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updateLinks="never" codeName="ThisWorkbook"/>
  <mc:AlternateContent xmlns:mc="http://schemas.openxmlformats.org/markup-compatibility/2006">
    <mc:Choice Requires="x15">
      <x15ac:absPath xmlns:x15ac="http://schemas.microsoft.com/office/spreadsheetml/2010/11/ac" url="https://northerngas.sharepoint.com/sites/gd2businessplanteam/Business Plan Documents/Final BP incl. Appendices/Final Business Plan &amp; supporting material/BPDT's/"/>
    </mc:Choice>
  </mc:AlternateContent>
  <xr:revisionPtr revIDLastSave="25" documentId="11_D3872F86E0349EC419D3FD535EBBC8C13114E006" xr6:coauthVersionLast="36" xr6:coauthVersionMax="36" xr10:uidLastSave="{5CB0A185-D4FD-4BEA-84D9-4E198C46485A}"/>
  <bookViews>
    <workbookView xWindow="-45" yWindow="-45" windowWidth="23130" windowHeight="12675" tabRatio="925" firstSheet="31" activeTab="38" xr2:uid="{00000000-000D-0000-FFFF-FFFF00000000}"/>
  </bookViews>
  <sheets>
    <sheet name="Cover" sheetId="1" r:id="rId1"/>
    <sheet name="Contents" sheetId="2" r:id="rId2"/>
    <sheet name="Changes_Log" sheetId="3" r:id="rId3"/>
    <sheet name="Fixed_Data" sheetId="4" r:id="rId4"/>
    <sheet name="Universal_Data" sheetId="115" r:id="rId5"/>
    <sheet name="1.01_BPFM_Inputs" sheetId="114" r:id="rId6"/>
    <sheet name="1.02_BP_Financial_Requirements " sheetId="116" r:id="rId7"/>
    <sheet name="1.02b_Debt" sheetId="117" r:id="rId8"/>
    <sheet name="1.02c_Interest" sheetId="118" r:id="rId9"/>
    <sheet name="1.03_BP_Tax_Inputs" sheetId="119" r:id="rId10"/>
    <sheet name="1.04_BP_Disposals_1" sheetId="120" r:id="rId11"/>
    <sheet name="1.05_BP_Disposals_2" sheetId="121" r:id="rId12"/>
    <sheet name="Totex_Summary" sheetId="99" r:id="rId13"/>
    <sheet name="GD1_Adjustments" sheetId="100" r:id="rId14"/>
    <sheet name="2.00_Opex_Summary" sheetId="74" r:id="rId15"/>
    <sheet name="2.01_Opex_Cost_Matrix_C" sheetId="6" r:id="rId16"/>
    <sheet name="2.02_Opex_Cost_Matrix_NC" sheetId="7" r:id="rId17"/>
    <sheet name="2.03_Emergency" sheetId="24" r:id="rId18"/>
    <sheet name="2.04_Maintenance" sheetId="55" r:id="rId19"/>
    <sheet name="2.05_Business_Support_Group" sheetId="86" r:id="rId20"/>
    <sheet name="2.06_Business_Support" sheetId="56" r:id="rId21"/>
    <sheet name="2.07_IT_&amp;_Telecoms_Group" sheetId="80" r:id="rId22"/>
    <sheet name="2.08_Property_Management_Group" sheetId="82" r:id="rId23"/>
    <sheet name="2.09_Insurance_Group" sheetId="84" r:id="rId24"/>
    <sheet name="2.10_CEO_&amp;_Corporate " sheetId="60" r:id="rId25"/>
    <sheet name="2.11_Insource_Outsource" sheetId="61" r:id="rId26"/>
    <sheet name="2.12_RPE_&amp;_OE" sheetId="63" r:id="rId27"/>
    <sheet name="2.13_FTE" sheetId="8" r:id="rId28"/>
    <sheet name="2.14_T&amp;A_Costs" sheetId="10" r:id="rId29"/>
    <sheet name="2.15_T&amp;A_Programmes" sheetId="11" r:id="rId30"/>
    <sheet name="2.16_T&amp;A_Numbers" sheetId="12" r:id="rId31"/>
    <sheet name="2.17_Shrinkage" sheetId="50" r:id="rId32"/>
    <sheet name="2.18_Street_Works" sheetId="62" r:id="rId33"/>
    <sheet name="2.19_LP_Gasholders" sheetId="27" r:id="rId34"/>
    <sheet name="2.20_Land_Remediation" sheetId="28" r:id="rId35"/>
    <sheet name="2.21_SIU" sheetId="25" r:id="rId36"/>
    <sheet name="2.22_Smart_Metering" sheetId="101" r:id="rId37"/>
    <sheet name="2.23_Related_Party" sheetId="111" r:id="rId38"/>
    <sheet name="3.00_Capex_Summary" sheetId="75" r:id="rId39"/>
    <sheet name="3.01_LTS_Storage_&amp;_Entry" sheetId="29" r:id="rId40"/>
    <sheet name="3.02_Reinforcement" sheetId="30" r:id="rId41"/>
    <sheet name="3.03_Governors" sheetId="32" r:id="rId42"/>
    <sheet name="3.04_Connections" sheetId="33" r:id="rId43"/>
    <sheet name="3.05_Other_Capex" sheetId="34" r:id="rId44"/>
    <sheet name="3.06_Transport_&amp;_Plant" sheetId="35" r:id="rId45"/>
    <sheet name="3.07_Capitalised_Overheads" sheetId="64" r:id="rId46"/>
    <sheet name="4.00_Repex_Summary" sheetId="76" r:id="rId47"/>
    <sheet name="4.01_Repex_Mains_Tier-1" sheetId="36" r:id="rId48"/>
    <sheet name="4.02_Repex_Mains_Tier-2A" sheetId="65" r:id="rId49"/>
    <sheet name="4.03_Repex_Mains_Tier-2B_&amp;_3" sheetId="66" r:id="rId50"/>
    <sheet name="4.04_Repex_Mains_Other" sheetId="67" r:id="rId51"/>
    <sheet name="4.05_Repex_Mains_Diversions" sheetId="68" r:id="rId52"/>
    <sheet name="4.06_Capitalised_Replacement" sheetId="69" r:id="rId53"/>
    <sheet name="4.07_Repex_Services" sheetId="41" r:id="rId54"/>
    <sheet name="4.08_Repex_MOB" sheetId="70" r:id="rId55"/>
    <sheet name="4.09_Repex_Cost_Breakdown" sheetId="71" r:id="rId56"/>
    <sheet name="4.10_MRPS" sheetId="72" r:id="rId57"/>
    <sheet name="4.11_Dynamic_Growth_Tier_1" sheetId="98" r:id="rId58"/>
    <sheet name="4.12_Robotic_Intervention" sheetId="110" r:id="rId59"/>
    <sheet name="5.01_LTS_&amp;_Entry_Assets" sheetId="14" r:id="rId60"/>
    <sheet name="5.02_Network_Assets" sheetId="15" r:id="rId61"/>
    <sheet name="5.03_Capacity_&amp;_Storage_Assets" sheetId="16" r:id="rId62"/>
    <sheet name="5.04_Capacity_&amp;_Demand" sheetId="17" r:id="rId63"/>
    <sheet name="5.05_Capacity_Output_Data" sheetId="18" r:id="rId64"/>
    <sheet name="5.06_MEAV_Assets" sheetId="19" r:id="rId65"/>
    <sheet name="5.07_PRE_Reports_&amp;_Repairs" sheetId="20" r:id="rId66"/>
    <sheet name="5.08_Safety" sheetId="21" r:id="rId67"/>
    <sheet name="5.09_Reliability" sheetId="22" r:id="rId68"/>
    <sheet name="5.10_BCF" sheetId="54" r:id="rId69"/>
    <sheet name="5.11_Innovation" sheetId="102" r:id="rId70"/>
    <sheet name="5.12_Cyber_Security_OT" sheetId="104" r:id="rId71"/>
    <sheet name="5.13_Cyber_Security_IT" sheetId="105" r:id="rId72"/>
    <sheet name="5.14_Physical_Security_Capex" sheetId="106" r:id="rId73"/>
    <sheet name="5.15_Physical_Security_Opex" sheetId="108" r:id="rId74"/>
    <sheet name="5.16_EAP" sheetId="109" r:id="rId75"/>
    <sheet name="5.17_NARM_Reconciliation" sheetId="112" r:id="rId76"/>
    <sheet name="5.18_Bespoke_Uncertain" sheetId="113" r:id="rId77"/>
    <sheet name="List" sheetId="122" state="hidden" r:id="rId78"/>
  </sheets>
  <externalReferences>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_______hom1" localSheetId="5" hidden="1">{#N/A,#N/A,FALSE,"Assessment";#N/A,#N/A,FALSE,"Staffing";#N/A,#N/A,FALSE,"Hires";#N/A,#N/A,FALSE,"Assumptions"}</definedName>
    <definedName name="________hom1" localSheetId="6" hidden="1">{#N/A,#N/A,FALSE,"Assessment";#N/A,#N/A,FALSE,"Staffing";#N/A,#N/A,FALSE,"Hires";#N/A,#N/A,FALSE,"Assumptions"}</definedName>
    <definedName name="________hom1" localSheetId="10" hidden="1">{#N/A,#N/A,FALSE,"Assessment";#N/A,#N/A,FALSE,"Staffing";#N/A,#N/A,FALSE,"Hires";#N/A,#N/A,FALSE,"Assumptions"}</definedName>
    <definedName name="________hom1" localSheetId="11" hidden="1">{#N/A,#N/A,FALSE,"Assessment";#N/A,#N/A,FALSE,"Staffing";#N/A,#N/A,FALSE,"Hires";#N/A,#N/A,FALSE,"Assumptions"}</definedName>
    <definedName name="________hom1" localSheetId="14" hidden="1">{#N/A,#N/A,FALSE,"Assessment";#N/A,#N/A,FALSE,"Staffing";#N/A,#N/A,FALSE,"Hires";#N/A,#N/A,FALSE,"Assumptions"}</definedName>
    <definedName name="________hom1" localSheetId="18" hidden="1">{#N/A,#N/A,FALSE,"Assessment";#N/A,#N/A,FALSE,"Staffing";#N/A,#N/A,FALSE,"Hires";#N/A,#N/A,FALSE,"Assumptions"}</definedName>
    <definedName name="________hom1" localSheetId="26" hidden="1">{#N/A,#N/A,FALSE,"Assessment";#N/A,#N/A,FALSE,"Staffing";#N/A,#N/A,FALSE,"Hires";#N/A,#N/A,FALSE,"Assumptions"}</definedName>
    <definedName name="________hom1" localSheetId="31" hidden="1">{#N/A,#N/A,FALSE,"Assessment";#N/A,#N/A,FALSE,"Staffing";#N/A,#N/A,FALSE,"Hires";#N/A,#N/A,FALSE,"Assumptions"}</definedName>
    <definedName name="________hom1" localSheetId="38" hidden="1">{#N/A,#N/A,FALSE,"Assessment";#N/A,#N/A,FALSE,"Staffing";#N/A,#N/A,FALSE,"Hires";#N/A,#N/A,FALSE,"Assumptions"}</definedName>
    <definedName name="________hom1" localSheetId="46" hidden="1">{#N/A,#N/A,FALSE,"Assessment";#N/A,#N/A,FALSE,"Staffing";#N/A,#N/A,FALSE,"Hires";#N/A,#N/A,FALSE,"Assumptions"}</definedName>
    <definedName name="________hom1" localSheetId="75" hidden="1">{#N/A,#N/A,FALSE,"Assessment";#N/A,#N/A,FALSE,"Staffing";#N/A,#N/A,FALSE,"Hires";#N/A,#N/A,FALSE,"Assumptions"}</definedName>
    <definedName name="________hom1" localSheetId="76" hidden="1">{#N/A,#N/A,FALSE,"Assessment";#N/A,#N/A,FALSE,"Staffing";#N/A,#N/A,FALSE,"Hires";#N/A,#N/A,FALSE,"Assumptions"}</definedName>
    <definedName name="________hom1" localSheetId="12" hidden="1">{#N/A,#N/A,FALSE,"Assessment";#N/A,#N/A,FALSE,"Staffing";#N/A,#N/A,FALSE,"Hires";#N/A,#N/A,FALSE,"Assumptions"}</definedName>
    <definedName name="________hom1" localSheetId="4" hidden="1">{#N/A,#N/A,FALSE,"Assessment";#N/A,#N/A,FALSE,"Staffing";#N/A,#N/A,FALSE,"Hires";#N/A,#N/A,FALSE,"Assumptions"}</definedName>
    <definedName name="________hom1" hidden="1">{#N/A,#N/A,FALSE,"Assessment";#N/A,#N/A,FALSE,"Staffing";#N/A,#N/A,FALSE,"Hires";#N/A,#N/A,FALSE,"Assumptions"}</definedName>
    <definedName name="________k1" localSheetId="5" hidden="1">{#N/A,#N/A,FALSE,"Assessment";#N/A,#N/A,FALSE,"Staffing";#N/A,#N/A,FALSE,"Hires";#N/A,#N/A,FALSE,"Assumptions"}</definedName>
    <definedName name="________k1" localSheetId="6" hidden="1">{#N/A,#N/A,FALSE,"Assessment";#N/A,#N/A,FALSE,"Staffing";#N/A,#N/A,FALSE,"Hires";#N/A,#N/A,FALSE,"Assumptions"}</definedName>
    <definedName name="________k1" localSheetId="10" hidden="1">{#N/A,#N/A,FALSE,"Assessment";#N/A,#N/A,FALSE,"Staffing";#N/A,#N/A,FALSE,"Hires";#N/A,#N/A,FALSE,"Assumptions"}</definedName>
    <definedName name="________k1" localSheetId="11" hidden="1">{#N/A,#N/A,FALSE,"Assessment";#N/A,#N/A,FALSE,"Staffing";#N/A,#N/A,FALSE,"Hires";#N/A,#N/A,FALSE,"Assumptions"}</definedName>
    <definedName name="________k1" localSheetId="14" hidden="1">{#N/A,#N/A,FALSE,"Assessment";#N/A,#N/A,FALSE,"Staffing";#N/A,#N/A,FALSE,"Hires";#N/A,#N/A,FALSE,"Assumptions"}</definedName>
    <definedName name="________k1" localSheetId="18" hidden="1">{#N/A,#N/A,FALSE,"Assessment";#N/A,#N/A,FALSE,"Staffing";#N/A,#N/A,FALSE,"Hires";#N/A,#N/A,FALSE,"Assumptions"}</definedName>
    <definedName name="________k1" localSheetId="26" hidden="1">{#N/A,#N/A,FALSE,"Assessment";#N/A,#N/A,FALSE,"Staffing";#N/A,#N/A,FALSE,"Hires";#N/A,#N/A,FALSE,"Assumptions"}</definedName>
    <definedName name="________k1" localSheetId="31" hidden="1">{#N/A,#N/A,FALSE,"Assessment";#N/A,#N/A,FALSE,"Staffing";#N/A,#N/A,FALSE,"Hires";#N/A,#N/A,FALSE,"Assumptions"}</definedName>
    <definedName name="________k1" localSheetId="38" hidden="1">{#N/A,#N/A,FALSE,"Assessment";#N/A,#N/A,FALSE,"Staffing";#N/A,#N/A,FALSE,"Hires";#N/A,#N/A,FALSE,"Assumptions"}</definedName>
    <definedName name="________k1" localSheetId="46" hidden="1">{#N/A,#N/A,FALSE,"Assessment";#N/A,#N/A,FALSE,"Staffing";#N/A,#N/A,FALSE,"Hires";#N/A,#N/A,FALSE,"Assumptions"}</definedName>
    <definedName name="________k1" localSheetId="75" hidden="1">{#N/A,#N/A,FALSE,"Assessment";#N/A,#N/A,FALSE,"Staffing";#N/A,#N/A,FALSE,"Hires";#N/A,#N/A,FALSE,"Assumptions"}</definedName>
    <definedName name="________k1" localSheetId="76" hidden="1">{#N/A,#N/A,FALSE,"Assessment";#N/A,#N/A,FALSE,"Staffing";#N/A,#N/A,FALSE,"Hires";#N/A,#N/A,FALSE,"Assumptions"}</definedName>
    <definedName name="________k1" localSheetId="12" hidden="1">{#N/A,#N/A,FALSE,"Assessment";#N/A,#N/A,FALSE,"Staffing";#N/A,#N/A,FALSE,"Hires";#N/A,#N/A,FALSE,"Assumptions"}</definedName>
    <definedName name="________k1" localSheetId="4" hidden="1">{#N/A,#N/A,FALSE,"Assessment";#N/A,#N/A,FALSE,"Staffing";#N/A,#N/A,FALSE,"Hires";#N/A,#N/A,FALSE,"Assumptions"}</definedName>
    <definedName name="________k1" hidden="1">{#N/A,#N/A,FALSE,"Assessment";#N/A,#N/A,FALSE,"Staffing";#N/A,#N/A,FALSE,"Hires";#N/A,#N/A,FALSE,"Assumptions"}</definedName>
    <definedName name="________kk1" localSheetId="5" hidden="1">{#N/A,#N/A,FALSE,"Assessment";#N/A,#N/A,FALSE,"Staffing";#N/A,#N/A,FALSE,"Hires";#N/A,#N/A,FALSE,"Assumptions"}</definedName>
    <definedName name="________kk1" localSheetId="6" hidden="1">{#N/A,#N/A,FALSE,"Assessment";#N/A,#N/A,FALSE,"Staffing";#N/A,#N/A,FALSE,"Hires";#N/A,#N/A,FALSE,"Assumptions"}</definedName>
    <definedName name="________kk1" localSheetId="10" hidden="1">{#N/A,#N/A,FALSE,"Assessment";#N/A,#N/A,FALSE,"Staffing";#N/A,#N/A,FALSE,"Hires";#N/A,#N/A,FALSE,"Assumptions"}</definedName>
    <definedName name="________kk1" localSheetId="11" hidden="1">{#N/A,#N/A,FALSE,"Assessment";#N/A,#N/A,FALSE,"Staffing";#N/A,#N/A,FALSE,"Hires";#N/A,#N/A,FALSE,"Assumptions"}</definedName>
    <definedName name="________kk1" localSheetId="14" hidden="1">{#N/A,#N/A,FALSE,"Assessment";#N/A,#N/A,FALSE,"Staffing";#N/A,#N/A,FALSE,"Hires";#N/A,#N/A,FALSE,"Assumptions"}</definedName>
    <definedName name="________kk1" localSheetId="18" hidden="1">{#N/A,#N/A,FALSE,"Assessment";#N/A,#N/A,FALSE,"Staffing";#N/A,#N/A,FALSE,"Hires";#N/A,#N/A,FALSE,"Assumptions"}</definedName>
    <definedName name="________kk1" localSheetId="26" hidden="1">{#N/A,#N/A,FALSE,"Assessment";#N/A,#N/A,FALSE,"Staffing";#N/A,#N/A,FALSE,"Hires";#N/A,#N/A,FALSE,"Assumptions"}</definedName>
    <definedName name="________kk1" localSheetId="31" hidden="1">{#N/A,#N/A,FALSE,"Assessment";#N/A,#N/A,FALSE,"Staffing";#N/A,#N/A,FALSE,"Hires";#N/A,#N/A,FALSE,"Assumptions"}</definedName>
    <definedName name="________kk1" localSheetId="38" hidden="1">{#N/A,#N/A,FALSE,"Assessment";#N/A,#N/A,FALSE,"Staffing";#N/A,#N/A,FALSE,"Hires";#N/A,#N/A,FALSE,"Assumptions"}</definedName>
    <definedName name="________kk1" localSheetId="46" hidden="1">{#N/A,#N/A,FALSE,"Assessment";#N/A,#N/A,FALSE,"Staffing";#N/A,#N/A,FALSE,"Hires";#N/A,#N/A,FALSE,"Assumptions"}</definedName>
    <definedName name="________kk1" localSheetId="75" hidden="1">{#N/A,#N/A,FALSE,"Assessment";#N/A,#N/A,FALSE,"Staffing";#N/A,#N/A,FALSE,"Hires";#N/A,#N/A,FALSE,"Assumptions"}</definedName>
    <definedName name="________kk1" localSheetId="76" hidden="1">{#N/A,#N/A,FALSE,"Assessment";#N/A,#N/A,FALSE,"Staffing";#N/A,#N/A,FALSE,"Hires";#N/A,#N/A,FALSE,"Assumptions"}</definedName>
    <definedName name="________kk1" localSheetId="12" hidden="1">{#N/A,#N/A,FALSE,"Assessment";#N/A,#N/A,FALSE,"Staffing";#N/A,#N/A,FALSE,"Hires";#N/A,#N/A,FALSE,"Assumptions"}</definedName>
    <definedName name="________kk1" localSheetId="4" hidden="1">{#N/A,#N/A,FALSE,"Assessment";#N/A,#N/A,FALSE,"Staffing";#N/A,#N/A,FALSE,"Hires";#N/A,#N/A,FALSE,"Assumptions"}</definedName>
    <definedName name="________kk1" hidden="1">{#N/A,#N/A,FALSE,"Assessment";#N/A,#N/A,FALSE,"Staffing";#N/A,#N/A,FALSE,"Hires";#N/A,#N/A,FALSE,"Assumptions"}</definedName>
    <definedName name="________KKK1" localSheetId="5" hidden="1">{#N/A,#N/A,FALSE,"Assessment";#N/A,#N/A,FALSE,"Staffing";#N/A,#N/A,FALSE,"Hires";#N/A,#N/A,FALSE,"Assumptions"}</definedName>
    <definedName name="________KKK1" localSheetId="6" hidden="1">{#N/A,#N/A,FALSE,"Assessment";#N/A,#N/A,FALSE,"Staffing";#N/A,#N/A,FALSE,"Hires";#N/A,#N/A,FALSE,"Assumptions"}</definedName>
    <definedName name="________KKK1" localSheetId="10" hidden="1">{#N/A,#N/A,FALSE,"Assessment";#N/A,#N/A,FALSE,"Staffing";#N/A,#N/A,FALSE,"Hires";#N/A,#N/A,FALSE,"Assumptions"}</definedName>
    <definedName name="________KKK1" localSheetId="11" hidden="1">{#N/A,#N/A,FALSE,"Assessment";#N/A,#N/A,FALSE,"Staffing";#N/A,#N/A,FALSE,"Hires";#N/A,#N/A,FALSE,"Assumptions"}</definedName>
    <definedName name="________KKK1" localSheetId="14" hidden="1">{#N/A,#N/A,FALSE,"Assessment";#N/A,#N/A,FALSE,"Staffing";#N/A,#N/A,FALSE,"Hires";#N/A,#N/A,FALSE,"Assumptions"}</definedName>
    <definedName name="________KKK1" localSheetId="18" hidden="1">{#N/A,#N/A,FALSE,"Assessment";#N/A,#N/A,FALSE,"Staffing";#N/A,#N/A,FALSE,"Hires";#N/A,#N/A,FALSE,"Assumptions"}</definedName>
    <definedName name="________KKK1" localSheetId="26" hidden="1">{#N/A,#N/A,FALSE,"Assessment";#N/A,#N/A,FALSE,"Staffing";#N/A,#N/A,FALSE,"Hires";#N/A,#N/A,FALSE,"Assumptions"}</definedName>
    <definedName name="________KKK1" localSheetId="31" hidden="1">{#N/A,#N/A,FALSE,"Assessment";#N/A,#N/A,FALSE,"Staffing";#N/A,#N/A,FALSE,"Hires";#N/A,#N/A,FALSE,"Assumptions"}</definedName>
    <definedName name="________KKK1" localSheetId="38" hidden="1">{#N/A,#N/A,FALSE,"Assessment";#N/A,#N/A,FALSE,"Staffing";#N/A,#N/A,FALSE,"Hires";#N/A,#N/A,FALSE,"Assumptions"}</definedName>
    <definedName name="________KKK1" localSheetId="46" hidden="1">{#N/A,#N/A,FALSE,"Assessment";#N/A,#N/A,FALSE,"Staffing";#N/A,#N/A,FALSE,"Hires";#N/A,#N/A,FALSE,"Assumptions"}</definedName>
    <definedName name="________KKK1" localSheetId="75" hidden="1">{#N/A,#N/A,FALSE,"Assessment";#N/A,#N/A,FALSE,"Staffing";#N/A,#N/A,FALSE,"Hires";#N/A,#N/A,FALSE,"Assumptions"}</definedName>
    <definedName name="________KKK1" localSheetId="76" hidden="1">{#N/A,#N/A,FALSE,"Assessment";#N/A,#N/A,FALSE,"Staffing";#N/A,#N/A,FALSE,"Hires";#N/A,#N/A,FALSE,"Assumptions"}</definedName>
    <definedName name="________KKK1" localSheetId="12" hidden="1">{#N/A,#N/A,FALSE,"Assessment";#N/A,#N/A,FALSE,"Staffing";#N/A,#N/A,FALSE,"Hires";#N/A,#N/A,FALSE,"Assumptions"}</definedName>
    <definedName name="________KKK1" localSheetId="4" hidden="1">{#N/A,#N/A,FALSE,"Assessment";#N/A,#N/A,FALSE,"Staffing";#N/A,#N/A,FALSE,"Hires";#N/A,#N/A,FALSE,"Assumptions"}</definedName>
    <definedName name="________KKK1" hidden="1">{#N/A,#N/A,FALSE,"Assessment";#N/A,#N/A,FALSE,"Staffing";#N/A,#N/A,FALSE,"Hires";#N/A,#N/A,FALSE,"Assumptions"}</definedName>
    <definedName name="________w2" localSheetId="5" hidden="1">{"Model Summary",#N/A,FALSE,"Print Chart";"Holdco",#N/A,FALSE,"Print Chart";"Genco",#N/A,FALSE,"Print Chart";"Servco",#N/A,FALSE,"Print Chart";"Genco_Detail",#N/A,FALSE,"Summary Financials";"Servco_Detail",#N/A,FALSE,"Summary Financials"}</definedName>
    <definedName name="________w2" localSheetId="6" hidden="1">{"Model Summary",#N/A,FALSE,"Print Chart";"Holdco",#N/A,FALSE,"Print Chart";"Genco",#N/A,FALSE,"Print Chart";"Servco",#N/A,FALSE,"Print Chart";"Genco_Detail",#N/A,FALSE,"Summary Financials";"Servco_Detail",#N/A,FALSE,"Summary Financials"}</definedName>
    <definedName name="________w2" localSheetId="10" hidden="1">{"Model Summary",#N/A,FALSE,"Print Chart";"Holdco",#N/A,FALSE,"Print Chart";"Genco",#N/A,FALSE,"Print Chart";"Servco",#N/A,FALSE,"Print Chart";"Genco_Detail",#N/A,FALSE,"Summary Financials";"Servco_Detail",#N/A,FALSE,"Summary Financials"}</definedName>
    <definedName name="________w2" localSheetId="11" hidden="1">{"Model Summary",#N/A,FALSE,"Print Chart";"Holdco",#N/A,FALSE,"Print Chart";"Genco",#N/A,FALSE,"Print Chart";"Servco",#N/A,FALSE,"Print Chart";"Genco_Detail",#N/A,FALSE,"Summary Financials";"Servco_Detail",#N/A,FALSE,"Summary Financials"}</definedName>
    <definedName name="________w2" localSheetId="14" hidden="1">{"Model Summary",#N/A,FALSE,"Print Chart";"Holdco",#N/A,FALSE,"Print Chart";"Genco",#N/A,FALSE,"Print Chart";"Servco",#N/A,FALSE,"Print Chart";"Genco_Detail",#N/A,FALSE,"Summary Financials";"Servco_Detail",#N/A,FALSE,"Summary Financials"}</definedName>
    <definedName name="________w2" localSheetId="18" hidden="1">{"Model Summary",#N/A,FALSE,"Print Chart";"Holdco",#N/A,FALSE,"Print Chart";"Genco",#N/A,FALSE,"Print Chart";"Servco",#N/A,FALSE,"Print Chart";"Genco_Detail",#N/A,FALSE,"Summary Financials";"Servco_Detail",#N/A,FALSE,"Summary Financials"}</definedName>
    <definedName name="________w2" localSheetId="26" hidden="1">{"Model Summary",#N/A,FALSE,"Print Chart";"Holdco",#N/A,FALSE,"Print Chart";"Genco",#N/A,FALSE,"Print Chart";"Servco",#N/A,FALSE,"Print Chart";"Genco_Detail",#N/A,FALSE,"Summary Financials";"Servco_Detail",#N/A,FALSE,"Summary Financials"}</definedName>
    <definedName name="________w2" localSheetId="31" hidden="1">{"Model Summary",#N/A,FALSE,"Print Chart";"Holdco",#N/A,FALSE,"Print Chart";"Genco",#N/A,FALSE,"Print Chart";"Servco",#N/A,FALSE,"Print Chart";"Genco_Detail",#N/A,FALSE,"Summary Financials";"Servco_Detail",#N/A,FALSE,"Summary Financials"}</definedName>
    <definedName name="________w2" localSheetId="38" hidden="1">{"Model Summary",#N/A,FALSE,"Print Chart";"Holdco",#N/A,FALSE,"Print Chart";"Genco",#N/A,FALSE,"Print Chart";"Servco",#N/A,FALSE,"Print Chart";"Genco_Detail",#N/A,FALSE,"Summary Financials";"Servco_Detail",#N/A,FALSE,"Summary Financials"}</definedName>
    <definedName name="________w2" localSheetId="46" hidden="1">{"Model Summary",#N/A,FALSE,"Print Chart";"Holdco",#N/A,FALSE,"Print Chart";"Genco",#N/A,FALSE,"Print Chart";"Servco",#N/A,FALSE,"Print Chart";"Genco_Detail",#N/A,FALSE,"Summary Financials";"Servco_Detail",#N/A,FALSE,"Summary Financials"}</definedName>
    <definedName name="________w2" localSheetId="75" hidden="1">{"Model Summary",#N/A,FALSE,"Print Chart";"Holdco",#N/A,FALSE,"Print Chart";"Genco",#N/A,FALSE,"Print Chart";"Servco",#N/A,FALSE,"Print Chart";"Genco_Detail",#N/A,FALSE,"Summary Financials";"Servco_Detail",#N/A,FALSE,"Summary Financials"}</definedName>
    <definedName name="________w2" localSheetId="76" hidden="1">{"Model Summary",#N/A,FALSE,"Print Chart";"Holdco",#N/A,FALSE,"Print Chart";"Genco",#N/A,FALSE,"Print Chart";"Servco",#N/A,FALSE,"Print Chart";"Genco_Detail",#N/A,FALSE,"Summary Financials";"Servco_Detail",#N/A,FALSE,"Summary Financials"}</definedName>
    <definedName name="________w2" localSheetId="12" hidden="1">{"Model Summary",#N/A,FALSE,"Print Chart";"Holdco",#N/A,FALSE,"Print Chart";"Genco",#N/A,FALSE,"Print Chart";"Servco",#N/A,FALSE,"Print Chart";"Genco_Detail",#N/A,FALSE,"Summary Financials";"Servco_Detail",#N/A,FALSE,"Summary Financials"}</definedName>
    <definedName name="________w2" localSheetId="4"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localSheetId="6" hidden="1">{"Model Summary",#N/A,FALSE,"Print Chart";"Holdco",#N/A,FALSE,"Print Chart";"Genco",#N/A,FALSE,"Print Chart";"Servco",#N/A,FALSE,"Print Chart";"Genco_Detail",#N/A,FALSE,"Summary Financials";"Servco_Detail",#N/A,FALSE,"Summary Financials"}</definedName>
    <definedName name="________wr6" localSheetId="10" hidden="1">{"Model Summary",#N/A,FALSE,"Print Chart";"Holdco",#N/A,FALSE,"Print Chart";"Genco",#N/A,FALSE,"Print Chart";"Servco",#N/A,FALSE,"Print Chart";"Genco_Detail",#N/A,FALSE,"Summary Financials";"Servco_Detail",#N/A,FALSE,"Summary Financials"}</definedName>
    <definedName name="________wr6" localSheetId="11" hidden="1">{"Model Summary",#N/A,FALSE,"Print Chart";"Holdco",#N/A,FALSE,"Print Chart";"Genco",#N/A,FALSE,"Print Chart";"Servco",#N/A,FALSE,"Print Chart";"Genco_Detail",#N/A,FALSE,"Summary Financials";"Servco_Detail",#N/A,FALSE,"Summary Financials"}</definedName>
    <definedName name="________wr6" localSheetId="14" hidden="1">{"Model Summary",#N/A,FALSE,"Print Chart";"Holdco",#N/A,FALSE,"Print Chart";"Genco",#N/A,FALSE,"Print Chart";"Servco",#N/A,FALSE,"Print Chart";"Genco_Detail",#N/A,FALSE,"Summary Financials";"Servco_Detail",#N/A,FALSE,"Summary Financials"}</definedName>
    <definedName name="________wr6" localSheetId="18" hidden="1">{"Model Summary",#N/A,FALSE,"Print Chart";"Holdco",#N/A,FALSE,"Print Chart";"Genco",#N/A,FALSE,"Print Chart";"Servco",#N/A,FALSE,"Print Chart";"Genco_Detail",#N/A,FALSE,"Summary Financials";"Servco_Detail",#N/A,FALSE,"Summary Financials"}</definedName>
    <definedName name="________wr6" localSheetId="26" hidden="1">{"Model Summary",#N/A,FALSE,"Print Chart";"Holdco",#N/A,FALSE,"Print Chart";"Genco",#N/A,FALSE,"Print Chart";"Servco",#N/A,FALSE,"Print Chart";"Genco_Detail",#N/A,FALSE,"Summary Financials";"Servco_Detail",#N/A,FALSE,"Summary Financials"}</definedName>
    <definedName name="________wr6" localSheetId="31" hidden="1">{"Model Summary",#N/A,FALSE,"Print Chart";"Holdco",#N/A,FALSE,"Print Chart";"Genco",#N/A,FALSE,"Print Chart";"Servco",#N/A,FALSE,"Print Chart";"Genco_Detail",#N/A,FALSE,"Summary Financials";"Servco_Detail",#N/A,FALSE,"Summary Financials"}</definedName>
    <definedName name="________wr6" localSheetId="38" hidden="1">{"Model Summary",#N/A,FALSE,"Print Chart";"Holdco",#N/A,FALSE,"Print Chart";"Genco",#N/A,FALSE,"Print Chart";"Servco",#N/A,FALSE,"Print Chart";"Genco_Detail",#N/A,FALSE,"Summary Financials";"Servco_Detail",#N/A,FALSE,"Summary Financials"}</definedName>
    <definedName name="________wr6" localSheetId="46" hidden="1">{"Model Summary",#N/A,FALSE,"Print Chart";"Holdco",#N/A,FALSE,"Print Chart";"Genco",#N/A,FALSE,"Print Chart";"Servco",#N/A,FALSE,"Print Chart";"Genco_Detail",#N/A,FALSE,"Summary Financials";"Servco_Detail",#N/A,FALSE,"Summary Financials"}</definedName>
    <definedName name="________wr6" localSheetId="75" hidden="1">{"Model Summary",#N/A,FALSE,"Print Chart";"Holdco",#N/A,FALSE,"Print Chart";"Genco",#N/A,FALSE,"Print Chart";"Servco",#N/A,FALSE,"Print Chart";"Genco_Detail",#N/A,FALSE,"Summary Financials";"Servco_Detail",#N/A,FALSE,"Summary Financials"}</definedName>
    <definedName name="________wr6" localSheetId="76" hidden="1">{"Model Summary",#N/A,FALSE,"Print Chart";"Holdco",#N/A,FALSE,"Print Chart";"Genco",#N/A,FALSE,"Print Chart";"Servco",#N/A,FALSE,"Print Chart";"Genco_Detail",#N/A,FALSE,"Summary Financials";"Servco_Detail",#N/A,FALSE,"Summary Financials"}</definedName>
    <definedName name="________wr6" localSheetId="12" hidden="1">{"Model Summary",#N/A,FALSE,"Print Chart";"Holdco",#N/A,FALSE,"Print Chart";"Genco",#N/A,FALSE,"Print Chart";"Servco",#N/A,FALSE,"Print Chart";"Genco_Detail",#N/A,FALSE,"Summary Financials";"Servco_Detail",#N/A,FALSE,"Summary Financials"}</definedName>
    <definedName name="________wr6" localSheetId="4"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5" hidden="1">{"holdco",#N/A,FALSE,"Summary Financials";"holdco",#N/A,FALSE,"Summary Financials"}</definedName>
    <definedName name="________wr9" localSheetId="6" hidden="1">{"holdco",#N/A,FALSE,"Summary Financials";"holdco",#N/A,FALSE,"Summary Financials"}</definedName>
    <definedName name="________wr9" localSheetId="10" hidden="1">{"holdco",#N/A,FALSE,"Summary Financials";"holdco",#N/A,FALSE,"Summary Financials"}</definedName>
    <definedName name="________wr9" localSheetId="11" hidden="1">{"holdco",#N/A,FALSE,"Summary Financials";"holdco",#N/A,FALSE,"Summary Financials"}</definedName>
    <definedName name="________wr9" localSheetId="14" hidden="1">{"holdco",#N/A,FALSE,"Summary Financials";"holdco",#N/A,FALSE,"Summary Financials"}</definedName>
    <definedName name="________wr9" localSheetId="18" hidden="1">{"holdco",#N/A,FALSE,"Summary Financials";"holdco",#N/A,FALSE,"Summary Financials"}</definedName>
    <definedName name="________wr9" localSheetId="26" hidden="1">{"holdco",#N/A,FALSE,"Summary Financials";"holdco",#N/A,FALSE,"Summary Financials"}</definedName>
    <definedName name="________wr9" localSheetId="31" hidden="1">{"holdco",#N/A,FALSE,"Summary Financials";"holdco",#N/A,FALSE,"Summary Financials"}</definedName>
    <definedName name="________wr9" localSheetId="38" hidden="1">{"holdco",#N/A,FALSE,"Summary Financials";"holdco",#N/A,FALSE,"Summary Financials"}</definedName>
    <definedName name="________wr9" localSheetId="46" hidden="1">{"holdco",#N/A,FALSE,"Summary Financials";"holdco",#N/A,FALSE,"Summary Financials"}</definedName>
    <definedName name="________wr9" localSheetId="75" hidden="1">{"holdco",#N/A,FALSE,"Summary Financials";"holdco",#N/A,FALSE,"Summary Financials"}</definedName>
    <definedName name="________wr9" localSheetId="76" hidden="1">{"holdco",#N/A,FALSE,"Summary Financials";"holdco",#N/A,FALSE,"Summary Financials"}</definedName>
    <definedName name="________wr9" localSheetId="12" hidden="1">{"holdco",#N/A,FALSE,"Summary Financials";"holdco",#N/A,FALSE,"Summary Financials"}</definedName>
    <definedName name="________wr9" localSheetId="4" hidden="1">{"holdco",#N/A,FALSE,"Summary Financials";"holdco",#N/A,FALSE,"Summary Financials"}</definedName>
    <definedName name="________wr9" hidden="1">{"holdco",#N/A,FALSE,"Summary Financials";"holdco",#N/A,FALSE,"Summary Financials"}</definedName>
    <definedName name="________wrn1" localSheetId="5" hidden="1">{"holdco",#N/A,FALSE,"Summary Financials";"holdco",#N/A,FALSE,"Summary Financials"}</definedName>
    <definedName name="________wrn1" localSheetId="6" hidden="1">{"holdco",#N/A,FALSE,"Summary Financials";"holdco",#N/A,FALSE,"Summary Financials"}</definedName>
    <definedName name="________wrn1" localSheetId="10" hidden="1">{"holdco",#N/A,FALSE,"Summary Financials";"holdco",#N/A,FALSE,"Summary Financials"}</definedName>
    <definedName name="________wrn1" localSheetId="11" hidden="1">{"holdco",#N/A,FALSE,"Summary Financials";"holdco",#N/A,FALSE,"Summary Financials"}</definedName>
    <definedName name="________wrn1" localSheetId="14" hidden="1">{"holdco",#N/A,FALSE,"Summary Financials";"holdco",#N/A,FALSE,"Summary Financials"}</definedName>
    <definedName name="________wrn1" localSheetId="18" hidden="1">{"holdco",#N/A,FALSE,"Summary Financials";"holdco",#N/A,FALSE,"Summary Financials"}</definedName>
    <definedName name="________wrn1" localSheetId="26" hidden="1">{"holdco",#N/A,FALSE,"Summary Financials";"holdco",#N/A,FALSE,"Summary Financials"}</definedName>
    <definedName name="________wrn1" localSheetId="31" hidden="1">{"holdco",#N/A,FALSE,"Summary Financials";"holdco",#N/A,FALSE,"Summary Financials"}</definedName>
    <definedName name="________wrn1" localSheetId="38" hidden="1">{"holdco",#N/A,FALSE,"Summary Financials";"holdco",#N/A,FALSE,"Summary Financials"}</definedName>
    <definedName name="________wrn1" localSheetId="46" hidden="1">{"holdco",#N/A,FALSE,"Summary Financials";"holdco",#N/A,FALSE,"Summary Financials"}</definedName>
    <definedName name="________wrn1" localSheetId="75" hidden="1">{"holdco",#N/A,FALSE,"Summary Financials";"holdco",#N/A,FALSE,"Summary Financials"}</definedName>
    <definedName name="________wrn1" localSheetId="76" hidden="1">{"holdco",#N/A,FALSE,"Summary Financials";"holdco",#N/A,FALSE,"Summary Financials"}</definedName>
    <definedName name="________wrn1" localSheetId="12" hidden="1">{"holdco",#N/A,FALSE,"Summary Financials";"holdco",#N/A,FALSE,"Summary Financials"}</definedName>
    <definedName name="________wrn1" localSheetId="4" hidden="1">{"holdco",#N/A,FALSE,"Summary Financials";"holdco",#N/A,FALSE,"Summary Financials"}</definedName>
    <definedName name="________wrn1" hidden="1">{"holdco",#N/A,FALSE,"Summary Financials";"holdco",#N/A,FALSE,"Summary Financials"}</definedName>
    <definedName name="________wrn2" localSheetId="5" hidden="1">{"holdco",#N/A,FALSE,"Summary Financials";"holdco",#N/A,FALSE,"Summary Financials"}</definedName>
    <definedName name="________wrn2" localSheetId="6" hidden="1">{"holdco",#N/A,FALSE,"Summary Financials";"holdco",#N/A,FALSE,"Summary Financials"}</definedName>
    <definedName name="________wrn2" localSheetId="10" hidden="1">{"holdco",#N/A,FALSE,"Summary Financials";"holdco",#N/A,FALSE,"Summary Financials"}</definedName>
    <definedName name="________wrn2" localSheetId="11" hidden="1">{"holdco",#N/A,FALSE,"Summary Financials";"holdco",#N/A,FALSE,"Summary Financials"}</definedName>
    <definedName name="________wrn2" localSheetId="14" hidden="1">{"holdco",#N/A,FALSE,"Summary Financials";"holdco",#N/A,FALSE,"Summary Financials"}</definedName>
    <definedName name="________wrn2" localSheetId="18" hidden="1">{"holdco",#N/A,FALSE,"Summary Financials";"holdco",#N/A,FALSE,"Summary Financials"}</definedName>
    <definedName name="________wrn2" localSheetId="26" hidden="1">{"holdco",#N/A,FALSE,"Summary Financials";"holdco",#N/A,FALSE,"Summary Financials"}</definedName>
    <definedName name="________wrn2" localSheetId="31" hidden="1">{"holdco",#N/A,FALSE,"Summary Financials";"holdco",#N/A,FALSE,"Summary Financials"}</definedName>
    <definedName name="________wrn2" localSheetId="38" hidden="1">{"holdco",#N/A,FALSE,"Summary Financials";"holdco",#N/A,FALSE,"Summary Financials"}</definedName>
    <definedName name="________wrn2" localSheetId="46" hidden="1">{"holdco",#N/A,FALSE,"Summary Financials";"holdco",#N/A,FALSE,"Summary Financials"}</definedName>
    <definedName name="________wrn2" localSheetId="75" hidden="1">{"holdco",#N/A,FALSE,"Summary Financials";"holdco",#N/A,FALSE,"Summary Financials"}</definedName>
    <definedName name="________wrn2" localSheetId="76" hidden="1">{"holdco",#N/A,FALSE,"Summary Financials";"holdco",#N/A,FALSE,"Summary Financials"}</definedName>
    <definedName name="________wrn2" localSheetId="12" hidden="1">{"holdco",#N/A,FALSE,"Summary Financials";"holdco",#N/A,FALSE,"Summary Financials"}</definedName>
    <definedName name="________wrn2" localSheetId="4" hidden="1">{"holdco",#N/A,FALSE,"Summary Financials";"holdco",#N/A,FALSE,"Summary Financials"}</definedName>
    <definedName name="________wrn2" hidden="1">{"holdco",#N/A,FALSE,"Summary Financials";"holdco",#N/A,FALSE,"Summary Financials"}</definedName>
    <definedName name="________wrn3" localSheetId="5" hidden="1">{"holdco",#N/A,FALSE,"Summary Financials";"holdco",#N/A,FALSE,"Summary Financials"}</definedName>
    <definedName name="________wrn3" localSheetId="6" hidden="1">{"holdco",#N/A,FALSE,"Summary Financials";"holdco",#N/A,FALSE,"Summary Financials"}</definedName>
    <definedName name="________wrn3" localSheetId="10" hidden="1">{"holdco",#N/A,FALSE,"Summary Financials";"holdco",#N/A,FALSE,"Summary Financials"}</definedName>
    <definedName name="________wrn3" localSheetId="11" hidden="1">{"holdco",#N/A,FALSE,"Summary Financials";"holdco",#N/A,FALSE,"Summary Financials"}</definedName>
    <definedName name="________wrn3" localSheetId="14" hidden="1">{"holdco",#N/A,FALSE,"Summary Financials";"holdco",#N/A,FALSE,"Summary Financials"}</definedName>
    <definedName name="________wrn3" localSheetId="18" hidden="1">{"holdco",#N/A,FALSE,"Summary Financials";"holdco",#N/A,FALSE,"Summary Financials"}</definedName>
    <definedName name="________wrn3" localSheetId="26" hidden="1">{"holdco",#N/A,FALSE,"Summary Financials";"holdco",#N/A,FALSE,"Summary Financials"}</definedName>
    <definedName name="________wrn3" localSheetId="31" hidden="1">{"holdco",#N/A,FALSE,"Summary Financials";"holdco",#N/A,FALSE,"Summary Financials"}</definedName>
    <definedName name="________wrn3" localSheetId="38" hidden="1">{"holdco",#N/A,FALSE,"Summary Financials";"holdco",#N/A,FALSE,"Summary Financials"}</definedName>
    <definedName name="________wrn3" localSheetId="46" hidden="1">{"holdco",#N/A,FALSE,"Summary Financials";"holdco",#N/A,FALSE,"Summary Financials"}</definedName>
    <definedName name="________wrn3" localSheetId="75" hidden="1">{"holdco",#N/A,FALSE,"Summary Financials";"holdco",#N/A,FALSE,"Summary Financials"}</definedName>
    <definedName name="________wrn3" localSheetId="76" hidden="1">{"holdco",#N/A,FALSE,"Summary Financials";"holdco",#N/A,FALSE,"Summary Financials"}</definedName>
    <definedName name="________wrn3" localSheetId="12" hidden="1">{"holdco",#N/A,FALSE,"Summary Financials";"holdco",#N/A,FALSE,"Summary Financials"}</definedName>
    <definedName name="________wrn3" localSheetId="4" hidden="1">{"holdco",#N/A,FALSE,"Summary Financials";"holdco",#N/A,FALSE,"Summary Financials"}</definedName>
    <definedName name="________wrn3" hidden="1">{"holdco",#N/A,FALSE,"Summary Financials";"holdco",#N/A,FALSE,"Summary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localSheetId="6" hidden="1">{"Model Summary",#N/A,FALSE,"Print Chart";"Holdco",#N/A,FALSE,"Print Chart";"Genco",#N/A,FALSE,"Print Chart";"Servco",#N/A,FALSE,"Print Chart";"Genco_Detail",#N/A,FALSE,"Summary Financials";"Servco_Detail",#N/A,FALSE,"Summary Financials"}</definedName>
    <definedName name="________wrn7" localSheetId="10" hidden="1">{"Model Summary",#N/A,FALSE,"Print Chart";"Holdco",#N/A,FALSE,"Print Chart";"Genco",#N/A,FALSE,"Print Chart";"Servco",#N/A,FALSE,"Print Chart";"Genco_Detail",#N/A,FALSE,"Summary Financials";"Servco_Detail",#N/A,FALSE,"Summary Financials"}</definedName>
    <definedName name="________wrn7" localSheetId="11" hidden="1">{"Model Summary",#N/A,FALSE,"Print Chart";"Holdco",#N/A,FALSE,"Print Chart";"Genco",#N/A,FALSE,"Print Chart";"Servco",#N/A,FALSE,"Print Chart";"Genco_Detail",#N/A,FALSE,"Summary Financials";"Servco_Detail",#N/A,FALSE,"Summary Financials"}</definedName>
    <definedName name="________wrn7" localSheetId="14" hidden="1">{"Model Summary",#N/A,FALSE,"Print Chart";"Holdco",#N/A,FALSE,"Print Chart";"Genco",#N/A,FALSE,"Print Chart";"Servco",#N/A,FALSE,"Print Chart";"Genco_Detail",#N/A,FALSE,"Summary Financials";"Servco_Detail",#N/A,FALSE,"Summary Financials"}</definedName>
    <definedName name="________wrn7" localSheetId="18" hidden="1">{"Model Summary",#N/A,FALSE,"Print Chart";"Holdco",#N/A,FALSE,"Print Chart";"Genco",#N/A,FALSE,"Print Chart";"Servco",#N/A,FALSE,"Print Chart";"Genco_Detail",#N/A,FALSE,"Summary Financials";"Servco_Detail",#N/A,FALSE,"Summary Financials"}</definedName>
    <definedName name="________wrn7" localSheetId="26" hidden="1">{"Model Summary",#N/A,FALSE,"Print Chart";"Holdco",#N/A,FALSE,"Print Chart";"Genco",#N/A,FALSE,"Print Chart";"Servco",#N/A,FALSE,"Print Chart";"Genco_Detail",#N/A,FALSE,"Summary Financials";"Servco_Detail",#N/A,FALSE,"Summary Financials"}</definedName>
    <definedName name="________wrn7" localSheetId="31" hidden="1">{"Model Summary",#N/A,FALSE,"Print Chart";"Holdco",#N/A,FALSE,"Print Chart";"Genco",#N/A,FALSE,"Print Chart";"Servco",#N/A,FALSE,"Print Chart";"Genco_Detail",#N/A,FALSE,"Summary Financials";"Servco_Detail",#N/A,FALSE,"Summary Financials"}</definedName>
    <definedName name="________wrn7" localSheetId="38" hidden="1">{"Model Summary",#N/A,FALSE,"Print Chart";"Holdco",#N/A,FALSE,"Print Chart";"Genco",#N/A,FALSE,"Print Chart";"Servco",#N/A,FALSE,"Print Chart";"Genco_Detail",#N/A,FALSE,"Summary Financials";"Servco_Detail",#N/A,FALSE,"Summary Financials"}</definedName>
    <definedName name="________wrn7" localSheetId="46" hidden="1">{"Model Summary",#N/A,FALSE,"Print Chart";"Holdco",#N/A,FALSE,"Print Chart";"Genco",#N/A,FALSE,"Print Chart";"Servco",#N/A,FALSE,"Print Chart";"Genco_Detail",#N/A,FALSE,"Summary Financials";"Servco_Detail",#N/A,FALSE,"Summary Financials"}</definedName>
    <definedName name="________wrn7" localSheetId="75" hidden="1">{"Model Summary",#N/A,FALSE,"Print Chart";"Holdco",#N/A,FALSE,"Print Chart";"Genco",#N/A,FALSE,"Print Chart";"Servco",#N/A,FALSE,"Print Chart";"Genco_Detail",#N/A,FALSE,"Summary Financials";"Servco_Detail",#N/A,FALSE,"Summary Financials"}</definedName>
    <definedName name="________wrn7" localSheetId="76" hidden="1">{"Model Summary",#N/A,FALSE,"Print Chart";"Holdco",#N/A,FALSE,"Print Chart";"Genco",#N/A,FALSE,"Print Chart";"Servco",#N/A,FALSE,"Print Chart";"Genco_Detail",#N/A,FALSE,"Summary Financials";"Servco_Detail",#N/A,FALSE,"Summary Financials"}</definedName>
    <definedName name="________wrn7" localSheetId="12" hidden="1">{"Model Summary",#N/A,FALSE,"Print Chart";"Holdco",#N/A,FALSE,"Print Chart";"Genco",#N/A,FALSE,"Print Chart";"Servco",#N/A,FALSE,"Print Chart";"Genco_Detail",#N/A,FALSE,"Summary Financials";"Servco_Detail",#N/A,FALSE,"Summary Financials"}</definedName>
    <definedName name="________wrn7" localSheetId="4"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5" hidden="1">{"holdco",#N/A,FALSE,"Summary Financials";"holdco",#N/A,FALSE,"Summary Financials"}</definedName>
    <definedName name="________wrn8" localSheetId="6" hidden="1">{"holdco",#N/A,FALSE,"Summary Financials";"holdco",#N/A,FALSE,"Summary Financials"}</definedName>
    <definedName name="________wrn8" localSheetId="10" hidden="1">{"holdco",#N/A,FALSE,"Summary Financials";"holdco",#N/A,FALSE,"Summary Financials"}</definedName>
    <definedName name="________wrn8" localSheetId="11" hidden="1">{"holdco",#N/A,FALSE,"Summary Financials";"holdco",#N/A,FALSE,"Summary Financials"}</definedName>
    <definedName name="________wrn8" localSheetId="14" hidden="1">{"holdco",#N/A,FALSE,"Summary Financials";"holdco",#N/A,FALSE,"Summary Financials"}</definedName>
    <definedName name="________wrn8" localSheetId="18" hidden="1">{"holdco",#N/A,FALSE,"Summary Financials";"holdco",#N/A,FALSE,"Summary Financials"}</definedName>
    <definedName name="________wrn8" localSheetId="26" hidden="1">{"holdco",#N/A,FALSE,"Summary Financials";"holdco",#N/A,FALSE,"Summary Financials"}</definedName>
    <definedName name="________wrn8" localSheetId="31" hidden="1">{"holdco",#N/A,FALSE,"Summary Financials";"holdco",#N/A,FALSE,"Summary Financials"}</definedName>
    <definedName name="________wrn8" localSheetId="38" hidden="1">{"holdco",#N/A,FALSE,"Summary Financials";"holdco",#N/A,FALSE,"Summary Financials"}</definedName>
    <definedName name="________wrn8" localSheetId="46" hidden="1">{"holdco",#N/A,FALSE,"Summary Financials";"holdco",#N/A,FALSE,"Summary Financials"}</definedName>
    <definedName name="________wrn8" localSheetId="75" hidden="1">{"holdco",#N/A,FALSE,"Summary Financials";"holdco",#N/A,FALSE,"Summary Financials"}</definedName>
    <definedName name="________wrn8" localSheetId="76" hidden="1">{"holdco",#N/A,FALSE,"Summary Financials";"holdco",#N/A,FALSE,"Summary Financials"}</definedName>
    <definedName name="________wrn8" localSheetId="12" hidden="1">{"holdco",#N/A,FALSE,"Summary Financials";"holdco",#N/A,FALSE,"Summary Financials"}</definedName>
    <definedName name="________wrn8" localSheetId="4" hidden="1">{"holdco",#N/A,FALSE,"Summary Financials";"holdco",#N/A,FALSE,"Summary Financials"}</definedName>
    <definedName name="________wrn8" hidden="1">{"holdco",#N/A,FALSE,"Summary Financials";"holdco",#N/A,FALSE,"Summary Financials"}</definedName>
    <definedName name="_______bb2" localSheetId="5" hidden="1">{#N/A,#N/A,FALSE,"PRJCTED MNTHLY QTY's"}</definedName>
    <definedName name="_______bb2" localSheetId="6" hidden="1">{#N/A,#N/A,FALSE,"PRJCTED MNTHLY QTY's"}</definedName>
    <definedName name="_______bb2" localSheetId="10" hidden="1">{#N/A,#N/A,FALSE,"PRJCTED MNTHLY QTY's"}</definedName>
    <definedName name="_______bb2" localSheetId="11" hidden="1">{#N/A,#N/A,FALSE,"PRJCTED MNTHLY QTY's"}</definedName>
    <definedName name="_______bb2" localSheetId="14" hidden="1">{#N/A,#N/A,FALSE,"PRJCTED MNTHLY QTY's"}</definedName>
    <definedName name="_______bb2" localSheetId="18" hidden="1">{#N/A,#N/A,FALSE,"PRJCTED MNTHLY QTY's"}</definedName>
    <definedName name="_______bb2" localSheetId="26" hidden="1">{#N/A,#N/A,FALSE,"PRJCTED MNTHLY QTY's"}</definedName>
    <definedName name="_______bb2" localSheetId="31" hidden="1">{#N/A,#N/A,FALSE,"PRJCTED MNTHLY QTY's"}</definedName>
    <definedName name="_______bb2" localSheetId="38" hidden="1">{#N/A,#N/A,FALSE,"PRJCTED MNTHLY QTY's"}</definedName>
    <definedName name="_______bb2" localSheetId="46" hidden="1">{#N/A,#N/A,FALSE,"PRJCTED MNTHLY QTY's"}</definedName>
    <definedName name="_______bb2" localSheetId="75" hidden="1">{#N/A,#N/A,FALSE,"PRJCTED MNTHLY QTY's"}</definedName>
    <definedName name="_______bb2" localSheetId="76" hidden="1">{#N/A,#N/A,FALSE,"PRJCTED MNTHLY QTY's"}</definedName>
    <definedName name="_______bb2" localSheetId="12" hidden="1">{#N/A,#N/A,FALSE,"PRJCTED MNTHLY QTY's"}</definedName>
    <definedName name="_______bb2" localSheetId="4" hidden="1">{#N/A,#N/A,FALSE,"PRJCTED MNTHLY QTY's"}</definedName>
    <definedName name="_______bb2" hidden="1">{#N/A,#N/A,FALSE,"PRJCTED MNTHLY QTY's"}</definedName>
    <definedName name="_______Lee5" localSheetId="5" hidden="1">{#VALUE!,#N/A,FALSE,0}</definedName>
    <definedName name="_______Lee5" localSheetId="6" hidden="1">{#VALUE!,#N/A,FALSE,0}</definedName>
    <definedName name="_______Lee5" localSheetId="10" hidden="1">{#VALUE!,#N/A,FALSE,0}</definedName>
    <definedName name="_______Lee5" localSheetId="11" hidden="1">{#VALUE!,#N/A,FALSE,0}</definedName>
    <definedName name="_______Lee5" localSheetId="14" hidden="1">{#VALUE!,#N/A,FALSE,0}</definedName>
    <definedName name="_______Lee5" localSheetId="18" hidden="1">{#VALUE!,#N/A,FALSE,0}</definedName>
    <definedName name="_______Lee5" localSheetId="26" hidden="1">{#VALUE!,#N/A,FALSE,0}</definedName>
    <definedName name="_______Lee5" localSheetId="31" hidden="1">{#VALUE!,#N/A,FALSE,0}</definedName>
    <definedName name="_______Lee5" localSheetId="38" hidden="1">{#VALUE!,#N/A,FALSE,0}</definedName>
    <definedName name="_______Lee5" localSheetId="46" hidden="1">{#VALUE!,#N/A,FALSE,0}</definedName>
    <definedName name="_______Lee5" localSheetId="75" hidden="1">{#VALUE!,#N/A,FALSE,0}</definedName>
    <definedName name="_______Lee5" localSheetId="76" hidden="1">{#VALUE!,#N/A,FALSE,0}</definedName>
    <definedName name="_______Lee5" localSheetId="12" hidden="1">{#VALUE!,#N/A,FALSE,0}</definedName>
    <definedName name="_______Lee5" localSheetId="4" hidden="1">{#VALUE!,#N/A,FALSE,0}</definedName>
    <definedName name="_______Lee5" hidden="1">{#VALUE!,#N/A,FALSE,0}</definedName>
    <definedName name="______hom1" localSheetId="5" hidden="1">{#N/A,#N/A,FALSE,"Assessment";#N/A,#N/A,FALSE,"Staffing";#N/A,#N/A,FALSE,"Hires";#N/A,#N/A,FALSE,"Assumptions"}</definedName>
    <definedName name="______hom1" localSheetId="6" hidden="1">{#N/A,#N/A,FALSE,"Assessment";#N/A,#N/A,FALSE,"Staffing";#N/A,#N/A,FALSE,"Hires";#N/A,#N/A,FALSE,"Assumptions"}</definedName>
    <definedName name="______hom1" localSheetId="10" hidden="1">{#N/A,#N/A,FALSE,"Assessment";#N/A,#N/A,FALSE,"Staffing";#N/A,#N/A,FALSE,"Hires";#N/A,#N/A,FALSE,"Assumptions"}</definedName>
    <definedName name="______hom1" localSheetId="11" hidden="1">{#N/A,#N/A,FALSE,"Assessment";#N/A,#N/A,FALSE,"Staffing";#N/A,#N/A,FALSE,"Hires";#N/A,#N/A,FALSE,"Assumptions"}</definedName>
    <definedName name="______hom1" localSheetId="14" hidden="1">{#N/A,#N/A,FALSE,"Assessment";#N/A,#N/A,FALSE,"Staffing";#N/A,#N/A,FALSE,"Hires";#N/A,#N/A,FALSE,"Assumptions"}</definedName>
    <definedName name="______hom1" localSheetId="18" hidden="1">{#N/A,#N/A,FALSE,"Assessment";#N/A,#N/A,FALSE,"Staffing";#N/A,#N/A,FALSE,"Hires";#N/A,#N/A,FALSE,"Assumptions"}</definedName>
    <definedName name="______hom1" localSheetId="26" hidden="1">{#N/A,#N/A,FALSE,"Assessment";#N/A,#N/A,FALSE,"Staffing";#N/A,#N/A,FALSE,"Hires";#N/A,#N/A,FALSE,"Assumptions"}</definedName>
    <definedName name="______hom1" localSheetId="31" hidden="1">{#N/A,#N/A,FALSE,"Assessment";#N/A,#N/A,FALSE,"Staffing";#N/A,#N/A,FALSE,"Hires";#N/A,#N/A,FALSE,"Assumptions"}</definedName>
    <definedName name="______hom1" localSheetId="38" hidden="1">{#N/A,#N/A,FALSE,"Assessment";#N/A,#N/A,FALSE,"Staffing";#N/A,#N/A,FALSE,"Hires";#N/A,#N/A,FALSE,"Assumptions"}</definedName>
    <definedName name="______hom1" localSheetId="46" hidden="1">{#N/A,#N/A,FALSE,"Assessment";#N/A,#N/A,FALSE,"Staffing";#N/A,#N/A,FALSE,"Hires";#N/A,#N/A,FALSE,"Assumptions"}</definedName>
    <definedName name="______hom1" localSheetId="75" hidden="1">{#N/A,#N/A,FALSE,"Assessment";#N/A,#N/A,FALSE,"Staffing";#N/A,#N/A,FALSE,"Hires";#N/A,#N/A,FALSE,"Assumptions"}</definedName>
    <definedName name="______hom1" localSheetId="76" hidden="1">{#N/A,#N/A,FALSE,"Assessment";#N/A,#N/A,FALSE,"Staffing";#N/A,#N/A,FALSE,"Hires";#N/A,#N/A,FALSE,"Assumptions"}</definedName>
    <definedName name="______hom1" localSheetId="12" hidden="1">{#N/A,#N/A,FALSE,"Assessment";#N/A,#N/A,FALSE,"Staffing";#N/A,#N/A,FALSE,"Hires";#N/A,#N/A,FALSE,"Assumptions"}</definedName>
    <definedName name="______hom1" localSheetId="4" hidden="1">{#N/A,#N/A,FALSE,"Assessment";#N/A,#N/A,FALSE,"Staffing";#N/A,#N/A,FALSE,"Hires";#N/A,#N/A,FALSE,"Assumptions"}</definedName>
    <definedName name="______hom1" hidden="1">{#N/A,#N/A,FALSE,"Assessment";#N/A,#N/A,FALSE,"Staffing";#N/A,#N/A,FALSE,"Hires";#N/A,#N/A,FALSE,"Assumptions"}</definedName>
    <definedName name="______k1" localSheetId="5" hidden="1">{#N/A,#N/A,FALSE,"Assessment";#N/A,#N/A,FALSE,"Staffing";#N/A,#N/A,FALSE,"Hires";#N/A,#N/A,FALSE,"Assumptions"}</definedName>
    <definedName name="______k1" localSheetId="6" hidden="1">{#N/A,#N/A,FALSE,"Assessment";#N/A,#N/A,FALSE,"Staffing";#N/A,#N/A,FALSE,"Hires";#N/A,#N/A,FALSE,"Assumptions"}</definedName>
    <definedName name="______k1" localSheetId="10" hidden="1">{#N/A,#N/A,FALSE,"Assessment";#N/A,#N/A,FALSE,"Staffing";#N/A,#N/A,FALSE,"Hires";#N/A,#N/A,FALSE,"Assumptions"}</definedName>
    <definedName name="______k1" localSheetId="11" hidden="1">{#N/A,#N/A,FALSE,"Assessment";#N/A,#N/A,FALSE,"Staffing";#N/A,#N/A,FALSE,"Hires";#N/A,#N/A,FALSE,"Assumptions"}</definedName>
    <definedName name="______k1" localSheetId="14" hidden="1">{#N/A,#N/A,FALSE,"Assessment";#N/A,#N/A,FALSE,"Staffing";#N/A,#N/A,FALSE,"Hires";#N/A,#N/A,FALSE,"Assumptions"}</definedName>
    <definedName name="______k1" localSheetId="18" hidden="1">{#N/A,#N/A,FALSE,"Assessment";#N/A,#N/A,FALSE,"Staffing";#N/A,#N/A,FALSE,"Hires";#N/A,#N/A,FALSE,"Assumptions"}</definedName>
    <definedName name="______k1" localSheetId="26" hidden="1">{#N/A,#N/A,FALSE,"Assessment";#N/A,#N/A,FALSE,"Staffing";#N/A,#N/A,FALSE,"Hires";#N/A,#N/A,FALSE,"Assumptions"}</definedName>
    <definedName name="______k1" localSheetId="31" hidden="1">{#N/A,#N/A,FALSE,"Assessment";#N/A,#N/A,FALSE,"Staffing";#N/A,#N/A,FALSE,"Hires";#N/A,#N/A,FALSE,"Assumptions"}</definedName>
    <definedName name="______k1" localSheetId="38" hidden="1">{#N/A,#N/A,FALSE,"Assessment";#N/A,#N/A,FALSE,"Staffing";#N/A,#N/A,FALSE,"Hires";#N/A,#N/A,FALSE,"Assumptions"}</definedName>
    <definedName name="______k1" localSheetId="46" hidden="1">{#N/A,#N/A,FALSE,"Assessment";#N/A,#N/A,FALSE,"Staffing";#N/A,#N/A,FALSE,"Hires";#N/A,#N/A,FALSE,"Assumptions"}</definedName>
    <definedName name="______k1" localSheetId="75" hidden="1">{#N/A,#N/A,FALSE,"Assessment";#N/A,#N/A,FALSE,"Staffing";#N/A,#N/A,FALSE,"Hires";#N/A,#N/A,FALSE,"Assumptions"}</definedName>
    <definedName name="______k1" localSheetId="76" hidden="1">{#N/A,#N/A,FALSE,"Assessment";#N/A,#N/A,FALSE,"Staffing";#N/A,#N/A,FALSE,"Hires";#N/A,#N/A,FALSE,"Assumptions"}</definedName>
    <definedName name="______k1" localSheetId="12" hidden="1">{#N/A,#N/A,FALSE,"Assessment";#N/A,#N/A,FALSE,"Staffing";#N/A,#N/A,FALSE,"Hires";#N/A,#N/A,FALSE,"Assumptions"}</definedName>
    <definedName name="______k1" localSheetId="4" hidden="1">{#N/A,#N/A,FALSE,"Assessment";#N/A,#N/A,FALSE,"Staffing";#N/A,#N/A,FALSE,"Hires";#N/A,#N/A,FALSE,"Assumptions"}</definedName>
    <definedName name="______k1" hidden="1">{#N/A,#N/A,FALSE,"Assessment";#N/A,#N/A,FALSE,"Staffing";#N/A,#N/A,FALSE,"Hires";#N/A,#N/A,FALSE,"Assumptions"}</definedName>
    <definedName name="______kk1" localSheetId="5" hidden="1">{#N/A,#N/A,FALSE,"Assessment";#N/A,#N/A,FALSE,"Staffing";#N/A,#N/A,FALSE,"Hires";#N/A,#N/A,FALSE,"Assumptions"}</definedName>
    <definedName name="______kk1" localSheetId="6" hidden="1">{#N/A,#N/A,FALSE,"Assessment";#N/A,#N/A,FALSE,"Staffing";#N/A,#N/A,FALSE,"Hires";#N/A,#N/A,FALSE,"Assumptions"}</definedName>
    <definedName name="______kk1" localSheetId="10" hidden="1">{#N/A,#N/A,FALSE,"Assessment";#N/A,#N/A,FALSE,"Staffing";#N/A,#N/A,FALSE,"Hires";#N/A,#N/A,FALSE,"Assumptions"}</definedName>
    <definedName name="______kk1" localSheetId="11" hidden="1">{#N/A,#N/A,FALSE,"Assessment";#N/A,#N/A,FALSE,"Staffing";#N/A,#N/A,FALSE,"Hires";#N/A,#N/A,FALSE,"Assumptions"}</definedName>
    <definedName name="______kk1" localSheetId="14" hidden="1">{#N/A,#N/A,FALSE,"Assessment";#N/A,#N/A,FALSE,"Staffing";#N/A,#N/A,FALSE,"Hires";#N/A,#N/A,FALSE,"Assumptions"}</definedName>
    <definedName name="______kk1" localSheetId="18" hidden="1">{#N/A,#N/A,FALSE,"Assessment";#N/A,#N/A,FALSE,"Staffing";#N/A,#N/A,FALSE,"Hires";#N/A,#N/A,FALSE,"Assumptions"}</definedName>
    <definedName name="______kk1" localSheetId="26" hidden="1">{#N/A,#N/A,FALSE,"Assessment";#N/A,#N/A,FALSE,"Staffing";#N/A,#N/A,FALSE,"Hires";#N/A,#N/A,FALSE,"Assumptions"}</definedName>
    <definedName name="______kk1" localSheetId="31" hidden="1">{#N/A,#N/A,FALSE,"Assessment";#N/A,#N/A,FALSE,"Staffing";#N/A,#N/A,FALSE,"Hires";#N/A,#N/A,FALSE,"Assumptions"}</definedName>
    <definedName name="______kk1" localSheetId="38" hidden="1">{#N/A,#N/A,FALSE,"Assessment";#N/A,#N/A,FALSE,"Staffing";#N/A,#N/A,FALSE,"Hires";#N/A,#N/A,FALSE,"Assumptions"}</definedName>
    <definedName name="______kk1" localSheetId="46" hidden="1">{#N/A,#N/A,FALSE,"Assessment";#N/A,#N/A,FALSE,"Staffing";#N/A,#N/A,FALSE,"Hires";#N/A,#N/A,FALSE,"Assumptions"}</definedName>
    <definedName name="______kk1" localSheetId="75" hidden="1">{#N/A,#N/A,FALSE,"Assessment";#N/A,#N/A,FALSE,"Staffing";#N/A,#N/A,FALSE,"Hires";#N/A,#N/A,FALSE,"Assumptions"}</definedName>
    <definedName name="______kk1" localSheetId="76" hidden="1">{#N/A,#N/A,FALSE,"Assessment";#N/A,#N/A,FALSE,"Staffing";#N/A,#N/A,FALSE,"Hires";#N/A,#N/A,FALSE,"Assumptions"}</definedName>
    <definedName name="______kk1" localSheetId="12" hidden="1">{#N/A,#N/A,FALSE,"Assessment";#N/A,#N/A,FALSE,"Staffing";#N/A,#N/A,FALSE,"Hires";#N/A,#N/A,FALSE,"Assumptions"}</definedName>
    <definedName name="______kk1" localSheetId="4" hidden="1">{#N/A,#N/A,FALSE,"Assessment";#N/A,#N/A,FALSE,"Staffing";#N/A,#N/A,FALSE,"Hires";#N/A,#N/A,FALSE,"Assumptions"}</definedName>
    <definedName name="______kk1" hidden="1">{#N/A,#N/A,FALSE,"Assessment";#N/A,#N/A,FALSE,"Staffing";#N/A,#N/A,FALSE,"Hires";#N/A,#N/A,FALSE,"Assumptions"}</definedName>
    <definedName name="______KKK1" localSheetId="5" hidden="1">{#N/A,#N/A,FALSE,"Assessment";#N/A,#N/A,FALSE,"Staffing";#N/A,#N/A,FALSE,"Hires";#N/A,#N/A,FALSE,"Assumptions"}</definedName>
    <definedName name="______KKK1" localSheetId="6" hidden="1">{#N/A,#N/A,FALSE,"Assessment";#N/A,#N/A,FALSE,"Staffing";#N/A,#N/A,FALSE,"Hires";#N/A,#N/A,FALSE,"Assumptions"}</definedName>
    <definedName name="______KKK1" localSheetId="10" hidden="1">{#N/A,#N/A,FALSE,"Assessment";#N/A,#N/A,FALSE,"Staffing";#N/A,#N/A,FALSE,"Hires";#N/A,#N/A,FALSE,"Assumptions"}</definedName>
    <definedName name="______KKK1" localSheetId="11" hidden="1">{#N/A,#N/A,FALSE,"Assessment";#N/A,#N/A,FALSE,"Staffing";#N/A,#N/A,FALSE,"Hires";#N/A,#N/A,FALSE,"Assumptions"}</definedName>
    <definedName name="______KKK1" localSheetId="14" hidden="1">{#N/A,#N/A,FALSE,"Assessment";#N/A,#N/A,FALSE,"Staffing";#N/A,#N/A,FALSE,"Hires";#N/A,#N/A,FALSE,"Assumptions"}</definedName>
    <definedName name="______KKK1" localSheetId="18" hidden="1">{#N/A,#N/A,FALSE,"Assessment";#N/A,#N/A,FALSE,"Staffing";#N/A,#N/A,FALSE,"Hires";#N/A,#N/A,FALSE,"Assumptions"}</definedName>
    <definedName name="______KKK1" localSheetId="26" hidden="1">{#N/A,#N/A,FALSE,"Assessment";#N/A,#N/A,FALSE,"Staffing";#N/A,#N/A,FALSE,"Hires";#N/A,#N/A,FALSE,"Assumptions"}</definedName>
    <definedName name="______KKK1" localSheetId="31" hidden="1">{#N/A,#N/A,FALSE,"Assessment";#N/A,#N/A,FALSE,"Staffing";#N/A,#N/A,FALSE,"Hires";#N/A,#N/A,FALSE,"Assumptions"}</definedName>
    <definedName name="______KKK1" localSheetId="38" hidden="1">{#N/A,#N/A,FALSE,"Assessment";#N/A,#N/A,FALSE,"Staffing";#N/A,#N/A,FALSE,"Hires";#N/A,#N/A,FALSE,"Assumptions"}</definedName>
    <definedName name="______KKK1" localSheetId="46" hidden="1">{#N/A,#N/A,FALSE,"Assessment";#N/A,#N/A,FALSE,"Staffing";#N/A,#N/A,FALSE,"Hires";#N/A,#N/A,FALSE,"Assumptions"}</definedName>
    <definedName name="______KKK1" localSheetId="75" hidden="1">{#N/A,#N/A,FALSE,"Assessment";#N/A,#N/A,FALSE,"Staffing";#N/A,#N/A,FALSE,"Hires";#N/A,#N/A,FALSE,"Assumptions"}</definedName>
    <definedName name="______KKK1" localSheetId="76" hidden="1">{#N/A,#N/A,FALSE,"Assessment";#N/A,#N/A,FALSE,"Staffing";#N/A,#N/A,FALSE,"Hires";#N/A,#N/A,FALSE,"Assumptions"}</definedName>
    <definedName name="______KKK1" localSheetId="12" hidden="1">{#N/A,#N/A,FALSE,"Assessment";#N/A,#N/A,FALSE,"Staffing";#N/A,#N/A,FALSE,"Hires";#N/A,#N/A,FALSE,"Assumptions"}</definedName>
    <definedName name="______KKK1" localSheetId="4" hidden="1">{#N/A,#N/A,FALSE,"Assessment";#N/A,#N/A,FALSE,"Staffing";#N/A,#N/A,FALSE,"Hires";#N/A,#N/A,FALSE,"Assumptions"}</definedName>
    <definedName name="______KKK1" hidden="1">{#N/A,#N/A,FALSE,"Assessment";#N/A,#N/A,FALSE,"Staffing";#N/A,#N/A,FALSE,"Hires";#N/A,#N/A,FALSE,"Assumptions"}</definedName>
    <definedName name="______w2" localSheetId="5" hidden="1">{"Model Summary",#N/A,FALSE,"Print Chart";"Holdco",#N/A,FALSE,"Print Chart";"Genco",#N/A,FALSE,"Print Chart";"Servco",#N/A,FALSE,"Print Chart";"Genco_Detail",#N/A,FALSE,"Summary Financials";"Servco_Detail",#N/A,FALSE,"Summary Financials"}</definedName>
    <definedName name="______w2" localSheetId="6" hidden="1">{"Model Summary",#N/A,FALSE,"Print Chart";"Holdco",#N/A,FALSE,"Print Chart";"Genco",#N/A,FALSE,"Print Chart";"Servco",#N/A,FALSE,"Print Chart";"Genco_Detail",#N/A,FALSE,"Summary Financials";"Servco_Detail",#N/A,FALSE,"Summary Financials"}</definedName>
    <definedName name="______w2" localSheetId="10" hidden="1">{"Model Summary",#N/A,FALSE,"Print Chart";"Holdco",#N/A,FALSE,"Print Chart";"Genco",#N/A,FALSE,"Print Chart";"Servco",#N/A,FALSE,"Print Chart";"Genco_Detail",#N/A,FALSE,"Summary Financials";"Servco_Detail",#N/A,FALSE,"Summary Financials"}</definedName>
    <definedName name="______w2" localSheetId="11" hidden="1">{"Model Summary",#N/A,FALSE,"Print Chart";"Holdco",#N/A,FALSE,"Print Chart";"Genco",#N/A,FALSE,"Print Chart";"Servco",#N/A,FALSE,"Print Chart";"Genco_Detail",#N/A,FALSE,"Summary Financials";"Servco_Detail",#N/A,FALSE,"Summary Financials"}</definedName>
    <definedName name="______w2" localSheetId="14" hidden="1">{"Model Summary",#N/A,FALSE,"Print Chart";"Holdco",#N/A,FALSE,"Print Chart";"Genco",#N/A,FALSE,"Print Chart";"Servco",#N/A,FALSE,"Print Chart";"Genco_Detail",#N/A,FALSE,"Summary Financials";"Servco_Detail",#N/A,FALSE,"Summary Financials"}</definedName>
    <definedName name="______w2" localSheetId="18" hidden="1">{"Model Summary",#N/A,FALSE,"Print Chart";"Holdco",#N/A,FALSE,"Print Chart";"Genco",#N/A,FALSE,"Print Chart";"Servco",#N/A,FALSE,"Print Chart";"Genco_Detail",#N/A,FALSE,"Summary Financials";"Servco_Detail",#N/A,FALSE,"Summary Financials"}</definedName>
    <definedName name="______w2" localSheetId="26" hidden="1">{"Model Summary",#N/A,FALSE,"Print Chart";"Holdco",#N/A,FALSE,"Print Chart";"Genco",#N/A,FALSE,"Print Chart";"Servco",#N/A,FALSE,"Print Chart";"Genco_Detail",#N/A,FALSE,"Summary Financials";"Servco_Detail",#N/A,FALSE,"Summary Financials"}</definedName>
    <definedName name="______w2" localSheetId="31" hidden="1">{"Model Summary",#N/A,FALSE,"Print Chart";"Holdco",#N/A,FALSE,"Print Chart";"Genco",#N/A,FALSE,"Print Chart";"Servco",#N/A,FALSE,"Print Chart";"Genco_Detail",#N/A,FALSE,"Summary Financials";"Servco_Detail",#N/A,FALSE,"Summary Financials"}</definedName>
    <definedName name="______w2" localSheetId="38" hidden="1">{"Model Summary",#N/A,FALSE,"Print Chart";"Holdco",#N/A,FALSE,"Print Chart";"Genco",#N/A,FALSE,"Print Chart";"Servco",#N/A,FALSE,"Print Chart";"Genco_Detail",#N/A,FALSE,"Summary Financials";"Servco_Detail",#N/A,FALSE,"Summary Financials"}</definedName>
    <definedName name="______w2" localSheetId="46" hidden="1">{"Model Summary",#N/A,FALSE,"Print Chart";"Holdco",#N/A,FALSE,"Print Chart";"Genco",#N/A,FALSE,"Print Chart";"Servco",#N/A,FALSE,"Print Chart";"Genco_Detail",#N/A,FALSE,"Summary Financials";"Servco_Detail",#N/A,FALSE,"Summary Financials"}</definedName>
    <definedName name="______w2" localSheetId="75" hidden="1">{"Model Summary",#N/A,FALSE,"Print Chart";"Holdco",#N/A,FALSE,"Print Chart";"Genco",#N/A,FALSE,"Print Chart";"Servco",#N/A,FALSE,"Print Chart";"Genco_Detail",#N/A,FALSE,"Summary Financials";"Servco_Detail",#N/A,FALSE,"Summary Financials"}</definedName>
    <definedName name="______w2" localSheetId="76" hidden="1">{"Model Summary",#N/A,FALSE,"Print Chart";"Holdco",#N/A,FALSE,"Print Chart";"Genco",#N/A,FALSE,"Print Chart";"Servco",#N/A,FALSE,"Print Chart";"Genco_Detail",#N/A,FALSE,"Summary Financials";"Servco_Detail",#N/A,FALSE,"Summary Financials"}</definedName>
    <definedName name="______w2" localSheetId="12" hidden="1">{"Model Summary",#N/A,FALSE,"Print Chart";"Holdco",#N/A,FALSE,"Print Chart";"Genco",#N/A,FALSE,"Print Chart";"Servco",#N/A,FALSE,"Print Chart";"Genco_Detail",#N/A,FALSE,"Summary Financials";"Servco_Detail",#N/A,FALSE,"Summary Financials"}</definedName>
    <definedName name="______w2" localSheetId="4"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localSheetId="6" hidden="1">{"Model Summary",#N/A,FALSE,"Print Chart";"Holdco",#N/A,FALSE,"Print Chart";"Genco",#N/A,FALSE,"Print Chart";"Servco",#N/A,FALSE,"Print Chart";"Genco_Detail",#N/A,FALSE,"Summary Financials";"Servco_Detail",#N/A,FALSE,"Summary Financials"}</definedName>
    <definedName name="______wr6" localSheetId="10" hidden="1">{"Model Summary",#N/A,FALSE,"Print Chart";"Holdco",#N/A,FALSE,"Print Chart";"Genco",#N/A,FALSE,"Print Chart";"Servco",#N/A,FALSE,"Print Chart";"Genco_Detail",#N/A,FALSE,"Summary Financials";"Servco_Detail",#N/A,FALSE,"Summary Financials"}</definedName>
    <definedName name="______wr6" localSheetId="11" hidden="1">{"Model Summary",#N/A,FALSE,"Print Chart";"Holdco",#N/A,FALSE,"Print Chart";"Genco",#N/A,FALSE,"Print Chart";"Servco",#N/A,FALSE,"Print Chart";"Genco_Detail",#N/A,FALSE,"Summary Financials";"Servco_Detail",#N/A,FALSE,"Summary Financials"}</definedName>
    <definedName name="______wr6" localSheetId="14" hidden="1">{"Model Summary",#N/A,FALSE,"Print Chart";"Holdco",#N/A,FALSE,"Print Chart";"Genco",#N/A,FALSE,"Print Chart";"Servco",#N/A,FALSE,"Print Chart";"Genco_Detail",#N/A,FALSE,"Summary Financials";"Servco_Detail",#N/A,FALSE,"Summary Financials"}</definedName>
    <definedName name="______wr6" localSheetId="18" hidden="1">{"Model Summary",#N/A,FALSE,"Print Chart";"Holdco",#N/A,FALSE,"Print Chart";"Genco",#N/A,FALSE,"Print Chart";"Servco",#N/A,FALSE,"Print Chart";"Genco_Detail",#N/A,FALSE,"Summary Financials";"Servco_Detail",#N/A,FALSE,"Summary Financials"}</definedName>
    <definedName name="______wr6" localSheetId="26" hidden="1">{"Model Summary",#N/A,FALSE,"Print Chart";"Holdco",#N/A,FALSE,"Print Chart";"Genco",#N/A,FALSE,"Print Chart";"Servco",#N/A,FALSE,"Print Chart";"Genco_Detail",#N/A,FALSE,"Summary Financials";"Servco_Detail",#N/A,FALSE,"Summary Financials"}</definedName>
    <definedName name="______wr6" localSheetId="31" hidden="1">{"Model Summary",#N/A,FALSE,"Print Chart";"Holdco",#N/A,FALSE,"Print Chart";"Genco",#N/A,FALSE,"Print Chart";"Servco",#N/A,FALSE,"Print Chart";"Genco_Detail",#N/A,FALSE,"Summary Financials";"Servco_Detail",#N/A,FALSE,"Summary Financials"}</definedName>
    <definedName name="______wr6" localSheetId="38" hidden="1">{"Model Summary",#N/A,FALSE,"Print Chart";"Holdco",#N/A,FALSE,"Print Chart";"Genco",#N/A,FALSE,"Print Chart";"Servco",#N/A,FALSE,"Print Chart";"Genco_Detail",#N/A,FALSE,"Summary Financials";"Servco_Detail",#N/A,FALSE,"Summary Financials"}</definedName>
    <definedName name="______wr6" localSheetId="46" hidden="1">{"Model Summary",#N/A,FALSE,"Print Chart";"Holdco",#N/A,FALSE,"Print Chart";"Genco",#N/A,FALSE,"Print Chart";"Servco",#N/A,FALSE,"Print Chart";"Genco_Detail",#N/A,FALSE,"Summary Financials";"Servco_Detail",#N/A,FALSE,"Summary Financials"}</definedName>
    <definedName name="______wr6" localSheetId="75" hidden="1">{"Model Summary",#N/A,FALSE,"Print Chart";"Holdco",#N/A,FALSE,"Print Chart";"Genco",#N/A,FALSE,"Print Chart";"Servco",#N/A,FALSE,"Print Chart";"Genco_Detail",#N/A,FALSE,"Summary Financials";"Servco_Detail",#N/A,FALSE,"Summary Financials"}</definedName>
    <definedName name="______wr6" localSheetId="76" hidden="1">{"Model Summary",#N/A,FALSE,"Print Chart";"Holdco",#N/A,FALSE,"Print Chart";"Genco",#N/A,FALSE,"Print Chart";"Servco",#N/A,FALSE,"Print Chart";"Genco_Detail",#N/A,FALSE,"Summary Financials";"Servco_Detail",#N/A,FALSE,"Summary Financials"}</definedName>
    <definedName name="______wr6" localSheetId="12" hidden="1">{"Model Summary",#N/A,FALSE,"Print Chart";"Holdco",#N/A,FALSE,"Print Chart";"Genco",#N/A,FALSE,"Print Chart";"Servco",#N/A,FALSE,"Print Chart";"Genco_Detail",#N/A,FALSE,"Summary Financials";"Servco_Detail",#N/A,FALSE,"Summary Financials"}</definedName>
    <definedName name="______wr6" localSheetId="4"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5" hidden="1">{"holdco",#N/A,FALSE,"Summary Financials";"holdco",#N/A,FALSE,"Summary Financials"}</definedName>
    <definedName name="______wr9" localSheetId="6" hidden="1">{"holdco",#N/A,FALSE,"Summary Financials";"holdco",#N/A,FALSE,"Summary Financials"}</definedName>
    <definedName name="______wr9" localSheetId="10" hidden="1">{"holdco",#N/A,FALSE,"Summary Financials";"holdco",#N/A,FALSE,"Summary Financials"}</definedName>
    <definedName name="______wr9" localSheetId="11" hidden="1">{"holdco",#N/A,FALSE,"Summary Financials";"holdco",#N/A,FALSE,"Summary Financials"}</definedName>
    <definedName name="______wr9" localSheetId="14" hidden="1">{"holdco",#N/A,FALSE,"Summary Financials";"holdco",#N/A,FALSE,"Summary Financials"}</definedName>
    <definedName name="______wr9" localSheetId="18" hidden="1">{"holdco",#N/A,FALSE,"Summary Financials";"holdco",#N/A,FALSE,"Summary Financials"}</definedName>
    <definedName name="______wr9" localSheetId="26" hidden="1">{"holdco",#N/A,FALSE,"Summary Financials";"holdco",#N/A,FALSE,"Summary Financials"}</definedName>
    <definedName name="______wr9" localSheetId="31" hidden="1">{"holdco",#N/A,FALSE,"Summary Financials";"holdco",#N/A,FALSE,"Summary Financials"}</definedName>
    <definedName name="______wr9" localSheetId="38" hidden="1">{"holdco",#N/A,FALSE,"Summary Financials";"holdco",#N/A,FALSE,"Summary Financials"}</definedName>
    <definedName name="______wr9" localSheetId="46" hidden="1">{"holdco",#N/A,FALSE,"Summary Financials";"holdco",#N/A,FALSE,"Summary Financials"}</definedName>
    <definedName name="______wr9" localSheetId="75" hidden="1">{"holdco",#N/A,FALSE,"Summary Financials";"holdco",#N/A,FALSE,"Summary Financials"}</definedName>
    <definedName name="______wr9" localSheetId="76" hidden="1">{"holdco",#N/A,FALSE,"Summary Financials";"holdco",#N/A,FALSE,"Summary Financials"}</definedName>
    <definedName name="______wr9" localSheetId="12" hidden="1">{"holdco",#N/A,FALSE,"Summary Financials";"holdco",#N/A,FALSE,"Summary Financials"}</definedName>
    <definedName name="______wr9" localSheetId="4" hidden="1">{"holdco",#N/A,FALSE,"Summary Financials";"holdco",#N/A,FALSE,"Summary Financials"}</definedName>
    <definedName name="______wr9" hidden="1">{"holdco",#N/A,FALSE,"Summary Financials";"holdco",#N/A,FALSE,"Summary Financials"}</definedName>
    <definedName name="______wrn1" localSheetId="5" hidden="1">{"holdco",#N/A,FALSE,"Summary Financials";"holdco",#N/A,FALSE,"Summary Financials"}</definedName>
    <definedName name="______wrn1" localSheetId="6" hidden="1">{"holdco",#N/A,FALSE,"Summary Financials";"holdco",#N/A,FALSE,"Summary Financials"}</definedName>
    <definedName name="______wrn1" localSheetId="10" hidden="1">{"holdco",#N/A,FALSE,"Summary Financials";"holdco",#N/A,FALSE,"Summary Financials"}</definedName>
    <definedName name="______wrn1" localSheetId="11" hidden="1">{"holdco",#N/A,FALSE,"Summary Financials";"holdco",#N/A,FALSE,"Summary Financials"}</definedName>
    <definedName name="______wrn1" localSheetId="14" hidden="1">{"holdco",#N/A,FALSE,"Summary Financials";"holdco",#N/A,FALSE,"Summary Financials"}</definedName>
    <definedName name="______wrn1" localSheetId="18" hidden="1">{"holdco",#N/A,FALSE,"Summary Financials";"holdco",#N/A,FALSE,"Summary Financials"}</definedName>
    <definedName name="______wrn1" localSheetId="26" hidden="1">{"holdco",#N/A,FALSE,"Summary Financials";"holdco",#N/A,FALSE,"Summary Financials"}</definedName>
    <definedName name="______wrn1" localSheetId="31" hidden="1">{"holdco",#N/A,FALSE,"Summary Financials";"holdco",#N/A,FALSE,"Summary Financials"}</definedName>
    <definedName name="______wrn1" localSheetId="38" hidden="1">{"holdco",#N/A,FALSE,"Summary Financials";"holdco",#N/A,FALSE,"Summary Financials"}</definedName>
    <definedName name="______wrn1" localSheetId="46" hidden="1">{"holdco",#N/A,FALSE,"Summary Financials";"holdco",#N/A,FALSE,"Summary Financials"}</definedName>
    <definedName name="______wrn1" localSheetId="75" hidden="1">{"holdco",#N/A,FALSE,"Summary Financials";"holdco",#N/A,FALSE,"Summary Financials"}</definedName>
    <definedName name="______wrn1" localSheetId="76" hidden="1">{"holdco",#N/A,FALSE,"Summary Financials";"holdco",#N/A,FALSE,"Summary Financials"}</definedName>
    <definedName name="______wrn1" localSheetId="12" hidden="1">{"holdco",#N/A,FALSE,"Summary Financials";"holdco",#N/A,FALSE,"Summary Financials"}</definedName>
    <definedName name="______wrn1" localSheetId="4" hidden="1">{"holdco",#N/A,FALSE,"Summary Financials";"holdco",#N/A,FALSE,"Summary Financials"}</definedName>
    <definedName name="______wrn1" hidden="1">{"holdco",#N/A,FALSE,"Summary Financials";"holdco",#N/A,FALSE,"Summary Financials"}</definedName>
    <definedName name="______wrn2" localSheetId="5" hidden="1">{"holdco",#N/A,FALSE,"Summary Financials";"holdco",#N/A,FALSE,"Summary Financials"}</definedName>
    <definedName name="______wrn2" localSheetId="6" hidden="1">{"holdco",#N/A,FALSE,"Summary Financials";"holdco",#N/A,FALSE,"Summary Financials"}</definedName>
    <definedName name="______wrn2" localSheetId="10" hidden="1">{"holdco",#N/A,FALSE,"Summary Financials";"holdco",#N/A,FALSE,"Summary Financials"}</definedName>
    <definedName name="______wrn2" localSheetId="11" hidden="1">{"holdco",#N/A,FALSE,"Summary Financials";"holdco",#N/A,FALSE,"Summary Financials"}</definedName>
    <definedName name="______wrn2" localSheetId="14" hidden="1">{"holdco",#N/A,FALSE,"Summary Financials";"holdco",#N/A,FALSE,"Summary Financials"}</definedName>
    <definedName name="______wrn2" localSheetId="18" hidden="1">{"holdco",#N/A,FALSE,"Summary Financials";"holdco",#N/A,FALSE,"Summary Financials"}</definedName>
    <definedName name="______wrn2" localSheetId="26" hidden="1">{"holdco",#N/A,FALSE,"Summary Financials";"holdco",#N/A,FALSE,"Summary Financials"}</definedName>
    <definedName name="______wrn2" localSheetId="31" hidden="1">{"holdco",#N/A,FALSE,"Summary Financials";"holdco",#N/A,FALSE,"Summary Financials"}</definedName>
    <definedName name="______wrn2" localSheetId="38" hidden="1">{"holdco",#N/A,FALSE,"Summary Financials";"holdco",#N/A,FALSE,"Summary Financials"}</definedName>
    <definedName name="______wrn2" localSheetId="46" hidden="1">{"holdco",#N/A,FALSE,"Summary Financials";"holdco",#N/A,FALSE,"Summary Financials"}</definedName>
    <definedName name="______wrn2" localSheetId="75" hidden="1">{"holdco",#N/A,FALSE,"Summary Financials";"holdco",#N/A,FALSE,"Summary Financials"}</definedName>
    <definedName name="______wrn2" localSheetId="76" hidden="1">{"holdco",#N/A,FALSE,"Summary Financials";"holdco",#N/A,FALSE,"Summary Financials"}</definedName>
    <definedName name="______wrn2" localSheetId="12" hidden="1">{"holdco",#N/A,FALSE,"Summary Financials";"holdco",#N/A,FALSE,"Summary Financials"}</definedName>
    <definedName name="______wrn2" localSheetId="4" hidden="1">{"holdco",#N/A,FALSE,"Summary Financials";"holdco",#N/A,FALSE,"Summary Financials"}</definedName>
    <definedName name="______wrn2" hidden="1">{"holdco",#N/A,FALSE,"Summary Financials";"holdco",#N/A,FALSE,"Summary Financials"}</definedName>
    <definedName name="______wrn3" localSheetId="5" hidden="1">{"holdco",#N/A,FALSE,"Summary Financials";"holdco",#N/A,FALSE,"Summary Financials"}</definedName>
    <definedName name="______wrn3" localSheetId="6" hidden="1">{"holdco",#N/A,FALSE,"Summary Financials";"holdco",#N/A,FALSE,"Summary Financials"}</definedName>
    <definedName name="______wrn3" localSheetId="10" hidden="1">{"holdco",#N/A,FALSE,"Summary Financials";"holdco",#N/A,FALSE,"Summary Financials"}</definedName>
    <definedName name="______wrn3" localSheetId="11" hidden="1">{"holdco",#N/A,FALSE,"Summary Financials";"holdco",#N/A,FALSE,"Summary Financials"}</definedName>
    <definedName name="______wrn3" localSheetId="14" hidden="1">{"holdco",#N/A,FALSE,"Summary Financials";"holdco",#N/A,FALSE,"Summary Financials"}</definedName>
    <definedName name="______wrn3" localSheetId="18" hidden="1">{"holdco",#N/A,FALSE,"Summary Financials";"holdco",#N/A,FALSE,"Summary Financials"}</definedName>
    <definedName name="______wrn3" localSheetId="26" hidden="1">{"holdco",#N/A,FALSE,"Summary Financials";"holdco",#N/A,FALSE,"Summary Financials"}</definedName>
    <definedName name="______wrn3" localSheetId="31" hidden="1">{"holdco",#N/A,FALSE,"Summary Financials";"holdco",#N/A,FALSE,"Summary Financials"}</definedName>
    <definedName name="______wrn3" localSheetId="38" hidden="1">{"holdco",#N/A,FALSE,"Summary Financials";"holdco",#N/A,FALSE,"Summary Financials"}</definedName>
    <definedName name="______wrn3" localSheetId="46" hidden="1">{"holdco",#N/A,FALSE,"Summary Financials";"holdco",#N/A,FALSE,"Summary Financials"}</definedName>
    <definedName name="______wrn3" localSheetId="75" hidden="1">{"holdco",#N/A,FALSE,"Summary Financials";"holdco",#N/A,FALSE,"Summary Financials"}</definedName>
    <definedName name="______wrn3" localSheetId="76" hidden="1">{"holdco",#N/A,FALSE,"Summary Financials";"holdco",#N/A,FALSE,"Summary Financials"}</definedName>
    <definedName name="______wrn3" localSheetId="12" hidden="1">{"holdco",#N/A,FALSE,"Summary Financials";"holdco",#N/A,FALSE,"Summary Financials"}</definedName>
    <definedName name="______wrn3" localSheetId="4" hidden="1">{"holdco",#N/A,FALSE,"Summary Financials";"holdco",#N/A,FALSE,"Summary Financials"}</definedName>
    <definedName name="______wrn3" hidden="1">{"holdco",#N/A,FALSE,"Summary Financials";"holdco",#N/A,FALSE,"Summary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localSheetId="6" hidden="1">{"Model Summary",#N/A,FALSE,"Print Chart";"Holdco",#N/A,FALSE,"Print Chart";"Genco",#N/A,FALSE,"Print Chart";"Servco",#N/A,FALSE,"Print Chart";"Genco_Detail",#N/A,FALSE,"Summary Financials";"Servco_Detail",#N/A,FALSE,"Summary Financials"}</definedName>
    <definedName name="______wrn7" localSheetId="10" hidden="1">{"Model Summary",#N/A,FALSE,"Print Chart";"Holdco",#N/A,FALSE,"Print Chart";"Genco",#N/A,FALSE,"Print Chart";"Servco",#N/A,FALSE,"Print Chart";"Genco_Detail",#N/A,FALSE,"Summary Financials";"Servco_Detail",#N/A,FALSE,"Summary Financials"}</definedName>
    <definedName name="______wrn7" localSheetId="11" hidden="1">{"Model Summary",#N/A,FALSE,"Print Chart";"Holdco",#N/A,FALSE,"Print Chart";"Genco",#N/A,FALSE,"Print Chart";"Servco",#N/A,FALSE,"Print Chart";"Genco_Detail",#N/A,FALSE,"Summary Financials";"Servco_Detail",#N/A,FALSE,"Summary Financials"}</definedName>
    <definedName name="______wrn7" localSheetId="14" hidden="1">{"Model Summary",#N/A,FALSE,"Print Chart";"Holdco",#N/A,FALSE,"Print Chart";"Genco",#N/A,FALSE,"Print Chart";"Servco",#N/A,FALSE,"Print Chart";"Genco_Detail",#N/A,FALSE,"Summary Financials";"Servco_Detail",#N/A,FALSE,"Summary Financials"}</definedName>
    <definedName name="______wrn7" localSheetId="18" hidden="1">{"Model Summary",#N/A,FALSE,"Print Chart";"Holdco",#N/A,FALSE,"Print Chart";"Genco",#N/A,FALSE,"Print Chart";"Servco",#N/A,FALSE,"Print Chart";"Genco_Detail",#N/A,FALSE,"Summary Financials";"Servco_Detail",#N/A,FALSE,"Summary Financials"}</definedName>
    <definedName name="______wrn7" localSheetId="26" hidden="1">{"Model Summary",#N/A,FALSE,"Print Chart";"Holdco",#N/A,FALSE,"Print Chart";"Genco",#N/A,FALSE,"Print Chart";"Servco",#N/A,FALSE,"Print Chart";"Genco_Detail",#N/A,FALSE,"Summary Financials";"Servco_Detail",#N/A,FALSE,"Summary Financials"}</definedName>
    <definedName name="______wrn7" localSheetId="31" hidden="1">{"Model Summary",#N/A,FALSE,"Print Chart";"Holdco",#N/A,FALSE,"Print Chart";"Genco",#N/A,FALSE,"Print Chart";"Servco",#N/A,FALSE,"Print Chart";"Genco_Detail",#N/A,FALSE,"Summary Financials";"Servco_Detail",#N/A,FALSE,"Summary Financials"}</definedName>
    <definedName name="______wrn7" localSheetId="38" hidden="1">{"Model Summary",#N/A,FALSE,"Print Chart";"Holdco",#N/A,FALSE,"Print Chart";"Genco",#N/A,FALSE,"Print Chart";"Servco",#N/A,FALSE,"Print Chart";"Genco_Detail",#N/A,FALSE,"Summary Financials";"Servco_Detail",#N/A,FALSE,"Summary Financials"}</definedName>
    <definedName name="______wrn7" localSheetId="46" hidden="1">{"Model Summary",#N/A,FALSE,"Print Chart";"Holdco",#N/A,FALSE,"Print Chart";"Genco",#N/A,FALSE,"Print Chart";"Servco",#N/A,FALSE,"Print Chart";"Genco_Detail",#N/A,FALSE,"Summary Financials";"Servco_Detail",#N/A,FALSE,"Summary Financials"}</definedName>
    <definedName name="______wrn7" localSheetId="75" hidden="1">{"Model Summary",#N/A,FALSE,"Print Chart";"Holdco",#N/A,FALSE,"Print Chart";"Genco",#N/A,FALSE,"Print Chart";"Servco",#N/A,FALSE,"Print Chart";"Genco_Detail",#N/A,FALSE,"Summary Financials";"Servco_Detail",#N/A,FALSE,"Summary Financials"}</definedName>
    <definedName name="______wrn7" localSheetId="76" hidden="1">{"Model Summary",#N/A,FALSE,"Print Chart";"Holdco",#N/A,FALSE,"Print Chart";"Genco",#N/A,FALSE,"Print Chart";"Servco",#N/A,FALSE,"Print Chart";"Genco_Detail",#N/A,FALSE,"Summary Financials";"Servco_Detail",#N/A,FALSE,"Summary Financials"}</definedName>
    <definedName name="______wrn7" localSheetId="12" hidden="1">{"Model Summary",#N/A,FALSE,"Print Chart";"Holdco",#N/A,FALSE,"Print Chart";"Genco",#N/A,FALSE,"Print Chart";"Servco",#N/A,FALSE,"Print Chart";"Genco_Detail",#N/A,FALSE,"Summary Financials";"Servco_Detail",#N/A,FALSE,"Summary Financials"}</definedName>
    <definedName name="______wrn7" localSheetId="4"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5" hidden="1">{"holdco",#N/A,FALSE,"Summary Financials";"holdco",#N/A,FALSE,"Summary Financials"}</definedName>
    <definedName name="______wrn8" localSheetId="6" hidden="1">{"holdco",#N/A,FALSE,"Summary Financials";"holdco",#N/A,FALSE,"Summary Financials"}</definedName>
    <definedName name="______wrn8" localSheetId="10" hidden="1">{"holdco",#N/A,FALSE,"Summary Financials";"holdco",#N/A,FALSE,"Summary Financials"}</definedName>
    <definedName name="______wrn8" localSheetId="11" hidden="1">{"holdco",#N/A,FALSE,"Summary Financials";"holdco",#N/A,FALSE,"Summary Financials"}</definedName>
    <definedName name="______wrn8" localSheetId="14" hidden="1">{"holdco",#N/A,FALSE,"Summary Financials";"holdco",#N/A,FALSE,"Summary Financials"}</definedName>
    <definedName name="______wrn8" localSheetId="18" hidden="1">{"holdco",#N/A,FALSE,"Summary Financials";"holdco",#N/A,FALSE,"Summary Financials"}</definedName>
    <definedName name="______wrn8" localSheetId="26" hidden="1">{"holdco",#N/A,FALSE,"Summary Financials";"holdco",#N/A,FALSE,"Summary Financials"}</definedName>
    <definedName name="______wrn8" localSheetId="31" hidden="1">{"holdco",#N/A,FALSE,"Summary Financials";"holdco",#N/A,FALSE,"Summary Financials"}</definedName>
    <definedName name="______wrn8" localSheetId="38" hidden="1">{"holdco",#N/A,FALSE,"Summary Financials";"holdco",#N/A,FALSE,"Summary Financials"}</definedName>
    <definedName name="______wrn8" localSheetId="46" hidden="1">{"holdco",#N/A,FALSE,"Summary Financials";"holdco",#N/A,FALSE,"Summary Financials"}</definedName>
    <definedName name="______wrn8" localSheetId="75" hidden="1">{"holdco",#N/A,FALSE,"Summary Financials";"holdco",#N/A,FALSE,"Summary Financials"}</definedName>
    <definedName name="______wrn8" localSheetId="76" hidden="1">{"holdco",#N/A,FALSE,"Summary Financials";"holdco",#N/A,FALSE,"Summary Financials"}</definedName>
    <definedName name="______wrn8" localSheetId="12" hidden="1">{"holdco",#N/A,FALSE,"Summary Financials";"holdco",#N/A,FALSE,"Summary Financials"}</definedName>
    <definedName name="______wrn8" localSheetId="4" hidden="1">{"holdco",#N/A,FALSE,"Summary Financials";"holdco",#N/A,FALSE,"Summary Financials"}</definedName>
    <definedName name="______wrn8" hidden="1">{"holdco",#N/A,FALSE,"Summary Financials";"holdco",#N/A,FALSE,"Summary Financials"}</definedName>
    <definedName name="_____KKK1" localSheetId="5" hidden="1">{#N/A,#N/A,FALSE,"Assessment";#N/A,#N/A,FALSE,"Staffing";#N/A,#N/A,FALSE,"Hires";#N/A,#N/A,FALSE,"Assumptions"}</definedName>
    <definedName name="_____KKK1" localSheetId="6" hidden="1">{#N/A,#N/A,FALSE,"Assessment";#N/A,#N/A,FALSE,"Staffing";#N/A,#N/A,FALSE,"Hires";#N/A,#N/A,FALSE,"Assumptions"}</definedName>
    <definedName name="_____KKK1" localSheetId="10" hidden="1">{#N/A,#N/A,FALSE,"Assessment";#N/A,#N/A,FALSE,"Staffing";#N/A,#N/A,FALSE,"Hires";#N/A,#N/A,FALSE,"Assumptions"}</definedName>
    <definedName name="_____KKK1" localSheetId="11" hidden="1">{#N/A,#N/A,FALSE,"Assessment";#N/A,#N/A,FALSE,"Staffing";#N/A,#N/A,FALSE,"Hires";#N/A,#N/A,FALSE,"Assumptions"}</definedName>
    <definedName name="_____KKK1" localSheetId="14" hidden="1">{#N/A,#N/A,FALSE,"Assessment";#N/A,#N/A,FALSE,"Staffing";#N/A,#N/A,FALSE,"Hires";#N/A,#N/A,FALSE,"Assumptions"}</definedName>
    <definedName name="_____KKK1" localSheetId="18" hidden="1">{#N/A,#N/A,FALSE,"Assessment";#N/A,#N/A,FALSE,"Staffing";#N/A,#N/A,FALSE,"Hires";#N/A,#N/A,FALSE,"Assumptions"}</definedName>
    <definedName name="_____KKK1" localSheetId="26" hidden="1">{#N/A,#N/A,FALSE,"Assessment";#N/A,#N/A,FALSE,"Staffing";#N/A,#N/A,FALSE,"Hires";#N/A,#N/A,FALSE,"Assumptions"}</definedName>
    <definedName name="_____KKK1" localSheetId="31" hidden="1">{#N/A,#N/A,FALSE,"Assessment";#N/A,#N/A,FALSE,"Staffing";#N/A,#N/A,FALSE,"Hires";#N/A,#N/A,FALSE,"Assumptions"}</definedName>
    <definedName name="_____KKK1" localSheetId="38" hidden="1">{#N/A,#N/A,FALSE,"Assessment";#N/A,#N/A,FALSE,"Staffing";#N/A,#N/A,FALSE,"Hires";#N/A,#N/A,FALSE,"Assumptions"}</definedName>
    <definedName name="_____KKK1" localSheetId="46" hidden="1">{#N/A,#N/A,FALSE,"Assessment";#N/A,#N/A,FALSE,"Staffing";#N/A,#N/A,FALSE,"Hires";#N/A,#N/A,FALSE,"Assumptions"}</definedName>
    <definedName name="_____KKK1" localSheetId="75" hidden="1">{#N/A,#N/A,FALSE,"Assessment";#N/A,#N/A,FALSE,"Staffing";#N/A,#N/A,FALSE,"Hires";#N/A,#N/A,FALSE,"Assumptions"}</definedName>
    <definedName name="_____KKK1" localSheetId="76" hidden="1">{#N/A,#N/A,FALSE,"Assessment";#N/A,#N/A,FALSE,"Staffing";#N/A,#N/A,FALSE,"Hires";#N/A,#N/A,FALSE,"Assumptions"}</definedName>
    <definedName name="_____KKK1" localSheetId="12" hidden="1">{#N/A,#N/A,FALSE,"Assessment";#N/A,#N/A,FALSE,"Staffing";#N/A,#N/A,FALSE,"Hires";#N/A,#N/A,FALSE,"Assumptions"}</definedName>
    <definedName name="_____KKK1" localSheetId="4" hidden="1">{#N/A,#N/A,FALSE,"Assessment";#N/A,#N/A,FALSE,"Staffing";#N/A,#N/A,FALSE,"Hires";#N/A,#N/A,FALSE,"Assumptions"}</definedName>
    <definedName name="_____KKK1" hidden="1">{#N/A,#N/A,FALSE,"Assessment";#N/A,#N/A,FALSE,"Staffing";#N/A,#N/A,FALSE,"Hires";#N/A,#N/A,FALSE,"Assumptions"}</definedName>
    <definedName name="_____wrn1" localSheetId="5" hidden="1">{"holdco",#N/A,FALSE,"Summary Financials";"holdco",#N/A,FALSE,"Summary Financials"}</definedName>
    <definedName name="_____wrn1" localSheetId="6" hidden="1">{"holdco",#N/A,FALSE,"Summary Financials";"holdco",#N/A,FALSE,"Summary Financials"}</definedName>
    <definedName name="_____wrn1" localSheetId="10" hidden="1">{"holdco",#N/A,FALSE,"Summary Financials";"holdco",#N/A,FALSE,"Summary Financials"}</definedName>
    <definedName name="_____wrn1" localSheetId="11" hidden="1">{"holdco",#N/A,FALSE,"Summary Financials";"holdco",#N/A,FALSE,"Summary Financials"}</definedName>
    <definedName name="_____wrn1" localSheetId="14" hidden="1">{"holdco",#N/A,FALSE,"Summary Financials";"holdco",#N/A,FALSE,"Summary Financials"}</definedName>
    <definedName name="_____wrn1" localSheetId="18" hidden="1">{"holdco",#N/A,FALSE,"Summary Financials";"holdco",#N/A,FALSE,"Summary Financials"}</definedName>
    <definedName name="_____wrn1" localSheetId="26" hidden="1">{"holdco",#N/A,FALSE,"Summary Financials";"holdco",#N/A,FALSE,"Summary Financials"}</definedName>
    <definedName name="_____wrn1" localSheetId="31" hidden="1">{"holdco",#N/A,FALSE,"Summary Financials";"holdco",#N/A,FALSE,"Summary Financials"}</definedName>
    <definedName name="_____wrn1" localSheetId="38" hidden="1">{"holdco",#N/A,FALSE,"Summary Financials";"holdco",#N/A,FALSE,"Summary Financials"}</definedName>
    <definedName name="_____wrn1" localSheetId="46" hidden="1">{"holdco",#N/A,FALSE,"Summary Financials";"holdco",#N/A,FALSE,"Summary Financials"}</definedName>
    <definedName name="_____wrn1" localSheetId="75" hidden="1">{"holdco",#N/A,FALSE,"Summary Financials";"holdco",#N/A,FALSE,"Summary Financials"}</definedName>
    <definedName name="_____wrn1" localSheetId="76" hidden="1">{"holdco",#N/A,FALSE,"Summary Financials";"holdco",#N/A,FALSE,"Summary Financials"}</definedName>
    <definedName name="_____wrn1" localSheetId="12" hidden="1">{"holdco",#N/A,FALSE,"Summary Financials";"holdco",#N/A,FALSE,"Summary Financials"}</definedName>
    <definedName name="_____wrn1" localSheetId="4" hidden="1">{"holdco",#N/A,FALSE,"Summary Financials";"holdco",#N/A,FALSE,"Summary Financials"}</definedName>
    <definedName name="_____wrn1" hidden="1">{"holdco",#N/A,FALSE,"Summary Financials";"holdco",#N/A,FALSE,"Summary Financials"}</definedName>
    <definedName name="_____wrn2" localSheetId="5" hidden="1">{"holdco",#N/A,FALSE,"Summary Financials";"holdco",#N/A,FALSE,"Summary Financials"}</definedName>
    <definedName name="_____wrn2" localSheetId="6" hidden="1">{"holdco",#N/A,FALSE,"Summary Financials";"holdco",#N/A,FALSE,"Summary Financials"}</definedName>
    <definedName name="_____wrn2" localSheetId="10" hidden="1">{"holdco",#N/A,FALSE,"Summary Financials";"holdco",#N/A,FALSE,"Summary Financials"}</definedName>
    <definedName name="_____wrn2" localSheetId="11" hidden="1">{"holdco",#N/A,FALSE,"Summary Financials";"holdco",#N/A,FALSE,"Summary Financials"}</definedName>
    <definedName name="_____wrn2" localSheetId="14" hidden="1">{"holdco",#N/A,FALSE,"Summary Financials";"holdco",#N/A,FALSE,"Summary Financials"}</definedName>
    <definedName name="_____wrn2" localSheetId="18" hidden="1">{"holdco",#N/A,FALSE,"Summary Financials";"holdco",#N/A,FALSE,"Summary Financials"}</definedName>
    <definedName name="_____wrn2" localSheetId="26" hidden="1">{"holdco",#N/A,FALSE,"Summary Financials";"holdco",#N/A,FALSE,"Summary Financials"}</definedName>
    <definedName name="_____wrn2" localSheetId="31" hidden="1">{"holdco",#N/A,FALSE,"Summary Financials";"holdco",#N/A,FALSE,"Summary Financials"}</definedName>
    <definedName name="_____wrn2" localSheetId="38" hidden="1">{"holdco",#N/A,FALSE,"Summary Financials";"holdco",#N/A,FALSE,"Summary Financials"}</definedName>
    <definedName name="_____wrn2" localSheetId="46" hidden="1">{"holdco",#N/A,FALSE,"Summary Financials";"holdco",#N/A,FALSE,"Summary Financials"}</definedName>
    <definedName name="_____wrn2" localSheetId="75" hidden="1">{"holdco",#N/A,FALSE,"Summary Financials";"holdco",#N/A,FALSE,"Summary Financials"}</definedName>
    <definedName name="_____wrn2" localSheetId="76" hidden="1">{"holdco",#N/A,FALSE,"Summary Financials";"holdco",#N/A,FALSE,"Summary Financials"}</definedName>
    <definedName name="_____wrn2" localSheetId="12" hidden="1">{"holdco",#N/A,FALSE,"Summary Financials";"holdco",#N/A,FALSE,"Summary Financials"}</definedName>
    <definedName name="_____wrn2" localSheetId="4" hidden="1">{"holdco",#N/A,FALSE,"Summary Financials";"holdco",#N/A,FALSE,"Summary Financials"}</definedName>
    <definedName name="_____wrn2" hidden="1">{"holdco",#N/A,FALSE,"Summary Financials";"holdco",#N/A,FALSE,"Summary Financials"}</definedName>
    <definedName name="_____wrn3" localSheetId="5" hidden="1">{"holdco",#N/A,FALSE,"Summary Financials";"holdco",#N/A,FALSE,"Summary Financials"}</definedName>
    <definedName name="_____wrn3" localSheetId="6" hidden="1">{"holdco",#N/A,FALSE,"Summary Financials";"holdco",#N/A,FALSE,"Summary Financials"}</definedName>
    <definedName name="_____wrn3" localSheetId="10" hidden="1">{"holdco",#N/A,FALSE,"Summary Financials";"holdco",#N/A,FALSE,"Summary Financials"}</definedName>
    <definedName name="_____wrn3" localSheetId="11" hidden="1">{"holdco",#N/A,FALSE,"Summary Financials";"holdco",#N/A,FALSE,"Summary Financials"}</definedName>
    <definedName name="_____wrn3" localSheetId="14" hidden="1">{"holdco",#N/A,FALSE,"Summary Financials";"holdco",#N/A,FALSE,"Summary Financials"}</definedName>
    <definedName name="_____wrn3" localSheetId="18" hidden="1">{"holdco",#N/A,FALSE,"Summary Financials";"holdco",#N/A,FALSE,"Summary Financials"}</definedName>
    <definedName name="_____wrn3" localSheetId="26" hidden="1">{"holdco",#N/A,FALSE,"Summary Financials";"holdco",#N/A,FALSE,"Summary Financials"}</definedName>
    <definedName name="_____wrn3" localSheetId="31" hidden="1">{"holdco",#N/A,FALSE,"Summary Financials";"holdco",#N/A,FALSE,"Summary Financials"}</definedName>
    <definedName name="_____wrn3" localSheetId="38" hidden="1">{"holdco",#N/A,FALSE,"Summary Financials";"holdco",#N/A,FALSE,"Summary Financials"}</definedName>
    <definedName name="_____wrn3" localSheetId="46" hidden="1">{"holdco",#N/A,FALSE,"Summary Financials";"holdco",#N/A,FALSE,"Summary Financials"}</definedName>
    <definedName name="_____wrn3" localSheetId="75" hidden="1">{"holdco",#N/A,FALSE,"Summary Financials";"holdco",#N/A,FALSE,"Summary Financials"}</definedName>
    <definedName name="_____wrn3" localSheetId="76" hidden="1">{"holdco",#N/A,FALSE,"Summary Financials";"holdco",#N/A,FALSE,"Summary Financials"}</definedName>
    <definedName name="_____wrn3" localSheetId="12" hidden="1">{"holdco",#N/A,FALSE,"Summary Financials";"holdco",#N/A,FALSE,"Summary Financials"}</definedName>
    <definedName name="_____wrn3" localSheetId="4" hidden="1">{"holdco",#N/A,FALSE,"Summary Financials";"holdco",#N/A,FALSE,"Summary Financials"}</definedName>
    <definedName name="_____wrn3" hidden="1">{"holdco",#N/A,FALSE,"Summary Financials";"holdco",#N/A,FALSE,"Summary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localSheetId="6" hidden="1">{"Model Summary",#N/A,FALSE,"Print Chart";"Holdco",#N/A,FALSE,"Print Chart";"Genco",#N/A,FALSE,"Print Chart";"Servco",#N/A,FALSE,"Print Chart";"Genco_Detail",#N/A,FALSE,"Summary Financials";"Servco_Detail",#N/A,FALSE,"Summary Financials"}</definedName>
    <definedName name="_____wrn7" localSheetId="10" hidden="1">{"Model Summary",#N/A,FALSE,"Print Chart";"Holdco",#N/A,FALSE,"Print Chart";"Genco",#N/A,FALSE,"Print Chart";"Servco",#N/A,FALSE,"Print Chart";"Genco_Detail",#N/A,FALSE,"Summary Financials";"Servco_Detail",#N/A,FALSE,"Summary Financials"}</definedName>
    <definedName name="_____wrn7" localSheetId="11" hidden="1">{"Model Summary",#N/A,FALSE,"Print Chart";"Holdco",#N/A,FALSE,"Print Chart";"Genco",#N/A,FALSE,"Print Chart";"Servco",#N/A,FALSE,"Print Chart";"Genco_Detail",#N/A,FALSE,"Summary Financials";"Servco_Detail",#N/A,FALSE,"Summary Financials"}</definedName>
    <definedName name="_____wrn7" localSheetId="14" hidden="1">{"Model Summary",#N/A,FALSE,"Print Chart";"Holdco",#N/A,FALSE,"Print Chart";"Genco",#N/A,FALSE,"Print Chart";"Servco",#N/A,FALSE,"Print Chart";"Genco_Detail",#N/A,FALSE,"Summary Financials";"Servco_Detail",#N/A,FALSE,"Summary Financials"}</definedName>
    <definedName name="_____wrn7" localSheetId="18" hidden="1">{"Model Summary",#N/A,FALSE,"Print Chart";"Holdco",#N/A,FALSE,"Print Chart";"Genco",#N/A,FALSE,"Print Chart";"Servco",#N/A,FALSE,"Print Chart";"Genco_Detail",#N/A,FALSE,"Summary Financials";"Servco_Detail",#N/A,FALSE,"Summary Financials"}</definedName>
    <definedName name="_____wrn7" localSheetId="26" hidden="1">{"Model Summary",#N/A,FALSE,"Print Chart";"Holdco",#N/A,FALSE,"Print Chart";"Genco",#N/A,FALSE,"Print Chart";"Servco",#N/A,FALSE,"Print Chart";"Genco_Detail",#N/A,FALSE,"Summary Financials";"Servco_Detail",#N/A,FALSE,"Summary Financials"}</definedName>
    <definedName name="_____wrn7" localSheetId="31" hidden="1">{"Model Summary",#N/A,FALSE,"Print Chart";"Holdco",#N/A,FALSE,"Print Chart";"Genco",#N/A,FALSE,"Print Chart";"Servco",#N/A,FALSE,"Print Chart";"Genco_Detail",#N/A,FALSE,"Summary Financials";"Servco_Detail",#N/A,FALSE,"Summary Financials"}</definedName>
    <definedName name="_____wrn7" localSheetId="38" hidden="1">{"Model Summary",#N/A,FALSE,"Print Chart";"Holdco",#N/A,FALSE,"Print Chart";"Genco",#N/A,FALSE,"Print Chart";"Servco",#N/A,FALSE,"Print Chart";"Genco_Detail",#N/A,FALSE,"Summary Financials";"Servco_Detail",#N/A,FALSE,"Summary Financials"}</definedName>
    <definedName name="_____wrn7" localSheetId="46" hidden="1">{"Model Summary",#N/A,FALSE,"Print Chart";"Holdco",#N/A,FALSE,"Print Chart";"Genco",#N/A,FALSE,"Print Chart";"Servco",#N/A,FALSE,"Print Chart";"Genco_Detail",#N/A,FALSE,"Summary Financials";"Servco_Detail",#N/A,FALSE,"Summary Financials"}</definedName>
    <definedName name="_____wrn7" localSheetId="75" hidden="1">{"Model Summary",#N/A,FALSE,"Print Chart";"Holdco",#N/A,FALSE,"Print Chart";"Genco",#N/A,FALSE,"Print Chart";"Servco",#N/A,FALSE,"Print Chart";"Genco_Detail",#N/A,FALSE,"Summary Financials";"Servco_Detail",#N/A,FALSE,"Summary Financials"}</definedName>
    <definedName name="_____wrn7" localSheetId="76" hidden="1">{"Model Summary",#N/A,FALSE,"Print Chart";"Holdco",#N/A,FALSE,"Print Chart";"Genco",#N/A,FALSE,"Print Chart";"Servco",#N/A,FALSE,"Print Chart";"Genco_Detail",#N/A,FALSE,"Summary Financials";"Servco_Detail",#N/A,FALSE,"Summary Financials"}</definedName>
    <definedName name="_____wrn7" localSheetId="12" hidden="1">{"Model Summary",#N/A,FALSE,"Print Chart";"Holdco",#N/A,FALSE,"Print Chart";"Genco",#N/A,FALSE,"Print Chart";"Servco",#N/A,FALSE,"Print Chart";"Genco_Detail",#N/A,FALSE,"Summary Financials";"Servco_Detail",#N/A,FALSE,"Summary Financials"}</definedName>
    <definedName name="_____wrn7" localSheetId="4"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5" hidden="1">{"holdco",#N/A,FALSE,"Summary Financials";"holdco",#N/A,FALSE,"Summary Financials"}</definedName>
    <definedName name="_____wrn8" localSheetId="6" hidden="1">{"holdco",#N/A,FALSE,"Summary Financials";"holdco",#N/A,FALSE,"Summary Financials"}</definedName>
    <definedName name="_____wrn8" localSheetId="10" hidden="1">{"holdco",#N/A,FALSE,"Summary Financials";"holdco",#N/A,FALSE,"Summary Financials"}</definedName>
    <definedName name="_____wrn8" localSheetId="11" hidden="1">{"holdco",#N/A,FALSE,"Summary Financials";"holdco",#N/A,FALSE,"Summary Financials"}</definedName>
    <definedName name="_____wrn8" localSheetId="14" hidden="1">{"holdco",#N/A,FALSE,"Summary Financials";"holdco",#N/A,FALSE,"Summary Financials"}</definedName>
    <definedName name="_____wrn8" localSheetId="18" hidden="1">{"holdco",#N/A,FALSE,"Summary Financials";"holdco",#N/A,FALSE,"Summary Financials"}</definedName>
    <definedName name="_____wrn8" localSheetId="26" hidden="1">{"holdco",#N/A,FALSE,"Summary Financials";"holdco",#N/A,FALSE,"Summary Financials"}</definedName>
    <definedName name="_____wrn8" localSheetId="31" hidden="1">{"holdco",#N/A,FALSE,"Summary Financials";"holdco",#N/A,FALSE,"Summary Financials"}</definedName>
    <definedName name="_____wrn8" localSheetId="38" hidden="1">{"holdco",#N/A,FALSE,"Summary Financials";"holdco",#N/A,FALSE,"Summary Financials"}</definedName>
    <definedName name="_____wrn8" localSheetId="46" hidden="1">{"holdco",#N/A,FALSE,"Summary Financials";"holdco",#N/A,FALSE,"Summary Financials"}</definedName>
    <definedName name="_____wrn8" localSheetId="75" hidden="1">{"holdco",#N/A,FALSE,"Summary Financials";"holdco",#N/A,FALSE,"Summary Financials"}</definedName>
    <definedName name="_____wrn8" localSheetId="76" hidden="1">{"holdco",#N/A,FALSE,"Summary Financials";"holdco",#N/A,FALSE,"Summary Financials"}</definedName>
    <definedName name="_____wrn8" localSheetId="12" hidden="1">{"holdco",#N/A,FALSE,"Summary Financials";"holdco",#N/A,FALSE,"Summary Financials"}</definedName>
    <definedName name="_____wrn8" localSheetId="4" hidden="1">{"holdco",#N/A,FALSE,"Summary Financials";"holdco",#N/A,FALSE,"Summary Financials"}</definedName>
    <definedName name="_____wrn8" hidden="1">{"holdco",#N/A,FALSE,"Summary Financials";"holdco",#N/A,FALSE,"Summary Financials"}</definedName>
    <definedName name="__123Graph_B" localSheetId="36" hidden="1">'[1]Universal data'!#REF!</definedName>
    <definedName name="__123Graph_B" localSheetId="37" hidden="1">'[1]Universal data'!#REF!</definedName>
    <definedName name="__123Graph_B" localSheetId="57" hidden="1">'[1]Universal data'!#REF!</definedName>
    <definedName name="__123Graph_B" localSheetId="58" hidden="1">'[1]Universal data'!#REF!</definedName>
    <definedName name="__123Graph_B" localSheetId="70" hidden="1">'[1]Universal data'!#REF!</definedName>
    <definedName name="__123Graph_B" localSheetId="71" hidden="1">'[1]Universal data'!#REF!</definedName>
    <definedName name="__123Graph_B" localSheetId="73" hidden="1">'[1]Universal data'!#REF!</definedName>
    <definedName name="__123Graph_B" localSheetId="13" hidden="1">'[1]Universal data'!#REF!</definedName>
    <definedName name="__123Graph_B" localSheetId="12" hidden="1">'[1]Universal data'!#REF!</definedName>
    <definedName name="__123Graph_B" hidden="1">'[1]Universal data'!#REF!</definedName>
    <definedName name="__123Graph_C" localSheetId="36" hidden="1">'[1]Universal data'!#REF!</definedName>
    <definedName name="__123Graph_C" localSheetId="37" hidden="1">'[1]Universal data'!#REF!</definedName>
    <definedName name="__123Graph_C" localSheetId="57" hidden="1">'[1]Universal data'!#REF!</definedName>
    <definedName name="__123Graph_C" localSheetId="58" hidden="1">'[1]Universal data'!#REF!</definedName>
    <definedName name="__123Graph_C" localSheetId="70" hidden="1">'[1]Universal data'!#REF!</definedName>
    <definedName name="__123Graph_C" localSheetId="71" hidden="1">'[1]Universal data'!#REF!</definedName>
    <definedName name="__123Graph_C" localSheetId="73" hidden="1">'[1]Universal data'!#REF!</definedName>
    <definedName name="__123Graph_C" localSheetId="13" hidden="1">'[1]Universal data'!#REF!</definedName>
    <definedName name="__123Graph_C" localSheetId="12" hidden="1">'[1]Universal data'!#REF!</definedName>
    <definedName name="__123Graph_C" hidden="1">'[1]Universal data'!#REF!</definedName>
    <definedName name="__123Graph_D" localSheetId="36" hidden="1">'[1]Universal data'!#REF!</definedName>
    <definedName name="__123Graph_D" localSheetId="37" hidden="1">'[1]Universal data'!#REF!</definedName>
    <definedName name="__123Graph_D" localSheetId="57" hidden="1">'[1]Universal data'!#REF!</definedName>
    <definedName name="__123Graph_D" localSheetId="58" hidden="1">'[1]Universal data'!#REF!</definedName>
    <definedName name="__123Graph_D" localSheetId="70" hidden="1">'[1]Universal data'!#REF!</definedName>
    <definedName name="__123Graph_D" localSheetId="71" hidden="1">'[1]Universal data'!#REF!</definedName>
    <definedName name="__123Graph_D" localSheetId="73" hidden="1">'[1]Universal data'!#REF!</definedName>
    <definedName name="__123Graph_D" localSheetId="13" hidden="1">'[1]Universal data'!#REF!</definedName>
    <definedName name="__123Graph_D" localSheetId="12" hidden="1">'[1]Universal data'!#REF!</definedName>
    <definedName name="__123Graph_D" hidden="1">'[1]Universal data'!#REF!</definedName>
    <definedName name="__123Graph_X" localSheetId="36" hidden="1">'[1]Universal data'!#REF!</definedName>
    <definedName name="__123Graph_X" localSheetId="37" hidden="1">'[1]Universal data'!#REF!</definedName>
    <definedName name="__123Graph_X" localSheetId="57" hidden="1">'[1]Universal data'!#REF!</definedName>
    <definedName name="__123Graph_X" localSheetId="58" hidden="1">'[1]Universal data'!#REF!</definedName>
    <definedName name="__123Graph_X" localSheetId="70" hidden="1">'[1]Universal data'!#REF!</definedName>
    <definedName name="__123Graph_X" localSheetId="71" hidden="1">'[1]Universal data'!#REF!</definedName>
    <definedName name="__123Graph_X" localSheetId="73" hidden="1">'[1]Universal data'!#REF!</definedName>
    <definedName name="__123Graph_X" localSheetId="13" hidden="1">'[1]Universal data'!#REF!</definedName>
    <definedName name="__123Graph_X" localSheetId="12" hidden="1">'[1]Universal data'!#REF!</definedName>
    <definedName name="__123Graph_X" hidden="1">'[1]Universal data'!#REF!</definedName>
    <definedName name="__FDS_HYPERLINK_TOGGLE_STATE__" hidden="1">"ON"</definedName>
    <definedName name="__hom1" localSheetId="5" hidden="1">{#N/A,#N/A,FALSE,"Assessment";#N/A,#N/A,FALSE,"Staffing";#N/A,#N/A,FALSE,"Hires";#N/A,#N/A,FALSE,"Assumptions"}</definedName>
    <definedName name="__hom1" localSheetId="6" hidden="1">{#N/A,#N/A,FALSE,"Assessment";#N/A,#N/A,FALSE,"Staffing";#N/A,#N/A,FALSE,"Hires";#N/A,#N/A,FALSE,"Assumptions"}</definedName>
    <definedName name="__hom1" localSheetId="10" hidden="1">{#N/A,#N/A,FALSE,"Assessment";#N/A,#N/A,FALSE,"Staffing";#N/A,#N/A,FALSE,"Hires";#N/A,#N/A,FALSE,"Assumptions"}</definedName>
    <definedName name="__hom1" localSheetId="11" hidden="1">{#N/A,#N/A,FALSE,"Assessment";#N/A,#N/A,FALSE,"Staffing";#N/A,#N/A,FALSE,"Hires";#N/A,#N/A,FALSE,"Assumptions"}</definedName>
    <definedName name="__hom1" localSheetId="14" hidden="1">{#N/A,#N/A,FALSE,"Assessment";#N/A,#N/A,FALSE,"Staffing";#N/A,#N/A,FALSE,"Hires";#N/A,#N/A,FALSE,"Assumptions"}</definedName>
    <definedName name="__hom1" localSheetId="18" hidden="1">{#N/A,#N/A,FALSE,"Assessment";#N/A,#N/A,FALSE,"Staffing";#N/A,#N/A,FALSE,"Hires";#N/A,#N/A,FALSE,"Assumptions"}</definedName>
    <definedName name="__hom1" localSheetId="26" hidden="1">{#N/A,#N/A,FALSE,"Assessment";#N/A,#N/A,FALSE,"Staffing";#N/A,#N/A,FALSE,"Hires";#N/A,#N/A,FALSE,"Assumptions"}</definedName>
    <definedName name="__hom1" localSheetId="31" hidden="1">{#N/A,#N/A,FALSE,"Assessment";#N/A,#N/A,FALSE,"Staffing";#N/A,#N/A,FALSE,"Hires";#N/A,#N/A,FALSE,"Assumptions"}</definedName>
    <definedName name="__hom1" localSheetId="38" hidden="1">{#N/A,#N/A,FALSE,"Assessment";#N/A,#N/A,FALSE,"Staffing";#N/A,#N/A,FALSE,"Hires";#N/A,#N/A,FALSE,"Assumptions"}</definedName>
    <definedName name="__hom1" localSheetId="46" hidden="1">{#N/A,#N/A,FALSE,"Assessment";#N/A,#N/A,FALSE,"Staffing";#N/A,#N/A,FALSE,"Hires";#N/A,#N/A,FALSE,"Assumptions"}</definedName>
    <definedName name="__hom1" localSheetId="75" hidden="1">{#N/A,#N/A,FALSE,"Assessment";#N/A,#N/A,FALSE,"Staffing";#N/A,#N/A,FALSE,"Hires";#N/A,#N/A,FALSE,"Assumptions"}</definedName>
    <definedName name="__hom1" localSheetId="76" hidden="1">{#N/A,#N/A,FALSE,"Assessment";#N/A,#N/A,FALSE,"Staffing";#N/A,#N/A,FALSE,"Hires";#N/A,#N/A,FALSE,"Assumptions"}</definedName>
    <definedName name="__hom1" localSheetId="12" hidden="1">{#N/A,#N/A,FALSE,"Assessment";#N/A,#N/A,FALSE,"Staffing";#N/A,#N/A,FALSE,"Hires";#N/A,#N/A,FALSE,"Assumptions"}</definedName>
    <definedName name="__hom1" localSheetId="4"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5" hidden="1">{#N/A,#N/A,FALSE,"Assessment";#N/A,#N/A,FALSE,"Staffing";#N/A,#N/A,FALSE,"Hires";#N/A,#N/A,FALSE,"Assumptions"}</definedName>
    <definedName name="__kk1" localSheetId="6" hidden="1">{#N/A,#N/A,FALSE,"Assessment";#N/A,#N/A,FALSE,"Staffing";#N/A,#N/A,FALSE,"Hires";#N/A,#N/A,FALSE,"Assumptions"}</definedName>
    <definedName name="__kk1" localSheetId="10" hidden="1">{#N/A,#N/A,FALSE,"Assessment";#N/A,#N/A,FALSE,"Staffing";#N/A,#N/A,FALSE,"Hires";#N/A,#N/A,FALSE,"Assumptions"}</definedName>
    <definedName name="__kk1" localSheetId="11" hidden="1">{#N/A,#N/A,FALSE,"Assessment";#N/A,#N/A,FALSE,"Staffing";#N/A,#N/A,FALSE,"Hires";#N/A,#N/A,FALSE,"Assumptions"}</definedName>
    <definedName name="__kk1" localSheetId="14" hidden="1">{#N/A,#N/A,FALSE,"Assessment";#N/A,#N/A,FALSE,"Staffing";#N/A,#N/A,FALSE,"Hires";#N/A,#N/A,FALSE,"Assumptions"}</definedName>
    <definedName name="__kk1" localSheetId="18" hidden="1">{#N/A,#N/A,FALSE,"Assessment";#N/A,#N/A,FALSE,"Staffing";#N/A,#N/A,FALSE,"Hires";#N/A,#N/A,FALSE,"Assumptions"}</definedName>
    <definedName name="__kk1" localSheetId="26" hidden="1">{#N/A,#N/A,FALSE,"Assessment";#N/A,#N/A,FALSE,"Staffing";#N/A,#N/A,FALSE,"Hires";#N/A,#N/A,FALSE,"Assumptions"}</definedName>
    <definedName name="__kk1" localSheetId="31" hidden="1">{#N/A,#N/A,FALSE,"Assessment";#N/A,#N/A,FALSE,"Staffing";#N/A,#N/A,FALSE,"Hires";#N/A,#N/A,FALSE,"Assumptions"}</definedName>
    <definedName name="__kk1" localSheetId="38" hidden="1">{#N/A,#N/A,FALSE,"Assessment";#N/A,#N/A,FALSE,"Staffing";#N/A,#N/A,FALSE,"Hires";#N/A,#N/A,FALSE,"Assumptions"}</definedName>
    <definedName name="__kk1" localSheetId="46" hidden="1">{#N/A,#N/A,FALSE,"Assessment";#N/A,#N/A,FALSE,"Staffing";#N/A,#N/A,FALSE,"Hires";#N/A,#N/A,FALSE,"Assumptions"}</definedName>
    <definedName name="__kk1" localSheetId="75" hidden="1">{#N/A,#N/A,FALSE,"Assessment";#N/A,#N/A,FALSE,"Staffing";#N/A,#N/A,FALSE,"Hires";#N/A,#N/A,FALSE,"Assumptions"}</definedName>
    <definedName name="__kk1" localSheetId="76" hidden="1">{#N/A,#N/A,FALSE,"Assessment";#N/A,#N/A,FALSE,"Staffing";#N/A,#N/A,FALSE,"Hires";#N/A,#N/A,FALSE,"Assumptions"}</definedName>
    <definedName name="__kk1" localSheetId="12" hidden="1">{#N/A,#N/A,FALSE,"Assessment";#N/A,#N/A,FALSE,"Staffing";#N/A,#N/A,FALSE,"Hires";#N/A,#N/A,FALSE,"Assumptions"}</definedName>
    <definedName name="__kk1" localSheetId="4" hidden="1">{#N/A,#N/A,FALSE,"Assessment";#N/A,#N/A,FALSE,"Staffing";#N/A,#N/A,FALSE,"Hires";#N/A,#N/A,FALSE,"Assumptions"}</definedName>
    <definedName name="__kk1" hidden="1">{#N/A,#N/A,FALSE,"Assessment";#N/A,#N/A,FALSE,"Staffing";#N/A,#N/A,FALSE,"Hires";#N/A,#N/A,FALSE,"Assumptions"}</definedName>
    <definedName name="__KKK1" localSheetId="5" hidden="1">{#N/A,#N/A,FALSE,"Assessment";#N/A,#N/A,FALSE,"Staffing";#N/A,#N/A,FALSE,"Hires";#N/A,#N/A,FALSE,"Assumptions"}</definedName>
    <definedName name="__KKK1" localSheetId="6" hidden="1">{#N/A,#N/A,FALSE,"Assessment";#N/A,#N/A,FALSE,"Staffing";#N/A,#N/A,FALSE,"Hires";#N/A,#N/A,FALSE,"Assumptions"}</definedName>
    <definedName name="__KKK1" localSheetId="10" hidden="1">{#N/A,#N/A,FALSE,"Assessment";#N/A,#N/A,FALSE,"Staffing";#N/A,#N/A,FALSE,"Hires";#N/A,#N/A,FALSE,"Assumptions"}</definedName>
    <definedName name="__KKK1" localSheetId="11" hidden="1">{#N/A,#N/A,FALSE,"Assessment";#N/A,#N/A,FALSE,"Staffing";#N/A,#N/A,FALSE,"Hires";#N/A,#N/A,FALSE,"Assumptions"}</definedName>
    <definedName name="__KKK1" localSheetId="14" hidden="1">{#N/A,#N/A,FALSE,"Assessment";#N/A,#N/A,FALSE,"Staffing";#N/A,#N/A,FALSE,"Hires";#N/A,#N/A,FALSE,"Assumptions"}</definedName>
    <definedName name="__KKK1" localSheetId="18" hidden="1">{#N/A,#N/A,FALSE,"Assessment";#N/A,#N/A,FALSE,"Staffing";#N/A,#N/A,FALSE,"Hires";#N/A,#N/A,FALSE,"Assumptions"}</definedName>
    <definedName name="__KKK1" localSheetId="26" hidden="1">{#N/A,#N/A,FALSE,"Assessment";#N/A,#N/A,FALSE,"Staffing";#N/A,#N/A,FALSE,"Hires";#N/A,#N/A,FALSE,"Assumptions"}</definedName>
    <definedName name="__KKK1" localSheetId="31" hidden="1">{#N/A,#N/A,FALSE,"Assessment";#N/A,#N/A,FALSE,"Staffing";#N/A,#N/A,FALSE,"Hires";#N/A,#N/A,FALSE,"Assumptions"}</definedName>
    <definedName name="__KKK1" localSheetId="38" hidden="1">{#N/A,#N/A,FALSE,"Assessment";#N/A,#N/A,FALSE,"Staffing";#N/A,#N/A,FALSE,"Hires";#N/A,#N/A,FALSE,"Assumptions"}</definedName>
    <definedName name="__KKK1" localSheetId="46" hidden="1">{#N/A,#N/A,FALSE,"Assessment";#N/A,#N/A,FALSE,"Staffing";#N/A,#N/A,FALSE,"Hires";#N/A,#N/A,FALSE,"Assumptions"}</definedName>
    <definedName name="__KKK1" localSheetId="75" hidden="1">{#N/A,#N/A,FALSE,"Assessment";#N/A,#N/A,FALSE,"Staffing";#N/A,#N/A,FALSE,"Hires";#N/A,#N/A,FALSE,"Assumptions"}</definedName>
    <definedName name="__KKK1" localSheetId="76" hidden="1">{#N/A,#N/A,FALSE,"Assessment";#N/A,#N/A,FALSE,"Staffing";#N/A,#N/A,FALSE,"Hires";#N/A,#N/A,FALSE,"Assumptions"}</definedName>
    <definedName name="__KKK1" localSheetId="12" hidden="1">{#N/A,#N/A,FALSE,"Assessment";#N/A,#N/A,FALSE,"Staffing";#N/A,#N/A,FALSE,"Hires";#N/A,#N/A,FALSE,"Assumptions"}</definedName>
    <definedName name="__KKK1" localSheetId="4" hidden="1">{#N/A,#N/A,FALSE,"Assessment";#N/A,#N/A,FALSE,"Staffing";#N/A,#N/A,FALSE,"Hires";#N/A,#N/A,FALSE,"Assumptions"}</definedName>
    <definedName name="__KKK1" hidden="1">{#N/A,#N/A,FALSE,"Assessment";#N/A,#N/A,FALSE,"Staffing";#N/A,#N/A,FALSE,"Hires";#N/A,#N/A,FALSE,"Assumptions"}</definedName>
    <definedName name="__wrn1" localSheetId="5" hidden="1">{"holdco",#N/A,FALSE,"Summary Financials";"holdco",#N/A,FALSE,"Summary Financials"}</definedName>
    <definedName name="__wrn1" localSheetId="6" hidden="1">{"holdco",#N/A,FALSE,"Summary Financials";"holdco",#N/A,FALSE,"Summary Financials"}</definedName>
    <definedName name="__wrn1" localSheetId="10" hidden="1">{"holdco",#N/A,FALSE,"Summary Financials";"holdco",#N/A,FALSE,"Summary Financials"}</definedName>
    <definedName name="__wrn1" localSheetId="11" hidden="1">{"holdco",#N/A,FALSE,"Summary Financials";"holdco",#N/A,FALSE,"Summary Financials"}</definedName>
    <definedName name="__wrn1" localSheetId="14" hidden="1">{"holdco",#N/A,FALSE,"Summary Financials";"holdco",#N/A,FALSE,"Summary Financials"}</definedName>
    <definedName name="__wrn1" localSheetId="18" hidden="1">{"holdco",#N/A,FALSE,"Summary Financials";"holdco",#N/A,FALSE,"Summary Financials"}</definedName>
    <definedName name="__wrn1" localSheetId="26" hidden="1">{"holdco",#N/A,FALSE,"Summary Financials";"holdco",#N/A,FALSE,"Summary Financials"}</definedName>
    <definedName name="__wrn1" localSheetId="31" hidden="1">{"holdco",#N/A,FALSE,"Summary Financials";"holdco",#N/A,FALSE,"Summary Financials"}</definedName>
    <definedName name="__wrn1" localSheetId="38" hidden="1">{"holdco",#N/A,FALSE,"Summary Financials";"holdco",#N/A,FALSE,"Summary Financials"}</definedName>
    <definedName name="__wrn1" localSheetId="46" hidden="1">{"holdco",#N/A,FALSE,"Summary Financials";"holdco",#N/A,FALSE,"Summary Financials"}</definedName>
    <definedName name="__wrn1" localSheetId="75" hidden="1">{"holdco",#N/A,FALSE,"Summary Financials";"holdco",#N/A,FALSE,"Summary Financials"}</definedName>
    <definedName name="__wrn1" localSheetId="76" hidden="1">{"holdco",#N/A,FALSE,"Summary Financials";"holdco",#N/A,FALSE,"Summary Financials"}</definedName>
    <definedName name="__wrn1" localSheetId="12" hidden="1">{"holdco",#N/A,FALSE,"Summary Financials";"holdco",#N/A,FALSE,"Summary Financials"}</definedName>
    <definedName name="__wrn1" localSheetId="4" hidden="1">{"holdco",#N/A,FALSE,"Summary Financials";"holdco",#N/A,FALSE,"Summary Financials"}</definedName>
    <definedName name="__wrn1" hidden="1">{"holdco",#N/A,FALSE,"Summary Financials";"holdco",#N/A,FALSE,"Summary Financials"}</definedName>
    <definedName name="__wrn2" localSheetId="5" hidden="1">{"holdco",#N/A,FALSE,"Summary Financials";"holdco",#N/A,FALSE,"Summary Financials"}</definedName>
    <definedName name="__wrn2" localSheetId="6" hidden="1">{"holdco",#N/A,FALSE,"Summary Financials";"holdco",#N/A,FALSE,"Summary Financials"}</definedName>
    <definedName name="__wrn2" localSheetId="10" hidden="1">{"holdco",#N/A,FALSE,"Summary Financials";"holdco",#N/A,FALSE,"Summary Financials"}</definedName>
    <definedName name="__wrn2" localSheetId="11" hidden="1">{"holdco",#N/A,FALSE,"Summary Financials";"holdco",#N/A,FALSE,"Summary Financials"}</definedName>
    <definedName name="__wrn2" localSheetId="14" hidden="1">{"holdco",#N/A,FALSE,"Summary Financials";"holdco",#N/A,FALSE,"Summary Financials"}</definedName>
    <definedName name="__wrn2" localSheetId="18" hidden="1">{"holdco",#N/A,FALSE,"Summary Financials";"holdco",#N/A,FALSE,"Summary Financials"}</definedName>
    <definedName name="__wrn2" localSheetId="26" hidden="1">{"holdco",#N/A,FALSE,"Summary Financials";"holdco",#N/A,FALSE,"Summary Financials"}</definedName>
    <definedName name="__wrn2" localSheetId="31" hidden="1">{"holdco",#N/A,FALSE,"Summary Financials";"holdco",#N/A,FALSE,"Summary Financials"}</definedName>
    <definedName name="__wrn2" localSheetId="38" hidden="1">{"holdco",#N/A,FALSE,"Summary Financials";"holdco",#N/A,FALSE,"Summary Financials"}</definedName>
    <definedName name="__wrn2" localSheetId="46" hidden="1">{"holdco",#N/A,FALSE,"Summary Financials";"holdco",#N/A,FALSE,"Summary Financials"}</definedName>
    <definedName name="__wrn2" localSheetId="75" hidden="1">{"holdco",#N/A,FALSE,"Summary Financials";"holdco",#N/A,FALSE,"Summary Financials"}</definedName>
    <definedName name="__wrn2" localSheetId="76" hidden="1">{"holdco",#N/A,FALSE,"Summary Financials";"holdco",#N/A,FALSE,"Summary Financials"}</definedName>
    <definedName name="__wrn2" localSheetId="12" hidden="1">{"holdco",#N/A,FALSE,"Summary Financials";"holdco",#N/A,FALSE,"Summary Financials"}</definedName>
    <definedName name="__wrn2" localSheetId="4" hidden="1">{"holdco",#N/A,FALSE,"Summary Financials";"holdco",#N/A,FALSE,"Summary Financials"}</definedName>
    <definedName name="__wrn2" hidden="1">{"holdco",#N/A,FALSE,"Summary Financials";"holdco",#N/A,FALSE,"Summary Financials"}</definedName>
    <definedName name="__wrn3" localSheetId="5" hidden="1">{"holdco",#N/A,FALSE,"Summary Financials";"holdco",#N/A,FALSE,"Summary Financials"}</definedName>
    <definedName name="__wrn3" localSheetId="6" hidden="1">{"holdco",#N/A,FALSE,"Summary Financials";"holdco",#N/A,FALSE,"Summary Financials"}</definedName>
    <definedName name="__wrn3" localSheetId="10" hidden="1">{"holdco",#N/A,FALSE,"Summary Financials";"holdco",#N/A,FALSE,"Summary Financials"}</definedName>
    <definedName name="__wrn3" localSheetId="11" hidden="1">{"holdco",#N/A,FALSE,"Summary Financials";"holdco",#N/A,FALSE,"Summary Financials"}</definedName>
    <definedName name="__wrn3" localSheetId="14" hidden="1">{"holdco",#N/A,FALSE,"Summary Financials";"holdco",#N/A,FALSE,"Summary Financials"}</definedName>
    <definedName name="__wrn3" localSheetId="18" hidden="1">{"holdco",#N/A,FALSE,"Summary Financials";"holdco",#N/A,FALSE,"Summary Financials"}</definedName>
    <definedName name="__wrn3" localSheetId="26" hidden="1">{"holdco",#N/A,FALSE,"Summary Financials";"holdco",#N/A,FALSE,"Summary Financials"}</definedName>
    <definedName name="__wrn3" localSheetId="31" hidden="1">{"holdco",#N/A,FALSE,"Summary Financials";"holdco",#N/A,FALSE,"Summary Financials"}</definedName>
    <definedName name="__wrn3" localSheetId="38" hidden="1">{"holdco",#N/A,FALSE,"Summary Financials";"holdco",#N/A,FALSE,"Summary Financials"}</definedName>
    <definedName name="__wrn3" localSheetId="46" hidden="1">{"holdco",#N/A,FALSE,"Summary Financials";"holdco",#N/A,FALSE,"Summary Financials"}</definedName>
    <definedName name="__wrn3" localSheetId="75" hidden="1">{"holdco",#N/A,FALSE,"Summary Financials";"holdco",#N/A,FALSE,"Summary Financials"}</definedName>
    <definedName name="__wrn3" localSheetId="76" hidden="1">{"holdco",#N/A,FALSE,"Summary Financials";"holdco",#N/A,FALSE,"Summary Financials"}</definedName>
    <definedName name="__wrn3" localSheetId="12" hidden="1">{"holdco",#N/A,FALSE,"Summary Financials";"holdco",#N/A,FALSE,"Summary Financials"}</definedName>
    <definedName name="__wrn3" localSheetId="4" hidden="1">{"holdco",#N/A,FALSE,"Summary Financials";"holdco",#N/A,FALSE,"Summary Financials"}</definedName>
    <definedName name="__wrn3" hidden="1">{"holdco",#N/A,FALSE,"Summary Financials";"holdco",#N/A,FALSE,"Summary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localSheetId="6" hidden="1">{"Model Summary",#N/A,FALSE,"Print Chart";"Holdco",#N/A,FALSE,"Print Chart";"Genco",#N/A,FALSE,"Print Chart";"Servco",#N/A,FALSE,"Print Chart";"Genco_Detail",#N/A,FALSE,"Summary Financials";"Servco_Detail",#N/A,FALSE,"Summary Financials"}</definedName>
    <definedName name="__wrn7" localSheetId="10" hidden="1">{"Model Summary",#N/A,FALSE,"Print Chart";"Holdco",#N/A,FALSE,"Print Chart";"Genco",#N/A,FALSE,"Print Chart";"Servco",#N/A,FALSE,"Print Chart";"Genco_Detail",#N/A,FALSE,"Summary Financials";"Servco_Detail",#N/A,FALSE,"Summary Financials"}</definedName>
    <definedName name="__wrn7" localSheetId="11" hidden="1">{"Model Summary",#N/A,FALSE,"Print Chart";"Holdco",#N/A,FALSE,"Print Chart";"Genco",#N/A,FALSE,"Print Chart";"Servco",#N/A,FALSE,"Print Chart";"Genco_Detail",#N/A,FALSE,"Summary Financials";"Servco_Detail",#N/A,FALSE,"Summary Financials"}</definedName>
    <definedName name="__wrn7" localSheetId="14" hidden="1">{"Model Summary",#N/A,FALSE,"Print Chart";"Holdco",#N/A,FALSE,"Print Chart";"Genco",#N/A,FALSE,"Print Chart";"Servco",#N/A,FALSE,"Print Chart";"Genco_Detail",#N/A,FALSE,"Summary Financials";"Servco_Detail",#N/A,FALSE,"Summary Financials"}</definedName>
    <definedName name="__wrn7" localSheetId="18" hidden="1">{"Model Summary",#N/A,FALSE,"Print Chart";"Holdco",#N/A,FALSE,"Print Chart";"Genco",#N/A,FALSE,"Print Chart";"Servco",#N/A,FALSE,"Print Chart";"Genco_Detail",#N/A,FALSE,"Summary Financials";"Servco_Detail",#N/A,FALSE,"Summary Financials"}</definedName>
    <definedName name="__wrn7" localSheetId="26" hidden="1">{"Model Summary",#N/A,FALSE,"Print Chart";"Holdco",#N/A,FALSE,"Print Chart";"Genco",#N/A,FALSE,"Print Chart";"Servco",#N/A,FALSE,"Print Chart";"Genco_Detail",#N/A,FALSE,"Summary Financials";"Servco_Detail",#N/A,FALSE,"Summary Financials"}</definedName>
    <definedName name="__wrn7" localSheetId="31" hidden="1">{"Model Summary",#N/A,FALSE,"Print Chart";"Holdco",#N/A,FALSE,"Print Chart";"Genco",#N/A,FALSE,"Print Chart";"Servco",#N/A,FALSE,"Print Chart";"Genco_Detail",#N/A,FALSE,"Summary Financials";"Servco_Detail",#N/A,FALSE,"Summary Financials"}</definedName>
    <definedName name="__wrn7" localSheetId="38" hidden="1">{"Model Summary",#N/A,FALSE,"Print Chart";"Holdco",#N/A,FALSE,"Print Chart";"Genco",#N/A,FALSE,"Print Chart";"Servco",#N/A,FALSE,"Print Chart";"Genco_Detail",#N/A,FALSE,"Summary Financials";"Servco_Detail",#N/A,FALSE,"Summary Financials"}</definedName>
    <definedName name="__wrn7" localSheetId="46" hidden="1">{"Model Summary",#N/A,FALSE,"Print Chart";"Holdco",#N/A,FALSE,"Print Chart";"Genco",#N/A,FALSE,"Print Chart";"Servco",#N/A,FALSE,"Print Chart";"Genco_Detail",#N/A,FALSE,"Summary Financials";"Servco_Detail",#N/A,FALSE,"Summary Financials"}</definedName>
    <definedName name="__wrn7" localSheetId="75" hidden="1">{"Model Summary",#N/A,FALSE,"Print Chart";"Holdco",#N/A,FALSE,"Print Chart";"Genco",#N/A,FALSE,"Print Chart";"Servco",#N/A,FALSE,"Print Chart";"Genco_Detail",#N/A,FALSE,"Summary Financials";"Servco_Detail",#N/A,FALSE,"Summary Financials"}</definedName>
    <definedName name="__wrn7" localSheetId="76" hidden="1">{"Model Summary",#N/A,FALSE,"Print Chart";"Holdco",#N/A,FALSE,"Print Chart";"Genco",#N/A,FALSE,"Print Chart";"Servco",#N/A,FALSE,"Print Chart";"Genco_Detail",#N/A,FALSE,"Summary Financials";"Servco_Detail",#N/A,FALSE,"Summary Financials"}</definedName>
    <definedName name="__wrn7" localSheetId="12" hidden="1">{"Model Summary",#N/A,FALSE,"Print Chart";"Holdco",#N/A,FALSE,"Print Chart";"Genco",#N/A,FALSE,"Print Chart";"Servco",#N/A,FALSE,"Print Chart";"Genco_Detail",#N/A,FALSE,"Summary Financials";"Servco_Detail",#N/A,FALSE,"Summary Financials"}</definedName>
    <definedName name="__wrn7" localSheetId="4"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5" hidden="1">{"holdco",#N/A,FALSE,"Summary Financials";"holdco",#N/A,FALSE,"Summary Financials"}</definedName>
    <definedName name="__wrn8" localSheetId="6" hidden="1">{"holdco",#N/A,FALSE,"Summary Financials";"holdco",#N/A,FALSE,"Summary Financials"}</definedName>
    <definedName name="__wrn8" localSheetId="10" hidden="1">{"holdco",#N/A,FALSE,"Summary Financials";"holdco",#N/A,FALSE,"Summary Financials"}</definedName>
    <definedName name="__wrn8" localSheetId="11" hidden="1">{"holdco",#N/A,FALSE,"Summary Financials";"holdco",#N/A,FALSE,"Summary Financials"}</definedName>
    <definedName name="__wrn8" localSheetId="14" hidden="1">{"holdco",#N/A,FALSE,"Summary Financials";"holdco",#N/A,FALSE,"Summary Financials"}</definedName>
    <definedName name="__wrn8" localSheetId="18" hidden="1">{"holdco",#N/A,FALSE,"Summary Financials";"holdco",#N/A,FALSE,"Summary Financials"}</definedName>
    <definedName name="__wrn8" localSheetId="26" hidden="1">{"holdco",#N/A,FALSE,"Summary Financials";"holdco",#N/A,FALSE,"Summary Financials"}</definedName>
    <definedName name="__wrn8" localSheetId="31" hidden="1">{"holdco",#N/A,FALSE,"Summary Financials";"holdco",#N/A,FALSE,"Summary Financials"}</definedName>
    <definedName name="__wrn8" localSheetId="38" hidden="1">{"holdco",#N/A,FALSE,"Summary Financials";"holdco",#N/A,FALSE,"Summary Financials"}</definedName>
    <definedName name="__wrn8" localSheetId="46" hidden="1">{"holdco",#N/A,FALSE,"Summary Financials";"holdco",#N/A,FALSE,"Summary Financials"}</definedName>
    <definedName name="__wrn8" localSheetId="75" hidden="1">{"holdco",#N/A,FALSE,"Summary Financials";"holdco",#N/A,FALSE,"Summary Financials"}</definedName>
    <definedName name="__wrn8" localSheetId="76" hidden="1">{"holdco",#N/A,FALSE,"Summary Financials";"holdco",#N/A,FALSE,"Summary Financials"}</definedName>
    <definedName name="__wrn8" localSheetId="12" hidden="1">{"holdco",#N/A,FALSE,"Summary Financials";"holdco",#N/A,FALSE,"Summary Financials"}</definedName>
    <definedName name="__wrn8" localSheetId="4"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localSheetId="4" hidden="1">0</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localSheetId="4" hidden="1">0</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36" hidden="1">#REF!</definedName>
    <definedName name="_example" localSheetId="37" hidden="1">#REF!</definedName>
    <definedName name="_example" localSheetId="58" hidden="1">#REF!</definedName>
    <definedName name="_example" localSheetId="70" hidden="1">#REF!</definedName>
    <definedName name="_example" localSheetId="71" hidden="1">#REF!</definedName>
    <definedName name="_example" localSheetId="73" hidden="1">#REF!</definedName>
    <definedName name="_example" localSheetId="75" hidden="1">#REF!</definedName>
    <definedName name="_example" localSheetId="76" hidden="1">#REF!</definedName>
    <definedName name="_example" localSheetId="13" hidden="1">#REF!</definedName>
    <definedName name="_example" localSheetId="12" hidden="1">#REF!</definedName>
    <definedName name="_example" hidden="1">#REF!</definedName>
    <definedName name="_Fill" localSheetId="14" hidden="1">#REF!</definedName>
    <definedName name="_Fill" localSheetId="19" hidden="1">#REF!</definedName>
    <definedName name="_Fill" localSheetId="23" hidden="1">#REF!</definedName>
    <definedName name="_Fill" localSheetId="31" hidden="1">#REF!</definedName>
    <definedName name="_Fill" localSheetId="36" hidden="1">#REF!</definedName>
    <definedName name="_Fill" localSheetId="37" hidden="1">#REF!</definedName>
    <definedName name="_Fill" localSheetId="38" hidden="1">#REF!</definedName>
    <definedName name="_Fill" localSheetId="45" hidden="1">#REF!</definedName>
    <definedName name="_Fill" localSheetId="46" hidden="1">#REF!</definedName>
    <definedName name="_Fill" localSheetId="48" hidden="1">#REF!</definedName>
    <definedName name="_Fill" localSheetId="49" hidden="1">#REF!</definedName>
    <definedName name="_Fill" localSheetId="50" hidden="1">#REF!</definedName>
    <definedName name="_Fill" localSheetId="51" hidden="1">#REF!</definedName>
    <definedName name="_Fill" localSheetId="52" hidden="1">#REF!</definedName>
    <definedName name="_Fill" localSheetId="54" hidden="1">#REF!</definedName>
    <definedName name="_Fill" localSheetId="55" hidden="1">#REF!</definedName>
    <definedName name="_Fill" localSheetId="56" hidden="1">#REF!</definedName>
    <definedName name="_Fill" localSheetId="57" hidden="1">#REF!</definedName>
    <definedName name="_Fill" localSheetId="58" hidden="1">#REF!</definedName>
    <definedName name="_Fill" localSheetId="70" hidden="1">#REF!</definedName>
    <definedName name="_Fill" localSheetId="71" hidden="1">#REF!</definedName>
    <definedName name="_Fill" localSheetId="73" hidden="1">#REF!</definedName>
    <definedName name="_Fill" localSheetId="75" hidden="1">#REF!</definedName>
    <definedName name="_Fill" localSheetId="76" hidden="1">#REF!</definedName>
    <definedName name="_Fill" localSheetId="13" hidden="1">#REF!</definedName>
    <definedName name="_Fill" localSheetId="12" hidden="1">#REF!</definedName>
    <definedName name="_Fill" localSheetId="4" hidden="1">#REF!</definedName>
    <definedName name="_Fill" hidden="1">#REF!</definedName>
    <definedName name="_xlnm._FilterDatabase" localSheetId="2" hidden="1">Changes_Log!$B$5:$G$122</definedName>
    <definedName name="_Key1" localSheetId="14" hidden="1">#REF!</definedName>
    <definedName name="_Key1" localSheetId="19" hidden="1">#REF!</definedName>
    <definedName name="_Key1" localSheetId="23" hidden="1">#REF!</definedName>
    <definedName name="_Key1" localSheetId="31" hidden="1">#REF!</definedName>
    <definedName name="_Key1" localSheetId="36" hidden="1">#REF!</definedName>
    <definedName name="_Key1" localSheetId="37" hidden="1">#REF!</definedName>
    <definedName name="_Key1" localSheetId="38" hidden="1">#REF!</definedName>
    <definedName name="_Key1" localSheetId="45" hidden="1">#REF!</definedName>
    <definedName name="_Key1" localSheetId="46" hidden="1">#REF!</definedName>
    <definedName name="_Key1" localSheetId="48" hidden="1">#REF!</definedName>
    <definedName name="_Key1" localSheetId="49" hidden="1">#REF!</definedName>
    <definedName name="_Key1" localSheetId="50" hidden="1">#REF!</definedName>
    <definedName name="_Key1" localSheetId="51" hidden="1">#REF!</definedName>
    <definedName name="_Key1" localSheetId="52" hidden="1">#REF!</definedName>
    <definedName name="_Key1" localSheetId="54" hidden="1">#REF!</definedName>
    <definedName name="_Key1" localSheetId="55" hidden="1">#REF!</definedName>
    <definedName name="_Key1" localSheetId="56" hidden="1">#REF!</definedName>
    <definedName name="_Key1" localSheetId="57" hidden="1">#REF!</definedName>
    <definedName name="_Key1" localSheetId="58" hidden="1">#REF!</definedName>
    <definedName name="_Key1" localSheetId="70" hidden="1">#REF!</definedName>
    <definedName name="_Key1" localSheetId="71" hidden="1">#REF!</definedName>
    <definedName name="_Key1" localSheetId="73" hidden="1">#REF!</definedName>
    <definedName name="_Key1" localSheetId="75" hidden="1">#REF!</definedName>
    <definedName name="_Key1" localSheetId="76" hidden="1">#REF!</definedName>
    <definedName name="_Key1" localSheetId="13" hidden="1">#REF!</definedName>
    <definedName name="_Key1" localSheetId="12" hidden="1">#REF!</definedName>
    <definedName name="_Key1" localSheetId="4" hidden="1">#REF!</definedName>
    <definedName name="_Key1" hidden="1">#REF!</definedName>
    <definedName name="_Key2" localSheetId="14" hidden="1">#REF!</definedName>
    <definedName name="_Key2" localSheetId="19" hidden="1">#REF!</definedName>
    <definedName name="_Key2" localSheetId="23" hidden="1">#REF!</definedName>
    <definedName name="_Key2" localSheetId="31" hidden="1">#REF!</definedName>
    <definedName name="_Key2" localSheetId="36" hidden="1">#REF!</definedName>
    <definedName name="_Key2" localSheetId="37" hidden="1">#REF!</definedName>
    <definedName name="_Key2" localSheetId="38" hidden="1">#REF!</definedName>
    <definedName name="_Key2" localSheetId="45" hidden="1">#REF!</definedName>
    <definedName name="_Key2" localSheetId="46" hidden="1">#REF!</definedName>
    <definedName name="_Key2" localSheetId="48" hidden="1">#REF!</definedName>
    <definedName name="_Key2" localSheetId="49" hidden="1">#REF!</definedName>
    <definedName name="_Key2" localSheetId="50" hidden="1">#REF!</definedName>
    <definedName name="_Key2" localSheetId="51" hidden="1">#REF!</definedName>
    <definedName name="_Key2" localSheetId="52" hidden="1">#REF!</definedName>
    <definedName name="_Key2" localSheetId="54" hidden="1">#REF!</definedName>
    <definedName name="_Key2" localSheetId="55" hidden="1">#REF!</definedName>
    <definedName name="_Key2" localSheetId="56" hidden="1">#REF!</definedName>
    <definedName name="_Key2" localSheetId="57" hidden="1">#REF!</definedName>
    <definedName name="_Key2" localSheetId="58" hidden="1">#REF!</definedName>
    <definedName name="_Key2" localSheetId="70" hidden="1">#REF!</definedName>
    <definedName name="_Key2" localSheetId="71" hidden="1">#REF!</definedName>
    <definedName name="_Key2" localSheetId="73" hidden="1">#REF!</definedName>
    <definedName name="_Key2" localSheetId="75" hidden="1">#REF!</definedName>
    <definedName name="_Key2" localSheetId="76" hidden="1">#REF!</definedName>
    <definedName name="_Key2" localSheetId="13" hidden="1">#REF!</definedName>
    <definedName name="_Key2" localSheetId="12" hidden="1">#REF!</definedName>
    <definedName name="_Key2" localSheetId="4" hidden="1">#REF!</definedName>
    <definedName name="_Key2" hidden="1">#REF!</definedName>
    <definedName name="_Order1" hidden="1">255</definedName>
    <definedName name="_Order2" hidden="1">0</definedName>
    <definedName name="_Sort" localSheetId="14" hidden="1">#REF!</definedName>
    <definedName name="_Sort" localSheetId="19" hidden="1">#REF!</definedName>
    <definedName name="_Sort" localSheetId="23" hidden="1">#REF!</definedName>
    <definedName name="_Sort" localSheetId="26" hidden="1">#REF!</definedName>
    <definedName name="_Sort" localSheetId="31" hidden="1">#REF!</definedName>
    <definedName name="_Sort" localSheetId="36" hidden="1">#REF!</definedName>
    <definedName name="_Sort" localSheetId="37" hidden="1">#REF!</definedName>
    <definedName name="_Sort" localSheetId="38" hidden="1">#REF!</definedName>
    <definedName name="_Sort" localSheetId="45" hidden="1">#REF!</definedName>
    <definedName name="_Sort" localSheetId="46" hidden="1">#REF!</definedName>
    <definedName name="_Sort" localSheetId="48" hidden="1">#REF!</definedName>
    <definedName name="_Sort" localSheetId="49" hidden="1">#REF!</definedName>
    <definedName name="_Sort" localSheetId="50" hidden="1">#REF!</definedName>
    <definedName name="_Sort" localSheetId="51" hidden="1">#REF!</definedName>
    <definedName name="_Sort" localSheetId="52" hidden="1">#REF!</definedName>
    <definedName name="_Sort" localSheetId="54" hidden="1">#REF!</definedName>
    <definedName name="_Sort" localSheetId="55" hidden="1">#REF!</definedName>
    <definedName name="_Sort" localSheetId="56" hidden="1">#REF!</definedName>
    <definedName name="_Sort" localSheetId="57" hidden="1">#REF!</definedName>
    <definedName name="_Sort" localSheetId="58" hidden="1">#REF!</definedName>
    <definedName name="_Sort" localSheetId="70" hidden="1">#REF!</definedName>
    <definedName name="_Sort" localSheetId="71" hidden="1">#REF!</definedName>
    <definedName name="_Sort" localSheetId="73" hidden="1">#REF!</definedName>
    <definedName name="_Sort" localSheetId="75" hidden="1">#REF!</definedName>
    <definedName name="_Sort" localSheetId="76" hidden="1">#REF!</definedName>
    <definedName name="_Sort" localSheetId="13" hidden="1">#REF!</definedName>
    <definedName name="_Sort" localSheetId="12" hidden="1">#REF!</definedName>
    <definedName name="_Sort" localSheetId="4" hidden="1">#REF!</definedName>
    <definedName name="_Sort" hidden="1">#REF!</definedName>
    <definedName name="a" localSheetId="36" hidden="1">#REF!</definedName>
    <definedName name="a" localSheetId="37" hidden="1">#REF!</definedName>
    <definedName name="a" localSheetId="57" hidden="1">#REF!</definedName>
    <definedName name="a" localSheetId="58" hidden="1">#REF!</definedName>
    <definedName name="a" localSheetId="70" hidden="1">#REF!</definedName>
    <definedName name="a" localSheetId="71" hidden="1">#REF!</definedName>
    <definedName name="a" localSheetId="73" hidden="1">#REF!</definedName>
    <definedName name="a" localSheetId="75" hidden="1">#REF!</definedName>
    <definedName name="a" localSheetId="76" hidden="1">#REF!</definedName>
    <definedName name="a" localSheetId="13" hidden="1">#REF!</definedName>
    <definedName name="a" localSheetId="12" hidden="1">#REF!</definedName>
    <definedName name="a" localSheetId="4" hidden="1">#REF!</definedName>
    <definedName name="a" hidden="1">#REF!</definedName>
    <definedName name="AAA_duser" hidden="1">"OFF"</definedName>
    <definedName name="AAB_GSPPG" hidden="1">"AAB_Goldman Sachs PPG Chart Utilities 1.0g"</definedName>
    <definedName name="AccessDatabase" localSheetId="4" hidden="1">"C:\My Documents\MAUI MALL1.mdb"</definedName>
    <definedName name="AccessDatabase" hidden="1">"C:\DATA\KEVIN\MODELS\Model 0218.mdb"</definedName>
    <definedName name="ACwvu.CapersView." localSheetId="14" hidden="1">[3]Sheet1!#REF!</definedName>
    <definedName name="ACwvu.CapersView." localSheetId="19" hidden="1">[3]Sheet1!#REF!</definedName>
    <definedName name="ACwvu.CapersView." localSheetId="23" hidden="1">[3]Sheet1!#REF!</definedName>
    <definedName name="ACwvu.CapersView." localSheetId="26" hidden="1">[3]Sheet1!#REF!</definedName>
    <definedName name="ACwvu.CapersView." localSheetId="31" hidden="1">[3]Sheet1!#REF!</definedName>
    <definedName name="ACwvu.CapersView." localSheetId="36" hidden="1">[3]Sheet1!#REF!</definedName>
    <definedName name="ACwvu.CapersView." localSheetId="37" hidden="1">[3]Sheet1!#REF!</definedName>
    <definedName name="ACwvu.CapersView." localSheetId="38" hidden="1">[3]Sheet1!#REF!</definedName>
    <definedName name="ACwvu.CapersView." localSheetId="45" hidden="1">[3]Sheet1!#REF!</definedName>
    <definedName name="ACwvu.CapersView." localSheetId="46" hidden="1">[3]Sheet1!#REF!</definedName>
    <definedName name="ACwvu.CapersView." localSheetId="48" hidden="1">[3]Sheet1!#REF!</definedName>
    <definedName name="ACwvu.CapersView." localSheetId="49" hidden="1">[3]Sheet1!#REF!</definedName>
    <definedName name="ACwvu.CapersView." localSheetId="50" hidden="1">[3]Sheet1!#REF!</definedName>
    <definedName name="ACwvu.CapersView." localSheetId="51" hidden="1">[3]Sheet1!#REF!</definedName>
    <definedName name="ACwvu.CapersView." localSheetId="52" hidden="1">[3]Sheet1!#REF!</definedName>
    <definedName name="ACwvu.CapersView." localSheetId="54" hidden="1">[3]Sheet1!#REF!</definedName>
    <definedName name="ACwvu.CapersView." localSheetId="55" hidden="1">[3]Sheet1!#REF!</definedName>
    <definedName name="ACwvu.CapersView." localSheetId="56" hidden="1">[3]Sheet1!#REF!</definedName>
    <definedName name="ACwvu.CapersView." localSheetId="57" hidden="1">[3]Sheet1!#REF!</definedName>
    <definedName name="ACwvu.CapersView." localSheetId="58" hidden="1">[3]Sheet1!#REF!</definedName>
    <definedName name="ACwvu.CapersView." localSheetId="70" hidden="1">[3]Sheet1!#REF!</definedName>
    <definedName name="ACwvu.CapersView." localSheetId="71" hidden="1">[3]Sheet1!#REF!</definedName>
    <definedName name="ACwvu.CapersView." localSheetId="73" hidden="1">[3]Sheet1!#REF!</definedName>
    <definedName name="ACwvu.CapersView." localSheetId="75" hidden="1">[3]Sheet1!#REF!</definedName>
    <definedName name="ACwvu.CapersView." localSheetId="76" hidden="1">[3]Sheet1!#REF!</definedName>
    <definedName name="ACwvu.CapersView." localSheetId="13" hidden="1">[3]Sheet1!#REF!</definedName>
    <definedName name="ACwvu.CapersView." localSheetId="12" hidden="1">[3]Sheet1!#REF!</definedName>
    <definedName name="ACwvu.CapersView." localSheetId="4" hidden="1">[3]Sheet1!#REF!</definedName>
    <definedName name="ACwvu.CapersView." hidden="1">[3]Sheet1!#REF!</definedName>
    <definedName name="ACwvu.Japan_Capers_Ed_Pub." localSheetId="14" hidden="1">#REF!</definedName>
    <definedName name="ACwvu.Japan_Capers_Ed_Pub." localSheetId="19" hidden="1">#REF!</definedName>
    <definedName name="ACwvu.Japan_Capers_Ed_Pub." localSheetId="23" hidden="1">#REF!</definedName>
    <definedName name="ACwvu.Japan_Capers_Ed_Pub." localSheetId="26" hidden="1">#REF!</definedName>
    <definedName name="ACwvu.Japan_Capers_Ed_Pub." localSheetId="31" hidden="1">#REF!</definedName>
    <definedName name="ACwvu.Japan_Capers_Ed_Pub." localSheetId="36" hidden="1">#REF!</definedName>
    <definedName name="ACwvu.Japan_Capers_Ed_Pub." localSheetId="37" hidden="1">#REF!</definedName>
    <definedName name="ACwvu.Japan_Capers_Ed_Pub." localSheetId="38" hidden="1">#REF!</definedName>
    <definedName name="ACwvu.Japan_Capers_Ed_Pub." localSheetId="45" hidden="1">#REF!</definedName>
    <definedName name="ACwvu.Japan_Capers_Ed_Pub." localSheetId="46" hidden="1">#REF!</definedName>
    <definedName name="ACwvu.Japan_Capers_Ed_Pub." localSheetId="48" hidden="1">#REF!</definedName>
    <definedName name="ACwvu.Japan_Capers_Ed_Pub." localSheetId="49" hidden="1">#REF!</definedName>
    <definedName name="ACwvu.Japan_Capers_Ed_Pub." localSheetId="50" hidden="1">#REF!</definedName>
    <definedName name="ACwvu.Japan_Capers_Ed_Pub." localSheetId="51" hidden="1">#REF!</definedName>
    <definedName name="ACwvu.Japan_Capers_Ed_Pub." localSheetId="52" hidden="1">#REF!</definedName>
    <definedName name="ACwvu.Japan_Capers_Ed_Pub." localSheetId="54" hidden="1">#REF!</definedName>
    <definedName name="ACwvu.Japan_Capers_Ed_Pub." localSheetId="55" hidden="1">#REF!</definedName>
    <definedName name="ACwvu.Japan_Capers_Ed_Pub." localSheetId="56" hidden="1">#REF!</definedName>
    <definedName name="ACwvu.Japan_Capers_Ed_Pub." localSheetId="57" hidden="1">#REF!</definedName>
    <definedName name="ACwvu.Japan_Capers_Ed_Pub." localSheetId="58" hidden="1">#REF!</definedName>
    <definedName name="ACwvu.Japan_Capers_Ed_Pub." localSheetId="70" hidden="1">#REF!</definedName>
    <definedName name="ACwvu.Japan_Capers_Ed_Pub." localSheetId="71" hidden="1">#REF!</definedName>
    <definedName name="ACwvu.Japan_Capers_Ed_Pub." localSheetId="73" hidden="1">#REF!</definedName>
    <definedName name="ACwvu.Japan_Capers_Ed_Pub." localSheetId="75" hidden="1">#REF!</definedName>
    <definedName name="ACwvu.Japan_Capers_Ed_Pub." localSheetId="76" hidden="1">#REF!</definedName>
    <definedName name="ACwvu.Japan_Capers_Ed_Pub." localSheetId="13" hidden="1">#REF!</definedName>
    <definedName name="ACwvu.Japan_Capers_Ed_Pub." localSheetId="12" hidden="1">#REF!</definedName>
    <definedName name="ACwvu.Japan_Capers_Ed_Pub." localSheetId="4" hidden="1">#REF!</definedName>
    <definedName name="ACwvu.Japan_Capers_Ed_Pub." hidden="1">#REF!</definedName>
    <definedName name="ACwvu.KJP_CC." localSheetId="14" hidden="1">#REF!</definedName>
    <definedName name="ACwvu.KJP_CC." localSheetId="19" hidden="1">#REF!</definedName>
    <definedName name="ACwvu.KJP_CC." localSheetId="23" hidden="1">#REF!</definedName>
    <definedName name="ACwvu.KJP_CC." localSheetId="26" hidden="1">#REF!</definedName>
    <definedName name="ACwvu.KJP_CC." localSheetId="31" hidden="1">#REF!</definedName>
    <definedName name="ACwvu.KJP_CC." localSheetId="36" hidden="1">#REF!</definedName>
    <definedName name="ACwvu.KJP_CC." localSheetId="37" hidden="1">#REF!</definedName>
    <definedName name="ACwvu.KJP_CC." localSheetId="38" hidden="1">#REF!</definedName>
    <definedName name="ACwvu.KJP_CC." localSheetId="45" hidden="1">#REF!</definedName>
    <definedName name="ACwvu.KJP_CC." localSheetId="46" hidden="1">#REF!</definedName>
    <definedName name="ACwvu.KJP_CC." localSheetId="48" hidden="1">#REF!</definedName>
    <definedName name="ACwvu.KJP_CC." localSheetId="49" hidden="1">#REF!</definedName>
    <definedName name="ACwvu.KJP_CC." localSheetId="50" hidden="1">#REF!</definedName>
    <definedName name="ACwvu.KJP_CC." localSheetId="51" hidden="1">#REF!</definedName>
    <definedName name="ACwvu.KJP_CC." localSheetId="52" hidden="1">#REF!</definedName>
    <definedName name="ACwvu.KJP_CC." localSheetId="54" hidden="1">#REF!</definedName>
    <definedName name="ACwvu.KJP_CC." localSheetId="55" hidden="1">#REF!</definedName>
    <definedName name="ACwvu.KJP_CC." localSheetId="56" hidden="1">#REF!</definedName>
    <definedName name="ACwvu.KJP_CC." localSheetId="57" hidden="1">#REF!</definedName>
    <definedName name="ACwvu.KJP_CC." localSheetId="58" hidden="1">#REF!</definedName>
    <definedName name="ACwvu.KJP_CC." localSheetId="70" hidden="1">#REF!</definedName>
    <definedName name="ACwvu.KJP_CC." localSheetId="71" hidden="1">#REF!</definedName>
    <definedName name="ACwvu.KJP_CC." localSheetId="73" hidden="1">#REF!</definedName>
    <definedName name="ACwvu.KJP_CC." localSheetId="75" hidden="1">#REF!</definedName>
    <definedName name="ACwvu.KJP_CC." localSheetId="76" hidden="1">#REF!</definedName>
    <definedName name="ACwvu.KJP_CC." localSheetId="13" hidden="1">#REF!</definedName>
    <definedName name="ACwvu.KJP_CC." localSheetId="12" hidden="1">#REF!</definedName>
    <definedName name="ACwvu.KJP_CC." localSheetId="4" hidden="1">#REF!</definedName>
    <definedName name="ACwvu.KJP_CC." hidden="1">#REF!</definedName>
    <definedName name="b" localSheetId="5" hidden="1">{#N/A,#N/A,FALSE,"DI 2 YEAR MASTER SCHEDULE"}</definedName>
    <definedName name="b" localSheetId="6" hidden="1">{#N/A,#N/A,FALSE,"DI 2 YEAR MASTER SCHEDULE"}</definedName>
    <definedName name="b" localSheetId="10" hidden="1">{#N/A,#N/A,FALSE,"DI 2 YEAR MASTER SCHEDULE"}</definedName>
    <definedName name="b" localSheetId="11" hidden="1">{#N/A,#N/A,FALSE,"DI 2 YEAR MASTER SCHEDULE"}</definedName>
    <definedName name="b" localSheetId="75" hidden="1">{#N/A,#N/A,FALSE,"DI 2 YEAR MASTER SCHEDULE"}</definedName>
    <definedName name="b" localSheetId="76" hidden="1">{#N/A,#N/A,FALSE,"DI 2 YEAR MASTER SCHEDULE"}</definedName>
    <definedName name="b" localSheetId="4" hidden="1">{#N/A,#N/A,FALSE,"DI 2 YEAR MASTER SCHEDULE"}</definedName>
    <definedName name="b" hidden="1">{#N/A,#N/A,FALSE,"DI 2 YEAR MASTER SCHEDULE"}</definedName>
    <definedName name="bb" localSheetId="5" hidden="1">{#N/A,#N/A,FALSE,"PRJCTED MNTHLY QTY's"}</definedName>
    <definedName name="bb" localSheetId="6" hidden="1">{#N/A,#N/A,FALSE,"PRJCTED MNTHLY QTY's"}</definedName>
    <definedName name="bb" localSheetId="10" hidden="1">{#N/A,#N/A,FALSE,"PRJCTED MNTHLY QTY's"}</definedName>
    <definedName name="bb" localSheetId="11" hidden="1">{#N/A,#N/A,FALSE,"PRJCTED MNTHLY QTY's"}</definedName>
    <definedName name="bb" localSheetId="75" hidden="1">{#N/A,#N/A,FALSE,"PRJCTED MNTHLY QTY's"}</definedName>
    <definedName name="bb" localSheetId="76" hidden="1">{#N/A,#N/A,FALSE,"PRJCTED MNTHLY QTY's"}</definedName>
    <definedName name="bb" localSheetId="4" hidden="1">{#N/A,#N/A,FALSE,"PRJCTED MNTHLY QTY's"}</definedName>
    <definedName name="bb" hidden="1">{#N/A,#N/A,FALSE,"PRJCTED MNTHLY QTY's"}</definedName>
    <definedName name="bbbb" localSheetId="5" hidden="1">{#N/A,#N/A,FALSE,"PRJCTED QTRLY QTY's"}</definedName>
    <definedName name="bbbb" localSheetId="6" hidden="1">{#N/A,#N/A,FALSE,"PRJCTED QTRLY QTY's"}</definedName>
    <definedName name="bbbb" localSheetId="10" hidden="1">{#N/A,#N/A,FALSE,"PRJCTED QTRLY QTY's"}</definedName>
    <definedName name="bbbb" localSheetId="11" hidden="1">{#N/A,#N/A,FALSE,"PRJCTED QTRLY QTY's"}</definedName>
    <definedName name="bbbb" localSheetId="75" hidden="1">{#N/A,#N/A,FALSE,"PRJCTED QTRLY QTY's"}</definedName>
    <definedName name="bbbb" localSheetId="76" hidden="1">{#N/A,#N/A,FALSE,"PRJCTED QTRLY QTY's"}</definedName>
    <definedName name="bbbb" localSheetId="4" hidden="1">{#N/A,#N/A,FALSE,"PRJCTED QTRLY QTY's"}</definedName>
    <definedName name="bbbb" hidden="1">{#N/A,#N/A,FALSE,"PRJCTED QTRLY QTY's"}</definedName>
    <definedName name="bbbbbb" localSheetId="5" hidden="1">{#N/A,#N/A,FALSE,"PRJCTED QTRLY QTY's"}</definedName>
    <definedName name="bbbbbb" localSheetId="6" hidden="1">{#N/A,#N/A,FALSE,"PRJCTED QTRLY QTY's"}</definedName>
    <definedName name="bbbbbb" localSheetId="10" hidden="1">{#N/A,#N/A,FALSE,"PRJCTED QTRLY QTY's"}</definedName>
    <definedName name="bbbbbb" localSheetId="11" hidden="1">{#N/A,#N/A,FALSE,"PRJCTED QTRLY QTY's"}</definedName>
    <definedName name="bbbbbb" localSheetId="75" hidden="1">{#N/A,#N/A,FALSE,"PRJCTED QTRLY QTY's"}</definedName>
    <definedName name="bbbbbb" localSheetId="76" hidden="1">{#N/A,#N/A,FALSE,"PRJCTED QTRLY QTY's"}</definedName>
    <definedName name="bbbbbb" localSheetId="4" hidden="1">{#N/A,#N/A,FALSE,"PRJCTED QTRLY QTY's"}</definedName>
    <definedName name="bbbbbb" hidden="1">{#N/A,#N/A,FALSE,"PRJCTED QTRLY QTY's"}</definedName>
    <definedName name="BExEZ4HBCC06708765M8A06KCR7P" hidden="1">#N/A</definedName>
    <definedName name="BLPH1" localSheetId="14" hidden="1">[4]Sheet2!#REF!</definedName>
    <definedName name="BLPH1" localSheetId="19" hidden="1">[4]Sheet2!#REF!</definedName>
    <definedName name="BLPH1" localSheetId="23" hidden="1">[4]Sheet2!#REF!</definedName>
    <definedName name="BLPH1" localSheetId="26" hidden="1">[4]Sheet2!#REF!</definedName>
    <definedName name="BLPH1" localSheetId="31" hidden="1">[4]Sheet2!#REF!</definedName>
    <definedName name="BLPH1" localSheetId="36" hidden="1">[4]Sheet2!#REF!</definedName>
    <definedName name="BLPH1" localSheetId="37" hidden="1">[4]Sheet2!#REF!</definedName>
    <definedName name="BLPH1" localSheetId="38" hidden="1">[4]Sheet2!#REF!</definedName>
    <definedName name="BLPH1" localSheetId="45" hidden="1">[4]Sheet2!#REF!</definedName>
    <definedName name="BLPH1" localSheetId="46" hidden="1">[4]Sheet2!#REF!</definedName>
    <definedName name="BLPH1" localSheetId="48" hidden="1">[4]Sheet2!#REF!</definedName>
    <definedName name="BLPH1" localSheetId="49" hidden="1">[4]Sheet2!#REF!</definedName>
    <definedName name="BLPH1" localSheetId="50" hidden="1">[4]Sheet2!#REF!</definedName>
    <definedName name="BLPH1" localSheetId="51" hidden="1">[4]Sheet2!#REF!</definedName>
    <definedName name="BLPH1" localSheetId="52" hidden="1">[4]Sheet2!#REF!</definedName>
    <definedName name="BLPH1" localSheetId="54" hidden="1">[4]Sheet2!#REF!</definedName>
    <definedName name="BLPH1" localSheetId="55" hidden="1">[4]Sheet2!#REF!</definedName>
    <definedName name="BLPH1" localSheetId="56" hidden="1">[4]Sheet2!#REF!</definedName>
    <definedName name="BLPH1" localSheetId="57" hidden="1">[4]Sheet2!#REF!</definedName>
    <definedName name="BLPH1" localSheetId="58" hidden="1">[4]Sheet2!#REF!</definedName>
    <definedName name="BLPH1" localSheetId="70" hidden="1">[4]Sheet2!#REF!</definedName>
    <definedName name="BLPH1" localSheetId="71" hidden="1">[4]Sheet2!#REF!</definedName>
    <definedName name="BLPH1" localSheetId="73" hidden="1">[4]Sheet2!#REF!</definedName>
    <definedName name="BLPH1" localSheetId="13" hidden="1">[4]Sheet2!#REF!</definedName>
    <definedName name="BLPH1" localSheetId="12" hidden="1">[4]Sheet2!#REF!</definedName>
    <definedName name="BLPH1" hidden="1">[4]Sheet2!#REF!</definedName>
    <definedName name="BLPH10" localSheetId="14" hidden="1">#REF!</definedName>
    <definedName name="BLPH10" localSheetId="19" hidden="1">#REF!</definedName>
    <definedName name="BLPH10" localSheetId="23" hidden="1">#REF!</definedName>
    <definedName name="BLPH10" localSheetId="26" hidden="1">#REF!</definedName>
    <definedName name="BLPH10" localSheetId="31" hidden="1">#REF!</definedName>
    <definedName name="BLPH10" localSheetId="36" hidden="1">#REF!</definedName>
    <definedName name="BLPH10" localSheetId="37" hidden="1">#REF!</definedName>
    <definedName name="BLPH10" localSheetId="38" hidden="1">#REF!</definedName>
    <definedName name="BLPH10" localSheetId="45" hidden="1">#REF!</definedName>
    <definedName name="BLPH10" localSheetId="46" hidden="1">#REF!</definedName>
    <definedName name="BLPH10" localSheetId="48" hidden="1">#REF!</definedName>
    <definedName name="BLPH10" localSheetId="49" hidden="1">#REF!</definedName>
    <definedName name="BLPH10" localSheetId="50" hidden="1">#REF!</definedName>
    <definedName name="BLPH10" localSheetId="51" hidden="1">#REF!</definedName>
    <definedName name="BLPH10" localSheetId="52" hidden="1">#REF!</definedName>
    <definedName name="BLPH10" localSheetId="54" hidden="1">#REF!</definedName>
    <definedName name="BLPH10" localSheetId="55" hidden="1">#REF!</definedName>
    <definedName name="BLPH10" localSheetId="56" hidden="1">#REF!</definedName>
    <definedName name="BLPH10" localSheetId="57" hidden="1">#REF!</definedName>
    <definedName name="BLPH10" localSheetId="58" hidden="1">#REF!</definedName>
    <definedName name="BLPH10" localSheetId="70" hidden="1">#REF!</definedName>
    <definedName name="BLPH10" localSheetId="71" hidden="1">#REF!</definedName>
    <definedName name="BLPH10" localSheetId="73" hidden="1">#REF!</definedName>
    <definedName name="BLPH10" localSheetId="75" hidden="1">#REF!</definedName>
    <definedName name="BLPH10" localSheetId="76" hidden="1">#REF!</definedName>
    <definedName name="BLPH10" localSheetId="13" hidden="1">#REF!</definedName>
    <definedName name="BLPH10" localSheetId="12" hidden="1">#REF!</definedName>
    <definedName name="BLPH10" localSheetId="4" hidden="1">#REF!</definedName>
    <definedName name="BLPH10" hidden="1">#REF!</definedName>
    <definedName name="BLPH100" localSheetId="14" hidden="1">#REF!</definedName>
    <definedName name="BLPH100" localSheetId="19" hidden="1">#REF!</definedName>
    <definedName name="BLPH100" localSheetId="23" hidden="1">#REF!</definedName>
    <definedName name="BLPH100" localSheetId="26" hidden="1">#REF!</definedName>
    <definedName name="BLPH100" localSheetId="31" hidden="1">#REF!</definedName>
    <definedName name="BLPH100" localSheetId="36" hidden="1">#REF!</definedName>
    <definedName name="BLPH100" localSheetId="37" hidden="1">#REF!</definedName>
    <definedName name="BLPH100" localSheetId="38" hidden="1">#REF!</definedName>
    <definedName name="BLPH100" localSheetId="45" hidden="1">#REF!</definedName>
    <definedName name="BLPH100" localSheetId="46" hidden="1">#REF!</definedName>
    <definedName name="BLPH100" localSheetId="48" hidden="1">#REF!</definedName>
    <definedName name="BLPH100" localSheetId="49" hidden="1">#REF!</definedName>
    <definedName name="BLPH100" localSheetId="50" hidden="1">#REF!</definedName>
    <definedName name="BLPH100" localSheetId="51" hidden="1">#REF!</definedName>
    <definedName name="BLPH100" localSheetId="52" hidden="1">#REF!</definedName>
    <definedName name="BLPH100" localSheetId="54" hidden="1">#REF!</definedName>
    <definedName name="BLPH100" localSheetId="55" hidden="1">#REF!</definedName>
    <definedName name="BLPH100" localSheetId="56" hidden="1">#REF!</definedName>
    <definedName name="BLPH100" localSheetId="57" hidden="1">#REF!</definedName>
    <definedName name="BLPH100" localSheetId="58" hidden="1">#REF!</definedName>
    <definedName name="BLPH100" localSheetId="70" hidden="1">#REF!</definedName>
    <definedName name="BLPH100" localSheetId="71" hidden="1">#REF!</definedName>
    <definedName name="BLPH100" localSheetId="73" hidden="1">#REF!</definedName>
    <definedName name="BLPH100" localSheetId="75" hidden="1">#REF!</definedName>
    <definedName name="BLPH100" localSheetId="76" hidden="1">#REF!</definedName>
    <definedName name="BLPH100" localSheetId="13" hidden="1">#REF!</definedName>
    <definedName name="BLPH100" localSheetId="12" hidden="1">#REF!</definedName>
    <definedName name="BLPH100" localSheetId="4" hidden="1">#REF!</definedName>
    <definedName name="BLPH100" hidden="1">#REF!</definedName>
    <definedName name="BLPH101" localSheetId="14" hidden="1">#REF!</definedName>
    <definedName name="BLPH101" localSheetId="19" hidden="1">#REF!</definedName>
    <definedName name="BLPH101" localSheetId="23" hidden="1">#REF!</definedName>
    <definedName name="BLPH101" localSheetId="26" hidden="1">#REF!</definedName>
    <definedName name="BLPH101" localSheetId="31" hidden="1">#REF!</definedName>
    <definedName name="BLPH101" localSheetId="36" hidden="1">#REF!</definedName>
    <definedName name="BLPH101" localSheetId="37" hidden="1">#REF!</definedName>
    <definedName name="BLPH101" localSheetId="38" hidden="1">#REF!</definedName>
    <definedName name="BLPH101" localSheetId="45" hidden="1">#REF!</definedName>
    <definedName name="BLPH101" localSheetId="46" hidden="1">#REF!</definedName>
    <definedName name="BLPH101" localSheetId="48" hidden="1">#REF!</definedName>
    <definedName name="BLPH101" localSheetId="49" hidden="1">#REF!</definedName>
    <definedName name="BLPH101" localSheetId="50" hidden="1">#REF!</definedName>
    <definedName name="BLPH101" localSheetId="51" hidden="1">#REF!</definedName>
    <definedName name="BLPH101" localSheetId="52" hidden="1">#REF!</definedName>
    <definedName name="BLPH101" localSheetId="54" hidden="1">#REF!</definedName>
    <definedName name="BLPH101" localSheetId="55" hidden="1">#REF!</definedName>
    <definedName name="BLPH101" localSheetId="56" hidden="1">#REF!</definedName>
    <definedName name="BLPH101" localSheetId="57" hidden="1">#REF!</definedName>
    <definedName name="BLPH101" localSheetId="58" hidden="1">#REF!</definedName>
    <definedName name="BLPH101" localSheetId="70" hidden="1">#REF!</definedName>
    <definedName name="BLPH101" localSheetId="71" hidden="1">#REF!</definedName>
    <definedName name="BLPH101" localSheetId="73" hidden="1">#REF!</definedName>
    <definedName name="BLPH101" localSheetId="75" hidden="1">#REF!</definedName>
    <definedName name="BLPH101" localSheetId="76" hidden="1">#REF!</definedName>
    <definedName name="BLPH101" localSheetId="13" hidden="1">#REF!</definedName>
    <definedName name="BLPH101" localSheetId="12" hidden="1">#REF!</definedName>
    <definedName name="BLPH101" localSheetId="4" hidden="1">#REF!</definedName>
    <definedName name="BLPH101" hidden="1">#REF!</definedName>
    <definedName name="BLPH102" localSheetId="14" hidden="1">#REF!</definedName>
    <definedName name="BLPH102" localSheetId="19" hidden="1">#REF!</definedName>
    <definedName name="BLPH102" localSheetId="23" hidden="1">#REF!</definedName>
    <definedName name="BLPH102" localSheetId="31" hidden="1">#REF!</definedName>
    <definedName name="BLPH102" localSheetId="36" hidden="1">#REF!</definedName>
    <definedName name="BLPH102" localSheetId="37" hidden="1">#REF!</definedName>
    <definedName name="BLPH102" localSheetId="38" hidden="1">#REF!</definedName>
    <definedName name="BLPH102" localSheetId="45" hidden="1">#REF!</definedName>
    <definedName name="BLPH102" localSheetId="46" hidden="1">#REF!</definedName>
    <definedName name="BLPH102" localSheetId="48" hidden="1">#REF!</definedName>
    <definedName name="BLPH102" localSheetId="49" hidden="1">#REF!</definedName>
    <definedName name="BLPH102" localSheetId="50" hidden="1">#REF!</definedName>
    <definedName name="BLPH102" localSheetId="51" hidden="1">#REF!</definedName>
    <definedName name="BLPH102" localSheetId="52" hidden="1">#REF!</definedName>
    <definedName name="BLPH102" localSheetId="54" hidden="1">#REF!</definedName>
    <definedName name="BLPH102" localSheetId="55" hidden="1">#REF!</definedName>
    <definedName name="BLPH102" localSheetId="56" hidden="1">#REF!</definedName>
    <definedName name="BLPH102" localSheetId="57" hidden="1">#REF!</definedName>
    <definedName name="BLPH102" localSheetId="58" hidden="1">#REF!</definedName>
    <definedName name="BLPH102" localSheetId="70" hidden="1">#REF!</definedName>
    <definedName name="BLPH102" localSheetId="71" hidden="1">#REF!</definedName>
    <definedName name="BLPH102" localSheetId="73" hidden="1">#REF!</definedName>
    <definedName name="BLPH102" localSheetId="75" hidden="1">#REF!</definedName>
    <definedName name="BLPH102" localSheetId="76" hidden="1">#REF!</definedName>
    <definedName name="BLPH102" localSheetId="13" hidden="1">#REF!</definedName>
    <definedName name="BLPH102" localSheetId="12" hidden="1">#REF!</definedName>
    <definedName name="BLPH102" localSheetId="4" hidden="1">#REF!</definedName>
    <definedName name="BLPH102" hidden="1">#REF!</definedName>
    <definedName name="BLPH103" localSheetId="14" hidden="1">#REF!</definedName>
    <definedName name="BLPH103" localSheetId="19" hidden="1">#REF!</definedName>
    <definedName name="BLPH103" localSheetId="23" hidden="1">#REF!</definedName>
    <definedName name="BLPH103" localSheetId="31" hidden="1">#REF!</definedName>
    <definedName name="BLPH103" localSheetId="36" hidden="1">#REF!</definedName>
    <definedName name="BLPH103" localSheetId="37" hidden="1">#REF!</definedName>
    <definedName name="BLPH103" localSheetId="38" hidden="1">#REF!</definedName>
    <definedName name="BLPH103" localSheetId="45" hidden="1">#REF!</definedName>
    <definedName name="BLPH103" localSheetId="46" hidden="1">#REF!</definedName>
    <definedName name="BLPH103" localSheetId="48" hidden="1">#REF!</definedName>
    <definedName name="BLPH103" localSheetId="49" hidden="1">#REF!</definedName>
    <definedName name="BLPH103" localSheetId="50" hidden="1">#REF!</definedName>
    <definedName name="BLPH103" localSheetId="51" hidden="1">#REF!</definedName>
    <definedName name="BLPH103" localSheetId="52" hidden="1">#REF!</definedName>
    <definedName name="BLPH103" localSheetId="54" hidden="1">#REF!</definedName>
    <definedName name="BLPH103" localSheetId="55" hidden="1">#REF!</definedName>
    <definedName name="BLPH103" localSheetId="56" hidden="1">#REF!</definedName>
    <definedName name="BLPH103" localSheetId="57" hidden="1">#REF!</definedName>
    <definedName name="BLPH103" localSheetId="58" hidden="1">#REF!</definedName>
    <definedName name="BLPH103" localSheetId="70" hidden="1">#REF!</definedName>
    <definedName name="BLPH103" localSheetId="71" hidden="1">#REF!</definedName>
    <definedName name="BLPH103" localSheetId="73" hidden="1">#REF!</definedName>
    <definedName name="BLPH103" localSheetId="75" hidden="1">#REF!</definedName>
    <definedName name="BLPH103" localSheetId="76" hidden="1">#REF!</definedName>
    <definedName name="BLPH103" localSheetId="13" hidden="1">#REF!</definedName>
    <definedName name="BLPH103" localSheetId="12" hidden="1">#REF!</definedName>
    <definedName name="BLPH103" localSheetId="4" hidden="1">#REF!</definedName>
    <definedName name="BLPH103" hidden="1">#REF!</definedName>
    <definedName name="BLPH104" localSheetId="14" hidden="1">#REF!</definedName>
    <definedName name="BLPH104" localSheetId="19" hidden="1">#REF!</definedName>
    <definedName name="BLPH104" localSheetId="23" hidden="1">#REF!</definedName>
    <definedName name="BLPH104" localSheetId="31" hidden="1">#REF!</definedName>
    <definedName name="BLPH104" localSheetId="36" hidden="1">#REF!</definedName>
    <definedName name="BLPH104" localSheetId="37" hidden="1">#REF!</definedName>
    <definedName name="BLPH104" localSheetId="38" hidden="1">#REF!</definedName>
    <definedName name="BLPH104" localSheetId="45" hidden="1">#REF!</definedName>
    <definedName name="BLPH104" localSheetId="46" hidden="1">#REF!</definedName>
    <definedName name="BLPH104" localSheetId="48" hidden="1">#REF!</definedName>
    <definedName name="BLPH104" localSheetId="49" hidden="1">#REF!</definedName>
    <definedName name="BLPH104" localSheetId="50" hidden="1">#REF!</definedName>
    <definedName name="BLPH104" localSheetId="51" hidden="1">#REF!</definedName>
    <definedName name="BLPH104" localSheetId="52" hidden="1">#REF!</definedName>
    <definedName name="BLPH104" localSheetId="54" hidden="1">#REF!</definedName>
    <definedName name="BLPH104" localSheetId="55" hidden="1">#REF!</definedName>
    <definedName name="BLPH104" localSheetId="56" hidden="1">#REF!</definedName>
    <definedName name="BLPH104" localSheetId="57" hidden="1">#REF!</definedName>
    <definedName name="BLPH104" localSheetId="58" hidden="1">#REF!</definedName>
    <definedName name="BLPH104" localSheetId="70" hidden="1">#REF!</definedName>
    <definedName name="BLPH104" localSheetId="71" hidden="1">#REF!</definedName>
    <definedName name="BLPH104" localSheetId="73" hidden="1">#REF!</definedName>
    <definedName name="BLPH104" localSheetId="75" hidden="1">#REF!</definedName>
    <definedName name="BLPH104" localSheetId="76" hidden="1">#REF!</definedName>
    <definedName name="BLPH104" localSheetId="13" hidden="1">#REF!</definedName>
    <definedName name="BLPH104" localSheetId="12" hidden="1">#REF!</definedName>
    <definedName name="BLPH104" localSheetId="4" hidden="1">#REF!</definedName>
    <definedName name="BLPH104" hidden="1">#REF!</definedName>
    <definedName name="BLPH105" localSheetId="14" hidden="1">#REF!</definedName>
    <definedName name="BLPH105" localSheetId="19" hidden="1">#REF!</definedName>
    <definedName name="BLPH105" localSheetId="23" hidden="1">#REF!</definedName>
    <definedName name="BLPH105" localSheetId="31" hidden="1">#REF!</definedName>
    <definedName name="BLPH105" localSheetId="36" hidden="1">#REF!</definedName>
    <definedName name="BLPH105" localSheetId="37" hidden="1">#REF!</definedName>
    <definedName name="BLPH105" localSheetId="38" hidden="1">#REF!</definedName>
    <definedName name="BLPH105" localSheetId="45" hidden="1">#REF!</definedName>
    <definedName name="BLPH105" localSheetId="46" hidden="1">#REF!</definedName>
    <definedName name="BLPH105" localSheetId="48" hidden="1">#REF!</definedName>
    <definedName name="BLPH105" localSheetId="49" hidden="1">#REF!</definedName>
    <definedName name="BLPH105" localSheetId="50" hidden="1">#REF!</definedName>
    <definedName name="BLPH105" localSheetId="51" hidden="1">#REF!</definedName>
    <definedName name="BLPH105" localSheetId="52" hidden="1">#REF!</definedName>
    <definedName name="BLPH105" localSheetId="54" hidden="1">#REF!</definedName>
    <definedName name="BLPH105" localSheetId="55" hidden="1">#REF!</definedName>
    <definedName name="BLPH105" localSheetId="56" hidden="1">#REF!</definedName>
    <definedName name="BLPH105" localSheetId="57" hidden="1">#REF!</definedName>
    <definedName name="BLPH105" localSheetId="58" hidden="1">#REF!</definedName>
    <definedName name="BLPH105" localSheetId="70" hidden="1">#REF!</definedName>
    <definedName name="BLPH105" localSheetId="71" hidden="1">#REF!</definedName>
    <definedName name="BLPH105" localSheetId="73" hidden="1">#REF!</definedName>
    <definedName name="BLPH105" localSheetId="75" hidden="1">#REF!</definedName>
    <definedName name="BLPH105" localSheetId="76" hidden="1">#REF!</definedName>
    <definedName name="BLPH105" localSheetId="13" hidden="1">#REF!</definedName>
    <definedName name="BLPH105" localSheetId="12" hidden="1">#REF!</definedName>
    <definedName name="BLPH105" localSheetId="4" hidden="1">#REF!</definedName>
    <definedName name="BLPH105" hidden="1">#REF!</definedName>
    <definedName name="BLPH106" localSheetId="14" hidden="1">#REF!</definedName>
    <definedName name="BLPH106" localSheetId="19" hidden="1">#REF!</definedName>
    <definedName name="BLPH106" localSheetId="23" hidden="1">#REF!</definedName>
    <definedName name="BLPH106" localSheetId="31" hidden="1">#REF!</definedName>
    <definedName name="BLPH106" localSheetId="36" hidden="1">#REF!</definedName>
    <definedName name="BLPH106" localSheetId="37" hidden="1">#REF!</definedName>
    <definedName name="BLPH106" localSheetId="38" hidden="1">#REF!</definedName>
    <definedName name="BLPH106" localSheetId="45" hidden="1">#REF!</definedName>
    <definedName name="BLPH106" localSheetId="46" hidden="1">#REF!</definedName>
    <definedName name="BLPH106" localSheetId="48" hidden="1">#REF!</definedName>
    <definedName name="BLPH106" localSheetId="49" hidden="1">#REF!</definedName>
    <definedName name="BLPH106" localSheetId="50" hidden="1">#REF!</definedName>
    <definedName name="BLPH106" localSheetId="51" hidden="1">#REF!</definedName>
    <definedName name="BLPH106" localSheetId="52" hidden="1">#REF!</definedName>
    <definedName name="BLPH106" localSheetId="54" hidden="1">#REF!</definedName>
    <definedName name="BLPH106" localSheetId="55" hidden="1">#REF!</definedName>
    <definedName name="BLPH106" localSheetId="56" hidden="1">#REF!</definedName>
    <definedName name="BLPH106" localSheetId="57" hidden="1">#REF!</definedName>
    <definedName name="BLPH106" localSheetId="58" hidden="1">#REF!</definedName>
    <definedName name="BLPH106" localSheetId="70" hidden="1">#REF!</definedName>
    <definedName name="BLPH106" localSheetId="71" hidden="1">#REF!</definedName>
    <definedName name="BLPH106" localSheetId="73" hidden="1">#REF!</definedName>
    <definedName name="BLPH106" localSheetId="75" hidden="1">#REF!</definedName>
    <definedName name="BLPH106" localSheetId="76" hidden="1">#REF!</definedName>
    <definedName name="BLPH106" localSheetId="13" hidden="1">#REF!</definedName>
    <definedName name="BLPH106" localSheetId="12" hidden="1">#REF!</definedName>
    <definedName name="BLPH106" localSheetId="4" hidden="1">#REF!</definedName>
    <definedName name="BLPH106" hidden="1">#REF!</definedName>
    <definedName name="BLPH107" localSheetId="14" hidden="1">#REF!</definedName>
    <definedName name="BLPH107" localSheetId="19" hidden="1">#REF!</definedName>
    <definedName name="BLPH107" localSheetId="23" hidden="1">#REF!</definedName>
    <definedName name="BLPH107" localSheetId="31" hidden="1">#REF!</definedName>
    <definedName name="BLPH107" localSheetId="36" hidden="1">#REF!</definedName>
    <definedName name="BLPH107" localSheetId="37" hidden="1">#REF!</definedName>
    <definedName name="BLPH107" localSheetId="38" hidden="1">#REF!</definedName>
    <definedName name="BLPH107" localSheetId="45" hidden="1">#REF!</definedName>
    <definedName name="BLPH107" localSheetId="46" hidden="1">#REF!</definedName>
    <definedName name="BLPH107" localSheetId="48" hidden="1">#REF!</definedName>
    <definedName name="BLPH107" localSheetId="49" hidden="1">#REF!</definedName>
    <definedName name="BLPH107" localSheetId="50" hidden="1">#REF!</definedName>
    <definedName name="BLPH107" localSheetId="51" hidden="1">#REF!</definedName>
    <definedName name="BLPH107" localSheetId="52" hidden="1">#REF!</definedName>
    <definedName name="BLPH107" localSheetId="54" hidden="1">#REF!</definedName>
    <definedName name="BLPH107" localSheetId="55" hidden="1">#REF!</definedName>
    <definedName name="BLPH107" localSheetId="56" hidden="1">#REF!</definedName>
    <definedName name="BLPH107" localSheetId="57" hidden="1">#REF!</definedName>
    <definedName name="BLPH107" localSheetId="58" hidden="1">#REF!</definedName>
    <definedName name="BLPH107" localSheetId="70" hidden="1">#REF!</definedName>
    <definedName name="BLPH107" localSheetId="71" hidden="1">#REF!</definedName>
    <definedName name="BLPH107" localSheetId="73" hidden="1">#REF!</definedName>
    <definedName name="BLPH107" localSheetId="75" hidden="1">#REF!</definedName>
    <definedName name="BLPH107" localSheetId="76" hidden="1">#REF!</definedName>
    <definedName name="BLPH107" localSheetId="13" hidden="1">#REF!</definedName>
    <definedName name="BLPH107" localSheetId="12" hidden="1">#REF!</definedName>
    <definedName name="BLPH107" localSheetId="4" hidden="1">#REF!</definedName>
    <definedName name="BLPH107" hidden="1">#REF!</definedName>
    <definedName name="BLPH108" localSheetId="14" hidden="1">#REF!</definedName>
    <definedName name="BLPH108" localSheetId="19" hidden="1">#REF!</definedName>
    <definedName name="BLPH108" localSheetId="23" hidden="1">#REF!</definedName>
    <definedName name="BLPH108" localSheetId="31" hidden="1">#REF!</definedName>
    <definedName name="BLPH108" localSheetId="36" hidden="1">#REF!</definedName>
    <definedName name="BLPH108" localSheetId="37" hidden="1">#REF!</definedName>
    <definedName name="BLPH108" localSheetId="38" hidden="1">#REF!</definedName>
    <definedName name="BLPH108" localSheetId="45" hidden="1">#REF!</definedName>
    <definedName name="BLPH108" localSheetId="46" hidden="1">#REF!</definedName>
    <definedName name="BLPH108" localSheetId="48" hidden="1">#REF!</definedName>
    <definedName name="BLPH108" localSheetId="49" hidden="1">#REF!</definedName>
    <definedName name="BLPH108" localSheetId="50" hidden="1">#REF!</definedName>
    <definedName name="BLPH108" localSheetId="51" hidden="1">#REF!</definedName>
    <definedName name="BLPH108" localSheetId="52" hidden="1">#REF!</definedName>
    <definedName name="BLPH108" localSheetId="54" hidden="1">#REF!</definedName>
    <definedName name="BLPH108" localSheetId="55" hidden="1">#REF!</definedName>
    <definedName name="BLPH108" localSheetId="56" hidden="1">#REF!</definedName>
    <definedName name="BLPH108" localSheetId="57" hidden="1">#REF!</definedName>
    <definedName name="BLPH108" localSheetId="58" hidden="1">#REF!</definedName>
    <definedName name="BLPH108" localSheetId="70" hidden="1">#REF!</definedName>
    <definedName name="BLPH108" localSheetId="71" hidden="1">#REF!</definedName>
    <definedName name="BLPH108" localSheetId="73" hidden="1">#REF!</definedName>
    <definedName name="BLPH108" localSheetId="75" hidden="1">#REF!</definedName>
    <definedName name="BLPH108" localSheetId="76" hidden="1">#REF!</definedName>
    <definedName name="BLPH108" localSheetId="13" hidden="1">#REF!</definedName>
    <definedName name="BLPH108" localSheetId="12" hidden="1">#REF!</definedName>
    <definedName name="BLPH108" localSheetId="4" hidden="1">#REF!</definedName>
    <definedName name="BLPH108" hidden="1">#REF!</definedName>
    <definedName name="BLPH109" localSheetId="14" hidden="1">#REF!</definedName>
    <definedName name="BLPH109" localSheetId="19" hidden="1">#REF!</definedName>
    <definedName name="BLPH109" localSheetId="23" hidden="1">#REF!</definedName>
    <definedName name="BLPH109" localSheetId="31" hidden="1">#REF!</definedName>
    <definedName name="BLPH109" localSheetId="36" hidden="1">#REF!</definedName>
    <definedName name="BLPH109" localSheetId="37" hidden="1">#REF!</definedName>
    <definedName name="BLPH109" localSheetId="38" hidden="1">#REF!</definedName>
    <definedName name="BLPH109" localSheetId="45" hidden="1">#REF!</definedName>
    <definedName name="BLPH109" localSheetId="46" hidden="1">#REF!</definedName>
    <definedName name="BLPH109" localSheetId="48" hidden="1">#REF!</definedName>
    <definedName name="BLPH109" localSheetId="49" hidden="1">#REF!</definedName>
    <definedName name="BLPH109" localSheetId="50" hidden="1">#REF!</definedName>
    <definedName name="BLPH109" localSheetId="51" hidden="1">#REF!</definedName>
    <definedName name="BLPH109" localSheetId="52" hidden="1">#REF!</definedName>
    <definedName name="BLPH109" localSheetId="54" hidden="1">#REF!</definedName>
    <definedName name="BLPH109" localSheetId="55" hidden="1">#REF!</definedName>
    <definedName name="BLPH109" localSheetId="56" hidden="1">#REF!</definedName>
    <definedName name="BLPH109" localSheetId="57" hidden="1">#REF!</definedName>
    <definedName name="BLPH109" localSheetId="58" hidden="1">#REF!</definedName>
    <definedName name="BLPH109" localSheetId="70" hidden="1">#REF!</definedName>
    <definedName name="BLPH109" localSheetId="71" hidden="1">#REF!</definedName>
    <definedName name="BLPH109" localSheetId="73" hidden="1">#REF!</definedName>
    <definedName name="BLPH109" localSheetId="75" hidden="1">#REF!</definedName>
    <definedName name="BLPH109" localSheetId="76" hidden="1">#REF!</definedName>
    <definedName name="BLPH109" localSheetId="13" hidden="1">#REF!</definedName>
    <definedName name="BLPH109" localSheetId="12" hidden="1">#REF!</definedName>
    <definedName name="BLPH109" localSheetId="4" hidden="1">#REF!</definedName>
    <definedName name="BLPH109" hidden="1">#REF!</definedName>
    <definedName name="BLPH11" localSheetId="14" hidden="1">#REF!</definedName>
    <definedName name="BLPH11" localSheetId="19" hidden="1">#REF!</definedName>
    <definedName name="BLPH11" localSheetId="23" hidden="1">#REF!</definedName>
    <definedName name="BLPH11" localSheetId="31" hidden="1">#REF!</definedName>
    <definedName name="BLPH11" localSheetId="36" hidden="1">#REF!</definedName>
    <definedName name="BLPH11" localSheetId="37" hidden="1">#REF!</definedName>
    <definedName name="BLPH11" localSheetId="38" hidden="1">#REF!</definedName>
    <definedName name="BLPH11" localSheetId="45" hidden="1">#REF!</definedName>
    <definedName name="BLPH11" localSheetId="46" hidden="1">#REF!</definedName>
    <definedName name="BLPH11" localSheetId="48" hidden="1">#REF!</definedName>
    <definedName name="BLPH11" localSheetId="49" hidden="1">#REF!</definedName>
    <definedName name="BLPH11" localSheetId="50" hidden="1">#REF!</definedName>
    <definedName name="BLPH11" localSheetId="51" hidden="1">#REF!</definedName>
    <definedName name="BLPH11" localSheetId="52" hidden="1">#REF!</definedName>
    <definedName name="BLPH11" localSheetId="54" hidden="1">#REF!</definedName>
    <definedName name="BLPH11" localSheetId="55" hidden="1">#REF!</definedName>
    <definedName name="BLPH11" localSheetId="56" hidden="1">#REF!</definedName>
    <definedName name="BLPH11" localSheetId="57" hidden="1">#REF!</definedName>
    <definedName name="BLPH11" localSheetId="58" hidden="1">#REF!</definedName>
    <definedName name="BLPH11" localSheetId="70" hidden="1">#REF!</definedName>
    <definedName name="BLPH11" localSheetId="71" hidden="1">#REF!</definedName>
    <definedName name="BLPH11" localSheetId="73" hidden="1">#REF!</definedName>
    <definedName name="BLPH11" localSheetId="75" hidden="1">#REF!</definedName>
    <definedName name="BLPH11" localSheetId="76" hidden="1">#REF!</definedName>
    <definedName name="BLPH11" localSheetId="13" hidden="1">#REF!</definedName>
    <definedName name="BLPH11" localSheetId="12" hidden="1">#REF!</definedName>
    <definedName name="BLPH11" localSheetId="4" hidden="1">#REF!</definedName>
    <definedName name="BLPH11" hidden="1">#REF!</definedName>
    <definedName name="BLPH110" localSheetId="14" hidden="1">#REF!</definedName>
    <definedName name="BLPH110" localSheetId="19" hidden="1">#REF!</definedName>
    <definedName name="BLPH110" localSheetId="23" hidden="1">#REF!</definedName>
    <definedName name="BLPH110" localSheetId="31" hidden="1">#REF!</definedName>
    <definedName name="BLPH110" localSheetId="36" hidden="1">#REF!</definedName>
    <definedName name="BLPH110" localSheetId="37" hidden="1">#REF!</definedName>
    <definedName name="BLPH110" localSheetId="38" hidden="1">#REF!</definedName>
    <definedName name="BLPH110" localSheetId="45" hidden="1">#REF!</definedName>
    <definedName name="BLPH110" localSheetId="46" hidden="1">#REF!</definedName>
    <definedName name="BLPH110" localSheetId="48" hidden="1">#REF!</definedName>
    <definedName name="BLPH110" localSheetId="49" hidden="1">#REF!</definedName>
    <definedName name="BLPH110" localSheetId="50" hidden="1">#REF!</definedName>
    <definedName name="BLPH110" localSheetId="51" hidden="1">#REF!</definedName>
    <definedName name="BLPH110" localSheetId="52" hidden="1">#REF!</definedName>
    <definedName name="BLPH110" localSheetId="54" hidden="1">#REF!</definedName>
    <definedName name="BLPH110" localSheetId="55" hidden="1">#REF!</definedName>
    <definedName name="BLPH110" localSheetId="56" hidden="1">#REF!</definedName>
    <definedName name="BLPH110" localSheetId="57" hidden="1">#REF!</definedName>
    <definedName name="BLPH110" localSheetId="58" hidden="1">#REF!</definedName>
    <definedName name="BLPH110" localSheetId="70" hidden="1">#REF!</definedName>
    <definedName name="BLPH110" localSheetId="71" hidden="1">#REF!</definedName>
    <definedName name="BLPH110" localSheetId="73" hidden="1">#REF!</definedName>
    <definedName name="BLPH110" localSheetId="75" hidden="1">#REF!</definedName>
    <definedName name="BLPH110" localSheetId="76" hidden="1">#REF!</definedName>
    <definedName name="BLPH110" localSheetId="13" hidden="1">#REF!</definedName>
    <definedName name="BLPH110" localSheetId="12" hidden="1">#REF!</definedName>
    <definedName name="BLPH110" localSheetId="4" hidden="1">#REF!</definedName>
    <definedName name="BLPH110" hidden="1">#REF!</definedName>
    <definedName name="BLPH111" localSheetId="14" hidden="1">#REF!</definedName>
    <definedName name="BLPH111" localSheetId="19" hidden="1">#REF!</definedName>
    <definedName name="BLPH111" localSheetId="23" hidden="1">#REF!</definedName>
    <definedName name="BLPH111" localSheetId="31" hidden="1">#REF!</definedName>
    <definedName name="BLPH111" localSheetId="36" hidden="1">#REF!</definedName>
    <definedName name="BLPH111" localSheetId="37" hidden="1">#REF!</definedName>
    <definedName name="BLPH111" localSheetId="38" hidden="1">#REF!</definedName>
    <definedName name="BLPH111" localSheetId="45" hidden="1">#REF!</definedName>
    <definedName name="BLPH111" localSheetId="46" hidden="1">#REF!</definedName>
    <definedName name="BLPH111" localSheetId="48" hidden="1">#REF!</definedName>
    <definedName name="BLPH111" localSheetId="49" hidden="1">#REF!</definedName>
    <definedName name="BLPH111" localSheetId="50" hidden="1">#REF!</definedName>
    <definedName name="BLPH111" localSheetId="51" hidden="1">#REF!</definedName>
    <definedName name="BLPH111" localSheetId="52" hidden="1">#REF!</definedName>
    <definedName name="BLPH111" localSheetId="54" hidden="1">#REF!</definedName>
    <definedName name="BLPH111" localSheetId="55" hidden="1">#REF!</definedName>
    <definedName name="BLPH111" localSheetId="56" hidden="1">#REF!</definedName>
    <definedName name="BLPH111" localSheetId="57" hidden="1">#REF!</definedName>
    <definedName name="BLPH111" localSheetId="58" hidden="1">#REF!</definedName>
    <definedName name="BLPH111" localSheetId="70" hidden="1">#REF!</definedName>
    <definedName name="BLPH111" localSheetId="71" hidden="1">#REF!</definedName>
    <definedName name="BLPH111" localSheetId="73" hidden="1">#REF!</definedName>
    <definedName name="BLPH111" localSheetId="75" hidden="1">#REF!</definedName>
    <definedName name="BLPH111" localSheetId="76" hidden="1">#REF!</definedName>
    <definedName name="BLPH111" localSheetId="13" hidden="1">#REF!</definedName>
    <definedName name="BLPH111" localSheetId="12" hidden="1">#REF!</definedName>
    <definedName name="BLPH111" localSheetId="4" hidden="1">#REF!</definedName>
    <definedName name="BLPH111" hidden="1">#REF!</definedName>
    <definedName name="BLPH112" localSheetId="14" hidden="1">#REF!</definedName>
    <definedName name="BLPH112" localSheetId="19" hidden="1">#REF!</definedName>
    <definedName name="BLPH112" localSheetId="23" hidden="1">#REF!</definedName>
    <definedName name="BLPH112" localSheetId="31" hidden="1">#REF!</definedName>
    <definedName name="BLPH112" localSheetId="36" hidden="1">#REF!</definedName>
    <definedName name="BLPH112" localSheetId="37" hidden="1">#REF!</definedName>
    <definedName name="BLPH112" localSheetId="38" hidden="1">#REF!</definedName>
    <definedName name="BLPH112" localSheetId="45" hidden="1">#REF!</definedName>
    <definedName name="BLPH112" localSheetId="46" hidden="1">#REF!</definedName>
    <definedName name="BLPH112" localSheetId="48" hidden="1">#REF!</definedName>
    <definedName name="BLPH112" localSheetId="49" hidden="1">#REF!</definedName>
    <definedName name="BLPH112" localSheetId="50" hidden="1">#REF!</definedName>
    <definedName name="BLPH112" localSheetId="51" hidden="1">#REF!</definedName>
    <definedName name="BLPH112" localSheetId="52" hidden="1">#REF!</definedName>
    <definedName name="BLPH112" localSheetId="54" hidden="1">#REF!</definedName>
    <definedName name="BLPH112" localSheetId="55" hidden="1">#REF!</definedName>
    <definedName name="BLPH112" localSheetId="56" hidden="1">#REF!</definedName>
    <definedName name="BLPH112" localSheetId="57" hidden="1">#REF!</definedName>
    <definedName name="BLPH112" localSheetId="58" hidden="1">#REF!</definedName>
    <definedName name="BLPH112" localSheetId="70" hidden="1">#REF!</definedName>
    <definedName name="BLPH112" localSheetId="71" hidden="1">#REF!</definedName>
    <definedName name="BLPH112" localSheetId="73" hidden="1">#REF!</definedName>
    <definedName name="BLPH112" localSheetId="75" hidden="1">#REF!</definedName>
    <definedName name="BLPH112" localSheetId="76" hidden="1">#REF!</definedName>
    <definedName name="BLPH112" localSheetId="13" hidden="1">#REF!</definedName>
    <definedName name="BLPH112" localSheetId="12" hidden="1">#REF!</definedName>
    <definedName name="BLPH112" localSheetId="4" hidden="1">#REF!</definedName>
    <definedName name="BLPH112" hidden="1">#REF!</definedName>
    <definedName name="BLPH113" localSheetId="14" hidden="1">#REF!</definedName>
    <definedName name="BLPH113" localSheetId="19" hidden="1">#REF!</definedName>
    <definedName name="BLPH113" localSheetId="23" hidden="1">#REF!</definedName>
    <definedName name="BLPH113" localSheetId="31" hidden="1">#REF!</definedName>
    <definedName name="BLPH113" localSheetId="36" hidden="1">#REF!</definedName>
    <definedName name="BLPH113" localSheetId="37" hidden="1">#REF!</definedName>
    <definedName name="BLPH113" localSheetId="38" hidden="1">#REF!</definedName>
    <definedName name="BLPH113" localSheetId="45" hidden="1">#REF!</definedName>
    <definedName name="BLPH113" localSheetId="46" hidden="1">#REF!</definedName>
    <definedName name="BLPH113" localSheetId="48" hidden="1">#REF!</definedName>
    <definedName name="BLPH113" localSheetId="49" hidden="1">#REF!</definedName>
    <definedName name="BLPH113" localSheetId="50" hidden="1">#REF!</definedName>
    <definedName name="BLPH113" localSheetId="51" hidden="1">#REF!</definedName>
    <definedName name="BLPH113" localSheetId="52" hidden="1">#REF!</definedName>
    <definedName name="BLPH113" localSheetId="54" hidden="1">#REF!</definedName>
    <definedName name="BLPH113" localSheetId="55" hidden="1">#REF!</definedName>
    <definedName name="BLPH113" localSheetId="56" hidden="1">#REF!</definedName>
    <definedName name="BLPH113" localSheetId="57" hidden="1">#REF!</definedName>
    <definedName name="BLPH113" localSheetId="58" hidden="1">#REF!</definedName>
    <definedName name="BLPH113" localSheetId="70" hidden="1">#REF!</definedName>
    <definedName name="BLPH113" localSheetId="71" hidden="1">#REF!</definedName>
    <definedName name="BLPH113" localSheetId="73" hidden="1">#REF!</definedName>
    <definedName name="BLPH113" localSheetId="75" hidden="1">#REF!</definedName>
    <definedName name="BLPH113" localSheetId="76" hidden="1">#REF!</definedName>
    <definedName name="BLPH113" localSheetId="13" hidden="1">#REF!</definedName>
    <definedName name="BLPH113" localSheetId="12" hidden="1">#REF!</definedName>
    <definedName name="BLPH113" localSheetId="4" hidden="1">#REF!</definedName>
    <definedName name="BLPH113" hidden="1">#REF!</definedName>
    <definedName name="BLPH114" localSheetId="14" hidden="1">#REF!</definedName>
    <definedName name="BLPH114" localSheetId="19" hidden="1">#REF!</definedName>
    <definedName name="BLPH114" localSheetId="23" hidden="1">#REF!</definedName>
    <definedName name="BLPH114" localSheetId="31" hidden="1">#REF!</definedName>
    <definedName name="BLPH114" localSheetId="36" hidden="1">#REF!</definedName>
    <definedName name="BLPH114" localSheetId="37" hidden="1">#REF!</definedName>
    <definedName name="BLPH114" localSheetId="38" hidden="1">#REF!</definedName>
    <definedName name="BLPH114" localSheetId="45" hidden="1">#REF!</definedName>
    <definedName name="BLPH114" localSheetId="46" hidden="1">#REF!</definedName>
    <definedName name="BLPH114" localSheetId="48" hidden="1">#REF!</definedName>
    <definedName name="BLPH114" localSheetId="49" hidden="1">#REF!</definedName>
    <definedName name="BLPH114" localSheetId="50" hidden="1">#REF!</definedName>
    <definedName name="BLPH114" localSheetId="51" hidden="1">#REF!</definedName>
    <definedName name="BLPH114" localSheetId="52" hidden="1">#REF!</definedName>
    <definedName name="BLPH114" localSheetId="54" hidden="1">#REF!</definedName>
    <definedName name="BLPH114" localSheetId="55" hidden="1">#REF!</definedName>
    <definedName name="BLPH114" localSheetId="56" hidden="1">#REF!</definedName>
    <definedName name="BLPH114" localSheetId="57" hidden="1">#REF!</definedName>
    <definedName name="BLPH114" localSheetId="58" hidden="1">#REF!</definedName>
    <definedName name="BLPH114" localSheetId="70" hidden="1">#REF!</definedName>
    <definedName name="BLPH114" localSheetId="71" hidden="1">#REF!</definedName>
    <definedName name="BLPH114" localSheetId="73" hidden="1">#REF!</definedName>
    <definedName name="BLPH114" localSheetId="75" hidden="1">#REF!</definedName>
    <definedName name="BLPH114" localSheetId="76" hidden="1">#REF!</definedName>
    <definedName name="BLPH114" localSheetId="13" hidden="1">#REF!</definedName>
    <definedName name="BLPH114" localSheetId="12" hidden="1">#REF!</definedName>
    <definedName name="BLPH114" localSheetId="4" hidden="1">#REF!</definedName>
    <definedName name="BLPH114" hidden="1">#REF!</definedName>
    <definedName name="BLPH115" localSheetId="14" hidden="1">#REF!</definedName>
    <definedName name="BLPH115" localSheetId="19" hidden="1">#REF!</definedName>
    <definedName name="BLPH115" localSheetId="23" hidden="1">#REF!</definedName>
    <definedName name="BLPH115" localSheetId="31" hidden="1">#REF!</definedName>
    <definedName name="BLPH115" localSheetId="36" hidden="1">#REF!</definedName>
    <definedName name="BLPH115" localSheetId="37" hidden="1">#REF!</definedName>
    <definedName name="BLPH115" localSheetId="38" hidden="1">#REF!</definedName>
    <definedName name="BLPH115" localSheetId="45" hidden="1">#REF!</definedName>
    <definedName name="BLPH115" localSheetId="46" hidden="1">#REF!</definedName>
    <definedName name="BLPH115" localSheetId="48" hidden="1">#REF!</definedName>
    <definedName name="BLPH115" localSheetId="49" hidden="1">#REF!</definedName>
    <definedName name="BLPH115" localSheetId="50" hidden="1">#REF!</definedName>
    <definedName name="BLPH115" localSheetId="51" hidden="1">#REF!</definedName>
    <definedName name="BLPH115" localSheetId="52" hidden="1">#REF!</definedName>
    <definedName name="BLPH115" localSheetId="54" hidden="1">#REF!</definedName>
    <definedName name="BLPH115" localSheetId="55" hidden="1">#REF!</definedName>
    <definedName name="BLPH115" localSheetId="56" hidden="1">#REF!</definedName>
    <definedName name="BLPH115" localSheetId="57" hidden="1">#REF!</definedName>
    <definedName name="BLPH115" localSheetId="58" hidden="1">#REF!</definedName>
    <definedName name="BLPH115" localSheetId="70" hidden="1">#REF!</definedName>
    <definedName name="BLPH115" localSheetId="71" hidden="1">#REF!</definedName>
    <definedName name="BLPH115" localSheetId="73" hidden="1">#REF!</definedName>
    <definedName name="BLPH115" localSheetId="75" hidden="1">#REF!</definedName>
    <definedName name="BLPH115" localSheetId="76" hidden="1">#REF!</definedName>
    <definedName name="BLPH115" localSheetId="13" hidden="1">#REF!</definedName>
    <definedName name="BLPH115" localSheetId="12" hidden="1">#REF!</definedName>
    <definedName name="BLPH115" localSheetId="4" hidden="1">#REF!</definedName>
    <definedName name="BLPH115" hidden="1">#REF!</definedName>
    <definedName name="BLPH116" localSheetId="14" hidden="1">#REF!</definedName>
    <definedName name="BLPH116" localSheetId="19" hidden="1">#REF!</definedName>
    <definedName name="BLPH116" localSheetId="23" hidden="1">#REF!</definedName>
    <definedName name="BLPH116" localSheetId="31" hidden="1">#REF!</definedName>
    <definedName name="BLPH116" localSheetId="36" hidden="1">#REF!</definedName>
    <definedName name="BLPH116" localSheetId="37" hidden="1">#REF!</definedName>
    <definedName name="BLPH116" localSheetId="38" hidden="1">#REF!</definedName>
    <definedName name="BLPH116" localSheetId="45" hidden="1">#REF!</definedName>
    <definedName name="BLPH116" localSheetId="46" hidden="1">#REF!</definedName>
    <definedName name="BLPH116" localSheetId="48" hidden="1">#REF!</definedName>
    <definedName name="BLPH116" localSheetId="49" hidden="1">#REF!</definedName>
    <definedName name="BLPH116" localSheetId="50" hidden="1">#REF!</definedName>
    <definedName name="BLPH116" localSheetId="51" hidden="1">#REF!</definedName>
    <definedName name="BLPH116" localSheetId="52" hidden="1">#REF!</definedName>
    <definedName name="BLPH116" localSheetId="54" hidden="1">#REF!</definedName>
    <definedName name="BLPH116" localSheetId="55" hidden="1">#REF!</definedName>
    <definedName name="BLPH116" localSheetId="56" hidden="1">#REF!</definedName>
    <definedName name="BLPH116" localSheetId="57" hidden="1">#REF!</definedName>
    <definedName name="BLPH116" localSheetId="58" hidden="1">#REF!</definedName>
    <definedName name="BLPH116" localSheetId="70" hidden="1">#REF!</definedName>
    <definedName name="BLPH116" localSheetId="71" hidden="1">#REF!</definedName>
    <definedName name="BLPH116" localSheetId="73" hidden="1">#REF!</definedName>
    <definedName name="BLPH116" localSheetId="75" hidden="1">#REF!</definedName>
    <definedName name="BLPH116" localSheetId="76" hidden="1">#REF!</definedName>
    <definedName name="BLPH116" localSheetId="13" hidden="1">#REF!</definedName>
    <definedName name="BLPH116" localSheetId="12" hidden="1">#REF!</definedName>
    <definedName name="BLPH116" localSheetId="4" hidden="1">#REF!</definedName>
    <definedName name="BLPH116" hidden="1">#REF!</definedName>
    <definedName name="BLPH117" localSheetId="14" hidden="1">#REF!</definedName>
    <definedName name="BLPH117" localSheetId="19" hidden="1">#REF!</definedName>
    <definedName name="BLPH117" localSheetId="23" hidden="1">#REF!</definedName>
    <definedName name="BLPH117" localSheetId="31" hidden="1">#REF!</definedName>
    <definedName name="BLPH117" localSheetId="36" hidden="1">#REF!</definedName>
    <definedName name="BLPH117" localSheetId="37" hidden="1">#REF!</definedName>
    <definedName name="BLPH117" localSheetId="38" hidden="1">#REF!</definedName>
    <definedName name="BLPH117" localSheetId="45" hidden="1">#REF!</definedName>
    <definedName name="BLPH117" localSheetId="46" hidden="1">#REF!</definedName>
    <definedName name="BLPH117" localSheetId="48" hidden="1">#REF!</definedName>
    <definedName name="BLPH117" localSheetId="49" hidden="1">#REF!</definedName>
    <definedName name="BLPH117" localSheetId="50" hidden="1">#REF!</definedName>
    <definedName name="BLPH117" localSheetId="51" hidden="1">#REF!</definedName>
    <definedName name="BLPH117" localSheetId="52" hidden="1">#REF!</definedName>
    <definedName name="BLPH117" localSheetId="54" hidden="1">#REF!</definedName>
    <definedName name="BLPH117" localSheetId="55" hidden="1">#REF!</definedName>
    <definedName name="BLPH117" localSheetId="56" hidden="1">#REF!</definedName>
    <definedName name="BLPH117" localSheetId="57" hidden="1">#REF!</definedName>
    <definedName name="BLPH117" localSheetId="58" hidden="1">#REF!</definedName>
    <definedName name="BLPH117" localSheetId="70" hidden="1">#REF!</definedName>
    <definedName name="BLPH117" localSheetId="71" hidden="1">#REF!</definedName>
    <definedName name="BLPH117" localSheetId="73" hidden="1">#REF!</definedName>
    <definedName name="BLPH117" localSheetId="75" hidden="1">#REF!</definedName>
    <definedName name="BLPH117" localSheetId="76" hidden="1">#REF!</definedName>
    <definedName name="BLPH117" localSheetId="13" hidden="1">#REF!</definedName>
    <definedName name="BLPH117" localSheetId="12" hidden="1">#REF!</definedName>
    <definedName name="BLPH117" localSheetId="4" hidden="1">#REF!</definedName>
    <definedName name="BLPH117" hidden="1">#REF!</definedName>
    <definedName name="BLPH118" localSheetId="14" hidden="1">#REF!</definedName>
    <definedName name="BLPH118" localSheetId="19" hidden="1">#REF!</definedName>
    <definedName name="BLPH118" localSheetId="23" hidden="1">#REF!</definedName>
    <definedName name="BLPH118" localSheetId="31" hidden="1">#REF!</definedName>
    <definedName name="BLPH118" localSheetId="36" hidden="1">#REF!</definedName>
    <definedName name="BLPH118" localSheetId="37" hidden="1">#REF!</definedName>
    <definedName name="BLPH118" localSheetId="38" hidden="1">#REF!</definedName>
    <definedName name="BLPH118" localSheetId="45" hidden="1">#REF!</definedName>
    <definedName name="BLPH118" localSheetId="46" hidden="1">#REF!</definedName>
    <definedName name="BLPH118" localSheetId="48" hidden="1">#REF!</definedName>
    <definedName name="BLPH118" localSheetId="49" hidden="1">#REF!</definedName>
    <definedName name="BLPH118" localSheetId="50" hidden="1">#REF!</definedName>
    <definedName name="BLPH118" localSheetId="51" hidden="1">#REF!</definedName>
    <definedName name="BLPH118" localSheetId="52" hidden="1">#REF!</definedName>
    <definedName name="BLPH118" localSheetId="54" hidden="1">#REF!</definedName>
    <definedName name="BLPH118" localSheetId="55" hidden="1">#REF!</definedName>
    <definedName name="BLPH118" localSheetId="56" hidden="1">#REF!</definedName>
    <definedName name="BLPH118" localSheetId="57" hidden="1">#REF!</definedName>
    <definedName name="BLPH118" localSheetId="58" hidden="1">#REF!</definedName>
    <definedName name="BLPH118" localSheetId="70" hidden="1">#REF!</definedName>
    <definedName name="BLPH118" localSheetId="71" hidden="1">#REF!</definedName>
    <definedName name="BLPH118" localSheetId="73" hidden="1">#REF!</definedName>
    <definedName name="BLPH118" localSheetId="75" hidden="1">#REF!</definedName>
    <definedName name="BLPH118" localSheetId="76" hidden="1">#REF!</definedName>
    <definedName name="BLPH118" localSheetId="13" hidden="1">#REF!</definedName>
    <definedName name="BLPH118" localSheetId="12" hidden="1">#REF!</definedName>
    <definedName name="BLPH118" localSheetId="4" hidden="1">#REF!</definedName>
    <definedName name="BLPH118" hidden="1">#REF!</definedName>
    <definedName name="BLPH119" localSheetId="14" hidden="1">#REF!</definedName>
    <definedName name="BLPH119" localSheetId="19" hidden="1">#REF!</definedName>
    <definedName name="BLPH119" localSheetId="23" hidden="1">#REF!</definedName>
    <definedName name="BLPH119" localSheetId="31" hidden="1">#REF!</definedName>
    <definedName name="BLPH119" localSheetId="36" hidden="1">#REF!</definedName>
    <definedName name="BLPH119" localSheetId="37" hidden="1">#REF!</definedName>
    <definedName name="BLPH119" localSheetId="38" hidden="1">#REF!</definedName>
    <definedName name="BLPH119" localSheetId="45" hidden="1">#REF!</definedName>
    <definedName name="BLPH119" localSheetId="46" hidden="1">#REF!</definedName>
    <definedName name="BLPH119" localSheetId="48" hidden="1">#REF!</definedName>
    <definedName name="BLPH119" localSheetId="49" hidden="1">#REF!</definedName>
    <definedName name="BLPH119" localSheetId="50" hidden="1">#REF!</definedName>
    <definedName name="BLPH119" localSheetId="51" hidden="1">#REF!</definedName>
    <definedName name="BLPH119" localSheetId="52" hidden="1">#REF!</definedName>
    <definedName name="BLPH119" localSheetId="54" hidden="1">#REF!</definedName>
    <definedName name="BLPH119" localSheetId="55" hidden="1">#REF!</definedName>
    <definedName name="BLPH119" localSheetId="56" hidden="1">#REF!</definedName>
    <definedName name="BLPH119" localSheetId="57" hidden="1">#REF!</definedName>
    <definedName name="BLPH119" localSheetId="58" hidden="1">#REF!</definedName>
    <definedName name="BLPH119" localSheetId="70" hidden="1">#REF!</definedName>
    <definedName name="BLPH119" localSheetId="71" hidden="1">#REF!</definedName>
    <definedName name="BLPH119" localSheetId="73" hidden="1">#REF!</definedName>
    <definedName name="BLPH119" localSheetId="75" hidden="1">#REF!</definedName>
    <definedName name="BLPH119" localSheetId="76" hidden="1">#REF!</definedName>
    <definedName name="BLPH119" localSheetId="13" hidden="1">#REF!</definedName>
    <definedName name="BLPH119" localSheetId="12" hidden="1">#REF!</definedName>
    <definedName name="BLPH119" localSheetId="4" hidden="1">#REF!</definedName>
    <definedName name="BLPH119" hidden="1">#REF!</definedName>
    <definedName name="BLPH12" localSheetId="14" hidden="1">#REF!</definedName>
    <definedName name="BLPH12" localSheetId="19" hidden="1">#REF!</definedName>
    <definedName name="BLPH12" localSheetId="23" hidden="1">#REF!</definedName>
    <definedName name="BLPH12" localSheetId="31" hidden="1">#REF!</definedName>
    <definedName name="BLPH12" localSheetId="36" hidden="1">#REF!</definedName>
    <definedName name="BLPH12" localSheetId="37" hidden="1">#REF!</definedName>
    <definedName name="BLPH12" localSheetId="38" hidden="1">#REF!</definedName>
    <definedName name="BLPH12" localSheetId="45" hidden="1">#REF!</definedName>
    <definedName name="BLPH12" localSheetId="46" hidden="1">#REF!</definedName>
    <definedName name="BLPH12" localSheetId="48" hidden="1">#REF!</definedName>
    <definedName name="BLPH12" localSheetId="49" hidden="1">#REF!</definedName>
    <definedName name="BLPH12" localSheetId="50" hidden="1">#REF!</definedName>
    <definedName name="BLPH12" localSheetId="51" hidden="1">#REF!</definedName>
    <definedName name="BLPH12" localSheetId="52" hidden="1">#REF!</definedName>
    <definedName name="BLPH12" localSheetId="54" hidden="1">#REF!</definedName>
    <definedName name="BLPH12" localSheetId="55" hidden="1">#REF!</definedName>
    <definedName name="BLPH12" localSheetId="56" hidden="1">#REF!</definedName>
    <definedName name="BLPH12" localSheetId="57" hidden="1">#REF!</definedName>
    <definedName name="BLPH12" localSheetId="58" hidden="1">#REF!</definedName>
    <definedName name="BLPH12" localSheetId="70" hidden="1">#REF!</definedName>
    <definedName name="BLPH12" localSheetId="71" hidden="1">#REF!</definedName>
    <definedName name="BLPH12" localSheetId="73" hidden="1">#REF!</definedName>
    <definedName name="BLPH12" localSheetId="75" hidden="1">#REF!</definedName>
    <definedName name="BLPH12" localSheetId="76" hidden="1">#REF!</definedName>
    <definedName name="BLPH12" localSheetId="13" hidden="1">#REF!</definedName>
    <definedName name="BLPH12" localSheetId="12" hidden="1">#REF!</definedName>
    <definedName name="BLPH12" localSheetId="4" hidden="1">#REF!</definedName>
    <definedName name="BLPH12" hidden="1">#REF!</definedName>
    <definedName name="BLPH120" localSheetId="14" hidden="1">#REF!</definedName>
    <definedName name="BLPH120" localSheetId="19" hidden="1">#REF!</definedName>
    <definedName name="BLPH120" localSheetId="23" hidden="1">#REF!</definedName>
    <definedName name="BLPH120" localSheetId="31" hidden="1">#REF!</definedName>
    <definedName name="BLPH120" localSheetId="36" hidden="1">#REF!</definedName>
    <definedName name="BLPH120" localSheetId="37" hidden="1">#REF!</definedName>
    <definedName name="BLPH120" localSheetId="38" hidden="1">#REF!</definedName>
    <definedName name="BLPH120" localSheetId="45" hidden="1">#REF!</definedName>
    <definedName name="BLPH120" localSheetId="46" hidden="1">#REF!</definedName>
    <definedName name="BLPH120" localSheetId="48" hidden="1">#REF!</definedName>
    <definedName name="BLPH120" localSheetId="49" hidden="1">#REF!</definedName>
    <definedName name="BLPH120" localSheetId="50" hidden="1">#REF!</definedName>
    <definedName name="BLPH120" localSheetId="51" hidden="1">#REF!</definedName>
    <definedName name="BLPH120" localSheetId="52" hidden="1">#REF!</definedName>
    <definedName name="BLPH120" localSheetId="54" hidden="1">#REF!</definedName>
    <definedName name="BLPH120" localSheetId="55" hidden="1">#REF!</definedName>
    <definedName name="BLPH120" localSheetId="56" hidden="1">#REF!</definedName>
    <definedName name="BLPH120" localSheetId="57" hidden="1">#REF!</definedName>
    <definedName name="BLPH120" localSheetId="58" hidden="1">#REF!</definedName>
    <definedName name="BLPH120" localSheetId="70" hidden="1">#REF!</definedName>
    <definedName name="BLPH120" localSheetId="71" hidden="1">#REF!</definedName>
    <definedName name="BLPH120" localSheetId="73" hidden="1">#REF!</definedName>
    <definedName name="BLPH120" localSheetId="75" hidden="1">#REF!</definedName>
    <definedName name="BLPH120" localSheetId="76" hidden="1">#REF!</definedName>
    <definedName name="BLPH120" localSheetId="13" hidden="1">#REF!</definedName>
    <definedName name="BLPH120" localSheetId="12" hidden="1">#REF!</definedName>
    <definedName name="BLPH120" localSheetId="4" hidden="1">#REF!</definedName>
    <definedName name="BLPH120" hidden="1">#REF!</definedName>
    <definedName name="BLPH121" localSheetId="14" hidden="1">#REF!</definedName>
    <definedName name="BLPH121" localSheetId="19" hidden="1">#REF!</definedName>
    <definedName name="BLPH121" localSheetId="23" hidden="1">#REF!</definedName>
    <definedName name="BLPH121" localSheetId="31" hidden="1">#REF!</definedName>
    <definedName name="BLPH121" localSheetId="36" hidden="1">#REF!</definedName>
    <definedName name="BLPH121" localSheetId="37" hidden="1">#REF!</definedName>
    <definedName name="BLPH121" localSheetId="38" hidden="1">#REF!</definedName>
    <definedName name="BLPH121" localSheetId="45" hidden="1">#REF!</definedName>
    <definedName name="BLPH121" localSheetId="46" hidden="1">#REF!</definedName>
    <definedName name="BLPH121" localSheetId="48" hidden="1">#REF!</definedName>
    <definedName name="BLPH121" localSheetId="49" hidden="1">#REF!</definedName>
    <definedName name="BLPH121" localSheetId="50" hidden="1">#REF!</definedName>
    <definedName name="BLPH121" localSheetId="51" hidden="1">#REF!</definedName>
    <definedName name="BLPH121" localSheetId="52" hidden="1">#REF!</definedName>
    <definedName name="BLPH121" localSheetId="54" hidden="1">#REF!</definedName>
    <definedName name="BLPH121" localSheetId="55" hidden="1">#REF!</definedName>
    <definedName name="BLPH121" localSheetId="56" hidden="1">#REF!</definedName>
    <definedName name="BLPH121" localSheetId="57" hidden="1">#REF!</definedName>
    <definedName name="BLPH121" localSheetId="58" hidden="1">#REF!</definedName>
    <definedName name="BLPH121" localSheetId="70" hidden="1">#REF!</definedName>
    <definedName name="BLPH121" localSheetId="71" hidden="1">#REF!</definedName>
    <definedName name="BLPH121" localSheetId="73" hidden="1">#REF!</definedName>
    <definedName name="BLPH121" localSheetId="75" hidden="1">#REF!</definedName>
    <definedName name="BLPH121" localSheetId="76" hidden="1">#REF!</definedName>
    <definedName name="BLPH121" localSheetId="13" hidden="1">#REF!</definedName>
    <definedName name="BLPH121" localSheetId="12" hidden="1">#REF!</definedName>
    <definedName name="BLPH121" localSheetId="4" hidden="1">#REF!</definedName>
    <definedName name="BLPH121" hidden="1">#REF!</definedName>
    <definedName name="BLPH122" localSheetId="14" hidden="1">#REF!</definedName>
    <definedName name="BLPH122" localSheetId="19" hidden="1">#REF!</definedName>
    <definedName name="BLPH122" localSheetId="23" hidden="1">#REF!</definedName>
    <definedName name="BLPH122" localSheetId="31" hidden="1">#REF!</definedName>
    <definedName name="BLPH122" localSheetId="36" hidden="1">#REF!</definedName>
    <definedName name="BLPH122" localSheetId="37" hidden="1">#REF!</definedName>
    <definedName name="BLPH122" localSheetId="38" hidden="1">#REF!</definedName>
    <definedName name="BLPH122" localSheetId="45" hidden="1">#REF!</definedName>
    <definedName name="BLPH122" localSheetId="46" hidden="1">#REF!</definedName>
    <definedName name="BLPH122" localSheetId="48" hidden="1">#REF!</definedName>
    <definedName name="BLPH122" localSheetId="49" hidden="1">#REF!</definedName>
    <definedName name="BLPH122" localSheetId="50" hidden="1">#REF!</definedName>
    <definedName name="BLPH122" localSheetId="51" hidden="1">#REF!</definedName>
    <definedName name="BLPH122" localSheetId="52" hidden="1">#REF!</definedName>
    <definedName name="BLPH122" localSheetId="54" hidden="1">#REF!</definedName>
    <definedName name="BLPH122" localSheetId="55" hidden="1">#REF!</definedName>
    <definedName name="BLPH122" localSheetId="56" hidden="1">#REF!</definedName>
    <definedName name="BLPH122" localSheetId="57" hidden="1">#REF!</definedName>
    <definedName name="BLPH122" localSheetId="58" hidden="1">#REF!</definedName>
    <definedName name="BLPH122" localSheetId="70" hidden="1">#REF!</definedName>
    <definedName name="BLPH122" localSheetId="71" hidden="1">#REF!</definedName>
    <definedName name="BLPH122" localSheetId="73" hidden="1">#REF!</definedName>
    <definedName name="BLPH122" localSheetId="75" hidden="1">#REF!</definedName>
    <definedName name="BLPH122" localSheetId="76" hidden="1">#REF!</definedName>
    <definedName name="BLPH122" localSheetId="13" hidden="1">#REF!</definedName>
    <definedName name="BLPH122" localSheetId="12" hidden="1">#REF!</definedName>
    <definedName name="BLPH122" localSheetId="4" hidden="1">#REF!</definedName>
    <definedName name="BLPH122" hidden="1">#REF!</definedName>
    <definedName name="BLPH123" localSheetId="14" hidden="1">#REF!</definedName>
    <definedName name="BLPH123" localSheetId="19" hidden="1">#REF!</definedName>
    <definedName name="BLPH123" localSheetId="23" hidden="1">#REF!</definedName>
    <definedName name="BLPH123" localSheetId="31" hidden="1">#REF!</definedName>
    <definedName name="BLPH123" localSheetId="36" hidden="1">#REF!</definedName>
    <definedName name="BLPH123" localSheetId="37" hidden="1">#REF!</definedName>
    <definedName name="BLPH123" localSheetId="38" hidden="1">#REF!</definedName>
    <definedName name="BLPH123" localSheetId="45" hidden="1">#REF!</definedName>
    <definedName name="BLPH123" localSheetId="46" hidden="1">#REF!</definedName>
    <definedName name="BLPH123" localSheetId="48" hidden="1">#REF!</definedName>
    <definedName name="BLPH123" localSheetId="49" hidden="1">#REF!</definedName>
    <definedName name="BLPH123" localSheetId="50" hidden="1">#REF!</definedName>
    <definedName name="BLPH123" localSheetId="51" hidden="1">#REF!</definedName>
    <definedName name="BLPH123" localSheetId="52" hidden="1">#REF!</definedName>
    <definedName name="BLPH123" localSheetId="54" hidden="1">#REF!</definedName>
    <definedName name="BLPH123" localSheetId="55" hidden="1">#REF!</definedName>
    <definedName name="BLPH123" localSheetId="56" hidden="1">#REF!</definedName>
    <definedName name="BLPH123" localSheetId="57" hidden="1">#REF!</definedName>
    <definedName name="BLPH123" localSheetId="58" hidden="1">#REF!</definedName>
    <definedName name="BLPH123" localSheetId="70" hidden="1">#REF!</definedName>
    <definedName name="BLPH123" localSheetId="71" hidden="1">#REF!</definedName>
    <definedName name="BLPH123" localSheetId="73" hidden="1">#REF!</definedName>
    <definedName name="BLPH123" localSheetId="75" hidden="1">#REF!</definedName>
    <definedName name="BLPH123" localSheetId="76" hidden="1">#REF!</definedName>
    <definedName name="BLPH123" localSheetId="13" hidden="1">#REF!</definedName>
    <definedName name="BLPH123" localSheetId="12" hidden="1">#REF!</definedName>
    <definedName name="BLPH123" localSheetId="4" hidden="1">#REF!</definedName>
    <definedName name="BLPH123" hidden="1">#REF!</definedName>
    <definedName name="BLPH124" localSheetId="14" hidden="1">#REF!</definedName>
    <definedName name="BLPH124" localSheetId="19" hidden="1">#REF!</definedName>
    <definedName name="BLPH124" localSheetId="23" hidden="1">#REF!</definedName>
    <definedName name="BLPH124" localSheetId="31" hidden="1">#REF!</definedName>
    <definedName name="BLPH124" localSheetId="36" hidden="1">#REF!</definedName>
    <definedName name="BLPH124" localSheetId="37" hidden="1">#REF!</definedName>
    <definedName name="BLPH124" localSheetId="38" hidden="1">#REF!</definedName>
    <definedName name="BLPH124" localSheetId="45" hidden="1">#REF!</definedName>
    <definedName name="BLPH124" localSheetId="46" hidden="1">#REF!</definedName>
    <definedName name="BLPH124" localSheetId="48" hidden="1">#REF!</definedName>
    <definedName name="BLPH124" localSheetId="49" hidden="1">#REF!</definedName>
    <definedName name="BLPH124" localSheetId="50" hidden="1">#REF!</definedName>
    <definedName name="BLPH124" localSheetId="51" hidden="1">#REF!</definedName>
    <definedName name="BLPH124" localSheetId="52" hidden="1">#REF!</definedName>
    <definedName name="BLPH124" localSheetId="54" hidden="1">#REF!</definedName>
    <definedName name="BLPH124" localSheetId="55" hidden="1">#REF!</definedName>
    <definedName name="BLPH124" localSheetId="56" hidden="1">#REF!</definedName>
    <definedName name="BLPH124" localSheetId="57" hidden="1">#REF!</definedName>
    <definedName name="BLPH124" localSheetId="58" hidden="1">#REF!</definedName>
    <definedName name="BLPH124" localSheetId="70" hidden="1">#REF!</definedName>
    <definedName name="BLPH124" localSheetId="71" hidden="1">#REF!</definedName>
    <definedName name="BLPH124" localSheetId="73" hidden="1">#REF!</definedName>
    <definedName name="BLPH124" localSheetId="75" hidden="1">#REF!</definedName>
    <definedName name="BLPH124" localSheetId="76" hidden="1">#REF!</definedName>
    <definedName name="BLPH124" localSheetId="13" hidden="1">#REF!</definedName>
    <definedName name="BLPH124" localSheetId="12" hidden="1">#REF!</definedName>
    <definedName name="BLPH124" localSheetId="4" hidden="1">#REF!</definedName>
    <definedName name="BLPH124" hidden="1">#REF!</definedName>
    <definedName name="BLPH125" localSheetId="14" hidden="1">#REF!</definedName>
    <definedName name="BLPH125" localSheetId="19" hidden="1">#REF!</definedName>
    <definedName name="BLPH125" localSheetId="23" hidden="1">#REF!</definedName>
    <definedName name="BLPH125" localSheetId="31" hidden="1">#REF!</definedName>
    <definedName name="BLPH125" localSheetId="36" hidden="1">#REF!</definedName>
    <definedName name="BLPH125" localSheetId="37" hidden="1">#REF!</definedName>
    <definedName name="BLPH125" localSheetId="38" hidden="1">#REF!</definedName>
    <definedName name="BLPH125" localSheetId="45" hidden="1">#REF!</definedName>
    <definedName name="BLPH125" localSheetId="46" hidden="1">#REF!</definedName>
    <definedName name="BLPH125" localSheetId="48" hidden="1">#REF!</definedName>
    <definedName name="BLPH125" localSheetId="49" hidden="1">#REF!</definedName>
    <definedName name="BLPH125" localSheetId="50" hidden="1">#REF!</definedName>
    <definedName name="BLPH125" localSheetId="51" hidden="1">#REF!</definedName>
    <definedName name="BLPH125" localSheetId="52" hidden="1">#REF!</definedName>
    <definedName name="BLPH125" localSheetId="54" hidden="1">#REF!</definedName>
    <definedName name="BLPH125" localSheetId="55" hidden="1">#REF!</definedName>
    <definedName name="BLPH125" localSheetId="56" hidden="1">#REF!</definedName>
    <definedName name="BLPH125" localSheetId="57" hidden="1">#REF!</definedName>
    <definedName name="BLPH125" localSheetId="58" hidden="1">#REF!</definedName>
    <definedName name="BLPH125" localSheetId="70" hidden="1">#REF!</definedName>
    <definedName name="BLPH125" localSheetId="71" hidden="1">#REF!</definedName>
    <definedName name="BLPH125" localSheetId="73" hidden="1">#REF!</definedName>
    <definedName name="BLPH125" localSheetId="75" hidden="1">#REF!</definedName>
    <definedName name="BLPH125" localSheetId="76" hidden="1">#REF!</definedName>
    <definedName name="BLPH125" localSheetId="13" hidden="1">#REF!</definedName>
    <definedName name="BLPH125" localSheetId="12" hidden="1">#REF!</definedName>
    <definedName name="BLPH125" localSheetId="4" hidden="1">#REF!</definedName>
    <definedName name="BLPH125" hidden="1">#REF!</definedName>
    <definedName name="BLPH126" localSheetId="14" hidden="1">#REF!</definedName>
    <definedName name="BLPH126" localSheetId="19" hidden="1">#REF!</definedName>
    <definedName name="BLPH126" localSheetId="23" hidden="1">#REF!</definedName>
    <definedName name="BLPH126" localSheetId="31" hidden="1">#REF!</definedName>
    <definedName name="BLPH126" localSheetId="36" hidden="1">#REF!</definedName>
    <definedName name="BLPH126" localSheetId="37" hidden="1">#REF!</definedName>
    <definedName name="BLPH126" localSheetId="38" hidden="1">#REF!</definedName>
    <definedName name="BLPH126" localSheetId="45" hidden="1">#REF!</definedName>
    <definedName name="BLPH126" localSheetId="46" hidden="1">#REF!</definedName>
    <definedName name="BLPH126" localSheetId="48" hidden="1">#REF!</definedName>
    <definedName name="BLPH126" localSheetId="49" hidden="1">#REF!</definedName>
    <definedName name="BLPH126" localSheetId="50" hidden="1">#REF!</definedName>
    <definedName name="BLPH126" localSheetId="51" hidden="1">#REF!</definedName>
    <definedName name="BLPH126" localSheetId="52" hidden="1">#REF!</definedName>
    <definedName name="BLPH126" localSheetId="54" hidden="1">#REF!</definedName>
    <definedName name="BLPH126" localSheetId="55" hidden="1">#REF!</definedName>
    <definedName name="BLPH126" localSheetId="56" hidden="1">#REF!</definedName>
    <definedName name="BLPH126" localSheetId="57" hidden="1">#REF!</definedName>
    <definedName name="BLPH126" localSheetId="58" hidden="1">#REF!</definedName>
    <definedName name="BLPH126" localSheetId="70" hidden="1">#REF!</definedName>
    <definedName name="BLPH126" localSheetId="71" hidden="1">#REF!</definedName>
    <definedName name="BLPH126" localSheetId="73" hidden="1">#REF!</definedName>
    <definedName name="BLPH126" localSheetId="75" hidden="1">#REF!</definedName>
    <definedName name="BLPH126" localSheetId="76" hidden="1">#REF!</definedName>
    <definedName name="BLPH126" localSheetId="13" hidden="1">#REF!</definedName>
    <definedName name="BLPH126" localSheetId="12" hidden="1">#REF!</definedName>
    <definedName name="BLPH126" localSheetId="4" hidden="1">#REF!</definedName>
    <definedName name="BLPH126" hidden="1">#REF!</definedName>
    <definedName name="BLPH127" localSheetId="14" hidden="1">#REF!</definedName>
    <definedName name="BLPH127" localSheetId="19" hidden="1">#REF!</definedName>
    <definedName name="BLPH127" localSheetId="23" hidden="1">#REF!</definedName>
    <definedName name="BLPH127" localSheetId="31" hidden="1">#REF!</definedName>
    <definedName name="BLPH127" localSheetId="36" hidden="1">#REF!</definedName>
    <definedName name="BLPH127" localSheetId="37" hidden="1">#REF!</definedName>
    <definedName name="BLPH127" localSheetId="38" hidden="1">#REF!</definedName>
    <definedName name="BLPH127" localSheetId="45" hidden="1">#REF!</definedName>
    <definedName name="BLPH127" localSheetId="46" hidden="1">#REF!</definedName>
    <definedName name="BLPH127" localSheetId="48" hidden="1">#REF!</definedName>
    <definedName name="BLPH127" localSheetId="49" hidden="1">#REF!</definedName>
    <definedName name="BLPH127" localSheetId="50" hidden="1">#REF!</definedName>
    <definedName name="BLPH127" localSheetId="51" hidden="1">#REF!</definedName>
    <definedName name="BLPH127" localSheetId="52" hidden="1">#REF!</definedName>
    <definedName name="BLPH127" localSheetId="54" hidden="1">#REF!</definedName>
    <definedName name="BLPH127" localSheetId="55" hidden="1">#REF!</definedName>
    <definedName name="BLPH127" localSheetId="56" hidden="1">#REF!</definedName>
    <definedName name="BLPH127" localSheetId="57" hidden="1">#REF!</definedName>
    <definedName name="BLPH127" localSheetId="58" hidden="1">#REF!</definedName>
    <definedName name="BLPH127" localSheetId="70" hidden="1">#REF!</definedName>
    <definedName name="BLPH127" localSheetId="71" hidden="1">#REF!</definedName>
    <definedName name="BLPH127" localSheetId="73" hidden="1">#REF!</definedName>
    <definedName name="BLPH127" localSheetId="75" hidden="1">#REF!</definedName>
    <definedName name="BLPH127" localSheetId="76" hidden="1">#REF!</definedName>
    <definedName name="BLPH127" localSheetId="13" hidden="1">#REF!</definedName>
    <definedName name="BLPH127" localSheetId="12" hidden="1">#REF!</definedName>
    <definedName name="BLPH127" localSheetId="4" hidden="1">#REF!</definedName>
    <definedName name="BLPH127" hidden="1">#REF!</definedName>
    <definedName name="BLPH128" localSheetId="14" hidden="1">#REF!</definedName>
    <definedName name="BLPH128" localSheetId="19" hidden="1">#REF!</definedName>
    <definedName name="BLPH128" localSheetId="23" hidden="1">#REF!</definedName>
    <definedName name="BLPH128" localSheetId="31" hidden="1">#REF!</definedName>
    <definedName name="BLPH128" localSheetId="36" hidden="1">#REF!</definedName>
    <definedName name="BLPH128" localSheetId="37" hidden="1">#REF!</definedName>
    <definedName name="BLPH128" localSheetId="38" hidden="1">#REF!</definedName>
    <definedName name="BLPH128" localSheetId="45" hidden="1">#REF!</definedName>
    <definedName name="BLPH128" localSheetId="46" hidden="1">#REF!</definedName>
    <definedName name="BLPH128" localSheetId="48" hidden="1">#REF!</definedName>
    <definedName name="BLPH128" localSheetId="49" hidden="1">#REF!</definedName>
    <definedName name="BLPH128" localSheetId="50" hidden="1">#REF!</definedName>
    <definedName name="BLPH128" localSheetId="51" hidden="1">#REF!</definedName>
    <definedName name="BLPH128" localSheetId="52" hidden="1">#REF!</definedName>
    <definedName name="BLPH128" localSheetId="54" hidden="1">#REF!</definedName>
    <definedName name="BLPH128" localSheetId="55" hidden="1">#REF!</definedName>
    <definedName name="BLPH128" localSheetId="56" hidden="1">#REF!</definedName>
    <definedName name="BLPH128" localSheetId="57" hidden="1">#REF!</definedName>
    <definedName name="BLPH128" localSheetId="58" hidden="1">#REF!</definedName>
    <definedName name="BLPH128" localSheetId="70" hidden="1">#REF!</definedName>
    <definedName name="BLPH128" localSheetId="71" hidden="1">#REF!</definedName>
    <definedName name="BLPH128" localSheetId="73" hidden="1">#REF!</definedName>
    <definedName name="BLPH128" localSheetId="75" hidden="1">#REF!</definedName>
    <definedName name="BLPH128" localSheetId="76" hidden="1">#REF!</definedName>
    <definedName name="BLPH128" localSheetId="13" hidden="1">#REF!</definedName>
    <definedName name="BLPH128" localSheetId="12" hidden="1">#REF!</definedName>
    <definedName name="BLPH128" localSheetId="4" hidden="1">#REF!</definedName>
    <definedName name="BLPH128" hidden="1">#REF!</definedName>
    <definedName name="BLPH129" localSheetId="14" hidden="1">#REF!</definedName>
    <definedName name="BLPH129" localSheetId="19" hidden="1">#REF!</definedName>
    <definedName name="BLPH129" localSheetId="23" hidden="1">#REF!</definedName>
    <definedName name="BLPH129" localSheetId="31" hidden="1">#REF!</definedName>
    <definedName name="BLPH129" localSheetId="36" hidden="1">#REF!</definedName>
    <definedName name="BLPH129" localSheetId="37" hidden="1">#REF!</definedName>
    <definedName name="BLPH129" localSheetId="38" hidden="1">#REF!</definedName>
    <definedName name="BLPH129" localSheetId="45" hidden="1">#REF!</definedName>
    <definedName name="BLPH129" localSheetId="46" hidden="1">#REF!</definedName>
    <definedName name="BLPH129" localSheetId="48" hidden="1">#REF!</definedName>
    <definedName name="BLPH129" localSheetId="49" hidden="1">#REF!</definedName>
    <definedName name="BLPH129" localSheetId="50" hidden="1">#REF!</definedName>
    <definedName name="BLPH129" localSheetId="51" hidden="1">#REF!</definedName>
    <definedName name="BLPH129" localSheetId="52" hidden="1">#REF!</definedName>
    <definedName name="BLPH129" localSheetId="54" hidden="1">#REF!</definedName>
    <definedName name="BLPH129" localSheetId="55" hidden="1">#REF!</definedName>
    <definedName name="BLPH129" localSheetId="56" hidden="1">#REF!</definedName>
    <definedName name="BLPH129" localSheetId="57" hidden="1">#REF!</definedName>
    <definedName name="BLPH129" localSheetId="58" hidden="1">#REF!</definedName>
    <definedName name="BLPH129" localSheetId="70" hidden="1">#REF!</definedName>
    <definedName name="BLPH129" localSheetId="71" hidden="1">#REF!</definedName>
    <definedName name="BLPH129" localSheetId="73" hidden="1">#REF!</definedName>
    <definedName name="BLPH129" localSheetId="75" hidden="1">#REF!</definedName>
    <definedName name="BLPH129" localSheetId="76" hidden="1">#REF!</definedName>
    <definedName name="BLPH129" localSheetId="13" hidden="1">#REF!</definedName>
    <definedName name="BLPH129" localSheetId="12" hidden="1">#REF!</definedName>
    <definedName name="BLPH129" localSheetId="4" hidden="1">#REF!</definedName>
    <definedName name="BLPH129" hidden="1">#REF!</definedName>
    <definedName name="BLPH13" localSheetId="14" hidden="1">#REF!</definedName>
    <definedName name="BLPH13" localSheetId="19" hidden="1">#REF!</definedName>
    <definedName name="BLPH13" localSheetId="23" hidden="1">#REF!</definedName>
    <definedName name="BLPH13" localSheetId="31" hidden="1">#REF!</definedName>
    <definedName name="BLPH13" localSheetId="36" hidden="1">#REF!</definedName>
    <definedName name="BLPH13" localSheetId="37" hidden="1">#REF!</definedName>
    <definedName name="BLPH13" localSheetId="38" hidden="1">#REF!</definedName>
    <definedName name="BLPH13" localSheetId="45" hidden="1">#REF!</definedName>
    <definedName name="BLPH13" localSheetId="46" hidden="1">#REF!</definedName>
    <definedName name="BLPH13" localSheetId="48" hidden="1">#REF!</definedName>
    <definedName name="BLPH13" localSheetId="49" hidden="1">#REF!</definedName>
    <definedName name="BLPH13" localSheetId="50" hidden="1">#REF!</definedName>
    <definedName name="BLPH13" localSheetId="51" hidden="1">#REF!</definedName>
    <definedName name="BLPH13" localSheetId="52" hidden="1">#REF!</definedName>
    <definedName name="BLPH13" localSheetId="54" hidden="1">#REF!</definedName>
    <definedName name="BLPH13" localSheetId="55" hidden="1">#REF!</definedName>
    <definedName name="BLPH13" localSheetId="56" hidden="1">#REF!</definedName>
    <definedName name="BLPH13" localSheetId="57" hidden="1">#REF!</definedName>
    <definedName name="BLPH13" localSheetId="58" hidden="1">#REF!</definedName>
    <definedName name="BLPH13" localSheetId="70" hidden="1">#REF!</definedName>
    <definedName name="BLPH13" localSheetId="71" hidden="1">#REF!</definedName>
    <definedName name="BLPH13" localSheetId="73" hidden="1">#REF!</definedName>
    <definedName name="BLPH13" localSheetId="75" hidden="1">#REF!</definedName>
    <definedName name="BLPH13" localSheetId="76" hidden="1">#REF!</definedName>
    <definedName name="BLPH13" localSheetId="13" hidden="1">#REF!</definedName>
    <definedName name="BLPH13" localSheetId="12" hidden="1">#REF!</definedName>
    <definedName name="BLPH13" localSheetId="4" hidden="1">#REF!</definedName>
    <definedName name="BLPH13" hidden="1">#REF!</definedName>
    <definedName name="BLPH130" localSheetId="14" hidden="1">#REF!</definedName>
    <definedName name="BLPH130" localSheetId="19" hidden="1">#REF!</definedName>
    <definedName name="BLPH130" localSheetId="23" hidden="1">#REF!</definedName>
    <definedName name="BLPH130" localSheetId="31" hidden="1">#REF!</definedName>
    <definedName name="BLPH130" localSheetId="36" hidden="1">#REF!</definedName>
    <definedName name="BLPH130" localSheetId="37" hidden="1">#REF!</definedName>
    <definedName name="BLPH130" localSheetId="38" hidden="1">#REF!</definedName>
    <definedName name="BLPH130" localSheetId="45" hidden="1">#REF!</definedName>
    <definedName name="BLPH130" localSheetId="46" hidden="1">#REF!</definedName>
    <definedName name="BLPH130" localSheetId="48" hidden="1">#REF!</definedName>
    <definedName name="BLPH130" localSheetId="49" hidden="1">#REF!</definedName>
    <definedName name="BLPH130" localSheetId="50" hidden="1">#REF!</definedName>
    <definedName name="BLPH130" localSheetId="51" hidden="1">#REF!</definedName>
    <definedName name="BLPH130" localSheetId="52" hidden="1">#REF!</definedName>
    <definedName name="BLPH130" localSheetId="54" hidden="1">#REF!</definedName>
    <definedName name="BLPH130" localSheetId="55" hidden="1">#REF!</definedName>
    <definedName name="BLPH130" localSheetId="56" hidden="1">#REF!</definedName>
    <definedName name="BLPH130" localSheetId="57" hidden="1">#REF!</definedName>
    <definedName name="BLPH130" localSheetId="58" hidden="1">#REF!</definedName>
    <definedName name="BLPH130" localSheetId="70" hidden="1">#REF!</definedName>
    <definedName name="BLPH130" localSheetId="71" hidden="1">#REF!</definedName>
    <definedName name="BLPH130" localSheetId="73" hidden="1">#REF!</definedName>
    <definedName name="BLPH130" localSheetId="75" hidden="1">#REF!</definedName>
    <definedName name="BLPH130" localSheetId="76" hidden="1">#REF!</definedName>
    <definedName name="BLPH130" localSheetId="13" hidden="1">#REF!</definedName>
    <definedName name="BLPH130" localSheetId="12" hidden="1">#REF!</definedName>
    <definedName name="BLPH130" localSheetId="4" hidden="1">#REF!</definedName>
    <definedName name="BLPH130" hidden="1">#REF!</definedName>
    <definedName name="BLPH131" localSheetId="14" hidden="1">#REF!</definedName>
    <definedName name="BLPH131" localSheetId="19" hidden="1">#REF!</definedName>
    <definedName name="BLPH131" localSheetId="23" hidden="1">#REF!</definedName>
    <definedName name="BLPH131" localSheetId="31" hidden="1">#REF!</definedName>
    <definedName name="BLPH131" localSheetId="36" hidden="1">#REF!</definedName>
    <definedName name="BLPH131" localSheetId="37" hidden="1">#REF!</definedName>
    <definedName name="BLPH131" localSheetId="38" hidden="1">#REF!</definedName>
    <definedName name="BLPH131" localSheetId="45" hidden="1">#REF!</definedName>
    <definedName name="BLPH131" localSheetId="46" hidden="1">#REF!</definedName>
    <definedName name="BLPH131" localSheetId="48" hidden="1">#REF!</definedName>
    <definedName name="BLPH131" localSheetId="49" hidden="1">#REF!</definedName>
    <definedName name="BLPH131" localSheetId="50" hidden="1">#REF!</definedName>
    <definedName name="BLPH131" localSheetId="51" hidden="1">#REF!</definedName>
    <definedName name="BLPH131" localSheetId="52" hidden="1">#REF!</definedName>
    <definedName name="BLPH131" localSheetId="54" hidden="1">#REF!</definedName>
    <definedName name="BLPH131" localSheetId="55" hidden="1">#REF!</definedName>
    <definedName name="BLPH131" localSheetId="56" hidden="1">#REF!</definedName>
    <definedName name="BLPH131" localSheetId="57" hidden="1">#REF!</definedName>
    <definedName name="BLPH131" localSheetId="58" hidden="1">#REF!</definedName>
    <definedName name="BLPH131" localSheetId="70" hidden="1">#REF!</definedName>
    <definedName name="BLPH131" localSheetId="71" hidden="1">#REF!</definedName>
    <definedName name="BLPH131" localSheetId="73" hidden="1">#REF!</definedName>
    <definedName name="BLPH131" localSheetId="75" hidden="1">#REF!</definedName>
    <definedName name="BLPH131" localSheetId="76" hidden="1">#REF!</definedName>
    <definedName name="BLPH131" localSheetId="13" hidden="1">#REF!</definedName>
    <definedName name="BLPH131" localSheetId="12" hidden="1">#REF!</definedName>
    <definedName name="BLPH131" localSheetId="4" hidden="1">#REF!</definedName>
    <definedName name="BLPH131" hidden="1">#REF!</definedName>
    <definedName name="BLPH132" localSheetId="14" hidden="1">#REF!</definedName>
    <definedName name="BLPH132" localSheetId="19" hidden="1">#REF!</definedName>
    <definedName name="BLPH132" localSheetId="23" hidden="1">#REF!</definedName>
    <definedName name="BLPH132" localSheetId="31" hidden="1">#REF!</definedName>
    <definedName name="BLPH132" localSheetId="36" hidden="1">#REF!</definedName>
    <definedName name="BLPH132" localSheetId="37" hidden="1">#REF!</definedName>
    <definedName name="BLPH132" localSheetId="38" hidden="1">#REF!</definedName>
    <definedName name="BLPH132" localSheetId="45" hidden="1">#REF!</definedName>
    <definedName name="BLPH132" localSheetId="46" hidden="1">#REF!</definedName>
    <definedName name="BLPH132" localSheetId="48" hidden="1">#REF!</definedName>
    <definedName name="BLPH132" localSheetId="49" hidden="1">#REF!</definedName>
    <definedName name="BLPH132" localSheetId="50" hidden="1">#REF!</definedName>
    <definedName name="BLPH132" localSheetId="51" hidden="1">#REF!</definedName>
    <definedName name="BLPH132" localSheetId="52" hidden="1">#REF!</definedName>
    <definedName name="BLPH132" localSheetId="54" hidden="1">#REF!</definedName>
    <definedName name="BLPH132" localSheetId="55" hidden="1">#REF!</definedName>
    <definedName name="BLPH132" localSheetId="56" hidden="1">#REF!</definedName>
    <definedName name="BLPH132" localSheetId="57" hidden="1">#REF!</definedName>
    <definedName name="BLPH132" localSheetId="58" hidden="1">#REF!</definedName>
    <definedName name="BLPH132" localSheetId="70" hidden="1">#REF!</definedName>
    <definedName name="BLPH132" localSheetId="71" hidden="1">#REF!</definedName>
    <definedName name="BLPH132" localSheetId="73" hidden="1">#REF!</definedName>
    <definedName name="BLPH132" localSheetId="75" hidden="1">#REF!</definedName>
    <definedName name="BLPH132" localSheetId="76" hidden="1">#REF!</definedName>
    <definedName name="BLPH132" localSheetId="13" hidden="1">#REF!</definedName>
    <definedName name="BLPH132" localSheetId="12" hidden="1">#REF!</definedName>
    <definedName name="BLPH132" localSheetId="4" hidden="1">#REF!</definedName>
    <definedName name="BLPH132" hidden="1">#REF!</definedName>
    <definedName name="BLPH133" localSheetId="14" hidden="1">#REF!</definedName>
    <definedName name="BLPH133" localSheetId="19" hidden="1">#REF!</definedName>
    <definedName name="BLPH133" localSheetId="23" hidden="1">#REF!</definedName>
    <definedName name="BLPH133" localSheetId="31" hidden="1">#REF!</definedName>
    <definedName name="BLPH133" localSheetId="36" hidden="1">#REF!</definedName>
    <definedName name="BLPH133" localSheetId="37" hidden="1">#REF!</definedName>
    <definedName name="BLPH133" localSheetId="38" hidden="1">#REF!</definedName>
    <definedName name="BLPH133" localSheetId="45" hidden="1">#REF!</definedName>
    <definedName name="BLPH133" localSheetId="46" hidden="1">#REF!</definedName>
    <definedName name="BLPH133" localSheetId="48" hidden="1">#REF!</definedName>
    <definedName name="BLPH133" localSheetId="49" hidden="1">#REF!</definedName>
    <definedName name="BLPH133" localSheetId="50" hidden="1">#REF!</definedName>
    <definedName name="BLPH133" localSheetId="51" hidden="1">#REF!</definedName>
    <definedName name="BLPH133" localSheetId="52" hidden="1">#REF!</definedName>
    <definedName name="BLPH133" localSheetId="54" hidden="1">#REF!</definedName>
    <definedName name="BLPH133" localSheetId="55" hidden="1">#REF!</definedName>
    <definedName name="BLPH133" localSheetId="56" hidden="1">#REF!</definedName>
    <definedName name="BLPH133" localSheetId="57" hidden="1">#REF!</definedName>
    <definedName name="BLPH133" localSheetId="58" hidden="1">#REF!</definedName>
    <definedName name="BLPH133" localSheetId="70" hidden="1">#REF!</definedName>
    <definedName name="BLPH133" localSheetId="71" hidden="1">#REF!</definedName>
    <definedName name="BLPH133" localSheetId="73" hidden="1">#REF!</definedName>
    <definedName name="BLPH133" localSheetId="75" hidden="1">#REF!</definedName>
    <definedName name="BLPH133" localSheetId="76" hidden="1">#REF!</definedName>
    <definedName name="BLPH133" localSheetId="13" hidden="1">#REF!</definedName>
    <definedName name="BLPH133" localSheetId="12" hidden="1">#REF!</definedName>
    <definedName name="BLPH133" localSheetId="4" hidden="1">#REF!</definedName>
    <definedName name="BLPH133" hidden="1">#REF!</definedName>
    <definedName name="BLPH134" localSheetId="14" hidden="1">#REF!</definedName>
    <definedName name="BLPH134" localSheetId="19" hidden="1">#REF!</definedName>
    <definedName name="BLPH134" localSheetId="23" hidden="1">#REF!</definedName>
    <definedName name="BLPH134" localSheetId="31" hidden="1">#REF!</definedName>
    <definedName name="BLPH134" localSheetId="36" hidden="1">#REF!</definedName>
    <definedName name="BLPH134" localSheetId="37" hidden="1">#REF!</definedName>
    <definedName name="BLPH134" localSheetId="38" hidden="1">#REF!</definedName>
    <definedName name="BLPH134" localSheetId="45" hidden="1">#REF!</definedName>
    <definedName name="BLPH134" localSheetId="46" hidden="1">#REF!</definedName>
    <definedName name="BLPH134" localSheetId="48" hidden="1">#REF!</definedName>
    <definedName name="BLPH134" localSheetId="49" hidden="1">#REF!</definedName>
    <definedName name="BLPH134" localSheetId="50" hidden="1">#REF!</definedName>
    <definedName name="BLPH134" localSheetId="51" hidden="1">#REF!</definedName>
    <definedName name="BLPH134" localSheetId="52" hidden="1">#REF!</definedName>
    <definedName name="BLPH134" localSheetId="54" hidden="1">#REF!</definedName>
    <definedName name="BLPH134" localSheetId="55" hidden="1">#REF!</definedName>
    <definedName name="BLPH134" localSheetId="56" hidden="1">#REF!</definedName>
    <definedName name="BLPH134" localSheetId="57" hidden="1">#REF!</definedName>
    <definedName name="BLPH134" localSheetId="58" hidden="1">#REF!</definedName>
    <definedName name="BLPH134" localSheetId="70" hidden="1">#REF!</definedName>
    <definedName name="BLPH134" localSheetId="71" hidden="1">#REF!</definedName>
    <definedName name="BLPH134" localSheetId="73" hidden="1">#REF!</definedName>
    <definedName name="BLPH134" localSheetId="75" hidden="1">#REF!</definedName>
    <definedName name="BLPH134" localSheetId="76" hidden="1">#REF!</definedName>
    <definedName name="BLPH134" localSheetId="13" hidden="1">#REF!</definedName>
    <definedName name="BLPH134" localSheetId="12" hidden="1">#REF!</definedName>
    <definedName name="BLPH134" localSheetId="4" hidden="1">#REF!</definedName>
    <definedName name="BLPH134" hidden="1">#REF!</definedName>
    <definedName name="BLPH135" localSheetId="14" hidden="1">#REF!</definedName>
    <definedName name="BLPH135" localSheetId="19" hidden="1">#REF!</definedName>
    <definedName name="BLPH135" localSheetId="23" hidden="1">#REF!</definedName>
    <definedName name="BLPH135" localSheetId="31" hidden="1">#REF!</definedName>
    <definedName name="BLPH135" localSheetId="36" hidden="1">#REF!</definedName>
    <definedName name="BLPH135" localSheetId="37" hidden="1">#REF!</definedName>
    <definedName name="BLPH135" localSheetId="38" hidden="1">#REF!</definedName>
    <definedName name="BLPH135" localSheetId="45" hidden="1">#REF!</definedName>
    <definedName name="BLPH135" localSheetId="46" hidden="1">#REF!</definedName>
    <definedName name="BLPH135" localSheetId="48" hidden="1">#REF!</definedName>
    <definedName name="BLPH135" localSheetId="49" hidden="1">#REF!</definedName>
    <definedName name="BLPH135" localSheetId="50" hidden="1">#REF!</definedName>
    <definedName name="BLPH135" localSheetId="51" hidden="1">#REF!</definedName>
    <definedName name="BLPH135" localSheetId="52" hidden="1">#REF!</definedName>
    <definedName name="BLPH135" localSheetId="54" hidden="1">#REF!</definedName>
    <definedName name="BLPH135" localSheetId="55" hidden="1">#REF!</definedName>
    <definedName name="BLPH135" localSheetId="56" hidden="1">#REF!</definedName>
    <definedName name="BLPH135" localSheetId="57" hidden="1">#REF!</definedName>
    <definedName name="BLPH135" localSheetId="58" hidden="1">#REF!</definedName>
    <definedName name="BLPH135" localSheetId="70" hidden="1">#REF!</definedName>
    <definedName name="BLPH135" localSheetId="71" hidden="1">#REF!</definedName>
    <definedName name="BLPH135" localSheetId="73" hidden="1">#REF!</definedName>
    <definedName name="BLPH135" localSheetId="75" hidden="1">#REF!</definedName>
    <definedName name="BLPH135" localSheetId="76" hidden="1">#REF!</definedName>
    <definedName name="BLPH135" localSheetId="13" hidden="1">#REF!</definedName>
    <definedName name="BLPH135" localSheetId="12" hidden="1">#REF!</definedName>
    <definedName name="BLPH135" localSheetId="4" hidden="1">#REF!</definedName>
    <definedName name="BLPH135" hidden="1">#REF!</definedName>
    <definedName name="BLPH136" localSheetId="14" hidden="1">#REF!</definedName>
    <definedName name="BLPH136" localSheetId="19" hidden="1">#REF!</definedName>
    <definedName name="BLPH136" localSheetId="23" hidden="1">#REF!</definedName>
    <definedName name="BLPH136" localSheetId="31" hidden="1">#REF!</definedName>
    <definedName name="BLPH136" localSheetId="36" hidden="1">#REF!</definedName>
    <definedName name="BLPH136" localSheetId="37" hidden="1">#REF!</definedName>
    <definedName name="BLPH136" localSheetId="38" hidden="1">#REF!</definedName>
    <definedName name="BLPH136" localSheetId="45" hidden="1">#REF!</definedName>
    <definedName name="BLPH136" localSheetId="46" hidden="1">#REF!</definedName>
    <definedName name="BLPH136" localSheetId="48" hidden="1">#REF!</definedName>
    <definedName name="BLPH136" localSheetId="49" hidden="1">#REF!</definedName>
    <definedName name="BLPH136" localSheetId="50" hidden="1">#REF!</definedName>
    <definedName name="BLPH136" localSheetId="51" hidden="1">#REF!</definedName>
    <definedName name="BLPH136" localSheetId="52" hidden="1">#REF!</definedName>
    <definedName name="BLPH136" localSheetId="54" hidden="1">#REF!</definedName>
    <definedName name="BLPH136" localSheetId="55" hidden="1">#REF!</definedName>
    <definedName name="BLPH136" localSheetId="56" hidden="1">#REF!</definedName>
    <definedName name="BLPH136" localSheetId="57" hidden="1">#REF!</definedName>
    <definedName name="BLPH136" localSheetId="58" hidden="1">#REF!</definedName>
    <definedName name="BLPH136" localSheetId="70" hidden="1">#REF!</definedName>
    <definedName name="BLPH136" localSheetId="71" hidden="1">#REF!</definedName>
    <definedName name="BLPH136" localSheetId="73" hidden="1">#REF!</definedName>
    <definedName name="BLPH136" localSheetId="75" hidden="1">#REF!</definedName>
    <definedName name="BLPH136" localSheetId="76" hidden="1">#REF!</definedName>
    <definedName name="BLPH136" localSheetId="13" hidden="1">#REF!</definedName>
    <definedName name="BLPH136" localSheetId="12" hidden="1">#REF!</definedName>
    <definedName name="BLPH136" localSheetId="4" hidden="1">#REF!</definedName>
    <definedName name="BLPH136" hidden="1">#REF!</definedName>
    <definedName name="BLPH137" localSheetId="14" hidden="1">#REF!</definedName>
    <definedName name="BLPH137" localSheetId="19" hidden="1">#REF!</definedName>
    <definedName name="BLPH137" localSheetId="23" hidden="1">#REF!</definedName>
    <definedName name="BLPH137" localSheetId="31" hidden="1">#REF!</definedName>
    <definedName name="BLPH137" localSheetId="36" hidden="1">#REF!</definedName>
    <definedName name="BLPH137" localSheetId="37" hidden="1">#REF!</definedName>
    <definedName name="BLPH137" localSheetId="38" hidden="1">#REF!</definedName>
    <definedName name="BLPH137" localSheetId="45" hidden="1">#REF!</definedName>
    <definedName name="BLPH137" localSheetId="46" hidden="1">#REF!</definedName>
    <definedName name="BLPH137" localSheetId="48" hidden="1">#REF!</definedName>
    <definedName name="BLPH137" localSheetId="49" hidden="1">#REF!</definedName>
    <definedName name="BLPH137" localSheetId="50" hidden="1">#REF!</definedName>
    <definedName name="BLPH137" localSheetId="51" hidden="1">#REF!</definedName>
    <definedName name="BLPH137" localSheetId="52" hidden="1">#REF!</definedName>
    <definedName name="BLPH137" localSheetId="54" hidden="1">#REF!</definedName>
    <definedName name="BLPH137" localSheetId="55" hidden="1">#REF!</definedName>
    <definedName name="BLPH137" localSheetId="56" hidden="1">#REF!</definedName>
    <definedName name="BLPH137" localSheetId="57" hidden="1">#REF!</definedName>
    <definedName name="BLPH137" localSheetId="58" hidden="1">#REF!</definedName>
    <definedName name="BLPH137" localSheetId="70" hidden="1">#REF!</definedName>
    <definedName name="BLPH137" localSheetId="71" hidden="1">#REF!</definedName>
    <definedName name="BLPH137" localSheetId="73" hidden="1">#REF!</definedName>
    <definedName name="BLPH137" localSheetId="75" hidden="1">#REF!</definedName>
    <definedName name="BLPH137" localSheetId="76" hidden="1">#REF!</definedName>
    <definedName name="BLPH137" localSheetId="13" hidden="1">#REF!</definedName>
    <definedName name="BLPH137" localSheetId="12" hidden="1">#REF!</definedName>
    <definedName name="BLPH137" localSheetId="4" hidden="1">#REF!</definedName>
    <definedName name="BLPH137" hidden="1">#REF!</definedName>
    <definedName name="BLPH138" localSheetId="14" hidden="1">#REF!</definedName>
    <definedName name="BLPH138" localSheetId="19" hidden="1">#REF!</definedName>
    <definedName name="BLPH138" localSheetId="23" hidden="1">#REF!</definedName>
    <definedName name="BLPH138" localSheetId="31" hidden="1">#REF!</definedName>
    <definedName name="BLPH138" localSheetId="36" hidden="1">#REF!</definedName>
    <definedName name="BLPH138" localSheetId="37" hidden="1">#REF!</definedName>
    <definedName name="BLPH138" localSheetId="38" hidden="1">#REF!</definedName>
    <definedName name="BLPH138" localSheetId="45" hidden="1">#REF!</definedName>
    <definedName name="BLPH138" localSheetId="46" hidden="1">#REF!</definedName>
    <definedName name="BLPH138" localSheetId="48" hidden="1">#REF!</definedName>
    <definedName name="BLPH138" localSheetId="49" hidden="1">#REF!</definedName>
    <definedName name="BLPH138" localSheetId="50" hidden="1">#REF!</definedName>
    <definedName name="BLPH138" localSheetId="51" hidden="1">#REF!</definedName>
    <definedName name="BLPH138" localSheetId="52" hidden="1">#REF!</definedName>
    <definedName name="BLPH138" localSheetId="54" hidden="1">#REF!</definedName>
    <definedName name="BLPH138" localSheetId="55" hidden="1">#REF!</definedName>
    <definedName name="BLPH138" localSheetId="56" hidden="1">#REF!</definedName>
    <definedName name="BLPH138" localSheetId="57" hidden="1">#REF!</definedName>
    <definedName name="BLPH138" localSheetId="58" hidden="1">#REF!</definedName>
    <definedName name="BLPH138" localSheetId="70" hidden="1">#REF!</definedName>
    <definedName name="BLPH138" localSheetId="71" hidden="1">#REF!</definedName>
    <definedName name="BLPH138" localSheetId="73" hidden="1">#REF!</definedName>
    <definedName name="BLPH138" localSheetId="75" hidden="1">#REF!</definedName>
    <definedName name="BLPH138" localSheetId="76" hidden="1">#REF!</definedName>
    <definedName name="BLPH138" localSheetId="13" hidden="1">#REF!</definedName>
    <definedName name="BLPH138" localSheetId="12" hidden="1">#REF!</definedName>
    <definedName name="BLPH138" localSheetId="4" hidden="1">#REF!</definedName>
    <definedName name="BLPH138" hidden="1">#REF!</definedName>
    <definedName name="BLPH139" localSheetId="14" hidden="1">#REF!</definedName>
    <definedName name="BLPH139" localSheetId="19" hidden="1">#REF!</definedName>
    <definedName name="BLPH139" localSheetId="23" hidden="1">#REF!</definedName>
    <definedName name="BLPH139" localSheetId="31" hidden="1">#REF!</definedName>
    <definedName name="BLPH139" localSheetId="36" hidden="1">#REF!</definedName>
    <definedName name="BLPH139" localSheetId="37" hidden="1">#REF!</definedName>
    <definedName name="BLPH139" localSheetId="38" hidden="1">#REF!</definedName>
    <definedName name="BLPH139" localSheetId="45" hidden="1">#REF!</definedName>
    <definedName name="BLPH139" localSheetId="46" hidden="1">#REF!</definedName>
    <definedName name="BLPH139" localSheetId="48" hidden="1">#REF!</definedName>
    <definedName name="BLPH139" localSheetId="49" hidden="1">#REF!</definedName>
    <definedName name="BLPH139" localSheetId="50" hidden="1">#REF!</definedName>
    <definedName name="BLPH139" localSheetId="51" hidden="1">#REF!</definedName>
    <definedName name="BLPH139" localSheetId="52" hidden="1">#REF!</definedName>
    <definedName name="BLPH139" localSheetId="54" hidden="1">#REF!</definedName>
    <definedName name="BLPH139" localSheetId="55" hidden="1">#REF!</definedName>
    <definedName name="BLPH139" localSheetId="56" hidden="1">#REF!</definedName>
    <definedName name="BLPH139" localSheetId="57" hidden="1">#REF!</definedName>
    <definedName name="BLPH139" localSheetId="58" hidden="1">#REF!</definedName>
    <definedName name="BLPH139" localSheetId="70" hidden="1">#REF!</definedName>
    <definedName name="BLPH139" localSheetId="71" hidden="1">#REF!</definedName>
    <definedName name="BLPH139" localSheetId="73" hidden="1">#REF!</definedName>
    <definedName name="BLPH139" localSheetId="75" hidden="1">#REF!</definedName>
    <definedName name="BLPH139" localSheetId="76" hidden="1">#REF!</definedName>
    <definedName name="BLPH139" localSheetId="13" hidden="1">#REF!</definedName>
    <definedName name="BLPH139" localSheetId="12" hidden="1">#REF!</definedName>
    <definedName name="BLPH139" localSheetId="4" hidden="1">#REF!</definedName>
    <definedName name="BLPH139" hidden="1">#REF!</definedName>
    <definedName name="BLPH14" localSheetId="14" hidden="1">#REF!</definedName>
    <definedName name="BLPH14" localSheetId="19" hidden="1">#REF!</definedName>
    <definedName name="BLPH14" localSheetId="23" hidden="1">#REF!</definedName>
    <definedName name="BLPH14" localSheetId="31" hidden="1">#REF!</definedName>
    <definedName name="BLPH14" localSheetId="36" hidden="1">#REF!</definedName>
    <definedName name="BLPH14" localSheetId="37" hidden="1">#REF!</definedName>
    <definedName name="BLPH14" localSheetId="38" hidden="1">#REF!</definedName>
    <definedName name="BLPH14" localSheetId="45" hidden="1">#REF!</definedName>
    <definedName name="BLPH14" localSheetId="46" hidden="1">#REF!</definedName>
    <definedName name="BLPH14" localSheetId="48" hidden="1">#REF!</definedName>
    <definedName name="BLPH14" localSheetId="49" hidden="1">#REF!</definedName>
    <definedName name="BLPH14" localSheetId="50" hidden="1">#REF!</definedName>
    <definedName name="BLPH14" localSheetId="51" hidden="1">#REF!</definedName>
    <definedName name="BLPH14" localSheetId="52" hidden="1">#REF!</definedName>
    <definedName name="BLPH14" localSheetId="54" hidden="1">#REF!</definedName>
    <definedName name="BLPH14" localSheetId="55" hidden="1">#REF!</definedName>
    <definedName name="BLPH14" localSheetId="56" hidden="1">#REF!</definedName>
    <definedName name="BLPH14" localSheetId="57" hidden="1">#REF!</definedName>
    <definedName name="BLPH14" localSheetId="58" hidden="1">#REF!</definedName>
    <definedName name="BLPH14" localSheetId="70" hidden="1">#REF!</definedName>
    <definedName name="BLPH14" localSheetId="71" hidden="1">#REF!</definedName>
    <definedName name="BLPH14" localSheetId="73" hidden="1">#REF!</definedName>
    <definedName name="BLPH14" localSheetId="75" hidden="1">#REF!</definedName>
    <definedName name="BLPH14" localSheetId="76" hidden="1">#REF!</definedName>
    <definedName name="BLPH14" localSheetId="13" hidden="1">#REF!</definedName>
    <definedName name="BLPH14" localSheetId="12" hidden="1">#REF!</definedName>
    <definedName name="BLPH14" localSheetId="4" hidden="1">#REF!</definedName>
    <definedName name="BLPH14" hidden="1">#REF!</definedName>
    <definedName name="BLPH140" localSheetId="14" hidden="1">#REF!</definedName>
    <definedName name="BLPH140" localSheetId="19" hidden="1">#REF!</definedName>
    <definedName name="BLPH140" localSheetId="23" hidden="1">#REF!</definedName>
    <definedName name="BLPH140" localSheetId="31" hidden="1">#REF!</definedName>
    <definedName name="BLPH140" localSheetId="36" hidden="1">#REF!</definedName>
    <definedName name="BLPH140" localSheetId="37" hidden="1">#REF!</definedName>
    <definedName name="BLPH140" localSheetId="38" hidden="1">#REF!</definedName>
    <definedName name="BLPH140" localSheetId="45" hidden="1">#REF!</definedName>
    <definedName name="BLPH140" localSheetId="46" hidden="1">#REF!</definedName>
    <definedName name="BLPH140" localSheetId="48" hidden="1">#REF!</definedName>
    <definedName name="BLPH140" localSheetId="49" hidden="1">#REF!</definedName>
    <definedName name="BLPH140" localSheetId="50" hidden="1">#REF!</definedName>
    <definedName name="BLPH140" localSheetId="51" hidden="1">#REF!</definedName>
    <definedName name="BLPH140" localSheetId="52" hidden="1">#REF!</definedName>
    <definedName name="BLPH140" localSheetId="54" hidden="1">#REF!</definedName>
    <definedName name="BLPH140" localSheetId="55" hidden="1">#REF!</definedName>
    <definedName name="BLPH140" localSheetId="56" hidden="1">#REF!</definedName>
    <definedName name="BLPH140" localSheetId="57" hidden="1">#REF!</definedName>
    <definedName name="BLPH140" localSheetId="58" hidden="1">#REF!</definedName>
    <definedName name="BLPH140" localSheetId="70" hidden="1">#REF!</definedName>
    <definedName name="BLPH140" localSheetId="71" hidden="1">#REF!</definedName>
    <definedName name="BLPH140" localSheetId="73" hidden="1">#REF!</definedName>
    <definedName name="BLPH140" localSheetId="75" hidden="1">#REF!</definedName>
    <definedName name="BLPH140" localSheetId="76" hidden="1">#REF!</definedName>
    <definedName name="BLPH140" localSheetId="13" hidden="1">#REF!</definedName>
    <definedName name="BLPH140" localSheetId="12" hidden="1">#REF!</definedName>
    <definedName name="BLPH140" localSheetId="4" hidden="1">#REF!</definedName>
    <definedName name="BLPH140" hidden="1">#REF!</definedName>
    <definedName name="BLPH141" localSheetId="14" hidden="1">#REF!</definedName>
    <definedName name="BLPH141" localSheetId="19" hidden="1">#REF!</definedName>
    <definedName name="BLPH141" localSheetId="23" hidden="1">#REF!</definedName>
    <definedName name="BLPH141" localSheetId="31" hidden="1">#REF!</definedName>
    <definedName name="BLPH141" localSheetId="36" hidden="1">#REF!</definedName>
    <definedName name="BLPH141" localSheetId="37" hidden="1">#REF!</definedName>
    <definedName name="BLPH141" localSheetId="38" hidden="1">#REF!</definedName>
    <definedName name="BLPH141" localSheetId="45" hidden="1">#REF!</definedName>
    <definedName name="BLPH141" localSheetId="46" hidden="1">#REF!</definedName>
    <definedName name="BLPH141" localSheetId="48" hidden="1">#REF!</definedName>
    <definedName name="BLPH141" localSheetId="49" hidden="1">#REF!</definedName>
    <definedName name="BLPH141" localSheetId="50" hidden="1">#REF!</definedName>
    <definedName name="BLPH141" localSheetId="51" hidden="1">#REF!</definedName>
    <definedName name="BLPH141" localSheetId="52" hidden="1">#REF!</definedName>
    <definedName name="BLPH141" localSheetId="54" hidden="1">#REF!</definedName>
    <definedName name="BLPH141" localSheetId="55" hidden="1">#REF!</definedName>
    <definedName name="BLPH141" localSheetId="56" hidden="1">#REF!</definedName>
    <definedName name="BLPH141" localSheetId="57" hidden="1">#REF!</definedName>
    <definedName name="BLPH141" localSheetId="58" hidden="1">#REF!</definedName>
    <definedName name="BLPH141" localSheetId="70" hidden="1">#REF!</definedName>
    <definedName name="BLPH141" localSheetId="71" hidden="1">#REF!</definedName>
    <definedName name="BLPH141" localSheetId="73" hidden="1">#REF!</definedName>
    <definedName name="BLPH141" localSheetId="75" hidden="1">#REF!</definedName>
    <definedName name="BLPH141" localSheetId="76" hidden="1">#REF!</definedName>
    <definedName name="BLPH141" localSheetId="13" hidden="1">#REF!</definedName>
    <definedName name="BLPH141" localSheetId="12" hidden="1">#REF!</definedName>
    <definedName name="BLPH141" localSheetId="4" hidden="1">#REF!</definedName>
    <definedName name="BLPH141" hidden="1">#REF!</definedName>
    <definedName name="BLPH142" localSheetId="14" hidden="1">#REF!</definedName>
    <definedName name="BLPH142" localSheetId="19" hidden="1">#REF!</definedName>
    <definedName name="BLPH142" localSheetId="23" hidden="1">#REF!</definedName>
    <definedName name="BLPH142" localSheetId="31" hidden="1">#REF!</definedName>
    <definedName name="BLPH142" localSheetId="36" hidden="1">#REF!</definedName>
    <definedName name="BLPH142" localSheetId="37" hidden="1">#REF!</definedName>
    <definedName name="BLPH142" localSheetId="38" hidden="1">#REF!</definedName>
    <definedName name="BLPH142" localSheetId="45" hidden="1">#REF!</definedName>
    <definedName name="BLPH142" localSheetId="46" hidden="1">#REF!</definedName>
    <definedName name="BLPH142" localSheetId="48" hidden="1">#REF!</definedName>
    <definedName name="BLPH142" localSheetId="49" hidden="1">#REF!</definedName>
    <definedName name="BLPH142" localSheetId="50" hidden="1">#REF!</definedName>
    <definedName name="BLPH142" localSheetId="51" hidden="1">#REF!</definedName>
    <definedName name="BLPH142" localSheetId="52" hidden="1">#REF!</definedName>
    <definedName name="BLPH142" localSheetId="54" hidden="1">#REF!</definedName>
    <definedName name="BLPH142" localSheetId="55" hidden="1">#REF!</definedName>
    <definedName name="BLPH142" localSheetId="56" hidden="1">#REF!</definedName>
    <definedName name="BLPH142" localSheetId="57" hidden="1">#REF!</definedName>
    <definedName name="BLPH142" localSheetId="58" hidden="1">#REF!</definedName>
    <definedName name="BLPH142" localSheetId="70" hidden="1">#REF!</definedName>
    <definedName name="BLPH142" localSheetId="71" hidden="1">#REF!</definedName>
    <definedName name="BLPH142" localSheetId="73" hidden="1">#REF!</definedName>
    <definedName name="BLPH142" localSheetId="75" hidden="1">#REF!</definedName>
    <definedName name="BLPH142" localSheetId="76" hidden="1">#REF!</definedName>
    <definedName name="BLPH142" localSheetId="13" hidden="1">#REF!</definedName>
    <definedName name="BLPH142" localSheetId="12" hidden="1">#REF!</definedName>
    <definedName name="BLPH142" localSheetId="4" hidden="1">#REF!</definedName>
    <definedName name="BLPH142" hidden="1">#REF!</definedName>
    <definedName name="BLPH143" localSheetId="14" hidden="1">#REF!</definedName>
    <definedName name="BLPH143" localSheetId="19" hidden="1">#REF!</definedName>
    <definedName name="BLPH143" localSheetId="23" hidden="1">#REF!</definedName>
    <definedName name="BLPH143" localSheetId="31" hidden="1">#REF!</definedName>
    <definedName name="BLPH143" localSheetId="36" hidden="1">#REF!</definedName>
    <definedName name="BLPH143" localSheetId="37" hidden="1">#REF!</definedName>
    <definedName name="BLPH143" localSheetId="38" hidden="1">#REF!</definedName>
    <definedName name="BLPH143" localSheetId="45" hidden="1">#REF!</definedName>
    <definedName name="BLPH143" localSheetId="46" hidden="1">#REF!</definedName>
    <definedName name="BLPH143" localSheetId="48" hidden="1">#REF!</definedName>
    <definedName name="BLPH143" localSheetId="49" hidden="1">#REF!</definedName>
    <definedName name="BLPH143" localSheetId="50" hidden="1">#REF!</definedName>
    <definedName name="BLPH143" localSheetId="51" hidden="1">#REF!</definedName>
    <definedName name="BLPH143" localSheetId="52" hidden="1">#REF!</definedName>
    <definedName name="BLPH143" localSheetId="54" hidden="1">#REF!</definedName>
    <definedName name="BLPH143" localSheetId="55" hidden="1">#REF!</definedName>
    <definedName name="BLPH143" localSheetId="56" hidden="1">#REF!</definedName>
    <definedName name="BLPH143" localSheetId="57" hidden="1">#REF!</definedName>
    <definedName name="BLPH143" localSheetId="58" hidden="1">#REF!</definedName>
    <definedName name="BLPH143" localSheetId="70" hidden="1">#REF!</definedName>
    <definedName name="BLPH143" localSheetId="71" hidden="1">#REF!</definedName>
    <definedName name="BLPH143" localSheetId="73" hidden="1">#REF!</definedName>
    <definedName name="BLPH143" localSheetId="75" hidden="1">#REF!</definedName>
    <definedName name="BLPH143" localSheetId="76" hidden="1">#REF!</definedName>
    <definedName name="BLPH143" localSheetId="13" hidden="1">#REF!</definedName>
    <definedName name="BLPH143" localSheetId="12" hidden="1">#REF!</definedName>
    <definedName name="BLPH143" localSheetId="4" hidden="1">#REF!</definedName>
    <definedName name="BLPH143" hidden="1">#REF!</definedName>
    <definedName name="BLPH144" localSheetId="14" hidden="1">#REF!</definedName>
    <definedName name="BLPH144" localSheetId="19" hidden="1">#REF!</definedName>
    <definedName name="BLPH144" localSheetId="23" hidden="1">#REF!</definedName>
    <definedName name="BLPH144" localSheetId="31" hidden="1">#REF!</definedName>
    <definedName name="BLPH144" localSheetId="36" hidden="1">#REF!</definedName>
    <definedName name="BLPH144" localSheetId="37" hidden="1">#REF!</definedName>
    <definedName name="BLPH144" localSheetId="38" hidden="1">#REF!</definedName>
    <definedName name="BLPH144" localSheetId="45" hidden="1">#REF!</definedName>
    <definedName name="BLPH144" localSheetId="46" hidden="1">#REF!</definedName>
    <definedName name="BLPH144" localSheetId="48" hidden="1">#REF!</definedName>
    <definedName name="BLPH144" localSheetId="49" hidden="1">#REF!</definedName>
    <definedName name="BLPH144" localSheetId="50" hidden="1">#REF!</definedName>
    <definedName name="BLPH144" localSheetId="51" hidden="1">#REF!</definedName>
    <definedName name="BLPH144" localSheetId="52" hidden="1">#REF!</definedName>
    <definedName name="BLPH144" localSheetId="54" hidden="1">#REF!</definedName>
    <definedName name="BLPH144" localSheetId="55" hidden="1">#REF!</definedName>
    <definedName name="BLPH144" localSheetId="56" hidden="1">#REF!</definedName>
    <definedName name="BLPH144" localSheetId="57" hidden="1">#REF!</definedName>
    <definedName name="BLPH144" localSheetId="58" hidden="1">#REF!</definedName>
    <definedName name="BLPH144" localSheetId="70" hidden="1">#REF!</definedName>
    <definedName name="BLPH144" localSheetId="71" hidden="1">#REF!</definedName>
    <definedName name="BLPH144" localSheetId="73" hidden="1">#REF!</definedName>
    <definedName name="BLPH144" localSheetId="75" hidden="1">#REF!</definedName>
    <definedName name="BLPH144" localSheetId="76" hidden="1">#REF!</definedName>
    <definedName name="BLPH144" localSheetId="13" hidden="1">#REF!</definedName>
    <definedName name="BLPH144" localSheetId="12" hidden="1">#REF!</definedName>
    <definedName name="BLPH144" localSheetId="4" hidden="1">#REF!</definedName>
    <definedName name="BLPH144" hidden="1">#REF!</definedName>
    <definedName name="BLPH145" localSheetId="14" hidden="1">#REF!</definedName>
    <definedName name="BLPH145" localSheetId="19" hidden="1">#REF!</definedName>
    <definedName name="BLPH145" localSheetId="23" hidden="1">#REF!</definedName>
    <definedName name="BLPH145" localSheetId="31" hidden="1">#REF!</definedName>
    <definedName name="BLPH145" localSheetId="36" hidden="1">#REF!</definedName>
    <definedName name="BLPH145" localSheetId="37" hidden="1">#REF!</definedName>
    <definedName name="BLPH145" localSheetId="38" hidden="1">#REF!</definedName>
    <definedName name="BLPH145" localSheetId="45" hidden="1">#REF!</definedName>
    <definedName name="BLPH145" localSheetId="46" hidden="1">#REF!</definedName>
    <definedName name="BLPH145" localSheetId="48" hidden="1">#REF!</definedName>
    <definedName name="BLPH145" localSheetId="49" hidden="1">#REF!</definedName>
    <definedName name="BLPH145" localSheetId="50" hidden="1">#REF!</definedName>
    <definedName name="BLPH145" localSheetId="51" hidden="1">#REF!</definedName>
    <definedName name="BLPH145" localSheetId="52" hidden="1">#REF!</definedName>
    <definedName name="BLPH145" localSheetId="54" hidden="1">#REF!</definedName>
    <definedName name="BLPH145" localSheetId="55" hidden="1">#REF!</definedName>
    <definedName name="BLPH145" localSheetId="56" hidden="1">#REF!</definedName>
    <definedName name="BLPH145" localSheetId="57" hidden="1">#REF!</definedName>
    <definedName name="BLPH145" localSheetId="58" hidden="1">#REF!</definedName>
    <definedName name="BLPH145" localSheetId="70" hidden="1">#REF!</definedName>
    <definedName name="BLPH145" localSheetId="71" hidden="1">#REF!</definedName>
    <definedName name="BLPH145" localSheetId="73" hidden="1">#REF!</definedName>
    <definedName name="BLPH145" localSheetId="75" hidden="1">#REF!</definedName>
    <definedName name="BLPH145" localSheetId="76" hidden="1">#REF!</definedName>
    <definedName name="BLPH145" localSheetId="13" hidden="1">#REF!</definedName>
    <definedName name="BLPH145" localSheetId="12" hidden="1">#REF!</definedName>
    <definedName name="BLPH145" localSheetId="4" hidden="1">#REF!</definedName>
    <definedName name="BLPH145" hidden="1">#REF!</definedName>
    <definedName name="BLPH146" localSheetId="14" hidden="1">#REF!</definedName>
    <definedName name="BLPH146" localSheetId="19" hidden="1">#REF!</definedName>
    <definedName name="BLPH146" localSheetId="23" hidden="1">#REF!</definedName>
    <definedName name="BLPH146" localSheetId="31" hidden="1">#REF!</definedName>
    <definedName name="BLPH146" localSheetId="36" hidden="1">#REF!</definedName>
    <definedName name="BLPH146" localSheetId="37" hidden="1">#REF!</definedName>
    <definedName name="BLPH146" localSheetId="38" hidden="1">#REF!</definedName>
    <definedName name="BLPH146" localSheetId="45" hidden="1">#REF!</definedName>
    <definedName name="BLPH146" localSheetId="46" hidden="1">#REF!</definedName>
    <definedName name="BLPH146" localSheetId="48" hidden="1">#REF!</definedName>
    <definedName name="BLPH146" localSheetId="49" hidden="1">#REF!</definedName>
    <definedName name="BLPH146" localSheetId="50" hidden="1">#REF!</definedName>
    <definedName name="BLPH146" localSheetId="51" hidden="1">#REF!</definedName>
    <definedName name="BLPH146" localSheetId="52" hidden="1">#REF!</definedName>
    <definedName name="BLPH146" localSheetId="54" hidden="1">#REF!</definedName>
    <definedName name="BLPH146" localSheetId="55" hidden="1">#REF!</definedName>
    <definedName name="BLPH146" localSheetId="56" hidden="1">#REF!</definedName>
    <definedName name="BLPH146" localSheetId="57" hidden="1">#REF!</definedName>
    <definedName name="BLPH146" localSheetId="58" hidden="1">#REF!</definedName>
    <definedName name="BLPH146" localSheetId="70" hidden="1">#REF!</definedName>
    <definedName name="BLPH146" localSheetId="71" hidden="1">#REF!</definedName>
    <definedName name="BLPH146" localSheetId="73" hidden="1">#REF!</definedName>
    <definedName name="BLPH146" localSheetId="75" hidden="1">#REF!</definedName>
    <definedName name="BLPH146" localSheetId="76" hidden="1">#REF!</definedName>
    <definedName name="BLPH146" localSheetId="13" hidden="1">#REF!</definedName>
    <definedName name="BLPH146" localSheetId="12" hidden="1">#REF!</definedName>
    <definedName name="BLPH146" localSheetId="4" hidden="1">#REF!</definedName>
    <definedName name="BLPH146" hidden="1">#REF!</definedName>
    <definedName name="BLPH147" localSheetId="14" hidden="1">#REF!</definedName>
    <definedName name="BLPH147" localSheetId="19" hidden="1">#REF!</definedName>
    <definedName name="BLPH147" localSheetId="23" hidden="1">#REF!</definedName>
    <definedName name="BLPH147" localSheetId="31" hidden="1">#REF!</definedName>
    <definedName name="BLPH147" localSheetId="36" hidden="1">#REF!</definedName>
    <definedName name="BLPH147" localSheetId="37" hidden="1">#REF!</definedName>
    <definedName name="BLPH147" localSheetId="38" hidden="1">#REF!</definedName>
    <definedName name="BLPH147" localSheetId="45" hidden="1">#REF!</definedName>
    <definedName name="BLPH147" localSheetId="46" hidden="1">#REF!</definedName>
    <definedName name="BLPH147" localSheetId="48" hidden="1">#REF!</definedName>
    <definedName name="BLPH147" localSheetId="49" hidden="1">#REF!</definedName>
    <definedName name="BLPH147" localSheetId="50" hidden="1">#REF!</definedName>
    <definedName name="BLPH147" localSheetId="51" hidden="1">#REF!</definedName>
    <definedName name="BLPH147" localSheetId="52" hidden="1">#REF!</definedName>
    <definedName name="BLPH147" localSheetId="54" hidden="1">#REF!</definedName>
    <definedName name="BLPH147" localSheetId="55" hidden="1">#REF!</definedName>
    <definedName name="BLPH147" localSheetId="56" hidden="1">#REF!</definedName>
    <definedName name="BLPH147" localSheetId="57" hidden="1">#REF!</definedName>
    <definedName name="BLPH147" localSheetId="58" hidden="1">#REF!</definedName>
    <definedName name="BLPH147" localSheetId="70" hidden="1">#REF!</definedName>
    <definedName name="BLPH147" localSheetId="71" hidden="1">#REF!</definedName>
    <definedName name="BLPH147" localSheetId="73" hidden="1">#REF!</definedName>
    <definedName name="BLPH147" localSheetId="75" hidden="1">#REF!</definedName>
    <definedName name="BLPH147" localSheetId="76" hidden="1">#REF!</definedName>
    <definedName name="BLPH147" localSheetId="13" hidden="1">#REF!</definedName>
    <definedName name="BLPH147" localSheetId="12" hidden="1">#REF!</definedName>
    <definedName name="BLPH147" localSheetId="4" hidden="1">#REF!</definedName>
    <definedName name="BLPH147" hidden="1">#REF!</definedName>
    <definedName name="BLPH148" localSheetId="14" hidden="1">#REF!</definedName>
    <definedName name="BLPH148" localSheetId="19" hidden="1">#REF!</definedName>
    <definedName name="BLPH148" localSheetId="23" hidden="1">#REF!</definedName>
    <definedName name="BLPH148" localSheetId="31" hidden="1">#REF!</definedName>
    <definedName name="BLPH148" localSheetId="36" hidden="1">#REF!</definedName>
    <definedName name="BLPH148" localSheetId="37" hidden="1">#REF!</definedName>
    <definedName name="BLPH148" localSheetId="38" hidden="1">#REF!</definedName>
    <definedName name="BLPH148" localSheetId="45" hidden="1">#REF!</definedName>
    <definedName name="BLPH148" localSheetId="46" hidden="1">#REF!</definedName>
    <definedName name="BLPH148" localSheetId="48" hidden="1">#REF!</definedName>
    <definedName name="BLPH148" localSheetId="49" hidden="1">#REF!</definedName>
    <definedName name="BLPH148" localSheetId="50" hidden="1">#REF!</definedName>
    <definedName name="BLPH148" localSheetId="51" hidden="1">#REF!</definedName>
    <definedName name="BLPH148" localSheetId="52" hidden="1">#REF!</definedName>
    <definedName name="BLPH148" localSheetId="54" hidden="1">#REF!</definedName>
    <definedName name="BLPH148" localSheetId="55" hidden="1">#REF!</definedName>
    <definedName name="BLPH148" localSheetId="56" hidden="1">#REF!</definedName>
    <definedName name="BLPH148" localSheetId="57" hidden="1">#REF!</definedName>
    <definedName name="BLPH148" localSheetId="58" hidden="1">#REF!</definedName>
    <definedName name="BLPH148" localSheetId="70" hidden="1">#REF!</definedName>
    <definedName name="BLPH148" localSheetId="71" hidden="1">#REF!</definedName>
    <definedName name="BLPH148" localSheetId="73" hidden="1">#REF!</definedName>
    <definedName name="BLPH148" localSheetId="75" hidden="1">#REF!</definedName>
    <definedName name="BLPH148" localSheetId="76" hidden="1">#REF!</definedName>
    <definedName name="BLPH148" localSheetId="13" hidden="1">#REF!</definedName>
    <definedName name="BLPH148" localSheetId="12" hidden="1">#REF!</definedName>
    <definedName name="BLPH148" localSheetId="4" hidden="1">#REF!</definedName>
    <definedName name="BLPH148" hidden="1">#REF!</definedName>
    <definedName name="BLPH149" localSheetId="14" hidden="1">#REF!</definedName>
    <definedName name="BLPH149" localSheetId="19" hidden="1">#REF!</definedName>
    <definedName name="BLPH149" localSheetId="23" hidden="1">#REF!</definedName>
    <definedName name="BLPH149" localSheetId="31" hidden="1">#REF!</definedName>
    <definedName name="BLPH149" localSheetId="36" hidden="1">#REF!</definedName>
    <definedName name="BLPH149" localSheetId="37" hidden="1">#REF!</definedName>
    <definedName name="BLPH149" localSheetId="38" hidden="1">#REF!</definedName>
    <definedName name="BLPH149" localSheetId="45" hidden="1">#REF!</definedName>
    <definedName name="BLPH149" localSheetId="46" hidden="1">#REF!</definedName>
    <definedName name="BLPH149" localSheetId="48" hidden="1">#REF!</definedName>
    <definedName name="BLPH149" localSheetId="49" hidden="1">#REF!</definedName>
    <definedName name="BLPH149" localSheetId="50" hidden="1">#REF!</definedName>
    <definedName name="BLPH149" localSheetId="51" hidden="1">#REF!</definedName>
    <definedName name="BLPH149" localSheetId="52" hidden="1">#REF!</definedName>
    <definedName name="BLPH149" localSheetId="54" hidden="1">#REF!</definedName>
    <definedName name="BLPH149" localSheetId="55" hidden="1">#REF!</definedName>
    <definedName name="BLPH149" localSheetId="56" hidden="1">#REF!</definedName>
    <definedName name="BLPH149" localSheetId="57" hidden="1">#REF!</definedName>
    <definedName name="BLPH149" localSheetId="58" hidden="1">#REF!</definedName>
    <definedName name="BLPH149" localSheetId="70" hidden="1">#REF!</definedName>
    <definedName name="BLPH149" localSheetId="71" hidden="1">#REF!</definedName>
    <definedName name="BLPH149" localSheetId="73" hidden="1">#REF!</definedName>
    <definedName name="BLPH149" localSheetId="75" hidden="1">#REF!</definedName>
    <definedName name="BLPH149" localSheetId="76" hidden="1">#REF!</definedName>
    <definedName name="BLPH149" localSheetId="13" hidden="1">#REF!</definedName>
    <definedName name="BLPH149" localSheetId="12" hidden="1">#REF!</definedName>
    <definedName name="BLPH149" localSheetId="4" hidden="1">#REF!</definedName>
    <definedName name="BLPH149" hidden="1">#REF!</definedName>
    <definedName name="BLPH15" localSheetId="14" hidden="1">#REF!</definedName>
    <definedName name="BLPH15" localSheetId="19" hidden="1">#REF!</definedName>
    <definedName name="BLPH15" localSheetId="23" hidden="1">#REF!</definedName>
    <definedName name="BLPH15" localSheetId="31" hidden="1">#REF!</definedName>
    <definedName name="BLPH15" localSheetId="36" hidden="1">#REF!</definedName>
    <definedName name="BLPH15" localSheetId="37" hidden="1">#REF!</definedName>
    <definedName name="BLPH15" localSheetId="38" hidden="1">#REF!</definedName>
    <definedName name="BLPH15" localSheetId="45" hidden="1">#REF!</definedName>
    <definedName name="BLPH15" localSheetId="46" hidden="1">#REF!</definedName>
    <definedName name="BLPH15" localSheetId="48" hidden="1">#REF!</definedName>
    <definedName name="BLPH15" localSheetId="49" hidden="1">#REF!</definedName>
    <definedName name="BLPH15" localSheetId="50" hidden="1">#REF!</definedName>
    <definedName name="BLPH15" localSheetId="51" hidden="1">#REF!</definedName>
    <definedName name="BLPH15" localSheetId="52" hidden="1">#REF!</definedName>
    <definedName name="BLPH15" localSheetId="54" hidden="1">#REF!</definedName>
    <definedName name="BLPH15" localSheetId="55" hidden="1">#REF!</definedName>
    <definedName name="BLPH15" localSheetId="56" hidden="1">#REF!</definedName>
    <definedName name="BLPH15" localSheetId="57" hidden="1">#REF!</definedName>
    <definedName name="BLPH15" localSheetId="58" hidden="1">#REF!</definedName>
    <definedName name="BLPH15" localSheetId="70" hidden="1">#REF!</definedName>
    <definedName name="BLPH15" localSheetId="71" hidden="1">#REF!</definedName>
    <definedName name="BLPH15" localSheetId="73" hidden="1">#REF!</definedName>
    <definedName name="BLPH15" localSheetId="75" hidden="1">#REF!</definedName>
    <definedName name="BLPH15" localSheetId="76" hidden="1">#REF!</definedName>
    <definedName name="BLPH15" localSheetId="13" hidden="1">#REF!</definedName>
    <definedName name="BLPH15" localSheetId="12" hidden="1">#REF!</definedName>
    <definedName name="BLPH15" localSheetId="4" hidden="1">#REF!</definedName>
    <definedName name="BLPH15" hidden="1">#REF!</definedName>
    <definedName name="BLPH150" localSheetId="14" hidden="1">#REF!</definedName>
    <definedName name="BLPH150" localSheetId="19" hidden="1">#REF!</definedName>
    <definedName name="BLPH150" localSheetId="23" hidden="1">#REF!</definedName>
    <definedName name="BLPH150" localSheetId="31" hidden="1">#REF!</definedName>
    <definedName name="BLPH150" localSheetId="36" hidden="1">#REF!</definedName>
    <definedName name="BLPH150" localSheetId="37" hidden="1">#REF!</definedName>
    <definedName name="BLPH150" localSheetId="38" hidden="1">#REF!</definedName>
    <definedName name="BLPH150" localSheetId="45" hidden="1">#REF!</definedName>
    <definedName name="BLPH150" localSheetId="46" hidden="1">#REF!</definedName>
    <definedName name="BLPH150" localSheetId="48" hidden="1">#REF!</definedName>
    <definedName name="BLPH150" localSheetId="49" hidden="1">#REF!</definedName>
    <definedName name="BLPH150" localSheetId="50" hidden="1">#REF!</definedName>
    <definedName name="BLPH150" localSheetId="51" hidden="1">#REF!</definedName>
    <definedName name="BLPH150" localSheetId="52" hidden="1">#REF!</definedName>
    <definedName name="BLPH150" localSheetId="54" hidden="1">#REF!</definedName>
    <definedName name="BLPH150" localSheetId="55" hidden="1">#REF!</definedName>
    <definedName name="BLPH150" localSheetId="56" hidden="1">#REF!</definedName>
    <definedName name="BLPH150" localSheetId="57" hidden="1">#REF!</definedName>
    <definedName name="BLPH150" localSheetId="58" hidden="1">#REF!</definedName>
    <definedName name="BLPH150" localSheetId="70" hidden="1">#REF!</definedName>
    <definedName name="BLPH150" localSheetId="71" hidden="1">#REF!</definedName>
    <definedName name="BLPH150" localSheetId="73" hidden="1">#REF!</definedName>
    <definedName name="BLPH150" localSheetId="75" hidden="1">#REF!</definedName>
    <definedName name="BLPH150" localSheetId="76" hidden="1">#REF!</definedName>
    <definedName name="BLPH150" localSheetId="13" hidden="1">#REF!</definedName>
    <definedName name="BLPH150" localSheetId="12" hidden="1">#REF!</definedName>
    <definedName name="BLPH150" localSheetId="4" hidden="1">#REF!</definedName>
    <definedName name="BLPH150" hidden="1">#REF!</definedName>
    <definedName name="BLPH151" localSheetId="14" hidden="1">#REF!</definedName>
    <definedName name="BLPH151" localSheetId="19" hidden="1">#REF!</definedName>
    <definedName name="BLPH151" localSheetId="23" hidden="1">#REF!</definedName>
    <definedName name="BLPH151" localSheetId="31" hidden="1">#REF!</definedName>
    <definedName name="BLPH151" localSheetId="36" hidden="1">#REF!</definedName>
    <definedName name="BLPH151" localSheetId="37" hidden="1">#REF!</definedName>
    <definedName name="BLPH151" localSheetId="38" hidden="1">#REF!</definedName>
    <definedName name="BLPH151" localSheetId="45" hidden="1">#REF!</definedName>
    <definedName name="BLPH151" localSheetId="46" hidden="1">#REF!</definedName>
    <definedName name="BLPH151" localSheetId="48" hidden="1">#REF!</definedName>
    <definedName name="BLPH151" localSheetId="49" hidden="1">#REF!</definedName>
    <definedName name="BLPH151" localSheetId="50" hidden="1">#REF!</definedName>
    <definedName name="BLPH151" localSheetId="51" hidden="1">#REF!</definedName>
    <definedName name="BLPH151" localSheetId="52" hidden="1">#REF!</definedName>
    <definedName name="BLPH151" localSheetId="54" hidden="1">#REF!</definedName>
    <definedName name="BLPH151" localSheetId="55" hidden="1">#REF!</definedName>
    <definedName name="BLPH151" localSheetId="56" hidden="1">#REF!</definedName>
    <definedName name="BLPH151" localSheetId="57" hidden="1">#REF!</definedName>
    <definedName name="BLPH151" localSheetId="58" hidden="1">#REF!</definedName>
    <definedName name="BLPH151" localSheetId="70" hidden="1">#REF!</definedName>
    <definedName name="BLPH151" localSheetId="71" hidden="1">#REF!</definedName>
    <definedName name="BLPH151" localSheetId="73" hidden="1">#REF!</definedName>
    <definedName name="BLPH151" localSheetId="75" hidden="1">#REF!</definedName>
    <definedName name="BLPH151" localSheetId="76" hidden="1">#REF!</definedName>
    <definedName name="BLPH151" localSheetId="13" hidden="1">#REF!</definedName>
    <definedName name="BLPH151" localSheetId="12" hidden="1">#REF!</definedName>
    <definedName name="BLPH151" localSheetId="4" hidden="1">#REF!</definedName>
    <definedName name="BLPH151" hidden="1">#REF!</definedName>
    <definedName name="BLPH152" localSheetId="14" hidden="1">#REF!</definedName>
    <definedName name="BLPH152" localSheetId="19" hidden="1">#REF!</definedName>
    <definedName name="BLPH152" localSheetId="23" hidden="1">#REF!</definedName>
    <definedName name="BLPH152" localSheetId="31" hidden="1">#REF!</definedName>
    <definedName name="BLPH152" localSheetId="36" hidden="1">#REF!</definedName>
    <definedName name="BLPH152" localSheetId="37" hidden="1">#REF!</definedName>
    <definedName name="BLPH152" localSheetId="38" hidden="1">#REF!</definedName>
    <definedName name="BLPH152" localSheetId="45" hidden="1">#REF!</definedName>
    <definedName name="BLPH152" localSheetId="46" hidden="1">#REF!</definedName>
    <definedName name="BLPH152" localSheetId="48" hidden="1">#REF!</definedName>
    <definedName name="BLPH152" localSheetId="49" hidden="1">#REF!</definedName>
    <definedName name="BLPH152" localSheetId="50" hidden="1">#REF!</definedName>
    <definedName name="BLPH152" localSheetId="51" hidden="1">#REF!</definedName>
    <definedName name="BLPH152" localSheetId="52" hidden="1">#REF!</definedName>
    <definedName name="BLPH152" localSheetId="54" hidden="1">#REF!</definedName>
    <definedName name="BLPH152" localSheetId="55" hidden="1">#REF!</definedName>
    <definedName name="BLPH152" localSheetId="56" hidden="1">#REF!</definedName>
    <definedName name="BLPH152" localSheetId="57" hidden="1">#REF!</definedName>
    <definedName name="BLPH152" localSheetId="58" hidden="1">#REF!</definedName>
    <definedName name="BLPH152" localSheetId="70" hidden="1">#REF!</definedName>
    <definedName name="BLPH152" localSheetId="71" hidden="1">#REF!</definedName>
    <definedName name="BLPH152" localSheetId="73" hidden="1">#REF!</definedName>
    <definedName name="BLPH152" localSheetId="75" hidden="1">#REF!</definedName>
    <definedName name="BLPH152" localSheetId="76" hidden="1">#REF!</definedName>
    <definedName name="BLPH152" localSheetId="13" hidden="1">#REF!</definedName>
    <definedName name="BLPH152" localSheetId="12" hidden="1">#REF!</definedName>
    <definedName name="BLPH152" localSheetId="4" hidden="1">#REF!</definedName>
    <definedName name="BLPH152" hidden="1">#REF!</definedName>
    <definedName name="BLPH153" localSheetId="14" hidden="1">#REF!</definedName>
    <definedName name="BLPH153" localSheetId="19" hidden="1">#REF!</definedName>
    <definedName name="BLPH153" localSheetId="23" hidden="1">#REF!</definedName>
    <definedName name="BLPH153" localSheetId="31" hidden="1">#REF!</definedName>
    <definedName name="BLPH153" localSheetId="36" hidden="1">#REF!</definedName>
    <definedName name="BLPH153" localSheetId="37" hidden="1">#REF!</definedName>
    <definedName name="BLPH153" localSheetId="38" hidden="1">#REF!</definedName>
    <definedName name="BLPH153" localSheetId="45" hidden="1">#REF!</definedName>
    <definedName name="BLPH153" localSheetId="46" hidden="1">#REF!</definedName>
    <definedName name="BLPH153" localSheetId="48" hidden="1">#REF!</definedName>
    <definedName name="BLPH153" localSheetId="49" hidden="1">#REF!</definedName>
    <definedName name="BLPH153" localSheetId="50" hidden="1">#REF!</definedName>
    <definedName name="BLPH153" localSheetId="51" hidden="1">#REF!</definedName>
    <definedName name="BLPH153" localSheetId="52" hidden="1">#REF!</definedName>
    <definedName name="BLPH153" localSheetId="54" hidden="1">#REF!</definedName>
    <definedName name="BLPH153" localSheetId="55" hidden="1">#REF!</definedName>
    <definedName name="BLPH153" localSheetId="56" hidden="1">#REF!</definedName>
    <definedName name="BLPH153" localSheetId="57" hidden="1">#REF!</definedName>
    <definedName name="BLPH153" localSheetId="58" hidden="1">#REF!</definedName>
    <definedName name="BLPH153" localSheetId="70" hidden="1">#REF!</definedName>
    <definedName name="BLPH153" localSheetId="71" hidden="1">#REF!</definedName>
    <definedName name="BLPH153" localSheetId="73" hidden="1">#REF!</definedName>
    <definedName name="BLPH153" localSheetId="75" hidden="1">#REF!</definedName>
    <definedName name="BLPH153" localSheetId="76" hidden="1">#REF!</definedName>
    <definedName name="BLPH153" localSheetId="13" hidden="1">#REF!</definedName>
    <definedName name="BLPH153" localSheetId="12" hidden="1">#REF!</definedName>
    <definedName name="BLPH153" localSheetId="4" hidden="1">#REF!</definedName>
    <definedName name="BLPH153" hidden="1">#REF!</definedName>
    <definedName name="BLPH154" localSheetId="14" hidden="1">#REF!</definedName>
    <definedName name="BLPH154" localSheetId="19" hidden="1">#REF!</definedName>
    <definedName name="BLPH154" localSheetId="23" hidden="1">#REF!</definedName>
    <definedName name="BLPH154" localSheetId="31" hidden="1">#REF!</definedName>
    <definedName name="BLPH154" localSheetId="36" hidden="1">#REF!</definedName>
    <definedName name="BLPH154" localSheetId="37" hidden="1">#REF!</definedName>
    <definedName name="BLPH154" localSheetId="38" hidden="1">#REF!</definedName>
    <definedName name="BLPH154" localSheetId="45" hidden="1">#REF!</definedName>
    <definedName name="BLPH154" localSheetId="46" hidden="1">#REF!</definedName>
    <definedName name="BLPH154" localSheetId="48" hidden="1">#REF!</definedName>
    <definedName name="BLPH154" localSheetId="49" hidden="1">#REF!</definedName>
    <definedName name="BLPH154" localSheetId="50" hidden="1">#REF!</definedName>
    <definedName name="BLPH154" localSheetId="51" hidden="1">#REF!</definedName>
    <definedName name="BLPH154" localSheetId="52" hidden="1">#REF!</definedName>
    <definedName name="BLPH154" localSheetId="54" hidden="1">#REF!</definedName>
    <definedName name="BLPH154" localSheetId="55" hidden="1">#REF!</definedName>
    <definedName name="BLPH154" localSheetId="56" hidden="1">#REF!</definedName>
    <definedName name="BLPH154" localSheetId="57" hidden="1">#REF!</definedName>
    <definedName name="BLPH154" localSheetId="58" hidden="1">#REF!</definedName>
    <definedName name="BLPH154" localSheetId="70" hidden="1">#REF!</definedName>
    <definedName name="BLPH154" localSheetId="71" hidden="1">#REF!</definedName>
    <definedName name="BLPH154" localSheetId="73" hidden="1">#REF!</definedName>
    <definedName name="BLPH154" localSheetId="75" hidden="1">#REF!</definedName>
    <definedName name="BLPH154" localSheetId="76" hidden="1">#REF!</definedName>
    <definedName name="BLPH154" localSheetId="13" hidden="1">#REF!</definedName>
    <definedName name="BLPH154" localSheetId="12" hidden="1">#REF!</definedName>
    <definedName name="BLPH154" localSheetId="4" hidden="1">#REF!</definedName>
    <definedName name="BLPH154" hidden="1">#REF!</definedName>
    <definedName name="BLPH155" localSheetId="14" hidden="1">#REF!</definedName>
    <definedName name="BLPH155" localSheetId="19" hidden="1">#REF!</definedName>
    <definedName name="BLPH155" localSheetId="23" hidden="1">#REF!</definedName>
    <definedName name="BLPH155" localSheetId="31" hidden="1">#REF!</definedName>
    <definedName name="BLPH155" localSheetId="36" hidden="1">#REF!</definedName>
    <definedName name="BLPH155" localSheetId="37" hidden="1">#REF!</definedName>
    <definedName name="BLPH155" localSheetId="38" hidden="1">#REF!</definedName>
    <definedName name="BLPH155" localSheetId="45" hidden="1">#REF!</definedName>
    <definedName name="BLPH155" localSheetId="46" hidden="1">#REF!</definedName>
    <definedName name="BLPH155" localSheetId="48" hidden="1">#REF!</definedName>
    <definedName name="BLPH155" localSheetId="49" hidden="1">#REF!</definedName>
    <definedName name="BLPH155" localSheetId="50" hidden="1">#REF!</definedName>
    <definedName name="BLPH155" localSheetId="51" hidden="1">#REF!</definedName>
    <definedName name="BLPH155" localSheetId="52" hidden="1">#REF!</definedName>
    <definedName name="BLPH155" localSheetId="54" hidden="1">#REF!</definedName>
    <definedName name="BLPH155" localSheetId="55" hidden="1">#REF!</definedName>
    <definedName name="BLPH155" localSheetId="56" hidden="1">#REF!</definedName>
    <definedName name="BLPH155" localSheetId="57" hidden="1">#REF!</definedName>
    <definedName name="BLPH155" localSheetId="58" hidden="1">#REF!</definedName>
    <definedName name="BLPH155" localSheetId="70" hidden="1">#REF!</definedName>
    <definedName name="BLPH155" localSheetId="71" hidden="1">#REF!</definedName>
    <definedName name="BLPH155" localSheetId="73" hidden="1">#REF!</definedName>
    <definedName name="BLPH155" localSheetId="75" hidden="1">#REF!</definedName>
    <definedName name="BLPH155" localSheetId="76" hidden="1">#REF!</definedName>
    <definedName name="BLPH155" localSheetId="13" hidden="1">#REF!</definedName>
    <definedName name="BLPH155" localSheetId="12" hidden="1">#REF!</definedName>
    <definedName name="BLPH155" localSheetId="4" hidden="1">#REF!</definedName>
    <definedName name="BLPH155" hidden="1">#REF!</definedName>
    <definedName name="BLPH156" localSheetId="14" hidden="1">#REF!</definedName>
    <definedName name="BLPH156" localSheetId="19" hidden="1">#REF!</definedName>
    <definedName name="BLPH156" localSheetId="23" hidden="1">#REF!</definedName>
    <definedName name="BLPH156" localSheetId="31" hidden="1">#REF!</definedName>
    <definedName name="BLPH156" localSheetId="36" hidden="1">#REF!</definedName>
    <definedName name="BLPH156" localSheetId="37" hidden="1">#REF!</definedName>
    <definedName name="BLPH156" localSheetId="38" hidden="1">#REF!</definedName>
    <definedName name="BLPH156" localSheetId="45" hidden="1">#REF!</definedName>
    <definedName name="BLPH156" localSheetId="46" hidden="1">#REF!</definedName>
    <definedName name="BLPH156" localSheetId="48" hidden="1">#REF!</definedName>
    <definedName name="BLPH156" localSheetId="49" hidden="1">#REF!</definedName>
    <definedName name="BLPH156" localSheetId="50" hidden="1">#REF!</definedName>
    <definedName name="BLPH156" localSheetId="51" hidden="1">#REF!</definedName>
    <definedName name="BLPH156" localSheetId="52" hidden="1">#REF!</definedName>
    <definedName name="BLPH156" localSheetId="54" hidden="1">#REF!</definedName>
    <definedName name="BLPH156" localSheetId="55" hidden="1">#REF!</definedName>
    <definedName name="BLPH156" localSheetId="56" hidden="1">#REF!</definedName>
    <definedName name="BLPH156" localSheetId="57" hidden="1">#REF!</definedName>
    <definedName name="BLPH156" localSheetId="58" hidden="1">#REF!</definedName>
    <definedName name="BLPH156" localSheetId="70" hidden="1">#REF!</definedName>
    <definedName name="BLPH156" localSheetId="71" hidden="1">#REF!</definedName>
    <definedName name="BLPH156" localSheetId="73" hidden="1">#REF!</definedName>
    <definedName name="BLPH156" localSheetId="75" hidden="1">#REF!</definedName>
    <definedName name="BLPH156" localSheetId="76" hidden="1">#REF!</definedName>
    <definedName name="BLPH156" localSheetId="13" hidden="1">#REF!</definedName>
    <definedName name="BLPH156" localSheetId="12" hidden="1">#REF!</definedName>
    <definedName name="BLPH156" localSheetId="4" hidden="1">#REF!</definedName>
    <definedName name="BLPH156" hidden="1">#REF!</definedName>
    <definedName name="BLPH157" localSheetId="14" hidden="1">#REF!</definedName>
    <definedName name="BLPH157" localSheetId="19" hidden="1">#REF!</definedName>
    <definedName name="BLPH157" localSheetId="23" hidden="1">#REF!</definedName>
    <definedName name="BLPH157" localSheetId="31" hidden="1">#REF!</definedName>
    <definedName name="BLPH157" localSheetId="36" hidden="1">#REF!</definedName>
    <definedName name="BLPH157" localSheetId="37" hidden="1">#REF!</definedName>
    <definedName name="BLPH157" localSheetId="38" hidden="1">#REF!</definedName>
    <definedName name="BLPH157" localSheetId="45" hidden="1">#REF!</definedName>
    <definedName name="BLPH157" localSheetId="46" hidden="1">#REF!</definedName>
    <definedName name="BLPH157" localSheetId="48" hidden="1">#REF!</definedName>
    <definedName name="BLPH157" localSheetId="49" hidden="1">#REF!</definedName>
    <definedName name="BLPH157" localSheetId="50" hidden="1">#REF!</definedName>
    <definedName name="BLPH157" localSheetId="51" hidden="1">#REF!</definedName>
    <definedName name="BLPH157" localSheetId="52" hidden="1">#REF!</definedName>
    <definedName name="BLPH157" localSheetId="54" hidden="1">#REF!</definedName>
    <definedName name="BLPH157" localSheetId="55" hidden="1">#REF!</definedName>
    <definedName name="BLPH157" localSheetId="56" hidden="1">#REF!</definedName>
    <definedName name="BLPH157" localSheetId="57" hidden="1">#REF!</definedName>
    <definedName name="BLPH157" localSheetId="58" hidden="1">#REF!</definedName>
    <definedName name="BLPH157" localSheetId="70" hidden="1">#REF!</definedName>
    <definedName name="BLPH157" localSheetId="71" hidden="1">#REF!</definedName>
    <definedName name="BLPH157" localSheetId="73" hidden="1">#REF!</definedName>
    <definedName name="BLPH157" localSheetId="75" hidden="1">#REF!</definedName>
    <definedName name="BLPH157" localSheetId="76" hidden="1">#REF!</definedName>
    <definedName name="BLPH157" localSheetId="13" hidden="1">#REF!</definedName>
    <definedName name="BLPH157" localSheetId="12" hidden="1">#REF!</definedName>
    <definedName name="BLPH157" localSheetId="4" hidden="1">#REF!</definedName>
    <definedName name="BLPH157" hidden="1">#REF!</definedName>
    <definedName name="BLPH158" localSheetId="14" hidden="1">#REF!</definedName>
    <definedName name="BLPH158" localSheetId="19" hidden="1">#REF!</definedName>
    <definedName name="BLPH158" localSheetId="23" hidden="1">#REF!</definedName>
    <definedName name="BLPH158" localSheetId="31" hidden="1">#REF!</definedName>
    <definedName name="BLPH158" localSheetId="36" hidden="1">#REF!</definedName>
    <definedName name="BLPH158" localSheetId="37" hidden="1">#REF!</definedName>
    <definedName name="BLPH158" localSheetId="38" hidden="1">#REF!</definedName>
    <definedName name="BLPH158" localSheetId="45" hidden="1">#REF!</definedName>
    <definedName name="BLPH158" localSheetId="46" hidden="1">#REF!</definedName>
    <definedName name="BLPH158" localSheetId="48" hidden="1">#REF!</definedName>
    <definedName name="BLPH158" localSheetId="49" hidden="1">#REF!</definedName>
    <definedName name="BLPH158" localSheetId="50" hidden="1">#REF!</definedName>
    <definedName name="BLPH158" localSheetId="51" hidden="1">#REF!</definedName>
    <definedName name="BLPH158" localSheetId="52" hidden="1">#REF!</definedName>
    <definedName name="BLPH158" localSheetId="54" hidden="1">#REF!</definedName>
    <definedName name="BLPH158" localSheetId="55" hidden="1">#REF!</definedName>
    <definedName name="BLPH158" localSheetId="56" hidden="1">#REF!</definedName>
    <definedName name="BLPH158" localSheetId="57" hidden="1">#REF!</definedName>
    <definedName name="BLPH158" localSheetId="58" hidden="1">#REF!</definedName>
    <definedName name="BLPH158" localSheetId="70" hidden="1">#REF!</definedName>
    <definedName name="BLPH158" localSheetId="71" hidden="1">#REF!</definedName>
    <definedName name="BLPH158" localSheetId="73" hidden="1">#REF!</definedName>
    <definedName name="BLPH158" localSheetId="75" hidden="1">#REF!</definedName>
    <definedName name="BLPH158" localSheetId="76" hidden="1">#REF!</definedName>
    <definedName name="BLPH158" localSheetId="13" hidden="1">#REF!</definedName>
    <definedName name="BLPH158" localSheetId="12" hidden="1">#REF!</definedName>
    <definedName name="BLPH158" localSheetId="4" hidden="1">#REF!</definedName>
    <definedName name="BLPH158" hidden="1">#REF!</definedName>
    <definedName name="BLPH159" localSheetId="14" hidden="1">#REF!</definedName>
    <definedName name="BLPH159" localSheetId="19" hidden="1">#REF!</definedName>
    <definedName name="BLPH159" localSheetId="23" hidden="1">#REF!</definedName>
    <definedName name="BLPH159" localSheetId="31" hidden="1">#REF!</definedName>
    <definedName name="BLPH159" localSheetId="36" hidden="1">#REF!</definedName>
    <definedName name="BLPH159" localSheetId="37" hidden="1">#REF!</definedName>
    <definedName name="BLPH159" localSheetId="38" hidden="1">#REF!</definedName>
    <definedName name="BLPH159" localSheetId="45" hidden="1">#REF!</definedName>
    <definedName name="BLPH159" localSheetId="46" hidden="1">#REF!</definedName>
    <definedName name="BLPH159" localSheetId="48" hidden="1">#REF!</definedName>
    <definedName name="BLPH159" localSheetId="49" hidden="1">#REF!</definedName>
    <definedName name="BLPH159" localSheetId="50" hidden="1">#REF!</definedName>
    <definedName name="BLPH159" localSheetId="51" hidden="1">#REF!</definedName>
    <definedName name="BLPH159" localSheetId="52" hidden="1">#REF!</definedName>
    <definedName name="BLPH159" localSheetId="54" hidden="1">#REF!</definedName>
    <definedName name="BLPH159" localSheetId="55" hidden="1">#REF!</definedName>
    <definedName name="BLPH159" localSheetId="56" hidden="1">#REF!</definedName>
    <definedName name="BLPH159" localSheetId="57" hidden="1">#REF!</definedName>
    <definedName name="BLPH159" localSheetId="58" hidden="1">#REF!</definedName>
    <definedName name="BLPH159" localSheetId="70" hidden="1">#REF!</definedName>
    <definedName name="BLPH159" localSheetId="71" hidden="1">#REF!</definedName>
    <definedName name="BLPH159" localSheetId="73" hidden="1">#REF!</definedName>
    <definedName name="BLPH159" localSheetId="75" hidden="1">#REF!</definedName>
    <definedName name="BLPH159" localSheetId="76" hidden="1">#REF!</definedName>
    <definedName name="BLPH159" localSheetId="13" hidden="1">#REF!</definedName>
    <definedName name="BLPH159" localSheetId="12" hidden="1">#REF!</definedName>
    <definedName name="BLPH159" localSheetId="4" hidden="1">#REF!</definedName>
    <definedName name="BLPH159" hidden="1">#REF!</definedName>
    <definedName name="BLPH16" localSheetId="14" hidden="1">#REF!</definedName>
    <definedName name="BLPH16" localSheetId="19" hidden="1">#REF!</definedName>
    <definedName name="BLPH16" localSheetId="23" hidden="1">#REF!</definedName>
    <definedName name="BLPH16" localSheetId="31" hidden="1">#REF!</definedName>
    <definedName name="BLPH16" localSheetId="36" hidden="1">#REF!</definedName>
    <definedName name="BLPH16" localSheetId="37" hidden="1">#REF!</definedName>
    <definedName name="BLPH16" localSheetId="38" hidden="1">#REF!</definedName>
    <definedName name="BLPH16" localSheetId="45" hidden="1">#REF!</definedName>
    <definedName name="BLPH16" localSheetId="46" hidden="1">#REF!</definedName>
    <definedName name="BLPH16" localSheetId="48" hidden="1">#REF!</definedName>
    <definedName name="BLPH16" localSheetId="49" hidden="1">#REF!</definedName>
    <definedName name="BLPH16" localSheetId="50" hidden="1">#REF!</definedName>
    <definedName name="BLPH16" localSheetId="51" hidden="1">#REF!</definedName>
    <definedName name="BLPH16" localSheetId="52" hidden="1">#REF!</definedName>
    <definedName name="BLPH16" localSheetId="54" hidden="1">#REF!</definedName>
    <definedName name="BLPH16" localSheetId="55" hidden="1">#REF!</definedName>
    <definedName name="BLPH16" localSheetId="56" hidden="1">#REF!</definedName>
    <definedName name="BLPH16" localSheetId="57" hidden="1">#REF!</definedName>
    <definedName name="BLPH16" localSheetId="58" hidden="1">#REF!</definedName>
    <definedName name="BLPH16" localSheetId="70" hidden="1">#REF!</definedName>
    <definedName name="BLPH16" localSheetId="71" hidden="1">#REF!</definedName>
    <definedName name="BLPH16" localSheetId="73" hidden="1">#REF!</definedName>
    <definedName name="BLPH16" localSheetId="75" hidden="1">#REF!</definedName>
    <definedName name="BLPH16" localSheetId="76" hidden="1">#REF!</definedName>
    <definedName name="BLPH16" localSheetId="13" hidden="1">#REF!</definedName>
    <definedName name="BLPH16" localSheetId="12" hidden="1">#REF!</definedName>
    <definedName name="BLPH16" localSheetId="4" hidden="1">#REF!</definedName>
    <definedName name="BLPH16" hidden="1">#REF!</definedName>
    <definedName name="BLPH160" localSheetId="14" hidden="1">#REF!</definedName>
    <definedName name="BLPH160" localSheetId="19" hidden="1">#REF!</definedName>
    <definedName name="BLPH160" localSheetId="23" hidden="1">#REF!</definedName>
    <definedName name="BLPH160" localSheetId="31" hidden="1">#REF!</definedName>
    <definedName name="BLPH160" localSheetId="36" hidden="1">#REF!</definedName>
    <definedName name="BLPH160" localSheetId="37" hidden="1">#REF!</definedName>
    <definedName name="BLPH160" localSheetId="38" hidden="1">#REF!</definedName>
    <definedName name="BLPH160" localSheetId="45" hidden="1">#REF!</definedName>
    <definedName name="BLPH160" localSheetId="46" hidden="1">#REF!</definedName>
    <definedName name="BLPH160" localSheetId="48" hidden="1">#REF!</definedName>
    <definedName name="BLPH160" localSheetId="49" hidden="1">#REF!</definedName>
    <definedName name="BLPH160" localSheetId="50" hidden="1">#REF!</definedName>
    <definedName name="BLPH160" localSheetId="51" hidden="1">#REF!</definedName>
    <definedName name="BLPH160" localSheetId="52" hidden="1">#REF!</definedName>
    <definedName name="BLPH160" localSheetId="54" hidden="1">#REF!</definedName>
    <definedName name="BLPH160" localSheetId="55" hidden="1">#REF!</definedName>
    <definedName name="BLPH160" localSheetId="56" hidden="1">#REF!</definedName>
    <definedName name="BLPH160" localSheetId="57" hidden="1">#REF!</definedName>
    <definedName name="BLPH160" localSheetId="58" hidden="1">#REF!</definedName>
    <definedName name="BLPH160" localSheetId="70" hidden="1">#REF!</definedName>
    <definedName name="BLPH160" localSheetId="71" hidden="1">#REF!</definedName>
    <definedName name="BLPH160" localSheetId="73" hidden="1">#REF!</definedName>
    <definedName name="BLPH160" localSheetId="75" hidden="1">#REF!</definedName>
    <definedName name="BLPH160" localSheetId="76" hidden="1">#REF!</definedName>
    <definedName name="BLPH160" localSheetId="13" hidden="1">#REF!</definedName>
    <definedName name="BLPH160" localSheetId="12" hidden="1">#REF!</definedName>
    <definedName name="BLPH160" localSheetId="4" hidden="1">#REF!</definedName>
    <definedName name="BLPH160" hidden="1">#REF!</definedName>
    <definedName name="BLPH161" localSheetId="14" hidden="1">#REF!</definedName>
    <definedName name="BLPH161" localSheetId="19" hidden="1">#REF!</definedName>
    <definedName name="BLPH161" localSheetId="23" hidden="1">#REF!</definedName>
    <definedName name="BLPH161" localSheetId="31" hidden="1">#REF!</definedName>
    <definedName name="BLPH161" localSheetId="36" hidden="1">#REF!</definedName>
    <definedName name="BLPH161" localSheetId="37" hidden="1">#REF!</definedName>
    <definedName name="BLPH161" localSheetId="38" hidden="1">#REF!</definedName>
    <definedName name="BLPH161" localSheetId="45" hidden="1">#REF!</definedName>
    <definedName name="BLPH161" localSheetId="46" hidden="1">#REF!</definedName>
    <definedName name="BLPH161" localSheetId="48" hidden="1">#REF!</definedName>
    <definedName name="BLPH161" localSheetId="49" hidden="1">#REF!</definedName>
    <definedName name="BLPH161" localSheetId="50" hidden="1">#REF!</definedName>
    <definedName name="BLPH161" localSheetId="51" hidden="1">#REF!</definedName>
    <definedName name="BLPH161" localSheetId="52" hidden="1">#REF!</definedName>
    <definedName name="BLPH161" localSheetId="54" hidden="1">#REF!</definedName>
    <definedName name="BLPH161" localSheetId="55" hidden="1">#REF!</definedName>
    <definedName name="BLPH161" localSheetId="56" hidden="1">#REF!</definedName>
    <definedName name="BLPH161" localSheetId="57" hidden="1">#REF!</definedName>
    <definedName name="BLPH161" localSheetId="58" hidden="1">#REF!</definedName>
    <definedName name="BLPH161" localSheetId="70" hidden="1">#REF!</definedName>
    <definedName name="BLPH161" localSheetId="71" hidden="1">#REF!</definedName>
    <definedName name="BLPH161" localSheetId="73" hidden="1">#REF!</definedName>
    <definedName name="BLPH161" localSheetId="75" hidden="1">#REF!</definedName>
    <definedName name="BLPH161" localSheetId="76" hidden="1">#REF!</definedName>
    <definedName name="BLPH161" localSheetId="13" hidden="1">#REF!</definedName>
    <definedName name="BLPH161" localSheetId="12" hidden="1">#REF!</definedName>
    <definedName name="BLPH161" localSheetId="4" hidden="1">#REF!</definedName>
    <definedName name="BLPH161" hidden="1">#REF!</definedName>
    <definedName name="BLPH162" localSheetId="14" hidden="1">#REF!</definedName>
    <definedName name="BLPH162" localSheetId="19" hidden="1">#REF!</definedName>
    <definedName name="BLPH162" localSheetId="23" hidden="1">#REF!</definedName>
    <definedName name="BLPH162" localSheetId="31" hidden="1">#REF!</definedName>
    <definedName name="BLPH162" localSheetId="36" hidden="1">#REF!</definedName>
    <definedName name="BLPH162" localSheetId="37" hidden="1">#REF!</definedName>
    <definedName name="BLPH162" localSheetId="38" hidden="1">#REF!</definedName>
    <definedName name="BLPH162" localSheetId="45" hidden="1">#REF!</definedName>
    <definedName name="BLPH162" localSheetId="46" hidden="1">#REF!</definedName>
    <definedName name="BLPH162" localSheetId="48" hidden="1">#REF!</definedName>
    <definedName name="BLPH162" localSheetId="49" hidden="1">#REF!</definedName>
    <definedName name="BLPH162" localSheetId="50" hidden="1">#REF!</definedName>
    <definedName name="BLPH162" localSheetId="51" hidden="1">#REF!</definedName>
    <definedName name="BLPH162" localSheetId="52" hidden="1">#REF!</definedName>
    <definedName name="BLPH162" localSheetId="54" hidden="1">#REF!</definedName>
    <definedName name="BLPH162" localSheetId="55" hidden="1">#REF!</definedName>
    <definedName name="BLPH162" localSheetId="56" hidden="1">#REF!</definedName>
    <definedName name="BLPH162" localSheetId="57" hidden="1">#REF!</definedName>
    <definedName name="BLPH162" localSheetId="58" hidden="1">#REF!</definedName>
    <definedName name="BLPH162" localSheetId="70" hidden="1">#REF!</definedName>
    <definedName name="BLPH162" localSheetId="71" hidden="1">#REF!</definedName>
    <definedName name="BLPH162" localSheetId="73" hidden="1">#REF!</definedName>
    <definedName name="BLPH162" localSheetId="75" hidden="1">#REF!</definedName>
    <definedName name="BLPH162" localSheetId="76" hidden="1">#REF!</definedName>
    <definedName name="BLPH162" localSheetId="13" hidden="1">#REF!</definedName>
    <definedName name="BLPH162" localSheetId="12" hidden="1">#REF!</definedName>
    <definedName name="BLPH162" localSheetId="4" hidden="1">#REF!</definedName>
    <definedName name="BLPH162" hidden="1">#REF!</definedName>
    <definedName name="BLPH163" localSheetId="14" hidden="1">#REF!</definedName>
    <definedName name="BLPH163" localSheetId="19" hidden="1">#REF!</definedName>
    <definedName name="BLPH163" localSheetId="23" hidden="1">#REF!</definedName>
    <definedName name="BLPH163" localSheetId="31" hidden="1">#REF!</definedName>
    <definedName name="BLPH163" localSheetId="36" hidden="1">#REF!</definedName>
    <definedName name="BLPH163" localSheetId="37" hidden="1">#REF!</definedName>
    <definedName name="BLPH163" localSheetId="38" hidden="1">#REF!</definedName>
    <definedName name="BLPH163" localSheetId="45" hidden="1">#REF!</definedName>
    <definedName name="BLPH163" localSheetId="46" hidden="1">#REF!</definedName>
    <definedName name="BLPH163" localSheetId="48" hidden="1">#REF!</definedName>
    <definedName name="BLPH163" localSheetId="49" hidden="1">#REF!</definedName>
    <definedName name="BLPH163" localSheetId="50" hidden="1">#REF!</definedName>
    <definedName name="BLPH163" localSheetId="51" hidden="1">#REF!</definedName>
    <definedName name="BLPH163" localSheetId="52" hidden="1">#REF!</definedName>
    <definedName name="BLPH163" localSheetId="54" hidden="1">#REF!</definedName>
    <definedName name="BLPH163" localSheetId="55" hidden="1">#REF!</definedName>
    <definedName name="BLPH163" localSheetId="56" hidden="1">#REF!</definedName>
    <definedName name="BLPH163" localSheetId="57" hidden="1">#REF!</definedName>
    <definedName name="BLPH163" localSheetId="58" hidden="1">#REF!</definedName>
    <definedName name="BLPH163" localSheetId="70" hidden="1">#REF!</definedName>
    <definedName name="BLPH163" localSheetId="71" hidden="1">#REF!</definedName>
    <definedName name="BLPH163" localSheetId="73" hidden="1">#REF!</definedName>
    <definedName name="BLPH163" localSheetId="75" hidden="1">#REF!</definedName>
    <definedName name="BLPH163" localSheetId="76" hidden="1">#REF!</definedName>
    <definedName name="BLPH163" localSheetId="13" hidden="1">#REF!</definedName>
    <definedName name="BLPH163" localSheetId="12" hidden="1">#REF!</definedName>
    <definedName name="BLPH163" localSheetId="4" hidden="1">#REF!</definedName>
    <definedName name="BLPH163" hidden="1">#REF!</definedName>
    <definedName name="BLPH164" localSheetId="14" hidden="1">#REF!</definedName>
    <definedName name="BLPH164" localSheetId="19" hidden="1">#REF!</definedName>
    <definedName name="BLPH164" localSheetId="23" hidden="1">#REF!</definedName>
    <definedName name="BLPH164" localSheetId="31" hidden="1">#REF!</definedName>
    <definedName name="BLPH164" localSheetId="36" hidden="1">#REF!</definedName>
    <definedName name="BLPH164" localSheetId="37" hidden="1">#REF!</definedName>
    <definedName name="BLPH164" localSheetId="38" hidden="1">#REF!</definedName>
    <definedName name="BLPH164" localSheetId="45" hidden="1">#REF!</definedName>
    <definedName name="BLPH164" localSheetId="46" hidden="1">#REF!</definedName>
    <definedName name="BLPH164" localSheetId="48" hidden="1">#REF!</definedName>
    <definedName name="BLPH164" localSheetId="49" hidden="1">#REF!</definedName>
    <definedName name="BLPH164" localSheetId="50" hidden="1">#REF!</definedName>
    <definedName name="BLPH164" localSheetId="51" hidden="1">#REF!</definedName>
    <definedName name="BLPH164" localSheetId="52" hidden="1">#REF!</definedName>
    <definedName name="BLPH164" localSheetId="54" hidden="1">#REF!</definedName>
    <definedName name="BLPH164" localSheetId="55" hidden="1">#REF!</definedName>
    <definedName name="BLPH164" localSheetId="56" hidden="1">#REF!</definedName>
    <definedName name="BLPH164" localSheetId="57" hidden="1">#REF!</definedName>
    <definedName name="BLPH164" localSheetId="58" hidden="1">#REF!</definedName>
    <definedName name="BLPH164" localSheetId="70" hidden="1">#REF!</definedName>
    <definedName name="BLPH164" localSheetId="71" hidden="1">#REF!</definedName>
    <definedName name="BLPH164" localSheetId="73" hidden="1">#REF!</definedName>
    <definedName name="BLPH164" localSheetId="75" hidden="1">#REF!</definedName>
    <definedName name="BLPH164" localSheetId="76" hidden="1">#REF!</definedName>
    <definedName name="BLPH164" localSheetId="13" hidden="1">#REF!</definedName>
    <definedName name="BLPH164" localSheetId="12" hidden="1">#REF!</definedName>
    <definedName name="BLPH164" localSheetId="4" hidden="1">#REF!</definedName>
    <definedName name="BLPH164" hidden="1">#REF!</definedName>
    <definedName name="BLPH165" localSheetId="14" hidden="1">#REF!</definedName>
    <definedName name="BLPH165" localSheetId="19" hidden="1">#REF!</definedName>
    <definedName name="BLPH165" localSheetId="23" hidden="1">#REF!</definedName>
    <definedName name="BLPH165" localSheetId="31" hidden="1">#REF!</definedName>
    <definedName name="BLPH165" localSheetId="36" hidden="1">#REF!</definedName>
    <definedName name="BLPH165" localSheetId="37" hidden="1">#REF!</definedName>
    <definedName name="BLPH165" localSheetId="38" hidden="1">#REF!</definedName>
    <definedName name="BLPH165" localSheetId="45" hidden="1">#REF!</definedName>
    <definedName name="BLPH165" localSheetId="46" hidden="1">#REF!</definedName>
    <definedName name="BLPH165" localSheetId="48" hidden="1">#REF!</definedName>
    <definedName name="BLPH165" localSheetId="49" hidden="1">#REF!</definedName>
    <definedName name="BLPH165" localSheetId="50" hidden="1">#REF!</definedName>
    <definedName name="BLPH165" localSheetId="51" hidden="1">#REF!</definedName>
    <definedName name="BLPH165" localSheetId="52" hidden="1">#REF!</definedName>
    <definedName name="BLPH165" localSheetId="54" hidden="1">#REF!</definedName>
    <definedName name="BLPH165" localSheetId="55" hidden="1">#REF!</definedName>
    <definedName name="BLPH165" localSheetId="56" hidden="1">#REF!</definedName>
    <definedName name="BLPH165" localSheetId="57" hidden="1">#REF!</definedName>
    <definedName name="BLPH165" localSheetId="58" hidden="1">#REF!</definedName>
    <definedName name="BLPH165" localSheetId="70" hidden="1">#REF!</definedName>
    <definedName name="BLPH165" localSheetId="71" hidden="1">#REF!</definedName>
    <definedName name="BLPH165" localSheetId="73" hidden="1">#REF!</definedName>
    <definedName name="BLPH165" localSheetId="75" hidden="1">#REF!</definedName>
    <definedName name="BLPH165" localSheetId="76" hidden="1">#REF!</definedName>
    <definedName name="BLPH165" localSheetId="13" hidden="1">#REF!</definedName>
    <definedName name="BLPH165" localSheetId="12" hidden="1">#REF!</definedName>
    <definedName name="BLPH165" localSheetId="4" hidden="1">#REF!</definedName>
    <definedName name="BLPH165" hidden="1">#REF!</definedName>
    <definedName name="BLPH166" localSheetId="14" hidden="1">#REF!</definedName>
    <definedName name="BLPH166" localSheetId="19" hidden="1">#REF!</definedName>
    <definedName name="BLPH166" localSheetId="23" hidden="1">#REF!</definedName>
    <definedName name="BLPH166" localSheetId="31" hidden="1">#REF!</definedName>
    <definedName name="BLPH166" localSheetId="36" hidden="1">#REF!</definedName>
    <definedName name="BLPH166" localSheetId="37" hidden="1">#REF!</definedName>
    <definedName name="BLPH166" localSheetId="38" hidden="1">#REF!</definedName>
    <definedName name="BLPH166" localSheetId="45" hidden="1">#REF!</definedName>
    <definedName name="BLPH166" localSheetId="46" hidden="1">#REF!</definedName>
    <definedName name="BLPH166" localSheetId="48" hidden="1">#REF!</definedName>
    <definedName name="BLPH166" localSheetId="49" hidden="1">#REF!</definedName>
    <definedName name="BLPH166" localSheetId="50" hidden="1">#REF!</definedName>
    <definedName name="BLPH166" localSheetId="51" hidden="1">#REF!</definedName>
    <definedName name="BLPH166" localSheetId="52" hidden="1">#REF!</definedName>
    <definedName name="BLPH166" localSheetId="54" hidden="1">#REF!</definedName>
    <definedName name="BLPH166" localSheetId="55" hidden="1">#REF!</definedName>
    <definedName name="BLPH166" localSheetId="56" hidden="1">#REF!</definedName>
    <definedName name="BLPH166" localSheetId="57" hidden="1">#REF!</definedName>
    <definedName name="BLPH166" localSheetId="58" hidden="1">#REF!</definedName>
    <definedName name="BLPH166" localSheetId="70" hidden="1">#REF!</definedName>
    <definedName name="BLPH166" localSheetId="71" hidden="1">#REF!</definedName>
    <definedName name="BLPH166" localSheetId="73" hidden="1">#REF!</definedName>
    <definedName name="BLPH166" localSheetId="75" hidden="1">#REF!</definedName>
    <definedName name="BLPH166" localSheetId="76" hidden="1">#REF!</definedName>
    <definedName name="BLPH166" localSheetId="13" hidden="1">#REF!</definedName>
    <definedName name="BLPH166" localSheetId="12" hidden="1">#REF!</definedName>
    <definedName name="BLPH166" localSheetId="4" hidden="1">#REF!</definedName>
    <definedName name="BLPH166" hidden="1">#REF!</definedName>
    <definedName name="BLPH167" localSheetId="14" hidden="1">#REF!</definedName>
    <definedName name="BLPH167" localSheetId="19" hidden="1">#REF!</definedName>
    <definedName name="BLPH167" localSheetId="23" hidden="1">#REF!</definedName>
    <definedName name="BLPH167" localSheetId="31" hidden="1">#REF!</definedName>
    <definedName name="BLPH167" localSheetId="36" hidden="1">#REF!</definedName>
    <definedName name="BLPH167" localSheetId="37" hidden="1">#REF!</definedName>
    <definedName name="BLPH167" localSheetId="38" hidden="1">#REF!</definedName>
    <definedName name="BLPH167" localSheetId="45" hidden="1">#REF!</definedName>
    <definedName name="BLPH167" localSheetId="46" hidden="1">#REF!</definedName>
    <definedName name="BLPH167" localSheetId="48" hidden="1">#REF!</definedName>
    <definedName name="BLPH167" localSheetId="49" hidden="1">#REF!</definedName>
    <definedName name="BLPH167" localSheetId="50" hidden="1">#REF!</definedName>
    <definedName name="BLPH167" localSheetId="51" hidden="1">#REF!</definedName>
    <definedName name="BLPH167" localSheetId="52" hidden="1">#REF!</definedName>
    <definedName name="BLPH167" localSheetId="54" hidden="1">#REF!</definedName>
    <definedName name="BLPH167" localSheetId="55" hidden="1">#REF!</definedName>
    <definedName name="BLPH167" localSheetId="56" hidden="1">#REF!</definedName>
    <definedName name="BLPH167" localSheetId="57" hidden="1">#REF!</definedName>
    <definedName name="BLPH167" localSheetId="58" hidden="1">#REF!</definedName>
    <definedName name="BLPH167" localSheetId="70" hidden="1">#REF!</definedName>
    <definedName name="BLPH167" localSheetId="71" hidden="1">#REF!</definedName>
    <definedName name="BLPH167" localSheetId="73" hidden="1">#REF!</definedName>
    <definedName name="BLPH167" localSheetId="75" hidden="1">#REF!</definedName>
    <definedName name="BLPH167" localSheetId="76" hidden="1">#REF!</definedName>
    <definedName name="BLPH167" localSheetId="13" hidden="1">#REF!</definedName>
    <definedName name="BLPH167" localSheetId="12" hidden="1">#REF!</definedName>
    <definedName name="BLPH167" localSheetId="4" hidden="1">#REF!</definedName>
    <definedName name="BLPH167" hidden="1">#REF!</definedName>
    <definedName name="BLPH168" localSheetId="14" hidden="1">#REF!</definedName>
    <definedName name="BLPH168" localSheetId="19" hidden="1">#REF!</definedName>
    <definedName name="BLPH168" localSheetId="23" hidden="1">#REF!</definedName>
    <definedName name="BLPH168" localSheetId="31" hidden="1">#REF!</definedName>
    <definedName name="BLPH168" localSheetId="36" hidden="1">#REF!</definedName>
    <definedName name="BLPH168" localSheetId="37" hidden="1">#REF!</definedName>
    <definedName name="BLPH168" localSheetId="38" hidden="1">#REF!</definedName>
    <definedName name="BLPH168" localSheetId="45" hidden="1">#REF!</definedName>
    <definedName name="BLPH168" localSheetId="46" hidden="1">#REF!</definedName>
    <definedName name="BLPH168" localSheetId="48" hidden="1">#REF!</definedName>
    <definedName name="BLPH168" localSheetId="49" hidden="1">#REF!</definedName>
    <definedName name="BLPH168" localSheetId="50" hidden="1">#REF!</definedName>
    <definedName name="BLPH168" localSheetId="51" hidden="1">#REF!</definedName>
    <definedName name="BLPH168" localSheetId="52" hidden="1">#REF!</definedName>
    <definedName name="BLPH168" localSheetId="54" hidden="1">#REF!</definedName>
    <definedName name="BLPH168" localSheetId="55" hidden="1">#REF!</definedName>
    <definedName name="BLPH168" localSheetId="56" hidden="1">#REF!</definedName>
    <definedName name="BLPH168" localSheetId="57" hidden="1">#REF!</definedName>
    <definedName name="BLPH168" localSheetId="58" hidden="1">#REF!</definedName>
    <definedName name="BLPH168" localSheetId="70" hidden="1">#REF!</definedName>
    <definedName name="BLPH168" localSheetId="71" hidden="1">#REF!</definedName>
    <definedName name="BLPH168" localSheetId="73" hidden="1">#REF!</definedName>
    <definedName name="BLPH168" localSheetId="75" hidden="1">#REF!</definedName>
    <definedName name="BLPH168" localSheetId="76" hidden="1">#REF!</definedName>
    <definedName name="BLPH168" localSheetId="13" hidden="1">#REF!</definedName>
    <definedName name="BLPH168" localSheetId="12" hidden="1">#REF!</definedName>
    <definedName name="BLPH168" localSheetId="4" hidden="1">#REF!</definedName>
    <definedName name="BLPH168" hidden="1">#REF!</definedName>
    <definedName name="BLPH169" localSheetId="14" hidden="1">#REF!</definedName>
    <definedName name="BLPH169" localSheetId="19" hidden="1">#REF!</definedName>
    <definedName name="BLPH169" localSheetId="23" hidden="1">#REF!</definedName>
    <definedName name="BLPH169" localSheetId="31" hidden="1">#REF!</definedName>
    <definedName name="BLPH169" localSheetId="36" hidden="1">#REF!</definedName>
    <definedName name="BLPH169" localSheetId="37" hidden="1">#REF!</definedName>
    <definedName name="BLPH169" localSheetId="38" hidden="1">#REF!</definedName>
    <definedName name="BLPH169" localSheetId="45" hidden="1">#REF!</definedName>
    <definedName name="BLPH169" localSheetId="46" hidden="1">#REF!</definedName>
    <definedName name="BLPH169" localSheetId="48" hidden="1">#REF!</definedName>
    <definedName name="BLPH169" localSheetId="49" hidden="1">#REF!</definedName>
    <definedName name="BLPH169" localSheetId="50" hidden="1">#REF!</definedName>
    <definedName name="BLPH169" localSheetId="51" hidden="1">#REF!</definedName>
    <definedName name="BLPH169" localSheetId="52" hidden="1">#REF!</definedName>
    <definedName name="BLPH169" localSheetId="54" hidden="1">#REF!</definedName>
    <definedName name="BLPH169" localSheetId="55" hidden="1">#REF!</definedName>
    <definedName name="BLPH169" localSheetId="56" hidden="1">#REF!</definedName>
    <definedName name="BLPH169" localSheetId="57" hidden="1">#REF!</definedName>
    <definedName name="BLPH169" localSheetId="58" hidden="1">#REF!</definedName>
    <definedName name="BLPH169" localSheetId="70" hidden="1">#REF!</definedName>
    <definedName name="BLPH169" localSheetId="71" hidden="1">#REF!</definedName>
    <definedName name="BLPH169" localSheetId="73" hidden="1">#REF!</definedName>
    <definedName name="BLPH169" localSheetId="75" hidden="1">#REF!</definedName>
    <definedName name="BLPH169" localSheetId="76" hidden="1">#REF!</definedName>
    <definedName name="BLPH169" localSheetId="13" hidden="1">#REF!</definedName>
    <definedName name="BLPH169" localSheetId="12" hidden="1">#REF!</definedName>
    <definedName name="BLPH169" localSheetId="4" hidden="1">#REF!</definedName>
    <definedName name="BLPH169" hidden="1">#REF!</definedName>
    <definedName name="BLPH17" localSheetId="14" hidden="1">#REF!</definedName>
    <definedName name="BLPH17" localSheetId="19" hidden="1">#REF!</definedName>
    <definedName name="BLPH17" localSheetId="23" hidden="1">#REF!</definedName>
    <definedName name="BLPH17" localSheetId="31" hidden="1">#REF!</definedName>
    <definedName name="BLPH17" localSheetId="36" hidden="1">#REF!</definedName>
    <definedName name="BLPH17" localSheetId="37" hidden="1">#REF!</definedName>
    <definedName name="BLPH17" localSheetId="38" hidden="1">#REF!</definedName>
    <definedName name="BLPH17" localSheetId="45" hidden="1">#REF!</definedName>
    <definedName name="BLPH17" localSheetId="46" hidden="1">#REF!</definedName>
    <definedName name="BLPH17" localSheetId="48" hidden="1">#REF!</definedName>
    <definedName name="BLPH17" localSheetId="49" hidden="1">#REF!</definedName>
    <definedName name="BLPH17" localSheetId="50" hidden="1">#REF!</definedName>
    <definedName name="BLPH17" localSheetId="51" hidden="1">#REF!</definedName>
    <definedName name="BLPH17" localSheetId="52" hidden="1">#REF!</definedName>
    <definedName name="BLPH17" localSheetId="54" hidden="1">#REF!</definedName>
    <definedName name="BLPH17" localSheetId="55" hidden="1">#REF!</definedName>
    <definedName name="BLPH17" localSheetId="56" hidden="1">#REF!</definedName>
    <definedName name="BLPH17" localSheetId="57" hidden="1">#REF!</definedName>
    <definedName name="BLPH17" localSheetId="58" hidden="1">#REF!</definedName>
    <definedName name="BLPH17" localSheetId="70" hidden="1">#REF!</definedName>
    <definedName name="BLPH17" localSheetId="71" hidden="1">#REF!</definedName>
    <definedName name="BLPH17" localSheetId="73" hidden="1">#REF!</definedName>
    <definedName name="BLPH17" localSheetId="75" hidden="1">#REF!</definedName>
    <definedName name="BLPH17" localSheetId="76" hidden="1">#REF!</definedName>
    <definedName name="BLPH17" localSheetId="13" hidden="1">#REF!</definedName>
    <definedName name="BLPH17" localSheetId="12" hidden="1">#REF!</definedName>
    <definedName name="BLPH17" localSheetId="4" hidden="1">#REF!</definedName>
    <definedName name="BLPH17" hidden="1">#REF!</definedName>
    <definedName name="BLPH170" localSheetId="14" hidden="1">#REF!</definedName>
    <definedName name="BLPH170" localSheetId="19" hidden="1">#REF!</definedName>
    <definedName name="BLPH170" localSheetId="23" hidden="1">#REF!</definedName>
    <definedName name="BLPH170" localSheetId="31" hidden="1">#REF!</definedName>
    <definedName name="BLPH170" localSheetId="36" hidden="1">#REF!</definedName>
    <definedName name="BLPH170" localSheetId="37" hidden="1">#REF!</definedName>
    <definedName name="BLPH170" localSheetId="38" hidden="1">#REF!</definedName>
    <definedName name="BLPH170" localSheetId="45" hidden="1">#REF!</definedName>
    <definedName name="BLPH170" localSheetId="46" hidden="1">#REF!</definedName>
    <definedName name="BLPH170" localSheetId="48" hidden="1">#REF!</definedName>
    <definedName name="BLPH170" localSheetId="49" hidden="1">#REF!</definedName>
    <definedName name="BLPH170" localSheetId="50" hidden="1">#REF!</definedName>
    <definedName name="BLPH170" localSheetId="51" hidden="1">#REF!</definedName>
    <definedName name="BLPH170" localSheetId="52" hidden="1">#REF!</definedName>
    <definedName name="BLPH170" localSheetId="54" hidden="1">#REF!</definedName>
    <definedName name="BLPH170" localSheetId="55" hidden="1">#REF!</definedName>
    <definedName name="BLPH170" localSheetId="56" hidden="1">#REF!</definedName>
    <definedName name="BLPH170" localSheetId="57" hidden="1">#REF!</definedName>
    <definedName name="BLPH170" localSheetId="58" hidden="1">#REF!</definedName>
    <definedName name="BLPH170" localSheetId="70" hidden="1">#REF!</definedName>
    <definedName name="BLPH170" localSheetId="71" hidden="1">#REF!</definedName>
    <definedName name="BLPH170" localSheetId="73" hidden="1">#REF!</definedName>
    <definedName name="BLPH170" localSheetId="75" hidden="1">#REF!</definedName>
    <definedName name="BLPH170" localSheetId="76" hidden="1">#REF!</definedName>
    <definedName name="BLPH170" localSheetId="13" hidden="1">#REF!</definedName>
    <definedName name="BLPH170" localSheetId="12" hidden="1">#REF!</definedName>
    <definedName name="BLPH170" localSheetId="4" hidden="1">#REF!</definedName>
    <definedName name="BLPH170" hidden="1">#REF!</definedName>
    <definedName name="BLPH171" localSheetId="14" hidden="1">#REF!</definedName>
    <definedName name="BLPH171" localSheetId="19" hidden="1">#REF!</definedName>
    <definedName name="BLPH171" localSheetId="23" hidden="1">#REF!</definedName>
    <definedName name="BLPH171" localSheetId="31" hidden="1">#REF!</definedName>
    <definedName name="BLPH171" localSheetId="36" hidden="1">#REF!</definedName>
    <definedName name="BLPH171" localSheetId="37" hidden="1">#REF!</definedName>
    <definedName name="BLPH171" localSheetId="38" hidden="1">#REF!</definedName>
    <definedName name="BLPH171" localSheetId="45" hidden="1">#REF!</definedName>
    <definedName name="BLPH171" localSheetId="46" hidden="1">#REF!</definedName>
    <definedName name="BLPH171" localSheetId="48" hidden="1">#REF!</definedName>
    <definedName name="BLPH171" localSheetId="49" hidden="1">#REF!</definedName>
    <definedName name="BLPH171" localSheetId="50" hidden="1">#REF!</definedName>
    <definedName name="BLPH171" localSheetId="51" hidden="1">#REF!</definedName>
    <definedName name="BLPH171" localSheetId="52" hidden="1">#REF!</definedName>
    <definedName name="BLPH171" localSheetId="54" hidden="1">#REF!</definedName>
    <definedName name="BLPH171" localSheetId="55" hidden="1">#REF!</definedName>
    <definedName name="BLPH171" localSheetId="56" hidden="1">#REF!</definedName>
    <definedName name="BLPH171" localSheetId="57" hidden="1">#REF!</definedName>
    <definedName name="BLPH171" localSheetId="58" hidden="1">#REF!</definedName>
    <definedName name="BLPH171" localSheetId="70" hidden="1">#REF!</definedName>
    <definedName name="BLPH171" localSheetId="71" hidden="1">#REF!</definedName>
    <definedName name="BLPH171" localSheetId="73" hidden="1">#REF!</definedName>
    <definedName name="BLPH171" localSheetId="75" hidden="1">#REF!</definedName>
    <definedName name="BLPH171" localSheetId="76" hidden="1">#REF!</definedName>
    <definedName name="BLPH171" localSheetId="13" hidden="1">#REF!</definedName>
    <definedName name="BLPH171" localSheetId="12" hidden="1">#REF!</definedName>
    <definedName name="BLPH171" localSheetId="4" hidden="1">#REF!</definedName>
    <definedName name="BLPH171" hidden="1">#REF!</definedName>
    <definedName name="BLPH172" localSheetId="14" hidden="1">#REF!</definedName>
    <definedName name="BLPH172" localSheetId="19" hidden="1">#REF!</definedName>
    <definedName name="BLPH172" localSheetId="23" hidden="1">#REF!</definedName>
    <definedName name="BLPH172" localSheetId="31" hidden="1">#REF!</definedName>
    <definedName name="BLPH172" localSheetId="36" hidden="1">#REF!</definedName>
    <definedName name="BLPH172" localSheetId="37" hidden="1">#REF!</definedName>
    <definedName name="BLPH172" localSheetId="38" hidden="1">#REF!</definedName>
    <definedName name="BLPH172" localSheetId="45" hidden="1">#REF!</definedName>
    <definedName name="BLPH172" localSheetId="46" hidden="1">#REF!</definedName>
    <definedName name="BLPH172" localSheetId="48" hidden="1">#REF!</definedName>
    <definedName name="BLPH172" localSheetId="49" hidden="1">#REF!</definedName>
    <definedName name="BLPH172" localSheetId="50" hidden="1">#REF!</definedName>
    <definedName name="BLPH172" localSheetId="51" hidden="1">#REF!</definedName>
    <definedName name="BLPH172" localSheetId="52" hidden="1">#REF!</definedName>
    <definedName name="BLPH172" localSheetId="54" hidden="1">#REF!</definedName>
    <definedName name="BLPH172" localSheetId="55" hidden="1">#REF!</definedName>
    <definedName name="BLPH172" localSheetId="56" hidden="1">#REF!</definedName>
    <definedName name="BLPH172" localSheetId="57" hidden="1">#REF!</definedName>
    <definedName name="BLPH172" localSheetId="58" hidden="1">#REF!</definedName>
    <definedName name="BLPH172" localSheetId="70" hidden="1">#REF!</definedName>
    <definedName name="BLPH172" localSheetId="71" hidden="1">#REF!</definedName>
    <definedName name="BLPH172" localSheetId="73" hidden="1">#REF!</definedName>
    <definedName name="BLPH172" localSheetId="75" hidden="1">#REF!</definedName>
    <definedName name="BLPH172" localSheetId="76" hidden="1">#REF!</definedName>
    <definedName name="BLPH172" localSheetId="13" hidden="1">#REF!</definedName>
    <definedName name="BLPH172" localSheetId="12" hidden="1">#REF!</definedName>
    <definedName name="BLPH172" localSheetId="4" hidden="1">#REF!</definedName>
    <definedName name="BLPH172" hidden="1">#REF!</definedName>
    <definedName name="BLPH173" localSheetId="14" hidden="1">#REF!</definedName>
    <definedName name="BLPH173" localSheetId="19" hidden="1">#REF!</definedName>
    <definedName name="BLPH173" localSheetId="23" hidden="1">#REF!</definedName>
    <definedName name="BLPH173" localSheetId="31" hidden="1">#REF!</definedName>
    <definedName name="BLPH173" localSheetId="36" hidden="1">#REF!</definedName>
    <definedName name="BLPH173" localSheetId="37" hidden="1">#REF!</definedName>
    <definedName name="BLPH173" localSheetId="38" hidden="1">#REF!</definedName>
    <definedName name="BLPH173" localSheetId="45" hidden="1">#REF!</definedName>
    <definedName name="BLPH173" localSheetId="46" hidden="1">#REF!</definedName>
    <definedName name="BLPH173" localSheetId="48" hidden="1">#REF!</definedName>
    <definedName name="BLPH173" localSheetId="49" hidden="1">#REF!</definedName>
    <definedName name="BLPH173" localSheetId="50" hidden="1">#REF!</definedName>
    <definedName name="BLPH173" localSheetId="51" hidden="1">#REF!</definedName>
    <definedName name="BLPH173" localSheetId="52" hidden="1">#REF!</definedName>
    <definedName name="BLPH173" localSheetId="54" hidden="1">#REF!</definedName>
    <definedName name="BLPH173" localSheetId="55" hidden="1">#REF!</definedName>
    <definedName name="BLPH173" localSheetId="56" hidden="1">#REF!</definedName>
    <definedName name="BLPH173" localSheetId="57" hidden="1">#REF!</definedName>
    <definedName name="BLPH173" localSheetId="58" hidden="1">#REF!</definedName>
    <definedName name="BLPH173" localSheetId="70" hidden="1">#REF!</definedName>
    <definedName name="BLPH173" localSheetId="71" hidden="1">#REF!</definedName>
    <definedName name="BLPH173" localSheetId="73" hidden="1">#REF!</definedName>
    <definedName name="BLPH173" localSheetId="75" hidden="1">#REF!</definedName>
    <definedName name="BLPH173" localSheetId="76" hidden="1">#REF!</definedName>
    <definedName name="BLPH173" localSheetId="13" hidden="1">#REF!</definedName>
    <definedName name="BLPH173" localSheetId="12" hidden="1">#REF!</definedName>
    <definedName name="BLPH173" localSheetId="4" hidden="1">#REF!</definedName>
    <definedName name="BLPH173" hidden="1">#REF!</definedName>
    <definedName name="BLPH174" localSheetId="14" hidden="1">#REF!</definedName>
    <definedName name="BLPH174" localSheetId="19" hidden="1">#REF!</definedName>
    <definedName name="BLPH174" localSheetId="23" hidden="1">#REF!</definedName>
    <definedName name="BLPH174" localSheetId="31" hidden="1">#REF!</definedName>
    <definedName name="BLPH174" localSheetId="36" hidden="1">#REF!</definedName>
    <definedName name="BLPH174" localSheetId="37" hidden="1">#REF!</definedName>
    <definedName name="BLPH174" localSheetId="38" hidden="1">#REF!</definedName>
    <definedName name="BLPH174" localSheetId="45" hidden="1">#REF!</definedName>
    <definedName name="BLPH174" localSheetId="46" hidden="1">#REF!</definedName>
    <definedName name="BLPH174" localSheetId="48" hidden="1">#REF!</definedName>
    <definedName name="BLPH174" localSheetId="49" hidden="1">#REF!</definedName>
    <definedName name="BLPH174" localSheetId="50" hidden="1">#REF!</definedName>
    <definedName name="BLPH174" localSheetId="51" hidden="1">#REF!</definedName>
    <definedName name="BLPH174" localSheetId="52" hidden="1">#REF!</definedName>
    <definedName name="BLPH174" localSheetId="54" hidden="1">#REF!</definedName>
    <definedName name="BLPH174" localSheetId="55" hidden="1">#REF!</definedName>
    <definedName name="BLPH174" localSheetId="56" hidden="1">#REF!</definedName>
    <definedName name="BLPH174" localSheetId="57" hidden="1">#REF!</definedName>
    <definedName name="BLPH174" localSheetId="58" hidden="1">#REF!</definedName>
    <definedName name="BLPH174" localSheetId="70" hidden="1">#REF!</definedName>
    <definedName name="BLPH174" localSheetId="71" hidden="1">#REF!</definedName>
    <definedName name="BLPH174" localSheetId="73" hidden="1">#REF!</definedName>
    <definedName name="BLPH174" localSheetId="75" hidden="1">#REF!</definedName>
    <definedName name="BLPH174" localSheetId="76" hidden="1">#REF!</definedName>
    <definedName name="BLPH174" localSheetId="13" hidden="1">#REF!</definedName>
    <definedName name="BLPH174" localSheetId="12" hidden="1">#REF!</definedName>
    <definedName name="BLPH174" localSheetId="4" hidden="1">#REF!</definedName>
    <definedName name="BLPH174" hidden="1">#REF!</definedName>
    <definedName name="BLPH175" localSheetId="14" hidden="1">#REF!</definedName>
    <definedName name="BLPH175" localSheetId="19" hidden="1">#REF!</definedName>
    <definedName name="BLPH175" localSheetId="23" hidden="1">#REF!</definedName>
    <definedName name="BLPH175" localSheetId="31" hidden="1">#REF!</definedName>
    <definedName name="BLPH175" localSheetId="36" hidden="1">#REF!</definedName>
    <definedName name="BLPH175" localSheetId="37" hidden="1">#REF!</definedName>
    <definedName name="BLPH175" localSheetId="38" hidden="1">#REF!</definedName>
    <definedName name="BLPH175" localSheetId="45" hidden="1">#REF!</definedName>
    <definedName name="BLPH175" localSheetId="46" hidden="1">#REF!</definedName>
    <definedName name="BLPH175" localSheetId="48" hidden="1">#REF!</definedName>
    <definedName name="BLPH175" localSheetId="49" hidden="1">#REF!</definedName>
    <definedName name="BLPH175" localSheetId="50" hidden="1">#REF!</definedName>
    <definedName name="BLPH175" localSheetId="51" hidden="1">#REF!</definedName>
    <definedName name="BLPH175" localSheetId="52" hidden="1">#REF!</definedName>
    <definedName name="BLPH175" localSheetId="54" hidden="1">#REF!</definedName>
    <definedName name="BLPH175" localSheetId="55" hidden="1">#REF!</definedName>
    <definedName name="BLPH175" localSheetId="56" hidden="1">#REF!</definedName>
    <definedName name="BLPH175" localSheetId="57" hidden="1">#REF!</definedName>
    <definedName name="BLPH175" localSheetId="58" hidden="1">#REF!</definedName>
    <definedName name="BLPH175" localSheetId="70" hidden="1">#REF!</definedName>
    <definedName name="BLPH175" localSheetId="71" hidden="1">#REF!</definedName>
    <definedName name="BLPH175" localSheetId="73" hidden="1">#REF!</definedName>
    <definedName name="BLPH175" localSheetId="75" hidden="1">#REF!</definedName>
    <definedName name="BLPH175" localSheetId="76" hidden="1">#REF!</definedName>
    <definedName name="BLPH175" localSheetId="13" hidden="1">#REF!</definedName>
    <definedName name="BLPH175" localSheetId="12" hidden="1">#REF!</definedName>
    <definedName name="BLPH175" localSheetId="4" hidden="1">#REF!</definedName>
    <definedName name="BLPH175" hidden="1">#REF!</definedName>
    <definedName name="BLPH176" localSheetId="14" hidden="1">#REF!</definedName>
    <definedName name="BLPH176" localSheetId="19" hidden="1">#REF!</definedName>
    <definedName name="BLPH176" localSheetId="23" hidden="1">#REF!</definedName>
    <definedName name="BLPH176" localSheetId="31" hidden="1">#REF!</definedName>
    <definedName name="BLPH176" localSheetId="36" hidden="1">#REF!</definedName>
    <definedName name="BLPH176" localSheetId="37" hidden="1">#REF!</definedName>
    <definedName name="BLPH176" localSheetId="38" hidden="1">#REF!</definedName>
    <definedName name="BLPH176" localSheetId="45" hidden="1">#REF!</definedName>
    <definedName name="BLPH176" localSheetId="46" hidden="1">#REF!</definedName>
    <definedName name="BLPH176" localSheetId="48" hidden="1">#REF!</definedName>
    <definedName name="BLPH176" localSheetId="49" hidden="1">#REF!</definedName>
    <definedName name="BLPH176" localSheetId="50" hidden="1">#REF!</definedName>
    <definedName name="BLPH176" localSheetId="51" hidden="1">#REF!</definedName>
    <definedName name="BLPH176" localSheetId="52" hidden="1">#REF!</definedName>
    <definedName name="BLPH176" localSheetId="54" hidden="1">#REF!</definedName>
    <definedName name="BLPH176" localSheetId="55" hidden="1">#REF!</definedName>
    <definedName name="BLPH176" localSheetId="56" hidden="1">#REF!</definedName>
    <definedName name="BLPH176" localSheetId="57" hidden="1">#REF!</definedName>
    <definedName name="BLPH176" localSheetId="58" hidden="1">#REF!</definedName>
    <definedName name="BLPH176" localSheetId="70" hidden="1">#REF!</definedName>
    <definedName name="BLPH176" localSheetId="71" hidden="1">#REF!</definedName>
    <definedName name="BLPH176" localSheetId="73" hidden="1">#REF!</definedName>
    <definedName name="BLPH176" localSheetId="75" hidden="1">#REF!</definedName>
    <definedName name="BLPH176" localSheetId="76" hidden="1">#REF!</definedName>
    <definedName name="BLPH176" localSheetId="13" hidden="1">#REF!</definedName>
    <definedName name="BLPH176" localSheetId="12" hidden="1">#REF!</definedName>
    <definedName name="BLPH176" localSheetId="4" hidden="1">#REF!</definedName>
    <definedName name="BLPH176" hidden="1">#REF!</definedName>
    <definedName name="BLPH177" localSheetId="14" hidden="1">#REF!</definedName>
    <definedName name="BLPH177" localSheetId="19" hidden="1">#REF!</definedName>
    <definedName name="BLPH177" localSheetId="23" hidden="1">#REF!</definedName>
    <definedName name="BLPH177" localSheetId="31" hidden="1">#REF!</definedName>
    <definedName name="BLPH177" localSheetId="36" hidden="1">#REF!</definedName>
    <definedName name="BLPH177" localSheetId="37" hidden="1">#REF!</definedName>
    <definedName name="BLPH177" localSheetId="38" hidden="1">#REF!</definedName>
    <definedName name="BLPH177" localSheetId="45" hidden="1">#REF!</definedName>
    <definedName name="BLPH177" localSheetId="46" hidden="1">#REF!</definedName>
    <definedName name="BLPH177" localSheetId="48" hidden="1">#REF!</definedName>
    <definedName name="BLPH177" localSheetId="49" hidden="1">#REF!</definedName>
    <definedName name="BLPH177" localSheetId="50" hidden="1">#REF!</definedName>
    <definedName name="BLPH177" localSheetId="51" hidden="1">#REF!</definedName>
    <definedName name="BLPH177" localSheetId="52" hidden="1">#REF!</definedName>
    <definedName name="BLPH177" localSheetId="54" hidden="1">#REF!</definedName>
    <definedName name="BLPH177" localSheetId="55" hidden="1">#REF!</definedName>
    <definedName name="BLPH177" localSheetId="56" hidden="1">#REF!</definedName>
    <definedName name="BLPH177" localSheetId="57" hidden="1">#REF!</definedName>
    <definedName name="BLPH177" localSheetId="58" hidden="1">#REF!</definedName>
    <definedName name="BLPH177" localSheetId="70" hidden="1">#REF!</definedName>
    <definedName name="BLPH177" localSheetId="71" hidden="1">#REF!</definedName>
    <definedName name="BLPH177" localSheetId="73" hidden="1">#REF!</definedName>
    <definedName name="BLPH177" localSheetId="75" hidden="1">#REF!</definedName>
    <definedName name="BLPH177" localSheetId="76" hidden="1">#REF!</definedName>
    <definedName name="BLPH177" localSheetId="13" hidden="1">#REF!</definedName>
    <definedName name="BLPH177" localSheetId="12" hidden="1">#REF!</definedName>
    <definedName name="BLPH177" localSheetId="4" hidden="1">#REF!</definedName>
    <definedName name="BLPH177" hidden="1">#REF!</definedName>
    <definedName name="BLPH178" localSheetId="14" hidden="1">#REF!</definedName>
    <definedName name="BLPH178" localSheetId="19" hidden="1">#REF!</definedName>
    <definedName name="BLPH178" localSheetId="23" hidden="1">#REF!</definedName>
    <definedName name="BLPH178" localSheetId="31" hidden="1">#REF!</definedName>
    <definedName name="BLPH178" localSheetId="36" hidden="1">#REF!</definedName>
    <definedName name="BLPH178" localSheetId="37" hidden="1">#REF!</definedName>
    <definedName name="BLPH178" localSheetId="38" hidden="1">#REF!</definedName>
    <definedName name="BLPH178" localSheetId="45" hidden="1">#REF!</definedName>
    <definedName name="BLPH178" localSheetId="46" hidden="1">#REF!</definedName>
    <definedName name="BLPH178" localSheetId="48" hidden="1">#REF!</definedName>
    <definedName name="BLPH178" localSheetId="49" hidden="1">#REF!</definedName>
    <definedName name="BLPH178" localSheetId="50" hidden="1">#REF!</definedName>
    <definedName name="BLPH178" localSheetId="51" hidden="1">#REF!</definedName>
    <definedName name="BLPH178" localSheetId="52" hidden="1">#REF!</definedName>
    <definedName name="BLPH178" localSheetId="54" hidden="1">#REF!</definedName>
    <definedName name="BLPH178" localSheetId="55" hidden="1">#REF!</definedName>
    <definedName name="BLPH178" localSheetId="56" hidden="1">#REF!</definedName>
    <definedName name="BLPH178" localSheetId="57" hidden="1">#REF!</definedName>
    <definedName name="BLPH178" localSheetId="58" hidden="1">#REF!</definedName>
    <definedName name="BLPH178" localSheetId="70" hidden="1">#REF!</definedName>
    <definedName name="BLPH178" localSheetId="71" hidden="1">#REF!</definedName>
    <definedName name="BLPH178" localSheetId="73" hidden="1">#REF!</definedName>
    <definedName name="BLPH178" localSheetId="75" hidden="1">#REF!</definedName>
    <definedName name="BLPH178" localSheetId="76" hidden="1">#REF!</definedName>
    <definedName name="BLPH178" localSheetId="13" hidden="1">#REF!</definedName>
    <definedName name="BLPH178" localSheetId="12" hidden="1">#REF!</definedName>
    <definedName name="BLPH178" localSheetId="4" hidden="1">#REF!</definedName>
    <definedName name="BLPH178" hidden="1">#REF!</definedName>
    <definedName name="BLPH179" localSheetId="14" hidden="1">#REF!</definedName>
    <definedName name="BLPH179" localSheetId="19" hidden="1">#REF!</definedName>
    <definedName name="BLPH179" localSheetId="23" hidden="1">#REF!</definedName>
    <definedName name="BLPH179" localSheetId="31" hidden="1">#REF!</definedName>
    <definedName name="BLPH179" localSheetId="36" hidden="1">#REF!</definedName>
    <definedName name="BLPH179" localSheetId="37" hidden="1">#REF!</definedName>
    <definedName name="BLPH179" localSheetId="38" hidden="1">#REF!</definedName>
    <definedName name="BLPH179" localSheetId="45" hidden="1">#REF!</definedName>
    <definedName name="BLPH179" localSheetId="46" hidden="1">#REF!</definedName>
    <definedName name="BLPH179" localSheetId="48" hidden="1">#REF!</definedName>
    <definedName name="BLPH179" localSheetId="49" hidden="1">#REF!</definedName>
    <definedName name="BLPH179" localSheetId="50" hidden="1">#REF!</definedName>
    <definedName name="BLPH179" localSheetId="51" hidden="1">#REF!</definedName>
    <definedName name="BLPH179" localSheetId="52" hidden="1">#REF!</definedName>
    <definedName name="BLPH179" localSheetId="54" hidden="1">#REF!</definedName>
    <definedName name="BLPH179" localSheetId="55" hidden="1">#REF!</definedName>
    <definedName name="BLPH179" localSheetId="56" hidden="1">#REF!</definedName>
    <definedName name="BLPH179" localSheetId="57" hidden="1">#REF!</definedName>
    <definedName name="BLPH179" localSheetId="58" hidden="1">#REF!</definedName>
    <definedName name="BLPH179" localSheetId="70" hidden="1">#REF!</definedName>
    <definedName name="BLPH179" localSheetId="71" hidden="1">#REF!</definedName>
    <definedName name="BLPH179" localSheetId="73" hidden="1">#REF!</definedName>
    <definedName name="BLPH179" localSheetId="75" hidden="1">#REF!</definedName>
    <definedName name="BLPH179" localSheetId="76" hidden="1">#REF!</definedName>
    <definedName name="BLPH179" localSheetId="13" hidden="1">#REF!</definedName>
    <definedName name="BLPH179" localSheetId="12" hidden="1">#REF!</definedName>
    <definedName name="BLPH179" localSheetId="4" hidden="1">#REF!</definedName>
    <definedName name="BLPH179" hidden="1">#REF!</definedName>
    <definedName name="BLPH18" localSheetId="14" hidden="1">#REF!</definedName>
    <definedName name="BLPH18" localSheetId="19" hidden="1">#REF!</definedName>
    <definedName name="BLPH18" localSheetId="23" hidden="1">#REF!</definedName>
    <definedName name="BLPH18" localSheetId="31" hidden="1">#REF!</definedName>
    <definedName name="BLPH18" localSheetId="36" hidden="1">#REF!</definedName>
    <definedName name="BLPH18" localSheetId="37" hidden="1">#REF!</definedName>
    <definedName name="BLPH18" localSheetId="38" hidden="1">#REF!</definedName>
    <definedName name="BLPH18" localSheetId="45" hidden="1">#REF!</definedName>
    <definedName name="BLPH18" localSheetId="46" hidden="1">#REF!</definedName>
    <definedName name="BLPH18" localSheetId="48" hidden="1">#REF!</definedName>
    <definedName name="BLPH18" localSheetId="49" hidden="1">#REF!</definedName>
    <definedName name="BLPH18" localSheetId="50" hidden="1">#REF!</definedName>
    <definedName name="BLPH18" localSheetId="51" hidden="1">#REF!</definedName>
    <definedName name="BLPH18" localSheetId="52" hidden="1">#REF!</definedName>
    <definedName name="BLPH18" localSheetId="54" hidden="1">#REF!</definedName>
    <definedName name="BLPH18" localSheetId="55" hidden="1">#REF!</definedName>
    <definedName name="BLPH18" localSheetId="56" hidden="1">#REF!</definedName>
    <definedName name="BLPH18" localSheetId="57" hidden="1">#REF!</definedName>
    <definedName name="BLPH18" localSheetId="58" hidden="1">#REF!</definedName>
    <definedName name="BLPH18" localSheetId="70" hidden="1">#REF!</definedName>
    <definedName name="BLPH18" localSheetId="71" hidden="1">#REF!</definedName>
    <definedName name="BLPH18" localSheetId="73" hidden="1">#REF!</definedName>
    <definedName name="BLPH18" localSheetId="75" hidden="1">#REF!</definedName>
    <definedName name="BLPH18" localSheetId="76" hidden="1">#REF!</definedName>
    <definedName name="BLPH18" localSheetId="13" hidden="1">#REF!</definedName>
    <definedName name="BLPH18" localSheetId="12" hidden="1">#REF!</definedName>
    <definedName name="BLPH18" localSheetId="4" hidden="1">#REF!</definedName>
    <definedName name="BLPH18" hidden="1">#REF!</definedName>
    <definedName name="BLPH180" localSheetId="14" hidden="1">#REF!</definedName>
    <definedName name="BLPH180" localSheetId="19" hidden="1">#REF!</definedName>
    <definedName name="BLPH180" localSheetId="23" hidden="1">#REF!</definedName>
    <definedName name="BLPH180" localSheetId="31" hidden="1">#REF!</definedName>
    <definedName name="BLPH180" localSheetId="36" hidden="1">#REF!</definedName>
    <definedName name="BLPH180" localSheetId="37" hidden="1">#REF!</definedName>
    <definedName name="BLPH180" localSheetId="38" hidden="1">#REF!</definedName>
    <definedName name="BLPH180" localSheetId="45" hidden="1">#REF!</definedName>
    <definedName name="BLPH180" localSheetId="46" hidden="1">#REF!</definedName>
    <definedName name="BLPH180" localSheetId="48" hidden="1">#REF!</definedName>
    <definedName name="BLPH180" localSheetId="49" hidden="1">#REF!</definedName>
    <definedName name="BLPH180" localSheetId="50" hidden="1">#REF!</definedName>
    <definedName name="BLPH180" localSheetId="51" hidden="1">#REF!</definedName>
    <definedName name="BLPH180" localSheetId="52" hidden="1">#REF!</definedName>
    <definedName name="BLPH180" localSheetId="54" hidden="1">#REF!</definedName>
    <definedName name="BLPH180" localSheetId="55" hidden="1">#REF!</definedName>
    <definedName name="BLPH180" localSheetId="56" hidden="1">#REF!</definedName>
    <definedName name="BLPH180" localSheetId="57" hidden="1">#REF!</definedName>
    <definedName name="BLPH180" localSheetId="58" hidden="1">#REF!</definedName>
    <definedName name="BLPH180" localSheetId="70" hidden="1">#REF!</definedName>
    <definedName name="BLPH180" localSheetId="71" hidden="1">#REF!</definedName>
    <definedName name="BLPH180" localSheetId="73" hidden="1">#REF!</definedName>
    <definedName name="BLPH180" localSheetId="75" hidden="1">#REF!</definedName>
    <definedName name="BLPH180" localSheetId="76" hidden="1">#REF!</definedName>
    <definedName name="BLPH180" localSheetId="13" hidden="1">#REF!</definedName>
    <definedName name="BLPH180" localSheetId="12" hidden="1">#REF!</definedName>
    <definedName name="BLPH180" localSheetId="4" hidden="1">#REF!</definedName>
    <definedName name="BLPH180" hidden="1">#REF!</definedName>
    <definedName name="BLPH181" localSheetId="14" hidden="1">#REF!</definedName>
    <definedName name="BLPH181" localSheetId="19" hidden="1">#REF!</definedName>
    <definedName name="BLPH181" localSheetId="23" hidden="1">#REF!</definedName>
    <definedName name="BLPH181" localSheetId="31" hidden="1">#REF!</definedName>
    <definedName name="BLPH181" localSheetId="36" hidden="1">#REF!</definedName>
    <definedName name="BLPH181" localSheetId="37" hidden="1">#REF!</definedName>
    <definedName name="BLPH181" localSheetId="38" hidden="1">#REF!</definedName>
    <definedName name="BLPH181" localSheetId="45" hidden="1">#REF!</definedName>
    <definedName name="BLPH181" localSheetId="46" hidden="1">#REF!</definedName>
    <definedName name="BLPH181" localSheetId="48" hidden="1">#REF!</definedName>
    <definedName name="BLPH181" localSheetId="49" hidden="1">#REF!</definedName>
    <definedName name="BLPH181" localSheetId="50" hidden="1">#REF!</definedName>
    <definedName name="BLPH181" localSheetId="51" hidden="1">#REF!</definedName>
    <definedName name="BLPH181" localSheetId="52" hidden="1">#REF!</definedName>
    <definedName name="BLPH181" localSheetId="54" hidden="1">#REF!</definedName>
    <definedName name="BLPH181" localSheetId="55" hidden="1">#REF!</definedName>
    <definedName name="BLPH181" localSheetId="56" hidden="1">#REF!</definedName>
    <definedName name="BLPH181" localSheetId="57" hidden="1">#REF!</definedName>
    <definedName name="BLPH181" localSheetId="58" hidden="1">#REF!</definedName>
    <definedName name="BLPH181" localSheetId="70" hidden="1">#REF!</definedName>
    <definedName name="BLPH181" localSheetId="71" hidden="1">#REF!</definedName>
    <definedName name="BLPH181" localSheetId="73" hidden="1">#REF!</definedName>
    <definedName name="BLPH181" localSheetId="75" hidden="1">#REF!</definedName>
    <definedName name="BLPH181" localSheetId="76" hidden="1">#REF!</definedName>
    <definedName name="BLPH181" localSheetId="13" hidden="1">#REF!</definedName>
    <definedName name="BLPH181" localSheetId="12" hidden="1">#REF!</definedName>
    <definedName name="BLPH181" localSheetId="4" hidden="1">#REF!</definedName>
    <definedName name="BLPH181" hidden="1">#REF!</definedName>
    <definedName name="BLPH182" localSheetId="14" hidden="1">#REF!</definedName>
    <definedName name="BLPH182" localSheetId="19" hidden="1">#REF!</definedName>
    <definedName name="BLPH182" localSheetId="23" hidden="1">#REF!</definedName>
    <definedName name="BLPH182" localSheetId="31" hidden="1">#REF!</definedName>
    <definedName name="BLPH182" localSheetId="36" hidden="1">#REF!</definedName>
    <definedName name="BLPH182" localSheetId="37" hidden="1">#REF!</definedName>
    <definedName name="BLPH182" localSheetId="38" hidden="1">#REF!</definedName>
    <definedName name="BLPH182" localSheetId="45" hidden="1">#REF!</definedName>
    <definedName name="BLPH182" localSheetId="46" hidden="1">#REF!</definedName>
    <definedName name="BLPH182" localSheetId="48" hidden="1">#REF!</definedName>
    <definedName name="BLPH182" localSheetId="49" hidden="1">#REF!</definedName>
    <definedName name="BLPH182" localSheetId="50" hidden="1">#REF!</definedName>
    <definedName name="BLPH182" localSheetId="51" hidden="1">#REF!</definedName>
    <definedName name="BLPH182" localSheetId="52" hidden="1">#REF!</definedName>
    <definedName name="BLPH182" localSheetId="54" hidden="1">#REF!</definedName>
    <definedName name="BLPH182" localSheetId="55" hidden="1">#REF!</definedName>
    <definedName name="BLPH182" localSheetId="56" hidden="1">#REF!</definedName>
    <definedName name="BLPH182" localSheetId="57" hidden="1">#REF!</definedName>
    <definedName name="BLPH182" localSheetId="58" hidden="1">#REF!</definedName>
    <definedName name="BLPH182" localSheetId="70" hidden="1">#REF!</definedName>
    <definedName name="BLPH182" localSheetId="71" hidden="1">#REF!</definedName>
    <definedName name="BLPH182" localSheetId="73" hidden="1">#REF!</definedName>
    <definedName name="BLPH182" localSheetId="75" hidden="1">#REF!</definedName>
    <definedName name="BLPH182" localSheetId="76" hidden="1">#REF!</definedName>
    <definedName name="BLPH182" localSheetId="13" hidden="1">#REF!</definedName>
    <definedName name="BLPH182" localSheetId="12" hidden="1">#REF!</definedName>
    <definedName name="BLPH182" localSheetId="4" hidden="1">#REF!</definedName>
    <definedName name="BLPH182" hidden="1">#REF!</definedName>
    <definedName name="BLPH183" localSheetId="14" hidden="1">#REF!</definedName>
    <definedName name="BLPH183" localSheetId="19" hidden="1">#REF!</definedName>
    <definedName name="BLPH183" localSheetId="23" hidden="1">#REF!</definedName>
    <definedName name="BLPH183" localSheetId="31" hidden="1">#REF!</definedName>
    <definedName name="BLPH183" localSheetId="36" hidden="1">#REF!</definedName>
    <definedName name="BLPH183" localSheetId="37" hidden="1">#REF!</definedName>
    <definedName name="BLPH183" localSheetId="38" hidden="1">#REF!</definedName>
    <definedName name="BLPH183" localSheetId="45" hidden="1">#REF!</definedName>
    <definedName name="BLPH183" localSheetId="46" hidden="1">#REF!</definedName>
    <definedName name="BLPH183" localSheetId="48" hidden="1">#REF!</definedName>
    <definedName name="BLPH183" localSheetId="49" hidden="1">#REF!</definedName>
    <definedName name="BLPH183" localSheetId="50" hidden="1">#REF!</definedName>
    <definedName name="BLPH183" localSheetId="51" hidden="1">#REF!</definedName>
    <definedName name="BLPH183" localSheetId="52" hidden="1">#REF!</definedName>
    <definedName name="BLPH183" localSheetId="54" hidden="1">#REF!</definedName>
    <definedName name="BLPH183" localSheetId="55" hidden="1">#REF!</definedName>
    <definedName name="BLPH183" localSheetId="56" hidden="1">#REF!</definedName>
    <definedName name="BLPH183" localSheetId="57" hidden="1">#REF!</definedName>
    <definedName name="BLPH183" localSheetId="58" hidden="1">#REF!</definedName>
    <definedName name="BLPH183" localSheetId="70" hidden="1">#REF!</definedName>
    <definedName name="BLPH183" localSheetId="71" hidden="1">#REF!</definedName>
    <definedName name="BLPH183" localSheetId="73" hidden="1">#REF!</definedName>
    <definedName name="BLPH183" localSheetId="75" hidden="1">#REF!</definedName>
    <definedName name="BLPH183" localSheetId="76" hidden="1">#REF!</definedName>
    <definedName name="BLPH183" localSheetId="13" hidden="1">#REF!</definedName>
    <definedName name="BLPH183" localSheetId="12" hidden="1">#REF!</definedName>
    <definedName name="BLPH183" localSheetId="4" hidden="1">#REF!</definedName>
    <definedName name="BLPH183" hidden="1">#REF!</definedName>
    <definedName name="BLPH184" localSheetId="14" hidden="1">#REF!</definedName>
    <definedName name="BLPH184" localSheetId="19" hidden="1">#REF!</definedName>
    <definedName name="BLPH184" localSheetId="23" hidden="1">#REF!</definedName>
    <definedName name="BLPH184" localSheetId="31" hidden="1">#REF!</definedName>
    <definedName name="BLPH184" localSheetId="36" hidden="1">#REF!</definedName>
    <definedName name="BLPH184" localSheetId="37" hidden="1">#REF!</definedName>
    <definedName name="BLPH184" localSheetId="38" hidden="1">#REF!</definedName>
    <definedName name="BLPH184" localSheetId="45" hidden="1">#REF!</definedName>
    <definedName name="BLPH184" localSheetId="46" hidden="1">#REF!</definedName>
    <definedName name="BLPH184" localSheetId="48" hidden="1">#REF!</definedName>
    <definedName name="BLPH184" localSheetId="49" hidden="1">#REF!</definedName>
    <definedName name="BLPH184" localSheetId="50" hidden="1">#REF!</definedName>
    <definedName name="BLPH184" localSheetId="51" hidden="1">#REF!</definedName>
    <definedName name="BLPH184" localSheetId="52" hidden="1">#REF!</definedName>
    <definedName name="BLPH184" localSheetId="54" hidden="1">#REF!</definedName>
    <definedName name="BLPH184" localSheetId="55" hidden="1">#REF!</definedName>
    <definedName name="BLPH184" localSheetId="56" hidden="1">#REF!</definedName>
    <definedName name="BLPH184" localSheetId="57" hidden="1">#REF!</definedName>
    <definedName name="BLPH184" localSheetId="58" hidden="1">#REF!</definedName>
    <definedName name="BLPH184" localSheetId="70" hidden="1">#REF!</definedName>
    <definedName name="BLPH184" localSheetId="71" hidden="1">#REF!</definedName>
    <definedName name="BLPH184" localSheetId="73" hidden="1">#REF!</definedName>
    <definedName name="BLPH184" localSheetId="75" hidden="1">#REF!</definedName>
    <definedName name="BLPH184" localSheetId="76" hidden="1">#REF!</definedName>
    <definedName name="BLPH184" localSheetId="13" hidden="1">#REF!</definedName>
    <definedName name="BLPH184" localSheetId="12" hidden="1">#REF!</definedName>
    <definedName name="BLPH184" localSheetId="4" hidden="1">#REF!</definedName>
    <definedName name="BLPH184" hidden="1">#REF!</definedName>
    <definedName name="BLPH185" localSheetId="14" hidden="1">#REF!</definedName>
    <definedName name="BLPH185" localSheetId="19" hidden="1">#REF!</definedName>
    <definedName name="BLPH185" localSheetId="23" hidden="1">#REF!</definedName>
    <definedName name="BLPH185" localSheetId="31" hidden="1">#REF!</definedName>
    <definedName name="BLPH185" localSheetId="36" hidden="1">#REF!</definedName>
    <definedName name="BLPH185" localSheetId="37" hidden="1">#REF!</definedName>
    <definedName name="BLPH185" localSheetId="38" hidden="1">#REF!</definedName>
    <definedName name="BLPH185" localSheetId="45" hidden="1">#REF!</definedName>
    <definedName name="BLPH185" localSheetId="46" hidden="1">#REF!</definedName>
    <definedName name="BLPH185" localSheetId="48" hidden="1">#REF!</definedName>
    <definedName name="BLPH185" localSheetId="49" hidden="1">#REF!</definedName>
    <definedName name="BLPH185" localSheetId="50" hidden="1">#REF!</definedName>
    <definedName name="BLPH185" localSheetId="51" hidden="1">#REF!</definedName>
    <definedName name="BLPH185" localSheetId="52" hidden="1">#REF!</definedName>
    <definedName name="BLPH185" localSheetId="54" hidden="1">#REF!</definedName>
    <definedName name="BLPH185" localSheetId="55" hidden="1">#REF!</definedName>
    <definedName name="BLPH185" localSheetId="56" hidden="1">#REF!</definedName>
    <definedName name="BLPH185" localSheetId="57" hidden="1">#REF!</definedName>
    <definedName name="BLPH185" localSheetId="58" hidden="1">#REF!</definedName>
    <definedName name="BLPH185" localSheetId="70" hidden="1">#REF!</definedName>
    <definedName name="BLPH185" localSheetId="71" hidden="1">#REF!</definedName>
    <definedName name="BLPH185" localSheetId="73" hidden="1">#REF!</definedName>
    <definedName name="BLPH185" localSheetId="75" hidden="1">#REF!</definedName>
    <definedName name="BLPH185" localSheetId="76" hidden="1">#REF!</definedName>
    <definedName name="BLPH185" localSheetId="13" hidden="1">#REF!</definedName>
    <definedName name="BLPH185" localSheetId="12" hidden="1">#REF!</definedName>
    <definedName name="BLPH185" localSheetId="4" hidden="1">#REF!</definedName>
    <definedName name="BLPH185" hidden="1">#REF!</definedName>
    <definedName name="BLPH186" localSheetId="14" hidden="1">#REF!</definedName>
    <definedName name="BLPH186" localSheetId="19" hidden="1">#REF!</definedName>
    <definedName name="BLPH186" localSheetId="23" hidden="1">#REF!</definedName>
    <definedName name="BLPH186" localSheetId="31" hidden="1">#REF!</definedName>
    <definedName name="BLPH186" localSheetId="36" hidden="1">#REF!</definedName>
    <definedName name="BLPH186" localSheetId="37" hidden="1">#REF!</definedName>
    <definedName name="BLPH186" localSheetId="38" hidden="1">#REF!</definedName>
    <definedName name="BLPH186" localSheetId="45" hidden="1">#REF!</definedName>
    <definedName name="BLPH186" localSheetId="46" hidden="1">#REF!</definedName>
    <definedName name="BLPH186" localSheetId="48" hidden="1">#REF!</definedName>
    <definedName name="BLPH186" localSheetId="49" hidden="1">#REF!</definedName>
    <definedName name="BLPH186" localSheetId="50" hidden="1">#REF!</definedName>
    <definedName name="BLPH186" localSheetId="51" hidden="1">#REF!</definedName>
    <definedName name="BLPH186" localSheetId="52" hidden="1">#REF!</definedName>
    <definedName name="BLPH186" localSheetId="54" hidden="1">#REF!</definedName>
    <definedName name="BLPH186" localSheetId="55" hidden="1">#REF!</definedName>
    <definedName name="BLPH186" localSheetId="56" hidden="1">#REF!</definedName>
    <definedName name="BLPH186" localSheetId="57" hidden="1">#REF!</definedName>
    <definedName name="BLPH186" localSheetId="58" hidden="1">#REF!</definedName>
    <definedName name="BLPH186" localSheetId="70" hidden="1">#REF!</definedName>
    <definedName name="BLPH186" localSheetId="71" hidden="1">#REF!</definedName>
    <definedName name="BLPH186" localSheetId="73" hidden="1">#REF!</definedName>
    <definedName name="BLPH186" localSheetId="75" hidden="1">#REF!</definedName>
    <definedName name="BLPH186" localSheetId="76" hidden="1">#REF!</definedName>
    <definedName name="BLPH186" localSheetId="13" hidden="1">#REF!</definedName>
    <definedName name="BLPH186" localSheetId="12" hidden="1">#REF!</definedName>
    <definedName name="BLPH186" localSheetId="4" hidden="1">#REF!</definedName>
    <definedName name="BLPH186" hidden="1">#REF!</definedName>
    <definedName name="BLPH187" localSheetId="14" hidden="1">#REF!</definedName>
    <definedName name="BLPH187" localSheetId="19" hidden="1">#REF!</definedName>
    <definedName name="BLPH187" localSheetId="23" hidden="1">#REF!</definedName>
    <definedName name="BLPH187" localSheetId="31" hidden="1">#REF!</definedName>
    <definedName name="BLPH187" localSheetId="36" hidden="1">#REF!</definedName>
    <definedName name="BLPH187" localSheetId="37" hidden="1">#REF!</definedName>
    <definedName name="BLPH187" localSheetId="38" hidden="1">#REF!</definedName>
    <definedName name="BLPH187" localSheetId="45" hidden="1">#REF!</definedName>
    <definedName name="BLPH187" localSheetId="46" hidden="1">#REF!</definedName>
    <definedName name="BLPH187" localSheetId="48" hidden="1">#REF!</definedName>
    <definedName name="BLPH187" localSheetId="49" hidden="1">#REF!</definedName>
    <definedName name="BLPH187" localSheetId="50" hidden="1">#REF!</definedName>
    <definedName name="BLPH187" localSheetId="51" hidden="1">#REF!</definedName>
    <definedName name="BLPH187" localSheetId="52" hidden="1">#REF!</definedName>
    <definedName name="BLPH187" localSheetId="54" hidden="1">#REF!</definedName>
    <definedName name="BLPH187" localSheetId="55" hidden="1">#REF!</definedName>
    <definedName name="BLPH187" localSheetId="56" hidden="1">#REF!</definedName>
    <definedName name="BLPH187" localSheetId="57" hidden="1">#REF!</definedName>
    <definedName name="BLPH187" localSheetId="58" hidden="1">#REF!</definedName>
    <definedName name="BLPH187" localSheetId="70" hidden="1">#REF!</definedName>
    <definedName name="BLPH187" localSheetId="71" hidden="1">#REF!</definedName>
    <definedName name="BLPH187" localSheetId="73" hidden="1">#REF!</definedName>
    <definedName name="BLPH187" localSheetId="75" hidden="1">#REF!</definedName>
    <definedName name="BLPH187" localSheetId="76" hidden="1">#REF!</definedName>
    <definedName name="BLPH187" localSheetId="13" hidden="1">#REF!</definedName>
    <definedName name="BLPH187" localSheetId="12" hidden="1">#REF!</definedName>
    <definedName name="BLPH187" localSheetId="4" hidden="1">#REF!</definedName>
    <definedName name="BLPH187" hidden="1">#REF!</definedName>
    <definedName name="BLPH188" localSheetId="14" hidden="1">#REF!</definedName>
    <definedName name="BLPH188" localSheetId="19" hidden="1">#REF!</definedName>
    <definedName name="BLPH188" localSheetId="23" hidden="1">#REF!</definedName>
    <definedName name="BLPH188" localSheetId="31" hidden="1">#REF!</definedName>
    <definedName name="BLPH188" localSheetId="36" hidden="1">#REF!</definedName>
    <definedName name="BLPH188" localSheetId="37" hidden="1">#REF!</definedName>
    <definedName name="BLPH188" localSheetId="38" hidden="1">#REF!</definedName>
    <definedName name="BLPH188" localSheetId="45" hidden="1">#REF!</definedName>
    <definedName name="BLPH188" localSheetId="46" hidden="1">#REF!</definedName>
    <definedName name="BLPH188" localSheetId="48" hidden="1">#REF!</definedName>
    <definedName name="BLPH188" localSheetId="49" hidden="1">#REF!</definedName>
    <definedName name="BLPH188" localSheetId="50" hidden="1">#REF!</definedName>
    <definedName name="BLPH188" localSheetId="51" hidden="1">#REF!</definedName>
    <definedName name="BLPH188" localSheetId="52" hidden="1">#REF!</definedName>
    <definedName name="BLPH188" localSheetId="54" hidden="1">#REF!</definedName>
    <definedName name="BLPH188" localSheetId="55" hidden="1">#REF!</definedName>
    <definedName name="BLPH188" localSheetId="56" hidden="1">#REF!</definedName>
    <definedName name="BLPH188" localSheetId="57" hidden="1">#REF!</definedName>
    <definedName name="BLPH188" localSheetId="58" hidden="1">#REF!</definedName>
    <definedName name="BLPH188" localSheetId="70" hidden="1">#REF!</definedName>
    <definedName name="BLPH188" localSheetId="71" hidden="1">#REF!</definedName>
    <definedName name="BLPH188" localSheetId="73" hidden="1">#REF!</definedName>
    <definedName name="BLPH188" localSheetId="75" hidden="1">#REF!</definedName>
    <definedName name="BLPH188" localSheetId="76" hidden="1">#REF!</definedName>
    <definedName name="BLPH188" localSheetId="13" hidden="1">#REF!</definedName>
    <definedName name="BLPH188" localSheetId="12" hidden="1">#REF!</definedName>
    <definedName name="BLPH188" localSheetId="4" hidden="1">#REF!</definedName>
    <definedName name="BLPH188" hidden="1">#REF!</definedName>
    <definedName name="BLPH189" localSheetId="14" hidden="1">#REF!</definedName>
    <definedName name="BLPH189" localSheetId="19" hidden="1">#REF!</definedName>
    <definedName name="BLPH189" localSheetId="23" hidden="1">#REF!</definedName>
    <definedName name="BLPH189" localSheetId="31" hidden="1">#REF!</definedName>
    <definedName name="BLPH189" localSheetId="36" hidden="1">#REF!</definedName>
    <definedName name="BLPH189" localSheetId="37" hidden="1">#REF!</definedName>
    <definedName name="BLPH189" localSheetId="38" hidden="1">#REF!</definedName>
    <definedName name="BLPH189" localSheetId="45" hidden="1">#REF!</definedName>
    <definedName name="BLPH189" localSheetId="46" hidden="1">#REF!</definedName>
    <definedName name="BLPH189" localSheetId="48" hidden="1">#REF!</definedName>
    <definedName name="BLPH189" localSheetId="49" hidden="1">#REF!</definedName>
    <definedName name="BLPH189" localSheetId="50" hidden="1">#REF!</definedName>
    <definedName name="BLPH189" localSheetId="51" hidden="1">#REF!</definedName>
    <definedName name="BLPH189" localSheetId="52" hidden="1">#REF!</definedName>
    <definedName name="BLPH189" localSheetId="54" hidden="1">#REF!</definedName>
    <definedName name="BLPH189" localSheetId="55" hidden="1">#REF!</definedName>
    <definedName name="BLPH189" localSheetId="56" hidden="1">#REF!</definedName>
    <definedName name="BLPH189" localSheetId="57" hidden="1">#REF!</definedName>
    <definedName name="BLPH189" localSheetId="58" hidden="1">#REF!</definedName>
    <definedName name="BLPH189" localSheetId="70" hidden="1">#REF!</definedName>
    <definedName name="BLPH189" localSheetId="71" hidden="1">#REF!</definedName>
    <definedName name="BLPH189" localSheetId="73" hidden="1">#REF!</definedName>
    <definedName name="BLPH189" localSheetId="75" hidden="1">#REF!</definedName>
    <definedName name="BLPH189" localSheetId="76" hidden="1">#REF!</definedName>
    <definedName name="BLPH189" localSheetId="13" hidden="1">#REF!</definedName>
    <definedName name="BLPH189" localSheetId="12" hidden="1">#REF!</definedName>
    <definedName name="BLPH189" localSheetId="4" hidden="1">#REF!</definedName>
    <definedName name="BLPH189" hidden="1">#REF!</definedName>
    <definedName name="BLPH19" localSheetId="14" hidden="1">#REF!</definedName>
    <definedName name="BLPH19" localSheetId="19" hidden="1">#REF!</definedName>
    <definedName name="BLPH19" localSheetId="23" hidden="1">#REF!</definedName>
    <definedName name="BLPH19" localSheetId="31" hidden="1">#REF!</definedName>
    <definedName name="BLPH19" localSheetId="36" hidden="1">#REF!</definedName>
    <definedName name="BLPH19" localSheetId="37" hidden="1">#REF!</definedName>
    <definedName name="BLPH19" localSheetId="38" hidden="1">#REF!</definedName>
    <definedName name="BLPH19" localSheetId="45" hidden="1">#REF!</definedName>
    <definedName name="BLPH19" localSheetId="46" hidden="1">#REF!</definedName>
    <definedName name="BLPH19" localSheetId="48" hidden="1">#REF!</definedName>
    <definedName name="BLPH19" localSheetId="49" hidden="1">#REF!</definedName>
    <definedName name="BLPH19" localSheetId="50" hidden="1">#REF!</definedName>
    <definedName name="BLPH19" localSheetId="51" hidden="1">#REF!</definedName>
    <definedName name="BLPH19" localSheetId="52" hidden="1">#REF!</definedName>
    <definedName name="BLPH19" localSheetId="54" hidden="1">#REF!</definedName>
    <definedName name="BLPH19" localSheetId="55" hidden="1">#REF!</definedName>
    <definedName name="BLPH19" localSheetId="56" hidden="1">#REF!</definedName>
    <definedName name="BLPH19" localSheetId="57" hidden="1">#REF!</definedName>
    <definedName name="BLPH19" localSheetId="58" hidden="1">#REF!</definedName>
    <definedName name="BLPH19" localSheetId="70" hidden="1">#REF!</definedName>
    <definedName name="BLPH19" localSheetId="71" hidden="1">#REF!</definedName>
    <definedName name="BLPH19" localSheetId="73" hidden="1">#REF!</definedName>
    <definedName name="BLPH19" localSheetId="75" hidden="1">#REF!</definedName>
    <definedName name="BLPH19" localSheetId="76" hidden="1">#REF!</definedName>
    <definedName name="BLPH19" localSheetId="13" hidden="1">#REF!</definedName>
    <definedName name="BLPH19" localSheetId="12" hidden="1">#REF!</definedName>
    <definedName name="BLPH19" localSheetId="4" hidden="1">#REF!</definedName>
    <definedName name="BLPH19" hidden="1">#REF!</definedName>
    <definedName name="BLPH190" localSheetId="14" hidden="1">#REF!</definedName>
    <definedName name="BLPH190" localSheetId="19" hidden="1">#REF!</definedName>
    <definedName name="BLPH190" localSheetId="23" hidden="1">#REF!</definedName>
    <definedName name="BLPH190" localSheetId="31" hidden="1">#REF!</definedName>
    <definedName name="BLPH190" localSheetId="36" hidden="1">#REF!</definedName>
    <definedName name="BLPH190" localSheetId="37" hidden="1">#REF!</definedName>
    <definedName name="BLPH190" localSheetId="38" hidden="1">#REF!</definedName>
    <definedName name="BLPH190" localSheetId="45" hidden="1">#REF!</definedName>
    <definedName name="BLPH190" localSheetId="46" hidden="1">#REF!</definedName>
    <definedName name="BLPH190" localSheetId="48" hidden="1">#REF!</definedName>
    <definedName name="BLPH190" localSheetId="49" hidden="1">#REF!</definedName>
    <definedName name="BLPH190" localSheetId="50" hidden="1">#REF!</definedName>
    <definedName name="BLPH190" localSheetId="51" hidden="1">#REF!</definedName>
    <definedName name="BLPH190" localSheetId="52" hidden="1">#REF!</definedName>
    <definedName name="BLPH190" localSheetId="54" hidden="1">#REF!</definedName>
    <definedName name="BLPH190" localSheetId="55" hidden="1">#REF!</definedName>
    <definedName name="BLPH190" localSheetId="56" hidden="1">#REF!</definedName>
    <definedName name="BLPH190" localSheetId="57" hidden="1">#REF!</definedName>
    <definedName name="BLPH190" localSheetId="58" hidden="1">#REF!</definedName>
    <definedName name="BLPH190" localSheetId="70" hidden="1">#REF!</definedName>
    <definedName name="BLPH190" localSheetId="71" hidden="1">#REF!</definedName>
    <definedName name="BLPH190" localSheetId="73" hidden="1">#REF!</definedName>
    <definedName name="BLPH190" localSheetId="75" hidden="1">#REF!</definedName>
    <definedName name="BLPH190" localSheetId="76" hidden="1">#REF!</definedName>
    <definedName name="BLPH190" localSheetId="13" hidden="1">#REF!</definedName>
    <definedName name="BLPH190" localSheetId="12" hidden="1">#REF!</definedName>
    <definedName name="BLPH190" localSheetId="4" hidden="1">#REF!</definedName>
    <definedName name="BLPH190" hidden="1">#REF!</definedName>
    <definedName name="BLPH191" localSheetId="14" hidden="1">#REF!</definedName>
    <definedName name="BLPH191" localSheetId="19" hidden="1">#REF!</definedName>
    <definedName name="BLPH191" localSheetId="23" hidden="1">#REF!</definedName>
    <definedName name="BLPH191" localSheetId="31" hidden="1">#REF!</definedName>
    <definedName name="BLPH191" localSheetId="36" hidden="1">#REF!</definedName>
    <definedName name="BLPH191" localSheetId="37" hidden="1">#REF!</definedName>
    <definedName name="BLPH191" localSheetId="38" hidden="1">#REF!</definedName>
    <definedName name="BLPH191" localSheetId="45" hidden="1">#REF!</definedName>
    <definedName name="BLPH191" localSheetId="46" hidden="1">#REF!</definedName>
    <definedName name="BLPH191" localSheetId="48" hidden="1">#REF!</definedName>
    <definedName name="BLPH191" localSheetId="49" hidden="1">#REF!</definedName>
    <definedName name="BLPH191" localSheetId="50" hidden="1">#REF!</definedName>
    <definedName name="BLPH191" localSheetId="51" hidden="1">#REF!</definedName>
    <definedName name="BLPH191" localSheetId="52" hidden="1">#REF!</definedName>
    <definedName name="BLPH191" localSheetId="54" hidden="1">#REF!</definedName>
    <definedName name="BLPH191" localSheetId="55" hidden="1">#REF!</definedName>
    <definedName name="BLPH191" localSheetId="56" hidden="1">#REF!</definedName>
    <definedName name="BLPH191" localSheetId="57" hidden="1">#REF!</definedName>
    <definedName name="BLPH191" localSheetId="58" hidden="1">#REF!</definedName>
    <definedName name="BLPH191" localSheetId="70" hidden="1">#REF!</definedName>
    <definedName name="BLPH191" localSheetId="71" hidden="1">#REF!</definedName>
    <definedName name="BLPH191" localSheetId="73" hidden="1">#REF!</definedName>
    <definedName name="BLPH191" localSheetId="75" hidden="1">#REF!</definedName>
    <definedName name="BLPH191" localSheetId="76" hidden="1">#REF!</definedName>
    <definedName name="BLPH191" localSheetId="13" hidden="1">#REF!</definedName>
    <definedName name="BLPH191" localSheetId="12" hidden="1">#REF!</definedName>
    <definedName name="BLPH191" localSheetId="4" hidden="1">#REF!</definedName>
    <definedName name="BLPH191" hidden="1">#REF!</definedName>
    <definedName name="BLPH192" localSheetId="14" hidden="1">#REF!</definedName>
    <definedName name="BLPH192" localSheetId="19" hidden="1">#REF!</definedName>
    <definedName name="BLPH192" localSheetId="23" hidden="1">#REF!</definedName>
    <definedName name="BLPH192" localSheetId="31" hidden="1">#REF!</definedName>
    <definedName name="BLPH192" localSheetId="36" hidden="1">#REF!</definedName>
    <definedName name="BLPH192" localSheetId="37" hidden="1">#REF!</definedName>
    <definedName name="BLPH192" localSheetId="38" hidden="1">#REF!</definedName>
    <definedName name="BLPH192" localSheetId="45" hidden="1">#REF!</definedName>
    <definedName name="BLPH192" localSheetId="46" hidden="1">#REF!</definedName>
    <definedName name="BLPH192" localSheetId="48" hidden="1">#REF!</definedName>
    <definedName name="BLPH192" localSheetId="49" hidden="1">#REF!</definedName>
    <definedName name="BLPH192" localSheetId="50" hidden="1">#REF!</definedName>
    <definedName name="BLPH192" localSheetId="51" hidden="1">#REF!</definedName>
    <definedName name="BLPH192" localSheetId="52" hidden="1">#REF!</definedName>
    <definedName name="BLPH192" localSheetId="54" hidden="1">#REF!</definedName>
    <definedName name="BLPH192" localSheetId="55" hidden="1">#REF!</definedName>
    <definedName name="BLPH192" localSheetId="56" hidden="1">#REF!</definedName>
    <definedName name="BLPH192" localSheetId="57" hidden="1">#REF!</definedName>
    <definedName name="BLPH192" localSheetId="58" hidden="1">#REF!</definedName>
    <definedName name="BLPH192" localSheetId="70" hidden="1">#REF!</definedName>
    <definedName name="BLPH192" localSheetId="71" hidden="1">#REF!</definedName>
    <definedName name="BLPH192" localSheetId="73" hidden="1">#REF!</definedName>
    <definedName name="BLPH192" localSheetId="75" hidden="1">#REF!</definedName>
    <definedName name="BLPH192" localSheetId="76" hidden="1">#REF!</definedName>
    <definedName name="BLPH192" localSheetId="13" hidden="1">#REF!</definedName>
    <definedName name="BLPH192" localSheetId="12" hidden="1">#REF!</definedName>
    <definedName name="BLPH192" localSheetId="4" hidden="1">#REF!</definedName>
    <definedName name="BLPH192" hidden="1">#REF!</definedName>
    <definedName name="BLPH193" localSheetId="14" hidden="1">#REF!</definedName>
    <definedName name="BLPH193" localSheetId="19" hidden="1">#REF!</definedName>
    <definedName name="BLPH193" localSheetId="23" hidden="1">#REF!</definedName>
    <definedName name="BLPH193" localSheetId="31" hidden="1">#REF!</definedName>
    <definedName name="BLPH193" localSheetId="36" hidden="1">#REF!</definedName>
    <definedName name="BLPH193" localSheetId="37" hidden="1">#REF!</definedName>
    <definedName name="BLPH193" localSheetId="38" hidden="1">#REF!</definedName>
    <definedName name="BLPH193" localSheetId="45" hidden="1">#REF!</definedName>
    <definedName name="BLPH193" localSheetId="46" hidden="1">#REF!</definedName>
    <definedName name="BLPH193" localSheetId="48" hidden="1">#REF!</definedName>
    <definedName name="BLPH193" localSheetId="49" hidden="1">#REF!</definedName>
    <definedName name="BLPH193" localSheetId="50" hidden="1">#REF!</definedName>
    <definedName name="BLPH193" localSheetId="51" hidden="1">#REF!</definedName>
    <definedName name="BLPH193" localSheetId="52" hidden="1">#REF!</definedName>
    <definedName name="BLPH193" localSheetId="54" hidden="1">#REF!</definedName>
    <definedName name="BLPH193" localSheetId="55" hidden="1">#REF!</definedName>
    <definedName name="BLPH193" localSheetId="56" hidden="1">#REF!</definedName>
    <definedName name="BLPH193" localSheetId="57" hidden="1">#REF!</definedName>
    <definedName name="BLPH193" localSheetId="58" hidden="1">#REF!</definedName>
    <definedName name="BLPH193" localSheetId="70" hidden="1">#REF!</definedName>
    <definedName name="BLPH193" localSheetId="71" hidden="1">#REF!</definedName>
    <definedName name="BLPH193" localSheetId="73" hidden="1">#REF!</definedName>
    <definedName name="BLPH193" localSheetId="75" hidden="1">#REF!</definedName>
    <definedName name="BLPH193" localSheetId="76" hidden="1">#REF!</definedName>
    <definedName name="BLPH193" localSheetId="13" hidden="1">#REF!</definedName>
    <definedName name="BLPH193" localSheetId="12" hidden="1">#REF!</definedName>
    <definedName name="BLPH193" localSheetId="4" hidden="1">#REF!</definedName>
    <definedName name="BLPH193" hidden="1">#REF!</definedName>
    <definedName name="BLPH194" localSheetId="14" hidden="1">#REF!</definedName>
    <definedName name="BLPH194" localSheetId="19" hidden="1">#REF!</definedName>
    <definedName name="BLPH194" localSheetId="23" hidden="1">#REF!</definedName>
    <definedName name="BLPH194" localSheetId="31" hidden="1">#REF!</definedName>
    <definedName name="BLPH194" localSheetId="36" hidden="1">#REF!</definedName>
    <definedName name="BLPH194" localSheetId="37" hidden="1">#REF!</definedName>
    <definedName name="BLPH194" localSheetId="38" hidden="1">#REF!</definedName>
    <definedName name="BLPH194" localSheetId="45" hidden="1">#REF!</definedName>
    <definedName name="BLPH194" localSheetId="46" hidden="1">#REF!</definedName>
    <definedName name="BLPH194" localSheetId="48" hidden="1">#REF!</definedName>
    <definedName name="BLPH194" localSheetId="49" hidden="1">#REF!</definedName>
    <definedName name="BLPH194" localSheetId="50" hidden="1">#REF!</definedName>
    <definedName name="BLPH194" localSheetId="51" hidden="1">#REF!</definedName>
    <definedName name="BLPH194" localSheetId="52" hidden="1">#REF!</definedName>
    <definedName name="BLPH194" localSheetId="54" hidden="1">#REF!</definedName>
    <definedName name="BLPH194" localSheetId="55" hidden="1">#REF!</definedName>
    <definedName name="BLPH194" localSheetId="56" hidden="1">#REF!</definedName>
    <definedName name="BLPH194" localSheetId="57" hidden="1">#REF!</definedName>
    <definedName name="BLPH194" localSheetId="58" hidden="1">#REF!</definedName>
    <definedName name="BLPH194" localSheetId="70" hidden="1">#REF!</definedName>
    <definedName name="BLPH194" localSheetId="71" hidden="1">#REF!</definedName>
    <definedName name="BLPH194" localSheetId="73" hidden="1">#REF!</definedName>
    <definedName name="BLPH194" localSheetId="75" hidden="1">#REF!</definedName>
    <definedName name="BLPH194" localSheetId="76" hidden="1">#REF!</definedName>
    <definedName name="BLPH194" localSheetId="13" hidden="1">#REF!</definedName>
    <definedName name="BLPH194" localSheetId="12" hidden="1">#REF!</definedName>
    <definedName name="BLPH194" localSheetId="4" hidden="1">#REF!</definedName>
    <definedName name="BLPH194" hidden="1">#REF!</definedName>
    <definedName name="BLPH195" localSheetId="14" hidden="1">#REF!</definedName>
    <definedName name="BLPH195" localSheetId="19" hidden="1">#REF!</definedName>
    <definedName name="BLPH195" localSheetId="23" hidden="1">#REF!</definedName>
    <definedName name="BLPH195" localSheetId="31" hidden="1">#REF!</definedName>
    <definedName name="BLPH195" localSheetId="36" hidden="1">#REF!</definedName>
    <definedName name="BLPH195" localSheetId="37" hidden="1">#REF!</definedName>
    <definedName name="BLPH195" localSheetId="38" hidden="1">#REF!</definedName>
    <definedName name="BLPH195" localSheetId="45" hidden="1">#REF!</definedName>
    <definedName name="BLPH195" localSheetId="46" hidden="1">#REF!</definedName>
    <definedName name="BLPH195" localSheetId="48" hidden="1">#REF!</definedName>
    <definedName name="BLPH195" localSheetId="49" hidden="1">#REF!</definedName>
    <definedName name="BLPH195" localSheetId="50" hidden="1">#REF!</definedName>
    <definedName name="BLPH195" localSheetId="51" hidden="1">#REF!</definedName>
    <definedName name="BLPH195" localSheetId="52" hidden="1">#REF!</definedName>
    <definedName name="BLPH195" localSheetId="54" hidden="1">#REF!</definedName>
    <definedName name="BLPH195" localSheetId="55" hidden="1">#REF!</definedName>
    <definedName name="BLPH195" localSheetId="56" hidden="1">#REF!</definedName>
    <definedName name="BLPH195" localSheetId="57" hidden="1">#REF!</definedName>
    <definedName name="BLPH195" localSheetId="58" hidden="1">#REF!</definedName>
    <definedName name="BLPH195" localSheetId="70" hidden="1">#REF!</definedName>
    <definedName name="BLPH195" localSheetId="71" hidden="1">#REF!</definedName>
    <definedName name="BLPH195" localSheetId="73" hidden="1">#REF!</definedName>
    <definedName name="BLPH195" localSheetId="75" hidden="1">#REF!</definedName>
    <definedName name="BLPH195" localSheetId="76" hidden="1">#REF!</definedName>
    <definedName name="BLPH195" localSheetId="13" hidden="1">#REF!</definedName>
    <definedName name="BLPH195" localSheetId="12" hidden="1">#REF!</definedName>
    <definedName name="BLPH195" localSheetId="4" hidden="1">#REF!</definedName>
    <definedName name="BLPH195" hidden="1">#REF!</definedName>
    <definedName name="BLPH196" localSheetId="14" hidden="1">#REF!</definedName>
    <definedName name="BLPH196" localSheetId="19" hidden="1">#REF!</definedName>
    <definedName name="BLPH196" localSheetId="23" hidden="1">#REF!</definedName>
    <definedName name="BLPH196" localSheetId="31" hidden="1">#REF!</definedName>
    <definedName name="BLPH196" localSheetId="36" hidden="1">#REF!</definedName>
    <definedName name="BLPH196" localSheetId="37" hidden="1">#REF!</definedName>
    <definedName name="BLPH196" localSheetId="38" hidden="1">#REF!</definedName>
    <definedName name="BLPH196" localSheetId="45" hidden="1">#REF!</definedName>
    <definedName name="BLPH196" localSheetId="46" hidden="1">#REF!</definedName>
    <definedName name="BLPH196" localSheetId="48" hidden="1">#REF!</definedName>
    <definedName name="BLPH196" localSheetId="49" hidden="1">#REF!</definedName>
    <definedName name="BLPH196" localSheetId="50" hidden="1">#REF!</definedName>
    <definedName name="BLPH196" localSheetId="51" hidden="1">#REF!</definedName>
    <definedName name="BLPH196" localSheetId="52" hidden="1">#REF!</definedName>
    <definedName name="BLPH196" localSheetId="54" hidden="1">#REF!</definedName>
    <definedName name="BLPH196" localSheetId="55" hidden="1">#REF!</definedName>
    <definedName name="BLPH196" localSheetId="56" hidden="1">#REF!</definedName>
    <definedName name="BLPH196" localSheetId="57" hidden="1">#REF!</definedName>
    <definedName name="BLPH196" localSheetId="58" hidden="1">#REF!</definedName>
    <definedName name="BLPH196" localSheetId="70" hidden="1">#REF!</definedName>
    <definedName name="BLPH196" localSheetId="71" hidden="1">#REF!</definedName>
    <definedName name="BLPH196" localSheetId="73" hidden="1">#REF!</definedName>
    <definedName name="BLPH196" localSheetId="75" hidden="1">#REF!</definedName>
    <definedName name="BLPH196" localSheetId="76" hidden="1">#REF!</definedName>
    <definedName name="BLPH196" localSheetId="13" hidden="1">#REF!</definedName>
    <definedName name="BLPH196" localSheetId="12" hidden="1">#REF!</definedName>
    <definedName name="BLPH196" localSheetId="4" hidden="1">#REF!</definedName>
    <definedName name="BLPH196" hidden="1">#REF!</definedName>
    <definedName name="BLPH197" localSheetId="14" hidden="1">#REF!</definedName>
    <definedName name="BLPH197" localSheetId="19" hidden="1">#REF!</definedName>
    <definedName name="BLPH197" localSheetId="23" hidden="1">#REF!</definedName>
    <definedName name="BLPH197" localSheetId="31" hidden="1">#REF!</definedName>
    <definedName name="BLPH197" localSheetId="36" hidden="1">#REF!</definedName>
    <definedName name="BLPH197" localSheetId="37" hidden="1">#REF!</definedName>
    <definedName name="BLPH197" localSheetId="38" hidden="1">#REF!</definedName>
    <definedName name="BLPH197" localSheetId="45" hidden="1">#REF!</definedName>
    <definedName name="BLPH197" localSheetId="46" hidden="1">#REF!</definedName>
    <definedName name="BLPH197" localSheetId="48" hidden="1">#REF!</definedName>
    <definedName name="BLPH197" localSheetId="49" hidden="1">#REF!</definedName>
    <definedName name="BLPH197" localSheetId="50" hidden="1">#REF!</definedName>
    <definedName name="BLPH197" localSheetId="51" hidden="1">#REF!</definedName>
    <definedName name="BLPH197" localSheetId="52" hidden="1">#REF!</definedName>
    <definedName name="BLPH197" localSheetId="54" hidden="1">#REF!</definedName>
    <definedName name="BLPH197" localSheetId="55" hidden="1">#REF!</definedName>
    <definedName name="BLPH197" localSheetId="56" hidden="1">#REF!</definedName>
    <definedName name="BLPH197" localSheetId="57" hidden="1">#REF!</definedName>
    <definedName name="BLPH197" localSheetId="58" hidden="1">#REF!</definedName>
    <definedName name="BLPH197" localSheetId="70" hidden="1">#REF!</definedName>
    <definedName name="BLPH197" localSheetId="71" hidden="1">#REF!</definedName>
    <definedName name="BLPH197" localSheetId="73" hidden="1">#REF!</definedName>
    <definedName name="BLPH197" localSheetId="75" hidden="1">#REF!</definedName>
    <definedName name="BLPH197" localSheetId="76" hidden="1">#REF!</definedName>
    <definedName name="BLPH197" localSheetId="13" hidden="1">#REF!</definedName>
    <definedName name="BLPH197" localSheetId="12" hidden="1">#REF!</definedName>
    <definedName name="BLPH197" localSheetId="4" hidden="1">#REF!</definedName>
    <definedName name="BLPH197" hidden="1">#REF!</definedName>
    <definedName name="BLPH198" localSheetId="14" hidden="1">#REF!</definedName>
    <definedName name="BLPH198" localSheetId="19" hidden="1">#REF!</definedName>
    <definedName name="BLPH198" localSheetId="23" hidden="1">#REF!</definedName>
    <definedName name="BLPH198" localSheetId="31" hidden="1">#REF!</definedName>
    <definedName name="BLPH198" localSheetId="36" hidden="1">#REF!</definedName>
    <definedName name="BLPH198" localSheetId="37" hidden="1">#REF!</definedName>
    <definedName name="BLPH198" localSheetId="38" hidden="1">#REF!</definedName>
    <definedName name="BLPH198" localSheetId="45" hidden="1">#REF!</definedName>
    <definedName name="BLPH198" localSheetId="46" hidden="1">#REF!</definedName>
    <definedName name="BLPH198" localSheetId="48" hidden="1">#REF!</definedName>
    <definedName name="BLPH198" localSheetId="49" hidden="1">#REF!</definedName>
    <definedName name="BLPH198" localSheetId="50" hidden="1">#REF!</definedName>
    <definedName name="BLPH198" localSheetId="51" hidden="1">#REF!</definedName>
    <definedName name="BLPH198" localSheetId="52" hidden="1">#REF!</definedName>
    <definedName name="BLPH198" localSheetId="54" hidden="1">#REF!</definedName>
    <definedName name="BLPH198" localSheetId="55" hidden="1">#REF!</definedName>
    <definedName name="BLPH198" localSheetId="56" hidden="1">#REF!</definedName>
    <definedName name="BLPH198" localSheetId="57" hidden="1">#REF!</definedName>
    <definedName name="BLPH198" localSheetId="58" hidden="1">#REF!</definedName>
    <definedName name="BLPH198" localSheetId="70" hidden="1">#REF!</definedName>
    <definedName name="BLPH198" localSheetId="71" hidden="1">#REF!</definedName>
    <definedName name="BLPH198" localSheetId="73" hidden="1">#REF!</definedName>
    <definedName name="BLPH198" localSheetId="75" hidden="1">#REF!</definedName>
    <definedName name="BLPH198" localSheetId="76" hidden="1">#REF!</definedName>
    <definedName name="BLPH198" localSheetId="13" hidden="1">#REF!</definedName>
    <definedName name="BLPH198" localSheetId="12" hidden="1">#REF!</definedName>
    <definedName name="BLPH198" localSheetId="4" hidden="1">#REF!</definedName>
    <definedName name="BLPH198" hidden="1">#REF!</definedName>
    <definedName name="BLPH199" localSheetId="14" hidden="1">#REF!</definedName>
    <definedName name="BLPH199" localSheetId="19" hidden="1">#REF!</definedName>
    <definedName name="BLPH199" localSheetId="23" hidden="1">#REF!</definedName>
    <definedName name="BLPH199" localSheetId="31" hidden="1">#REF!</definedName>
    <definedName name="BLPH199" localSheetId="36" hidden="1">#REF!</definedName>
    <definedName name="BLPH199" localSheetId="37" hidden="1">#REF!</definedName>
    <definedName name="BLPH199" localSheetId="38" hidden="1">#REF!</definedName>
    <definedName name="BLPH199" localSheetId="45" hidden="1">#REF!</definedName>
    <definedName name="BLPH199" localSheetId="46" hidden="1">#REF!</definedName>
    <definedName name="BLPH199" localSheetId="48" hidden="1">#REF!</definedName>
    <definedName name="BLPH199" localSheetId="49" hidden="1">#REF!</definedName>
    <definedName name="BLPH199" localSheetId="50" hidden="1">#REF!</definedName>
    <definedName name="BLPH199" localSheetId="51" hidden="1">#REF!</definedName>
    <definedName name="BLPH199" localSheetId="52" hidden="1">#REF!</definedName>
    <definedName name="BLPH199" localSheetId="54" hidden="1">#REF!</definedName>
    <definedName name="BLPH199" localSheetId="55" hidden="1">#REF!</definedName>
    <definedName name="BLPH199" localSheetId="56" hidden="1">#REF!</definedName>
    <definedName name="BLPH199" localSheetId="57" hidden="1">#REF!</definedName>
    <definedName name="BLPH199" localSheetId="58" hidden="1">#REF!</definedName>
    <definedName name="BLPH199" localSheetId="70" hidden="1">#REF!</definedName>
    <definedName name="BLPH199" localSheetId="71" hidden="1">#REF!</definedName>
    <definedName name="BLPH199" localSheetId="73" hidden="1">#REF!</definedName>
    <definedName name="BLPH199" localSheetId="75" hidden="1">#REF!</definedName>
    <definedName name="BLPH199" localSheetId="76" hidden="1">#REF!</definedName>
    <definedName name="BLPH199" localSheetId="13" hidden="1">#REF!</definedName>
    <definedName name="BLPH199" localSheetId="12" hidden="1">#REF!</definedName>
    <definedName name="BLPH199" localSheetId="4" hidden="1">#REF!</definedName>
    <definedName name="BLPH199" hidden="1">#REF!</definedName>
    <definedName name="BLPH2" localSheetId="14" hidden="1">[4]Sheet2!#REF!</definedName>
    <definedName name="BLPH2" localSheetId="19" hidden="1">[4]Sheet2!#REF!</definedName>
    <definedName name="BLPH2" localSheetId="23" hidden="1">[4]Sheet2!#REF!</definedName>
    <definedName name="BLPH2" localSheetId="36" hidden="1">[4]Sheet2!#REF!</definedName>
    <definedName name="BLPH2" localSheetId="37" hidden="1">[4]Sheet2!#REF!</definedName>
    <definedName name="BLPH2" localSheetId="38" hidden="1">[4]Sheet2!#REF!</definedName>
    <definedName name="BLPH2" localSheetId="45" hidden="1">[4]Sheet2!#REF!</definedName>
    <definedName name="BLPH2" localSheetId="46" hidden="1">[4]Sheet2!#REF!</definedName>
    <definedName name="BLPH2" localSheetId="48" hidden="1">[4]Sheet2!#REF!</definedName>
    <definedName name="BLPH2" localSheetId="49" hidden="1">[4]Sheet2!#REF!</definedName>
    <definedName name="BLPH2" localSheetId="50" hidden="1">[4]Sheet2!#REF!</definedName>
    <definedName name="BLPH2" localSheetId="51" hidden="1">[4]Sheet2!#REF!</definedName>
    <definedName name="BLPH2" localSheetId="52" hidden="1">[4]Sheet2!#REF!</definedName>
    <definedName name="BLPH2" localSheetId="54" hidden="1">[4]Sheet2!#REF!</definedName>
    <definedName name="BLPH2" localSheetId="55" hidden="1">[4]Sheet2!#REF!</definedName>
    <definedName name="BLPH2" localSheetId="56" hidden="1">[4]Sheet2!#REF!</definedName>
    <definedName name="BLPH2" localSheetId="57" hidden="1">[4]Sheet2!#REF!</definedName>
    <definedName name="BLPH2" localSheetId="58" hidden="1">[4]Sheet2!#REF!</definedName>
    <definedName name="BLPH2" localSheetId="70" hidden="1">[4]Sheet2!#REF!</definedName>
    <definedName name="BLPH2" localSheetId="71" hidden="1">[4]Sheet2!#REF!</definedName>
    <definedName name="BLPH2" localSheetId="73" hidden="1">[4]Sheet2!#REF!</definedName>
    <definedName name="BLPH2" localSheetId="75" hidden="1">[4]Sheet2!#REF!</definedName>
    <definedName name="BLPH2" localSheetId="76" hidden="1">[4]Sheet2!#REF!</definedName>
    <definedName name="BLPH2" localSheetId="13" hidden="1">[4]Sheet2!#REF!</definedName>
    <definedName name="BLPH2" localSheetId="12" hidden="1">[4]Sheet2!#REF!</definedName>
    <definedName name="BLPH2" localSheetId="4" hidden="1">[4]Sheet2!#REF!</definedName>
    <definedName name="BLPH2" hidden="1">[4]Sheet2!#REF!</definedName>
    <definedName name="BLPH20" localSheetId="14" hidden="1">#REF!</definedName>
    <definedName name="BLPH20" localSheetId="19" hidden="1">#REF!</definedName>
    <definedName name="BLPH20" localSheetId="23" hidden="1">#REF!</definedName>
    <definedName name="BLPH20" localSheetId="26" hidden="1">#REF!</definedName>
    <definedName name="BLPH20" localSheetId="31" hidden="1">#REF!</definedName>
    <definedName name="BLPH20" localSheetId="36" hidden="1">#REF!</definedName>
    <definedName name="BLPH20" localSheetId="37" hidden="1">#REF!</definedName>
    <definedName name="BLPH20" localSheetId="38" hidden="1">#REF!</definedName>
    <definedName name="BLPH20" localSheetId="45" hidden="1">#REF!</definedName>
    <definedName name="BLPH20" localSheetId="46" hidden="1">#REF!</definedName>
    <definedName name="BLPH20" localSheetId="48" hidden="1">#REF!</definedName>
    <definedName name="BLPH20" localSheetId="49" hidden="1">#REF!</definedName>
    <definedName name="BLPH20" localSheetId="50" hidden="1">#REF!</definedName>
    <definedName name="BLPH20" localSheetId="51" hidden="1">#REF!</definedName>
    <definedName name="BLPH20" localSheetId="52" hidden="1">#REF!</definedName>
    <definedName name="BLPH20" localSheetId="54" hidden="1">#REF!</definedName>
    <definedName name="BLPH20" localSheetId="55" hidden="1">#REF!</definedName>
    <definedName name="BLPH20" localSheetId="56" hidden="1">#REF!</definedName>
    <definedName name="BLPH20" localSheetId="57" hidden="1">#REF!</definedName>
    <definedName name="BLPH20" localSheetId="58" hidden="1">#REF!</definedName>
    <definedName name="BLPH20" localSheetId="70" hidden="1">#REF!</definedName>
    <definedName name="BLPH20" localSheetId="71" hidden="1">#REF!</definedName>
    <definedName name="BLPH20" localSheetId="73" hidden="1">#REF!</definedName>
    <definedName name="BLPH20" localSheetId="75" hidden="1">#REF!</definedName>
    <definedName name="BLPH20" localSheetId="76" hidden="1">#REF!</definedName>
    <definedName name="BLPH20" localSheetId="13" hidden="1">#REF!</definedName>
    <definedName name="BLPH20" localSheetId="12" hidden="1">#REF!</definedName>
    <definedName name="BLPH20" localSheetId="4" hidden="1">#REF!</definedName>
    <definedName name="BLPH20" hidden="1">#REF!</definedName>
    <definedName name="BLPH200" localSheetId="14" hidden="1">#REF!</definedName>
    <definedName name="BLPH200" localSheetId="19" hidden="1">#REF!</definedName>
    <definedName name="BLPH200" localSheetId="23" hidden="1">#REF!</definedName>
    <definedName name="BLPH200" localSheetId="26" hidden="1">#REF!</definedName>
    <definedName name="BLPH200" localSheetId="31" hidden="1">#REF!</definedName>
    <definedName name="BLPH200" localSheetId="36" hidden="1">#REF!</definedName>
    <definedName name="BLPH200" localSheetId="37" hidden="1">#REF!</definedName>
    <definedName name="BLPH200" localSheetId="38" hidden="1">#REF!</definedName>
    <definedName name="BLPH200" localSheetId="45" hidden="1">#REF!</definedName>
    <definedName name="BLPH200" localSheetId="46" hidden="1">#REF!</definedName>
    <definedName name="BLPH200" localSheetId="48" hidden="1">#REF!</definedName>
    <definedName name="BLPH200" localSheetId="49" hidden="1">#REF!</definedName>
    <definedName name="BLPH200" localSheetId="50" hidden="1">#REF!</definedName>
    <definedName name="BLPH200" localSheetId="51" hidden="1">#REF!</definedName>
    <definedName name="BLPH200" localSheetId="52" hidden="1">#REF!</definedName>
    <definedName name="BLPH200" localSheetId="54" hidden="1">#REF!</definedName>
    <definedName name="BLPH200" localSheetId="55" hidden="1">#REF!</definedName>
    <definedName name="BLPH200" localSheetId="56" hidden="1">#REF!</definedName>
    <definedName name="BLPH200" localSheetId="57" hidden="1">#REF!</definedName>
    <definedName name="BLPH200" localSheetId="58" hidden="1">#REF!</definedName>
    <definedName name="BLPH200" localSheetId="70" hidden="1">#REF!</definedName>
    <definedName name="BLPH200" localSheetId="71" hidden="1">#REF!</definedName>
    <definedName name="BLPH200" localSheetId="73" hidden="1">#REF!</definedName>
    <definedName name="BLPH200" localSheetId="75" hidden="1">#REF!</definedName>
    <definedName name="BLPH200" localSheetId="76" hidden="1">#REF!</definedName>
    <definedName name="BLPH200" localSheetId="13" hidden="1">#REF!</definedName>
    <definedName name="BLPH200" localSheetId="12" hidden="1">#REF!</definedName>
    <definedName name="BLPH200" localSheetId="4" hidden="1">#REF!</definedName>
    <definedName name="BLPH200" hidden="1">#REF!</definedName>
    <definedName name="BLPH201" localSheetId="14" hidden="1">#REF!</definedName>
    <definedName name="BLPH201" localSheetId="19" hidden="1">#REF!</definedName>
    <definedName name="BLPH201" localSheetId="23" hidden="1">#REF!</definedName>
    <definedName name="BLPH201" localSheetId="26" hidden="1">#REF!</definedName>
    <definedName name="BLPH201" localSheetId="31" hidden="1">#REF!</definedName>
    <definedName name="BLPH201" localSheetId="36" hidden="1">#REF!</definedName>
    <definedName name="BLPH201" localSheetId="37" hidden="1">#REF!</definedName>
    <definedName name="BLPH201" localSheetId="38" hidden="1">#REF!</definedName>
    <definedName name="BLPH201" localSheetId="45" hidden="1">#REF!</definedName>
    <definedName name="BLPH201" localSheetId="46" hidden="1">#REF!</definedName>
    <definedName name="BLPH201" localSheetId="48" hidden="1">#REF!</definedName>
    <definedName name="BLPH201" localSheetId="49" hidden="1">#REF!</definedName>
    <definedName name="BLPH201" localSheetId="50" hidden="1">#REF!</definedName>
    <definedName name="BLPH201" localSheetId="51" hidden="1">#REF!</definedName>
    <definedName name="BLPH201" localSheetId="52" hidden="1">#REF!</definedName>
    <definedName name="BLPH201" localSheetId="54" hidden="1">#REF!</definedName>
    <definedName name="BLPH201" localSheetId="55" hidden="1">#REF!</definedName>
    <definedName name="BLPH201" localSheetId="56" hidden="1">#REF!</definedName>
    <definedName name="BLPH201" localSheetId="57" hidden="1">#REF!</definedName>
    <definedName name="BLPH201" localSheetId="58" hidden="1">#REF!</definedName>
    <definedName name="BLPH201" localSheetId="70" hidden="1">#REF!</definedName>
    <definedName name="BLPH201" localSheetId="71" hidden="1">#REF!</definedName>
    <definedName name="BLPH201" localSheetId="73" hidden="1">#REF!</definedName>
    <definedName name="BLPH201" localSheetId="75" hidden="1">#REF!</definedName>
    <definedName name="BLPH201" localSheetId="76" hidden="1">#REF!</definedName>
    <definedName name="BLPH201" localSheetId="13" hidden="1">#REF!</definedName>
    <definedName name="BLPH201" localSheetId="12" hidden="1">#REF!</definedName>
    <definedName name="BLPH201" localSheetId="4" hidden="1">#REF!</definedName>
    <definedName name="BLPH201" hidden="1">#REF!</definedName>
    <definedName name="BLPH202" localSheetId="14" hidden="1">#REF!</definedName>
    <definedName name="BLPH202" localSheetId="19" hidden="1">#REF!</definedName>
    <definedName name="BLPH202" localSheetId="23" hidden="1">#REF!</definedName>
    <definedName name="BLPH202" localSheetId="31" hidden="1">#REF!</definedName>
    <definedName name="BLPH202" localSheetId="36" hidden="1">#REF!</definedName>
    <definedName name="BLPH202" localSheetId="37" hidden="1">#REF!</definedName>
    <definedName name="BLPH202" localSheetId="38" hidden="1">#REF!</definedName>
    <definedName name="BLPH202" localSheetId="45" hidden="1">#REF!</definedName>
    <definedName name="BLPH202" localSheetId="46" hidden="1">#REF!</definedName>
    <definedName name="BLPH202" localSheetId="48" hidden="1">#REF!</definedName>
    <definedName name="BLPH202" localSheetId="49" hidden="1">#REF!</definedName>
    <definedName name="BLPH202" localSheetId="50" hidden="1">#REF!</definedName>
    <definedName name="BLPH202" localSheetId="51" hidden="1">#REF!</definedName>
    <definedName name="BLPH202" localSheetId="52" hidden="1">#REF!</definedName>
    <definedName name="BLPH202" localSheetId="54" hidden="1">#REF!</definedName>
    <definedName name="BLPH202" localSheetId="55" hidden="1">#REF!</definedName>
    <definedName name="BLPH202" localSheetId="56" hidden="1">#REF!</definedName>
    <definedName name="BLPH202" localSheetId="57" hidden="1">#REF!</definedName>
    <definedName name="BLPH202" localSheetId="58" hidden="1">#REF!</definedName>
    <definedName name="BLPH202" localSheetId="70" hidden="1">#REF!</definedName>
    <definedName name="BLPH202" localSheetId="71" hidden="1">#REF!</definedName>
    <definedName name="BLPH202" localSheetId="73" hidden="1">#REF!</definedName>
    <definedName name="BLPH202" localSheetId="75" hidden="1">#REF!</definedName>
    <definedName name="BLPH202" localSheetId="76" hidden="1">#REF!</definedName>
    <definedName name="BLPH202" localSheetId="13" hidden="1">#REF!</definedName>
    <definedName name="BLPH202" localSheetId="12" hidden="1">#REF!</definedName>
    <definedName name="BLPH202" localSheetId="4" hidden="1">#REF!</definedName>
    <definedName name="BLPH202" hidden="1">#REF!</definedName>
    <definedName name="BLPH203" localSheetId="14" hidden="1">#REF!</definedName>
    <definedName name="BLPH203" localSheetId="19" hidden="1">#REF!</definedName>
    <definedName name="BLPH203" localSheetId="23" hidden="1">#REF!</definedName>
    <definedName name="BLPH203" localSheetId="31" hidden="1">#REF!</definedName>
    <definedName name="BLPH203" localSheetId="36" hidden="1">#REF!</definedName>
    <definedName name="BLPH203" localSheetId="37" hidden="1">#REF!</definedName>
    <definedName name="BLPH203" localSheetId="38" hidden="1">#REF!</definedName>
    <definedName name="BLPH203" localSheetId="45" hidden="1">#REF!</definedName>
    <definedName name="BLPH203" localSheetId="46" hidden="1">#REF!</definedName>
    <definedName name="BLPH203" localSheetId="48" hidden="1">#REF!</definedName>
    <definedName name="BLPH203" localSheetId="49" hidden="1">#REF!</definedName>
    <definedName name="BLPH203" localSheetId="50" hidden="1">#REF!</definedName>
    <definedName name="BLPH203" localSheetId="51" hidden="1">#REF!</definedName>
    <definedName name="BLPH203" localSheetId="52" hidden="1">#REF!</definedName>
    <definedName name="BLPH203" localSheetId="54" hidden="1">#REF!</definedName>
    <definedName name="BLPH203" localSheetId="55" hidden="1">#REF!</definedName>
    <definedName name="BLPH203" localSheetId="56" hidden="1">#REF!</definedName>
    <definedName name="BLPH203" localSheetId="57" hidden="1">#REF!</definedName>
    <definedName name="BLPH203" localSheetId="58" hidden="1">#REF!</definedName>
    <definedName name="BLPH203" localSheetId="70" hidden="1">#REF!</definedName>
    <definedName name="BLPH203" localSheetId="71" hidden="1">#REF!</definedName>
    <definedName name="BLPH203" localSheetId="73" hidden="1">#REF!</definedName>
    <definedName name="BLPH203" localSheetId="75" hidden="1">#REF!</definedName>
    <definedName name="BLPH203" localSheetId="76" hidden="1">#REF!</definedName>
    <definedName name="BLPH203" localSheetId="13" hidden="1">#REF!</definedName>
    <definedName name="BLPH203" localSheetId="12" hidden="1">#REF!</definedName>
    <definedName name="BLPH203" localSheetId="4" hidden="1">#REF!</definedName>
    <definedName name="BLPH203" hidden="1">#REF!</definedName>
    <definedName name="BLPH204" localSheetId="14" hidden="1">#REF!</definedName>
    <definedName name="BLPH204" localSheetId="19" hidden="1">#REF!</definedName>
    <definedName name="BLPH204" localSheetId="23" hidden="1">#REF!</definedName>
    <definedName name="BLPH204" localSheetId="31" hidden="1">#REF!</definedName>
    <definedName name="BLPH204" localSheetId="36" hidden="1">#REF!</definedName>
    <definedName name="BLPH204" localSheetId="37" hidden="1">#REF!</definedName>
    <definedName name="BLPH204" localSheetId="38" hidden="1">#REF!</definedName>
    <definedName name="BLPH204" localSheetId="45" hidden="1">#REF!</definedName>
    <definedName name="BLPH204" localSheetId="46" hidden="1">#REF!</definedName>
    <definedName name="BLPH204" localSheetId="48" hidden="1">#REF!</definedName>
    <definedName name="BLPH204" localSheetId="49" hidden="1">#REF!</definedName>
    <definedName name="BLPH204" localSheetId="50" hidden="1">#REF!</definedName>
    <definedName name="BLPH204" localSheetId="51" hidden="1">#REF!</definedName>
    <definedName name="BLPH204" localSheetId="52" hidden="1">#REF!</definedName>
    <definedName name="BLPH204" localSheetId="54" hidden="1">#REF!</definedName>
    <definedName name="BLPH204" localSheetId="55" hidden="1">#REF!</definedName>
    <definedName name="BLPH204" localSheetId="56" hidden="1">#REF!</definedName>
    <definedName name="BLPH204" localSheetId="57" hidden="1">#REF!</definedName>
    <definedName name="BLPH204" localSheetId="58" hidden="1">#REF!</definedName>
    <definedName name="BLPH204" localSheetId="70" hidden="1">#REF!</definedName>
    <definedName name="BLPH204" localSheetId="71" hidden="1">#REF!</definedName>
    <definedName name="BLPH204" localSheetId="73" hidden="1">#REF!</definedName>
    <definedName name="BLPH204" localSheetId="75" hidden="1">#REF!</definedName>
    <definedName name="BLPH204" localSheetId="76" hidden="1">#REF!</definedName>
    <definedName name="BLPH204" localSheetId="13" hidden="1">#REF!</definedName>
    <definedName name="BLPH204" localSheetId="12" hidden="1">#REF!</definedName>
    <definedName name="BLPH204" localSheetId="4" hidden="1">#REF!</definedName>
    <definedName name="BLPH204" hidden="1">#REF!</definedName>
    <definedName name="BLPH205" localSheetId="14" hidden="1">#REF!</definedName>
    <definedName name="BLPH205" localSheetId="19" hidden="1">#REF!</definedName>
    <definedName name="BLPH205" localSheetId="23" hidden="1">#REF!</definedName>
    <definedName name="BLPH205" localSheetId="31" hidden="1">#REF!</definedName>
    <definedName name="BLPH205" localSheetId="36" hidden="1">#REF!</definedName>
    <definedName name="BLPH205" localSheetId="37" hidden="1">#REF!</definedName>
    <definedName name="BLPH205" localSheetId="38" hidden="1">#REF!</definedName>
    <definedName name="BLPH205" localSheetId="45" hidden="1">#REF!</definedName>
    <definedName name="BLPH205" localSheetId="46" hidden="1">#REF!</definedName>
    <definedName name="BLPH205" localSheetId="48" hidden="1">#REF!</definedName>
    <definedName name="BLPH205" localSheetId="49" hidden="1">#REF!</definedName>
    <definedName name="BLPH205" localSheetId="50" hidden="1">#REF!</definedName>
    <definedName name="BLPH205" localSheetId="51" hidden="1">#REF!</definedName>
    <definedName name="BLPH205" localSheetId="52" hidden="1">#REF!</definedName>
    <definedName name="BLPH205" localSheetId="54" hidden="1">#REF!</definedName>
    <definedName name="BLPH205" localSheetId="55" hidden="1">#REF!</definedName>
    <definedName name="BLPH205" localSheetId="56" hidden="1">#REF!</definedName>
    <definedName name="BLPH205" localSheetId="57" hidden="1">#REF!</definedName>
    <definedName name="BLPH205" localSheetId="58" hidden="1">#REF!</definedName>
    <definedName name="BLPH205" localSheetId="70" hidden="1">#REF!</definedName>
    <definedName name="BLPH205" localSheetId="71" hidden="1">#REF!</definedName>
    <definedName name="BLPH205" localSheetId="73" hidden="1">#REF!</definedName>
    <definedName name="BLPH205" localSheetId="75" hidden="1">#REF!</definedName>
    <definedName name="BLPH205" localSheetId="76" hidden="1">#REF!</definedName>
    <definedName name="BLPH205" localSheetId="13" hidden="1">#REF!</definedName>
    <definedName name="BLPH205" localSheetId="12" hidden="1">#REF!</definedName>
    <definedName name="BLPH205" localSheetId="4" hidden="1">#REF!</definedName>
    <definedName name="BLPH205" hidden="1">#REF!</definedName>
    <definedName name="BLPH206" localSheetId="14" hidden="1">#REF!</definedName>
    <definedName name="BLPH206" localSheetId="19" hidden="1">#REF!</definedName>
    <definedName name="BLPH206" localSheetId="23" hidden="1">#REF!</definedName>
    <definedName name="BLPH206" localSheetId="31" hidden="1">#REF!</definedName>
    <definedName name="BLPH206" localSheetId="36" hidden="1">#REF!</definedName>
    <definedName name="BLPH206" localSheetId="37" hidden="1">#REF!</definedName>
    <definedName name="BLPH206" localSheetId="38" hidden="1">#REF!</definedName>
    <definedName name="BLPH206" localSheetId="45" hidden="1">#REF!</definedName>
    <definedName name="BLPH206" localSheetId="46" hidden="1">#REF!</definedName>
    <definedName name="BLPH206" localSheetId="48" hidden="1">#REF!</definedName>
    <definedName name="BLPH206" localSheetId="49" hidden="1">#REF!</definedName>
    <definedName name="BLPH206" localSheetId="50" hidden="1">#REF!</definedName>
    <definedName name="BLPH206" localSheetId="51" hidden="1">#REF!</definedName>
    <definedName name="BLPH206" localSheetId="52" hidden="1">#REF!</definedName>
    <definedName name="BLPH206" localSheetId="54" hidden="1">#REF!</definedName>
    <definedName name="BLPH206" localSheetId="55" hidden="1">#REF!</definedName>
    <definedName name="BLPH206" localSheetId="56" hidden="1">#REF!</definedName>
    <definedName name="BLPH206" localSheetId="57" hidden="1">#REF!</definedName>
    <definedName name="BLPH206" localSheetId="58" hidden="1">#REF!</definedName>
    <definedName name="BLPH206" localSheetId="70" hidden="1">#REF!</definedName>
    <definedName name="BLPH206" localSheetId="71" hidden="1">#REF!</definedName>
    <definedName name="BLPH206" localSheetId="73" hidden="1">#REF!</definedName>
    <definedName name="BLPH206" localSheetId="75" hidden="1">#REF!</definedName>
    <definedName name="BLPH206" localSheetId="76" hidden="1">#REF!</definedName>
    <definedName name="BLPH206" localSheetId="13" hidden="1">#REF!</definedName>
    <definedName name="BLPH206" localSheetId="12" hidden="1">#REF!</definedName>
    <definedName name="BLPH206" localSheetId="4" hidden="1">#REF!</definedName>
    <definedName name="BLPH206" hidden="1">#REF!</definedName>
    <definedName name="BLPH207" localSheetId="14" hidden="1">#REF!</definedName>
    <definedName name="BLPH207" localSheetId="19" hidden="1">#REF!</definedName>
    <definedName name="BLPH207" localSheetId="23" hidden="1">#REF!</definedName>
    <definedName name="BLPH207" localSheetId="31" hidden="1">#REF!</definedName>
    <definedName name="BLPH207" localSheetId="36" hidden="1">#REF!</definedName>
    <definedName name="BLPH207" localSheetId="37" hidden="1">#REF!</definedName>
    <definedName name="BLPH207" localSheetId="38" hidden="1">#REF!</definedName>
    <definedName name="BLPH207" localSheetId="45" hidden="1">#REF!</definedName>
    <definedName name="BLPH207" localSheetId="46" hidden="1">#REF!</definedName>
    <definedName name="BLPH207" localSheetId="48" hidden="1">#REF!</definedName>
    <definedName name="BLPH207" localSheetId="49" hidden="1">#REF!</definedName>
    <definedName name="BLPH207" localSheetId="50" hidden="1">#REF!</definedName>
    <definedName name="BLPH207" localSheetId="51" hidden="1">#REF!</definedName>
    <definedName name="BLPH207" localSheetId="52" hidden="1">#REF!</definedName>
    <definedName name="BLPH207" localSheetId="54" hidden="1">#REF!</definedName>
    <definedName name="BLPH207" localSheetId="55" hidden="1">#REF!</definedName>
    <definedName name="BLPH207" localSheetId="56" hidden="1">#REF!</definedName>
    <definedName name="BLPH207" localSheetId="57" hidden="1">#REF!</definedName>
    <definedName name="BLPH207" localSheetId="58" hidden="1">#REF!</definedName>
    <definedName name="BLPH207" localSheetId="70" hidden="1">#REF!</definedName>
    <definedName name="BLPH207" localSheetId="71" hidden="1">#REF!</definedName>
    <definedName name="BLPH207" localSheetId="73" hidden="1">#REF!</definedName>
    <definedName name="BLPH207" localSheetId="75" hidden="1">#REF!</definedName>
    <definedName name="BLPH207" localSheetId="76" hidden="1">#REF!</definedName>
    <definedName name="BLPH207" localSheetId="13" hidden="1">#REF!</definedName>
    <definedName name="BLPH207" localSheetId="12" hidden="1">#REF!</definedName>
    <definedName name="BLPH207" localSheetId="4" hidden="1">#REF!</definedName>
    <definedName name="BLPH207" hidden="1">#REF!</definedName>
    <definedName name="BLPH208" localSheetId="14" hidden="1">#REF!</definedName>
    <definedName name="BLPH208" localSheetId="19" hidden="1">#REF!</definedName>
    <definedName name="BLPH208" localSheetId="23" hidden="1">#REF!</definedName>
    <definedName name="BLPH208" localSheetId="31" hidden="1">#REF!</definedName>
    <definedName name="BLPH208" localSheetId="36" hidden="1">#REF!</definedName>
    <definedName name="BLPH208" localSheetId="37" hidden="1">#REF!</definedName>
    <definedName name="BLPH208" localSheetId="38" hidden="1">#REF!</definedName>
    <definedName name="BLPH208" localSheetId="45" hidden="1">#REF!</definedName>
    <definedName name="BLPH208" localSheetId="46" hidden="1">#REF!</definedName>
    <definedName name="BLPH208" localSheetId="48" hidden="1">#REF!</definedName>
    <definedName name="BLPH208" localSheetId="49" hidden="1">#REF!</definedName>
    <definedName name="BLPH208" localSheetId="50" hidden="1">#REF!</definedName>
    <definedName name="BLPH208" localSheetId="51" hidden="1">#REF!</definedName>
    <definedName name="BLPH208" localSheetId="52" hidden="1">#REF!</definedName>
    <definedName name="BLPH208" localSheetId="54" hidden="1">#REF!</definedName>
    <definedName name="BLPH208" localSheetId="55" hidden="1">#REF!</definedName>
    <definedName name="BLPH208" localSheetId="56" hidden="1">#REF!</definedName>
    <definedName name="BLPH208" localSheetId="57" hidden="1">#REF!</definedName>
    <definedName name="BLPH208" localSheetId="58" hidden="1">#REF!</definedName>
    <definedName name="BLPH208" localSheetId="70" hidden="1">#REF!</definedName>
    <definedName name="BLPH208" localSheetId="71" hidden="1">#REF!</definedName>
    <definedName name="BLPH208" localSheetId="73" hidden="1">#REF!</definedName>
    <definedName name="BLPH208" localSheetId="75" hidden="1">#REF!</definedName>
    <definedName name="BLPH208" localSheetId="76" hidden="1">#REF!</definedName>
    <definedName name="BLPH208" localSheetId="13" hidden="1">#REF!</definedName>
    <definedName name="BLPH208" localSheetId="12" hidden="1">#REF!</definedName>
    <definedName name="BLPH208" localSheetId="4" hidden="1">#REF!</definedName>
    <definedName name="BLPH208" hidden="1">#REF!</definedName>
    <definedName name="BLPH209" localSheetId="14" hidden="1">#REF!</definedName>
    <definedName name="BLPH209" localSheetId="19" hidden="1">#REF!</definedName>
    <definedName name="BLPH209" localSheetId="23" hidden="1">#REF!</definedName>
    <definedName name="BLPH209" localSheetId="31" hidden="1">#REF!</definedName>
    <definedName name="BLPH209" localSheetId="36" hidden="1">#REF!</definedName>
    <definedName name="BLPH209" localSheetId="37" hidden="1">#REF!</definedName>
    <definedName name="BLPH209" localSheetId="38" hidden="1">#REF!</definedName>
    <definedName name="BLPH209" localSheetId="45" hidden="1">#REF!</definedName>
    <definedName name="BLPH209" localSheetId="46" hidden="1">#REF!</definedName>
    <definedName name="BLPH209" localSheetId="48" hidden="1">#REF!</definedName>
    <definedName name="BLPH209" localSheetId="49" hidden="1">#REF!</definedName>
    <definedName name="BLPH209" localSheetId="50" hidden="1">#REF!</definedName>
    <definedName name="BLPH209" localSheetId="51" hidden="1">#REF!</definedName>
    <definedName name="BLPH209" localSheetId="52" hidden="1">#REF!</definedName>
    <definedName name="BLPH209" localSheetId="54" hidden="1">#REF!</definedName>
    <definedName name="BLPH209" localSheetId="55" hidden="1">#REF!</definedName>
    <definedName name="BLPH209" localSheetId="56" hidden="1">#REF!</definedName>
    <definedName name="BLPH209" localSheetId="57" hidden="1">#REF!</definedName>
    <definedName name="BLPH209" localSheetId="58" hidden="1">#REF!</definedName>
    <definedName name="BLPH209" localSheetId="70" hidden="1">#REF!</definedName>
    <definedName name="BLPH209" localSheetId="71" hidden="1">#REF!</definedName>
    <definedName name="BLPH209" localSheetId="73" hidden="1">#REF!</definedName>
    <definedName name="BLPH209" localSheetId="75" hidden="1">#REF!</definedName>
    <definedName name="BLPH209" localSheetId="76" hidden="1">#REF!</definedName>
    <definedName name="BLPH209" localSheetId="13" hidden="1">#REF!</definedName>
    <definedName name="BLPH209" localSheetId="12" hidden="1">#REF!</definedName>
    <definedName name="BLPH209" localSheetId="4" hidden="1">#REF!</definedName>
    <definedName name="BLPH209" hidden="1">#REF!</definedName>
    <definedName name="BLPH21" hidden="1">'[5]Risk-Free Rate'!$AQ$15</definedName>
    <definedName name="BLPH210" localSheetId="14" hidden="1">#REF!</definedName>
    <definedName name="BLPH210" localSheetId="19" hidden="1">#REF!</definedName>
    <definedName name="BLPH210" localSheetId="23" hidden="1">#REF!</definedName>
    <definedName name="BLPH210" localSheetId="26" hidden="1">#REF!</definedName>
    <definedName name="BLPH210" localSheetId="31" hidden="1">#REF!</definedName>
    <definedName name="BLPH210" localSheetId="36" hidden="1">#REF!</definedName>
    <definedName name="BLPH210" localSheetId="37" hidden="1">#REF!</definedName>
    <definedName name="BLPH210" localSheetId="38" hidden="1">#REF!</definedName>
    <definedName name="BLPH210" localSheetId="45" hidden="1">#REF!</definedName>
    <definedName name="BLPH210" localSheetId="46" hidden="1">#REF!</definedName>
    <definedName name="BLPH210" localSheetId="48" hidden="1">#REF!</definedName>
    <definedName name="BLPH210" localSheetId="49" hidden="1">#REF!</definedName>
    <definedName name="BLPH210" localSheetId="50" hidden="1">#REF!</definedName>
    <definedName name="BLPH210" localSheetId="51" hidden="1">#REF!</definedName>
    <definedName name="BLPH210" localSheetId="52" hidden="1">#REF!</definedName>
    <definedName name="BLPH210" localSheetId="54" hidden="1">#REF!</definedName>
    <definedName name="BLPH210" localSheetId="55" hidden="1">#REF!</definedName>
    <definedName name="BLPH210" localSheetId="56" hidden="1">#REF!</definedName>
    <definedName name="BLPH210" localSheetId="57" hidden="1">#REF!</definedName>
    <definedName name="BLPH210" localSheetId="58" hidden="1">#REF!</definedName>
    <definedName name="BLPH210" localSheetId="70" hidden="1">#REF!</definedName>
    <definedName name="BLPH210" localSheetId="71" hidden="1">#REF!</definedName>
    <definedName name="BLPH210" localSheetId="73" hidden="1">#REF!</definedName>
    <definedName name="BLPH210" localSheetId="75" hidden="1">#REF!</definedName>
    <definedName name="BLPH210" localSheetId="76" hidden="1">#REF!</definedName>
    <definedName name="BLPH210" localSheetId="13" hidden="1">#REF!</definedName>
    <definedName name="BLPH210" localSheetId="12" hidden="1">#REF!</definedName>
    <definedName name="BLPH210" localSheetId="4" hidden="1">#REF!</definedName>
    <definedName name="BLPH210" hidden="1">#REF!</definedName>
    <definedName name="BLPH211" localSheetId="14" hidden="1">#REF!</definedName>
    <definedName name="BLPH211" localSheetId="19" hidden="1">#REF!</definedName>
    <definedName name="BLPH211" localSheetId="23" hidden="1">#REF!</definedName>
    <definedName name="BLPH211" localSheetId="26" hidden="1">#REF!</definedName>
    <definedName name="BLPH211" localSheetId="31" hidden="1">#REF!</definedName>
    <definedName name="BLPH211" localSheetId="36" hidden="1">#REF!</definedName>
    <definedName name="BLPH211" localSheetId="37" hidden="1">#REF!</definedName>
    <definedName name="BLPH211" localSheetId="38" hidden="1">#REF!</definedName>
    <definedName name="BLPH211" localSheetId="45" hidden="1">#REF!</definedName>
    <definedName name="BLPH211" localSheetId="46" hidden="1">#REF!</definedName>
    <definedName name="BLPH211" localSheetId="48" hidden="1">#REF!</definedName>
    <definedName name="BLPH211" localSheetId="49" hidden="1">#REF!</definedName>
    <definedName name="BLPH211" localSheetId="50" hidden="1">#REF!</definedName>
    <definedName name="BLPH211" localSheetId="51" hidden="1">#REF!</definedName>
    <definedName name="BLPH211" localSheetId="52" hidden="1">#REF!</definedName>
    <definedName name="BLPH211" localSheetId="54" hidden="1">#REF!</definedName>
    <definedName name="BLPH211" localSheetId="55" hidden="1">#REF!</definedName>
    <definedName name="BLPH211" localSheetId="56" hidden="1">#REF!</definedName>
    <definedName name="BLPH211" localSheetId="57" hidden="1">#REF!</definedName>
    <definedName name="BLPH211" localSheetId="58" hidden="1">#REF!</definedName>
    <definedName name="BLPH211" localSheetId="70" hidden="1">#REF!</definedName>
    <definedName name="BLPH211" localSheetId="71" hidden="1">#REF!</definedName>
    <definedName name="BLPH211" localSheetId="73" hidden="1">#REF!</definedName>
    <definedName name="BLPH211" localSheetId="75" hidden="1">#REF!</definedName>
    <definedName name="BLPH211" localSheetId="76" hidden="1">#REF!</definedName>
    <definedName name="BLPH211" localSheetId="13" hidden="1">#REF!</definedName>
    <definedName name="BLPH211" localSheetId="12" hidden="1">#REF!</definedName>
    <definedName name="BLPH211" localSheetId="4" hidden="1">#REF!</definedName>
    <definedName name="BLPH211" hidden="1">#REF!</definedName>
    <definedName name="BLPH212" localSheetId="14" hidden="1">#REF!</definedName>
    <definedName name="BLPH212" localSheetId="19" hidden="1">#REF!</definedName>
    <definedName name="BLPH212" localSheetId="23" hidden="1">#REF!</definedName>
    <definedName name="BLPH212" localSheetId="26" hidden="1">#REF!</definedName>
    <definedName name="BLPH212" localSheetId="31" hidden="1">#REF!</definedName>
    <definedName name="BLPH212" localSheetId="36" hidden="1">#REF!</definedName>
    <definedName name="BLPH212" localSheetId="37" hidden="1">#REF!</definedName>
    <definedName name="BLPH212" localSheetId="38" hidden="1">#REF!</definedName>
    <definedName name="BLPH212" localSheetId="45" hidden="1">#REF!</definedName>
    <definedName name="BLPH212" localSheetId="46" hidden="1">#REF!</definedName>
    <definedName name="BLPH212" localSheetId="48" hidden="1">#REF!</definedName>
    <definedName name="BLPH212" localSheetId="49" hidden="1">#REF!</definedName>
    <definedName name="BLPH212" localSheetId="50" hidden="1">#REF!</definedName>
    <definedName name="BLPH212" localSheetId="51" hidden="1">#REF!</definedName>
    <definedName name="BLPH212" localSheetId="52" hidden="1">#REF!</definedName>
    <definedName name="BLPH212" localSheetId="54" hidden="1">#REF!</definedName>
    <definedName name="BLPH212" localSheetId="55" hidden="1">#REF!</definedName>
    <definedName name="BLPH212" localSheetId="56" hidden="1">#REF!</definedName>
    <definedName name="BLPH212" localSheetId="57" hidden="1">#REF!</definedName>
    <definedName name="BLPH212" localSheetId="58" hidden="1">#REF!</definedName>
    <definedName name="BLPH212" localSheetId="70" hidden="1">#REF!</definedName>
    <definedName name="BLPH212" localSheetId="71" hidden="1">#REF!</definedName>
    <definedName name="BLPH212" localSheetId="73" hidden="1">#REF!</definedName>
    <definedName name="BLPH212" localSheetId="75" hidden="1">#REF!</definedName>
    <definedName name="BLPH212" localSheetId="76" hidden="1">#REF!</definedName>
    <definedName name="BLPH212" localSheetId="13" hidden="1">#REF!</definedName>
    <definedName name="BLPH212" localSheetId="12" hidden="1">#REF!</definedName>
    <definedName name="BLPH212" localSheetId="4" hidden="1">#REF!</definedName>
    <definedName name="BLPH212" hidden="1">#REF!</definedName>
    <definedName name="BLPH213" localSheetId="14" hidden="1">#REF!</definedName>
    <definedName name="BLPH213" localSheetId="19" hidden="1">#REF!</definedName>
    <definedName name="BLPH213" localSheetId="23" hidden="1">#REF!</definedName>
    <definedName name="BLPH213" localSheetId="31" hidden="1">#REF!</definedName>
    <definedName name="BLPH213" localSheetId="36" hidden="1">#REF!</definedName>
    <definedName name="BLPH213" localSheetId="37" hidden="1">#REF!</definedName>
    <definedName name="BLPH213" localSheetId="38" hidden="1">#REF!</definedName>
    <definedName name="BLPH213" localSheetId="45" hidden="1">#REF!</definedName>
    <definedName name="BLPH213" localSheetId="46" hidden="1">#REF!</definedName>
    <definedName name="BLPH213" localSheetId="48" hidden="1">#REF!</definedName>
    <definedName name="BLPH213" localSheetId="49" hidden="1">#REF!</definedName>
    <definedName name="BLPH213" localSheetId="50" hidden="1">#REF!</definedName>
    <definedName name="BLPH213" localSheetId="51" hidden="1">#REF!</definedName>
    <definedName name="BLPH213" localSheetId="52" hidden="1">#REF!</definedName>
    <definedName name="BLPH213" localSheetId="54" hidden="1">#REF!</definedName>
    <definedName name="BLPH213" localSheetId="55" hidden="1">#REF!</definedName>
    <definedName name="BLPH213" localSheetId="56" hidden="1">#REF!</definedName>
    <definedName name="BLPH213" localSheetId="57" hidden="1">#REF!</definedName>
    <definedName name="BLPH213" localSheetId="58" hidden="1">#REF!</definedName>
    <definedName name="BLPH213" localSheetId="70" hidden="1">#REF!</definedName>
    <definedName name="BLPH213" localSheetId="71" hidden="1">#REF!</definedName>
    <definedName name="BLPH213" localSheetId="73" hidden="1">#REF!</definedName>
    <definedName name="BLPH213" localSheetId="75" hidden="1">#REF!</definedName>
    <definedName name="BLPH213" localSheetId="76" hidden="1">#REF!</definedName>
    <definedName name="BLPH213" localSheetId="13" hidden="1">#REF!</definedName>
    <definedName name="BLPH213" localSheetId="12" hidden="1">#REF!</definedName>
    <definedName name="BLPH213" localSheetId="4" hidden="1">#REF!</definedName>
    <definedName name="BLPH213" hidden="1">#REF!</definedName>
    <definedName name="BLPH214" localSheetId="14" hidden="1">#REF!</definedName>
    <definedName name="BLPH214" localSheetId="19" hidden="1">#REF!</definedName>
    <definedName name="BLPH214" localSheetId="23" hidden="1">#REF!</definedName>
    <definedName name="BLPH214" localSheetId="31" hidden="1">#REF!</definedName>
    <definedName name="BLPH214" localSheetId="36" hidden="1">#REF!</definedName>
    <definedName name="BLPH214" localSheetId="37" hidden="1">#REF!</definedName>
    <definedName name="BLPH214" localSheetId="38" hidden="1">#REF!</definedName>
    <definedName name="BLPH214" localSheetId="45" hidden="1">#REF!</definedName>
    <definedName name="BLPH214" localSheetId="46" hidden="1">#REF!</definedName>
    <definedName name="BLPH214" localSheetId="48" hidden="1">#REF!</definedName>
    <definedName name="BLPH214" localSheetId="49" hidden="1">#REF!</definedName>
    <definedName name="BLPH214" localSheetId="50" hidden="1">#REF!</definedName>
    <definedName name="BLPH214" localSheetId="51" hidden="1">#REF!</definedName>
    <definedName name="BLPH214" localSheetId="52" hidden="1">#REF!</definedName>
    <definedName name="BLPH214" localSheetId="54" hidden="1">#REF!</definedName>
    <definedName name="BLPH214" localSheetId="55" hidden="1">#REF!</definedName>
    <definedName name="BLPH214" localSheetId="56" hidden="1">#REF!</definedName>
    <definedName name="BLPH214" localSheetId="57" hidden="1">#REF!</definedName>
    <definedName name="BLPH214" localSheetId="58" hidden="1">#REF!</definedName>
    <definedName name="BLPH214" localSheetId="70" hidden="1">#REF!</definedName>
    <definedName name="BLPH214" localSheetId="71" hidden="1">#REF!</definedName>
    <definedName name="BLPH214" localSheetId="73" hidden="1">#REF!</definedName>
    <definedName name="BLPH214" localSheetId="75" hidden="1">#REF!</definedName>
    <definedName name="BLPH214" localSheetId="76" hidden="1">#REF!</definedName>
    <definedName name="BLPH214" localSheetId="13" hidden="1">#REF!</definedName>
    <definedName name="BLPH214" localSheetId="12" hidden="1">#REF!</definedName>
    <definedName name="BLPH214" localSheetId="4" hidden="1">#REF!</definedName>
    <definedName name="BLPH214" hidden="1">#REF!</definedName>
    <definedName name="BLPH215" localSheetId="14" hidden="1">#REF!</definedName>
    <definedName name="BLPH215" localSheetId="19" hidden="1">#REF!</definedName>
    <definedName name="BLPH215" localSheetId="23" hidden="1">#REF!</definedName>
    <definedName name="BLPH215" localSheetId="31" hidden="1">#REF!</definedName>
    <definedName name="BLPH215" localSheetId="36" hidden="1">#REF!</definedName>
    <definedName name="BLPH215" localSheetId="37" hidden="1">#REF!</definedName>
    <definedName name="BLPH215" localSheetId="38" hidden="1">#REF!</definedName>
    <definedName name="BLPH215" localSheetId="45" hidden="1">#REF!</definedName>
    <definedName name="BLPH215" localSheetId="46" hidden="1">#REF!</definedName>
    <definedName name="BLPH215" localSheetId="48" hidden="1">#REF!</definedName>
    <definedName name="BLPH215" localSheetId="49" hidden="1">#REF!</definedName>
    <definedName name="BLPH215" localSheetId="50" hidden="1">#REF!</definedName>
    <definedName name="BLPH215" localSheetId="51" hidden="1">#REF!</definedName>
    <definedName name="BLPH215" localSheetId="52" hidden="1">#REF!</definedName>
    <definedName name="BLPH215" localSheetId="54" hidden="1">#REF!</definedName>
    <definedName name="BLPH215" localSheetId="55" hidden="1">#REF!</definedName>
    <definedName name="BLPH215" localSheetId="56" hidden="1">#REF!</definedName>
    <definedName name="BLPH215" localSheetId="57" hidden="1">#REF!</definedName>
    <definedName name="BLPH215" localSheetId="58" hidden="1">#REF!</definedName>
    <definedName name="BLPH215" localSheetId="70" hidden="1">#REF!</definedName>
    <definedName name="BLPH215" localSheetId="71" hidden="1">#REF!</definedName>
    <definedName name="BLPH215" localSheetId="73" hidden="1">#REF!</definedName>
    <definedName name="BLPH215" localSheetId="75" hidden="1">#REF!</definedName>
    <definedName name="BLPH215" localSheetId="76" hidden="1">#REF!</definedName>
    <definedName name="BLPH215" localSheetId="13" hidden="1">#REF!</definedName>
    <definedName name="BLPH215" localSheetId="12" hidden="1">#REF!</definedName>
    <definedName name="BLPH215" localSheetId="4" hidden="1">#REF!</definedName>
    <definedName name="BLPH215" hidden="1">#REF!</definedName>
    <definedName name="BLPH216" localSheetId="14" hidden="1">#REF!</definedName>
    <definedName name="BLPH216" localSheetId="19" hidden="1">#REF!</definedName>
    <definedName name="BLPH216" localSheetId="23" hidden="1">#REF!</definedName>
    <definedName name="BLPH216" localSheetId="31" hidden="1">#REF!</definedName>
    <definedName name="BLPH216" localSheetId="36" hidden="1">#REF!</definedName>
    <definedName name="BLPH216" localSheetId="37" hidden="1">#REF!</definedName>
    <definedName name="BLPH216" localSheetId="38" hidden="1">#REF!</definedName>
    <definedName name="BLPH216" localSheetId="45" hidden="1">#REF!</definedName>
    <definedName name="BLPH216" localSheetId="46" hidden="1">#REF!</definedName>
    <definedName name="BLPH216" localSheetId="48" hidden="1">#REF!</definedName>
    <definedName name="BLPH216" localSheetId="49" hidden="1">#REF!</definedName>
    <definedName name="BLPH216" localSheetId="50" hidden="1">#REF!</definedName>
    <definedName name="BLPH216" localSheetId="51" hidden="1">#REF!</definedName>
    <definedName name="BLPH216" localSheetId="52" hidden="1">#REF!</definedName>
    <definedName name="BLPH216" localSheetId="54" hidden="1">#REF!</definedName>
    <definedName name="BLPH216" localSheetId="55" hidden="1">#REF!</definedName>
    <definedName name="BLPH216" localSheetId="56" hidden="1">#REF!</definedName>
    <definedName name="BLPH216" localSheetId="57" hidden="1">#REF!</definedName>
    <definedName name="BLPH216" localSheetId="58" hidden="1">#REF!</definedName>
    <definedName name="BLPH216" localSheetId="70" hidden="1">#REF!</definedName>
    <definedName name="BLPH216" localSheetId="71" hidden="1">#REF!</definedName>
    <definedName name="BLPH216" localSheetId="73" hidden="1">#REF!</definedName>
    <definedName name="BLPH216" localSheetId="75" hidden="1">#REF!</definedName>
    <definedName name="BLPH216" localSheetId="76" hidden="1">#REF!</definedName>
    <definedName name="BLPH216" localSheetId="13" hidden="1">#REF!</definedName>
    <definedName name="BLPH216" localSheetId="12" hidden="1">#REF!</definedName>
    <definedName name="BLPH216" localSheetId="4" hidden="1">#REF!</definedName>
    <definedName name="BLPH216" hidden="1">#REF!</definedName>
    <definedName name="BLPH217" localSheetId="14" hidden="1">#REF!</definedName>
    <definedName name="BLPH217" localSheetId="19" hidden="1">#REF!</definedName>
    <definedName name="BLPH217" localSheetId="23" hidden="1">#REF!</definedName>
    <definedName name="BLPH217" localSheetId="31" hidden="1">#REF!</definedName>
    <definedName name="BLPH217" localSheetId="36" hidden="1">#REF!</definedName>
    <definedName name="BLPH217" localSheetId="37" hidden="1">#REF!</definedName>
    <definedName name="BLPH217" localSheetId="38" hidden="1">#REF!</definedName>
    <definedName name="BLPH217" localSheetId="45" hidden="1">#REF!</definedName>
    <definedName name="BLPH217" localSheetId="46" hidden="1">#REF!</definedName>
    <definedName name="BLPH217" localSheetId="48" hidden="1">#REF!</definedName>
    <definedName name="BLPH217" localSheetId="49" hidden="1">#REF!</definedName>
    <definedName name="BLPH217" localSheetId="50" hidden="1">#REF!</definedName>
    <definedName name="BLPH217" localSheetId="51" hidden="1">#REF!</definedName>
    <definedName name="BLPH217" localSheetId="52" hidden="1">#REF!</definedName>
    <definedName name="BLPH217" localSheetId="54" hidden="1">#REF!</definedName>
    <definedName name="BLPH217" localSheetId="55" hidden="1">#REF!</definedName>
    <definedName name="BLPH217" localSheetId="56" hidden="1">#REF!</definedName>
    <definedName name="BLPH217" localSheetId="57" hidden="1">#REF!</definedName>
    <definedName name="BLPH217" localSheetId="58" hidden="1">#REF!</definedName>
    <definedName name="BLPH217" localSheetId="70" hidden="1">#REF!</definedName>
    <definedName name="BLPH217" localSheetId="71" hidden="1">#REF!</definedName>
    <definedName name="BLPH217" localSheetId="73" hidden="1">#REF!</definedName>
    <definedName name="BLPH217" localSheetId="75" hidden="1">#REF!</definedName>
    <definedName name="BLPH217" localSheetId="76" hidden="1">#REF!</definedName>
    <definedName name="BLPH217" localSheetId="13" hidden="1">#REF!</definedName>
    <definedName name="BLPH217" localSheetId="12" hidden="1">#REF!</definedName>
    <definedName name="BLPH217" localSheetId="4" hidden="1">#REF!</definedName>
    <definedName name="BLPH217" hidden="1">#REF!</definedName>
    <definedName name="BLPH218" localSheetId="14" hidden="1">#REF!</definedName>
    <definedName name="BLPH218" localSheetId="19" hidden="1">#REF!</definedName>
    <definedName name="BLPH218" localSheetId="23" hidden="1">#REF!</definedName>
    <definedName name="BLPH218" localSheetId="31" hidden="1">#REF!</definedName>
    <definedName name="BLPH218" localSheetId="36" hidden="1">#REF!</definedName>
    <definedName name="BLPH218" localSheetId="37" hidden="1">#REF!</definedName>
    <definedName name="BLPH218" localSheetId="38" hidden="1">#REF!</definedName>
    <definedName name="BLPH218" localSheetId="45" hidden="1">#REF!</definedName>
    <definedName name="BLPH218" localSheetId="46" hidden="1">#REF!</definedName>
    <definedName name="BLPH218" localSheetId="48" hidden="1">#REF!</definedName>
    <definedName name="BLPH218" localSheetId="49" hidden="1">#REF!</definedName>
    <definedName name="BLPH218" localSheetId="50" hidden="1">#REF!</definedName>
    <definedName name="BLPH218" localSheetId="51" hidden="1">#REF!</definedName>
    <definedName name="BLPH218" localSheetId="52" hidden="1">#REF!</definedName>
    <definedName name="BLPH218" localSheetId="54" hidden="1">#REF!</definedName>
    <definedName name="BLPH218" localSheetId="55" hidden="1">#REF!</definedName>
    <definedName name="BLPH218" localSheetId="56" hidden="1">#REF!</definedName>
    <definedName name="BLPH218" localSheetId="57" hidden="1">#REF!</definedName>
    <definedName name="BLPH218" localSheetId="58" hidden="1">#REF!</definedName>
    <definedName name="BLPH218" localSheetId="70" hidden="1">#REF!</definedName>
    <definedName name="BLPH218" localSheetId="71" hidden="1">#REF!</definedName>
    <definedName name="BLPH218" localSheetId="73" hidden="1">#REF!</definedName>
    <definedName name="BLPH218" localSheetId="75" hidden="1">#REF!</definedName>
    <definedName name="BLPH218" localSheetId="76" hidden="1">#REF!</definedName>
    <definedName name="BLPH218" localSheetId="13" hidden="1">#REF!</definedName>
    <definedName name="BLPH218" localSheetId="12" hidden="1">#REF!</definedName>
    <definedName name="BLPH218" localSheetId="4" hidden="1">#REF!</definedName>
    <definedName name="BLPH218" hidden="1">#REF!</definedName>
    <definedName name="BLPH219" localSheetId="14" hidden="1">#REF!</definedName>
    <definedName name="BLPH219" localSheetId="19" hidden="1">#REF!</definedName>
    <definedName name="BLPH219" localSheetId="23" hidden="1">#REF!</definedName>
    <definedName name="BLPH219" localSheetId="31" hidden="1">#REF!</definedName>
    <definedName name="BLPH219" localSheetId="36" hidden="1">#REF!</definedName>
    <definedName name="BLPH219" localSheetId="37" hidden="1">#REF!</definedName>
    <definedName name="BLPH219" localSheetId="38" hidden="1">#REF!</definedName>
    <definedName name="BLPH219" localSheetId="45" hidden="1">#REF!</definedName>
    <definedName name="BLPH219" localSheetId="46" hidden="1">#REF!</definedName>
    <definedName name="BLPH219" localSheetId="48" hidden="1">#REF!</definedName>
    <definedName name="BLPH219" localSheetId="49" hidden="1">#REF!</definedName>
    <definedName name="BLPH219" localSheetId="50" hidden="1">#REF!</definedName>
    <definedName name="BLPH219" localSheetId="51" hidden="1">#REF!</definedName>
    <definedName name="BLPH219" localSheetId="52" hidden="1">#REF!</definedName>
    <definedName name="BLPH219" localSheetId="54" hidden="1">#REF!</definedName>
    <definedName name="BLPH219" localSheetId="55" hidden="1">#REF!</definedName>
    <definedName name="BLPH219" localSheetId="56" hidden="1">#REF!</definedName>
    <definedName name="BLPH219" localSheetId="57" hidden="1">#REF!</definedName>
    <definedName name="BLPH219" localSheetId="58" hidden="1">#REF!</definedName>
    <definedName name="BLPH219" localSheetId="70" hidden="1">#REF!</definedName>
    <definedName name="BLPH219" localSheetId="71" hidden="1">#REF!</definedName>
    <definedName name="BLPH219" localSheetId="73" hidden="1">#REF!</definedName>
    <definedName name="BLPH219" localSheetId="75" hidden="1">#REF!</definedName>
    <definedName name="BLPH219" localSheetId="76" hidden="1">#REF!</definedName>
    <definedName name="BLPH219" localSheetId="13" hidden="1">#REF!</definedName>
    <definedName name="BLPH219" localSheetId="12" hidden="1">#REF!</definedName>
    <definedName name="BLPH219" localSheetId="4" hidden="1">#REF!</definedName>
    <definedName name="BLPH219" hidden="1">#REF!</definedName>
    <definedName name="BLPH22" hidden="1">'[5]Risk-Free Rate'!$AN$15</definedName>
    <definedName name="BLPH220" localSheetId="14" hidden="1">#REF!</definedName>
    <definedName name="BLPH220" localSheetId="19" hidden="1">#REF!</definedName>
    <definedName name="BLPH220" localSheetId="23" hidden="1">#REF!</definedName>
    <definedName name="BLPH220" localSheetId="26" hidden="1">#REF!</definedName>
    <definedName name="BLPH220" localSheetId="31" hidden="1">#REF!</definedName>
    <definedName name="BLPH220" localSheetId="36" hidden="1">#REF!</definedName>
    <definedName name="BLPH220" localSheetId="37" hidden="1">#REF!</definedName>
    <definedName name="BLPH220" localSheetId="38" hidden="1">#REF!</definedName>
    <definedName name="BLPH220" localSheetId="45" hidden="1">#REF!</definedName>
    <definedName name="BLPH220" localSheetId="46" hidden="1">#REF!</definedName>
    <definedName name="BLPH220" localSheetId="48" hidden="1">#REF!</definedName>
    <definedName name="BLPH220" localSheetId="49" hidden="1">#REF!</definedName>
    <definedName name="BLPH220" localSheetId="50" hidden="1">#REF!</definedName>
    <definedName name="BLPH220" localSheetId="51" hidden="1">#REF!</definedName>
    <definedName name="BLPH220" localSheetId="52" hidden="1">#REF!</definedName>
    <definedName name="BLPH220" localSheetId="54" hidden="1">#REF!</definedName>
    <definedName name="BLPH220" localSheetId="55" hidden="1">#REF!</definedName>
    <definedName name="BLPH220" localSheetId="56" hidden="1">#REF!</definedName>
    <definedName name="BLPH220" localSheetId="57" hidden="1">#REF!</definedName>
    <definedName name="BLPH220" localSheetId="58" hidden="1">#REF!</definedName>
    <definedName name="BLPH220" localSheetId="70" hidden="1">#REF!</definedName>
    <definedName name="BLPH220" localSheetId="71" hidden="1">#REF!</definedName>
    <definedName name="BLPH220" localSheetId="73" hidden="1">#REF!</definedName>
    <definedName name="BLPH220" localSheetId="75" hidden="1">#REF!</definedName>
    <definedName name="BLPH220" localSheetId="76" hidden="1">#REF!</definedName>
    <definedName name="BLPH220" localSheetId="13" hidden="1">#REF!</definedName>
    <definedName name="BLPH220" localSheetId="12" hidden="1">#REF!</definedName>
    <definedName name="BLPH220" localSheetId="4" hidden="1">#REF!</definedName>
    <definedName name="BLPH220" hidden="1">#REF!</definedName>
    <definedName name="BLPH221" localSheetId="14" hidden="1">#REF!</definedName>
    <definedName name="BLPH221" localSheetId="19" hidden="1">#REF!</definedName>
    <definedName name="BLPH221" localSheetId="23" hidden="1">#REF!</definedName>
    <definedName name="BLPH221" localSheetId="26" hidden="1">#REF!</definedName>
    <definedName name="BLPH221" localSheetId="31" hidden="1">#REF!</definedName>
    <definedName name="BLPH221" localSheetId="36" hidden="1">#REF!</definedName>
    <definedName name="BLPH221" localSheetId="37" hidden="1">#REF!</definedName>
    <definedName name="BLPH221" localSheetId="38" hidden="1">#REF!</definedName>
    <definedName name="BLPH221" localSheetId="45" hidden="1">#REF!</definedName>
    <definedName name="BLPH221" localSheetId="46" hidden="1">#REF!</definedName>
    <definedName name="BLPH221" localSheetId="48" hidden="1">#REF!</definedName>
    <definedName name="BLPH221" localSheetId="49" hidden="1">#REF!</definedName>
    <definedName name="BLPH221" localSheetId="50" hidden="1">#REF!</definedName>
    <definedName name="BLPH221" localSheetId="51" hidden="1">#REF!</definedName>
    <definedName name="BLPH221" localSheetId="52" hidden="1">#REF!</definedName>
    <definedName name="BLPH221" localSheetId="54" hidden="1">#REF!</definedName>
    <definedName name="BLPH221" localSheetId="55" hidden="1">#REF!</definedName>
    <definedName name="BLPH221" localSheetId="56" hidden="1">#REF!</definedName>
    <definedName name="BLPH221" localSheetId="57" hidden="1">#REF!</definedName>
    <definedName name="BLPH221" localSheetId="58" hidden="1">#REF!</definedName>
    <definedName name="BLPH221" localSheetId="70" hidden="1">#REF!</definedName>
    <definedName name="BLPH221" localSheetId="71" hidden="1">#REF!</definedName>
    <definedName name="BLPH221" localSheetId="73" hidden="1">#REF!</definedName>
    <definedName name="BLPH221" localSheetId="75" hidden="1">#REF!</definedName>
    <definedName name="BLPH221" localSheetId="76" hidden="1">#REF!</definedName>
    <definedName name="BLPH221" localSheetId="13" hidden="1">#REF!</definedName>
    <definedName name="BLPH221" localSheetId="12" hidden="1">#REF!</definedName>
    <definedName name="BLPH221" localSheetId="4" hidden="1">#REF!</definedName>
    <definedName name="BLPH221" hidden="1">#REF!</definedName>
    <definedName name="BLPH222" localSheetId="14" hidden="1">#REF!</definedName>
    <definedName name="BLPH222" localSheetId="19" hidden="1">#REF!</definedName>
    <definedName name="BLPH222" localSheetId="23" hidden="1">#REF!</definedName>
    <definedName name="BLPH222" localSheetId="26" hidden="1">#REF!</definedName>
    <definedName name="BLPH222" localSheetId="31" hidden="1">#REF!</definedName>
    <definedName name="BLPH222" localSheetId="36" hidden="1">#REF!</definedName>
    <definedName name="BLPH222" localSheetId="37" hidden="1">#REF!</definedName>
    <definedName name="BLPH222" localSheetId="38" hidden="1">#REF!</definedName>
    <definedName name="BLPH222" localSheetId="45" hidden="1">#REF!</definedName>
    <definedName name="BLPH222" localSheetId="46" hidden="1">#REF!</definedName>
    <definedName name="BLPH222" localSheetId="48" hidden="1">#REF!</definedName>
    <definedName name="BLPH222" localSheetId="49" hidden="1">#REF!</definedName>
    <definedName name="BLPH222" localSheetId="50" hidden="1">#REF!</definedName>
    <definedName name="BLPH222" localSheetId="51" hidden="1">#REF!</definedName>
    <definedName name="BLPH222" localSheetId="52" hidden="1">#REF!</definedName>
    <definedName name="BLPH222" localSheetId="54" hidden="1">#REF!</definedName>
    <definedName name="BLPH222" localSheetId="55" hidden="1">#REF!</definedName>
    <definedName name="BLPH222" localSheetId="56" hidden="1">#REF!</definedName>
    <definedName name="BLPH222" localSheetId="57" hidden="1">#REF!</definedName>
    <definedName name="BLPH222" localSheetId="58" hidden="1">#REF!</definedName>
    <definedName name="BLPH222" localSheetId="70" hidden="1">#REF!</definedName>
    <definedName name="BLPH222" localSheetId="71" hidden="1">#REF!</definedName>
    <definedName name="BLPH222" localSheetId="73" hidden="1">#REF!</definedName>
    <definedName name="BLPH222" localSheetId="75" hidden="1">#REF!</definedName>
    <definedName name="BLPH222" localSheetId="76" hidden="1">#REF!</definedName>
    <definedName name="BLPH222" localSheetId="13" hidden="1">#REF!</definedName>
    <definedName name="BLPH222" localSheetId="12" hidden="1">#REF!</definedName>
    <definedName name="BLPH222" localSheetId="4" hidden="1">#REF!</definedName>
    <definedName name="BLPH222" hidden="1">#REF!</definedName>
    <definedName name="BLPH223" localSheetId="14" hidden="1">#REF!</definedName>
    <definedName name="BLPH223" localSheetId="19" hidden="1">#REF!</definedName>
    <definedName name="BLPH223" localSheetId="23" hidden="1">#REF!</definedName>
    <definedName name="BLPH223" localSheetId="31" hidden="1">#REF!</definedName>
    <definedName name="BLPH223" localSheetId="36" hidden="1">#REF!</definedName>
    <definedName name="BLPH223" localSheetId="37" hidden="1">#REF!</definedName>
    <definedName name="BLPH223" localSheetId="38" hidden="1">#REF!</definedName>
    <definedName name="BLPH223" localSheetId="45" hidden="1">#REF!</definedName>
    <definedName name="BLPH223" localSheetId="46" hidden="1">#REF!</definedName>
    <definedName name="BLPH223" localSheetId="48" hidden="1">#REF!</definedName>
    <definedName name="BLPH223" localSheetId="49" hidden="1">#REF!</definedName>
    <definedName name="BLPH223" localSheetId="50" hidden="1">#REF!</definedName>
    <definedName name="BLPH223" localSheetId="51" hidden="1">#REF!</definedName>
    <definedName name="BLPH223" localSheetId="52" hidden="1">#REF!</definedName>
    <definedName name="BLPH223" localSheetId="54" hidden="1">#REF!</definedName>
    <definedName name="BLPH223" localSheetId="55" hidden="1">#REF!</definedName>
    <definedName name="BLPH223" localSheetId="56" hidden="1">#REF!</definedName>
    <definedName name="BLPH223" localSheetId="57" hidden="1">#REF!</definedName>
    <definedName name="BLPH223" localSheetId="58" hidden="1">#REF!</definedName>
    <definedName name="BLPH223" localSheetId="70" hidden="1">#REF!</definedName>
    <definedName name="BLPH223" localSheetId="71" hidden="1">#REF!</definedName>
    <definedName name="BLPH223" localSheetId="73" hidden="1">#REF!</definedName>
    <definedName name="BLPH223" localSheetId="75" hidden="1">#REF!</definedName>
    <definedName name="BLPH223" localSheetId="76" hidden="1">#REF!</definedName>
    <definedName name="BLPH223" localSheetId="13" hidden="1">#REF!</definedName>
    <definedName name="BLPH223" localSheetId="12" hidden="1">#REF!</definedName>
    <definedName name="BLPH223" localSheetId="4" hidden="1">#REF!</definedName>
    <definedName name="BLPH223" hidden="1">#REF!</definedName>
    <definedName name="BLPH224" localSheetId="14" hidden="1">#REF!</definedName>
    <definedName name="BLPH224" localSheetId="19" hidden="1">#REF!</definedName>
    <definedName name="BLPH224" localSheetId="23" hidden="1">#REF!</definedName>
    <definedName name="BLPH224" localSheetId="31" hidden="1">#REF!</definedName>
    <definedName name="BLPH224" localSheetId="36" hidden="1">#REF!</definedName>
    <definedName name="BLPH224" localSheetId="37" hidden="1">#REF!</definedName>
    <definedName name="BLPH224" localSheetId="38" hidden="1">#REF!</definedName>
    <definedName name="BLPH224" localSheetId="45" hidden="1">#REF!</definedName>
    <definedName name="BLPH224" localSheetId="46" hidden="1">#REF!</definedName>
    <definedName name="BLPH224" localSheetId="48" hidden="1">#REF!</definedName>
    <definedName name="BLPH224" localSheetId="49" hidden="1">#REF!</definedName>
    <definedName name="BLPH224" localSheetId="50" hidden="1">#REF!</definedName>
    <definedName name="BLPH224" localSheetId="51" hidden="1">#REF!</definedName>
    <definedName name="BLPH224" localSheetId="52" hidden="1">#REF!</definedName>
    <definedName name="BLPH224" localSheetId="54" hidden="1">#REF!</definedName>
    <definedName name="BLPH224" localSheetId="55" hidden="1">#REF!</definedName>
    <definedName name="BLPH224" localSheetId="56" hidden="1">#REF!</definedName>
    <definedName name="BLPH224" localSheetId="57" hidden="1">#REF!</definedName>
    <definedName name="BLPH224" localSheetId="58" hidden="1">#REF!</definedName>
    <definedName name="BLPH224" localSheetId="70" hidden="1">#REF!</definedName>
    <definedName name="BLPH224" localSheetId="71" hidden="1">#REF!</definedName>
    <definedName name="BLPH224" localSheetId="73" hidden="1">#REF!</definedName>
    <definedName name="BLPH224" localSheetId="75" hidden="1">#REF!</definedName>
    <definedName name="BLPH224" localSheetId="76" hidden="1">#REF!</definedName>
    <definedName name="BLPH224" localSheetId="13" hidden="1">#REF!</definedName>
    <definedName name="BLPH224" localSheetId="12" hidden="1">#REF!</definedName>
    <definedName name="BLPH224" localSheetId="4" hidden="1">#REF!</definedName>
    <definedName name="BLPH224" hidden="1">#REF!</definedName>
    <definedName name="BLPH225" localSheetId="14" hidden="1">#REF!</definedName>
    <definedName name="BLPH225" localSheetId="19" hidden="1">#REF!</definedName>
    <definedName name="BLPH225" localSheetId="23" hidden="1">#REF!</definedName>
    <definedName name="BLPH225" localSheetId="31" hidden="1">#REF!</definedName>
    <definedName name="BLPH225" localSheetId="36" hidden="1">#REF!</definedName>
    <definedName name="BLPH225" localSheetId="37" hidden="1">#REF!</definedName>
    <definedName name="BLPH225" localSheetId="38" hidden="1">#REF!</definedName>
    <definedName name="BLPH225" localSheetId="45" hidden="1">#REF!</definedName>
    <definedName name="BLPH225" localSheetId="46" hidden="1">#REF!</definedName>
    <definedName name="BLPH225" localSheetId="48" hidden="1">#REF!</definedName>
    <definedName name="BLPH225" localSheetId="49" hidden="1">#REF!</definedName>
    <definedName name="BLPH225" localSheetId="50" hidden="1">#REF!</definedName>
    <definedName name="BLPH225" localSheetId="51" hidden="1">#REF!</definedName>
    <definedName name="BLPH225" localSheetId="52" hidden="1">#REF!</definedName>
    <definedName name="BLPH225" localSheetId="54" hidden="1">#REF!</definedName>
    <definedName name="BLPH225" localSheetId="55" hidden="1">#REF!</definedName>
    <definedName name="BLPH225" localSheetId="56" hidden="1">#REF!</definedName>
    <definedName name="BLPH225" localSheetId="57" hidden="1">#REF!</definedName>
    <definedName name="BLPH225" localSheetId="58" hidden="1">#REF!</definedName>
    <definedName name="BLPH225" localSheetId="70" hidden="1">#REF!</definedName>
    <definedName name="BLPH225" localSheetId="71" hidden="1">#REF!</definedName>
    <definedName name="BLPH225" localSheetId="73" hidden="1">#REF!</definedName>
    <definedName name="BLPH225" localSheetId="75" hidden="1">#REF!</definedName>
    <definedName name="BLPH225" localSheetId="76" hidden="1">#REF!</definedName>
    <definedName name="BLPH225" localSheetId="13" hidden="1">#REF!</definedName>
    <definedName name="BLPH225" localSheetId="12" hidden="1">#REF!</definedName>
    <definedName name="BLPH225" localSheetId="4" hidden="1">#REF!</definedName>
    <definedName name="BLPH225" hidden="1">#REF!</definedName>
    <definedName name="BLPH226" localSheetId="14" hidden="1">#REF!</definedName>
    <definedName name="BLPH226" localSheetId="19" hidden="1">#REF!</definedName>
    <definedName name="BLPH226" localSheetId="23" hidden="1">#REF!</definedName>
    <definedName name="BLPH226" localSheetId="31" hidden="1">#REF!</definedName>
    <definedName name="BLPH226" localSheetId="36" hidden="1">#REF!</definedName>
    <definedName name="BLPH226" localSheetId="37" hidden="1">#REF!</definedName>
    <definedName name="BLPH226" localSheetId="38" hidden="1">#REF!</definedName>
    <definedName name="BLPH226" localSheetId="45" hidden="1">#REF!</definedName>
    <definedName name="BLPH226" localSheetId="46" hidden="1">#REF!</definedName>
    <definedName name="BLPH226" localSheetId="48" hidden="1">#REF!</definedName>
    <definedName name="BLPH226" localSheetId="49" hidden="1">#REF!</definedName>
    <definedName name="BLPH226" localSheetId="50" hidden="1">#REF!</definedName>
    <definedName name="BLPH226" localSheetId="51" hidden="1">#REF!</definedName>
    <definedName name="BLPH226" localSheetId="52" hidden="1">#REF!</definedName>
    <definedName name="BLPH226" localSheetId="54" hidden="1">#REF!</definedName>
    <definedName name="BLPH226" localSheetId="55" hidden="1">#REF!</definedName>
    <definedName name="BLPH226" localSheetId="56" hidden="1">#REF!</definedName>
    <definedName name="BLPH226" localSheetId="57" hidden="1">#REF!</definedName>
    <definedName name="BLPH226" localSheetId="58" hidden="1">#REF!</definedName>
    <definedName name="BLPH226" localSheetId="70" hidden="1">#REF!</definedName>
    <definedName name="BLPH226" localSheetId="71" hidden="1">#REF!</definedName>
    <definedName name="BLPH226" localSheetId="73" hidden="1">#REF!</definedName>
    <definedName name="BLPH226" localSheetId="75" hidden="1">#REF!</definedName>
    <definedName name="BLPH226" localSheetId="76" hidden="1">#REF!</definedName>
    <definedName name="BLPH226" localSheetId="13" hidden="1">#REF!</definedName>
    <definedName name="BLPH226" localSheetId="12" hidden="1">#REF!</definedName>
    <definedName name="BLPH226" localSheetId="4" hidden="1">#REF!</definedName>
    <definedName name="BLPH226" hidden="1">#REF!</definedName>
    <definedName name="BLPH227" localSheetId="14" hidden="1">#REF!</definedName>
    <definedName name="BLPH227" localSheetId="19" hidden="1">#REF!</definedName>
    <definedName name="BLPH227" localSheetId="23" hidden="1">#REF!</definedName>
    <definedName name="BLPH227" localSheetId="31" hidden="1">#REF!</definedName>
    <definedName name="BLPH227" localSheetId="36" hidden="1">#REF!</definedName>
    <definedName name="BLPH227" localSheetId="37" hidden="1">#REF!</definedName>
    <definedName name="BLPH227" localSheetId="38" hidden="1">#REF!</definedName>
    <definedName name="BLPH227" localSheetId="45" hidden="1">#REF!</definedName>
    <definedName name="BLPH227" localSheetId="46" hidden="1">#REF!</definedName>
    <definedName name="BLPH227" localSheetId="48" hidden="1">#REF!</definedName>
    <definedName name="BLPH227" localSheetId="49" hidden="1">#REF!</definedName>
    <definedName name="BLPH227" localSheetId="50" hidden="1">#REF!</definedName>
    <definedName name="BLPH227" localSheetId="51" hidden="1">#REF!</definedName>
    <definedName name="BLPH227" localSheetId="52" hidden="1">#REF!</definedName>
    <definedName name="BLPH227" localSheetId="54" hidden="1">#REF!</definedName>
    <definedName name="BLPH227" localSheetId="55" hidden="1">#REF!</definedName>
    <definedName name="BLPH227" localSheetId="56" hidden="1">#REF!</definedName>
    <definedName name="BLPH227" localSheetId="57" hidden="1">#REF!</definedName>
    <definedName name="BLPH227" localSheetId="58" hidden="1">#REF!</definedName>
    <definedName name="BLPH227" localSheetId="70" hidden="1">#REF!</definedName>
    <definedName name="BLPH227" localSheetId="71" hidden="1">#REF!</definedName>
    <definedName name="BLPH227" localSheetId="73" hidden="1">#REF!</definedName>
    <definedName name="BLPH227" localSheetId="75" hidden="1">#REF!</definedName>
    <definedName name="BLPH227" localSheetId="76" hidden="1">#REF!</definedName>
    <definedName name="BLPH227" localSheetId="13" hidden="1">#REF!</definedName>
    <definedName name="BLPH227" localSheetId="12" hidden="1">#REF!</definedName>
    <definedName name="BLPH227" localSheetId="4" hidden="1">#REF!</definedName>
    <definedName name="BLPH227" hidden="1">#REF!</definedName>
    <definedName name="BLPH228" localSheetId="14" hidden="1">#REF!</definedName>
    <definedName name="BLPH228" localSheetId="19" hidden="1">#REF!</definedName>
    <definedName name="BLPH228" localSheetId="23" hidden="1">#REF!</definedName>
    <definedName name="BLPH228" localSheetId="31" hidden="1">#REF!</definedName>
    <definedName name="BLPH228" localSheetId="36" hidden="1">#REF!</definedName>
    <definedName name="BLPH228" localSheetId="37" hidden="1">#REF!</definedName>
    <definedName name="BLPH228" localSheetId="38" hidden="1">#REF!</definedName>
    <definedName name="BLPH228" localSheetId="45" hidden="1">#REF!</definedName>
    <definedName name="BLPH228" localSheetId="46" hidden="1">#REF!</definedName>
    <definedName name="BLPH228" localSheetId="48" hidden="1">#REF!</definedName>
    <definedName name="BLPH228" localSheetId="49" hidden="1">#REF!</definedName>
    <definedName name="BLPH228" localSheetId="50" hidden="1">#REF!</definedName>
    <definedName name="BLPH228" localSheetId="51" hidden="1">#REF!</definedName>
    <definedName name="BLPH228" localSheetId="52" hidden="1">#REF!</definedName>
    <definedName name="BLPH228" localSheetId="54" hidden="1">#REF!</definedName>
    <definedName name="BLPH228" localSheetId="55" hidden="1">#REF!</definedName>
    <definedName name="BLPH228" localSheetId="56" hidden="1">#REF!</definedName>
    <definedName name="BLPH228" localSheetId="57" hidden="1">#REF!</definedName>
    <definedName name="BLPH228" localSheetId="58" hidden="1">#REF!</definedName>
    <definedName name="BLPH228" localSheetId="70" hidden="1">#REF!</definedName>
    <definedName name="BLPH228" localSheetId="71" hidden="1">#REF!</definedName>
    <definedName name="BLPH228" localSheetId="73" hidden="1">#REF!</definedName>
    <definedName name="BLPH228" localSheetId="75" hidden="1">#REF!</definedName>
    <definedName name="BLPH228" localSheetId="76" hidden="1">#REF!</definedName>
    <definedName name="BLPH228" localSheetId="13" hidden="1">#REF!</definedName>
    <definedName name="BLPH228" localSheetId="12" hidden="1">#REF!</definedName>
    <definedName name="BLPH228" localSheetId="4" hidden="1">#REF!</definedName>
    <definedName name="BLPH228" hidden="1">#REF!</definedName>
    <definedName name="BLPH229" localSheetId="14" hidden="1">#REF!</definedName>
    <definedName name="BLPH229" localSheetId="19" hidden="1">#REF!</definedName>
    <definedName name="BLPH229" localSheetId="23" hidden="1">#REF!</definedName>
    <definedName name="BLPH229" localSheetId="31" hidden="1">#REF!</definedName>
    <definedName name="BLPH229" localSheetId="36" hidden="1">#REF!</definedName>
    <definedName name="BLPH229" localSheetId="37" hidden="1">#REF!</definedName>
    <definedName name="BLPH229" localSheetId="38" hidden="1">#REF!</definedName>
    <definedName name="BLPH229" localSheetId="45" hidden="1">#REF!</definedName>
    <definedName name="BLPH229" localSheetId="46" hidden="1">#REF!</definedName>
    <definedName name="BLPH229" localSheetId="48" hidden="1">#REF!</definedName>
    <definedName name="BLPH229" localSheetId="49" hidden="1">#REF!</definedName>
    <definedName name="BLPH229" localSheetId="50" hidden="1">#REF!</definedName>
    <definedName name="BLPH229" localSheetId="51" hidden="1">#REF!</definedName>
    <definedName name="BLPH229" localSheetId="52" hidden="1">#REF!</definedName>
    <definedName name="BLPH229" localSheetId="54" hidden="1">#REF!</definedName>
    <definedName name="BLPH229" localSheetId="55" hidden="1">#REF!</definedName>
    <definedName name="BLPH229" localSheetId="56" hidden="1">#REF!</definedName>
    <definedName name="BLPH229" localSheetId="57" hidden="1">#REF!</definedName>
    <definedName name="BLPH229" localSheetId="58" hidden="1">#REF!</definedName>
    <definedName name="BLPH229" localSheetId="70" hidden="1">#REF!</definedName>
    <definedName name="BLPH229" localSheetId="71" hidden="1">#REF!</definedName>
    <definedName name="BLPH229" localSheetId="73" hidden="1">#REF!</definedName>
    <definedName name="BLPH229" localSheetId="75" hidden="1">#REF!</definedName>
    <definedName name="BLPH229" localSheetId="76" hidden="1">#REF!</definedName>
    <definedName name="BLPH229" localSheetId="13" hidden="1">#REF!</definedName>
    <definedName name="BLPH229" localSheetId="12" hidden="1">#REF!</definedName>
    <definedName name="BLPH229" localSheetId="4" hidden="1">#REF!</definedName>
    <definedName name="BLPH229" hidden="1">#REF!</definedName>
    <definedName name="BLPH23" hidden="1">'[5]Risk-Free Rate'!$AK$15</definedName>
    <definedName name="BLPH230" localSheetId="14" hidden="1">#REF!</definedName>
    <definedName name="BLPH230" localSheetId="19" hidden="1">#REF!</definedName>
    <definedName name="BLPH230" localSheetId="23" hidden="1">#REF!</definedName>
    <definedName name="BLPH230" localSheetId="26" hidden="1">#REF!</definedName>
    <definedName name="BLPH230" localSheetId="31" hidden="1">#REF!</definedName>
    <definedName name="BLPH230" localSheetId="36" hidden="1">#REF!</definedName>
    <definedName name="BLPH230" localSheetId="37" hidden="1">#REF!</definedName>
    <definedName name="BLPH230" localSheetId="38" hidden="1">#REF!</definedName>
    <definedName name="BLPH230" localSheetId="45" hidden="1">#REF!</definedName>
    <definedName name="BLPH230" localSheetId="46" hidden="1">#REF!</definedName>
    <definedName name="BLPH230" localSheetId="48" hidden="1">#REF!</definedName>
    <definedName name="BLPH230" localSheetId="49" hidden="1">#REF!</definedName>
    <definedName name="BLPH230" localSheetId="50" hidden="1">#REF!</definedName>
    <definedName name="BLPH230" localSheetId="51" hidden="1">#REF!</definedName>
    <definedName name="BLPH230" localSheetId="52" hidden="1">#REF!</definedName>
    <definedName name="BLPH230" localSheetId="54" hidden="1">#REF!</definedName>
    <definedName name="BLPH230" localSheetId="55" hidden="1">#REF!</definedName>
    <definedName name="BLPH230" localSheetId="56" hidden="1">#REF!</definedName>
    <definedName name="BLPH230" localSheetId="57" hidden="1">#REF!</definedName>
    <definedName name="BLPH230" localSheetId="58" hidden="1">#REF!</definedName>
    <definedName name="BLPH230" localSheetId="70" hidden="1">#REF!</definedName>
    <definedName name="BLPH230" localSheetId="71" hidden="1">#REF!</definedName>
    <definedName name="BLPH230" localSheetId="73" hidden="1">#REF!</definedName>
    <definedName name="BLPH230" localSheetId="75" hidden="1">#REF!</definedName>
    <definedName name="BLPH230" localSheetId="76" hidden="1">#REF!</definedName>
    <definedName name="BLPH230" localSheetId="13" hidden="1">#REF!</definedName>
    <definedName name="BLPH230" localSheetId="12" hidden="1">#REF!</definedName>
    <definedName name="BLPH230" localSheetId="4" hidden="1">#REF!</definedName>
    <definedName name="BLPH230" hidden="1">#REF!</definedName>
    <definedName name="BLPH231" localSheetId="14" hidden="1">#REF!</definedName>
    <definedName name="BLPH231" localSheetId="19" hidden="1">#REF!</definedName>
    <definedName name="BLPH231" localSheetId="23" hidden="1">#REF!</definedName>
    <definedName name="BLPH231" localSheetId="26" hidden="1">#REF!</definedName>
    <definedName name="BLPH231" localSheetId="31" hidden="1">#REF!</definedName>
    <definedName name="BLPH231" localSheetId="36" hidden="1">#REF!</definedName>
    <definedName name="BLPH231" localSheetId="37" hidden="1">#REF!</definedName>
    <definedName name="BLPH231" localSheetId="38" hidden="1">#REF!</definedName>
    <definedName name="BLPH231" localSheetId="45" hidden="1">#REF!</definedName>
    <definedName name="BLPH231" localSheetId="46" hidden="1">#REF!</definedName>
    <definedName name="BLPH231" localSheetId="48" hidden="1">#REF!</definedName>
    <definedName name="BLPH231" localSheetId="49" hidden="1">#REF!</definedName>
    <definedName name="BLPH231" localSheetId="50" hidden="1">#REF!</definedName>
    <definedName name="BLPH231" localSheetId="51" hidden="1">#REF!</definedName>
    <definedName name="BLPH231" localSheetId="52" hidden="1">#REF!</definedName>
    <definedName name="BLPH231" localSheetId="54" hidden="1">#REF!</definedName>
    <definedName name="BLPH231" localSheetId="55" hidden="1">#REF!</definedName>
    <definedName name="BLPH231" localSheetId="56" hidden="1">#REF!</definedName>
    <definedName name="BLPH231" localSheetId="57" hidden="1">#REF!</definedName>
    <definedName name="BLPH231" localSheetId="58" hidden="1">#REF!</definedName>
    <definedName name="BLPH231" localSheetId="70" hidden="1">#REF!</definedName>
    <definedName name="BLPH231" localSheetId="71" hidden="1">#REF!</definedName>
    <definedName name="BLPH231" localSheetId="73" hidden="1">#REF!</definedName>
    <definedName name="BLPH231" localSheetId="75" hidden="1">#REF!</definedName>
    <definedName name="BLPH231" localSheetId="76" hidden="1">#REF!</definedName>
    <definedName name="BLPH231" localSheetId="13" hidden="1">#REF!</definedName>
    <definedName name="BLPH231" localSheetId="12" hidden="1">#REF!</definedName>
    <definedName name="BLPH231" localSheetId="4" hidden="1">#REF!</definedName>
    <definedName name="BLPH231" hidden="1">#REF!</definedName>
    <definedName name="BLPH232" localSheetId="14" hidden="1">#REF!</definedName>
    <definedName name="BLPH232" localSheetId="19" hidden="1">#REF!</definedName>
    <definedName name="BLPH232" localSheetId="23" hidden="1">#REF!</definedName>
    <definedName name="BLPH232" localSheetId="26" hidden="1">#REF!</definedName>
    <definedName name="BLPH232" localSheetId="31" hidden="1">#REF!</definedName>
    <definedName name="BLPH232" localSheetId="36" hidden="1">#REF!</definedName>
    <definedName name="BLPH232" localSheetId="37" hidden="1">#REF!</definedName>
    <definedName name="BLPH232" localSheetId="38" hidden="1">#REF!</definedName>
    <definedName name="BLPH232" localSheetId="45" hidden="1">#REF!</definedName>
    <definedName name="BLPH232" localSheetId="46" hidden="1">#REF!</definedName>
    <definedName name="BLPH232" localSheetId="48" hidden="1">#REF!</definedName>
    <definedName name="BLPH232" localSheetId="49" hidden="1">#REF!</definedName>
    <definedName name="BLPH232" localSheetId="50" hidden="1">#REF!</definedName>
    <definedName name="BLPH232" localSheetId="51" hidden="1">#REF!</definedName>
    <definedName name="BLPH232" localSheetId="52" hidden="1">#REF!</definedName>
    <definedName name="BLPH232" localSheetId="54" hidden="1">#REF!</definedName>
    <definedName name="BLPH232" localSheetId="55" hidden="1">#REF!</definedName>
    <definedName name="BLPH232" localSheetId="56" hidden="1">#REF!</definedName>
    <definedName name="BLPH232" localSheetId="57" hidden="1">#REF!</definedName>
    <definedName name="BLPH232" localSheetId="58" hidden="1">#REF!</definedName>
    <definedName name="BLPH232" localSheetId="70" hidden="1">#REF!</definedName>
    <definedName name="BLPH232" localSheetId="71" hidden="1">#REF!</definedName>
    <definedName name="BLPH232" localSheetId="73" hidden="1">#REF!</definedName>
    <definedName name="BLPH232" localSheetId="75" hidden="1">#REF!</definedName>
    <definedName name="BLPH232" localSheetId="76" hidden="1">#REF!</definedName>
    <definedName name="BLPH232" localSheetId="13" hidden="1">#REF!</definedName>
    <definedName name="BLPH232" localSheetId="12" hidden="1">#REF!</definedName>
    <definedName name="BLPH232" localSheetId="4" hidden="1">#REF!</definedName>
    <definedName name="BLPH232" hidden="1">#REF!</definedName>
    <definedName name="BLPH233" localSheetId="14" hidden="1">#REF!</definedName>
    <definedName name="BLPH233" localSheetId="19" hidden="1">#REF!</definedName>
    <definedName name="BLPH233" localSheetId="23" hidden="1">#REF!</definedName>
    <definedName name="BLPH233" localSheetId="31" hidden="1">#REF!</definedName>
    <definedName name="BLPH233" localSheetId="36" hidden="1">#REF!</definedName>
    <definedName name="BLPH233" localSheetId="37" hidden="1">#REF!</definedName>
    <definedName name="BLPH233" localSheetId="38" hidden="1">#REF!</definedName>
    <definedName name="BLPH233" localSheetId="45" hidden="1">#REF!</definedName>
    <definedName name="BLPH233" localSheetId="46" hidden="1">#REF!</definedName>
    <definedName name="BLPH233" localSheetId="48" hidden="1">#REF!</definedName>
    <definedName name="BLPH233" localSheetId="49" hidden="1">#REF!</definedName>
    <definedName name="BLPH233" localSheetId="50" hidden="1">#REF!</definedName>
    <definedName name="BLPH233" localSheetId="51" hidden="1">#REF!</definedName>
    <definedName name="BLPH233" localSheetId="52" hidden="1">#REF!</definedName>
    <definedName name="BLPH233" localSheetId="54" hidden="1">#REF!</definedName>
    <definedName name="BLPH233" localSheetId="55" hidden="1">#REF!</definedName>
    <definedName name="BLPH233" localSheetId="56" hidden="1">#REF!</definedName>
    <definedName name="BLPH233" localSheetId="57" hidden="1">#REF!</definedName>
    <definedName name="BLPH233" localSheetId="58" hidden="1">#REF!</definedName>
    <definedName name="BLPH233" localSheetId="70" hidden="1">#REF!</definedName>
    <definedName name="BLPH233" localSheetId="71" hidden="1">#REF!</definedName>
    <definedName name="BLPH233" localSheetId="73" hidden="1">#REF!</definedName>
    <definedName name="BLPH233" localSheetId="75" hidden="1">#REF!</definedName>
    <definedName name="BLPH233" localSheetId="76" hidden="1">#REF!</definedName>
    <definedName name="BLPH233" localSheetId="13" hidden="1">#REF!</definedName>
    <definedName name="BLPH233" localSheetId="12" hidden="1">#REF!</definedName>
    <definedName name="BLPH233" localSheetId="4" hidden="1">#REF!</definedName>
    <definedName name="BLPH233" hidden="1">#REF!</definedName>
    <definedName name="BLPH234" localSheetId="14" hidden="1">#REF!</definedName>
    <definedName name="BLPH234" localSheetId="19" hidden="1">#REF!</definedName>
    <definedName name="BLPH234" localSheetId="23" hidden="1">#REF!</definedName>
    <definedName name="BLPH234" localSheetId="31" hidden="1">#REF!</definedName>
    <definedName name="BLPH234" localSheetId="36" hidden="1">#REF!</definedName>
    <definedName name="BLPH234" localSheetId="37" hidden="1">#REF!</definedName>
    <definedName name="BLPH234" localSheetId="38" hidden="1">#REF!</definedName>
    <definedName name="BLPH234" localSheetId="45" hidden="1">#REF!</definedName>
    <definedName name="BLPH234" localSheetId="46" hidden="1">#REF!</definedName>
    <definedName name="BLPH234" localSheetId="48" hidden="1">#REF!</definedName>
    <definedName name="BLPH234" localSheetId="49" hidden="1">#REF!</definedName>
    <definedName name="BLPH234" localSheetId="50" hidden="1">#REF!</definedName>
    <definedName name="BLPH234" localSheetId="51" hidden="1">#REF!</definedName>
    <definedName name="BLPH234" localSheetId="52" hidden="1">#REF!</definedName>
    <definedName name="BLPH234" localSheetId="54" hidden="1">#REF!</definedName>
    <definedName name="BLPH234" localSheetId="55" hidden="1">#REF!</definedName>
    <definedName name="BLPH234" localSheetId="56" hidden="1">#REF!</definedName>
    <definedName name="BLPH234" localSheetId="57" hidden="1">#REF!</definedName>
    <definedName name="BLPH234" localSheetId="58" hidden="1">#REF!</definedName>
    <definedName name="BLPH234" localSheetId="70" hidden="1">#REF!</definedName>
    <definedName name="BLPH234" localSheetId="71" hidden="1">#REF!</definedName>
    <definedName name="BLPH234" localSheetId="73" hidden="1">#REF!</definedName>
    <definedName name="BLPH234" localSheetId="75" hidden="1">#REF!</definedName>
    <definedName name="BLPH234" localSheetId="76" hidden="1">#REF!</definedName>
    <definedName name="BLPH234" localSheetId="13" hidden="1">#REF!</definedName>
    <definedName name="BLPH234" localSheetId="12" hidden="1">#REF!</definedName>
    <definedName name="BLPH234" localSheetId="4" hidden="1">#REF!</definedName>
    <definedName name="BLPH234" hidden="1">#REF!</definedName>
    <definedName name="BLPH235" localSheetId="14" hidden="1">#REF!</definedName>
    <definedName name="BLPH235" localSheetId="19" hidden="1">#REF!</definedName>
    <definedName name="BLPH235" localSheetId="23" hidden="1">#REF!</definedName>
    <definedName name="BLPH235" localSheetId="31" hidden="1">#REF!</definedName>
    <definedName name="BLPH235" localSheetId="36" hidden="1">#REF!</definedName>
    <definedName name="BLPH235" localSheetId="37" hidden="1">#REF!</definedName>
    <definedName name="BLPH235" localSheetId="38" hidden="1">#REF!</definedName>
    <definedName name="BLPH235" localSheetId="45" hidden="1">#REF!</definedName>
    <definedName name="BLPH235" localSheetId="46" hidden="1">#REF!</definedName>
    <definedName name="BLPH235" localSheetId="48" hidden="1">#REF!</definedName>
    <definedName name="BLPH235" localSheetId="49" hidden="1">#REF!</definedName>
    <definedName name="BLPH235" localSheetId="50" hidden="1">#REF!</definedName>
    <definedName name="BLPH235" localSheetId="51" hidden="1">#REF!</definedName>
    <definedName name="BLPH235" localSheetId="52" hidden="1">#REF!</definedName>
    <definedName name="BLPH235" localSheetId="54" hidden="1">#REF!</definedName>
    <definedName name="BLPH235" localSheetId="55" hidden="1">#REF!</definedName>
    <definedName name="BLPH235" localSheetId="56" hidden="1">#REF!</definedName>
    <definedName name="BLPH235" localSheetId="57" hidden="1">#REF!</definedName>
    <definedName name="BLPH235" localSheetId="58" hidden="1">#REF!</definedName>
    <definedName name="BLPH235" localSheetId="70" hidden="1">#REF!</definedName>
    <definedName name="BLPH235" localSheetId="71" hidden="1">#REF!</definedName>
    <definedName name="BLPH235" localSheetId="73" hidden="1">#REF!</definedName>
    <definedName name="BLPH235" localSheetId="75" hidden="1">#REF!</definedName>
    <definedName name="BLPH235" localSheetId="76" hidden="1">#REF!</definedName>
    <definedName name="BLPH235" localSheetId="13" hidden="1">#REF!</definedName>
    <definedName name="BLPH235" localSheetId="12" hidden="1">#REF!</definedName>
    <definedName name="BLPH235" localSheetId="4" hidden="1">#REF!</definedName>
    <definedName name="BLPH235" hidden="1">#REF!</definedName>
    <definedName name="BLPH236" localSheetId="14" hidden="1">#REF!</definedName>
    <definedName name="BLPH236" localSheetId="19" hidden="1">#REF!</definedName>
    <definedName name="BLPH236" localSheetId="23" hidden="1">#REF!</definedName>
    <definedName name="BLPH236" localSheetId="31" hidden="1">#REF!</definedName>
    <definedName name="BLPH236" localSheetId="36" hidden="1">#REF!</definedName>
    <definedName name="BLPH236" localSheetId="37" hidden="1">#REF!</definedName>
    <definedName name="BLPH236" localSheetId="38" hidden="1">#REF!</definedName>
    <definedName name="BLPH236" localSheetId="45" hidden="1">#REF!</definedName>
    <definedName name="BLPH236" localSheetId="46" hidden="1">#REF!</definedName>
    <definedName name="BLPH236" localSheetId="48" hidden="1">#REF!</definedName>
    <definedName name="BLPH236" localSheetId="49" hidden="1">#REF!</definedName>
    <definedName name="BLPH236" localSheetId="50" hidden="1">#REF!</definedName>
    <definedName name="BLPH236" localSheetId="51" hidden="1">#REF!</definedName>
    <definedName name="BLPH236" localSheetId="52" hidden="1">#REF!</definedName>
    <definedName name="BLPH236" localSheetId="54" hidden="1">#REF!</definedName>
    <definedName name="BLPH236" localSheetId="55" hidden="1">#REF!</definedName>
    <definedName name="BLPH236" localSheetId="56" hidden="1">#REF!</definedName>
    <definedName name="BLPH236" localSheetId="57" hidden="1">#REF!</definedName>
    <definedName name="BLPH236" localSheetId="58" hidden="1">#REF!</definedName>
    <definedName name="BLPH236" localSheetId="70" hidden="1">#REF!</definedName>
    <definedName name="BLPH236" localSheetId="71" hidden="1">#REF!</definedName>
    <definedName name="BLPH236" localSheetId="73" hidden="1">#REF!</definedName>
    <definedName name="BLPH236" localSheetId="75" hidden="1">#REF!</definedName>
    <definedName name="BLPH236" localSheetId="76" hidden="1">#REF!</definedName>
    <definedName name="BLPH236" localSheetId="13" hidden="1">#REF!</definedName>
    <definedName name="BLPH236" localSheetId="12" hidden="1">#REF!</definedName>
    <definedName name="BLPH236" localSheetId="4" hidden="1">#REF!</definedName>
    <definedName name="BLPH236" hidden="1">#REF!</definedName>
    <definedName name="BLPH237" localSheetId="14" hidden="1">#REF!</definedName>
    <definedName name="BLPH237" localSheetId="19" hidden="1">#REF!</definedName>
    <definedName name="BLPH237" localSheetId="23" hidden="1">#REF!</definedName>
    <definedName name="BLPH237" localSheetId="31" hidden="1">#REF!</definedName>
    <definedName name="BLPH237" localSheetId="36" hidden="1">#REF!</definedName>
    <definedName name="BLPH237" localSheetId="37" hidden="1">#REF!</definedName>
    <definedName name="BLPH237" localSheetId="38" hidden="1">#REF!</definedName>
    <definedName name="BLPH237" localSheetId="45" hidden="1">#REF!</definedName>
    <definedName name="BLPH237" localSheetId="46" hidden="1">#REF!</definedName>
    <definedName name="BLPH237" localSheetId="48" hidden="1">#REF!</definedName>
    <definedName name="BLPH237" localSheetId="49" hidden="1">#REF!</definedName>
    <definedName name="BLPH237" localSheetId="50" hidden="1">#REF!</definedName>
    <definedName name="BLPH237" localSheetId="51" hidden="1">#REF!</definedName>
    <definedName name="BLPH237" localSheetId="52" hidden="1">#REF!</definedName>
    <definedName name="BLPH237" localSheetId="54" hidden="1">#REF!</definedName>
    <definedName name="BLPH237" localSheetId="55" hidden="1">#REF!</definedName>
    <definedName name="BLPH237" localSheetId="56" hidden="1">#REF!</definedName>
    <definedName name="BLPH237" localSheetId="57" hidden="1">#REF!</definedName>
    <definedName name="BLPH237" localSheetId="58" hidden="1">#REF!</definedName>
    <definedName name="BLPH237" localSheetId="70" hidden="1">#REF!</definedName>
    <definedName name="BLPH237" localSheetId="71" hidden="1">#REF!</definedName>
    <definedName name="BLPH237" localSheetId="73" hidden="1">#REF!</definedName>
    <definedName name="BLPH237" localSheetId="75" hidden="1">#REF!</definedName>
    <definedName name="BLPH237" localSheetId="76" hidden="1">#REF!</definedName>
    <definedName name="BLPH237" localSheetId="13" hidden="1">#REF!</definedName>
    <definedName name="BLPH237" localSheetId="12" hidden="1">#REF!</definedName>
    <definedName name="BLPH237" localSheetId="4" hidden="1">#REF!</definedName>
    <definedName name="BLPH237" hidden="1">#REF!</definedName>
    <definedName name="BLPH238" localSheetId="14" hidden="1">#REF!</definedName>
    <definedName name="BLPH238" localSheetId="19" hidden="1">#REF!</definedName>
    <definedName name="BLPH238" localSheetId="23" hidden="1">#REF!</definedName>
    <definedName name="BLPH238" localSheetId="31" hidden="1">#REF!</definedName>
    <definedName name="BLPH238" localSheetId="36" hidden="1">#REF!</definedName>
    <definedName name="BLPH238" localSheetId="37" hidden="1">#REF!</definedName>
    <definedName name="BLPH238" localSheetId="38" hidden="1">#REF!</definedName>
    <definedName name="BLPH238" localSheetId="45" hidden="1">#REF!</definedName>
    <definedName name="BLPH238" localSheetId="46" hidden="1">#REF!</definedName>
    <definedName name="BLPH238" localSheetId="48" hidden="1">#REF!</definedName>
    <definedName name="BLPH238" localSheetId="49" hidden="1">#REF!</definedName>
    <definedName name="BLPH238" localSheetId="50" hidden="1">#REF!</definedName>
    <definedName name="BLPH238" localSheetId="51" hidden="1">#REF!</definedName>
    <definedName name="BLPH238" localSheetId="52" hidden="1">#REF!</definedName>
    <definedName name="BLPH238" localSheetId="54" hidden="1">#REF!</definedName>
    <definedName name="BLPH238" localSheetId="55" hidden="1">#REF!</definedName>
    <definedName name="BLPH238" localSheetId="56" hidden="1">#REF!</definedName>
    <definedName name="BLPH238" localSheetId="57" hidden="1">#REF!</definedName>
    <definedName name="BLPH238" localSheetId="58" hidden="1">#REF!</definedName>
    <definedName name="BLPH238" localSheetId="70" hidden="1">#REF!</definedName>
    <definedName name="BLPH238" localSheetId="71" hidden="1">#REF!</definedName>
    <definedName name="BLPH238" localSheetId="73" hidden="1">#REF!</definedName>
    <definedName name="BLPH238" localSheetId="75" hidden="1">#REF!</definedName>
    <definedName name="BLPH238" localSheetId="76" hidden="1">#REF!</definedName>
    <definedName name="BLPH238" localSheetId="13" hidden="1">#REF!</definedName>
    <definedName name="BLPH238" localSheetId="12" hidden="1">#REF!</definedName>
    <definedName name="BLPH238" localSheetId="4" hidden="1">#REF!</definedName>
    <definedName name="BLPH238" hidden="1">#REF!</definedName>
    <definedName name="BLPH239" localSheetId="14" hidden="1">#REF!</definedName>
    <definedName name="BLPH239" localSheetId="19" hidden="1">#REF!</definedName>
    <definedName name="BLPH239" localSheetId="23" hidden="1">#REF!</definedName>
    <definedName name="BLPH239" localSheetId="31" hidden="1">#REF!</definedName>
    <definedName name="BLPH239" localSheetId="36" hidden="1">#REF!</definedName>
    <definedName name="BLPH239" localSheetId="37" hidden="1">#REF!</definedName>
    <definedName name="BLPH239" localSheetId="38" hidden="1">#REF!</definedName>
    <definedName name="BLPH239" localSheetId="45" hidden="1">#REF!</definedName>
    <definedName name="BLPH239" localSheetId="46" hidden="1">#REF!</definedName>
    <definedName name="BLPH239" localSheetId="48" hidden="1">#REF!</definedName>
    <definedName name="BLPH239" localSheetId="49" hidden="1">#REF!</definedName>
    <definedName name="BLPH239" localSheetId="50" hidden="1">#REF!</definedName>
    <definedName name="BLPH239" localSheetId="51" hidden="1">#REF!</definedName>
    <definedName name="BLPH239" localSheetId="52" hidden="1">#REF!</definedName>
    <definedName name="BLPH239" localSheetId="54" hidden="1">#REF!</definedName>
    <definedName name="BLPH239" localSheetId="55" hidden="1">#REF!</definedName>
    <definedName name="BLPH239" localSheetId="56" hidden="1">#REF!</definedName>
    <definedName name="BLPH239" localSheetId="57" hidden="1">#REF!</definedName>
    <definedName name="BLPH239" localSheetId="58" hidden="1">#REF!</definedName>
    <definedName name="BLPH239" localSheetId="70" hidden="1">#REF!</definedName>
    <definedName name="BLPH239" localSheetId="71" hidden="1">#REF!</definedName>
    <definedName name="BLPH239" localSheetId="73" hidden="1">#REF!</definedName>
    <definedName name="BLPH239" localSheetId="75" hidden="1">#REF!</definedName>
    <definedName name="BLPH239" localSheetId="76" hidden="1">#REF!</definedName>
    <definedName name="BLPH239" localSheetId="13" hidden="1">#REF!</definedName>
    <definedName name="BLPH239" localSheetId="12" hidden="1">#REF!</definedName>
    <definedName name="BLPH239" localSheetId="4" hidden="1">#REF!</definedName>
    <definedName name="BLPH239" hidden="1">#REF!</definedName>
    <definedName name="BLPH24" hidden="1">'[5]Risk-Free Rate'!$AH$15</definedName>
    <definedName name="BLPH240" localSheetId="14" hidden="1">#REF!</definedName>
    <definedName name="BLPH240" localSheetId="19" hidden="1">#REF!</definedName>
    <definedName name="BLPH240" localSheetId="23" hidden="1">#REF!</definedName>
    <definedName name="BLPH240" localSheetId="26" hidden="1">#REF!</definedName>
    <definedName name="BLPH240" localSheetId="31" hidden="1">#REF!</definedName>
    <definedName name="BLPH240" localSheetId="36" hidden="1">#REF!</definedName>
    <definedName name="BLPH240" localSheetId="37" hidden="1">#REF!</definedName>
    <definedName name="BLPH240" localSheetId="38" hidden="1">#REF!</definedName>
    <definedName name="BLPH240" localSheetId="45" hidden="1">#REF!</definedName>
    <definedName name="BLPH240" localSheetId="46" hidden="1">#REF!</definedName>
    <definedName name="BLPH240" localSheetId="48" hidden="1">#REF!</definedName>
    <definedName name="BLPH240" localSheetId="49" hidden="1">#REF!</definedName>
    <definedName name="BLPH240" localSheetId="50" hidden="1">#REF!</definedName>
    <definedName name="BLPH240" localSheetId="51" hidden="1">#REF!</definedName>
    <definedName name="BLPH240" localSheetId="52" hidden="1">#REF!</definedName>
    <definedName name="BLPH240" localSheetId="54" hidden="1">#REF!</definedName>
    <definedName name="BLPH240" localSheetId="55" hidden="1">#REF!</definedName>
    <definedName name="BLPH240" localSheetId="56" hidden="1">#REF!</definedName>
    <definedName name="BLPH240" localSheetId="57" hidden="1">#REF!</definedName>
    <definedName name="BLPH240" localSheetId="58" hidden="1">#REF!</definedName>
    <definedName name="BLPH240" localSheetId="70" hidden="1">#REF!</definedName>
    <definedName name="BLPH240" localSheetId="71" hidden="1">#REF!</definedName>
    <definedName name="BLPH240" localSheetId="73" hidden="1">#REF!</definedName>
    <definedName name="BLPH240" localSheetId="75" hidden="1">#REF!</definedName>
    <definedName name="BLPH240" localSheetId="76" hidden="1">#REF!</definedName>
    <definedName name="BLPH240" localSheetId="13" hidden="1">#REF!</definedName>
    <definedName name="BLPH240" localSheetId="12" hidden="1">#REF!</definedName>
    <definedName name="BLPH240" localSheetId="4" hidden="1">#REF!</definedName>
    <definedName name="BLPH240" hidden="1">#REF!</definedName>
    <definedName name="BLPH241" localSheetId="14" hidden="1">#REF!</definedName>
    <definedName name="BLPH241" localSheetId="19" hidden="1">#REF!</definedName>
    <definedName name="BLPH241" localSheetId="23" hidden="1">#REF!</definedName>
    <definedName name="BLPH241" localSheetId="26" hidden="1">#REF!</definedName>
    <definedName name="BLPH241" localSheetId="31" hidden="1">#REF!</definedName>
    <definedName name="BLPH241" localSheetId="36" hidden="1">#REF!</definedName>
    <definedName name="BLPH241" localSheetId="37" hidden="1">#REF!</definedName>
    <definedName name="BLPH241" localSheetId="38" hidden="1">#REF!</definedName>
    <definedName name="BLPH241" localSheetId="45" hidden="1">#REF!</definedName>
    <definedName name="BLPH241" localSheetId="46" hidden="1">#REF!</definedName>
    <definedName name="BLPH241" localSheetId="48" hidden="1">#REF!</definedName>
    <definedName name="BLPH241" localSheetId="49" hidden="1">#REF!</definedName>
    <definedName name="BLPH241" localSheetId="50" hidden="1">#REF!</definedName>
    <definedName name="BLPH241" localSheetId="51" hidden="1">#REF!</definedName>
    <definedName name="BLPH241" localSheetId="52" hidden="1">#REF!</definedName>
    <definedName name="BLPH241" localSheetId="54" hidden="1">#REF!</definedName>
    <definedName name="BLPH241" localSheetId="55" hidden="1">#REF!</definedName>
    <definedName name="BLPH241" localSheetId="56" hidden="1">#REF!</definedName>
    <definedName name="BLPH241" localSheetId="57" hidden="1">#REF!</definedName>
    <definedName name="BLPH241" localSheetId="58" hidden="1">#REF!</definedName>
    <definedName name="BLPH241" localSheetId="70" hidden="1">#REF!</definedName>
    <definedName name="BLPH241" localSheetId="71" hidden="1">#REF!</definedName>
    <definedName name="BLPH241" localSheetId="73" hidden="1">#REF!</definedName>
    <definedName name="BLPH241" localSheetId="75" hidden="1">#REF!</definedName>
    <definedName name="BLPH241" localSheetId="76" hidden="1">#REF!</definedName>
    <definedName name="BLPH241" localSheetId="13" hidden="1">#REF!</definedName>
    <definedName name="BLPH241" localSheetId="12" hidden="1">#REF!</definedName>
    <definedName name="BLPH241" localSheetId="4" hidden="1">#REF!</definedName>
    <definedName name="BLPH241" hidden="1">#REF!</definedName>
    <definedName name="BLPH242" localSheetId="14" hidden="1">#REF!</definedName>
    <definedName name="BLPH242" localSheetId="19" hidden="1">#REF!</definedName>
    <definedName name="BLPH242" localSheetId="23" hidden="1">#REF!</definedName>
    <definedName name="BLPH242" localSheetId="26" hidden="1">#REF!</definedName>
    <definedName name="BLPH242" localSheetId="31" hidden="1">#REF!</definedName>
    <definedName name="BLPH242" localSheetId="36" hidden="1">#REF!</definedName>
    <definedName name="BLPH242" localSheetId="37" hidden="1">#REF!</definedName>
    <definedName name="BLPH242" localSheetId="38" hidden="1">#REF!</definedName>
    <definedName name="BLPH242" localSheetId="45" hidden="1">#REF!</definedName>
    <definedName name="BLPH242" localSheetId="46" hidden="1">#REF!</definedName>
    <definedName name="BLPH242" localSheetId="48" hidden="1">#REF!</definedName>
    <definedName name="BLPH242" localSheetId="49" hidden="1">#REF!</definedName>
    <definedName name="BLPH242" localSheetId="50" hidden="1">#REF!</definedName>
    <definedName name="BLPH242" localSheetId="51" hidden="1">#REF!</definedName>
    <definedName name="BLPH242" localSheetId="52" hidden="1">#REF!</definedName>
    <definedName name="BLPH242" localSheetId="54" hidden="1">#REF!</definedName>
    <definedName name="BLPH242" localSheetId="55" hidden="1">#REF!</definedName>
    <definedName name="BLPH242" localSheetId="56" hidden="1">#REF!</definedName>
    <definedName name="BLPH242" localSheetId="57" hidden="1">#REF!</definedName>
    <definedName name="BLPH242" localSheetId="58" hidden="1">#REF!</definedName>
    <definedName name="BLPH242" localSheetId="70" hidden="1">#REF!</definedName>
    <definedName name="BLPH242" localSheetId="71" hidden="1">#REF!</definedName>
    <definedName name="BLPH242" localSheetId="73" hidden="1">#REF!</definedName>
    <definedName name="BLPH242" localSheetId="75" hidden="1">#REF!</definedName>
    <definedName name="BLPH242" localSheetId="76" hidden="1">#REF!</definedName>
    <definedName name="BLPH242" localSheetId="13" hidden="1">#REF!</definedName>
    <definedName name="BLPH242" localSheetId="12" hidden="1">#REF!</definedName>
    <definedName name="BLPH242" localSheetId="4" hidden="1">#REF!</definedName>
    <definedName name="BLPH242" hidden="1">#REF!</definedName>
    <definedName name="BLPH243" localSheetId="14" hidden="1">#REF!</definedName>
    <definedName name="BLPH243" localSheetId="19" hidden="1">#REF!</definedName>
    <definedName name="BLPH243" localSheetId="23" hidden="1">#REF!</definedName>
    <definedName name="BLPH243" localSheetId="31" hidden="1">#REF!</definedName>
    <definedName name="BLPH243" localSheetId="36" hidden="1">#REF!</definedName>
    <definedName name="BLPH243" localSheetId="37" hidden="1">#REF!</definedName>
    <definedName name="BLPH243" localSheetId="38" hidden="1">#REF!</definedName>
    <definedName name="BLPH243" localSheetId="45" hidden="1">#REF!</definedName>
    <definedName name="BLPH243" localSheetId="46" hidden="1">#REF!</definedName>
    <definedName name="BLPH243" localSheetId="48" hidden="1">#REF!</definedName>
    <definedName name="BLPH243" localSheetId="49" hidden="1">#REF!</definedName>
    <definedName name="BLPH243" localSheetId="50" hidden="1">#REF!</definedName>
    <definedName name="BLPH243" localSheetId="51" hidden="1">#REF!</definedName>
    <definedName name="BLPH243" localSheetId="52" hidden="1">#REF!</definedName>
    <definedName name="BLPH243" localSheetId="54" hidden="1">#REF!</definedName>
    <definedName name="BLPH243" localSheetId="55" hidden="1">#REF!</definedName>
    <definedName name="BLPH243" localSheetId="56" hidden="1">#REF!</definedName>
    <definedName name="BLPH243" localSheetId="57" hidden="1">#REF!</definedName>
    <definedName name="BLPH243" localSheetId="58" hidden="1">#REF!</definedName>
    <definedName name="BLPH243" localSheetId="70" hidden="1">#REF!</definedName>
    <definedName name="BLPH243" localSheetId="71" hidden="1">#REF!</definedName>
    <definedName name="BLPH243" localSheetId="73" hidden="1">#REF!</definedName>
    <definedName name="BLPH243" localSheetId="75" hidden="1">#REF!</definedName>
    <definedName name="BLPH243" localSheetId="76" hidden="1">#REF!</definedName>
    <definedName name="BLPH243" localSheetId="13" hidden="1">#REF!</definedName>
    <definedName name="BLPH243" localSheetId="12" hidden="1">#REF!</definedName>
    <definedName name="BLPH243" localSheetId="4" hidden="1">#REF!</definedName>
    <definedName name="BLPH243" hidden="1">#REF!</definedName>
    <definedName name="BLPH244" localSheetId="14" hidden="1">#REF!</definedName>
    <definedName name="BLPH244" localSheetId="19" hidden="1">#REF!</definedName>
    <definedName name="BLPH244" localSheetId="23" hidden="1">#REF!</definedName>
    <definedName name="BLPH244" localSheetId="31" hidden="1">#REF!</definedName>
    <definedName name="BLPH244" localSheetId="36" hidden="1">#REF!</definedName>
    <definedName name="BLPH244" localSheetId="37" hidden="1">#REF!</definedName>
    <definedName name="BLPH244" localSheetId="38" hidden="1">#REF!</definedName>
    <definedName name="BLPH244" localSheetId="45" hidden="1">#REF!</definedName>
    <definedName name="BLPH244" localSheetId="46" hidden="1">#REF!</definedName>
    <definedName name="BLPH244" localSheetId="48" hidden="1">#REF!</definedName>
    <definedName name="BLPH244" localSheetId="49" hidden="1">#REF!</definedName>
    <definedName name="BLPH244" localSheetId="50" hidden="1">#REF!</definedName>
    <definedName name="BLPH244" localSheetId="51" hidden="1">#REF!</definedName>
    <definedName name="BLPH244" localSheetId="52" hidden="1">#REF!</definedName>
    <definedName name="BLPH244" localSheetId="54" hidden="1">#REF!</definedName>
    <definedName name="BLPH244" localSheetId="55" hidden="1">#REF!</definedName>
    <definedName name="BLPH244" localSheetId="56" hidden="1">#REF!</definedName>
    <definedName name="BLPH244" localSheetId="57" hidden="1">#REF!</definedName>
    <definedName name="BLPH244" localSheetId="58" hidden="1">#REF!</definedName>
    <definedName name="BLPH244" localSheetId="70" hidden="1">#REF!</definedName>
    <definedName name="BLPH244" localSheetId="71" hidden="1">#REF!</definedName>
    <definedName name="BLPH244" localSheetId="73" hidden="1">#REF!</definedName>
    <definedName name="BLPH244" localSheetId="75" hidden="1">#REF!</definedName>
    <definedName name="BLPH244" localSheetId="76" hidden="1">#REF!</definedName>
    <definedName name="BLPH244" localSheetId="13" hidden="1">#REF!</definedName>
    <definedName name="BLPH244" localSheetId="12" hidden="1">#REF!</definedName>
    <definedName name="BLPH244" localSheetId="4" hidden="1">#REF!</definedName>
    <definedName name="BLPH244" hidden="1">#REF!</definedName>
    <definedName name="BLPH245" localSheetId="14" hidden="1">#REF!</definedName>
    <definedName name="BLPH245" localSheetId="19" hidden="1">#REF!</definedName>
    <definedName name="BLPH245" localSheetId="23" hidden="1">#REF!</definedName>
    <definedName name="BLPH245" localSheetId="31" hidden="1">#REF!</definedName>
    <definedName name="BLPH245" localSheetId="36" hidden="1">#REF!</definedName>
    <definedName name="BLPH245" localSheetId="37" hidden="1">#REF!</definedName>
    <definedName name="BLPH245" localSheetId="38" hidden="1">#REF!</definedName>
    <definedName name="BLPH245" localSheetId="45" hidden="1">#REF!</definedName>
    <definedName name="BLPH245" localSheetId="46" hidden="1">#REF!</definedName>
    <definedName name="BLPH245" localSheetId="48" hidden="1">#REF!</definedName>
    <definedName name="BLPH245" localSheetId="49" hidden="1">#REF!</definedName>
    <definedName name="BLPH245" localSheetId="50" hidden="1">#REF!</definedName>
    <definedName name="BLPH245" localSheetId="51" hidden="1">#REF!</definedName>
    <definedName name="BLPH245" localSheetId="52" hidden="1">#REF!</definedName>
    <definedName name="BLPH245" localSheetId="54" hidden="1">#REF!</definedName>
    <definedName name="BLPH245" localSheetId="55" hidden="1">#REF!</definedName>
    <definedName name="BLPH245" localSheetId="56" hidden="1">#REF!</definedName>
    <definedName name="BLPH245" localSheetId="57" hidden="1">#REF!</definedName>
    <definedName name="BLPH245" localSheetId="58" hidden="1">#REF!</definedName>
    <definedName name="BLPH245" localSheetId="70" hidden="1">#REF!</definedName>
    <definedName name="BLPH245" localSheetId="71" hidden="1">#REF!</definedName>
    <definedName name="BLPH245" localSheetId="73" hidden="1">#REF!</definedName>
    <definedName name="BLPH245" localSheetId="75" hidden="1">#REF!</definedName>
    <definedName name="BLPH245" localSheetId="76" hidden="1">#REF!</definedName>
    <definedName name="BLPH245" localSheetId="13" hidden="1">#REF!</definedName>
    <definedName name="BLPH245" localSheetId="12" hidden="1">#REF!</definedName>
    <definedName name="BLPH245" localSheetId="4" hidden="1">#REF!</definedName>
    <definedName name="BLPH245" hidden="1">#REF!</definedName>
    <definedName name="BLPH246" localSheetId="14" hidden="1">#REF!</definedName>
    <definedName name="BLPH246" localSheetId="19" hidden="1">#REF!</definedName>
    <definedName name="BLPH246" localSheetId="23" hidden="1">#REF!</definedName>
    <definedName name="BLPH246" localSheetId="31" hidden="1">#REF!</definedName>
    <definedName name="BLPH246" localSheetId="36" hidden="1">#REF!</definedName>
    <definedName name="BLPH246" localSheetId="37" hidden="1">#REF!</definedName>
    <definedName name="BLPH246" localSheetId="38" hidden="1">#REF!</definedName>
    <definedName name="BLPH246" localSheetId="45" hidden="1">#REF!</definedName>
    <definedName name="BLPH246" localSheetId="46" hidden="1">#REF!</definedName>
    <definedName name="BLPH246" localSheetId="48" hidden="1">#REF!</definedName>
    <definedName name="BLPH246" localSheetId="49" hidden="1">#REF!</definedName>
    <definedName name="BLPH246" localSheetId="50" hidden="1">#REF!</definedName>
    <definedName name="BLPH246" localSheetId="51" hidden="1">#REF!</definedName>
    <definedName name="BLPH246" localSheetId="52" hidden="1">#REF!</definedName>
    <definedName name="BLPH246" localSheetId="54" hidden="1">#REF!</definedName>
    <definedName name="BLPH246" localSheetId="55" hidden="1">#REF!</definedName>
    <definedName name="BLPH246" localSheetId="56" hidden="1">#REF!</definedName>
    <definedName name="BLPH246" localSheetId="57" hidden="1">#REF!</definedName>
    <definedName name="BLPH246" localSheetId="58" hidden="1">#REF!</definedName>
    <definedName name="BLPH246" localSheetId="70" hidden="1">#REF!</definedName>
    <definedName name="BLPH246" localSheetId="71" hidden="1">#REF!</definedName>
    <definedName name="BLPH246" localSheetId="73" hidden="1">#REF!</definedName>
    <definedName name="BLPH246" localSheetId="75" hidden="1">#REF!</definedName>
    <definedName name="BLPH246" localSheetId="76" hidden="1">#REF!</definedName>
    <definedName name="BLPH246" localSheetId="13" hidden="1">#REF!</definedName>
    <definedName name="BLPH246" localSheetId="12" hidden="1">#REF!</definedName>
    <definedName name="BLPH246" localSheetId="4" hidden="1">#REF!</definedName>
    <definedName name="BLPH246" hidden="1">#REF!</definedName>
    <definedName name="BLPH247" localSheetId="14" hidden="1">#REF!</definedName>
    <definedName name="BLPH247" localSheetId="19" hidden="1">#REF!</definedName>
    <definedName name="BLPH247" localSheetId="23" hidden="1">#REF!</definedName>
    <definedName name="BLPH247" localSheetId="31" hidden="1">#REF!</definedName>
    <definedName name="BLPH247" localSheetId="36" hidden="1">#REF!</definedName>
    <definedName name="BLPH247" localSheetId="37" hidden="1">#REF!</definedName>
    <definedName name="BLPH247" localSheetId="38" hidden="1">#REF!</definedName>
    <definedName name="BLPH247" localSheetId="45" hidden="1">#REF!</definedName>
    <definedName name="BLPH247" localSheetId="46" hidden="1">#REF!</definedName>
    <definedName name="BLPH247" localSheetId="48" hidden="1">#REF!</definedName>
    <definedName name="BLPH247" localSheetId="49" hidden="1">#REF!</definedName>
    <definedName name="BLPH247" localSheetId="50" hidden="1">#REF!</definedName>
    <definedName name="BLPH247" localSheetId="51" hidden="1">#REF!</definedName>
    <definedName name="BLPH247" localSheetId="52" hidden="1">#REF!</definedName>
    <definedName name="BLPH247" localSheetId="54" hidden="1">#REF!</definedName>
    <definedName name="BLPH247" localSheetId="55" hidden="1">#REF!</definedName>
    <definedName name="BLPH247" localSheetId="56" hidden="1">#REF!</definedName>
    <definedName name="BLPH247" localSheetId="57" hidden="1">#REF!</definedName>
    <definedName name="BLPH247" localSheetId="58" hidden="1">#REF!</definedName>
    <definedName name="BLPH247" localSheetId="70" hidden="1">#REF!</definedName>
    <definedName name="BLPH247" localSheetId="71" hidden="1">#REF!</definedName>
    <definedName name="BLPH247" localSheetId="73" hidden="1">#REF!</definedName>
    <definedName name="BLPH247" localSheetId="75" hidden="1">#REF!</definedName>
    <definedName name="BLPH247" localSheetId="76" hidden="1">#REF!</definedName>
    <definedName name="BLPH247" localSheetId="13" hidden="1">#REF!</definedName>
    <definedName name="BLPH247" localSheetId="12" hidden="1">#REF!</definedName>
    <definedName name="BLPH247" localSheetId="4" hidden="1">#REF!</definedName>
    <definedName name="BLPH247" hidden="1">#REF!</definedName>
    <definedName name="BLPH248" localSheetId="14" hidden="1">#REF!</definedName>
    <definedName name="BLPH248" localSheetId="19" hidden="1">#REF!</definedName>
    <definedName name="BLPH248" localSheetId="23" hidden="1">#REF!</definedName>
    <definedName name="BLPH248" localSheetId="31" hidden="1">#REF!</definedName>
    <definedName name="BLPH248" localSheetId="36" hidden="1">#REF!</definedName>
    <definedName name="BLPH248" localSheetId="37" hidden="1">#REF!</definedName>
    <definedName name="BLPH248" localSheetId="38" hidden="1">#REF!</definedName>
    <definedName name="BLPH248" localSheetId="45" hidden="1">#REF!</definedName>
    <definedName name="BLPH248" localSheetId="46" hidden="1">#REF!</definedName>
    <definedName name="BLPH248" localSheetId="48" hidden="1">#REF!</definedName>
    <definedName name="BLPH248" localSheetId="49" hidden="1">#REF!</definedName>
    <definedName name="BLPH248" localSheetId="50" hidden="1">#REF!</definedName>
    <definedName name="BLPH248" localSheetId="51" hidden="1">#REF!</definedName>
    <definedName name="BLPH248" localSheetId="52" hidden="1">#REF!</definedName>
    <definedName name="BLPH248" localSheetId="54" hidden="1">#REF!</definedName>
    <definedName name="BLPH248" localSheetId="55" hidden="1">#REF!</definedName>
    <definedName name="BLPH248" localSheetId="56" hidden="1">#REF!</definedName>
    <definedName name="BLPH248" localSheetId="57" hidden="1">#REF!</definedName>
    <definedName name="BLPH248" localSheetId="58" hidden="1">#REF!</definedName>
    <definedName name="BLPH248" localSheetId="70" hidden="1">#REF!</definedName>
    <definedName name="BLPH248" localSheetId="71" hidden="1">#REF!</definedName>
    <definedName name="BLPH248" localSheetId="73" hidden="1">#REF!</definedName>
    <definedName name="BLPH248" localSheetId="75" hidden="1">#REF!</definedName>
    <definedName name="BLPH248" localSheetId="76" hidden="1">#REF!</definedName>
    <definedName name="BLPH248" localSheetId="13" hidden="1">#REF!</definedName>
    <definedName name="BLPH248" localSheetId="12" hidden="1">#REF!</definedName>
    <definedName name="BLPH248" localSheetId="4" hidden="1">#REF!</definedName>
    <definedName name="BLPH248" hidden="1">#REF!</definedName>
    <definedName name="BLPH249" localSheetId="14" hidden="1">#REF!</definedName>
    <definedName name="BLPH249" localSheetId="19" hidden="1">#REF!</definedName>
    <definedName name="BLPH249" localSheetId="23" hidden="1">#REF!</definedName>
    <definedName name="BLPH249" localSheetId="31" hidden="1">#REF!</definedName>
    <definedName name="BLPH249" localSheetId="36" hidden="1">#REF!</definedName>
    <definedName name="BLPH249" localSheetId="37" hidden="1">#REF!</definedName>
    <definedName name="BLPH249" localSheetId="38" hidden="1">#REF!</definedName>
    <definedName name="BLPH249" localSheetId="45" hidden="1">#REF!</definedName>
    <definedName name="BLPH249" localSheetId="46" hidden="1">#REF!</definedName>
    <definedName name="BLPH249" localSheetId="48" hidden="1">#REF!</definedName>
    <definedName name="BLPH249" localSheetId="49" hidden="1">#REF!</definedName>
    <definedName name="BLPH249" localSheetId="50" hidden="1">#REF!</definedName>
    <definedName name="BLPH249" localSheetId="51" hidden="1">#REF!</definedName>
    <definedName name="BLPH249" localSheetId="52" hidden="1">#REF!</definedName>
    <definedName name="BLPH249" localSheetId="54" hidden="1">#REF!</definedName>
    <definedName name="BLPH249" localSheetId="55" hidden="1">#REF!</definedName>
    <definedName name="BLPH249" localSheetId="56" hidden="1">#REF!</definedName>
    <definedName name="BLPH249" localSheetId="57" hidden="1">#REF!</definedName>
    <definedName name="BLPH249" localSheetId="58" hidden="1">#REF!</definedName>
    <definedName name="BLPH249" localSheetId="70" hidden="1">#REF!</definedName>
    <definedName name="BLPH249" localSheetId="71" hidden="1">#REF!</definedName>
    <definedName name="BLPH249" localSheetId="73" hidden="1">#REF!</definedName>
    <definedName name="BLPH249" localSheetId="75" hidden="1">#REF!</definedName>
    <definedName name="BLPH249" localSheetId="76" hidden="1">#REF!</definedName>
    <definedName name="BLPH249" localSheetId="13" hidden="1">#REF!</definedName>
    <definedName name="BLPH249" localSheetId="12" hidden="1">#REF!</definedName>
    <definedName name="BLPH249" localSheetId="4" hidden="1">#REF!</definedName>
    <definedName name="BLPH249" hidden="1">#REF!</definedName>
    <definedName name="BLPH25" hidden="1">'[5]Risk-Free Rate'!$AE$15</definedName>
    <definedName name="BLPH250" localSheetId="14" hidden="1">#REF!</definedName>
    <definedName name="BLPH250" localSheetId="19" hidden="1">#REF!</definedName>
    <definedName name="BLPH250" localSheetId="23" hidden="1">#REF!</definedName>
    <definedName name="BLPH250" localSheetId="26" hidden="1">#REF!</definedName>
    <definedName name="BLPH250" localSheetId="31" hidden="1">#REF!</definedName>
    <definedName name="BLPH250" localSheetId="36" hidden="1">#REF!</definedName>
    <definedName name="BLPH250" localSheetId="37" hidden="1">#REF!</definedName>
    <definedName name="BLPH250" localSheetId="38" hidden="1">#REF!</definedName>
    <definedName name="BLPH250" localSheetId="45" hidden="1">#REF!</definedName>
    <definedName name="BLPH250" localSheetId="46" hidden="1">#REF!</definedName>
    <definedName name="BLPH250" localSheetId="48" hidden="1">#REF!</definedName>
    <definedName name="BLPH250" localSheetId="49" hidden="1">#REF!</definedName>
    <definedName name="BLPH250" localSheetId="50" hidden="1">#REF!</definedName>
    <definedName name="BLPH250" localSheetId="51" hidden="1">#REF!</definedName>
    <definedName name="BLPH250" localSheetId="52" hidden="1">#REF!</definedName>
    <definedName name="BLPH250" localSheetId="54" hidden="1">#REF!</definedName>
    <definedName name="BLPH250" localSheetId="55" hidden="1">#REF!</definedName>
    <definedName name="BLPH250" localSheetId="56" hidden="1">#REF!</definedName>
    <definedName name="BLPH250" localSheetId="57" hidden="1">#REF!</definedName>
    <definedName name="BLPH250" localSheetId="58" hidden="1">#REF!</definedName>
    <definedName name="BLPH250" localSheetId="70" hidden="1">#REF!</definedName>
    <definedName name="BLPH250" localSheetId="71" hidden="1">#REF!</definedName>
    <definedName name="BLPH250" localSheetId="73" hidden="1">#REF!</definedName>
    <definedName name="BLPH250" localSheetId="75" hidden="1">#REF!</definedName>
    <definedName name="BLPH250" localSheetId="76" hidden="1">#REF!</definedName>
    <definedName name="BLPH250" localSheetId="13" hidden="1">#REF!</definedName>
    <definedName name="BLPH250" localSheetId="12" hidden="1">#REF!</definedName>
    <definedName name="BLPH250" localSheetId="4" hidden="1">#REF!</definedName>
    <definedName name="BLPH250" hidden="1">#REF!</definedName>
    <definedName name="BLPH251" localSheetId="14" hidden="1">#REF!</definedName>
    <definedName name="BLPH251" localSheetId="19" hidden="1">#REF!</definedName>
    <definedName name="BLPH251" localSheetId="23" hidden="1">#REF!</definedName>
    <definedName name="BLPH251" localSheetId="26" hidden="1">#REF!</definedName>
    <definedName name="BLPH251" localSheetId="31" hidden="1">#REF!</definedName>
    <definedName name="BLPH251" localSheetId="36" hidden="1">#REF!</definedName>
    <definedName name="BLPH251" localSheetId="37" hidden="1">#REF!</definedName>
    <definedName name="BLPH251" localSheetId="38" hidden="1">#REF!</definedName>
    <definedName name="BLPH251" localSheetId="45" hidden="1">#REF!</definedName>
    <definedName name="BLPH251" localSheetId="46" hidden="1">#REF!</definedName>
    <definedName name="BLPH251" localSheetId="48" hidden="1">#REF!</definedName>
    <definedName name="BLPH251" localSheetId="49" hidden="1">#REF!</definedName>
    <definedName name="BLPH251" localSheetId="50" hidden="1">#REF!</definedName>
    <definedName name="BLPH251" localSheetId="51" hidden="1">#REF!</definedName>
    <definedName name="BLPH251" localSheetId="52" hidden="1">#REF!</definedName>
    <definedName name="BLPH251" localSheetId="54" hidden="1">#REF!</definedName>
    <definedName name="BLPH251" localSheetId="55" hidden="1">#REF!</definedName>
    <definedName name="BLPH251" localSheetId="56" hidden="1">#REF!</definedName>
    <definedName name="BLPH251" localSheetId="57" hidden="1">#REF!</definedName>
    <definedName name="BLPH251" localSheetId="58" hidden="1">#REF!</definedName>
    <definedName name="BLPH251" localSheetId="70" hidden="1">#REF!</definedName>
    <definedName name="BLPH251" localSheetId="71" hidden="1">#REF!</definedName>
    <definedName name="BLPH251" localSheetId="73" hidden="1">#REF!</definedName>
    <definedName name="BLPH251" localSheetId="75" hidden="1">#REF!</definedName>
    <definedName name="BLPH251" localSheetId="76" hidden="1">#REF!</definedName>
    <definedName name="BLPH251" localSheetId="13" hidden="1">#REF!</definedName>
    <definedName name="BLPH251" localSheetId="12" hidden="1">#REF!</definedName>
    <definedName name="BLPH251" localSheetId="4" hidden="1">#REF!</definedName>
    <definedName name="BLPH251" hidden="1">#REF!</definedName>
    <definedName name="BLPH252" localSheetId="14" hidden="1">#REF!</definedName>
    <definedName name="BLPH252" localSheetId="19" hidden="1">#REF!</definedName>
    <definedName name="BLPH252" localSheetId="23" hidden="1">#REF!</definedName>
    <definedName name="BLPH252" localSheetId="26" hidden="1">#REF!</definedName>
    <definedName name="BLPH252" localSheetId="31" hidden="1">#REF!</definedName>
    <definedName name="BLPH252" localSheetId="36" hidden="1">#REF!</definedName>
    <definedName name="BLPH252" localSheetId="37" hidden="1">#REF!</definedName>
    <definedName name="BLPH252" localSheetId="38" hidden="1">#REF!</definedName>
    <definedName name="BLPH252" localSheetId="45" hidden="1">#REF!</definedName>
    <definedName name="BLPH252" localSheetId="46" hidden="1">#REF!</definedName>
    <definedName name="BLPH252" localSheetId="48" hidden="1">#REF!</definedName>
    <definedName name="BLPH252" localSheetId="49" hidden="1">#REF!</definedName>
    <definedName name="BLPH252" localSheetId="50" hidden="1">#REF!</definedName>
    <definedName name="BLPH252" localSheetId="51" hidden="1">#REF!</definedName>
    <definedName name="BLPH252" localSheetId="52" hidden="1">#REF!</definedName>
    <definedName name="BLPH252" localSheetId="54" hidden="1">#REF!</definedName>
    <definedName name="BLPH252" localSheetId="55" hidden="1">#REF!</definedName>
    <definedName name="BLPH252" localSheetId="56" hidden="1">#REF!</definedName>
    <definedName name="BLPH252" localSheetId="57" hidden="1">#REF!</definedName>
    <definedName name="BLPH252" localSheetId="58" hidden="1">#REF!</definedName>
    <definedName name="BLPH252" localSheetId="70" hidden="1">#REF!</definedName>
    <definedName name="BLPH252" localSheetId="71" hidden="1">#REF!</definedName>
    <definedName name="BLPH252" localSheetId="73" hidden="1">#REF!</definedName>
    <definedName name="BLPH252" localSheetId="75" hidden="1">#REF!</definedName>
    <definedName name="BLPH252" localSheetId="76" hidden="1">#REF!</definedName>
    <definedName name="BLPH252" localSheetId="13" hidden="1">#REF!</definedName>
    <definedName name="BLPH252" localSheetId="12" hidden="1">#REF!</definedName>
    <definedName name="BLPH252" localSheetId="4" hidden="1">#REF!</definedName>
    <definedName name="BLPH252" hidden="1">#REF!</definedName>
    <definedName name="BLPH253" localSheetId="14" hidden="1">#REF!</definedName>
    <definedName name="BLPH253" localSheetId="19" hidden="1">#REF!</definedName>
    <definedName name="BLPH253" localSheetId="23" hidden="1">#REF!</definedName>
    <definedName name="BLPH253" localSheetId="31" hidden="1">#REF!</definedName>
    <definedName name="BLPH253" localSheetId="36" hidden="1">#REF!</definedName>
    <definedName name="BLPH253" localSheetId="37" hidden="1">#REF!</definedName>
    <definedName name="BLPH253" localSheetId="38" hidden="1">#REF!</definedName>
    <definedName name="BLPH253" localSheetId="45" hidden="1">#REF!</definedName>
    <definedName name="BLPH253" localSheetId="46" hidden="1">#REF!</definedName>
    <definedName name="BLPH253" localSheetId="48" hidden="1">#REF!</definedName>
    <definedName name="BLPH253" localSheetId="49" hidden="1">#REF!</definedName>
    <definedName name="BLPH253" localSheetId="50" hidden="1">#REF!</definedName>
    <definedName name="BLPH253" localSheetId="51" hidden="1">#REF!</definedName>
    <definedName name="BLPH253" localSheetId="52" hidden="1">#REF!</definedName>
    <definedName name="BLPH253" localSheetId="54" hidden="1">#REF!</definedName>
    <definedName name="BLPH253" localSheetId="55" hidden="1">#REF!</definedName>
    <definedName name="BLPH253" localSheetId="56" hidden="1">#REF!</definedName>
    <definedName name="BLPH253" localSheetId="57" hidden="1">#REF!</definedName>
    <definedName name="BLPH253" localSheetId="58" hidden="1">#REF!</definedName>
    <definedName name="BLPH253" localSheetId="70" hidden="1">#REF!</definedName>
    <definedName name="BLPH253" localSheetId="71" hidden="1">#REF!</definedName>
    <definedName name="BLPH253" localSheetId="73" hidden="1">#REF!</definedName>
    <definedName name="BLPH253" localSheetId="75" hidden="1">#REF!</definedName>
    <definedName name="BLPH253" localSheetId="76" hidden="1">#REF!</definedName>
    <definedName name="BLPH253" localSheetId="13" hidden="1">#REF!</definedName>
    <definedName name="BLPH253" localSheetId="12" hidden="1">#REF!</definedName>
    <definedName name="BLPH253" localSheetId="4" hidden="1">#REF!</definedName>
    <definedName name="BLPH253" hidden="1">#REF!</definedName>
    <definedName name="BLPH254" localSheetId="14" hidden="1">#REF!</definedName>
    <definedName name="BLPH254" localSheetId="19" hidden="1">#REF!</definedName>
    <definedName name="BLPH254" localSheetId="23" hidden="1">#REF!</definedName>
    <definedName name="BLPH254" localSheetId="31" hidden="1">#REF!</definedName>
    <definedName name="BLPH254" localSheetId="36" hidden="1">#REF!</definedName>
    <definedName name="BLPH254" localSheetId="37" hidden="1">#REF!</definedName>
    <definedName name="BLPH254" localSheetId="38" hidden="1">#REF!</definedName>
    <definedName name="BLPH254" localSheetId="45" hidden="1">#REF!</definedName>
    <definedName name="BLPH254" localSheetId="46" hidden="1">#REF!</definedName>
    <definedName name="BLPH254" localSheetId="48" hidden="1">#REF!</definedName>
    <definedName name="BLPH254" localSheetId="49" hidden="1">#REF!</definedName>
    <definedName name="BLPH254" localSheetId="50" hidden="1">#REF!</definedName>
    <definedName name="BLPH254" localSheetId="51" hidden="1">#REF!</definedName>
    <definedName name="BLPH254" localSheetId="52" hidden="1">#REF!</definedName>
    <definedName name="BLPH254" localSheetId="54" hidden="1">#REF!</definedName>
    <definedName name="BLPH254" localSheetId="55" hidden="1">#REF!</definedName>
    <definedName name="BLPH254" localSheetId="56" hidden="1">#REF!</definedName>
    <definedName name="BLPH254" localSheetId="57" hidden="1">#REF!</definedName>
    <definedName name="BLPH254" localSheetId="58" hidden="1">#REF!</definedName>
    <definedName name="BLPH254" localSheetId="70" hidden="1">#REF!</definedName>
    <definedName name="BLPH254" localSheetId="71" hidden="1">#REF!</definedName>
    <definedName name="BLPH254" localSheetId="73" hidden="1">#REF!</definedName>
    <definedName name="BLPH254" localSheetId="75" hidden="1">#REF!</definedName>
    <definedName name="BLPH254" localSheetId="76" hidden="1">#REF!</definedName>
    <definedName name="BLPH254" localSheetId="13" hidden="1">#REF!</definedName>
    <definedName name="BLPH254" localSheetId="12" hidden="1">#REF!</definedName>
    <definedName name="BLPH254" localSheetId="4" hidden="1">#REF!</definedName>
    <definedName name="BLPH254" hidden="1">#REF!</definedName>
    <definedName name="BLPH255" localSheetId="14" hidden="1">#REF!</definedName>
    <definedName name="BLPH255" localSheetId="19" hidden="1">#REF!</definedName>
    <definedName name="BLPH255" localSheetId="23" hidden="1">#REF!</definedName>
    <definedName name="BLPH255" localSheetId="31" hidden="1">#REF!</definedName>
    <definedName name="BLPH255" localSheetId="36" hidden="1">#REF!</definedName>
    <definedName name="BLPH255" localSheetId="37" hidden="1">#REF!</definedName>
    <definedName name="BLPH255" localSheetId="38" hidden="1">#REF!</definedName>
    <definedName name="BLPH255" localSheetId="45" hidden="1">#REF!</definedName>
    <definedName name="BLPH255" localSheetId="46" hidden="1">#REF!</definedName>
    <definedName name="BLPH255" localSheetId="48" hidden="1">#REF!</definedName>
    <definedName name="BLPH255" localSheetId="49" hidden="1">#REF!</definedName>
    <definedName name="BLPH255" localSheetId="50" hidden="1">#REF!</definedName>
    <definedName name="BLPH255" localSheetId="51" hidden="1">#REF!</definedName>
    <definedName name="BLPH255" localSheetId="52" hidden="1">#REF!</definedName>
    <definedName name="BLPH255" localSheetId="54" hidden="1">#REF!</definedName>
    <definedName name="BLPH255" localSheetId="55" hidden="1">#REF!</definedName>
    <definedName name="BLPH255" localSheetId="56" hidden="1">#REF!</definedName>
    <definedName name="BLPH255" localSheetId="57" hidden="1">#REF!</definedName>
    <definedName name="BLPH255" localSheetId="58" hidden="1">#REF!</definedName>
    <definedName name="BLPH255" localSheetId="70" hidden="1">#REF!</definedName>
    <definedName name="BLPH255" localSheetId="71" hidden="1">#REF!</definedName>
    <definedName name="BLPH255" localSheetId="73" hidden="1">#REF!</definedName>
    <definedName name="BLPH255" localSheetId="75" hidden="1">#REF!</definedName>
    <definedName name="BLPH255" localSheetId="76" hidden="1">#REF!</definedName>
    <definedName name="BLPH255" localSheetId="13" hidden="1">#REF!</definedName>
    <definedName name="BLPH255" localSheetId="12" hidden="1">#REF!</definedName>
    <definedName name="BLPH255" localSheetId="4" hidden="1">#REF!</definedName>
    <definedName name="BLPH255" hidden="1">#REF!</definedName>
    <definedName name="BLPH256" localSheetId="14" hidden="1">#REF!</definedName>
    <definedName name="BLPH256" localSheetId="19" hidden="1">#REF!</definedName>
    <definedName name="BLPH256" localSheetId="23" hidden="1">#REF!</definedName>
    <definedName name="BLPH256" localSheetId="31" hidden="1">#REF!</definedName>
    <definedName name="BLPH256" localSheetId="36" hidden="1">#REF!</definedName>
    <definedName name="BLPH256" localSheetId="37" hidden="1">#REF!</definedName>
    <definedName name="BLPH256" localSheetId="38" hidden="1">#REF!</definedName>
    <definedName name="BLPH256" localSheetId="45" hidden="1">#REF!</definedName>
    <definedName name="BLPH256" localSheetId="46" hidden="1">#REF!</definedName>
    <definedName name="BLPH256" localSheetId="48" hidden="1">#REF!</definedName>
    <definedName name="BLPH256" localSheetId="49" hidden="1">#REF!</definedName>
    <definedName name="BLPH256" localSheetId="50" hidden="1">#REF!</definedName>
    <definedName name="BLPH256" localSheetId="51" hidden="1">#REF!</definedName>
    <definedName name="BLPH256" localSheetId="52" hidden="1">#REF!</definedName>
    <definedName name="BLPH256" localSheetId="54" hidden="1">#REF!</definedName>
    <definedName name="BLPH256" localSheetId="55" hidden="1">#REF!</definedName>
    <definedName name="BLPH256" localSheetId="56" hidden="1">#REF!</definedName>
    <definedName name="BLPH256" localSheetId="57" hidden="1">#REF!</definedName>
    <definedName name="BLPH256" localSheetId="58" hidden="1">#REF!</definedName>
    <definedName name="BLPH256" localSheetId="70" hidden="1">#REF!</definedName>
    <definedName name="BLPH256" localSheetId="71" hidden="1">#REF!</definedName>
    <definedName name="BLPH256" localSheetId="73" hidden="1">#REF!</definedName>
    <definedName name="BLPH256" localSheetId="75" hidden="1">#REF!</definedName>
    <definedName name="BLPH256" localSheetId="76" hidden="1">#REF!</definedName>
    <definedName name="BLPH256" localSheetId="13" hidden="1">#REF!</definedName>
    <definedName name="BLPH256" localSheetId="12" hidden="1">#REF!</definedName>
    <definedName name="BLPH256" localSheetId="4" hidden="1">#REF!</definedName>
    <definedName name="BLPH256" hidden="1">#REF!</definedName>
    <definedName name="BLPH257" localSheetId="14" hidden="1">#REF!</definedName>
    <definedName name="BLPH257" localSheetId="19" hidden="1">#REF!</definedName>
    <definedName name="BLPH257" localSheetId="23" hidden="1">#REF!</definedName>
    <definedName name="BLPH257" localSheetId="31" hidden="1">#REF!</definedName>
    <definedName name="BLPH257" localSheetId="36" hidden="1">#REF!</definedName>
    <definedName name="BLPH257" localSheetId="37" hidden="1">#REF!</definedName>
    <definedName name="BLPH257" localSheetId="38" hidden="1">#REF!</definedName>
    <definedName name="BLPH257" localSheetId="45" hidden="1">#REF!</definedName>
    <definedName name="BLPH257" localSheetId="46" hidden="1">#REF!</definedName>
    <definedName name="BLPH257" localSheetId="48" hidden="1">#REF!</definedName>
    <definedName name="BLPH257" localSheetId="49" hidden="1">#REF!</definedName>
    <definedName name="BLPH257" localSheetId="50" hidden="1">#REF!</definedName>
    <definedName name="BLPH257" localSheetId="51" hidden="1">#REF!</definedName>
    <definedName name="BLPH257" localSheetId="52" hidden="1">#REF!</definedName>
    <definedName name="BLPH257" localSheetId="54" hidden="1">#REF!</definedName>
    <definedName name="BLPH257" localSheetId="55" hidden="1">#REF!</definedName>
    <definedName name="BLPH257" localSheetId="56" hidden="1">#REF!</definedName>
    <definedName name="BLPH257" localSheetId="57" hidden="1">#REF!</definedName>
    <definedName name="BLPH257" localSheetId="58" hidden="1">#REF!</definedName>
    <definedName name="BLPH257" localSheetId="70" hidden="1">#REF!</definedName>
    <definedName name="BLPH257" localSheetId="71" hidden="1">#REF!</definedName>
    <definedName name="BLPH257" localSheetId="73" hidden="1">#REF!</definedName>
    <definedName name="BLPH257" localSheetId="75" hidden="1">#REF!</definedName>
    <definedName name="BLPH257" localSheetId="76" hidden="1">#REF!</definedName>
    <definedName name="BLPH257" localSheetId="13" hidden="1">#REF!</definedName>
    <definedName name="BLPH257" localSheetId="12" hidden="1">#REF!</definedName>
    <definedName name="BLPH257" localSheetId="4" hidden="1">#REF!</definedName>
    <definedName name="BLPH257" hidden="1">#REF!</definedName>
    <definedName name="BLPH258" localSheetId="14" hidden="1">#REF!</definedName>
    <definedName name="BLPH258" localSheetId="19" hidden="1">#REF!</definedName>
    <definedName name="BLPH258" localSheetId="23" hidden="1">#REF!</definedName>
    <definedName name="BLPH258" localSheetId="31" hidden="1">#REF!</definedName>
    <definedName name="BLPH258" localSheetId="36" hidden="1">#REF!</definedName>
    <definedName name="BLPH258" localSheetId="37" hidden="1">#REF!</definedName>
    <definedName name="BLPH258" localSheetId="38" hidden="1">#REF!</definedName>
    <definedName name="BLPH258" localSheetId="45" hidden="1">#REF!</definedName>
    <definedName name="BLPH258" localSheetId="46" hidden="1">#REF!</definedName>
    <definedName name="BLPH258" localSheetId="48" hidden="1">#REF!</definedName>
    <definedName name="BLPH258" localSheetId="49" hidden="1">#REF!</definedName>
    <definedName name="BLPH258" localSheetId="50" hidden="1">#REF!</definedName>
    <definedName name="BLPH258" localSheetId="51" hidden="1">#REF!</definedName>
    <definedName name="BLPH258" localSheetId="52" hidden="1">#REF!</definedName>
    <definedName name="BLPH258" localSheetId="54" hidden="1">#REF!</definedName>
    <definedName name="BLPH258" localSheetId="55" hidden="1">#REF!</definedName>
    <definedName name="BLPH258" localSheetId="56" hidden="1">#REF!</definedName>
    <definedName name="BLPH258" localSheetId="57" hidden="1">#REF!</definedName>
    <definedName name="BLPH258" localSheetId="58" hidden="1">#REF!</definedName>
    <definedName name="BLPH258" localSheetId="70" hidden="1">#REF!</definedName>
    <definedName name="BLPH258" localSheetId="71" hidden="1">#REF!</definedName>
    <definedName name="BLPH258" localSheetId="73" hidden="1">#REF!</definedName>
    <definedName name="BLPH258" localSheetId="75" hidden="1">#REF!</definedName>
    <definedName name="BLPH258" localSheetId="76" hidden="1">#REF!</definedName>
    <definedName name="BLPH258" localSheetId="13" hidden="1">#REF!</definedName>
    <definedName name="BLPH258" localSheetId="12" hidden="1">#REF!</definedName>
    <definedName name="BLPH258" localSheetId="4" hidden="1">#REF!</definedName>
    <definedName name="BLPH258" hidden="1">#REF!</definedName>
    <definedName name="BLPH259" localSheetId="14" hidden="1">#REF!</definedName>
    <definedName name="BLPH259" localSheetId="19" hidden="1">#REF!</definedName>
    <definedName name="BLPH259" localSheetId="23" hidden="1">#REF!</definedName>
    <definedName name="BLPH259" localSheetId="31" hidden="1">#REF!</definedName>
    <definedName name="BLPH259" localSheetId="36" hidden="1">#REF!</definedName>
    <definedName name="BLPH259" localSheetId="37" hidden="1">#REF!</definedName>
    <definedName name="BLPH259" localSheetId="38" hidden="1">#REF!</definedName>
    <definedName name="BLPH259" localSheetId="45" hidden="1">#REF!</definedName>
    <definedName name="BLPH259" localSheetId="46" hidden="1">#REF!</definedName>
    <definedName name="BLPH259" localSheetId="48" hidden="1">#REF!</definedName>
    <definedName name="BLPH259" localSheetId="49" hidden="1">#REF!</definedName>
    <definedName name="BLPH259" localSheetId="50" hidden="1">#REF!</definedName>
    <definedName name="BLPH259" localSheetId="51" hidden="1">#REF!</definedName>
    <definedName name="BLPH259" localSheetId="52" hidden="1">#REF!</definedName>
    <definedName name="BLPH259" localSheetId="54" hidden="1">#REF!</definedName>
    <definedName name="BLPH259" localSheetId="55" hidden="1">#REF!</definedName>
    <definedName name="BLPH259" localSheetId="56" hidden="1">#REF!</definedName>
    <definedName name="BLPH259" localSheetId="57" hidden="1">#REF!</definedName>
    <definedName name="BLPH259" localSheetId="58" hidden="1">#REF!</definedName>
    <definedName name="BLPH259" localSheetId="70" hidden="1">#REF!</definedName>
    <definedName name="BLPH259" localSheetId="71" hidden="1">#REF!</definedName>
    <definedName name="BLPH259" localSheetId="73" hidden="1">#REF!</definedName>
    <definedName name="BLPH259" localSheetId="75" hidden="1">#REF!</definedName>
    <definedName name="BLPH259" localSheetId="76" hidden="1">#REF!</definedName>
    <definedName name="BLPH259" localSheetId="13" hidden="1">#REF!</definedName>
    <definedName name="BLPH259" localSheetId="12" hidden="1">#REF!</definedName>
    <definedName name="BLPH259" localSheetId="4" hidden="1">#REF!</definedName>
    <definedName name="BLPH259" hidden="1">#REF!</definedName>
    <definedName name="BLPH26" hidden="1">'[5]Risk-Free Rate'!$AB$15</definedName>
    <definedName name="BLPH260" localSheetId="14" hidden="1">#REF!</definedName>
    <definedName name="BLPH260" localSheetId="19" hidden="1">#REF!</definedName>
    <definedName name="BLPH260" localSheetId="23" hidden="1">#REF!</definedName>
    <definedName name="BLPH260" localSheetId="26" hidden="1">#REF!</definedName>
    <definedName name="BLPH260" localSheetId="31" hidden="1">#REF!</definedName>
    <definedName name="BLPH260" localSheetId="36" hidden="1">#REF!</definedName>
    <definedName name="BLPH260" localSheetId="37" hidden="1">#REF!</definedName>
    <definedName name="BLPH260" localSheetId="38" hidden="1">#REF!</definedName>
    <definedName name="BLPH260" localSheetId="45" hidden="1">#REF!</definedName>
    <definedName name="BLPH260" localSheetId="46" hidden="1">#REF!</definedName>
    <definedName name="BLPH260" localSheetId="48" hidden="1">#REF!</definedName>
    <definedName name="BLPH260" localSheetId="49" hidden="1">#REF!</definedName>
    <definedName name="BLPH260" localSheetId="50" hidden="1">#REF!</definedName>
    <definedName name="BLPH260" localSheetId="51" hidden="1">#REF!</definedName>
    <definedName name="BLPH260" localSheetId="52" hidden="1">#REF!</definedName>
    <definedName name="BLPH260" localSheetId="54" hidden="1">#REF!</definedName>
    <definedName name="BLPH260" localSheetId="55" hidden="1">#REF!</definedName>
    <definedName name="BLPH260" localSheetId="56" hidden="1">#REF!</definedName>
    <definedName name="BLPH260" localSheetId="57" hidden="1">#REF!</definedName>
    <definedName name="BLPH260" localSheetId="58" hidden="1">#REF!</definedName>
    <definedName name="BLPH260" localSheetId="70" hidden="1">#REF!</definedName>
    <definedName name="BLPH260" localSheetId="71" hidden="1">#REF!</definedName>
    <definedName name="BLPH260" localSheetId="73" hidden="1">#REF!</definedName>
    <definedName name="BLPH260" localSheetId="75" hidden="1">#REF!</definedName>
    <definedName name="BLPH260" localSheetId="76" hidden="1">#REF!</definedName>
    <definedName name="BLPH260" localSheetId="13" hidden="1">#REF!</definedName>
    <definedName name="BLPH260" localSheetId="12" hidden="1">#REF!</definedName>
    <definedName name="BLPH260" localSheetId="4" hidden="1">#REF!</definedName>
    <definedName name="BLPH260" hidden="1">#REF!</definedName>
    <definedName name="BLPH261" localSheetId="14" hidden="1">#REF!</definedName>
    <definedName name="BLPH261" localSheetId="19" hidden="1">#REF!</definedName>
    <definedName name="BLPH261" localSheetId="23" hidden="1">#REF!</definedName>
    <definedName name="BLPH261" localSheetId="26" hidden="1">#REF!</definedName>
    <definedName name="BLPH261" localSheetId="31" hidden="1">#REF!</definedName>
    <definedName name="BLPH261" localSheetId="36" hidden="1">#REF!</definedName>
    <definedName name="BLPH261" localSheetId="37" hidden="1">#REF!</definedName>
    <definedName name="BLPH261" localSheetId="38" hidden="1">#REF!</definedName>
    <definedName name="BLPH261" localSheetId="45" hidden="1">#REF!</definedName>
    <definedName name="BLPH261" localSheetId="46" hidden="1">#REF!</definedName>
    <definedName name="BLPH261" localSheetId="48" hidden="1">#REF!</definedName>
    <definedName name="BLPH261" localSheetId="49" hidden="1">#REF!</definedName>
    <definedName name="BLPH261" localSheetId="50" hidden="1">#REF!</definedName>
    <definedName name="BLPH261" localSheetId="51" hidden="1">#REF!</definedName>
    <definedName name="BLPH261" localSheetId="52" hidden="1">#REF!</definedName>
    <definedName name="BLPH261" localSheetId="54" hidden="1">#REF!</definedName>
    <definedName name="BLPH261" localSheetId="55" hidden="1">#REF!</definedName>
    <definedName name="BLPH261" localSheetId="56" hidden="1">#REF!</definedName>
    <definedName name="BLPH261" localSheetId="57" hidden="1">#REF!</definedName>
    <definedName name="BLPH261" localSheetId="58" hidden="1">#REF!</definedName>
    <definedName name="BLPH261" localSheetId="70" hidden="1">#REF!</definedName>
    <definedName name="BLPH261" localSheetId="71" hidden="1">#REF!</definedName>
    <definedName name="BLPH261" localSheetId="73" hidden="1">#REF!</definedName>
    <definedName name="BLPH261" localSheetId="75" hidden="1">#REF!</definedName>
    <definedName name="BLPH261" localSheetId="76" hidden="1">#REF!</definedName>
    <definedName name="BLPH261" localSheetId="13" hidden="1">#REF!</definedName>
    <definedName name="BLPH261" localSheetId="12" hidden="1">#REF!</definedName>
    <definedName name="BLPH261" localSheetId="4" hidden="1">#REF!</definedName>
    <definedName name="BLPH261" hidden="1">#REF!</definedName>
    <definedName name="BLPH262" localSheetId="14" hidden="1">#REF!</definedName>
    <definedName name="BLPH262" localSheetId="19" hidden="1">#REF!</definedName>
    <definedName name="BLPH262" localSheetId="23" hidden="1">#REF!</definedName>
    <definedName name="BLPH262" localSheetId="26" hidden="1">#REF!</definedName>
    <definedName name="BLPH262" localSheetId="31" hidden="1">#REF!</definedName>
    <definedName name="BLPH262" localSheetId="36" hidden="1">#REF!</definedName>
    <definedName name="BLPH262" localSheetId="37" hidden="1">#REF!</definedName>
    <definedName name="BLPH262" localSheetId="38" hidden="1">#REF!</definedName>
    <definedName name="BLPH262" localSheetId="45" hidden="1">#REF!</definedName>
    <definedName name="BLPH262" localSheetId="46" hidden="1">#REF!</definedName>
    <definedName name="BLPH262" localSheetId="48" hidden="1">#REF!</definedName>
    <definedName name="BLPH262" localSheetId="49" hidden="1">#REF!</definedName>
    <definedName name="BLPH262" localSheetId="50" hidden="1">#REF!</definedName>
    <definedName name="BLPH262" localSheetId="51" hidden="1">#REF!</definedName>
    <definedName name="BLPH262" localSheetId="52" hidden="1">#REF!</definedName>
    <definedName name="BLPH262" localSheetId="54" hidden="1">#REF!</definedName>
    <definedName name="BLPH262" localSheetId="55" hidden="1">#REF!</definedName>
    <definedName name="BLPH262" localSheetId="56" hidden="1">#REF!</definedName>
    <definedName name="BLPH262" localSheetId="57" hidden="1">#REF!</definedName>
    <definedName name="BLPH262" localSheetId="58" hidden="1">#REF!</definedName>
    <definedName name="BLPH262" localSheetId="70" hidden="1">#REF!</definedName>
    <definedName name="BLPH262" localSheetId="71" hidden="1">#REF!</definedName>
    <definedName name="BLPH262" localSheetId="73" hidden="1">#REF!</definedName>
    <definedName name="BLPH262" localSheetId="75" hidden="1">#REF!</definedName>
    <definedName name="BLPH262" localSheetId="76" hidden="1">#REF!</definedName>
    <definedName name="BLPH262" localSheetId="13" hidden="1">#REF!</definedName>
    <definedName name="BLPH262" localSheetId="12" hidden="1">#REF!</definedName>
    <definedName name="BLPH262" localSheetId="4" hidden="1">#REF!</definedName>
    <definedName name="BLPH262" hidden="1">#REF!</definedName>
    <definedName name="BLPH263" localSheetId="14" hidden="1">#REF!</definedName>
    <definedName name="BLPH263" localSheetId="19" hidden="1">#REF!</definedName>
    <definedName name="BLPH263" localSheetId="23" hidden="1">#REF!</definedName>
    <definedName name="BLPH263" localSheetId="31" hidden="1">#REF!</definedName>
    <definedName name="BLPH263" localSheetId="36" hidden="1">#REF!</definedName>
    <definedName name="BLPH263" localSheetId="37" hidden="1">#REF!</definedName>
    <definedName name="BLPH263" localSheetId="38" hidden="1">#REF!</definedName>
    <definedName name="BLPH263" localSheetId="45" hidden="1">#REF!</definedName>
    <definedName name="BLPH263" localSheetId="46" hidden="1">#REF!</definedName>
    <definedName name="BLPH263" localSheetId="48" hidden="1">#REF!</definedName>
    <definedName name="BLPH263" localSheetId="49" hidden="1">#REF!</definedName>
    <definedName name="BLPH263" localSheetId="50" hidden="1">#REF!</definedName>
    <definedName name="BLPH263" localSheetId="51" hidden="1">#REF!</definedName>
    <definedName name="BLPH263" localSheetId="52" hidden="1">#REF!</definedName>
    <definedName name="BLPH263" localSheetId="54" hidden="1">#REF!</definedName>
    <definedName name="BLPH263" localSheetId="55" hidden="1">#REF!</definedName>
    <definedName name="BLPH263" localSheetId="56" hidden="1">#REF!</definedName>
    <definedName name="BLPH263" localSheetId="57" hidden="1">#REF!</definedName>
    <definedName name="BLPH263" localSheetId="58" hidden="1">#REF!</definedName>
    <definedName name="BLPH263" localSheetId="70" hidden="1">#REF!</definedName>
    <definedName name="BLPH263" localSheetId="71" hidden="1">#REF!</definedName>
    <definedName name="BLPH263" localSheetId="73" hidden="1">#REF!</definedName>
    <definedName name="BLPH263" localSheetId="75" hidden="1">#REF!</definedName>
    <definedName name="BLPH263" localSheetId="76" hidden="1">#REF!</definedName>
    <definedName name="BLPH263" localSheetId="13" hidden="1">#REF!</definedName>
    <definedName name="BLPH263" localSheetId="12" hidden="1">#REF!</definedName>
    <definedName name="BLPH263" localSheetId="4" hidden="1">#REF!</definedName>
    <definedName name="BLPH263" hidden="1">#REF!</definedName>
    <definedName name="BLPH264" localSheetId="14" hidden="1">#REF!</definedName>
    <definedName name="BLPH264" localSheetId="19" hidden="1">#REF!</definedName>
    <definedName name="BLPH264" localSheetId="23" hidden="1">#REF!</definedName>
    <definedName name="BLPH264" localSheetId="31" hidden="1">#REF!</definedName>
    <definedName name="BLPH264" localSheetId="36" hidden="1">#REF!</definedName>
    <definedName name="BLPH264" localSheetId="37" hidden="1">#REF!</definedName>
    <definedName name="BLPH264" localSheetId="38" hidden="1">#REF!</definedName>
    <definedName name="BLPH264" localSheetId="45" hidden="1">#REF!</definedName>
    <definedName name="BLPH264" localSheetId="46" hidden="1">#REF!</definedName>
    <definedName name="BLPH264" localSheetId="48" hidden="1">#REF!</definedName>
    <definedName name="BLPH264" localSheetId="49" hidden="1">#REF!</definedName>
    <definedName name="BLPH264" localSheetId="50" hidden="1">#REF!</definedName>
    <definedName name="BLPH264" localSheetId="51" hidden="1">#REF!</definedName>
    <definedName name="BLPH264" localSheetId="52" hidden="1">#REF!</definedName>
    <definedName name="BLPH264" localSheetId="54" hidden="1">#REF!</definedName>
    <definedName name="BLPH264" localSheetId="55" hidden="1">#REF!</definedName>
    <definedName name="BLPH264" localSheetId="56" hidden="1">#REF!</definedName>
    <definedName name="BLPH264" localSheetId="57" hidden="1">#REF!</definedName>
    <definedName name="BLPH264" localSheetId="58" hidden="1">#REF!</definedName>
    <definedName name="BLPH264" localSheetId="70" hidden="1">#REF!</definedName>
    <definedName name="BLPH264" localSheetId="71" hidden="1">#REF!</definedName>
    <definedName name="BLPH264" localSheetId="73" hidden="1">#REF!</definedName>
    <definedName name="BLPH264" localSheetId="75" hidden="1">#REF!</definedName>
    <definedName name="BLPH264" localSheetId="76" hidden="1">#REF!</definedName>
    <definedName name="BLPH264" localSheetId="13" hidden="1">#REF!</definedName>
    <definedName name="BLPH264" localSheetId="12" hidden="1">#REF!</definedName>
    <definedName name="BLPH264" localSheetId="4" hidden="1">#REF!</definedName>
    <definedName name="BLPH264" hidden="1">#REF!</definedName>
    <definedName name="BLPH265" localSheetId="14" hidden="1">#REF!</definedName>
    <definedName name="BLPH265" localSheetId="19" hidden="1">#REF!</definedName>
    <definedName name="BLPH265" localSheetId="23" hidden="1">#REF!</definedName>
    <definedName name="BLPH265" localSheetId="31" hidden="1">#REF!</definedName>
    <definedName name="BLPH265" localSheetId="36" hidden="1">#REF!</definedName>
    <definedName name="BLPH265" localSheetId="37" hidden="1">#REF!</definedName>
    <definedName name="BLPH265" localSheetId="38" hidden="1">#REF!</definedName>
    <definedName name="BLPH265" localSheetId="45" hidden="1">#REF!</definedName>
    <definedName name="BLPH265" localSheetId="46" hidden="1">#REF!</definedName>
    <definedName name="BLPH265" localSheetId="48" hidden="1">#REF!</definedName>
    <definedName name="BLPH265" localSheetId="49" hidden="1">#REF!</definedName>
    <definedName name="BLPH265" localSheetId="50" hidden="1">#REF!</definedName>
    <definedName name="BLPH265" localSheetId="51" hidden="1">#REF!</definedName>
    <definedName name="BLPH265" localSheetId="52" hidden="1">#REF!</definedName>
    <definedName name="BLPH265" localSheetId="54" hidden="1">#REF!</definedName>
    <definedName name="BLPH265" localSheetId="55" hidden="1">#REF!</definedName>
    <definedName name="BLPH265" localSheetId="56" hidden="1">#REF!</definedName>
    <definedName name="BLPH265" localSheetId="57" hidden="1">#REF!</definedName>
    <definedName name="BLPH265" localSheetId="58" hidden="1">#REF!</definedName>
    <definedName name="BLPH265" localSheetId="70" hidden="1">#REF!</definedName>
    <definedName name="BLPH265" localSheetId="71" hidden="1">#REF!</definedName>
    <definedName name="BLPH265" localSheetId="73" hidden="1">#REF!</definedName>
    <definedName name="BLPH265" localSheetId="75" hidden="1">#REF!</definedName>
    <definedName name="BLPH265" localSheetId="76" hidden="1">#REF!</definedName>
    <definedName name="BLPH265" localSheetId="13" hidden="1">#REF!</definedName>
    <definedName name="BLPH265" localSheetId="12" hidden="1">#REF!</definedName>
    <definedName name="BLPH265" localSheetId="4" hidden="1">#REF!</definedName>
    <definedName name="BLPH265" hidden="1">#REF!</definedName>
    <definedName name="BLPH266" localSheetId="14" hidden="1">#REF!</definedName>
    <definedName name="BLPH266" localSheetId="19" hidden="1">#REF!</definedName>
    <definedName name="BLPH266" localSheetId="23" hidden="1">#REF!</definedName>
    <definedName name="BLPH266" localSheetId="31" hidden="1">#REF!</definedName>
    <definedName name="BLPH266" localSheetId="36" hidden="1">#REF!</definedName>
    <definedName name="BLPH266" localSheetId="37" hidden="1">#REF!</definedName>
    <definedName name="BLPH266" localSheetId="38" hidden="1">#REF!</definedName>
    <definedName name="BLPH266" localSheetId="45" hidden="1">#REF!</definedName>
    <definedName name="BLPH266" localSheetId="46" hidden="1">#REF!</definedName>
    <definedName name="BLPH266" localSheetId="48" hidden="1">#REF!</definedName>
    <definedName name="BLPH266" localSheetId="49" hidden="1">#REF!</definedName>
    <definedName name="BLPH266" localSheetId="50" hidden="1">#REF!</definedName>
    <definedName name="BLPH266" localSheetId="51" hidden="1">#REF!</definedName>
    <definedName name="BLPH266" localSheetId="52" hidden="1">#REF!</definedName>
    <definedName name="BLPH266" localSheetId="54" hidden="1">#REF!</definedName>
    <definedName name="BLPH266" localSheetId="55" hidden="1">#REF!</definedName>
    <definedName name="BLPH266" localSheetId="56" hidden="1">#REF!</definedName>
    <definedName name="BLPH266" localSheetId="57" hidden="1">#REF!</definedName>
    <definedName name="BLPH266" localSheetId="58" hidden="1">#REF!</definedName>
    <definedName name="BLPH266" localSheetId="70" hidden="1">#REF!</definedName>
    <definedName name="BLPH266" localSheetId="71" hidden="1">#REF!</definedName>
    <definedName name="BLPH266" localSheetId="73" hidden="1">#REF!</definedName>
    <definedName name="BLPH266" localSheetId="75" hidden="1">#REF!</definedName>
    <definedName name="BLPH266" localSheetId="76" hidden="1">#REF!</definedName>
    <definedName name="BLPH266" localSheetId="13" hidden="1">#REF!</definedName>
    <definedName name="BLPH266" localSheetId="12" hidden="1">#REF!</definedName>
    <definedName name="BLPH266" localSheetId="4" hidden="1">#REF!</definedName>
    <definedName name="BLPH266" hidden="1">#REF!</definedName>
    <definedName name="BLPH267" localSheetId="14" hidden="1">#REF!</definedName>
    <definedName name="BLPH267" localSheetId="19" hidden="1">#REF!</definedName>
    <definedName name="BLPH267" localSheetId="23" hidden="1">#REF!</definedName>
    <definedName name="BLPH267" localSheetId="31" hidden="1">#REF!</definedName>
    <definedName name="BLPH267" localSheetId="36" hidden="1">#REF!</definedName>
    <definedName name="BLPH267" localSheetId="37" hidden="1">#REF!</definedName>
    <definedName name="BLPH267" localSheetId="38" hidden="1">#REF!</definedName>
    <definedName name="BLPH267" localSheetId="45" hidden="1">#REF!</definedName>
    <definedName name="BLPH267" localSheetId="46" hidden="1">#REF!</definedName>
    <definedName name="BLPH267" localSheetId="48" hidden="1">#REF!</definedName>
    <definedName name="BLPH267" localSheetId="49" hidden="1">#REF!</definedName>
    <definedName name="BLPH267" localSheetId="50" hidden="1">#REF!</definedName>
    <definedName name="BLPH267" localSheetId="51" hidden="1">#REF!</definedName>
    <definedName name="BLPH267" localSheetId="52" hidden="1">#REF!</definedName>
    <definedName name="BLPH267" localSheetId="54" hidden="1">#REF!</definedName>
    <definedName name="BLPH267" localSheetId="55" hidden="1">#REF!</definedName>
    <definedName name="BLPH267" localSheetId="56" hidden="1">#REF!</definedName>
    <definedName name="BLPH267" localSheetId="57" hidden="1">#REF!</definedName>
    <definedName name="BLPH267" localSheetId="58" hidden="1">#REF!</definedName>
    <definedName name="BLPH267" localSheetId="70" hidden="1">#REF!</definedName>
    <definedName name="BLPH267" localSheetId="71" hidden="1">#REF!</definedName>
    <definedName name="BLPH267" localSheetId="73" hidden="1">#REF!</definedName>
    <definedName name="BLPH267" localSheetId="75" hidden="1">#REF!</definedName>
    <definedName name="BLPH267" localSheetId="76" hidden="1">#REF!</definedName>
    <definedName name="BLPH267" localSheetId="13" hidden="1">#REF!</definedName>
    <definedName name="BLPH267" localSheetId="12" hidden="1">#REF!</definedName>
    <definedName name="BLPH267" localSheetId="4" hidden="1">#REF!</definedName>
    <definedName name="BLPH267" hidden="1">#REF!</definedName>
    <definedName name="BLPH268" localSheetId="14" hidden="1">#REF!</definedName>
    <definedName name="BLPH268" localSheetId="19" hidden="1">#REF!</definedName>
    <definedName name="BLPH268" localSheetId="23" hidden="1">#REF!</definedName>
    <definedName name="BLPH268" localSheetId="31" hidden="1">#REF!</definedName>
    <definedName name="BLPH268" localSheetId="36" hidden="1">#REF!</definedName>
    <definedName name="BLPH268" localSheetId="37" hidden="1">#REF!</definedName>
    <definedName name="BLPH268" localSheetId="38" hidden="1">#REF!</definedName>
    <definedName name="BLPH268" localSheetId="45" hidden="1">#REF!</definedName>
    <definedName name="BLPH268" localSheetId="46" hidden="1">#REF!</definedName>
    <definedName name="BLPH268" localSheetId="48" hidden="1">#REF!</definedName>
    <definedName name="BLPH268" localSheetId="49" hidden="1">#REF!</definedName>
    <definedName name="BLPH268" localSheetId="50" hidden="1">#REF!</definedName>
    <definedName name="BLPH268" localSheetId="51" hidden="1">#REF!</definedName>
    <definedName name="BLPH268" localSheetId="52" hidden="1">#REF!</definedName>
    <definedName name="BLPH268" localSheetId="54" hidden="1">#REF!</definedName>
    <definedName name="BLPH268" localSheetId="55" hidden="1">#REF!</definedName>
    <definedName name="BLPH268" localSheetId="56" hidden="1">#REF!</definedName>
    <definedName name="BLPH268" localSheetId="57" hidden="1">#REF!</definedName>
    <definedName name="BLPH268" localSheetId="58" hidden="1">#REF!</definedName>
    <definedName name="BLPH268" localSheetId="70" hidden="1">#REF!</definedName>
    <definedName name="BLPH268" localSheetId="71" hidden="1">#REF!</definedName>
    <definedName name="BLPH268" localSheetId="73" hidden="1">#REF!</definedName>
    <definedName name="BLPH268" localSheetId="75" hidden="1">#REF!</definedName>
    <definedName name="BLPH268" localSheetId="76" hidden="1">#REF!</definedName>
    <definedName name="BLPH268" localSheetId="13" hidden="1">#REF!</definedName>
    <definedName name="BLPH268" localSheetId="12" hidden="1">#REF!</definedName>
    <definedName name="BLPH268" localSheetId="4" hidden="1">#REF!</definedName>
    <definedName name="BLPH268" hidden="1">#REF!</definedName>
    <definedName name="BLPH269" localSheetId="14" hidden="1">#REF!</definedName>
    <definedName name="BLPH269" localSheetId="19" hidden="1">#REF!</definedName>
    <definedName name="BLPH269" localSheetId="23" hidden="1">#REF!</definedName>
    <definedName name="BLPH269" localSheetId="31" hidden="1">#REF!</definedName>
    <definedName name="BLPH269" localSheetId="36" hidden="1">#REF!</definedName>
    <definedName name="BLPH269" localSheetId="37" hidden="1">#REF!</definedName>
    <definedName name="BLPH269" localSheetId="38" hidden="1">#REF!</definedName>
    <definedName name="BLPH269" localSheetId="45" hidden="1">#REF!</definedName>
    <definedName name="BLPH269" localSheetId="46" hidden="1">#REF!</definedName>
    <definedName name="BLPH269" localSheetId="48" hidden="1">#REF!</definedName>
    <definedName name="BLPH269" localSheetId="49" hidden="1">#REF!</definedName>
    <definedName name="BLPH269" localSheetId="50" hidden="1">#REF!</definedName>
    <definedName name="BLPH269" localSheetId="51" hidden="1">#REF!</definedName>
    <definedName name="BLPH269" localSheetId="52" hidden="1">#REF!</definedName>
    <definedName name="BLPH269" localSheetId="54" hidden="1">#REF!</definedName>
    <definedName name="BLPH269" localSheetId="55" hidden="1">#REF!</definedName>
    <definedName name="BLPH269" localSheetId="56" hidden="1">#REF!</definedName>
    <definedName name="BLPH269" localSheetId="57" hidden="1">#REF!</definedName>
    <definedName name="BLPH269" localSheetId="58" hidden="1">#REF!</definedName>
    <definedName name="BLPH269" localSheetId="70" hidden="1">#REF!</definedName>
    <definedName name="BLPH269" localSheetId="71" hidden="1">#REF!</definedName>
    <definedName name="BLPH269" localSheetId="73" hidden="1">#REF!</definedName>
    <definedName name="BLPH269" localSheetId="75" hidden="1">#REF!</definedName>
    <definedName name="BLPH269" localSheetId="76" hidden="1">#REF!</definedName>
    <definedName name="BLPH269" localSheetId="13" hidden="1">#REF!</definedName>
    <definedName name="BLPH269" localSheetId="12" hidden="1">#REF!</definedName>
    <definedName name="BLPH269" localSheetId="4" hidden="1">#REF!</definedName>
    <definedName name="BLPH269" hidden="1">#REF!</definedName>
    <definedName name="BLPH27" hidden="1">'[5]Risk-Free Rate'!$Y$15</definedName>
    <definedName name="BLPH270" localSheetId="14" hidden="1">#REF!</definedName>
    <definedName name="BLPH270" localSheetId="19" hidden="1">#REF!</definedName>
    <definedName name="BLPH270" localSheetId="23" hidden="1">#REF!</definedName>
    <definedName name="BLPH270" localSheetId="26" hidden="1">#REF!</definedName>
    <definedName name="BLPH270" localSheetId="31" hidden="1">#REF!</definedName>
    <definedName name="BLPH270" localSheetId="36" hidden="1">#REF!</definedName>
    <definedName name="BLPH270" localSheetId="37" hidden="1">#REF!</definedName>
    <definedName name="BLPH270" localSheetId="38" hidden="1">#REF!</definedName>
    <definedName name="BLPH270" localSheetId="45" hidden="1">#REF!</definedName>
    <definedName name="BLPH270" localSheetId="46" hidden="1">#REF!</definedName>
    <definedName name="BLPH270" localSheetId="48" hidden="1">#REF!</definedName>
    <definedName name="BLPH270" localSheetId="49" hidden="1">#REF!</definedName>
    <definedName name="BLPH270" localSheetId="50" hidden="1">#REF!</definedName>
    <definedName name="BLPH270" localSheetId="51" hidden="1">#REF!</definedName>
    <definedName name="BLPH270" localSheetId="52" hidden="1">#REF!</definedName>
    <definedName name="BLPH270" localSheetId="54" hidden="1">#REF!</definedName>
    <definedName name="BLPH270" localSheetId="55" hidden="1">#REF!</definedName>
    <definedName name="BLPH270" localSheetId="56" hidden="1">#REF!</definedName>
    <definedName name="BLPH270" localSheetId="57" hidden="1">#REF!</definedName>
    <definedName name="BLPH270" localSheetId="58" hidden="1">#REF!</definedName>
    <definedName name="BLPH270" localSheetId="70" hidden="1">#REF!</definedName>
    <definedName name="BLPH270" localSheetId="71" hidden="1">#REF!</definedName>
    <definedName name="BLPH270" localSheetId="73" hidden="1">#REF!</definedName>
    <definedName name="BLPH270" localSheetId="75" hidden="1">#REF!</definedName>
    <definedName name="BLPH270" localSheetId="76" hidden="1">#REF!</definedName>
    <definedName name="BLPH270" localSheetId="13" hidden="1">#REF!</definedName>
    <definedName name="BLPH270" localSheetId="12" hidden="1">#REF!</definedName>
    <definedName name="BLPH270" localSheetId="4" hidden="1">#REF!</definedName>
    <definedName name="BLPH270" hidden="1">#REF!</definedName>
    <definedName name="BLPH271" localSheetId="14" hidden="1">#REF!</definedName>
    <definedName name="BLPH271" localSheetId="19" hidden="1">#REF!</definedName>
    <definedName name="BLPH271" localSheetId="23" hidden="1">#REF!</definedName>
    <definedName name="BLPH271" localSheetId="26" hidden="1">#REF!</definedName>
    <definedName name="BLPH271" localSheetId="31" hidden="1">#REF!</definedName>
    <definedName name="BLPH271" localSheetId="36" hidden="1">#REF!</definedName>
    <definedName name="BLPH271" localSheetId="37" hidden="1">#REF!</definedName>
    <definedName name="BLPH271" localSheetId="38" hidden="1">#REF!</definedName>
    <definedName name="BLPH271" localSheetId="45" hidden="1">#REF!</definedName>
    <definedName name="BLPH271" localSheetId="46" hidden="1">#REF!</definedName>
    <definedName name="BLPH271" localSheetId="48" hidden="1">#REF!</definedName>
    <definedName name="BLPH271" localSheetId="49" hidden="1">#REF!</definedName>
    <definedName name="BLPH271" localSheetId="50" hidden="1">#REF!</definedName>
    <definedName name="BLPH271" localSheetId="51" hidden="1">#REF!</definedName>
    <definedName name="BLPH271" localSheetId="52" hidden="1">#REF!</definedName>
    <definedName name="BLPH271" localSheetId="54" hidden="1">#REF!</definedName>
    <definedName name="BLPH271" localSheetId="55" hidden="1">#REF!</definedName>
    <definedName name="BLPH271" localSheetId="56" hidden="1">#REF!</definedName>
    <definedName name="BLPH271" localSheetId="57" hidden="1">#REF!</definedName>
    <definedName name="BLPH271" localSheetId="58" hidden="1">#REF!</definedName>
    <definedName name="BLPH271" localSheetId="70" hidden="1">#REF!</definedName>
    <definedName name="BLPH271" localSheetId="71" hidden="1">#REF!</definedName>
    <definedName name="BLPH271" localSheetId="73" hidden="1">#REF!</definedName>
    <definedName name="BLPH271" localSheetId="75" hidden="1">#REF!</definedName>
    <definedName name="BLPH271" localSheetId="76" hidden="1">#REF!</definedName>
    <definedName name="BLPH271" localSheetId="13" hidden="1">#REF!</definedName>
    <definedName name="BLPH271" localSheetId="12" hidden="1">#REF!</definedName>
    <definedName name="BLPH271" localSheetId="4" hidden="1">#REF!</definedName>
    <definedName name="BLPH271" hidden="1">#REF!</definedName>
    <definedName name="BLPH272" localSheetId="14" hidden="1">#REF!</definedName>
    <definedName name="BLPH272" localSheetId="19" hidden="1">#REF!</definedName>
    <definedName name="BLPH272" localSheetId="23" hidden="1">#REF!</definedName>
    <definedName name="BLPH272" localSheetId="26" hidden="1">#REF!</definedName>
    <definedName name="BLPH272" localSheetId="31" hidden="1">#REF!</definedName>
    <definedName name="BLPH272" localSheetId="36" hidden="1">#REF!</definedName>
    <definedName name="BLPH272" localSheetId="37" hidden="1">#REF!</definedName>
    <definedName name="BLPH272" localSheetId="38" hidden="1">#REF!</definedName>
    <definedName name="BLPH272" localSheetId="45" hidden="1">#REF!</definedName>
    <definedName name="BLPH272" localSheetId="46" hidden="1">#REF!</definedName>
    <definedName name="BLPH272" localSheetId="48" hidden="1">#REF!</definedName>
    <definedName name="BLPH272" localSheetId="49" hidden="1">#REF!</definedName>
    <definedName name="BLPH272" localSheetId="50" hidden="1">#REF!</definedName>
    <definedName name="BLPH272" localSheetId="51" hidden="1">#REF!</definedName>
    <definedName name="BLPH272" localSheetId="52" hidden="1">#REF!</definedName>
    <definedName name="BLPH272" localSheetId="54" hidden="1">#REF!</definedName>
    <definedName name="BLPH272" localSheetId="55" hidden="1">#REF!</definedName>
    <definedName name="BLPH272" localSheetId="56" hidden="1">#REF!</definedName>
    <definedName name="BLPH272" localSheetId="57" hidden="1">#REF!</definedName>
    <definedName name="BLPH272" localSheetId="58" hidden="1">#REF!</definedName>
    <definedName name="BLPH272" localSheetId="70" hidden="1">#REF!</definedName>
    <definedName name="BLPH272" localSheetId="71" hidden="1">#REF!</definedName>
    <definedName name="BLPH272" localSheetId="73" hidden="1">#REF!</definedName>
    <definedName name="BLPH272" localSheetId="75" hidden="1">#REF!</definedName>
    <definedName name="BLPH272" localSheetId="76" hidden="1">#REF!</definedName>
    <definedName name="BLPH272" localSheetId="13" hidden="1">#REF!</definedName>
    <definedName name="BLPH272" localSheetId="12" hidden="1">#REF!</definedName>
    <definedName name="BLPH272" localSheetId="4" hidden="1">#REF!</definedName>
    <definedName name="BLPH272" hidden="1">#REF!</definedName>
    <definedName name="BLPH273" localSheetId="14" hidden="1">#REF!</definedName>
    <definedName name="BLPH273" localSheetId="19" hidden="1">#REF!</definedName>
    <definedName name="BLPH273" localSheetId="23" hidden="1">#REF!</definedName>
    <definedName name="BLPH273" localSheetId="31" hidden="1">#REF!</definedName>
    <definedName name="BLPH273" localSheetId="36" hidden="1">#REF!</definedName>
    <definedName name="BLPH273" localSheetId="37" hidden="1">#REF!</definedName>
    <definedName name="BLPH273" localSheetId="38" hidden="1">#REF!</definedName>
    <definedName name="BLPH273" localSheetId="45" hidden="1">#REF!</definedName>
    <definedName name="BLPH273" localSheetId="46" hidden="1">#REF!</definedName>
    <definedName name="BLPH273" localSheetId="48" hidden="1">#REF!</definedName>
    <definedName name="BLPH273" localSheetId="49" hidden="1">#REF!</definedName>
    <definedName name="BLPH273" localSheetId="50" hidden="1">#REF!</definedName>
    <definedName name="BLPH273" localSheetId="51" hidden="1">#REF!</definedName>
    <definedName name="BLPH273" localSheetId="52" hidden="1">#REF!</definedName>
    <definedName name="BLPH273" localSheetId="54" hidden="1">#REF!</definedName>
    <definedName name="BLPH273" localSheetId="55" hidden="1">#REF!</definedName>
    <definedName name="BLPH273" localSheetId="56" hidden="1">#REF!</definedName>
    <definedName name="BLPH273" localSheetId="57" hidden="1">#REF!</definedName>
    <definedName name="BLPH273" localSheetId="58" hidden="1">#REF!</definedName>
    <definedName name="BLPH273" localSheetId="70" hidden="1">#REF!</definedName>
    <definedName name="BLPH273" localSheetId="71" hidden="1">#REF!</definedName>
    <definedName name="BLPH273" localSheetId="73" hidden="1">#REF!</definedName>
    <definedName name="BLPH273" localSheetId="75" hidden="1">#REF!</definedName>
    <definedName name="BLPH273" localSheetId="76" hidden="1">#REF!</definedName>
    <definedName name="BLPH273" localSheetId="13" hidden="1">#REF!</definedName>
    <definedName name="BLPH273" localSheetId="12" hidden="1">#REF!</definedName>
    <definedName name="BLPH273" localSheetId="4" hidden="1">#REF!</definedName>
    <definedName name="BLPH273" hidden="1">#REF!</definedName>
    <definedName name="BLPH274" localSheetId="14" hidden="1">#REF!</definedName>
    <definedName name="BLPH274" localSheetId="19" hidden="1">#REF!</definedName>
    <definedName name="BLPH274" localSheetId="23" hidden="1">#REF!</definedName>
    <definedName name="BLPH274" localSheetId="31" hidden="1">#REF!</definedName>
    <definedName name="BLPH274" localSheetId="36" hidden="1">#REF!</definedName>
    <definedName name="BLPH274" localSheetId="37" hidden="1">#REF!</definedName>
    <definedName name="BLPH274" localSheetId="38" hidden="1">#REF!</definedName>
    <definedName name="BLPH274" localSheetId="45" hidden="1">#REF!</definedName>
    <definedName name="BLPH274" localSheetId="46" hidden="1">#REF!</definedName>
    <definedName name="BLPH274" localSheetId="48" hidden="1">#REF!</definedName>
    <definedName name="BLPH274" localSheetId="49" hidden="1">#REF!</definedName>
    <definedName name="BLPH274" localSheetId="50" hidden="1">#REF!</definedName>
    <definedName name="BLPH274" localSheetId="51" hidden="1">#REF!</definedName>
    <definedName name="BLPH274" localSheetId="52" hidden="1">#REF!</definedName>
    <definedName name="BLPH274" localSheetId="54" hidden="1">#REF!</definedName>
    <definedName name="BLPH274" localSheetId="55" hidden="1">#REF!</definedName>
    <definedName name="BLPH274" localSheetId="56" hidden="1">#REF!</definedName>
    <definedName name="BLPH274" localSheetId="57" hidden="1">#REF!</definedName>
    <definedName name="BLPH274" localSheetId="58" hidden="1">#REF!</definedName>
    <definedName name="BLPH274" localSheetId="70" hidden="1">#REF!</definedName>
    <definedName name="BLPH274" localSheetId="71" hidden="1">#REF!</definedName>
    <definedName name="BLPH274" localSheetId="73" hidden="1">#REF!</definedName>
    <definedName name="BLPH274" localSheetId="75" hidden="1">#REF!</definedName>
    <definedName name="BLPH274" localSheetId="76" hidden="1">#REF!</definedName>
    <definedName name="BLPH274" localSheetId="13" hidden="1">#REF!</definedName>
    <definedName name="BLPH274" localSheetId="12" hidden="1">#REF!</definedName>
    <definedName name="BLPH274" localSheetId="4" hidden="1">#REF!</definedName>
    <definedName name="BLPH274" hidden="1">#REF!</definedName>
    <definedName name="BLPH275" localSheetId="14" hidden="1">#REF!</definedName>
    <definedName name="BLPH275" localSheetId="19" hidden="1">#REF!</definedName>
    <definedName name="BLPH275" localSheetId="23" hidden="1">#REF!</definedName>
    <definedName name="BLPH275" localSheetId="31" hidden="1">#REF!</definedName>
    <definedName name="BLPH275" localSheetId="36" hidden="1">#REF!</definedName>
    <definedName name="BLPH275" localSheetId="37" hidden="1">#REF!</definedName>
    <definedName name="BLPH275" localSheetId="38" hidden="1">#REF!</definedName>
    <definedName name="BLPH275" localSheetId="45" hidden="1">#REF!</definedName>
    <definedName name="BLPH275" localSheetId="46" hidden="1">#REF!</definedName>
    <definedName name="BLPH275" localSheetId="48" hidden="1">#REF!</definedName>
    <definedName name="BLPH275" localSheetId="49" hidden="1">#REF!</definedName>
    <definedName name="BLPH275" localSheetId="50" hidden="1">#REF!</definedName>
    <definedName name="BLPH275" localSheetId="51" hidden="1">#REF!</definedName>
    <definedName name="BLPH275" localSheetId="52" hidden="1">#REF!</definedName>
    <definedName name="BLPH275" localSheetId="54" hidden="1">#REF!</definedName>
    <definedName name="BLPH275" localSheetId="55" hidden="1">#REF!</definedName>
    <definedName name="BLPH275" localSheetId="56" hidden="1">#REF!</definedName>
    <definedName name="BLPH275" localSheetId="57" hidden="1">#REF!</definedName>
    <definedName name="BLPH275" localSheetId="58" hidden="1">#REF!</definedName>
    <definedName name="BLPH275" localSheetId="70" hidden="1">#REF!</definedName>
    <definedName name="BLPH275" localSheetId="71" hidden="1">#REF!</definedName>
    <definedName name="BLPH275" localSheetId="73" hidden="1">#REF!</definedName>
    <definedName name="BLPH275" localSheetId="75" hidden="1">#REF!</definedName>
    <definedName name="BLPH275" localSheetId="76" hidden="1">#REF!</definedName>
    <definedName name="BLPH275" localSheetId="13" hidden="1">#REF!</definedName>
    <definedName name="BLPH275" localSheetId="12" hidden="1">#REF!</definedName>
    <definedName name="BLPH275" localSheetId="4" hidden="1">#REF!</definedName>
    <definedName name="BLPH275" hidden="1">#REF!</definedName>
    <definedName name="BLPH276" localSheetId="14" hidden="1">#REF!</definedName>
    <definedName name="BLPH276" localSheetId="19" hidden="1">#REF!</definedName>
    <definedName name="BLPH276" localSheetId="23" hidden="1">#REF!</definedName>
    <definedName name="BLPH276" localSheetId="31" hidden="1">#REF!</definedName>
    <definedName name="BLPH276" localSheetId="36" hidden="1">#REF!</definedName>
    <definedName name="BLPH276" localSheetId="37" hidden="1">#REF!</definedName>
    <definedName name="BLPH276" localSheetId="38" hidden="1">#REF!</definedName>
    <definedName name="BLPH276" localSheetId="45" hidden="1">#REF!</definedName>
    <definedName name="BLPH276" localSheetId="46" hidden="1">#REF!</definedName>
    <definedName name="BLPH276" localSheetId="48" hidden="1">#REF!</definedName>
    <definedName name="BLPH276" localSheetId="49" hidden="1">#REF!</definedName>
    <definedName name="BLPH276" localSheetId="50" hidden="1">#REF!</definedName>
    <definedName name="BLPH276" localSheetId="51" hidden="1">#REF!</definedName>
    <definedName name="BLPH276" localSheetId="52" hidden="1">#REF!</definedName>
    <definedName name="BLPH276" localSheetId="54" hidden="1">#REF!</definedName>
    <definedName name="BLPH276" localSheetId="55" hidden="1">#REF!</definedName>
    <definedName name="BLPH276" localSheetId="56" hidden="1">#REF!</definedName>
    <definedName name="BLPH276" localSheetId="57" hidden="1">#REF!</definedName>
    <definedName name="BLPH276" localSheetId="58" hidden="1">#REF!</definedName>
    <definedName name="BLPH276" localSheetId="70" hidden="1">#REF!</definedName>
    <definedName name="BLPH276" localSheetId="71" hidden="1">#REF!</definedName>
    <definedName name="BLPH276" localSheetId="73" hidden="1">#REF!</definedName>
    <definedName name="BLPH276" localSheetId="75" hidden="1">#REF!</definedName>
    <definedName name="BLPH276" localSheetId="76" hidden="1">#REF!</definedName>
    <definedName name="BLPH276" localSheetId="13" hidden="1">#REF!</definedName>
    <definedName name="BLPH276" localSheetId="12" hidden="1">#REF!</definedName>
    <definedName name="BLPH276" localSheetId="4" hidden="1">#REF!</definedName>
    <definedName name="BLPH276" hidden="1">#REF!</definedName>
    <definedName name="BLPH277" localSheetId="14" hidden="1">#REF!</definedName>
    <definedName name="BLPH277" localSheetId="19" hidden="1">#REF!</definedName>
    <definedName name="BLPH277" localSheetId="23" hidden="1">#REF!</definedName>
    <definedName name="BLPH277" localSheetId="31" hidden="1">#REF!</definedName>
    <definedName name="BLPH277" localSheetId="36" hidden="1">#REF!</definedName>
    <definedName name="BLPH277" localSheetId="37" hidden="1">#REF!</definedName>
    <definedName name="BLPH277" localSheetId="38" hidden="1">#REF!</definedName>
    <definedName name="BLPH277" localSheetId="45" hidden="1">#REF!</definedName>
    <definedName name="BLPH277" localSheetId="46" hidden="1">#REF!</definedName>
    <definedName name="BLPH277" localSheetId="48" hidden="1">#REF!</definedName>
    <definedName name="BLPH277" localSheetId="49" hidden="1">#REF!</definedName>
    <definedName name="BLPH277" localSheetId="50" hidden="1">#REF!</definedName>
    <definedName name="BLPH277" localSheetId="51" hidden="1">#REF!</definedName>
    <definedName name="BLPH277" localSheetId="52" hidden="1">#REF!</definedName>
    <definedName name="BLPH277" localSheetId="54" hidden="1">#REF!</definedName>
    <definedName name="BLPH277" localSheetId="55" hidden="1">#REF!</definedName>
    <definedName name="BLPH277" localSheetId="56" hidden="1">#REF!</definedName>
    <definedName name="BLPH277" localSheetId="57" hidden="1">#REF!</definedName>
    <definedName name="BLPH277" localSheetId="58" hidden="1">#REF!</definedName>
    <definedName name="BLPH277" localSheetId="70" hidden="1">#REF!</definedName>
    <definedName name="BLPH277" localSheetId="71" hidden="1">#REF!</definedName>
    <definedName name="BLPH277" localSheetId="73" hidden="1">#REF!</definedName>
    <definedName name="BLPH277" localSheetId="75" hidden="1">#REF!</definedName>
    <definedName name="BLPH277" localSheetId="76" hidden="1">#REF!</definedName>
    <definedName name="BLPH277" localSheetId="13" hidden="1">#REF!</definedName>
    <definedName name="BLPH277" localSheetId="12" hidden="1">#REF!</definedName>
    <definedName name="BLPH277" localSheetId="4" hidden="1">#REF!</definedName>
    <definedName name="BLPH277" hidden="1">#REF!</definedName>
    <definedName name="BLPH278" localSheetId="14" hidden="1">#REF!</definedName>
    <definedName name="BLPH278" localSheetId="19" hidden="1">#REF!</definedName>
    <definedName name="BLPH278" localSheetId="23" hidden="1">#REF!</definedName>
    <definedName name="BLPH278" localSheetId="31" hidden="1">#REF!</definedName>
    <definedName name="BLPH278" localSheetId="36" hidden="1">#REF!</definedName>
    <definedName name="BLPH278" localSheetId="37" hidden="1">#REF!</definedName>
    <definedName name="BLPH278" localSheetId="38" hidden="1">#REF!</definedName>
    <definedName name="BLPH278" localSheetId="45" hidden="1">#REF!</definedName>
    <definedName name="BLPH278" localSheetId="46" hidden="1">#REF!</definedName>
    <definedName name="BLPH278" localSheetId="48" hidden="1">#REF!</definedName>
    <definedName name="BLPH278" localSheetId="49" hidden="1">#REF!</definedName>
    <definedName name="BLPH278" localSheetId="50" hidden="1">#REF!</definedName>
    <definedName name="BLPH278" localSheetId="51" hidden="1">#REF!</definedName>
    <definedName name="BLPH278" localSheetId="52" hidden="1">#REF!</definedName>
    <definedName name="BLPH278" localSheetId="54" hidden="1">#REF!</definedName>
    <definedName name="BLPH278" localSheetId="55" hidden="1">#REF!</definedName>
    <definedName name="BLPH278" localSheetId="56" hidden="1">#REF!</definedName>
    <definedName name="BLPH278" localSheetId="57" hidden="1">#REF!</definedName>
    <definedName name="BLPH278" localSheetId="58" hidden="1">#REF!</definedName>
    <definedName name="BLPH278" localSheetId="70" hidden="1">#REF!</definedName>
    <definedName name="BLPH278" localSheetId="71" hidden="1">#REF!</definedName>
    <definedName name="BLPH278" localSheetId="73" hidden="1">#REF!</definedName>
    <definedName name="BLPH278" localSheetId="75" hidden="1">#REF!</definedName>
    <definedName name="BLPH278" localSheetId="76" hidden="1">#REF!</definedName>
    <definedName name="BLPH278" localSheetId="13" hidden="1">#REF!</definedName>
    <definedName name="BLPH278" localSheetId="12" hidden="1">#REF!</definedName>
    <definedName name="BLPH278" localSheetId="4" hidden="1">#REF!</definedName>
    <definedName name="BLPH278" hidden="1">#REF!</definedName>
    <definedName name="BLPH279" localSheetId="14" hidden="1">#REF!</definedName>
    <definedName name="BLPH279" localSheetId="19" hidden="1">#REF!</definedName>
    <definedName name="BLPH279" localSheetId="23" hidden="1">#REF!</definedName>
    <definedName name="BLPH279" localSheetId="31" hidden="1">#REF!</definedName>
    <definedName name="BLPH279" localSheetId="36" hidden="1">#REF!</definedName>
    <definedName name="BLPH279" localSheetId="37" hidden="1">#REF!</definedName>
    <definedName name="BLPH279" localSheetId="38" hidden="1">#REF!</definedName>
    <definedName name="BLPH279" localSheetId="45" hidden="1">#REF!</definedName>
    <definedName name="BLPH279" localSheetId="46" hidden="1">#REF!</definedName>
    <definedName name="BLPH279" localSheetId="48" hidden="1">#REF!</definedName>
    <definedName name="BLPH279" localSheetId="49" hidden="1">#REF!</definedName>
    <definedName name="BLPH279" localSheetId="50" hidden="1">#REF!</definedName>
    <definedName name="BLPH279" localSheetId="51" hidden="1">#REF!</definedName>
    <definedName name="BLPH279" localSheetId="52" hidden="1">#REF!</definedName>
    <definedName name="BLPH279" localSheetId="54" hidden="1">#REF!</definedName>
    <definedName name="BLPH279" localSheetId="55" hidden="1">#REF!</definedName>
    <definedName name="BLPH279" localSheetId="56" hidden="1">#REF!</definedName>
    <definedName name="BLPH279" localSheetId="57" hidden="1">#REF!</definedName>
    <definedName name="BLPH279" localSheetId="58" hidden="1">#REF!</definedName>
    <definedName name="BLPH279" localSheetId="70" hidden="1">#REF!</definedName>
    <definedName name="BLPH279" localSheetId="71" hidden="1">#REF!</definedName>
    <definedName name="BLPH279" localSheetId="73" hidden="1">#REF!</definedName>
    <definedName name="BLPH279" localSheetId="75" hidden="1">#REF!</definedName>
    <definedName name="BLPH279" localSheetId="76" hidden="1">#REF!</definedName>
    <definedName name="BLPH279" localSheetId="13" hidden="1">#REF!</definedName>
    <definedName name="BLPH279" localSheetId="12" hidden="1">#REF!</definedName>
    <definedName name="BLPH279" localSheetId="4" hidden="1">#REF!</definedName>
    <definedName name="BLPH279" hidden="1">#REF!</definedName>
    <definedName name="BLPH28" hidden="1">'[5]Risk-Free Rate'!$V$15</definedName>
    <definedName name="BLPH280" localSheetId="14" hidden="1">#REF!</definedName>
    <definedName name="BLPH280" localSheetId="19" hidden="1">#REF!</definedName>
    <definedName name="BLPH280" localSheetId="23" hidden="1">#REF!</definedName>
    <definedName name="BLPH280" localSheetId="26" hidden="1">#REF!</definedName>
    <definedName name="BLPH280" localSheetId="31" hidden="1">#REF!</definedName>
    <definedName name="BLPH280" localSheetId="36" hidden="1">#REF!</definedName>
    <definedName name="BLPH280" localSheetId="37" hidden="1">#REF!</definedName>
    <definedName name="BLPH280" localSheetId="38" hidden="1">#REF!</definedName>
    <definedName name="BLPH280" localSheetId="45" hidden="1">#REF!</definedName>
    <definedName name="BLPH280" localSheetId="46" hidden="1">#REF!</definedName>
    <definedName name="BLPH280" localSheetId="48" hidden="1">#REF!</definedName>
    <definedName name="BLPH280" localSheetId="49" hidden="1">#REF!</definedName>
    <definedName name="BLPH280" localSheetId="50" hidden="1">#REF!</definedName>
    <definedName name="BLPH280" localSheetId="51" hidden="1">#REF!</definedName>
    <definedName name="BLPH280" localSheetId="52" hidden="1">#REF!</definedName>
    <definedName name="BLPH280" localSheetId="54" hidden="1">#REF!</definedName>
    <definedName name="BLPH280" localSheetId="55" hidden="1">#REF!</definedName>
    <definedName name="BLPH280" localSheetId="56" hidden="1">#REF!</definedName>
    <definedName name="BLPH280" localSheetId="57" hidden="1">#REF!</definedName>
    <definedName name="BLPH280" localSheetId="58" hidden="1">#REF!</definedName>
    <definedName name="BLPH280" localSheetId="70" hidden="1">#REF!</definedName>
    <definedName name="BLPH280" localSheetId="71" hidden="1">#REF!</definedName>
    <definedName name="BLPH280" localSheetId="73" hidden="1">#REF!</definedName>
    <definedName name="BLPH280" localSheetId="75" hidden="1">#REF!</definedName>
    <definedName name="BLPH280" localSheetId="76" hidden="1">#REF!</definedName>
    <definedName name="BLPH280" localSheetId="13" hidden="1">#REF!</definedName>
    <definedName name="BLPH280" localSheetId="12" hidden="1">#REF!</definedName>
    <definedName name="BLPH280" localSheetId="4" hidden="1">#REF!</definedName>
    <definedName name="BLPH280" hidden="1">#REF!</definedName>
    <definedName name="BLPH281" localSheetId="14" hidden="1">#REF!</definedName>
    <definedName name="BLPH281" localSheetId="19" hidden="1">#REF!</definedName>
    <definedName name="BLPH281" localSheetId="23" hidden="1">#REF!</definedName>
    <definedName name="BLPH281" localSheetId="26" hidden="1">#REF!</definedName>
    <definedName name="BLPH281" localSheetId="31" hidden="1">#REF!</definedName>
    <definedName name="BLPH281" localSheetId="36" hidden="1">#REF!</definedName>
    <definedName name="BLPH281" localSheetId="37" hidden="1">#REF!</definedName>
    <definedName name="BLPH281" localSheetId="38" hidden="1">#REF!</definedName>
    <definedName name="BLPH281" localSheetId="45" hidden="1">#REF!</definedName>
    <definedName name="BLPH281" localSheetId="46" hidden="1">#REF!</definedName>
    <definedName name="BLPH281" localSheetId="48" hidden="1">#REF!</definedName>
    <definedName name="BLPH281" localSheetId="49" hidden="1">#REF!</definedName>
    <definedName name="BLPH281" localSheetId="50" hidden="1">#REF!</definedName>
    <definedName name="BLPH281" localSheetId="51" hidden="1">#REF!</definedName>
    <definedName name="BLPH281" localSheetId="52" hidden="1">#REF!</definedName>
    <definedName name="BLPH281" localSheetId="54" hidden="1">#REF!</definedName>
    <definedName name="BLPH281" localSheetId="55" hidden="1">#REF!</definedName>
    <definedName name="BLPH281" localSheetId="56" hidden="1">#REF!</definedName>
    <definedName name="BLPH281" localSheetId="57" hidden="1">#REF!</definedName>
    <definedName name="BLPH281" localSheetId="58" hidden="1">#REF!</definedName>
    <definedName name="BLPH281" localSheetId="70" hidden="1">#REF!</definedName>
    <definedName name="BLPH281" localSheetId="71" hidden="1">#REF!</definedName>
    <definedName name="BLPH281" localSheetId="73" hidden="1">#REF!</definedName>
    <definedName name="BLPH281" localSheetId="75" hidden="1">#REF!</definedName>
    <definedName name="BLPH281" localSheetId="76" hidden="1">#REF!</definedName>
    <definedName name="BLPH281" localSheetId="13" hidden="1">#REF!</definedName>
    <definedName name="BLPH281" localSheetId="12" hidden="1">#REF!</definedName>
    <definedName name="BLPH281" localSheetId="4" hidden="1">#REF!</definedName>
    <definedName name="BLPH281" hidden="1">#REF!</definedName>
    <definedName name="BLPH282" localSheetId="14" hidden="1">#REF!</definedName>
    <definedName name="BLPH282" localSheetId="19" hidden="1">#REF!</definedName>
    <definedName name="BLPH282" localSheetId="23" hidden="1">#REF!</definedName>
    <definedName name="BLPH282" localSheetId="26" hidden="1">#REF!</definedName>
    <definedName name="BLPH282" localSheetId="31" hidden="1">#REF!</definedName>
    <definedName name="BLPH282" localSheetId="36" hidden="1">#REF!</definedName>
    <definedName name="BLPH282" localSheetId="37" hidden="1">#REF!</definedName>
    <definedName name="BLPH282" localSheetId="38" hidden="1">#REF!</definedName>
    <definedName name="BLPH282" localSheetId="45" hidden="1">#REF!</definedName>
    <definedName name="BLPH282" localSheetId="46" hidden="1">#REF!</definedName>
    <definedName name="BLPH282" localSheetId="48" hidden="1">#REF!</definedName>
    <definedName name="BLPH282" localSheetId="49" hidden="1">#REF!</definedName>
    <definedName name="BLPH282" localSheetId="50" hidden="1">#REF!</definedName>
    <definedName name="BLPH282" localSheetId="51" hidden="1">#REF!</definedName>
    <definedName name="BLPH282" localSheetId="52" hidden="1">#REF!</definedName>
    <definedName name="BLPH282" localSheetId="54" hidden="1">#REF!</definedName>
    <definedName name="BLPH282" localSheetId="55" hidden="1">#REF!</definedName>
    <definedName name="BLPH282" localSheetId="56" hidden="1">#REF!</definedName>
    <definedName name="BLPH282" localSheetId="57" hidden="1">#REF!</definedName>
    <definedName name="BLPH282" localSheetId="58" hidden="1">#REF!</definedName>
    <definedName name="BLPH282" localSheetId="70" hidden="1">#REF!</definedName>
    <definedName name="BLPH282" localSheetId="71" hidden="1">#REF!</definedName>
    <definedName name="BLPH282" localSheetId="73" hidden="1">#REF!</definedName>
    <definedName name="BLPH282" localSheetId="75" hidden="1">#REF!</definedName>
    <definedName name="BLPH282" localSheetId="76" hidden="1">#REF!</definedName>
    <definedName name="BLPH282" localSheetId="13" hidden="1">#REF!</definedName>
    <definedName name="BLPH282" localSheetId="12" hidden="1">#REF!</definedName>
    <definedName name="BLPH282" localSheetId="4" hidden="1">#REF!</definedName>
    <definedName name="BLPH282" hidden="1">#REF!</definedName>
    <definedName name="BLPH283" localSheetId="14" hidden="1">#REF!</definedName>
    <definedName name="BLPH283" localSheetId="19" hidden="1">#REF!</definedName>
    <definedName name="BLPH283" localSheetId="23" hidden="1">#REF!</definedName>
    <definedName name="BLPH283" localSheetId="31" hidden="1">#REF!</definedName>
    <definedName name="BLPH283" localSheetId="36" hidden="1">#REF!</definedName>
    <definedName name="BLPH283" localSheetId="37" hidden="1">#REF!</definedName>
    <definedName name="BLPH283" localSheetId="38" hidden="1">#REF!</definedName>
    <definedName name="BLPH283" localSheetId="45" hidden="1">#REF!</definedName>
    <definedName name="BLPH283" localSheetId="46" hidden="1">#REF!</definedName>
    <definedName name="BLPH283" localSheetId="48" hidden="1">#REF!</definedName>
    <definedName name="BLPH283" localSheetId="49" hidden="1">#REF!</definedName>
    <definedName name="BLPH283" localSheetId="50" hidden="1">#REF!</definedName>
    <definedName name="BLPH283" localSheetId="51" hidden="1">#REF!</definedName>
    <definedName name="BLPH283" localSheetId="52" hidden="1">#REF!</definedName>
    <definedName name="BLPH283" localSheetId="54" hidden="1">#REF!</definedName>
    <definedName name="BLPH283" localSheetId="55" hidden="1">#REF!</definedName>
    <definedName name="BLPH283" localSheetId="56" hidden="1">#REF!</definedName>
    <definedName name="BLPH283" localSheetId="57" hidden="1">#REF!</definedName>
    <definedName name="BLPH283" localSheetId="58" hidden="1">#REF!</definedName>
    <definedName name="BLPH283" localSheetId="70" hidden="1">#REF!</definedName>
    <definedName name="BLPH283" localSheetId="71" hidden="1">#REF!</definedName>
    <definedName name="BLPH283" localSheetId="73" hidden="1">#REF!</definedName>
    <definedName name="BLPH283" localSheetId="75" hidden="1">#REF!</definedName>
    <definedName name="BLPH283" localSheetId="76" hidden="1">#REF!</definedName>
    <definedName name="BLPH283" localSheetId="13" hidden="1">#REF!</definedName>
    <definedName name="BLPH283" localSheetId="12" hidden="1">#REF!</definedName>
    <definedName name="BLPH283" localSheetId="4" hidden="1">#REF!</definedName>
    <definedName name="BLPH283" hidden="1">#REF!</definedName>
    <definedName name="BLPH284" localSheetId="14" hidden="1">#REF!</definedName>
    <definedName name="BLPH284" localSheetId="19" hidden="1">#REF!</definedName>
    <definedName name="BLPH284" localSheetId="23" hidden="1">#REF!</definedName>
    <definedName name="BLPH284" localSheetId="31" hidden="1">#REF!</definedName>
    <definedName name="BLPH284" localSheetId="36" hidden="1">#REF!</definedName>
    <definedName name="BLPH284" localSheetId="37" hidden="1">#REF!</definedName>
    <definedName name="BLPH284" localSheetId="38" hidden="1">#REF!</definedName>
    <definedName name="BLPH284" localSheetId="45" hidden="1">#REF!</definedName>
    <definedName name="BLPH284" localSheetId="46" hidden="1">#REF!</definedName>
    <definedName name="BLPH284" localSheetId="48" hidden="1">#REF!</definedName>
    <definedName name="BLPH284" localSheetId="49" hidden="1">#REF!</definedName>
    <definedName name="BLPH284" localSheetId="50" hidden="1">#REF!</definedName>
    <definedName name="BLPH284" localSheetId="51" hidden="1">#REF!</definedName>
    <definedName name="BLPH284" localSheetId="52" hidden="1">#REF!</definedName>
    <definedName name="BLPH284" localSheetId="54" hidden="1">#REF!</definedName>
    <definedName name="BLPH284" localSheetId="55" hidden="1">#REF!</definedName>
    <definedName name="BLPH284" localSheetId="56" hidden="1">#REF!</definedName>
    <definedName name="BLPH284" localSheetId="57" hidden="1">#REF!</definedName>
    <definedName name="BLPH284" localSheetId="58" hidden="1">#REF!</definedName>
    <definedName name="BLPH284" localSheetId="70" hidden="1">#REF!</definedName>
    <definedName name="BLPH284" localSheetId="71" hidden="1">#REF!</definedName>
    <definedName name="BLPH284" localSheetId="73" hidden="1">#REF!</definedName>
    <definedName name="BLPH284" localSheetId="75" hidden="1">#REF!</definedName>
    <definedName name="BLPH284" localSheetId="76" hidden="1">#REF!</definedName>
    <definedName name="BLPH284" localSheetId="13" hidden="1">#REF!</definedName>
    <definedName name="BLPH284" localSheetId="12" hidden="1">#REF!</definedName>
    <definedName name="BLPH284" localSheetId="4" hidden="1">#REF!</definedName>
    <definedName name="BLPH284" hidden="1">#REF!</definedName>
    <definedName name="BLPH285" localSheetId="14" hidden="1">#REF!</definedName>
    <definedName name="BLPH285" localSheetId="19" hidden="1">#REF!</definedName>
    <definedName name="BLPH285" localSheetId="23" hidden="1">#REF!</definedName>
    <definedName name="BLPH285" localSheetId="31" hidden="1">#REF!</definedName>
    <definedName name="BLPH285" localSheetId="36" hidden="1">#REF!</definedName>
    <definedName name="BLPH285" localSheetId="37" hidden="1">#REF!</definedName>
    <definedName name="BLPH285" localSheetId="38" hidden="1">#REF!</definedName>
    <definedName name="BLPH285" localSheetId="45" hidden="1">#REF!</definedName>
    <definedName name="BLPH285" localSheetId="46" hidden="1">#REF!</definedName>
    <definedName name="BLPH285" localSheetId="48" hidden="1">#REF!</definedName>
    <definedName name="BLPH285" localSheetId="49" hidden="1">#REF!</definedName>
    <definedName name="BLPH285" localSheetId="50" hidden="1">#REF!</definedName>
    <definedName name="BLPH285" localSheetId="51" hidden="1">#REF!</definedName>
    <definedName name="BLPH285" localSheetId="52" hidden="1">#REF!</definedName>
    <definedName name="BLPH285" localSheetId="54" hidden="1">#REF!</definedName>
    <definedName name="BLPH285" localSheetId="55" hidden="1">#REF!</definedName>
    <definedName name="BLPH285" localSheetId="56" hidden="1">#REF!</definedName>
    <definedName name="BLPH285" localSheetId="57" hidden="1">#REF!</definedName>
    <definedName name="BLPH285" localSheetId="58" hidden="1">#REF!</definedName>
    <definedName name="BLPH285" localSheetId="70" hidden="1">#REF!</definedName>
    <definedName name="BLPH285" localSheetId="71" hidden="1">#REF!</definedName>
    <definedName name="BLPH285" localSheetId="73" hidden="1">#REF!</definedName>
    <definedName name="BLPH285" localSheetId="75" hidden="1">#REF!</definedName>
    <definedName name="BLPH285" localSheetId="76" hidden="1">#REF!</definedName>
    <definedName name="BLPH285" localSheetId="13" hidden="1">#REF!</definedName>
    <definedName name="BLPH285" localSheetId="12" hidden="1">#REF!</definedName>
    <definedName name="BLPH285" localSheetId="4" hidden="1">#REF!</definedName>
    <definedName name="BLPH285" hidden="1">#REF!</definedName>
    <definedName name="BLPH286" localSheetId="14" hidden="1">#REF!</definedName>
    <definedName name="BLPH286" localSheetId="19" hidden="1">#REF!</definedName>
    <definedName name="BLPH286" localSheetId="23" hidden="1">#REF!</definedName>
    <definedName name="BLPH286" localSheetId="31" hidden="1">#REF!</definedName>
    <definedName name="BLPH286" localSheetId="36" hidden="1">#REF!</definedName>
    <definedName name="BLPH286" localSheetId="37" hidden="1">#REF!</definedName>
    <definedName name="BLPH286" localSheetId="38" hidden="1">#REF!</definedName>
    <definedName name="BLPH286" localSheetId="45" hidden="1">#REF!</definedName>
    <definedName name="BLPH286" localSheetId="46" hidden="1">#REF!</definedName>
    <definedName name="BLPH286" localSheetId="48" hidden="1">#REF!</definedName>
    <definedName name="BLPH286" localSheetId="49" hidden="1">#REF!</definedName>
    <definedName name="BLPH286" localSheetId="50" hidden="1">#REF!</definedName>
    <definedName name="BLPH286" localSheetId="51" hidden="1">#REF!</definedName>
    <definedName name="BLPH286" localSheetId="52" hidden="1">#REF!</definedName>
    <definedName name="BLPH286" localSheetId="54" hidden="1">#REF!</definedName>
    <definedName name="BLPH286" localSheetId="55" hidden="1">#REF!</definedName>
    <definedName name="BLPH286" localSheetId="56" hidden="1">#REF!</definedName>
    <definedName name="BLPH286" localSheetId="57" hidden="1">#REF!</definedName>
    <definedName name="BLPH286" localSheetId="58" hidden="1">#REF!</definedName>
    <definedName name="BLPH286" localSheetId="70" hidden="1">#REF!</definedName>
    <definedName name="BLPH286" localSheetId="71" hidden="1">#REF!</definedName>
    <definedName name="BLPH286" localSheetId="73" hidden="1">#REF!</definedName>
    <definedName name="BLPH286" localSheetId="75" hidden="1">#REF!</definedName>
    <definedName name="BLPH286" localSheetId="76" hidden="1">#REF!</definedName>
    <definedName name="BLPH286" localSheetId="13" hidden="1">#REF!</definedName>
    <definedName name="BLPH286" localSheetId="12" hidden="1">#REF!</definedName>
    <definedName name="BLPH286" localSheetId="4" hidden="1">#REF!</definedName>
    <definedName name="BLPH286" hidden="1">#REF!</definedName>
    <definedName name="BLPH287" localSheetId="14" hidden="1">#REF!</definedName>
    <definedName name="BLPH287" localSheetId="19" hidden="1">#REF!</definedName>
    <definedName name="BLPH287" localSheetId="23" hidden="1">#REF!</definedName>
    <definedName name="BLPH287" localSheetId="31" hidden="1">#REF!</definedName>
    <definedName name="BLPH287" localSheetId="36" hidden="1">#REF!</definedName>
    <definedName name="BLPH287" localSheetId="37" hidden="1">#REF!</definedName>
    <definedName name="BLPH287" localSheetId="38" hidden="1">#REF!</definedName>
    <definedName name="BLPH287" localSheetId="45" hidden="1">#REF!</definedName>
    <definedName name="BLPH287" localSheetId="46" hidden="1">#REF!</definedName>
    <definedName name="BLPH287" localSheetId="48" hidden="1">#REF!</definedName>
    <definedName name="BLPH287" localSheetId="49" hidden="1">#REF!</definedName>
    <definedName name="BLPH287" localSheetId="50" hidden="1">#REF!</definedName>
    <definedName name="BLPH287" localSheetId="51" hidden="1">#REF!</definedName>
    <definedName name="BLPH287" localSheetId="52" hidden="1">#REF!</definedName>
    <definedName name="BLPH287" localSheetId="54" hidden="1">#REF!</definedName>
    <definedName name="BLPH287" localSheetId="55" hidden="1">#REF!</definedName>
    <definedName name="BLPH287" localSheetId="56" hidden="1">#REF!</definedName>
    <definedName name="BLPH287" localSheetId="57" hidden="1">#REF!</definedName>
    <definedName name="BLPH287" localSheetId="58" hidden="1">#REF!</definedName>
    <definedName name="BLPH287" localSheetId="70" hidden="1">#REF!</definedName>
    <definedName name="BLPH287" localSheetId="71" hidden="1">#REF!</definedName>
    <definedName name="BLPH287" localSheetId="73" hidden="1">#REF!</definedName>
    <definedName name="BLPH287" localSheetId="75" hidden="1">#REF!</definedName>
    <definedName name="BLPH287" localSheetId="76" hidden="1">#REF!</definedName>
    <definedName name="BLPH287" localSheetId="13" hidden="1">#REF!</definedName>
    <definedName name="BLPH287" localSheetId="12" hidden="1">#REF!</definedName>
    <definedName name="BLPH287" localSheetId="4" hidden="1">#REF!</definedName>
    <definedName name="BLPH287" hidden="1">#REF!</definedName>
    <definedName name="BLPH288" localSheetId="14" hidden="1">#REF!</definedName>
    <definedName name="BLPH288" localSheetId="19" hidden="1">#REF!</definedName>
    <definedName name="BLPH288" localSheetId="23" hidden="1">#REF!</definedName>
    <definedName name="BLPH288" localSheetId="31" hidden="1">#REF!</definedName>
    <definedName name="BLPH288" localSheetId="36" hidden="1">#REF!</definedName>
    <definedName name="BLPH288" localSheetId="37" hidden="1">#REF!</definedName>
    <definedName name="BLPH288" localSheetId="38" hidden="1">#REF!</definedName>
    <definedName name="BLPH288" localSheetId="45" hidden="1">#REF!</definedName>
    <definedName name="BLPH288" localSheetId="46" hidden="1">#REF!</definedName>
    <definedName name="BLPH288" localSheetId="48" hidden="1">#REF!</definedName>
    <definedName name="BLPH288" localSheetId="49" hidden="1">#REF!</definedName>
    <definedName name="BLPH288" localSheetId="50" hidden="1">#REF!</definedName>
    <definedName name="BLPH288" localSheetId="51" hidden="1">#REF!</definedName>
    <definedName name="BLPH288" localSheetId="52" hidden="1">#REF!</definedName>
    <definedName name="BLPH288" localSheetId="54" hidden="1">#REF!</definedName>
    <definedName name="BLPH288" localSheetId="55" hidden="1">#REF!</definedName>
    <definedName name="BLPH288" localSheetId="56" hidden="1">#REF!</definedName>
    <definedName name="BLPH288" localSheetId="57" hidden="1">#REF!</definedName>
    <definedName name="BLPH288" localSheetId="58" hidden="1">#REF!</definedName>
    <definedName name="BLPH288" localSheetId="70" hidden="1">#REF!</definedName>
    <definedName name="BLPH288" localSheetId="71" hidden="1">#REF!</definedName>
    <definedName name="BLPH288" localSheetId="73" hidden="1">#REF!</definedName>
    <definedName name="BLPH288" localSheetId="75" hidden="1">#REF!</definedName>
    <definedName name="BLPH288" localSheetId="76" hidden="1">#REF!</definedName>
    <definedName name="BLPH288" localSheetId="13" hidden="1">#REF!</definedName>
    <definedName name="BLPH288" localSheetId="12" hidden="1">#REF!</definedName>
    <definedName name="BLPH288" localSheetId="4" hidden="1">#REF!</definedName>
    <definedName name="BLPH288" hidden="1">#REF!</definedName>
    <definedName name="BLPH289" localSheetId="14" hidden="1">#REF!</definedName>
    <definedName name="BLPH289" localSheetId="19" hidden="1">#REF!</definedName>
    <definedName name="BLPH289" localSheetId="23" hidden="1">#REF!</definedName>
    <definedName name="BLPH289" localSheetId="31" hidden="1">#REF!</definedName>
    <definedName name="BLPH289" localSheetId="36" hidden="1">#REF!</definedName>
    <definedName name="BLPH289" localSheetId="37" hidden="1">#REF!</definedName>
    <definedName name="BLPH289" localSheetId="38" hidden="1">#REF!</definedName>
    <definedName name="BLPH289" localSheetId="45" hidden="1">#REF!</definedName>
    <definedName name="BLPH289" localSheetId="46" hidden="1">#REF!</definedName>
    <definedName name="BLPH289" localSheetId="48" hidden="1">#REF!</definedName>
    <definedName name="BLPH289" localSheetId="49" hidden="1">#REF!</definedName>
    <definedName name="BLPH289" localSheetId="50" hidden="1">#REF!</definedName>
    <definedName name="BLPH289" localSheetId="51" hidden="1">#REF!</definedName>
    <definedName name="BLPH289" localSheetId="52" hidden="1">#REF!</definedName>
    <definedName name="BLPH289" localSheetId="54" hidden="1">#REF!</definedName>
    <definedName name="BLPH289" localSheetId="55" hidden="1">#REF!</definedName>
    <definedName name="BLPH289" localSheetId="56" hidden="1">#REF!</definedName>
    <definedName name="BLPH289" localSheetId="57" hidden="1">#REF!</definedName>
    <definedName name="BLPH289" localSheetId="58" hidden="1">#REF!</definedName>
    <definedName name="BLPH289" localSheetId="70" hidden="1">#REF!</definedName>
    <definedName name="BLPH289" localSheetId="71" hidden="1">#REF!</definedName>
    <definedName name="BLPH289" localSheetId="73" hidden="1">#REF!</definedName>
    <definedName name="BLPH289" localSheetId="75" hidden="1">#REF!</definedName>
    <definedName name="BLPH289" localSheetId="76" hidden="1">#REF!</definedName>
    <definedName name="BLPH289" localSheetId="13" hidden="1">#REF!</definedName>
    <definedName name="BLPH289" localSheetId="12" hidden="1">#REF!</definedName>
    <definedName name="BLPH289" localSheetId="4" hidden="1">#REF!</definedName>
    <definedName name="BLPH289" hidden="1">#REF!</definedName>
    <definedName name="BLPH29" hidden="1">'[5]Risk-Free Rate'!$S$15</definedName>
    <definedName name="BLPH290" localSheetId="14" hidden="1">#REF!</definedName>
    <definedName name="BLPH290" localSheetId="19" hidden="1">#REF!</definedName>
    <definedName name="BLPH290" localSheetId="23" hidden="1">#REF!</definedName>
    <definedName name="BLPH290" localSheetId="26" hidden="1">#REF!</definedName>
    <definedName name="BLPH290" localSheetId="31" hidden="1">#REF!</definedName>
    <definedName name="BLPH290" localSheetId="36" hidden="1">#REF!</definedName>
    <definedName name="BLPH290" localSheetId="37" hidden="1">#REF!</definedName>
    <definedName name="BLPH290" localSheetId="38" hidden="1">#REF!</definedName>
    <definedName name="BLPH290" localSheetId="45" hidden="1">#REF!</definedName>
    <definedName name="BLPH290" localSheetId="46" hidden="1">#REF!</definedName>
    <definedName name="BLPH290" localSheetId="48" hidden="1">#REF!</definedName>
    <definedName name="BLPH290" localSheetId="49" hidden="1">#REF!</definedName>
    <definedName name="BLPH290" localSheetId="50" hidden="1">#REF!</definedName>
    <definedName name="BLPH290" localSheetId="51" hidden="1">#REF!</definedName>
    <definedName name="BLPH290" localSheetId="52" hidden="1">#REF!</definedName>
    <definedName name="BLPH290" localSheetId="54" hidden="1">#REF!</definedName>
    <definedName name="BLPH290" localSheetId="55" hidden="1">#REF!</definedName>
    <definedName name="BLPH290" localSheetId="56" hidden="1">#REF!</definedName>
    <definedName name="BLPH290" localSheetId="57" hidden="1">#REF!</definedName>
    <definedName name="BLPH290" localSheetId="58" hidden="1">#REF!</definedName>
    <definedName name="BLPH290" localSheetId="70" hidden="1">#REF!</definedName>
    <definedName name="BLPH290" localSheetId="71" hidden="1">#REF!</definedName>
    <definedName name="BLPH290" localSheetId="73" hidden="1">#REF!</definedName>
    <definedName name="BLPH290" localSheetId="75" hidden="1">#REF!</definedName>
    <definedName name="BLPH290" localSheetId="76" hidden="1">#REF!</definedName>
    <definedName name="BLPH290" localSheetId="13" hidden="1">#REF!</definedName>
    <definedName name="BLPH290" localSheetId="12" hidden="1">#REF!</definedName>
    <definedName name="BLPH290" localSheetId="4" hidden="1">#REF!</definedName>
    <definedName name="BLPH290" hidden="1">#REF!</definedName>
    <definedName name="BLPH291" localSheetId="14" hidden="1">#REF!</definedName>
    <definedName name="BLPH291" localSheetId="19" hidden="1">#REF!</definedName>
    <definedName name="BLPH291" localSheetId="23" hidden="1">#REF!</definedName>
    <definedName name="BLPH291" localSheetId="26" hidden="1">#REF!</definedName>
    <definedName name="BLPH291" localSheetId="31" hidden="1">#REF!</definedName>
    <definedName name="BLPH291" localSheetId="36" hidden="1">#REF!</definedName>
    <definedName name="BLPH291" localSheetId="37" hidden="1">#REF!</definedName>
    <definedName name="BLPH291" localSheetId="38" hidden="1">#REF!</definedName>
    <definedName name="BLPH291" localSheetId="45" hidden="1">#REF!</definedName>
    <definedName name="BLPH291" localSheetId="46" hidden="1">#REF!</definedName>
    <definedName name="BLPH291" localSheetId="48" hidden="1">#REF!</definedName>
    <definedName name="BLPH291" localSheetId="49" hidden="1">#REF!</definedName>
    <definedName name="BLPH291" localSheetId="50" hidden="1">#REF!</definedName>
    <definedName name="BLPH291" localSheetId="51" hidden="1">#REF!</definedName>
    <definedName name="BLPH291" localSheetId="52" hidden="1">#REF!</definedName>
    <definedName name="BLPH291" localSheetId="54" hidden="1">#REF!</definedName>
    <definedName name="BLPH291" localSheetId="55" hidden="1">#REF!</definedName>
    <definedName name="BLPH291" localSheetId="56" hidden="1">#REF!</definedName>
    <definedName name="BLPH291" localSheetId="57" hidden="1">#REF!</definedName>
    <definedName name="BLPH291" localSheetId="58" hidden="1">#REF!</definedName>
    <definedName name="BLPH291" localSheetId="70" hidden="1">#REF!</definedName>
    <definedName name="BLPH291" localSheetId="71" hidden="1">#REF!</definedName>
    <definedName name="BLPH291" localSheetId="73" hidden="1">#REF!</definedName>
    <definedName name="BLPH291" localSheetId="75" hidden="1">#REF!</definedName>
    <definedName name="BLPH291" localSheetId="76" hidden="1">#REF!</definedName>
    <definedName name="BLPH291" localSheetId="13" hidden="1">#REF!</definedName>
    <definedName name="BLPH291" localSheetId="12" hidden="1">#REF!</definedName>
    <definedName name="BLPH291" localSheetId="4" hidden="1">#REF!</definedName>
    <definedName name="BLPH291" hidden="1">#REF!</definedName>
    <definedName name="BLPH292" localSheetId="14" hidden="1">#REF!</definedName>
    <definedName name="BLPH292" localSheetId="19" hidden="1">#REF!</definedName>
    <definedName name="BLPH292" localSheetId="23" hidden="1">#REF!</definedName>
    <definedName name="BLPH292" localSheetId="26" hidden="1">#REF!</definedName>
    <definedName name="BLPH292" localSheetId="31" hidden="1">#REF!</definedName>
    <definedName name="BLPH292" localSheetId="36" hidden="1">#REF!</definedName>
    <definedName name="BLPH292" localSheetId="37" hidden="1">#REF!</definedName>
    <definedName name="BLPH292" localSheetId="38" hidden="1">#REF!</definedName>
    <definedName name="BLPH292" localSheetId="45" hidden="1">#REF!</definedName>
    <definedName name="BLPH292" localSheetId="46" hidden="1">#REF!</definedName>
    <definedName name="BLPH292" localSheetId="48" hidden="1">#REF!</definedName>
    <definedName name="BLPH292" localSheetId="49" hidden="1">#REF!</definedName>
    <definedName name="BLPH292" localSheetId="50" hidden="1">#REF!</definedName>
    <definedName name="BLPH292" localSheetId="51" hidden="1">#REF!</definedName>
    <definedName name="BLPH292" localSheetId="52" hidden="1">#REF!</definedName>
    <definedName name="BLPH292" localSheetId="54" hidden="1">#REF!</definedName>
    <definedName name="BLPH292" localSheetId="55" hidden="1">#REF!</definedName>
    <definedName name="BLPH292" localSheetId="56" hidden="1">#REF!</definedName>
    <definedName name="BLPH292" localSheetId="57" hidden="1">#REF!</definedName>
    <definedName name="BLPH292" localSheetId="58" hidden="1">#REF!</definedName>
    <definedName name="BLPH292" localSheetId="70" hidden="1">#REF!</definedName>
    <definedName name="BLPH292" localSheetId="71" hidden="1">#REF!</definedName>
    <definedName name="BLPH292" localSheetId="73" hidden="1">#REF!</definedName>
    <definedName name="BLPH292" localSheetId="75" hidden="1">#REF!</definedName>
    <definedName name="BLPH292" localSheetId="76" hidden="1">#REF!</definedName>
    <definedName name="BLPH292" localSheetId="13" hidden="1">#REF!</definedName>
    <definedName name="BLPH292" localSheetId="12" hidden="1">#REF!</definedName>
    <definedName name="BLPH292" localSheetId="4" hidden="1">#REF!</definedName>
    <definedName name="BLPH292" hidden="1">#REF!</definedName>
    <definedName name="BLPH293" localSheetId="14" hidden="1">#REF!</definedName>
    <definedName name="BLPH293" localSheetId="19" hidden="1">#REF!</definedName>
    <definedName name="BLPH293" localSheetId="23" hidden="1">#REF!</definedName>
    <definedName name="BLPH293" localSheetId="31" hidden="1">#REF!</definedName>
    <definedName name="BLPH293" localSheetId="36" hidden="1">#REF!</definedName>
    <definedName name="BLPH293" localSheetId="37" hidden="1">#REF!</definedName>
    <definedName name="BLPH293" localSheetId="38" hidden="1">#REF!</definedName>
    <definedName name="BLPH293" localSheetId="45" hidden="1">#REF!</definedName>
    <definedName name="BLPH293" localSheetId="46" hidden="1">#REF!</definedName>
    <definedName name="BLPH293" localSheetId="48" hidden="1">#REF!</definedName>
    <definedName name="BLPH293" localSheetId="49" hidden="1">#REF!</definedName>
    <definedName name="BLPH293" localSheetId="50" hidden="1">#REF!</definedName>
    <definedName name="BLPH293" localSheetId="51" hidden="1">#REF!</definedName>
    <definedName name="BLPH293" localSheetId="52" hidden="1">#REF!</definedName>
    <definedName name="BLPH293" localSheetId="54" hidden="1">#REF!</definedName>
    <definedName name="BLPH293" localSheetId="55" hidden="1">#REF!</definedName>
    <definedName name="BLPH293" localSheetId="56" hidden="1">#REF!</definedName>
    <definedName name="BLPH293" localSheetId="57" hidden="1">#REF!</definedName>
    <definedName name="BLPH293" localSheetId="58" hidden="1">#REF!</definedName>
    <definedName name="BLPH293" localSheetId="70" hidden="1">#REF!</definedName>
    <definedName name="BLPH293" localSheetId="71" hidden="1">#REF!</definedName>
    <definedName name="BLPH293" localSheetId="73" hidden="1">#REF!</definedName>
    <definedName name="BLPH293" localSheetId="75" hidden="1">#REF!</definedName>
    <definedName name="BLPH293" localSheetId="76" hidden="1">#REF!</definedName>
    <definedName name="BLPH293" localSheetId="13" hidden="1">#REF!</definedName>
    <definedName name="BLPH293" localSheetId="12" hidden="1">#REF!</definedName>
    <definedName name="BLPH293" localSheetId="4" hidden="1">#REF!</definedName>
    <definedName name="BLPH293" hidden="1">#REF!</definedName>
    <definedName name="BLPH294" localSheetId="14" hidden="1">#REF!</definedName>
    <definedName name="BLPH294" localSheetId="19" hidden="1">#REF!</definedName>
    <definedName name="BLPH294" localSheetId="23" hidden="1">#REF!</definedName>
    <definedName name="BLPH294" localSheetId="31" hidden="1">#REF!</definedName>
    <definedName name="BLPH294" localSheetId="36" hidden="1">#REF!</definedName>
    <definedName name="BLPH294" localSheetId="37" hidden="1">#REF!</definedName>
    <definedName name="BLPH294" localSheetId="38" hidden="1">#REF!</definedName>
    <definedName name="BLPH294" localSheetId="45" hidden="1">#REF!</definedName>
    <definedName name="BLPH294" localSheetId="46" hidden="1">#REF!</definedName>
    <definedName name="BLPH294" localSheetId="48" hidden="1">#REF!</definedName>
    <definedName name="BLPH294" localSheetId="49" hidden="1">#REF!</definedName>
    <definedName name="BLPH294" localSheetId="50" hidden="1">#REF!</definedName>
    <definedName name="BLPH294" localSheetId="51" hidden="1">#REF!</definedName>
    <definedName name="BLPH294" localSheetId="52" hidden="1">#REF!</definedName>
    <definedName name="BLPH294" localSheetId="54" hidden="1">#REF!</definedName>
    <definedName name="BLPH294" localSheetId="55" hidden="1">#REF!</definedName>
    <definedName name="BLPH294" localSheetId="56" hidden="1">#REF!</definedName>
    <definedName name="BLPH294" localSheetId="57" hidden="1">#REF!</definedName>
    <definedName name="BLPH294" localSheetId="58" hidden="1">#REF!</definedName>
    <definedName name="BLPH294" localSheetId="70" hidden="1">#REF!</definedName>
    <definedName name="BLPH294" localSheetId="71" hidden="1">#REF!</definedName>
    <definedName name="BLPH294" localSheetId="73" hidden="1">#REF!</definedName>
    <definedName name="BLPH294" localSheetId="75" hidden="1">#REF!</definedName>
    <definedName name="BLPH294" localSheetId="76" hidden="1">#REF!</definedName>
    <definedName name="BLPH294" localSheetId="13" hidden="1">#REF!</definedName>
    <definedName name="BLPH294" localSheetId="12" hidden="1">#REF!</definedName>
    <definedName name="BLPH294" localSheetId="4" hidden="1">#REF!</definedName>
    <definedName name="BLPH294" hidden="1">#REF!</definedName>
    <definedName name="BLPH295" localSheetId="14" hidden="1">#REF!</definedName>
    <definedName name="BLPH295" localSheetId="19" hidden="1">#REF!</definedName>
    <definedName name="BLPH295" localSheetId="23" hidden="1">#REF!</definedName>
    <definedName name="BLPH295" localSheetId="31" hidden="1">#REF!</definedName>
    <definedName name="BLPH295" localSheetId="36" hidden="1">#REF!</definedName>
    <definedName name="BLPH295" localSheetId="37" hidden="1">#REF!</definedName>
    <definedName name="BLPH295" localSheetId="38" hidden="1">#REF!</definedName>
    <definedName name="BLPH295" localSheetId="45" hidden="1">#REF!</definedName>
    <definedName name="BLPH295" localSheetId="46" hidden="1">#REF!</definedName>
    <definedName name="BLPH295" localSheetId="48" hidden="1">#REF!</definedName>
    <definedName name="BLPH295" localSheetId="49" hidden="1">#REF!</definedName>
    <definedName name="BLPH295" localSheetId="50" hidden="1">#REF!</definedName>
    <definedName name="BLPH295" localSheetId="51" hidden="1">#REF!</definedName>
    <definedName name="BLPH295" localSheetId="52" hidden="1">#REF!</definedName>
    <definedName name="BLPH295" localSheetId="54" hidden="1">#REF!</definedName>
    <definedName name="BLPH295" localSheetId="55" hidden="1">#REF!</definedName>
    <definedName name="BLPH295" localSheetId="56" hidden="1">#REF!</definedName>
    <definedName name="BLPH295" localSheetId="57" hidden="1">#REF!</definedName>
    <definedName name="BLPH295" localSheetId="58" hidden="1">#REF!</definedName>
    <definedName name="BLPH295" localSheetId="70" hidden="1">#REF!</definedName>
    <definedName name="BLPH295" localSheetId="71" hidden="1">#REF!</definedName>
    <definedName name="BLPH295" localSheetId="73" hidden="1">#REF!</definedName>
    <definedName name="BLPH295" localSheetId="75" hidden="1">#REF!</definedName>
    <definedName name="BLPH295" localSheetId="76" hidden="1">#REF!</definedName>
    <definedName name="BLPH295" localSheetId="13" hidden="1">#REF!</definedName>
    <definedName name="BLPH295" localSheetId="12" hidden="1">#REF!</definedName>
    <definedName name="BLPH295" localSheetId="4" hidden="1">#REF!</definedName>
    <definedName name="BLPH295" hidden="1">#REF!</definedName>
    <definedName name="BLPH296" localSheetId="14" hidden="1">#REF!</definedName>
    <definedName name="BLPH296" localSheetId="19" hidden="1">#REF!</definedName>
    <definedName name="BLPH296" localSheetId="23" hidden="1">#REF!</definedName>
    <definedName name="BLPH296" localSheetId="31" hidden="1">#REF!</definedName>
    <definedName name="BLPH296" localSheetId="36" hidden="1">#REF!</definedName>
    <definedName name="BLPH296" localSheetId="37" hidden="1">#REF!</definedName>
    <definedName name="BLPH296" localSheetId="38" hidden="1">#REF!</definedName>
    <definedName name="BLPH296" localSheetId="45" hidden="1">#REF!</definedName>
    <definedName name="BLPH296" localSheetId="46" hidden="1">#REF!</definedName>
    <definedName name="BLPH296" localSheetId="48" hidden="1">#REF!</definedName>
    <definedName name="BLPH296" localSheetId="49" hidden="1">#REF!</definedName>
    <definedName name="BLPH296" localSheetId="50" hidden="1">#REF!</definedName>
    <definedName name="BLPH296" localSheetId="51" hidden="1">#REF!</definedName>
    <definedName name="BLPH296" localSheetId="52" hidden="1">#REF!</definedName>
    <definedName name="BLPH296" localSheetId="54" hidden="1">#REF!</definedName>
    <definedName name="BLPH296" localSheetId="55" hidden="1">#REF!</definedName>
    <definedName name="BLPH296" localSheetId="56" hidden="1">#REF!</definedName>
    <definedName name="BLPH296" localSheetId="57" hidden="1">#REF!</definedName>
    <definedName name="BLPH296" localSheetId="58" hidden="1">#REF!</definedName>
    <definedName name="BLPH296" localSheetId="70" hidden="1">#REF!</definedName>
    <definedName name="BLPH296" localSheetId="71" hidden="1">#REF!</definedName>
    <definedName name="BLPH296" localSheetId="73" hidden="1">#REF!</definedName>
    <definedName name="BLPH296" localSheetId="75" hidden="1">#REF!</definedName>
    <definedName name="BLPH296" localSheetId="76" hidden="1">#REF!</definedName>
    <definedName name="BLPH296" localSheetId="13" hidden="1">#REF!</definedName>
    <definedName name="BLPH296" localSheetId="12" hidden="1">#REF!</definedName>
    <definedName name="BLPH296" localSheetId="4" hidden="1">#REF!</definedName>
    <definedName name="BLPH296" hidden="1">#REF!</definedName>
    <definedName name="BLPH297" localSheetId="14" hidden="1">#REF!</definedName>
    <definedName name="BLPH297" localSheetId="19" hidden="1">#REF!</definedName>
    <definedName name="BLPH297" localSheetId="23" hidden="1">#REF!</definedName>
    <definedName name="BLPH297" localSheetId="31" hidden="1">#REF!</definedName>
    <definedName name="BLPH297" localSheetId="36" hidden="1">#REF!</definedName>
    <definedName name="BLPH297" localSheetId="37" hidden="1">#REF!</definedName>
    <definedName name="BLPH297" localSheetId="38" hidden="1">#REF!</definedName>
    <definedName name="BLPH297" localSheetId="45" hidden="1">#REF!</definedName>
    <definedName name="BLPH297" localSheetId="46" hidden="1">#REF!</definedName>
    <definedName name="BLPH297" localSheetId="48" hidden="1">#REF!</definedName>
    <definedName name="BLPH297" localSheetId="49" hidden="1">#REF!</definedName>
    <definedName name="BLPH297" localSheetId="50" hidden="1">#REF!</definedName>
    <definedName name="BLPH297" localSheetId="51" hidden="1">#REF!</definedName>
    <definedName name="BLPH297" localSheetId="52" hidden="1">#REF!</definedName>
    <definedName name="BLPH297" localSheetId="54" hidden="1">#REF!</definedName>
    <definedName name="BLPH297" localSheetId="55" hidden="1">#REF!</definedName>
    <definedName name="BLPH297" localSheetId="56" hidden="1">#REF!</definedName>
    <definedName name="BLPH297" localSheetId="57" hidden="1">#REF!</definedName>
    <definedName name="BLPH297" localSheetId="58" hidden="1">#REF!</definedName>
    <definedName name="BLPH297" localSheetId="70" hidden="1">#REF!</definedName>
    <definedName name="BLPH297" localSheetId="71" hidden="1">#REF!</definedName>
    <definedName name="BLPH297" localSheetId="73" hidden="1">#REF!</definedName>
    <definedName name="BLPH297" localSheetId="75" hidden="1">#REF!</definedName>
    <definedName name="BLPH297" localSheetId="76" hidden="1">#REF!</definedName>
    <definedName name="BLPH297" localSheetId="13" hidden="1">#REF!</definedName>
    <definedName name="BLPH297" localSheetId="12" hidden="1">#REF!</definedName>
    <definedName name="BLPH297" localSheetId="4" hidden="1">#REF!</definedName>
    <definedName name="BLPH297" hidden="1">#REF!</definedName>
    <definedName name="BLPH298" localSheetId="14" hidden="1">#REF!</definedName>
    <definedName name="BLPH298" localSheetId="19" hidden="1">#REF!</definedName>
    <definedName name="BLPH298" localSheetId="23" hidden="1">#REF!</definedName>
    <definedName name="BLPH298" localSheetId="31" hidden="1">#REF!</definedName>
    <definedName name="BLPH298" localSheetId="36" hidden="1">#REF!</definedName>
    <definedName name="BLPH298" localSheetId="37" hidden="1">#REF!</definedName>
    <definedName name="BLPH298" localSheetId="38" hidden="1">#REF!</definedName>
    <definedName name="BLPH298" localSheetId="45" hidden="1">#REF!</definedName>
    <definedName name="BLPH298" localSheetId="46" hidden="1">#REF!</definedName>
    <definedName name="BLPH298" localSheetId="48" hidden="1">#REF!</definedName>
    <definedName name="BLPH298" localSheetId="49" hidden="1">#REF!</definedName>
    <definedName name="BLPH298" localSheetId="50" hidden="1">#REF!</definedName>
    <definedName name="BLPH298" localSheetId="51" hidden="1">#REF!</definedName>
    <definedName name="BLPH298" localSheetId="52" hidden="1">#REF!</definedName>
    <definedName name="BLPH298" localSheetId="54" hidden="1">#REF!</definedName>
    <definedName name="BLPH298" localSheetId="55" hidden="1">#REF!</definedName>
    <definedName name="BLPH298" localSheetId="56" hidden="1">#REF!</definedName>
    <definedName name="BLPH298" localSheetId="57" hidden="1">#REF!</definedName>
    <definedName name="BLPH298" localSheetId="58" hidden="1">#REF!</definedName>
    <definedName name="BLPH298" localSheetId="70" hidden="1">#REF!</definedName>
    <definedName name="BLPH298" localSheetId="71" hidden="1">#REF!</definedName>
    <definedName name="BLPH298" localSheetId="73" hidden="1">#REF!</definedName>
    <definedName name="BLPH298" localSheetId="75" hidden="1">#REF!</definedName>
    <definedName name="BLPH298" localSheetId="76" hidden="1">#REF!</definedName>
    <definedName name="BLPH298" localSheetId="13" hidden="1">#REF!</definedName>
    <definedName name="BLPH298" localSheetId="12" hidden="1">#REF!</definedName>
    <definedName name="BLPH298" localSheetId="4" hidden="1">#REF!</definedName>
    <definedName name="BLPH298" hidden="1">#REF!</definedName>
    <definedName name="BLPH299" localSheetId="14" hidden="1">#REF!</definedName>
    <definedName name="BLPH299" localSheetId="19" hidden="1">#REF!</definedName>
    <definedName name="BLPH299" localSheetId="23" hidden="1">#REF!</definedName>
    <definedName name="BLPH299" localSheetId="31" hidden="1">#REF!</definedName>
    <definedName name="BLPH299" localSheetId="36" hidden="1">#REF!</definedName>
    <definedName name="BLPH299" localSheetId="37" hidden="1">#REF!</definedName>
    <definedName name="BLPH299" localSheetId="38" hidden="1">#REF!</definedName>
    <definedName name="BLPH299" localSheetId="45" hidden="1">#REF!</definedName>
    <definedName name="BLPH299" localSheetId="46" hidden="1">#REF!</definedName>
    <definedName name="BLPH299" localSheetId="48" hidden="1">#REF!</definedName>
    <definedName name="BLPH299" localSheetId="49" hidden="1">#REF!</definedName>
    <definedName name="BLPH299" localSheetId="50" hidden="1">#REF!</definedName>
    <definedName name="BLPH299" localSheetId="51" hidden="1">#REF!</definedName>
    <definedName name="BLPH299" localSheetId="52" hidden="1">#REF!</definedName>
    <definedName name="BLPH299" localSheetId="54" hidden="1">#REF!</definedName>
    <definedName name="BLPH299" localSheetId="55" hidden="1">#REF!</definedName>
    <definedName name="BLPH299" localSheetId="56" hidden="1">#REF!</definedName>
    <definedName name="BLPH299" localSheetId="57" hidden="1">#REF!</definedName>
    <definedName name="BLPH299" localSheetId="58" hidden="1">#REF!</definedName>
    <definedName name="BLPH299" localSheetId="70" hidden="1">#REF!</definedName>
    <definedName name="BLPH299" localSheetId="71" hidden="1">#REF!</definedName>
    <definedName name="BLPH299" localSheetId="73" hidden="1">#REF!</definedName>
    <definedName name="BLPH299" localSheetId="75" hidden="1">#REF!</definedName>
    <definedName name="BLPH299" localSheetId="76" hidden="1">#REF!</definedName>
    <definedName name="BLPH299" localSheetId="13" hidden="1">#REF!</definedName>
    <definedName name="BLPH299" localSheetId="12" hidden="1">#REF!</definedName>
    <definedName name="BLPH299" localSheetId="4" hidden="1">#REF!</definedName>
    <definedName name="BLPH299" hidden="1">#REF!</definedName>
    <definedName name="BLPH3" localSheetId="14" hidden="1">#REF!</definedName>
    <definedName name="BLPH3" localSheetId="19" hidden="1">#REF!</definedName>
    <definedName name="BLPH3" localSheetId="23" hidden="1">#REF!</definedName>
    <definedName name="BLPH3" localSheetId="31" hidden="1">#REF!</definedName>
    <definedName name="BLPH3" localSheetId="36" hidden="1">#REF!</definedName>
    <definedName name="BLPH3" localSheetId="37" hidden="1">#REF!</definedName>
    <definedName name="BLPH3" localSheetId="38" hidden="1">#REF!</definedName>
    <definedName name="BLPH3" localSheetId="45" hidden="1">#REF!</definedName>
    <definedName name="BLPH3" localSheetId="46" hidden="1">#REF!</definedName>
    <definedName name="BLPH3" localSheetId="48" hidden="1">#REF!</definedName>
    <definedName name="BLPH3" localSheetId="49" hidden="1">#REF!</definedName>
    <definedName name="BLPH3" localSheetId="50" hidden="1">#REF!</definedName>
    <definedName name="BLPH3" localSheetId="51" hidden="1">#REF!</definedName>
    <definedName name="BLPH3" localSheetId="52" hidden="1">#REF!</definedName>
    <definedName name="BLPH3" localSheetId="54" hidden="1">#REF!</definedName>
    <definedName name="BLPH3" localSheetId="55" hidden="1">#REF!</definedName>
    <definedName name="BLPH3" localSheetId="56" hidden="1">#REF!</definedName>
    <definedName name="BLPH3" localSheetId="57" hidden="1">#REF!</definedName>
    <definedName name="BLPH3" localSheetId="58" hidden="1">#REF!</definedName>
    <definedName name="BLPH3" localSheetId="70" hidden="1">#REF!</definedName>
    <definedName name="BLPH3" localSheetId="71" hidden="1">#REF!</definedName>
    <definedName name="BLPH3" localSheetId="73" hidden="1">#REF!</definedName>
    <definedName name="BLPH3" localSheetId="75" hidden="1">#REF!</definedName>
    <definedName name="BLPH3" localSheetId="76" hidden="1">#REF!</definedName>
    <definedName name="BLPH3" localSheetId="13" hidden="1">#REF!</definedName>
    <definedName name="BLPH3" localSheetId="12" hidden="1">#REF!</definedName>
    <definedName name="BLPH3" localSheetId="4" hidden="1">#REF!</definedName>
    <definedName name="BLPH3" hidden="1">#REF!</definedName>
    <definedName name="BLPH30" hidden="1">'[5]Risk-Free Rate'!$P$15</definedName>
    <definedName name="BLPH300" localSheetId="14" hidden="1">#REF!</definedName>
    <definedName name="BLPH300" localSheetId="19" hidden="1">#REF!</definedName>
    <definedName name="BLPH300" localSheetId="23" hidden="1">#REF!</definedName>
    <definedName name="BLPH300" localSheetId="26" hidden="1">#REF!</definedName>
    <definedName name="BLPH300" localSheetId="31" hidden="1">#REF!</definedName>
    <definedName name="BLPH300" localSheetId="36" hidden="1">#REF!</definedName>
    <definedName name="BLPH300" localSheetId="37" hidden="1">#REF!</definedName>
    <definedName name="BLPH300" localSheetId="38" hidden="1">#REF!</definedName>
    <definedName name="BLPH300" localSheetId="45" hidden="1">#REF!</definedName>
    <definedName name="BLPH300" localSheetId="46" hidden="1">#REF!</definedName>
    <definedName name="BLPH300" localSheetId="48" hidden="1">#REF!</definedName>
    <definedName name="BLPH300" localSheetId="49" hidden="1">#REF!</definedName>
    <definedName name="BLPH300" localSheetId="50" hidden="1">#REF!</definedName>
    <definedName name="BLPH300" localSheetId="51" hidden="1">#REF!</definedName>
    <definedName name="BLPH300" localSheetId="52" hidden="1">#REF!</definedName>
    <definedName name="BLPH300" localSheetId="54" hidden="1">#REF!</definedName>
    <definedName name="BLPH300" localSheetId="55" hidden="1">#REF!</definedName>
    <definedName name="BLPH300" localSheetId="56" hidden="1">#REF!</definedName>
    <definedName name="BLPH300" localSheetId="57" hidden="1">#REF!</definedName>
    <definedName name="BLPH300" localSheetId="58" hidden="1">#REF!</definedName>
    <definedName name="BLPH300" localSheetId="70" hidden="1">#REF!</definedName>
    <definedName name="BLPH300" localSheetId="71" hidden="1">#REF!</definedName>
    <definedName name="BLPH300" localSheetId="73" hidden="1">#REF!</definedName>
    <definedName name="BLPH300" localSheetId="75" hidden="1">#REF!</definedName>
    <definedName name="BLPH300" localSheetId="76" hidden="1">#REF!</definedName>
    <definedName name="BLPH300" localSheetId="13" hidden="1">#REF!</definedName>
    <definedName name="BLPH300" localSheetId="12" hidden="1">#REF!</definedName>
    <definedName name="BLPH300" localSheetId="4" hidden="1">#REF!</definedName>
    <definedName name="BLPH300" hidden="1">#REF!</definedName>
    <definedName name="BLPH301" localSheetId="14" hidden="1">#REF!</definedName>
    <definedName name="BLPH301" localSheetId="19" hidden="1">#REF!</definedName>
    <definedName name="BLPH301" localSheetId="23" hidden="1">#REF!</definedName>
    <definedName name="BLPH301" localSheetId="26" hidden="1">#REF!</definedName>
    <definedName name="BLPH301" localSheetId="31" hidden="1">#REF!</definedName>
    <definedName name="BLPH301" localSheetId="36" hidden="1">#REF!</definedName>
    <definedName name="BLPH301" localSheetId="37" hidden="1">#REF!</definedName>
    <definedName name="BLPH301" localSheetId="38" hidden="1">#REF!</definedName>
    <definedName name="BLPH301" localSheetId="45" hidden="1">#REF!</definedName>
    <definedName name="BLPH301" localSheetId="46" hidden="1">#REF!</definedName>
    <definedName name="BLPH301" localSheetId="48" hidden="1">#REF!</definedName>
    <definedName name="BLPH301" localSheetId="49" hidden="1">#REF!</definedName>
    <definedName name="BLPH301" localSheetId="50" hidden="1">#REF!</definedName>
    <definedName name="BLPH301" localSheetId="51" hidden="1">#REF!</definedName>
    <definedName name="BLPH301" localSheetId="52" hidden="1">#REF!</definedName>
    <definedName name="BLPH301" localSheetId="54" hidden="1">#REF!</definedName>
    <definedName name="BLPH301" localSheetId="55" hidden="1">#REF!</definedName>
    <definedName name="BLPH301" localSheetId="56" hidden="1">#REF!</definedName>
    <definedName name="BLPH301" localSheetId="57" hidden="1">#REF!</definedName>
    <definedName name="BLPH301" localSheetId="58" hidden="1">#REF!</definedName>
    <definedName name="BLPH301" localSheetId="70" hidden="1">#REF!</definedName>
    <definedName name="BLPH301" localSheetId="71" hidden="1">#REF!</definedName>
    <definedName name="BLPH301" localSheetId="73" hidden="1">#REF!</definedName>
    <definedName name="BLPH301" localSheetId="75" hidden="1">#REF!</definedName>
    <definedName name="BLPH301" localSheetId="76" hidden="1">#REF!</definedName>
    <definedName name="BLPH301" localSheetId="13" hidden="1">#REF!</definedName>
    <definedName name="BLPH301" localSheetId="12" hidden="1">#REF!</definedName>
    <definedName name="BLPH301" localSheetId="4" hidden="1">#REF!</definedName>
    <definedName name="BLPH301" hidden="1">#REF!</definedName>
    <definedName name="BLPH302" localSheetId="14" hidden="1">#REF!</definedName>
    <definedName name="BLPH302" localSheetId="19" hidden="1">#REF!</definedName>
    <definedName name="BLPH302" localSheetId="23" hidden="1">#REF!</definedName>
    <definedName name="BLPH302" localSheetId="26" hidden="1">#REF!</definedName>
    <definedName name="BLPH302" localSheetId="31" hidden="1">#REF!</definedName>
    <definedName name="BLPH302" localSheetId="36" hidden="1">#REF!</definedName>
    <definedName name="BLPH302" localSheetId="37" hidden="1">#REF!</definedName>
    <definedName name="BLPH302" localSheetId="38" hidden="1">#REF!</definedName>
    <definedName name="BLPH302" localSheetId="45" hidden="1">#REF!</definedName>
    <definedName name="BLPH302" localSheetId="46" hidden="1">#REF!</definedName>
    <definedName name="BLPH302" localSheetId="48" hidden="1">#REF!</definedName>
    <definedName name="BLPH302" localSheetId="49" hidden="1">#REF!</definedName>
    <definedName name="BLPH302" localSheetId="50" hidden="1">#REF!</definedName>
    <definedName name="BLPH302" localSheetId="51" hidden="1">#REF!</definedName>
    <definedName name="BLPH302" localSheetId="52" hidden="1">#REF!</definedName>
    <definedName name="BLPH302" localSheetId="54" hidden="1">#REF!</definedName>
    <definedName name="BLPH302" localSheetId="55" hidden="1">#REF!</definedName>
    <definedName name="BLPH302" localSheetId="56" hidden="1">#REF!</definedName>
    <definedName name="BLPH302" localSheetId="57" hidden="1">#REF!</definedName>
    <definedName name="BLPH302" localSheetId="58" hidden="1">#REF!</definedName>
    <definedName name="BLPH302" localSheetId="70" hidden="1">#REF!</definedName>
    <definedName name="BLPH302" localSheetId="71" hidden="1">#REF!</definedName>
    <definedName name="BLPH302" localSheetId="73" hidden="1">#REF!</definedName>
    <definedName name="BLPH302" localSheetId="75" hidden="1">#REF!</definedName>
    <definedName name="BLPH302" localSheetId="76" hidden="1">#REF!</definedName>
    <definedName name="BLPH302" localSheetId="13" hidden="1">#REF!</definedName>
    <definedName name="BLPH302" localSheetId="12" hidden="1">#REF!</definedName>
    <definedName name="BLPH302" localSheetId="4" hidden="1">#REF!</definedName>
    <definedName name="BLPH302" hidden="1">#REF!</definedName>
    <definedName name="BLPH303" localSheetId="14" hidden="1">#REF!</definedName>
    <definedName name="BLPH303" localSheetId="19" hidden="1">#REF!</definedName>
    <definedName name="BLPH303" localSheetId="23" hidden="1">#REF!</definedName>
    <definedName name="BLPH303" localSheetId="31" hidden="1">#REF!</definedName>
    <definedName name="BLPH303" localSheetId="36" hidden="1">#REF!</definedName>
    <definedName name="BLPH303" localSheetId="37" hidden="1">#REF!</definedName>
    <definedName name="BLPH303" localSheetId="38" hidden="1">#REF!</definedName>
    <definedName name="BLPH303" localSheetId="45" hidden="1">#REF!</definedName>
    <definedName name="BLPH303" localSheetId="46" hidden="1">#REF!</definedName>
    <definedName name="BLPH303" localSheetId="48" hidden="1">#REF!</definedName>
    <definedName name="BLPH303" localSheetId="49" hidden="1">#REF!</definedName>
    <definedName name="BLPH303" localSheetId="50" hidden="1">#REF!</definedName>
    <definedName name="BLPH303" localSheetId="51" hidden="1">#REF!</definedName>
    <definedName name="BLPH303" localSheetId="52" hidden="1">#REF!</definedName>
    <definedName name="BLPH303" localSheetId="54" hidden="1">#REF!</definedName>
    <definedName name="BLPH303" localSheetId="55" hidden="1">#REF!</definedName>
    <definedName name="BLPH303" localSheetId="56" hidden="1">#REF!</definedName>
    <definedName name="BLPH303" localSheetId="57" hidden="1">#REF!</definedName>
    <definedName name="BLPH303" localSheetId="58" hidden="1">#REF!</definedName>
    <definedName name="BLPH303" localSheetId="70" hidden="1">#REF!</definedName>
    <definedName name="BLPH303" localSheetId="71" hidden="1">#REF!</definedName>
    <definedName name="BLPH303" localSheetId="73" hidden="1">#REF!</definedName>
    <definedName name="BLPH303" localSheetId="75" hidden="1">#REF!</definedName>
    <definedName name="BLPH303" localSheetId="76" hidden="1">#REF!</definedName>
    <definedName name="BLPH303" localSheetId="13" hidden="1">#REF!</definedName>
    <definedName name="BLPH303" localSheetId="12" hidden="1">#REF!</definedName>
    <definedName name="BLPH303" localSheetId="4" hidden="1">#REF!</definedName>
    <definedName name="BLPH303" hidden="1">#REF!</definedName>
    <definedName name="BLPH304" localSheetId="14" hidden="1">#REF!</definedName>
    <definedName name="BLPH304" localSheetId="19" hidden="1">#REF!</definedName>
    <definedName name="BLPH304" localSheetId="23" hidden="1">#REF!</definedName>
    <definedName name="BLPH304" localSheetId="31" hidden="1">#REF!</definedName>
    <definedName name="BLPH304" localSheetId="36" hidden="1">#REF!</definedName>
    <definedName name="BLPH304" localSheetId="37" hidden="1">#REF!</definedName>
    <definedName name="BLPH304" localSheetId="38" hidden="1">#REF!</definedName>
    <definedName name="BLPH304" localSheetId="45" hidden="1">#REF!</definedName>
    <definedName name="BLPH304" localSheetId="46" hidden="1">#REF!</definedName>
    <definedName name="BLPH304" localSheetId="48" hidden="1">#REF!</definedName>
    <definedName name="BLPH304" localSheetId="49" hidden="1">#REF!</definedName>
    <definedName name="BLPH304" localSheetId="50" hidden="1">#REF!</definedName>
    <definedName name="BLPH304" localSheetId="51" hidden="1">#REF!</definedName>
    <definedName name="BLPH304" localSheetId="52" hidden="1">#REF!</definedName>
    <definedName name="BLPH304" localSheetId="54" hidden="1">#REF!</definedName>
    <definedName name="BLPH304" localSheetId="55" hidden="1">#REF!</definedName>
    <definedName name="BLPH304" localSheetId="56" hidden="1">#REF!</definedName>
    <definedName name="BLPH304" localSheetId="57" hidden="1">#REF!</definedName>
    <definedName name="BLPH304" localSheetId="58" hidden="1">#REF!</definedName>
    <definedName name="BLPH304" localSheetId="70" hidden="1">#REF!</definedName>
    <definedName name="BLPH304" localSheetId="71" hidden="1">#REF!</definedName>
    <definedName name="BLPH304" localSheetId="73" hidden="1">#REF!</definedName>
    <definedName name="BLPH304" localSheetId="75" hidden="1">#REF!</definedName>
    <definedName name="BLPH304" localSheetId="76" hidden="1">#REF!</definedName>
    <definedName name="BLPH304" localSheetId="13" hidden="1">#REF!</definedName>
    <definedName name="BLPH304" localSheetId="12" hidden="1">#REF!</definedName>
    <definedName name="BLPH304" localSheetId="4" hidden="1">#REF!</definedName>
    <definedName name="BLPH304" hidden="1">#REF!</definedName>
    <definedName name="BLPH305" localSheetId="14" hidden="1">#REF!</definedName>
    <definedName name="BLPH305" localSheetId="19" hidden="1">#REF!</definedName>
    <definedName name="BLPH305" localSheetId="23" hidden="1">#REF!</definedName>
    <definedName name="BLPH305" localSheetId="31" hidden="1">#REF!</definedName>
    <definedName name="BLPH305" localSheetId="36" hidden="1">#REF!</definedName>
    <definedName name="BLPH305" localSheetId="37" hidden="1">#REF!</definedName>
    <definedName name="BLPH305" localSheetId="38" hidden="1">#REF!</definedName>
    <definedName name="BLPH305" localSheetId="45" hidden="1">#REF!</definedName>
    <definedName name="BLPH305" localSheetId="46" hidden="1">#REF!</definedName>
    <definedName name="BLPH305" localSheetId="48" hidden="1">#REF!</definedName>
    <definedName name="BLPH305" localSheetId="49" hidden="1">#REF!</definedName>
    <definedName name="BLPH305" localSheetId="50" hidden="1">#REF!</definedName>
    <definedName name="BLPH305" localSheetId="51" hidden="1">#REF!</definedName>
    <definedName name="BLPH305" localSheetId="52" hidden="1">#REF!</definedName>
    <definedName name="BLPH305" localSheetId="54" hidden="1">#REF!</definedName>
    <definedName name="BLPH305" localSheetId="55" hidden="1">#REF!</definedName>
    <definedName name="BLPH305" localSheetId="56" hidden="1">#REF!</definedName>
    <definedName name="BLPH305" localSheetId="57" hidden="1">#REF!</definedName>
    <definedName name="BLPH305" localSheetId="58" hidden="1">#REF!</definedName>
    <definedName name="BLPH305" localSheetId="70" hidden="1">#REF!</definedName>
    <definedName name="BLPH305" localSheetId="71" hidden="1">#REF!</definedName>
    <definedName name="BLPH305" localSheetId="73" hidden="1">#REF!</definedName>
    <definedName name="BLPH305" localSheetId="75" hidden="1">#REF!</definedName>
    <definedName name="BLPH305" localSheetId="76" hidden="1">#REF!</definedName>
    <definedName name="BLPH305" localSheetId="13" hidden="1">#REF!</definedName>
    <definedName name="BLPH305" localSheetId="12" hidden="1">#REF!</definedName>
    <definedName name="BLPH305" localSheetId="4" hidden="1">#REF!</definedName>
    <definedName name="BLPH305" hidden="1">#REF!</definedName>
    <definedName name="BLPH306" localSheetId="14" hidden="1">#REF!</definedName>
    <definedName name="BLPH306" localSheetId="19" hidden="1">#REF!</definedName>
    <definedName name="BLPH306" localSheetId="23" hidden="1">#REF!</definedName>
    <definedName name="BLPH306" localSheetId="31" hidden="1">#REF!</definedName>
    <definedName name="BLPH306" localSheetId="36" hidden="1">#REF!</definedName>
    <definedName name="BLPH306" localSheetId="37" hidden="1">#REF!</definedName>
    <definedName name="BLPH306" localSheetId="38" hidden="1">#REF!</definedName>
    <definedName name="BLPH306" localSheetId="45" hidden="1">#REF!</definedName>
    <definedName name="BLPH306" localSheetId="46" hidden="1">#REF!</definedName>
    <definedName name="BLPH306" localSheetId="48" hidden="1">#REF!</definedName>
    <definedName name="BLPH306" localSheetId="49" hidden="1">#REF!</definedName>
    <definedName name="BLPH306" localSheetId="50" hidden="1">#REF!</definedName>
    <definedName name="BLPH306" localSheetId="51" hidden="1">#REF!</definedName>
    <definedName name="BLPH306" localSheetId="52" hidden="1">#REF!</definedName>
    <definedName name="BLPH306" localSheetId="54" hidden="1">#REF!</definedName>
    <definedName name="BLPH306" localSheetId="55" hidden="1">#REF!</definedName>
    <definedName name="BLPH306" localSheetId="56" hidden="1">#REF!</definedName>
    <definedName name="BLPH306" localSheetId="57" hidden="1">#REF!</definedName>
    <definedName name="BLPH306" localSheetId="58" hidden="1">#REF!</definedName>
    <definedName name="BLPH306" localSheetId="70" hidden="1">#REF!</definedName>
    <definedName name="BLPH306" localSheetId="71" hidden="1">#REF!</definedName>
    <definedName name="BLPH306" localSheetId="73" hidden="1">#REF!</definedName>
    <definedName name="BLPH306" localSheetId="75" hidden="1">#REF!</definedName>
    <definedName name="BLPH306" localSheetId="76" hidden="1">#REF!</definedName>
    <definedName name="BLPH306" localSheetId="13" hidden="1">#REF!</definedName>
    <definedName name="BLPH306" localSheetId="12" hidden="1">#REF!</definedName>
    <definedName name="BLPH306" localSheetId="4" hidden="1">#REF!</definedName>
    <definedName name="BLPH306" hidden="1">#REF!</definedName>
    <definedName name="BLPH307" localSheetId="14" hidden="1">#REF!</definedName>
    <definedName name="BLPH307" localSheetId="19" hidden="1">#REF!</definedName>
    <definedName name="BLPH307" localSheetId="23" hidden="1">#REF!</definedName>
    <definedName name="BLPH307" localSheetId="31" hidden="1">#REF!</definedName>
    <definedName name="BLPH307" localSheetId="36" hidden="1">#REF!</definedName>
    <definedName name="BLPH307" localSheetId="37" hidden="1">#REF!</definedName>
    <definedName name="BLPH307" localSheetId="38" hidden="1">#REF!</definedName>
    <definedName name="BLPH307" localSheetId="45" hidden="1">#REF!</definedName>
    <definedName name="BLPH307" localSheetId="46" hidden="1">#REF!</definedName>
    <definedName name="BLPH307" localSheetId="48" hidden="1">#REF!</definedName>
    <definedName name="BLPH307" localSheetId="49" hidden="1">#REF!</definedName>
    <definedName name="BLPH307" localSheetId="50" hidden="1">#REF!</definedName>
    <definedName name="BLPH307" localSheetId="51" hidden="1">#REF!</definedName>
    <definedName name="BLPH307" localSheetId="52" hidden="1">#REF!</definedName>
    <definedName name="BLPH307" localSheetId="54" hidden="1">#REF!</definedName>
    <definedName name="BLPH307" localSheetId="55" hidden="1">#REF!</definedName>
    <definedName name="BLPH307" localSheetId="56" hidden="1">#REF!</definedName>
    <definedName name="BLPH307" localSheetId="57" hidden="1">#REF!</definedName>
    <definedName name="BLPH307" localSheetId="58" hidden="1">#REF!</definedName>
    <definedName name="BLPH307" localSheetId="70" hidden="1">#REF!</definedName>
    <definedName name="BLPH307" localSheetId="71" hidden="1">#REF!</definedName>
    <definedName name="BLPH307" localSheetId="73" hidden="1">#REF!</definedName>
    <definedName name="BLPH307" localSheetId="75" hidden="1">#REF!</definedName>
    <definedName name="BLPH307" localSheetId="76" hidden="1">#REF!</definedName>
    <definedName name="BLPH307" localSheetId="13" hidden="1">#REF!</definedName>
    <definedName name="BLPH307" localSheetId="12" hidden="1">#REF!</definedName>
    <definedName name="BLPH307" localSheetId="4" hidden="1">#REF!</definedName>
    <definedName name="BLPH307" hidden="1">#REF!</definedName>
    <definedName name="BLPH308" localSheetId="14" hidden="1">#REF!</definedName>
    <definedName name="BLPH308" localSheetId="19" hidden="1">#REF!</definedName>
    <definedName name="BLPH308" localSheetId="23" hidden="1">#REF!</definedName>
    <definedName name="BLPH308" localSheetId="31" hidden="1">#REF!</definedName>
    <definedName name="BLPH308" localSheetId="36" hidden="1">#REF!</definedName>
    <definedName name="BLPH308" localSheetId="37" hidden="1">#REF!</definedName>
    <definedName name="BLPH308" localSheetId="38" hidden="1">#REF!</definedName>
    <definedName name="BLPH308" localSheetId="45" hidden="1">#REF!</definedName>
    <definedName name="BLPH308" localSheetId="46" hidden="1">#REF!</definedName>
    <definedName name="BLPH308" localSheetId="48" hidden="1">#REF!</definedName>
    <definedName name="BLPH308" localSheetId="49" hidden="1">#REF!</definedName>
    <definedName name="BLPH308" localSheetId="50" hidden="1">#REF!</definedName>
    <definedName name="BLPH308" localSheetId="51" hidden="1">#REF!</definedName>
    <definedName name="BLPH308" localSheetId="52" hidden="1">#REF!</definedName>
    <definedName name="BLPH308" localSheetId="54" hidden="1">#REF!</definedName>
    <definedName name="BLPH308" localSheetId="55" hidden="1">#REF!</definedName>
    <definedName name="BLPH308" localSheetId="56" hidden="1">#REF!</definedName>
    <definedName name="BLPH308" localSheetId="57" hidden="1">#REF!</definedName>
    <definedName name="BLPH308" localSheetId="58" hidden="1">#REF!</definedName>
    <definedName name="BLPH308" localSheetId="70" hidden="1">#REF!</definedName>
    <definedName name="BLPH308" localSheetId="71" hidden="1">#REF!</definedName>
    <definedName name="BLPH308" localSheetId="73" hidden="1">#REF!</definedName>
    <definedName name="BLPH308" localSheetId="75" hidden="1">#REF!</definedName>
    <definedName name="BLPH308" localSheetId="76" hidden="1">#REF!</definedName>
    <definedName name="BLPH308" localSheetId="13" hidden="1">#REF!</definedName>
    <definedName name="BLPH308" localSheetId="12" hidden="1">#REF!</definedName>
    <definedName name="BLPH308" localSheetId="4" hidden="1">#REF!</definedName>
    <definedName name="BLPH308" hidden="1">#REF!</definedName>
    <definedName name="BLPH309" localSheetId="14" hidden="1">#REF!</definedName>
    <definedName name="BLPH309" localSheetId="19" hidden="1">#REF!</definedName>
    <definedName name="BLPH309" localSheetId="23" hidden="1">#REF!</definedName>
    <definedName name="BLPH309" localSheetId="31" hidden="1">#REF!</definedName>
    <definedName name="BLPH309" localSheetId="36" hidden="1">#REF!</definedName>
    <definedName name="BLPH309" localSheetId="37" hidden="1">#REF!</definedName>
    <definedName name="BLPH309" localSheetId="38" hidden="1">#REF!</definedName>
    <definedName name="BLPH309" localSheetId="45" hidden="1">#REF!</definedName>
    <definedName name="BLPH309" localSheetId="46" hidden="1">#REF!</definedName>
    <definedName name="BLPH309" localSheetId="48" hidden="1">#REF!</definedName>
    <definedName name="BLPH309" localSheetId="49" hidden="1">#REF!</definedName>
    <definedName name="BLPH309" localSheetId="50" hidden="1">#REF!</definedName>
    <definedName name="BLPH309" localSheetId="51" hidden="1">#REF!</definedName>
    <definedName name="BLPH309" localSheetId="52" hidden="1">#REF!</definedName>
    <definedName name="BLPH309" localSheetId="54" hidden="1">#REF!</definedName>
    <definedName name="BLPH309" localSheetId="55" hidden="1">#REF!</definedName>
    <definedName name="BLPH309" localSheetId="56" hidden="1">#REF!</definedName>
    <definedName name="BLPH309" localSheetId="57" hidden="1">#REF!</definedName>
    <definedName name="BLPH309" localSheetId="58" hidden="1">#REF!</definedName>
    <definedName name="BLPH309" localSheetId="70" hidden="1">#REF!</definedName>
    <definedName name="BLPH309" localSheetId="71" hidden="1">#REF!</definedName>
    <definedName name="BLPH309" localSheetId="73" hidden="1">#REF!</definedName>
    <definedName name="BLPH309" localSheetId="75" hidden="1">#REF!</definedName>
    <definedName name="BLPH309" localSheetId="76" hidden="1">#REF!</definedName>
    <definedName name="BLPH309" localSheetId="13" hidden="1">#REF!</definedName>
    <definedName name="BLPH309" localSheetId="12" hidden="1">#REF!</definedName>
    <definedName name="BLPH309" localSheetId="4" hidden="1">#REF!</definedName>
    <definedName name="BLPH309" hidden="1">#REF!</definedName>
    <definedName name="BLPH31" hidden="1">'[5]Risk-Free Rate'!$M$15</definedName>
    <definedName name="BLPH310" localSheetId="14" hidden="1">#REF!</definedName>
    <definedName name="BLPH310" localSheetId="19" hidden="1">#REF!</definedName>
    <definedName name="BLPH310" localSheetId="23" hidden="1">#REF!</definedName>
    <definedName name="BLPH310" localSheetId="26" hidden="1">#REF!</definedName>
    <definedName name="BLPH310" localSheetId="31" hidden="1">#REF!</definedName>
    <definedName name="BLPH310" localSheetId="36" hidden="1">#REF!</definedName>
    <definedName name="BLPH310" localSheetId="37" hidden="1">#REF!</definedName>
    <definedName name="BLPH310" localSheetId="38" hidden="1">#REF!</definedName>
    <definedName name="BLPH310" localSheetId="45" hidden="1">#REF!</definedName>
    <definedName name="BLPH310" localSheetId="46" hidden="1">#REF!</definedName>
    <definedName name="BLPH310" localSheetId="48" hidden="1">#REF!</definedName>
    <definedName name="BLPH310" localSheetId="49" hidden="1">#REF!</definedName>
    <definedName name="BLPH310" localSheetId="50" hidden="1">#REF!</definedName>
    <definedName name="BLPH310" localSheetId="51" hidden="1">#REF!</definedName>
    <definedName name="BLPH310" localSheetId="52" hidden="1">#REF!</definedName>
    <definedName name="BLPH310" localSheetId="54" hidden="1">#REF!</definedName>
    <definedName name="BLPH310" localSheetId="55" hidden="1">#REF!</definedName>
    <definedName name="BLPH310" localSheetId="56" hidden="1">#REF!</definedName>
    <definedName name="BLPH310" localSheetId="57" hidden="1">#REF!</definedName>
    <definedName name="BLPH310" localSheetId="58" hidden="1">#REF!</definedName>
    <definedName name="BLPH310" localSheetId="70" hidden="1">#REF!</definedName>
    <definedName name="BLPH310" localSheetId="71" hidden="1">#REF!</definedName>
    <definedName name="BLPH310" localSheetId="73" hidden="1">#REF!</definedName>
    <definedName name="BLPH310" localSheetId="75" hidden="1">#REF!</definedName>
    <definedName name="BLPH310" localSheetId="76" hidden="1">#REF!</definedName>
    <definedName name="BLPH310" localSheetId="13" hidden="1">#REF!</definedName>
    <definedName name="BLPH310" localSheetId="12" hidden="1">#REF!</definedName>
    <definedName name="BLPH310" localSheetId="4" hidden="1">#REF!</definedName>
    <definedName name="BLPH310" hidden="1">#REF!</definedName>
    <definedName name="BLPH311" localSheetId="14" hidden="1">#REF!</definedName>
    <definedName name="BLPH311" localSheetId="19" hidden="1">#REF!</definedName>
    <definedName name="BLPH311" localSheetId="23" hidden="1">#REF!</definedName>
    <definedName name="BLPH311" localSheetId="26" hidden="1">#REF!</definedName>
    <definedName name="BLPH311" localSheetId="31" hidden="1">#REF!</definedName>
    <definedName name="BLPH311" localSheetId="36" hidden="1">#REF!</definedName>
    <definedName name="BLPH311" localSheetId="37" hidden="1">#REF!</definedName>
    <definedName name="BLPH311" localSheetId="38" hidden="1">#REF!</definedName>
    <definedName name="BLPH311" localSheetId="45" hidden="1">#REF!</definedName>
    <definedName name="BLPH311" localSheetId="46" hidden="1">#REF!</definedName>
    <definedName name="BLPH311" localSheetId="48" hidden="1">#REF!</definedName>
    <definedName name="BLPH311" localSheetId="49" hidden="1">#REF!</definedName>
    <definedName name="BLPH311" localSheetId="50" hidden="1">#REF!</definedName>
    <definedName name="BLPH311" localSheetId="51" hidden="1">#REF!</definedName>
    <definedName name="BLPH311" localSheetId="52" hidden="1">#REF!</definedName>
    <definedName name="BLPH311" localSheetId="54" hidden="1">#REF!</definedName>
    <definedName name="BLPH311" localSheetId="55" hidden="1">#REF!</definedName>
    <definedName name="BLPH311" localSheetId="56" hidden="1">#REF!</definedName>
    <definedName name="BLPH311" localSheetId="57" hidden="1">#REF!</definedName>
    <definedName name="BLPH311" localSheetId="58" hidden="1">#REF!</definedName>
    <definedName name="BLPH311" localSheetId="70" hidden="1">#REF!</definedName>
    <definedName name="BLPH311" localSheetId="71" hidden="1">#REF!</definedName>
    <definedName name="BLPH311" localSheetId="73" hidden="1">#REF!</definedName>
    <definedName name="BLPH311" localSheetId="75" hidden="1">#REF!</definedName>
    <definedName name="BLPH311" localSheetId="76" hidden="1">#REF!</definedName>
    <definedName name="BLPH311" localSheetId="13" hidden="1">#REF!</definedName>
    <definedName name="BLPH311" localSheetId="12" hidden="1">#REF!</definedName>
    <definedName name="BLPH311" localSheetId="4" hidden="1">#REF!</definedName>
    <definedName name="BLPH311" hidden="1">#REF!</definedName>
    <definedName name="BLPH312" localSheetId="14" hidden="1">#REF!</definedName>
    <definedName name="BLPH312" localSheetId="19" hidden="1">#REF!</definedName>
    <definedName name="BLPH312" localSheetId="23" hidden="1">#REF!</definedName>
    <definedName name="BLPH312" localSheetId="26" hidden="1">#REF!</definedName>
    <definedName name="BLPH312" localSheetId="31" hidden="1">#REF!</definedName>
    <definedName name="BLPH312" localSheetId="36" hidden="1">#REF!</definedName>
    <definedName name="BLPH312" localSheetId="37" hidden="1">#REF!</definedName>
    <definedName name="BLPH312" localSheetId="38" hidden="1">#REF!</definedName>
    <definedName name="BLPH312" localSheetId="45" hidden="1">#REF!</definedName>
    <definedName name="BLPH312" localSheetId="46" hidden="1">#REF!</definedName>
    <definedName name="BLPH312" localSheetId="48" hidden="1">#REF!</definedName>
    <definedName name="BLPH312" localSheetId="49" hidden="1">#REF!</definedName>
    <definedName name="BLPH312" localSheetId="50" hidden="1">#REF!</definedName>
    <definedName name="BLPH312" localSheetId="51" hidden="1">#REF!</definedName>
    <definedName name="BLPH312" localSheetId="52" hidden="1">#REF!</definedName>
    <definedName name="BLPH312" localSheetId="54" hidden="1">#REF!</definedName>
    <definedName name="BLPH312" localSheetId="55" hidden="1">#REF!</definedName>
    <definedName name="BLPH312" localSheetId="56" hidden="1">#REF!</definedName>
    <definedName name="BLPH312" localSheetId="57" hidden="1">#REF!</definedName>
    <definedName name="BLPH312" localSheetId="58" hidden="1">#REF!</definedName>
    <definedName name="BLPH312" localSheetId="70" hidden="1">#REF!</definedName>
    <definedName name="BLPH312" localSheetId="71" hidden="1">#REF!</definedName>
    <definedName name="BLPH312" localSheetId="73" hidden="1">#REF!</definedName>
    <definedName name="BLPH312" localSheetId="75" hidden="1">#REF!</definedName>
    <definedName name="BLPH312" localSheetId="76" hidden="1">#REF!</definedName>
    <definedName name="BLPH312" localSheetId="13" hidden="1">#REF!</definedName>
    <definedName name="BLPH312" localSheetId="12" hidden="1">#REF!</definedName>
    <definedName name="BLPH312" localSheetId="4" hidden="1">#REF!</definedName>
    <definedName name="BLPH312" hidden="1">#REF!</definedName>
    <definedName name="BLPH313" localSheetId="14" hidden="1">#REF!</definedName>
    <definedName name="BLPH313" localSheetId="19" hidden="1">#REF!</definedName>
    <definedName name="BLPH313" localSheetId="23" hidden="1">#REF!</definedName>
    <definedName name="BLPH313" localSheetId="31" hidden="1">#REF!</definedName>
    <definedName name="BLPH313" localSheetId="36" hidden="1">#REF!</definedName>
    <definedName name="BLPH313" localSheetId="37" hidden="1">#REF!</definedName>
    <definedName name="BLPH313" localSheetId="38" hidden="1">#REF!</definedName>
    <definedName name="BLPH313" localSheetId="45" hidden="1">#REF!</definedName>
    <definedName name="BLPH313" localSheetId="46" hidden="1">#REF!</definedName>
    <definedName name="BLPH313" localSheetId="48" hidden="1">#REF!</definedName>
    <definedName name="BLPH313" localSheetId="49" hidden="1">#REF!</definedName>
    <definedName name="BLPH313" localSheetId="50" hidden="1">#REF!</definedName>
    <definedName name="BLPH313" localSheetId="51" hidden="1">#REF!</definedName>
    <definedName name="BLPH313" localSheetId="52" hidden="1">#REF!</definedName>
    <definedName name="BLPH313" localSheetId="54" hidden="1">#REF!</definedName>
    <definedName name="BLPH313" localSheetId="55" hidden="1">#REF!</definedName>
    <definedName name="BLPH313" localSheetId="56" hidden="1">#REF!</definedName>
    <definedName name="BLPH313" localSheetId="57" hidden="1">#REF!</definedName>
    <definedName name="BLPH313" localSheetId="58" hidden="1">#REF!</definedName>
    <definedName name="BLPH313" localSheetId="70" hidden="1">#REF!</definedName>
    <definedName name="BLPH313" localSheetId="71" hidden="1">#REF!</definedName>
    <definedName name="BLPH313" localSheetId="73" hidden="1">#REF!</definedName>
    <definedName name="BLPH313" localSheetId="75" hidden="1">#REF!</definedName>
    <definedName name="BLPH313" localSheetId="76" hidden="1">#REF!</definedName>
    <definedName name="BLPH313" localSheetId="13" hidden="1">#REF!</definedName>
    <definedName name="BLPH313" localSheetId="12" hidden="1">#REF!</definedName>
    <definedName name="BLPH313" localSheetId="4" hidden="1">#REF!</definedName>
    <definedName name="BLPH313" hidden="1">#REF!</definedName>
    <definedName name="BLPH314" localSheetId="14" hidden="1">#REF!</definedName>
    <definedName name="BLPH314" localSheetId="19" hidden="1">#REF!</definedName>
    <definedName name="BLPH314" localSheetId="23" hidden="1">#REF!</definedName>
    <definedName name="BLPH314" localSheetId="31" hidden="1">#REF!</definedName>
    <definedName name="BLPH314" localSheetId="36" hidden="1">#REF!</definedName>
    <definedName name="BLPH314" localSheetId="37" hidden="1">#REF!</definedName>
    <definedName name="BLPH314" localSheetId="38" hidden="1">#REF!</definedName>
    <definedName name="BLPH314" localSheetId="45" hidden="1">#REF!</definedName>
    <definedName name="BLPH314" localSheetId="46" hidden="1">#REF!</definedName>
    <definedName name="BLPH314" localSheetId="48" hidden="1">#REF!</definedName>
    <definedName name="BLPH314" localSheetId="49" hidden="1">#REF!</definedName>
    <definedName name="BLPH314" localSheetId="50" hidden="1">#REF!</definedName>
    <definedName name="BLPH314" localSheetId="51" hidden="1">#REF!</definedName>
    <definedName name="BLPH314" localSheetId="52" hidden="1">#REF!</definedName>
    <definedName name="BLPH314" localSheetId="54" hidden="1">#REF!</definedName>
    <definedName name="BLPH314" localSheetId="55" hidden="1">#REF!</definedName>
    <definedName name="BLPH314" localSheetId="56" hidden="1">#REF!</definedName>
    <definedName name="BLPH314" localSheetId="57" hidden="1">#REF!</definedName>
    <definedName name="BLPH314" localSheetId="58" hidden="1">#REF!</definedName>
    <definedName name="BLPH314" localSheetId="70" hidden="1">#REF!</definedName>
    <definedName name="BLPH314" localSheetId="71" hidden="1">#REF!</definedName>
    <definedName name="BLPH314" localSheetId="73" hidden="1">#REF!</definedName>
    <definedName name="BLPH314" localSheetId="75" hidden="1">#REF!</definedName>
    <definedName name="BLPH314" localSheetId="76" hidden="1">#REF!</definedName>
    <definedName name="BLPH314" localSheetId="13" hidden="1">#REF!</definedName>
    <definedName name="BLPH314" localSheetId="12" hidden="1">#REF!</definedName>
    <definedName name="BLPH314" localSheetId="4" hidden="1">#REF!</definedName>
    <definedName name="BLPH314" hidden="1">#REF!</definedName>
    <definedName name="BLPH315" localSheetId="14" hidden="1">#REF!</definedName>
    <definedName name="BLPH315" localSheetId="19" hidden="1">#REF!</definedName>
    <definedName name="BLPH315" localSheetId="23" hidden="1">#REF!</definedName>
    <definedName name="BLPH315" localSheetId="31" hidden="1">#REF!</definedName>
    <definedName name="BLPH315" localSheetId="36" hidden="1">#REF!</definedName>
    <definedName name="BLPH315" localSheetId="37" hidden="1">#REF!</definedName>
    <definedName name="BLPH315" localSheetId="38" hidden="1">#REF!</definedName>
    <definedName name="BLPH315" localSheetId="45" hidden="1">#REF!</definedName>
    <definedName name="BLPH315" localSheetId="46" hidden="1">#REF!</definedName>
    <definedName name="BLPH315" localSheetId="48" hidden="1">#REF!</definedName>
    <definedName name="BLPH315" localSheetId="49" hidden="1">#REF!</definedName>
    <definedName name="BLPH315" localSheetId="50" hidden="1">#REF!</definedName>
    <definedName name="BLPH315" localSheetId="51" hidden="1">#REF!</definedName>
    <definedName name="BLPH315" localSheetId="52" hidden="1">#REF!</definedName>
    <definedName name="BLPH315" localSheetId="54" hidden="1">#REF!</definedName>
    <definedName name="BLPH315" localSheetId="55" hidden="1">#REF!</definedName>
    <definedName name="BLPH315" localSheetId="56" hidden="1">#REF!</definedName>
    <definedName name="BLPH315" localSheetId="57" hidden="1">#REF!</definedName>
    <definedName name="BLPH315" localSheetId="58" hidden="1">#REF!</definedName>
    <definedName name="BLPH315" localSheetId="70" hidden="1">#REF!</definedName>
    <definedName name="BLPH315" localSheetId="71" hidden="1">#REF!</definedName>
    <definedName name="BLPH315" localSheetId="73" hidden="1">#REF!</definedName>
    <definedName name="BLPH315" localSheetId="75" hidden="1">#REF!</definedName>
    <definedName name="BLPH315" localSheetId="76" hidden="1">#REF!</definedName>
    <definedName name="BLPH315" localSheetId="13" hidden="1">#REF!</definedName>
    <definedName name="BLPH315" localSheetId="12" hidden="1">#REF!</definedName>
    <definedName name="BLPH315" localSheetId="4" hidden="1">#REF!</definedName>
    <definedName name="BLPH315" hidden="1">#REF!</definedName>
    <definedName name="BLPH316" localSheetId="14" hidden="1">#REF!</definedName>
    <definedName name="BLPH316" localSheetId="19" hidden="1">#REF!</definedName>
    <definedName name="BLPH316" localSheetId="23" hidden="1">#REF!</definedName>
    <definedName name="BLPH316" localSheetId="31" hidden="1">#REF!</definedName>
    <definedName name="BLPH316" localSheetId="36" hidden="1">#REF!</definedName>
    <definedName name="BLPH316" localSheetId="37" hidden="1">#REF!</definedName>
    <definedName name="BLPH316" localSheetId="38" hidden="1">#REF!</definedName>
    <definedName name="BLPH316" localSheetId="45" hidden="1">#REF!</definedName>
    <definedName name="BLPH316" localSheetId="46" hidden="1">#REF!</definedName>
    <definedName name="BLPH316" localSheetId="48" hidden="1">#REF!</definedName>
    <definedName name="BLPH316" localSheetId="49" hidden="1">#REF!</definedName>
    <definedName name="BLPH316" localSheetId="50" hidden="1">#REF!</definedName>
    <definedName name="BLPH316" localSheetId="51" hidden="1">#REF!</definedName>
    <definedName name="BLPH316" localSheetId="52" hidden="1">#REF!</definedName>
    <definedName name="BLPH316" localSheetId="54" hidden="1">#REF!</definedName>
    <definedName name="BLPH316" localSheetId="55" hidden="1">#REF!</definedName>
    <definedName name="BLPH316" localSheetId="56" hidden="1">#REF!</definedName>
    <definedName name="BLPH316" localSheetId="57" hidden="1">#REF!</definedName>
    <definedName name="BLPH316" localSheetId="58" hidden="1">#REF!</definedName>
    <definedName name="BLPH316" localSheetId="70" hidden="1">#REF!</definedName>
    <definedName name="BLPH316" localSheetId="71" hidden="1">#REF!</definedName>
    <definedName name="BLPH316" localSheetId="73" hidden="1">#REF!</definedName>
    <definedName name="BLPH316" localSheetId="75" hidden="1">#REF!</definedName>
    <definedName name="BLPH316" localSheetId="76" hidden="1">#REF!</definedName>
    <definedName name="BLPH316" localSheetId="13" hidden="1">#REF!</definedName>
    <definedName name="BLPH316" localSheetId="12" hidden="1">#REF!</definedName>
    <definedName name="BLPH316" localSheetId="4" hidden="1">#REF!</definedName>
    <definedName name="BLPH316" hidden="1">#REF!</definedName>
    <definedName name="BLPH317" localSheetId="14" hidden="1">#REF!</definedName>
    <definedName name="BLPH317" localSheetId="19" hidden="1">#REF!</definedName>
    <definedName name="BLPH317" localSheetId="23" hidden="1">#REF!</definedName>
    <definedName name="BLPH317" localSheetId="31" hidden="1">#REF!</definedName>
    <definedName name="BLPH317" localSheetId="36" hidden="1">#REF!</definedName>
    <definedName name="BLPH317" localSheetId="37" hidden="1">#REF!</definedName>
    <definedName name="BLPH317" localSheetId="38" hidden="1">#REF!</definedName>
    <definedName name="BLPH317" localSheetId="45" hidden="1">#REF!</definedName>
    <definedName name="BLPH317" localSheetId="46" hidden="1">#REF!</definedName>
    <definedName name="BLPH317" localSheetId="48" hidden="1">#REF!</definedName>
    <definedName name="BLPH317" localSheetId="49" hidden="1">#REF!</definedName>
    <definedName name="BLPH317" localSheetId="50" hidden="1">#REF!</definedName>
    <definedName name="BLPH317" localSheetId="51" hidden="1">#REF!</definedName>
    <definedName name="BLPH317" localSheetId="52" hidden="1">#REF!</definedName>
    <definedName name="BLPH317" localSheetId="54" hidden="1">#REF!</definedName>
    <definedName name="BLPH317" localSheetId="55" hidden="1">#REF!</definedName>
    <definedName name="BLPH317" localSheetId="56" hidden="1">#REF!</definedName>
    <definedName name="BLPH317" localSheetId="57" hidden="1">#REF!</definedName>
    <definedName name="BLPH317" localSheetId="58" hidden="1">#REF!</definedName>
    <definedName name="BLPH317" localSheetId="70" hidden="1">#REF!</definedName>
    <definedName name="BLPH317" localSheetId="71" hidden="1">#REF!</definedName>
    <definedName name="BLPH317" localSheetId="73" hidden="1">#REF!</definedName>
    <definedName name="BLPH317" localSheetId="75" hidden="1">#REF!</definedName>
    <definedName name="BLPH317" localSheetId="76" hidden="1">#REF!</definedName>
    <definedName name="BLPH317" localSheetId="13" hidden="1">#REF!</definedName>
    <definedName name="BLPH317" localSheetId="12" hidden="1">#REF!</definedName>
    <definedName name="BLPH317" localSheetId="4" hidden="1">#REF!</definedName>
    <definedName name="BLPH317" hidden="1">#REF!</definedName>
    <definedName name="BLPH318" localSheetId="14" hidden="1">#REF!</definedName>
    <definedName name="BLPH318" localSheetId="19" hidden="1">#REF!</definedName>
    <definedName name="BLPH318" localSheetId="23" hidden="1">#REF!</definedName>
    <definedName name="BLPH318" localSheetId="31" hidden="1">#REF!</definedName>
    <definedName name="BLPH318" localSheetId="36" hidden="1">#REF!</definedName>
    <definedName name="BLPH318" localSheetId="37" hidden="1">#REF!</definedName>
    <definedName name="BLPH318" localSheetId="38" hidden="1">#REF!</definedName>
    <definedName name="BLPH318" localSheetId="45" hidden="1">#REF!</definedName>
    <definedName name="BLPH318" localSheetId="46" hidden="1">#REF!</definedName>
    <definedName name="BLPH318" localSheetId="48" hidden="1">#REF!</definedName>
    <definedName name="BLPH318" localSheetId="49" hidden="1">#REF!</definedName>
    <definedName name="BLPH318" localSheetId="50" hidden="1">#REF!</definedName>
    <definedName name="BLPH318" localSheetId="51" hidden="1">#REF!</definedName>
    <definedName name="BLPH318" localSheetId="52" hidden="1">#REF!</definedName>
    <definedName name="BLPH318" localSheetId="54" hidden="1">#REF!</definedName>
    <definedName name="BLPH318" localSheetId="55" hidden="1">#REF!</definedName>
    <definedName name="BLPH318" localSheetId="56" hidden="1">#REF!</definedName>
    <definedName name="BLPH318" localSheetId="57" hidden="1">#REF!</definedName>
    <definedName name="BLPH318" localSheetId="58" hidden="1">#REF!</definedName>
    <definedName name="BLPH318" localSheetId="70" hidden="1">#REF!</definedName>
    <definedName name="BLPH318" localSheetId="71" hidden="1">#REF!</definedName>
    <definedName name="BLPH318" localSheetId="73" hidden="1">#REF!</definedName>
    <definedName name="BLPH318" localSheetId="75" hidden="1">#REF!</definedName>
    <definedName name="BLPH318" localSheetId="76" hidden="1">#REF!</definedName>
    <definedName name="BLPH318" localSheetId="13" hidden="1">#REF!</definedName>
    <definedName name="BLPH318" localSheetId="12" hidden="1">#REF!</definedName>
    <definedName name="BLPH318" localSheetId="4" hidden="1">#REF!</definedName>
    <definedName name="BLPH318" hidden="1">#REF!</definedName>
    <definedName name="BLPH319" localSheetId="14" hidden="1">#REF!</definedName>
    <definedName name="BLPH319" localSheetId="19" hidden="1">#REF!</definedName>
    <definedName name="BLPH319" localSheetId="23" hidden="1">#REF!</definedName>
    <definedName name="BLPH319" localSheetId="31" hidden="1">#REF!</definedName>
    <definedName name="BLPH319" localSheetId="36" hidden="1">#REF!</definedName>
    <definedName name="BLPH319" localSheetId="37" hidden="1">#REF!</definedName>
    <definedName name="BLPH319" localSheetId="38" hidden="1">#REF!</definedName>
    <definedName name="BLPH319" localSheetId="45" hidden="1">#REF!</definedName>
    <definedName name="BLPH319" localSheetId="46" hidden="1">#REF!</definedName>
    <definedName name="BLPH319" localSheetId="48" hidden="1">#REF!</definedName>
    <definedName name="BLPH319" localSheetId="49" hidden="1">#REF!</definedName>
    <definedName name="BLPH319" localSheetId="50" hidden="1">#REF!</definedName>
    <definedName name="BLPH319" localSheetId="51" hidden="1">#REF!</definedName>
    <definedName name="BLPH319" localSheetId="52" hidden="1">#REF!</definedName>
    <definedName name="BLPH319" localSheetId="54" hidden="1">#REF!</definedName>
    <definedName name="BLPH319" localSheetId="55" hidden="1">#REF!</definedName>
    <definedName name="BLPH319" localSheetId="56" hidden="1">#REF!</definedName>
    <definedName name="BLPH319" localSheetId="57" hidden="1">#REF!</definedName>
    <definedName name="BLPH319" localSheetId="58" hidden="1">#REF!</definedName>
    <definedName name="BLPH319" localSheetId="70" hidden="1">#REF!</definedName>
    <definedName name="BLPH319" localSheetId="71" hidden="1">#REF!</definedName>
    <definedName name="BLPH319" localSheetId="73" hidden="1">#REF!</definedName>
    <definedName name="BLPH319" localSheetId="75" hidden="1">#REF!</definedName>
    <definedName name="BLPH319" localSheetId="76" hidden="1">#REF!</definedName>
    <definedName name="BLPH319" localSheetId="13" hidden="1">#REF!</definedName>
    <definedName name="BLPH319" localSheetId="12" hidden="1">#REF!</definedName>
    <definedName name="BLPH319" localSheetId="4" hidden="1">#REF!</definedName>
    <definedName name="BLPH319" hidden="1">#REF!</definedName>
    <definedName name="BLPH32" hidden="1">'[5]Risk-Free Rate'!$J$15</definedName>
    <definedName name="BLPH320" localSheetId="14" hidden="1">#REF!</definedName>
    <definedName name="BLPH320" localSheetId="19" hidden="1">#REF!</definedName>
    <definedName name="BLPH320" localSheetId="23" hidden="1">#REF!</definedName>
    <definedName name="BLPH320" localSheetId="26" hidden="1">#REF!</definedName>
    <definedName name="BLPH320" localSheetId="31" hidden="1">#REF!</definedName>
    <definedName name="BLPH320" localSheetId="36" hidden="1">#REF!</definedName>
    <definedName name="BLPH320" localSheetId="37" hidden="1">#REF!</definedName>
    <definedName name="BLPH320" localSheetId="38" hidden="1">#REF!</definedName>
    <definedName name="BLPH320" localSheetId="45" hidden="1">#REF!</definedName>
    <definedName name="BLPH320" localSheetId="46" hidden="1">#REF!</definedName>
    <definedName name="BLPH320" localSheetId="48" hidden="1">#REF!</definedName>
    <definedName name="BLPH320" localSheetId="49" hidden="1">#REF!</definedName>
    <definedName name="BLPH320" localSheetId="50" hidden="1">#REF!</definedName>
    <definedName name="BLPH320" localSheetId="51" hidden="1">#REF!</definedName>
    <definedName name="BLPH320" localSheetId="52" hidden="1">#REF!</definedName>
    <definedName name="BLPH320" localSheetId="54" hidden="1">#REF!</definedName>
    <definedName name="BLPH320" localSheetId="55" hidden="1">#REF!</definedName>
    <definedName name="BLPH320" localSheetId="56" hidden="1">#REF!</definedName>
    <definedName name="BLPH320" localSheetId="57" hidden="1">#REF!</definedName>
    <definedName name="BLPH320" localSheetId="58" hidden="1">#REF!</definedName>
    <definedName name="BLPH320" localSheetId="70" hidden="1">#REF!</definedName>
    <definedName name="BLPH320" localSheetId="71" hidden="1">#REF!</definedName>
    <definedName name="BLPH320" localSheetId="73" hidden="1">#REF!</definedName>
    <definedName name="BLPH320" localSheetId="75" hidden="1">#REF!</definedName>
    <definedName name="BLPH320" localSheetId="76" hidden="1">#REF!</definedName>
    <definedName name="BLPH320" localSheetId="13" hidden="1">#REF!</definedName>
    <definedName name="BLPH320" localSheetId="12" hidden="1">#REF!</definedName>
    <definedName name="BLPH320" localSheetId="4" hidden="1">#REF!</definedName>
    <definedName name="BLPH320" hidden="1">#REF!</definedName>
    <definedName name="BLPH321" localSheetId="14" hidden="1">#REF!</definedName>
    <definedName name="BLPH321" localSheetId="19" hidden="1">#REF!</definedName>
    <definedName name="BLPH321" localSheetId="23" hidden="1">#REF!</definedName>
    <definedName name="BLPH321" localSheetId="26" hidden="1">#REF!</definedName>
    <definedName name="BLPH321" localSheetId="31" hidden="1">#REF!</definedName>
    <definedName name="BLPH321" localSheetId="36" hidden="1">#REF!</definedName>
    <definedName name="BLPH321" localSheetId="37" hidden="1">#REF!</definedName>
    <definedName name="BLPH321" localSheetId="38" hidden="1">#REF!</definedName>
    <definedName name="BLPH321" localSheetId="45" hidden="1">#REF!</definedName>
    <definedName name="BLPH321" localSheetId="46" hidden="1">#REF!</definedName>
    <definedName name="BLPH321" localSheetId="48" hidden="1">#REF!</definedName>
    <definedName name="BLPH321" localSheetId="49" hidden="1">#REF!</definedName>
    <definedName name="BLPH321" localSheetId="50" hidden="1">#REF!</definedName>
    <definedName name="BLPH321" localSheetId="51" hidden="1">#REF!</definedName>
    <definedName name="BLPH321" localSheetId="52" hidden="1">#REF!</definedName>
    <definedName name="BLPH321" localSheetId="54" hidden="1">#REF!</definedName>
    <definedName name="BLPH321" localSheetId="55" hidden="1">#REF!</definedName>
    <definedName name="BLPH321" localSheetId="56" hidden="1">#REF!</definedName>
    <definedName name="BLPH321" localSheetId="57" hidden="1">#REF!</definedName>
    <definedName name="BLPH321" localSheetId="58" hidden="1">#REF!</definedName>
    <definedName name="BLPH321" localSheetId="70" hidden="1">#REF!</definedName>
    <definedName name="BLPH321" localSheetId="71" hidden="1">#REF!</definedName>
    <definedName name="BLPH321" localSheetId="73" hidden="1">#REF!</definedName>
    <definedName name="BLPH321" localSheetId="75" hidden="1">#REF!</definedName>
    <definedName name="BLPH321" localSheetId="76" hidden="1">#REF!</definedName>
    <definedName name="BLPH321" localSheetId="13" hidden="1">#REF!</definedName>
    <definedName name="BLPH321" localSheetId="12" hidden="1">#REF!</definedName>
    <definedName name="BLPH321" localSheetId="4" hidden="1">#REF!</definedName>
    <definedName name="BLPH321" hidden="1">#REF!</definedName>
    <definedName name="BLPH322" localSheetId="14" hidden="1">#REF!</definedName>
    <definedName name="BLPH322" localSheetId="19" hidden="1">#REF!</definedName>
    <definedName name="BLPH322" localSheetId="23" hidden="1">#REF!</definedName>
    <definedName name="BLPH322" localSheetId="26" hidden="1">#REF!</definedName>
    <definedName name="BLPH322" localSheetId="31" hidden="1">#REF!</definedName>
    <definedName name="BLPH322" localSheetId="36" hidden="1">#REF!</definedName>
    <definedName name="BLPH322" localSheetId="37" hidden="1">#REF!</definedName>
    <definedName name="BLPH322" localSheetId="38" hidden="1">#REF!</definedName>
    <definedName name="BLPH322" localSheetId="45" hidden="1">#REF!</definedName>
    <definedName name="BLPH322" localSheetId="46" hidden="1">#REF!</definedName>
    <definedName name="BLPH322" localSheetId="48" hidden="1">#REF!</definedName>
    <definedName name="BLPH322" localSheetId="49" hidden="1">#REF!</definedName>
    <definedName name="BLPH322" localSheetId="50" hidden="1">#REF!</definedName>
    <definedName name="BLPH322" localSheetId="51" hidden="1">#REF!</definedName>
    <definedName name="BLPH322" localSheetId="52" hidden="1">#REF!</definedName>
    <definedName name="BLPH322" localSheetId="54" hidden="1">#REF!</definedName>
    <definedName name="BLPH322" localSheetId="55" hidden="1">#REF!</definedName>
    <definedName name="BLPH322" localSheetId="56" hidden="1">#REF!</definedName>
    <definedName name="BLPH322" localSheetId="57" hidden="1">#REF!</definedName>
    <definedName name="BLPH322" localSheetId="58" hidden="1">#REF!</definedName>
    <definedName name="BLPH322" localSheetId="70" hidden="1">#REF!</definedName>
    <definedName name="BLPH322" localSheetId="71" hidden="1">#REF!</definedName>
    <definedName name="BLPH322" localSheetId="73" hidden="1">#REF!</definedName>
    <definedName name="BLPH322" localSheetId="75" hidden="1">#REF!</definedName>
    <definedName name="BLPH322" localSheetId="76" hidden="1">#REF!</definedName>
    <definedName name="BLPH322" localSheetId="13" hidden="1">#REF!</definedName>
    <definedName name="BLPH322" localSheetId="12" hidden="1">#REF!</definedName>
    <definedName name="BLPH322" localSheetId="4" hidden="1">#REF!</definedName>
    <definedName name="BLPH322" hidden="1">#REF!</definedName>
    <definedName name="BLPH323" localSheetId="14" hidden="1">#REF!</definedName>
    <definedName name="BLPH323" localSheetId="19" hidden="1">#REF!</definedName>
    <definedName name="BLPH323" localSheetId="23" hidden="1">#REF!</definedName>
    <definedName name="BLPH323" localSheetId="31" hidden="1">#REF!</definedName>
    <definedName name="BLPH323" localSheetId="36" hidden="1">#REF!</definedName>
    <definedName name="BLPH323" localSheetId="37" hidden="1">#REF!</definedName>
    <definedName name="BLPH323" localSheetId="38" hidden="1">#REF!</definedName>
    <definedName name="BLPH323" localSheetId="45" hidden="1">#REF!</definedName>
    <definedName name="BLPH323" localSheetId="46" hidden="1">#REF!</definedName>
    <definedName name="BLPH323" localSheetId="48" hidden="1">#REF!</definedName>
    <definedName name="BLPH323" localSheetId="49" hidden="1">#REF!</definedName>
    <definedName name="BLPH323" localSheetId="50" hidden="1">#REF!</definedName>
    <definedName name="BLPH323" localSheetId="51" hidden="1">#REF!</definedName>
    <definedName name="BLPH323" localSheetId="52" hidden="1">#REF!</definedName>
    <definedName name="BLPH323" localSheetId="54" hidden="1">#REF!</definedName>
    <definedName name="BLPH323" localSheetId="55" hidden="1">#REF!</definedName>
    <definedName name="BLPH323" localSheetId="56" hidden="1">#REF!</definedName>
    <definedName name="BLPH323" localSheetId="57" hidden="1">#REF!</definedName>
    <definedName name="BLPH323" localSheetId="58" hidden="1">#REF!</definedName>
    <definedName name="BLPH323" localSheetId="70" hidden="1">#REF!</definedName>
    <definedName name="BLPH323" localSheetId="71" hidden="1">#REF!</definedName>
    <definedName name="BLPH323" localSheetId="73" hidden="1">#REF!</definedName>
    <definedName name="BLPH323" localSheetId="75" hidden="1">#REF!</definedName>
    <definedName name="BLPH323" localSheetId="76" hidden="1">#REF!</definedName>
    <definedName name="BLPH323" localSheetId="13" hidden="1">#REF!</definedName>
    <definedName name="BLPH323" localSheetId="12" hidden="1">#REF!</definedName>
    <definedName name="BLPH323" localSheetId="4" hidden="1">#REF!</definedName>
    <definedName name="BLPH323" hidden="1">#REF!</definedName>
    <definedName name="BLPH324" localSheetId="14" hidden="1">#REF!</definedName>
    <definedName name="BLPH324" localSheetId="19" hidden="1">#REF!</definedName>
    <definedName name="BLPH324" localSheetId="23" hidden="1">#REF!</definedName>
    <definedName name="BLPH324" localSheetId="31" hidden="1">#REF!</definedName>
    <definedName name="BLPH324" localSheetId="36" hidden="1">#REF!</definedName>
    <definedName name="BLPH324" localSheetId="37" hidden="1">#REF!</definedName>
    <definedName name="BLPH324" localSheetId="38" hidden="1">#REF!</definedName>
    <definedName name="BLPH324" localSheetId="45" hidden="1">#REF!</definedName>
    <definedName name="BLPH324" localSheetId="46" hidden="1">#REF!</definedName>
    <definedName name="BLPH324" localSheetId="48" hidden="1">#REF!</definedName>
    <definedName name="BLPH324" localSheetId="49" hidden="1">#REF!</definedName>
    <definedName name="BLPH324" localSheetId="50" hidden="1">#REF!</definedName>
    <definedName name="BLPH324" localSheetId="51" hidden="1">#REF!</definedName>
    <definedName name="BLPH324" localSheetId="52" hidden="1">#REF!</definedName>
    <definedName name="BLPH324" localSheetId="54" hidden="1">#REF!</definedName>
    <definedName name="BLPH324" localSheetId="55" hidden="1">#REF!</definedName>
    <definedName name="BLPH324" localSheetId="56" hidden="1">#REF!</definedName>
    <definedName name="BLPH324" localSheetId="57" hidden="1">#REF!</definedName>
    <definedName name="BLPH324" localSheetId="58" hidden="1">#REF!</definedName>
    <definedName name="BLPH324" localSheetId="70" hidden="1">#REF!</definedName>
    <definedName name="BLPH324" localSheetId="71" hidden="1">#REF!</definedName>
    <definedName name="BLPH324" localSheetId="73" hidden="1">#REF!</definedName>
    <definedName name="BLPH324" localSheetId="75" hidden="1">#REF!</definedName>
    <definedName name="BLPH324" localSheetId="76" hidden="1">#REF!</definedName>
    <definedName name="BLPH324" localSheetId="13" hidden="1">#REF!</definedName>
    <definedName name="BLPH324" localSheetId="12" hidden="1">#REF!</definedName>
    <definedName name="BLPH324" localSheetId="4" hidden="1">#REF!</definedName>
    <definedName name="BLPH324" hidden="1">#REF!</definedName>
    <definedName name="BLPH325" localSheetId="14" hidden="1">#REF!</definedName>
    <definedName name="BLPH325" localSheetId="19" hidden="1">#REF!</definedName>
    <definedName name="BLPH325" localSheetId="23" hidden="1">#REF!</definedName>
    <definedName name="BLPH325" localSheetId="31" hidden="1">#REF!</definedName>
    <definedName name="BLPH325" localSheetId="36" hidden="1">#REF!</definedName>
    <definedName name="BLPH325" localSheetId="37" hidden="1">#REF!</definedName>
    <definedName name="BLPH325" localSheetId="38" hidden="1">#REF!</definedName>
    <definedName name="BLPH325" localSheetId="45" hidden="1">#REF!</definedName>
    <definedName name="BLPH325" localSheetId="46" hidden="1">#REF!</definedName>
    <definedName name="BLPH325" localSheetId="48" hidden="1">#REF!</definedName>
    <definedName name="BLPH325" localSheetId="49" hidden="1">#REF!</definedName>
    <definedName name="BLPH325" localSheetId="50" hidden="1">#REF!</definedName>
    <definedName name="BLPH325" localSheetId="51" hidden="1">#REF!</definedName>
    <definedName name="BLPH325" localSheetId="52" hidden="1">#REF!</definedName>
    <definedName name="BLPH325" localSheetId="54" hidden="1">#REF!</definedName>
    <definedName name="BLPH325" localSheetId="55" hidden="1">#REF!</definedName>
    <definedName name="BLPH325" localSheetId="56" hidden="1">#REF!</definedName>
    <definedName name="BLPH325" localSheetId="57" hidden="1">#REF!</definedName>
    <definedName name="BLPH325" localSheetId="58" hidden="1">#REF!</definedName>
    <definedName name="BLPH325" localSheetId="70" hidden="1">#REF!</definedName>
    <definedName name="BLPH325" localSheetId="71" hidden="1">#REF!</definedName>
    <definedName name="BLPH325" localSheetId="73" hidden="1">#REF!</definedName>
    <definedName name="BLPH325" localSheetId="75" hidden="1">#REF!</definedName>
    <definedName name="BLPH325" localSheetId="76" hidden="1">#REF!</definedName>
    <definedName name="BLPH325" localSheetId="13" hidden="1">#REF!</definedName>
    <definedName name="BLPH325" localSheetId="12" hidden="1">#REF!</definedName>
    <definedName name="BLPH325" localSheetId="4" hidden="1">#REF!</definedName>
    <definedName name="BLPH325" hidden="1">#REF!</definedName>
    <definedName name="BLPH326" localSheetId="14" hidden="1">#REF!</definedName>
    <definedName name="BLPH326" localSheetId="19" hidden="1">#REF!</definedName>
    <definedName name="BLPH326" localSheetId="23" hidden="1">#REF!</definedName>
    <definedName name="BLPH326" localSheetId="31" hidden="1">#REF!</definedName>
    <definedName name="BLPH326" localSheetId="36" hidden="1">#REF!</definedName>
    <definedName name="BLPH326" localSheetId="37" hidden="1">#REF!</definedName>
    <definedName name="BLPH326" localSheetId="38" hidden="1">#REF!</definedName>
    <definedName name="BLPH326" localSheetId="45" hidden="1">#REF!</definedName>
    <definedName name="BLPH326" localSheetId="46" hidden="1">#REF!</definedName>
    <definedName name="BLPH326" localSheetId="48" hidden="1">#REF!</definedName>
    <definedName name="BLPH326" localSheetId="49" hidden="1">#REF!</definedName>
    <definedName name="BLPH326" localSheetId="50" hidden="1">#REF!</definedName>
    <definedName name="BLPH326" localSheetId="51" hidden="1">#REF!</definedName>
    <definedName name="BLPH326" localSheetId="52" hidden="1">#REF!</definedName>
    <definedName name="BLPH326" localSheetId="54" hidden="1">#REF!</definedName>
    <definedName name="BLPH326" localSheetId="55" hidden="1">#REF!</definedName>
    <definedName name="BLPH326" localSheetId="56" hidden="1">#REF!</definedName>
    <definedName name="BLPH326" localSheetId="57" hidden="1">#REF!</definedName>
    <definedName name="BLPH326" localSheetId="58" hidden="1">#REF!</definedName>
    <definedName name="BLPH326" localSheetId="70" hidden="1">#REF!</definedName>
    <definedName name="BLPH326" localSheetId="71" hidden="1">#REF!</definedName>
    <definedName name="BLPH326" localSheetId="73" hidden="1">#REF!</definedName>
    <definedName name="BLPH326" localSheetId="75" hidden="1">#REF!</definedName>
    <definedName name="BLPH326" localSheetId="76" hidden="1">#REF!</definedName>
    <definedName name="BLPH326" localSheetId="13" hidden="1">#REF!</definedName>
    <definedName name="BLPH326" localSheetId="12" hidden="1">#REF!</definedName>
    <definedName name="BLPH326" localSheetId="4" hidden="1">#REF!</definedName>
    <definedName name="BLPH326" hidden="1">#REF!</definedName>
    <definedName name="BLPH327" localSheetId="14" hidden="1">#REF!</definedName>
    <definedName name="BLPH327" localSheetId="19" hidden="1">#REF!</definedName>
    <definedName name="BLPH327" localSheetId="23" hidden="1">#REF!</definedName>
    <definedName name="BLPH327" localSheetId="31" hidden="1">#REF!</definedName>
    <definedName name="BLPH327" localSheetId="36" hidden="1">#REF!</definedName>
    <definedName name="BLPH327" localSheetId="37" hidden="1">#REF!</definedName>
    <definedName name="BLPH327" localSheetId="38" hidden="1">#REF!</definedName>
    <definedName name="BLPH327" localSheetId="45" hidden="1">#REF!</definedName>
    <definedName name="BLPH327" localSheetId="46" hidden="1">#REF!</definedName>
    <definedName name="BLPH327" localSheetId="48" hidden="1">#REF!</definedName>
    <definedName name="BLPH327" localSheetId="49" hidden="1">#REF!</definedName>
    <definedName name="BLPH327" localSheetId="50" hidden="1">#REF!</definedName>
    <definedName name="BLPH327" localSheetId="51" hidden="1">#REF!</definedName>
    <definedName name="BLPH327" localSheetId="52" hidden="1">#REF!</definedName>
    <definedName name="BLPH327" localSheetId="54" hidden="1">#REF!</definedName>
    <definedName name="BLPH327" localSheetId="55" hidden="1">#REF!</definedName>
    <definedName name="BLPH327" localSheetId="56" hidden="1">#REF!</definedName>
    <definedName name="BLPH327" localSheetId="57" hidden="1">#REF!</definedName>
    <definedName name="BLPH327" localSheetId="58" hidden="1">#REF!</definedName>
    <definedName name="BLPH327" localSheetId="70" hidden="1">#REF!</definedName>
    <definedName name="BLPH327" localSheetId="71" hidden="1">#REF!</definedName>
    <definedName name="BLPH327" localSheetId="73" hidden="1">#REF!</definedName>
    <definedName name="BLPH327" localSheetId="75" hidden="1">#REF!</definedName>
    <definedName name="BLPH327" localSheetId="76" hidden="1">#REF!</definedName>
    <definedName name="BLPH327" localSheetId="13" hidden="1">#REF!</definedName>
    <definedName name="BLPH327" localSheetId="12" hidden="1">#REF!</definedName>
    <definedName name="BLPH327" localSheetId="4" hidden="1">#REF!</definedName>
    <definedName name="BLPH327" hidden="1">#REF!</definedName>
    <definedName name="BLPH328" localSheetId="14" hidden="1">#REF!</definedName>
    <definedName name="BLPH328" localSheetId="19" hidden="1">#REF!</definedName>
    <definedName name="BLPH328" localSheetId="23" hidden="1">#REF!</definedName>
    <definedName name="BLPH328" localSheetId="31" hidden="1">#REF!</definedName>
    <definedName name="BLPH328" localSheetId="36" hidden="1">#REF!</definedName>
    <definedName name="BLPH328" localSheetId="37" hidden="1">#REF!</definedName>
    <definedName name="BLPH328" localSheetId="38" hidden="1">#REF!</definedName>
    <definedName name="BLPH328" localSheetId="45" hidden="1">#REF!</definedName>
    <definedName name="BLPH328" localSheetId="46" hidden="1">#REF!</definedName>
    <definedName name="BLPH328" localSheetId="48" hidden="1">#REF!</definedName>
    <definedName name="BLPH328" localSheetId="49" hidden="1">#REF!</definedName>
    <definedName name="BLPH328" localSheetId="50" hidden="1">#REF!</definedName>
    <definedName name="BLPH328" localSheetId="51" hidden="1">#REF!</definedName>
    <definedName name="BLPH328" localSheetId="52" hidden="1">#REF!</definedName>
    <definedName name="BLPH328" localSheetId="54" hidden="1">#REF!</definedName>
    <definedName name="BLPH328" localSheetId="55" hidden="1">#REF!</definedName>
    <definedName name="BLPH328" localSheetId="56" hidden="1">#REF!</definedName>
    <definedName name="BLPH328" localSheetId="57" hidden="1">#REF!</definedName>
    <definedName name="BLPH328" localSheetId="58" hidden="1">#REF!</definedName>
    <definedName name="BLPH328" localSheetId="70" hidden="1">#REF!</definedName>
    <definedName name="BLPH328" localSheetId="71" hidden="1">#REF!</definedName>
    <definedName name="BLPH328" localSheetId="73" hidden="1">#REF!</definedName>
    <definedName name="BLPH328" localSheetId="75" hidden="1">#REF!</definedName>
    <definedName name="BLPH328" localSheetId="76" hidden="1">#REF!</definedName>
    <definedName name="BLPH328" localSheetId="13" hidden="1">#REF!</definedName>
    <definedName name="BLPH328" localSheetId="12" hidden="1">#REF!</definedName>
    <definedName name="BLPH328" localSheetId="4" hidden="1">#REF!</definedName>
    <definedName name="BLPH328" hidden="1">#REF!</definedName>
    <definedName name="BLPH329" localSheetId="14" hidden="1">#REF!</definedName>
    <definedName name="BLPH329" localSheetId="19" hidden="1">#REF!</definedName>
    <definedName name="BLPH329" localSheetId="23" hidden="1">#REF!</definedName>
    <definedName name="BLPH329" localSheetId="31" hidden="1">#REF!</definedName>
    <definedName name="BLPH329" localSheetId="36" hidden="1">#REF!</definedName>
    <definedName name="BLPH329" localSheetId="37" hidden="1">#REF!</definedName>
    <definedName name="BLPH329" localSheetId="38" hidden="1">#REF!</definedName>
    <definedName name="BLPH329" localSheetId="45" hidden="1">#REF!</definedName>
    <definedName name="BLPH329" localSheetId="46" hidden="1">#REF!</definedName>
    <definedName name="BLPH329" localSheetId="48" hidden="1">#REF!</definedName>
    <definedName name="BLPH329" localSheetId="49" hidden="1">#REF!</definedName>
    <definedName name="BLPH329" localSheetId="50" hidden="1">#REF!</definedName>
    <definedName name="BLPH329" localSheetId="51" hidden="1">#REF!</definedName>
    <definedName name="BLPH329" localSheetId="52" hidden="1">#REF!</definedName>
    <definedName name="BLPH329" localSheetId="54" hidden="1">#REF!</definedName>
    <definedName name="BLPH329" localSheetId="55" hidden="1">#REF!</definedName>
    <definedName name="BLPH329" localSheetId="56" hidden="1">#REF!</definedName>
    <definedName name="BLPH329" localSheetId="57" hidden="1">#REF!</definedName>
    <definedName name="BLPH329" localSheetId="58" hidden="1">#REF!</definedName>
    <definedName name="BLPH329" localSheetId="70" hidden="1">#REF!</definedName>
    <definedName name="BLPH329" localSheetId="71" hidden="1">#REF!</definedName>
    <definedName name="BLPH329" localSheetId="73" hidden="1">#REF!</definedName>
    <definedName name="BLPH329" localSheetId="75" hidden="1">#REF!</definedName>
    <definedName name="BLPH329" localSheetId="76" hidden="1">#REF!</definedName>
    <definedName name="BLPH329" localSheetId="13" hidden="1">#REF!</definedName>
    <definedName name="BLPH329" localSheetId="12" hidden="1">#REF!</definedName>
    <definedName name="BLPH329" localSheetId="4" hidden="1">#REF!</definedName>
    <definedName name="BLPH329" hidden="1">#REF!</definedName>
    <definedName name="BLPH33" hidden="1">'[5]Risk-Free Rate'!$G$15</definedName>
    <definedName name="BLPH330" localSheetId="14" hidden="1">#REF!</definedName>
    <definedName name="BLPH330" localSheetId="19" hidden="1">#REF!</definedName>
    <definedName name="BLPH330" localSheetId="23" hidden="1">#REF!</definedName>
    <definedName name="BLPH330" localSheetId="26" hidden="1">#REF!</definedName>
    <definedName name="BLPH330" localSheetId="31" hidden="1">#REF!</definedName>
    <definedName name="BLPH330" localSheetId="36" hidden="1">#REF!</definedName>
    <definedName name="BLPH330" localSheetId="37" hidden="1">#REF!</definedName>
    <definedName name="BLPH330" localSheetId="38" hidden="1">#REF!</definedName>
    <definedName name="BLPH330" localSheetId="45" hidden="1">#REF!</definedName>
    <definedName name="BLPH330" localSheetId="46" hidden="1">#REF!</definedName>
    <definedName name="BLPH330" localSheetId="48" hidden="1">#REF!</definedName>
    <definedName name="BLPH330" localSheetId="49" hidden="1">#REF!</definedName>
    <definedName name="BLPH330" localSheetId="50" hidden="1">#REF!</definedName>
    <definedName name="BLPH330" localSheetId="51" hidden="1">#REF!</definedName>
    <definedName name="BLPH330" localSheetId="52" hidden="1">#REF!</definedName>
    <definedName name="BLPH330" localSheetId="54" hidden="1">#REF!</definedName>
    <definedName name="BLPH330" localSheetId="55" hidden="1">#REF!</definedName>
    <definedName name="BLPH330" localSheetId="56" hidden="1">#REF!</definedName>
    <definedName name="BLPH330" localSheetId="57" hidden="1">#REF!</definedName>
    <definedName name="BLPH330" localSheetId="58" hidden="1">#REF!</definedName>
    <definedName name="BLPH330" localSheetId="70" hidden="1">#REF!</definedName>
    <definedName name="BLPH330" localSheetId="71" hidden="1">#REF!</definedName>
    <definedName name="BLPH330" localSheetId="73" hidden="1">#REF!</definedName>
    <definedName name="BLPH330" localSheetId="75" hidden="1">#REF!</definedName>
    <definedName name="BLPH330" localSheetId="76" hidden="1">#REF!</definedName>
    <definedName name="BLPH330" localSheetId="13" hidden="1">#REF!</definedName>
    <definedName name="BLPH330" localSheetId="12" hidden="1">#REF!</definedName>
    <definedName name="BLPH330" localSheetId="4" hidden="1">#REF!</definedName>
    <definedName name="BLPH330" hidden="1">#REF!</definedName>
    <definedName name="BLPH331" localSheetId="14" hidden="1">#REF!</definedName>
    <definedName name="BLPH331" localSheetId="19" hidden="1">#REF!</definedName>
    <definedName name="BLPH331" localSheetId="23" hidden="1">#REF!</definedName>
    <definedName name="BLPH331" localSheetId="26" hidden="1">#REF!</definedName>
    <definedName name="BLPH331" localSheetId="31" hidden="1">#REF!</definedName>
    <definedName name="BLPH331" localSheetId="36" hidden="1">#REF!</definedName>
    <definedName name="BLPH331" localSheetId="37" hidden="1">#REF!</definedName>
    <definedName name="BLPH331" localSheetId="38" hidden="1">#REF!</definedName>
    <definedName name="BLPH331" localSheetId="45" hidden="1">#REF!</definedName>
    <definedName name="BLPH331" localSheetId="46" hidden="1">#REF!</definedName>
    <definedName name="BLPH331" localSheetId="48" hidden="1">#REF!</definedName>
    <definedName name="BLPH331" localSheetId="49" hidden="1">#REF!</definedName>
    <definedName name="BLPH331" localSheetId="50" hidden="1">#REF!</definedName>
    <definedName name="BLPH331" localSheetId="51" hidden="1">#REF!</definedName>
    <definedName name="BLPH331" localSheetId="52" hidden="1">#REF!</definedName>
    <definedName name="BLPH331" localSheetId="54" hidden="1">#REF!</definedName>
    <definedName name="BLPH331" localSheetId="55" hidden="1">#REF!</definedName>
    <definedName name="BLPH331" localSheetId="56" hidden="1">#REF!</definedName>
    <definedName name="BLPH331" localSheetId="57" hidden="1">#REF!</definedName>
    <definedName name="BLPH331" localSheetId="58" hidden="1">#REF!</definedName>
    <definedName name="BLPH331" localSheetId="70" hidden="1">#REF!</definedName>
    <definedName name="BLPH331" localSheetId="71" hidden="1">#REF!</definedName>
    <definedName name="BLPH331" localSheetId="73" hidden="1">#REF!</definedName>
    <definedName name="BLPH331" localSheetId="75" hidden="1">#REF!</definedName>
    <definedName name="BLPH331" localSheetId="76" hidden="1">#REF!</definedName>
    <definedName name="BLPH331" localSheetId="13" hidden="1">#REF!</definedName>
    <definedName name="BLPH331" localSheetId="12" hidden="1">#REF!</definedName>
    <definedName name="BLPH331" localSheetId="4" hidden="1">#REF!</definedName>
    <definedName name="BLPH331" hidden="1">#REF!</definedName>
    <definedName name="BLPH332" localSheetId="14" hidden="1">#REF!</definedName>
    <definedName name="BLPH332" localSheetId="19" hidden="1">#REF!</definedName>
    <definedName name="BLPH332" localSheetId="23" hidden="1">#REF!</definedName>
    <definedName name="BLPH332" localSheetId="26" hidden="1">#REF!</definedName>
    <definedName name="BLPH332" localSheetId="31" hidden="1">#REF!</definedName>
    <definedName name="BLPH332" localSheetId="36" hidden="1">#REF!</definedName>
    <definedName name="BLPH332" localSheetId="37" hidden="1">#REF!</definedName>
    <definedName name="BLPH332" localSheetId="38" hidden="1">#REF!</definedName>
    <definedName name="BLPH332" localSheetId="45" hidden="1">#REF!</definedName>
    <definedName name="BLPH332" localSheetId="46" hidden="1">#REF!</definedName>
    <definedName name="BLPH332" localSheetId="48" hidden="1">#REF!</definedName>
    <definedName name="BLPH332" localSheetId="49" hidden="1">#REF!</definedName>
    <definedName name="BLPH332" localSheetId="50" hidden="1">#REF!</definedName>
    <definedName name="BLPH332" localSheetId="51" hidden="1">#REF!</definedName>
    <definedName name="BLPH332" localSheetId="52" hidden="1">#REF!</definedName>
    <definedName name="BLPH332" localSheetId="54" hidden="1">#REF!</definedName>
    <definedName name="BLPH332" localSheetId="55" hidden="1">#REF!</definedName>
    <definedName name="BLPH332" localSheetId="56" hidden="1">#REF!</definedName>
    <definedName name="BLPH332" localSheetId="57" hidden="1">#REF!</definedName>
    <definedName name="BLPH332" localSheetId="58" hidden="1">#REF!</definedName>
    <definedName name="BLPH332" localSheetId="70" hidden="1">#REF!</definedName>
    <definedName name="BLPH332" localSheetId="71" hidden="1">#REF!</definedName>
    <definedName name="BLPH332" localSheetId="73" hidden="1">#REF!</definedName>
    <definedName name="BLPH332" localSheetId="75" hidden="1">#REF!</definedName>
    <definedName name="BLPH332" localSheetId="76" hidden="1">#REF!</definedName>
    <definedName name="BLPH332" localSheetId="13" hidden="1">#REF!</definedName>
    <definedName name="BLPH332" localSheetId="12" hidden="1">#REF!</definedName>
    <definedName name="BLPH332" localSheetId="4" hidden="1">#REF!</definedName>
    <definedName name="BLPH332" hidden="1">#REF!</definedName>
    <definedName name="BLPH333" localSheetId="14" hidden="1">#REF!</definedName>
    <definedName name="BLPH333" localSheetId="19" hidden="1">#REF!</definedName>
    <definedName name="BLPH333" localSheetId="23" hidden="1">#REF!</definedName>
    <definedName name="BLPH333" localSheetId="31" hidden="1">#REF!</definedName>
    <definedName name="BLPH333" localSheetId="36" hidden="1">#REF!</definedName>
    <definedName name="BLPH333" localSheetId="37" hidden="1">#REF!</definedName>
    <definedName name="BLPH333" localSheetId="38" hidden="1">#REF!</definedName>
    <definedName name="BLPH333" localSheetId="45" hidden="1">#REF!</definedName>
    <definedName name="BLPH333" localSheetId="46" hidden="1">#REF!</definedName>
    <definedName name="BLPH333" localSheetId="48" hidden="1">#REF!</definedName>
    <definedName name="BLPH333" localSheetId="49" hidden="1">#REF!</definedName>
    <definedName name="BLPH333" localSheetId="50" hidden="1">#REF!</definedName>
    <definedName name="BLPH333" localSheetId="51" hidden="1">#REF!</definedName>
    <definedName name="BLPH333" localSheetId="52" hidden="1">#REF!</definedName>
    <definedName name="BLPH333" localSheetId="54" hidden="1">#REF!</definedName>
    <definedName name="BLPH333" localSheetId="55" hidden="1">#REF!</definedName>
    <definedName name="BLPH333" localSheetId="56" hidden="1">#REF!</definedName>
    <definedName name="BLPH333" localSheetId="57" hidden="1">#REF!</definedName>
    <definedName name="BLPH333" localSheetId="58" hidden="1">#REF!</definedName>
    <definedName name="BLPH333" localSheetId="70" hidden="1">#REF!</definedName>
    <definedName name="BLPH333" localSheetId="71" hidden="1">#REF!</definedName>
    <definedName name="BLPH333" localSheetId="73" hidden="1">#REF!</definedName>
    <definedName name="BLPH333" localSheetId="75" hidden="1">#REF!</definedName>
    <definedName name="BLPH333" localSheetId="76" hidden="1">#REF!</definedName>
    <definedName name="BLPH333" localSheetId="13" hidden="1">#REF!</definedName>
    <definedName name="BLPH333" localSheetId="12" hidden="1">#REF!</definedName>
    <definedName name="BLPH333" localSheetId="4" hidden="1">#REF!</definedName>
    <definedName name="BLPH333" hidden="1">#REF!</definedName>
    <definedName name="BLPH334" localSheetId="14" hidden="1">#REF!</definedName>
    <definedName name="BLPH334" localSheetId="19" hidden="1">#REF!</definedName>
    <definedName name="BLPH334" localSheetId="23" hidden="1">#REF!</definedName>
    <definedName name="BLPH334" localSheetId="31" hidden="1">#REF!</definedName>
    <definedName name="BLPH334" localSheetId="36" hidden="1">#REF!</definedName>
    <definedName name="BLPH334" localSheetId="37" hidden="1">#REF!</definedName>
    <definedName name="BLPH334" localSheetId="38" hidden="1">#REF!</definedName>
    <definedName name="BLPH334" localSheetId="45" hidden="1">#REF!</definedName>
    <definedName name="BLPH334" localSheetId="46" hidden="1">#REF!</definedName>
    <definedName name="BLPH334" localSheetId="48" hidden="1">#REF!</definedName>
    <definedName name="BLPH334" localSheetId="49" hidden="1">#REF!</definedName>
    <definedName name="BLPH334" localSheetId="50" hidden="1">#REF!</definedName>
    <definedName name="BLPH334" localSheetId="51" hidden="1">#REF!</definedName>
    <definedName name="BLPH334" localSheetId="52" hidden="1">#REF!</definedName>
    <definedName name="BLPH334" localSheetId="54" hidden="1">#REF!</definedName>
    <definedName name="BLPH334" localSheetId="55" hidden="1">#REF!</definedName>
    <definedName name="BLPH334" localSheetId="56" hidden="1">#REF!</definedName>
    <definedName name="BLPH334" localSheetId="57" hidden="1">#REF!</definedName>
    <definedName name="BLPH334" localSheetId="58" hidden="1">#REF!</definedName>
    <definedName name="BLPH334" localSheetId="70" hidden="1">#REF!</definedName>
    <definedName name="BLPH334" localSheetId="71" hidden="1">#REF!</definedName>
    <definedName name="BLPH334" localSheetId="73" hidden="1">#REF!</definedName>
    <definedName name="BLPH334" localSheetId="75" hidden="1">#REF!</definedName>
    <definedName name="BLPH334" localSheetId="76" hidden="1">#REF!</definedName>
    <definedName name="BLPH334" localSheetId="13" hidden="1">#REF!</definedName>
    <definedName name="BLPH334" localSheetId="12" hidden="1">#REF!</definedName>
    <definedName name="BLPH334" localSheetId="4" hidden="1">#REF!</definedName>
    <definedName name="BLPH334" hidden="1">#REF!</definedName>
    <definedName name="BLPH335" localSheetId="14" hidden="1">#REF!</definedName>
    <definedName name="BLPH335" localSheetId="19" hidden="1">#REF!</definedName>
    <definedName name="BLPH335" localSheetId="23" hidden="1">#REF!</definedName>
    <definedName name="BLPH335" localSheetId="31" hidden="1">#REF!</definedName>
    <definedName name="BLPH335" localSheetId="36" hidden="1">#REF!</definedName>
    <definedName name="BLPH335" localSheetId="37" hidden="1">#REF!</definedName>
    <definedName name="BLPH335" localSheetId="38" hidden="1">#REF!</definedName>
    <definedName name="BLPH335" localSheetId="45" hidden="1">#REF!</definedName>
    <definedName name="BLPH335" localSheetId="46" hidden="1">#REF!</definedName>
    <definedName name="BLPH335" localSheetId="48" hidden="1">#REF!</definedName>
    <definedName name="BLPH335" localSheetId="49" hidden="1">#REF!</definedName>
    <definedName name="BLPH335" localSheetId="50" hidden="1">#REF!</definedName>
    <definedName name="BLPH335" localSheetId="51" hidden="1">#REF!</definedName>
    <definedName name="BLPH335" localSheetId="52" hidden="1">#REF!</definedName>
    <definedName name="BLPH335" localSheetId="54" hidden="1">#REF!</definedName>
    <definedName name="BLPH335" localSheetId="55" hidden="1">#REF!</definedName>
    <definedName name="BLPH335" localSheetId="56" hidden="1">#REF!</definedName>
    <definedName name="BLPH335" localSheetId="57" hidden="1">#REF!</definedName>
    <definedName name="BLPH335" localSheetId="58" hidden="1">#REF!</definedName>
    <definedName name="BLPH335" localSheetId="70" hidden="1">#REF!</definedName>
    <definedName name="BLPH335" localSheetId="71" hidden="1">#REF!</definedName>
    <definedName name="BLPH335" localSheetId="73" hidden="1">#REF!</definedName>
    <definedName name="BLPH335" localSheetId="75" hidden="1">#REF!</definedName>
    <definedName name="BLPH335" localSheetId="76" hidden="1">#REF!</definedName>
    <definedName name="BLPH335" localSheetId="13" hidden="1">#REF!</definedName>
    <definedName name="BLPH335" localSheetId="12" hidden="1">#REF!</definedName>
    <definedName name="BLPH335" localSheetId="4" hidden="1">#REF!</definedName>
    <definedName name="BLPH335" hidden="1">#REF!</definedName>
    <definedName name="BLPH336" localSheetId="14" hidden="1">#REF!</definedName>
    <definedName name="BLPH336" localSheetId="19" hidden="1">#REF!</definedName>
    <definedName name="BLPH336" localSheetId="23" hidden="1">#REF!</definedName>
    <definedName name="BLPH336" localSheetId="31" hidden="1">#REF!</definedName>
    <definedName name="BLPH336" localSheetId="36" hidden="1">#REF!</definedName>
    <definedName name="BLPH336" localSheetId="37" hidden="1">#REF!</definedName>
    <definedName name="BLPH336" localSheetId="38" hidden="1">#REF!</definedName>
    <definedName name="BLPH336" localSheetId="45" hidden="1">#REF!</definedName>
    <definedName name="BLPH336" localSheetId="46" hidden="1">#REF!</definedName>
    <definedName name="BLPH336" localSheetId="48" hidden="1">#REF!</definedName>
    <definedName name="BLPH336" localSheetId="49" hidden="1">#REF!</definedName>
    <definedName name="BLPH336" localSheetId="50" hidden="1">#REF!</definedName>
    <definedName name="BLPH336" localSheetId="51" hidden="1">#REF!</definedName>
    <definedName name="BLPH336" localSheetId="52" hidden="1">#REF!</definedName>
    <definedName name="BLPH336" localSheetId="54" hidden="1">#REF!</definedName>
    <definedName name="BLPH336" localSheetId="55" hidden="1">#REF!</definedName>
    <definedName name="BLPH336" localSheetId="56" hidden="1">#REF!</definedName>
    <definedName name="BLPH336" localSheetId="57" hidden="1">#REF!</definedName>
    <definedName name="BLPH336" localSheetId="58" hidden="1">#REF!</definedName>
    <definedName name="BLPH336" localSheetId="70" hidden="1">#REF!</definedName>
    <definedName name="BLPH336" localSheetId="71" hidden="1">#REF!</definedName>
    <definedName name="BLPH336" localSheetId="73" hidden="1">#REF!</definedName>
    <definedName name="BLPH336" localSheetId="75" hidden="1">#REF!</definedName>
    <definedName name="BLPH336" localSheetId="76" hidden="1">#REF!</definedName>
    <definedName name="BLPH336" localSheetId="13" hidden="1">#REF!</definedName>
    <definedName name="BLPH336" localSheetId="12" hidden="1">#REF!</definedName>
    <definedName name="BLPH336" localSheetId="4" hidden="1">#REF!</definedName>
    <definedName name="BLPH336" hidden="1">#REF!</definedName>
    <definedName name="BLPH337" localSheetId="14" hidden="1">#REF!</definedName>
    <definedName name="BLPH337" localSheetId="19" hidden="1">#REF!</definedName>
    <definedName name="BLPH337" localSheetId="23" hidden="1">#REF!</definedName>
    <definedName name="BLPH337" localSheetId="31" hidden="1">#REF!</definedName>
    <definedName name="BLPH337" localSheetId="36" hidden="1">#REF!</definedName>
    <definedName name="BLPH337" localSheetId="37" hidden="1">#REF!</definedName>
    <definedName name="BLPH337" localSheetId="38" hidden="1">#REF!</definedName>
    <definedName name="BLPH337" localSheetId="45" hidden="1">#REF!</definedName>
    <definedName name="BLPH337" localSheetId="46" hidden="1">#REF!</definedName>
    <definedName name="BLPH337" localSheetId="48" hidden="1">#REF!</definedName>
    <definedName name="BLPH337" localSheetId="49" hidden="1">#REF!</definedName>
    <definedName name="BLPH337" localSheetId="50" hidden="1">#REF!</definedName>
    <definedName name="BLPH337" localSheetId="51" hidden="1">#REF!</definedName>
    <definedName name="BLPH337" localSheetId="52" hidden="1">#REF!</definedName>
    <definedName name="BLPH337" localSheetId="54" hidden="1">#REF!</definedName>
    <definedName name="BLPH337" localSheetId="55" hidden="1">#REF!</definedName>
    <definedName name="BLPH337" localSheetId="56" hidden="1">#REF!</definedName>
    <definedName name="BLPH337" localSheetId="57" hidden="1">#REF!</definedName>
    <definedName name="BLPH337" localSheetId="58" hidden="1">#REF!</definedName>
    <definedName name="BLPH337" localSheetId="70" hidden="1">#REF!</definedName>
    <definedName name="BLPH337" localSheetId="71" hidden="1">#REF!</definedName>
    <definedName name="BLPH337" localSheetId="73" hidden="1">#REF!</definedName>
    <definedName name="BLPH337" localSheetId="75" hidden="1">#REF!</definedName>
    <definedName name="BLPH337" localSheetId="76" hidden="1">#REF!</definedName>
    <definedName name="BLPH337" localSheetId="13" hidden="1">#REF!</definedName>
    <definedName name="BLPH337" localSheetId="12" hidden="1">#REF!</definedName>
    <definedName name="BLPH337" localSheetId="4" hidden="1">#REF!</definedName>
    <definedName name="BLPH337" hidden="1">#REF!</definedName>
    <definedName name="BLPH338" localSheetId="14" hidden="1">#REF!</definedName>
    <definedName name="BLPH338" localSheetId="19" hidden="1">#REF!</definedName>
    <definedName name="BLPH338" localSheetId="23" hidden="1">#REF!</definedName>
    <definedName name="BLPH338" localSheetId="31" hidden="1">#REF!</definedName>
    <definedName name="BLPH338" localSheetId="36" hidden="1">#REF!</definedName>
    <definedName name="BLPH338" localSheetId="37" hidden="1">#REF!</definedName>
    <definedName name="BLPH338" localSheetId="38" hidden="1">#REF!</definedName>
    <definedName name="BLPH338" localSheetId="45" hidden="1">#REF!</definedName>
    <definedName name="BLPH338" localSheetId="46" hidden="1">#REF!</definedName>
    <definedName name="BLPH338" localSheetId="48" hidden="1">#REF!</definedName>
    <definedName name="BLPH338" localSheetId="49" hidden="1">#REF!</definedName>
    <definedName name="BLPH338" localSheetId="50" hidden="1">#REF!</definedName>
    <definedName name="BLPH338" localSheetId="51" hidden="1">#REF!</definedName>
    <definedName name="BLPH338" localSheetId="52" hidden="1">#REF!</definedName>
    <definedName name="BLPH338" localSheetId="54" hidden="1">#REF!</definedName>
    <definedName name="BLPH338" localSheetId="55" hidden="1">#REF!</definedName>
    <definedName name="BLPH338" localSheetId="56" hidden="1">#REF!</definedName>
    <definedName name="BLPH338" localSheetId="57" hidden="1">#REF!</definedName>
    <definedName name="BLPH338" localSheetId="58" hidden="1">#REF!</definedName>
    <definedName name="BLPH338" localSheetId="70" hidden="1">#REF!</definedName>
    <definedName name="BLPH338" localSheetId="71" hidden="1">#REF!</definedName>
    <definedName name="BLPH338" localSheetId="73" hidden="1">#REF!</definedName>
    <definedName name="BLPH338" localSheetId="75" hidden="1">#REF!</definedName>
    <definedName name="BLPH338" localSheetId="76" hidden="1">#REF!</definedName>
    <definedName name="BLPH338" localSheetId="13" hidden="1">#REF!</definedName>
    <definedName name="BLPH338" localSheetId="12" hidden="1">#REF!</definedName>
    <definedName name="BLPH338" localSheetId="4" hidden="1">#REF!</definedName>
    <definedName name="BLPH338" hidden="1">#REF!</definedName>
    <definedName name="BLPH339" localSheetId="14" hidden="1">#REF!</definedName>
    <definedName name="BLPH339" localSheetId="19" hidden="1">#REF!</definedName>
    <definedName name="BLPH339" localSheetId="23" hidden="1">#REF!</definedName>
    <definedName name="BLPH339" localSheetId="31" hidden="1">#REF!</definedName>
    <definedName name="BLPH339" localSheetId="36" hidden="1">#REF!</definedName>
    <definedName name="BLPH339" localSheetId="37" hidden="1">#REF!</definedName>
    <definedName name="BLPH339" localSheetId="38" hidden="1">#REF!</definedName>
    <definedName name="BLPH339" localSheetId="45" hidden="1">#REF!</definedName>
    <definedName name="BLPH339" localSheetId="46" hidden="1">#REF!</definedName>
    <definedName name="BLPH339" localSheetId="48" hidden="1">#REF!</definedName>
    <definedName name="BLPH339" localSheetId="49" hidden="1">#REF!</definedName>
    <definedName name="BLPH339" localSheetId="50" hidden="1">#REF!</definedName>
    <definedName name="BLPH339" localSheetId="51" hidden="1">#REF!</definedName>
    <definedName name="BLPH339" localSheetId="52" hidden="1">#REF!</definedName>
    <definedName name="BLPH339" localSheetId="54" hidden="1">#REF!</definedName>
    <definedName name="BLPH339" localSheetId="55" hidden="1">#REF!</definedName>
    <definedName name="BLPH339" localSheetId="56" hidden="1">#REF!</definedName>
    <definedName name="BLPH339" localSheetId="57" hidden="1">#REF!</definedName>
    <definedName name="BLPH339" localSheetId="58" hidden="1">#REF!</definedName>
    <definedName name="BLPH339" localSheetId="70" hidden="1">#REF!</definedName>
    <definedName name="BLPH339" localSheetId="71" hidden="1">#REF!</definedName>
    <definedName name="BLPH339" localSheetId="73" hidden="1">#REF!</definedName>
    <definedName name="BLPH339" localSheetId="75" hidden="1">#REF!</definedName>
    <definedName name="BLPH339" localSheetId="76" hidden="1">#REF!</definedName>
    <definedName name="BLPH339" localSheetId="13" hidden="1">#REF!</definedName>
    <definedName name="BLPH339" localSheetId="12" hidden="1">#REF!</definedName>
    <definedName name="BLPH339" localSheetId="4" hidden="1">#REF!</definedName>
    <definedName name="BLPH339" hidden="1">#REF!</definedName>
    <definedName name="BLPH34" hidden="1">'[5]Risk-Free Rate'!$D$15</definedName>
    <definedName name="BLPH340" localSheetId="14" hidden="1">#REF!</definedName>
    <definedName name="BLPH340" localSheetId="19" hidden="1">#REF!</definedName>
    <definedName name="BLPH340" localSheetId="23" hidden="1">#REF!</definedName>
    <definedName name="BLPH340" localSheetId="26" hidden="1">#REF!</definedName>
    <definedName name="BLPH340" localSheetId="31" hidden="1">#REF!</definedName>
    <definedName name="BLPH340" localSheetId="36" hidden="1">#REF!</definedName>
    <definedName name="BLPH340" localSheetId="37" hidden="1">#REF!</definedName>
    <definedName name="BLPH340" localSheetId="38" hidden="1">#REF!</definedName>
    <definedName name="BLPH340" localSheetId="45" hidden="1">#REF!</definedName>
    <definedName name="BLPH340" localSheetId="46" hidden="1">#REF!</definedName>
    <definedName name="BLPH340" localSheetId="48" hidden="1">#REF!</definedName>
    <definedName name="BLPH340" localSheetId="49" hidden="1">#REF!</definedName>
    <definedName name="BLPH340" localSheetId="50" hidden="1">#REF!</definedName>
    <definedName name="BLPH340" localSheetId="51" hidden="1">#REF!</definedName>
    <definedName name="BLPH340" localSheetId="52" hidden="1">#REF!</definedName>
    <definedName name="BLPH340" localSheetId="54" hidden="1">#REF!</definedName>
    <definedName name="BLPH340" localSheetId="55" hidden="1">#REF!</definedName>
    <definedName name="BLPH340" localSheetId="56" hidden="1">#REF!</definedName>
    <definedName name="BLPH340" localSheetId="57" hidden="1">#REF!</definedName>
    <definedName name="BLPH340" localSheetId="58" hidden="1">#REF!</definedName>
    <definedName name="BLPH340" localSheetId="70" hidden="1">#REF!</definedName>
    <definedName name="BLPH340" localSheetId="71" hidden="1">#REF!</definedName>
    <definedName name="BLPH340" localSheetId="73" hidden="1">#REF!</definedName>
    <definedName name="BLPH340" localSheetId="75" hidden="1">#REF!</definedName>
    <definedName name="BLPH340" localSheetId="76" hidden="1">#REF!</definedName>
    <definedName name="BLPH340" localSheetId="13" hidden="1">#REF!</definedName>
    <definedName name="BLPH340" localSheetId="12" hidden="1">#REF!</definedName>
    <definedName name="BLPH340" localSheetId="4" hidden="1">#REF!</definedName>
    <definedName name="BLPH340" hidden="1">#REF!</definedName>
    <definedName name="BLPH341" localSheetId="14" hidden="1">#REF!</definedName>
    <definedName name="BLPH341" localSheetId="19" hidden="1">#REF!</definedName>
    <definedName name="BLPH341" localSheetId="23" hidden="1">#REF!</definedName>
    <definedName name="BLPH341" localSheetId="26" hidden="1">#REF!</definedName>
    <definedName name="BLPH341" localSheetId="31" hidden="1">#REF!</definedName>
    <definedName name="BLPH341" localSheetId="36" hidden="1">#REF!</definedName>
    <definedName name="BLPH341" localSheetId="37" hidden="1">#REF!</definedName>
    <definedName name="BLPH341" localSheetId="38" hidden="1">#REF!</definedName>
    <definedName name="BLPH341" localSheetId="45" hidden="1">#REF!</definedName>
    <definedName name="BLPH341" localSheetId="46" hidden="1">#REF!</definedName>
    <definedName name="BLPH341" localSheetId="48" hidden="1">#REF!</definedName>
    <definedName name="BLPH341" localSheetId="49" hidden="1">#REF!</definedName>
    <definedName name="BLPH341" localSheetId="50" hidden="1">#REF!</definedName>
    <definedName name="BLPH341" localSheetId="51" hidden="1">#REF!</definedName>
    <definedName name="BLPH341" localSheetId="52" hidden="1">#REF!</definedName>
    <definedName name="BLPH341" localSheetId="54" hidden="1">#REF!</definedName>
    <definedName name="BLPH341" localSheetId="55" hidden="1">#REF!</definedName>
    <definedName name="BLPH341" localSheetId="56" hidden="1">#REF!</definedName>
    <definedName name="BLPH341" localSheetId="57" hidden="1">#REF!</definedName>
    <definedName name="BLPH341" localSheetId="58" hidden="1">#REF!</definedName>
    <definedName name="BLPH341" localSheetId="70" hidden="1">#REF!</definedName>
    <definedName name="BLPH341" localSheetId="71" hidden="1">#REF!</definedName>
    <definedName name="BLPH341" localSheetId="73" hidden="1">#REF!</definedName>
    <definedName name="BLPH341" localSheetId="75" hidden="1">#REF!</definedName>
    <definedName name="BLPH341" localSheetId="76" hidden="1">#REF!</definedName>
    <definedName name="BLPH341" localSheetId="13" hidden="1">#REF!</definedName>
    <definedName name="BLPH341" localSheetId="12" hidden="1">#REF!</definedName>
    <definedName name="BLPH341" localSheetId="4" hidden="1">#REF!</definedName>
    <definedName name="BLPH341" hidden="1">#REF!</definedName>
    <definedName name="BLPH342" localSheetId="14" hidden="1">#REF!</definedName>
    <definedName name="BLPH342" localSheetId="19" hidden="1">#REF!</definedName>
    <definedName name="BLPH342" localSheetId="23" hidden="1">#REF!</definedName>
    <definedName name="BLPH342" localSheetId="26" hidden="1">#REF!</definedName>
    <definedName name="BLPH342" localSheetId="31" hidden="1">#REF!</definedName>
    <definedName name="BLPH342" localSheetId="36" hidden="1">#REF!</definedName>
    <definedName name="BLPH342" localSheetId="37" hidden="1">#REF!</definedName>
    <definedName name="BLPH342" localSheetId="38" hidden="1">#REF!</definedName>
    <definedName name="BLPH342" localSheetId="45" hidden="1">#REF!</definedName>
    <definedName name="BLPH342" localSheetId="46" hidden="1">#REF!</definedName>
    <definedName name="BLPH342" localSheetId="48" hidden="1">#REF!</definedName>
    <definedName name="BLPH342" localSheetId="49" hidden="1">#REF!</definedName>
    <definedName name="BLPH342" localSheetId="50" hidden="1">#REF!</definedName>
    <definedName name="BLPH342" localSheetId="51" hidden="1">#REF!</definedName>
    <definedName name="BLPH342" localSheetId="52" hidden="1">#REF!</definedName>
    <definedName name="BLPH342" localSheetId="54" hidden="1">#REF!</definedName>
    <definedName name="BLPH342" localSheetId="55" hidden="1">#REF!</definedName>
    <definedName name="BLPH342" localSheetId="56" hidden="1">#REF!</definedName>
    <definedName name="BLPH342" localSheetId="57" hidden="1">#REF!</definedName>
    <definedName name="BLPH342" localSheetId="58" hidden="1">#REF!</definedName>
    <definedName name="BLPH342" localSheetId="70" hidden="1">#REF!</definedName>
    <definedName name="BLPH342" localSheetId="71" hidden="1">#REF!</definedName>
    <definedName name="BLPH342" localSheetId="73" hidden="1">#REF!</definedName>
    <definedName name="BLPH342" localSheetId="75" hidden="1">#REF!</definedName>
    <definedName name="BLPH342" localSheetId="76" hidden="1">#REF!</definedName>
    <definedName name="BLPH342" localSheetId="13" hidden="1">#REF!</definedName>
    <definedName name="BLPH342" localSheetId="12" hidden="1">#REF!</definedName>
    <definedName name="BLPH342" localSheetId="4" hidden="1">#REF!</definedName>
    <definedName name="BLPH342" hidden="1">#REF!</definedName>
    <definedName name="BLPH343" localSheetId="14" hidden="1">#REF!</definedName>
    <definedName name="BLPH343" localSheetId="19" hidden="1">#REF!</definedName>
    <definedName name="BLPH343" localSheetId="23" hidden="1">#REF!</definedName>
    <definedName name="BLPH343" localSheetId="31" hidden="1">#REF!</definedName>
    <definedName name="BLPH343" localSheetId="36" hidden="1">#REF!</definedName>
    <definedName name="BLPH343" localSheetId="37" hidden="1">#REF!</definedName>
    <definedName name="BLPH343" localSheetId="38" hidden="1">#REF!</definedName>
    <definedName name="BLPH343" localSheetId="45" hidden="1">#REF!</definedName>
    <definedName name="BLPH343" localSheetId="46" hidden="1">#REF!</definedName>
    <definedName name="BLPH343" localSheetId="48" hidden="1">#REF!</definedName>
    <definedName name="BLPH343" localSheetId="49" hidden="1">#REF!</definedName>
    <definedName name="BLPH343" localSheetId="50" hidden="1">#REF!</definedName>
    <definedName name="BLPH343" localSheetId="51" hidden="1">#REF!</definedName>
    <definedName name="BLPH343" localSheetId="52" hidden="1">#REF!</definedName>
    <definedName name="BLPH343" localSheetId="54" hidden="1">#REF!</definedName>
    <definedName name="BLPH343" localSheetId="55" hidden="1">#REF!</definedName>
    <definedName name="BLPH343" localSheetId="56" hidden="1">#REF!</definedName>
    <definedName name="BLPH343" localSheetId="57" hidden="1">#REF!</definedName>
    <definedName name="BLPH343" localSheetId="58" hidden="1">#REF!</definedName>
    <definedName name="BLPH343" localSheetId="70" hidden="1">#REF!</definedName>
    <definedName name="BLPH343" localSheetId="71" hidden="1">#REF!</definedName>
    <definedName name="BLPH343" localSheetId="73" hidden="1">#REF!</definedName>
    <definedName name="BLPH343" localSheetId="75" hidden="1">#REF!</definedName>
    <definedName name="BLPH343" localSheetId="76" hidden="1">#REF!</definedName>
    <definedName name="BLPH343" localSheetId="13" hidden="1">#REF!</definedName>
    <definedName name="BLPH343" localSheetId="12" hidden="1">#REF!</definedName>
    <definedName name="BLPH343" localSheetId="4" hidden="1">#REF!</definedName>
    <definedName name="BLPH343" hidden="1">#REF!</definedName>
    <definedName name="BLPH344" localSheetId="14" hidden="1">#REF!</definedName>
    <definedName name="BLPH344" localSheetId="19" hidden="1">#REF!</definedName>
    <definedName name="BLPH344" localSheetId="23" hidden="1">#REF!</definedName>
    <definedName name="BLPH344" localSheetId="31" hidden="1">#REF!</definedName>
    <definedName name="BLPH344" localSheetId="36" hidden="1">#REF!</definedName>
    <definedName name="BLPH344" localSheetId="37" hidden="1">#REF!</definedName>
    <definedName name="BLPH344" localSheetId="38" hidden="1">#REF!</definedName>
    <definedName name="BLPH344" localSheetId="45" hidden="1">#REF!</definedName>
    <definedName name="BLPH344" localSheetId="46" hidden="1">#REF!</definedName>
    <definedName name="BLPH344" localSheetId="48" hidden="1">#REF!</definedName>
    <definedName name="BLPH344" localSheetId="49" hidden="1">#REF!</definedName>
    <definedName name="BLPH344" localSheetId="50" hidden="1">#REF!</definedName>
    <definedName name="BLPH344" localSheetId="51" hidden="1">#REF!</definedName>
    <definedName name="BLPH344" localSheetId="52" hidden="1">#REF!</definedName>
    <definedName name="BLPH344" localSheetId="54" hidden="1">#REF!</definedName>
    <definedName name="BLPH344" localSheetId="55" hidden="1">#REF!</definedName>
    <definedName name="BLPH344" localSheetId="56" hidden="1">#REF!</definedName>
    <definedName name="BLPH344" localSheetId="57" hidden="1">#REF!</definedName>
    <definedName name="BLPH344" localSheetId="58" hidden="1">#REF!</definedName>
    <definedName name="BLPH344" localSheetId="70" hidden="1">#REF!</definedName>
    <definedName name="BLPH344" localSheetId="71" hidden="1">#REF!</definedName>
    <definedName name="BLPH344" localSheetId="73" hidden="1">#REF!</definedName>
    <definedName name="BLPH344" localSheetId="75" hidden="1">#REF!</definedName>
    <definedName name="BLPH344" localSheetId="76" hidden="1">#REF!</definedName>
    <definedName name="BLPH344" localSheetId="13" hidden="1">#REF!</definedName>
    <definedName name="BLPH344" localSheetId="12" hidden="1">#REF!</definedName>
    <definedName name="BLPH344" localSheetId="4" hidden="1">#REF!</definedName>
    <definedName name="BLPH344" hidden="1">#REF!</definedName>
    <definedName name="BLPH345" localSheetId="14" hidden="1">#REF!</definedName>
    <definedName name="BLPH345" localSheetId="19" hidden="1">#REF!</definedName>
    <definedName name="BLPH345" localSheetId="23" hidden="1">#REF!</definedName>
    <definedName name="BLPH345" localSheetId="31" hidden="1">#REF!</definedName>
    <definedName name="BLPH345" localSheetId="36" hidden="1">#REF!</definedName>
    <definedName name="BLPH345" localSheetId="37" hidden="1">#REF!</definedName>
    <definedName name="BLPH345" localSheetId="38" hidden="1">#REF!</definedName>
    <definedName name="BLPH345" localSheetId="45" hidden="1">#REF!</definedName>
    <definedName name="BLPH345" localSheetId="46" hidden="1">#REF!</definedName>
    <definedName name="BLPH345" localSheetId="48" hidden="1">#REF!</definedName>
    <definedName name="BLPH345" localSheetId="49" hidden="1">#REF!</definedName>
    <definedName name="BLPH345" localSheetId="50" hidden="1">#REF!</definedName>
    <definedName name="BLPH345" localSheetId="51" hidden="1">#REF!</definedName>
    <definedName name="BLPH345" localSheetId="52" hidden="1">#REF!</definedName>
    <definedName name="BLPH345" localSheetId="54" hidden="1">#REF!</definedName>
    <definedName name="BLPH345" localSheetId="55" hidden="1">#REF!</definedName>
    <definedName name="BLPH345" localSheetId="56" hidden="1">#REF!</definedName>
    <definedName name="BLPH345" localSheetId="57" hidden="1">#REF!</definedName>
    <definedName name="BLPH345" localSheetId="58" hidden="1">#REF!</definedName>
    <definedName name="BLPH345" localSheetId="70" hidden="1">#REF!</definedName>
    <definedName name="BLPH345" localSheetId="71" hidden="1">#REF!</definedName>
    <definedName name="BLPH345" localSheetId="73" hidden="1">#REF!</definedName>
    <definedName name="BLPH345" localSheetId="75" hidden="1">#REF!</definedName>
    <definedName name="BLPH345" localSheetId="76" hidden="1">#REF!</definedName>
    <definedName name="BLPH345" localSheetId="13" hidden="1">#REF!</definedName>
    <definedName name="BLPH345" localSheetId="12" hidden="1">#REF!</definedName>
    <definedName name="BLPH345" localSheetId="4" hidden="1">#REF!</definedName>
    <definedName name="BLPH345" hidden="1">#REF!</definedName>
    <definedName name="BLPH346" localSheetId="14" hidden="1">#REF!</definedName>
    <definedName name="BLPH346" localSheetId="19" hidden="1">#REF!</definedName>
    <definedName name="BLPH346" localSheetId="23" hidden="1">#REF!</definedName>
    <definedName name="BLPH346" localSheetId="31" hidden="1">#REF!</definedName>
    <definedName name="BLPH346" localSheetId="36" hidden="1">#REF!</definedName>
    <definedName name="BLPH346" localSheetId="37" hidden="1">#REF!</definedName>
    <definedName name="BLPH346" localSheetId="38" hidden="1">#REF!</definedName>
    <definedName name="BLPH346" localSheetId="45" hidden="1">#REF!</definedName>
    <definedName name="BLPH346" localSheetId="46" hidden="1">#REF!</definedName>
    <definedName name="BLPH346" localSheetId="48" hidden="1">#REF!</definedName>
    <definedName name="BLPH346" localSheetId="49" hidden="1">#REF!</definedName>
    <definedName name="BLPH346" localSheetId="50" hidden="1">#REF!</definedName>
    <definedName name="BLPH346" localSheetId="51" hidden="1">#REF!</definedName>
    <definedName name="BLPH346" localSheetId="52" hidden="1">#REF!</definedName>
    <definedName name="BLPH346" localSheetId="54" hidden="1">#REF!</definedName>
    <definedName name="BLPH346" localSheetId="55" hidden="1">#REF!</definedName>
    <definedName name="BLPH346" localSheetId="56" hidden="1">#REF!</definedName>
    <definedName name="BLPH346" localSheetId="57" hidden="1">#REF!</definedName>
    <definedName name="BLPH346" localSheetId="58" hidden="1">#REF!</definedName>
    <definedName name="BLPH346" localSheetId="70" hidden="1">#REF!</definedName>
    <definedName name="BLPH346" localSheetId="71" hidden="1">#REF!</definedName>
    <definedName name="BLPH346" localSheetId="73" hidden="1">#REF!</definedName>
    <definedName name="BLPH346" localSheetId="75" hidden="1">#REF!</definedName>
    <definedName name="BLPH346" localSheetId="76" hidden="1">#REF!</definedName>
    <definedName name="BLPH346" localSheetId="13" hidden="1">#REF!</definedName>
    <definedName name="BLPH346" localSheetId="12" hidden="1">#REF!</definedName>
    <definedName name="BLPH346" localSheetId="4" hidden="1">#REF!</definedName>
    <definedName name="BLPH346" hidden="1">#REF!</definedName>
    <definedName name="BLPH347" localSheetId="14" hidden="1">#REF!</definedName>
    <definedName name="BLPH347" localSheetId="19" hidden="1">#REF!</definedName>
    <definedName name="BLPH347" localSheetId="23" hidden="1">#REF!</definedName>
    <definedName name="BLPH347" localSheetId="31" hidden="1">#REF!</definedName>
    <definedName name="BLPH347" localSheetId="36" hidden="1">#REF!</definedName>
    <definedName name="BLPH347" localSheetId="37" hidden="1">#REF!</definedName>
    <definedName name="BLPH347" localSheetId="38" hidden="1">#REF!</definedName>
    <definedName name="BLPH347" localSheetId="45" hidden="1">#REF!</definedName>
    <definedName name="BLPH347" localSheetId="46" hidden="1">#REF!</definedName>
    <definedName name="BLPH347" localSheetId="48" hidden="1">#REF!</definedName>
    <definedName name="BLPH347" localSheetId="49" hidden="1">#REF!</definedName>
    <definedName name="BLPH347" localSheetId="50" hidden="1">#REF!</definedName>
    <definedName name="BLPH347" localSheetId="51" hidden="1">#REF!</definedName>
    <definedName name="BLPH347" localSheetId="52" hidden="1">#REF!</definedName>
    <definedName name="BLPH347" localSheetId="54" hidden="1">#REF!</definedName>
    <definedName name="BLPH347" localSheetId="55" hidden="1">#REF!</definedName>
    <definedName name="BLPH347" localSheetId="56" hidden="1">#REF!</definedName>
    <definedName name="BLPH347" localSheetId="57" hidden="1">#REF!</definedName>
    <definedName name="BLPH347" localSheetId="58" hidden="1">#REF!</definedName>
    <definedName name="BLPH347" localSheetId="70" hidden="1">#REF!</definedName>
    <definedName name="BLPH347" localSheetId="71" hidden="1">#REF!</definedName>
    <definedName name="BLPH347" localSheetId="73" hidden="1">#REF!</definedName>
    <definedName name="BLPH347" localSheetId="75" hidden="1">#REF!</definedName>
    <definedName name="BLPH347" localSheetId="76" hidden="1">#REF!</definedName>
    <definedName name="BLPH347" localSheetId="13" hidden="1">#REF!</definedName>
    <definedName name="BLPH347" localSheetId="12" hidden="1">#REF!</definedName>
    <definedName name="BLPH347" localSheetId="4" hidden="1">#REF!</definedName>
    <definedName name="BLPH347" hidden="1">#REF!</definedName>
    <definedName name="BLPH348" localSheetId="14" hidden="1">#REF!</definedName>
    <definedName name="BLPH348" localSheetId="19" hidden="1">#REF!</definedName>
    <definedName name="BLPH348" localSheetId="23" hidden="1">#REF!</definedName>
    <definedName name="BLPH348" localSheetId="31" hidden="1">#REF!</definedName>
    <definedName name="BLPH348" localSheetId="36" hidden="1">#REF!</definedName>
    <definedName name="BLPH348" localSheetId="37" hidden="1">#REF!</definedName>
    <definedName name="BLPH348" localSheetId="38" hidden="1">#REF!</definedName>
    <definedName name="BLPH348" localSheetId="45" hidden="1">#REF!</definedName>
    <definedName name="BLPH348" localSheetId="46" hidden="1">#REF!</definedName>
    <definedName name="BLPH348" localSheetId="48" hidden="1">#REF!</definedName>
    <definedName name="BLPH348" localSheetId="49" hidden="1">#REF!</definedName>
    <definedName name="BLPH348" localSheetId="50" hidden="1">#REF!</definedName>
    <definedName name="BLPH348" localSheetId="51" hidden="1">#REF!</definedName>
    <definedName name="BLPH348" localSheetId="52" hidden="1">#REF!</definedName>
    <definedName name="BLPH348" localSheetId="54" hidden="1">#REF!</definedName>
    <definedName name="BLPH348" localSheetId="55" hidden="1">#REF!</definedName>
    <definedName name="BLPH348" localSheetId="56" hidden="1">#REF!</definedName>
    <definedName name="BLPH348" localSheetId="57" hidden="1">#REF!</definedName>
    <definedName name="BLPH348" localSheetId="58" hidden="1">#REF!</definedName>
    <definedName name="BLPH348" localSheetId="70" hidden="1">#REF!</definedName>
    <definedName name="BLPH348" localSheetId="71" hidden="1">#REF!</definedName>
    <definedName name="BLPH348" localSheetId="73" hidden="1">#REF!</definedName>
    <definedName name="BLPH348" localSheetId="75" hidden="1">#REF!</definedName>
    <definedName name="BLPH348" localSheetId="76" hidden="1">#REF!</definedName>
    <definedName name="BLPH348" localSheetId="13" hidden="1">#REF!</definedName>
    <definedName name="BLPH348" localSheetId="12" hidden="1">#REF!</definedName>
    <definedName name="BLPH348" localSheetId="4" hidden="1">#REF!</definedName>
    <definedName name="BLPH348" hidden="1">#REF!</definedName>
    <definedName name="BLPH349" localSheetId="14" hidden="1">#REF!</definedName>
    <definedName name="BLPH349" localSheetId="19" hidden="1">#REF!</definedName>
    <definedName name="BLPH349" localSheetId="23" hidden="1">#REF!</definedName>
    <definedName name="BLPH349" localSheetId="31" hidden="1">#REF!</definedName>
    <definedName name="BLPH349" localSheetId="36" hidden="1">#REF!</definedName>
    <definedName name="BLPH349" localSheetId="37" hidden="1">#REF!</definedName>
    <definedName name="BLPH349" localSheetId="38" hidden="1">#REF!</definedName>
    <definedName name="BLPH349" localSheetId="45" hidden="1">#REF!</definedName>
    <definedName name="BLPH349" localSheetId="46" hidden="1">#REF!</definedName>
    <definedName name="BLPH349" localSheetId="48" hidden="1">#REF!</definedName>
    <definedName name="BLPH349" localSheetId="49" hidden="1">#REF!</definedName>
    <definedName name="BLPH349" localSheetId="50" hidden="1">#REF!</definedName>
    <definedName name="BLPH349" localSheetId="51" hidden="1">#REF!</definedName>
    <definedName name="BLPH349" localSheetId="52" hidden="1">#REF!</definedName>
    <definedName name="BLPH349" localSheetId="54" hidden="1">#REF!</definedName>
    <definedName name="BLPH349" localSheetId="55" hidden="1">#REF!</definedName>
    <definedName name="BLPH349" localSheetId="56" hidden="1">#REF!</definedName>
    <definedName name="BLPH349" localSheetId="57" hidden="1">#REF!</definedName>
    <definedName name="BLPH349" localSheetId="58" hidden="1">#REF!</definedName>
    <definedName name="BLPH349" localSheetId="70" hidden="1">#REF!</definedName>
    <definedName name="BLPH349" localSheetId="71" hidden="1">#REF!</definedName>
    <definedName name="BLPH349" localSheetId="73" hidden="1">#REF!</definedName>
    <definedName name="BLPH349" localSheetId="75" hidden="1">#REF!</definedName>
    <definedName name="BLPH349" localSheetId="76" hidden="1">#REF!</definedName>
    <definedName name="BLPH349" localSheetId="13" hidden="1">#REF!</definedName>
    <definedName name="BLPH349" localSheetId="12" hidden="1">#REF!</definedName>
    <definedName name="BLPH349" localSheetId="4" hidden="1">#REF!</definedName>
    <definedName name="BLPH349" hidden="1">#REF!</definedName>
    <definedName name="BLPH35" hidden="1">'[5]Risk-Free Rate'!$A$15</definedName>
    <definedName name="BLPH350" localSheetId="14" hidden="1">#REF!</definedName>
    <definedName name="BLPH350" localSheetId="19" hidden="1">#REF!</definedName>
    <definedName name="BLPH350" localSheetId="23" hidden="1">#REF!</definedName>
    <definedName name="BLPH350" localSheetId="26" hidden="1">#REF!</definedName>
    <definedName name="BLPH350" localSheetId="31" hidden="1">#REF!</definedName>
    <definedName name="BLPH350" localSheetId="36" hidden="1">#REF!</definedName>
    <definedName name="BLPH350" localSheetId="37" hidden="1">#REF!</definedName>
    <definedName name="BLPH350" localSheetId="38" hidden="1">#REF!</definedName>
    <definedName name="BLPH350" localSheetId="45" hidden="1">#REF!</definedName>
    <definedName name="BLPH350" localSheetId="46" hidden="1">#REF!</definedName>
    <definedName name="BLPH350" localSheetId="48" hidden="1">#REF!</definedName>
    <definedName name="BLPH350" localSheetId="49" hidden="1">#REF!</definedName>
    <definedName name="BLPH350" localSheetId="50" hidden="1">#REF!</definedName>
    <definedName name="BLPH350" localSheetId="51" hidden="1">#REF!</definedName>
    <definedName name="BLPH350" localSheetId="52" hidden="1">#REF!</definedName>
    <definedName name="BLPH350" localSheetId="54" hidden="1">#REF!</definedName>
    <definedName name="BLPH350" localSheetId="55" hidden="1">#REF!</definedName>
    <definedName name="BLPH350" localSheetId="56" hidden="1">#REF!</definedName>
    <definedName name="BLPH350" localSheetId="57" hidden="1">#REF!</definedName>
    <definedName name="BLPH350" localSheetId="58" hidden="1">#REF!</definedName>
    <definedName name="BLPH350" localSheetId="70" hidden="1">#REF!</definedName>
    <definedName name="BLPH350" localSheetId="71" hidden="1">#REF!</definedName>
    <definedName name="BLPH350" localSheetId="73" hidden="1">#REF!</definedName>
    <definedName name="BLPH350" localSheetId="75" hidden="1">#REF!</definedName>
    <definedName name="BLPH350" localSheetId="76" hidden="1">#REF!</definedName>
    <definedName name="BLPH350" localSheetId="13" hidden="1">#REF!</definedName>
    <definedName name="BLPH350" localSheetId="12" hidden="1">#REF!</definedName>
    <definedName name="BLPH350" localSheetId="4" hidden="1">#REF!</definedName>
    <definedName name="BLPH350" hidden="1">#REF!</definedName>
    <definedName name="BLPH351" localSheetId="14" hidden="1">#REF!</definedName>
    <definedName name="BLPH351" localSheetId="19" hidden="1">#REF!</definedName>
    <definedName name="BLPH351" localSheetId="23" hidden="1">#REF!</definedName>
    <definedName name="BLPH351" localSheetId="26" hidden="1">#REF!</definedName>
    <definedName name="BLPH351" localSheetId="31" hidden="1">#REF!</definedName>
    <definedName name="BLPH351" localSheetId="36" hidden="1">#REF!</definedName>
    <definedName name="BLPH351" localSheetId="37" hidden="1">#REF!</definedName>
    <definedName name="BLPH351" localSheetId="38" hidden="1">#REF!</definedName>
    <definedName name="BLPH351" localSheetId="45" hidden="1">#REF!</definedName>
    <definedName name="BLPH351" localSheetId="46" hidden="1">#REF!</definedName>
    <definedName name="BLPH351" localSheetId="48" hidden="1">#REF!</definedName>
    <definedName name="BLPH351" localSheetId="49" hidden="1">#REF!</definedName>
    <definedName name="BLPH351" localSheetId="50" hidden="1">#REF!</definedName>
    <definedName name="BLPH351" localSheetId="51" hidden="1">#REF!</definedName>
    <definedName name="BLPH351" localSheetId="52" hidden="1">#REF!</definedName>
    <definedName name="BLPH351" localSheetId="54" hidden="1">#REF!</definedName>
    <definedName name="BLPH351" localSheetId="55" hidden="1">#REF!</definedName>
    <definedName name="BLPH351" localSheetId="56" hidden="1">#REF!</definedName>
    <definedName name="BLPH351" localSheetId="57" hidden="1">#REF!</definedName>
    <definedName name="BLPH351" localSheetId="58" hidden="1">#REF!</definedName>
    <definedName name="BLPH351" localSheetId="70" hidden="1">#REF!</definedName>
    <definedName name="BLPH351" localSheetId="71" hidden="1">#REF!</definedName>
    <definedName name="BLPH351" localSheetId="73" hidden="1">#REF!</definedName>
    <definedName name="BLPH351" localSheetId="75" hidden="1">#REF!</definedName>
    <definedName name="BLPH351" localSheetId="76" hidden="1">#REF!</definedName>
    <definedName name="BLPH351" localSheetId="13" hidden="1">#REF!</definedName>
    <definedName name="BLPH351" localSheetId="12" hidden="1">#REF!</definedName>
    <definedName name="BLPH351" localSheetId="4" hidden="1">#REF!</definedName>
    <definedName name="BLPH351" hidden="1">#REF!</definedName>
    <definedName name="BLPH352" localSheetId="14" hidden="1">#REF!</definedName>
    <definedName name="BLPH352" localSheetId="19" hidden="1">#REF!</definedName>
    <definedName name="BLPH352" localSheetId="23" hidden="1">#REF!</definedName>
    <definedName name="BLPH352" localSheetId="26" hidden="1">#REF!</definedName>
    <definedName name="BLPH352" localSheetId="31" hidden="1">#REF!</definedName>
    <definedName name="BLPH352" localSheetId="36" hidden="1">#REF!</definedName>
    <definedName name="BLPH352" localSheetId="37" hidden="1">#REF!</definedName>
    <definedName name="BLPH352" localSheetId="38" hidden="1">#REF!</definedName>
    <definedName name="BLPH352" localSheetId="45" hidden="1">#REF!</definedName>
    <definedName name="BLPH352" localSheetId="46" hidden="1">#REF!</definedName>
    <definedName name="BLPH352" localSheetId="48" hidden="1">#REF!</definedName>
    <definedName name="BLPH352" localSheetId="49" hidden="1">#REF!</definedName>
    <definedName name="BLPH352" localSheetId="50" hidden="1">#REF!</definedName>
    <definedName name="BLPH352" localSheetId="51" hidden="1">#REF!</definedName>
    <definedName name="BLPH352" localSheetId="52" hidden="1">#REF!</definedName>
    <definedName name="BLPH352" localSheetId="54" hidden="1">#REF!</definedName>
    <definedName name="BLPH352" localSheetId="55" hidden="1">#REF!</definedName>
    <definedName name="BLPH352" localSheetId="56" hidden="1">#REF!</definedName>
    <definedName name="BLPH352" localSheetId="57" hidden="1">#REF!</definedName>
    <definedName name="BLPH352" localSheetId="58" hidden="1">#REF!</definedName>
    <definedName name="BLPH352" localSheetId="70" hidden="1">#REF!</definedName>
    <definedName name="BLPH352" localSheetId="71" hidden="1">#REF!</definedName>
    <definedName name="BLPH352" localSheetId="73" hidden="1">#REF!</definedName>
    <definedName name="BLPH352" localSheetId="75" hidden="1">#REF!</definedName>
    <definedName name="BLPH352" localSheetId="76" hidden="1">#REF!</definedName>
    <definedName name="BLPH352" localSheetId="13" hidden="1">#REF!</definedName>
    <definedName name="BLPH352" localSheetId="12" hidden="1">#REF!</definedName>
    <definedName name="BLPH352" localSheetId="4" hidden="1">#REF!</definedName>
    <definedName name="BLPH352" hidden="1">#REF!</definedName>
    <definedName name="BLPH353" localSheetId="14" hidden="1">#REF!</definedName>
    <definedName name="BLPH353" localSheetId="19" hidden="1">#REF!</definedName>
    <definedName name="BLPH353" localSheetId="23" hidden="1">#REF!</definedName>
    <definedName name="BLPH353" localSheetId="31" hidden="1">#REF!</definedName>
    <definedName name="BLPH353" localSheetId="36" hidden="1">#REF!</definedName>
    <definedName name="BLPH353" localSheetId="37" hidden="1">#REF!</definedName>
    <definedName name="BLPH353" localSheetId="38" hidden="1">#REF!</definedName>
    <definedName name="BLPH353" localSheetId="45" hidden="1">#REF!</definedName>
    <definedName name="BLPH353" localSheetId="46" hidden="1">#REF!</definedName>
    <definedName name="BLPH353" localSheetId="48" hidden="1">#REF!</definedName>
    <definedName name="BLPH353" localSheetId="49" hidden="1">#REF!</definedName>
    <definedName name="BLPH353" localSheetId="50" hidden="1">#REF!</definedName>
    <definedName name="BLPH353" localSheetId="51" hidden="1">#REF!</definedName>
    <definedName name="BLPH353" localSheetId="52" hidden="1">#REF!</definedName>
    <definedName name="BLPH353" localSheetId="54" hidden="1">#REF!</definedName>
    <definedName name="BLPH353" localSheetId="55" hidden="1">#REF!</definedName>
    <definedName name="BLPH353" localSheetId="56" hidden="1">#REF!</definedName>
    <definedName name="BLPH353" localSheetId="57" hidden="1">#REF!</definedName>
    <definedName name="BLPH353" localSheetId="58" hidden="1">#REF!</definedName>
    <definedName name="BLPH353" localSheetId="70" hidden="1">#REF!</definedName>
    <definedName name="BLPH353" localSheetId="71" hidden="1">#REF!</definedName>
    <definedName name="BLPH353" localSheetId="73" hidden="1">#REF!</definedName>
    <definedName name="BLPH353" localSheetId="75" hidden="1">#REF!</definedName>
    <definedName name="BLPH353" localSheetId="76" hidden="1">#REF!</definedName>
    <definedName name="BLPH353" localSheetId="13" hidden="1">#REF!</definedName>
    <definedName name="BLPH353" localSheetId="12" hidden="1">#REF!</definedName>
    <definedName name="BLPH353" localSheetId="4" hidden="1">#REF!</definedName>
    <definedName name="BLPH353" hidden="1">#REF!</definedName>
    <definedName name="BLPH354" localSheetId="14" hidden="1">#REF!</definedName>
    <definedName name="BLPH354" localSheetId="19" hidden="1">#REF!</definedName>
    <definedName name="BLPH354" localSheetId="23" hidden="1">#REF!</definedName>
    <definedName name="BLPH354" localSheetId="31" hidden="1">#REF!</definedName>
    <definedName name="BLPH354" localSheetId="36" hidden="1">#REF!</definedName>
    <definedName name="BLPH354" localSheetId="37" hidden="1">#REF!</definedName>
    <definedName name="BLPH354" localSheetId="38" hidden="1">#REF!</definedName>
    <definedName name="BLPH354" localSheetId="45" hidden="1">#REF!</definedName>
    <definedName name="BLPH354" localSheetId="46" hidden="1">#REF!</definedName>
    <definedName name="BLPH354" localSheetId="48" hidden="1">#REF!</definedName>
    <definedName name="BLPH354" localSheetId="49" hidden="1">#REF!</definedName>
    <definedName name="BLPH354" localSheetId="50" hidden="1">#REF!</definedName>
    <definedName name="BLPH354" localSheetId="51" hidden="1">#REF!</definedName>
    <definedName name="BLPH354" localSheetId="52" hidden="1">#REF!</definedName>
    <definedName name="BLPH354" localSheetId="54" hidden="1">#REF!</definedName>
    <definedName name="BLPH354" localSheetId="55" hidden="1">#REF!</definedName>
    <definedName name="BLPH354" localSheetId="56" hidden="1">#REF!</definedName>
    <definedName name="BLPH354" localSheetId="57" hidden="1">#REF!</definedName>
    <definedName name="BLPH354" localSheetId="58" hidden="1">#REF!</definedName>
    <definedName name="BLPH354" localSheetId="70" hidden="1">#REF!</definedName>
    <definedName name="BLPH354" localSheetId="71" hidden="1">#REF!</definedName>
    <definedName name="BLPH354" localSheetId="73" hidden="1">#REF!</definedName>
    <definedName name="BLPH354" localSheetId="75" hidden="1">#REF!</definedName>
    <definedName name="BLPH354" localSheetId="76" hidden="1">#REF!</definedName>
    <definedName name="BLPH354" localSheetId="13" hidden="1">#REF!</definedName>
    <definedName name="BLPH354" localSheetId="12" hidden="1">#REF!</definedName>
    <definedName name="BLPH354" localSheetId="4" hidden="1">#REF!</definedName>
    <definedName name="BLPH354" hidden="1">#REF!</definedName>
    <definedName name="BLPH355" localSheetId="14" hidden="1">#REF!</definedName>
    <definedName name="BLPH355" localSheetId="19" hidden="1">#REF!</definedName>
    <definedName name="BLPH355" localSheetId="23" hidden="1">#REF!</definedName>
    <definedName name="BLPH355" localSheetId="31" hidden="1">#REF!</definedName>
    <definedName name="BLPH355" localSheetId="36" hidden="1">#REF!</definedName>
    <definedName name="BLPH355" localSheetId="37" hidden="1">#REF!</definedName>
    <definedName name="BLPH355" localSheetId="38" hidden="1">#REF!</definedName>
    <definedName name="BLPH355" localSheetId="45" hidden="1">#REF!</definedName>
    <definedName name="BLPH355" localSheetId="46" hidden="1">#REF!</definedName>
    <definedName name="BLPH355" localSheetId="48" hidden="1">#REF!</definedName>
    <definedName name="BLPH355" localSheetId="49" hidden="1">#REF!</definedName>
    <definedName name="BLPH355" localSheetId="50" hidden="1">#REF!</definedName>
    <definedName name="BLPH355" localSheetId="51" hidden="1">#REF!</definedName>
    <definedName name="BLPH355" localSheetId="52" hidden="1">#REF!</definedName>
    <definedName name="BLPH355" localSheetId="54" hidden="1">#REF!</definedName>
    <definedName name="BLPH355" localSheetId="55" hidden="1">#REF!</definedName>
    <definedName name="BLPH355" localSheetId="56" hidden="1">#REF!</definedName>
    <definedName name="BLPH355" localSheetId="57" hidden="1">#REF!</definedName>
    <definedName name="BLPH355" localSheetId="58" hidden="1">#REF!</definedName>
    <definedName name="BLPH355" localSheetId="70" hidden="1">#REF!</definedName>
    <definedName name="BLPH355" localSheetId="71" hidden="1">#REF!</definedName>
    <definedName name="BLPH355" localSheetId="73" hidden="1">#REF!</definedName>
    <definedName name="BLPH355" localSheetId="75" hidden="1">#REF!</definedName>
    <definedName name="BLPH355" localSheetId="76" hidden="1">#REF!</definedName>
    <definedName name="BLPH355" localSheetId="13" hidden="1">#REF!</definedName>
    <definedName name="BLPH355" localSheetId="12" hidden="1">#REF!</definedName>
    <definedName name="BLPH355" localSheetId="4" hidden="1">#REF!</definedName>
    <definedName name="BLPH355" hidden="1">#REF!</definedName>
    <definedName name="BLPH356" localSheetId="14" hidden="1">#REF!</definedName>
    <definedName name="BLPH356" localSheetId="19" hidden="1">#REF!</definedName>
    <definedName name="BLPH356" localSheetId="23" hidden="1">#REF!</definedName>
    <definedName name="BLPH356" localSheetId="31" hidden="1">#REF!</definedName>
    <definedName name="BLPH356" localSheetId="36" hidden="1">#REF!</definedName>
    <definedName name="BLPH356" localSheetId="37" hidden="1">#REF!</definedName>
    <definedName name="BLPH356" localSheetId="38" hidden="1">#REF!</definedName>
    <definedName name="BLPH356" localSheetId="45" hidden="1">#REF!</definedName>
    <definedName name="BLPH356" localSheetId="46" hidden="1">#REF!</definedName>
    <definedName name="BLPH356" localSheetId="48" hidden="1">#REF!</definedName>
    <definedName name="BLPH356" localSheetId="49" hidden="1">#REF!</definedName>
    <definedName name="BLPH356" localSheetId="50" hidden="1">#REF!</definedName>
    <definedName name="BLPH356" localSheetId="51" hidden="1">#REF!</definedName>
    <definedName name="BLPH356" localSheetId="52" hidden="1">#REF!</definedName>
    <definedName name="BLPH356" localSheetId="54" hidden="1">#REF!</definedName>
    <definedName name="BLPH356" localSheetId="55" hidden="1">#REF!</definedName>
    <definedName name="BLPH356" localSheetId="56" hidden="1">#REF!</definedName>
    <definedName name="BLPH356" localSheetId="57" hidden="1">#REF!</definedName>
    <definedName name="BLPH356" localSheetId="58" hidden="1">#REF!</definedName>
    <definedName name="BLPH356" localSheetId="70" hidden="1">#REF!</definedName>
    <definedName name="BLPH356" localSheetId="71" hidden="1">#REF!</definedName>
    <definedName name="BLPH356" localSheetId="73" hidden="1">#REF!</definedName>
    <definedName name="BLPH356" localSheetId="75" hidden="1">#REF!</definedName>
    <definedName name="BLPH356" localSheetId="76" hidden="1">#REF!</definedName>
    <definedName name="BLPH356" localSheetId="13" hidden="1">#REF!</definedName>
    <definedName name="BLPH356" localSheetId="12" hidden="1">#REF!</definedName>
    <definedName name="BLPH356" localSheetId="4" hidden="1">#REF!</definedName>
    <definedName name="BLPH356" hidden="1">#REF!</definedName>
    <definedName name="BLPH357" localSheetId="14" hidden="1">#REF!</definedName>
    <definedName name="BLPH357" localSheetId="19" hidden="1">#REF!</definedName>
    <definedName name="BLPH357" localSheetId="23" hidden="1">#REF!</definedName>
    <definedName name="BLPH357" localSheetId="31" hidden="1">#REF!</definedName>
    <definedName name="BLPH357" localSheetId="36" hidden="1">#REF!</definedName>
    <definedName name="BLPH357" localSheetId="37" hidden="1">#REF!</definedName>
    <definedName name="BLPH357" localSheetId="38" hidden="1">#REF!</definedName>
    <definedName name="BLPH357" localSheetId="45" hidden="1">#REF!</definedName>
    <definedName name="BLPH357" localSheetId="46" hidden="1">#REF!</definedName>
    <definedName name="BLPH357" localSheetId="48" hidden="1">#REF!</definedName>
    <definedName name="BLPH357" localSheetId="49" hidden="1">#REF!</definedName>
    <definedName name="BLPH357" localSheetId="50" hidden="1">#REF!</definedName>
    <definedName name="BLPH357" localSheetId="51" hidden="1">#REF!</definedName>
    <definedName name="BLPH357" localSheetId="52" hidden="1">#REF!</definedName>
    <definedName name="BLPH357" localSheetId="54" hidden="1">#REF!</definedName>
    <definedName name="BLPH357" localSheetId="55" hidden="1">#REF!</definedName>
    <definedName name="BLPH357" localSheetId="56" hidden="1">#REF!</definedName>
    <definedName name="BLPH357" localSheetId="57" hidden="1">#REF!</definedName>
    <definedName name="BLPH357" localSheetId="58" hidden="1">#REF!</definedName>
    <definedName name="BLPH357" localSheetId="70" hidden="1">#REF!</definedName>
    <definedName name="BLPH357" localSheetId="71" hidden="1">#REF!</definedName>
    <definedName name="BLPH357" localSheetId="73" hidden="1">#REF!</definedName>
    <definedName name="BLPH357" localSheetId="75" hidden="1">#REF!</definedName>
    <definedName name="BLPH357" localSheetId="76" hidden="1">#REF!</definedName>
    <definedName name="BLPH357" localSheetId="13" hidden="1">#REF!</definedName>
    <definedName name="BLPH357" localSheetId="12" hidden="1">#REF!</definedName>
    <definedName name="BLPH357" localSheetId="4" hidden="1">#REF!</definedName>
    <definedName name="BLPH357" hidden="1">#REF!</definedName>
    <definedName name="BLPH358" localSheetId="14" hidden="1">#REF!</definedName>
    <definedName name="BLPH358" localSheetId="19" hidden="1">#REF!</definedName>
    <definedName name="BLPH358" localSheetId="23" hidden="1">#REF!</definedName>
    <definedName name="BLPH358" localSheetId="31" hidden="1">#REF!</definedName>
    <definedName name="BLPH358" localSheetId="36" hidden="1">#REF!</definedName>
    <definedName name="BLPH358" localSheetId="37" hidden="1">#REF!</definedName>
    <definedName name="BLPH358" localSheetId="38" hidden="1">#REF!</definedName>
    <definedName name="BLPH358" localSheetId="45" hidden="1">#REF!</definedName>
    <definedName name="BLPH358" localSheetId="46" hidden="1">#REF!</definedName>
    <definedName name="BLPH358" localSheetId="48" hidden="1">#REF!</definedName>
    <definedName name="BLPH358" localSheetId="49" hidden="1">#REF!</definedName>
    <definedName name="BLPH358" localSheetId="50" hidden="1">#REF!</definedName>
    <definedName name="BLPH358" localSheetId="51" hidden="1">#REF!</definedName>
    <definedName name="BLPH358" localSheetId="52" hidden="1">#REF!</definedName>
    <definedName name="BLPH358" localSheetId="54" hidden="1">#REF!</definedName>
    <definedName name="BLPH358" localSheetId="55" hidden="1">#REF!</definedName>
    <definedName name="BLPH358" localSheetId="56" hidden="1">#REF!</definedName>
    <definedName name="BLPH358" localSheetId="57" hidden="1">#REF!</definedName>
    <definedName name="BLPH358" localSheetId="58" hidden="1">#REF!</definedName>
    <definedName name="BLPH358" localSheetId="70" hidden="1">#REF!</definedName>
    <definedName name="BLPH358" localSheetId="71" hidden="1">#REF!</definedName>
    <definedName name="BLPH358" localSheetId="73" hidden="1">#REF!</definedName>
    <definedName name="BLPH358" localSheetId="75" hidden="1">#REF!</definedName>
    <definedName name="BLPH358" localSheetId="76" hidden="1">#REF!</definedName>
    <definedName name="BLPH358" localSheetId="13" hidden="1">#REF!</definedName>
    <definedName name="BLPH358" localSheetId="12" hidden="1">#REF!</definedName>
    <definedName name="BLPH358" localSheetId="4" hidden="1">#REF!</definedName>
    <definedName name="BLPH358" hidden="1">#REF!</definedName>
    <definedName name="BLPH359" localSheetId="14" hidden="1">#REF!</definedName>
    <definedName name="BLPH359" localSheetId="19" hidden="1">#REF!</definedName>
    <definedName name="BLPH359" localSheetId="23" hidden="1">#REF!</definedName>
    <definedName name="BLPH359" localSheetId="31" hidden="1">#REF!</definedName>
    <definedName name="BLPH359" localSheetId="36" hidden="1">#REF!</definedName>
    <definedName name="BLPH359" localSheetId="37" hidden="1">#REF!</definedName>
    <definedName name="BLPH359" localSheetId="38" hidden="1">#REF!</definedName>
    <definedName name="BLPH359" localSheetId="45" hidden="1">#REF!</definedName>
    <definedName name="BLPH359" localSheetId="46" hidden="1">#REF!</definedName>
    <definedName name="BLPH359" localSheetId="48" hidden="1">#REF!</definedName>
    <definedName name="BLPH359" localSheetId="49" hidden="1">#REF!</definedName>
    <definedName name="BLPH359" localSheetId="50" hidden="1">#REF!</definedName>
    <definedName name="BLPH359" localSheetId="51" hidden="1">#REF!</definedName>
    <definedName name="BLPH359" localSheetId="52" hidden="1">#REF!</definedName>
    <definedName name="BLPH359" localSheetId="54" hidden="1">#REF!</definedName>
    <definedName name="BLPH359" localSheetId="55" hidden="1">#REF!</definedName>
    <definedName name="BLPH359" localSheetId="56" hidden="1">#REF!</definedName>
    <definedName name="BLPH359" localSheetId="57" hidden="1">#REF!</definedName>
    <definedName name="BLPH359" localSheetId="58" hidden="1">#REF!</definedName>
    <definedName name="BLPH359" localSheetId="70" hidden="1">#REF!</definedName>
    <definedName name="BLPH359" localSheetId="71" hidden="1">#REF!</definedName>
    <definedName name="BLPH359" localSheetId="73" hidden="1">#REF!</definedName>
    <definedName name="BLPH359" localSheetId="75" hidden="1">#REF!</definedName>
    <definedName name="BLPH359" localSheetId="76" hidden="1">#REF!</definedName>
    <definedName name="BLPH359" localSheetId="13" hidden="1">#REF!</definedName>
    <definedName name="BLPH359" localSheetId="12" hidden="1">#REF!</definedName>
    <definedName name="BLPH359" localSheetId="4" hidden="1">#REF!</definedName>
    <definedName name="BLPH359" hidden="1">#REF!</definedName>
    <definedName name="BLPH36" localSheetId="14" hidden="1">#REF!</definedName>
    <definedName name="BLPH36" localSheetId="19" hidden="1">#REF!</definedName>
    <definedName name="BLPH36" localSheetId="23" hidden="1">#REF!</definedName>
    <definedName name="BLPH36" localSheetId="31" hidden="1">#REF!</definedName>
    <definedName name="BLPH36" localSheetId="36" hidden="1">#REF!</definedName>
    <definedName name="BLPH36" localSheetId="37" hidden="1">#REF!</definedName>
    <definedName name="BLPH36" localSheetId="38" hidden="1">#REF!</definedName>
    <definedName name="BLPH36" localSheetId="45" hidden="1">#REF!</definedName>
    <definedName name="BLPH36" localSheetId="46" hidden="1">#REF!</definedName>
    <definedName name="BLPH36" localSheetId="48" hidden="1">#REF!</definedName>
    <definedName name="BLPH36" localSheetId="49" hidden="1">#REF!</definedName>
    <definedName name="BLPH36" localSheetId="50" hidden="1">#REF!</definedName>
    <definedName name="BLPH36" localSheetId="51" hidden="1">#REF!</definedName>
    <definedName name="BLPH36" localSheetId="52" hidden="1">#REF!</definedName>
    <definedName name="BLPH36" localSheetId="54" hidden="1">#REF!</definedName>
    <definedName name="BLPH36" localSheetId="55" hidden="1">#REF!</definedName>
    <definedName name="BLPH36" localSheetId="56" hidden="1">#REF!</definedName>
    <definedName name="BLPH36" localSheetId="57" hidden="1">#REF!</definedName>
    <definedName name="BLPH36" localSheetId="58" hidden="1">#REF!</definedName>
    <definedName name="BLPH36" localSheetId="70" hidden="1">#REF!</definedName>
    <definedName name="BLPH36" localSheetId="71" hidden="1">#REF!</definedName>
    <definedName name="BLPH36" localSheetId="73" hidden="1">#REF!</definedName>
    <definedName name="BLPH36" localSheetId="75" hidden="1">#REF!</definedName>
    <definedName name="BLPH36" localSheetId="76" hidden="1">#REF!</definedName>
    <definedName name="BLPH36" localSheetId="13" hidden="1">#REF!</definedName>
    <definedName name="BLPH36" localSheetId="12" hidden="1">#REF!</definedName>
    <definedName name="BLPH36" localSheetId="4" hidden="1">#REF!</definedName>
    <definedName name="BLPH36" hidden="1">#REF!</definedName>
    <definedName name="BLPH37" localSheetId="14" hidden="1">#REF!</definedName>
    <definedName name="BLPH37" localSheetId="19" hidden="1">#REF!</definedName>
    <definedName name="BLPH37" localSheetId="23" hidden="1">#REF!</definedName>
    <definedName name="BLPH37" localSheetId="31" hidden="1">#REF!</definedName>
    <definedName name="BLPH37" localSheetId="36" hidden="1">#REF!</definedName>
    <definedName name="BLPH37" localSheetId="37" hidden="1">#REF!</definedName>
    <definedName name="BLPH37" localSheetId="38" hidden="1">#REF!</definedName>
    <definedName name="BLPH37" localSheetId="45" hidden="1">#REF!</definedName>
    <definedName name="BLPH37" localSheetId="46" hidden="1">#REF!</definedName>
    <definedName name="BLPH37" localSheetId="48" hidden="1">#REF!</definedName>
    <definedName name="BLPH37" localSheetId="49" hidden="1">#REF!</definedName>
    <definedName name="BLPH37" localSheetId="50" hidden="1">#REF!</definedName>
    <definedName name="BLPH37" localSheetId="51" hidden="1">#REF!</definedName>
    <definedName name="BLPH37" localSheetId="52" hidden="1">#REF!</definedName>
    <definedName name="BLPH37" localSheetId="54" hidden="1">#REF!</definedName>
    <definedName name="BLPH37" localSheetId="55" hidden="1">#REF!</definedName>
    <definedName name="BLPH37" localSheetId="56" hidden="1">#REF!</definedName>
    <definedName name="BLPH37" localSheetId="57" hidden="1">#REF!</definedName>
    <definedName name="BLPH37" localSheetId="58" hidden="1">#REF!</definedName>
    <definedName name="BLPH37" localSheetId="70" hidden="1">#REF!</definedName>
    <definedName name="BLPH37" localSheetId="71" hidden="1">#REF!</definedName>
    <definedName name="BLPH37" localSheetId="73" hidden="1">#REF!</definedName>
    <definedName name="BLPH37" localSheetId="75" hidden="1">#REF!</definedName>
    <definedName name="BLPH37" localSheetId="76" hidden="1">#REF!</definedName>
    <definedName name="BLPH37" localSheetId="13" hidden="1">#REF!</definedName>
    <definedName name="BLPH37" localSheetId="12" hidden="1">#REF!</definedName>
    <definedName name="BLPH37" localSheetId="4" hidden="1">#REF!</definedName>
    <definedName name="BLPH37" hidden="1">#REF!</definedName>
    <definedName name="BLPH38" localSheetId="14" hidden="1">#REF!</definedName>
    <definedName name="BLPH38" localSheetId="19" hidden="1">#REF!</definedName>
    <definedName name="BLPH38" localSheetId="23" hidden="1">#REF!</definedName>
    <definedName name="BLPH38" localSheetId="31" hidden="1">#REF!</definedName>
    <definedName name="BLPH38" localSheetId="36" hidden="1">#REF!</definedName>
    <definedName name="BLPH38" localSheetId="37" hidden="1">#REF!</definedName>
    <definedName name="BLPH38" localSheetId="38" hidden="1">#REF!</definedName>
    <definedName name="BLPH38" localSheetId="45" hidden="1">#REF!</definedName>
    <definedName name="BLPH38" localSheetId="46" hidden="1">#REF!</definedName>
    <definedName name="BLPH38" localSheetId="48" hidden="1">#REF!</definedName>
    <definedName name="BLPH38" localSheetId="49" hidden="1">#REF!</definedName>
    <definedName name="BLPH38" localSheetId="50" hidden="1">#REF!</definedName>
    <definedName name="BLPH38" localSheetId="51" hidden="1">#REF!</definedName>
    <definedName name="BLPH38" localSheetId="52" hidden="1">#REF!</definedName>
    <definedName name="BLPH38" localSheetId="54" hidden="1">#REF!</definedName>
    <definedName name="BLPH38" localSheetId="55" hidden="1">#REF!</definedName>
    <definedName name="BLPH38" localSheetId="56" hidden="1">#REF!</definedName>
    <definedName name="BLPH38" localSheetId="57" hidden="1">#REF!</definedName>
    <definedName name="BLPH38" localSheetId="58" hidden="1">#REF!</definedName>
    <definedName name="BLPH38" localSheetId="70" hidden="1">#REF!</definedName>
    <definedName name="BLPH38" localSheetId="71" hidden="1">#REF!</definedName>
    <definedName name="BLPH38" localSheetId="73" hidden="1">#REF!</definedName>
    <definedName name="BLPH38" localSheetId="75" hidden="1">#REF!</definedName>
    <definedName name="BLPH38" localSheetId="76" hidden="1">#REF!</definedName>
    <definedName name="BLPH38" localSheetId="13" hidden="1">#REF!</definedName>
    <definedName name="BLPH38" localSheetId="12" hidden="1">#REF!</definedName>
    <definedName name="BLPH38" localSheetId="4" hidden="1">#REF!</definedName>
    <definedName name="BLPH38" hidden="1">#REF!</definedName>
    <definedName name="BLPH39" localSheetId="14" hidden="1">#REF!</definedName>
    <definedName name="BLPH39" localSheetId="19" hidden="1">#REF!</definedName>
    <definedName name="BLPH39" localSheetId="23" hidden="1">#REF!</definedName>
    <definedName name="BLPH39" localSheetId="31" hidden="1">#REF!</definedName>
    <definedName name="BLPH39" localSheetId="36" hidden="1">#REF!</definedName>
    <definedName name="BLPH39" localSheetId="37" hidden="1">#REF!</definedName>
    <definedName name="BLPH39" localSheetId="38" hidden="1">#REF!</definedName>
    <definedName name="BLPH39" localSheetId="45" hidden="1">#REF!</definedName>
    <definedName name="BLPH39" localSheetId="46" hidden="1">#REF!</definedName>
    <definedName name="BLPH39" localSheetId="48" hidden="1">#REF!</definedName>
    <definedName name="BLPH39" localSheetId="49" hidden="1">#REF!</definedName>
    <definedName name="BLPH39" localSheetId="50" hidden="1">#REF!</definedName>
    <definedName name="BLPH39" localSheetId="51" hidden="1">#REF!</definedName>
    <definedName name="BLPH39" localSheetId="52" hidden="1">#REF!</definedName>
    <definedName name="BLPH39" localSheetId="54" hidden="1">#REF!</definedName>
    <definedName name="BLPH39" localSheetId="55" hidden="1">#REF!</definedName>
    <definedName name="BLPH39" localSheetId="56" hidden="1">#REF!</definedName>
    <definedName name="BLPH39" localSheetId="57" hidden="1">#REF!</definedName>
    <definedName name="BLPH39" localSheetId="58" hidden="1">#REF!</definedName>
    <definedName name="BLPH39" localSheetId="70" hidden="1">#REF!</definedName>
    <definedName name="BLPH39" localSheetId="71" hidden="1">#REF!</definedName>
    <definedName name="BLPH39" localSheetId="73" hidden="1">#REF!</definedName>
    <definedName name="BLPH39" localSheetId="75" hidden="1">#REF!</definedName>
    <definedName name="BLPH39" localSheetId="76" hidden="1">#REF!</definedName>
    <definedName name="BLPH39" localSheetId="13" hidden="1">#REF!</definedName>
    <definedName name="BLPH39" localSheetId="12" hidden="1">#REF!</definedName>
    <definedName name="BLPH39" localSheetId="4" hidden="1">#REF!</definedName>
    <definedName name="BLPH39" hidden="1">#REF!</definedName>
    <definedName name="BLPH4" localSheetId="14" hidden="1">#REF!</definedName>
    <definedName name="BLPH4" localSheetId="19" hidden="1">#REF!</definedName>
    <definedName name="BLPH4" localSheetId="23" hidden="1">#REF!</definedName>
    <definedName name="BLPH4" localSheetId="31" hidden="1">#REF!</definedName>
    <definedName name="BLPH4" localSheetId="36" hidden="1">#REF!</definedName>
    <definedName name="BLPH4" localSheetId="37" hidden="1">#REF!</definedName>
    <definedName name="BLPH4" localSheetId="38" hidden="1">#REF!</definedName>
    <definedName name="BLPH4" localSheetId="45" hidden="1">#REF!</definedName>
    <definedName name="BLPH4" localSheetId="46" hidden="1">#REF!</definedName>
    <definedName name="BLPH4" localSheetId="48" hidden="1">#REF!</definedName>
    <definedName name="BLPH4" localSheetId="49" hidden="1">#REF!</definedName>
    <definedName name="BLPH4" localSheetId="50" hidden="1">#REF!</definedName>
    <definedName name="BLPH4" localSheetId="51" hidden="1">#REF!</definedName>
    <definedName name="BLPH4" localSheetId="52" hidden="1">#REF!</definedName>
    <definedName name="BLPH4" localSheetId="54" hidden="1">#REF!</definedName>
    <definedName name="BLPH4" localSheetId="55" hidden="1">#REF!</definedName>
    <definedName name="BLPH4" localSheetId="56" hidden="1">#REF!</definedName>
    <definedName name="BLPH4" localSheetId="57" hidden="1">#REF!</definedName>
    <definedName name="BLPH4" localSheetId="58" hidden="1">#REF!</definedName>
    <definedName name="BLPH4" localSheetId="70" hidden="1">#REF!</definedName>
    <definedName name="BLPH4" localSheetId="71" hidden="1">#REF!</definedName>
    <definedName name="BLPH4" localSheetId="73" hidden="1">#REF!</definedName>
    <definedName name="BLPH4" localSheetId="75" hidden="1">#REF!</definedName>
    <definedName name="BLPH4" localSheetId="76" hidden="1">#REF!</definedName>
    <definedName name="BLPH4" localSheetId="13" hidden="1">#REF!</definedName>
    <definedName name="BLPH4" localSheetId="12" hidden="1">#REF!</definedName>
    <definedName name="BLPH4" localSheetId="4" hidden="1">#REF!</definedName>
    <definedName name="BLPH4" hidden="1">#REF!</definedName>
    <definedName name="BLPH40" localSheetId="14" hidden="1">#REF!</definedName>
    <definedName name="BLPH40" localSheetId="19" hidden="1">#REF!</definedName>
    <definedName name="BLPH40" localSheetId="23" hidden="1">#REF!</definedName>
    <definedName name="BLPH40" localSheetId="31" hidden="1">#REF!</definedName>
    <definedName name="BLPH40" localSheetId="36" hidden="1">#REF!</definedName>
    <definedName name="BLPH40" localSheetId="37" hidden="1">#REF!</definedName>
    <definedName name="BLPH40" localSheetId="38" hidden="1">#REF!</definedName>
    <definedName name="BLPH40" localSheetId="45" hidden="1">#REF!</definedName>
    <definedName name="BLPH40" localSheetId="46" hidden="1">#REF!</definedName>
    <definedName name="BLPH40" localSheetId="48" hidden="1">#REF!</definedName>
    <definedName name="BLPH40" localSheetId="49" hidden="1">#REF!</definedName>
    <definedName name="BLPH40" localSheetId="50" hidden="1">#REF!</definedName>
    <definedName name="BLPH40" localSheetId="51" hidden="1">#REF!</definedName>
    <definedName name="BLPH40" localSheetId="52" hidden="1">#REF!</definedName>
    <definedName name="BLPH40" localSheetId="54" hidden="1">#REF!</definedName>
    <definedName name="BLPH40" localSheetId="55" hidden="1">#REF!</definedName>
    <definedName name="BLPH40" localSheetId="56" hidden="1">#REF!</definedName>
    <definedName name="BLPH40" localSheetId="57" hidden="1">#REF!</definedName>
    <definedName name="BLPH40" localSheetId="58" hidden="1">#REF!</definedName>
    <definedName name="BLPH40" localSheetId="70" hidden="1">#REF!</definedName>
    <definedName name="BLPH40" localSheetId="71" hidden="1">#REF!</definedName>
    <definedName name="BLPH40" localSheetId="73" hidden="1">#REF!</definedName>
    <definedName name="BLPH40" localSheetId="75" hidden="1">#REF!</definedName>
    <definedName name="BLPH40" localSheetId="76" hidden="1">#REF!</definedName>
    <definedName name="BLPH40" localSheetId="13" hidden="1">#REF!</definedName>
    <definedName name="BLPH40" localSheetId="12" hidden="1">#REF!</definedName>
    <definedName name="BLPH40" localSheetId="4" hidden="1">#REF!</definedName>
    <definedName name="BLPH40" hidden="1">#REF!</definedName>
    <definedName name="BLPH41" localSheetId="14" hidden="1">#REF!</definedName>
    <definedName name="BLPH41" localSheetId="19" hidden="1">#REF!</definedName>
    <definedName name="BLPH41" localSheetId="23" hidden="1">#REF!</definedName>
    <definedName name="BLPH41" localSheetId="31" hidden="1">#REF!</definedName>
    <definedName name="BLPH41" localSheetId="36" hidden="1">#REF!</definedName>
    <definedName name="BLPH41" localSheetId="37" hidden="1">#REF!</definedName>
    <definedName name="BLPH41" localSheetId="38" hidden="1">#REF!</definedName>
    <definedName name="BLPH41" localSheetId="45" hidden="1">#REF!</definedName>
    <definedName name="BLPH41" localSheetId="46" hidden="1">#REF!</definedName>
    <definedName name="BLPH41" localSheetId="48" hidden="1">#REF!</definedName>
    <definedName name="BLPH41" localSheetId="49" hidden="1">#REF!</definedName>
    <definedName name="BLPH41" localSheetId="50" hidden="1">#REF!</definedName>
    <definedName name="BLPH41" localSheetId="51" hidden="1">#REF!</definedName>
    <definedName name="BLPH41" localSheetId="52" hidden="1">#REF!</definedName>
    <definedName name="BLPH41" localSheetId="54" hidden="1">#REF!</definedName>
    <definedName name="BLPH41" localSheetId="55" hidden="1">#REF!</definedName>
    <definedName name="BLPH41" localSheetId="56" hidden="1">#REF!</definedName>
    <definedName name="BLPH41" localSheetId="57" hidden="1">#REF!</definedName>
    <definedName name="BLPH41" localSheetId="58" hidden="1">#REF!</definedName>
    <definedName name="BLPH41" localSheetId="70" hidden="1">#REF!</definedName>
    <definedName name="BLPH41" localSheetId="71" hidden="1">#REF!</definedName>
    <definedName name="BLPH41" localSheetId="73" hidden="1">#REF!</definedName>
    <definedName name="BLPH41" localSheetId="75" hidden="1">#REF!</definedName>
    <definedName name="BLPH41" localSheetId="76" hidden="1">#REF!</definedName>
    <definedName name="BLPH41" localSheetId="13" hidden="1">#REF!</definedName>
    <definedName name="BLPH41" localSheetId="12" hidden="1">#REF!</definedName>
    <definedName name="BLPH41" localSheetId="4" hidden="1">#REF!</definedName>
    <definedName name="BLPH41" hidden="1">#REF!</definedName>
    <definedName name="BLPH42" localSheetId="14" hidden="1">#REF!</definedName>
    <definedName name="BLPH42" localSheetId="19" hidden="1">#REF!</definedName>
    <definedName name="BLPH42" localSheetId="23" hidden="1">#REF!</definedName>
    <definedName name="BLPH42" localSheetId="31" hidden="1">#REF!</definedName>
    <definedName name="BLPH42" localSheetId="36" hidden="1">#REF!</definedName>
    <definedName name="BLPH42" localSheetId="37" hidden="1">#REF!</definedName>
    <definedName name="BLPH42" localSheetId="38" hidden="1">#REF!</definedName>
    <definedName name="BLPH42" localSheetId="45" hidden="1">#REF!</definedName>
    <definedName name="BLPH42" localSheetId="46" hidden="1">#REF!</definedName>
    <definedName name="BLPH42" localSheetId="48" hidden="1">#REF!</definedName>
    <definedName name="BLPH42" localSheetId="49" hidden="1">#REF!</definedName>
    <definedName name="BLPH42" localSheetId="50" hidden="1">#REF!</definedName>
    <definedName name="BLPH42" localSheetId="51" hidden="1">#REF!</definedName>
    <definedName name="BLPH42" localSheetId="52" hidden="1">#REF!</definedName>
    <definedName name="BLPH42" localSheetId="54" hidden="1">#REF!</definedName>
    <definedName name="BLPH42" localSheetId="55" hidden="1">#REF!</definedName>
    <definedName name="BLPH42" localSheetId="56" hidden="1">#REF!</definedName>
    <definedName name="BLPH42" localSheetId="57" hidden="1">#REF!</definedName>
    <definedName name="BLPH42" localSheetId="58" hidden="1">#REF!</definedName>
    <definedName name="BLPH42" localSheetId="70" hidden="1">#REF!</definedName>
    <definedName name="BLPH42" localSheetId="71" hidden="1">#REF!</definedName>
    <definedName name="BLPH42" localSheetId="73" hidden="1">#REF!</definedName>
    <definedName name="BLPH42" localSheetId="75" hidden="1">#REF!</definedName>
    <definedName name="BLPH42" localSheetId="76" hidden="1">#REF!</definedName>
    <definedName name="BLPH42" localSheetId="13" hidden="1">#REF!</definedName>
    <definedName name="BLPH42" localSheetId="12" hidden="1">#REF!</definedName>
    <definedName name="BLPH42" localSheetId="4" hidden="1">#REF!</definedName>
    <definedName name="BLPH42" hidden="1">#REF!</definedName>
    <definedName name="BLPH43" localSheetId="14" hidden="1">#REF!</definedName>
    <definedName name="BLPH43" localSheetId="19" hidden="1">#REF!</definedName>
    <definedName name="BLPH43" localSheetId="23" hidden="1">#REF!</definedName>
    <definedName name="BLPH43" localSheetId="31" hidden="1">#REF!</definedName>
    <definedName name="BLPH43" localSheetId="36" hidden="1">#REF!</definedName>
    <definedName name="BLPH43" localSheetId="37" hidden="1">#REF!</definedName>
    <definedName name="BLPH43" localSheetId="38" hidden="1">#REF!</definedName>
    <definedName name="BLPH43" localSheetId="45" hidden="1">#REF!</definedName>
    <definedName name="BLPH43" localSheetId="46" hidden="1">#REF!</definedName>
    <definedName name="BLPH43" localSheetId="48" hidden="1">#REF!</definedName>
    <definedName name="BLPH43" localSheetId="49" hidden="1">#REF!</definedName>
    <definedName name="BLPH43" localSheetId="50" hidden="1">#REF!</definedName>
    <definedName name="BLPH43" localSheetId="51" hidden="1">#REF!</definedName>
    <definedName name="BLPH43" localSheetId="52" hidden="1">#REF!</definedName>
    <definedName name="BLPH43" localSheetId="54" hidden="1">#REF!</definedName>
    <definedName name="BLPH43" localSheetId="55" hidden="1">#REF!</definedName>
    <definedName name="BLPH43" localSheetId="56" hidden="1">#REF!</definedName>
    <definedName name="BLPH43" localSheetId="57" hidden="1">#REF!</definedName>
    <definedName name="BLPH43" localSheetId="58" hidden="1">#REF!</definedName>
    <definedName name="BLPH43" localSheetId="70" hidden="1">#REF!</definedName>
    <definedName name="BLPH43" localSheetId="71" hidden="1">#REF!</definedName>
    <definedName name="BLPH43" localSheetId="73" hidden="1">#REF!</definedName>
    <definedName name="BLPH43" localSheetId="75" hidden="1">#REF!</definedName>
    <definedName name="BLPH43" localSheetId="76" hidden="1">#REF!</definedName>
    <definedName name="BLPH43" localSheetId="13" hidden="1">#REF!</definedName>
    <definedName name="BLPH43" localSheetId="12" hidden="1">#REF!</definedName>
    <definedName name="BLPH43" localSheetId="4" hidden="1">#REF!</definedName>
    <definedName name="BLPH43" hidden="1">#REF!</definedName>
    <definedName name="BLPH44" localSheetId="14" hidden="1">#REF!</definedName>
    <definedName name="BLPH44" localSheetId="19" hidden="1">#REF!</definedName>
    <definedName name="BLPH44" localSheetId="23" hidden="1">#REF!</definedName>
    <definedName name="BLPH44" localSheetId="31" hidden="1">#REF!</definedName>
    <definedName name="BLPH44" localSheetId="36" hidden="1">#REF!</definedName>
    <definedName name="BLPH44" localSheetId="37" hidden="1">#REF!</definedName>
    <definedName name="BLPH44" localSheetId="38" hidden="1">#REF!</definedName>
    <definedName name="BLPH44" localSheetId="45" hidden="1">#REF!</definedName>
    <definedName name="BLPH44" localSheetId="46" hidden="1">#REF!</definedName>
    <definedName name="BLPH44" localSheetId="48" hidden="1">#REF!</definedName>
    <definedName name="BLPH44" localSheetId="49" hidden="1">#REF!</definedName>
    <definedName name="BLPH44" localSheetId="50" hidden="1">#REF!</definedName>
    <definedName name="BLPH44" localSheetId="51" hidden="1">#REF!</definedName>
    <definedName name="BLPH44" localSheetId="52" hidden="1">#REF!</definedName>
    <definedName name="BLPH44" localSheetId="54" hidden="1">#REF!</definedName>
    <definedName name="BLPH44" localSheetId="55" hidden="1">#REF!</definedName>
    <definedName name="BLPH44" localSheetId="56" hidden="1">#REF!</definedName>
    <definedName name="BLPH44" localSheetId="57" hidden="1">#REF!</definedName>
    <definedName name="BLPH44" localSheetId="58" hidden="1">#REF!</definedName>
    <definedName name="BLPH44" localSheetId="70" hidden="1">#REF!</definedName>
    <definedName name="BLPH44" localSheetId="71" hidden="1">#REF!</definedName>
    <definedName name="BLPH44" localSheetId="73" hidden="1">#REF!</definedName>
    <definedName name="BLPH44" localSheetId="75" hidden="1">#REF!</definedName>
    <definedName name="BLPH44" localSheetId="76" hidden="1">#REF!</definedName>
    <definedName name="BLPH44" localSheetId="13" hidden="1">#REF!</definedName>
    <definedName name="BLPH44" localSheetId="12" hidden="1">#REF!</definedName>
    <definedName name="BLPH44" localSheetId="4" hidden="1">#REF!</definedName>
    <definedName name="BLPH44" hidden="1">#REF!</definedName>
    <definedName name="BLPH45" localSheetId="14" hidden="1">#REF!</definedName>
    <definedName name="BLPH45" localSheetId="19" hidden="1">#REF!</definedName>
    <definedName name="BLPH45" localSheetId="23" hidden="1">#REF!</definedName>
    <definedName name="BLPH45" localSheetId="31" hidden="1">#REF!</definedName>
    <definedName name="BLPH45" localSheetId="36" hidden="1">#REF!</definedName>
    <definedName name="BLPH45" localSheetId="37" hidden="1">#REF!</definedName>
    <definedName name="BLPH45" localSheetId="38" hidden="1">#REF!</definedName>
    <definedName name="BLPH45" localSheetId="45" hidden="1">#REF!</definedName>
    <definedName name="BLPH45" localSheetId="46" hidden="1">#REF!</definedName>
    <definedName name="BLPH45" localSheetId="48" hidden="1">#REF!</definedName>
    <definedName name="BLPH45" localSheetId="49" hidden="1">#REF!</definedName>
    <definedName name="BLPH45" localSheetId="50" hidden="1">#REF!</definedName>
    <definedName name="BLPH45" localSheetId="51" hidden="1">#REF!</definedName>
    <definedName name="BLPH45" localSheetId="52" hidden="1">#REF!</definedName>
    <definedName name="BLPH45" localSheetId="54" hidden="1">#REF!</definedName>
    <definedName name="BLPH45" localSheetId="55" hidden="1">#REF!</definedName>
    <definedName name="BLPH45" localSheetId="56" hidden="1">#REF!</definedName>
    <definedName name="BLPH45" localSheetId="57" hidden="1">#REF!</definedName>
    <definedName name="BLPH45" localSheetId="58" hidden="1">#REF!</definedName>
    <definedName name="BLPH45" localSheetId="70" hidden="1">#REF!</definedName>
    <definedName name="BLPH45" localSheetId="71" hidden="1">#REF!</definedName>
    <definedName name="BLPH45" localSheetId="73" hidden="1">#REF!</definedName>
    <definedName name="BLPH45" localSheetId="75" hidden="1">#REF!</definedName>
    <definedName name="BLPH45" localSheetId="76" hidden="1">#REF!</definedName>
    <definedName name="BLPH45" localSheetId="13" hidden="1">#REF!</definedName>
    <definedName name="BLPH45" localSheetId="12" hidden="1">#REF!</definedName>
    <definedName name="BLPH45" localSheetId="4" hidden="1">#REF!</definedName>
    <definedName name="BLPH45" hidden="1">#REF!</definedName>
    <definedName name="BLPH46" localSheetId="14" hidden="1">#REF!</definedName>
    <definedName name="BLPH46" localSheetId="19" hidden="1">#REF!</definedName>
    <definedName name="BLPH46" localSheetId="23" hidden="1">#REF!</definedName>
    <definedName name="BLPH46" localSheetId="31" hidden="1">#REF!</definedName>
    <definedName name="BLPH46" localSheetId="36" hidden="1">#REF!</definedName>
    <definedName name="BLPH46" localSheetId="37" hidden="1">#REF!</definedName>
    <definedName name="BLPH46" localSheetId="38" hidden="1">#REF!</definedName>
    <definedName name="BLPH46" localSheetId="45" hidden="1">#REF!</definedName>
    <definedName name="BLPH46" localSheetId="46" hidden="1">#REF!</definedName>
    <definedName name="BLPH46" localSheetId="48" hidden="1">#REF!</definedName>
    <definedName name="BLPH46" localSheetId="49" hidden="1">#REF!</definedName>
    <definedName name="BLPH46" localSheetId="50" hidden="1">#REF!</definedName>
    <definedName name="BLPH46" localSheetId="51" hidden="1">#REF!</definedName>
    <definedName name="BLPH46" localSheetId="52" hidden="1">#REF!</definedName>
    <definedName name="BLPH46" localSheetId="54" hidden="1">#REF!</definedName>
    <definedName name="BLPH46" localSheetId="55" hidden="1">#REF!</definedName>
    <definedName name="BLPH46" localSheetId="56" hidden="1">#REF!</definedName>
    <definedName name="BLPH46" localSheetId="57" hidden="1">#REF!</definedName>
    <definedName name="BLPH46" localSheetId="58" hidden="1">#REF!</definedName>
    <definedName name="BLPH46" localSheetId="70" hidden="1">#REF!</definedName>
    <definedName name="BLPH46" localSheetId="71" hidden="1">#REF!</definedName>
    <definedName name="BLPH46" localSheetId="73" hidden="1">#REF!</definedName>
    <definedName name="BLPH46" localSheetId="75" hidden="1">#REF!</definedName>
    <definedName name="BLPH46" localSheetId="76" hidden="1">#REF!</definedName>
    <definedName name="BLPH46" localSheetId="13" hidden="1">#REF!</definedName>
    <definedName name="BLPH46" localSheetId="12" hidden="1">#REF!</definedName>
    <definedName name="BLPH46" localSheetId="4" hidden="1">#REF!</definedName>
    <definedName name="BLPH46" hidden="1">#REF!</definedName>
    <definedName name="BLPH47" localSheetId="14" hidden="1">#REF!</definedName>
    <definedName name="BLPH47" localSheetId="19" hidden="1">#REF!</definedName>
    <definedName name="BLPH47" localSheetId="23" hidden="1">#REF!</definedName>
    <definedName name="BLPH47" localSheetId="31" hidden="1">#REF!</definedName>
    <definedName name="BLPH47" localSheetId="36" hidden="1">#REF!</definedName>
    <definedName name="BLPH47" localSheetId="37" hidden="1">#REF!</definedName>
    <definedName name="BLPH47" localSheetId="38" hidden="1">#REF!</definedName>
    <definedName name="BLPH47" localSheetId="45" hidden="1">#REF!</definedName>
    <definedName name="BLPH47" localSheetId="46" hidden="1">#REF!</definedName>
    <definedName name="BLPH47" localSheetId="48" hidden="1">#REF!</definedName>
    <definedName name="BLPH47" localSheetId="49" hidden="1">#REF!</definedName>
    <definedName name="BLPH47" localSheetId="50" hidden="1">#REF!</definedName>
    <definedName name="BLPH47" localSheetId="51" hidden="1">#REF!</definedName>
    <definedName name="BLPH47" localSheetId="52" hidden="1">#REF!</definedName>
    <definedName name="BLPH47" localSheetId="54" hidden="1">#REF!</definedName>
    <definedName name="BLPH47" localSheetId="55" hidden="1">#REF!</definedName>
    <definedName name="BLPH47" localSheetId="56" hidden="1">#REF!</definedName>
    <definedName name="BLPH47" localSheetId="57" hidden="1">#REF!</definedName>
    <definedName name="BLPH47" localSheetId="58" hidden="1">#REF!</definedName>
    <definedName name="BLPH47" localSheetId="70" hidden="1">#REF!</definedName>
    <definedName name="BLPH47" localSheetId="71" hidden="1">#REF!</definedName>
    <definedName name="BLPH47" localSheetId="73" hidden="1">#REF!</definedName>
    <definedName name="BLPH47" localSheetId="75" hidden="1">#REF!</definedName>
    <definedName name="BLPH47" localSheetId="76" hidden="1">#REF!</definedName>
    <definedName name="BLPH47" localSheetId="13" hidden="1">#REF!</definedName>
    <definedName name="BLPH47" localSheetId="12" hidden="1">#REF!</definedName>
    <definedName name="BLPH47" localSheetId="4" hidden="1">#REF!</definedName>
    <definedName name="BLPH47" hidden="1">#REF!</definedName>
    <definedName name="BLPH48" localSheetId="14" hidden="1">#REF!</definedName>
    <definedName name="BLPH48" localSheetId="19" hidden="1">#REF!</definedName>
    <definedName name="BLPH48" localSheetId="23" hidden="1">#REF!</definedName>
    <definedName name="BLPH48" localSheetId="31" hidden="1">#REF!</definedName>
    <definedName name="BLPH48" localSheetId="36" hidden="1">#REF!</definedName>
    <definedName name="BLPH48" localSheetId="37" hidden="1">#REF!</definedName>
    <definedName name="BLPH48" localSheetId="38" hidden="1">#REF!</definedName>
    <definedName name="BLPH48" localSheetId="45" hidden="1">#REF!</definedName>
    <definedName name="BLPH48" localSheetId="46" hidden="1">#REF!</definedName>
    <definedName name="BLPH48" localSheetId="48" hidden="1">#REF!</definedName>
    <definedName name="BLPH48" localSheetId="49" hidden="1">#REF!</definedName>
    <definedName name="BLPH48" localSheetId="50" hidden="1">#REF!</definedName>
    <definedName name="BLPH48" localSheetId="51" hidden="1">#REF!</definedName>
    <definedName name="BLPH48" localSheetId="52" hidden="1">#REF!</definedName>
    <definedName name="BLPH48" localSheetId="54" hidden="1">#REF!</definedName>
    <definedName name="BLPH48" localSheetId="55" hidden="1">#REF!</definedName>
    <definedName name="BLPH48" localSheetId="56" hidden="1">#REF!</definedName>
    <definedName name="BLPH48" localSheetId="57" hidden="1">#REF!</definedName>
    <definedName name="BLPH48" localSheetId="58" hidden="1">#REF!</definedName>
    <definedName name="BLPH48" localSheetId="70" hidden="1">#REF!</definedName>
    <definedName name="BLPH48" localSheetId="71" hidden="1">#REF!</definedName>
    <definedName name="BLPH48" localSheetId="73" hidden="1">#REF!</definedName>
    <definedName name="BLPH48" localSheetId="75" hidden="1">#REF!</definedName>
    <definedName name="BLPH48" localSheetId="76" hidden="1">#REF!</definedName>
    <definedName name="BLPH48" localSheetId="13" hidden="1">#REF!</definedName>
    <definedName name="BLPH48" localSheetId="12" hidden="1">#REF!</definedName>
    <definedName name="BLPH48" localSheetId="4" hidden="1">#REF!</definedName>
    <definedName name="BLPH48" hidden="1">#REF!</definedName>
    <definedName name="BLPH49" localSheetId="14" hidden="1">#REF!</definedName>
    <definedName name="BLPH49" localSheetId="19" hidden="1">#REF!</definedName>
    <definedName name="BLPH49" localSheetId="23" hidden="1">#REF!</definedName>
    <definedName name="BLPH49" localSheetId="31" hidden="1">#REF!</definedName>
    <definedName name="BLPH49" localSheetId="36" hidden="1">#REF!</definedName>
    <definedName name="BLPH49" localSheetId="37" hidden="1">#REF!</definedName>
    <definedName name="BLPH49" localSheetId="38" hidden="1">#REF!</definedName>
    <definedName name="BLPH49" localSheetId="45" hidden="1">#REF!</definedName>
    <definedName name="BLPH49" localSheetId="46" hidden="1">#REF!</definedName>
    <definedName name="BLPH49" localSheetId="48" hidden="1">#REF!</definedName>
    <definedName name="BLPH49" localSheetId="49" hidden="1">#REF!</definedName>
    <definedName name="BLPH49" localSheetId="50" hidden="1">#REF!</definedName>
    <definedName name="BLPH49" localSheetId="51" hidden="1">#REF!</definedName>
    <definedName name="BLPH49" localSheetId="52" hidden="1">#REF!</definedName>
    <definedName name="BLPH49" localSheetId="54" hidden="1">#REF!</definedName>
    <definedName name="BLPH49" localSheetId="55" hidden="1">#REF!</definedName>
    <definedName name="BLPH49" localSheetId="56" hidden="1">#REF!</definedName>
    <definedName name="BLPH49" localSheetId="57" hidden="1">#REF!</definedName>
    <definedName name="BLPH49" localSheetId="58" hidden="1">#REF!</definedName>
    <definedName name="BLPH49" localSheetId="70" hidden="1">#REF!</definedName>
    <definedName name="BLPH49" localSheetId="71" hidden="1">#REF!</definedName>
    <definedName name="BLPH49" localSheetId="73" hidden="1">#REF!</definedName>
    <definedName name="BLPH49" localSheetId="75" hidden="1">#REF!</definedName>
    <definedName name="BLPH49" localSheetId="76" hidden="1">#REF!</definedName>
    <definedName name="BLPH49" localSheetId="13" hidden="1">#REF!</definedName>
    <definedName name="BLPH49" localSheetId="12" hidden="1">#REF!</definedName>
    <definedName name="BLPH49" localSheetId="4" hidden="1">#REF!</definedName>
    <definedName name="BLPH49" hidden="1">#REF!</definedName>
    <definedName name="BLPH5" localSheetId="14" hidden="1">[4]Sheet2!#REF!</definedName>
    <definedName name="BLPH5" localSheetId="19" hidden="1">[4]Sheet2!#REF!</definedName>
    <definedName name="BLPH5" localSheetId="23" hidden="1">[4]Sheet2!#REF!</definedName>
    <definedName name="BLPH5" localSheetId="36" hidden="1">[4]Sheet2!#REF!</definedName>
    <definedName name="BLPH5" localSheetId="37" hidden="1">[4]Sheet2!#REF!</definedName>
    <definedName name="BLPH5" localSheetId="38" hidden="1">[4]Sheet2!#REF!</definedName>
    <definedName name="BLPH5" localSheetId="45" hidden="1">[4]Sheet2!#REF!</definedName>
    <definedName name="BLPH5" localSheetId="46" hidden="1">[4]Sheet2!#REF!</definedName>
    <definedName name="BLPH5" localSheetId="48" hidden="1">[4]Sheet2!#REF!</definedName>
    <definedName name="BLPH5" localSheetId="49" hidden="1">[4]Sheet2!#REF!</definedName>
    <definedName name="BLPH5" localSheetId="50" hidden="1">[4]Sheet2!#REF!</definedName>
    <definedName name="BLPH5" localSheetId="51" hidden="1">[4]Sheet2!#REF!</definedName>
    <definedName name="BLPH5" localSheetId="52" hidden="1">[4]Sheet2!#REF!</definedName>
    <definedName name="BLPH5" localSheetId="54" hidden="1">[4]Sheet2!#REF!</definedName>
    <definedName name="BLPH5" localSheetId="55" hidden="1">[4]Sheet2!#REF!</definedName>
    <definedName name="BLPH5" localSheetId="56" hidden="1">[4]Sheet2!#REF!</definedName>
    <definedName name="BLPH5" localSheetId="57" hidden="1">[4]Sheet2!#REF!</definedName>
    <definedName name="BLPH5" localSheetId="58" hidden="1">[4]Sheet2!#REF!</definedName>
    <definedName name="BLPH5" localSheetId="70" hidden="1">[4]Sheet2!#REF!</definedName>
    <definedName name="BLPH5" localSheetId="71" hidden="1">[4]Sheet2!#REF!</definedName>
    <definedName name="BLPH5" localSheetId="73" hidden="1">[4]Sheet2!#REF!</definedName>
    <definedName name="BLPH5" localSheetId="75" hidden="1">[4]Sheet2!#REF!</definedName>
    <definedName name="BLPH5" localSheetId="76" hidden="1">[4]Sheet2!#REF!</definedName>
    <definedName name="BLPH5" localSheetId="13" hidden="1">[4]Sheet2!#REF!</definedName>
    <definedName name="BLPH5" localSheetId="12" hidden="1">[4]Sheet2!#REF!</definedName>
    <definedName name="BLPH5" localSheetId="4" hidden="1">[4]Sheet2!#REF!</definedName>
    <definedName name="BLPH5" hidden="1">[4]Sheet2!#REF!</definedName>
    <definedName name="BLPH50" localSheetId="14" hidden="1">#REF!</definedName>
    <definedName name="BLPH50" localSheetId="19" hidden="1">#REF!</definedName>
    <definedName name="BLPH50" localSheetId="23" hidden="1">#REF!</definedName>
    <definedName name="BLPH50" localSheetId="26" hidden="1">#REF!</definedName>
    <definedName name="BLPH50" localSheetId="31" hidden="1">#REF!</definedName>
    <definedName name="BLPH50" localSheetId="36" hidden="1">#REF!</definedName>
    <definedName name="BLPH50" localSheetId="37" hidden="1">#REF!</definedName>
    <definedName name="BLPH50" localSheetId="38" hidden="1">#REF!</definedName>
    <definedName name="BLPH50" localSheetId="45" hidden="1">#REF!</definedName>
    <definedName name="BLPH50" localSheetId="46" hidden="1">#REF!</definedName>
    <definedName name="BLPH50" localSheetId="48" hidden="1">#REF!</definedName>
    <definedName name="BLPH50" localSheetId="49" hidden="1">#REF!</definedName>
    <definedName name="BLPH50" localSheetId="50" hidden="1">#REF!</definedName>
    <definedName name="BLPH50" localSheetId="51" hidden="1">#REF!</definedName>
    <definedName name="BLPH50" localSheetId="52" hidden="1">#REF!</definedName>
    <definedName name="BLPH50" localSheetId="54" hidden="1">#REF!</definedName>
    <definedName name="BLPH50" localSheetId="55" hidden="1">#REF!</definedName>
    <definedName name="BLPH50" localSheetId="56" hidden="1">#REF!</definedName>
    <definedName name="BLPH50" localSheetId="57" hidden="1">#REF!</definedName>
    <definedName name="BLPH50" localSheetId="58" hidden="1">#REF!</definedName>
    <definedName name="BLPH50" localSheetId="70" hidden="1">#REF!</definedName>
    <definedName name="BLPH50" localSheetId="71" hidden="1">#REF!</definedName>
    <definedName name="BLPH50" localSheetId="73" hidden="1">#REF!</definedName>
    <definedName name="BLPH50" localSheetId="75" hidden="1">#REF!</definedName>
    <definedName name="BLPH50" localSheetId="76" hidden="1">#REF!</definedName>
    <definedName name="BLPH50" localSheetId="13" hidden="1">#REF!</definedName>
    <definedName name="BLPH50" localSheetId="12" hidden="1">#REF!</definedName>
    <definedName name="BLPH50" localSheetId="4" hidden="1">#REF!</definedName>
    <definedName name="BLPH50" hidden="1">#REF!</definedName>
    <definedName name="BLPH51" localSheetId="14" hidden="1">#REF!</definedName>
    <definedName name="BLPH51" localSheetId="19" hidden="1">#REF!</definedName>
    <definedName name="BLPH51" localSheetId="23" hidden="1">#REF!</definedName>
    <definedName name="BLPH51" localSheetId="26" hidden="1">#REF!</definedName>
    <definedName name="BLPH51" localSheetId="31" hidden="1">#REF!</definedName>
    <definedName name="BLPH51" localSheetId="36" hidden="1">#REF!</definedName>
    <definedName name="BLPH51" localSheetId="37" hidden="1">#REF!</definedName>
    <definedName name="BLPH51" localSheetId="38" hidden="1">#REF!</definedName>
    <definedName name="BLPH51" localSheetId="45" hidden="1">#REF!</definedName>
    <definedName name="BLPH51" localSheetId="46" hidden="1">#REF!</definedName>
    <definedName name="BLPH51" localSheetId="48" hidden="1">#REF!</definedName>
    <definedName name="BLPH51" localSheetId="49" hidden="1">#REF!</definedName>
    <definedName name="BLPH51" localSheetId="50" hidden="1">#REF!</definedName>
    <definedName name="BLPH51" localSheetId="51" hidden="1">#REF!</definedName>
    <definedName name="BLPH51" localSheetId="52" hidden="1">#REF!</definedName>
    <definedName name="BLPH51" localSheetId="54" hidden="1">#REF!</definedName>
    <definedName name="BLPH51" localSheetId="55" hidden="1">#REF!</definedName>
    <definedName name="BLPH51" localSheetId="56" hidden="1">#REF!</definedName>
    <definedName name="BLPH51" localSheetId="57" hidden="1">#REF!</definedName>
    <definedName name="BLPH51" localSheetId="58" hidden="1">#REF!</definedName>
    <definedName name="BLPH51" localSheetId="70" hidden="1">#REF!</definedName>
    <definedName name="BLPH51" localSheetId="71" hidden="1">#REF!</definedName>
    <definedName name="BLPH51" localSheetId="73" hidden="1">#REF!</definedName>
    <definedName name="BLPH51" localSheetId="75" hidden="1">#REF!</definedName>
    <definedName name="BLPH51" localSheetId="76" hidden="1">#REF!</definedName>
    <definedName name="BLPH51" localSheetId="13" hidden="1">#REF!</definedName>
    <definedName name="BLPH51" localSheetId="12" hidden="1">#REF!</definedName>
    <definedName name="BLPH51" localSheetId="4" hidden="1">#REF!</definedName>
    <definedName name="BLPH51" hidden="1">#REF!</definedName>
    <definedName name="BLPH52" localSheetId="14" hidden="1">#REF!</definedName>
    <definedName name="BLPH52" localSheetId="19" hidden="1">#REF!</definedName>
    <definedName name="BLPH52" localSheetId="23" hidden="1">#REF!</definedName>
    <definedName name="BLPH52" localSheetId="26" hidden="1">#REF!</definedName>
    <definedName name="BLPH52" localSheetId="31" hidden="1">#REF!</definedName>
    <definedName name="BLPH52" localSheetId="36" hidden="1">#REF!</definedName>
    <definedName name="BLPH52" localSheetId="37" hidden="1">#REF!</definedName>
    <definedName name="BLPH52" localSheetId="38" hidden="1">#REF!</definedName>
    <definedName name="BLPH52" localSheetId="45" hidden="1">#REF!</definedName>
    <definedName name="BLPH52" localSheetId="46" hidden="1">#REF!</definedName>
    <definedName name="BLPH52" localSheetId="48" hidden="1">#REF!</definedName>
    <definedName name="BLPH52" localSheetId="49" hidden="1">#REF!</definedName>
    <definedName name="BLPH52" localSheetId="50" hidden="1">#REF!</definedName>
    <definedName name="BLPH52" localSheetId="51" hidden="1">#REF!</definedName>
    <definedName name="BLPH52" localSheetId="52" hidden="1">#REF!</definedName>
    <definedName name="BLPH52" localSheetId="54" hidden="1">#REF!</definedName>
    <definedName name="BLPH52" localSheetId="55" hidden="1">#REF!</definedName>
    <definedName name="BLPH52" localSheetId="56" hidden="1">#REF!</definedName>
    <definedName name="BLPH52" localSheetId="57" hidden="1">#REF!</definedName>
    <definedName name="BLPH52" localSheetId="58" hidden="1">#REF!</definedName>
    <definedName name="BLPH52" localSheetId="70" hidden="1">#REF!</definedName>
    <definedName name="BLPH52" localSheetId="71" hidden="1">#REF!</definedName>
    <definedName name="BLPH52" localSheetId="73" hidden="1">#REF!</definedName>
    <definedName name="BLPH52" localSheetId="75" hidden="1">#REF!</definedName>
    <definedName name="BLPH52" localSheetId="76" hidden="1">#REF!</definedName>
    <definedName name="BLPH52" localSheetId="13" hidden="1">#REF!</definedName>
    <definedName name="BLPH52" localSheetId="12" hidden="1">#REF!</definedName>
    <definedName name="BLPH52" localSheetId="4" hidden="1">#REF!</definedName>
    <definedName name="BLPH52" hidden="1">#REF!</definedName>
    <definedName name="BLPH53" localSheetId="14" hidden="1">#REF!</definedName>
    <definedName name="BLPH53" localSheetId="19" hidden="1">#REF!</definedName>
    <definedName name="BLPH53" localSheetId="23" hidden="1">#REF!</definedName>
    <definedName name="BLPH53" localSheetId="31" hidden="1">#REF!</definedName>
    <definedName name="BLPH53" localSheetId="36" hidden="1">#REF!</definedName>
    <definedName name="BLPH53" localSheetId="37" hidden="1">#REF!</definedName>
    <definedName name="BLPH53" localSheetId="38" hidden="1">#REF!</definedName>
    <definedName name="BLPH53" localSheetId="45" hidden="1">#REF!</definedName>
    <definedName name="BLPH53" localSheetId="46" hidden="1">#REF!</definedName>
    <definedName name="BLPH53" localSheetId="48" hidden="1">#REF!</definedName>
    <definedName name="BLPH53" localSheetId="49" hidden="1">#REF!</definedName>
    <definedName name="BLPH53" localSheetId="50" hidden="1">#REF!</definedName>
    <definedName name="BLPH53" localSheetId="51" hidden="1">#REF!</definedName>
    <definedName name="BLPH53" localSheetId="52" hidden="1">#REF!</definedName>
    <definedName name="BLPH53" localSheetId="54" hidden="1">#REF!</definedName>
    <definedName name="BLPH53" localSheetId="55" hidden="1">#REF!</definedName>
    <definedName name="BLPH53" localSheetId="56" hidden="1">#REF!</definedName>
    <definedName name="BLPH53" localSheetId="57" hidden="1">#REF!</definedName>
    <definedName name="BLPH53" localSheetId="58" hidden="1">#REF!</definedName>
    <definedName name="BLPH53" localSheetId="70" hidden="1">#REF!</definedName>
    <definedName name="BLPH53" localSheetId="71" hidden="1">#REF!</definedName>
    <definedName name="BLPH53" localSheetId="73" hidden="1">#REF!</definedName>
    <definedName name="BLPH53" localSheetId="75" hidden="1">#REF!</definedName>
    <definedName name="BLPH53" localSheetId="76" hidden="1">#REF!</definedName>
    <definedName name="BLPH53" localSheetId="13" hidden="1">#REF!</definedName>
    <definedName name="BLPH53" localSheetId="12" hidden="1">#REF!</definedName>
    <definedName name="BLPH53" localSheetId="4" hidden="1">#REF!</definedName>
    <definedName name="BLPH53" hidden="1">#REF!</definedName>
    <definedName name="BLPH54" localSheetId="14" hidden="1">#REF!</definedName>
    <definedName name="BLPH54" localSheetId="19" hidden="1">#REF!</definedName>
    <definedName name="BLPH54" localSheetId="23" hidden="1">#REF!</definedName>
    <definedName name="BLPH54" localSheetId="31" hidden="1">#REF!</definedName>
    <definedName name="BLPH54" localSheetId="36" hidden="1">#REF!</definedName>
    <definedName name="BLPH54" localSheetId="37" hidden="1">#REF!</definedName>
    <definedName name="BLPH54" localSheetId="38" hidden="1">#REF!</definedName>
    <definedName name="BLPH54" localSheetId="45" hidden="1">#REF!</definedName>
    <definedName name="BLPH54" localSheetId="46" hidden="1">#REF!</definedName>
    <definedName name="BLPH54" localSheetId="48" hidden="1">#REF!</definedName>
    <definedName name="BLPH54" localSheetId="49" hidden="1">#REF!</definedName>
    <definedName name="BLPH54" localSheetId="50" hidden="1">#REF!</definedName>
    <definedName name="BLPH54" localSheetId="51" hidden="1">#REF!</definedName>
    <definedName name="BLPH54" localSheetId="52" hidden="1">#REF!</definedName>
    <definedName name="BLPH54" localSheetId="54" hidden="1">#REF!</definedName>
    <definedName name="BLPH54" localSheetId="55" hidden="1">#REF!</definedName>
    <definedName name="BLPH54" localSheetId="56" hidden="1">#REF!</definedName>
    <definedName name="BLPH54" localSheetId="57" hidden="1">#REF!</definedName>
    <definedName name="BLPH54" localSheetId="58" hidden="1">#REF!</definedName>
    <definedName name="BLPH54" localSheetId="70" hidden="1">#REF!</definedName>
    <definedName name="BLPH54" localSheetId="71" hidden="1">#REF!</definedName>
    <definedName name="BLPH54" localSheetId="73" hidden="1">#REF!</definedName>
    <definedName name="BLPH54" localSheetId="75" hidden="1">#REF!</definedName>
    <definedName name="BLPH54" localSheetId="76" hidden="1">#REF!</definedName>
    <definedName name="BLPH54" localSheetId="13" hidden="1">#REF!</definedName>
    <definedName name="BLPH54" localSheetId="12" hidden="1">#REF!</definedName>
    <definedName name="BLPH54" localSheetId="4" hidden="1">#REF!</definedName>
    <definedName name="BLPH54" hidden="1">#REF!</definedName>
    <definedName name="BLPH55" localSheetId="14" hidden="1">#REF!</definedName>
    <definedName name="BLPH55" localSheetId="19" hidden="1">#REF!</definedName>
    <definedName name="BLPH55" localSheetId="23" hidden="1">#REF!</definedName>
    <definedName name="BLPH55" localSheetId="31" hidden="1">#REF!</definedName>
    <definedName name="BLPH55" localSheetId="36" hidden="1">#REF!</definedName>
    <definedName name="BLPH55" localSheetId="37" hidden="1">#REF!</definedName>
    <definedName name="BLPH55" localSheetId="38" hidden="1">#REF!</definedName>
    <definedName name="BLPH55" localSheetId="45" hidden="1">#REF!</definedName>
    <definedName name="BLPH55" localSheetId="46" hidden="1">#REF!</definedName>
    <definedName name="BLPH55" localSheetId="48" hidden="1">#REF!</definedName>
    <definedName name="BLPH55" localSheetId="49" hidden="1">#REF!</definedName>
    <definedName name="BLPH55" localSheetId="50" hidden="1">#REF!</definedName>
    <definedName name="BLPH55" localSheetId="51" hidden="1">#REF!</definedName>
    <definedName name="BLPH55" localSheetId="52" hidden="1">#REF!</definedName>
    <definedName name="BLPH55" localSheetId="54" hidden="1">#REF!</definedName>
    <definedName name="BLPH55" localSheetId="55" hidden="1">#REF!</definedName>
    <definedName name="BLPH55" localSheetId="56" hidden="1">#REF!</definedName>
    <definedName name="BLPH55" localSheetId="57" hidden="1">#REF!</definedName>
    <definedName name="BLPH55" localSheetId="58" hidden="1">#REF!</definedName>
    <definedName name="BLPH55" localSheetId="70" hidden="1">#REF!</definedName>
    <definedName name="BLPH55" localSheetId="71" hidden="1">#REF!</definedName>
    <definedName name="BLPH55" localSheetId="73" hidden="1">#REF!</definedName>
    <definedName name="BLPH55" localSheetId="75" hidden="1">#REF!</definedName>
    <definedName name="BLPH55" localSheetId="76" hidden="1">#REF!</definedName>
    <definedName name="BLPH55" localSheetId="13" hidden="1">#REF!</definedName>
    <definedName name="BLPH55" localSheetId="12" hidden="1">#REF!</definedName>
    <definedName name="BLPH55" localSheetId="4" hidden="1">#REF!</definedName>
    <definedName name="BLPH55" hidden="1">#REF!</definedName>
    <definedName name="BLPH56" localSheetId="14" hidden="1">#REF!</definedName>
    <definedName name="BLPH56" localSheetId="19" hidden="1">#REF!</definedName>
    <definedName name="BLPH56" localSheetId="23" hidden="1">#REF!</definedName>
    <definedName name="BLPH56" localSheetId="31" hidden="1">#REF!</definedName>
    <definedName name="BLPH56" localSheetId="36" hidden="1">#REF!</definedName>
    <definedName name="BLPH56" localSheetId="37" hidden="1">#REF!</definedName>
    <definedName name="BLPH56" localSheetId="38" hidden="1">#REF!</definedName>
    <definedName name="BLPH56" localSheetId="45" hidden="1">#REF!</definedName>
    <definedName name="BLPH56" localSheetId="46" hidden="1">#REF!</definedName>
    <definedName name="BLPH56" localSheetId="48" hidden="1">#REF!</definedName>
    <definedName name="BLPH56" localSheetId="49" hidden="1">#REF!</definedName>
    <definedName name="BLPH56" localSheetId="50" hidden="1">#REF!</definedName>
    <definedName name="BLPH56" localSheetId="51" hidden="1">#REF!</definedName>
    <definedName name="BLPH56" localSheetId="52" hidden="1">#REF!</definedName>
    <definedName name="BLPH56" localSheetId="54" hidden="1">#REF!</definedName>
    <definedName name="BLPH56" localSheetId="55" hidden="1">#REF!</definedName>
    <definedName name="BLPH56" localSheetId="56" hidden="1">#REF!</definedName>
    <definedName name="BLPH56" localSheetId="57" hidden="1">#REF!</definedName>
    <definedName name="BLPH56" localSheetId="58" hidden="1">#REF!</definedName>
    <definedName name="BLPH56" localSheetId="70" hidden="1">#REF!</definedName>
    <definedName name="BLPH56" localSheetId="71" hidden="1">#REF!</definedName>
    <definedName name="BLPH56" localSheetId="73" hidden="1">#REF!</definedName>
    <definedName name="BLPH56" localSheetId="75" hidden="1">#REF!</definedName>
    <definedName name="BLPH56" localSheetId="76" hidden="1">#REF!</definedName>
    <definedName name="BLPH56" localSheetId="13" hidden="1">#REF!</definedName>
    <definedName name="BLPH56" localSheetId="12" hidden="1">#REF!</definedName>
    <definedName name="BLPH56" localSheetId="4" hidden="1">#REF!</definedName>
    <definedName name="BLPH56" hidden="1">#REF!</definedName>
    <definedName name="BLPH57" localSheetId="14" hidden="1">#REF!</definedName>
    <definedName name="BLPH57" localSheetId="19" hidden="1">#REF!</definedName>
    <definedName name="BLPH57" localSheetId="23" hidden="1">#REF!</definedName>
    <definedName name="BLPH57" localSheetId="31" hidden="1">#REF!</definedName>
    <definedName name="BLPH57" localSheetId="36" hidden="1">#REF!</definedName>
    <definedName name="BLPH57" localSheetId="37" hidden="1">#REF!</definedName>
    <definedName name="BLPH57" localSheetId="38" hidden="1">#REF!</definedName>
    <definedName name="BLPH57" localSheetId="45" hidden="1">#REF!</definedName>
    <definedName name="BLPH57" localSheetId="46" hidden="1">#REF!</definedName>
    <definedName name="BLPH57" localSheetId="48" hidden="1">#REF!</definedName>
    <definedName name="BLPH57" localSheetId="49" hidden="1">#REF!</definedName>
    <definedName name="BLPH57" localSheetId="50" hidden="1">#REF!</definedName>
    <definedName name="BLPH57" localSheetId="51" hidden="1">#REF!</definedName>
    <definedName name="BLPH57" localSheetId="52" hidden="1">#REF!</definedName>
    <definedName name="BLPH57" localSheetId="54" hidden="1">#REF!</definedName>
    <definedName name="BLPH57" localSheetId="55" hidden="1">#REF!</definedName>
    <definedName name="BLPH57" localSheetId="56" hidden="1">#REF!</definedName>
    <definedName name="BLPH57" localSheetId="57" hidden="1">#REF!</definedName>
    <definedName name="BLPH57" localSheetId="58" hidden="1">#REF!</definedName>
    <definedName name="BLPH57" localSheetId="70" hidden="1">#REF!</definedName>
    <definedName name="BLPH57" localSheetId="71" hidden="1">#REF!</definedName>
    <definedName name="BLPH57" localSheetId="73" hidden="1">#REF!</definedName>
    <definedName name="BLPH57" localSheetId="75" hidden="1">#REF!</definedName>
    <definedName name="BLPH57" localSheetId="76" hidden="1">#REF!</definedName>
    <definedName name="BLPH57" localSheetId="13" hidden="1">#REF!</definedName>
    <definedName name="BLPH57" localSheetId="12" hidden="1">#REF!</definedName>
    <definedName name="BLPH57" localSheetId="4" hidden="1">#REF!</definedName>
    <definedName name="BLPH57" hidden="1">#REF!</definedName>
    <definedName name="BLPH58" localSheetId="14" hidden="1">#REF!</definedName>
    <definedName name="BLPH58" localSheetId="19" hidden="1">#REF!</definedName>
    <definedName name="BLPH58" localSheetId="23" hidden="1">#REF!</definedName>
    <definedName name="BLPH58" localSheetId="31" hidden="1">#REF!</definedName>
    <definedName name="BLPH58" localSheetId="36" hidden="1">#REF!</definedName>
    <definedName name="BLPH58" localSheetId="37" hidden="1">#REF!</definedName>
    <definedName name="BLPH58" localSheetId="38" hidden="1">#REF!</definedName>
    <definedName name="BLPH58" localSheetId="45" hidden="1">#REF!</definedName>
    <definedName name="BLPH58" localSheetId="46" hidden="1">#REF!</definedName>
    <definedName name="BLPH58" localSheetId="48" hidden="1">#REF!</definedName>
    <definedName name="BLPH58" localSheetId="49" hidden="1">#REF!</definedName>
    <definedName name="BLPH58" localSheetId="50" hidden="1">#REF!</definedName>
    <definedName name="BLPH58" localSheetId="51" hidden="1">#REF!</definedName>
    <definedName name="BLPH58" localSheetId="52" hidden="1">#REF!</definedName>
    <definedName name="BLPH58" localSheetId="54" hidden="1">#REF!</definedName>
    <definedName name="BLPH58" localSheetId="55" hidden="1">#REF!</definedName>
    <definedName name="BLPH58" localSheetId="56" hidden="1">#REF!</definedName>
    <definedName name="BLPH58" localSheetId="57" hidden="1">#REF!</definedName>
    <definedName name="BLPH58" localSheetId="58" hidden="1">#REF!</definedName>
    <definedName name="BLPH58" localSheetId="70" hidden="1">#REF!</definedName>
    <definedName name="BLPH58" localSheetId="71" hidden="1">#REF!</definedName>
    <definedName name="BLPH58" localSheetId="73" hidden="1">#REF!</definedName>
    <definedName name="BLPH58" localSheetId="75" hidden="1">#REF!</definedName>
    <definedName name="BLPH58" localSheetId="76" hidden="1">#REF!</definedName>
    <definedName name="BLPH58" localSheetId="13" hidden="1">#REF!</definedName>
    <definedName name="BLPH58" localSheetId="12" hidden="1">#REF!</definedName>
    <definedName name="BLPH58" localSheetId="4" hidden="1">#REF!</definedName>
    <definedName name="BLPH58" hidden="1">#REF!</definedName>
    <definedName name="BLPH59" localSheetId="14" hidden="1">#REF!</definedName>
    <definedName name="BLPH59" localSheetId="19" hidden="1">#REF!</definedName>
    <definedName name="BLPH59" localSheetId="23" hidden="1">#REF!</definedName>
    <definedName name="BLPH59" localSheetId="31" hidden="1">#REF!</definedName>
    <definedName name="BLPH59" localSheetId="36" hidden="1">#REF!</definedName>
    <definedName name="BLPH59" localSheetId="37" hidden="1">#REF!</definedName>
    <definedName name="BLPH59" localSheetId="38" hidden="1">#REF!</definedName>
    <definedName name="BLPH59" localSheetId="45" hidden="1">#REF!</definedName>
    <definedName name="BLPH59" localSheetId="46" hidden="1">#REF!</definedName>
    <definedName name="BLPH59" localSheetId="48" hidden="1">#REF!</definedName>
    <definedName name="BLPH59" localSheetId="49" hidden="1">#REF!</definedName>
    <definedName name="BLPH59" localSheetId="50" hidden="1">#REF!</definedName>
    <definedName name="BLPH59" localSheetId="51" hidden="1">#REF!</definedName>
    <definedName name="BLPH59" localSheetId="52" hidden="1">#REF!</definedName>
    <definedName name="BLPH59" localSheetId="54" hidden="1">#REF!</definedName>
    <definedName name="BLPH59" localSheetId="55" hidden="1">#REF!</definedName>
    <definedName name="BLPH59" localSheetId="56" hidden="1">#REF!</definedName>
    <definedName name="BLPH59" localSheetId="57" hidden="1">#REF!</definedName>
    <definedName name="BLPH59" localSheetId="58" hidden="1">#REF!</definedName>
    <definedName name="BLPH59" localSheetId="70" hidden="1">#REF!</definedName>
    <definedName name="BLPH59" localSheetId="71" hidden="1">#REF!</definedName>
    <definedName name="BLPH59" localSheetId="73" hidden="1">#REF!</definedName>
    <definedName name="BLPH59" localSheetId="75" hidden="1">#REF!</definedName>
    <definedName name="BLPH59" localSheetId="76" hidden="1">#REF!</definedName>
    <definedName name="BLPH59" localSheetId="13" hidden="1">#REF!</definedName>
    <definedName name="BLPH59" localSheetId="12" hidden="1">#REF!</definedName>
    <definedName name="BLPH59" localSheetId="4" hidden="1">#REF!</definedName>
    <definedName name="BLPH59" hidden="1">#REF!</definedName>
    <definedName name="BLPH6" localSheetId="14" hidden="1">#REF!</definedName>
    <definedName name="BLPH6" localSheetId="19" hidden="1">#REF!</definedName>
    <definedName name="BLPH6" localSheetId="23" hidden="1">#REF!</definedName>
    <definedName name="BLPH6" localSheetId="31" hidden="1">#REF!</definedName>
    <definedName name="BLPH6" localSheetId="36" hidden="1">#REF!</definedName>
    <definedName name="BLPH6" localSheetId="37" hidden="1">#REF!</definedName>
    <definedName name="BLPH6" localSheetId="38" hidden="1">#REF!</definedName>
    <definedName name="BLPH6" localSheetId="45" hidden="1">#REF!</definedName>
    <definedName name="BLPH6" localSheetId="46" hidden="1">#REF!</definedName>
    <definedName name="BLPH6" localSheetId="48" hidden="1">#REF!</definedName>
    <definedName name="BLPH6" localSheetId="49" hidden="1">#REF!</definedName>
    <definedName name="BLPH6" localSheetId="50" hidden="1">#REF!</definedName>
    <definedName name="BLPH6" localSheetId="51" hidden="1">#REF!</definedName>
    <definedName name="BLPH6" localSheetId="52" hidden="1">#REF!</definedName>
    <definedName name="BLPH6" localSheetId="54" hidden="1">#REF!</definedName>
    <definedName name="BLPH6" localSheetId="55" hidden="1">#REF!</definedName>
    <definedName name="BLPH6" localSheetId="56" hidden="1">#REF!</definedName>
    <definedName name="BLPH6" localSheetId="57" hidden="1">#REF!</definedName>
    <definedName name="BLPH6" localSheetId="58" hidden="1">#REF!</definedName>
    <definedName name="BLPH6" localSheetId="70" hidden="1">#REF!</definedName>
    <definedName name="BLPH6" localSheetId="71" hidden="1">#REF!</definedName>
    <definedName name="BLPH6" localSheetId="73" hidden="1">#REF!</definedName>
    <definedName name="BLPH6" localSheetId="75" hidden="1">#REF!</definedName>
    <definedName name="BLPH6" localSheetId="76" hidden="1">#REF!</definedName>
    <definedName name="BLPH6" localSheetId="13" hidden="1">#REF!</definedName>
    <definedName name="BLPH6" localSheetId="12" hidden="1">#REF!</definedName>
    <definedName name="BLPH6" localSheetId="4" hidden="1">#REF!</definedName>
    <definedName name="BLPH6" hidden="1">#REF!</definedName>
    <definedName name="BLPH60" localSheetId="14" hidden="1">#REF!</definedName>
    <definedName name="BLPH60" localSheetId="19" hidden="1">#REF!</definedName>
    <definedName name="BLPH60" localSheetId="23" hidden="1">#REF!</definedName>
    <definedName name="BLPH60" localSheetId="31" hidden="1">#REF!</definedName>
    <definedName name="BLPH60" localSheetId="36" hidden="1">#REF!</definedName>
    <definedName name="BLPH60" localSheetId="37" hidden="1">#REF!</definedName>
    <definedName name="BLPH60" localSheetId="38" hidden="1">#REF!</definedName>
    <definedName name="BLPH60" localSheetId="45" hidden="1">#REF!</definedName>
    <definedName name="BLPH60" localSheetId="46" hidden="1">#REF!</definedName>
    <definedName name="BLPH60" localSheetId="48" hidden="1">#REF!</definedName>
    <definedName name="BLPH60" localSheetId="49" hidden="1">#REF!</definedName>
    <definedName name="BLPH60" localSheetId="50" hidden="1">#REF!</definedName>
    <definedName name="BLPH60" localSheetId="51" hidden="1">#REF!</definedName>
    <definedName name="BLPH60" localSheetId="52" hidden="1">#REF!</definedName>
    <definedName name="BLPH60" localSheetId="54" hidden="1">#REF!</definedName>
    <definedName name="BLPH60" localSheetId="55" hidden="1">#REF!</definedName>
    <definedName name="BLPH60" localSheetId="56" hidden="1">#REF!</definedName>
    <definedName name="BLPH60" localSheetId="57" hidden="1">#REF!</definedName>
    <definedName name="BLPH60" localSheetId="58" hidden="1">#REF!</definedName>
    <definedName name="BLPH60" localSheetId="70" hidden="1">#REF!</definedName>
    <definedName name="BLPH60" localSheetId="71" hidden="1">#REF!</definedName>
    <definedName name="BLPH60" localSheetId="73" hidden="1">#REF!</definedName>
    <definedName name="BLPH60" localSheetId="75" hidden="1">#REF!</definedName>
    <definedName name="BLPH60" localSheetId="76" hidden="1">#REF!</definedName>
    <definedName name="BLPH60" localSheetId="13" hidden="1">#REF!</definedName>
    <definedName name="BLPH60" localSheetId="12" hidden="1">#REF!</definedName>
    <definedName name="BLPH60" localSheetId="4" hidden="1">#REF!</definedName>
    <definedName name="BLPH60" hidden="1">#REF!</definedName>
    <definedName name="BLPH61" localSheetId="14" hidden="1">#REF!</definedName>
    <definedName name="BLPH61" localSheetId="19" hidden="1">#REF!</definedName>
    <definedName name="BLPH61" localSheetId="23" hidden="1">#REF!</definedName>
    <definedName name="BLPH61" localSheetId="31" hidden="1">#REF!</definedName>
    <definedName name="BLPH61" localSheetId="36" hidden="1">#REF!</definedName>
    <definedName name="BLPH61" localSheetId="37" hidden="1">#REF!</definedName>
    <definedName name="BLPH61" localSheetId="38" hidden="1">#REF!</definedName>
    <definedName name="BLPH61" localSheetId="45" hidden="1">#REF!</definedName>
    <definedName name="BLPH61" localSheetId="46" hidden="1">#REF!</definedName>
    <definedName name="BLPH61" localSheetId="48" hidden="1">#REF!</definedName>
    <definedName name="BLPH61" localSheetId="49" hidden="1">#REF!</definedName>
    <definedName name="BLPH61" localSheetId="50" hidden="1">#REF!</definedName>
    <definedName name="BLPH61" localSheetId="51" hidden="1">#REF!</definedName>
    <definedName name="BLPH61" localSheetId="52" hidden="1">#REF!</definedName>
    <definedName name="BLPH61" localSheetId="54" hidden="1">#REF!</definedName>
    <definedName name="BLPH61" localSheetId="55" hidden="1">#REF!</definedName>
    <definedName name="BLPH61" localSheetId="56" hidden="1">#REF!</definedName>
    <definedName name="BLPH61" localSheetId="57" hidden="1">#REF!</definedName>
    <definedName name="BLPH61" localSheetId="58" hidden="1">#REF!</definedName>
    <definedName name="BLPH61" localSheetId="70" hidden="1">#REF!</definedName>
    <definedName name="BLPH61" localSheetId="71" hidden="1">#REF!</definedName>
    <definedName name="BLPH61" localSheetId="73" hidden="1">#REF!</definedName>
    <definedName name="BLPH61" localSheetId="75" hidden="1">#REF!</definedName>
    <definedName name="BLPH61" localSheetId="76" hidden="1">#REF!</definedName>
    <definedName name="BLPH61" localSheetId="13" hidden="1">#REF!</definedName>
    <definedName name="BLPH61" localSheetId="12" hidden="1">#REF!</definedName>
    <definedName name="BLPH61" localSheetId="4" hidden="1">#REF!</definedName>
    <definedName name="BLPH61" hidden="1">#REF!</definedName>
    <definedName name="BLPH62" localSheetId="14" hidden="1">#REF!</definedName>
    <definedName name="BLPH62" localSheetId="19" hidden="1">#REF!</definedName>
    <definedName name="BLPH62" localSheetId="23" hidden="1">#REF!</definedName>
    <definedName name="BLPH62" localSheetId="31" hidden="1">#REF!</definedName>
    <definedName name="BLPH62" localSheetId="36" hidden="1">#REF!</definedName>
    <definedName name="BLPH62" localSheetId="37" hidden="1">#REF!</definedName>
    <definedName name="BLPH62" localSheetId="38" hidden="1">#REF!</definedName>
    <definedName name="BLPH62" localSheetId="45" hidden="1">#REF!</definedName>
    <definedName name="BLPH62" localSheetId="46" hidden="1">#REF!</definedName>
    <definedName name="BLPH62" localSheetId="48" hidden="1">#REF!</definedName>
    <definedName name="BLPH62" localSheetId="49" hidden="1">#REF!</definedName>
    <definedName name="BLPH62" localSheetId="50" hidden="1">#REF!</definedName>
    <definedName name="BLPH62" localSheetId="51" hidden="1">#REF!</definedName>
    <definedName name="BLPH62" localSheetId="52" hidden="1">#REF!</definedName>
    <definedName name="BLPH62" localSheetId="54" hidden="1">#REF!</definedName>
    <definedName name="BLPH62" localSheetId="55" hidden="1">#REF!</definedName>
    <definedName name="BLPH62" localSheetId="56" hidden="1">#REF!</definedName>
    <definedName name="BLPH62" localSheetId="57" hidden="1">#REF!</definedName>
    <definedName name="BLPH62" localSheetId="58" hidden="1">#REF!</definedName>
    <definedName name="BLPH62" localSheetId="70" hidden="1">#REF!</definedName>
    <definedName name="BLPH62" localSheetId="71" hidden="1">#REF!</definedName>
    <definedName name="BLPH62" localSheetId="73" hidden="1">#REF!</definedName>
    <definedName name="BLPH62" localSheetId="75" hidden="1">#REF!</definedName>
    <definedName name="BLPH62" localSheetId="76" hidden="1">#REF!</definedName>
    <definedName name="BLPH62" localSheetId="13" hidden="1">#REF!</definedName>
    <definedName name="BLPH62" localSheetId="12" hidden="1">#REF!</definedName>
    <definedName name="BLPH62" localSheetId="4" hidden="1">#REF!</definedName>
    <definedName name="BLPH62" hidden="1">#REF!</definedName>
    <definedName name="BLPH63" localSheetId="14" hidden="1">#REF!</definedName>
    <definedName name="BLPH63" localSheetId="19" hidden="1">#REF!</definedName>
    <definedName name="BLPH63" localSheetId="23" hidden="1">#REF!</definedName>
    <definedName name="BLPH63" localSheetId="31" hidden="1">#REF!</definedName>
    <definedName name="BLPH63" localSheetId="36" hidden="1">#REF!</definedName>
    <definedName name="BLPH63" localSheetId="37" hidden="1">#REF!</definedName>
    <definedName name="BLPH63" localSheetId="38" hidden="1">#REF!</definedName>
    <definedName name="BLPH63" localSheetId="45" hidden="1">#REF!</definedName>
    <definedName name="BLPH63" localSheetId="46" hidden="1">#REF!</definedName>
    <definedName name="BLPH63" localSheetId="48" hidden="1">#REF!</definedName>
    <definedName name="BLPH63" localSheetId="49" hidden="1">#REF!</definedName>
    <definedName name="BLPH63" localSheetId="50" hidden="1">#REF!</definedName>
    <definedName name="BLPH63" localSheetId="51" hidden="1">#REF!</definedName>
    <definedName name="BLPH63" localSheetId="52" hidden="1">#REF!</definedName>
    <definedName name="BLPH63" localSheetId="54" hidden="1">#REF!</definedName>
    <definedName name="BLPH63" localSheetId="55" hidden="1">#REF!</definedName>
    <definedName name="BLPH63" localSheetId="56" hidden="1">#REF!</definedName>
    <definedName name="BLPH63" localSheetId="57" hidden="1">#REF!</definedName>
    <definedName name="BLPH63" localSheetId="58" hidden="1">#REF!</definedName>
    <definedName name="BLPH63" localSheetId="70" hidden="1">#REF!</definedName>
    <definedName name="BLPH63" localSheetId="71" hidden="1">#REF!</definedName>
    <definedName name="BLPH63" localSheetId="73" hidden="1">#REF!</definedName>
    <definedName name="BLPH63" localSheetId="75" hidden="1">#REF!</definedName>
    <definedName name="BLPH63" localSheetId="76" hidden="1">#REF!</definedName>
    <definedName name="BLPH63" localSheetId="13" hidden="1">#REF!</definedName>
    <definedName name="BLPH63" localSheetId="12" hidden="1">#REF!</definedName>
    <definedName name="BLPH63" localSheetId="4" hidden="1">#REF!</definedName>
    <definedName name="BLPH63" hidden="1">#REF!</definedName>
    <definedName name="BLPH64" localSheetId="14" hidden="1">#REF!</definedName>
    <definedName name="BLPH64" localSheetId="19" hidden="1">#REF!</definedName>
    <definedName name="BLPH64" localSheetId="23" hidden="1">#REF!</definedName>
    <definedName name="BLPH64" localSheetId="31" hidden="1">#REF!</definedName>
    <definedName name="BLPH64" localSheetId="36" hidden="1">#REF!</definedName>
    <definedName name="BLPH64" localSheetId="37" hidden="1">#REF!</definedName>
    <definedName name="BLPH64" localSheetId="38" hidden="1">#REF!</definedName>
    <definedName name="BLPH64" localSheetId="45" hidden="1">#REF!</definedName>
    <definedName name="BLPH64" localSheetId="46" hidden="1">#REF!</definedName>
    <definedName name="BLPH64" localSheetId="48" hidden="1">#REF!</definedName>
    <definedName name="BLPH64" localSheetId="49" hidden="1">#REF!</definedName>
    <definedName name="BLPH64" localSheetId="50" hidden="1">#REF!</definedName>
    <definedName name="BLPH64" localSheetId="51" hidden="1">#REF!</definedName>
    <definedName name="BLPH64" localSheetId="52" hidden="1">#REF!</definedName>
    <definedName name="BLPH64" localSheetId="54" hidden="1">#REF!</definedName>
    <definedName name="BLPH64" localSheetId="55" hidden="1">#REF!</definedName>
    <definedName name="BLPH64" localSheetId="56" hidden="1">#REF!</definedName>
    <definedName name="BLPH64" localSheetId="57" hidden="1">#REF!</definedName>
    <definedName name="BLPH64" localSheetId="58" hidden="1">#REF!</definedName>
    <definedName name="BLPH64" localSheetId="70" hidden="1">#REF!</definedName>
    <definedName name="BLPH64" localSheetId="71" hidden="1">#REF!</definedName>
    <definedName name="BLPH64" localSheetId="73" hidden="1">#REF!</definedName>
    <definedName name="BLPH64" localSheetId="75" hidden="1">#REF!</definedName>
    <definedName name="BLPH64" localSheetId="76" hidden="1">#REF!</definedName>
    <definedName name="BLPH64" localSheetId="13" hidden="1">#REF!</definedName>
    <definedName name="BLPH64" localSheetId="12" hidden="1">#REF!</definedName>
    <definedName name="BLPH64" localSheetId="4" hidden="1">#REF!</definedName>
    <definedName name="BLPH64" hidden="1">#REF!</definedName>
    <definedName name="BLPH65" localSheetId="14" hidden="1">#REF!</definedName>
    <definedName name="BLPH65" localSheetId="19" hidden="1">#REF!</definedName>
    <definedName name="BLPH65" localSheetId="23" hidden="1">#REF!</definedName>
    <definedName name="BLPH65" localSheetId="31" hidden="1">#REF!</definedName>
    <definedName name="BLPH65" localSheetId="36" hidden="1">#REF!</definedName>
    <definedName name="BLPH65" localSheetId="37" hidden="1">#REF!</definedName>
    <definedName name="BLPH65" localSheetId="38" hidden="1">#REF!</definedName>
    <definedName name="BLPH65" localSheetId="45" hidden="1">#REF!</definedName>
    <definedName name="BLPH65" localSheetId="46" hidden="1">#REF!</definedName>
    <definedName name="BLPH65" localSheetId="48" hidden="1">#REF!</definedName>
    <definedName name="BLPH65" localSheetId="49" hidden="1">#REF!</definedName>
    <definedName name="BLPH65" localSheetId="50" hidden="1">#REF!</definedName>
    <definedName name="BLPH65" localSheetId="51" hidden="1">#REF!</definedName>
    <definedName name="BLPH65" localSheetId="52" hidden="1">#REF!</definedName>
    <definedName name="BLPH65" localSheetId="54" hidden="1">#REF!</definedName>
    <definedName name="BLPH65" localSheetId="55" hidden="1">#REF!</definedName>
    <definedName name="BLPH65" localSheetId="56" hidden="1">#REF!</definedName>
    <definedName name="BLPH65" localSheetId="57" hidden="1">#REF!</definedName>
    <definedName name="BLPH65" localSheetId="58" hidden="1">#REF!</definedName>
    <definedName name="BLPH65" localSheetId="70" hidden="1">#REF!</definedName>
    <definedName name="BLPH65" localSheetId="71" hidden="1">#REF!</definedName>
    <definedName name="BLPH65" localSheetId="73" hidden="1">#REF!</definedName>
    <definedName name="BLPH65" localSheetId="75" hidden="1">#REF!</definedName>
    <definedName name="BLPH65" localSheetId="76" hidden="1">#REF!</definedName>
    <definedName name="BLPH65" localSheetId="13" hidden="1">#REF!</definedName>
    <definedName name="BLPH65" localSheetId="12" hidden="1">#REF!</definedName>
    <definedName name="BLPH65" localSheetId="4" hidden="1">#REF!</definedName>
    <definedName name="BLPH65" hidden="1">#REF!</definedName>
    <definedName name="BLPH66" localSheetId="14" hidden="1">#REF!</definedName>
    <definedName name="BLPH66" localSheetId="19" hidden="1">#REF!</definedName>
    <definedName name="BLPH66" localSheetId="23" hidden="1">#REF!</definedName>
    <definedName name="BLPH66" localSheetId="31" hidden="1">#REF!</definedName>
    <definedName name="BLPH66" localSheetId="36" hidden="1">#REF!</definedName>
    <definedName name="BLPH66" localSheetId="37" hidden="1">#REF!</definedName>
    <definedName name="BLPH66" localSheetId="38" hidden="1">#REF!</definedName>
    <definedName name="BLPH66" localSheetId="45" hidden="1">#REF!</definedName>
    <definedName name="BLPH66" localSheetId="46" hidden="1">#REF!</definedName>
    <definedName name="BLPH66" localSheetId="48" hidden="1">#REF!</definedName>
    <definedName name="BLPH66" localSheetId="49" hidden="1">#REF!</definedName>
    <definedName name="BLPH66" localSheetId="50" hidden="1">#REF!</definedName>
    <definedName name="BLPH66" localSheetId="51" hidden="1">#REF!</definedName>
    <definedName name="BLPH66" localSheetId="52" hidden="1">#REF!</definedName>
    <definedName name="BLPH66" localSheetId="54" hidden="1">#REF!</definedName>
    <definedName name="BLPH66" localSheetId="55" hidden="1">#REF!</definedName>
    <definedName name="BLPH66" localSheetId="56" hidden="1">#REF!</definedName>
    <definedName name="BLPH66" localSheetId="57" hidden="1">#REF!</definedName>
    <definedName name="BLPH66" localSheetId="58" hidden="1">#REF!</definedName>
    <definedName name="BLPH66" localSheetId="70" hidden="1">#REF!</definedName>
    <definedName name="BLPH66" localSheetId="71" hidden="1">#REF!</definedName>
    <definedName name="BLPH66" localSheetId="73" hidden="1">#REF!</definedName>
    <definedName name="BLPH66" localSheetId="75" hidden="1">#REF!</definedName>
    <definedName name="BLPH66" localSheetId="76" hidden="1">#REF!</definedName>
    <definedName name="BLPH66" localSheetId="13" hidden="1">#REF!</definedName>
    <definedName name="BLPH66" localSheetId="12" hidden="1">#REF!</definedName>
    <definedName name="BLPH66" localSheetId="4" hidden="1">#REF!</definedName>
    <definedName name="BLPH66" hidden="1">#REF!</definedName>
    <definedName name="BLPH67" localSheetId="14" hidden="1">#REF!</definedName>
    <definedName name="BLPH67" localSheetId="19" hidden="1">#REF!</definedName>
    <definedName name="BLPH67" localSheetId="23" hidden="1">#REF!</definedName>
    <definedName name="BLPH67" localSheetId="31" hidden="1">#REF!</definedName>
    <definedName name="BLPH67" localSheetId="36" hidden="1">#REF!</definedName>
    <definedName name="BLPH67" localSheetId="37" hidden="1">#REF!</definedName>
    <definedName name="BLPH67" localSheetId="38" hidden="1">#REF!</definedName>
    <definedName name="BLPH67" localSheetId="45" hidden="1">#REF!</definedName>
    <definedName name="BLPH67" localSheetId="46" hidden="1">#REF!</definedName>
    <definedName name="BLPH67" localSheetId="48" hidden="1">#REF!</definedName>
    <definedName name="BLPH67" localSheetId="49" hidden="1">#REF!</definedName>
    <definedName name="BLPH67" localSheetId="50" hidden="1">#REF!</definedName>
    <definedName name="BLPH67" localSheetId="51" hidden="1">#REF!</definedName>
    <definedName name="BLPH67" localSheetId="52" hidden="1">#REF!</definedName>
    <definedName name="BLPH67" localSheetId="54" hidden="1">#REF!</definedName>
    <definedName name="BLPH67" localSheetId="55" hidden="1">#REF!</definedName>
    <definedName name="BLPH67" localSheetId="56" hidden="1">#REF!</definedName>
    <definedName name="BLPH67" localSheetId="57" hidden="1">#REF!</definedName>
    <definedName name="BLPH67" localSheetId="58" hidden="1">#REF!</definedName>
    <definedName name="BLPH67" localSheetId="70" hidden="1">#REF!</definedName>
    <definedName name="BLPH67" localSheetId="71" hidden="1">#REF!</definedName>
    <definedName name="BLPH67" localSheetId="73" hidden="1">#REF!</definedName>
    <definedName name="BLPH67" localSheetId="75" hidden="1">#REF!</definedName>
    <definedName name="BLPH67" localSheetId="76" hidden="1">#REF!</definedName>
    <definedName name="BLPH67" localSheetId="13" hidden="1">#REF!</definedName>
    <definedName name="BLPH67" localSheetId="12" hidden="1">#REF!</definedName>
    <definedName name="BLPH67" localSheetId="4" hidden="1">#REF!</definedName>
    <definedName name="BLPH67" hidden="1">#REF!</definedName>
    <definedName name="BLPH68" localSheetId="14" hidden="1">#REF!</definedName>
    <definedName name="BLPH68" localSheetId="19" hidden="1">#REF!</definedName>
    <definedName name="BLPH68" localSheetId="23" hidden="1">#REF!</definedName>
    <definedName name="BLPH68" localSheetId="31" hidden="1">#REF!</definedName>
    <definedName name="BLPH68" localSheetId="36" hidden="1">#REF!</definedName>
    <definedName name="BLPH68" localSheetId="37" hidden="1">#REF!</definedName>
    <definedName name="BLPH68" localSheetId="38" hidden="1">#REF!</definedName>
    <definedName name="BLPH68" localSheetId="45" hidden="1">#REF!</definedName>
    <definedName name="BLPH68" localSheetId="46" hidden="1">#REF!</definedName>
    <definedName name="BLPH68" localSheetId="48" hidden="1">#REF!</definedName>
    <definedName name="BLPH68" localSheetId="49" hidden="1">#REF!</definedName>
    <definedName name="BLPH68" localSheetId="50" hidden="1">#REF!</definedName>
    <definedName name="BLPH68" localSheetId="51" hidden="1">#REF!</definedName>
    <definedName name="BLPH68" localSheetId="52" hidden="1">#REF!</definedName>
    <definedName name="BLPH68" localSheetId="54" hidden="1">#REF!</definedName>
    <definedName name="BLPH68" localSheetId="55" hidden="1">#REF!</definedName>
    <definedName name="BLPH68" localSheetId="56" hidden="1">#REF!</definedName>
    <definedName name="BLPH68" localSheetId="57" hidden="1">#REF!</definedName>
    <definedName name="BLPH68" localSheetId="58" hidden="1">#REF!</definedName>
    <definedName name="BLPH68" localSheetId="70" hidden="1">#REF!</definedName>
    <definedName name="BLPH68" localSheetId="71" hidden="1">#REF!</definedName>
    <definedName name="BLPH68" localSheetId="73" hidden="1">#REF!</definedName>
    <definedName name="BLPH68" localSheetId="75" hidden="1">#REF!</definedName>
    <definedName name="BLPH68" localSheetId="76" hidden="1">#REF!</definedName>
    <definedName name="BLPH68" localSheetId="13" hidden="1">#REF!</definedName>
    <definedName name="BLPH68" localSheetId="12" hidden="1">#REF!</definedName>
    <definedName name="BLPH68" localSheetId="4" hidden="1">#REF!</definedName>
    <definedName name="BLPH68" hidden="1">#REF!</definedName>
    <definedName name="BLPH69" localSheetId="14" hidden="1">#REF!</definedName>
    <definedName name="BLPH69" localSheetId="19" hidden="1">#REF!</definedName>
    <definedName name="BLPH69" localSheetId="23" hidden="1">#REF!</definedName>
    <definedName name="BLPH69" localSheetId="31" hidden="1">#REF!</definedName>
    <definedName name="BLPH69" localSheetId="36" hidden="1">#REF!</definedName>
    <definedName name="BLPH69" localSheetId="37" hidden="1">#REF!</definedName>
    <definedName name="BLPH69" localSheetId="38" hidden="1">#REF!</definedName>
    <definedName name="BLPH69" localSheetId="45" hidden="1">#REF!</definedName>
    <definedName name="BLPH69" localSheetId="46" hidden="1">#REF!</definedName>
    <definedName name="BLPH69" localSheetId="48" hidden="1">#REF!</definedName>
    <definedName name="BLPH69" localSheetId="49" hidden="1">#REF!</definedName>
    <definedName name="BLPH69" localSheetId="50" hidden="1">#REF!</definedName>
    <definedName name="BLPH69" localSheetId="51" hidden="1">#REF!</definedName>
    <definedName name="BLPH69" localSheetId="52" hidden="1">#REF!</definedName>
    <definedName name="BLPH69" localSheetId="54" hidden="1">#REF!</definedName>
    <definedName name="BLPH69" localSheetId="55" hidden="1">#REF!</definedName>
    <definedName name="BLPH69" localSheetId="56" hidden="1">#REF!</definedName>
    <definedName name="BLPH69" localSheetId="57" hidden="1">#REF!</definedName>
    <definedName name="BLPH69" localSheetId="58" hidden="1">#REF!</definedName>
    <definedName name="BLPH69" localSheetId="70" hidden="1">#REF!</definedName>
    <definedName name="BLPH69" localSheetId="71" hidden="1">#REF!</definedName>
    <definedName name="BLPH69" localSheetId="73" hidden="1">#REF!</definedName>
    <definedName name="BLPH69" localSheetId="75" hidden="1">#REF!</definedName>
    <definedName name="BLPH69" localSheetId="76" hidden="1">#REF!</definedName>
    <definedName name="BLPH69" localSheetId="13" hidden="1">#REF!</definedName>
    <definedName name="BLPH69" localSheetId="12" hidden="1">#REF!</definedName>
    <definedName name="BLPH69" localSheetId="4" hidden="1">#REF!</definedName>
    <definedName name="BLPH69" hidden="1">#REF!</definedName>
    <definedName name="BLPH7" localSheetId="14" hidden="1">#REF!</definedName>
    <definedName name="BLPH7" localSheetId="19" hidden="1">#REF!</definedName>
    <definedName name="BLPH7" localSheetId="23" hidden="1">#REF!</definedName>
    <definedName name="BLPH7" localSheetId="31" hidden="1">#REF!</definedName>
    <definedName name="BLPH7" localSheetId="36" hidden="1">#REF!</definedName>
    <definedName name="BLPH7" localSheetId="37" hidden="1">#REF!</definedName>
    <definedName name="BLPH7" localSheetId="38" hidden="1">#REF!</definedName>
    <definedName name="BLPH7" localSheetId="45" hidden="1">#REF!</definedName>
    <definedName name="BLPH7" localSheetId="46" hidden="1">#REF!</definedName>
    <definedName name="BLPH7" localSheetId="48" hidden="1">#REF!</definedName>
    <definedName name="BLPH7" localSheetId="49" hidden="1">#REF!</definedName>
    <definedName name="BLPH7" localSheetId="50" hidden="1">#REF!</definedName>
    <definedName name="BLPH7" localSheetId="51" hidden="1">#REF!</definedName>
    <definedName name="BLPH7" localSheetId="52" hidden="1">#REF!</definedName>
    <definedName name="BLPH7" localSheetId="54" hidden="1">#REF!</definedName>
    <definedName name="BLPH7" localSheetId="55" hidden="1">#REF!</definedName>
    <definedName name="BLPH7" localSheetId="56" hidden="1">#REF!</definedName>
    <definedName name="BLPH7" localSheetId="57" hidden="1">#REF!</definedName>
    <definedName name="BLPH7" localSheetId="58" hidden="1">#REF!</definedName>
    <definedName name="BLPH7" localSheetId="70" hidden="1">#REF!</definedName>
    <definedName name="BLPH7" localSheetId="71" hidden="1">#REF!</definedName>
    <definedName name="BLPH7" localSheetId="73" hidden="1">#REF!</definedName>
    <definedName name="BLPH7" localSheetId="75" hidden="1">#REF!</definedName>
    <definedName name="BLPH7" localSheetId="76" hidden="1">#REF!</definedName>
    <definedName name="BLPH7" localSheetId="13" hidden="1">#REF!</definedName>
    <definedName name="BLPH7" localSheetId="12" hidden="1">#REF!</definedName>
    <definedName name="BLPH7" localSheetId="4" hidden="1">#REF!</definedName>
    <definedName name="BLPH7" hidden="1">#REF!</definedName>
    <definedName name="BLPH70" localSheetId="14" hidden="1">#REF!</definedName>
    <definedName name="BLPH70" localSheetId="19" hidden="1">#REF!</definedName>
    <definedName name="BLPH70" localSheetId="23" hidden="1">#REF!</definedName>
    <definedName name="BLPH70" localSheetId="31" hidden="1">#REF!</definedName>
    <definedName name="BLPH70" localSheetId="36" hidden="1">#REF!</definedName>
    <definedName name="BLPH70" localSheetId="37" hidden="1">#REF!</definedName>
    <definedName name="BLPH70" localSheetId="38" hidden="1">#REF!</definedName>
    <definedName name="BLPH70" localSheetId="45" hidden="1">#REF!</definedName>
    <definedName name="BLPH70" localSheetId="46" hidden="1">#REF!</definedName>
    <definedName name="BLPH70" localSheetId="48" hidden="1">#REF!</definedName>
    <definedName name="BLPH70" localSheetId="49" hidden="1">#REF!</definedName>
    <definedName name="BLPH70" localSheetId="50" hidden="1">#REF!</definedName>
    <definedName name="BLPH70" localSheetId="51" hidden="1">#REF!</definedName>
    <definedName name="BLPH70" localSheetId="52" hidden="1">#REF!</definedName>
    <definedName name="BLPH70" localSheetId="54" hidden="1">#REF!</definedName>
    <definedName name="BLPH70" localSheetId="55" hidden="1">#REF!</definedName>
    <definedName name="BLPH70" localSheetId="56" hidden="1">#REF!</definedName>
    <definedName name="BLPH70" localSheetId="57" hidden="1">#REF!</definedName>
    <definedName name="BLPH70" localSheetId="58" hidden="1">#REF!</definedName>
    <definedName name="BLPH70" localSheetId="70" hidden="1">#REF!</definedName>
    <definedName name="BLPH70" localSheetId="71" hidden="1">#REF!</definedName>
    <definedName name="BLPH70" localSheetId="73" hidden="1">#REF!</definedName>
    <definedName name="BLPH70" localSheetId="75" hidden="1">#REF!</definedName>
    <definedName name="BLPH70" localSheetId="76" hidden="1">#REF!</definedName>
    <definedName name="BLPH70" localSheetId="13" hidden="1">#REF!</definedName>
    <definedName name="BLPH70" localSheetId="12" hidden="1">#REF!</definedName>
    <definedName name="BLPH70" localSheetId="4" hidden="1">#REF!</definedName>
    <definedName name="BLPH70" hidden="1">#REF!</definedName>
    <definedName name="BLPH71" localSheetId="14" hidden="1">#REF!</definedName>
    <definedName name="BLPH71" localSheetId="19" hidden="1">#REF!</definedName>
    <definedName name="BLPH71" localSheetId="23" hidden="1">#REF!</definedName>
    <definedName name="BLPH71" localSheetId="31" hidden="1">#REF!</definedName>
    <definedName name="BLPH71" localSheetId="36" hidden="1">#REF!</definedName>
    <definedName name="BLPH71" localSheetId="37" hidden="1">#REF!</definedName>
    <definedName name="BLPH71" localSheetId="38" hidden="1">#REF!</definedName>
    <definedName name="BLPH71" localSheetId="45" hidden="1">#REF!</definedName>
    <definedName name="BLPH71" localSheetId="46" hidden="1">#REF!</definedName>
    <definedName name="BLPH71" localSheetId="48" hidden="1">#REF!</definedName>
    <definedName name="BLPH71" localSheetId="49" hidden="1">#REF!</definedName>
    <definedName name="BLPH71" localSheetId="50" hidden="1">#REF!</definedName>
    <definedName name="BLPH71" localSheetId="51" hidden="1">#REF!</definedName>
    <definedName name="BLPH71" localSheetId="52" hidden="1">#REF!</definedName>
    <definedName name="BLPH71" localSheetId="54" hidden="1">#REF!</definedName>
    <definedName name="BLPH71" localSheetId="55" hidden="1">#REF!</definedName>
    <definedName name="BLPH71" localSheetId="56" hidden="1">#REF!</definedName>
    <definedName name="BLPH71" localSheetId="57" hidden="1">#REF!</definedName>
    <definedName name="BLPH71" localSheetId="58" hidden="1">#REF!</definedName>
    <definedName name="BLPH71" localSheetId="70" hidden="1">#REF!</definedName>
    <definedName name="BLPH71" localSheetId="71" hidden="1">#REF!</definedName>
    <definedName name="BLPH71" localSheetId="73" hidden="1">#REF!</definedName>
    <definedName name="BLPH71" localSheetId="75" hidden="1">#REF!</definedName>
    <definedName name="BLPH71" localSheetId="76" hidden="1">#REF!</definedName>
    <definedName name="BLPH71" localSheetId="13" hidden="1">#REF!</definedName>
    <definedName name="BLPH71" localSheetId="12" hidden="1">#REF!</definedName>
    <definedName name="BLPH71" localSheetId="4" hidden="1">#REF!</definedName>
    <definedName name="BLPH71" hidden="1">#REF!</definedName>
    <definedName name="BLPH72" localSheetId="14" hidden="1">#REF!</definedName>
    <definedName name="BLPH72" localSheetId="19" hidden="1">#REF!</definedName>
    <definedName name="BLPH72" localSheetId="23" hidden="1">#REF!</definedName>
    <definedName name="BLPH72" localSheetId="31" hidden="1">#REF!</definedName>
    <definedName name="BLPH72" localSheetId="36" hidden="1">#REF!</definedName>
    <definedName name="BLPH72" localSheetId="37" hidden="1">#REF!</definedName>
    <definedName name="BLPH72" localSheetId="38" hidden="1">#REF!</definedName>
    <definedName name="BLPH72" localSheetId="45" hidden="1">#REF!</definedName>
    <definedName name="BLPH72" localSheetId="46" hidden="1">#REF!</definedName>
    <definedName name="BLPH72" localSheetId="48" hidden="1">#REF!</definedName>
    <definedName name="BLPH72" localSheetId="49" hidden="1">#REF!</definedName>
    <definedName name="BLPH72" localSheetId="50" hidden="1">#REF!</definedName>
    <definedName name="BLPH72" localSheetId="51" hidden="1">#REF!</definedName>
    <definedName name="BLPH72" localSheetId="52" hidden="1">#REF!</definedName>
    <definedName name="BLPH72" localSheetId="54" hidden="1">#REF!</definedName>
    <definedName name="BLPH72" localSheetId="55" hidden="1">#REF!</definedName>
    <definedName name="BLPH72" localSheetId="56" hidden="1">#REF!</definedName>
    <definedName name="BLPH72" localSheetId="57" hidden="1">#REF!</definedName>
    <definedName name="BLPH72" localSheetId="58" hidden="1">#REF!</definedName>
    <definedName name="BLPH72" localSheetId="70" hidden="1">#REF!</definedName>
    <definedName name="BLPH72" localSheetId="71" hidden="1">#REF!</definedName>
    <definedName name="BLPH72" localSheetId="73" hidden="1">#REF!</definedName>
    <definedName name="BLPH72" localSheetId="75" hidden="1">#REF!</definedName>
    <definedName name="BLPH72" localSheetId="76" hidden="1">#REF!</definedName>
    <definedName name="BLPH72" localSheetId="13" hidden="1">#REF!</definedName>
    <definedName name="BLPH72" localSheetId="12" hidden="1">#REF!</definedName>
    <definedName name="BLPH72" localSheetId="4" hidden="1">#REF!</definedName>
    <definedName name="BLPH72" hidden="1">#REF!</definedName>
    <definedName name="BLPH73" localSheetId="14" hidden="1">#REF!</definedName>
    <definedName name="BLPH73" localSheetId="19" hidden="1">#REF!</definedName>
    <definedName name="BLPH73" localSheetId="23" hidden="1">#REF!</definedName>
    <definedName name="BLPH73" localSheetId="31" hidden="1">#REF!</definedName>
    <definedName name="BLPH73" localSheetId="36" hidden="1">#REF!</definedName>
    <definedName name="BLPH73" localSheetId="37" hidden="1">#REF!</definedName>
    <definedName name="BLPH73" localSheetId="38" hidden="1">#REF!</definedName>
    <definedName name="BLPH73" localSheetId="45" hidden="1">#REF!</definedName>
    <definedName name="BLPH73" localSheetId="46" hidden="1">#REF!</definedName>
    <definedName name="BLPH73" localSheetId="48" hidden="1">#REF!</definedName>
    <definedName name="BLPH73" localSheetId="49" hidden="1">#REF!</definedName>
    <definedName name="BLPH73" localSheetId="50" hidden="1">#REF!</definedName>
    <definedName name="BLPH73" localSheetId="51" hidden="1">#REF!</definedName>
    <definedName name="BLPH73" localSheetId="52" hidden="1">#REF!</definedName>
    <definedName name="BLPH73" localSheetId="54" hidden="1">#REF!</definedName>
    <definedName name="BLPH73" localSheetId="55" hidden="1">#REF!</definedName>
    <definedName name="BLPH73" localSheetId="56" hidden="1">#REF!</definedName>
    <definedName name="BLPH73" localSheetId="57" hidden="1">#REF!</definedName>
    <definedName name="BLPH73" localSheetId="58" hidden="1">#REF!</definedName>
    <definedName name="BLPH73" localSheetId="70" hidden="1">#REF!</definedName>
    <definedName name="BLPH73" localSheetId="71" hidden="1">#REF!</definedName>
    <definedName name="BLPH73" localSheetId="73" hidden="1">#REF!</definedName>
    <definedName name="BLPH73" localSheetId="75" hidden="1">#REF!</definedName>
    <definedName name="BLPH73" localSheetId="76" hidden="1">#REF!</definedName>
    <definedName name="BLPH73" localSheetId="13" hidden="1">#REF!</definedName>
    <definedName name="BLPH73" localSheetId="12" hidden="1">#REF!</definedName>
    <definedName name="BLPH73" localSheetId="4" hidden="1">#REF!</definedName>
    <definedName name="BLPH73" hidden="1">#REF!</definedName>
    <definedName name="BLPH74" localSheetId="14" hidden="1">#REF!</definedName>
    <definedName name="BLPH74" localSheetId="19" hidden="1">#REF!</definedName>
    <definedName name="BLPH74" localSheetId="23" hidden="1">#REF!</definedName>
    <definedName name="BLPH74" localSheetId="31" hidden="1">#REF!</definedName>
    <definedName name="BLPH74" localSheetId="36" hidden="1">#REF!</definedName>
    <definedName name="BLPH74" localSheetId="37" hidden="1">#REF!</definedName>
    <definedName name="BLPH74" localSheetId="38" hidden="1">#REF!</definedName>
    <definedName name="BLPH74" localSheetId="45" hidden="1">#REF!</definedName>
    <definedName name="BLPH74" localSheetId="46" hidden="1">#REF!</definedName>
    <definedName name="BLPH74" localSheetId="48" hidden="1">#REF!</definedName>
    <definedName name="BLPH74" localSheetId="49" hidden="1">#REF!</definedName>
    <definedName name="BLPH74" localSheetId="50" hidden="1">#REF!</definedName>
    <definedName name="BLPH74" localSheetId="51" hidden="1">#REF!</definedName>
    <definedName name="BLPH74" localSheetId="52" hidden="1">#REF!</definedName>
    <definedName name="BLPH74" localSheetId="54" hidden="1">#REF!</definedName>
    <definedName name="BLPH74" localSheetId="55" hidden="1">#REF!</definedName>
    <definedName name="BLPH74" localSheetId="56" hidden="1">#REF!</definedName>
    <definedName name="BLPH74" localSheetId="57" hidden="1">#REF!</definedName>
    <definedName name="BLPH74" localSheetId="58" hidden="1">#REF!</definedName>
    <definedName name="BLPH74" localSheetId="70" hidden="1">#REF!</definedName>
    <definedName name="BLPH74" localSheetId="71" hidden="1">#REF!</definedName>
    <definedName name="BLPH74" localSheetId="73" hidden="1">#REF!</definedName>
    <definedName name="BLPH74" localSheetId="75" hidden="1">#REF!</definedName>
    <definedName name="BLPH74" localSheetId="76" hidden="1">#REF!</definedName>
    <definedName name="BLPH74" localSheetId="13" hidden="1">#REF!</definedName>
    <definedName name="BLPH74" localSheetId="12" hidden="1">#REF!</definedName>
    <definedName name="BLPH74" localSheetId="4" hidden="1">#REF!</definedName>
    <definedName name="BLPH74" hidden="1">#REF!</definedName>
    <definedName name="BLPH75" localSheetId="14" hidden="1">#REF!</definedName>
    <definedName name="BLPH75" localSheetId="19" hidden="1">#REF!</definedName>
    <definedName name="BLPH75" localSheetId="23" hidden="1">#REF!</definedName>
    <definedName name="BLPH75" localSheetId="31" hidden="1">#REF!</definedName>
    <definedName name="BLPH75" localSheetId="36" hidden="1">#REF!</definedName>
    <definedName name="BLPH75" localSheetId="37" hidden="1">#REF!</definedName>
    <definedName name="BLPH75" localSheetId="38" hidden="1">#REF!</definedName>
    <definedName name="BLPH75" localSheetId="45" hidden="1">#REF!</definedName>
    <definedName name="BLPH75" localSheetId="46" hidden="1">#REF!</definedName>
    <definedName name="BLPH75" localSheetId="48" hidden="1">#REF!</definedName>
    <definedName name="BLPH75" localSheetId="49" hidden="1">#REF!</definedName>
    <definedName name="BLPH75" localSheetId="50" hidden="1">#REF!</definedName>
    <definedName name="BLPH75" localSheetId="51" hidden="1">#REF!</definedName>
    <definedName name="BLPH75" localSheetId="52" hidden="1">#REF!</definedName>
    <definedName name="BLPH75" localSheetId="54" hidden="1">#REF!</definedName>
    <definedName name="BLPH75" localSheetId="55" hidden="1">#REF!</definedName>
    <definedName name="BLPH75" localSheetId="56" hidden="1">#REF!</definedName>
    <definedName name="BLPH75" localSheetId="57" hidden="1">#REF!</definedName>
    <definedName name="BLPH75" localSheetId="58" hidden="1">#REF!</definedName>
    <definedName name="BLPH75" localSheetId="70" hidden="1">#REF!</definedName>
    <definedName name="BLPH75" localSheetId="71" hidden="1">#REF!</definedName>
    <definedName name="BLPH75" localSheetId="73" hidden="1">#REF!</definedName>
    <definedName name="BLPH75" localSheetId="75" hidden="1">#REF!</definedName>
    <definedName name="BLPH75" localSheetId="76" hidden="1">#REF!</definedName>
    <definedName name="BLPH75" localSheetId="13" hidden="1">#REF!</definedName>
    <definedName name="BLPH75" localSheetId="12" hidden="1">#REF!</definedName>
    <definedName name="BLPH75" localSheetId="4" hidden="1">#REF!</definedName>
    <definedName name="BLPH75" hidden="1">#REF!</definedName>
    <definedName name="BLPH76" localSheetId="14" hidden="1">#REF!</definedName>
    <definedName name="BLPH76" localSheetId="19" hidden="1">#REF!</definedName>
    <definedName name="BLPH76" localSheetId="23" hidden="1">#REF!</definedName>
    <definedName name="BLPH76" localSheetId="31" hidden="1">#REF!</definedName>
    <definedName name="BLPH76" localSheetId="36" hidden="1">#REF!</definedName>
    <definedName name="BLPH76" localSheetId="37" hidden="1">#REF!</definedName>
    <definedName name="BLPH76" localSheetId="38" hidden="1">#REF!</definedName>
    <definedName name="BLPH76" localSheetId="45" hidden="1">#REF!</definedName>
    <definedName name="BLPH76" localSheetId="46" hidden="1">#REF!</definedName>
    <definedName name="BLPH76" localSheetId="48" hidden="1">#REF!</definedName>
    <definedName name="BLPH76" localSheetId="49" hidden="1">#REF!</definedName>
    <definedName name="BLPH76" localSheetId="50" hidden="1">#REF!</definedName>
    <definedName name="BLPH76" localSheetId="51" hidden="1">#REF!</definedName>
    <definedName name="BLPH76" localSheetId="52" hidden="1">#REF!</definedName>
    <definedName name="BLPH76" localSheetId="54" hidden="1">#REF!</definedName>
    <definedName name="BLPH76" localSheetId="55" hidden="1">#REF!</definedName>
    <definedName name="BLPH76" localSheetId="56" hidden="1">#REF!</definedName>
    <definedName name="BLPH76" localSheetId="57" hidden="1">#REF!</definedName>
    <definedName name="BLPH76" localSheetId="58" hidden="1">#REF!</definedName>
    <definedName name="BLPH76" localSheetId="70" hidden="1">#REF!</definedName>
    <definedName name="BLPH76" localSheetId="71" hidden="1">#REF!</definedName>
    <definedName name="BLPH76" localSheetId="73" hidden="1">#REF!</definedName>
    <definedName name="BLPH76" localSheetId="75" hidden="1">#REF!</definedName>
    <definedName name="BLPH76" localSheetId="76" hidden="1">#REF!</definedName>
    <definedName name="BLPH76" localSheetId="13" hidden="1">#REF!</definedName>
    <definedName name="BLPH76" localSheetId="12" hidden="1">#REF!</definedName>
    <definedName name="BLPH76" localSheetId="4" hidden="1">#REF!</definedName>
    <definedName name="BLPH76" hidden="1">#REF!</definedName>
    <definedName name="BLPH77" localSheetId="14" hidden="1">#REF!</definedName>
    <definedName name="BLPH77" localSheetId="19" hidden="1">#REF!</definedName>
    <definedName name="BLPH77" localSheetId="23" hidden="1">#REF!</definedName>
    <definedName name="BLPH77" localSheetId="31" hidden="1">#REF!</definedName>
    <definedName name="BLPH77" localSheetId="36" hidden="1">#REF!</definedName>
    <definedName name="BLPH77" localSheetId="37" hidden="1">#REF!</definedName>
    <definedName name="BLPH77" localSheetId="38" hidden="1">#REF!</definedName>
    <definedName name="BLPH77" localSheetId="45" hidden="1">#REF!</definedName>
    <definedName name="BLPH77" localSheetId="46" hidden="1">#REF!</definedName>
    <definedName name="BLPH77" localSheetId="48" hidden="1">#REF!</definedName>
    <definedName name="BLPH77" localSheetId="49" hidden="1">#REF!</definedName>
    <definedName name="BLPH77" localSheetId="50" hidden="1">#REF!</definedName>
    <definedName name="BLPH77" localSheetId="51" hidden="1">#REF!</definedName>
    <definedName name="BLPH77" localSheetId="52" hidden="1">#REF!</definedName>
    <definedName name="BLPH77" localSheetId="54" hidden="1">#REF!</definedName>
    <definedName name="BLPH77" localSheetId="55" hidden="1">#REF!</definedName>
    <definedName name="BLPH77" localSheetId="56" hidden="1">#REF!</definedName>
    <definedName name="BLPH77" localSheetId="57" hidden="1">#REF!</definedName>
    <definedName name="BLPH77" localSheetId="58" hidden="1">#REF!</definedName>
    <definedName name="BLPH77" localSheetId="70" hidden="1">#REF!</definedName>
    <definedName name="BLPH77" localSheetId="71" hidden="1">#REF!</definedName>
    <definedName name="BLPH77" localSheetId="73" hidden="1">#REF!</definedName>
    <definedName name="BLPH77" localSheetId="75" hidden="1">#REF!</definedName>
    <definedName name="BLPH77" localSheetId="76" hidden="1">#REF!</definedName>
    <definedName name="BLPH77" localSheetId="13" hidden="1">#REF!</definedName>
    <definedName name="BLPH77" localSheetId="12" hidden="1">#REF!</definedName>
    <definedName name="BLPH77" localSheetId="4" hidden="1">#REF!</definedName>
    <definedName name="BLPH77" hidden="1">#REF!</definedName>
    <definedName name="BLPH78" localSheetId="14" hidden="1">#REF!</definedName>
    <definedName name="BLPH78" localSheetId="19" hidden="1">#REF!</definedName>
    <definedName name="BLPH78" localSheetId="23" hidden="1">#REF!</definedName>
    <definedName name="BLPH78" localSheetId="31" hidden="1">#REF!</definedName>
    <definedName name="BLPH78" localSheetId="36" hidden="1">#REF!</definedName>
    <definedName name="BLPH78" localSheetId="37" hidden="1">#REF!</definedName>
    <definedName name="BLPH78" localSheetId="38" hidden="1">#REF!</definedName>
    <definedName name="BLPH78" localSheetId="45" hidden="1">#REF!</definedName>
    <definedName name="BLPH78" localSheetId="46" hidden="1">#REF!</definedName>
    <definedName name="BLPH78" localSheetId="48" hidden="1">#REF!</definedName>
    <definedName name="BLPH78" localSheetId="49" hidden="1">#REF!</definedName>
    <definedName name="BLPH78" localSheetId="50" hidden="1">#REF!</definedName>
    <definedName name="BLPH78" localSheetId="51" hidden="1">#REF!</definedName>
    <definedName name="BLPH78" localSheetId="52" hidden="1">#REF!</definedName>
    <definedName name="BLPH78" localSheetId="54" hidden="1">#REF!</definedName>
    <definedName name="BLPH78" localSheetId="55" hidden="1">#REF!</definedName>
    <definedName name="BLPH78" localSheetId="56" hidden="1">#REF!</definedName>
    <definedName name="BLPH78" localSheetId="57" hidden="1">#REF!</definedName>
    <definedName name="BLPH78" localSheetId="58" hidden="1">#REF!</definedName>
    <definedName name="BLPH78" localSheetId="70" hidden="1">#REF!</definedName>
    <definedName name="BLPH78" localSheetId="71" hidden="1">#REF!</definedName>
    <definedName name="BLPH78" localSheetId="73" hidden="1">#REF!</definedName>
    <definedName name="BLPH78" localSheetId="75" hidden="1">#REF!</definedName>
    <definedName name="BLPH78" localSheetId="76" hidden="1">#REF!</definedName>
    <definedName name="BLPH78" localSheetId="13" hidden="1">#REF!</definedName>
    <definedName name="BLPH78" localSheetId="12" hidden="1">#REF!</definedName>
    <definedName name="BLPH78" localSheetId="4" hidden="1">#REF!</definedName>
    <definedName name="BLPH78" hidden="1">#REF!</definedName>
    <definedName name="BLPH79" localSheetId="14" hidden="1">#REF!</definedName>
    <definedName name="BLPH79" localSheetId="19" hidden="1">#REF!</definedName>
    <definedName name="BLPH79" localSheetId="23" hidden="1">#REF!</definedName>
    <definedName name="BLPH79" localSheetId="31" hidden="1">#REF!</definedName>
    <definedName name="BLPH79" localSheetId="36" hidden="1">#REF!</definedName>
    <definedName name="BLPH79" localSheetId="37" hidden="1">#REF!</definedName>
    <definedName name="BLPH79" localSheetId="38" hidden="1">#REF!</definedName>
    <definedName name="BLPH79" localSheetId="45" hidden="1">#REF!</definedName>
    <definedName name="BLPH79" localSheetId="46" hidden="1">#REF!</definedName>
    <definedName name="BLPH79" localSheetId="48" hidden="1">#REF!</definedName>
    <definedName name="BLPH79" localSheetId="49" hidden="1">#REF!</definedName>
    <definedName name="BLPH79" localSheetId="50" hidden="1">#REF!</definedName>
    <definedName name="BLPH79" localSheetId="51" hidden="1">#REF!</definedName>
    <definedName name="BLPH79" localSheetId="52" hidden="1">#REF!</definedName>
    <definedName name="BLPH79" localSheetId="54" hidden="1">#REF!</definedName>
    <definedName name="BLPH79" localSheetId="55" hidden="1">#REF!</definedName>
    <definedName name="BLPH79" localSheetId="56" hidden="1">#REF!</definedName>
    <definedName name="BLPH79" localSheetId="57" hidden="1">#REF!</definedName>
    <definedName name="BLPH79" localSheetId="58" hidden="1">#REF!</definedName>
    <definedName name="BLPH79" localSheetId="70" hidden="1">#REF!</definedName>
    <definedName name="BLPH79" localSheetId="71" hidden="1">#REF!</definedName>
    <definedName name="BLPH79" localSheetId="73" hidden="1">#REF!</definedName>
    <definedName name="BLPH79" localSheetId="75" hidden="1">#REF!</definedName>
    <definedName name="BLPH79" localSheetId="76" hidden="1">#REF!</definedName>
    <definedName name="BLPH79" localSheetId="13" hidden="1">#REF!</definedName>
    <definedName name="BLPH79" localSheetId="12" hidden="1">#REF!</definedName>
    <definedName name="BLPH79" localSheetId="4" hidden="1">#REF!</definedName>
    <definedName name="BLPH79" hidden="1">#REF!</definedName>
    <definedName name="BLPH8" localSheetId="14" hidden="1">#REF!</definedName>
    <definedName name="BLPH8" localSheetId="19" hidden="1">#REF!</definedName>
    <definedName name="BLPH8" localSheetId="23" hidden="1">#REF!</definedName>
    <definedName name="BLPH8" localSheetId="31" hidden="1">#REF!</definedName>
    <definedName name="BLPH8" localSheetId="36" hidden="1">#REF!</definedName>
    <definedName name="BLPH8" localSheetId="37" hidden="1">#REF!</definedName>
    <definedName name="BLPH8" localSheetId="38" hidden="1">#REF!</definedName>
    <definedName name="BLPH8" localSheetId="45" hidden="1">#REF!</definedName>
    <definedName name="BLPH8" localSheetId="46" hidden="1">#REF!</definedName>
    <definedName name="BLPH8" localSheetId="48" hidden="1">#REF!</definedName>
    <definedName name="BLPH8" localSheetId="49" hidden="1">#REF!</definedName>
    <definedName name="BLPH8" localSheetId="50" hidden="1">#REF!</definedName>
    <definedName name="BLPH8" localSheetId="51" hidden="1">#REF!</definedName>
    <definedName name="BLPH8" localSheetId="52" hidden="1">#REF!</definedName>
    <definedName name="BLPH8" localSheetId="54" hidden="1">#REF!</definedName>
    <definedName name="BLPH8" localSheetId="55" hidden="1">#REF!</definedName>
    <definedName name="BLPH8" localSheetId="56" hidden="1">#REF!</definedName>
    <definedName name="BLPH8" localSheetId="57" hidden="1">#REF!</definedName>
    <definedName name="BLPH8" localSheetId="58" hidden="1">#REF!</definedName>
    <definedName name="BLPH8" localSheetId="70" hidden="1">#REF!</definedName>
    <definedName name="BLPH8" localSheetId="71" hidden="1">#REF!</definedName>
    <definedName name="BLPH8" localSheetId="73" hidden="1">#REF!</definedName>
    <definedName name="BLPH8" localSheetId="75" hidden="1">#REF!</definedName>
    <definedName name="BLPH8" localSheetId="76" hidden="1">#REF!</definedName>
    <definedName name="BLPH8" localSheetId="13" hidden="1">#REF!</definedName>
    <definedName name="BLPH8" localSheetId="12" hidden="1">#REF!</definedName>
    <definedName name="BLPH8" localSheetId="4" hidden="1">#REF!</definedName>
    <definedName name="BLPH8" hidden="1">#REF!</definedName>
    <definedName name="BLPH80" localSheetId="14" hidden="1">#REF!</definedName>
    <definedName name="BLPH80" localSheetId="19" hidden="1">#REF!</definedName>
    <definedName name="BLPH80" localSheetId="23" hidden="1">#REF!</definedName>
    <definedName name="BLPH80" localSheetId="31" hidden="1">#REF!</definedName>
    <definedName name="BLPH80" localSheetId="36" hidden="1">#REF!</definedName>
    <definedName name="BLPH80" localSheetId="37" hidden="1">#REF!</definedName>
    <definedName name="BLPH80" localSheetId="38" hidden="1">#REF!</definedName>
    <definedName name="BLPH80" localSheetId="45" hidden="1">#REF!</definedName>
    <definedName name="BLPH80" localSheetId="46" hidden="1">#REF!</definedName>
    <definedName name="BLPH80" localSheetId="48" hidden="1">#REF!</definedName>
    <definedName name="BLPH80" localSheetId="49" hidden="1">#REF!</definedName>
    <definedName name="BLPH80" localSheetId="50" hidden="1">#REF!</definedName>
    <definedName name="BLPH80" localSheetId="51" hidden="1">#REF!</definedName>
    <definedName name="BLPH80" localSheetId="52" hidden="1">#REF!</definedName>
    <definedName name="BLPH80" localSheetId="54" hidden="1">#REF!</definedName>
    <definedName name="BLPH80" localSheetId="55" hidden="1">#REF!</definedName>
    <definedName name="BLPH80" localSheetId="56" hidden="1">#REF!</definedName>
    <definedName name="BLPH80" localSheetId="57" hidden="1">#REF!</definedName>
    <definedName name="BLPH80" localSheetId="58" hidden="1">#REF!</definedName>
    <definedName name="BLPH80" localSheetId="70" hidden="1">#REF!</definedName>
    <definedName name="BLPH80" localSheetId="71" hidden="1">#REF!</definedName>
    <definedName name="BLPH80" localSheetId="73" hidden="1">#REF!</definedName>
    <definedName name="BLPH80" localSheetId="75" hidden="1">#REF!</definedName>
    <definedName name="BLPH80" localSheetId="76" hidden="1">#REF!</definedName>
    <definedName name="BLPH80" localSheetId="13" hidden="1">#REF!</definedName>
    <definedName name="BLPH80" localSheetId="12" hidden="1">#REF!</definedName>
    <definedName name="BLPH80" localSheetId="4" hidden="1">#REF!</definedName>
    <definedName name="BLPH80" hidden="1">#REF!</definedName>
    <definedName name="BLPH81" localSheetId="14" hidden="1">#REF!</definedName>
    <definedName name="BLPH81" localSheetId="19" hidden="1">#REF!</definedName>
    <definedName name="BLPH81" localSheetId="23" hidden="1">#REF!</definedName>
    <definedName name="BLPH81" localSheetId="31" hidden="1">#REF!</definedName>
    <definedName name="BLPH81" localSheetId="36" hidden="1">#REF!</definedName>
    <definedName name="BLPH81" localSheetId="37" hidden="1">#REF!</definedName>
    <definedName name="BLPH81" localSheetId="38" hidden="1">#REF!</definedName>
    <definedName name="BLPH81" localSheetId="45" hidden="1">#REF!</definedName>
    <definedName name="BLPH81" localSheetId="46" hidden="1">#REF!</definedName>
    <definedName name="BLPH81" localSheetId="48" hidden="1">#REF!</definedName>
    <definedName name="BLPH81" localSheetId="49" hidden="1">#REF!</definedName>
    <definedName name="BLPH81" localSheetId="50" hidden="1">#REF!</definedName>
    <definedName name="BLPH81" localSheetId="51" hidden="1">#REF!</definedName>
    <definedName name="BLPH81" localSheetId="52" hidden="1">#REF!</definedName>
    <definedName name="BLPH81" localSheetId="54" hidden="1">#REF!</definedName>
    <definedName name="BLPH81" localSheetId="55" hidden="1">#REF!</definedName>
    <definedName name="BLPH81" localSheetId="56" hidden="1">#REF!</definedName>
    <definedName name="BLPH81" localSheetId="57" hidden="1">#REF!</definedName>
    <definedName name="BLPH81" localSheetId="58" hidden="1">#REF!</definedName>
    <definedName name="BLPH81" localSheetId="70" hidden="1">#REF!</definedName>
    <definedName name="BLPH81" localSheetId="71" hidden="1">#REF!</definedName>
    <definedName name="BLPH81" localSheetId="73" hidden="1">#REF!</definedName>
    <definedName name="BLPH81" localSheetId="75" hidden="1">#REF!</definedName>
    <definedName name="BLPH81" localSheetId="76" hidden="1">#REF!</definedName>
    <definedName name="BLPH81" localSheetId="13" hidden="1">#REF!</definedName>
    <definedName name="BLPH81" localSheetId="12" hidden="1">#REF!</definedName>
    <definedName name="BLPH81" localSheetId="4" hidden="1">#REF!</definedName>
    <definedName name="BLPH81" hidden="1">#REF!</definedName>
    <definedName name="BLPH82" localSheetId="14" hidden="1">#REF!</definedName>
    <definedName name="BLPH82" localSheetId="19" hidden="1">#REF!</definedName>
    <definedName name="BLPH82" localSheetId="23" hidden="1">#REF!</definedName>
    <definedName name="BLPH82" localSheetId="31" hidden="1">#REF!</definedName>
    <definedName name="BLPH82" localSheetId="36" hidden="1">#REF!</definedName>
    <definedName name="BLPH82" localSheetId="37" hidden="1">#REF!</definedName>
    <definedName name="BLPH82" localSheetId="38" hidden="1">#REF!</definedName>
    <definedName name="BLPH82" localSheetId="45" hidden="1">#REF!</definedName>
    <definedName name="BLPH82" localSheetId="46" hidden="1">#REF!</definedName>
    <definedName name="BLPH82" localSheetId="48" hidden="1">#REF!</definedName>
    <definedName name="BLPH82" localSheetId="49" hidden="1">#REF!</definedName>
    <definedName name="BLPH82" localSheetId="50" hidden="1">#REF!</definedName>
    <definedName name="BLPH82" localSheetId="51" hidden="1">#REF!</definedName>
    <definedName name="BLPH82" localSheetId="52" hidden="1">#REF!</definedName>
    <definedName name="BLPH82" localSheetId="54" hidden="1">#REF!</definedName>
    <definedName name="BLPH82" localSheetId="55" hidden="1">#REF!</definedName>
    <definedName name="BLPH82" localSheetId="56" hidden="1">#REF!</definedName>
    <definedName name="BLPH82" localSheetId="57" hidden="1">#REF!</definedName>
    <definedName name="BLPH82" localSheetId="58" hidden="1">#REF!</definedName>
    <definedName name="BLPH82" localSheetId="70" hidden="1">#REF!</definedName>
    <definedName name="BLPH82" localSheetId="71" hidden="1">#REF!</definedName>
    <definedName name="BLPH82" localSheetId="73" hidden="1">#REF!</definedName>
    <definedName name="BLPH82" localSheetId="75" hidden="1">#REF!</definedName>
    <definedName name="BLPH82" localSheetId="76" hidden="1">#REF!</definedName>
    <definedName name="BLPH82" localSheetId="13" hidden="1">#REF!</definedName>
    <definedName name="BLPH82" localSheetId="12" hidden="1">#REF!</definedName>
    <definedName name="BLPH82" localSheetId="4" hidden="1">#REF!</definedName>
    <definedName name="BLPH82" hidden="1">#REF!</definedName>
    <definedName name="BLPH83" localSheetId="14" hidden="1">#REF!</definedName>
    <definedName name="BLPH83" localSheetId="19" hidden="1">#REF!</definedName>
    <definedName name="BLPH83" localSheetId="23" hidden="1">#REF!</definedName>
    <definedName name="BLPH83" localSheetId="31" hidden="1">#REF!</definedName>
    <definedName name="BLPH83" localSheetId="36" hidden="1">#REF!</definedName>
    <definedName name="BLPH83" localSheetId="37" hidden="1">#REF!</definedName>
    <definedName name="BLPH83" localSheetId="38" hidden="1">#REF!</definedName>
    <definedName name="BLPH83" localSheetId="45" hidden="1">#REF!</definedName>
    <definedName name="BLPH83" localSheetId="46" hidden="1">#REF!</definedName>
    <definedName name="BLPH83" localSheetId="48" hidden="1">#REF!</definedName>
    <definedName name="BLPH83" localSheetId="49" hidden="1">#REF!</definedName>
    <definedName name="BLPH83" localSheetId="50" hidden="1">#REF!</definedName>
    <definedName name="BLPH83" localSheetId="51" hidden="1">#REF!</definedName>
    <definedName name="BLPH83" localSheetId="52" hidden="1">#REF!</definedName>
    <definedName name="BLPH83" localSheetId="54" hidden="1">#REF!</definedName>
    <definedName name="BLPH83" localSheetId="55" hidden="1">#REF!</definedName>
    <definedName name="BLPH83" localSheetId="56" hidden="1">#REF!</definedName>
    <definedName name="BLPH83" localSheetId="57" hidden="1">#REF!</definedName>
    <definedName name="BLPH83" localSheetId="58" hidden="1">#REF!</definedName>
    <definedName name="BLPH83" localSheetId="70" hidden="1">#REF!</definedName>
    <definedName name="BLPH83" localSheetId="71" hidden="1">#REF!</definedName>
    <definedName name="BLPH83" localSheetId="73" hidden="1">#REF!</definedName>
    <definedName name="BLPH83" localSheetId="75" hidden="1">#REF!</definedName>
    <definedName name="BLPH83" localSheetId="76" hidden="1">#REF!</definedName>
    <definedName name="BLPH83" localSheetId="13" hidden="1">#REF!</definedName>
    <definedName name="BLPH83" localSheetId="12" hidden="1">#REF!</definedName>
    <definedName name="BLPH83" localSheetId="4" hidden="1">#REF!</definedName>
    <definedName name="BLPH83" hidden="1">#REF!</definedName>
    <definedName name="BLPH84" localSheetId="14" hidden="1">#REF!</definedName>
    <definedName name="BLPH84" localSheetId="19" hidden="1">#REF!</definedName>
    <definedName name="BLPH84" localSheetId="23" hidden="1">#REF!</definedName>
    <definedName name="BLPH84" localSheetId="31" hidden="1">#REF!</definedName>
    <definedName name="BLPH84" localSheetId="36" hidden="1">#REF!</definedName>
    <definedName name="BLPH84" localSheetId="37" hidden="1">#REF!</definedName>
    <definedName name="BLPH84" localSheetId="38" hidden="1">#REF!</definedName>
    <definedName name="BLPH84" localSheetId="45" hidden="1">#REF!</definedName>
    <definedName name="BLPH84" localSheetId="46" hidden="1">#REF!</definedName>
    <definedName name="BLPH84" localSheetId="48" hidden="1">#REF!</definedName>
    <definedName name="BLPH84" localSheetId="49" hidden="1">#REF!</definedName>
    <definedName name="BLPH84" localSheetId="50" hidden="1">#REF!</definedName>
    <definedName name="BLPH84" localSheetId="51" hidden="1">#REF!</definedName>
    <definedName name="BLPH84" localSheetId="52" hidden="1">#REF!</definedName>
    <definedName name="BLPH84" localSheetId="54" hidden="1">#REF!</definedName>
    <definedName name="BLPH84" localSheetId="55" hidden="1">#REF!</definedName>
    <definedName name="BLPH84" localSheetId="56" hidden="1">#REF!</definedName>
    <definedName name="BLPH84" localSheetId="57" hidden="1">#REF!</definedName>
    <definedName name="BLPH84" localSheetId="58" hidden="1">#REF!</definedName>
    <definedName name="BLPH84" localSheetId="70" hidden="1">#REF!</definedName>
    <definedName name="BLPH84" localSheetId="71" hidden="1">#REF!</definedName>
    <definedName name="BLPH84" localSheetId="73" hidden="1">#REF!</definedName>
    <definedName name="BLPH84" localSheetId="75" hidden="1">#REF!</definedName>
    <definedName name="BLPH84" localSheetId="76" hidden="1">#REF!</definedName>
    <definedName name="BLPH84" localSheetId="13" hidden="1">#REF!</definedName>
    <definedName name="BLPH84" localSheetId="12" hidden="1">#REF!</definedName>
    <definedName name="BLPH84" localSheetId="4" hidden="1">#REF!</definedName>
    <definedName name="BLPH84" hidden="1">#REF!</definedName>
    <definedName name="BLPH85" localSheetId="14" hidden="1">#REF!</definedName>
    <definedName name="BLPH85" localSheetId="19" hidden="1">#REF!</definedName>
    <definedName name="BLPH85" localSheetId="23" hidden="1">#REF!</definedName>
    <definedName name="BLPH85" localSheetId="31" hidden="1">#REF!</definedName>
    <definedName name="BLPH85" localSheetId="36" hidden="1">#REF!</definedName>
    <definedName name="BLPH85" localSheetId="37" hidden="1">#REF!</definedName>
    <definedName name="BLPH85" localSheetId="38" hidden="1">#REF!</definedName>
    <definedName name="BLPH85" localSheetId="45" hidden="1">#REF!</definedName>
    <definedName name="BLPH85" localSheetId="46" hidden="1">#REF!</definedName>
    <definedName name="BLPH85" localSheetId="48" hidden="1">#REF!</definedName>
    <definedName name="BLPH85" localSheetId="49" hidden="1">#REF!</definedName>
    <definedName name="BLPH85" localSheetId="50" hidden="1">#REF!</definedName>
    <definedName name="BLPH85" localSheetId="51" hidden="1">#REF!</definedName>
    <definedName name="BLPH85" localSheetId="52" hidden="1">#REF!</definedName>
    <definedName name="BLPH85" localSheetId="54" hidden="1">#REF!</definedName>
    <definedName name="BLPH85" localSheetId="55" hidden="1">#REF!</definedName>
    <definedName name="BLPH85" localSheetId="56" hidden="1">#REF!</definedName>
    <definedName name="BLPH85" localSheetId="57" hidden="1">#REF!</definedName>
    <definedName name="BLPH85" localSheetId="58" hidden="1">#REF!</definedName>
    <definedName name="BLPH85" localSheetId="70" hidden="1">#REF!</definedName>
    <definedName name="BLPH85" localSheetId="71" hidden="1">#REF!</definedName>
    <definedName name="BLPH85" localSheetId="73" hidden="1">#REF!</definedName>
    <definedName name="BLPH85" localSheetId="75" hidden="1">#REF!</definedName>
    <definedName name="BLPH85" localSheetId="76" hidden="1">#REF!</definedName>
    <definedName name="BLPH85" localSheetId="13" hidden="1">#REF!</definedName>
    <definedName name="BLPH85" localSheetId="12" hidden="1">#REF!</definedName>
    <definedName name="BLPH85" localSheetId="4" hidden="1">#REF!</definedName>
    <definedName name="BLPH85" hidden="1">#REF!</definedName>
    <definedName name="BLPH86" localSheetId="14" hidden="1">#REF!</definedName>
    <definedName name="BLPH86" localSheetId="19" hidden="1">#REF!</definedName>
    <definedName name="BLPH86" localSheetId="23" hidden="1">#REF!</definedName>
    <definedName name="BLPH86" localSheetId="31" hidden="1">#REF!</definedName>
    <definedName name="BLPH86" localSheetId="36" hidden="1">#REF!</definedName>
    <definedName name="BLPH86" localSheetId="37" hidden="1">#REF!</definedName>
    <definedName name="BLPH86" localSheetId="38" hidden="1">#REF!</definedName>
    <definedName name="BLPH86" localSheetId="45" hidden="1">#REF!</definedName>
    <definedName name="BLPH86" localSheetId="46" hidden="1">#REF!</definedName>
    <definedName name="BLPH86" localSheetId="48" hidden="1">#REF!</definedName>
    <definedName name="BLPH86" localSheetId="49" hidden="1">#REF!</definedName>
    <definedName name="BLPH86" localSheetId="50" hidden="1">#REF!</definedName>
    <definedName name="BLPH86" localSheetId="51" hidden="1">#REF!</definedName>
    <definedName name="BLPH86" localSheetId="52" hidden="1">#REF!</definedName>
    <definedName name="BLPH86" localSheetId="54" hidden="1">#REF!</definedName>
    <definedName name="BLPH86" localSheetId="55" hidden="1">#REF!</definedName>
    <definedName name="BLPH86" localSheetId="56" hidden="1">#REF!</definedName>
    <definedName name="BLPH86" localSheetId="57" hidden="1">#REF!</definedName>
    <definedName name="BLPH86" localSheetId="58" hidden="1">#REF!</definedName>
    <definedName name="BLPH86" localSheetId="70" hidden="1">#REF!</definedName>
    <definedName name="BLPH86" localSheetId="71" hidden="1">#REF!</definedName>
    <definedName name="BLPH86" localSheetId="73" hidden="1">#REF!</definedName>
    <definedName name="BLPH86" localSheetId="75" hidden="1">#REF!</definedName>
    <definedName name="BLPH86" localSheetId="76" hidden="1">#REF!</definedName>
    <definedName name="BLPH86" localSheetId="13" hidden="1">#REF!</definedName>
    <definedName name="BLPH86" localSheetId="12" hidden="1">#REF!</definedName>
    <definedName name="BLPH86" localSheetId="4" hidden="1">#REF!</definedName>
    <definedName name="BLPH86" hidden="1">#REF!</definedName>
    <definedName name="BLPH87" localSheetId="14" hidden="1">#REF!</definedName>
    <definedName name="BLPH87" localSheetId="19" hidden="1">#REF!</definedName>
    <definedName name="BLPH87" localSheetId="23" hidden="1">#REF!</definedName>
    <definedName name="BLPH87" localSheetId="31" hidden="1">#REF!</definedName>
    <definedName name="BLPH87" localSheetId="36" hidden="1">#REF!</definedName>
    <definedName name="BLPH87" localSheetId="37" hidden="1">#REF!</definedName>
    <definedName name="BLPH87" localSheetId="38" hidden="1">#REF!</definedName>
    <definedName name="BLPH87" localSheetId="45" hidden="1">#REF!</definedName>
    <definedName name="BLPH87" localSheetId="46" hidden="1">#REF!</definedName>
    <definedName name="BLPH87" localSheetId="48" hidden="1">#REF!</definedName>
    <definedName name="BLPH87" localSheetId="49" hidden="1">#REF!</definedName>
    <definedName name="BLPH87" localSheetId="50" hidden="1">#REF!</definedName>
    <definedName name="BLPH87" localSheetId="51" hidden="1">#REF!</definedName>
    <definedName name="BLPH87" localSheetId="52" hidden="1">#REF!</definedName>
    <definedName name="BLPH87" localSheetId="54" hidden="1">#REF!</definedName>
    <definedName name="BLPH87" localSheetId="55" hidden="1">#REF!</definedName>
    <definedName name="BLPH87" localSheetId="56" hidden="1">#REF!</definedName>
    <definedName name="BLPH87" localSheetId="57" hidden="1">#REF!</definedName>
    <definedName name="BLPH87" localSheetId="58" hidden="1">#REF!</definedName>
    <definedName name="BLPH87" localSheetId="70" hidden="1">#REF!</definedName>
    <definedName name="BLPH87" localSheetId="71" hidden="1">#REF!</definedName>
    <definedName name="BLPH87" localSheetId="73" hidden="1">#REF!</definedName>
    <definedName name="BLPH87" localSheetId="75" hidden="1">#REF!</definedName>
    <definedName name="BLPH87" localSheetId="76" hidden="1">#REF!</definedName>
    <definedName name="BLPH87" localSheetId="13" hidden="1">#REF!</definedName>
    <definedName name="BLPH87" localSheetId="12" hidden="1">#REF!</definedName>
    <definedName name="BLPH87" localSheetId="4" hidden="1">#REF!</definedName>
    <definedName name="BLPH87" hidden="1">#REF!</definedName>
    <definedName name="BLPH88" localSheetId="14" hidden="1">#REF!</definedName>
    <definedName name="BLPH88" localSheetId="19" hidden="1">#REF!</definedName>
    <definedName name="BLPH88" localSheetId="23" hidden="1">#REF!</definedName>
    <definedName name="BLPH88" localSheetId="31" hidden="1">#REF!</definedName>
    <definedName name="BLPH88" localSheetId="36" hidden="1">#REF!</definedName>
    <definedName name="BLPH88" localSheetId="37" hidden="1">#REF!</definedName>
    <definedName name="BLPH88" localSheetId="38" hidden="1">#REF!</definedName>
    <definedName name="BLPH88" localSheetId="45" hidden="1">#REF!</definedName>
    <definedName name="BLPH88" localSheetId="46" hidden="1">#REF!</definedName>
    <definedName name="BLPH88" localSheetId="48" hidden="1">#REF!</definedName>
    <definedName name="BLPH88" localSheetId="49" hidden="1">#REF!</definedName>
    <definedName name="BLPH88" localSheetId="50" hidden="1">#REF!</definedName>
    <definedName name="BLPH88" localSheetId="51" hidden="1">#REF!</definedName>
    <definedName name="BLPH88" localSheetId="52" hidden="1">#REF!</definedName>
    <definedName name="BLPH88" localSheetId="54" hidden="1">#REF!</definedName>
    <definedName name="BLPH88" localSheetId="55" hidden="1">#REF!</definedName>
    <definedName name="BLPH88" localSheetId="56" hidden="1">#REF!</definedName>
    <definedName name="BLPH88" localSheetId="57" hidden="1">#REF!</definedName>
    <definedName name="BLPH88" localSheetId="58" hidden="1">#REF!</definedName>
    <definedName name="BLPH88" localSheetId="70" hidden="1">#REF!</definedName>
    <definedName name="BLPH88" localSheetId="71" hidden="1">#REF!</definedName>
    <definedName name="BLPH88" localSheetId="73" hidden="1">#REF!</definedName>
    <definedName name="BLPH88" localSheetId="75" hidden="1">#REF!</definedName>
    <definedName name="BLPH88" localSheetId="76" hidden="1">#REF!</definedName>
    <definedName name="BLPH88" localSheetId="13" hidden="1">#REF!</definedName>
    <definedName name="BLPH88" localSheetId="12" hidden="1">#REF!</definedName>
    <definedName name="BLPH88" localSheetId="4" hidden="1">#REF!</definedName>
    <definedName name="BLPH88" hidden="1">#REF!</definedName>
    <definedName name="BLPH89" localSheetId="14" hidden="1">#REF!</definedName>
    <definedName name="BLPH89" localSheetId="19" hidden="1">#REF!</definedName>
    <definedName name="BLPH89" localSheetId="23" hidden="1">#REF!</definedName>
    <definedName name="BLPH89" localSheetId="31" hidden="1">#REF!</definedName>
    <definedName name="BLPH89" localSheetId="36" hidden="1">#REF!</definedName>
    <definedName name="BLPH89" localSheetId="37" hidden="1">#REF!</definedName>
    <definedName name="BLPH89" localSheetId="38" hidden="1">#REF!</definedName>
    <definedName name="BLPH89" localSheetId="45" hidden="1">#REF!</definedName>
    <definedName name="BLPH89" localSheetId="46" hidden="1">#REF!</definedName>
    <definedName name="BLPH89" localSheetId="48" hidden="1">#REF!</definedName>
    <definedName name="BLPH89" localSheetId="49" hidden="1">#REF!</definedName>
    <definedName name="BLPH89" localSheetId="50" hidden="1">#REF!</definedName>
    <definedName name="BLPH89" localSheetId="51" hidden="1">#REF!</definedName>
    <definedName name="BLPH89" localSheetId="52" hidden="1">#REF!</definedName>
    <definedName name="BLPH89" localSheetId="54" hidden="1">#REF!</definedName>
    <definedName name="BLPH89" localSheetId="55" hidden="1">#REF!</definedName>
    <definedName name="BLPH89" localSheetId="56" hidden="1">#REF!</definedName>
    <definedName name="BLPH89" localSheetId="57" hidden="1">#REF!</definedName>
    <definedName name="BLPH89" localSheetId="58" hidden="1">#REF!</definedName>
    <definedName name="BLPH89" localSheetId="70" hidden="1">#REF!</definedName>
    <definedName name="BLPH89" localSheetId="71" hidden="1">#REF!</definedName>
    <definedName name="BLPH89" localSheetId="73" hidden="1">#REF!</definedName>
    <definedName name="BLPH89" localSheetId="75" hidden="1">#REF!</definedName>
    <definedName name="BLPH89" localSheetId="76" hidden="1">#REF!</definedName>
    <definedName name="BLPH89" localSheetId="13" hidden="1">#REF!</definedName>
    <definedName name="BLPH89" localSheetId="12" hidden="1">#REF!</definedName>
    <definedName name="BLPH89" localSheetId="4" hidden="1">#REF!</definedName>
    <definedName name="BLPH89" hidden="1">#REF!</definedName>
    <definedName name="BLPH9" localSheetId="14" hidden="1">#REF!</definedName>
    <definedName name="BLPH9" localSheetId="19" hidden="1">#REF!</definedName>
    <definedName name="BLPH9" localSheetId="23" hidden="1">#REF!</definedName>
    <definedName name="BLPH9" localSheetId="31" hidden="1">#REF!</definedName>
    <definedName name="BLPH9" localSheetId="36" hidden="1">#REF!</definedName>
    <definedName name="BLPH9" localSheetId="37" hidden="1">#REF!</definedName>
    <definedName name="BLPH9" localSheetId="38" hidden="1">#REF!</definedName>
    <definedName name="BLPH9" localSheetId="45" hidden="1">#REF!</definedName>
    <definedName name="BLPH9" localSheetId="46" hidden="1">#REF!</definedName>
    <definedName name="BLPH9" localSheetId="48" hidden="1">#REF!</definedName>
    <definedName name="BLPH9" localSheetId="49" hidden="1">#REF!</definedName>
    <definedName name="BLPH9" localSheetId="50" hidden="1">#REF!</definedName>
    <definedName name="BLPH9" localSheetId="51" hidden="1">#REF!</definedName>
    <definedName name="BLPH9" localSheetId="52" hidden="1">#REF!</definedName>
    <definedName name="BLPH9" localSheetId="54" hidden="1">#REF!</definedName>
    <definedName name="BLPH9" localSheetId="55" hidden="1">#REF!</definedName>
    <definedName name="BLPH9" localSheetId="56" hidden="1">#REF!</definedName>
    <definedName name="BLPH9" localSheetId="57" hidden="1">#REF!</definedName>
    <definedName name="BLPH9" localSheetId="58" hidden="1">#REF!</definedName>
    <definedName name="BLPH9" localSheetId="70" hidden="1">#REF!</definedName>
    <definedName name="BLPH9" localSheetId="71" hidden="1">#REF!</definedName>
    <definedName name="BLPH9" localSheetId="73" hidden="1">#REF!</definedName>
    <definedName name="BLPH9" localSheetId="75" hidden="1">#REF!</definedName>
    <definedName name="BLPH9" localSheetId="76" hidden="1">#REF!</definedName>
    <definedName name="BLPH9" localSheetId="13" hidden="1">#REF!</definedName>
    <definedName name="BLPH9" localSheetId="12" hidden="1">#REF!</definedName>
    <definedName name="BLPH9" localSheetId="4" hidden="1">#REF!</definedName>
    <definedName name="BLPH9" hidden="1">#REF!</definedName>
    <definedName name="BLPH90" localSheetId="14" hidden="1">#REF!</definedName>
    <definedName name="BLPH90" localSheetId="19" hidden="1">#REF!</definedName>
    <definedName name="BLPH90" localSheetId="23" hidden="1">#REF!</definedName>
    <definedName name="BLPH90" localSheetId="31" hidden="1">#REF!</definedName>
    <definedName name="BLPH90" localSheetId="36" hidden="1">#REF!</definedName>
    <definedName name="BLPH90" localSheetId="37" hidden="1">#REF!</definedName>
    <definedName name="BLPH90" localSheetId="38" hidden="1">#REF!</definedName>
    <definedName name="BLPH90" localSheetId="45" hidden="1">#REF!</definedName>
    <definedName name="BLPH90" localSheetId="46" hidden="1">#REF!</definedName>
    <definedName name="BLPH90" localSheetId="48" hidden="1">#REF!</definedName>
    <definedName name="BLPH90" localSheetId="49" hidden="1">#REF!</definedName>
    <definedName name="BLPH90" localSheetId="50" hidden="1">#REF!</definedName>
    <definedName name="BLPH90" localSheetId="51" hidden="1">#REF!</definedName>
    <definedName name="BLPH90" localSheetId="52" hidden="1">#REF!</definedName>
    <definedName name="BLPH90" localSheetId="54" hidden="1">#REF!</definedName>
    <definedName name="BLPH90" localSheetId="55" hidden="1">#REF!</definedName>
    <definedName name="BLPH90" localSheetId="56" hidden="1">#REF!</definedName>
    <definedName name="BLPH90" localSheetId="57" hidden="1">#REF!</definedName>
    <definedName name="BLPH90" localSheetId="58" hidden="1">#REF!</definedName>
    <definedName name="BLPH90" localSheetId="70" hidden="1">#REF!</definedName>
    <definedName name="BLPH90" localSheetId="71" hidden="1">#REF!</definedName>
    <definedName name="BLPH90" localSheetId="73" hidden="1">#REF!</definedName>
    <definedName name="BLPH90" localSheetId="75" hidden="1">#REF!</definedName>
    <definedName name="BLPH90" localSheetId="76" hidden="1">#REF!</definedName>
    <definedName name="BLPH90" localSheetId="13" hidden="1">#REF!</definedName>
    <definedName name="BLPH90" localSheetId="12" hidden="1">#REF!</definedName>
    <definedName name="BLPH90" localSheetId="4" hidden="1">#REF!</definedName>
    <definedName name="BLPH90" hidden="1">#REF!</definedName>
    <definedName name="BLPH91" localSheetId="14" hidden="1">#REF!</definedName>
    <definedName name="BLPH91" localSheetId="19" hidden="1">#REF!</definedName>
    <definedName name="BLPH91" localSheetId="23" hidden="1">#REF!</definedName>
    <definedName name="BLPH91" localSheetId="31" hidden="1">#REF!</definedName>
    <definedName name="BLPH91" localSheetId="36" hidden="1">#REF!</definedName>
    <definedName name="BLPH91" localSheetId="37" hidden="1">#REF!</definedName>
    <definedName name="BLPH91" localSheetId="38" hidden="1">#REF!</definedName>
    <definedName name="BLPH91" localSheetId="45" hidden="1">#REF!</definedName>
    <definedName name="BLPH91" localSheetId="46" hidden="1">#REF!</definedName>
    <definedName name="BLPH91" localSheetId="48" hidden="1">#REF!</definedName>
    <definedName name="BLPH91" localSheetId="49" hidden="1">#REF!</definedName>
    <definedName name="BLPH91" localSheetId="50" hidden="1">#REF!</definedName>
    <definedName name="BLPH91" localSheetId="51" hidden="1">#REF!</definedName>
    <definedName name="BLPH91" localSheetId="52" hidden="1">#REF!</definedName>
    <definedName name="BLPH91" localSheetId="54" hidden="1">#REF!</definedName>
    <definedName name="BLPH91" localSheetId="55" hidden="1">#REF!</definedName>
    <definedName name="BLPH91" localSheetId="56" hidden="1">#REF!</definedName>
    <definedName name="BLPH91" localSheetId="57" hidden="1">#REF!</definedName>
    <definedName name="BLPH91" localSheetId="58" hidden="1">#REF!</definedName>
    <definedName name="BLPH91" localSheetId="70" hidden="1">#REF!</definedName>
    <definedName name="BLPH91" localSheetId="71" hidden="1">#REF!</definedName>
    <definedName name="BLPH91" localSheetId="73" hidden="1">#REF!</definedName>
    <definedName name="BLPH91" localSheetId="75" hidden="1">#REF!</definedName>
    <definedName name="BLPH91" localSheetId="76" hidden="1">#REF!</definedName>
    <definedName name="BLPH91" localSheetId="13" hidden="1">#REF!</definedName>
    <definedName name="BLPH91" localSheetId="12" hidden="1">#REF!</definedName>
    <definedName name="BLPH91" localSheetId="4" hidden="1">#REF!</definedName>
    <definedName name="BLPH91" hidden="1">#REF!</definedName>
    <definedName name="BLPH92" localSheetId="14" hidden="1">#REF!</definedName>
    <definedName name="BLPH92" localSheetId="19" hidden="1">#REF!</definedName>
    <definedName name="BLPH92" localSheetId="23" hidden="1">#REF!</definedName>
    <definedName name="BLPH92" localSheetId="31" hidden="1">#REF!</definedName>
    <definedName name="BLPH92" localSheetId="36" hidden="1">#REF!</definedName>
    <definedName name="BLPH92" localSheetId="37" hidden="1">#REF!</definedName>
    <definedName name="BLPH92" localSheetId="38" hidden="1">#REF!</definedName>
    <definedName name="BLPH92" localSheetId="45" hidden="1">#REF!</definedName>
    <definedName name="BLPH92" localSheetId="46" hidden="1">#REF!</definedName>
    <definedName name="BLPH92" localSheetId="48" hidden="1">#REF!</definedName>
    <definedName name="BLPH92" localSheetId="49" hidden="1">#REF!</definedName>
    <definedName name="BLPH92" localSheetId="50" hidden="1">#REF!</definedName>
    <definedName name="BLPH92" localSheetId="51" hidden="1">#REF!</definedName>
    <definedName name="BLPH92" localSheetId="52" hidden="1">#REF!</definedName>
    <definedName name="BLPH92" localSheetId="54" hidden="1">#REF!</definedName>
    <definedName name="BLPH92" localSheetId="55" hidden="1">#REF!</definedName>
    <definedName name="BLPH92" localSheetId="56" hidden="1">#REF!</definedName>
    <definedName name="BLPH92" localSheetId="57" hidden="1">#REF!</definedName>
    <definedName name="BLPH92" localSheetId="58" hidden="1">#REF!</definedName>
    <definedName name="BLPH92" localSheetId="70" hidden="1">#REF!</definedName>
    <definedName name="BLPH92" localSheetId="71" hidden="1">#REF!</definedName>
    <definedName name="BLPH92" localSheetId="73" hidden="1">#REF!</definedName>
    <definedName name="BLPH92" localSheetId="75" hidden="1">#REF!</definedName>
    <definedName name="BLPH92" localSheetId="76" hidden="1">#REF!</definedName>
    <definedName name="BLPH92" localSheetId="13" hidden="1">#REF!</definedName>
    <definedName name="BLPH92" localSheetId="12" hidden="1">#REF!</definedName>
    <definedName name="BLPH92" localSheetId="4" hidden="1">#REF!</definedName>
    <definedName name="BLPH92" hidden="1">#REF!</definedName>
    <definedName name="BLPH93" localSheetId="14" hidden="1">#REF!</definedName>
    <definedName name="BLPH93" localSheetId="19" hidden="1">#REF!</definedName>
    <definedName name="BLPH93" localSheetId="23" hidden="1">#REF!</definedName>
    <definedName name="BLPH93" localSheetId="31" hidden="1">#REF!</definedName>
    <definedName name="BLPH93" localSheetId="36" hidden="1">#REF!</definedName>
    <definedName name="BLPH93" localSheetId="37" hidden="1">#REF!</definedName>
    <definedName name="BLPH93" localSheetId="38" hidden="1">#REF!</definedName>
    <definedName name="BLPH93" localSheetId="45" hidden="1">#REF!</definedName>
    <definedName name="BLPH93" localSheetId="46" hidden="1">#REF!</definedName>
    <definedName name="BLPH93" localSheetId="48" hidden="1">#REF!</definedName>
    <definedName name="BLPH93" localSheetId="49" hidden="1">#REF!</definedName>
    <definedName name="BLPH93" localSheetId="50" hidden="1">#REF!</definedName>
    <definedName name="BLPH93" localSheetId="51" hidden="1">#REF!</definedName>
    <definedName name="BLPH93" localSheetId="52" hidden="1">#REF!</definedName>
    <definedName name="BLPH93" localSheetId="54" hidden="1">#REF!</definedName>
    <definedName name="BLPH93" localSheetId="55" hidden="1">#REF!</definedName>
    <definedName name="BLPH93" localSheetId="56" hidden="1">#REF!</definedName>
    <definedName name="BLPH93" localSheetId="57" hidden="1">#REF!</definedName>
    <definedName name="BLPH93" localSheetId="58" hidden="1">#REF!</definedName>
    <definedName name="BLPH93" localSheetId="70" hidden="1">#REF!</definedName>
    <definedName name="BLPH93" localSheetId="71" hidden="1">#REF!</definedName>
    <definedName name="BLPH93" localSheetId="73" hidden="1">#REF!</definedName>
    <definedName name="BLPH93" localSheetId="75" hidden="1">#REF!</definedName>
    <definedName name="BLPH93" localSheetId="76" hidden="1">#REF!</definedName>
    <definedName name="BLPH93" localSheetId="13" hidden="1">#REF!</definedName>
    <definedName name="BLPH93" localSheetId="12" hidden="1">#REF!</definedName>
    <definedName name="BLPH93" localSheetId="4" hidden="1">#REF!</definedName>
    <definedName name="BLPH93" hidden="1">#REF!</definedName>
    <definedName name="BLPH94" localSheetId="14" hidden="1">#REF!</definedName>
    <definedName name="BLPH94" localSheetId="19" hidden="1">#REF!</definedName>
    <definedName name="BLPH94" localSheetId="23" hidden="1">#REF!</definedName>
    <definedName name="BLPH94" localSheetId="31" hidden="1">#REF!</definedName>
    <definedName name="BLPH94" localSheetId="36" hidden="1">#REF!</definedName>
    <definedName name="BLPH94" localSheetId="37" hidden="1">#REF!</definedName>
    <definedName name="BLPH94" localSheetId="38" hidden="1">#REF!</definedName>
    <definedName name="BLPH94" localSheetId="45" hidden="1">#REF!</definedName>
    <definedName name="BLPH94" localSheetId="46" hidden="1">#REF!</definedName>
    <definedName name="BLPH94" localSheetId="48" hidden="1">#REF!</definedName>
    <definedName name="BLPH94" localSheetId="49" hidden="1">#REF!</definedName>
    <definedName name="BLPH94" localSheetId="50" hidden="1">#REF!</definedName>
    <definedName name="BLPH94" localSheetId="51" hidden="1">#REF!</definedName>
    <definedName name="BLPH94" localSheetId="52" hidden="1">#REF!</definedName>
    <definedName name="BLPH94" localSheetId="54" hidden="1">#REF!</definedName>
    <definedName name="BLPH94" localSheetId="55" hidden="1">#REF!</definedName>
    <definedName name="BLPH94" localSheetId="56" hidden="1">#REF!</definedName>
    <definedName name="BLPH94" localSheetId="57" hidden="1">#REF!</definedName>
    <definedName name="BLPH94" localSheetId="58" hidden="1">#REF!</definedName>
    <definedName name="BLPH94" localSheetId="70" hidden="1">#REF!</definedName>
    <definedName name="BLPH94" localSheetId="71" hidden="1">#REF!</definedName>
    <definedName name="BLPH94" localSheetId="73" hidden="1">#REF!</definedName>
    <definedName name="BLPH94" localSheetId="75" hidden="1">#REF!</definedName>
    <definedName name="BLPH94" localSheetId="76" hidden="1">#REF!</definedName>
    <definedName name="BLPH94" localSheetId="13" hidden="1">#REF!</definedName>
    <definedName name="BLPH94" localSheetId="12" hidden="1">#REF!</definedName>
    <definedName name="BLPH94" localSheetId="4" hidden="1">#REF!</definedName>
    <definedName name="BLPH94" hidden="1">#REF!</definedName>
    <definedName name="BLPH95" localSheetId="14" hidden="1">#REF!</definedName>
    <definedName name="BLPH95" localSheetId="19" hidden="1">#REF!</definedName>
    <definedName name="BLPH95" localSheetId="23" hidden="1">#REF!</definedName>
    <definedName name="BLPH95" localSheetId="31" hidden="1">#REF!</definedName>
    <definedName name="BLPH95" localSheetId="36" hidden="1">#REF!</definedName>
    <definedName name="BLPH95" localSheetId="37" hidden="1">#REF!</definedName>
    <definedName name="BLPH95" localSheetId="38" hidden="1">#REF!</definedName>
    <definedName name="BLPH95" localSheetId="45" hidden="1">#REF!</definedName>
    <definedName name="BLPH95" localSheetId="46" hidden="1">#REF!</definedName>
    <definedName name="BLPH95" localSheetId="48" hidden="1">#REF!</definedName>
    <definedName name="BLPH95" localSheetId="49" hidden="1">#REF!</definedName>
    <definedName name="BLPH95" localSheetId="50" hidden="1">#REF!</definedName>
    <definedName name="BLPH95" localSheetId="51" hidden="1">#REF!</definedName>
    <definedName name="BLPH95" localSheetId="52" hidden="1">#REF!</definedName>
    <definedName name="BLPH95" localSheetId="54" hidden="1">#REF!</definedName>
    <definedName name="BLPH95" localSheetId="55" hidden="1">#REF!</definedName>
    <definedName name="BLPH95" localSheetId="56" hidden="1">#REF!</definedName>
    <definedName name="BLPH95" localSheetId="57" hidden="1">#REF!</definedName>
    <definedName name="BLPH95" localSheetId="58" hidden="1">#REF!</definedName>
    <definedName name="BLPH95" localSheetId="70" hidden="1">#REF!</definedName>
    <definedName name="BLPH95" localSheetId="71" hidden="1">#REF!</definedName>
    <definedName name="BLPH95" localSheetId="73" hidden="1">#REF!</definedName>
    <definedName name="BLPH95" localSheetId="75" hidden="1">#REF!</definedName>
    <definedName name="BLPH95" localSheetId="76" hidden="1">#REF!</definedName>
    <definedName name="BLPH95" localSheetId="13" hidden="1">#REF!</definedName>
    <definedName name="BLPH95" localSheetId="12" hidden="1">#REF!</definedName>
    <definedName name="BLPH95" localSheetId="4" hidden="1">#REF!</definedName>
    <definedName name="BLPH95" hidden="1">#REF!</definedName>
    <definedName name="BLPH96" localSheetId="14" hidden="1">#REF!</definedName>
    <definedName name="BLPH96" localSheetId="19" hidden="1">#REF!</definedName>
    <definedName name="BLPH96" localSheetId="23" hidden="1">#REF!</definedName>
    <definedName name="BLPH96" localSheetId="31" hidden="1">#REF!</definedName>
    <definedName name="BLPH96" localSheetId="36" hidden="1">#REF!</definedName>
    <definedName name="BLPH96" localSheetId="37" hidden="1">#REF!</definedName>
    <definedName name="BLPH96" localSheetId="38" hidden="1">#REF!</definedName>
    <definedName name="BLPH96" localSheetId="45" hidden="1">#REF!</definedName>
    <definedName name="BLPH96" localSheetId="46" hidden="1">#REF!</definedName>
    <definedName name="BLPH96" localSheetId="48" hidden="1">#REF!</definedName>
    <definedName name="BLPH96" localSheetId="49" hidden="1">#REF!</definedName>
    <definedName name="BLPH96" localSheetId="50" hidden="1">#REF!</definedName>
    <definedName name="BLPH96" localSheetId="51" hidden="1">#REF!</definedName>
    <definedName name="BLPH96" localSheetId="52" hidden="1">#REF!</definedName>
    <definedName name="BLPH96" localSheetId="54" hidden="1">#REF!</definedName>
    <definedName name="BLPH96" localSheetId="55" hidden="1">#REF!</definedName>
    <definedName name="BLPH96" localSheetId="56" hidden="1">#REF!</definedName>
    <definedName name="BLPH96" localSheetId="57" hidden="1">#REF!</definedName>
    <definedName name="BLPH96" localSheetId="58" hidden="1">#REF!</definedName>
    <definedName name="BLPH96" localSheetId="70" hidden="1">#REF!</definedName>
    <definedName name="BLPH96" localSheetId="71" hidden="1">#REF!</definedName>
    <definedName name="BLPH96" localSheetId="73" hidden="1">#REF!</definedName>
    <definedName name="BLPH96" localSheetId="75" hidden="1">#REF!</definedName>
    <definedName name="BLPH96" localSheetId="76" hidden="1">#REF!</definedName>
    <definedName name="BLPH96" localSheetId="13" hidden="1">#REF!</definedName>
    <definedName name="BLPH96" localSheetId="12" hidden="1">#REF!</definedName>
    <definedName name="BLPH96" localSheetId="4" hidden="1">#REF!</definedName>
    <definedName name="BLPH96" hidden="1">#REF!</definedName>
    <definedName name="BLPH97" localSheetId="14" hidden="1">#REF!</definedName>
    <definedName name="BLPH97" localSheetId="19" hidden="1">#REF!</definedName>
    <definedName name="BLPH97" localSheetId="23" hidden="1">#REF!</definedName>
    <definedName name="BLPH97" localSheetId="31" hidden="1">#REF!</definedName>
    <definedName name="BLPH97" localSheetId="36" hidden="1">#REF!</definedName>
    <definedName name="BLPH97" localSheetId="37" hidden="1">#REF!</definedName>
    <definedName name="BLPH97" localSheetId="38" hidden="1">#REF!</definedName>
    <definedName name="BLPH97" localSheetId="45" hidden="1">#REF!</definedName>
    <definedName name="BLPH97" localSheetId="46" hidden="1">#REF!</definedName>
    <definedName name="BLPH97" localSheetId="48" hidden="1">#REF!</definedName>
    <definedName name="BLPH97" localSheetId="49" hidden="1">#REF!</definedName>
    <definedName name="BLPH97" localSheetId="50" hidden="1">#REF!</definedName>
    <definedName name="BLPH97" localSheetId="51" hidden="1">#REF!</definedName>
    <definedName name="BLPH97" localSheetId="52" hidden="1">#REF!</definedName>
    <definedName name="BLPH97" localSheetId="54" hidden="1">#REF!</definedName>
    <definedName name="BLPH97" localSheetId="55" hidden="1">#REF!</definedName>
    <definedName name="BLPH97" localSheetId="56" hidden="1">#REF!</definedName>
    <definedName name="BLPH97" localSheetId="57" hidden="1">#REF!</definedName>
    <definedName name="BLPH97" localSheetId="58" hidden="1">#REF!</definedName>
    <definedName name="BLPH97" localSheetId="70" hidden="1">#REF!</definedName>
    <definedName name="BLPH97" localSheetId="71" hidden="1">#REF!</definedName>
    <definedName name="BLPH97" localSheetId="73" hidden="1">#REF!</definedName>
    <definedName name="BLPH97" localSheetId="75" hidden="1">#REF!</definedName>
    <definedName name="BLPH97" localSheetId="76" hidden="1">#REF!</definedName>
    <definedName name="BLPH97" localSheetId="13" hidden="1">#REF!</definedName>
    <definedName name="BLPH97" localSheetId="12" hidden="1">#REF!</definedName>
    <definedName name="BLPH97" localSheetId="4" hidden="1">#REF!</definedName>
    <definedName name="BLPH97" hidden="1">#REF!</definedName>
    <definedName name="BLPH98" localSheetId="14" hidden="1">#REF!</definedName>
    <definedName name="BLPH98" localSheetId="19" hidden="1">#REF!</definedName>
    <definedName name="BLPH98" localSheetId="23" hidden="1">#REF!</definedName>
    <definedName name="BLPH98" localSheetId="31" hidden="1">#REF!</definedName>
    <definedName name="BLPH98" localSheetId="36" hidden="1">#REF!</definedName>
    <definedName name="BLPH98" localSheetId="37" hidden="1">#REF!</definedName>
    <definedName name="BLPH98" localSheetId="38" hidden="1">#REF!</definedName>
    <definedName name="BLPH98" localSheetId="45" hidden="1">#REF!</definedName>
    <definedName name="BLPH98" localSheetId="46" hidden="1">#REF!</definedName>
    <definedName name="BLPH98" localSheetId="48" hidden="1">#REF!</definedName>
    <definedName name="BLPH98" localSheetId="49" hidden="1">#REF!</definedName>
    <definedName name="BLPH98" localSheetId="50" hidden="1">#REF!</definedName>
    <definedName name="BLPH98" localSheetId="51" hidden="1">#REF!</definedName>
    <definedName name="BLPH98" localSheetId="52" hidden="1">#REF!</definedName>
    <definedName name="BLPH98" localSheetId="54" hidden="1">#REF!</definedName>
    <definedName name="BLPH98" localSheetId="55" hidden="1">#REF!</definedName>
    <definedName name="BLPH98" localSheetId="56" hidden="1">#REF!</definedName>
    <definedName name="BLPH98" localSheetId="57" hidden="1">#REF!</definedName>
    <definedName name="BLPH98" localSheetId="58" hidden="1">#REF!</definedName>
    <definedName name="BLPH98" localSheetId="70" hidden="1">#REF!</definedName>
    <definedName name="BLPH98" localSheetId="71" hidden="1">#REF!</definedName>
    <definedName name="BLPH98" localSheetId="73" hidden="1">#REF!</definedName>
    <definedName name="BLPH98" localSheetId="75" hidden="1">#REF!</definedName>
    <definedName name="BLPH98" localSheetId="76" hidden="1">#REF!</definedName>
    <definedName name="BLPH98" localSheetId="13" hidden="1">#REF!</definedName>
    <definedName name="BLPH98" localSheetId="12" hidden="1">#REF!</definedName>
    <definedName name="BLPH98" localSheetId="4" hidden="1">#REF!</definedName>
    <definedName name="BLPH98" hidden="1">#REF!</definedName>
    <definedName name="BLPH99" localSheetId="14" hidden="1">#REF!</definedName>
    <definedName name="BLPH99" localSheetId="19" hidden="1">#REF!</definedName>
    <definedName name="BLPH99" localSheetId="23" hidden="1">#REF!</definedName>
    <definedName name="BLPH99" localSheetId="31" hidden="1">#REF!</definedName>
    <definedName name="BLPH99" localSheetId="36" hidden="1">#REF!</definedName>
    <definedName name="BLPH99" localSheetId="37" hidden="1">#REF!</definedName>
    <definedName name="BLPH99" localSheetId="38" hidden="1">#REF!</definedName>
    <definedName name="BLPH99" localSheetId="45" hidden="1">#REF!</definedName>
    <definedName name="BLPH99" localSheetId="46" hidden="1">#REF!</definedName>
    <definedName name="BLPH99" localSheetId="48" hidden="1">#REF!</definedName>
    <definedName name="BLPH99" localSheetId="49" hidden="1">#REF!</definedName>
    <definedName name="BLPH99" localSheetId="50" hidden="1">#REF!</definedName>
    <definedName name="BLPH99" localSheetId="51" hidden="1">#REF!</definedName>
    <definedName name="BLPH99" localSheetId="52" hidden="1">#REF!</definedName>
    <definedName name="BLPH99" localSheetId="54" hidden="1">#REF!</definedName>
    <definedName name="BLPH99" localSheetId="55" hidden="1">#REF!</definedName>
    <definedName name="BLPH99" localSheetId="56" hidden="1">#REF!</definedName>
    <definedName name="BLPH99" localSheetId="57" hidden="1">#REF!</definedName>
    <definedName name="BLPH99" localSheetId="58" hidden="1">#REF!</definedName>
    <definedName name="BLPH99" localSheetId="70" hidden="1">#REF!</definedName>
    <definedName name="BLPH99" localSheetId="71" hidden="1">#REF!</definedName>
    <definedName name="BLPH99" localSheetId="73" hidden="1">#REF!</definedName>
    <definedName name="BLPH99" localSheetId="75" hidden="1">#REF!</definedName>
    <definedName name="BLPH99" localSheetId="76" hidden="1">#REF!</definedName>
    <definedName name="BLPH99" localSheetId="13" hidden="1">#REF!</definedName>
    <definedName name="BLPH99" localSheetId="12" hidden="1">#REF!</definedName>
    <definedName name="BLPH99" localSheetId="4" hidden="1">#REF!</definedName>
    <definedName name="BLPH99" hidden="1">#REF!</definedName>
    <definedName name="Cwvu.CapersView." localSheetId="5" hidden="1">[3]Sheet1!#REF!</definedName>
    <definedName name="Cwvu.CapersView." localSheetId="14" hidden="1">[3]Sheet1!#REF!</definedName>
    <definedName name="Cwvu.CapersView." localSheetId="19" hidden="1">[3]Sheet1!#REF!</definedName>
    <definedName name="Cwvu.CapersView." localSheetId="23" hidden="1">[3]Sheet1!#REF!</definedName>
    <definedName name="Cwvu.CapersView." localSheetId="26" hidden="1">[3]Sheet1!#REF!</definedName>
    <definedName name="Cwvu.CapersView." localSheetId="31" hidden="1">[3]Sheet1!#REF!</definedName>
    <definedName name="Cwvu.CapersView." localSheetId="36" hidden="1">[3]Sheet1!#REF!</definedName>
    <definedName name="Cwvu.CapersView." localSheetId="37" hidden="1">[3]Sheet1!#REF!</definedName>
    <definedName name="Cwvu.CapersView." localSheetId="38" hidden="1">[3]Sheet1!#REF!</definedName>
    <definedName name="Cwvu.CapersView." localSheetId="45" hidden="1">[3]Sheet1!#REF!</definedName>
    <definedName name="Cwvu.CapersView." localSheetId="46" hidden="1">[3]Sheet1!#REF!</definedName>
    <definedName name="Cwvu.CapersView." localSheetId="48" hidden="1">[3]Sheet1!#REF!</definedName>
    <definedName name="Cwvu.CapersView." localSheetId="49" hidden="1">[3]Sheet1!#REF!</definedName>
    <definedName name="Cwvu.CapersView." localSheetId="50" hidden="1">[3]Sheet1!#REF!</definedName>
    <definedName name="Cwvu.CapersView." localSheetId="51" hidden="1">[3]Sheet1!#REF!</definedName>
    <definedName name="Cwvu.CapersView." localSheetId="52" hidden="1">[3]Sheet1!#REF!</definedName>
    <definedName name="Cwvu.CapersView." localSheetId="54" hidden="1">[3]Sheet1!#REF!</definedName>
    <definedName name="Cwvu.CapersView." localSheetId="55" hidden="1">[3]Sheet1!#REF!</definedName>
    <definedName name="Cwvu.CapersView." localSheetId="56" hidden="1">[3]Sheet1!#REF!</definedName>
    <definedName name="Cwvu.CapersView." localSheetId="57" hidden="1">[3]Sheet1!#REF!</definedName>
    <definedName name="Cwvu.CapersView." localSheetId="58" hidden="1">[3]Sheet1!#REF!</definedName>
    <definedName name="Cwvu.CapersView." localSheetId="70" hidden="1">[3]Sheet1!#REF!</definedName>
    <definedName name="Cwvu.CapersView." localSheetId="71" hidden="1">[3]Sheet1!#REF!</definedName>
    <definedName name="Cwvu.CapersView." localSheetId="73" hidden="1">[3]Sheet1!#REF!</definedName>
    <definedName name="Cwvu.CapersView." localSheetId="75" hidden="1">[3]Sheet1!#REF!</definedName>
    <definedName name="Cwvu.CapersView." localSheetId="76" hidden="1">[3]Sheet1!#REF!</definedName>
    <definedName name="Cwvu.CapersView." localSheetId="13" hidden="1">[3]Sheet1!#REF!</definedName>
    <definedName name="Cwvu.CapersView." localSheetId="12" hidden="1">[3]Sheet1!#REF!</definedName>
    <definedName name="Cwvu.CapersView." hidden="1">[3]Sheet1!#REF!</definedName>
    <definedName name="Cwvu.Japan_Capers_Ed_Pub." localSheetId="5" hidden="1">[3]Sheet1!#REF!</definedName>
    <definedName name="Cwvu.Japan_Capers_Ed_Pub." localSheetId="14" hidden="1">[3]Sheet1!#REF!</definedName>
    <definedName name="Cwvu.Japan_Capers_Ed_Pub." localSheetId="19" hidden="1">[3]Sheet1!#REF!</definedName>
    <definedName name="Cwvu.Japan_Capers_Ed_Pub." localSheetId="23" hidden="1">[3]Sheet1!#REF!</definedName>
    <definedName name="Cwvu.Japan_Capers_Ed_Pub." localSheetId="26" hidden="1">[3]Sheet1!#REF!</definedName>
    <definedName name="Cwvu.Japan_Capers_Ed_Pub." localSheetId="31" hidden="1">[3]Sheet1!#REF!</definedName>
    <definedName name="Cwvu.Japan_Capers_Ed_Pub." localSheetId="36" hidden="1">[3]Sheet1!#REF!</definedName>
    <definedName name="Cwvu.Japan_Capers_Ed_Pub." localSheetId="37" hidden="1">[3]Sheet1!#REF!</definedName>
    <definedName name="Cwvu.Japan_Capers_Ed_Pub." localSheetId="38" hidden="1">[3]Sheet1!#REF!</definedName>
    <definedName name="Cwvu.Japan_Capers_Ed_Pub." localSheetId="45" hidden="1">[3]Sheet1!#REF!</definedName>
    <definedName name="Cwvu.Japan_Capers_Ed_Pub." localSheetId="46" hidden="1">[3]Sheet1!#REF!</definedName>
    <definedName name="Cwvu.Japan_Capers_Ed_Pub." localSheetId="48" hidden="1">[3]Sheet1!#REF!</definedName>
    <definedName name="Cwvu.Japan_Capers_Ed_Pub." localSheetId="49" hidden="1">[3]Sheet1!#REF!</definedName>
    <definedName name="Cwvu.Japan_Capers_Ed_Pub." localSheetId="50" hidden="1">[3]Sheet1!#REF!</definedName>
    <definedName name="Cwvu.Japan_Capers_Ed_Pub." localSheetId="51" hidden="1">[3]Sheet1!#REF!</definedName>
    <definedName name="Cwvu.Japan_Capers_Ed_Pub." localSheetId="52" hidden="1">[3]Sheet1!#REF!</definedName>
    <definedName name="Cwvu.Japan_Capers_Ed_Pub." localSheetId="54" hidden="1">[3]Sheet1!#REF!</definedName>
    <definedName name="Cwvu.Japan_Capers_Ed_Pub." localSheetId="55" hidden="1">[3]Sheet1!#REF!</definedName>
    <definedName name="Cwvu.Japan_Capers_Ed_Pub." localSheetId="56" hidden="1">[3]Sheet1!#REF!</definedName>
    <definedName name="Cwvu.Japan_Capers_Ed_Pub." localSheetId="57" hidden="1">[3]Sheet1!#REF!</definedName>
    <definedName name="Cwvu.Japan_Capers_Ed_Pub." localSheetId="58" hidden="1">[3]Sheet1!#REF!</definedName>
    <definedName name="Cwvu.Japan_Capers_Ed_Pub." localSheetId="70" hidden="1">[3]Sheet1!#REF!</definedName>
    <definedName name="Cwvu.Japan_Capers_Ed_Pub." localSheetId="71" hidden="1">[3]Sheet1!#REF!</definedName>
    <definedName name="Cwvu.Japan_Capers_Ed_Pub." localSheetId="73" hidden="1">[3]Sheet1!#REF!</definedName>
    <definedName name="Cwvu.Japan_Capers_Ed_Pub." localSheetId="75" hidden="1">[3]Sheet1!#REF!</definedName>
    <definedName name="Cwvu.Japan_Capers_Ed_Pub." localSheetId="76" hidden="1">[3]Sheet1!#REF!</definedName>
    <definedName name="Cwvu.Japan_Capers_Ed_Pub." localSheetId="13" hidden="1">[3]Sheet1!#REF!</definedName>
    <definedName name="Cwvu.Japan_Capers_Ed_Pub." localSheetId="12" hidden="1">[3]Sheet1!#REF!</definedName>
    <definedName name="Cwvu.Japan_Capers_Ed_Pub." hidden="1">[3]Sheet1!#REF!</definedName>
    <definedName name="f" localSheetId="5" hidden="1">{"'PRODUCTIONCOST SHEET'!$B$3:$G$48"}</definedName>
    <definedName name="f" localSheetId="6" hidden="1">{"'PRODUCTIONCOST SHEET'!$B$3:$G$48"}</definedName>
    <definedName name="f" localSheetId="10" hidden="1">{"'PRODUCTIONCOST SHEET'!$B$3:$G$48"}</definedName>
    <definedName name="f" localSheetId="11" hidden="1">{"'PRODUCTIONCOST SHEET'!$B$3:$G$48"}</definedName>
    <definedName name="f" localSheetId="75" hidden="1">{"'PRODUCTIONCOST SHEET'!$B$3:$G$48"}</definedName>
    <definedName name="f" localSheetId="76" hidden="1">{"'PRODUCTIONCOST SHEET'!$B$3:$G$48"}</definedName>
    <definedName name="f" localSheetId="4" hidden="1">{"'PRODUCTIONCOST SHEET'!$B$3:$G$48"}</definedName>
    <definedName name="f" hidden="1">{"'PRODUCTIONCOST SHEET'!$B$3:$G$48"}</definedName>
    <definedName name="ff" localSheetId="5" hidden="1">{#N/A,#N/A,FALSE,"PRJCTED MNTHLY QTY's"}</definedName>
    <definedName name="ff" localSheetId="6" hidden="1">{#N/A,#N/A,FALSE,"PRJCTED MNTHLY QTY's"}</definedName>
    <definedName name="ff" localSheetId="10" hidden="1">{#N/A,#N/A,FALSE,"PRJCTED MNTHLY QTY's"}</definedName>
    <definedName name="ff" localSheetId="11" hidden="1">{#N/A,#N/A,FALSE,"PRJCTED MNTHLY QTY's"}</definedName>
    <definedName name="ff" localSheetId="75" hidden="1">{#N/A,#N/A,FALSE,"PRJCTED MNTHLY QTY's"}</definedName>
    <definedName name="ff" localSheetId="76" hidden="1">{#N/A,#N/A,FALSE,"PRJCTED MNTHLY QTY's"}</definedName>
    <definedName name="ff" localSheetId="4" hidden="1">{#N/A,#N/A,FALSE,"PRJCTED MNTHLY QTY's"}</definedName>
    <definedName name="ff" hidden="1">{#N/A,#N/A,FALSE,"PRJCTED MNTHLY QTY's"}</definedName>
    <definedName name="fffff" localSheetId="5" hidden="1">{#N/A,#N/A,FALSE,"PRJCTED QTRLY QTY's"}</definedName>
    <definedName name="fffff" localSheetId="6" hidden="1">{#N/A,#N/A,FALSE,"PRJCTED QTRLY QTY's"}</definedName>
    <definedName name="fffff" localSheetId="10" hidden="1">{#N/A,#N/A,FALSE,"PRJCTED QTRLY QTY's"}</definedName>
    <definedName name="fffff" localSheetId="11" hidden="1">{#N/A,#N/A,FALSE,"PRJCTED QTRLY QTY's"}</definedName>
    <definedName name="fffff" localSheetId="75" hidden="1">{#N/A,#N/A,FALSE,"PRJCTED QTRLY QTY's"}</definedName>
    <definedName name="fffff" localSheetId="76" hidden="1">{#N/A,#N/A,FALSE,"PRJCTED QTRLY QTY's"}</definedName>
    <definedName name="fffff" localSheetId="4" hidden="1">{#N/A,#N/A,FALSE,"PRJCTED QTRLY QTY's"}</definedName>
    <definedName name="fffff" hidden="1">{#N/A,#N/A,FALSE,"PRJCTED QTRLY QTY's"}</definedName>
    <definedName name="gjk" localSheetId="5" hidden="1">{#N/A,#N/A,FALSE,"DI 2 YEAR MASTER SCHEDULE"}</definedName>
    <definedName name="gjk" localSheetId="6" hidden="1">{#N/A,#N/A,FALSE,"DI 2 YEAR MASTER SCHEDULE"}</definedName>
    <definedName name="gjk" localSheetId="10" hidden="1">{#N/A,#N/A,FALSE,"DI 2 YEAR MASTER SCHEDULE"}</definedName>
    <definedName name="gjk" localSheetId="11" hidden="1">{#N/A,#N/A,FALSE,"DI 2 YEAR MASTER SCHEDULE"}</definedName>
    <definedName name="gjk" localSheetId="75" hidden="1">{#N/A,#N/A,FALSE,"DI 2 YEAR MASTER SCHEDULE"}</definedName>
    <definedName name="gjk" localSheetId="76" hidden="1">{#N/A,#N/A,FALSE,"DI 2 YEAR MASTER SCHEDULE"}</definedName>
    <definedName name="gjk" localSheetId="4" hidden="1">{#N/A,#N/A,FALSE,"DI 2 YEAR MASTER SCHEDULE"}</definedName>
    <definedName name="gjk" hidden="1">{#N/A,#N/A,FALSE,"DI 2 YEAR MASTER SCHEDULE"}</definedName>
    <definedName name="gwge" localSheetId="10" hidden="1">#REF!</definedName>
    <definedName name="gwge" localSheetId="11" hidden="1">#REF!</definedName>
    <definedName name="gwge" localSheetId="36" hidden="1">#REF!</definedName>
    <definedName name="gwge" localSheetId="37" hidden="1">#REF!</definedName>
    <definedName name="gwge" localSheetId="57" hidden="1">#REF!</definedName>
    <definedName name="gwge" localSheetId="58" hidden="1">#REF!</definedName>
    <definedName name="gwge" localSheetId="70" hidden="1">#REF!</definedName>
    <definedName name="gwge" localSheetId="71" hidden="1">#REF!</definedName>
    <definedName name="gwge" localSheetId="73" hidden="1">#REF!</definedName>
    <definedName name="gwge" localSheetId="75" hidden="1">#REF!</definedName>
    <definedName name="gwge" localSheetId="76" hidden="1">#REF!</definedName>
    <definedName name="gwge" localSheetId="13" hidden="1">#REF!</definedName>
    <definedName name="gwge" localSheetId="12" hidden="1">#REF!</definedName>
    <definedName name="gwge" localSheetId="4" hidden="1">#REF!</definedName>
    <definedName name="gwge" hidden="1">#REF!</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5" hidden="1">{"'PRODUCTIONCOST SHEET'!$B$3:$G$48"}</definedName>
    <definedName name="HTML_Control" localSheetId="6" hidden="1">{"'PRODUCTIONCOST SHEET'!$B$3:$G$48"}</definedName>
    <definedName name="HTML_Control" localSheetId="10" hidden="1">{"'PRODUCTIONCOST SHEET'!$B$3:$G$48"}</definedName>
    <definedName name="HTML_Control" localSheetId="11" hidden="1">{"'PRODUCTIONCOST SHEET'!$B$3:$G$48"}</definedName>
    <definedName name="HTML_Control" localSheetId="75" hidden="1">{"'PRODUCTIONCOST SHEET'!$B$3:$G$48"}</definedName>
    <definedName name="HTML_Control" localSheetId="76" hidden="1">{"'PRODUCTIONCOST SHEET'!$B$3:$G$48"}</definedName>
    <definedName name="HTML_Control" localSheetId="4"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l" localSheetId="5" hidden="1">{#N/A,#N/A,FALSE,"DI 2 YEAR MASTER SCHEDULE"}</definedName>
    <definedName name="l" localSheetId="6" hidden="1">{#N/A,#N/A,FALSE,"DI 2 YEAR MASTER SCHEDULE"}</definedName>
    <definedName name="l" localSheetId="10" hidden="1">{#N/A,#N/A,FALSE,"DI 2 YEAR MASTER SCHEDULE"}</definedName>
    <definedName name="l" localSheetId="11" hidden="1">{#N/A,#N/A,FALSE,"DI 2 YEAR MASTER SCHEDULE"}</definedName>
    <definedName name="l" localSheetId="75" hidden="1">{#N/A,#N/A,FALSE,"DI 2 YEAR MASTER SCHEDULE"}</definedName>
    <definedName name="l" localSheetId="76" hidden="1">{#N/A,#N/A,FALSE,"DI 2 YEAR MASTER SCHEDULE"}</definedName>
    <definedName name="l" localSheetId="4" hidden="1">{#N/A,#N/A,FALSE,"DI 2 YEAR MASTER SCHEDULE"}</definedName>
    <definedName name="l" hidden="1">{#N/A,#N/A,FALSE,"DI 2 YEAR MASTER SCHEDULE"}</definedName>
    <definedName name="ListOffset" hidden="1">1</definedName>
    <definedName name="lkl" localSheetId="5" hidden="1">{#N/A,#N/A,FALSE,"DI 2 YEAR MASTER SCHEDULE"}</definedName>
    <definedName name="lkl" localSheetId="6" hidden="1">{#N/A,#N/A,FALSE,"DI 2 YEAR MASTER SCHEDULE"}</definedName>
    <definedName name="lkl" localSheetId="10" hidden="1">{#N/A,#N/A,FALSE,"DI 2 YEAR MASTER SCHEDULE"}</definedName>
    <definedName name="lkl" localSheetId="11" hidden="1">{#N/A,#N/A,FALSE,"DI 2 YEAR MASTER SCHEDULE"}</definedName>
    <definedName name="lkl" localSheetId="75" hidden="1">{#N/A,#N/A,FALSE,"DI 2 YEAR MASTER SCHEDULE"}</definedName>
    <definedName name="lkl" localSheetId="76" hidden="1">{#N/A,#N/A,FALSE,"DI 2 YEAR MASTER SCHEDULE"}</definedName>
    <definedName name="lkl" localSheetId="4" hidden="1">{#N/A,#N/A,FALSE,"DI 2 YEAR MASTER SCHEDULE"}</definedName>
    <definedName name="lkl" hidden="1">{#N/A,#N/A,FALSE,"DI 2 YEAR MASTER SCHEDULE"}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n" localSheetId="5" hidden="1">{#N/A,#N/A,FALSE,"PRJCTED QTRLY $'s"}</definedName>
    <definedName name="nn" localSheetId="6" hidden="1">{#N/A,#N/A,FALSE,"PRJCTED QTRLY $'s"}</definedName>
    <definedName name="nn" localSheetId="10" hidden="1">{#N/A,#N/A,FALSE,"PRJCTED QTRLY $'s"}</definedName>
    <definedName name="nn" localSheetId="11" hidden="1">{#N/A,#N/A,FALSE,"PRJCTED QTRLY $'s"}</definedName>
    <definedName name="nn" localSheetId="75" hidden="1">{#N/A,#N/A,FALSE,"PRJCTED QTRLY $'s"}</definedName>
    <definedName name="nn" localSheetId="76" hidden="1">{#N/A,#N/A,FALSE,"PRJCTED QTRLY $'s"}</definedName>
    <definedName name="nn" localSheetId="4" hidden="1">{#N/A,#N/A,FALSE,"PRJCTED QTRLY $'s"}</definedName>
    <definedName name="nn" hidden="1">{#N/A,#N/A,FALSE,"PRJCTED QTRLY $'s"}</definedName>
    <definedName name="Pal_Workbook_GUID" hidden="1">"LJ9YVKRJVQ1A1KNUG7XIT5A9"</definedName>
    <definedName name="_xlnm.Print_Area" localSheetId="5">'1.01_BPFM_Inputs'!$M$8:$Y$13</definedName>
    <definedName name="_xlnm.Print_Area" localSheetId="46">'4.00_Repex_Summary'!$B$8:$V$40</definedName>
    <definedName name="_xlnm.Print_Area" localSheetId="66">'5.08_Safety'!$B:$V</definedName>
    <definedName name="qs" localSheetId="5" hidden="1">{#N/A,#N/A,FALSE,"PRJCTED MNTHLY QTY's"}</definedName>
    <definedName name="qs" localSheetId="6" hidden="1">{#N/A,#N/A,FALSE,"PRJCTED MNTHLY QTY's"}</definedName>
    <definedName name="qs" localSheetId="10" hidden="1">{#N/A,#N/A,FALSE,"PRJCTED MNTHLY QTY's"}</definedName>
    <definedName name="qs" localSheetId="11" hidden="1">{#N/A,#N/A,FALSE,"PRJCTED MNTHLY QTY's"}</definedName>
    <definedName name="qs" localSheetId="75" hidden="1">{#N/A,#N/A,FALSE,"PRJCTED MNTHLY QTY's"}</definedName>
    <definedName name="qs" localSheetId="76" hidden="1">{#N/A,#N/A,FALSE,"PRJCTED MNTHLY QTY's"}</definedName>
    <definedName name="qs" localSheetId="4"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localSheetId="4" hidden="1">10000</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localSheetId="4"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14" hidden="1">#REF!</definedName>
    <definedName name="Rwvu.CapersView." localSheetId="19" hidden="1">#REF!</definedName>
    <definedName name="Rwvu.CapersView." localSheetId="23" hidden="1">#REF!</definedName>
    <definedName name="Rwvu.CapersView." localSheetId="26" hidden="1">#REF!</definedName>
    <definedName name="Rwvu.CapersView." localSheetId="31" hidden="1">#REF!</definedName>
    <definedName name="Rwvu.CapersView." localSheetId="36" hidden="1">#REF!</definedName>
    <definedName name="Rwvu.CapersView." localSheetId="37" hidden="1">#REF!</definedName>
    <definedName name="Rwvu.CapersView." localSheetId="38" hidden="1">#REF!</definedName>
    <definedName name="Rwvu.CapersView." localSheetId="45" hidden="1">#REF!</definedName>
    <definedName name="Rwvu.CapersView." localSheetId="46" hidden="1">#REF!</definedName>
    <definedName name="Rwvu.CapersView." localSheetId="48" hidden="1">#REF!</definedName>
    <definedName name="Rwvu.CapersView." localSheetId="49" hidden="1">#REF!</definedName>
    <definedName name="Rwvu.CapersView." localSheetId="50" hidden="1">#REF!</definedName>
    <definedName name="Rwvu.CapersView." localSheetId="51" hidden="1">#REF!</definedName>
    <definedName name="Rwvu.CapersView." localSheetId="52" hidden="1">#REF!</definedName>
    <definedName name="Rwvu.CapersView." localSheetId="54" hidden="1">#REF!</definedName>
    <definedName name="Rwvu.CapersView." localSheetId="55" hidden="1">#REF!</definedName>
    <definedName name="Rwvu.CapersView." localSheetId="56" hidden="1">#REF!</definedName>
    <definedName name="Rwvu.CapersView." localSheetId="57" hidden="1">#REF!</definedName>
    <definedName name="Rwvu.CapersView." localSheetId="58" hidden="1">#REF!</definedName>
    <definedName name="Rwvu.CapersView." localSheetId="70" hidden="1">#REF!</definedName>
    <definedName name="Rwvu.CapersView." localSheetId="71" hidden="1">#REF!</definedName>
    <definedName name="Rwvu.CapersView." localSheetId="73" hidden="1">#REF!</definedName>
    <definedName name="Rwvu.CapersView." localSheetId="75" hidden="1">#REF!</definedName>
    <definedName name="Rwvu.CapersView." localSheetId="76" hidden="1">#REF!</definedName>
    <definedName name="Rwvu.CapersView." localSheetId="13" hidden="1">#REF!</definedName>
    <definedName name="Rwvu.CapersView." localSheetId="12" hidden="1">#REF!</definedName>
    <definedName name="Rwvu.CapersView." localSheetId="4" hidden="1">#REF!</definedName>
    <definedName name="Rwvu.CapersView." hidden="1">#REF!</definedName>
    <definedName name="Rwvu.Japan_Capers_Ed_Pub." localSheetId="14" hidden="1">#REF!</definedName>
    <definedName name="Rwvu.Japan_Capers_Ed_Pub." localSheetId="19" hidden="1">#REF!</definedName>
    <definedName name="Rwvu.Japan_Capers_Ed_Pub." localSheetId="23" hidden="1">#REF!</definedName>
    <definedName name="Rwvu.Japan_Capers_Ed_Pub." localSheetId="26" hidden="1">#REF!</definedName>
    <definedName name="Rwvu.Japan_Capers_Ed_Pub." localSheetId="31" hidden="1">#REF!</definedName>
    <definedName name="Rwvu.Japan_Capers_Ed_Pub." localSheetId="36" hidden="1">#REF!</definedName>
    <definedName name="Rwvu.Japan_Capers_Ed_Pub." localSheetId="37" hidden="1">#REF!</definedName>
    <definedName name="Rwvu.Japan_Capers_Ed_Pub." localSheetId="38" hidden="1">#REF!</definedName>
    <definedName name="Rwvu.Japan_Capers_Ed_Pub." localSheetId="45" hidden="1">#REF!</definedName>
    <definedName name="Rwvu.Japan_Capers_Ed_Pub." localSheetId="46" hidden="1">#REF!</definedName>
    <definedName name="Rwvu.Japan_Capers_Ed_Pub." localSheetId="48" hidden="1">#REF!</definedName>
    <definedName name="Rwvu.Japan_Capers_Ed_Pub." localSheetId="49" hidden="1">#REF!</definedName>
    <definedName name="Rwvu.Japan_Capers_Ed_Pub." localSheetId="50" hidden="1">#REF!</definedName>
    <definedName name="Rwvu.Japan_Capers_Ed_Pub." localSheetId="51" hidden="1">#REF!</definedName>
    <definedName name="Rwvu.Japan_Capers_Ed_Pub." localSheetId="52" hidden="1">#REF!</definedName>
    <definedName name="Rwvu.Japan_Capers_Ed_Pub." localSheetId="54" hidden="1">#REF!</definedName>
    <definedName name="Rwvu.Japan_Capers_Ed_Pub." localSheetId="55" hidden="1">#REF!</definedName>
    <definedName name="Rwvu.Japan_Capers_Ed_Pub." localSheetId="56" hidden="1">#REF!</definedName>
    <definedName name="Rwvu.Japan_Capers_Ed_Pub." localSheetId="57" hidden="1">#REF!</definedName>
    <definedName name="Rwvu.Japan_Capers_Ed_Pub." localSheetId="58" hidden="1">#REF!</definedName>
    <definedName name="Rwvu.Japan_Capers_Ed_Pub." localSheetId="70" hidden="1">#REF!</definedName>
    <definedName name="Rwvu.Japan_Capers_Ed_Pub." localSheetId="71" hidden="1">#REF!</definedName>
    <definedName name="Rwvu.Japan_Capers_Ed_Pub." localSheetId="73" hidden="1">#REF!</definedName>
    <definedName name="Rwvu.Japan_Capers_Ed_Pub." localSheetId="75" hidden="1">#REF!</definedName>
    <definedName name="Rwvu.Japan_Capers_Ed_Pub." localSheetId="76" hidden="1">#REF!</definedName>
    <definedName name="Rwvu.Japan_Capers_Ed_Pub." localSheetId="13" hidden="1">#REF!</definedName>
    <definedName name="Rwvu.Japan_Capers_Ed_Pub." localSheetId="12" hidden="1">#REF!</definedName>
    <definedName name="Rwvu.Japan_Capers_Ed_Pub." localSheetId="4" hidden="1">#REF!</definedName>
    <definedName name="Rwvu.Japan_Capers_Ed_Pub." hidden="1">#REF!</definedName>
    <definedName name="Rwvu.KJP_CC." localSheetId="14" hidden="1">#REF!</definedName>
    <definedName name="Rwvu.KJP_CC." localSheetId="19" hidden="1">#REF!</definedName>
    <definedName name="Rwvu.KJP_CC." localSheetId="23" hidden="1">#REF!</definedName>
    <definedName name="Rwvu.KJP_CC." localSheetId="26" hidden="1">#REF!</definedName>
    <definedName name="Rwvu.KJP_CC." localSheetId="31" hidden="1">#REF!</definedName>
    <definedName name="Rwvu.KJP_CC." localSheetId="36" hidden="1">#REF!</definedName>
    <definedName name="Rwvu.KJP_CC." localSheetId="37" hidden="1">#REF!</definedName>
    <definedName name="Rwvu.KJP_CC." localSheetId="38" hidden="1">#REF!</definedName>
    <definedName name="Rwvu.KJP_CC." localSheetId="45" hidden="1">#REF!</definedName>
    <definedName name="Rwvu.KJP_CC." localSheetId="46" hidden="1">#REF!</definedName>
    <definedName name="Rwvu.KJP_CC." localSheetId="48" hidden="1">#REF!</definedName>
    <definedName name="Rwvu.KJP_CC." localSheetId="49" hidden="1">#REF!</definedName>
    <definedName name="Rwvu.KJP_CC." localSheetId="50" hidden="1">#REF!</definedName>
    <definedName name="Rwvu.KJP_CC." localSheetId="51" hidden="1">#REF!</definedName>
    <definedName name="Rwvu.KJP_CC." localSheetId="52" hidden="1">#REF!</definedName>
    <definedName name="Rwvu.KJP_CC." localSheetId="54" hidden="1">#REF!</definedName>
    <definedName name="Rwvu.KJP_CC." localSheetId="55" hidden="1">#REF!</definedName>
    <definedName name="Rwvu.KJP_CC." localSheetId="56" hidden="1">#REF!</definedName>
    <definedName name="Rwvu.KJP_CC." localSheetId="57" hidden="1">#REF!</definedName>
    <definedName name="Rwvu.KJP_CC." localSheetId="58" hidden="1">#REF!</definedName>
    <definedName name="Rwvu.KJP_CC." localSheetId="70" hidden="1">#REF!</definedName>
    <definedName name="Rwvu.KJP_CC." localSheetId="71" hidden="1">#REF!</definedName>
    <definedName name="Rwvu.KJP_CC." localSheetId="73" hidden="1">#REF!</definedName>
    <definedName name="Rwvu.KJP_CC." localSheetId="75" hidden="1">#REF!</definedName>
    <definedName name="Rwvu.KJP_CC." localSheetId="76" hidden="1">#REF!</definedName>
    <definedName name="Rwvu.KJP_CC." localSheetId="13" hidden="1">#REF!</definedName>
    <definedName name="Rwvu.KJP_CC." localSheetId="12" hidden="1">#REF!</definedName>
    <definedName name="Rwvu.KJP_CC." localSheetId="4"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localSheetId="14" hidden="1">[3]Sheet1!#REF!</definedName>
    <definedName name="Swvu.CapersView." localSheetId="19" hidden="1">[3]Sheet1!#REF!</definedName>
    <definedName name="Swvu.CapersView." localSheetId="23" hidden="1">[3]Sheet1!#REF!</definedName>
    <definedName name="Swvu.CapersView." localSheetId="26" hidden="1">[3]Sheet1!#REF!</definedName>
    <definedName name="Swvu.CapersView." localSheetId="31" hidden="1">[3]Sheet1!#REF!</definedName>
    <definedName name="Swvu.CapersView." localSheetId="36" hidden="1">[3]Sheet1!#REF!</definedName>
    <definedName name="Swvu.CapersView." localSheetId="37" hidden="1">[3]Sheet1!#REF!</definedName>
    <definedName name="Swvu.CapersView." localSheetId="38" hidden="1">[3]Sheet1!#REF!</definedName>
    <definedName name="Swvu.CapersView." localSheetId="45" hidden="1">[3]Sheet1!#REF!</definedName>
    <definedName name="Swvu.CapersView." localSheetId="46" hidden="1">[3]Sheet1!#REF!</definedName>
    <definedName name="Swvu.CapersView." localSheetId="48" hidden="1">[3]Sheet1!#REF!</definedName>
    <definedName name="Swvu.CapersView." localSheetId="49" hidden="1">[3]Sheet1!#REF!</definedName>
    <definedName name="Swvu.CapersView." localSheetId="50" hidden="1">[3]Sheet1!#REF!</definedName>
    <definedName name="Swvu.CapersView." localSheetId="51" hidden="1">[3]Sheet1!#REF!</definedName>
    <definedName name="Swvu.CapersView." localSheetId="52" hidden="1">[3]Sheet1!#REF!</definedName>
    <definedName name="Swvu.CapersView." localSheetId="54" hidden="1">[3]Sheet1!#REF!</definedName>
    <definedName name="Swvu.CapersView." localSheetId="55" hidden="1">[3]Sheet1!#REF!</definedName>
    <definedName name="Swvu.CapersView." localSheetId="56" hidden="1">[3]Sheet1!#REF!</definedName>
    <definedName name="Swvu.CapersView." localSheetId="57" hidden="1">[3]Sheet1!#REF!</definedName>
    <definedName name="Swvu.CapersView." localSheetId="58" hidden="1">[3]Sheet1!#REF!</definedName>
    <definedName name="Swvu.CapersView." localSheetId="70" hidden="1">[3]Sheet1!#REF!</definedName>
    <definedName name="Swvu.CapersView." localSheetId="71" hidden="1">[3]Sheet1!#REF!</definedName>
    <definedName name="Swvu.CapersView." localSheetId="73" hidden="1">[3]Sheet1!#REF!</definedName>
    <definedName name="Swvu.CapersView." localSheetId="75" hidden="1">[3]Sheet1!#REF!</definedName>
    <definedName name="Swvu.CapersView." localSheetId="76" hidden="1">[3]Sheet1!#REF!</definedName>
    <definedName name="Swvu.CapersView." localSheetId="13" hidden="1">[3]Sheet1!#REF!</definedName>
    <definedName name="Swvu.CapersView." localSheetId="12" hidden="1">[3]Sheet1!#REF!</definedName>
    <definedName name="Swvu.CapersView." localSheetId="4" hidden="1">[3]Sheet1!#REF!</definedName>
    <definedName name="Swvu.CapersView." hidden="1">[3]Sheet1!#REF!</definedName>
    <definedName name="Swvu.Japan_Capers_Ed_Pub." localSheetId="14" hidden="1">#REF!</definedName>
    <definedName name="Swvu.Japan_Capers_Ed_Pub." localSheetId="19" hidden="1">#REF!</definedName>
    <definedName name="Swvu.Japan_Capers_Ed_Pub." localSheetId="23" hidden="1">#REF!</definedName>
    <definedName name="Swvu.Japan_Capers_Ed_Pub." localSheetId="26" hidden="1">#REF!</definedName>
    <definedName name="Swvu.Japan_Capers_Ed_Pub." localSheetId="31" hidden="1">#REF!</definedName>
    <definedName name="Swvu.Japan_Capers_Ed_Pub." localSheetId="36" hidden="1">#REF!</definedName>
    <definedName name="Swvu.Japan_Capers_Ed_Pub." localSheetId="37" hidden="1">#REF!</definedName>
    <definedName name="Swvu.Japan_Capers_Ed_Pub." localSheetId="38" hidden="1">#REF!</definedName>
    <definedName name="Swvu.Japan_Capers_Ed_Pub." localSheetId="45" hidden="1">#REF!</definedName>
    <definedName name="Swvu.Japan_Capers_Ed_Pub." localSheetId="46" hidden="1">#REF!</definedName>
    <definedName name="Swvu.Japan_Capers_Ed_Pub." localSheetId="48" hidden="1">#REF!</definedName>
    <definedName name="Swvu.Japan_Capers_Ed_Pub." localSheetId="49" hidden="1">#REF!</definedName>
    <definedName name="Swvu.Japan_Capers_Ed_Pub." localSheetId="50" hidden="1">#REF!</definedName>
    <definedName name="Swvu.Japan_Capers_Ed_Pub." localSheetId="51" hidden="1">#REF!</definedName>
    <definedName name="Swvu.Japan_Capers_Ed_Pub." localSheetId="52" hidden="1">#REF!</definedName>
    <definedName name="Swvu.Japan_Capers_Ed_Pub." localSheetId="54" hidden="1">#REF!</definedName>
    <definedName name="Swvu.Japan_Capers_Ed_Pub." localSheetId="55" hidden="1">#REF!</definedName>
    <definedName name="Swvu.Japan_Capers_Ed_Pub." localSheetId="56" hidden="1">#REF!</definedName>
    <definedName name="Swvu.Japan_Capers_Ed_Pub." localSheetId="57" hidden="1">#REF!</definedName>
    <definedName name="Swvu.Japan_Capers_Ed_Pub." localSheetId="58" hidden="1">#REF!</definedName>
    <definedName name="Swvu.Japan_Capers_Ed_Pub." localSheetId="70" hidden="1">#REF!</definedName>
    <definedName name="Swvu.Japan_Capers_Ed_Pub." localSheetId="71" hidden="1">#REF!</definedName>
    <definedName name="Swvu.Japan_Capers_Ed_Pub." localSheetId="73" hidden="1">#REF!</definedName>
    <definedName name="Swvu.Japan_Capers_Ed_Pub." localSheetId="75" hidden="1">#REF!</definedName>
    <definedName name="Swvu.Japan_Capers_Ed_Pub." localSheetId="76" hidden="1">#REF!</definedName>
    <definedName name="Swvu.Japan_Capers_Ed_Pub." localSheetId="13" hidden="1">#REF!</definedName>
    <definedName name="Swvu.Japan_Capers_Ed_Pub." localSheetId="12" hidden="1">#REF!</definedName>
    <definedName name="Swvu.Japan_Capers_Ed_Pub." localSheetId="4" hidden="1">#REF!</definedName>
    <definedName name="Swvu.Japan_Capers_Ed_Pub." hidden="1">#REF!</definedName>
    <definedName name="Swvu.KJP_CC." localSheetId="14" hidden="1">#REF!</definedName>
    <definedName name="Swvu.KJP_CC." localSheetId="19" hidden="1">#REF!</definedName>
    <definedName name="Swvu.KJP_CC." localSheetId="23" hidden="1">#REF!</definedName>
    <definedName name="Swvu.KJP_CC." localSheetId="26" hidden="1">#REF!</definedName>
    <definedName name="Swvu.KJP_CC." localSheetId="31" hidden="1">#REF!</definedName>
    <definedName name="Swvu.KJP_CC." localSheetId="36" hidden="1">#REF!</definedName>
    <definedName name="Swvu.KJP_CC." localSheetId="37" hidden="1">#REF!</definedName>
    <definedName name="Swvu.KJP_CC." localSheetId="38" hidden="1">#REF!</definedName>
    <definedName name="Swvu.KJP_CC." localSheetId="45" hidden="1">#REF!</definedName>
    <definedName name="Swvu.KJP_CC." localSheetId="46" hidden="1">#REF!</definedName>
    <definedName name="Swvu.KJP_CC." localSheetId="48" hidden="1">#REF!</definedName>
    <definedName name="Swvu.KJP_CC." localSheetId="49" hidden="1">#REF!</definedName>
    <definedName name="Swvu.KJP_CC." localSheetId="50" hidden="1">#REF!</definedName>
    <definedName name="Swvu.KJP_CC." localSheetId="51" hidden="1">#REF!</definedName>
    <definedName name="Swvu.KJP_CC." localSheetId="52" hidden="1">#REF!</definedName>
    <definedName name="Swvu.KJP_CC." localSheetId="54" hidden="1">#REF!</definedName>
    <definedName name="Swvu.KJP_CC." localSheetId="55" hidden="1">#REF!</definedName>
    <definedName name="Swvu.KJP_CC." localSheetId="56" hidden="1">#REF!</definedName>
    <definedName name="Swvu.KJP_CC." localSheetId="57" hidden="1">#REF!</definedName>
    <definedName name="Swvu.KJP_CC." localSheetId="58" hidden="1">#REF!</definedName>
    <definedName name="Swvu.KJP_CC." localSheetId="70" hidden="1">#REF!</definedName>
    <definedName name="Swvu.KJP_CC." localSheetId="71" hidden="1">#REF!</definedName>
    <definedName name="Swvu.KJP_CC." localSheetId="73" hidden="1">#REF!</definedName>
    <definedName name="Swvu.KJP_CC." localSheetId="75" hidden="1">#REF!</definedName>
    <definedName name="Swvu.KJP_CC." localSheetId="76" hidden="1">#REF!</definedName>
    <definedName name="Swvu.KJP_CC." localSheetId="13" hidden="1">#REF!</definedName>
    <definedName name="Swvu.KJP_CC." localSheetId="12" hidden="1">#REF!</definedName>
    <definedName name="Swvu.KJP_CC." localSheetId="4"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5" hidden="1">{#VALUE!,#N/A,FALSE,0}</definedName>
    <definedName name="u" localSheetId="6" hidden="1">{#VALUE!,#N/A,FALSE,0}</definedName>
    <definedName name="u" localSheetId="10" hidden="1">{#VALUE!,#N/A,FALSE,0}</definedName>
    <definedName name="u" localSheetId="11" hidden="1">{#VALUE!,#N/A,FALSE,0}</definedName>
    <definedName name="u" localSheetId="75" hidden="1">{#VALUE!,#N/A,FALSE,0}</definedName>
    <definedName name="u" localSheetId="76" hidden="1">{#VALUE!,#N/A,FALSE,0}</definedName>
    <definedName name="u" localSheetId="4" hidden="1">{#VALUE!,#N/A,FALSE,0}</definedName>
    <definedName name="u" hidden="1">{#VALUE!,#N/A,FALSE,0}</definedName>
    <definedName name="UAG" localSheetId="5" hidden="1">{#N/A,#N/A,FALSE,"DI 2 YEAR MASTER SCHEDULE"}</definedName>
    <definedName name="UAG" localSheetId="6" hidden="1">{#N/A,#N/A,FALSE,"DI 2 YEAR MASTER SCHEDULE"}</definedName>
    <definedName name="UAG" localSheetId="10" hidden="1">{#N/A,#N/A,FALSE,"DI 2 YEAR MASTER SCHEDULE"}</definedName>
    <definedName name="UAG" localSheetId="11" hidden="1">{#N/A,#N/A,FALSE,"DI 2 YEAR MASTER SCHEDULE"}</definedName>
    <definedName name="UAG" localSheetId="75" hidden="1">{#N/A,#N/A,FALSE,"DI 2 YEAR MASTER SCHEDULE"}</definedName>
    <definedName name="UAG" localSheetId="76" hidden="1">{#N/A,#N/A,FALSE,"DI 2 YEAR MASTER SCHEDULE"}</definedName>
    <definedName name="UAG" localSheetId="4"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5" hidden="1">{"Japan_Capers_Ed_Pub",#N/A,FALSE,"DI 2 YEAR MASTER SCHEDULE"}</definedName>
    <definedName name="v" localSheetId="6" hidden="1">{"Japan_Capers_Ed_Pub",#N/A,FALSE,"DI 2 YEAR MASTER SCHEDULE"}</definedName>
    <definedName name="v" localSheetId="10" hidden="1">{"Japan_Capers_Ed_Pub",#N/A,FALSE,"DI 2 YEAR MASTER SCHEDULE"}</definedName>
    <definedName name="v" localSheetId="11" hidden="1">{"Japan_Capers_Ed_Pub",#N/A,FALSE,"DI 2 YEAR MASTER SCHEDULE"}</definedName>
    <definedName name="v" localSheetId="75" hidden="1">{"Japan_Capers_Ed_Pub",#N/A,FALSE,"DI 2 YEAR MASTER SCHEDULE"}</definedName>
    <definedName name="v" localSheetId="76" hidden="1">{"Japan_Capers_Ed_Pub",#N/A,FALSE,"DI 2 YEAR MASTER SCHEDULE"}</definedName>
    <definedName name="v" localSheetId="4" hidden="1">{"Japan_Capers_Ed_Pub",#N/A,FALSE,"DI 2 YEAR MASTER SCHEDULE"}</definedName>
    <definedName name="v" hidden="1">{"Japan_Capers_Ed_Pub",#N/A,FALSE,"DI 2 YEAR MASTER SCHEDULE"}</definedName>
    <definedName name="wrn.CapersPlotter." localSheetId="5" hidden="1">{#N/A,#N/A,FALSE,"DI 2 YEAR MASTER SCHEDULE"}</definedName>
    <definedName name="wrn.CapersPlotter." localSheetId="6" hidden="1">{#N/A,#N/A,FALSE,"DI 2 YEAR MASTER SCHEDULE"}</definedName>
    <definedName name="wrn.CapersPlotter." localSheetId="10" hidden="1">{#N/A,#N/A,FALSE,"DI 2 YEAR MASTER SCHEDULE"}</definedName>
    <definedName name="wrn.CapersPlotter." localSheetId="11" hidden="1">{#N/A,#N/A,FALSE,"DI 2 YEAR MASTER SCHEDULE"}</definedName>
    <definedName name="wrn.CapersPlotter." localSheetId="75" hidden="1">{#N/A,#N/A,FALSE,"DI 2 YEAR MASTER SCHEDULE"}</definedName>
    <definedName name="wrn.CapersPlotter." localSheetId="76" hidden="1">{#N/A,#N/A,FALSE,"DI 2 YEAR MASTER SCHEDULE"}</definedName>
    <definedName name="wrn.CapersPlotter." localSheetId="4" hidden="1">{#N/A,#N/A,FALSE,"DI 2 YEAR MASTER SCHEDULE"}</definedName>
    <definedName name="wrn.CapersPlotter." hidden="1">{#N/A,#N/A,FALSE,"DI 2 YEAR MASTER SCHEDULE"}</definedName>
    <definedName name="wrn.Edutainment._.Priority._.List." localSheetId="5" hidden="1">{#N/A,#N/A,FALSE,"DI 2 YEAR MASTER SCHEDULE"}</definedName>
    <definedName name="wrn.Edutainment._.Priority._.List." localSheetId="6" hidden="1">{#N/A,#N/A,FALSE,"DI 2 YEAR MASTER SCHEDULE"}</definedName>
    <definedName name="wrn.Edutainment._.Priority._.List." localSheetId="10" hidden="1">{#N/A,#N/A,FALSE,"DI 2 YEAR MASTER SCHEDULE"}</definedName>
    <definedName name="wrn.Edutainment._.Priority._.List." localSheetId="11" hidden="1">{#N/A,#N/A,FALSE,"DI 2 YEAR MASTER SCHEDULE"}</definedName>
    <definedName name="wrn.Edutainment._.Priority._.List." localSheetId="75" hidden="1">{#N/A,#N/A,FALSE,"DI 2 YEAR MASTER SCHEDULE"}</definedName>
    <definedName name="wrn.Edutainment._.Priority._.List." localSheetId="76" hidden="1">{#N/A,#N/A,FALSE,"DI 2 YEAR MASTER SCHEDULE"}</definedName>
    <definedName name="wrn.Edutainment._.Priority._.List." localSheetId="4" hidden="1">{#N/A,#N/A,FALSE,"DI 2 YEAR MASTER SCHEDULE"}</definedName>
    <definedName name="wrn.Edutainment._.Priority._.List." hidden="1">{#N/A,#N/A,FALSE,"DI 2 YEAR MASTER SCHEDULE"}</definedName>
    <definedName name="wrn.Japan_Capers_Ed._.Pub." localSheetId="5" hidden="1">{"Japan_Capers_Ed_Pub",#N/A,FALSE,"DI 2 YEAR MASTER SCHEDULE"}</definedName>
    <definedName name="wrn.Japan_Capers_Ed._.Pub." localSheetId="6" hidden="1">{"Japan_Capers_Ed_Pub",#N/A,FALSE,"DI 2 YEAR MASTER SCHEDULE"}</definedName>
    <definedName name="wrn.Japan_Capers_Ed._.Pub." localSheetId="10" hidden="1">{"Japan_Capers_Ed_Pub",#N/A,FALSE,"DI 2 YEAR MASTER SCHEDULE"}</definedName>
    <definedName name="wrn.Japan_Capers_Ed._.Pub." localSheetId="11" hidden="1">{"Japan_Capers_Ed_Pub",#N/A,FALSE,"DI 2 YEAR MASTER SCHEDULE"}</definedName>
    <definedName name="wrn.Japan_Capers_Ed._.Pub." localSheetId="75" hidden="1">{"Japan_Capers_Ed_Pub",#N/A,FALSE,"DI 2 YEAR MASTER SCHEDULE"}</definedName>
    <definedName name="wrn.Japan_Capers_Ed._.Pub." localSheetId="76" hidden="1">{"Japan_Capers_Ed_Pub",#N/A,FALSE,"DI 2 YEAR MASTER SCHEDULE"}</definedName>
    <definedName name="wrn.Japan_Capers_Ed._.Pub." localSheetId="4" hidden="1">{"Japan_Capers_Ed_Pub",#N/A,FALSE,"DI 2 YEAR MASTER SCHEDULE"}</definedName>
    <definedName name="wrn.Japan_Capers_Ed._.Pub." hidden="1">{"Japan_Capers_Ed_Pub",#N/A,FALSE,"DI 2 YEAR MASTER SCHEDULE"}</definedName>
    <definedName name="wrn.Priority._.list." localSheetId="5" hidden="1">{#N/A,#N/A,FALSE,"DI 2 YEAR MASTER SCHEDULE"}</definedName>
    <definedName name="wrn.Priority._.list." localSheetId="6" hidden="1">{#N/A,#N/A,FALSE,"DI 2 YEAR MASTER SCHEDULE"}</definedName>
    <definedName name="wrn.Priority._.list." localSheetId="10" hidden="1">{#N/A,#N/A,FALSE,"DI 2 YEAR MASTER SCHEDULE"}</definedName>
    <definedName name="wrn.Priority._.list." localSheetId="11" hidden="1">{#N/A,#N/A,FALSE,"DI 2 YEAR MASTER SCHEDULE"}</definedName>
    <definedName name="wrn.Priority._.list." localSheetId="75" hidden="1">{#N/A,#N/A,FALSE,"DI 2 YEAR MASTER SCHEDULE"}</definedName>
    <definedName name="wrn.Priority._.list." localSheetId="76" hidden="1">{#N/A,#N/A,FALSE,"DI 2 YEAR MASTER SCHEDULE"}</definedName>
    <definedName name="wrn.Priority._.list." localSheetId="4" hidden="1">{#N/A,#N/A,FALSE,"DI 2 YEAR MASTER SCHEDULE"}</definedName>
    <definedName name="wrn.Priority._.list." hidden="1">{#N/A,#N/A,FALSE,"DI 2 YEAR MASTER SCHEDULE"}</definedName>
    <definedName name="wrn.Prjcted._.Mnthly._.Qtys." localSheetId="5" hidden="1">{#N/A,#N/A,FALSE,"PRJCTED MNTHLY QTY's"}</definedName>
    <definedName name="wrn.Prjcted._.Mnthly._.Qtys." localSheetId="6" hidden="1">{#N/A,#N/A,FALSE,"PRJCTED MNTHLY QTY's"}</definedName>
    <definedName name="wrn.Prjcted._.Mnthly._.Qtys." localSheetId="10" hidden="1">{#N/A,#N/A,FALSE,"PRJCTED MNTHLY QTY's"}</definedName>
    <definedName name="wrn.Prjcted._.Mnthly._.Qtys." localSheetId="11" hidden="1">{#N/A,#N/A,FALSE,"PRJCTED MNTHLY QTY's"}</definedName>
    <definedName name="wrn.Prjcted._.Mnthly._.Qtys." localSheetId="75" hidden="1">{#N/A,#N/A,FALSE,"PRJCTED MNTHLY QTY's"}</definedName>
    <definedName name="wrn.Prjcted._.Mnthly._.Qtys." localSheetId="76" hidden="1">{#N/A,#N/A,FALSE,"PRJCTED MNTHLY QTY's"}</definedName>
    <definedName name="wrn.Prjcted._.Mnthly._.Qtys." localSheetId="4" hidden="1">{#N/A,#N/A,FALSE,"PRJCTED MNTHLY QTY's"}</definedName>
    <definedName name="wrn.Prjcted._.Mnthly._.Qtys." hidden="1">{#N/A,#N/A,FALSE,"PRJCTED MNTHLY QTY's"}</definedName>
    <definedName name="wrn.Prjcted._.Qtrly._.Dollars." localSheetId="5" hidden="1">{#N/A,#N/A,FALSE,"PRJCTED QTRLY $'s"}</definedName>
    <definedName name="wrn.Prjcted._.Qtrly._.Dollars." localSheetId="6" hidden="1">{#N/A,#N/A,FALSE,"PRJCTED QTRLY $'s"}</definedName>
    <definedName name="wrn.Prjcted._.Qtrly._.Dollars." localSheetId="10" hidden="1">{#N/A,#N/A,FALSE,"PRJCTED QTRLY $'s"}</definedName>
    <definedName name="wrn.Prjcted._.Qtrly._.Dollars." localSheetId="11" hidden="1">{#N/A,#N/A,FALSE,"PRJCTED QTRLY $'s"}</definedName>
    <definedName name="wrn.Prjcted._.Qtrly._.Dollars." localSheetId="75" hidden="1">{#N/A,#N/A,FALSE,"PRJCTED QTRLY $'s"}</definedName>
    <definedName name="wrn.Prjcted._.Qtrly._.Dollars." localSheetId="76" hidden="1">{#N/A,#N/A,FALSE,"PRJCTED QTRLY $'s"}</definedName>
    <definedName name="wrn.Prjcted._.Qtrly._.Dollars." localSheetId="4" hidden="1">{#N/A,#N/A,FALSE,"PRJCTED QTRLY $'s"}</definedName>
    <definedName name="wrn.Prjcted._.Qtrly._.Dollars." hidden="1">{#N/A,#N/A,FALSE,"PRJCTED QTRLY $'s"}</definedName>
    <definedName name="wrn.Prjcted._.Qtrly._.Qtys." localSheetId="5" hidden="1">{#N/A,#N/A,FALSE,"PRJCTED QTRLY QTY's"}</definedName>
    <definedName name="wrn.Prjcted._.Qtrly._.Qtys." localSheetId="6" hidden="1">{#N/A,#N/A,FALSE,"PRJCTED QTRLY QTY's"}</definedName>
    <definedName name="wrn.Prjcted._.Qtrly._.Qtys." localSheetId="10" hidden="1">{#N/A,#N/A,FALSE,"PRJCTED QTRLY QTY's"}</definedName>
    <definedName name="wrn.Prjcted._.Qtrly._.Qtys." localSheetId="11" hidden="1">{#N/A,#N/A,FALSE,"PRJCTED QTRLY QTY's"}</definedName>
    <definedName name="wrn.Prjcted._.Qtrly._.Qtys." localSheetId="75" hidden="1">{#N/A,#N/A,FALSE,"PRJCTED QTRLY QTY's"}</definedName>
    <definedName name="wrn.Prjcted._.Qtrly._.Qtys." localSheetId="76" hidden="1">{#N/A,#N/A,FALSE,"PRJCTED QTRLY QTY's"}</definedName>
    <definedName name="wrn.Prjcted._.Qtrly._.Qtys." localSheetId="4" hidden="1">{#N/A,#N/A,FALSE,"PRJCTED QTRLY QTY's"}</definedName>
    <definedName name="wrn.Prjcted._.Qtrly._.Qtys." hidden="1">{#N/A,#N/A,FALSE,"PRJCTED QTRLY QTY's"}</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5" hidden="1">{#N/A,#N/A,FALSE,"DI 2 YEAR MASTER SCHEDULE"}</definedName>
    <definedName name="x" localSheetId="6" hidden="1">{#N/A,#N/A,FALSE,"DI 2 YEAR MASTER SCHEDULE"}</definedName>
    <definedName name="x" localSheetId="10" hidden="1">{#N/A,#N/A,FALSE,"DI 2 YEAR MASTER SCHEDULE"}</definedName>
    <definedName name="x" localSheetId="11" hidden="1">{#N/A,#N/A,FALSE,"DI 2 YEAR MASTER SCHEDULE"}</definedName>
    <definedName name="x" localSheetId="75" hidden="1">{#N/A,#N/A,FALSE,"DI 2 YEAR MASTER SCHEDULE"}</definedName>
    <definedName name="x" localSheetId="76" hidden="1">{#N/A,#N/A,FALSE,"DI 2 YEAR MASTER SCHEDULE"}</definedName>
    <definedName name="x" localSheetId="4" hidden="1">{#N/A,#N/A,FALSE,"DI 2 YEAR MASTER SCHEDULE"}</definedName>
    <definedName name="x" hidden="1">{#N/A,#N/A,FALSE,"DI 2 YEAR MASTER SCHEDULE"}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7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7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5" hidden="1">{#N/A,#N/A,FALSE,"DI 2 YEAR MASTER SCHEDULE"}</definedName>
    <definedName name="z" localSheetId="6" hidden="1">{#N/A,#N/A,FALSE,"DI 2 YEAR MASTER SCHEDULE"}</definedName>
    <definedName name="z" localSheetId="10" hidden="1">{#N/A,#N/A,FALSE,"DI 2 YEAR MASTER SCHEDULE"}</definedName>
    <definedName name="z" localSheetId="11" hidden="1">{#N/A,#N/A,FALSE,"DI 2 YEAR MASTER SCHEDULE"}</definedName>
    <definedName name="z" localSheetId="75" hidden="1">{#N/A,#N/A,FALSE,"DI 2 YEAR MASTER SCHEDULE"}</definedName>
    <definedName name="z" localSheetId="76" hidden="1">{#N/A,#N/A,FALSE,"DI 2 YEAR MASTER SCHEDULE"}</definedName>
    <definedName name="z" localSheetId="4"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14" hidden="1">#REF!</definedName>
    <definedName name="Z_9A428CE1_B4D9_11D0_A8AA_0000C071AEE7_.wvu.PrintArea" localSheetId="19" hidden="1">#REF!</definedName>
    <definedName name="Z_9A428CE1_B4D9_11D0_A8AA_0000C071AEE7_.wvu.PrintArea" localSheetId="23" hidden="1">#REF!</definedName>
    <definedName name="Z_9A428CE1_B4D9_11D0_A8AA_0000C071AEE7_.wvu.PrintArea" localSheetId="26" hidden="1">#REF!</definedName>
    <definedName name="Z_9A428CE1_B4D9_11D0_A8AA_0000C071AEE7_.wvu.PrintArea" localSheetId="31" hidden="1">#REF!</definedName>
    <definedName name="Z_9A428CE1_B4D9_11D0_A8AA_0000C071AEE7_.wvu.PrintArea" localSheetId="36" hidden="1">#REF!</definedName>
    <definedName name="Z_9A428CE1_B4D9_11D0_A8AA_0000C071AEE7_.wvu.PrintArea" localSheetId="37" hidden="1">#REF!</definedName>
    <definedName name="Z_9A428CE1_B4D9_11D0_A8AA_0000C071AEE7_.wvu.PrintArea" localSheetId="38" hidden="1">#REF!</definedName>
    <definedName name="Z_9A428CE1_B4D9_11D0_A8AA_0000C071AEE7_.wvu.PrintArea" localSheetId="45" hidden="1">#REF!</definedName>
    <definedName name="Z_9A428CE1_B4D9_11D0_A8AA_0000C071AEE7_.wvu.PrintArea" localSheetId="46" hidden="1">#REF!</definedName>
    <definedName name="Z_9A428CE1_B4D9_11D0_A8AA_0000C071AEE7_.wvu.PrintArea" localSheetId="48" hidden="1">#REF!</definedName>
    <definedName name="Z_9A428CE1_B4D9_11D0_A8AA_0000C071AEE7_.wvu.PrintArea" localSheetId="49" hidden="1">#REF!</definedName>
    <definedName name="Z_9A428CE1_B4D9_11D0_A8AA_0000C071AEE7_.wvu.PrintArea" localSheetId="50" hidden="1">#REF!</definedName>
    <definedName name="Z_9A428CE1_B4D9_11D0_A8AA_0000C071AEE7_.wvu.PrintArea" localSheetId="51" hidden="1">#REF!</definedName>
    <definedName name="Z_9A428CE1_B4D9_11D0_A8AA_0000C071AEE7_.wvu.PrintArea" localSheetId="52" hidden="1">#REF!</definedName>
    <definedName name="Z_9A428CE1_B4D9_11D0_A8AA_0000C071AEE7_.wvu.PrintArea" localSheetId="54" hidden="1">#REF!</definedName>
    <definedName name="Z_9A428CE1_B4D9_11D0_A8AA_0000C071AEE7_.wvu.PrintArea" localSheetId="55" hidden="1">#REF!</definedName>
    <definedName name="Z_9A428CE1_B4D9_11D0_A8AA_0000C071AEE7_.wvu.PrintArea" localSheetId="56" hidden="1">#REF!</definedName>
    <definedName name="Z_9A428CE1_B4D9_11D0_A8AA_0000C071AEE7_.wvu.PrintArea" localSheetId="57" hidden="1">#REF!</definedName>
    <definedName name="Z_9A428CE1_B4D9_11D0_A8AA_0000C071AEE7_.wvu.PrintArea" localSheetId="58" hidden="1">#REF!</definedName>
    <definedName name="Z_9A428CE1_B4D9_11D0_A8AA_0000C071AEE7_.wvu.PrintArea" localSheetId="70" hidden="1">#REF!</definedName>
    <definedName name="Z_9A428CE1_B4D9_11D0_A8AA_0000C071AEE7_.wvu.PrintArea" localSheetId="71" hidden="1">#REF!</definedName>
    <definedName name="Z_9A428CE1_B4D9_11D0_A8AA_0000C071AEE7_.wvu.PrintArea" localSheetId="73" hidden="1">#REF!</definedName>
    <definedName name="Z_9A428CE1_B4D9_11D0_A8AA_0000C071AEE7_.wvu.PrintArea" localSheetId="75" hidden="1">#REF!</definedName>
    <definedName name="Z_9A428CE1_B4D9_11D0_A8AA_0000C071AEE7_.wvu.PrintArea" localSheetId="76" hidden="1">#REF!</definedName>
    <definedName name="Z_9A428CE1_B4D9_11D0_A8AA_0000C071AEE7_.wvu.PrintArea" localSheetId="13" hidden="1">#REF!</definedName>
    <definedName name="Z_9A428CE1_B4D9_11D0_A8AA_0000C071AEE7_.wvu.PrintArea" localSheetId="12" hidden="1">#REF!</definedName>
    <definedName name="Z_9A428CE1_B4D9_11D0_A8AA_0000C071AEE7_.wvu.PrintArea" localSheetId="4" hidden="1">#REF!</definedName>
    <definedName name="Z_9A428CE1_B4D9_11D0_A8AA_0000C071AEE7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X211" i="15" l="1"/>
  <c r="AX210" i="15"/>
  <c r="Q44" i="61" l="1"/>
  <c r="M44" i="61"/>
  <c r="AZ74" i="65" l="1"/>
  <c r="AY74" i="65"/>
  <c r="AX74" i="65"/>
  <c r="AW74" i="65"/>
  <c r="AV74" i="65"/>
  <c r="AU74" i="65"/>
  <c r="AT74" i="65"/>
  <c r="AS74" i="65"/>
  <c r="AR74" i="65"/>
  <c r="AQ74" i="65"/>
  <c r="AP74" i="65"/>
  <c r="AO74" i="65"/>
  <c r="AN74" i="65"/>
  <c r="U57" i="113" l="1"/>
  <c r="T57" i="113"/>
  <c r="S57" i="113"/>
  <c r="R57" i="113"/>
  <c r="Q57" i="113"/>
  <c r="U55" i="113"/>
  <c r="T55" i="113"/>
  <c r="S55" i="113"/>
  <c r="R55" i="113"/>
  <c r="Q55" i="113"/>
  <c r="Q153" i="54" l="1"/>
  <c r="P153" i="54"/>
  <c r="O153" i="54"/>
  <c r="N153" i="54"/>
  <c r="M153" i="54"/>
  <c r="L153" i="54"/>
  <c r="K153" i="54"/>
  <c r="J153" i="54"/>
  <c r="Q150" i="54"/>
  <c r="P150" i="54"/>
  <c r="O150" i="54"/>
  <c r="N150" i="54"/>
  <c r="M150" i="54"/>
  <c r="L150" i="54"/>
  <c r="K150" i="54"/>
  <c r="J150" i="54"/>
  <c r="Q149" i="54"/>
  <c r="P149" i="54"/>
  <c r="O149" i="54"/>
  <c r="N149" i="54"/>
  <c r="M149" i="54"/>
  <c r="L149" i="54"/>
  <c r="K149" i="54"/>
  <c r="J149" i="54"/>
  <c r="AV253" i="15" l="1"/>
  <c r="AS253" i="15"/>
  <c r="AR253" i="15"/>
  <c r="AQ253" i="15"/>
  <c r="AP253" i="15"/>
  <c r="AO253" i="15"/>
  <c r="AN253" i="15"/>
  <c r="AK253" i="15"/>
  <c r="AJ253" i="15"/>
  <c r="AI253" i="15"/>
  <c r="AH253" i="15"/>
  <c r="AG253" i="15"/>
  <c r="AF253" i="15"/>
  <c r="AE253" i="15"/>
  <c r="AD253" i="15"/>
  <c r="AC253" i="15"/>
  <c r="AB253" i="15"/>
  <c r="AA253" i="15"/>
  <c r="Z253" i="15"/>
  <c r="Y253" i="15"/>
  <c r="V253" i="15"/>
  <c r="U253" i="15"/>
  <c r="T253" i="15"/>
  <c r="S253" i="15"/>
  <c r="R253" i="15"/>
  <c r="Q253" i="15"/>
  <c r="P253" i="15"/>
  <c r="O253" i="15"/>
  <c r="N253" i="15"/>
  <c r="M253" i="15"/>
  <c r="L253" i="15"/>
  <c r="K253" i="15"/>
  <c r="J253" i="15"/>
  <c r="AV247" i="15"/>
  <c r="AS247" i="15"/>
  <c r="AR247" i="15"/>
  <c r="AQ247" i="15"/>
  <c r="AP247" i="15"/>
  <c r="AO247" i="15"/>
  <c r="AN247" i="15"/>
  <c r="AK247" i="15"/>
  <c r="AJ247" i="15"/>
  <c r="AI247" i="15"/>
  <c r="AH247" i="15"/>
  <c r="AG247" i="15"/>
  <c r="AF247" i="15"/>
  <c r="AE247" i="15"/>
  <c r="AD247" i="15"/>
  <c r="AC247" i="15"/>
  <c r="AB247" i="15"/>
  <c r="AA247" i="15"/>
  <c r="Z247" i="15"/>
  <c r="Y247" i="15"/>
  <c r="V247" i="15"/>
  <c r="U247" i="15"/>
  <c r="T247" i="15"/>
  <c r="S247" i="15"/>
  <c r="R247" i="15"/>
  <c r="Q247" i="15"/>
  <c r="P247" i="15"/>
  <c r="O247" i="15"/>
  <c r="N247" i="15"/>
  <c r="M247" i="15"/>
  <c r="L247" i="15"/>
  <c r="K247" i="15"/>
  <c r="J247" i="15"/>
  <c r="AV236" i="15"/>
  <c r="AS236" i="15"/>
  <c r="AR236" i="15"/>
  <c r="AQ236" i="15"/>
  <c r="AP236" i="15"/>
  <c r="AO236" i="15"/>
  <c r="AN236" i="15"/>
  <c r="AK236" i="15"/>
  <c r="AJ236" i="15"/>
  <c r="AI236" i="15"/>
  <c r="AH236" i="15"/>
  <c r="AG236" i="15"/>
  <c r="AF236" i="15"/>
  <c r="AE236" i="15"/>
  <c r="AD236" i="15"/>
  <c r="AC236" i="15"/>
  <c r="AB236" i="15"/>
  <c r="AA236" i="15"/>
  <c r="Z236" i="15"/>
  <c r="Y236" i="15"/>
  <c r="V236" i="15"/>
  <c r="U236" i="15"/>
  <c r="T236" i="15"/>
  <c r="S236" i="15"/>
  <c r="R236" i="15"/>
  <c r="Q236" i="15"/>
  <c r="P236" i="15"/>
  <c r="O236" i="15"/>
  <c r="N236" i="15"/>
  <c r="M236" i="15"/>
  <c r="L236" i="15"/>
  <c r="K236" i="15"/>
  <c r="J236" i="15"/>
  <c r="AV230" i="15"/>
  <c r="AS230" i="15"/>
  <c r="AR230" i="15"/>
  <c r="AQ230" i="15"/>
  <c r="AQ238" i="15" s="1"/>
  <c r="AP230" i="15"/>
  <c r="AO230" i="15"/>
  <c r="AN230" i="15"/>
  <c r="AK230" i="15"/>
  <c r="AK238" i="15" s="1"/>
  <c r="AJ230" i="15"/>
  <c r="AI230" i="15"/>
  <c r="AH230" i="15"/>
  <c r="AG230" i="15"/>
  <c r="AG238" i="15" s="1"/>
  <c r="AF230" i="15"/>
  <c r="AE230" i="15"/>
  <c r="AD230" i="15"/>
  <c r="AC230" i="15"/>
  <c r="AC238" i="15" s="1"/>
  <c r="AB230" i="15"/>
  <c r="AA230" i="15"/>
  <c r="Z230" i="15"/>
  <c r="Y230" i="15"/>
  <c r="Y238" i="15" s="1"/>
  <c r="V230" i="15"/>
  <c r="U230" i="15"/>
  <c r="T230" i="15"/>
  <c r="S230" i="15"/>
  <c r="S238" i="15" s="1"/>
  <c r="R230" i="15"/>
  <c r="Q230" i="15"/>
  <c r="P230" i="15"/>
  <c r="O230" i="15"/>
  <c r="O238" i="15" s="1"/>
  <c r="N230" i="15"/>
  <c r="M230" i="15"/>
  <c r="L230" i="15"/>
  <c r="K230" i="15"/>
  <c r="K238" i="15" s="1"/>
  <c r="J230" i="15"/>
  <c r="AV190" i="15"/>
  <c r="AS190" i="15"/>
  <c r="AR190" i="15"/>
  <c r="AQ190" i="15"/>
  <c r="AP190" i="15"/>
  <c r="AO190" i="15"/>
  <c r="AN190" i="15"/>
  <c r="AK190" i="15"/>
  <c r="AJ190" i="15"/>
  <c r="AI190" i="15"/>
  <c r="AH190" i="15"/>
  <c r="AG190" i="15"/>
  <c r="AF190" i="15"/>
  <c r="AE190" i="15"/>
  <c r="AD190" i="15"/>
  <c r="AC190" i="15"/>
  <c r="AB190" i="15"/>
  <c r="AA190" i="15"/>
  <c r="Z190" i="15"/>
  <c r="Y190" i="15"/>
  <c r="V190" i="15"/>
  <c r="U190" i="15"/>
  <c r="T190" i="15"/>
  <c r="S190" i="15"/>
  <c r="R190" i="15"/>
  <c r="Q190" i="15"/>
  <c r="P190" i="15"/>
  <c r="O190" i="15"/>
  <c r="N190" i="15"/>
  <c r="M190" i="15"/>
  <c r="L190" i="15"/>
  <c r="K190" i="15"/>
  <c r="J190" i="15"/>
  <c r="AV173" i="15"/>
  <c r="AS173" i="15"/>
  <c r="AR173" i="15"/>
  <c r="AQ173" i="15"/>
  <c r="AP173" i="15"/>
  <c r="AO173" i="15"/>
  <c r="AN173" i="15"/>
  <c r="AK173" i="15"/>
  <c r="AJ173" i="15"/>
  <c r="AI173" i="15"/>
  <c r="AH173" i="15"/>
  <c r="AG173" i="15"/>
  <c r="AF173" i="15"/>
  <c r="AE173" i="15"/>
  <c r="AD173" i="15"/>
  <c r="AC173" i="15"/>
  <c r="AB173" i="15"/>
  <c r="AA173" i="15"/>
  <c r="Z173" i="15"/>
  <c r="Y173" i="15"/>
  <c r="V173" i="15"/>
  <c r="U173" i="15"/>
  <c r="T173" i="15"/>
  <c r="S173" i="15"/>
  <c r="R173" i="15"/>
  <c r="Q173" i="15"/>
  <c r="P173" i="15"/>
  <c r="O173" i="15"/>
  <c r="N173" i="15"/>
  <c r="M173" i="15"/>
  <c r="L173" i="15"/>
  <c r="K173" i="15"/>
  <c r="J173" i="15"/>
  <c r="AV161" i="15"/>
  <c r="AS161" i="15"/>
  <c r="AR161" i="15"/>
  <c r="AQ161" i="15"/>
  <c r="AP161" i="15"/>
  <c r="AO161" i="15"/>
  <c r="AN161" i="15"/>
  <c r="AK161" i="15"/>
  <c r="AJ161" i="15"/>
  <c r="AI161" i="15"/>
  <c r="AH161" i="15"/>
  <c r="AG161" i="15"/>
  <c r="AF161" i="15"/>
  <c r="AE161" i="15"/>
  <c r="AD161" i="15"/>
  <c r="AC161" i="15"/>
  <c r="AB161" i="15"/>
  <c r="AA161" i="15"/>
  <c r="Z161" i="15"/>
  <c r="Y161" i="15"/>
  <c r="V161" i="15"/>
  <c r="U161" i="15"/>
  <c r="T161" i="15"/>
  <c r="S161" i="15"/>
  <c r="R161" i="15"/>
  <c r="Q161" i="15"/>
  <c r="P161" i="15"/>
  <c r="O161" i="15"/>
  <c r="N161" i="15"/>
  <c r="M161" i="15"/>
  <c r="L161" i="15"/>
  <c r="K161" i="15"/>
  <c r="J161" i="15"/>
  <c r="AV149" i="15"/>
  <c r="AS149" i="15"/>
  <c r="AR149" i="15"/>
  <c r="AQ149" i="15"/>
  <c r="AP149" i="15"/>
  <c r="AO149" i="15"/>
  <c r="AN149" i="15"/>
  <c r="AK149" i="15"/>
  <c r="AJ149" i="15"/>
  <c r="AI149" i="15"/>
  <c r="AH149" i="15"/>
  <c r="AG149" i="15"/>
  <c r="AF149" i="15"/>
  <c r="AE149" i="15"/>
  <c r="AD149" i="15"/>
  <c r="AC149" i="15"/>
  <c r="AB149" i="15"/>
  <c r="AA149" i="15"/>
  <c r="Z149" i="15"/>
  <c r="Y149" i="15"/>
  <c r="V149" i="15"/>
  <c r="U149" i="15"/>
  <c r="T149" i="15"/>
  <c r="S149" i="15"/>
  <c r="R149" i="15"/>
  <c r="Q149" i="15"/>
  <c r="P149" i="15"/>
  <c r="O149" i="15"/>
  <c r="N149" i="15"/>
  <c r="M149" i="15"/>
  <c r="L149" i="15"/>
  <c r="K149" i="15"/>
  <c r="J149" i="15"/>
  <c r="AV137" i="15"/>
  <c r="AS137" i="15"/>
  <c r="AR137" i="15"/>
  <c r="AQ137" i="15"/>
  <c r="AP137" i="15"/>
  <c r="AO137" i="15"/>
  <c r="AN137" i="15"/>
  <c r="AK137" i="15"/>
  <c r="AJ137" i="15"/>
  <c r="AI137" i="15"/>
  <c r="AH137" i="15"/>
  <c r="AG137" i="15"/>
  <c r="AF137" i="15"/>
  <c r="AE137" i="15"/>
  <c r="AD137" i="15"/>
  <c r="AC137" i="15"/>
  <c r="AB137" i="15"/>
  <c r="AA137" i="15"/>
  <c r="Z137" i="15"/>
  <c r="Y137" i="15"/>
  <c r="V137" i="15"/>
  <c r="U137" i="15"/>
  <c r="T137" i="15"/>
  <c r="S137" i="15"/>
  <c r="R137" i="15"/>
  <c r="Q137" i="15"/>
  <c r="P137" i="15"/>
  <c r="O137" i="15"/>
  <c r="N137" i="15"/>
  <c r="M137" i="15"/>
  <c r="L137" i="15"/>
  <c r="K137" i="15"/>
  <c r="J137" i="15"/>
  <c r="AV125" i="15"/>
  <c r="AS125" i="15"/>
  <c r="AR125" i="15"/>
  <c r="AQ125" i="15"/>
  <c r="AP125" i="15"/>
  <c r="AO125" i="15"/>
  <c r="AN125" i="15"/>
  <c r="AK125" i="15"/>
  <c r="AJ125" i="15"/>
  <c r="AI125" i="15"/>
  <c r="AH125" i="15"/>
  <c r="AG125" i="15"/>
  <c r="AF125" i="15"/>
  <c r="AE125" i="15"/>
  <c r="AD125" i="15"/>
  <c r="AC125" i="15"/>
  <c r="AB125" i="15"/>
  <c r="AA125" i="15"/>
  <c r="Z125" i="15"/>
  <c r="Y125" i="15"/>
  <c r="V125" i="15"/>
  <c r="U125" i="15"/>
  <c r="T125" i="15"/>
  <c r="S125" i="15"/>
  <c r="R125" i="15"/>
  <c r="Q125" i="15"/>
  <c r="P125" i="15"/>
  <c r="O125" i="15"/>
  <c r="N125" i="15"/>
  <c r="M125" i="15"/>
  <c r="L125" i="15"/>
  <c r="K125" i="15"/>
  <c r="J125" i="15"/>
  <c r="AV113" i="15"/>
  <c r="AS113" i="15"/>
  <c r="AR113" i="15"/>
  <c r="AQ113" i="15"/>
  <c r="AP113" i="15"/>
  <c r="AO113" i="15"/>
  <c r="AN113" i="15"/>
  <c r="AK113" i="15"/>
  <c r="AJ113" i="15"/>
  <c r="AI113" i="15"/>
  <c r="AH113" i="15"/>
  <c r="AG113" i="15"/>
  <c r="AF113" i="15"/>
  <c r="AE113" i="15"/>
  <c r="AD113" i="15"/>
  <c r="AC113" i="15"/>
  <c r="AB113" i="15"/>
  <c r="AA113" i="15"/>
  <c r="Z113" i="15"/>
  <c r="Y113" i="15"/>
  <c r="V113" i="15"/>
  <c r="U113" i="15"/>
  <c r="T113" i="15"/>
  <c r="S113" i="15"/>
  <c r="R113" i="15"/>
  <c r="Q113" i="15"/>
  <c r="P113" i="15"/>
  <c r="O113" i="15"/>
  <c r="N113" i="15"/>
  <c r="M113" i="15"/>
  <c r="L113" i="15"/>
  <c r="K113" i="15"/>
  <c r="J113" i="15"/>
  <c r="AV96" i="15"/>
  <c r="AS96" i="15"/>
  <c r="AR96" i="15"/>
  <c r="AQ96" i="15"/>
  <c r="AP96" i="15"/>
  <c r="AO96" i="15"/>
  <c r="AN96" i="15"/>
  <c r="AK96" i="15"/>
  <c r="AJ96" i="15"/>
  <c r="AI96" i="15"/>
  <c r="AH96" i="15"/>
  <c r="AG96" i="15"/>
  <c r="AF96" i="15"/>
  <c r="AE96" i="15"/>
  <c r="AD96" i="15"/>
  <c r="AC96" i="15"/>
  <c r="AB96" i="15"/>
  <c r="AA96" i="15"/>
  <c r="Z96" i="15"/>
  <c r="Y96" i="15"/>
  <c r="V96" i="15"/>
  <c r="U96" i="15"/>
  <c r="T96" i="15"/>
  <c r="S96" i="15"/>
  <c r="R96" i="15"/>
  <c r="Q96" i="15"/>
  <c r="P96" i="15"/>
  <c r="O96" i="15"/>
  <c r="N96" i="15"/>
  <c r="M96" i="15"/>
  <c r="L96" i="15"/>
  <c r="K96" i="15"/>
  <c r="J96" i="15"/>
  <c r="AV84" i="15"/>
  <c r="AS84" i="15"/>
  <c r="AR84" i="15"/>
  <c r="AQ84" i="15"/>
  <c r="AP84" i="15"/>
  <c r="AO84" i="15"/>
  <c r="AN84" i="15"/>
  <c r="AK84" i="15"/>
  <c r="AJ84" i="15"/>
  <c r="AI84" i="15"/>
  <c r="AH84" i="15"/>
  <c r="AG84" i="15"/>
  <c r="AF84" i="15"/>
  <c r="AE84" i="15"/>
  <c r="AD84" i="15"/>
  <c r="AC84" i="15"/>
  <c r="AB84" i="15"/>
  <c r="AA84" i="15"/>
  <c r="Z84" i="15"/>
  <c r="Y84" i="15"/>
  <c r="V84" i="15"/>
  <c r="U84" i="15"/>
  <c r="T84" i="15"/>
  <c r="S84" i="15"/>
  <c r="R84" i="15"/>
  <c r="Q84" i="15"/>
  <c r="P84" i="15"/>
  <c r="O84" i="15"/>
  <c r="N84" i="15"/>
  <c r="M84" i="15"/>
  <c r="L84" i="15"/>
  <c r="K84" i="15"/>
  <c r="J84" i="15"/>
  <c r="AV72" i="15"/>
  <c r="AS72" i="15"/>
  <c r="AR72" i="15"/>
  <c r="AQ72" i="15"/>
  <c r="AP72" i="15"/>
  <c r="AO72" i="15"/>
  <c r="AN72" i="15"/>
  <c r="AK72" i="15"/>
  <c r="AJ72" i="15"/>
  <c r="AI72" i="15"/>
  <c r="AH72" i="15"/>
  <c r="AG72" i="15"/>
  <c r="AF72" i="15"/>
  <c r="AE72" i="15"/>
  <c r="AD72" i="15"/>
  <c r="AC72" i="15"/>
  <c r="AB72" i="15"/>
  <c r="AA72" i="15"/>
  <c r="Z72" i="15"/>
  <c r="Y72" i="15"/>
  <c r="V72" i="15"/>
  <c r="U72" i="15"/>
  <c r="T72" i="15"/>
  <c r="S72" i="15"/>
  <c r="R72" i="15"/>
  <c r="Q72" i="15"/>
  <c r="P72" i="15"/>
  <c r="O72" i="15"/>
  <c r="N72" i="15"/>
  <c r="M72" i="15"/>
  <c r="L72" i="15"/>
  <c r="K72" i="15"/>
  <c r="J72" i="15"/>
  <c r="AV60" i="15"/>
  <c r="AS60" i="15"/>
  <c r="AR60" i="15"/>
  <c r="AQ60" i="15"/>
  <c r="AP60" i="15"/>
  <c r="AO60" i="15"/>
  <c r="AN60" i="15"/>
  <c r="AK60" i="15"/>
  <c r="AJ60" i="15"/>
  <c r="AI60" i="15"/>
  <c r="AH60" i="15"/>
  <c r="AG60" i="15"/>
  <c r="AF60" i="15"/>
  <c r="AE60" i="15"/>
  <c r="AD60" i="15"/>
  <c r="AC60" i="15"/>
  <c r="AB60" i="15"/>
  <c r="AA60" i="15"/>
  <c r="Z60" i="15"/>
  <c r="Y60" i="15"/>
  <c r="V60" i="15"/>
  <c r="U60" i="15"/>
  <c r="T60" i="15"/>
  <c r="S60" i="15"/>
  <c r="R60" i="15"/>
  <c r="Q60" i="15"/>
  <c r="P60" i="15"/>
  <c r="O60" i="15"/>
  <c r="N60" i="15"/>
  <c r="M60" i="15"/>
  <c r="L60" i="15"/>
  <c r="K60" i="15"/>
  <c r="J60" i="15"/>
  <c r="AV48" i="15"/>
  <c r="AS48" i="15"/>
  <c r="AR48" i="15"/>
  <c r="AQ48" i="15"/>
  <c r="AP48" i="15"/>
  <c r="AO48" i="15"/>
  <c r="AN48" i="15"/>
  <c r="AK48" i="15"/>
  <c r="AJ48" i="15"/>
  <c r="AI48" i="15"/>
  <c r="AH48" i="15"/>
  <c r="AG48" i="15"/>
  <c r="AF48" i="15"/>
  <c r="AE48" i="15"/>
  <c r="AD48" i="15"/>
  <c r="AC48" i="15"/>
  <c r="AB48" i="15"/>
  <c r="AA48" i="15"/>
  <c r="Z48" i="15"/>
  <c r="Y48" i="15"/>
  <c r="V48" i="15"/>
  <c r="U48" i="15"/>
  <c r="T48" i="15"/>
  <c r="S48" i="15"/>
  <c r="R48" i="15"/>
  <c r="Q48" i="15"/>
  <c r="P48" i="15"/>
  <c r="O48" i="15"/>
  <c r="N48" i="15"/>
  <c r="M48" i="15"/>
  <c r="L48" i="15"/>
  <c r="K48" i="15"/>
  <c r="J48" i="15"/>
  <c r="AV36" i="15"/>
  <c r="AS36" i="15"/>
  <c r="AR36" i="15"/>
  <c r="AQ36" i="15"/>
  <c r="AP36" i="15"/>
  <c r="AO36" i="15"/>
  <c r="AN36" i="15"/>
  <c r="AK36" i="15"/>
  <c r="AJ36" i="15"/>
  <c r="AI36" i="15"/>
  <c r="AH36" i="15"/>
  <c r="AG36" i="15"/>
  <c r="AF36" i="15"/>
  <c r="AE36" i="15"/>
  <c r="AD36" i="15"/>
  <c r="AC36" i="15"/>
  <c r="AB36" i="15"/>
  <c r="AA36" i="15"/>
  <c r="Z36" i="15"/>
  <c r="Y36" i="15"/>
  <c r="V36" i="15"/>
  <c r="U36" i="15"/>
  <c r="T36" i="15"/>
  <c r="S36" i="15"/>
  <c r="R36" i="15"/>
  <c r="Q36" i="15"/>
  <c r="P36" i="15"/>
  <c r="O36" i="15"/>
  <c r="N36" i="15"/>
  <c r="M36" i="15"/>
  <c r="L36" i="15"/>
  <c r="K36" i="15"/>
  <c r="J36" i="15"/>
  <c r="J238" i="15" l="1"/>
  <c r="N238" i="15"/>
  <c r="R238" i="15"/>
  <c r="V238" i="15"/>
  <c r="AB238" i="15"/>
  <c r="AF238" i="15"/>
  <c r="AJ238" i="15"/>
  <c r="AP238" i="15"/>
  <c r="AV238" i="15"/>
  <c r="T98" i="15"/>
  <c r="L98" i="15"/>
  <c r="AD98" i="15"/>
  <c r="AN98" i="15"/>
  <c r="N98" i="15"/>
  <c r="V98" i="15"/>
  <c r="AF98" i="15"/>
  <c r="AP98" i="15"/>
  <c r="P175" i="15"/>
  <c r="Z175" i="15"/>
  <c r="AH175" i="15"/>
  <c r="AR175" i="15"/>
  <c r="M238" i="15"/>
  <c r="Q238" i="15"/>
  <c r="U238" i="15"/>
  <c r="AA238" i="15"/>
  <c r="AE238" i="15"/>
  <c r="AI238" i="15"/>
  <c r="AO238" i="15"/>
  <c r="AS238" i="15"/>
  <c r="P238" i="15"/>
  <c r="Z238" i="15"/>
  <c r="AH238" i="15"/>
  <c r="AR238" i="15"/>
  <c r="L238" i="15"/>
  <c r="T238" i="15"/>
  <c r="AD238" i="15"/>
  <c r="AN238" i="15"/>
  <c r="O175" i="15"/>
  <c r="Y175" i="15"/>
  <c r="AG175" i="15"/>
  <c r="AQ175" i="15"/>
  <c r="Y98" i="15"/>
  <c r="AE98" i="15"/>
  <c r="Q175" i="15"/>
  <c r="AA175" i="15"/>
  <c r="AI175" i="15"/>
  <c r="AS175" i="15"/>
  <c r="V175" i="15"/>
  <c r="AG98" i="15"/>
  <c r="M98" i="15"/>
  <c r="AO98" i="15"/>
  <c r="P98" i="15"/>
  <c r="Z98" i="15"/>
  <c r="AH98" i="15"/>
  <c r="AR98" i="15"/>
  <c r="AF175" i="15"/>
  <c r="AQ98" i="15"/>
  <c r="U98" i="15"/>
  <c r="K175" i="15"/>
  <c r="S175" i="15"/>
  <c r="AC175" i="15"/>
  <c r="AK175" i="15"/>
  <c r="N175" i="15"/>
  <c r="O98" i="15"/>
  <c r="J98" i="15"/>
  <c r="R98" i="15"/>
  <c r="AB98" i="15"/>
  <c r="AJ98" i="15"/>
  <c r="AV98" i="15"/>
  <c r="L175" i="15"/>
  <c r="T175" i="15"/>
  <c r="AD175" i="15"/>
  <c r="AN175" i="15"/>
  <c r="J175" i="15"/>
  <c r="R175" i="15"/>
  <c r="AB175" i="15"/>
  <c r="AJ175" i="15"/>
  <c r="AV175" i="15"/>
  <c r="AP175" i="15"/>
  <c r="K98" i="15"/>
  <c r="S98" i="15"/>
  <c r="AC98" i="15"/>
  <c r="AK98" i="15"/>
  <c r="Q98" i="15"/>
  <c r="AA98" i="15"/>
  <c r="AI98" i="15"/>
  <c r="AS98" i="15"/>
  <c r="M175" i="15"/>
  <c r="U175" i="15"/>
  <c r="AE175" i="15"/>
  <c r="AO175" i="15"/>
  <c r="AZ324" i="68"/>
  <c r="AY324" i="68"/>
  <c r="AX324" i="68"/>
  <c r="AW324" i="68"/>
  <c r="AV324" i="68"/>
  <c r="AU324" i="68"/>
  <c r="AT324" i="68"/>
  <c r="AS324" i="68"/>
  <c r="AR324" i="68"/>
  <c r="AQ324" i="68"/>
  <c r="AP324" i="68"/>
  <c r="AO324" i="68"/>
  <c r="AN324" i="68"/>
  <c r="AZ312" i="68"/>
  <c r="AY312" i="68"/>
  <c r="AX312" i="68"/>
  <c r="AW312" i="68"/>
  <c r="AV312" i="68"/>
  <c r="AU312" i="68"/>
  <c r="AT312" i="68"/>
  <c r="AS312" i="68"/>
  <c r="AR312" i="68"/>
  <c r="AQ312" i="68"/>
  <c r="AP312" i="68"/>
  <c r="AO312" i="68"/>
  <c r="AN312" i="68"/>
  <c r="AZ297" i="68"/>
  <c r="AY297" i="68"/>
  <c r="AX297" i="68"/>
  <c r="AW297" i="68"/>
  <c r="AV297" i="68"/>
  <c r="AU297" i="68"/>
  <c r="AT297" i="68"/>
  <c r="AS297" i="68"/>
  <c r="AR297" i="68"/>
  <c r="AQ297" i="68"/>
  <c r="AP297" i="68"/>
  <c r="AO297" i="68"/>
  <c r="AN297" i="68"/>
  <c r="AZ285" i="68"/>
  <c r="AY285" i="68"/>
  <c r="AX285" i="68"/>
  <c r="AW285" i="68"/>
  <c r="AV285" i="68"/>
  <c r="AU285" i="68"/>
  <c r="AT285" i="68"/>
  <c r="AS285" i="68"/>
  <c r="AR285" i="68"/>
  <c r="AQ285" i="68"/>
  <c r="AP285" i="68"/>
  <c r="AO285" i="68"/>
  <c r="AN285" i="68"/>
  <c r="AZ280" i="68"/>
  <c r="AY280" i="68"/>
  <c r="AX280" i="68"/>
  <c r="AW280" i="68"/>
  <c r="AV280" i="68"/>
  <c r="AU280" i="68"/>
  <c r="AT280" i="68"/>
  <c r="AS280" i="68"/>
  <c r="AR280" i="68"/>
  <c r="AQ280" i="68"/>
  <c r="AP280" i="68"/>
  <c r="AO280" i="68"/>
  <c r="AN280" i="68"/>
  <c r="AZ274" i="68"/>
  <c r="AY274" i="68"/>
  <c r="AX274" i="68"/>
  <c r="AW274" i="68"/>
  <c r="AV274" i="68"/>
  <c r="AU274" i="68"/>
  <c r="AT274" i="68"/>
  <c r="AS274" i="68"/>
  <c r="AR274" i="68"/>
  <c r="AQ274" i="68"/>
  <c r="AP274" i="68"/>
  <c r="AO274" i="68"/>
  <c r="AN274" i="68"/>
  <c r="AZ268" i="68"/>
  <c r="AY268" i="68"/>
  <c r="AX268" i="68"/>
  <c r="AW268" i="68"/>
  <c r="AV268" i="68"/>
  <c r="AU268" i="68"/>
  <c r="AT268" i="68"/>
  <c r="AS268" i="68"/>
  <c r="AR268" i="68"/>
  <c r="AQ268" i="68"/>
  <c r="AP268" i="68"/>
  <c r="AO268" i="68"/>
  <c r="AN268" i="68"/>
  <c r="BV256" i="68"/>
  <c r="BT256" i="68"/>
  <c r="BR256" i="68"/>
  <c r="BG256" i="68"/>
  <c r="BE256" i="68"/>
  <c r="BC256" i="68"/>
  <c r="AZ256" i="68"/>
  <c r="AY256" i="68"/>
  <c r="AX256" i="68"/>
  <c r="AW256" i="68"/>
  <c r="AV256" i="68"/>
  <c r="AU256" i="68"/>
  <c r="AT256" i="68"/>
  <c r="AS256" i="68"/>
  <c r="AR256" i="68"/>
  <c r="AQ256" i="68"/>
  <c r="AP256" i="68"/>
  <c r="AO256" i="68"/>
  <c r="AN256" i="68"/>
  <c r="BV244" i="68"/>
  <c r="BT244" i="68"/>
  <c r="BR244" i="68"/>
  <c r="BG244" i="68"/>
  <c r="BE244" i="68"/>
  <c r="BC244" i="68"/>
  <c r="AZ244" i="68"/>
  <c r="AY244" i="68"/>
  <c r="AX244" i="68"/>
  <c r="AW244" i="68"/>
  <c r="AV244" i="68"/>
  <c r="AU244" i="68"/>
  <c r="AT244" i="68"/>
  <c r="AS244" i="68"/>
  <c r="AR244" i="68"/>
  <c r="AQ244" i="68"/>
  <c r="AP244" i="68"/>
  <c r="AO244" i="68"/>
  <c r="AN244" i="68"/>
  <c r="BV229" i="68"/>
  <c r="BT229" i="68"/>
  <c r="BR229" i="68"/>
  <c r="BG229" i="68"/>
  <c r="BE229" i="68"/>
  <c r="BC229" i="68"/>
  <c r="AZ229" i="68"/>
  <c r="AY229" i="68"/>
  <c r="AX229" i="68"/>
  <c r="AW229" i="68"/>
  <c r="AV229" i="68"/>
  <c r="AU229" i="68"/>
  <c r="AT229" i="68"/>
  <c r="AS229" i="68"/>
  <c r="AR229" i="68"/>
  <c r="AQ229" i="68"/>
  <c r="AP229" i="68"/>
  <c r="AO229" i="68"/>
  <c r="AN229" i="68"/>
  <c r="BV217" i="68"/>
  <c r="BT217" i="68"/>
  <c r="BR217" i="68"/>
  <c r="BG217" i="68"/>
  <c r="BE217" i="68"/>
  <c r="BC217" i="68"/>
  <c r="AZ217" i="68"/>
  <c r="AY217" i="68"/>
  <c r="AX217" i="68"/>
  <c r="AW217" i="68"/>
  <c r="AV217" i="68"/>
  <c r="AU217" i="68"/>
  <c r="AT217" i="68"/>
  <c r="AS217" i="68"/>
  <c r="AR217" i="68"/>
  <c r="AQ217" i="68"/>
  <c r="AP217" i="68"/>
  <c r="AO217" i="68"/>
  <c r="AN217" i="68"/>
  <c r="BV212" i="68"/>
  <c r="BT212" i="68"/>
  <c r="BR212" i="68"/>
  <c r="BG212" i="68"/>
  <c r="BE212" i="68"/>
  <c r="BC212" i="68"/>
  <c r="AZ212" i="68"/>
  <c r="AY212" i="68"/>
  <c r="AX212" i="68"/>
  <c r="AW212" i="68"/>
  <c r="AV212" i="68"/>
  <c r="AU212" i="68"/>
  <c r="AT212" i="68"/>
  <c r="AS212" i="68"/>
  <c r="AR212" i="68"/>
  <c r="AQ212" i="68"/>
  <c r="AP212" i="68"/>
  <c r="AO212" i="68"/>
  <c r="AN212" i="68"/>
  <c r="BV206" i="68"/>
  <c r="BT206" i="68"/>
  <c r="BR206" i="68"/>
  <c r="BG206" i="68"/>
  <c r="BE206" i="68"/>
  <c r="BC206" i="68"/>
  <c r="AZ206" i="68"/>
  <c r="AY206" i="68"/>
  <c r="AX206" i="68"/>
  <c r="AW206" i="68"/>
  <c r="AV206" i="68"/>
  <c r="AU206" i="68"/>
  <c r="AT206" i="68"/>
  <c r="AS206" i="68"/>
  <c r="AR206" i="68"/>
  <c r="AQ206" i="68"/>
  <c r="AP206" i="68"/>
  <c r="AO206" i="68"/>
  <c r="AN206" i="68"/>
  <c r="BV200" i="68"/>
  <c r="BT200" i="68"/>
  <c r="BR200" i="68"/>
  <c r="BG200" i="68"/>
  <c r="BE200" i="68"/>
  <c r="BC200" i="68"/>
  <c r="AZ200" i="68"/>
  <c r="AY200" i="68"/>
  <c r="AX200" i="68"/>
  <c r="AW200" i="68"/>
  <c r="AV200" i="68"/>
  <c r="AU200" i="68"/>
  <c r="AT200" i="68"/>
  <c r="AS200" i="68"/>
  <c r="AR200" i="68"/>
  <c r="AQ200" i="68"/>
  <c r="AP200" i="68"/>
  <c r="AO200" i="68"/>
  <c r="AN200" i="68"/>
  <c r="AZ188" i="68"/>
  <c r="AY188" i="68"/>
  <c r="AX188" i="68"/>
  <c r="AW188" i="68"/>
  <c r="AV188" i="68"/>
  <c r="AU188" i="68"/>
  <c r="AT188" i="68"/>
  <c r="AS188" i="68"/>
  <c r="AR188" i="68"/>
  <c r="AQ188" i="68"/>
  <c r="AP188" i="68"/>
  <c r="AO188" i="68"/>
  <c r="AN188" i="68"/>
  <c r="AK188" i="68"/>
  <c r="AJ188" i="68"/>
  <c r="AI188" i="68"/>
  <c r="AH188" i="68"/>
  <c r="AG188" i="68"/>
  <c r="AF188" i="68"/>
  <c r="AE188" i="68"/>
  <c r="AD188" i="68"/>
  <c r="AC188" i="68"/>
  <c r="AB188" i="68"/>
  <c r="AA188" i="68"/>
  <c r="Z188" i="68"/>
  <c r="Y188" i="68"/>
  <c r="V188" i="68"/>
  <c r="U188" i="68"/>
  <c r="T188" i="68"/>
  <c r="S188" i="68"/>
  <c r="R188" i="68"/>
  <c r="Q188" i="68"/>
  <c r="P188" i="68"/>
  <c r="O188" i="68"/>
  <c r="N188" i="68"/>
  <c r="M188" i="68"/>
  <c r="L188" i="68"/>
  <c r="K188" i="68"/>
  <c r="J188" i="68"/>
  <c r="AZ177" i="68"/>
  <c r="AY177" i="68"/>
  <c r="AX177" i="68"/>
  <c r="AW177" i="68"/>
  <c r="AV177" i="68"/>
  <c r="AU177" i="68"/>
  <c r="AT177" i="68"/>
  <c r="AS177" i="68"/>
  <c r="AR177" i="68"/>
  <c r="AQ177" i="68"/>
  <c r="AP177" i="68"/>
  <c r="AO177" i="68"/>
  <c r="AN177" i="68"/>
  <c r="AK177" i="68"/>
  <c r="AJ177" i="68"/>
  <c r="AI177" i="68"/>
  <c r="AH177" i="68"/>
  <c r="AG177" i="68"/>
  <c r="AF177" i="68"/>
  <c r="AE177" i="68"/>
  <c r="AD177" i="68"/>
  <c r="AC177" i="68"/>
  <c r="AB177" i="68"/>
  <c r="AA177" i="68"/>
  <c r="Z177" i="68"/>
  <c r="Y177" i="68"/>
  <c r="V177" i="68"/>
  <c r="U177" i="68"/>
  <c r="T177" i="68"/>
  <c r="S177" i="68"/>
  <c r="R177" i="68"/>
  <c r="Q177" i="68"/>
  <c r="P177" i="68"/>
  <c r="O177" i="68"/>
  <c r="N177" i="68"/>
  <c r="M177" i="68"/>
  <c r="L177" i="68"/>
  <c r="K177" i="68"/>
  <c r="J177" i="68"/>
  <c r="AZ163" i="68"/>
  <c r="AY163" i="68"/>
  <c r="AX163" i="68"/>
  <c r="AW163" i="68"/>
  <c r="AV163" i="68"/>
  <c r="AU163" i="68"/>
  <c r="AT163" i="68"/>
  <c r="AS163" i="68"/>
  <c r="AR163" i="68"/>
  <c r="AQ163" i="68"/>
  <c r="AP163" i="68"/>
  <c r="AO163" i="68"/>
  <c r="AN163" i="68"/>
  <c r="AK163" i="68"/>
  <c r="AJ163" i="68"/>
  <c r="AI163" i="68"/>
  <c r="AH163" i="68"/>
  <c r="AG163" i="68"/>
  <c r="AF163" i="68"/>
  <c r="AE163" i="68"/>
  <c r="AD163" i="68"/>
  <c r="AC163" i="68"/>
  <c r="AB163" i="68"/>
  <c r="AA163" i="68"/>
  <c r="Z163" i="68"/>
  <c r="Y163" i="68"/>
  <c r="V163" i="68"/>
  <c r="U163" i="68"/>
  <c r="T163" i="68"/>
  <c r="S163" i="68"/>
  <c r="R163" i="68"/>
  <c r="Q163" i="68"/>
  <c r="P163" i="68"/>
  <c r="O163" i="68"/>
  <c r="N163" i="68"/>
  <c r="M163" i="68"/>
  <c r="L163" i="68"/>
  <c r="K163" i="68"/>
  <c r="J163" i="68"/>
  <c r="AZ152" i="68"/>
  <c r="AY152" i="68"/>
  <c r="AX152" i="68"/>
  <c r="AW152" i="68"/>
  <c r="AV152" i="68"/>
  <c r="AU152" i="68"/>
  <c r="AT152" i="68"/>
  <c r="AS152" i="68"/>
  <c r="AR152" i="68"/>
  <c r="AQ152" i="68"/>
  <c r="AP152" i="68"/>
  <c r="AO152" i="68"/>
  <c r="AN152" i="68"/>
  <c r="AK152" i="68"/>
  <c r="AJ152" i="68"/>
  <c r="AI152" i="68"/>
  <c r="AH152" i="68"/>
  <c r="AG152" i="68"/>
  <c r="AF152" i="68"/>
  <c r="AE152" i="68"/>
  <c r="AD152" i="68"/>
  <c r="AC152" i="68"/>
  <c r="AB152" i="68"/>
  <c r="AA152" i="68"/>
  <c r="Z152" i="68"/>
  <c r="Y152" i="68"/>
  <c r="V152" i="68"/>
  <c r="U152" i="68"/>
  <c r="T152" i="68"/>
  <c r="S152" i="68"/>
  <c r="R152" i="68"/>
  <c r="Q152" i="68"/>
  <c r="P152" i="68"/>
  <c r="O152" i="68"/>
  <c r="N152" i="68"/>
  <c r="M152" i="68"/>
  <c r="L152" i="68"/>
  <c r="K152" i="68"/>
  <c r="J152" i="68"/>
  <c r="AZ141" i="68"/>
  <c r="AY141" i="68"/>
  <c r="AX141" i="68"/>
  <c r="AW141" i="68"/>
  <c r="AV141" i="68"/>
  <c r="AU141" i="68"/>
  <c r="AT141" i="68"/>
  <c r="AS141" i="68"/>
  <c r="AR141" i="68"/>
  <c r="AQ141" i="68"/>
  <c r="AP141" i="68"/>
  <c r="AO141" i="68"/>
  <c r="AN141" i="68"/>
  <c r="AK141" i="68"/>
  <c r="AJ141" i="68"/>
  <c r="AI141" i="68"/>
  <c r="AH141" i="68"/>
  <c r="AG141" i="68"/>
  <c r="AF141" i="68"/>
  <c r="AE141" i="68"/>
  <c r="AD141" i="68"/>
  <c r="AC141" i="68"/>
  <c r="AB141" i="68"/>
  <c r="AA141" i="68"/>
  <c r="Z141" i="68"/>
  <c r="Y141" i="68"/>
  <c r="V141" i="68"/>
  <c r="U141" i="68"/>
  <c r="T141" i="68"/>
  <c r="S141" i="68"/>
  <c r="R141" i="68"/>
  <c r="Q141" i="68"/>
  <c r="P141" i="68"/>
  <c r="O141" i="68"/>
  <c r="N141" i="68"/>
  <c r="M141" i="68"/>
  <c r="L141" i="68"/>
  <c r="K141" i="68"/>
  <c r="J141" i="68"/>
  <c r="AZ130" i="68"/>
  <c r="AY130" i="68"/>
  <c r="AX130" i="68"/>
  <c r="AW130" i="68"/>
  <c r="AV130" i="68"/>
  <c r="AU130" i="68"/>
  <c r="AT130" i="68"/>
  <c r="AS130" i="68"/>
  <c r="AR130" i="68"/>
  <c r="AQ130" i="68"/>
  <c r="AP130" i="68"/>
  <c r="AO130" i="68"/>
  <c r="AN130" i="68"/>
  <c r="AK130" i="68"/>
  <c r="AJ130" i="68"/>
  <c r="AI130" i="68"/>
  <c r="AH130" i="68"/>
  <c r="AG130" i="68"/>
  <c r="AF130" i="68"/>
  <c r="AE130" i="68"/>
  <c r="AD130" i="68"/>
  <c r="AC130" i="68"/>
  <c r="AB130" i="68"/>
  <c r="AA130" i="68"/>
  <c r="Z130" i="68"/>
  <c r="Y130" i="68"/>
  <c r="V130" i="68"/>
  <c r="U130" i="68"/>
  <c r="T130" i="68"/>
  <c r="S130" i="68"/>
  <c r="R130" i="68"/>
  <c r="Q130" i="68"/>
  <c r="P130" i="68"/>
  <c r="O130" i="68"/>
  <c r="N130" i="68"/>
  <c r="M130" i="68"/>
  <c r="L130" i="68"/>
  <c r="K130" i="68"/>
  <c r="J130" i="68"/>
  <c r="AZ119" i="68"/>
  <c r="AY119" i="68"/>
  <c r="AX119" i="68"/>
  <c r="AW119" i="68"/>
  <c r="AV119" i="68"/>
  <c r="AU119" i="68"/>
  <c r="AT119" i="68"/>
  <c r="AS119" i="68"/>
  <c r="AR119" i="68"/>
  <c r="AQ119" i="68"/>
  <c r="AP119" i="68"/>
  <c r="AO119" i="68"/>
  <c r="AN119" i="68"/>
  <c r="AK119" i="68"/>
  <c r="AJ119" i="68"/>
  <c r="AI119" i="68"/>
  <c r="AH119" i="68"/>
  <c r="AG119" i="68"/>
  <c r="AF119" i="68"/>
  <c r="AE119" i="68"/>
  <c r="AD119" i="68"/>
  <c r="AC119" i="68"/>
  <c r="AB119" i="68"/>
  <c r="AA119" i="68"/>
  <c r="Z119" i="68"/>
  <c r="Y119" i="68"/>
  <c r="V119" i="68"/>
  <c r="U119" i="68"/>
  <c r="T119" i="68"/>
  <c r="S119" i="68"/>
  <c r="R119" i="68"/>
  <c r="Q119" i="68"/>
  <c r="P119" i="68"/>
  <c r="O119" i="68"/>
  <c r="N119" i="68"/>
  <c r="M119" i="68"/>
  <c r="L119" i="68"/>
  <c r="K119" i="68"/>
  <c r="J119" i="68"/>
  <c r="CD103" i="68"/>
  <c r="CB103" i="68"/>
  <c r="BZ103" i="68"/>
  <c r="BX103" i="68"/>
  <c r="BV103" i="68"/>
  <c r="BO103" i="68"/>
  <c r="BM103" i="68"/>
  <c r="BK103" i="68"/>
  <c r="BI103" i="68"/>
  <c r="BG103" i="68"/>
  <c r="AZ103" i="68"/>
  <c r="AY103" i="68"/>
  <c r="AX103" i="68"/>
  <c r="AW103" i="68"/>
  <c r="AV103" i="68"/>
  <c r="AU103" i="68"/>
  <c r="AT103" i="68"/>
  <c r="AS103" i="68"/>
  <c r="AR103" i="68"/>
  <c r="AQ103" i="68"/>
  <c r="AP103" i="68"/>
  <c r="AO103" i="68"/>
  <c r="AN103" i="68"/>
  <c r="V103" i="68"/>
  <c r="V19" i="68" s="1"/>
  <c r="U103" i="68"/>
  <c r="U19" i="68" s="1"/>
  <c r="T103" i="68"/>
  <c r="T19" i="68" s="1"/>
  <c r="S103" i="68"/>
  <c r="S19" i="68" s="1"/>
  <c r="R103" i="68"/>
  <c r="R19" i="68" s="1"/>
  <c r="Q103" i="68"/>
  <c r="Q19" i="68" s="1"/>
  <c r="P103" i="68"/>
  <c r="P19" i="68" s="1"/>
  <c r="O103" i="68"/>
  <c r="O19" i="68" s="1"/>
  <c r="N103" i="68"/>
  <c r="N19" i="68" s="1"/>
  <c r="M103" i="68"/>
  <c r="M19" i="68" s="1"/>
  <c r="L103" i="68"/>
  <c r="L19" i="68" s="1"/>
  <c r="K103" i="68"/>
  <c r="K19" i="68" s="1"/>
  <c r="J103" i="68"/>
  <c r="J19" i="68" s="1"/>
  <c r="CD92" i="68"/>
  <c r="CB92" i="68"/>
  <c r="BZ92" i="68"/>
  <c r="BX92" i="68"/>
  <c r="BV92" i="68"/>
  <c r="BO92" i="68"/>
  <c r="BM92" i="68"/>
  <c r="BK92" i="68"/>
  <c r="BI92" i="68"/>
  <c r="BG92" i="68"/>
  <c r="AZ92" i="68"/>
  <c r="AY92" i="68"/>
  <c r="AX92" i="68"/>
  <c r="AW92" i="68"/>
  <c r="AV92" i="68"/>
  <c r="AU92" i="68"/>
  <c r="AT92" i="68"/>
  <c r="AS92" i="68"/>
  <c r="AR92" i="68"/>
  <c r="AQ92" i="68"/>
  <c r="AP92" i="68"/>
  <c r="AO92" i="68"/>
  <c r="AN92" i="68"/>
  <c r="V92" i="68"/>
  <c r="V18" i="68" s="1"/>
  <c r="U92" i="68"/>
  <c r="U18" i="68" s="1"/>
  <c r="T92" i="68"/>
  <c r="T18" i="68" s="1"/>
  <c r="S92" i="68"/>
  <c r="S18" i="68" s="1"/>
  <c r="R92" i="68"/>
  <c r="R18" i="68" s="1"/>
  <c r="Q92" i="68"/>
  <c r="Q18" i="68" s="1"/>
  <c r="P92" i="68"/>
  <c r="P18" i="68" s="1"/>
  <c r="O92" i="68"/>
  <c r="O18" i="68" s="1"/>
  <c r="N92" i="68"/>
  <c r="N18" i="68" s="1"/>
  <c r="M92" i="68"/>
  <c r="M18" i="68" s="1"/>
  <c r="L92" i="68"/>
  <c r="L18" i="68" s="1"/>
  <c r="K92" i="68"/>
  <c r="K18" i="68" s="1"/>
  <c r="J92" i="68"/>
  <c r="J18" i="68" s="1"/>
  <c r="CD78" i="68"/>
  <c r="CB78" i="68"/>
  <c r="BZ78" i="68"/>
  <c r="BX78" i="68"/>
  <c r="BV78" i="68"/>
  <c r="BO78" i="68"/>
  <c r="BM78" i="68"/>
  <c r="BK78" i="68"/>
  <c r="BI78" i="68"/>
  <c r="BG78" i="68"/>
  <c r="AZ78" i="68"/>
  <c r="AY78" i="68"/>
  <c r="AX78" i="68"/>
  <c r="AW78" i="68"/>
  <c r="AV78" i="68"/>
  <c r="AU78" i="68"/>
  <c r="AT78" i="68"/>
  <c r="AS78" i="68"/>
  <c r="AR78" i="68"/>
  <c r="AQ78" i="68"/>
  <c r="AP78" i="68"/>
  <c r="AO78" i="68"/>
  <c r="AN78" i="68"/>
  <c r="V78" i="68"/>
  <c r="V16" i="68" s="1"/>
  <c r="U78" i="68"/>
  <c r="U16" i="68" s="1"/>
  <c r="T78" i="68"/>
  <c r="S78" i="68"/>
  <c r="S16" i="68" s="1"/>
  <c r="R78" i="68"/>
  <c r="R16" i="68" s="1"/>
  <c r="Q78" i="68"/>
  <c r="Q16" i="68" s="1"/>
  <c r="P78" i="68"/>
  <c r="O78" i="68"/>
  <c r="O16" i="68" s="1"/>
  <c r="N78" i="68"/>
  <c r="N16" i="68" s="1"/>
  <c r="M78" i="68"/>
  <c r="M16" i="68" s="1"/>
  <c r="L78" i="68"/>
  <c r="K78" i="68"/>
  <c r="K16" i="68" s="1"/>
  <c r="J78" i="68"/>
  <c r="J16" i="68" s="1"/>
  <c r="CD67" i="68"/>
  <c r="CB67" i="68"/>
  <c r="BZ67" i="68"/>
  <c r="BX67" i="68"/>
  <c r="BV67" i="68"/>
  <c r="BO67" i="68"/>
  <c r="BM67" i="68"/>
  <c r="BK67" i="68"/>
  <c r="BI67" i="68"/>
  <c r="BG67" i="68"/>
  <c r="AZ67" i="68"/>
  <c r="AY67" i="68"/>
  <c r="AX67" i="68"/>
  <c r="AW67" i="68"/>
  <c r="AV67" i="68"/>
  <c r="AU67" i="68"/>
  <c r="AT67" i="68"/>
  <c r="AS67" i="68"/>
  <c r="AR67" i="68"/>
  <c r="AQ67" i="68"/>
  <c r="AP67" i="68"/>
  <c r="AO67" i="68"/>
  <c r="AN67" i="68"/>
  <c r="V67" i="68"/>
  <c r="V15" i="68" s="1"/>
  <c r="U67" i="68"/>
  <c r="U15" i="68" s="1"/>
  <c r="T67" i="68"/>
  <c r="T15" i="68" s="1"/>
  <c r="S67" i="68"/>
  <c r="S15" i="68" s="1"/>
  <c r="R67" i="68"/>
  <c r="R15" i="68" s="1"/>
  <c r="Q67" i="68"/>
  <c r="Q15" i="68" s="1"/>
  <c r="P67" i="68"/>
  <c r="P15" i="68" s="1"/>
  <c r="O67" i="68"/>
  <c r="O15" i="68" s="1"/>
  <c r="N67" i="68"/>
  <c r="N15" i="68" s="1"/>
  <c r="M67" i="68"/>
  <c r="L67" i="68"/>
  <c r="L15" i="68" s="1"/>
  <c r="K67" i="68"/>
  <c r="K15" i="68" s="1"/>
  <c r="J67" i="68"/>
  <c r="CD56" i="68"/>
  <c r="CB56" i="68"/>
  <c r="BZ56" i="68"/>
  <c r="BX56" i="68"/>
  <c r="BV56" i="68"/>
  <c r="BO56" i="68"/>
  <c r="BM56" i="68"/>
  <c r="BK56" i="68"/>
  <c r="BI56" i="68"/>
  <c r="BG56" i="68"/>
  <c r="AZ56" i="68"/>
  <c r="AY56" i="68"/>
  <c r="AX56" i="68"/>
  <c r="AW56" i="68"/>
  <c r="AV56" i="68"/>
  <c r="AU56" i="68"/>
  <c r="AT56" i="68"/>
  <c r="AS56" i="68"/>
  <c r="AR56" i="68"/>
  <c r="AQ56" i="68"/>
  <c r="AP56" i="68"/>
  <c r="AO56" i="68"/>
  <c r="AN56" i="68"/>
  <c r="V56" i="68"/>
  <c r="V14" i="68" s="1"/>
  <c r="U56" i="68"/>
  <c r="U14" i="68" s="1"/>
  <c r="T56" i="68"/>
  <c r="T14" i="68" s="1"/>
  <c r="S56" i="68"/>
  <c r="S14" i="68" s="1"/>
  <c r="R56" i="68"/>
  <c r="R14" i="68" s="1"/>
  <c r="Q56" i="68"/>
  <c r="P56" i="68"/>
  <c r="P14" i="68" s="1"/>
  <c r="O56" i="68"/>
  <c r="O14" i="68" s="1"/>
  <c r="N56" i="68"/>
  <c r="N14" i="68" s="1"/>
  <c r="M56" i="68"/>
  <c r="M14" i="68" s="1"/>
  <c r="L56" i="68"/>
  <c r="L14" i="68" s="1"/>
  <c r="K56" i="68"/>
  <c r="K14" i="68" s="1"/>
  <c r="J56" i="68"/>
  <c r="J14" i="68" s="1"/>
  <c r="CD45" i="68"/>
  <c r="CB45" i="68"/>
  <c r="BZ45" i="68"/>
  <c r="BX45" i="68"/>
  <c r="BV45" i="68"/>
  <c r="BO45" i="68"/>
  <c r="BM45" i="68"/>
  <c r="BK45" i="68"/>
  <c r="BI45" i="68"/>
  <c r="BG45" i="68"/>
  <c r="AZ45" i="68"/>
  <c r="AY45" i="68"/>
  <c r="AX45" i="68"/>
  <c r="AW45" i="68"/>
  <c r="AV45" i="68"/>
  <c r="AU45" i="68"/>
  <c r="AT45" i="68"/>
  <c r="AS45" i="68"/>
  <c r="AR45" i="68"/>
  <c r="AQ45" i="68"/>
  <c r="AP45" i="68"/>
  <c r="AO45" i="68"/>
  <c r="AN45" i="68"/>
  <c r="V45" i="68"/>
  <c r="V13" i="68" s="1"/>
  <c r="U45" i="68"/>
  <c r="U13" i="68" s="1"/>
  <c r="T45" i="68"/>
  <c r="S45" i="68"/>
  <c r="R45" i="68"/>
  <c r="R13" i="68" s="1"/>
  <c r="Q45" i="68"/>
  <c r="Q13" i="68" s="1"/>
  <c r="P45" i="68"/>
  <c r="O45" i="68"/>
  <c r="N45" i="68"/>
  <c r="N13" i="68" s="1"/>
  <c r="M45" i="68"/>
  <c r="M13" i="68" s="1"/>
  <c r="L45" i="68"/>
  <c r="K45" i="68"/>
  <c r="J45" i="68"/>
  <c r="J13" i="68" s="1"/>
  <c r="CD34" i="68"/>
  <c r="CD105" i="68" s="1"/>
  <c r="CB34" i="68"/>
  <c r="CB105" i="68" s="1"/>
  <c r="BZ34" i="68"/>
  <c r="BZ105" i="68" s="1"/>
  <c r="BX34" i="68"/>
  <c r="BV34" i="68"/>
  <c r="BO34" i="68"/>
  <c r="BO105" i="68" s="1"/>
  <c r="BM34" i="68"/>
  <c r="BM105" i="68" s="1"/>
  <c r="BK34" i="68"/>
  <c r="BK105" i="68" s="1"/>
  <c r="BI34" i="68"/>
  <c r="BI105" i="68" s="1"/>
  <c r="BG34" i="68"/>
  <c r="BG105" i="68" s="1"/>
  <c r="AZ34" i="68"/>
  <c r="AZ105" i="68" s="1"/>
  <c r="AY34" i="68"/>
  <c r="AX34" i="68"/>
  <c r="AW34" i="68"/>
  <c r="AW105" i="68" s="1"/>
  <c r="AV34" i="68"/>
  <c r="AV105" i="68" s="1"/>
  <c r="AU34" i="68"/>
  <c r="AU105" i="68" s="1"/>
  <c r="AT34" i="68"/>
  <c r="AT105" i="68" s="1"/>
  <c r="AS34" i="68"/>
  <c r="AS105" i="68" s="1"/>
  <c r="AR34" i="68"/>
  <c r="AR105" i="68" s="1"/>
  <c r="AQ34" i="68"/>
  <c r="AP34" i="68"/>
  <c r="AO34" i="68"/>
  <c r="AO105" i="68" s="1"/>
  <c r="AN34" i="68"/>
  <c r="AN105" i="68" s="1"/>
  <c r="V34" i="68"/>
  <c r="V105" i="68" s="1"/>
  <c r="U34" i="68"/>
  <c r="U105" i="68" s="1"/>
  <c r="T34" i="68"/>
  <c r="T105" i="68" s="1"/>
  <c r="S34" i="68"/>
  <c r="S105" i="68" s="1"/>
  <c r="R34" i="68"/>
  <c r="R12" i="68" s="1"/>
  <c r="Q34" i="68"/>
  <c r="Q12" i="68" s="1"/>
  <c r="P34" i="68"/>
  <c r="P105" i="68" s="1"/>
  <c r="O34" i="68"/>
  <c r="O12" i="68" s="1"/>
  <c r="N34" i="68"/>
  <c r="N105" i="68" s="1"/>
  <c r="M34" i="68"/>
  <c r="M105" i="68" s="1"/>
  <c r="L34" i="68"/>
  <c r="K34" i="68"/>
  <c r="K105" i="68" s="1"/>
  <c r="J34" i="68"/>
  <c r="J12" i="68" s="1"/>
  <c r="V17" i="68"/>
  <c r="U17" i="68"/>
  <c r="T17" i="68"/>
  <c r="S17" i="68"/>
  <c r="R17" i="68"/>
  <c r="Q17" i="68"/>
  <c r="P17" i="68"/>
  <c r="O17" i="68"/>
  <c r="N17" i="68"/>
  <c r="M17" i="68"/>
  <c r="L17" i="68"/>
  <c r="K17" i="68"/>
  <c r="J17" i="68"/>
  <c r="T16" i="68"/>
  <c r="P16" i="68"/>
  <c r="L16" i="68"/>
  <c r="M15" i="68"/>
  <c r="J15" i="68"/>
  <c r="Q14" i="68"/>
  <c r="T13" i="68"/>
  <c r="S13" i="68"/>
  <c r="P13" i="68"/>
  <c r="O13" i="68"/>
  <c r="L13" i="68"/>
  <c r="K13" i="68"/>
  <c r="P12" i="68" l="1"/>
  <c r="L105" i="68"/>
  <c r="T12" i="68"/>
  <c r="T20" i="68" s="1"/>
  <c r="Q190" i="68"/>
  <c r="AA190" i="68"/>
  <c r="AI190" i="68"/>
  <c r="AS190" i="68"/>
  <c r="BE258" i="68"/>
  <c r="AT258" i="68"/>
  <c r="AO326" i="68"/>
  <c r="AW326" i="68"/>
  <c r="AU326" i="68"/>
  <c r="AP326" i="68"/>
  <c r="AX326" i="68"/>
  <c r="L12" i="68"/>
  <c r="AU258" i="68"/>
  <c r="O20" i="68"/>
  <c r="K190" i="68"/>
  <c r="S190" i="68"/>
  <c r="AC190" i="68"/>
  <c r="AK190" i="68"/>
  <c r="AU190" i="68"/>
  <c r="N190" i="68"/>
  <c r="V190" i="68"/>
  <c r="AF190" i="68"/>
  <c r="AP190" i="68"/>
  <c r="AX190" i="68"/>
  <c r="J20" i="68"/>
  <c r="U12" i="68"/>
  <c r="U20" i="68" s="1"/>
  <c r="L190" i="68"/>
  <c r="T190" i="68"/>
  <c r="AD190" i="68"/>
  <c r="AN190" i="68"/>
  <c r="AV190" i="68"/>
  <c r="AO258" i="68"/>
  <c r="AW258" i="68"/>
  <c r="BT258" i="68"/>
  <c r="AN258" i="68"/>
  <c r="AV258" i="68"/>
  <c r="BR258" i="68"/>
  <c r="AR326" i="68"/>
  <c r="AZ326" i="68"/>
  <c r="L20" i="68"/>
  <c r="V12" i="68"/>
  <c r="V20" i="68" s="1"/>
  <c r="Q105" i="68"/>
  <c r="AP105" i="68"/>
  <c r="AX105" i="68"/>
  <c r="BV105" i="68"/>
  <c r="M190" i="68"/>
  <c r="U190" i="68"/>
  <c r="AE190" i="68"/>
  <c r="AO190" i="68"/>
  <c r="AW190" i="68"/>
  <c r="AP258" i="68"/>
  <c r="AX258" i="68"/>
  <c r="BV258" i="68"/>
  <c r="AS326" i="68"/>
  <c r="AQ326" i="68"/>
  <c r="AY326" i="68"/>
  <c r="AT326" i="68"/>
  <c r="Q20" i="68"/>
  <c r="R20" i="68"/>
  <c r="M12" i="68"/>
  <c r="M20" i="68" s="1"/>
  <c r="J105" i="68"/>
  <c r="R105" i="68"/>
  <c r="AQ105" i="68"/>
  <c r="AY105" i="68"/>
  <c r="BX105" i="68"/>
  <c r="AQ258" i="68"/>
  <c r="AY258" i="68"/>
  <c r="BG258" i="68"/>
  <c r="N12" i="68"/>
  <c r="N20" i="68" s="1"/>
  <c r="O190" i="68"/>
  <c r="Y190" i="68"/>
  <c r="AG190" i="68"/>
  <c r="AQ190" i="68"/>
  <c r="AY190" i="68"/>
  <c r="J190" i="68"/>
  <c r="R190" i="68"/>
  <c r="AB190" i="68"/>
  <c r="AJ190" i="68"/>
  <c r="AT190" i="68"/>
  <c r="P20" i="68"/>
  <c r="P190" i="68"/>
  <c r="Z190" i="68"/>
  <c r="AH190" i="68"/>
  <c r="AR190" i="68"/>
  <c r="AZ190" i="68"/>
  <c r="AS258" i="68"/>
  <c r="BC258" i="68"/>
  <c r="AR258" i="68"/>
  <c r="AZ258" i="68"/>
  <c r="AN326" i="68"/>
  <c r="AV326" i="68"/>
  <c r="O105" i="68"/>
  <c r="K12" i="68"/>
  <c r="K20" i="68" s="1"/>
  <c r="S12" i="68"/>
  <c r="S20" i="68" s="1"/>
  <c r="AA34" i="22" l="1"/>
  <c r="AC34" i="22" l="1"/>
  <c r="AD34" i="22"/>
  <c r="AB34" i="22"/>
  <c r="Z34" i="22"/>
  <c r="Y34" i="22" l="1"/>
  <c r="P33" i="22"/>
  <c r="Q33" i="22" s="1"/>
  <c r="V25" i="18" l="1"/>
  <c r="U25" i="18"/>
  <c r="T25" i="18"/>
  <c r="S25" i="18"/>
  <c r="R25" i="18"/>
  <c r="Q25" i="18"/>
  <c r="P25" i="18"/>
  <c r="O25" i="18"/>
  <c r="N25" i="18"/>
  <c r="M25" i="18"/>
  <c r="L25" i="18"/>
  <c r="K25" i="18"/>
  <c r="J25" i="18"/>
  <c r="V17" i="18"/>
  <c r="U17" i="18"/>
  <c r="T17" i="18"/>
  <c r="S17" i="18"/>
  <c r="R17" i="18"/>
  <c r="Q17" i="18"/>
  <c r="P17" i="18"/>
  <c r="O17" i="18"/>
  <c r="N17" i="18"/>
  <c r="M17" i="18"/>
  <c r="L17" i="18"/>
  <c r="K17" i="18"/>
  <c r="J17" i="18"/>
  <c r="V312" i="21" l="1"/>
  <c r="U312" i="21"/>
  <c r="T312" i="21"/>
  <c r="S312" i="21"/>
  <c r="R312" i="21"/>
  <c r="Q312" i="21"/>
  <c r="P312" i="21"/>
  <c r="O312" i="21"/>
  <c r="N312" i="21"/>
  <c r="M312" i="21"/>
  <c r="L312" i="21"/>
  <c r="K312" i="21"/>
  <c r="J312" i="21"/>
  <c r="V300" i="21"/>
  <c r="U300" i="21"/>
  <c r="T300" i="21"/>
  <c r="S300" i="21"/>
  <c r="R300" i="21"/>
  <c r="Q300" i="21"/>
  <c r="P300" i="21"/>
  <c r="O300" i="21"/>
  <c r="N300" i="21"/>
  <c r="M300" i="21"/>
  <c r="L300" i="21"/>
  <c r="K300" i="21"/>
  <c r="J300" i="21"/>
  <c r="V271" i="21"/>
  <c r="U271" i="21"/>
  <c r="T271" i="21"/>
  <c r="S271" i="21"/>
  <c r="R271" i="21"/>
  <c r="Q271" i="21"/>
  <c r="P271" i="21"/>
  <c r="O271" i="21"/>
  <c r="N271" i="21"/>
  <c r="M271" i="21"/>
  <c r="L271" i="21"/>
  <c r="K271" i="21"/>
  <c r="J271" i="21"/>
  <c r="V259" i="21"/>
  <c r="U259" i="21"/>
  <c r="T259" i="21"/>
  <c r="S259" i="21"/>
  <c r="R259" i="21"/>
  <c r="Q259" i="21"/>
  <c r="P259" i="21"/>
  <c r="O259" i="21"/>
  <c r="N259" i="21"/>
  <c r="M259" i="21"/>
  <c r="L259" i="21"/>
  <c r="K259" i="21"/>
  <c r="J259" i="21"/>
  <c r="V167" i="21"/>
  <c r="U167" i="21"/>
  <c r="T167" i="21"/>
  <c r="S167" i="21"/>
  <c r="R167" i="21"/>
  <c r="Q167" i="21"/>
  <c r="P167" i="21"/>
  <c r="O167" i="21"/>
  <c r="N167" i="21"/>
  <c r="M167" i="21"/>
  <c r="L167" i="21"/>
  <c r="K167" i="21"/>
  <c r="J167" i="21"/>
  <c r="V155" i="21"/>
  <c r="U155" i="21"/>
  <c r="T155" i="21"/>
  <c r="S155" i="21"/>
  <c r="R155" i="21"/>
  <c r="Q155" i="21"/>
  <c r="P155" i="21"/>
  <c r="O155" i="21"/>
  <c r="N155" i="21"/>
  <c r="M155" i="21"/>
  <c r="L155" i="21"/>
  <c r="K155" i="21"/>
  <c r="J155" i="21"/>
  <c r="V143" i="21"/>
  <c r="U143" i="21"/>
  <c r="T143" i="21"/>
  <c r="S143" i="21"/>
  <c r="R143" i="21"/>
  <c r="Q143" i="21"/>
  <c r="P143" i="21"/>
  <c r="O143" i="21"/>
  <c r="N143" i="21"/>
  <c r="M143" i="21"/>
  <c r="L143" i="21"/>
  <c r="K143" i="21"/>
  <c r="J143" i="21"/>
  <c r="V45" i="21"/>
  <c r="U45" i="21"/>
  <c r="T45" i="21"/>
  <c r="S45" i="21"/>
  <c r="R45" i="21"/>
  <c r="Q45" i="21"/>
  <c r="P45" i="21"/>
  <c r="O45" i="21"/>
  <c r="N45" i="21"/>
  <c r="M45" i="21"/>
  <c r="L45" i="21"/>
  <c r="K45" i="21"/>
  <c r="J45" i="21"/>
  <c r="V33" i="21"/>
  <c r="U33" i="21"/>
  <c r="T33" i="21"/>
  <c r="S33" i="21"/>
  <c r="R33" i="21"/>
  <c r="Q33" i="21"/>
  <c r="P33" i="21"/>
  <c r="O33" i="21"/>
  <c r="N33" i="21"/>
  <c r="M33" i="21"/>
  <c r="L33" i="21"/>
  <c r="K33" i="21"/>
  <c r="J33" i="21"/>
  <c r="V21" i="21"/>
  <c r="U21" i="21"/>
  <c r="T21" i="21"/>
  <c r="S21" i="21"/>
  <c r="R21" i="21"/>
  <c r="Q21" i="21"/>
  <c r="P21" i="21"/>
  <c r="O21" i="21"/>
  <c r="N21" i="21"/>
  <c r="M21" i="21"/>
  <c r="L21" i="21"/>
  <c r="K21" i="21"/>
  <c r="J21" i="21"/>
  <c r="V81" i="71" l="1"/>
  <c r="U81" i="71"/>
  <c r="T81" i="71"/>
  <c r="S81" i="71"/>
  <c r="R81" i="71"/>
  <c r="Q81" i="71"/>
  <c r="P81" i="71"/>
  <c r="O81" i="71"/>
  <c r="N81" i="71"/>
  <c r="M81" i="71"/>
  <c r="L81" i="71"/>
  <c r="K81" i="71"/>
  <c r="J81" i="71"/>
  <c r="V74" i="71"/>
  <c r="U74" i="71"/>
  <c r="T74" i="71"/>
  <c r="S74" i="71"/>
  <c r="R74" i="71"/>
  <c r="Q74" i="71"/>
  <c r="P74" i="71"/>
  <c r="O74" i="71"/>
  <c r="N74" i="71"/>
  <c r="M74" i="71"/>
  <c r="L74" i="71"/>
  <c r="K74" i="71"/>
  <c r="J74" i="71"/>
  <c r="V67" i="71"/>
  <c r="U67" i="71"/>
  <c r="T67" i="71"/>
  <c r="S67" i="71"/>
  <c r="R67" i="71"/>
  <c r="Q67" i="71"/>
  <c r="P67" i="71"/>
  <c r="O67" i="71"/>
  <c r="N67" i="71"/>
  <c r="M67" i="71"/>
  <c r="L67" i="71"/>
  <c r="K67" i="71"/>
  <c r="J67" i="71"/>
  <c r="V60" i="71"/>
  <c r="U60" i="71"/>
  <c r="T60" i="71"/>
  <c r="S60" i="71"/>
  <c r="R60" i="71"/>
  <c r="Q60" i="71"/>
  <c r="P60" i="71"/>
  <c r="O60" i="71"/>
  <c r="N60" i="71"/>
  <c r="M60" i="71"/>
  <c r="L60" i="71"/>
  <c r="K60" i="71"/>
  <c r="J60" i="71"/>
  <c r="V53" i="71"/>
  <c r="U53" i="71"/>
  <c r="T53" i="71"/>
  <c r="S53" i="71"/>
  <c r="R53" i="71"/>
  <c r="Q53" i="71"/>
  <c r="P53" i="71"/>
  <c r="O53" i="71"/>
  <c r="N53" i="71"/>
  <c r="M53" i="71"/>
  <c r="L53" i="71"/>
  <c r="K53" i="71"/>
  <c r="J53" i="71"/>
  <c r="V46" i="71"/>
  <c r="U46" i="71"/>
  <c r="T46" i="71"/>
  <c r="S46" i="71"/>
  <c r="R46" i="71"/>
  <c r="Q46" i="71"/>
  <c r="P46" i="71"/>
  <c r="O46" i="71"/>
  <c r="N46" i="71"/>
  <c r="M46" i="71"/>
  <c r="L46" i="71"/>
  <c r="K46" i="71"/>
  <c r="J46" i="71"/>
  <c r="V39" i="71"/>
  <c r="U39" i="71"/>
  <c r="T39" i="71"/>
  <c r="S39" i="71"/>
  <c r="R39" i="71"/>
  <c r="Q39" i="71"/>
  <c r="P39" i="71"/>
  <c r="O39" i="71"/>
  <c r="N39" i="71"/>
  <c r="M39" i="71"/>
  <c r="L39" i="71"/>
  <c r="K39" i="71"/>
  <c r="J39" i="71"/>
  <c r="V32" i="71"/>
  <c r="U32" i="71"/>
  <c r="T32" i="71"/>
  <c r="S32" i="71"/>
  <c r="R32" i="71"/>
  <c r="Q32" i="71"/>
  <c r="P32" i="71"/>
  <c r="O32" i="71"/>
  <c r="N32" i="71"/>
  <c r="M32" i="71"/>
  <c r="L32" i="71"/>
  <c r="K32" i="71"/>
  <c r="J32" i="71"/>
  <c r="R83" i="71" l="1"/>
  <c r="J83" i="71"/>
  <c r="V83" i="71"/>
  <c r="N83" i="71"/>
  <c r="K83" i="71"/>
  <c r="S83" i="71"/>
  <c r="L83" i="71"/>
  <c r="P83" i="71"/>
  <c r="T83" i="71"/>
  <c r="O83" i="71"/>
  <c r="M83" i="71"/>
  <c r="Q83" i="71"/>
  <c r="U83" i="71"/>
  <c r="AZ133" i="70"/>
  <c r="AY133" i="70"/>
  <c r="AX133" i="70"/>
  <c r="AW133" i="70"/>
  <c r="AV133" i="70"/>
  <c r="AU133" i="70"/>
  <c r="AT133" i="70"/>
  <c r="AS133" i="70"/>
  <c r="AR133" i="70"/>
  <c r="AQ133" i="70"/>
  <c r="AP133" i="70"/>
  <c r="AO133" i="70"/>
  <c r="AN133" i="70"/>
  <c r="AZ127" i="70"/>
  <c r="AY127" i="70"/>
  <c r="AX127" i="70"/>
  <c r="AW127" i="70"/>
  <c r="AV127" i="70"/>
  <c r="AU127" i="70"/>
  <c r="AT127" i="70"/>
  <c r="AS127" i="70"/>
  <c r="AR127" i="70"/>
  <c r="AQ127" i="70"/>
  <c r="AP127" i="70"/>
  <c r="AO127" i="70"/>
  <c r="AN127" i="70"/>
  <c r="AZ121" i="70"/>
  <c r="AY121" i="70"/>
  <c r="AX121" i="70"/>
  <c r="AW121" i="70"/>
  <c r="AV121" i="70"/>
  <c r="AU121" i="70"/>
  <c r="AT121" i="70"/>
  <c r="AS121" i="70"/>
  <c r="AR121" i="70"/>
  <c r="AQ121" i="70"/>
  <c r="AP121" i="70"/>
  <c r="AO121" i="70"/>
  <c r="AN121" i="70"/>
  <c r="AZ115" i="70"/>
  <c r="AY115" i="70"/>
  <c r="AX115" i="70"/>
  <c r="AW115" i="70"/>
  <c r="AV115" i="70"/>
  <c r="AU115" i="70"/>
  <c r="AT115" i="70"/>
  <c r="AS115" i="70"/>
  <c r="AR115" i="70"/>
  <c r="AQ115" i="70"/>
  <c r="AP115" i="70"/>
  <c r="AO115" i="70"/>
  <c r="AN115" i="70"/>
  <c r="AZ109" i="70"/>
  <c r="AY109" i="70"/>
  <c r="AX109" i="70"/>
  <c r="AW109" i="70"/>
  <c r="AV109" i="70"/>
  <c r="AU109" i="70"/>
  <c r="AT109" i="70"/>
  <c r="AS109" i="70"/>
  <c r="AR109" i="70"/>
  <c r="AQ109" i="70"/>
  <c r="AP109" i="70"/>
  <c r="AO109" i="70"/>
  <c r="AN109" i="70"/>
  <c r="AZ98" i="70"/>
  <c r="AY98" i="70"/>
  <c r="AX98" i="70"/>
  <c r="AW98" i="70"/>
  <c r="AV98" i="70"/>
  <c r="AU98" i="70"/>
  <c r="AT98" i="70"/>
  <c r="AS98" i="70"/>
  <c r="AR98" i="70"/>
  <c r="AQ98" i="70"/>
  <c r="AP98" i="70"/>
  <c r="AO98" i="70"/>
  <c r="AN98" i="70"/>
  <c r="AZ92" i="70"/>
  <c r="AY92" i="70"/>
  <c r="AX92" i="70"/>
  <c r="AW92" i="70"/>
  <c r="AV92" i="70"/>
  <c r="AU92" i="70"/>
  <c r="AT92" i="70"/>
  <c r="AS92" i="70"/>
  <c r="AR92" i="70"/>
  <c r="AQ92" i="70"/>
  <c r="AP92" i="70"/>
  <c r="AO92" i="70"/>
  <c r="AN92" i="70"/>
  <c r="AZ86" i="70"/>
  <c r="AY86" i="70"/>
  <c r="AX86" i="70"/>
  <c r="AW86" i="70"/>
  <c r="AV86" i="70"/>
  <c r="AU86" i="70"/>
  <c r="AT86" i="70"/>
  <c r="AS86" i="70"/>
  <c r="AR86" i="70"/>
  <c r="AQ86" i="70"/>
  <c r="AP86" i="70"/>
  <c r="AO86" i="70"/>
  <c r="AN86" i="70"/>
  <c r="AZ80" i="70"/>
  <c r="AY80" i="70"/>
  <c r="AX80" i="70"/>
  <c r="AW80" i="70"/>
  <c r="AV80" i="70"/>
  <c r="AU80" i="70"/>
  <c r="AT80" i="70"/>
  <c r="AS80" i="70"/>
  <c r="AR80" i="70"/>
  <c r="AQ80" i="70"/>
  <c r="AP80" i="70"/>
  <c r="AO80" i="70"/>
  <c r="AN80" i="70"/>
  <c r="AZ74" i="70"/>
  <c r="AY74" i="70"/>
  <c r="AX74" i="70"/>
  <c r="AW74" i="70"/>
  <c r="AV74" i="70"/>
  <c r="AU74" i="70"/>
  <c r="AT74" i="70"/>
  <c r="AS74" i="70"/>
  <c r="AR74" i="70"/>
  <c r="AQ74" i="70"/>
  <c r="AP74" i="70"/>
  <c r="AO74" i="70"/>
  <c r="AN74" i="70"/>
  <c r="AZ68" i="70"/>
  <c r="AY68" i="70"/>
  <c r="AX68" i="70"/>
  <c r="AW68" i="70"/>
  <c r="AV68" i="70"/>
  <c r="AU68" i="70"/>
  <c r="AT68" i="70"/>
  <c r="AS68" i="70"/>
  <c r="AR68" i="70"/>
  <c r="AQ68" i="70"/>
  <c r="AP68" i="70"/>
  <c r="AO68" i="70"/>
  <c r="AN68" i="70"/>
  <c r="AZ57" i="70"/>
  <c r="AY57" i="70"/>
  <c r="AX57" i="70"/>
  <c r="AW57" i="70"/>
  <c r="AV57" i="70"/>
  <c r="AU57" i="70"/>
  <c r="AT57" i="70"/>
  <c r="AS57" i="70"/>
  <c r="AR57" i="70"/>
  <c r="AQ57" i="70"/>
  <c r="AP57" i="70"/>
  <c r="AO57" i="70"/>
  <c r="AN57" i="70"/>
  <c r="AK57" i="70"/>
  <c r="AJ57" i="70"/>
  <c r="AI57" i="70"/>
  <c r="AH57" i="70"/>
  <c r="AG57" i="70"/>
  <c r="AF57" i="70"/>
  <c r="AE57" i="70"/>
  <c r="AD57" i="70"/>
  <c r="AC57" i="70"/>
  <c r="AB57" i="70"/>
  <c r="AA57" i="70"/>
  <c r="Z57" i="70"/>
  <c r="Y57" i="70"/>
  <c r="V57" i="70"/>
  <c r="U57" i="70"/>
  <c r="T57" i="70"/>
  <c r="S57" i="70"/>
  <c r="R57" i="70"/>
  <c r="Q57" i="70"/>
  <c r="P57" i="70"/>
  <c r="O57" i="70"/>
  <c r="N57" i="70"/>
  <c r="M57" i="70"/>
  <c r="L57" i="70"/>
  <c r="K57" i="70"/>
  <c r="J57" i="70"/>
  <c r="AZ51" i="70"/>
  <c r="AY51" i="70"/>
  <c r="AX51" i="70"/>
  <c r="AW51" i="70"/>
  <c r="AV51" i="70"/>
  <c r="AU51" i="70"/>
  <c r="AT51" i="70"/>
  <c r="AS51" i="70"/>
  <c r="AR51" i="70"/>
  <c r="AQ51" i="70"/>
  <c r="AP51" i="70"/>
  <c r="AO51" i="70"/>
  <c r="AN51" i="70"/>
  <c r="AK51" i="70"/>
  <c r="AJ51" i="70"/>
  <c r="AI51" i="70"/>
  <c r="AH51" i="70"/>
  <c r="AG51" i="70"/>
  <c r="AF51" i="70"/>
  <c r="AE51" i="70"/>
  <c r="AD51" i="70"/>
  <c r="AC51" i="70"/>
  <c r="AB51" i="70"/>
  <c r="AA51" i="70"/>
  <c r="Z51" i="70"/>
  <c r="Y51" i="70"/>
  <c r="V51" i="70"/>
  <c r="U51" i="70"/>
  <c r="T51" i="70"/>
  <c r="S51" i="70"/>
  <c r="R51" i="70"/>
  <c r="Q51" i="70"/>
  <c r="P51" i="70"/>
  <c r="O51" i="70"/>
  <c r="N51" i="70"/>
  <c r="M51" i="70"/>
  <c r="L51" i="70"/>
  <c r="K51" i="70"/>
  <c r="J51" i="70"/>
  <c r="AZ45" i="70"/>
  <c r="AY45" i="70"/>
  <c r="AX45" i="70"/>
  <c r="AW45" i="70"/>
  <c r="AV45" i="70"/>
  <c r="AU45" i="70"/>
  <c r="AT45" i="70"/>
  <c r="AS45" i="70"/>
  <c r="AR45" i="70"/>
  <c r="AQ45" i="70"/>
  <c r="AP45" i="70"/>
  <c r="AO45" i="70"/>
  <c r="AN45" i="70"/>
  <c r="AK45" i="70"/>
  <c r="AJ45" i="70"/>
  <c r="AI45" i="70"/>
  <c r="AH45" i="70"/>
  <c r="AG45" i="70"/>
  <c r="AF45" i="70"/>
  <c r="AE45" i="70"/>
  <c r="AD45" i="70"/>
  <c r="AC45" i="70"/>
  <c r="AB45" i="70"/>
  <c r="AA45" i="70"/>
  <c r="Z45" i="70"/>
  <c r="Y45" i="70"/>
  <c r="V45" i="70"/>
  <c r="U45" i="70"/>
  <c r="T45" i="70"/>
  <c r="S45" i="70"/>
  <c r="R45" i="70"/>
  <c r="Q45" i="70"/>
  <c r="P45" i="70"/>
  <c r="O45" i="70"/>
  <c r="N45" i="70"/>
  <c r="M45" i="70"/>
  <c r="L45" i="70"/>
  <c r="K45" i="70"/>
  <c r="J45" i="70"/>
  <c r="AZ39" i="70"/>
  <c r="AY39" i="70"/>
  <c r="AX39" i="70"/>
  <c r="AW39" i="70"/>
  <c r="AV39" i="70"/>
  <c r="AU39" i="70"/>
  <c r="AT39" i="70"/>
  <c r="AS39" i="70"/>
  <c r="AR39" i="70"/>
  <c r="AQ39" i="70"/>
  <c r="AP39" i="70"/>
  <c r="AO39" i="70"/>
  <c r="AN39" i="70"/>
  <c r="AK39" i="70"/>
  <c r="AJ39" i="70"/>
  <c r="AI39" i="70"/>
  <c r="AH39" i="70"/>
  <c r="AG39" i="70"/>
  <c r="AF39" i="70"/>
  <c r="AE39" i="70"/>
  <c r="AD39" i="70"/>
  <c r="AC39" i="70"/>
  <c r="AB39" i="70"/>
  <c r="AA39" i="70"/>
  <c r="Z39" i="70"/>
  <c r="Y39" i="70"/>
  <c r="V39" i="70"/>
  <c r="U39" i="70"/>
  <c r="T39" i="70"/>
  <c r="S39" i="70"/>
  <c r="R39" i="70"/>
  <c r="Q39" i="70"/>
  <c r="P39" i="70"/>
  <c r="O39" i="70"/>
  <c r="N39" i="70"/>
  <c r="M39" i="70"/>
  <c r="L39" i="70"/>
  <c r="K39" i="70"/>
  <c r="J39" i="70"/>
  <c r="AZ33" i="70"/>
  <c r="AY33" i="70"/>
  <c r="AX33" i="70"/>
  <c r="AW33" i="70"/>
  <c r="AV33" i="70"/>
  <c r="AU33" i="70"/>
  <c r="AT33" i="70"/>
  <c r="AS33" i="70"/>
  <c r="AR33" i="70"/>
  <c r="AQ33" i="70"/>
  <c r="AP33" i="70"/>
  <c r="AO33" i="70"/>
  <c r="AN33" i="70"/>
  <c r="AK33" i="70"/>
  <c r="AJ33" i="70"/>
  <c r="AI33" i="70"/>
  <c r="AH33" i="70"/>
  <c r="AG33" i="70"/>
  <c r="AF33" i="70"/>
  <c r="AE33" i="70"/>
  <c r="AD33" i="70"/>
  <c r="AC33" i="70"/>
  <c r="AB33" i="70"/>
  <c r="AA33" i="70"/>
  <c r="Z33" i="70"/>
  <c r="Y33" i="70"/>
  <c r="V33" i="70"/>
  <c r="U33" i="70"/>
  <c r="T33" i="70"/>
  <c r="S33" i="70"/>
  <c r="R33" i="70"/>
  <c r="Q33" i="70"/>
  <c r="P33" i="70"/>
  <c r="O33" i="70"/>
  <c r="N33" i="70"/>
  <c r="M33" i="70"/>
  <c r="L33" i="70"/>
  <c r="K33" i="70"/>
  <c r="J33" i="70"/>
  <c r="AZ27" i="70"/>
  <c r="AY27" i="70"/>
  <c r="AX27" i="70"/>
  <c r="AW27" i="70"/>
  <c r="AV27" i="70"/>
  <c r="AU27" i="70"/>
  <c r="AT27" i="70"/>
  <c r="AS27" i="70"/>
  <c r="AR27" i="70"/>
  <c r="AQ27" i="70"/>
  <c r="AP27" i="70"/>
  <c r="AO27" i="70"/>
  <c r="AN27" i="70"/>
  <c r="AK27" i="70"/>
  <c r="AJ27" i="70"/>
  <c r="AI27" i="70"/>
  <c r="AH27" i="70"/>
  <c r="AG27" i="70"/>
  <c r="AF27" i="70"/>
  <c r="AE27" i="70"/>
  <c r="AD27" i="70"/>
  <c r="AC27" i="70"/>
  <c r="AB27" i="70"/>
  <c r="AA27" i="70"/>
  <c r="Z27" i="70"/>
  <c r="Y27" i="70"/>
  <c r="V27" i="70"/>
  <c r="U27" i="70"/>
  <c r="T27" i="70"/>
  <c r="S27" i="70"/>
  <c r="R27" i="70"/>
  <c r="Q27" i="70"/>
  <c r="P27" i="70"/>
  <c r="O27" i="70"/>
  <c r="N27" i="70"/>
  <c r="M27" i="70"/>
  <c r="L27" i="70"/>
  <c r="K27" i="70"/>
  <c r="J27" i="70"/>
  <c r="AK327" i="41"/>
  <c r="AJ327" i="41"/>
  <c r="AI327" i="41"/>
  <c r="AH327" i="41"/>
  <c r="AG327" i="41"/>
  <c r="AF327" i="41"/>
  <c r="AE327" i="41"/>
  <c r="AD327" i="41"/>
  <c r="AC327" i="41"/>
  <c r="AB327" i="41"/>
  <c r="AA327" i="41"/>
  <c r="Z327" i="41"/>
  <c r="Y327" i="41"/>
  <c r="V327" i="41"/>
  <c r="U327" i="41"/>
  <c r="T327" i="41"/>
  <c r="S327" i="41"/>
  <c r="R327" i="41"/>
  <c r="Q327" i="41"/>
  <c r="P327" i="41"/>
  <c r="O327" i="41"/>
  <c r="N327" i="41"/>
  <c r="M327" i="41"/>
  <c r="L327" i="41"/>
  <c r="K327" i="41"/>
  <c r="J327" i="41"/>
  <c r="AK258" i="41"/>
  <c r="AJ258" i="41"/>
  <c r="AI258" i="41"/>
  <c r="AH258" i="41"/>
  <c r="AG258" i="41"/>
  <c r="AF258" i="41"/>
  <c r="AE258" i="41"/>
  <c r="AD258" i="41"/>
  <c r="AC258" i="41"/>
  <c r="AB258" i="41"/>
  <c r="AA258" i="41"/>
  <c r="Z258" i="41"/>
  <c r="Y258" i="41"/>
  <c r="V258" i="41"/>
  <c r="U258" i="41"/>
  <c r="T258" i="41"/>
  <c r="S258" i="41"/>
  <c r="R258" i="41"/>
  <c r="Q258" i="41"/>
  <c r="P258" i="41"/>
  <c r="O258" i="41"/>
  <c r="N258" i="41"/>
  <c r="M258" i="41"/>
  <c r="L258" i="41"/>
  <c r="K258" i="41"/>
  <c r="J258" i="41"/>
  <c r="AZ189" i="41"/>
  <c r="AY189" i="41"/>
  <c r="AX189" i="41"/>
  <c r="AW189" i="41"/>
  <c r="AV189" i="41"/>
  <c r="AU189" i="41"/>
  <c r="AT189" i="41"/>
  <c r="AS189" i="41"/>
  <c r="AR189" i="41"/>
  <c r="AQ189" i="41"/>
  <c r="AP189" i="41"/>
  <c r="AO189" i="41"/>
  <c r="AN189" i="41"/>
  <c r="V189" i="41"/>
  <c r="U189" i="41"/>
  <c r="T189" i="41"/>
  <c r="S189" i="41"/>
  <c r="R189" i="41"/>
  <c r="Q189" i="41"/>
  <c r="P189" i="41"/>
  <c r="O189" i="41"/>
  <c r="N189" i="41"/>
  <c r="M189" i="41"/>
  <c r="L189" i="41"/>
  <c r="K189" i="41"/>
  <c r="J189" i="41"/>
  <c r="AZ120" i="41"/>
  <c r="AY120" i="41"/>
  <c r="AX120" i="41"/>
  <c r="AW120" i="41"/>
  <c r="AV120" i="41"/>
  <c r="AU120" i="41"/>
  <c r="AT120" i="41"/>
  <c r="AS120" i="41"/>
  <c r="AR120" i="41"/>
  <c r="AQ120" i="41"/>
  <c r="AP120" i="41"/>
  <c r="AO120" i="41"/>
  <c r="AN120" i="41"/>
  <c r="AK120" i="41"/>
  <c r="AJ120" i="41"/>
  <c r="AI120" i="41"/>
  <c r="AH120" i="41"/>
  <c r="AG120" i="41"/>
  <c r="AF120" i="41"/>
  <c r="AE120" i="41"/>
  <c r="AD120" i="41"/>
  <c r="AC120" i="41"/>
  <c r="AB120" i="41"/>
  <c r="AA120" i="41"/>
  <c r="Z120" i="41"/>
  <c r="Y120" i="41"/>
  <c r="V120" i="41"/>
  <c r="U120" i="41"/>
  <c r="T120" i="41"/>
  <c r="S120" i="41"/>
  <c r="R120" i="41"/>
  <c r="Q120" i="41"/>
  <c r="P120" i="41"/>
  <c r="O120" i="41"/>
  <c r="N120" i="41"/>
  <c r="M120" i="41"/>
  <c r="L120" i="41"/>
  <c r="K120" i="41"/>
  <c r="J120" i="41"/>
  <c r="AZ108" i="41"/>
  <c r="AY108" i="41"/>
  <c r="AX108" i="41"/>
  <c r="AW108" i="41"/>
  <c r="AV108" i="41"/>
  <c r="AU108" i="41"/>
  <c r="AT108" i="41"/>
  <c r="AS108" i="41"/>
  <c r="AR108" i="41"/>
  <c r="AQ108" i="41"/>
  <c r="AP108" i="41"/>
  <c r="AO108" i="41"/>
  <c r="AN108" i="41"/>
  <c r="AK108" i="41"/>
  <c r="AJ108" i="41"/>
  <c r="AI108" i="41"/>
  <c r="AH108" i="41"/>
  <c r="AG108" i="41"/>
  <c r="AF108" i="41"/>
  <c r="AE108" i="41"/>
  <c r="AD108" i="41"/>
  <c r="AC108" i="41"/>
  <c r="AB108" i="41"/>
  <c r="AA108" i="41"/>
  <c r="Z108" i="41"/>
  <c r="Y108" i="41"/>
  <c r="V108" i="41"/>
  <c r="U108" i="41"/>
  <c r="T108" i="41"/>
  <c r="S108" i="41"/>
  <c r="R108" i="41"/>
  <c r="Q108" i="41"/>
  <c r="P108" i="41"/>
  <c r="O108" i="41"/>
  <c r="N108" i="41"/>
  <c r="M108" i="41"/>
  <c r="L108" i="41"/>
  <c r="K108" i="41"/>
  <c r="J108" i="41"/>
  <c r="AZ96" i="41"/>
  <c r="AY96" i="41"/>
  <c r="AX96" i="41"/>
  <c r="AW96" i="41"/>
  <c r="AV96" i="41"/>
  <c r="AU96" i="41"/>
  <c r="AT96" i="41"/>
  <c r="AS96" i="41"/>
  <c r="AR96" i="41"/>
  <c r="AQ96" i="41"/>
  <c r="AP96" i="41"/>
  <c r="AO96" i="41"/>
  <c r="AN96" i="41"/>
  <c r="AK96" i="41"/>
  <c r="AJ96" i="41"/>
  <c r="AI96" i="41"/>
  <c r="AH96" i="41"/>
  <c r="AG96" i="41"/>
  <c r="AF96" i="41"/>
  <c r="AE96" i="41"/>
  <c r="AD96" i="41"/>
  <c r="AC96" i="41"/>
  <c r="AB96" i="41"/>
  <c r="AA96" i="41"/>
  <c r="Z96" i="41"/>
  <c r="Y96" i="41"/>
  <c r="V96" i="41"/>
  <c r="U96" i="41"/>
  <c r="T96" i="41"/>
  <c r="S96" i="41"/>
  <c r="R96" i="41"/>
  <c r="Q96" i="41"/>
  <c r="P96" i="41"/>
  <c r="O96" i="41"/>
  <c r="N96" i="41"/>
  <c r="M96" i="41"/>
  <c r="L96" i="41"/>
  <c r="K96" i="41"/>
  <c r="J96" i="41"/>
  <c r="AZ84" i="41"/>
  <c r="AY84" i="41"/>
  <c r="AX84" i="41"/>
  <c r="AW84" i="41"/>
  <c r="AV84" i="41"/>
  <c r="AU84" i="41"/>
  <c r="AT84" i="41"/>
  <c r="AS84" i="41"/>
  <c r="AR84" i="41"/>
  <c r="AQ84" i="41"/>
  <c r="AP84" i="41"/>
  <c r="AO84" i="41"/>
  <c r="AN84" i="41"/>
  <c r="AK84" i="41"/>
  <c r="AJ84" i="41"/>
  <c r="AI84" i="41"/>
  <c r="AH84" i="41"/>
  <c r="AG84" i="41"/>
  <c r="AF84" i="41"/>
  <c r="AE84" i="41"/>
  <c r="AD84" i="41"/>
  <c r="AC84" i="41"/>
  <c r="AB84" i="41"/>
  <c r="AA84" i="41"/>
  <c r="Z84" i="41"/>
  <c r="Y84" i="41"/>
  <c r="V84" i="41"/>
  <c r="U84" i="41"/>
  <c r="T84" i="41"/>
  <c r="S84" i="41"/>
  <c r="R84" i="41"/>
  <c r="Q84" i="41"/>
  <c r="P84" i="41"/>
  <c r="O84" i="41"/>
  <c r="N84" i="41"/>
  <c r="M84" i="41"/>
  <c r="L84" i="41"/>
  <c r="K84" i="41"/>
  <c r="J84" i="41"/>
  <c r="AZ72" i="41"/>
  <c r="AY72" i="41"/>
  <c r="AX72" i="41"/>
  <c r="AW72" i="41"/>
  <c r="AV72" i="41"/>
  <c r="AU72" i="41"/>
  <c r="AT72" i="41"/>
  <c r="AS72" i="41"/>
  <c r="AR72" i="41"/>
  <c r="AQ72" i="41"/>
  <c r="AP72" i="41"/>
  <c r="AO72" i="41"/>
  <c r="AN72" i="41"/>
  <c r="AK72" i="41"/>
  <c r="AJ72" i="41"/>
  <c r="AI72" i="41"/>
  <c r="AH72" i="41"/>
  <c r="AG72" i="41"/>
  <c r="AF72" i="41"/>
  <c r="AE72" i="41"/>
  <c r="AD72" i="41"/>
  <c r="AC72" i="41"/>
  <c r="AB72" i="41"/>
  <c r="AA72" i="41"/>
  <c r="Z72" i="41"/>
  <c r="Y72" i="41"/>
  <c r="V72" i="41"/>
  <c r="U72" i="41"/>
  <c r="T72" i="41"/>
  <c r="S72" i="41"/>
  <c r="R72" i="41"/>
  <c r="Q72" i="41"/>
  <c r="P72" i="41"/>
  <c r="O72" i="41"/>
  <c r="N72" i="41"/>
  <c r="M72" i="41"/>
  <c r="L72" i="41"/>
  <c r="K72" i="41"/>
  <c r="J72" i="41"/>
  <c r="AZ60" i="41"/>
  <c r="AY60" i="41"/>
  <c r="AX60" i="41"/>
  <c r="AW60" i="41"/>
  <c r="AV60" i="41"/>
  <c r="AU60" i="41"/>
  <c r="AT60" i="41"/>
  <c r="AS60" i="41"/>
  <c r="AR60" i="41"/>
  <c r="AQ60" i="41"/>
  <c r="AP60" i="41"/>
  <c r="AO60" i="41"/>
  <c r="AN60" i="41"/>
  <c r="AK60" i="41"/>
  <c r="AJ60" i="41"/>
  <c r="AI60" i="41"/>
  <c r="AH60" i="41"/>
  <c r="AG60" i="41"/>
  <c r="AF60" i="41"/>
  <c r="AE60" i="41"/>
  <c r="AD60" i="41"/>
  <c r="AC60" i="41"/>
  <c r="AB60" i="41"/>
  <c r="AA60" i="41"/>
  <c r="Z60" i="41"/>
  <c r="Y60" i="41"/>
  <c r="V60" i="41"/>
  <c r="U60" i="41"/>
  <c r="T60" i="41"/>
  <c r="S60" i="41"/>
  <c r="R60" i="41"/>
  <c r="Q60" i="41"/>
  <c r="P60" i="41"/>
  <c r="O60" i="41"/>
  <c r="N60" i="41"/>
  <c r="M60" i="41"/>
  <c r="L60" i="41"/>
  <c r="K60" i="41"/>
  <c r="J60" i="41"/>
  <c r="AZ48" i="41"/>
  <c r="AY48" i="41"/>
  <c r="AX48" i="41"/>
  <c r="AW48" i="41"/>
  <c r="AV48" i="41"/>
  <c r="AU48" i="41"/>
  <c r="AT48" i="41"/>
  <c r="AS48" i="41"/>
  <c r="AR48" i="41"/>
  <c r="AQ48" i="41"/>
  <c r="AP48" i="41"/>
  <c r="AO48" i="41"/>
  <c r="AN48" i="41"/>
  <c r="AK48" i="41"/>
  <c r="AJ48" i="41"/>
  <c r="AI48" i="41"/>
  <c r="AH48" i="41"/>
  <c r="AG48" i="41"/>
  <c r="AF48" i="41"/>
  <c r="AE48" i="41"/>
  <c r="AD48" i="41"/>
  <c r="AC48" i="41"/>
  <c r="AB48" i="41"/>
  <c r="AA48" i="41"/>
  <c r="Z48" i="41"/>
  <c r="Y48" i="41"/>
  <c r="V48" i="41"/>
  <c r="U48" i="41"/>
  <c r="T48" i="41"/>
  <c r="S48" i="41"/>
  <c r="R48" i="41"/>
  <c r="Q48" i="41"/>
  <c r="P48" i="41"/>
  <c r="O48" i="41"/>
  <c r="N48" i="41"/>
  <c r="M48" i="41"/>
  <c r="L48" i="41"/>
  <c r="K48" i="41"/>
  <c r="J48" i="41"/>
  <c r="AZ36" i="41"/>
  <c r="AY36" i="41"/>
  <c r="AX36" i="41"/>
  <c r="AW36" i="41"/>
  <c r="AV36" i="41"/>
  <c r="AU36" i="41"/>
  <c r="AT36" i="41"/>
  <c r="AS36" i="41"/>
  <c r="AR36" i="41"/>
  <c r="AQ36" i="41"/>
  <c r="AP36" i="41"/>
  <c r="AO36" i="41"/>
  <c r="AN36" i="41"/>
  <c r="AK36" i="41"/>
  <c r="AJ36" i="41"/>
  <c r="AI36" i="41"/>
  <c r="AH36" i="41"/>
  <c r="AG36" i="41"/>
  <c r="AF36" i="41"/>
  <c r="AE36" i="41"/>
  <c r="AD36" i="41"/>
  <c r="AC36" i="41"/>
  <c r="AB36" i="41"/>
  <c r="AA36" i="41"/>
  <c r="Z36" i="41"/>
  <c r="Y36" i="41"/>
  <c r="V36" i="41"/>
  <c r="U36" i="41"/>
  <c r="T36" i="41"/>
  <c r="S36" i="41"/>
  <c r="R36" i="41"/>
  <c r="Q36" i="41"/>
  <c r="P36" i="41"/>
  <c r="O36" i="41"/>
  <c r="N36" i="41"/>
  <c r="M36" i="41"/>
  <c r="L36" i="41"/>
  <c r="K36" i="41"/>
  <c r="J36" i="41"/>
  <c r="BV229" i="67"/>
  <c r="BT229" i="67"/>
  <c r="BR229" i="67"/>
  <c r="BG229" i="67"/>
  <c r="BE229" i="67"/>
  <c r="BC229" i="67"/>
  <c r="AZ229" i="67"/>
  <c r="AY229" i="67"/>
  <c r="AX229" i="67"/>
  <c r="AW229" i="67"/>
  <c r="AV229" i="67"/>
  <c r="AU229" i="67"/>
  <c r="AT229" i="67"/>
  <c r="AS229" i="67"/>
  <c r="AR229" i="67"/>
  <c r="AQ229" i="67"/>
  <c r="AP229" i="67"/>
  <c r="AO229" i="67"/>
  <c r="AN229" i="67"/>
  <c r="BV217" i="67"/>
  <c r="BT217" i="67"/>
  <c r="BR217" i="67"/>
  <c r="BG217" i="67"/>
  <c r="BE217" i="67"/>
  <c r="BC217" i="67"/>
  <c r="AZ217" i="67"/>
  <c r="AY217" i="67"/>
  <c r="AX217" i="67"/>
  <c r="AW217" i="67"/>
  <c r="AV217" i="67"/>
  <c r="AU217" i="67"/>
  <c r="AT217" i="67"/>
  <c r="AS217" i="67"/>
  <c r="AR217" i="67"/>
  <c r="AQ217" i="67"/>
  <c r="AP217" i="67"/>
  <c r="AO217" i="67"/>
  <c r="AN217" i="67"/>
  <c r="BV212" i="67"/>
  <c r="BT212" i="67"/>
  <c r="BR212" i="67"/>
  <c r="BG212" i="67"/>
  <c r="BE212" i="67"/>
  <c r="BC212" i="67"/>
  <c r="AZ212" i="67"/>
  <c r="AY212" i="67"/>
  <c r="AX212" i="67"/>
  <c r="AW212" i="67"/>
  <c r="AV212" i="67"/>
  <c r="AU212" i="67"/>
  <c r="AT212" i="67"/>
  <c r="AS212" i="67"/>
  <c r="AR212" i="67"/>
  <c r="AQ212" i="67"/>
  <c r="AP212" i="67"/>
  <c r="AO212" i="67"/>
  <c r="AN212" i="67"/>
  <c r="BV206" i="67"/>
  <c r="BT206" i="67"/>
  <c r="BR206" i="67"/>
  <c r="BG206" i="67"/>
  <c r="BE206" i="67"/>
  <c r="BC206" i="67"/>
  <c r="AZ206" i="67"/>
  <c r="AY206" i="67"/>
  <c r="AX206" i="67"/>
  <c r="AW206" i="67"/>
  <c r="AV206" i="67"/>
  <c r="AU206" i="67"/>
  <c r="AT206" i="67"/>
  <c r="AS206" i="67"/>
  <c r="AR206" i="67"/>
  <c r="AQ206" i="67"/>
  <c r="AP206" i="67"/>
  <c r="AO206" i="67"/>
  <c r="AN206" i="67"/>
  <c r="BV200" i="67"/>
  <c r="BT200" i="67"/>
  <c r="BR200" i="67"/>
  <c r="BG200" i="67"/>
  <c r="BE200" i="67"/>
  <c r="BC200" i="67"/>
  <c r="AZ200" i="67"/>
  <c r="AY200" i="67"/>
  <c r="AX200" i="67"/>
  <c r="AW200" i="67"/>
  <c r="AV200" i="67"/>
  <c r="AU200" i="67"/>
  <c r="AT200" i="67"/>
  <c r="AS200" i="67"/>
  <c r="AR200" i="67"/>
  <c r="AQ200" i="67"/>
  <c r="AP200" i="67"/>
  <c r="AO200" i="67"/>
  <c r="AN200" i="67"/>
  <c r="BV192" i="67"/>
  <c r="BT192" i="67"/>
  <c r="BR192" i="67"/>
  <c r="BG192" i="67"/>
  <c r="BE192" i="67"/>
  <c r="BC192" i="67"/>
  <c r="AZ192" i="67"/>
  <c r="AY192" i="67"/>
  <c r="AX192" i="67"/>
  <c r="AW192" i="67"/>
  <c r="AV192" i="67"/>
  <c r="AU192" i="67"/>
  <c r="AT192" i="67"/>
  <c r="AS192" i="67"/>
  <c r="AR192" i="67"/>
  <c r="AQ192" i="67"/>
  <c r="AP192" i="67"/>
  <c r="AO192" i="67"/>
  <c r="AN192" i="67"/>
  <c r="BV175" i="67"/>
  <c r="BV177" i="67" s="1"/>
  <c r="BT175" i="67"/>
  <c r="BT177" i="67" s="1"/>
  <c r="BR175" i="67"/>
  <c r="BR177" i="67" s="1"/>
  <c r="BG175" i="67"/>
  <c r="BG177" i="67" s="1"/>
  <c r="BE175" i="67"/>
  <c r="BE177" i="67" s="1"/>
  <c r="BC175" i="67"/>
  <c r="BC177" i="67" s="1"/>
  <c r="AZ175" i="67"/>
  <c r="AZ177" i="67" s="1"/>
  <c r="AY175" i="67"/>
  <c r="AY177" i="67" s="1"/>
  <c r="AX175" i="67"/>
  <c r="AX177" i="67" s="1"/>
  <c r="AW175" i="67"/>
  <c r="AW177" i="67" s="1"/>
  <c r="AV175" i="67"/>
  <c r="AV177" i="67" s="1"/>
  <c r="AU175" i="67"/>
  <c r="AU177" i="67" s="1"/>
  <c r="AT175" i="67"/>
  <c r="AT177" i="67" s="1"/>
  <c r="AS175" i="67"/>
  <c r="AS177" i="67" s="1"/>
  <c r="AR175" i="67"/>
  <c r="AR177" i="67" s="1"/>
  <c r="AQ175" i="67"/>
  <c r="AQ177" i="67" s="1"/>
  <c r="AP175" i="67"/>
  <c r="AP177" i="67" s="1"/>
  <c r="AO175" i="67"/>
  <c r="AO177" i="67" s="1"/>
  <c r="AN175" i="67"/>
  <c r="AN177" i="67" s="1"/>
  <c r="BV158" i="67"/>
  <c r="BT158" i="67"/>
  <c r="BR158" i="67"/>
  <c r="BG158" i="67"/>
  <c r="BE158" i="67"/>
  <c r="BC158" i="67"/>
  <c r="AZ158" i="67"/>
  <c r="AY158" i="67"/>
  <c r="AX158" i="67"/>
  <c r="AW158" i="67"/>
  <c r="AV158" i="67"/>
  <c r="AU158" i="67"/>
  <c r="AT158" i="67"/>
  <c r="AS158" i="67"/>
  <c r="AR158" i="67"/>
  <c r="AQ158" i="67"/>
  <c r="AP158" i="67"/>
  <c r="AO158" i="67"/>
  <c r="AN158" i="67"/>
  <c r="BV146" i="67"/>
  <c r="BT146" i="67"/>
  <c r="BR146" i="67"/>
  <c r="BG146" i="67"/>
  <c r="BE146" i="67"/>
  <c r="BC146" i="67"/>
  <c r="AZ146" i="67"/>
  <c r="AY146" i="67"/>
  <c r="AX146" i="67"/>
  <c r="AW146" i="67"/>
  <c r="AV146" i="67"/>
  <c r="AU146" i="67"/>
  <c r="AT146" i="67"/>
  <c r="AS146" i="67"/>
  <c r="AR146" i="67"/>
  <c r="AQ146" i="67"/>
  <c r="AP146" i="67"/>
  <c r="AO146" i="67"/>
  <c r="AN146" i="67"/>
  <c r="CD129" i="67"/>
  <c r="CB129" i="67"/>
  <c r="BZ129" i="67"/>
  <c r="BX129" i="67"/>
  <c r="BV129" i="67"/>
  <c r="BO129" i="67"/>
  <c r="BM129" i="67"/>
  <c r="BK129" i="67"/>
  <c r="BI129" i="67"/>
  <c r="BG129" i="67"/>
  <c r="AZ129" i="67"/>
  <c r="AY129" i="67"/>
  <c r="AX129" i="67"/>
  <c r="AW129" i="67"/>
  <c r="AV129" i="67"/>
  <c r="AU129" i="67"/>
  <c r="AT129" i="67"/>
  <c r="AS129" i="67"/>
  <c r="AR129" i="67"/>
  <c r="AQ129" i="67"/>
  <c r="AP129" i="67"/>
  <c r="AO129" i="67"/>
  <c r="AN129" i="67"/>
  <c r="AK129" i="67"/>
  <c r="AJ129" i="67"/>
  <c r="AI129" i="67"/>
  <c r="AH129" i="67"/>
  <c r="AG129" i="67"/>
  <c r="AF129" i="67"/>
  <c r="AE129" i="67"/>
  <c r="AD129" i="67"/>
  <c r="AC129" i="67"/>
  <c r="AB129" i="67"/>
  <c r="AA129" i="67"/>
  <c r="Z129" i="67"/>
  <c r="Y129" i="67"/>
  <c r="V129" i="67"/>
  <c r="U129" i="67"/>
  <c r="T129" i="67"/>
  <c r="S129" i="67"/>
  <c r="R129" i="67"/>
  <c r="Q129" i="67"/>
  <c r="P129" i="67"/>
  <c r="O129" i="67"/>
  <c r="N129" i="67"/>
  <c r="M129" i="67"/>
  <c r="L129" i="67"/>
  <c r="K129" i="67"/>
  <c r="J129" i="67"/>
  <c r="CD118" i="67"/>
  <c r="CB118" i="67"/>
  <c r="BZ118" i="67"/>
  <c r="BX118" i="67"/>
  <c r="BV118" i="67"/>
  <c r="BO118" i="67"/>
  <c r="BM118" i="67"/>
  <c r="BK118" i="67"/>
  <c r="BI118" i="67"/>
  <c r="BG118" i="67"/>
  <c r="AZ118" i="67"/>
  <c r="AY118" i="67"/>
  <c r="AX118" i="67"/>
  <c r="AW118" i="67"/>
  <c r="AV118" i="67"/>
  <c r="AU118" i="67"/>
  <c r="AT118" i="67"/>
  <c r="AS118" i="67"/>
  <c r="AR118" i="67"/>
  <c r="AQ118" i="67"/>
  <c r="AP118" i="67"/>
  <c r="AO118" i="67"/>
  <c r="AN118" i="67"/>
  <c r="AK118" i="67"/>
  <c r="AJ118" i="67"/>
  <c r="AI118" i="67"/>
  <c r="AH118" i="67"/>
  <c r="AG118" i="67"/>
  <c r="AF118" i="67"/>
  <c r="AE118" i="67"/>
  <c r="AD118" i="67"/>
  <c r="AC118" i="67"/>
  <c r="AB118" i="67"/>
  <c r="AA118" i="67"/>
  <c r="Z118" i="67"/>
  <c r="Y118" i="67"/>
  <c r="V118" i="67"/>
  <c r="U118" i="67"/>
  <c r="T118" i="67"/>
  <c r="S118" i="67"/>
  <c r="R118" i="67"/>
  <c r="Q118" i="67"/>
  <c r="P118" i="67"/>
  <c r="O118" i="67"/>
  <c r="N118" i="67"/>
  <c r="M118" i="67"/>
  <c r="L118" i="67"/>
  <c r="K118" i="67"/>
  <c r="J118" i="67"/>
  <c r="CD107" i="67"/>
  <c r="CB107" i="67"/>
  <c r="BZ107" i="67"/>
  <c r="BX107" i="67"/>
  <c r="BV107" i="67"/>
  <c r="BO107" i="67"/>
  <c r="BM107" i="67"/>
  <c r="BK107" i="67"/>
  <c r="BI107" i="67"/>
  <c r="BG107" i="67"/>
  <c r="AZ107" i="67"/>
  <c r="AY107" i="67"/>
  <c r="AX107" i="67"/>
  <c r="AW107" i="67"/>
  <c r="AV107" i="67"/>
  <c r="AU107" i="67"/>
  <c r="AT107" i="67"/>
  <c r="AS107" i="67"/>
  <c r="AR107" i="67"/>
  <c r="AQ107" i="67"/>
  <c r="AP107" i="67"/>
  <c r="AO107" i="67"/>
  <c r="AN107" i="67"/>
  <c r="AK107" i="67"/>
  <c r="AJ107" i="67"/>
  <c r="AI107" i="67"/>
  <c r="AH107" i="67"/>
  <c r="AG107" i="67"/>
  <c r="AF107" i="67"/>
  <c r="AE107" i="67"/>
  <c r="AD107" i="67"/>
  <c r="AC107" i="67"/>
  <c r="AB107" i="67"/>
  <c r="AA107" i="67"/>
  <c r="Z107" i="67"/>
  <c r="Y107" i="67"/>
  <c r="V107" i="67"/>
  <c r="U107" i="67"/>
  <c r="T107" i="67"/>
  <c r="S107" i="67"/>
  <c r="R107" i="67"/>
  <c r="Q107" i="67"/>
  <c r="P107" i="67"/>
  <c r="O107" i="67"/>
  <c r="N107" i="67"/>
  <c r="M107" i="67"/>
  <c r="L107" i="67"/>
  <c r="K107" i="67"/>
  <c r="J107" i="67"/>
  <c r="CD96" i="67"/>
  <c r="CB96" i="67"/>
  <c r="BZ96" i="67"/>
  <c r="BX96" i="67"/>
  <c r="BV96" i="67"/>
  <c r="BO96" i="67"/>
  <c r="BM96" i="67"/>
  <c r="BK96" i="67"/>
  <c r="BI96" i="67"/>
  <c r="BG96" i="67"/>
  <c r="AZ96" i="67"/>
  <c r="AY96" i="67"/>
  <c r="AX96" i="67"/>
  <c r="AW96" i="67"/>
  <c r="AV96" i="67"/>
  <c r="AU96" i="67"/>
  <c r="AT96" i="67"/>
  <c r="AS96" i="67"/>
  <c r="AR96" i="67"/>
  <c r="AQ96" i="67"/>
  <c r="AP96" i="67"/>
  <c r="AO96" i="67"/>
  <c r="AN96" i="67"/>
  <c r="AK96" i="67"/>
  <c r="AJ96" i="67"/>
  <c r="AI96" i="67"/>
  <c r="AH96" i="67"/>
  <c r="AG96" i="67"/>
  <c r="AF96" i="67"/>
  <c r="AE96" i="67"/>
  <c r="AD96" i="67"/>
  <c r="AC96" i="67"/>
  <c r="AB96" i="67"/>
  <c r="AA96" i="67"/>
  <c r="Z96" i="67"/>
  <c r="Y96" i="67"/>
  <c r="V96" i="67"/>
  <c r="U96" i="67"/>
  <c r="T96" i="67"/>
  <c r="S96" i="67"/>
  <c r="R96" i="67"/>
  <c r="Q96" i="67"/>
  <c r="P96" i="67"/>
  <c r="O96" i="67"/>
  <c r="N96" i="67"/>
  <c r="M96" i="67"/>
  <c r="L96" i="67"/>
  <c r="K96" i="67"/>
  <c r="J96" i="67"/>
  <c r="CD85" i="67"/>
  <c r="CB85" i="67"/>
  <c r="BZ85" i="67"/>
  <c r="BX85" i="67"/>
  <c r="BV85" i="67"/>
  <c r="BO85" i="67"/>
  <c r="BM85" i="67"/>
  <c r="BK85" i="67"/>
  <c r="BI85" i="67"/>
  <c r="BG85" i="67"/>
  <c r="AZ85" i="67"/>
  <c r="AY85" i="67"/>
  <c r="AX85" i="67"/>
  <c r="AW85" i="67"/>
  <c r="AV85" i="67"/>
  <c r="AU85" i="67"/>
  <c r="AT85" i="67"/>
  <c r="AS85" i="67"/>
  <c r="AR85" i="67"/>
  <c r="AQ85" i="67"/>
  <c r="AP85" i="67"/>
  <c r="AO85" i="67"/>
  <c r="AN85" i="67"/>
  <c r="AK85" i="67"/>
  <c r="AJ85" i="67"/>
  <c r="AI85" i="67"/>
  <c r="AH85" i="67"/>
  <c r="AG85" i="67"/>
  <c r="AF85" i="67"/>
  <c r="AE85" i="67"/>
  <c r="AD85" i="67"/>
  <c r="AC85" i="67"/>
  <c r="AB85" i="67"/>
  <c r="AA85" i="67"/>
  <c r="Z85" i="67"/>
  <c r="Y85" i="67"/>
  <c r="V85" i="67"/>
  <c r="U85" i="67"/>
  <c r="T85" i="67"/>
  <c r="S85" i="67"/>
  <c r="R85" i="67"/>
  <c r="Q85" i="67"/>
  <c r="P85" i="67"/>
  <c r="O85" i="67"/>
  <c r="N85" i="67"/>
  <c r="M85" i="67"/>
  <c r="L85" i="67"/>
  <c r="K85" i="67"/>
  <c r="J85" i="67"/>
  <c r="CD73" i="67"/>
  <c r="CB73" i="67"/>
  <c r="BZ73" i="67"/>
  <c r="BX73" i="67"/>
  <c r="BV73" i="67"/>
  <c r="BO73" i="67"/>
  <c r="BM73" i="67"/>
  <c r="BK73" i="67"/>
  <c r="BI73" i="67"/>
  <c r="BG73" i="67"/>
  <c r="AZ73" i="67"/>
  <c r="AY73" i="67"/>
  <c r="AX73" i="67"/>
  <c r="AW73" i="67"/>
  <c r="AV73" i="67"/>
  <c r="AU73" i="67"/>
  <c r="AT73" i="67"/>
  <c r="AS73" i="67"/>
  <c r="AR73" i="67"/>
  <c r="AQ73" i="67"/>
  <c r="AP73" i="67"/>
  <c r="AO73" i="67"/>
  <c r="AN73" i="67"/>
  <c r="AK73" i="67"/>
  <c r="AJ73" i="67"/>
  <c r="AI73" i="67"/>
  <c r="AH73" i="67"/>
  <c r="AG73" i="67"/>
  <c r="AF73" i="67"/>
  <c r="AE73" i="67"/>
  <c r="AD73" i="67"/>
  <c r="AC73" i="67"/>
  <c r="AB73" i="67"/>
  <c r="AA73" i="67"/>
  <c r="Z73" i="67"/>
  <c r="Y73" i="67"/>
  <c r="V73" i="67"/>
  <c r="U73" i="67"/>
  <c r="T73" i="67"/>
  <c r="S73" i="67"/>
  <c r="R73" i="67"/>
  <c r="Q73" i="67"/>
  <c r="P73" i="67"/>
  <c r="O73" i="67"/>
  <c r="N73" i="67"/>
  <c r="M73" i="67"/>
  <c r="L73" i="67"/>
  <c r="K73" i="67"/>
  <c r="J73" i="67"/>
  <c r="CD57" i="67"/>
  <c r="CD59" i="67" s="1"/>
  <c r="CB57" i="67"/>
  <c r="CB59" i="67" s="1"/>
  <c r="BZ57" i="67"/>
  <c r="BZ59" i="67" s="1"/>
  <c r="BX57" i="67"/>
  <c r="BX59" i="67" s="1"/>
  <c r="BV57" i="67"/>
  <c r="BV59" i="67" s="1"/>
  <c r="BO57" i="67"/>
  <c r="BO59" i="67" s="1"/>
  <c r="BM57" i="67"/>
  <c r="BM59" i="67" s="1"/>
  <c r="BK57" i="67"/>
  <c r="BK59" i="67" s="1"/>
  <c r="BI57" i="67"/>
  <c r="BI59" i="67" s="1"/>
  <c r="BG57" i="67"/>
  <c r="BG59" i="67" s="1"/>
  <c r="AZ57" i="67"/>
  <c r="AZ59" i="67" s="1"/>
  <c r="AY57" i="67"/>
  <c r="AY59" i="67" s="1"/>
  <c r="AX57" i="67"/>
  <c r="AX59" i="67" s="1"/>
  <c r="AW57" i="67"/>
  <c r="AW59" i="67" s="1"/>
  <c r="AV57" i="67"/>
  <c r="AV59" i="67" s="1"/>
  <c r="AU57" i="67"/>
  <c r="AU59" i="67" s="1"/>
  <c r="AT57" i="67"/>
  <c r="AT59" i="67" s="1"/>
  <c r="AS57" i="67"/>
  <c r="AS59" i="67" s="1"/>
  <c r="AR57" i="67"/>
  <c r="AR59" i="67" s="1"/>
  <c r="AQ57" i="67"/>
  <c r="AQ59" i="67" s="1"/>
  <c r="AP57" i="67"/>
  <c r="AP59" i="67" s="1"/>
  <c r="AO57" i="67"/>
  <c r="AO59" i="67" s="1"/>
  <c r="AN57" i="67"/>
  <c r="AN59" i="67" s="1"/>
  <c r="AK57" i="67"/>
  <c r="AK59" i="67" s="1"/>
  <c r="AJ57" i="67"/>
  <c r="AJ59" i="67" s="1"/>
  <c r="AI57" i="67"/>
  <c r="AI59" i="67" s="1"/>
  <c r="AH57" i="67"/>
  <c r="AH59" i="67" s="1"/>
  <c r="AG57" i="67"/>
  <c r="AG59" i="67" s="1"/>
  <c r="AF57" i="67"/>
  <c r="AF59" i="67" s="1"/>
  <c r="AE57" i="67"/>
  <c r="AE59" i="67" s="1"/>
  <c r="AD57" i="67"/>
  <c r="AD59" i="67" s="1"/>
  <c r="AC57" i="67"/>
  <c r="AC59" i="67" s="1"/>
  <c r="AB57" i="67"/>
  <c r="AB59" i="67" s="1"/>
  <c r="AA57" i="67"/>
  <c r="AA59" i="67" s="1"/>
  <c r="Z57" i="67"/>
  <c r="Z59" i="67" s="1"/>
  <c r="Y57" i="67"/>
  <c r="Y59" i="67" s="1"/>
  <c r="V57" i="67"/>
  <c r="V59" i="67" s="1"/>
  <c r="U57" i="67"/>
  <c r="U59" i="67" s="1"/>
  <c r="T57" i="67"/>
  <c r="T59" i="67" s="1"/>
  <c r="S57" i="67"/>
  <c r="S59" i="67" s="1"/>
  <c r="R57" i="67"/>
  <c r="R59" i="67" s="1"/>
  <c r="Q57" i="67"/>
  <c r="Q59" i="67" s="1"/>
  <c r="P57" i="67"/>
  <c r="P59" i="67" s="1"/>
  <c r="O57" i="67"/>
  <c r="O59" i="67" s="1"/>
  <c r="N57" i="67"/>
  <c r="N59" i="67" s="1"/>
  <c r="M57" i="67"/>
  <c r="M59" i="67" s="1"/>
  <c r="L57" i="67"/>
  <c r="L59" i="67" s="1"/>
  <c r="K57" i="67"/>
  <c r="K59" i="67" s="1"/>
  <c r="J57" i="67"/>
  <c r="J59" i="67" s="1"/>
  <c r="CD40" i="67"/>
  <c r="CB40" i="67"/>
  <c r="BZ40" i="67"/>
  <c r="BX40" i="67"/>
  <c r="BV40" i="67"/>
  <c r="BO40" i="67"/>
  <c r="BM40" i="67"/>
  <c r="BK40" i="67"/>
  <c r="BI40" i="67"/>
  <c r="BG40" i="67"/>
  <c r="AZ40" i="67"/>
  <c r="AY40" i="67"/>
  <c r="AX40" i="67"/>
  <c r="AW40" i="67"/>
  <c r="AV40" i="67"/>
  <c r="AU40" i="67"/>
  <c r="AT40" i="67"/>
  <c r="AS40" i="67"/>
  <c r="AR40" i="67"/>
  <c r="AQ40" i="67"/>
  <c r="AP40" i="67"/>
  <c r="AO40" i="67"/>
  <c r="AN40" i="67"/>
  <c r="AK40" i="67"/>
  <c r="AJ40" i="67"/>
  <c r="AI40" i="67"/>
  <c r="AH40" i="67"/>
  <c r="AG40" i="67"/>
  <c r="AF40" i="67"/>
  <c r="AE40" i="67"/>
  <c r="AD40" i="67"/>
  <c r="AC40" i="67"/>
  <c r="AB40" i="67"/>
  <c r="AA40" i="67"/>
  <c r="Z40" i="67"/>
  <c r="Y40" i="67"/>
  <c r="V40" i="67"/>
  <c r="U40" i="67"/>
  <c r="T40" i="67"/>
  <c r="S40" i="67"/>
  <c r="R40" i="67"/>
  <c r="Q40" i="67"/>
  <c r="P40" i="67"/>
  <c r="O40" i="67"/>
  <c r="N40" i="67"/>
  <c r="M40" i="67"/>
  <c r="L40" i="67"/>
  <c r="K40" i="67"/>
  <c r="J40" i="67"/>
  <c r="CD29" i="67"/>
  <c r="CB29" i="67"/>
  <c r="BZ29" i="67"/>
  <c r="BX29" i="67"/>
  <c r="BV29" i="67"/>
  <c r="BO29" i="67"/>
  <c r="BM29" i="67"/>
  <c r="BK29" i="67"/>
  <c r="BI29" i="67"/>
  <c r="BG29" i="67"/>
  <c r="AZ29" i="67"/>
  <c r="AY29" i="67"/>
  <c r="AX29" i="67"/>
  <c r="AW29" i="67"/>
  <c r="AV29" i="67"/>
  <c r="AU29" i="67"/>
  <c r="AT29" i="67"/>
  <c r="AS29" i="67"/>
  <c r="AR29" i="67"/>
  <c r="AQ29" i="67"/>
  <c r="AP29" i="67"/>
  <c r="AO29" i="67"/>
  <c r="AN29" i="67"/>
  <c r="AK29" i="67"/>
  <c r="AJ29" i="67"/>
  <c r="AI29" i="67"/>
  <c r="AH29" i="67"/>
  <c r="AG29" i="67"/>
  <c r="AF29" i="67"/>
  <c r="AE29" i="67"/>
  <c r="AD29" i="67"/>
  <c r="AC29" i="67"/>
  <c r="AB29" i="67"/>
  <c r="AA29" i="67"/>
  <c r="Z29" i="67"/>
  <c r="Y29" i="67"/>
  <c r="V29" i="67"/>
  <c r="U29" i="67"/>
  <c r="T29" i="67"/>
  <c r="S29" i="67"/>
  <c r="R29" i="67"/>
  <c r="Q29" i="67"/>
  <c r="P29" i="67"/>
  <c r="O29" i="67"/>
  <c r="N29" i="67"/>
  <c r="M29" i="67"/>
  <c r="L29" i="67"/>
  <c r="K29" i="67"/>
  <c r="J29" i="67"/>
  <c r="BV140" i="66"/>
  <c r="BT140" i="66"/>
  <c r="BR140" i="66"/>
  <c r="BG140" i="66"/>
  <c r="BE140" i="66"/>
  <c r="BC140" i="66"/>
  <c r="AZ140" i="66"/>
  <c r="AY140" i="66"/>
  <c r="AX140" i="66"/>
  <c r="AW140" i="66"/>
  <c r="AV140" i="66"/>
  <c r="AU140" i="66"/>
  <c r="AT140" i="66"/>
  <c r="AS140" i="66"/>
  <c r="AR140" i="66"/>
  <c r="AQ140" i="66"/>
  <c r="AP140" i="66"/>
  <c r="AO140" i="66"/>
  <c r="AN140" i="66"/>
  <c r="BV135" i="66"/>
  <c r="BT135" i="66"/>
  <c r="BR135" i="66"/>
  <c r="BG135" i="66"/>
  <c r="BE135" i="66"/>
  <c r="BC135" i="66"/>
  <c r="AZ135" i="66"/>
  <c r="AY135" i="66"/>
  <c r="AX135" i="66"/>
  <c r="AW135" i="66"/>
  <c r="AV135" i="66"/>
  <c r="AU135" i="66"/>
  <c r="AT135" i="66"/>
  <c r="AS135" i="66"/>
  <c r="AR135" i="66"/>
  <c r="AQ135" i="66"/>
  <c r="AP135" i="66"/>
  <c r="AO135" i="66"/>
  <c r="AN135" i="66"/>
  <c r="BV130" i="66"/>
  <c r="BT130" i="66"/>
  <c r="BR130" i="66"/>
  <c r="BG130" i="66"/>
  <c r="BE130" i="66"/>
  <c r="BC130" i="66"/>
  <c r="AZ130" i="66"/>
  <c r="AY130" i="66"/>
  <c r="AX130" i="66"/>
  <c r="AW130" i="66"/>
  <c r="AV130" i="66"/>
  <c r="AU130" i="66"/>
  <c r="AT130" i="66"/>
  <c r="AS130" i="66"/>
  <c r="AR130" i="66"/>
  <c r="AQ130" i="66"/>
  <c r="AP130" i="66"/>
  <c r="AO130" i="66"/>
  <c r="AN130" i="66"/>
  <c r="BV120" i="66"/>
  <c r="BT120" i="66"/>
  <c r="BR120" i="66"/>
  <c r="BG120" i="66"/>
  <c r="BE120" i="66"/>
  <c r="BC120" i="66"/>
  <c r="AZ120" i="66"/>
  <c r="AY120" i="66"/>
  <c r="AX120" i="66"/>
  <c r="AW120" i="66"/>
  <c r="AV120" i="66"/>
  <c r="AU120" i="66"/>
  <c r="AT120" i="66"/>
  <c r="AS120" i="66"/>
  <c r="AR120" i="66"/>
  <c r="AQ120" i="66"/>
  <c r="AP120" i="66"/>
  <c r="AO120" i="66"/>
  <c r="AN120" i="66"/>
  <c r="BV114" i="66"/>
  <c r="BT114" i="66"/>
  <c r="BR114" i="66"/>
  <c r="BG114" i="66"/>
  <c r="BE114" i="66"/>
  <c r="BC114" i="66"/>
  <c r="AZ114" i="66"/>
  <c r="AY114" i="66"/>
  <c r="AX114" i="66"/>
  <c r="AW114" i="66"/>
  <c r="AV114" i="66"/>
  <c r="AU114" i="66"/>
  <c r="AT114" i="66"/>
  <c r="AS114" i="66"/>
  <c r="AR114" i="66"/>
  <c r="AQ114" i="66"/>
  <c r="AP114" i="66"/>
  <c r="AO114" i="66"/>
  <c r="AN114" i="66"/>
  <c r="BV108" i="66"/>
  <c r="BT108" i="66"/>
  <c r="BR108" i="66"/>
  <c r="BG108" i="66"/>
  <c r="BE108" i="66"/>
  <c r="BC108" i="66"/>
  <c r="AZ108" i="66"/>
  <c r="AY108" i="66"/>
  <c r="AX108" i="66"/>
  <c r="AW108" i="66"/>
  <c r="AV108" i="66"/>
  <c r="AU108" i="66"/>
  <c r="AT108" i="66"/>
  <c r="AS108" i="66"/>
  <c r="AR108" i="66"/>
  <c r="AQ108" i="66"/>
  <c r="AP108" i="66"/>
  <c r="AO108" i="66"/>
  <c r="AN108" i="66"/>
  <c r="CD97" i="66"/>
  <c r="CB97" i="66"/>
  <c r="BZ97" i="66"/>
  <c r="BX97" i="66"/>
  <c r="BV97" i="66"/>
  <c r="BO97" i="66"/>
  <c r="BM97" i="66"/>
  <c r="BK97" i="66"/>
  <c r="BI97" i="66"/>
  <c r="BG97" i="66"/>
  <c r="AZ97" i="66"/>
  <c r="AY97" i="66"/>
  <c r="AX97" i="66"/>
  <c r="AW97" i="66"/>
  <c r="AV97" i="66"/>
  <c r="AU97" i="66"/>
  <c r="AT97" i="66"/>
  <c r="AS97" i="66"/>
  <c r="AR97" i="66"/>
  <c r="AQ97" i="66"/>
  <c r="AP97" i="66"/>
  <c r="AO97" i="66"/>
  <c r="AN97" i="66"/>
  <c r="AK97" i="66"/>
  <c r="AJ97" i="66"/>
  <c r="AI97" i="66"/>
  <c r="AH97" i="66"/>
  <c r="AG97" i="66"/>
  <c r="AF97" i="66"/>
  <c r="AE97" i="66"/>
  <c r="AD97" i="66"/>
  <c r="AC97" i="66"/>
  <c r="AB97" i="66"/>
  <c r="AA97" i="66"/>
  <c r="Z97" i="66"/>
  <c r="Y97" i="66"/>
  <c r="V97" i="66"/>
  <c r="U97" i="66"/>
  <c r="T97" i="66"/>
  <c r="S97" i="66"/>
  <c r="R97" i="66"/>
  <c r="Q97" i="66"/>
  <c r="P97" i="66"/>
  <c r="O97" i="66"/>
  <c r="N97" i="66"/>
  <c r="M97" i="66"/>
  <c r="L97" i="66"/>
  <c r="K97" i="66"/>
  <c r="J97" i="66"/>
  <c r="CD86" i="66"/>
  <c r="CB86" i="66"/>
  <c r="BZ86" i="66"/>
  <c r="BX86" i="66"/>
  <c r="BV86" i="66"/>
  <c r="BO86" i="66"/>
  <c r="BM86" i="66"/>
  <c r="BK86" i="66"/>
  <c r="BI86" i="66"/>
  <c r="BG86" i="66"/>
  <c r="AZ86" i="66"/>
  <c r="AY86" i="66"/>
  <c r="AX86" i="66"/>
  <c r="AW86" i="66"/>
  <c r="AV86" i="66"/>
  <c r="AU86" i="66"/>
  <c r="AT86" i="66"/>
  <c r="AS86" i="66"/>
  <c r="AR86" i="66"/>
  <c r="AQ86" i="66"/>
  <c r="AP86" i="66"/>
  <c r="AO86" i="66"/>
  <c r="AN86" i="66"/>
  <c r="AK86" i="66"/>
  <c r="AJ86" i="66"/>
  <c r="AI86" i="66"/>
  <c r="AH86" i="66"/>
  <c r="AG86" i="66"/>
  <c r="AF86" i="66"/>
  <c r="AE86" i="66"/>
  <c r="AD86" i="66"/>
  <c r="AC86" i="66"/>
  <c r="AB86" i="66"/>
  <c r="AA86" i="66"/>
  <c r="Z86" i="66"/>
  <c r="Y86" i="66"/>
  <c r="V86" i="66"/>
  <c r="U86" i="66"/>
  <c r="T86" i="66"/>
  <c r="S86" i="66"/>
  <c r="R86" i="66"/>
  <c r="Q86" i="66"/>
  <c r="P86" i="66"/>
  <c r="O86" i="66"/>
  <c r="N86" i="66"/>
  <c r="M86" i="66"/>
  <c r="L86" i="66"/>
  <c r="K86" i="66"/>
  <c r="J86" i="66"/>
  <c r="CD75" i="66"/>
  <c r="CB75" i="66"/>
  <c r="BZ75" i="66"/>
  <c r="BX75" i="66"/>
  <c r="BV75" i="66"/>
  <c r="BO75" i="66"/>
  <c r="BM75" i="66"/>
  <c r="BK75" i="66"/>
  <c r="BI75" i="66"/>
  <c r="BG75" i="66"/>
  <c r="AZ75" i="66"/>
  <c r="AY75" i="66"/>
  <c r="AX75" i="66"/>
  <c r="AW75" i="66"/>
  <c r="AV75" i="66"/>
  <c r="AU75" i="66"/>
  <c r="AT75" i="66"/>
  <c r="AS75" i="66"/>
  <c r="AR75" i="66"/>
  <c r="AQ75" i="66"/>
  <c r="AP75" i="66"/>
  <c r="AO75" i="66"/>
  <c r="AN75" i="66"/>
  <c r="AK75" i="66"/>
  <c r="AJ75" i="66"/>
  <c r="AI75" i="66"/>
  <c r="AH75" i="66"/>
  <c r="AG75" i="66"/>
  <c r="AF75" i="66"/>
  <c r="AE75" i="66"/>
  <c r="AD75" i="66"/>
  <c r="AC75" i="66"/>
  <c r="AB75" i="66"/>
  <c r="AA75" i="66"/>
  <c r="Z75" i="66"/>
  <c r="Y75" i="66"/>
  <c r="V75" i="66"/>
  <c r="U75" i="66"/>
  <c r="T75" i="66"/>
  <c r="S75" i="66"/>
  <c r="R75" i="66"/>
  <c r="Q75" i="66"/>
  <c r="P75" i="66"/>
  <c r="O75" i="66"/>
  <c r="N75" i="66"/>
  <c r="M75" i="66"/>
  <c r="L75" i="66"/>
  <c r="K75" i="66"/>
  <c r="J75" i="66"/>
  <c r="CD59" i="66"/>
  <c r="CB59" i="66"/>
  <c r="BZ59" i="66"/>
  <c r="BX59" i="66"/>
  <c r="BV59" i="66"/>
  <c r="BO59" i="66"/>
  <c r="BM59" i="66"/>
  <c r="BK59" i="66"/>
  <c r="BI59" i="66"/>
  <c r="BG59" i="66"/>
  <c r="AZ59" i="66"/>
  <c r="AY59" i="66"/>
  <c r="AX59" i="66"/>
  <c r="AW59" i="66"/>
  <c r="AV59" i="66"/>
  <c r="AU59" i="66"/>
  <c r="AT59" i="66"/>
  <c r="AS59" i="66"/>
  <c r="AR59" i="66"/>
  <c r="AQ59" i="66"/>
  <c r="AP59" i="66"/>
  <c r="AO59" i="66"/>
  <c r="AN59" i="66"/>
  <c r="AK59" i="66"/>
  <c r="AJ59" i="66"/>
  <c r="AI59" i="66"/>
  <c r="AH59" i="66"/>
  <c r="AG59" i="66"/>
  <c r="AF59" i="66"/>
  <c r="AE59" i="66"/>
  <c r="AD59" i="66"/>
  <c r="AC59" i="66"/>
  <c r="AB59" i="66"/>
  <c r="AA59" i="66"/>
  <c r="Z59" i="66"/>
  <c r="Y59" i="66"/>
  <c r="V59" i="66"/>
  <c r="U59" i="66"/>
  <c r="T59" i="66"/>
  <c r="S59" i="66"/>
  <c r="R59" i="66"/>
  <c r="Q59" i="66"/>
  <c r="P59" i="66"/>
  <c r="O59" i="66"/>
  <c r="N59" i="66"/>
  <c r="M59" i="66"/>
  <c r="L59" i="66"/>
  <c r="K59" i="66"/>
  <c r="J59" i="66"/>
  <c r="CD48" i="66"/>
  <c r="CB48" i="66"/>
  <c r="BZ48" i="66"/>
  <c r="BX48" i="66"/>
  <c r="BV48" i="66"/>
  <c r="BO48" i="66"/>
  <c r="BM48" i="66"/>
  <c r="BK48" i="66"/>
  <c r="BI48" i="66"/>
  <c r="BG48" i="66"/>
  <c r="AZ48" i="66"/>
  <c r="AY48" i="66"/>
  <c r="AX48" i="66"/>
  <c r="AW48" i="66"/>
  <c r="AV48" i="66"/>
  <c r="AU48" i="66"/>
  <c r="AT48" i="66"/>
  <c r="AS48" i="66"/>
  <c r="AR48" i="66"/>
  <c r="AQ48" i="66"/>
  <c r="AP48" i="66"/>
  <c r="AO48" i="66"/>
  <c r="AN48" i="66"/>
  <c r="AK48" i="66"/>
  <c r="AJ48" i="66"/>
  <c r="AI48" i="66"/>
  <c r="AH48" i="66"/>
  <c r="AG48" i="66"/>
  <c r="AF48" i="66"/>
  <c r="AE48" i="66"/>
  <c r="AD48" i="66"/>
  <c r="AC48" i="66"/>
  <c r="AB48" i="66"/>
  <c r="AA48" i="66"/>
  <c r="Z48" i="66"/>
  <c r="Y48" i="66"/>
  <c r="V48" i="66"/>
  <c r="U48" i="66"/>
  <c r="T48" i="66"/>
  <c r="S48" i="66"/>
  <c r="R48" i="66"/>
  <c r="Q48" i="66"/>
  <c r="P48" i="66"/>
  <c r="O48" i="66"/>
  <c r="N48" i="66"/>
  <c r="M48" i="66"/>
  <c r="L48" i="66"/>
  <c r="K48" i="66"/>
  <c r="J48" i="66"/>
  <c r="M42" i="67" l="1"/>
  <c r="Q42" i="67"/>
  <c r="AE42" i="67"/>
  <c r="AI42" i="67"/>
  <c r="AW42" i="67"/>
  <c r="BG42" i="67"/>
  <c r="AW160" i="67"/>
  <c r="AT160" i="67"/>
  <c r="BV160" i="67"/>
  <c r="AP160" i="67"/>
  <c r="AX160" i="67"/>
  <c r="L99" i="66"/>
  <c r="T99" i="66"/>
  <c r="Z99" i="66"/>
  <c r="AD99" i="66"/>
  <c r="AN99" i="66"/>
  <c r="AR99" i="66"/>
  <c r="AV99" i="66"/>
  <c r="BM99" i="66"/>
  <c r="BZ99" i="66"/>
  <c r="K99" i="66"/>
  <c r="AC99" i="66"/>
  <c r="AU99" i="66"/>
  <c r="AT142" i="66"/>
  <c r="AX142" i="66"/>
  <c r="BE142" i="66"/>
  <c r="AQ142" i="66"/>
  <c r="K42" i="67"/>
  <c r="O42" i="67"/>
  <c r="S42" i="67"/>
  <c r="Y42" i="67"/>
  <c r="AC42" i="67"/>
  <c r="AG42" i="67"/>
  <c r="AK42" i="67"/>
  <c r="AQ42" i="67"/>
  <c r="AU42" i="67"/>
  <c r="AY42" i="67"/>
  <c r="BK42" i="67"/>
  <c r="BX42" i="67"/>
  <c r="AV160" i="67"/>
  <c r="BR160" i="67"/>
  <c r="Q99" i="66"/>
  <c r="AI99" i="66"/>
  <c r="BG99" i="66"/>
  <c r="L42" i="67"/>
  <c r="AD42" i="67"/>
  <c r="AV42" i="67"/>
  <c r="AO160" i="67"/>
  <c r="AS160" i="67"/>
  <c r="BT160" i="67"/>
  <c r="AN160" i="67"/>
  <c r="AZ160" i="67"/>
  <c r="S59" i="70"/>
  <c r="AK59" i="70"/>
  <c r="U59" i="70"/>
  <c r="AO59" i="70"/>
  <c r="M99" i="66"/>
  <c r="AE99" i="66"/>
  <c r="AW99" i="66"/>
  <c r="AS142" i="66"/>
  <c r="AA42" i="67"/>
  <c r="AS42" i="67"/>
  <c r="CB42" i="67"/>
  <c r="Z42" i="67"/>
  <c r="AR42" i="67"/>
  <c r="BZ42" i="67"/>
  <c r="AR160" i="67"/>
  <c r="Y59" i="70"/>
  <c r="AQ59" i="70"/>
  <c r="AA59" i="70"/>
  <c r="AS59" i="70"/>
  <c r="P99" i="66"/>
  <c r="AH99" i="66"/>
  <c r="AZ99" i="66"/>
  <c r="O99" i="66"/>
  <c r="AG99" i="66"/>
  <c r="AY99" i="66"/>
  <c r="AU142" i="66"/>
  <c r="AW142" i="66"/>
  <c r="K59" i="70"/>
  <c r="AC59" i="70"/>
  <c r="AU59" i="70"/>
  <c r="M59" i="70"/>
  <c r="AE59" i="70"/>
  <c r="AW59" i="70"/>
  <c r="S99" i="66"/>
  <c r="AK99" i="66"/>
  <c r="BK99" i="66"/>
  <c r="AY142" i="66"/>
  <c r="U99" i="66"/>
  <c r="AO99" i="66"/>
  <c r="BO99" i="66"/>
  <c r="BC142" i="66"/>
  <c r="P42" i="67"/>
  <c r="AH42" i="67"/>
  <c r="AZ42" i="67"/>
  <c r="O59" i="70"/>
  <c r="AG59" i="70"/>
  <c r="AY59" i="70"/>
  <c r="Q59" i="70"/>
  <c r="AI59" i="70"/>
  <c r="Y99" i="66"/>
  <c r="AQ99" i="66"/>
  <c r="BX99" i="66"/>
  <c r="AP142" i="66"/>
  <c r="BV142" i="66"/>
  <c r="BG142" i="66"/>
  <c r="BC160" i="67"/>
  <c r="BE160" i="67"/>
  <c r="AA99" i="66"/>
  <c r="AS99" i="66"/>
  <c r="CB99" i="66"/>
  <c r="AO142" i="66"/>
  <c r="BT142" i="66"/>
  <c r="U42" i="67"/>
  <c r="AO42" i="67"/>
  <c r="BO42" i="67"/>
  <c r="T42" i="67"/>
  <c r="AN42" i="67"/>
  <c r="BM42" i="67"/>
  <c r="AN122" i="66"/>
  <c r="AR122" i="66"/>
  <c r="AV122" i="66"/>
  <c r="AZ122" i="66"/>
  <c r="BR122" i="66"/>
  <c r="AO122" i="66"/>
  <c r="AS122" i="66"/>
  <c r="AW122" i="66"/>
  <c r="BC122" i="66"/>
  <c r="BT122" i="66"/>
  <c r="N99" i="66"/>
  <c r="V99" i="66"/>
  <c r="AF99" i="66"/>
  <c r="AP99" i="66"/>
  <c r="AX99" i="66"/>
  <c r="BV99" i="66"/>
  <c r="AN142" i="66"/>
  <c r="AR142" i="66"/>
  <c r="AV142" i="66"/>
  <c r="AZ142" i="66"/>
  <c r="BR142" i="66"/>
  <c r="J99" i="66"/>
  <c r="R99" i="66"/>
  <c r="AB99" i="66"/>
  <c r="AJ99" i="66"/>
  <c r="AT99" i="66"/>
  <c r="BI99" i="66"/>
  <c r="CD99" i="66"/>
  <c r="AP122" i="66"/>
  <c r="AT122" i="66"/>
  <c r="AX122" i="66"/>
  <c r="BE122" i="66"/>
  <c r="BV122" i="66"/>
  <c r="AQ122" i="66"/>
  <c r="AU122" i="66"/>
  <c r="AY122" i="66"/>
  <c r="BG122" i="66"/>
  <c r="J42" i="67"/>
  <c r="N42" i="67"/>
  <c r="R42" i="67"/>
  <c r="V42" i="67"/>
  <c r="AB42" i="67"/>
  <c r="AF42" i="67"/>
  <c r="AJ42" i="67"/>
  <c r="AP42" i="67"/>
  <c r="AT42" i="67"/>
  <c r="AX42" i="67"/>
  <c r="BI42" i="67"/>
  <c r="BV42" i="67"/>
  <c r="CD42" i="67"/>
  <c r="AQ160" i="67"/>
  <c r="AU160" i="67"/>
  <c r="AY160" i="67"/>
  <c r="BG160" i="67"/>
  <c r="L59" i="70"/>
  <c r="P59" i="70"/>
  <c r="T59" i="70"/>
  <c r="Z59" i="70"/>
  <c r="AD59" i="70"/>
  <c r="AH59" i="70"/>
  <c r="AN59" i="70"/>
  <c r="AR59" i="70"/>
  <c r="AV59" i="70"/>
  <c r="AZ59" i="70"/>
  <c r="J59" i="70"/>
  <c r="N59" i="70"/>
  <c r="R59" i="70"/>
  <c r="V59" i="70"/>
  <c r="AB59" i="70"/>
  <c r="AF59" i="70"/>
  <c r="AJ59" i="70"/>
  <c r="AP59" i="70"/>
  <c r="AT59" i="70"/>
  <c r="AX59" i="70"/>
  <c r="AN100" i="70"/>
  <c r="AR100" i="70"/>
  <c r="AV100" i="70"/>
  <c r="AZ100" i="70"/>
  <c r="AQ100" i="70"/>
  <c r="AU100" i="70"/>
  <c r="AY100" i="70"/>
  <c r="AP100" i="70"/>
  <c r="AT100" i="70"/>
  <c r="AX100" i="70"/>
  <c r="L131" i="67"/>
  <c r="P131" i="67"/>
  <c r="T131" i="67"/>
  <c r="Z131" i="67"/>
  <c r="AD131" i="67"/>
  <c r="AH131" i="67"/>
  <c r="AN131" i="67"/>
  <c r="AR131" i="67"/>
  <c r="AV131" i="67"/>
  <c r="AZ131" i="67"/>
  <c r="BM131" i="67"/>
  <c r="BZ131" i="67"/>
  <c r="K131" i="67"/>
  <c r="O131" i="67"/>
  <c r="S131" i="67"/>
  <c r="Y131" i="67"/>
  <c r="AC131" i="67"/>
  <c r="AG131" i="67"/>
  <c r="AK131" i="67"/>
  <c r="AQ131" i="67"/>
  <c r="AU131" i="67"/>
  <c r="AY131" i="67"/>
  <c r="BK131" i="67"/>
  <c r="BX131" i="67"/>
  <c r="J131" i="67"/>
  <c r="N131" i="67"/>
  <c r="R131" i="67"/>
  <c r="V131" i="67"/>
  <c r="AB131" i="67"/>
  <c r="AF131" i="67"/>
  <c r="AJ131" i="67"/>
  <c r="AP131" i="67"/>
  <c r="AT131" i="67"/>
  <c r="AX131" i="67"/>
  <c r="BI131" i="67"/>
  <c r="BV131" i="67"/>
  <c r="CD131" i="67"/>
  <c r="AN231" i="67"/>
  <c r="AR231" i="67"/>
  <c r="AV231" i="67"/>
  <c r="AZ231" i="67"/>
  <c r="BR231" i="67"/>
  <c r="AP231" i="67"/>
  <c r="AT231" i="67"/>
  <c r="AX231" i="67"/>
  <c r="BE231" i="67"/>
  <c r="BV231" i="67"/>
  <c r="AO100" i="70"/>
  <c r="AS100" i="70"/>
  <c r="AW100" i="70"/>
  <c r="M131" i="67"/>
  <c r="Q131" i="67"/>
  <c r="U131" i="67"/>
  <c r="AA131" i="67"/>
  <c r="AE131" i="67"/>
  <c r="AI131" i="67"/>
  <c r="AO131" i="67"/>
  <c r="AS131" i="67"/>
  <c r="AW131" i="67"/>
  <c r="BG131" i="67"/>
  <c r="BO131" i="67"/>
  <c r="CB131" i="67"/>
  <c r="AO231" i="67"/>
  <c r="AS231" i="67"/>
  <c r="AW231" i="67"/>
  <c r="BC231" i="67"/>
  <c r="BT231" i="67"/>
  <c r="AQ231" i="67"/>
  <c r="AU231" i="67"/>
  <c r="AY231" i="67"/>
  <c r="BG231" i="67"/>
  <c r="AZ41" i="32"/>
  <c r="AY41" i="32"/>
  <c r="AX41" i="32"/>
  <c r="AW41" i="32"/>
  <c r="AV41" i="32"/>
  <c r="AU41" i="32"/>
  <c r="AT41" i="32"/>
  <c r="AS41" i="32"/>
  <c r="AR41" i="32"/>
  <c r="AQ41" i="32"/>
  <c r="AP41" i="32"/>
  <c r="AO41" i="32"/>
  <c r="AN41" i="32"/>
  <c r="AK41" i="32"/>
  <c r="AJ41" i="32"/>
  <c r="AI41" i="32"/>
  <c r="AH41" i="32"/>
  <c r="AG41" i="32"/>
  <c r="AF41" i="32"/>
  <c r="AE41" i="32"/>
  <c r="AD41" i="32"/>
  <c r="AC41" i="32"/>
  <c r="AB41" i="32"/>
  <c r="AA41" i="32"/>
  <c r="Z41" i="32"/>
  <c r="Y41" i="32"/>
  <c r="V41" i="32"/>
  <c r="V14" i="32" s="1"/>
  <c r="U41" i="32"/>
  <c r="U14" i="32" s="1"/>
  <c r="T41" i="32"/>
  <c r="T14" i="32" s="1"/>
  <c r="S41" i="32"/>
  <c r="S14" i="32" s="1"/>
  <c r="R41" i="32"/>
  <c r="R14" i="32" s="1"/>
  <c r="Q41" i="32"/>
  <c r="Q14" i="32" s="1"/>
  <c r="P41" i="32"/>
  <c r="P14" i="32" s="1"/>
  <c r="O41" i="32"/>
  <c r="O14" i="32" s="1"/>
  <c r="N41" i="32"/>
  <c r="N14" i="32" s="1"/>
  <c r="M41" i="32"/>
  <c r="M14" i="32" s="1"/>
  <c r="L41" i="32"/>
  <c r="L14" i="32" s="1"/>
  <c r="K41" i="32"/>
  <c r="K14" i="32" s="1"/>
  <c r="J41" i="32"/>
  <c r="AZ32" i="32"/>
  <c r="AY32" i="32"/>
  <c r="AX32" i="32"/>
  <c r="AW32" i="32"/>
  <c r="AV32" i="32"/>
  <c r="AU32" i="32"/>
  <c r="AT32" i="32"/>
  <c r="AS32" i="32"/>
  <c r="AR32" i="32"/>
  <c r="AQ32" i="32"/>
  <c r="AP32" i="32"/>
  <c r="AO32" i="32"/>
  <c r="AN32" i="32"/>
  <c r="AK32" i="32"/>
  <c r="AJ32" i="32"/>
  <c r="AI32" i="32"/>
  <c r="AH32" i="32"/>
  <c r="AG32" i="32"/>
  <c r="AF32" i="32"/>
  <c r="AE32" i="32"/>
  <c r="AD32" i="32"/>
  <c r="AC32" i="32"/>
  <c r="AB32" i="32"/>
  <c r="AA32" i="32"/>
  <c r="Z32" i="32"/>
  <c r="Y32" i="32"/>
  <c r="V32" i="32"/>
  <c r="V13" i="32" s="1"/>
  <c r="U32" i="32"/>
  <c r="U13" i="32" s="1"/>
  <c r="T32" i="32"/>
  <c r="T13" i="32" s="1"/>
  <c r="S32" i="32"/>
  <c r="S13" i="32" s="1"/>
  <c r="R32" i="32"/>
  <c r="R13" i="32" s="1"/>
  <c r="Q32" i="32"/>
  <c r="Q13" i="32" s="1"/>
  <c r="P32" i="32"/>
  <c r="P13" i="32" s="1"/>
  <c r="O32" i="32"/>
  <c r="O13" i="32" s="1"/>
  <c r="N32" i="32"/>
  <c r="N13" i="32" s="1"/>
  <c r="M32" i="32"/>
  <c r="M13" i="32" s="1"/>
  <c r="L32" i="32"/>
  <c r="L13" i="32" s="1"/>
  <c r="K32" i="32"/>
  <c r="K13" i="32" s="1"/>
  <c r="J32" i="32"/>
  <c r="J13" i="32" s="1"/>
  <c r="J14" i="32"/>
  <c r="V12" i="32" l="1"/>
  <c r="M12" i="32"/>
  <c r="U12" i="32"/>
  <c r="J12" i="32"/>
  <c r="Q12" i="32"/>
  <c r="N12" i="32"/>
  <c r="L12" i="32"/>
  <c r="R12" i="32"/>
  <c r="P12" i="32"/>
  <c r="T12" i="32"/>
  <c r="K12" i="32"/>
  <c r="O12" i="32"/>
  <c r="S12" i="32"/>
  <c r="AX216" i="15"/>
  <c r="AX217" i="15"/>
  <c r="AX215" i="15"/>
  <c r="P52" i="17" l="1"/>
  <c r="Q52" i="17" s="1"/>
  <c r="R52" i="17" s="1"/>
  <c r="S52" i="17" s="1"/>
  <c r="T52" i="17" s="1"/>
  <c r="U52" i="17" s="1"/>
  <c r="V52" i="17" s="1"/>
  <c r="P51" i="17"/>
  <c r="Q51" i="17" s="1"/>
  <c r="R51" i="17" s="1"/>
  <c r="S51" i="17" s="1"/>
  <c r="T51" i="17" s="1"/>
  <c r="U51" i="17" s="1"/>
  <c r="V51" i="17" s="1"/>
  <c r="P50" i="17"/>
  <c r="Q50" i="17" s="1"/>
  <c r="R50" i="17" s="1"/>
  <c r="S50" i="17" s="1"/>
  <c r="T50" i="17" s="1"/>
  <c r="U50" i="17" s="1"/>
  <c r="V50" i="17" s="1"/>
  <c r="P49" i="17"/>
  <c r="Q49" i="17" s="1"/>
  <c r="R49" i="17" s="1"/>
  <c r="S49" i="17" s="1"/>
  <c r="T49" i="17" s="1"/>
  <c r="U49" i="17" s="1"/>
  <c r="V49" i="17" s="1"/>
  <c r="BH30" i="16" l="1"/>
  <c r="BG30" i="16"/>
  <c r="BF30" i="16"/>
  <c r="BE30" i="16"/>
  <c r="BD30" i="16"/>
  <c r="BC30" i="16"/>
  <c r="V24" i="16"/>
  <c r="U24" i="16"/>
  <c r="T24" i="16"/>
  <c r="S24" i="16"/>
  <c r="R24" i="16"/>
  <c r="Q24" i="16"/>
  <c r="P24" i="16"/>
  <c r="O24" i="16"/>
  <c r="N24" i="16"/>
  <c r="M24" i="16"/>
  <c r="L24" i="16"/>
  <c r="K24" i="16"/>
  <c r="J24" i="16"/>
  <c r="BH22" i="16"/>
  <c r="BG22" i="16"/>
  <c r="BF22" i="16"/>
  <c r="BE22" i="16"/>
  <c r="BD22" i="16"/>
  <c r="BC22" i="16"/>
  <c r="AI22" i="16"/>
  <c r="AF22" i="16"/>
  <c r="AD22" i="16"/>
  <c r="AC22" i="16"/>
  <c r="AB22" i="16"/>
  <c r="Y22" i="16"/>
  <c r="BK16" i="16"/>
  <c r="BH16" i="16"/>
  <c r="BG16" i="16"/>
  <c r="BF16" i="16"/>
  <c r="BE16" i="16"/>
  <c r="BD16" i="16"/>
  <c r="BC16" i="16"/>
  <c r="AZ16" i="16"/>
  <c r="AY16" i="16"/>
  <c r="AX16" i="16"/>
  <c r="AW16" i="16"/>
  <c r="AV16" i="16"/>
  <c r="AU16" i="16"/>
  <c r="AT16" i="16"/>
  <c r="AS16" i="16"/>
  <c r="AR16" i="16"/>
  <c r="AQ16" i="16"/>
  <c r="AP16" i="16"/>
  <c r="AO16" i="16"/>
  <c r="AN16" i="16"/>
  <c r="AK16" i="16"/>
  <c r="AJ16" i="16"/>
  <c r="AI16" i="16"/>
  <c r="AH16" i="16"/>
  <c r="AG16" i="16"/>
  <c r="AF16" i="16"/>
  <c r="AE16" i="16"/>
  <c r="AD16" i="16"/>
  <c r="AC16" i="16"/>
  <c r="AB16" i="16"/>
  <c r="AA16" i="16"/>
  <c r="Z16" i="16"/>
  <c r="Y16" i="16"/>
  <c r="V16" i="16"/>
  <c r="U16" i="16"/>
  <c r="T16" i="16"/>
  <c r="S16" i="16"/>
  <c r="R16" i="16"/>
  <c r="Q16" i="16"/>
  <c r="P16" i="16"/>
  <c r="O16" i="16"/>
  <c r="N16" i="16"/>
  <c r="M16" i="16"/>
  <c r="L16" i="16"/>
  <c r="K16" i="16"/>
  <c r="J16" i="16"/>
  <c r="J212" i="15" l="1"/>
  <c r="K212" i="15"/>
  <c r="L212" i="15"/>
  <c r="M212" i="15"/>
  <c r="N212" i="15"/>
  <c r="O212" i="15"/>
  <c r="P212" i="15"/>
  <c r="Q212" i="15"/>
  <c r="R212" i="15"/>
  <c r="S212" i="15"/>
  <c r="T212" i="15"/>
  <c r="U212" i="15"/>
  <c r="V212" i="15"/>
  <c r="J144" i="76" l="1"/>
  <c r="K144" i="76"/>
  <c r="L144" i="76"/>
  <c r="M144" i="76"/>
  <c r="N144" i="76"/>
  <c r="O144" i="76"/>
  <c r="P144" i="76"/>
  <c r="Q144" i="76"/>
  <c r="R144" i="76"/>
  <c r="S144" i="76"/>
  <c r="T144" i="76"/>
  <c r="U144" i="76"/>
  <c r="V144" i="76"/>
  <c r="J145" i="76"/>
  <c r="K145" i="76"/>
  <c r="L145" i="76"/>
  <c r="L146" i="76" s="1"/>
  <c r="M145" i="76"/>
  <c r="N145" i="76"/>
  <c r="O145" i="76"/>
  <c r="P145" i="76"/>
  <c r="P146" i="76" s="1"/>
  <c r="Q145" i="76"/>
  <c r="R145" i="76"/>
  <c r="S145" i="76"/>
  <c r="T145" i="76"/>
  <c r="T146" i="76" s="1"/>
  <c r="U145" i="76"/>
  <c r="V145" i="76"/>
  <c r="J149" i="76"/>
  <c r="K149" i="76"/>
  <c r="L149" i="76"/>
  <c r="M149" i="76"/>
  <c r="N149" i="76"/>
  <c r="O149" i="76"/>
  <c r="P149" i="76"/>
  <c r="Q149" i="76"/>
  <c r="R149" i="76"/>
  <c r="S149" i="76"/>
  <c r="T149" i="76"/>
  <c r="U149" i="76"/>
  <c r="V149" i="76"/>
  <c r="J150" i="76"/>
  <c r="K150" i="76"/>
  <c r="L150" i="76"/>
  <c r="M150" i="76"/>
  <c r="N150" i="76"/>
  <c r="O150" i="76"/>
  <c r="P150" i="76"/>
  <c r="Q150" i="76"/>
  <c r="R150" i="76"/>
  <c r="S150" i="76"/>
  <c r="T150" i="76"/>
  <c r="U150" i="76"/>
  <c r="V150" i="76"/>
  <c r="BO150" i="76"/>
  <c r="BN150" i="76"/>
  <c r="BM150" i="76"/>
  <c r="BL150" i="76"/>
  <c r="BK150" i="76"/>
  <c r="BJ150" i="76"/>
  <c r="BI150" i="76"/>
  <c r="BH150" i="76"/>
  <c r="BG150" i="76"/>
  <c r="BF150" i="76"/>
  <c r="BE150" i="76"/>
  <c r="BD150" i="76"/>
  <c r="BO149" i="76"/>
  <c r="BN149" i="76"/>
  <c r="BM149" i="76"/>
  <c r="BL149" i="76"/>
  <c r="BL151" i="76" s="1"/>
  <c r="BK149" i="76"/>
  <c r="BJ149" i="76"/>
  <c r="BI149" i="76"/>
  <c r="BH149" i="76"/>
  <c r="BG149" i="76"/>
  <c r="BF149" i="76"/>
  <c r="BE149" i="76"/>
  <c r="BD149" i="76"/>
  <c r="BD151" i="76" s="1"/>
  <c r="BO145" i="76"/>
  <c r="BN145" i="76"/>
  <c r="BM145" i="76"/>
  <c r="BL145" i="76"/>
  <c r="BK145" i="76"/>
  <c r="BJ145" i="76"/>
  <c r="BI145" i="76"/>
  <c r="BH145" i="76"/>
  <c r="BG145" i="76"/>
  <c r="BF145" i="76"/>
  <c r="BE145" i="76"/>
  <c r="BD145" i="76"/>
  <c r="BO144" i="76"/>
  <c r="BN144" i="76"/>
  <c r="BM144" i="76"/>
  <c r="BL144" i="76"/>
  <c r="BL146" i="76" s="1"/>
  <c r="BK144" i="76"/>
  <c r="BK146" i="76" s="1"/>
  <c r="BJ144" i="76"/>
  <c r="BI144" i="76"/>
  <c r="BH144" i="76"/>
  <c r="BG144" i="76"/>
  <c r="BF144" i="76"/>
  <c r="BE144" i="76"/>
  <c r="BD144" i="76"/>
  <c r="BC150" i="76"/>
  <c r="BC149" i="76"/>
  <c r="BC145" i="76"/>
  <c r="BC144" i="76"/>
  <c r="Z144" i="76"/>
  <c r="AA144" i="76"/>
  <c r="AP144" i="76" s="1"/>
  <c r="AB144" i="76"/>
  <c r="AC144" i="76"/>
  <c r="AD144" i="76"/>
  <c r="AS144" i="76" s="1"/>
  <c r="AE144" i="76"/>
  <c r="AT144" i="76" s="1"/>
  <c r="AF144" i="76"/>
  <c r="AG144" i="76"/>
  <c r="AH144" i="76"/>
  <c r="AI144" i="76"/>
  <c r="AJ144" i="76"/>
  <c r="AK144" i="76"/>
  <c r="Z145" i="76"/>
  <c r="AA145" i="76"/>
  <c r="AB145" i="76"/>
  <c r="AC145" i="76"/>
  <c r="AD145" i="76"/>
  <c r="AE145" i="76"/>
  <c r="AF145" i="76"/>
  <c r="AG145" i="76"/>
  <c r="AH145" i="76"/>
  <c r="AH146" i="76" s="1"/>
  <c r="AI145" i="76"/>
  <c r="AJ145" i="76"/>
  <c r="AK145" i="76"/>
  <c r="Z149" i="76"/>
  <c r="AA149" i="76"/>
  <c r="AB149" i="76"/>
  <c r="AC149" i="76"/>
  <c r="AD149" i="76"/>
  <c r="AE149" i="76"/>
  <c r="AF149" i="76"/>
  <c r="AG149" i="76"/>
  <c r="AH149" i="76"/>
  <c r="AI149" i="76"/>
  <c r="AJ149" i="76"/>
  <c r="AK149" i="76"/>
  <c r="Z150" i="76"/>
  <c r="AA150" i="76"/>
  <c r="AB150" i="76"/>
  <c r="AC150" i="76"/>
  <c r="AD150" i="76"/>
  <c r="AE150" i="76"/>
  <c r="AF150" i="76"/>
  <c r="AG150" i="76"/>
  <c r="AV150" i="76" s="1"/>
  <c r="AH150" i="76"/>
  <c r="AH151" i="76" s="1"/>
  <c r="AI150" i="76"/>
  <c r="AX150" i="76" s="1"/>
  <c r="AJ150" i="76"/>
  <c r="AJ151" i="76" s="1"/>
  <c r="AK150" i="76"/>
  <c r="AZ150" i="76" s="1"/>
  <c r="Y150" i="76"/>
  <c r="Y149" i="76"/>
  <c r="Y145" i="76"/>
  <c r="Y144" i="76"/>
  <c r="AO144" i="76"/>
  <c r="BO161" i="76"/>
  <c r="BN161" i="76"/>
  <c r="BM161" i="76"/>
  <c r="BL161" i="76"/>
  <c r="BK161" i="76"/>
  <c r="BJ161" i="76"/>
  <c r="BI161" i="76"/>
  <c r="BH161" i="76"/>
  <c r="BG161" i="76"/>
  <c r="BF161" i="76"/>
  <c r="BE161" i="76"/>
  <c r="BD161" i="76"/>
  <c r="BO160" i="76"/>
  <c r="BN160" i="76"/>
  <c r="BM160" i="76"/>
  <c r="BL160" i="76"/>
  <c r="BK160" i="76"/>
  <c r="BJ160" i="76"/>
  <c r="BI160" i="76"/>
  <c r="BH160" i="76"/>
  <c r="BG160" i="76"/>
  <c r="BF160" i="76"/>
  <c r="BE160" i="76"/>
  <c r="BD160" i="76"/>
  <c r="BO159" i="76"/>
  <c r="BN159" i="76"/>
  <c r="BM159" i="76"/>
  <c r="BL159" i="76"/>
  <c r="BK159" i="76"/>
  <c r="BJ159" i="76"/>
  <c r="BI159" i="76"/>
  <c r="BH159" i="76"/>
  <c r="BG159" i="76"/>
  <c r="BF159" i="76"/>
  <c r="BE159" i="76"/>
  <c r="BD159" i="76"/>
  <c r="BO129" i="76"/>
  <c r="BN129" i="76"/>
  <c r="BM129" i="76"/>
  <c r="BL129" i="76"/>
  <c r="BK129" i="76"/>
  <c r="BJ129" i="76"/>
  <c r="BI129" i="76"/>
  <c r="BH129" i="76"/>
  <c r="BG129" i="76"/>
  <c r="BF129" i="76"/>
  <c r="BE129" i="76"/>
  <c r="BD129" i="76"/>
  <c r="BO128" i="76"/>
  <c r="BN128" i="76"/>
  <c r="BM128" i="76"/>
  <c r="BL128" i="76"/>
  <c r="BK128" i="76"/>
  <c r="BJ128" i="76"/>
  <c r="BI128" i="76"/>
  <c r="BH128" i="76"/>
  <c r="BG128" i="76"/>
  <c r="BF128" i="76"/>
  <c r="BE128" i="76"/>
  <c r="BD128" i="76"/>
  <c r="BD130" i="76" s="1"/>
  <c r="BO124" i="76"/>
  <c r="BN124" i="76"/>
  <c r="BM124" i="76"/>
  <c r="BL124" i="76"/>
  <c r="BK124" i="76"/>
  <c r="BJ124" i="76"/>
  <c r="BI124" i="76"/>
  <c r="BH124" i="76"/>
  <c r="BG124" i="76"/>
  <c r="BF124" i="76"/>
  <c r="BE124" i="76"/>
  <c r="BD124" i="76"/>
  <c r="BO123" i="76"/>
  <c r="BN123" i="76"/>
  <c r="BM123" i="76"/>
  <c r="BM125" i="76" s="1"/>
  <c r="BL123" i="76"/>
  <c r="BL125" i="76" s="1"/>
  <c r="BK123" i="76"/>
  <c r="BJ123" i="76"/>
  <c r="BJ125" i="76" s="1"/>
  <c r="BI123" i="76"/>
  <c r="BH123" i="76"/>
  <c r="BG123" i="76"/>
  <c r="BF123" i="76"/>
  <c r="BE123" i="76"/>
  <c r="BE125" i="76" s="1"/>
  <c r="BD123" i="76"/>
  <c r="BO108" i="76"/>
  <c r="BN108" i="76"/>
  <c r="BM108" i="76"/>
  <c r="BL108" i="76"/>
  <c r="BK108" i="76"/>
  <c r="BJ108" i="76"/>
  <c r="BI108" i="76"/>
  <c r="BH108" i="76"/>
  <c r="BG108" i="76"/>
  <c r="BF108" i="76"/>
  <c r="BE108" i="76"/>
  <c r="BD108" i="76"/>
  <c r="BO107" i="76"/>
  <c r="BN107" i="76"/>
  <c r="BM107" i="76"/>
  <c r="BM109" i="76" s="1"/>
  <c r="BL107" i="76"/>
  <c r="BK107" i="76"/>
  <c r="BJ107" i="76"/>
  <c r="BI107" i="76"/>
  <c r="BH107" i="76"/>
  <c r="BG107" i="76"/>
  <c r="BF107" i="76"/>
  <c r="BE107" i="76"/>
  <c r="BE109" i="76" s="1"/>
  <c r="BD107" i="76"/>
  <c r="BD109" i="76" s="1"/>
  <c r="BO103" i="76"/>
  <c r="BN103" i="76"/>
  <c r="BM103" i="76"/>
  <c r="BL103" i="76"/>
  <c r="BK103" i="76"/>
  <c r="BJ103" i="76"/>
  <c r="BI103" i="76"/>
  <c r="BH103" i="76"/>
  <c r="BG103" i="76"/>
  <c r="BF103" i="76"/>
  <c r="BE103" i="76"/>
  <c r="BD103" i="76"/>
  <c r="BO102" i="76"/>
  <c r="BN102" i="76"/>
  <c r="BM102" i="76"/>
  <c r="BM104" i="76" s="1"/>
  <c r="BM23" i="76" s="1"/>
  <c r="BL102" i="76"/>
  <c r="BL104" i="76" s="1"/>
  <c r="BK102" i="76"/>
  <c r="BJ102" i="76"/>
  <c r="BJ104" i="76" s="1"/>
  <c r="BI102" i="76"/>
  <c r="BH102" i="76"/>
  <c r="BG102" i="76"/>
  <c r="BF102" i="76"/>
  <c r="BE102" i="76"/>
  <c r="BE104" i="76" s="1"/>
  <c r="BD102" i="76"/>
  <c r="BO87" i="76"/>
  <c r="BN87" i="76"/>
  <c r="BM87" i="76"/>
  <c r="BL87" i="76"/>
  <c r="BK87" i="76"/>
  <c r="BJ87" i="76"/>
  <c r="BI87" i="76"/>
  <c r="BH87" i="76"/>
  <c r="BG87" i="76"/>
  <c r="BF87" i="76"/>
  <c r="BE87" i="76"/>
  <c r="BD87" i="76"/>
  <c r="BO86" i="76"/>
  <c r="BN86" i="76"/>
  <c r="BM86" i="76"/>
  <c r="BM88" i="76" s="1"/>
  <c r="BL86" i="76"/>
  <c r="BK86" i="76"/>
  <c r="BJ86" i="76"/>
  <c r="BI86" i="76"/>
  <c r="BH86" i="76"/>
  <c r="BG86" i="76"/>
  <c r="BF86" i="76"/>
  <c r="BE86" i="76"/>
  <c r="BE88" i="76" s="1"/>
  <c r="BD86" i="76"/>
  <c r="BD88" i="76" s="1"/>
  <c r="BO82" i="76"/>
  <c r="BN82" i="76"/>
  <c r="BM82" i="76"/>
  <c r="BL82" i="76"/>
  <c r="BK82" i="76"/>
  <c r="BJ82" i="76"/>
  <c r="BI82" i="76"/>
  <c r="BH82" i="76"/>
  <c r="BG82" i="76"/>
  <c r="BF82" i="76"/>
  <c r="BE82" i="76"/>
  <c r="BD82" i="76"/>
  <c r="BO81" i="76"/>
  <c r="BN81" i="76"/>
  <c r="BM81" i="76"/>
  <c r="BM83" i="76" s="1"/>
  <c r="BM18" i="76" s="1"/>
  <c r="BL81" i="76"/>
  <c r="BL83" i="76" s="1"/>
  <c r="BK81" i="76"/>
  <c r="BJ81" i="76"/>
  <c r="BJ83" i="76" s="1"/>
  <c r="BI81" i="76"/>
  <c r="BH81" i="76"/>
  <c r="BG81" i="76"/>
  <c r="BF81" i="76"/>
  <c r="BE81" i="76"/>
  <c r="BE83" i="76" s="1"/>
  <c r="BD81" i="76"/>
  <c r="BO66" i="76"/>
  <c r="BN66" i="76"/>
  <c r="BM66" i="76"/>
  <c r="BL66" i="76"/>
  <c r="BK66" i="76"/>
  <c r="BJ66" i="76"/>
  <c r="BI66" i="76"/>
  <c r="BH66" i="76"/>
  <c r="BG66" i="76"/>
  <c r="BF66" i="76"/>
  <c r="BE66" i="76"/>
  <c r="BD66" i="76"/>
  <c r="BO65" i="76"/>
  <c r="BN65" i="76"/>
  <c r="BM65" i="76"/>
  <c r="BL65" i="76"/>
  <c r="BK65" i="76"/>
  <c r="BJ65" i="76"/>
  <c r="BI65" i="76"/>
  <c r="BH65" i="76"/>
  <c r="BG65" i="76"/>
  <c r="BF65" i="76"/>
  <c r="BE65" i="76"/>
  <c r="BD65" i="76"/>
  <c r="BO64" i="76"/>
  <c r="BN64" i="76"/>
  <c r="BM64" i="76"/>
  <c r="BL64" i="76"/>
  <c r="BK64" i="76"/>
  <c r="BJ64" i="76"/>
  <c r="BI64" i="76"/>
  <c r="BH64" i="76"/>
  <c r="BG64" i="76"/>
  <c r="BF64" i="76"/>
  <c r="BE64" i="76"/>
  <c r="BD64" i="76"/>
  <c r="BO63" i="76"/>
  <c r="BN63" i="76"/>
  <c r="BM63" i="76"/>
  <c r="BL63" i="76"/>
  <c r="BL67" i="76" s="1"/>
  <c r="BK63" i="76"/>
  <c r="BJ63" i="76"/>
  <c r="BJ67" i="76" s="1"/>
  <c r="BI63" i="76"/>
  <c r="BH63" i="76"/>
  <c r="BG63" i="76"/>
  <c r="BF63" i="76"/>
  <c r="BE63" i="76"/>
  <c r="BD63" i="76"/>
  <c r="BO59" i="76"/>
  <c r="BN59" i="76"/>
  <c r="BM59" i="76"/>
  <c r="BL59" i="76"/>
  <c r="BK59" i="76"/>
  <c r="BJ59" i="76"/>
  <c r="BI59" i="76"/>
  <c r="BH59" i="76"/>
  <c r="BG59" i="76"/>
  <c r="BF59" i="76"/>
  <c r="BE59" i="76"/>
  <c r="BD59" i="76"/>
  <c r="BO58" i="76"/>
  <c r="BN58" i="76"/>
  <c r="BM58" i="76"/>
  <c r="BL58" i="76"/>
  <c r="BK58" i="76"/>
  <c r="BJ58" i="76"/>
  <c r="BI58" i="76"/>
  <c r="BH58" i="76"/>
  <c r="BG58" i="76"/>
  <c r="BF58" i="76"/>
  <c r="BE58" i="76"/>
  <c r="BD58" i="76"/>
  <c r="BO57" i="76"/>
  <c r="BN57" i="76"/>
  <c r="BM57" i="76"/>
  <c r="BL57" i="76"/>
  <c r="BK57" i="76"/>
  <c r="BJ57" i="76"/>
  <c r="BI57" i="76"/>
  <c r="BH57" i="76"/>
  <c r="BG57" i="76"/>
  <c r="BF57" i="76"/>
  <c r="BE57" i="76"/>
  <c r="BD57" i="76"/>
  <c r="BO56" i="76"/>
  <c r="BN56" i="76"/>
  <c r="BM56" i="76"/>
  <c r="BM60" i="76" s="1"/>
  <c r="BL56" i="76"/>
  <c r="BL60" i="76" s="1"/>
  <c r="BL13" i="76" s="1"/>
  <c r="BK56" i="76"/>
  <c r="BJ56" i="76"/>
  <c r="BI56" i="76"/>
  <c r="BH56" i="76"/>
  <c r="BG56" i="76"/>
  <c r="BF56" i="76"/>
  <c r="BE56" i="76"/>
  <c r="BD56" i="76"/>
  <c r="BO52" i="76"/>
  <c r="BN52" i="76"/>
  <c r="BM52" i="76"/>
  <c r="BL52" i="76"/>
  <c r="BK52" i="76"/>
  <c r="BJ52" i="76"/>
  <c r="BI52" i="76"/>
  <c r="BH52" i="76"/>
  <c r="BG52" i="76"/>
  <c r="BF52" i="76"/>
  <c r="BE52" i="76"/>
  <c r="BD52" i="76"/>
  <c r="BO51" i="76"/>
  <c r="BN51" i="76"/>
  <c r="BM51" i="76"/>
  <c r="BL51" i="76"/>
  <c r="BK51" i="76"/>
  <c r="BJ51" i="76"/>
  <c r="BI51" i="76"/>
  <c r="BH51" i="76"/>
  <c r="BG51" i="76"/>
  <c r="BF51" i="76"/>
  <c r="BE51" i="76"/>
  <c r="BD51" i="76"/>
  <c r="BO36" i="76"/>
  <c r="BN36" i="76"/>
  <c r="BM36" i="76"/>
  <c r="BL36" i="76"/>
  <c r="BK36" i="76"/>
  <c r="BJ36" i="76"/>
  <c r="BI36" i="76"/>
  <c r="BH36" i="76"/>
  <c r="BG36" i="76"/>
  <c r="BF36" i="76"/>
  <c r="BE36" i="76"/>
  <c r="BD36" i="76"/>
  <c r="BC129" i="76"/>
  <c r="BC128" i="76"/>
  <c r="BC124" i="76"/>
  <c r="BC123" i="76"/>
  <c r="BC108" i="76"/>
  <c r="BC107" i="76"/>
  <c r="BC103" i="76"/>
  <c r="BC102" i="76"/>
  <c r="BC87" i="76"/>
  <c r="BC86" i="76"/>
  <c r="BC82" i="76"/>
  <c r="BC81" i="76"/>
  <c r="BC64" i="76"/>
  <c r="BC63" i="76"/>
  <c r="BC57" i="76"/>
  <c r="BC56" i="76"/>
  <c r="S146" i="76" l="1"/>
  <c r="AW144" i="76"/>
  <c r="AT149" i="76"/>
  <c r="AV145" i="76"/>
  <c r="AR145" i="76"/>
  <c r="BJ146" i="76"/>
  <c r="BK60" i="76"/>
  <c r="BK67" i="76"/>
  <c r="BK83" i="76"/>
  <c r="BK104" i="76"/>
  <c r="BK125" i="76"/>
  <c r="AF146" i="76"/>
  <c r="BE146" i="76"/>
  <c r="BM146" i="76"/>
  <c r="BE151" i="76"/>
  <c r="BM151" i="76"/>
  <c r="BJ60" i="76"/>
  <c r="BJ13" i="76" s="1"/>
  <c r="BE130" i="76"/>
  <c r="BE28" i="76" s="1"/>
  <c r="BM130" i="76"/>
  <c r="BM28" i="76" s="1"/>
  <c r="AW149" i="76"/>
  <c r="AO145" i="76"/>
  <c r="AO146" i="76" s="1"/>
  <c r="BM67" i="76"/>
  <c r="BM13" i="76" s="1"/>
  <c r="AK146" i="76"/>
  <c r="S151" i="76"/>
  <c r="AB146" i="76"/>
  <c r="Z151" i="76"/>
  <c r="AC151" i="76"/>
  <c r="Z146" i="76"/>
  <c r="AO150" i="76"/>
  <c r="AA151" i="76"/>
  <c r="AD151" i="76"/>
  <c r="AO149" i="76"/>
  <c r="AY149" i="76"/>
  <c r="AU149" i="76"/>
  <c r="AC146" i="76"/>
  <c r="BN83" i="76"/>
  <c r="BF88" i="76"/>
  <c r="BN104" i="76"/>
  <c r="BF109" i="76"/>
  <c r="BN125" i="76"/>
  <c r="BF130" i="76"/>
  <c r="AF151" i="76"/>
  <c r="AQ149" i="76"/>
  <c r="AE146" i="76"/>
  <c r="BN146" i="76"/>
  <c r="BF151" i="76"/>
  <c r="BO60" i="76"/>
  <c r="BO67" i="76"/>
  <c r="BO83" i="76"/>
  <c r="BG88" i="76"/>
  <c r="BO104" i="76"/>
  <c r="BG109" i="76"/>
  <c r="BO125" i="76"/>
  <c r="BG130" i="76"/>
  <c r="BO146" i="76"/>
  <c r="BG151" i="76"/>
  <c r="BH130" i="76"/>
  <c r="BH151" i="76"/>
  <c r="BI88" i="76"/>
  <c r="BI109" i="76"/>
  <c r="BI130" i="76"/>
  <c r="AR150" i="76"/>
  <c r="BI151" i="76"/>
  <c r="BJ88" i="76"/>
  <c r="BJ18" i="76" s="1"/>
  <c r="BJ109" i="76"/>
  <c r="BJ130" i="76"/>
  <c r="BJ28" i="76" s="1"/>
  <c r="BJ151" i="76"/>
  <c r="BH88" i="76"/>
  <c r="BK88" i="76"/>
  <c r="BK18" i="76" s="1"/>
  <c r="BK109" i="76"/>
  <c r="BK23" i="76" s="1"/>
  <c r="BK130" i="76"/>
  <c r="AE151" i="76"/>
  <c r="AD146" i="76"/>
  <c r="BK151" i="76"/>
  <c r="BD60" i="76"/>
  <c r="BD67" i="76"/>
  <c r="BD83" i="76"/>
  <c r="BD18" i="76" s="1"/>
  <c r="BL88" i="76"/>
  <c r="BL18" i="76" s="1"/>
  <c r="BD104" i="76"/>
  <c r="BD23" i="76" s="1"/>
  <c r="BL109" i="76"/>
  <c r="BL23" i="76" s="1"/>
  <c r="BD125" i="76"/>
  <c r="BD28" i="76" s="1"/>
  <c r="BL130" i="76"/>
  <c r="BL28" i="76" s="1"/>
  <c r="BD146" i="76"/>
  <c r="BN67" i="76"/>
  <c r="BE67" i="76"/>
  <c r="BE18" i="76"/>
  <c r="BE23" i="76"/>
  <c r="BN60" i="76"/>
  <c r="BH109" i="76"/>
  <c r="BE60" i="76"/>
  <c r="BF60" i="76"/>
  <c r="BF67" i="76"/>
  <c r="BF83" i="76"/>
  <c r="BN88" i="76"/>
  <c r="BF104" i="76"/>
  <c r="BN109" i="76"/>
  <c r="BF125" i="76"/>
  <c r="BN130" i="76"/>
  <c r="AB151" i="76"/>
  <c r="AA146" i="76"/>
  <c r="BF146" i="76"/>
  <c r="BN151" i="76"/>
  <c r="BG60" i="76"/>
  <c r="BG67" i="76"/>
  <c r="BG83" i="76"/>
  <c r="BO88" i="76"/>
  <c r="BG104" i="76"/>
  <c r="BO109" i="76"/>
  <c r="BG125" i="76"/>
  <c r="BO130" i="76"/>
  <c r="BG146" i="76"/>
  <c r="BO151" i="76"/>
  <c r="T151" i="76"/>
  <c r="BH60" i="76"/>
  <c r="BH83" i="76"/>
  <c r="BH104" i="76"/>
  <c r="BH125" i="76"/>
  <c r="AZ145" i="76"/>
  <c r="BH146" i="76"/>
  <c r="BJ23" i="76"/>
  <c r="BI60" i="76"/>
  <c r="BI67" i="76"/>
  <c r="BI83" i="76"/>
  <c r="BI104" i="76"/>
  <c r="BI125" i="76"/>
  <c r="AJ146" i="76"/>
  <c r="BI146" i="76"/>
  <c r="AI146" i="76"/>
  <c r="AK151" i="76"/>
  <c r="AG151" i="76"/>
  <c r="AG146" i="76"/>
  <c r="O146" i="76"/>
  <c r="AI151" i="76"/>
  <c r="K151" i="76"/>
  <c r="BH67" i="76"/>
  <c r="AT150" i="76"/>
  <c r="AP150" i="76"/>
  <c r="AN145" i="76"/>
  <c r="AS149" i="76"/>
  <c r="AY144" i="76"/>
  <c r="O151" i="76"/>
  <c r="AX145" i="76"/>
  <c r="AP149" i="76"/>
  <c r="AX144" i="76"/>
  <c r="BC146" i="76"/>
  <c r="Q151" i="76"/>
  <c r="M151" i="76"/>
  <c r="AW150" i="76"/>
  <c r="AW145" i="76"/>
  <c r="AW146" i="76" s="1"/>
  <c r="AS145" i="76"/>
  <c r="AS146" i="76" s="1"/>
  <c r="V151" i="76"/>
  <c r="AX149" i="76"/>
  <c r="AX151" i="76" s="1"/>
  <c r="R151" i="76"/>
  <c r="P151" i="76"/>
  <c r="L151" i="76"/>
  <c r="J151" i="76"/>
  <c r="AU145" i="76"/>
  <c r="AQ145" i="76"/>
  <c r="V146" i="76"/>
  <c r="R146" i="76"/>
  <c r="N146" i="76"/>
  <c r="K146" i="76"/>
  <c r="J146" i="76"/>
  <c r="BC151" i="76"/>
  <c r="U151" i="76"/>
  <c r="AY150" i="76"/>
  <c r="AY151" i="76" s="1"/>
  <c r="N151" i="76"/>
  <c r="AR149" i="76"/>
  <c r="U146" i="76"/>
  <c r="AU144" i="76"/>
  <c r="M146" i="76"/>
  <c r="AZ144" i="76"/>
  <c r="AY145" i="76"/>
  <c r="Y146" i="76"/>
  <c r="AV144" i="76"/>
  <c r="AR144" i="76"/>
  <c r="AR146" i="76" s="1"/>
  <c r="AS150" i="76"/>
  <c r="Y151" i="76"/>
  <c r="AN149" i="76"/>
  <c r="AQ150" i="76"/>
  <c r="AP145" i="76"/>
  <c r="AP146" i="76" s="1"/>
  <c r="AQ144" i="76"/>
  <c r="AZ149" i="76"/>
  <c r="AZ151" i="76" s="1"/>
  <c r="AV149" i="76"/>
  <c r="AV151" i="76" s="1"/>
  <c r="Q146" i="76"/>
  <c r="AU150" i="76"/>
  <c r="AU151" i="76" s="1"/>
  <c r="AT145" i="76"/>
  <c r="AT146" i="76" s="1"/>
  <c r="AN144" i="76"/>
  <c r="AN150" i="76"/>
  <c r="Y792" i="118"/>
  <c r="X792" i="118"/>
  <c r="W792" i="118"/>
  <c r="V792" i="118"/>
  <c r="U792" i="118"/>
  <c r="T792" i="118"/>
  <c r="S792" i="118"/>
  <c r="R792" i="118"/>
  <c r="Q792" i="118"/>
  <c r="P792" i="118"/>
  <c r="O792" i="118"/>
  <c r="N792" i="118"/>
  <c r="M792" i="118"/>
  <c r="Y791" i="118"/>
  <c r="X791" i="118"/>
  <c r="W791" i="118"/>
  <c r="V791" i="118"/>
  <c r="U791" i="118"/>
  <c r="T791" i="118"/>
  <c r="S791" i="118"/>
  <c r="R791" i="118"/>
  <c r="Q791" i="118"/>
  <c r="P791" i="118"/>
  <c r="O791" i="118"/>
  <c r="N791" i="118"/>
  <c r="M791" i="118"/>
  <c r="Y790" i="118"/>
  <c r="X790" i="118"/>
  <c r="W790" i="118"/>
  <c r="V790" i="118"/>
  <c r="U790" i="118"/>
  <c r="T790" i="118"/>
  <c r="S790" i="118"/>
  <c r="R790" i="118"/>
  <c r="Q790" i="118"/>
  <c r="P790" i="118"/>
  <c r="O790" i="118"/>
  <c r="N790" i="118"/>
  <c r="M790" i="118"/>
  <c r="Y789" i="118"/>
  <c r="X789" i="118"/>
  <c r="W789" i="118"/>
  <c r="V789" i="118"/>
  <c r="U789" i="118"/>
  <c r="T789" i="118"/>
  <c r="S789" i="118"/>
  <c r="R789" i="118"/>
  <c r="Q789" i="118"/>
  <c r="P789" i="118"/>
  <c r="O789" i="118"/>
  <c r="N789" i="118"/>
  <c r="M789" i="118"/>
  <c r="Y788" i="118"/>
  <c r="X788" i="118"/>
  <c r="W788" i="118"/>
  <c r="V788" i="118"/>
  <c r="U788" i="118"/>
  <c r="T788" i="118"/>
  <c r="S788" i="118"/>
  <c r="R788" i="118"/>
  <c r="Q788" i="118"/>
  <c r="P788" i="118"/>
  <c r="O788" i="118"/>
  <c r="N788" i="118"/>
  <c r="M788" i="118"/>
  <c r="Y787" i="118"/>
  <c r="X787" i="118"/>
  <c r="W787" i="118"/>
  <c r="V787" i="118"/>
  <c r="U787" i="118"/>
  <c r="T787" i="118"/>
  <c r="S787" i="118"/>
  <c r="R787" i="118"/>
  <c r="Q787" i="118"/>
  <c r="P787" i="118"/>
  <c r="O787" i="118"/>
  <c r="N787" i="118"/>
  <c r="M787" i="118"/>
  <c r="Y786" i="118"/>
  <c r="X786" i="118"/>
  <c r="W786" i="118"/>
  <c r="V786" i="118"/>
  <c r="U786" i="118"/>
  <c r="T786" i="118"/>
  <c r="S786" i="118"/>
  <c r="R786" i="118"/>
  <c r="Q786" i="118"/>
  <c r="P786" i="118"/>
  <c r="O786" i="118"/>
  <c r="N786" i="118"/>
  <c r="M786" i="118"/>
  <c r="Y785" i="118"/>
  <c r="X785" i="118"/>
  <c r="W785" i="118"/>
  <c r="V785" i="118"/>
  <c r="U785" i="118"/>
  <c r="T785" i="118"/>
  <c r="S785" i="118"/>
  <c r="R785" i="118"/>
  <c r="Q785" i="118"/>
  <c r="P785" i="118"/>
  <c r="O785" i="118"/>
  <c r="N785" i="118"/>
  <c r="M785" i="118"/>
  <c r="Y781" i="118"/>
  <c r="X781" i="118"/>
  <c r="W781" i="118"/>
  <c r="V781" i="118"/>
  <c r="U781" i="118"/>
  <c r="T781" i="118"/>
  <c r="S781" i="118"/>
  <c r="R781" i="118"/>
  <c r="Q781" i="118"/>
  <c r="P781" i="118"/>
  <c r="O781" i="118"/>
  <c r="C429" i="118"/>
  <c r="D429" i="118"/>
  <c r="E429" i="118"/>
  <c r="C430" i="118"/>
  <c r="D430" i="118"/>
  <c r="E430" i="118"/>
  <c r="C431" i="118"/>
  <c r="D431" i="118"/>
  <c r="E431" i="118"/>
  <c r="C432" i="118"/>
  <c r="D432" i="118"/>
  <c r="E432" i="118"/>
  <c r="C433" i="118"/>
  <c r="D433" i="118"/>
  <c r="E433" i="118"/>
  <c r="C434" i="118"/>
  <c r="D434" i="118"/>
  <c r="E434" i="118"/>
  <c r="C435" i="118"/>
  <c r="D435" i="118"/>
  <c r="E435" i="118"/>
  <c r="C436" i="118"/>
  <c r="D436" i="118"/>
  <c r="E436" i="118"/>
  <c r="C437" i="118"/>
  <c r="D437" i="118"/>
  <c r="E437" i="118"/>
  <c r="C438" i="118"/>
  <c r="D438" i="118"/>
  <c r="E438" i="118"/>
  <c r="C439" i="118"/>
  <c r="D439" i="118"/>
  <c r="E439" i="118"/>
  <c r="C440" i="118"/>
  <c r="D440" i="118"/>
  <c r="E440" i="118"/>
  <c r="C441" i="118"/>
  <c r="D441" i="118"/>
  <c r="E441" i="118"/>
  <c r="C442" i="118"/>
  <c r="D442" i="118"/>
  <c r="E442" i="118"/>
  <c r="C443" i="118"/>
  <c r="D443" i="118"/>
  <c r="E443" i="118"/>
  <c r="C444" i="118"/>
  <c r="D444" i="118"/>
  <c r="E444" i="118"/>
  <c r="C445" i="118"/>
  <c r="D445" i="118"/>
  <c r="E445" i="118"/>
  <c r="C446" i="118"/>
  <c r="D446" i="118"/>
  <c r="E446" i="118"/>
  <c r="C447" i="118"/>
  <c r="D447" i="118"/>
  <c r="E447" i="118"/>
  <c r="C448" i="118"/>
  <c r="D448" i="118"/>
  <c r="E448" i="118"/>
  <c r="C449" i="118"/>
  <c r="D449" i="118"/>
  <c r="E449" i="118"/>
  <c r="C450" i="118"/>
  <c r="D450" i="118"/>
  <c r="E450" i="118"/>
  <c r="C451" i="118"/>
  <c r="D451" i="118"/>
  <c r="E451" i="118"/>
  <c r="C452" i="118"/>
  <c r="D452" i="118"/>
  <c r="E452" i="118"/>
  <c r="C453" i="118"/>
  <c r="D453" i="118"/>
  <c r="E453" i="118"/>
  <c r="C454" i="118"/>
  <c r="D454" i="118"/>
  <c r="E454" i="118"/>
  <c r="C455" i="118"/>
  <c r="D455" i="118"/>
  <c r="E455" i="118"/>
  <c r="C456" i="118"/>
  <c r="D456" i="118"/>
  <c r="E456" i="118"/>
  <c r="C457" i="118"/>
  <c r="D457" i="118"/>
  <c r="E457" i="118"/>
  <c r="C458" i="118"/>
  <c r="D458" i="118"/>
  <c r="E458" i="118"/>
  <c r="C459" i="118"/>
  <c r="D459" i="118"/>
  <c r="E459" i="118"/>
  <c r="C460" i="118"/>
  <c r="D460" i="118"/>
  <c r="E460" i="118"/>
  <c r="C461" i="118"/>
  <c r="D461" i="118"/>
  <c r="E461" i="118"/>
  <c r="C462" i="118"/>
  <c r="D462" i="118"/>
  <c r="E462" i="118"/>
  <c r="C463" i="118"/>
  <c r="D463" i="118"/>
  <c r="E463" i="118"/>
  <c r="C464" i="118"/>
  <c r="D464" i="118"/>
  <c r="E464" i="118"/>
  <c r="C465" i="118"/>
  <c r="D465" i="118"/>
  <c r="E465" i="118"/>
  <c r="C466" i="118"/>
  <c r="D466" i="118"/>
  <c r="E466" i="118"/>
  <c r="C467" i="118"/>
  <c r="D467" i="118"/>
  <c r="E467" i="118"/>
  <c r="C468" i="118"/>
  <c r="D468" i="118"/>
  <c r="E468" i="118"/>
  <c r="C469" i="118"/>
  <c r="D469" i="118"/>
  <c r="E469" i="118"/>
  <c r="C470" i="118"/>
  <c r="D470" i="118"/>
  <c r="E470" i="118"/>
  <c r="C471" i="118"/>
  <c r="D471" i="118"/>
  <c r="E471" i="118"/>
  <c r="C472" i="118"/>
  <c r="D472" i="118"/>
  <c r="E472" i="118"/>
  <c r="C473" i="118"/>
  <c r="D473" i="118"/>
  <c r="E473" i="118"/>
  <c r="C474" i="118"/>
  <c r="D474" i="118"/>
  <c r="E474" i="118"/>
  <c r="C475" i="118"/>
  <c r="D475" i="118"/>
  <c r="E475" i="118"/>
  <c r="C476" i="118"/>
  <c r="D476" i="118"/>
  <c r="E476" i="118"/>
  <c r="C477" i="118"/>
  <c r="D477" i="118"/>
  <c r="E477" i="118"/>
  <c r="C478" i="118"/>
  <c r="D478" i="118"/>
  <c r="E478" i="118"/>
  <c r="C479" i="118"/>
  <c r="D479" i="118"/>
  <c r="E479" i="118"/>
  <c r="C480" i="118"/>
  <c r="D480" i="118"/>
  <c r="E480" i="118"/>
  <c r="C481" i="118"/>
  <c r="D481" i="118"/>
  <c r="E481" i="118"/>
  <c r="C482" i="118"/>
  <c r="D482" i="118"/>
  <c r="E482" i="118"/>
  <c r="C483" i="118"/>
  <c r="D483" i="118"/>
  <c r="E483" i="118"/>
  <c r="C484" i="118"/>
  <c r="D484" i="118"/>
  <c r="E484" i="118"/>
  <c r="C485" i="118"/>
  <c r="D485" i="118"/>
  <c r="E485" i="118"/>
  <c r="C486" i="118"/>
  <c r="D486" i="118"/>
  <c r="E486" i="118"/>
  <c r="C487" i="118"/>
  <c r="D487" i="118"/>
  <c r="E487" i="118"/>
  <c r="C488" i="118"/>
  <c r="D488" i="118"/>
  <c r="E488" i="118"/>
  <c r="C489" i="118"/>
  <c r="D489" i="118"/>
  <c r="E489" i="118"/>
  <c r="C490" i="118"/>
  <c r="D490" i="118"/>
  <c r="E490" i="118"/>
  <c r="C491" i="118"/>
  <c r="D491" i="118"/>
  <c r="E491" i="118"/>
  <c r="C492" i="118"/>
  <c r="D492" i="118"/>
  <c r="E492" i="118"/>
  <c r="C493" i="118"/>
  <c r="D493" i="118"/>
  <c r="E493" i="118"/>
  <c r="C494" i="118"/>
  <c r="D494" i="118"/>
  <c r="E494" i="118"/>
  <c r="C495" i="118"/>
  <c r="D495" i="118"/>
  <c r="E495" i="118"/>
  <c r="C496" i="118"/>
  <c r="D496" i="118"/>
  <c r="E496" i="118"/>
  <c r="C497" i="118"/>
  <c r="D497" i="118"/>
  <c r="E497" i="118"/>
  <c r="C498" i="118"/>
  <c r="D498" i="118"/>
  <c r="E498" i="118"/>
  <c r="C499" i="118"/>
  <c r="D499" i="118"/>
  <c r="E499" i="118"/>
  <c r="C500" i="118"/>
  <c r="D500" i="118"/>
  <c r="E500" i="118"/>
  <c r="C501" i="118"/>
  <c r="D501" i="118"/>
  <c r="E501" i="118"/>
  <c r="C502" i="118"/>
  <c r="D502" i="118"/>
  <c r="E502" i="118"/>
  <c r="C503" i="118"/>
  <c r="D503" i="118"/>
  <c r="E503" i="118"/>
  <c r="C504" i="118"/>
  <c r="D504" i="118"/>
  <c r="E504" i="118"/>
  <c r="C505" i="118"/>
  <c r="D505" i="118"/>
  <c r="E505" i="118"/>
  <c r="C506" i="118"/>
  <c r="D506" i="118"/>
  <c r="E506" i="118"/>
  <c r="C507" i="118"/>
  <c r="D507" i="118"/>
  <c r="E507" i="118"/>
  <c r="C508" i="118"/>
  <c r="D508" i="118"/>
  <c r="E508" i="118"/>
  <c r="C509" i="118"/>
  <c r="D509" i="118"/>
  <c r="E509" i="118"/>
  <c r="C510" i="118"/>
  <c r="D510" i="118"/>
  <c r="E510" i="118"/>
  <c r="C511" i="118"/>
  <c r="D511" i="118"/>
  <c r="E511" i="118"/>
  <c r="C512" i="118"/>
  <c r="D512" i="118"/>
  <c r="E512" i="118"/>
  <c r="C513" i="118"/>
  <c r="D513" i="118"/>
  <c r="E513" i="118"/>
  <c r="C514" i="118"/>
  <c r="D514" i="118"/>
  <c r="E514" i="118"/>
  <c r="C515" i="118"/>
  <c r="D515" i="118"/>
  <c r="E515" i="118"/>
  <c r="C516" i="118"/>
  <c r="D516" i="118"/>
  <c r="E516" i="118"/>
  <c r="C517" i="118"/>
  <c r="D517" i="118"/>
  <c r="E517" i="118"/>
  <c r="C518" i="118"/>
  <c r="D518" i="118"/>
  <c r="E518" i="118"/>
  <c r="C519" i="118"/>
  <c r="D519" i="118"/>
  <c r="E519" i="118"/>
  <c r="C520" i="118"/>
  <c r="D520" i="118"/>
  <c r="E520" i="118"/>
  <c r="C521" i="118"/>
  <c r="D521" i="118"/>
  <c r="E521" i="118"/>
  <c r="C522" i="118"/>
  <c r="D522" i="118"/>
  <c r="E522" i="118"/>
  <c r="C523" i="118"/>
  <c r="D523" i="118"/>
  <c r="E523" i="118"/>
  <c r="C524" i="118"/>
  <c r="D524" i="118"/>
  <c r="E524" i="118"/>
  <c r="C525" i="118"/>
  <c r="D525" i="118"/>
  <c r="E525" i="118"/>
  <c r="C526" i="118"/>
  <c r="D526" i="118"/>
  <c r="E526" i="118"/>
  <c r="C527" i="118"/>
  <c r="D527" i="118"/>
  <c r="E527" i="118"/>
  <c r="C528" i="118"/>
  <c r="D528" i="118"/>
  <c r="E528" i="118"/>
  <c r="C529" i="118"/>
  <c r="D529" i="118"/>
  <c r="E529" i="118"/>
  <c r="C530" i="118"/>
  <c r="D530" i="118"/>
  <c r="E530" i="118"/>
  <c r="C531" i="118"/>
  <c r="D531" i="118"/>
  <c r="E531" i="118"/>
  <c r="C532" i="118"/>
  <c r="D532" i="118"/>
  <c r="E532" i="118"/>
  <c r="C533" i="118"/>
  <c r="D533" i="118"/>
  <c r="E533" i="118"/>
  <c r="C534" i="118"/>
  <c r="D534" i="118"/>
  <c r="E534" i="118"/>
  <c r="C535" i="118"/>
  <c r="D535" i="118"/>
  <c r="E535" i="118"/>
  <c r="C536" i="118"/>
  <c r="D536" i="118"/>
  <c r="E536" i="118"/>
  <c r="C537" i="118"/>
  <c r="D537" i="118"/>
  <c r="E537" i="118"/>
  <c r="C538" i="118"/>
  <c r="D538" i="118"/>
  <c r="E538" i="118"/>
  <c r="C539" i="118"/>
  <c r="D539" i="118"/>
  <c r="E539" i="118"/>
  <c r="C540" i="118"/>
  <c r="D540" i="118"/>
  <c r="E540" i="118"/>
  <c r="C541" i="118"/>
  <c r="D541" i="118"/>
  <c r="E541" i="118"/>
  <c r="C542" i="118"/>
  <c r="D542" i="118"/>
  <c r="E542" i="118"/>
  <c r="C543" i="118"/>
  <c r="D543" i="118"/>
  <c r="E543" i="118"/>
  <c r="C544" i="118"/>
  <c r="D544" i="118"/>
  <c r="E544" i="118"/>
  <c r="C545" i="118"/>
  <c r="D545" i="118"/>
  <c r="E545" i="118"/>
  <c r="C546" i="118"/>
  <c r="D546" i="118"/>
  <c r="E546" i="118"/>
  <c r="C547" i="118"/>
  <c r="D547" i="118"/>
  <c r="E547" i="118"/>
  <c r="C548" i="118"/>
  <c r="D548" i="118"/>
  <c r="E548" i="118"/>
  <c r="C549" i="118"/>
  <c r="D549" i="118"/>
  <c r="E549" i="118"/>
  <c r="C550" i="118"/>
  <c r="D550" i="118"/>
  <c r="E550" i="118"/>
  <c r="C551" i="118"/>
  <c r="D551" i="118"/>
  <c r="E551" i="118"/>
  <c r="C552" i="118"/>
  <c r="D552" i="118"/>
  <c r="E552" i="118"/>
  <c r="C553" i="118"/>
  <c r="D553" i="118"/>
  <c r="E553" i="118"/>
  <c r="C554" i="118"/>
  <c r="D554" i="118"/>
  <c r="E554" i="118"/>
  <c r="C555" i="118"/>
  <c r="D555" i="118"/>
  <c r="E555" i="118"/>
  <c r="C556" i="118"/>
  <c r="D556" i="118"/>
  <c r="E556" i="118"/>
  <c r="C557" i="118"/>
  <c r="D557" i="118"/>
  <c r="E557" i="118"/>
  <c r="C558" i="118"/>
  <c r="D558" i="118"/>
  <c r="E558" i="118"/>
  <c r="C559" i="118"/>
  <c r="D559" i="118"/>
  <c r="E559" i="118"/>
  <c r="C560" i="118"/>
  <c r="D560" i="118"/>
  <c r="E560" i="118"/>
  <c r="C561" i="118"/>
  <c r="D561" i="118"/>
  <c r="E561" i="118"/>
  <c r="C562" i="118"/>
  <c r="D562" i="118"/>
  <c r="E562" i="118"/>
  <c r="C563" i="118"/>
  <c r="D563" i="118"/>
  <c r="E563" i="118"/>
  <c r="C564" i="118"/>
  <c r="D564" i="118"/>
  <c r="E564" i="118"/>
  <c r="C565" i="118"/>
  <c r="D565" i="118"/>
  <c r="E565" i="118"/>
  <c r="C566" i="118"/>
  <c r="D566" i="118"/>
  <c r="E566" i="118"/>
  <c r="C567" i="118"/>
  <c r="D567" i="118"/>
  <c r="E567" i="118"/>
  <c r="C568" i="118"/>
  <c r="D568" i="118"/>
  <c r="E568" i="118"/>
  <c r="C569" i="118"/>
  <c r="D569" i="118"/>
  <c r="E569" i="118"/>
  <c r="C570" i="118"/>
  <c r="D570" i="118"/>
  <c r="E570" i="118"/>
  <c r="C571" i="118"/>
  <c r="D571" i="118"/>
  <c r="E571" i="118"/>
  <c r="C572" i="118"/>
  <c r="D572" i="118"/>
  <c r="E572" i="118"/>
  <c r="C573" i="118"/>
  <c r="D573" i="118"/>
  <c r="E573" i="118"/>
  <c r="C574" i="118"/>
  <c r="D574" i="118"/>
  <c r="E574" i="118"/>
  <c r="C575" i="118"/>
  <c r="D575" i="118"/>
  <c r="E575" i="118"/>
  <c r="C576" i="118"/>
  <c r="D576" i="118"/>
  <c r="E576" i="118"/>
  <c r="C577" i="118"/>
  <c r="D577" i="118"/>
  <c r="E577" i="118"/>
  <c r="C578" i="118"/>
  <c r="D578" i="118"/>
  <c r="E578" i="118"/>
  <c r="C579" i="118"/>
  <c r="D579" i="118"/>
  <c r="E579" i="118"/>
  <c r="C580" i="118"/>
  <c r="D580" i="118"/>
  <c r="E580" i="118"/>
  <c r="C581" i="118"/>
  <c r="D581" i="118"/>
  <c r="E581" i="118"/>
  <c r="C582" i="118"/>
  <c r="D582" i="118"/>
  <c r="E582" i="118"/>
  <c r="C583" i="118"/>
  <c r="D583" i="118"/>
  <c r="E583" i="118"/>
  <c r="C584" i="118"/>
  <c r="D584" i="118"/>
  <c r="E584" i="118"/>
  <c r="C585" i="118"/>
  <c r="D585" i="118"/>
  <c r="E585" i="118"/>
  <c r="C586" i="118"/>
  <c r="D586" i="118"/>
  <c r="E586" i="118"/>
  <c r="C587" i="118"/>
  <c r="D587" i="118"/>
  <c r="E587" i="118"/>
  <c r="C588" i="118"/>
  <c r="D588" i="118"/>
  <c r="E588" i="118"/>
  <c r="C589" i="118"/>
  <c r="D589" i="118"/>
  <c r="E589" i="118"/>
  <c r="C590" i="118"/>
  <c r="D590" i="118"/>
  <c r="E590" i="118"/>
  <c r="C591" i="118"/>
  <c r="D591" i="118"/>
  <c r="E591" i="118"/>
  <c r="C592" i="118"/>
  <c r="D592" i="118"/>
  <c r="E592" i="118"/>
  <c r="C593" i="118"/>
  <c r="D593" i="118"/>
  <c r="E593" i="118"/>
  <c r="C594" i="118"/>
  <c r="D594" i="118"/>
  <c r="E594" i="118"/>
  <c r="C255" i="118"/>
  <c r="D255" i="118"/>
  <c r="E255" i="118"/>
  <c r="C256" i="118"/>
  <c r="D256" i="118"/>
  <c r="E256" i="118"/>
  <c r="C257" i="118"/>
  <c r="D257" i="118"/>
  <c r="E257" i="118"/>
  <c r="C258" i="118"/>
  <c r="D258" i="118"/>
  <c r="E258" i="118"/>
  <c r="C259" i="118"/>
  <c r="D259" i="118"/>
  <c r="E259" i="118"/>
  <c r="C260" i="118"/>
  <c r="D260" i="118"/>
  <c r="E260" i="118"/>
  <c r="C261" i="118"/>
  <c r="D261" i="118"/>
  <c r="E261" i="118"/>
  <c r="C262" i="118"/>
  <c r="D262" i="118"/>
  <c r="E262" i="118"/>
  <c r="C263" i="118"/>
  <c r="D263" i="118"/>
  <c r="E263" i="118"/>
  <c r="C264" i="118"/>
  <c r="D264" i="118"/>
  <c r="E264" i="118"/>
  <c r="C265" i="118"/>
  <c r="D265" i="118"/>
  <c r="E265" i="118"/>
  <c r="C266" i="118"/>
  <c r="D266" i="118"/>
  <c r="E266" i="118"/>
  <c r="C267" i="118"/>
  <c r="D267" i="118"/>
  <c r="E267" i="118"/>
  <c r="C268" i="118"/>
  <c r="D268" i="118"/>
  <c r="E268" i="118"/>
  <c r="C269" i="118"/>
  <c r="D269" i="118"/>
  <c r="E269" i="118"/>
  <c r="C270" i="118"/>
  <c r="D270" i="118"/>
  <c r="E270" i="118"/>
  <c r="C271" i="118"/>
  <c r="D271" i="118"/>
  <c r="E271" i="118"/>
  <c r="C272" i="118"/>
  <c r="D272" i="118"/>
  <c r="E272" i="118"/>
  <c r="C273" i="118"/>
  <c r="D273" i="118"/>
  <c r="E273" i="118"/>
  <c r="C274" i="118"/>
  <c r="D274" i="118"/>
  <c r="E274" i="118"/>
  <c r="C275" i="118"/>
  <c r="D275" i="118"/>
  <c r="E275" i="118"/>
  <c r="C276" i="118"/>
  <c r="D276" i="118"/>
  <c r="E276" i="118"/>
  <c r="C277" i="118"/>
  <c r="D277" i="118"/>
  <c r="E277" i="118"/>
  <c r="C278" i="118"/>
  <c r="D278" i="118"/>
  <c r="E278" i="118"/>
  <c r="C279" i="118"/>
  <c r="D279" i="118"/>
  <c r="E279" i="118"/>
  <c r="C280" i="118"/>
  <c r="D280" i="118"/>
  <c r="E280" i="118"/>
  <c r="C281" i="118"/>
  <c r="D281" i="118"/>
  <c r="E281" i="118"/>
  <c r="C282" i="118"/>
  <c r="D282" i="118"/>
  <c r="E282" i="118"/>
  <c r="C283" i="118"/>
  <c r="D283" i="118"/>
  <c r="E283" i="118"/>
  <c r="C284" i="118"/>
  <c r="D284" i="118"/>
  <c r="E284" i="118"/>
  <c r="C285" i="118"/>
  <c r="D285" i="118"/>
  <c r="E285" i="118"/>
  <c r="C286" i="118"/>
  <c r="D286" i="118"/>
  <c r="E286" i="118"/>
  <c r="C287" i="118"/>
  <c r="D287" i="118"/>
  <c r="E287" i="118"/>
  <c r="C288" i="118"/>
  <c r="D288" i="118"/>
  <c r="E288" i="118"/>
  <c r="C289" i="118"/>
  <c r="D289" i="118"/>
  <c r="E289" i="118"/>
  <c r="C290" i="118"/>
  <c r="D290" i="118"/>
  <c r="E290" i="118"/>
  <c r="C291" i="118"/>
  <c r="D291" i="118"/>
  <c r="E291" i="118"/>
  <c r="C292" i="118"/>
  <c r="D292" i="118"/>
  <c r="E292" i="118"/>
  <c r="C293" i="118"/>
  <c r="D293" i="118"/>
  <c r="E293" i="118"/>
  <c r="C294" i="118"/>
  <c r="D294" i="118"/>
  <c r="E294" i="118"/>
  <c r="C295" i="118"/>
  <c r="D295" i="118"/>
  <c r="E295" i="118"/>
  <c r="C296" i="118"/>
  <c r="D296" i="118"/>
  <c r="E296" i="118"/>
  <c r="C297" i="118"/>
  <c r="D297" i="118"/>
  <c r="E297" i="118"/>
  <c r="C298" i="118"/>
  <c r="D298" i="118"/>
  <c r="E298" i="118"/>
  <c r="C299" i="118"/>
  <c r="D299" i="118"/>
  <c r="E299" i="118"/>
  <c r="C300" i="118"/>
  <c r="D300" i="118"/>
  <c r="E300" i="118"/>
  <c r="C301" i="118"/>
  <c r="D301" i="118"/>
  <c r="E301" i="118"/>
  <c r="C302" i="118"/>
  <c r="D302" i="118"/>
  <c r="E302" i="118"/>
  <c r="C303" i="118"/>
  <c r="D303" i="118"/>
  <c r="E303" i="118"/>
  <c r="C304" i="118"/>
  <c r="D304" i="118"/>
  <c r="E304" i="118"/>
  <c r="C305" i="118"/>
  <c r="D305" i="118"/>
  <c r="E305" i="118"/>
  <c r="C306" i="118"/>
  <c r="D306" i="118"/>
  <c r="E306" i="118"/>
  <c r="C307" i="118"/>
  <c r="D307" i="118"/>
  <c r="E307" i="118"/>
  <c r="C308" i="118"/>
  <c r="D308" i="118"/>
  <c r="E308" i="118"/>
  <c r="C309" i="118"/>
  <c r="D309" i="118"/>
  <c r="E309" i="118"/>
  <c r="C310" i="118"/>
  <c r="D310" i="118"/>
  <c r="E310" i="118"/>
  <c r="C311" i="118"/>
  <c r="D311" i="118"/>
  <c r="E311" i="118"/>
  <c r="C312" i="118"/>
  <c r="D312" i="118"/>
  <c r="E312" i="118"/>
  <c r="C313" i="118"/>
  <c r="D313" i="118"/>
  <c r="E313" i="118"/>
  <c r="C314" i="118"/>
  <c r="D314" i="118"/>
  <c r="E314" i="118"/>
  <c r="C315" i="118"/>
  <c r="D315" i="118"/>
  <c r="E315" i="118"/>
  <c r="C316" i="118"/>
  <c r="D316" i="118"/>
  <c r="E316" i="118"/>
  <c r="C317" i="118"/>
  <c r="D317" i="118"/>
  <c r="E317" i="118"/>
  <c r="C318" i="118"/>
  <c r="D318" i="118"/>
  <c r="E318" i="118"/>
  <c r="C319" i="118"/>
  <c r="D319" i="118"/>
  <c r="E319" i="118"/>
  <c r="C320" i="118"/>
  <c r="D320" i="118"/>
  <c r="E320" i="118"/>
  <c r="C321" i="118"/>
  <c r="D321" i="118"/>
  <c r="E321" i="118"/>
  <c r="C322" i="118"/>
  <c r="D322" i="118"/>
  <c r="E322" i="118"/>
  <c r="C323" i="118"/>
  <c r="D323" i="118"/>
  <c r="E323" i="118"/>
  <c r="C324" i="118"/>
  <c r="D324" i="118"/>
  <c r="E324" i="118"/>
  <c r="C325" i="118"/>
  <c r="D325" i="118"/>
  <c r="E325" i="118"/>
  <c r="C326" i="118"/>
  <c r="D326" i="118"/>
  <c r="E326" i="118"/>
  <c r="C327" i="118"/>
  <c r="D327" i="118"/>
  <c r="E327" i="118"/>
  <c r="C328" i="118"/>
  <c r="D328" i="118"/>
  <c r="E328" i="118"/>
  <c r="C329" i="118"/>
  <c r="D329" i="118"/>
  <c r="E329" i="118"/>
  <c r="C330" i="118"/>
  <c r="D330" i="118"/>
  <c r="E330" i="118"/>
  <c r="C331" i="118"/>
  <c r="D331" i="118"/>
  <c r="E331" i="118"/>
  <c r="C332" i="118"/>
  <c r="D332" i="118"/>
  <c r="E332" i="118"/>
  <c r="C333" i="118"/>
  <c r="D333" i="118"/>
  <c r="E333" i="118"/>
  <c r="C334" i="118"/>
  <c r="D334" i="118"/>
  <c r="E334" i="118"/>
  <c r="C335" i="118"/>
  <c r="D335" i="118"/>
  <c r="E335" i="118"/>
  <c r="C336" i="118"/>
  <c r="D336" i="118"/>
  <c r="E336" i="118"/>
  <c r="C337" i="118"/>
  <c r="D337" i="118"/>
  <c r="E337" i="118"/>
  <c r="C338" i="118"/>
  <c r="D338" i="118"/>
  <c r="E338" i="118"/>
  <c r="C339" i="118"/>
  <c r="D339" i="118"/>
  <c r="E339" i="118"/>
  <c r="C340" i="118"/>
  <c r="D340" i="118"/>
  <c r="E340" i="118"/>
  <c r="C341" i="118"/>
  <c r="D341" i="118"/>
  <c r="E341" i="118"/>
  <c r="C342" i="118"/>
  <c r="D342" i="118"/>
  <c r="E342" i="118"/>
  <c r="C343" i="118"/>
  <c r="D343" i="118"/>
  <c r="E343" i="118"/>
  <c r="C344" i="118"/>
  <c r="D344" i="118"/>
  <c r="E344" i="118"/>
  <c r="C345" i="118"/>
  <c r="D345" i="118"/>
  <c r="E345" i="118"/>
  <c r="C346" i="118"/>
  <c r="D346" i="118"/>
  <c r="E346" i="118"/>
  <c r="C347" i="118"/>
  <c r="D347" i="118"/>
  <c r="E347" i="118"/>
  <c r="C348" i="118"/>
  <c r="D348" i="118"/>
  <c r="E348" i="118"/>
  <c r="C349" i="118"/>
  <c r="D349" i="118"/>
  <c r="E349" i="118"/>
  <c r="C350" i="118"/>
  <c r="D350" i="118"/>
  <c r="E350" i="118"/>
  <c r="C351" i="118"/>
  <c r="D351" i="118"/>
  <c r="E351" i="118"/>
  <c r="C352" i="118"/>
  <c r="D352" i="118"/>
  <c r="E352" i="118"/>
  <c r="C353" i="118"/>
  <c r="D353" i="118"/>
  <c r="E353" i="118"/>
  <c r="C354" i="118"/>
  <c r="D354" i="118"/>
  <c r="E354" i="118"/>
  <c r="C355" i="118"/>
  <c r="D355" i="118"/>
  <c r="E355" i="118"/>
  <c r="C356" i="118"/>
  <c r="D356" i="118"/>
  <c r="E356" i="118"/>
  <c r="C357" i="118"/>
  <c r="D357" i="118"/>
  <c r="E357" i="118"/>
  <c r="C358" i="118"/>
  <c r="D358" i="118"/>
  <c r="E358" i="118"/>
  <c r="C359" i="118"/>
  <c r="D359" i="118"/>
  <c r="E359" i="118"/>
  <c r="C360" i="118"/>
  <c r="D360" i="118"/>
  <c r="E360" i="118"/>
  <c r="C361" i="118"/>
  <c r="D361" i="118"/>
  <c r="E361" i="118"/>
  <c r="C362" i="118"/>
  <c r="D362" i="118"/>
  <c r="E362" i="118"/>
  <c r="C363" i="118"/>
  <c r="D363" i="118"/>
  <c r="E363" i="118"/>
  <c r="C364" i="118"/>
  <c r="D364" i="118"/>
  <c r="E364" i="118"/>
  <c r="C365" i="118"/>
  <c r="D365" i="118"/>
  <c r="E365" i="118"/>
  <c r="C366" i="118"/>
  <c r="D366" i="118"/>
  <c r="E366" i="118"/>
  <c r="C367" i="118"/>
  <c r="D367" i="118"/>
  <c r="E367" i="118"/>
  <c r="C368" i="118"/>
  <c r="D368" i="118"/>
  <c r="E368" i="118"/>
  <c r="C369" i="118"/>
  <c r="D369" i="118"/>
  <c r="E369" i="118"/>
  <c r="C370" i="118"/>
  <c r="D370" i="118"/>
  <c r="E370" i="118"/>
  <c r="C371" i="118"/>
  <c r="D371" i="118"/>
  <c r="E371" i="118"/>
  <c r="C372" i="118"/>
  <c r="D372" i="118"/>
  <c r="E372" i="118"/>
  <c r="C373" i="118"/>
  <c r="D373" i="118"/>
  <c r="E373" i="118"/>
  <c r="C374" i="118"/>
  <c r="D374" i="118"/>
  <c r="E374" i="118"/>
  <c r="C375" i="118"/>
  <c r="D375" i="118"/>
  <c r="E375" i="118"/>
  <c r="C376" i="118"/>
  <c r="D376" i="118"/>
  <c r="E376" i="118"/>
  <c r="C377" i="118"/>
  <c r="D377" i="118"/>
  <c r="E377" i="118"/>
  <c r="C378" i="118"/>
  <c r="D378" i="118"/>
  <c r="E378" i="118"/>
  <c r="C379" i="118"/>
  <c r="D379" i="118"/>
  <c r="E379" i="118"/>
  <c r="C380" i="118"/>
  <c r="D380" i="118"/>
  <c r="E380" i="118"/>
  <c r="C381" i="118"/>
  <c r="D381" i="118"/>
  <c r="E381" i="118"/>
  <c r="C382" i="118"/>
  <c r="D382" i="118"/>
  <c r="E382" i="118"/>
  <c r="C383" i="118"/>
  <c r="D383" i="118"/>
  <c r="E383" i="118"/>
  <c r="C384" i="118"/>
  <c r="D384" i="118"/>
  <c r="E384" i="118"/>
  <c r="C385" i="118"/>
  <c r="D385" i="118"/>
  <c r="E385" i="118"/>
  <c r="C386" i="118"/>
  <c r="D386" i="118"/>
  <c r="E386" i="118"/>
  <c r="C387" i="118"/>
  <c r="D387" i="118"/>
  <c r="E387" i="118"/>
  <c r="C388" i="118"/>
  <c r="D388" i="118"/>
  <c r="E388" i="118"/>
  <c r="C389" i="118"/>
  <c r="D389" i="118"/>
  <c r="E389" i="118"/>
  <c r="C390" i="118"/>
  <c r="D390" i="118"/>
  <c r="E390" i="118"/>
  <c r="C391" i="118"/>
  <c r="D391" i="118"/>
  <c r="E391" i="118"/>
  <c r="C392" i="118"/>
  <c r="D392" i="118"/>
  <c r="E392" i="118"/>
  <c r="C393" i="118"/>
  <c r="D393" i="118"/>
  <c r="E393" i="118"/>
  <c r="C394" i="118"/>
  <c r="D394" i="118"/>
  <c r="E394" i="118"/>
  <c r="C395" i="118"/>
  <c r="D395" i="118"/>
  <c r="E395" i="118"/>
  <c r="C396" i="118"/>
  <c r="D396" i="118"/>
  <c r="E396" i="118"/>
  <c r="C397" i="118"/>
  <c r="D397" i="118"/>
  <c r="E397" i="118"/>
  <c r="C398" i="118"/>
  <c r="D398" i="118"/>
  <c r="E398" i="118"/>
  <c r="C399" i="118"/>
  <c r="D399" i="118"/>
  <c r="E399" i="118"/>
  <c r="C400" i="118"/>
  <c r="D400" i="118"/>
  <c r="E400" i="118"/>
  <c r="C401" i="118"/>
  <c r="D401" i="118"/>
  <c r="E401" i="118"/>
  <c r="C402" i="118"/>
  <c r="D402" i="118"/>
  <c r="E402" i="118"/>
  <c r="C403" i="118"/>
  <c r="D403" i="118"/>
  <c r="E403" i="118"/>
  <c r="C404" i="118"/>
  <c r="D404" i="118"/>
  <c r="E404" i="118"/>
  <c r="C405" i="118"/>
  <c r="D405" i="118"/>
  <c r="E405" i="118"/>
  <c r="C406" i="118"/>
  <c r="D406" i="118"/>
  <c r="E406" i="118"/>
  <c r="C407" i="118"/>
  <c r="D407" i="118"/>
  <c r="E407" i="118"/>
  <c r="C408" i="118"/>
  <c r="D408" i="118"/>
  <c r="E408" i="118"/>
  <c r="C409" i="118"/>
  <c r="D409" i="118"/>
  <c r="E409" i="118"/>
  <c r="C410" i="118"/>
  <c r="D410" i="118"/>
  <c r="E410" i="118"/>
  <c r="C411" i="118"/>
  <c r="D411" i="118"/>
  <c r="E411" i="118"/>
  <c r="C412" i="118"/>
  <c r="D412" i="118"/>
  <c r="E412" i="118"/>
  <c r="C413" i="118"/>
  <c r="D413" i="118"/>
  <c r="E413" i="118"/>
  <c r="C414" i="118"/>
  <c r="D414" i="118"/>
  <c r="E414" i="118"/>
  <c r="C415" i="118"/>
  <c r="D415" i="118"/>
  <c r="E415" i="118"/>
  <c r="C416" i="118"/>
  <c r="D416" i="118"/>
  <c r="E416" i="118"/>
  <c r="C417" i="118"/>
  <c r="D417" i="118"/>
  <c r="E417" i="118"/>
  <c r="C418" i="118"/>
  <c r="D418" i="118"/>
  <c r="E418" i="118"/>
  <c r="C419" i="118"/>
  <c r="D419" i="118"/>
  <c r="E419" i="118"/>
  <c r="C420" i="118"/>
  <c r="D420" i="118"/>
  <c r="E420" i="118"/>
  <c r="E254" i="118"/>
  <c r="AF452" i="117"/>
  <c r="AE452" i="117"/>
  <c r="AD452" i="117"/>
  <c r="AC452" i="117"/>
  <c r="AB452" i="117"/>
  <c r="AA452" i="117"/>
  <c r="Z452" i="117"/>
  <c r="Y452" i="117"/>
  <c r="X452" i="117"/>
  <c r="W452" i="117"/>
  <c r="V452" i="117"/>
  <c r="U452" i="117"/>
  <c r="T452" i="117"/>
  <c r="AF449" i="117"/>
  <c r="AE449" i="117"/>
  <c r="AD449" i="117"/>
  <c r="AC449" i="117"/>
  <c r="AB449" i="117"/>
  <c r="AA449" i="117"/>
  <c r="Z449" i="117"/>
  <c r="Y449" i="117"/>
  <c r="X449" i="117"/>
  <c r="W449" i="117"/>
  <c r="V449" i="117"/>
  <c r="U449" i="117"/>
  <c r="T449" i="117"/>
  <c r="Y445" i="117"/>
  <c r="X445" i="117"/>
  <c r="W445" i="117"/>
  <c r="V445" i="117"/>
  <c r="U445" i="117"/>
  <c r="T445" i="117"/>
  <c r="Y89" i="117"/>
  <c r="C59" i="118"/>
  <c r="C77" i="118" s="1"/>
  <c r="D59" i="118"/>
  <c r="D77" i="118" s="1"/>
  <c r="E59" i="118"/>
  <c r="E77" i="118" s="1"/>
  <c r="F59" i="118"/>
  <c r="F77" i="118" s="1"/>
  <c r="G59" i="118"/>
  <c r="G77" i="118" s="1"/>
  <c r="H59" i="118"/>
  <c r="H77" i="118" s="1"/>
  <c r="I59" i="118"/>
  <c r="I77" i="118" s="1"/>
  <c r="C60" i="118"/>
  <c r="C78" i="118" s="1"/>
  <c r="D60" i="118"/>
  <c r="D78" i="118" s="1"/>
  <c r="E60" i="118"/>
  <c r="E78" i="118" s="1"/>
  <c r="F60" i="118"/>
  <c r="F78" i="118" s="1"/>
  <c r="G60" i="118"/>
  <c r="G78" i="118" s="1"/>
  <c r="H60" i="118"/>
  <c r="H78" i="118" s="1"/>
  <c r="I60" i="118"/>
  <c r="I78" i="118" s="1"/>
  <c r="C61" i="118"/>
  <c r="C79" i="118" s="1"/>
  <c r="D61" i="118"/>
  <c r="D79" i="118" s="1"/>
  <c r="E61" i="118"/>
  <c r="E79" i="118" s="1"/>
  <c r="F61" i="118"/>
  <c r="F79" i="118" s="1"/>
  <c r="G61" i="118"/>
  <c r="G79" i="118" s="1"/>
  <c r="H61" i="118"/>
  <c r="H79" i="118" s="1"/>
  <c r="I61" i="118"/>
  <c r="I79" i="118" s="1"/>
  <c r="C62" i="118"/>
  <c r="C80" i="118" s="1"/>
  <c r="D62" i="118"/>
  <c r="D80" i="118" s="1"/>
  <c r="E62" i="118"/>
  <c r="E80" i="118" s="1"/>
  <c r="F62" i="118"/>
  <c r="F80" i="118" s="1"/>
  <c r="G62" i="118"/>
  <c r="G80" i="118" s="1"/>
  <c r="H62" i="118"/>
  <c r="H80" i="118" s="1"/>
  <c r="I62" i="118"/>
  <c r="I80" i="118" s="1"/>
  <c r="Z30" i="117"/>
  <c r="AA30" i="117" s="1"/>
  <c r="AB30" i="117" s="1"/>
  <c r="AC30" i="117" s="1"/>
  <c r="AD30" i="117" s="1"/>
  <c r="AE30" i="117" s="1"/>
  <c r="AF30" i="117" s="1"/>
  <c r="Z27" i="117"/>
  <c r="AA27" i="117" s="1"/>
  <c r="AB27" i="117" s="1"/>
  <c r="AC27" i="117" s="1"/>
  <c r="AD27" i="117" s="1"/>
  <c r="AE27" i="117" s="1"/>
  <c r="AF27" i="117" s="1"/>
  <c r="C27" i="118"/>
  <c r="D27" i="118"/>
  <c r="E27" i="118"/>
  <c r="F27" i="118"/>
  <c r="G27" i="118"/>
  <c r="H27" i="118"/>
  <c r="I27" i="118"/>
  <c r="AV146" i="76" l="1"/>
  <c r="BK13" i="76"/>
  <c r="AT151" i="76"/>
  <c r="BF28" i="76"/>
  <c r="AO151" i="76"/>
  <c r="BF18" i="76"/>
  <c r="BK28" i="76"/>
  <c r="AW151" i="76"/>
  <c r="BH18" i="76"/>
  <c r="AR151" i="76"/>
  <c r="BH23" i="76"/>
  <c r="BN13" i="76"/>
  <c r="BD13" i="76"/>
  <c r="BH13" i="76"/>
  <c r="BF23" i="76"/>
  <c r="BO18" i="76"/>
  <c r="AQ151" i="76"/>
  <c r="AS151" i="76"/>
  <c r="AY146" i="76"/>
  <c r="BI13" i="76"/>
  <c r="BH28" i="76"/>
  <c r="BG28" i="76"/>
  <c r="BG18" i="76"/>
  <c r="BG13" i="76"/>
  <c r="BO13" i="76"/>
  <c r="AN151" i="76"/>
  <c r="AP151" i="76"/>
  <c r="BN28" i="76"/>
  <c r="AX146" i="76"/>
  <c r="BI28" i="76"/>
  <c r="BO28" i="76"/>
  <c r="BN23" i="76"/>
  <c r="AZ146" i="76"/>
  <c r="BI23" i="76"/>
  <c r="BI18" i="76"/>
  <c r="BG23" i="76"/>
  <c r="BF13" i="76"/>
  <c r="BO23" i="76"/>
  <c r="BN18" i="76"/>
  <c r="BE13" i="76"/>
  <c r="AF445" i="117"/>
  <c r="AU146" i="76"/>
  <c r="Z445" i="117"/>
  <c r="AD445" i="117"/>
  <c r="AC445" i="117"/>
  <c r="AA445" i="117"/>
  <c r="AE445" i="117"/>
  <c r="AB445" i="117"/>
  <c r="AQ146" i="76"/>
  <c r="AN146" i="76"/>
  <c r="R145" i="6" l="1"/>
  <c r="S145" i="6" s="1"/>
  <c r="T145" i="6" s="1"/>
  <c r="U145" i="6" s="1"/>
  <c r="V145" i="6" s="1"/>
  <c r="V34" i="6"/>
  <c r="U34" i="6"/>
  <c r="T34" i="6"/>
  <c r="S34" i="6"/>
  <c r="R34" i="6"/>
  <c r="Q34" i="6"/>
  <c r="P34" i="6"/>
  <c r="O34" i="6"/>
  <c r="N34" i="6"/>
  <c r="M34" i="6"/>
  <c r="L34" i="6"/>
  <c r="K34" i="6"/>
  <c r="J34" i="6"/>
  <c r="R144" i="6" l="1"/>
  <c r="S144" i="6" s="1"/>
  <c r="T144" i="6" s="1"/>
  <c r="U144" i="6" s="1"/>
  <c r="Q58" i="34"/>
  <c r="P58" i="34"/>
  <c r="O58" i="34"/>
  <c r="N58" i="34"/>
  <c r="M58" i="34"/>
  <c r="L58" i="34"/>
  <c r="K58" i="34"/>
  <c r="J58" i="34"/>
  <c r="V144" i="6" l="1"/>
  <c r="O26" i="24" l="1"/>
  <c r="O15" i="24"/>
  <c r="O30" i="24" l="1"/>
  <c r="AZ157" i="33"/>
  <c r="AY157" i="33"/>
  <c r="AX157" i="33"/>
  <c r="AW157" i="33"/>
  <c r="AV157" i="33"/>
  <c r="AU157" i="33"/>
  <c r="AT157" i="33"/>
  <c r="AS157" i="33"/>
  <c r="AR157" i="33"/>
  <c r="AQ157" i="33"/>
  <c r="AP157" i="33"/>
  <c r="AO157" i="33"/>
  <c r="AN157" i="33"/>
  <c r="V55" i="12"/>
  <c r="U55" i="12"/>
  <c r="T55" i="12"/>
  <c r="S55" i="12"/>
  <c r="R55" i="12"/>
  <c r="Q55" i="12"/>
  <c r="P55" i="12"/>
  <c r="O55" i="12"/>
  <c r="N55" i="12"/>
  <c r="M55" i="12"/>
  <c r="L55" i="12"/>
  <c r="K55" i="12"/>
  <c r="V54" i="12"/>
  <c r="U54" i="12"/>
  <c r="T54" i="12"/>
  <c r="S54" i="12"/>
  <c r="R54" i="12"/>
  <c r="Q54" i="12"/>
  <c r="P54" i="12"/>
  <c r="O54" i="12"/>
  <c r="N54" i="12"/>
  <c r="M54" i="12"/>
  <c r="L54" i="12"/>
  <c r="K54" i="12"/>
  <c r="J55" i="12"/>
  <c r="J54" i="12"/>
  <c r="V42" i="12"/>
  <c r="U42" i="12"/>
  <c r="T42" i="12"/>
  <c r="S42" i="12"/>
  <c r="R42" i="12"/>
  <c r="Q42" i="12"/>
  <c r="P42" i="12"/>
  <c r="O42" i="12"/>
  <c r="N42" i="12"/>
  <c r="M42" i="12"/>
  <c r="L42" i="12"/>
  <c r="V41" i="12"/>
  <c r="U41" i="12"/>
  <c r="T41" i="12"/>
  <c r="S41" i="12"/>
  <c r="R41" i="12"/>
  <c r="Q41" i="12"/>
  <c r="P41" i="12"/>
  <c r="O41" i="12"/>
  <c r="N41" i="12"/>
  <c r="M41" i="12"/>
  <c r="L41" i="12"/>
  <c r="K41" i="12"/>
  <c r="J41" i="12"/>
  <c r="Q71" i="74"/>
  <c r="P71" i="74"/>
  <c r="O71" i="74"/>
  <c r="N71" i="74"/>
  <c r="M71" i="74"/>
  <c r="L71" i="74"/>
  <c r="K71" i="74"/>
  <c r="J71" i="74"/>
  <c r="Y26" i="114" l="1"/>
  <c r="X26" i="114"/>
  <c r="W26" i="114"/>
  <c r="V26" i="114"/>
  <c r="U26" i="114"/>
  <c r="Y47" i="114"/>
  <c r="X47" i="114"/>
  <c r="W47" i="114"/>
  <c r="V47" i="114"/>
  <c r="U47" i="114"/>
  <c r="T47" i="114"/>
  <c r="Y27" i="114"/>
  <c r="X27" i="114"/>
  <c r="W27" i="114"/>
  <c r="V27" i="114"/>
  <c r="U27" i="114"/>
  <c r="T26" i="114"/>
  <c r="S26" i="114"/>
  <c r="R26" i="114"/>
  <c r="Q26" i="114"/>
  <c r="P26" i="114"/>
  <c r="O26" i="114"/>
  <c r="N26" i="114"/>
  <c r="M26" i="114"/>
  <c r="S47" i="114"/>
  <c r="R47" i="114"/>
  <c r="Q47" i="114"/>
  <c r="P47" i="114"/>
  <c r="O47" i="114"/>
  <c r="N47" i="114"/>
  <c r="M47" i="114"/>
  <c r="T27" i="114"/>
  <c r="S27" i="114"/>
  <c r="R27" i="114"/>
  <c r="Q27" i="114"/>
  <c r="P27" i="114"/>
  <c r="O27" i="114"/>
  <c r="N27" i="114"/>
  <c r="M27" i="114"/>
  <c r="M120" i="61" l="1"/>
  <c r="Q120" i="61"/>
  <c r="P150" i="6"/>
  <c r="Q150" i="6" s="1"/>
  <c r="R150" i="6" s="1"/>
  <c r="S150" i="6" s="1"/>
  <c r="T150" i="6" s="1"/>
  <c r="U150" i="6" s="1"/>
  <c r="V150" i="6" s="1"/>
  <c r="P152" i="6"/>
  <c r="Q152" i="6" s="1"/>
  <c r="R152" i="6" s="1"/>
  <c r="S152" i="6" s="1"/>
  <c r="T152" i="6" s="1"/>
  <c r="U152" i="6" s="1"/>
  <c r="V152" i="6" s="1"/>
  <c r="P146" i="6"/>
  <c r="Q146" i="6" s="1"/>
  <c r="R146" i="6" s="1"/>
  <c r="S146" i="6" s="1"/>
  <c r="T146" i="6" s="1"/>
  <c r="U146" i="6" s="1"/>
  <c r="V146" i="6" s="1"/>
  <c r="P154" i="6"/>
  <c r="Q154" i="6" s="1"/>
  <c r="R154" i="6" s="1"/>
  <c r="S154" i="6" s="1"/>
  <c r="T154" i="6" s="1"/>
  <c r="U154" i="6" s="1"/>
  <c r="V154" i="6" s="1"/>
  <c r="P149" i="6"/>
  <c r="Q149" i="6" s="1"/>
  <c r="R149" i="6" s="1"/>
  <c r="S149" i="6" s="1"/>
  <c r="T149" i="6" s="1"/>
  <c r="U149" i="6" s="1"/>
  <c r="V149" i="6" s="1"/>
  <c r="P151" i="6"/>
  <c r="Q151" i="6" s="1"/>
  <c r="R151" i="6" s="1"/>
  <c r="S151" i="6" s="1"/>
  <c r="T151" i="6" s="1"/>
  <c r="U151" i="6" s="1"/>
  <c r="V151" i="6" s="1"/>
  <c r="P153" i="6"/>
  <c r="Q153" i="6" s="1"/>
  <c r="R153" i="6" s="1"/>
  <c r="S153" i="6" s="1"/>
  <c r="T153" i="6" s="1"/>
  <c r="U153" i="6" s="1"/>
  <c r="V153" i="6" s="1"/>
  <c r="P147" i="6"/>
  <c r="Q147" i="6" s="1"/>
  <c r="L246" i="6"/>
  <c r="L249" i="6" s="1"/>
  <c r="L31" i="74" s="1"/>
  <c r="R147" i="6" l="1"/>
  <c r="S147" i="6" l="1"/>
  <c r="T147" i="6" l="1"/>
  <c r="U147" i="6" l="1"/>
  <c r="P152" i="80"/>
  <c r="Q152" i="80" s="1"/>
  <c r="R152" i="80" s="1"/>
  <c r="S152" i="80" s="1"/>
  <c r="T152" i="80" s="1"/>
  <c r="U152" i="80" s="1"/>
  <c r="V152" i="80" s="1"/>
  <c r="V147" i="6" l="1"/>
  <c r="P17" i="86"/>
  <c r="P15" i="86"/>
  <c r="P13" i="86"/>
  <c r="Q13" i="86" l="1"/>
  <c r="Q15" i="86"/>
  <c r="Q17" i="86"/>
  <c r="D121" i="109"/>
  <c r="E121" i="109"/>
  <c r="F121" i="109"/>
  <c r="D122" i="109"/>
  <c r="E122" i="109"/>
  <c r="F122" i="109"/>
  <c r="D120" i="109"/>
  <c r="E120" i="109"/>
  <c r="F120" i="109"/>
  <c r="C120" i="109"/>
  <c r="D111" i="109"/>
  <c r="E111" i="109"/>
  <c r="F111" i="109"/>
  <c r="D112" i="109"/>
  <c r="E112" i="109"/>
  <c r="F112" i="109"/>
  <c r="D113" i="109"/>
  <c r="E113" i="109"/>
  <c r="F113" i="109"/>
  <c r="D110" i="109"/>
  <c r="E110" i="109"/>
  <c r="F110" i="109"/>
  <c r="C110" i="109"/>
  <c r="D35" i="109"/>
  <c r="E35" i="109"/>
  <c r="D36" i="109"/>
  <c r="E36" i="109"/>
  <c r="D34" i="109"/>
  <c r="E34" i="109"/>
  <c r="C34" i="109"/>
  <c r="D25" i="109"/>
  <c r="E25" i="109"/>
  <c r="D26" i="109"/>
  <c r="E26" i="109"/>
  <c r="D27" i="109"/>
  <c r="E27" i="109"/>
  <c r="D24" i="109"/>
  <c r="E24" i="109"/>
  <c r="C24" i="109"/>
  <c r="R17" i="86" l="1"/>
  <c r="R15" i="86"/>
  <c r="R13" i="86"/>
  <c r="AN203" i="34"/>
  <c r="AN165" i="34"/>
  <c r="AN175" i="34"/>
  <c r="AN176" i="34"/>
  <c r="AN177" i="34"/>
  <c r="AN178" i="34"/>
  <c r="AN179" i="34"/>
  <c r="AN180" i="34"/>
  <c r="AN181" i="34"/>
  <c r="AN182" i="34"/>
  <c r="AN183" i="34"/>
  <c r="AN184" i="34"/>
  <c r="AN185" i="34"/>
  <c r="AN186" i="34"/>
  <c r="AN187" i="34"/>
  <c r="AN188" i="34"/>
  <c r="AN189" i="34"/>
  <c r="AN190" i="34"/>
  <c r="AN191" i="34"/>
  <c r="AN192" i="34"/>
  <c r="AN193" i="34"/>
  <c r="AN194" i="34"/>
  <c r="AN195" i="34"/>
  <c r="AN196" i="34"/>
  <c r="AN197" i="34"/>
  <c r="AN198" i="34"/>
  <c r="AN199" i="34"/>
  <c r="AN200" i="34"/>
  <c r="AN201" i="34"/>
  <c r="AN202" i="34"/>
  <c r="AN174" i="34"/>
  <c r="AN102" i="34"/>
  <c r="AN103" i="34"/>
  <c r="AN104" i="34"/>
  <c r="AN105" i="34"/>
  <c r="AN106" i="34"/>
  <c r="AN107" i="34"/>
  <c r="AN108" i="34"/>
  <c r="AN109" i="34"/>
  <c r="AN110" i="34"/>
  <c r="AN111" i="34"/>
  <c r="AN112" i="34"/>
  <c r="AN113" i="34"/>
  <c r="AN114" i="34"/>
  <c r="AN115" i="34"/>
  <c r="AN116" i="34"/>
  <c r="AN117" i="34"/>
  <c r="AN118" i="34"/>
  <c r="AN119" i="34"/>
  <c r="AN120" i="34"/>
  <c r="AN121" i="34"/>
  <c r="AN122" i="34"/>
  <c r="AN123" i="34"/>
  <c r="AN124" i="34"/>
  <c r="AN125" i="34"/>
  <c r="AN126" i="34"/>
  <c r="AN127" i="34"/>
  <c r="AN128" i="34"/>
  <c r="AN129" i="34"/>
  <c r="AN130" i="34"/>
  <c r="AN131" i="34"/>
  <c r="AN132" i="34"/>
  <c r="AN133" i="34"/>
  <c r="AN134" i="34"/>
  <c r="AN135" i="34"/>
  <c r="AN136" i="34"/>
  <c r="AN137" i="34"/>
  <c r="AN138" i="34"/>
  <c r="AN139" i="34"/>
  <c r="AN140" i="34"/>
  <c r="AN141" i="34"/>
  <c r="AN142" i="34"/>
  <c r="AN143" i="34"/>
  <c r="AN144" i="34"/>
  <c r="AN145" i="34"/>
  <c r="AN146" i="34"/>
  <c r="AN147" i="34"/>
  <c r="AN148" i="34"/>
  <c r="AN149" i="34"/>
  <c r="AN150" i="34"/>
  <c r="AN151" i="34"/>
  <c r="AN152" i="34"/>
  <c r="AN153" i="34"/>
  <c r="AN154" i="34"/>
  <c r="AN155" i="34"/>
  <c r="AN156" i="34"/>
  <c r="AN157" i="34"/>
  <c r="AN158" i="34"/>
  <c r="AN159" i="34"/>
  <c r="AN160" i="34"/>
  <c r="AN161" i="34"/>
  <c r="AN162" i="34"/>
  <c r="AN163" i="34"/>
  <c r="AN164" i="34"/>
  <c r="AN101" i="34"/>
  <c r="AN65" i="34"/>
  <c r="AN66" i="34"/>
  <c r="AN67" i="34"/>
  <c r="AN68" i="34"/>
  <c r="AN69" i="34"/>
  <c r="AN70" i="34"/>
  <c r="AN71" i="34"/>
  <c r="AN72" i="34"/>
  <c r="AN73" i="34"/>
  <c r="AN74" i="34"/>
  <c r="AN75" i="34"/>
  <c r="AN76" i="34"/>
  <c r="AN77" i="34"/>
  <c r="AN78" i="34"/>
  <c r="AN79" i="34"/>
  <c r="AN80" i="34"/>
  <c r="AN81" i="34"/>
  <c r="AN82" i="34"/>
  <c r="AN83" i="34"/>
  <c r="AN84" i="34"/>
  <c r="AN85" i="34"/>
  <c r="AN86" i="34"/>
  <c r="AN87" i="34"/>
  <c r="AN88" i="34"/>
  <c r="AN89" i="34"/>
  <c r="AN90" i="34"/>
  <c r="AN91" i="34"/>
  <c r="AN92" i="34"/>
  <c r="AN64" i="34"/>
  <c r="AN36" i="34"/>
  <c r="AN37" i="34"/>
  <c r="AN38" i="34"/>
  <c r="AN35" i="34"/>
  <c r="AN25" i="34"/>
  <c r="AN26" i="34"/>
  <c r="AN27" i="34"/>
  <c r="AN24" i="34"/>
  <c r="S15" i="86" l="1"/>
  <c r="S13" i="86"/>
  <c r="S17" i="86"/>
  <c r="AN95" i="34"/>
  <c r="AN168" i="34"/>
  <c r="AN207" i="34"/>
  <c r="AZ74" i="62"/>
  <c r="AY74" i="62"/>
  <c r="AX74" i="62"/>
  <c r="AW74" i="62"/>
  <c r="AV74" i="62"/>
  <c r="AU74" i="62"/>
  <c r="AT74" i="62"/>
  <c r="AS74" i="62"/>
  <c r="AR74" i="62"/>
  <c r="AQ74" i="62"/>
  <c r="AP74" i="62"/>
  <c r="AO74" i="62"/>
  <c r="AN74" i="62"/>
  <c r="T15" i="86" l="1"/>
  <c r="T13" i="86"/>
  <c r="T17" i="86"/>
  <c r="AF116" i="29"/>
  <c r="AG116" i="29"/>
  <c r="AH116" i="29"/>
  <c r="AI116" i="29"/>
  <c r="AJ116" i="29"/>
  <c r="AK116" i="29"/>
  <c r="AE116" i="29"/>
  <c r="U23" i="28"/>
  <c r="K23" i="28"/>
  <c r="L23" i="28"/>
  <c r="M23" i="28"/>
  <c r="N23" i="28"/>
  <c r="O23" i="28"/>
  <c r="P23" i="28"/>
  <c r="Q23" i="28"/>
  <c r="R23" i="28"/>
  <c r="S23" i="28"/>
  <c r="T23" i="28"/>
  <c r="V23" i="28"/>
  <c r="J23" i="28"/>
  <c r="U17" i="86" l="1"/>
  <c r="U13" i="86"/>
  <c r="U15" i="86"/>
  <c r="AA23" i="50"/>
  <c r="V17" i="86" l="1"/>
  <c r="V13" i="86"/>
  <c r="V15" i="86"/>
  <c r="O50" i="24"/>
  <c r="O39" i="24"/>
  <c r="K57" i="19"/>
  <c r="L57" i="19"/>
  <c r="M57" i="19"/>
  <c r="N57" i="19"/>
  <c r="O57" i="19"/>
  <c r="P57" i="19"/>
  <c r="Q57" i="19"/>
  <c r="R57" i="19"/>
  <c r="S57" i="19"/>
  <c r="T57" i="19"/>
  <c r="U57" i="19"/>
  <c r="V57" i="19"/>
  <c r="K58" i="19"/>
  <c r="L58" i="19"/>
  <c r="M58" i="19"/>
  <c r="N58" i="19"/>
  <c r="O58" i="19"/>
  <c r="P58" i="19"/>
  <c r="Q58" i="19"/>
  <c r="R58" i="19"/>
  <c r="S58" i="19"/>
  <c r="T58" i="19"/>
  <c r="U58" i="19"/>
  <c r="V58" i="19"/>
  <c r="K59" i="19"/>
  <c r="L59" i="19"/>
  <c r="M59" i="19"/>
  <c r="N59" i="19"/>
  <c r="O59" i="19"/>
  <c r="P59" i="19"/>
  <c r="Q59" i="19"/>
  <c r="R59" i="19"/>
  <c r="S59" i="19"/>
  <c r="T59" i="19"/>
  <c r="U59" i="19"/>
  <c r="V59" i="19"/>
  <c r="K60" i="19"/>
  <c r="L60" i="19"/>
  <c r="M60" i="19"/>
  <c r="N60" i="19"/>
  <c r="O60" i="19"/>
  <c r="P60" i="19"/>
  <c r="Q60" i="19"/>
  <c r="R60" i="19"/>
  <c r="S60" i="19"/>
  <c r="T60" i="19"/>
  <c r="U60" i="19"/>
  <c r="V60" i="19"/>
  <c r="J58" i="19"/>
  <c r="J59" i="19"/>
  <c r="J60" i="19"/>
  <c r="J57" i="19"/>
  <c r="J51" i="19"/>
  <c r="K51" i="19" s="1"/>
  <c r="L51" i="19" s="1"/>
  <c r="M51" i="19" s="1"/>
  <c r="N51" i="19" s="1"/>
  <c r="O51" i="19" s="1"/>
  <c r="P51" i="19" s="1"/>
  <c r="Q51" i="19" s="1"/>
  <c r="R51" i="19" s="1"/>
  <c r="S51" i="19" s="1"/>
  <c r="T51" i="19" s="1"/>
  <c r="U51" i="19" s="1"/>
  <c r="V51" i="19" s="1"/>
  <c r="J44" i="19"/>
  <c r="K44" i="19" s="1"/>
  <c r="L44" i="19" s="1"/>
  <c r="M44" i="19" s="1"/>
  <c r="N44" i="19" s="1"/>
  <c r="O44" i="19" s="1"/>
  <c r="P44" i="19" s="1"/>
  <c r="Q44" i="19" s="1"/>
  <c r="R44" i="19" s="1"/>
  <c r="S44" i="19" s="1"/>
  <c r="T44" i="19" s="1"/>
  <c r="U44" i="19" s="1"/>
  <c r="V44" i="19" s="1"/>
  <c r="J43" i="19"/>
  <c r="K43" i="19" s="1"/>
  <c r="L43" i="19" s="1"/>
  <c r="M43" i="19" s="1"/>
  <c r="N43" i="19" s="1"/>
  <c r="O43" i="19" s="1"/>
  <c r="P43" i="19" s="1"/>
  <c r="Q43" i="19" s="1"/>
  <c r="R43" i="19" s="1"/>
  <c r="S43" i="19" s="1"/>
  <c r="T43" i="19" s="1"/>
  <c r="U43" i="19" s="1"/>
  <c r="V43" i="19" s="1"/>
  <c r="J37" i="19"/>
  <c r="K37" i="19" s="1"/>
  <c r="L37" i="19" s="1"/>
  <c r="M37" i="19" s="1"/>
  <c r="N37" i="19" s="1"/>
  <c r="O37" i="19" s="1"/>
  <c r="P37" i="19" s="1"/>
  <c r="Q37" i="19" s="1"/>
  <c r="R37" i="19" s="1"/>
  <c r="S37" i="19" s="1"/>
  <c r="T37" i="19" s="1"/>
  <c r="U37" i="19" s="1"/>
  <c r="V37" i="19" s="1"/>
  <c r="Y31" i="19"/>
  <c r="Z31" i="19" s="1"/>
  <c r="AA31" i="19" s="1"/>
  <c r="AB31" i="19" s="1"/>
  <c r="AC31" i="19" s="1"/>
  <c r="AD31" i="19" s="1"/>
  <c r="AE31" i="19" s="1"/>
  <c r="AF31" i="19" s="1"/>
  <c r="AG31" i="19" s="1"/>
  <c r="AH31" i="19" s="1"/>
  <c r="AI31" i="19" s="1"/>
  <c r="AJ31" i="19" s="1"/>
  <c r="AK31" i="19" s="1"/>
  <c r="J31" i="19"/>
  <c r="K31" i="19" s="1"/>
  <c r="L31" i="19" s="1"/>
  <c r="M31" i="19" s="1"/>
  <c r="N31" i="19" s="1"/>
  <c r="O31" i="19" s="1"/>
  <c r="P31" i="19" s="1"/>
  <c r="Q31" i="19" s="1"/>
  <c r="R31" i="19" s="1"/>
  <c r="S31" i="19" s="1"/>
  <c r="T31" i="19" s="1"/>
  <c r="U31" i="19" s="1"/>
  <c r="V31" i="19" s="1"/>
  <c r="J22" i="19"/>
  <c r="K22" i="19" s="1"/>
  <c r="L22" i="19" s="1"/>
  <c r="M22" i="19" s="1"/>
  <c r="N22" i="19" s="1"/>
  <c r="O22" i="19" s="1"/>
  <c r="P22" i="19" s="1"/>
  <c r="Q22" i="19" s="1"/>
  <c r="R22" i="19" s="1"/>
  <c r="S22" i="19" s="1"/>
  <c r="T22" i="19" s="1"/>
  <c r="U22" i="19" s="1"/>
  <c r="V22" i="19" s="1"/>
  <c r="J23" i="19"/>
  <c r="K23" i="19" s="1"/>
  <c r="L23" i="19" s="1"/>
  <c r="M23" i="19" s="1"/>
  <c r="N23" i="19" s="1"/>
  <c r="O23" i="19" s="1"/>
  <c r="P23" i="19" s="1"/>
  <c r="Q23" i="19" s="1"/>
  <c r="R23" i="19" s="1"/>
  <c r="S23" i="19" s="1"/>
  <c r="T23" i="19" s="1"/>
  <c r="U23" i="19" s="1"/>
  <c r="V23" i="19" s="1"/>
  <c r="J24" i="19"/>
  <c r="K24" i="19" s="1"/>
  <c r="L24" i="19" s="1"/>
  <c r="M24" i="19" s="1"/>
  <c r="N24" i="19" s="1"/>
  <c r="O24" i="19" s="1"/>
  <c r="P24" i="19" s="1"/>
  <c r="Q24" i="19" s="1"/>
  <c r="R24" i="19" s="1"/>
  <c r="S24" i="19" s="1"/>
  <c r="T24" i="19" s="1"/>
  <c r="U24" i="19" s="1"/>
  <c r="V24" i="19" s="1"/>
  <c r="J21" i="19"/>
  <c r="K21" i="19" s="1"/>
  <c r="L21" i="19" s="1"/>
  <c r="M21" i="19" s="1"/>
  <c r="N21" i="19" s="1"/>
  <c r="O21" i="19" s="1"/>
  <c r="P21" i="19" s="1"/>
  <c r="Q21" i="19" s="1"/>
  <c r="R21" i="19" s="1"/>
  <c r="S21" i="19" s="1"/>
  <c r="T21" i="19" s="1"/>
  <c r="U21" i="19" s="1"/>
  <c r="V21" i="19" s="1"/>
  <c r="K28" i="14"/>
  <c r="L28" i="14"/>
  <c r="M28" i="14"/>
  <c r="N28" i="14"/>
  <c r="O28" i="14"/>
  <c r="P28" i="14"/>
  <c r="Q28" i="14"/>
  <c r="R28" i="14"/>
  <c r="S28" i="14"/>
  <c r="T28" i="14"/>
  <c r="U28" i="14"/>
  <c r="V28" i="14"/>
  <c r="J28" i="14"/>
  <c r="Z28" i="14"/>
  <c r="AA28" i="14"/>
  <c r="AB28" i="14"/>
  <c r="AC28" i="14"/>
  <c r="AD28" i="14"/>
  <c r="AE28" i="14"/>
  <c r="AF28" i="14"/>
  <c r="AG28" i="14"/>
  <c r="AH28" i="14"/>
  <c r="AI28" i="14"/>
  <c r="AJ28" i="14"/>
  <c r="AK28" i="14"/>
  <c r="Y28" i="14"/>
  <c r="AO28" i="14"/>
  <c r="AP28" i="14"/>
  <c r="AQ28" i="14"/>
  <c r="AR28" i="14"/>
  <c r="AS28" i="14"/>
  <c r="AN28" i="14"/>
  <c r="AV28" i="14"/>
  <c r="AX24" i="14"/>
  <c r="J13" i="19"/>
  <c r="K13" i="19" s="1"/>
  <c r="L13" i="19" s="1"/>
  <c r="M13" i="19" s="1"/>
  <c r="N13" i="19" s="1"/>
  <c r="O13" i="19" s="1"/>
  <c r="P13" i="19" s="1"/>
  <c r="Q13" i="19" s="1"/>
  <c r="R13" i="19" s="1"/>
  <c r="S13" i="19" s="1"/>
  <c r="T13" i="19" s="1"/>
  <c r="U13" i="19" s="1"/>
  <c r="V13" i="19" s="1"/>
  <c r="J14" i="19"/>
  <c r="K14" i="19" s="1"/>
  <c r="L14" i="19" s="1"/>
  <c r="M14" i="19" s="1"/>
  <c r="N14" i="19" s="1"/>
  <c r="O14" i="19" s="1"/>
  <c r="P14" i="19" s="1"/>
  <c r="Q14" i="19" s="1"/>
  <c r="R14" i="19" s="1"/>
  <c r="S14" i="19" s="1"/>
  <c r="T14" i="19" s="1"/>
  <c r="U14" i="19" s="1"/>
  <c r="V14" i="19" s="1"/>
  <c r="J15" i="19"/>
  <c r="K15" i="19" s="1"/>
  <c r="L15" i="19" s="1"/>
  <c r="M15" i="19" s="1"/>
  <c r="N15" i="19" s="1"/>
  <c r="O15" i="19" s="1"/>
  <c r="P15" i="19" s="1"/>
  <c r="Q15" i="19" s="1"/>
  <c r="R15" i="19" s="1"/>
  <c r="S15" i="19" s="1"/>
  <c r="T15" i="19" s="1"/>
  <c r="U15" i="19" s="1"/>
  <c r="V15" i="19" s="1"/>
  <c r="J16" i="19"/>
  <c r="K16" i="19" s="1"/>
  <c r="L16" i="19" s="1"/>
  <c r="M16" i="19" s="1"/>
  <c r="N16" i="19" s="1"/>
  <c r="O16" i="19" s="1"/>
  <c r="P16" i="19" s="1"/>
  <c r="Q16" i="19" s="1"/>
  <c r="R16" i="19" s="1"/>
  <c r="S16" i="19" s="1"/>
  <c r="T16" i="19" s="1"/>
  <c r="U16" i="19" s="1"/>
  <c r="V16" i="19" s="1"/>
  <c r="J17" i="19"/>
  <c r="K17" i="19" s="1"/>
  <c r="L17" i="19" s="1"/>
  <c r="M17" i="19" s="1"/>
  <c r="N17" i="19" s="1"/>
  <c r="O17" i="19" s="1"/>
  <c r="P17" i="19" s="1"/>
  <c r="Q17" i="19" s="1"/>
  <c r="R17" i="19" s="1"/>
  <c r="S17" i="19" s="1"/>
  <c r="T17" i="19" s="1"/>
  <c r="U17" i="19" s="1"/>
  <c r="V17" i="19" s="1"/>
  <c r="J12" i="19"/>
  <c r="K12" i="19" s="1"/>
  <c r="L12" i="19" s="1"/>
  <c r="M12" i="19" s="1"/>
  <c r="N12" i="19" s="1"/>
  <c r="O12" i="19" s="1"/>
  <c r="P12" i="19" s="1"/>
  <c r="Q12" i="19" s="1"/>
  <c r="R12" i="19" s="1"/>
  <c r="S12" i="19" s="1"/>
  <c r="T12" i="19" s="1"/>
  <c r="U12" i="19" s="1"/>
  <c r="V12" i="19" s="1"/>
  <c r="O54" i="24" l="1"/>
  <c r="P39" i="24" l="1"/>
  <c r="Y116" i="29"/>
  <c r="Z116" i="29"/>
  <c r="AA116" i="29"/>
  <c r="AB116" i="29"/>
  <c r="AC116" i="29"/>
  <c r="AD116" i="29"/>
  <c r="AN99" i="29"/>
  <c r="AN116" i="29" s="1"/>
  <c r="AO99" i="29"/>
  <c r="AO116" i="29" s="1"/>
  <c r="AP99" i="29"/>
  <c r="AP116" i="29" s="1"/>
  <c r="AQ99" i="29"/>
  <c r="AQ116" i="29" s="1"/>
  <c r="AR99" i="29"/>
  <c r="AR116" i="29" s="1"/>
  <c r="AS99" i="29"/>
  <c r="AS116" i="29" s="1"/>
  <c r="AT99" i="29"/>
  <c r="AU99" i="29"/>
  <c r="AV99" i="29"/>
  <c r="AW99" i="29"/>
  <c r="AX99" i="29"/>
  <c r="AY99" i="29"/>
  <c r="AZ99" i="29"/>
  <c r="AM99" i="29"/>
  <c r="K99" i="29"/>
  <c r="K116" i="29" s="1"/>
  <c r="L99" i="29"/>
  <c r="L116" i="29" s="1"/>
  <c r="M99" i="29"/>
  <c r="M116" i="29" s="1"/>
  <c r="N99" i="29"/>
  <c r="N116" i="29" s="1"/>
  <c r="O99" i="29"/>
  <c r="O116" i="29" s="1"/>
  <c r="P99" i="29"/>
  <c r="Q99" i="29"/>
  <c r="R99" i="29"/>
  <c r="S99" i="29"/>
  <c r="T99" i="29"/>
  <c r="U99" i="29"/>
  <c r="V99" i="29"/>
  <c r="J99" i="29"/>
  <c r="J116" i="29" s="1"/>
  <c r="AA40" i="27"/>
  <c r="AA13" i="27" s="1"/>
  <c r="Z40" i="27"/>
  <c r="Z13" i="27" s="1"/>
  <c r="Y40" i="27"/>
  <c r="Y13" i="27" s="1"/>
  <c r="X40" i="27"/>
  <c r="X13" i="27" s="1"/>
  <c r="W40" i="27"/>
  <c r="W13" i="27" s="1"/>
  <c r="V40" i="27"/>
  <c r="V13" i="27" s="1"/>
  <c r="U40" i="27"/>
  <c r="U13" i="27" s="1"/>
  <c r="T40" i="27"/>
  <c r="T13" i="27" s="1"/>
  <c r="S40" i="27"/>
  <c r="S13" i="27" s="1"/>
  <c r="R40" i="27"/>
  <c r="R13" i="27" s="1"/>
  <c r="Q40" i="27"/>
  <c r="Q13" i="27" s="1"/>
  <c r="P40" i="27"/>
  <c r="P13" i="27" s="1"/>
  <c r="O40" i="27"/>
  <c r="O13" i="27" s="1"/>
  <c r="N40" i="27"/>
  <c r="N13" i="27" s="1"/>
  <c r="M40" i="27"/>
  <c r="M13" i="27" s="1"/>
  <c r="L40" i="27"/>
  <c r="L13" i="27" s="1"/>
  <c r="K40" i="27"/>
  <c r="K13" i="27" s="1"/>
  <c r="J40" i="27"/>
  <c r="J13" i="27" s="1"/>
  <c r="J115" i="56" l="1"/>
  <c r="K115" i="56"/>
  <c r="L115" i="56"/>
  <c r="M115" i="56"/>
  <c r="N115" i="56"/>
  <c r="O115" i="56"/>
  <c r="J124" i="56"/>
  <c r="K124" i="56"/>
  <c r="L124" i="56"/>
  <c r="M124" i="56"/>
  <c r="N124" i="56"/>
  <c r="O124" i="56"/>
  <c r="Q39" i="24" l="1"/>
  <c r="AZ184" i="56"/>
  <c r="AY184" i="56"/>
  <c r="AX184" i="56"/>
  <c r="AW184" i="56"/>
  <c r="AV184" i="56"/>
  <c r="AU184" i="56"/>
  <c r="AT184" i="56"/>
  <c r="AS184" i="56"/>
  <c r="AR184" i="56"/>
  <c r="AQ184" i="56"/>
  <c r="AP184" i="56"/>
  <c r="AO184" i="56"/>
  <c r="AN184" i="56"/>
  <c r="AZ172" i="56"/>
  <c r="AY172" i="56"/>
  <c r="AX172" i="56"/>
  <c r="AW172" i="56"/>
  <c r="AV172" i="56"/>
  <c r="AU172" i="56"/>
  <c r="AT172" i="56"/>
  <c r="AS172" i="56"/>
  <c r="AR172" i="56"/>
  <c r="AQ172" i="56"/>
  <c r="AP172" i="56"/>
  <c r="AO172" i="56"/>
  <c r="AN172" i="56"/>
  <c r="AZ160" i="56"/>
  <c r="AY160" i="56"/>
  <c r="AX160" i="56"/>
  <c r="AW160" i="56"/>
  <c r="AV160" i="56"/>
  <c r="AU160" i="56"/>
  <c r="AT160" i="56"/>
  <c r="AS160" i="56"/>
  <c r="AR160" i="56"/>
  <c r="AQ160" i="56"/>
  <c r="AP160" i="56"/>
  <c r="AO160" i="56"/>
  <c r="AN160" i="56"/>
  <c r="AZ148" i="56"/>
  <c r="AY148" i="56"/>
  <c r="AX148" i="56"/>
  <c r="AW148" i="56"/>
  <c r="AV148" i="56"/>
  <c r="AU148" i="56"/>
  <c r="AT148" i="56"/>
  <c r="AS148" i="56"/>
  <c r="AR148" i="56"/>
  <c r="AQ148" i="56"/>
  <c r="AP148" i="56"/>
  <c r="AO148" i="56"/>
  <c r="AN148" i="56"/>
  <c r="AZ136" i="56"/>
  <c r="AY136" i="56"/>
  <c r="AX136" i="56"/>
  <c r="AW136" i="56"/>
  <c r="AV136" i="56"/>
  <c r="AU136" i="56"/>
  <c r="AT136" i="56"/>
  <c r="AS136" i="56"/>
  <c r="AR136" i="56"/>
  <c r="AQ136" i="56"/>
  <c r="AP136" i="56"/>
  <c r="AO136" i="56"/>
  <c r="AN136" i="56"/>
  <c r="AZ106" i="56"/>
  <c r="AY106" i="56"/>
  <c r="AX106" i="56"/>
  <c r="AW106" i="56"/>
  <c r="AV106" i="56"/>
  <c r="AU106" i="56"/>
  <c r="AT106" i="56"/>
  <c r="AS106" i="56"/>
  <c r="AR106" i="56"/>
  <c r="AQ106" i="56"/>
  <c r="AP106" i="56"/>
  <c r="AO106" i="56"/>
  <c r="AN106" i="56"/>
  <c r="AZ76" i="56"/>
  <c r="AY76" i="56"/>
  <c r="AX76" i="56"/>
  <c r="AW76" i="56"/>
  <c r="AV76" i="56"/>
  <c r="AU76" i="56"/>
  <c r="AT76" i="56"/>
  <c r="AS76" i="56"/>
  <c r="AR76" i="56"/>
  <c r="AQ76" i="56"/>
  <c r="AP76" i="56"/>
  <c r="AO76" i="56"/>
  <c r="AN76" i="56"/>
  <c r="AZ19" i="56"/>
  <c r="AY19" i="56"/>
  <c r="AX19" i="56"/>
  <c r="AW19" i="56"/>
  <c r="AV19" i="56"/>
  <c r="AU19" i="56"/>
  <c r="AT19" i="56"/>
  <c r="AS19" i="56"/>
  <c r="AR19" i="56"/>
  <c r="AQ19" i="56"/>
  <c r="AP19" i="56"/>
  <c r="AO19" i="56"/>
  <c r="AN19" i="56"/>
  <c r="AK184" i="56"/>
  <c r="AJ184" i="56"/>
  <c r="AI184" i="56"/>
  <c r="AH184" i="56"/>
  <c r="AG184" i="56"/>
  <c r="AF184" i="56"/>
  <c r="AE184" i="56"/>
  <c r="AD184" i="56"/>
  <c r="AC184" i="56"/>
  <c r="AB184" i="56"/>
  <c r="AA184" i="56"/>
  <c r="Z184" i="56"/>
  <c r="Y184" i="56"/>
  <c r="AK172" i="56"/>
  <c r="AJ172" i="56"/>
  <c r="AI172" i="56"/>
  <c r="AH172" i="56"/>
  <c r="AG172" i="56"/>
  <c r="AF172" i="56"/>
  <c r="AE172" i="56"/>
  <c r="AD172" i="56"/>
  <c r="AC172" i="56"/>
  <c r="AB172" i="56"/>
  <c r="AA172" i="56"/>
  <c r="Z172" i="56"/>
  <c r="Y172" i="56"/>
  <c r="AK160" i="56"/>
  <c r="AJ160" i="56"/>
  <c r="AI160" i="56"/>
  <c r="AH160" i="56"/>
  <c r="AG160" i="56"/>
  <c r="AF160" i="56"/>
  <c r="AE160" i="56"/>
  <c r="AD160" i="56"/>
  <c r="AC160" i="56"/>
  <c r="AB160" i="56"/>
  <c r="AA160" i="56"/>
  <c r="Z160" i="56"/>
  <c r="Y160" i="56"/>
  <c r="AK148" i="56"/>
  <c r="AJ148" i="56"/>
  <c r="AI148" i="56"/>
  <c r="AH148" i="56"/>
  <c r="AG148" i="56"/>
  <c r="AF148" i="56"/>
  <c r="AE148" i="56"/>
  <c r="AD148" i="56"/>
  <c r="AC148" i="56"/>
  <c r="AB148" i="56"/>
  <c r="AA148" i="56"/>
  <c r="Z148" i="56"/>
  <c r="Y148" i="56"/>
  <c r="AK136" i="56"/>
  <c r="AJ136" i="56"/>
  <c r="AI136" i="56"/>
  <c r="AH136" i="56"/>
  <c r="AG136" i="56"/>
  <c r="AF136" i="56"/>
  <c r="AE136" i="56"/>
  <c r="AD136" i="56"/>
  <c r="AC136" i="56"/>
  <c r="AB136" i="56"/>
  <c r="AA136" i="56"/>
  <c r="Z136" i="56"/>
  <c r="Y136" i="56"/>
  <c r="AK106" i="56"/>
  <c r="AJ106" i="56"/>
  <c r="AI106" i="56"/>
  <c r="AH106" i="56"/>
  <c r="AG106" i="56"/>
  <c r="AF106" i="56"/>
  <c r="AE106" i="56"/>
  <c r="AD106" i="56"/>
  <c r="AC106" i="56"/>
  <c r="AB106" i="56"/>
  <c r="AA106" i="56"/>
  <c r="Z106" i="56"/>
  <c r="Y106" i="56"/>
  <c r="AK76" i="56"/>
  <c r="AJ76" i="56"/>
  <c r="AI76" i="56"/>
  <c r="AH76" i="56"/>
  <c r="AG76" i="56"/>
  <c r="AF76" i="56"/>
  <c r="AE76" i="56"/>
  <c r="AD76" i="56"/>
  <c r="AC76" i="56"/>
  <c r="AB76" i="56"/>
  <c r="AA76" i="56"/>
  <c r="Z76" i="56"/>
  <c r="Y76" i="56"/>
  <c r="AK19" i="56"/>
  <c r="AJ19" i="56"/>
  <c r="AI19" i="56"/>
  <c r="AH19" i="56"/>
  <c r="AG19" i="56"/>
  <c r="AF19" i="56"/>
  <c r="AE19" i="56"/>
  <c r="AD19" i="56"/>
  <c r="AC19" i="56"/>
  <c r="AB19" i="56"/>
  <c r="AA19" i="56"/>
  <c r="Z19" i="56"/>
  <c r="Y19" i="56"/>
  <c r="X90" i="113" l="1"/>
  <c r="O207" i="8"/>
  <c r="N207" i="8"/>
  <c r="M207" i="8"/>
  <c r="L207" i="8"/>
  <c r="K207" i="8"/>
  <c r="J207" i="8"/>
  <c r="K197" i="8"/>
  <c r="L197" i="8"/>
  <c r="M197" i="8"/>
  <c r="N197" i="8"/>
  <c r="O197" i="8"/>
  <c r="J197" i="8"/>
  <c r="R39" i="24" l="1"/>
  <c r="AM21" i="50"/>
  <c r="AN21" i="50"/>
  <c r="AO21" i="50"/>
  <c r="AP21" i="50"/>
  <c r="AQ21" i="50"/>
  <c r="AR21" i="50"/>
  <c r="AS21" i="50"/>
  <c r="AM22" i="50"/>
  <c r="AN22" i="50"/>
  <c r="AO22" i="50"/>
  <c r="AP22" i="50"/>
  <c r="AQ22" i="50"/>
  <c r="AR22" i="50"/>
  <c r="AS22" i="50"/>
  <c r="AS20" i="50"/>
  <c r="AR20" i="50"/>
  <c r="AQ20" i="50"/>
  <c r="AP20" i="50"/>
  <c r="AO20" i="50"/>
  <c r="AN20" i="50"/>
  <c r="AM20" i="50"/>
  <c r="V14" i="12" l="1"/>
  <c r="U14" i="12"/>
  <c r="T14" i="12"/>
  <c r="S14" i="12"/>
  <c r="R14" i="12"/>
  <c r="Q14" i="12"/>
  <c r="P14" i="12"/>
  <c r="O14" i="12"/>
  <c r="N14" i="12"/>
  <c r="M14" i="12"/>
  <c r="L14" i="12"/>
  <c r="K14" i="12"/>
  <c r="J14" i="12"/>
  <c r="V13" i="12"/>
  <c r="U13" i="12"/>
  <c r="T13" i="12"/>
  <c r="S13" i="12"/>
  <c r="R13" i="12"/>
  <c r="Q13" i="12"/>
  <c r="P13" i="12"/>
  <c r="O13" i="12"/>
  <c r="N13" i="12"/>
  <c r="M13" i="12"/>
  <c r="L13" i="12"/>
  <c r="K13" i="12"/>
  <c r="J13" i="12"/>
  <c r="K29" i="12"/>
  <c r="L29" i="12"/>
  <c r="L16" i="12" s="1"/>
  <c r="M29" i="12"/>
  <c r="M16" i="12" s="1"/>
  <c r="N29" i="12"/>
  <c r="N16" i="12" s="1"/>
  <c r="O29" i="12"/>
  <c r="O16" i="12" s="1"/>
  <c r="P29" i="12"/>
  <c r="P16" i="12" s="1"/>
  <c r="Q29" i="12"/>
  <c r="Q16" i="12" s="1"/>
  <c r="R29" i="12"/>
  <c r="R16" i="12" s="1"/>
  <c r="S29" i="12"/>
  <c r="S16" i="12" s="1"/>
  <c r="T29" i="12"/>
  <c r="T16" i="12" s="1"/>
  <c r="U29" i="12"/>
  <c r="U16" i="12" s="1"/>
  <c r="V29" i="12"/>
  <c r="V16" i="12" s="1"/>
  <c r="K28" i="12"/>
  <c r="K12" i="12" s="1"/>
  <c r="L28" i="12"/>
  <c r="L12" i="12" s="1"/>
  <c r="M28" i="12"/>
  <c r="M12" i="12" s="1"/>
  <c r="N28" i="12"/>
  <c r="N12" i="12" s="1"/>
  <c r="O28" i="12"/>
  <c r="O12" i="12" s="1"/>
  <c r="P28" i="12"/>
  <c r="P12" i="12" s="1"/>
  <c r="Q28" i="12"/>
  <c r="Q12" i="12" s="1"/>
  <c r="R28" i="12"/>
  <c r="R12" i="12" s="1"/>
  <c r="S28" i="12"/>
  <c r="S12" i="12" s="1"/>
  <c r="T28" i="12"/>
  <c r="T12" i="12" s="1"/>
  <c r="U28" i="12"/>
  <c r="U12" i="12" s="1"/>
  <c r="V28" i="12"/>
  <c r="V12" i="12" s="1"/>
  <c r="J28" i="12"/>
  <c r="J12" i="12" s="1"/>
  <c r="S39" i="24" l="1"/>
  <c r="J196" i="61"/>
  <c r="J189" i="61"/>
  <c r="J182" i="61"/>
  <c r="J175" i="61"/>
  <c r="J168" i="61"/>
  <c r="J158" i="61"/>
  <c r="J151" i="61"/>
  <c r="J144" i="61"/>
  <c r="J137" i="61"/>
  <c r="J130" i="61"/>
  <c r="J120" i="61"/>
  <c r="Q110" i="61"/>
  <c r="M110" i="61"/>
  <c r="J110" i="61"/>
  <c r="J44" i="61"/>
  <c r="AA26" i="50" l="1"/>
  <c r="K77" i="54" s="1"/>
  <c r="AB26" i="50"/>
  <c r="L77" i="54" s="1"/>
  <c r="AC26" i="50"/>
  <c r="M77" i="54" s="1"/>
  <c r="AD26" i="50"/>
  <c r="N77" i="54" s="1"/>
  <c r="AE26" i="50"/>
  <c r="O77" i="54" s="1"/>
  <c r="AF26" i="50"/>
  <c r="P77" i="54" s="1"/>
  <c r="AG26" i="50"/>
  <c r="Q77" i="54" s="1"/>
  <c r="AH26" i="50"/>
  <c r="R77" i="54" s="1"/>
  <c r="AI26" i="50"/>
  <c r="S77" i="54" s="1"/>
  <c r="AJ26" i="50"/>
  <c r="T77" i="54" s="1"/>
  <c r="AK26" i="50"/>
  <c r="U77" i="54" s="1"/>
  <c r="AL26" i="50"/>
  <c r="AA27" i="50"/>
  <c r="K78" i="54" s="1"/>
  <c r="AB27" i="50"/>
  <c r="L78" i="54" s="1"/>
  <c r="AC27" i="50"/>
  <c r="M78" i="54" s="1"/>
  <c r="AD27" i="50"/>
  <c r="N78" i="54" s="1"/>
  <c r="AE27" i="50"/>
  <c r="O78" i="54" s="1"/>
  <c r="AF27" i="50"/>
  <c r="P78" i="54" s="1"/>
  <c r="AG27" i="50"/>
  <c r="Q78" i="54" s="1"/>
  <c r="AH27" i="50"/>
  <c r="R78" i="54" s="1"/>
  <c r="AI27" i="50"/>
  <c r="S78" i="54" s="1"/>
  <c r="AJ27" i="50"/>
  <c r="T78" i="54" s="1"/>
  <c r="AK27" i="50"/>
  <c r="U78" i="54" s="1"/>
  <c r="AL27" i="50"/>
  <c r="Z27" i="50"/>
  <c r="J78" i="54" s="1"/>
  <c r="Z26" i="50"/>
  <c r="J77" i="54" s="1"/>
  <c r="T39" i="24" l="1"/>
  <c r="V78" i="54"/>
  <c r="AN27" i="50"/>
  <c r="X78" i="54" s="1"/>
  <c r="AO27" i="50"/>
  <c r="Y78" i="54" s="1"/>
  <c r="AP27" i="50"/>
  <c r="Z78" i="54" s="1"/>
  <c r="AR27" i="50"/>
  <c r="AS27" i="50"/>
  <c r="AQ27" i="50"/>
  <c r="AA78" i="54" s="1"/>
  <c r="AM27" i="50"/>
  <c r="W78" i="54" s="1"/>
  <c r="V77" i="54"/>
  <c r="AR26" i="50"/>
  <c r="AN26" i="50"/>
  <c r="X77" i="54" s="1"/>
  <c r="AP26" i="50"/>
  <c r="Z77" i="54" s="1"/>
  <c r="AQ26" i="50"/>
  <c r="AA77" i="54" s="1"/>
  <c r="AM26" i="50"/>
  <c r="W77" i="54" s="1"/>
  <c r="AO26" i="50"/>
  <c r="Y77" i="54" s="1"/>
  <c r="AS26" i="50"/>
  <c r="Z16" i="50"/>
  <c r="AA16" i="50" l="1"/>
  <c r="AB16" i="50"/>
  <c r="AC16" i="50"/>
  <c r="AD16" i="50"/>
  <c r="AE16" i="50"/>
  <c r="AF16" i="50"/>
  <c r="AG16" i="50"/>
  <c r="AH16" i="50"/>
  <c r="AI16" i="50"/>
  <c r="AJ16" i="50"/>
  <c r="AK16" i="50"/>
  <c r="AL16" i="50"/>
  <c r="AA17" i="50"/>
  <c r="AB17" i="50"/>
  <c r="AC17" i="50"/>
  <c r="AD17" i="50"/>
  <c r="AE17" i="50"/>
  <c r="AF17" i="50"/>
  <c r="AG17" i="50"/>
  <c r="AH17" i="50"/>
  <c r="AI17" i="50"/>
  <c r="AJ17" i="50"/>
  <c r="AK17" i="50"/>
  <c r="AL17" i="50"/>
  <c r="AA20" i="50"/>
  <c r="AB20" i="50"/>
  <c r="AC20" i="50"/>
  <c r="AD20" i="50"/>
  <c r="AE20" i="50"/>
  <c r="AF20" i="50"/>
  <c r="AG20" i="50"/>
  <c r="AH20" i="50"/>
  <c r="AI20" i="50"/>
  <c r="AJ20" i="50"/>
  <c r="AK20" i="50"/>
  <c r="AL20" i="50"/>
  <c r="AA21" i="50"/>
  <c r="AB21" i="50"/>
  <c r="AC21" i="50"/>
  <c r="AD21" i="50"/>
  <c r="AE21" i="50"/>
  <c r="AF21" i="50"/>
  <c r="AG21" i="50"/>
  <c r="AH21" i="50"/>
  <c r="AI21" i="50"/>
  <c r="AJ21" i="50"/>
  <c r="AK21" i="50"/>
  <c r="AL21" i="50"/>
  <c r="AA22" i="50"/>
  <c r="AB22" i="50"/>
  <c r="AC22" i="50"/>
  <c r="AD22" i="50"/>
  <c r="AE22" i="50"/>
  <c r="AF22" i="50"/>
  <c r="AG22" i="50"/>
  <c r="AH22" i="50"/>
  <c r="AI22" i="50"/>
  <c r="AJ22" i="50"/>
  <c r="AK22" i="50"/>
  <c r="AL22" i="50"/>
  <c r="AB23" i="50"/>
  <c r="AC23" i="50"/>
  <c r="AD23" i="50"/>
  <c r="AE23" i="50"/>
  <c r="AF23" i="50"/>
  <c r="AG23" i="50"/>
  <c r="AH23" i="50"/>
  <c r="AI23" i="50"/>
  <c r="AJ23" i="50"/>
  <c r="AK23" i="50"/>
  <c r="AL23" i="50"/>
  <c r="AA24" i="50"/>
  <c r="AB24" i="50"/>
  <c r="AC24" i="50"/>
  <c r="AD24" i="50"/>
  <c r="AE24" i="50"/>
  <c r="AF24" i="50"/>
  <c r="AG24" i="50"/>
  <c r="AH24" i="50"/>
  <c r="AI24" i="50"/>
  <c r="AJ24" i="50"/>
  <c r="AK24" i="50"/>
  <c r="AL24" i="50"/>
  <c r="Z24" i="50"/>
  <c r="Z23" i="50"/>
  <c r="Z22" i="50"/>
  <c r="Z21" i="50"/>
  <c r="Z20" i="50"/>
  <c r="Z17" i="50"/>
  <c r="U39" i="24" l="1"/>
  <c r="AN24" i="50"/>
  <c r="AO24" i="50"/>
  <c r="AP24" i="50"/>
  <c r="AS24" i="50"/>
  <c r="AM24" i="50"/>
  <c r="AQ24" i="50"/>
  <c r="AR24" i="50"/>
  <c r="AO23" i="50"/>
  <c r="AP23" i="50"/>
  <c r="AN23" i="50"/>
  <c r="AQ23" i="50"/>
  <c r="AS23" i="50"/>
  <c r="AS25" i="50" s="1"/>
  <c r="AS28" i="50" s="1"/>
  <c r="AM23" i="50"/>
  <c r="AM25" i="50" s="1"/>
  <c r="AR23" i="50"/>
  <c r="AD25" i="50"/>
  <c r="AJ25" i="50"/>
  <c r="AB25" i="50"/>
  <c r="AI25" i="50"/>
  <c r="AL25" i="50"/>
  <c r="AG25" i="50"/>
  <c r="AA25" i="50"/>
  <c r="AH25" i="50"/>
  <c r="AF25" i="50"/>
  <c r="AE25" i="50"/>
  <c r="AK25" i="50"/>
  <c r="AC25" i="50"/>
  <c r="Z25" i="50"/>
  <c r="Z28" i="50" s="1"/>
  <c r="AO25" i="50" l="1"/>
  <c r="AO28" i="50" s="1"/>
  <c r="V39" i="24"/>
  <c r="AP25" i="50"/>
  <c r="AP28" i="50" s="1"/>
  <c r="AM28" i="50"/>
  <c r="W76" i="54"/>
  <c r="AR25" i="50"/>
  <c r="AR28" i="50" s="1"/>
  <c r="AQ25" i="50"/>
  <c r="AN25" i="50"/>
  <c r="J76" i="54"/>
  <c r="J79" i="54" s="1"/>
  <c r="AB28" i="50"/>
  <c r="L76" i="54"/>
  <c r="AA28" i="50"/>
  <c r="K76" i="54"/>
  <c r="AC28" i="50"/>
  <c r="M76" i="54"/>
  <c r="AD28" i="50"/>
  <c r="N76" i="54"/>
  <c r="AE28" i="50"/>
  <c r="O76" i="54"/>
  <c r="AF28" i="50"/>
  <c r="P76" i="54"/>
  <c r="AG28" i="50"/>
  <c r="Q76" i="54"/>
  <c r="AH28" i="50"/>
  <c r="R76" i="54"/>
  <c r="AI28" i="50"/>
  <c r="S76" i="54"/>
  <c r="AJ28" i="50"/>
  <c r="T76" i="54"/>
  <c r="AK28" i="50"/>
  <c r="U76" i="54"/>
  <c r="AL28" i="50"/>
  <c r="V76" i="54"/>
  <c r="K159" i="54"/>
  <c r="L159" i="54"/>
  <c r="M159" i="54"/>
  <c r="N159" i="54"/>
  <c r="O159" i="54"/>
  <c r="P159" i="54"/>
  <c r="Q159" i="54"/>
  <c r="K160" i="54"/>
  <c r="L160" i="54"/>
  <c r="M160" i="54"/>
  <c r="N160" i="54"/>
  <c r="O160" i="54"/>
  <c r="P160" i="54"/>
  <c r="Q160" i="54"/>
  <c r="J160" i="54"/>
  <c r="J159" i="54"/>
  <c r="J13" i="54" l="1"/>
  <c r="J148" i="54"/>
  <c r="J158" i="54" s="1"/>
  <c r="Y76" i="54"/>
  <c r="Z76" i="54"/>
  <c r="AN28" i="50"/>
  <c r="X76" i="54"/>
  <c r="AQ28" i="50"/>
  <c r="AA76" i="54"/>
  <c r="K69" i="74" l="1"/>
  <c r="L69" i="74"/>
  <c r="M69" i="74"/>
  <c r="N69" i="74"/>
  <c r="O69" i="74"/>
  <c r="P69" i="74"/>
  <c r="Q69" i="74"/>
  <c r="J69" i="74"/>
  <c r="Z23" i="101" l="1"/>
  <c r="AA23" i="101"/>
  <c r="AB23" i="101"/>
  <c r="AC23" i="101"/>
  <c r="AD23" i="101"/>
  <c r="AE23" i="101"/>
  <c r="AF23" i="101"/>
  <c r="AG23" i="101"/>
  <c r="AH23" i="101"/>
  <c r="AI23" i="101"/>
  <c r="AJ23" i="101"/>
  <c r="AK23" i="101"/>
  <c r="Y23" i="101"/>
  <c r="K23" i="101"/>
  <c r="L23" i="101"/>
  <c r="M23" i="101"/>
  <c r="N23" i="101"/>
  <c r="O23" i="101"/>
  <c r="P23" i="101"/>
  <c r="Q23" i="101"/>
  <c r="R23" i="101"/>
  <c r="S23" i="101"/>
  <c r="T23" i="101"/>
  <c r="U23" i="101"/>
  <c r="V23" i="101"/>
  <c r="J23" i="101"/>
  <c r="AK19" i="101"/>
  <c r="AJ19" i="101"/>
  <c r="AI19" i="101"/>
  <c r="AH19" i="101"/>
  <c r="AG19" i="101"/>
  <c r="AF19" i="101"/>
  <c r="AE19" i="101"/>
  <c r="AD19" i="101"/>
  <c r="AC19" i="101"/>
  <c r="AB19" i="101"/>
  <c r="AA19" i="101"/>
  <c r="Z19" i="101"/>
  <c r="Y19" i="101"/>
  <c r="AD25" i="101" l="1"/>
  <c r="AC25" i="101"/>
  <c r="AK25" i="101"/>
  <c r="AA25" i="101"/>
  <c r="AI25" i="101"/>
  <c r="AE25" i="101"/>
  <c r="Y25" i="101"/>
  <c r="AG25" i="101"/>
  <c r="AF25" i="101"/>
  <c r="Z25" i="101"/>
  <c r="AH25" i="101"/>
  <c r="AB25" i="101"/>
  <c r="AJ25" i="101"/>
  <c r="AK102" i="110" l="1"/>
  <c r="AJ102" i="110"/>
  <c r="AI102" i="110"/>
  <c r="AH102" i="110"/>
  <c r="AG102" i="110"/>
  <c r="AF102" i="110"/>
  <c r="AE102" i="110"/>
  <c r="AD102" i="110"/>
  <c r="AC102" i="110"/>
  <c r="AB102" i="110"/>
  <c r="AA102" i="110"/>
  <c r="Z102" i="110"/>
  <c r="Y102" i="110"/>
  <c r="AK91" i="110"/>
  <c r="AJ91" i="110"/>
  <c r="AI91" i="110"/>
  <c r="AH91" i="110"/>
  <c r="AG91" i="110"/>
  <c r="AF91" i="110"/>
  <c r="AE91" i="110"/>
  <c r="AD91" i="110"/>
  <c r="AC91" i="110"/>
  <c r="AB91" i="110"/>
  <c r="AA91" i="110"/>
  <c r="Z91" i="110"/>
  <c r="Y91" i="110"/>
  <c r="AK80" i="110"/>
  <c r="AJ80" i="110"/>
  <c r="AI80" i="110"/>
  <c r="AH80" i="110"/>
  <c r="AG80" i="110"/>
  <c r="AF80" i="110"/>
  <c r="AE80" i="110"/>
  <c r="AD80" i="110"/>
  <c r="AC80" i="110"/>
  <c r="AB80" i="110"/>
  <c r="AA80" i="110"/>
  <c r="Z80" i="110"/>
  <c r="Y80" i="110"/>
  <c r="AK69" i="110"/>
  <c r="AJ69" i="110"/>
  <c r="AI69" i="110"/>
  <c r="AH69" i="110"/>
  <c r="AG69" i="110"/>
  <c r="AF69" i="110"/>
  <c r="AE69" i="110"/>
  <c r="AD69" i="110"/>
  <c r="AC69" i="110"/>
  <c r="AB69" i="110"/>
  <c r="AA69" i="110"/>
  <c r="Z69" i="110"/>
  <c r="Y69" i="110"/>
  <c r="AK58" i="110"/>
  <c r="AJ58" i="110"/>
  <c r="AI58" i="110"/>
  <c r="AH58" i="110"/>
  <c r="AG58" i="110"/>
  <c r="AF58" i="110"/>
  <c r="AE58" i="110"/>
  <c r="AD58" i="110"/>
  <c r="AC58" i="110"/>
  <c r="AB58" i="110"/>
  <c r="AA58" i="110"/>
  <c r="Z58" i="110"/>
  <c r="Y58" i="110"/>
  <c r="V102" i="110"/>
  <c r="U102" i="110"/>
  <c r="T102" i="110"/>
  <c r="S102" i="110"/>
  <c r="R102" i="110"/>
  <c r="Q102" i="110"/>
  <c r="P102" i="110"/>
  <c r="O102" i="110"/>
  <c r="N102" i="110"/>
  <c r="M102" i="110"/>
  <c r="L102" i="110"/>
  <c r="K102" i="110"/>
  <c r="J102" i="110"/>
  <c r="V91" i="110"/>
  <c r="U91" i="110"/>
  <c r="T91" i="110"/>
  <c r="S91" i="110"/>
  <c r="R91" i="110"/>
  <c r="Q91" i="110"/>
  <c r="P91" i="110"/>
  <c r="O91" i="110"/>
  <c r="N91" i="110"/>
  <c r="M91" i="110"/>
  <c r="L91" i="110"/>
  <c r="K91" i="110"/>
  <c r="J91" i="110"/>
  <c r="V80" i="110"/>
  <c r="U80" i="110"/>
  <c r="T80" i="110"/>
  <c r="S80" i="110"/>
  <c r="R80" i="110"/>
  <c r="Q80" i="110"/>
  <c r="P80" i="110"/>
  <c r="O80" i="110"/>
  <c r="N80" i="110"/>
  <c r="M80" i="110"/>
  <c r="L80" i="110"/>
  <c r="K80" i="110"/>
  <c r="J80" i="110"/>
  <c r="V69" i="110"/>
  <c r="U69" i="110"/>
  <c r="T69" i="110"/>
  <c r="S69" i="110"/>
  <c r="R69" i="110"/>
  <c r="Q69" i="110"/>
  <c r="P69" i="110"/>
  <c r="O69" i="110"/>
  <c r="N69" i="110"/>
  <c r="M69" i="110"/>
  <c r="L69" i="110"/>
  <c r="K69" i="110"/>
  <c r="J69" i="110"/>
  <c r="V58" i="110"/>
  <c r="U58" i="110"/>
  <c r="T58" i="110"/>
  <c r="S58" i="110"/>
  <c r="R58" i="110"/>
  <c r="Q58" i="110"/>
  <c r="P58" i="110"/>
  <c r="O58" i="110"/>
  <c r="N58" i="110"/>
  <c r="M58" i="110"/>
  <c r="L58" i="110"/>
  <c r="K58" i="110"/>
  <c r="J58" i="110"/>
  <c r="T93" i="71"/>
  <c r="V19" i="71"/>
  <c r="U19" i="71"/>
  <c r="T19" i="71"/>
  <c r="S19" i="71"/>
  <c r="R19" i="71"/>
  <c r="Q19" i="71"/>
  <c r="P19" i="71"/>
  <c r="O19" i="71"/>
  <c r="N19" i="71"/>
  <c r="M19" i="71"/>
  <c r="L19" i="71"/>
  <c r="K19" i="71"/>
  <c r="J19" i="71"/>
  <c r="Z104" i="110" l="1"/>
  <c r="AH104" i="110"/>
  <c r="AI104" i="110"/>
  <c r="AA104" i="110"/>
  <c r="AK104" i="110"/>
  <c r="AD104" i="110"/>
  <c r="AC104" i="110"/>
  <c r="M104" i="110"/>
  <c r="U104" i="110"/>
  <c r="AB104" i="110"/>
  <c r="AJ104" i="110"/>
  <c r="AE104" i="110"/>
  <c r="AF104" i="110"/>
  <c r="Y104" i="110"/>
  <c r="AG104" i="110"/>
  <c r="K104" i="110"/>
  <c r="V104" i="110"/>
  <c r="N104" i="110"/>
  <c r="S104" i="110"/>
  <c r="L104" i="110"/>
  <c r="T104" i="110"/>
  <c r="P104" i="110"/>
  <c r="O104" i="110"/>
  <c r="Q104" i="110"/>
  <c r="J104" i="110"/>
  <c r="R104" i="110"/>
  <c r="Q92" i="121"/>
  <c r="P92" i="121"/>
  <c r="O92" i="121"/>
  <c r="L92" i="121"/>
  <c r="K92" i="121"/>
  <c r="N91" i="121"/>
  <c r="M91" i="121"/>
  <c r="N90" i="121"/>
  <c r="M90" i="121"/>
  <c r="N89" i="121"/>
  <c r="M89" i="121"/>
  <c r="N88" i="121"/>
  <c r="M88" i="121"/>
  <c r="N87" i="121"/>
  <c r="M87" i="121"/>
  <c r="N86" i="121"/>
  <c r="M86" i="121"/>
  <c r="N85" i="121"/>
  <c r="M85" i="121"/>
  <c r="N84" i="121"/>
  <c r="M84" i="121"/>
  <c r="N83" i="121"/>
  <c r="M83" i="121"/>
  <c r="N82" i="121"/>
  <c r="M82" i="121"/>
  <c r="N81" i="121"/>
  <c r="M81" i="121"/>
  <c r="N80" i="121"/>
  <c r="M80" i="121"/>
  <c r="N79" i="121"/>
  <c r="M79" i="121"/>
  <c r="N78" i="121"/>
  <c r="M78" i="121"/>
  <c r="N77" i="121"/>
  <c r="M77" i="121"/>
  <c r="N76" i="121"/>
  <c r="M76" i="121"/>
  <c r="N75" i="121"/>
  <c r="M75" i="121"/>
  <c r="N74" i="121"/>
  <c r="M74" i="121"/>
  <c r="N73" i="121"/>
  <c r="M73" i="121"/>
  <c r="N72" i="121"/>
  <c r="M72" i="121"/>
  <c r="N71" i="121"/>
  <c r="M71" i="121"/>
  <c r="N70" i="121"/>
  <c r="M70" i="121"/>
  <c r="N69" i="121"/>
  <c r="M69" i="121"/>
  <c r="N68" i="121"/>
  <c r="M68" i="121"/>
  <c r="N67" i="121"/>
  <c r="M67" i="121"/>
  <c r="N66" i="121"/>
  <c r="M66" i="121"/>
  <c r="N65" i="121"/>
  <c r="M65" i="121"/>
  <c r="N64" i="121"/>
  <c r="M64" i="121"/>
  <c r="N63" i="121"/>
  <c r="M63" i="121"/>
  <c r="N62" i="121"/>
  <c r="M62" i="121"/>
  <c r="N61" i="121"/>
  <c r="M61" i="121"/>
  <c r="N60" i="121"/>
  <c r="M60" i="121"/>
  <c r="N59" i="121"/>
  <c r="M59" i="121"/>
  <c r="N58" i="121"/>
  <c r="M58" i="121"/>
  <c r="N57" i="121"/>
  <c r="M57" i="121"/>
  <c r="N56" i="121"/>
  <c r="M56" i="121"/>
  <c r="N55" i="121"/>
  <c r="M55" i="121"/>
  <c r="N54" i="121"/>
  <c r="M54" i="121"/>
  <c r="N53" i="121"/>
  <c r="M53" i="121"/>
  <c r="N52" i="121"/>
  <c r="M52" i="121"/>
  <c r="N51" i="121"/>
  <c r="M51" i="121"/>
  <c r="N50" i="121"/>
  <c r="M50" i="121"/>
  <c r="N49" i="121"/>
  <c r="M49" i="121"/>
  <c r="N48" i="121"/>
  <c r="M48" i="121"/>
  <c r="N47" i="121"/>
  <c r="M47" i="121"/>
  <c r="N46" i="121"/>
  <c r="M46" i="121"/>
  <c r="N45" i="121"/>
  <c r="M45" i="121"/>
  <c r="N44" i="121"/>
  <c r="M44" i="121"/>
  <c r="N43" i="121"/>
  <c r="M43" i="121"/>
  <c r="N42" i="121"/>
  <c r="M42" i="121"/>
  <c r="N41" i="121"/>
  <c r="M41" i="121"/>
  <c r="N40" i="121"/>
  <c r="M40" i="121"/>
  <c r="N39" i="121"/>
  <c r="M39" i="121"/>
  <c r="N38" i="121"/>
  <c r="M38" i="121"/>
  <c r="N37" i="121"/>
  <c r="M37" i="121"/>
  <c r="N36" i="121"/>
  <c r="M36" i="121"/>
  <c r="N35" i="121"/>
  <c r="M35" i="121"/>
  <c r="N34" i="121"/>
  <c r="M34" i="121"/>
  <c r="N33" i="121"/>
  <c r="M33" i="121"/>
  <c r="N32" i="121"/>
  <c r="M32" i="121"/>
  <c r="N31" i="121"/>
  <c r="M31" i="121"/>
  <c r="N30" i="121"/>
  <c r="M30" i="121"/>
  <c r="N29" i="121"/>
  <c r="M29" i="121"/>
  <c r="N28" i="121"/>
  <c r="M28" i="121"/>
  <c r="N27" i="121"/>
  <c r="M27" i="121"/>
  <c r="N26" i="121"/>
  <c r="M26" i="121"/>
  <c r="N25" i="121"/>
  <c r="M25" i="121"/>
  <c r="N24" i="121"/>
  <c r="M24" i="121"/>
  <c r="N23" i="121"/>
  <c r="M23" i="121"/>
  <c r="N22" i="121"/>
  <c r="M22" i="121"/>
  <c r="N21" i="121"/>
  <c r="M21" i="121"/>
  <c r="N20" i="121"/>
  <c r="M20" i="121"/>
  <c r="N19" i="121"/>
  <c r="M19" i="121"/>
  <c r="N18" i="121"/>
  <c r="M18" i="121"/>
  <c r="N17" i="121"/>
  <c r="M17" i="121"/>
  <c r="N16" i="121"/>
  <c r="M16" i="121"/>
  <c r="N15" i="121"/>
  <c r="M15" i="121"/>
  <c r="N14" i="121"/>
  <c r="M14" i="121"/>
  <c r="X121" i="120"/>
  <c r="W121" i="120"/>
  <c r="V121" i="120"/>
  <c r="U121" i="120"/>
  <c r="T121" i="120"/>
  <c r="S121" i="120"/>
  <c r="R121" i="120"/>
  <c r="Q121" i="120"/>
  <c r="P121" i="120"/>
  <c r="O121" i="120"/>
  <c r="N121" i="120"/>
  <c r="M121" i="120"/>
  <c r="L121" i="120"/>
  <c r="X120" i="120"/>
  <c r="W120" i="120"/>
  <c r="V120" i="120"/>
  <c r="U120" i="120"/>
  <c r="T120" i="120"/>
  <c r="S120" i="120"/>
  <c r="R120" i="120"/>
  <c r="Q120" i="120"/>
  <c r="P120" i="120"/>
  <c r="O120" i="120"/>
  <c r="N120" i="120"/>
  <c r="M120" i="120"/>
  <c r="L120" i="120"/>
  <c r="X118" i="120"/>
  <c r="W118" i="120"/>
  <c r="V118" i="120"/>
  <c r="U118" i="120"/>
  <c r="T118" i="120"/>
  <c r="S118" i="120"/>
  <c r="R118" i="120"/>
  <c r="Q118" i="120"/>
  <c r="P118" i="120"/>
  <c r="O118" i="120"/>
  <c r="N118" i="120"/>
  <c r="M118" i="120"/>
  <c r="L118" i="120"/>
  <c r="X117" i="120"/>
  <c r="W117" i="120"/>
  <c r="V117" i="120"/>
  <c r="U117" i="120"/>
  <c r="T117" i="120"/>
  <c r="S117" i="120"/>
  <c r="R117" i="120"/>
  <c r="Q117" i="120"/>
  <c r="P117" i="120"/>
  <c r="O117" i="120"/>
  <c r="N117" i="120"/>
  <c r="M117" i="120"/>
  <c r="L117" i="120"/>
  <c r="X111" i="120"/>
  <c r="X114" i="120" s="1"/>
  <c r="W111" i="120"/>
  <c r="W114" i="120" s="1"/>
  <c r="V111" i="120"/>
  <c r="V114" i="120" s="1"/>
  <c r="U111" i="120"/>
  <c r="U114" i="120" s="1"/>
  <c r="T111" i="120"/>
  <c r="T114" i="120" s="1"/>
  <c r="S111" i="120"/>
  <c r="S114" i="120" s="1"/>
  <c r="R111" i="120"/>
  <c r="R114" i="120" s="1"/>
  <c r="Q111" i="120"/>
  <c r="Q114" i="120" s="1"/>
  <c r="P111" i="120"/>
  <c r="P114" i="120" s="1"/>
  <c r="O111" i="120"/>
  <c r="O114" i="120" s="1"/>
  <c r="N111" i="120"/>
  <c r="N114" i="120" s="1"/>
  <c r="M111" i="120"/>
  <c r="M114" i="120" s="1"/>
  <c r="L111" i="120"/>
  <c r="L114" i="120" s="1"/>
  <c r="X103" i="120"/>
  <c r="X106" i="120" s="1"/>
  <c r="W103" i="120"/>
  <c r="W106" i="120" s="1"/>
  <c r="V103" i="120"/>
  <c r="V106" i="120" s="1"/>
  <c r="U103" i="120"/>
  <c r="U106" i="120" s="1"/>
  <c r="T103" i="120"/>
  <c r="T106" i="120" s="1"/>
  <c r="S103" i="120"/>
  <c r="S106" i="120" s="1"/>
  <c r="R103" i="120"/>
  <c r="R106" i="120" s="1"/>
  <c r="Q103" i="120"/>
  <c r="Q106" i="120" s="1"/>
  <c r="P103" i="120"/>
  <c r="P106" i="120" s="1"/>
  <c r="O103" i="120"/>
  <c r="O106" i="120" s="1"/>
  <c r="N103" i="120"/>
  <c r="N106" i="120" s="1"/>
  <c r="M103" i="120"/>
  <c r="M106" i="120" s="1"/>
  <c r="L103" i="120"/>
  <c r="L106" i="120" s="1"/>
  <c r="X95" i="120"/>
  <c r="X98" i="120" s="1"/>
  <c r="W95" i="120"/>
  <c r="W98" i="120" s="1"/>
  <c r="V95" i="120"/>
  <c r="V98" i="120" s="1"/>
  <c r="U95" i="120"/>
  <c r="U98" i="120" s="1"/>
  <c r="T95" i="120"/>
  <c r="T98" i="120" s="1"/>
  <c r="S95" i="120"/>
  <c r="S98" i="120" s="1"/>
  <c r="R95" i="120"/>
  <c r="R98" i="120" s="1"/>
  <c r="Q95" i="120"/>
  <c r="Q98" i="120" s="1"/>
  <c r="P95" i="120"/>
  <c r="P98" i="120" s="1"/>
  <c r="O95" i="120"/>
  <c r="O98" i="120" s="1"/>
  <c r="N95" i="120"/>
  <c r="N98" i="120" s="1"/>
  <c r="M95" i="120"/>
  <c r="M98" i="120" s="1"/>
  <c r="L95" i="120"/>
  <c r="L98" i="120" s="1"/>
  <c r="X87" i="120"/>
  <c r="X90" i="120" s="1"/>
  <c r="W87" i="120"/>
  <c r="W90" i="120" s="1"/>
  <c r="V87" i="120"/>
  <c r="V90" i="120" s="1"/>
  <c r="U87" i="120"/>
  <c r="U90" i="120" s="1"/>
  <c r="T87" i="120"/>
  <c r="T90" i="120" s="1"/>
  <c r="S87" i="120"/>
  <c r="S90" i="120" s="1"/>
  <c r="R87" i="120"/>
  <c r="R90" i="120" s="1"/>
  <c r="Q87" i="120"/>
  <c r="Q90" i="120" s="1"/>
  <c r="P87" i="120"/>
  <c r="P90" i="120" s="1"/>
  <c r="O87" i="120"/>
  <c r="O90" i="120" s="1"/>
  <c r="N87" i="120"/>
  <c r="N90" i="120" s="1"/>
  <c r="M87" i="120"/>
  <c r="M90" i="120" s="1"/>
  <c r="L87" i="120"/>
  <c r="L90" i="120" s="1"/>
  <c r="X79" i="120"/>
  <c r="X82" i="120" s="1"/>
  <c r="W79" i="120"/>
  <c r="W82" i="120" s="1"/>
  <c r="V79" i="120"/>
  <c r="V82" i="120" s="1"/>
  <c r="U79" i="120"/>
  <c r="U82" i="120" s="1"/>
  <c r="T79" i="120"/>
  <c r="T82" i="120" s="1"/>
  <c r="S79" i="120"/>
  <c r="S82" i="120" s="1"/>
  <c r="R79" i="120"/>
  <c r="R82" i="120" s="1"/>
  <c r="Q79" i="120"/>
  <c r="Q82" i="120" s="1"/>
  <c r="P79" i="120"/>
  <c r="P82" i="120" s="1"/>
  <c r="O79" i="120"/>
  <c r="O82" i="120" s="1"/>
  <c r="N79" i="120"/>
  <c r="N82" i="120" s="1"/>
  <c r="M79" i="120"/>
  <c r="M82" i="120" s="1"/>
  <c r="L79" i="120"/>
  <c r="L82" i="120" s="1"/>
  <c r="X71" i="120"/>
  <c r="X74" i="120" s="1"/>
  <c r="W71" i="120"/>
  <c r="W74" i="120" s="1"/>
  <c r="V71" i="120"/>
  <c r="V74" i="120" s="1"/>
  <c r="U71" i="120"/>
  <c r="U74" i="120" s="1"/>
  <c r="T71" i="120"/>
  <c r="T74" i="120" s="1"/>
  <c r="S71" i="120"/>
  <c r="S74" i="120" s="1"/>
  <c r="R71" i="120"/>
  <c r="R74" i="120" s="1"/>
  <c r="Q71" i="120"/>
  <c r="Q74" i="120" s="1"/>
  <c r="P71" i="120"/>
  <c r="P74" i="120" s="1"/>
  <c r="O71" i="120"/>
  <c r="O74" i="120" s="1"/>
  <c r="N71" i="120"/>
  <c r="N74" i="120" s="1"/>
  <c r="M71" i="120"/>
  <c r="M74" i="120" s="1"/>
  <c r="L71" i="120"/>
  <c r="L74" i="120" s="1"/>
  <c r="X63" i="120"/>
  <c r="X66" i="120" s="1"/>
  <c r="W63" i="120"/>
  <c r="W66" i="120" s="1"/>
  <c r="V63" i="120"/>
  <c r="U63" i="120"/>
  <c r="T63" i="120"/>
  <c r="S63" i="120"/>
  <c r="R63" i="120"/>
  <c r="Q63" i="120"/>
  <c r="P63" i="120"/>
  <c r="P66" i="120" s="1"/>
  <c r="O63" i="120"/>
  <c r="N63" i="120"/>
  <c r="M63" i="120"/>
  <c r="L63" i="120"/>
  <c r="X54" i="120"/>
  <c r="W54" i="120"/>
  <c r="V54" i="120"/>
  <c r="U54" i="120"/>
  <c r="T54" i="120"/>
  <c r="S54" i="120"/>
  <c r="R54" i="120"/>
  <c r="Q54" i="120"/>
  <c r="P54" i="120"/>
  <c r="O54" i="120"/>
  <c r="N54" i="120"/>
  <c r="M54" i="120"/>
  <c r="L54" i="120"/>
  <c r="X53" i="120"/>
  <c r="W53" i="120"/>
  <c r="V53" i="120"/>
  <c r="U53" i="120"/>
  <c r="T53" i="120"/>
  <c r="S53" i="120"/>
  <c r="R53" i="120"/>
  <c r="Q53" i="120"/>
  <c r="P53" i="120"/>
  <c r="O53" i="120"/>
  <c r="N53" i="120"/>
  <c r="M53" i="120"/>
  <c r="L53" i="120"/>
  <c r="X51" i="120"/>
  <c r="W51" i="120"/>
  <c r="V51" i="120"/>
  <c r="U51" i="120"/>
  <c r="T51" i="120"/>
  <c r="S51" i="120"/>
  <c r="R51" i="120"/>
  <c r="Q51" i="120"/>
  <c r="P51" i="120"/>
  <c r="O51" i="120"/>
  <c r="N51" i="120"/>
  <c r="M51" i="120"/>
  <c r="L51" i="120"/>
  <c r="X50" i="120"/>
  <c r="W50" i="120"/>
  <c r="V50" i="120"/>
  <c r="U50" i="120"/>
  <c r="T50" i="120"/>
  <c r="S50" i="120"/>
  <c r="R50" i="120"/>
  <c r="Q50" i="120"/>
  <c r="P50" i="120"/>
  <c r="O50" i="120"/>
  <c r="N50" i="120"/>
  <c r="M50" i="120"/>
  <c r="L50" i="120"/>
  <c r="X44" i="120"/>
  <c r="X47" i="120" s="1"/>
  <c r="W44" i="120"/>
  <c r="W47" i="120" s="1"/>
  <c r="V44" i="120"/>
  <c r="V47" i="120" s="1"/>
  <c r="U44" i="120"/>
  <c r="U47" i="120" s="1"/>
  <c r="T44" i="120"/>
  <c r="T47" i="120" s="1"/>
  <c r="S44" i="120"/>
  <c r="S47" i="120" s="1"/>
  <c r="R44" i="120"/>
  <c r="R47" i="120" s="1"/>
  <c r="Q44" i="120"/>
  <c r="Q47" i="120" s="1"/>
  <c r="P44" i="120"/>
  <c r="P47" i="120" s="1"/>
  <c r="O44" i="120"/>
  <c r="O47" i="120" s="1"/>
  <c r="N44" i="120"/>
  <c r="N47" i="120" s="1"/>
  <c r="M44" i="120"/>
  <c r="M47" i="120" s="1"/>
  <c r="L44" i="120"/>
  <c r="L47" i="120" s="1"/>
  <c r="X36" i="120"/>
  <c r="X39" i="120" s="1"/>
  <c r="W36" i="120"/>
  <c r="W39" i="120" s="1"/>
  <c r="V36" i="120"/>
  <c r="V39" i="120" s="1"/>
  <c r="U36" i="120"/>
  <c r="U39" i="120" s="1"/>
  <c r="T36" i="120"/>
  <c r="T39" i="120" s="1"/>
  <c r="S36" i="120"/>
  <c r="S39" i="120" s="1"/>
  <c r="R36" i="120"/>
  <c r="R39" i="120" s="1"/>
  <c r="Q36" i="120"/>
  <c r="Q39" i="120" s="1"/>
  <c r="P36" i="120"/>
  <c r="P39" i="120" s="1"/>
  <c r="O36" i="120"/>
  <c r="O39" i="120" s="1"/>
  <c r="N36" i="120"/>
  <c r="N39" i="120" s="1"/>
  <c r="M36" i="120"/>
  <c r="M39" i="120" s="1"/>
  <c r="L36" i="120"/>
  <c r="L39" i="120" s="1"/>
  <c r="X28" i="120"/>
  <c r="W28" i="120"/>
  <c r="W31" i="120" s="1"/>
  <c r="V28" i="120"/>
  <c r="V31" i="120" s="1"/>
  <c r="U28" i="120"/>
  <c r="U31" i="120" s="1"/>
  <c r="T28" i="120"/>
  <c r="T31" i="120" s="1"/>
  <c r="S28" i="120"/>
  <c r="S31" i="120" s="1"/>
  <c r="R28" i="120"/>
  <c r="Q28" i="120"/>
  <c r="Q31" i="120" s="1"/>
  <c r="P28" i="120"/>
  <c r="O28" i="120"/>
  <c r="O31" i="120" s="1"/>
  <c r="N28" i="120"/>
  <c r="N31" i="120" s="1"/>
  <c r="M28" i="120"/>
  <c r="M31" i="120" s="1"/>
  <c r="L28" i="120"/>
  <c r="L31" i="120" s="1"/>
  <c r="X20" i="120"/>
  <c r="X23" i="120" s="1"/>
  <c r="W20" i="120"/>
  <c r="W23" i="120" s="1"/>
  <c r="V20" i="120"/>
  <c r="V23" i="120" s="1"/>
  <c r="U20" i="120"/>
  <c r="U23" i="120" s="1"/>
  <c r="T20" i="120"/>
  <c r="T23" i="120" s="1"/>
  <c r="S20" i="120"/>
  <c r="S23" i="120" s="1"/>
  <c r="R20" i="120"/>
  <c r="R23" i="120" s="1"/>
  <c r="Q20" i="120"/>
  <c r="Q23" i="120" s="1"/>
  <c r="P20" i="120"/>
  <c r="P23" i="120" s="1"/>
  <c r="O20" i="120"/>
  <c r="O23" i="120" s="1"/>
  <c r="N20" i="120"/>
  <c r="N23" i="120" s="1"/>
  <c r="M20" i="120"/>
  <c r="M23" i="120" s="1"/>
  <c r="L20" i="120"/>
  <c r="L23" i="120" s="1"/>
  <c r="X12" i="120"/>
  <c r="X15" i="120" s="1"/>
  <c r="W12" i="120"/>
  <c r="V12" i="120"/>
  <c r="U12" i="120"/>
  <c r="U15" i="120" s="1"/>
  <c r="T12" i="120"/>
  <c r="S12" i="120"/>
  <c r="S15" i="120" s="1"/>
  <c r="R12" i="120"/>
  <c r="R15" i="120" s="1"/>
  <c r="Q12" i="120"/>
  <c r="Q15" i="120" s="1"/>
  <c r="P12" i="120"/>
  <c r="P15" i="120" s="1"/>
  <c r="O12" i="120"/>
  <c r="N12" i="120"/>
  <c r="M12" i="120"/>
  <c r="M15" i="120" s="1"/>
  <c r="L12" i="120"/>
  <c r="Y97" i="119"/>
  <c r="X97" i="119"/>
  <c r="W97" i="119"/>
  <c r="V97" i="119"/>
  <c r="U97" i="119"/>
  <c r="T97" i="119"/>
  <c r="S97" i="119"/>
  <c r="R97" i="119"/>
  <c r="Q97" i="119"/>
  <c r="P97" i="119"/>
  <c r="O97" i="119"/>
  <c r="N97" i="119"/>
  <c r="M97" i="119"/>
  <c r="Y96" i="119"/>
  <c r="X96" i="119"/>
  <c r="W96" i="119"/>
  <c r="V96" i="119"/>
  <c r="U96" i="119"/>
  <c r="T96" i="119"/>
  <c r="S96" i="119"/>
  <c r="R96" i="119"/>
  <c r="Q96" i="119"/>
  <c r="P96" i="119"/>
  <c r="O96" i="119"/>
  <c r="N96" i="119"/>
  <c r="M96" i="119"/>
  <c r="Y95" i="119"/>
  <c r="X95" i="119"/>
  <c r="W95" i="119"/>
  <c r="V95" i="119"/>
  <c r="U95" i="119"/>
  <c r="T95" i="119"/>
  <c r="S95" i="119"/>
  <c r="R95" i="119"/>
  <c r="Q95" i="119"/>
  <c r="P95" i="119"/>
  <c r="O95" i="119"/>
  <c r="N95" i="119"/>
  <c r="M95" i="119"/>
  <c r="Y94" i="119"/>
  <c r="X94" i="119"/>
  <c r="W94" i="119"/>
  <c r="V94" i="119"/>
  <c r="U94" i="119"/>
  <c r="T94" i="119"/>
  <c r="S94" i="119"/>
  <c r="R94" i="119"/>
  <c r="Q94" i="119"/>
  <c r="P94" i="119"/>
  <c r="O94" i="119"/>
  <c r="N94" i="119"/>
  <c r="M94" i="119"/>
  <c r="Y44" i="119"/>
  <c r="Y51" i="119" s="1"/>
  <c r="X44" i="119"/>
  <c r="X51" i="119" s="1"/>
  <c r="W44" i="119"/>
  <c r="W51" i="119" s="1"/>
  <c r="V44" i="119"/>
  <c r="V51" i="119" s="1"/>
  <c r="U44" i="119"/>
  <c r="U51" i="119" s="1"/>
  <c r="T44" i="119"/>
  <c r="T51" i="119" s="1"/>
  <c r="S44" i="119"/>
  <c r="S51" i="119" s="1"/>
  <c r="R44" i="119"/>
  <c r="R51" i="119" s="1"/>
  <c r="Q44" i="119"/>
  <c r="Q51" i="119" s="1"/>
  <c r="P44" i="119"/>
  <c r="P51" i="119" s="1"/>
  <c r="O44" i="119"/>
  <c r="O51" i="119" s="1"/>
  <c r="N44" i="119"/>
  <c r="N51" i="119" s="1"/>
  <c r="M44" i="119"/>
  <c r="M51" i="119" s="1"/>
  <c r="M43" i="119"/>
  <c r="Y34" i="119"/>
  <c r="Y50" i="119" s="1"/>
  <c r="X34" i="119"/>
  <c r="X50" i="119" s="1"/>
  <c r="W34" i="119"/>
  <c r="W50" i="119" s="1"/>
  <c r="V34" i="119"/>
  <c r="V50" i="119" s="1"/>
  <c r="U34" i="119"/>
  <c r="U50" i="119" s="1"/>
  <c r="T34" i="119"/>
  <c r="T50" i="119" s="1"/>
  <c r="S34" i="119"/>
  <c r="S50" i="119" s="1"/>
  <c r="R34" i="119"/>
  <c r="R50" i="119" s="1"/>
  <c r="Q34" i="119"/>
  <c r="Q50" i="119" s="1"/>
  <c r="P34" i="119"/>
  <c r="P50" i="119" s="1"/>
  <c r="O34" i="119"/>
  <c r="O50" i="119" s="1"/>
  <c r="N34" i="119"/>
  <c r="N50" i="119" s="1"/>
  <c r="M34" i="119"/>
  <c r="M50" i="119" s="1"/>
  <c r="M33" i="119"/>
  <c r="M23" i="119"/>
  <c r="M24" i="119" s="1"/>
  <c r="M48" i="119" s="1"/>
  <c r="M14" i="119"/>
  <c r="Y854" i="118"/>
  <c r="X854" i="118"/>
  <c r="W854" i="118"/>
  <c r="V854" i="118"/>
  <c r="U854" i="118"/>
  <c r="T854" i="118"/>
  <c r="S854" i="118"/>
  <c r="R854" i="118"/>
  <c r="Q854" i="118"/>
  <c r="P854" i="118"/>
  <c r="O854" i="118"/>
  <c r="N854" i="118"/>
  <c r="M854" i="118"/>
  <c r="Y810" i="118"/>
  <c r="X810" i="118"/>
  <c r="W810" i="118"/>
  <c r="V810" i="118"/>
  <c r="U810" i="118"/>
  <c r="T810" i="118"/>
  <c r="S810" i="118"/>
  <c r="R810" i="118"/>
  <c r="Q810" i="118"/>
  <c r="P810" i="118"/>
  <c r="O810" i="118"/>
  <c r="N810" i="118"/>
  <c r="M810" i="118"/>
  <c r="Y799" i="118"/>
  <c r="Y806" i="118" s="1"/>
  <c r="X799" i="118"/>
  <c r="X806" i="118" s="1"/>
  <c r="W799" i="118"/>
  <c r="W806" i="118" s="1"/>
  <c r="V799" i="118"/>
  <c r="V806" i="118" s="1"/>
  <c r="U799" i="118"/>
  <c r="U806" i="118" s="1"/>
  <c r="T799" i="118"/>
  <c r="T806" i="118" s="1"/>
  <c r="S799" i="118"/>
  <c r="S806" i="118" s="1"/>
  <c r="R799" i="118"/>
  <c r="R806" i="118" s="1"/>
  <c r="Q799" i="118"/>
  <c r="Q806" i="118" s="1"/>
  <c r="P799" i="118"/>
  <c r="P806" i="118" s="1"/>
  <c r="O799" i="118"/>
  <c r="O806" i="118" s="1"/>
  <c r="N799" i="118"/>
  <c r="N806" i="118" s="1"/>
  <c r="M799" i="118"/>
  <c r="M806" i="118" s="1"/>
  <c r="Y776" i="118"/>
  <c r="X776" i="118"/>
  <c r="W776" i="118"/>
  <c r="V776" i="118"/>
  <c r="U776" i="118"/>
  <c r="T776" i="118"/>
  <c r="S776" i="118"/>
  <c r="R776" i="118"/>
  <c r="Q776" i="118"/>
  <c r="P776" i="118"/>
  <c r="O776" i="118"/>
  <c r="N776" i="118"/>
  <c r="M776" i="118"/>
  <c r="AA761" i="118"/>
  <c r="AA762" i="118" s="1"/>
  <c r="AA767" i="118" s="1"/>
  <c r="AA771" i="118" s="1"/>
  <c r="AA732" i="118"/>
  <c r="AA731" i="118"/>
  <c r="AA730" i="118"/>
  <c r="Y723" i="118"/>
  <c r="X723" i="118"/>
  <c r="W723" i="118"/>
  <c r="V723" i="118"/>
  <c r="U723" i="118"/>
  <c r="T723" i="118"/>
  <c r="S723" i="118"/>
  <c r="R723" i="118"/>
  <c r="Q723" i="118"/>
  <c r="P723" i="118"/>
  <c r="O723" i="118"/>
  <c r="N723" i="118"/>
  <c r="M723" i="118"/>
  <c r="I721" i="118"/>
  <c r="H721" i="118"/>
  <c r="G721" i="118"/>
  <c r="F721" i="118"/>
  <c r="E721" i="118"/>
  <c r="D721" i="118"/>
  <c r="C721" i="118"/>
  <c r="I720" i="118"/>
  <c r="H720" i="118"/>
  <c r="G720" i="118"/>
  <c r="F720" i="118"/>
  <c r="E720" i="118"/>
  <c r="D720" i="118"/>
  <c r="C720" i="118"/>
  <c r="I719" i="118"/>
  <c r="H719" i="118"/>
  <c r="G719" i="118"/>
  <c r="F719" i="118"/>
  <c r="E719" i="118"/>
  <c r="D719" i="118"/>
  <c r="C719" i="118"/>
  <c r="I718" i="118"/>
  <c r="H718" i="118"/>
  <c r="G718" i="118"/>
  <c r="F718" i="118"/>
  <c r="E718" i="118"/>
  <c r="D718" i="118"/>
  <c r="C718" i="118"/>
  <c r="Y713" i="118"/>
  <c r="X713" i="118"/>
  <c r="W713" i="118"/>
  <c r="V713" i="118"/>
  <c r="U713" i="118"/>
  <c r="T713" i="118"/>
  <c r="S713" i="118"/>
  <c r="R713" i="118"/>
  <c r="Q713" i="118"/>
  <c r="P713" i="118"/>
  <c r="O713" i="118"/>
  <c r="N713" i="118"/>
  <c r="M713" i="118"/>
  <c r="I711" i="118"/>
  <c r="H711" i="118"/>
  <c r="G711" i="118"/>
  <c r="F711" i="118"/>
  <c r="E711" i="118"/>
  <c r="D711" i="118"/>
  <c r="C711" i="118"/>
  <c r="I710" i="118"/>
  <c r="H710" i="118"/>
  <c r="G710" i="118"/>
  <c r="F710" i="118"/>
  <c r="E710" i="118"/>
  <c r="D710" i="118"/>
  <c r="C710" i="118"/>
  <c r="I709" i="118"/>
  <c r="H709" i="118"/>
  <c r="G709" i="118"/>
  <c r="F709" i="118"/>
  <c r="E709" i="118"/>
  <c r="D709" i="118"/>
  <c r="C709" i="118"/>
  <c r="C708" i="118"/>
  <c r="Y701" i="118"/>
  <c r="X701" i="118"/>
  <c r="W701" i="118"/>
  <c r="V701" i="118"/>
  <c r="U701" i="118"/>
  <c r="T701" i="118"/>
  <c r="S701" i="118"/>
  <c r="R701" i="118"/>
  <c r="Q701" i="118"/>
  <c r="P701" i="118"/>
  <c r="O701" i="118"/>
  <c r="N701" i="118"/>
  <c r="M701" i="118"/>
  <c r="I699" i="118"/>
  <c r="H699" i="118"/>
  <c r="G699" i="118"/>
  <c r="F699" i="118"/>
  <c r="E699" i="118"/>
  <c r="D699" i="118"/>
  <c r="C699" i="118"/>
  <c r="I698" i="118"/>
  <c r="H698" i="118"/>
  <c r="G698" i="118"/>
  <c r="F698" i="118"/>
  <c r="E698" i="118"/>
  <c r="D698" i="118"/>
  <c r="C698" i="118"/>
  <c r="I697" i="118"/>
  <c r="H697" i="118"/>
  <c r="G697" i="118"/>
  <c r="F697" i="118"/>
  <c r="E697" i="118"/>
  <c r="D697" i="118"/>
  <c r="C697" i="118"/>
  <c r="I696" i="118"/>
  <c r="H696" i="118"/>
  <c r="G696" i="118"/>
  <c r="F696" i="118"/>
  <c r="D696" i="118"/>
  <c r="C696" i="118"/>
  <c r="Y690" i="118"/>
  <c r="X690" i="118"/>
  <c r="W690" i="118"/>
  <c r="V690" i="118"/>
  <c r="U690" i="118"/>
  <c r="T690" i="118"/>
  <c r="S690" i="118"/>
  <c r="R690" i="118"/>
  <c r="Q690" i="118"/>
  <c r="P690" i="118"/>
  <c r="O690" i="118"/>
  <c r="N690" i="118"/>
  <c r="M690" i="118"/>
  <c r="C689" i="118"/>
  <c r="C688" i="118"/>
  <c r="C687" i="118"/>
  <c r="C686" i="118"/>
  <c r="C685" i="118"/>
  <c r="Y678" i="118"/>
  <c r="X678" i="118"/>
  <c r="W678" i="118"/>
  <c r="V678" i="118"/>
  <c r="U678" i="118"/>
  <c r="T678" i="118"/>
  <c r="S678" i="118"/>
  <c r="R678" i="118"/>
  <c r="Q678" i="118"/>
  <c r="P678" i="118"/>
  <c r="O678" i="118"/>
  <c r="N678" i="118"/>
  <c r="M678" i="118"/>
  <c r="I676" i="118"/>
  <c r="H676" i="118"/>
  <c r="G676" i="118"/>
  <c r="F676" i="118"/>
  <c r="E676" i="118"/>
  <c r="D676" i="118"/>
  <c r="C676" i="118"/>
  <c r="I675" i="118"/>
  <c r="H675" i="118"/>
  <c r="G675" i="118"/>
  <c r="F675" i="118"/>
  <c r="E675" i="118"/>
  <c r="D675" i="118"/>
  <c r="C675" i="118"/>
  <c r="I674" i="118"/>
  <c r="H674" i="118"/>
  <c r="G674" i="118"/>
  <c r="F674" i="118"/>
  <c r="E674" i="118"/>
  <c r="D674" i="118"/>
  <c r="C674" i="118"/>
  <c r="I673" i="118"/>
  <c r="H673" i="118"/>
  <c r="G673" i="118"/>
  <c r="F673" i="118"/>
  <c r="E673" i="118"/>
  <c r="D673" i="118"/>
  <c r="C673" i="118"/>
  <c r="Y667" i="118"/>
  <c r="X667" i="118"/>
  <c r="W667" i="118"/>
  <c r="V667" i="118"/>
  <c r="U667" i="118"/>
  <c r="T667" i="118"/>
  <c r="S667" i="118"/>
  <c r="R667" i="118"/>
  <c r="Q667" i="118"/>
  <c r="P667" i="118"/>
  <c r="O667" i="118"/>
  <c r="N667" i="118"/>
  <c r="M667" i="118"/>
  <c r="E665" i="118"/>
  <c r="D665" i="118"/>
  <c r="C665" i="118"/>
  <c r="E664" i="118"/>
  <c r="D664" i="118"/>
  <c r="C664" i="118"/>
  <c r="E663" i="118"/>
  <c r="D663" i="118"/>
  <c r="C663" i="118"/>
  <c r="E662" i="118"/>
  <c r="D662" i="118"/>
  <c r="C662" i="118"/>
  <c r="Y654" i="118"/>
  <c r="X654" i="118"/>
  <c r="W654" i="118"/>
  <c r="V654" i="118"/>
  <c r="U654" i="118"/>
  <c r="T654" i="118"/>
  <c r="S654" i="118"/>
  <c r="R654" i="118"/>
  <c r="Q654" i="118"/>
  <c r="P654" i="118"/>
  <c r="O654" i="118"/>
  <c r="N654" i="118"/>
  <c r="M654" i="118"/>
  <c r="I652" i="118"/>
  <c r="H652" i="118"/>
  <c r="G652" i="118"/>
  <c r="F652" i="118"/>
  <c r="E652" i="118"/>
  <c r="D652" i="118"/>
  <c r="C652" i="118"/>
  <c r="I651" i="118"/>
  <c r="H651" i="118"/>
  <c r="G651" i="118"/>
  <c r="F651" i="118"/>
  <c r="E651" i="118"/>
  <c r="D651" i="118"/>
  <c r="C651" i="118"/>
  <c r="I650" i="118"/>
  <c r="H650" i="118"/>
  <c r="G650" i="118"/>
  <c r="F650" i="118"/>
  <c r="E650" i="118"/>
  <c r="D650" i="118"/>
  <c r="C650" i="118"/>
  <c r="I649" i="118"/>
  <c r="H649" i="118"/>
  <c r="G649" i="118"/>
  <c r="F649" i="118"/>
  <c r="E649" i="118"/>
  <c r="D649" i="118"/>
  <c r="C649" i="118"/>
  <c r="Y643" i="118"/>
  <c r="X643" i="118"/>
  <c r="W643" i="118"/>
  <c r="V643" i="118"/>
  <c r="U643" i="118"/>
  <c r="T643" i="118"/>
  <c r="S643" i="118"/>
  <c r="R643" i="118"/>
  <c r="Q643" i="118"/>
  <c r="P643" i="118"/>
  <c r="O643" i="118"/>
  <c r="N643" i="118"/>
  <c r="M643" i="118"/>
  <c r="E641" i="118"/>
  <c r="D641" i="118"/>
  <c r="C641" i="118"/>
  <c r="E640" i="118"/>
  <c r="D640" i="118"/>
  <c r="C640" i="118"/>
  <c r="E639" i="118"/>
  <c r="D639" i="118"/>
  <c r="C639" i="118"/>
  <c r="E638" i="118"/>
  <c r="D638" i="118"/>
  <c r="C638" i="118"/>
  <c r="Y630" i="118"/>
  <c r="X630" i="118"/>
  <c r="W630" i="118"/>
  <c r="V630" i="118"/>
  <c r="U630" i="118"/>
  <c r="T630" i="118"/>
  <c r="S630" i="118"/>
  <c r="R630" i="118"/>
  <c r="Q630" i="118"/>
  <c r="P630" i="118"/>
  <c r="O630" i="118"/>
  <c r="N630" i="118"/>
  <c r="M630" i="118"/>
  <c r="I628" i="118"/>
  <c r="H628" i="118"/>
  <c r="G628" i="118"/>
  <c r="F628" i="118"/>
  <c r="E628" i="118"/>
  <c r="D628" i="118"/>
  <c r="C628" i="118"/>
  <c r="I627" i="118"/>
  <c r="H627" i="118"/>
  <c r="G627" i="118"/>
  <c r="F627" i="118"/>
  <c r="E627" i="118"/>
  <c r="D627" i="118"/>
  <c r="C627" i="118"/>
  <c r="I626" i="118"/>
  <c r="H626" i="118"/>
  <c r="G626" i="118"/>
  <c r="F626" i="118"/>
  <c r="E626" i="118"/>
  <c r="D626" i="118"/>
  <c r="C626" i="118"/>
  <c r="I625" i="118"/>
  <c r="H625" i="118"/>
  <c r="G625" i="118"/>
  <c r="F625" i="118"/>
  <c r="E625" i="118"/>
  <c r="D625" i="118"/>
  <c r="C625" i="118"/>
  <c r="I624" i="118"/>
  <c r="H624" i="118"/>
  <c r="G624" i="118"/>
  <c r="F624" i="118"/>
  <c r="E624" i="118"/>
  <c r="D624" i="118"/>
  <c r="C624" i="118"/>
  <c r="I623" i="118"/>
  <c r="H623" i="118"/>
  <c r="G623" i="118"/>
  <c r="F623" i="118"/>
  <c r="E623" i="118"/>
  <c r="D623" i="118"/>
  <c r="C623" i="118"/>
  <c r="I622" i="118"/>
  <c r="H622" i="118"/>
  <c r="G622" i="118"/>
  <c r="F622" i="118"/>
  <c r="E622" i="118"/>
  <c r="D622" i="118"/>
  <c r="C622" i="118"/>
  <c r="I621" i="118"/>
  <c r="H621" i="118"/>
  <c r="G621" i="118"/>
  <c r="F621" i="118"/>
  <c r="E621" i="118"/>
  <c r="D621" i="118"/>
  <c r="C621" i="118"/>
  <c r="I620" i="118"/>
  <c r="H620" i="118"/>
  <c r="G620" i="118"/>
  <c r="F620" i="118"/>
  <c r="E620" i="118"/>
  <c r="D620" i="118"/>
  <c r="C620" i="118"/>
  <c r="Y614" i="118"/>
  <c r="X614" i="118"/>
  <c r="W614" i="118"/>
  <c r="V614" i="118"/>
  <c r="U614" i="118"/>
  <c r="T614" i="118"/>
  <c r="S614" i="118"/>
  <c r="R614" i="118"/>
  <c r="Q614" i="118"/>
  <c r="P614" i="118"/>
  <c r="O614" i="118"/>
  <c r="N614" i="118"/>
  <c r="M614" i="118"/>
  <c r="E612" i="118"/>
  <c r="D612" i="118"/>
  <c r="C612" i="118"/>
  <c r="E611" i="118"/>
  <c r="D611" i="118"/>
  <c r="C611" i="118"/>
  <c r="E610" i="118"/>
  <c r="D610" i="118"/>
  <c r="C610" i="118"/>
  <c r="E609" i="118"/>
  <c r="D609" i="118"/>
  <c r="C609" i="118"/>
  <c r="E608" i="118"/>
  <c r="D608" i="118"/>
  <c r="C608" i="118"/>
  <c r="E607" i="118"/>
  <c r="D607" i="118"/>
  <c r="C607" i="118"/>
  <c r="E606" i="118"/>
  <c r="D606" i="118"/>
  <c r="C606" i="118"/>
  <c r="E605" i="118"/>
  <c r="D605" i="118"/>
  <c r="C605" i="118"/>
  <c r="E604" i="118"/>
  <c r="D604" i="118"/>
  <c r="C604" i="118"/>
  <c r="Y596" i="118"/>
  <c r="X596" i="118"/>
  <c r="W596" i="118"/>
  <c r="V596" i="118"/>
  <c r="U596" i="118"/>
  <c r="T596" i="118"/>
  <c r="S596" i="118"/>
  <c r="R596" i="118"/>
  <c r="Q596" i="118"/>
  <c r="P596" i="118"/>
  <c r="O596" i="118"/>
  <c r="N596" i="118"/>
  <c r="M596" i="118"/>
  <c r="E428" i="118"/>
  <c r="D428" i="118"/>
  <c r="C428" i="118"/>
  <c r="Y422" i="118"/>
  <c r="X422" i="118"/>
  <c r="W422" i="118"/>
  <c r="V422" i="118"/>
  <c r="U422" i="118"/>
  <c r="T422" i="118"/>
  <c r="S422" i="118"/>
  <c r="R422" i="118"/>
  <c r="Q422" i="118"/>
  <c r="P422" i="118"/>
  <c r="O422" i="118"/>
  <c r="N422" i="118"/>
  <c r="M422" i="118"/>
  <c r="D254" i="118"/>
  <c r="C254" i="118"/>
  <c r="Y246" i="118"/>
  <c r="X246" i="118"/>
  <c r="W246" i="118"/>
  <c r="V246" i="118"/>
  <c r="U246" i="118"/>
  <c r="T246" i="118"/>
  <c r="S246" i="118"/>
  <c r="R246" i="118"/>
  <c r="Q246" i="118"/>
  <c r="P246" i="118"/>
  <c r="O246" i="118"/>
  <c r="N246" i="118"/>
  <c r="M246" i="118"/>
  <c r="E244" i="118"/>
  <c r="D244" i="118"/>
  <c r="C244" i="118"/>
  <c r="E243" i="118"/>
  <c r="D243" i="118"/>
  <c r="C243" i="118"/>
  <c r="E242" i="118"/>
  <c r="D242" i="118"/>
  <c r="C242" i="118"/>
  <c r="E241" i="118"/>
  <c r="D241" i="118"/>
  <c r="C241" i="118"/>
  <c r="E240" i="118"/>
  <c r="D240" i="118"/>
  <c r="C240" i="118"/>
  <c r="E239" i="118"/>
  <c r="D239" i="118"/>
  <c r="C239" i="118"/>
  <c r="E238" i="118"/>
  <c r="D238" i="118"/>
  <c r="C238" i="118"/>
  <c r="E237" i="118"/>
  <c r="D237" i="118"/>
  <c r="C237" i="118"/>
  <c r="E236" i="118"/>
  <c r="D236" i="118"/>
  <c r="C236" i="118"/>
  <c r="Y230" i="118"/>
  <c r="X230" i="118"/>
  <c r="W230" i="118"/>
  <c r="V230" i="118"/>
  <c r="U230" i="118"/>
  <c r="T230" i="118"/>
  <c r="S230" i="118"/>
  <c r="R230" i="118"/>
  <c r="Q230" i="118"/>
  <c r="P230" i="118"/>
  <c r="O230" i="118"/>
  <c r="N230" i="118"/>
  <c r="M230" i="118"/>
  <c r="E228" i="118"/>
  <c r="D228" i="118"/>
  <c r="C228" i="118"/>
  <c r="E227" i="118"/>
  <c r="D227" i="118"/>
  <c r="C227" i="118"/>
  <c r="E226" i="118"/>
  <c r="D226" i="118"/>
  <c r="C226" i="118"/>
  <c r="E225" i="118"/>
  <c r="D225" i="118"/>
  <c r="C225" i="118"/>
  <c r="E224" i="118"/>
  <c r="D224" i="118"/>
  <c r="C224" i="118"/>
  <c r="E223" i="118"/>
  <c r="D223" i="118"/>
  <c r="C223" i="118"/>
  <c r="E222" i="118"/>
  <c r="D222" i="118"/>
  <c r="C222" i="118"/>
  <c r="E221" i="118"/>
  <c r="D221" i="118"/>
  <c r="C221" i="118"/>
  <c r="E220" i="118"/>
  <c r="D220" i="118"/>
  <c r="C220" i="118"/>
  <c r="Y212" i="118"/>
  <c r="X212" i="118"/>
  <c r="W212" i="118"/>
  <c r="V212" i="118"/>
  <c r="U212" i="118"/>
  <c r="T212" i="118"/>
  <c r="S212" i="118"/>
  <c r="R212" i="118"/>
  <c r="Q212" i="118"/>
  <c r="P212" i="118"/>
  <c r="O212" i="118"/>
  <c r="N212" i="118"/>
  <c r="M212" i="118"/>
  <c r="C211" i="118"/>
  <c r="C210" i="118"/>
  <c r="C209" i="118"/>
  <c r="C208" i="118"/>
  <c r="C207" i="118"/>
  <c r="C206" i="118"/>
  <c r="C205" i="118"/>
  <c r="C204" i="118"/>
  <c r="C203" i="118"/>
  <c r="Y197" i="118"/>
  <c r="X197" i="118"/>
  <c r="W197" i="118"/>
  <c r="V197" i="118"/>
  <c r="U197" i="118"/>
  <c r="T197" i="118"/>
  <c r="S197" i="118"/>
  <c r="R197" i="118"/>
  <c r="Q197" i="118"/>
  <c r="P197" i="118"/>
  <c r="O197" i="118"/>
  <c r="N197" i="118"/>
  <c r="M197" i="118"/>
  <c r="C196" i="118"/>
  <c r="C195" i="118"/>
  <c r="C194" i="118"/>
  <c r="C193" i="118"/>
  <c r="C192" i="118"/>
  <c r="C191" i="118"/>
  <c r="C190" i="118"/>
  <c r="C189" i="118"/>
  <c r="C188" i="118"/>
  <c r="Y180" i="118"/>
  <c r="X180" i="118"/>
  <c r="W180" i="118"/>
  <c r="V180" i="118"/>
  <c r="U180" i="118"/>
  <c r="T180" i="118"/>
  <c r="S180" i="118"/>
  <c r="R180" i="118"/>
  <c r="Q180" i="118"/>
  <c r="P180" i="118"/>
  <c r="O180" i="118"/>
  <c r="N180" i="118"/>
  <c r="M180" i="118"/>
  <c r="C179" i="118"/>
  <c r="C178" i="118"/>
  <c r="C177" i="118"/>
  <c r="C176" i="118"/>
  <c r="C175" i="118"/>
  <c r="C174" i="118"/>
  <c r="C173" i="118"/>
  <c r="C172" i="118"/>
  <c r="C171" i="118"/>
  <c r="Y165" i="118"/>
  <c r="X165" i="118"/>
  <c r="W165" i="118"/>
  <c r="V165" i="118"/>
  <c r="U165" i="118"/>
  <c r="T165" i="118"/>
  <c r="S165" i="118"/>
  <c r="R165" i="118"/>
  <c r="Q165" i="118"/>
  <c r="P165" i="118"/>
  <c r="O165" i="118"/>
  <c r="N165" i="118"/>
  <c r="M165" i="118"/>
  <c r="C164" i="118"/>
  <c r="C163" i="118"/>
  <c r="C162" i="118"/>
  <c r="C161" i="118"/>
  <c r="C160" i="118"/>
  <c r="C159" i="118"/>
  <c r="C158" i="118"/>
  <c r="C157" i="118"/>
  <c r="C156" i="118"/>
  <c r="Y147" i="118"/>
  <c r="Y839" i="118" s="1"/>
  <c r="Y840" i="118" s="1"/>
  <c r="Y845" i="118" s="1"/>
  <c r="Y849" i="118" s="1"/>
  <c r="X147" i="118"/>
  <c r="X839" i="118" s="1"/>
  <c r="X840" i="118" s="1"/>
  <c r="X845" i="118" s="1"/>
  <c r="X849" i="118" s="1"/>
  <c r="W147" i="118"/>
  <c r="W839" i="118" s="1"/>
  <c r="W840" i="118" s="1"/>
  <c r="W845" i="118" s="1"/>
  <c r="W849" i="118" s="1"/>
  <c r="V147" i="118"/>
  <c r="V839" i="118" s="1"/>
  <c r="V840" i="118" s="1"/>
  <c r="V845" i="118" s="1"/>
  <c r="V849" i="118" s="1"/>
  <c r="U147" i="118"/>
  <c r="U839" i="118" s="1"/>
  <c r="U840" i="118" s="1"/>
  <c r="U845" i="118" s="1"/>
  <c r="U849" i="118" s="1"/>
  <c r="T147" i="118"/>
  <c r="T839" i="118" s="1"/>
  <c r="T840" i="118" s="1"/>
  <c r="T845" i="118" s="1"/>
  <c r="T849" i="118" s="1"/>
  <c r="S147" i="118"/>
  <c r="S839" i="118" s="1"/>
  <c r="S840" i="118" s="1"/>
  <c r="S845" i="118" s="1"/>
  <c r="S849" i="118" s="1"/>
  <c r="R147" i="118"/>
  <c r="R839" i="118" s="1"/>
  <c r="R840" i="118" s="1"/>
  <c r="R845" i="118" s="1"/>
  <c r="R849" i="118" s="1"/>
  <c r="Q147" i="118"/>
  <c r="Q839" i="118" s="1"/>
  <c r="Q840" i="118" s="1"/>
  <c r="Q845" i="118" s="1"/>
  <c r="Q849" i="118" s="1"/>
  <c r="P147" i="118"/>
  <c r="P839" i="118" s="1"/>
  <c r="P840" i="118" s="1"/>
  <c r="P845" i="118" s="1"/>
  <c r="P849" i="118" s="1"/>
  <c r="O147" i="118"/>
  <c r="O839" i="118" s="1"/>
  <c r="O840" i="118" s="1"/>
  <c r="O845" i="118" s="1"/>
  <c r="O849" i="118" s="1"/>
  <c r="N147" i="118"/>
  <c r="N839" i="118" s="1"/>
  <c r="N840" i="118" s="1"/>
  <c r="N845" i="118" s="1"/>
  <c r="N849" i="118" s="1"/>
  <c r="M147" i="118"/>
  <c r="M839" i="118" s="1"/>
  <c r="M840" i="118" s="1"/>
  <c r="M845" i="118" s="1"/>
  <c r="M849" i="118" s="1"/>
  <c r="Y132" i="118"/>
  <c r="Y761" i="118" s="1"/>
  <c r="Y762" i="118" s="1"/>
  <c r="Y767" i="118" s="1"/>
  <c r="Y771" i="118" s="1"/>
  <c r="X132" i="118"/>
  <c r="X761" i="118" s="1"/>
  <c r="X762" i="118" s="1"/>
  <c r="X767" i="118" s="1"/>
  <c r="X771" i="118" s="1"/>
  <c r="W132" i="118"/>
  <c r="W761" i="118" s="1"/>
  <c r="W762" i="118" s="1"/>
  <c r="W767" i="118" s="1"/>
  <c r="W771" i="118" s="1"/>
  <c r="V132" i="118"/>
  <c r="V761" i="118" s="1"/>
  <c r="V762" i="118" s="1"/>
  <c r="V767" i="118" s="1"/>
  <c r="V771" i="118" s="1"/>
  <c r="U132" i="118"/>
  <c r="U761" i="118" s="1"/>
  <c r="U762" i="118" s="1"/>
  <c r="U767" i="118" s="1"/>
  <c r="U771" i="118" s="1"/>
  <c r="T132" i="118"/>
  <c r="T761" i="118" s="1"/>
  <c r="T762" i="118" s="1"/>
  <c r="T767" i="118" s="1"/>
  <c r="T771" i="118" s="1"/>
  <c r="S132" i="118"/>
  <c r="S761" i="118" s="1"/>
  <c r="S762" i="118" s="1"/>
  <c r="S767" i="118" s="1"/>
  <c r="S771" i="118" s="1"/>
  <c r="R132" i="118"/>
  <c r="R761" i="118" s="1"/>
  <c r="R762" i="118" s="1"/>
  <c r="R767" i="118" s="1"/>
  <c r="R771" i="118" s="1"/>
  <c r="Q132" i="118"/>
  <c r="Q761" i="118" s="1"/>
  <c r="Q762" i="118" s="1"/>
  <c r="Q767" i="118" s="1"/>
  <c r="Q771" i="118" s="1"/>
  <c r="P132" i="118"/>
  <c r="P761" i="118" s="1"/>
  <c r="P762" i="118" s="1"/>
  <c r="P767" i="118" s="1"/>
  <c r="P771" i="118" s="1"/>
  <c r="O132" i="118"/>
  <c r="O761" i="118" s="1"/>
  <c r="O762" i="118" s="1"/>
  <c r="O767" i="118" s="1"/>
  <c r="O771" i="118" s="1"/>
  <c r="N132" i="118"/>
  <c r="N761" i="118" s="1"/>
  <c r="N762" i="118" s="1"/>
  <c r="N767" i="118" s="1"/>
  <c r="N771" i="118" s="1"/>
  <c r="M132" i="118"/>
  <c r="M761" i="118" s="1"/>
  <c r="M762" i="118" s="1"/>
  <c r="M767" i="118" s="1"/>
  <c r="M771" i="118" s="1"/>
  <c r="I131" i="118"/>
  <c r="I146" i="118" s="1"/>
  <c r="H131" i="118"/>
  <c r="H146" i="118" s="1"/>
  <c r="G131" i="118"/>
  <c r="G146" i="118" s="1"/>
  <c r="F131" i="118"/>
  <c r="F146" i="118" s="1"/>
  <c r="E131" i="118"/>
  <c r="E146" i="118" s="1"/>
  <c r="D131" i="118"/>
  <c r="D146" i="118" s="1"/>
  <c r="C131" i="118"/>
  <c r="C146" i="118" s="1"/>
  <c r="I130" i="118"/>
  <c r="I145" i="118" s="1"/>
  <c r="H130" i="118"/>
  <c r="H145" i="118" s="1"/>
  <c r="G130" i="118"/>
  <c r="G145" i="118" s="1"/>
  <c r="F130" i="118"/>
  <c r="F145" i="118" s="1"/>
  <c r="E130" i="118"/>
  <c r="E145" i="118" s="1"/>
  <c r="D130" i="118"/>
  <c r="D145" i="118" s="1"/>
  <c r="C130" i="118"/>
  <c r="C145" i="118" s="1"/>
  <c r="I129" i="118"/>
  <c r="I144" i="118" s="1"/>
  <c r="H129" i="118"/>
  <c r="H144" i="118" s="1"/>
  <c r="G129" i="118"/>
  <c r="G144" i="118" s="1"/>
  <c r="F129" i="118"/>
  <c r="F144" i="118" s="1"/>
  <c r="E129" i="118"/>
  <c r="E144" i="118" s="1"/>
  <c r="D129" i="118"/>
  <c r="D144" i="118" s="1"/>
  <c r="C129" i="118"/>
  <c r="C144" i="118" s="1"/>
  <c r="I128" i="118"/>
  <c r="I143" i="118" s="1"/>
  <c r="H128" i="118"/>
  <c r="H143" i="118" s="1"/>
  <c r="G128" i="118"/>
  <c r="G143" i="118" s="1"/>
  <c r="F128" i="118"/>
  <c r="F143" i="118" s="1"/>
  <c r="E128" i="118"/>
  <c r="E143" i="118" s="1"/>
  <c r="D128" i="118"/>
  <c r="D143" i="118" s="1"/>
  <c r="C128" i="118"/>
  <c r="C143" i="118" s="1"/>
  <c r="I127" i="118"/>
  <c r="I142" i="118" s="1"/>
  <c r="H127" i="118"/>
  <c r="H142" i="118" s="1"/>
  <c r="G127" i="118"/>
  <c r="G142" i="118" s="1"/>
  <c r="F127" i="118"/>
  <c r="F142" i="118" s="1"/>
  <c r="E127" i="118"/>
  <c r="E142" i="118" s="1"/>
  <c r="D127" i="118"/>
  <c r="D142" i="118" s="1"/>
  <c r="C127" i="118"/>
  <c r="C142" i="118" s="1"/>
  <c r="I126" i="118"/>
  <c r="I141" i="118" s="1"/>
  <c r="H126" i="118"/>
  <c r="H141" i="118" s="1"/>
  <c r="G126" i="118"/>
  <c r="G141" i="118" s="1"/>
  <c r="F126" i="118"/>
  <c r="F141" i="118" s="1"/>
  <c r="E126" i="118"/>
  <c r="E141" i="118" s="1"/>
  <c r="D126" i="118"/>
  <c r="D141" i="118" s="1"/>
  <c r="C126" i="118"/>
  <c r="C141" i="118" s="1"/>
  <c r="I125" i="118"/>
  <c r="I140" i="118" s="1"/>
  <c r="H125" i="118"/>
  <c r="H140" i="118" s="1"/>
  <c r="G125" i="118"/>
  <c r="G140" i="118" s="1"/>
  <c r="F125" i="118"/>
  <c r="F140" i="118" s="1"/>
  <c r="E125" i="118"/>
  <c r="E140" i="118" s="1"/>
  <c r="D125" i="118"/>
  <c r="D140" i="118" s="1"/>
  <c r="C125" i="118"/>
  <c r="C140" i="118" s="1"/>
  <c r="I124" i="118"/>
  <c r="I139" i="118" s="1"/>
  <c r="H124" i="118"/>
  <c r="H139" i="118" s="1"/>
  <c r="G124" i="118"/>
  <c r="G139" i="118" s="1"/>
  <c r="F124" i="118"/>
  <c r="F139" i="118" s="1"/>
  <c r="E124" i="118"/>
  <c r="E139" i="118" s="1"/>
  <c r="D124" i="118"/>
  <c r="D139" i="118" s="1"/>
  <c r="C124" i="118"/>
  <c r="C139" i="118" s="1"/>
  <c r="I123" i="118"/>
  <c r="I138" i="118" s="1"/>
  <c r="H123" i="118"/>
  <c r="H138" i="118" s="1"/>
  <c r="G123" i="118"/>
  <c r="G138" i="118" s="1"/>
  <c r="F123" i="118"/>
  <c r="F138" i="118" s="1"/>
  <c r="E123" i="118"/>
  <c r="E138" i="118" s="1"/>
  <c r="D123" i="118"/>
  <c r="D138" i="118" s="1"/>
  <c r="C123" i="118"/>
  <c r="C138" i="118" s="1"/>
  <c r="I122" i="118"/>
  <c r="I137" i="118" s="1"/>
  <c r="H122" i="118"/>
  <c r="H137" i="118" s="1"/>
  <c r="G122" i="118"/>
  <c r="G137" i="118" s="1"/>
  <c r="F122" i="118"/>
  <c r="F137" i="118" s="1"/>
  <c r="E122" i="118"/>
  <c r="E137" i="118" s="1"/>
  <c r="D122" i="118"/>
  <c r="D137" i="118" s="1"/>
  <c r="C122" i="118"/>
  <c r="C137" i="118" s="1"/>
  <c r="I121" i="118"/>
  <c r="I136" i="118" s="1"/>
  <c r="H121" i="118"/>
  <c r="H136" i="118" s="1"/>
  <c r="G121" i="118"/>
  <c r="G136" i="118" s="1"/>
  <c r="F121" i="118"/>
  <c r="F136" i="118" s="1"/>
  <c r="E121" i="118"/>
  <c r="E136" i="118" s="1"/>
  <c r="D121" i="118"/>
  <c r="D136" i="118" s="1"/>
  <c r="C121" i="118"/>
  <c r="C136" i="118" s="1"/>
  <c r="Y114" i="118"/>
  <c r="Y824" i="118" s="1"/>
  <c r="X114" i="118"/>
  <c r="X824" i="118" s="1"/>
  <c r="W114" i="118"/>
  <c r="W824" i="118" s="1"/>
  <c r="V114" i="118"/>
  <c r="V824" i="118" s="1"/>
  <c r="U114" i="118"/>
  <c r="U824" i="118" s="1"/>
  <c r="T114" i="118"/>
  <c r="T824" i="118" s="1"/>
  <c r="S114" i="118"/>
  <c r="S824" i="118" s="1"/>
  <c r="R114" i="118"/>
  <c r="R824" i="118" s="1"/>
  <c r="Q114" i="118"/>
  <c r="Q824" i="118" s="1"/>
  <c r="P114" i="118"/>
  <c r="P824" i="118" s="1"/>
  <c r="O114" i="118"/>
  <c r="O824" i="118" s="1"/>
  <c r="N114" i="118"/>
  <c r="N824" i="118" s="1"/>
  <c r="M114" i="118"/>
  <c r="M824" i="118" s="1"/>
  <c r="Y99" i="118"/>
  <c r="Y732" i="118" s="1"/>
  <c r="X99" i="118"/>
  <c r="X732" i="118" s="1"/>
  <c r="W99" i="118"/>
  <c r="W732" i="118" s="1"/>
  <c r="V99" i="118"/>
  <c r="V732" i="118" s="1"/>
  <c r="U99" i="118"/>
  <c r="U732" i="118" s="1"/>
  <c r="T99" i="118"/>
  <c r="T732" i="118" s="1"/>
  <c r="S99" i="118"/>
  <c r="S732" i="118" s="1"/>
  <c r="R99" i="118"/>
  <c r="R732" i="118" s="1"/>
  <c r="Q99" i="118"/>
  <c r="Q732" i="118" s="1"/>
  <c r="P99" i="118"/>
  <c r="P732" i="118" s="1"/>
  <c r="O99" i="118"/>
  <c r="O732" i="118" s="1"/>
  <c r="N99" i="118"/>
  <c r="N732" i="118" s="1"/>
  <c r="M99" i="118"/>
  <c r="M732" i="118" s="1"/>
  <c r="I98" i="118"/>
  <c r="I113" i="118" s="1"/>
  <c r="H98" i="118"/>
  <c r="H113" i="118" s="1"/>
  <c r="G98" i="118"/>
  <c r="G113" i="118" s="1"/>
  <c r="F98" i="118"/>
  <c r="F113" i="118" s="1"/>
  <c r="E98" i="118"/>
  <c r="E113" i="118" s="1"/>
  <c r="D98" i="118"/>
  <c r="D113" i="118" s="1"/>
  <c r="C98" i="118"/>
  <c r="C113" i="118" s="1"/>
  <c r="I97" i="118"/>
  <c r="I112" i="118" s="1"/>
  <c r="H97" i="118"/>
  <c r="H112" i="118" s="1"/>
  <c r="G97" i="118"/>
  <c r="G112" i="118" s="1"/>
  <c r="F97" i="118"/>
  <c r="F112" i="118" s="1"/>
  <c r="E97" i="118"/>
  <c r="E112" i="118" s="1"/>
  <c r="D97" i="118"/>
  <c r="D112" i="118" s="1"/>
  <c r="C97" i="118"/>
  <c r="C112" i="118" s="1"/>
  <c r="I96" i="118"/>
  <c r="I111" i="118" s="1"/>
  <c r="H96" i="118"/>
  <c r="H111" i="118" s="1"/>
  <c r="G96" i="118"/>
  <c r="G111" i="118" s="1"/>
  <c r="F96" i="118"/>
  <c r="F111" i="118" s="1"/>
  <c r="E96" i="118"/>
  <c r="E111" i="118" s="1"/>
  <c r="D96" i="118"/>
  <c r="D111" i="118" s="1"/>
  <c r="C96" i="118"/>
  <c r="C111" i="118" s="1"/>
  <c r="I95" i="118"/>
  <c r="I110" i="118" s="1"/>
  <c r="H95" i="118"/>
  <c r="H110" i="118" s="1"/>
  <c r="G95" i="118"/>
  <c r="G110" i="118" s="1"/>
  <c r="F95" i="118"/>
  <c r="F110" i="118" s="1"/>
  <c r="E95" i="118"/>
  <c r="E110" i="118" s="1"/>
  <c r="D95" i="118"/>
  <c r="D110" i="118" s="1"/>
  <c r="C95" i="118"/>
  <c r="C110" i="118" s="1"/>
  <c r="I94" i="118"/>
  <c r="I109" i="118" s="1"/>
  <c r="H94" i="118"/>
  <c r="H109" i="118" s="1"/>
  <c r="G94" i="118"/>
  <c r="G109" i="118" s="1"/>
  <c r="F94" i="118"/>
  <c r="F109" i="118" s="1"/>
  <c r="E94" i="118"/>
  <c r="E109" i="118" s="1"/>
  <c r="D94" i="118"/>
  <c r="D109" i="118" s="1"/>
  <c r="C94" i="118"/>
  <c r="C109" i="118" s="1"/>
  <c r="I93" i="118"/>
  <c r="I108" i="118" s="1"/>
  <c r="H93" i="118"/>
  <c r="H108" i="118" s="1"/>
  <c r="G93" i="118"/>
  <c r="G108" i="118" s="1"/>
  <c r="F93" i="118"/>
  <c r="F108" i="118" s="1"/>
  <c r="E93" i="118"/>
  <c r="E108" i="118" s="1"/>
  <c r="D93" i="118"/>
  <c r="D108" i="118" s="1"/>
  <c r="C93" i="118"/>
  <c r="C108" i="118" s="1"/>
  <c r="I92" i="118"/>
  <c r="I107" i="118" s="1"/>
  <c r="H92" i="118"/>
  <c r="H107" i="118" s="1"/>
  <c r="G92" i="118"/>
  <c r="G107" i="118" s="1"/>
  <c r="F92" i="118"/>
  <c r="F107" i="118" s="1"/>
  <c r="E92" i="118"/>
  <c r="E107" i="118" s="1"/>
  <c r="D92" i="118"/>
  <c r="D107" i="118" s="1"/>
  <c r="C92" i="118"/>
  <c r="C107" i="118" s="1"/>
  <c r="I91" i="118"/>
  <c r="I106" i="118" s="1"/>
  <c r="H91" i="118"/>
  <c r="H106" i="118" s="1"/>
  <c r="G91" i="118"/>
  <c r="G106" i="118" s="1"/>
  <c r="F91" i="118"/>
  <c r="F106" i="118" s="1"/>
  <c r="E91" i="118"/>
  <c r="E106" i="118" s="1"/>
  <c r="D91" i="118"/>
  <c r="D106" i="118" s="1"/>
  <c r="C91" i="118"/>
  <c r="C106" i="118" s="1"/>
  <c r="I90" i="118"/>
  <c r="I105" i="118" s="1"/>
  <c r="H90" i="118"/>
  <c r="H105" i="118" s="1"/>
  <c r="G90" i="118"/>
  <c r="G105" i="118" s="1"/>
  <c r="F90" i="118"/>
  <c r="F105" i="118" s="1"/>
  <c r="E90" i="118"/>
  <c r="E105" i="118" s="1"/>
  <c r="D90" i="118"/>
  <c r="D105" i="118" s="1"/>
  <c r="C90" i="118"/>
  <c r="C105" i="118" s="1"/>
  <c r="I89" i="118"/>
  <c r="I104" i="118" s="1"/>
  <c r="H89" i="118"/>
  <c r="H104" i="118" s="1"/>
  <c r="G89" i="118"/>
  <c r="G104" i="118" s="1"/>
  <c r="F89" i="118"/>
  <c r="F104" i="118" s="1"/>
  <c r="E89" i="118"/>
  <c r="E104" i="118" s="1"/>
  <c r="D89" i="118"/>
  <c r="D104" i="118" s="1"/>
  <c r="C89" i="118"/>
  <c r="C104" i="118" s="1"/>
  <c r="I88" i="118"/>
  <c r="I103" i="118" s="1"/>
  <c r="H88" i="118"/>
  <c r="H103" i="118" s="1"/>
  <c r="G88" i="118"/>
  <c r="G103" i="118" s="1"/>
  <c r="F88" i="118"/>
  <c r="F103" i="118" s="1"/>
  <c r="E88" i="118"/>
  <c r="E103" i="118" s="1"/>
  <c r="D88" i="118"/>
  <c r="D103" i="118" s="1"/>
  <c r="C88" i="118"/>
  <c r="C103" i="118" s="1"/>
  <c r="Y81" i="118"/>
  <c r="Y823" i="118" s="1"/>
  <c r="X81" i="118"/>
  <c r="X823" i="118" s="1"/>
  <c r="W81" i="118"/>
  <c r="W823" i="118" s="1"/>
  <c r="V81" i="118"/>
  <c r="V823" i="118" s="1"/>
  <c r="U81" i="118"/>
  <c r="U823" i="118" s="1"/>
  <c r="T81" i="118"/>
  <c r="T823" i="118" s="1"/>
  <c r="S81" i="118"/>
  <c r="S823" i="118" s="1"/>
  <c r="R81" i="118"/>
  <c r="R823" i="118" s="1"/>
  <c r="Q81" i="118"/>
  <c r="Q823" i="118" s="1"/>
  <c r="P81" i="118"/>
  <c r="P823" i="118" s="1"/>
  <c r="O81" i="118"/>
  <c r="O823" i="118" s="1"/>
  <c r="N81" i="118"/>
  <c r="N823" i="118" s="1"/>
  <c r="M81" i="118"/>
  <c r="M823" i="118" s="1"/>
  <c r="Y63" i="118"/>
  <c r="Y731" i="118" s="1"/>
  <c r="X63" i="118"/>
  <c r="X731" i="118" s="1"/>
  <c r="W63" i="118"/>
  <c r="W731" i="118" s="1"/>
  <c r="V63" i="118"/>
  <c r="V731" i="118" s="1"/>
  <c r="U63" i="118"/>
  <c r="U731" i="118" s="1"/>
  <c r="T63" i="118"/>
  <c r="T731" i="118" s="1"/>
  <c r="S63" i="118"/>
  <c r="S731" i="118" s="1"/>
  <c r="R63" i="118"/>
  <c r="R731" i="118" s="1"/>
  <c r="Q63" i="118"/>
  <c r="Q731" i="118" s="1"/>
  <c r="P63" i="118"/>
  <c r="P731" i="118" s="1"/>
  <c r="O63" i="118"/>
  <c r="O731" i="118" s="1"/>
  <c r="N63" i="118"/>
  <c r="N731" i="118" s="1"/>
  <c r="M63" i="118"/>
  <c r="M731" i="118" s="1"/>
  <c r="I58" i="118"/>
  <c r="I76" i="118" s="1"/>
  <c r="H58" i="118"/>
  <c r="H76" i="118" s="1"/>
  <c r="G58" i="118"/>
  <c r="G76" i="118" s="1"/>
  <c r="F58" i="118"/>
  <c r="F76" i="118" s="1"/>
  <c r="E58" i="118"/>
  <c r="E76" i="118" s="1"/>
  <c r="D58" i="118"/>
  <c r="D76" i="118" s="1"/>
  <c r="C58" i="118"/>
  <c r="C76" i="118" s="1"/>
  <c r="I57" i="118"/>
  <c r="I75" i="118" s="1"/>
  <c r="H57" i="118"/>
  <c r="H75" i="118" s="1"/>
  <c r="G57" i="118"/>
  <c r="G75" i="118" s="1"/>
  <c r="F57" i="118"/>
  <c r="F75" i="118" s="1"/>
  <c r="E57" i="118"/>
  <c r="E75" i="118" s="1"/>
  <c r="D57" i="118"/>
  <c r="D75" i="118" s="1"/>
  <c r="C57" i="118"/>
  <c r="C75" i="118" s="1"/>
  <c r="I56" i="118"/>
  <c r="I74" i="118" s="1"/>
  <c r="H56" i="118"/>
  <c r="H74" i="118" s="1"/>
  <c r="G56" i="118"/>
  <c r="G74" i="118" s="1"/>
  <c r="F56" i="118"/>
  <c r="F74" i="118" s="1"/>
  <c r="E56" i="118"/>
  <c r="E74" i="118" s="1"/>
  <c r="D56" i="118"/>
  <c r="D74" i="118" s="1"/>
  <c r="C56" i="118"/>
  <c r="C74" i="118" s="1"/>
  <c r="I55" i="118"/>
  <c r="I73" i="118" s="1"/>
  <c r="H55" i="118"/>
  <c r="H73" i="118" s="1"/>
  <c r="G55" i="118"/>
  <c r="G73" i="118" s="1"/>
  <c r="F55" i="118"/>
  <c r="F73" i="118" s="1"/>
  <c r="E55" i="118"/>
  <c r="E73" i="118" s="1"/>
  <c r="D55" i="118"/>
  <c r="D73" i="118" s="1"/>
  <c r="C55" i="118"/>
  <c r="C73" i="118" s="1"/>
  <c r="I54" i="118"/>
  <c r="I72" i="118" s="1"/>
  <c r="H54" i="118"/>
  <c r="H72" i="118" s="1"/>
  <c r="G54" i="118"/>
  <c r="G72" i="118" s="1"/>
  <c r="F54" i="118"/>
  <c r="F72" i="118" s="1"/>
  <c r="E54" i="118"/>
  <c r="E72" i="118" s="1"/>
  <c r="D54" i="118"/>
  <c r="D72" i="118" s="1"/>
  <c r="C54" i="118"/>
  <c r="C72" i="118" s="1"/>
  <c r="I53" i="118"/>
  <c r="I71" i="118" s="1"/>
  <c r="H53" i="118"/>
  <c r="H71" i="118" s="1"/>
  <c r="G53" i="118"/>
  <c r="G71" i="118" s="1"/>
  <c r="F53" i="118"/>
  <c r="F71" i="118" s="1"/>
  <c r="E53" i="118"/>
  <c r="E71" i="118" s="1"/>
  <c r="D53" i="118"/>
  <c r="D71" i="118" s="1"/>
  <c r="C53" i="118"/>
  <c r="C71" i="118" s="1"/>
  <c r="I52" i="118"/>
  <c r="I70" i="118" s="1"/>
  <c r="H52" i="118"/>
  <c r="H70" i="118" s="1"/>
  <c r="G52" i="118"/>
  <c r="G70" i="118" s="1"/>
  <c r="F52" i="118"/>
  <c r="F70" i="118" s="1"/>
  <c r="E52" i="118"/>
  <c r="E70" i="118" s="1"/>
  <c r="D52" i="118"/>
  <c r="D70" i="118" s="1"/>
  <c r="C52" i="118"/>
  <c r="C70" i="118" s="1"/>
  <c r="I51" i="118"/>
  <c r="I69" i="118" s="1"/>
  <c r="H51" i="118"/>
  <c r="H69" i="118" s="1"/>
  <c r="G51" i="118"/>
  <c r="G69" i="118" s="1"/>
  <c r="F51" i="118"/>
  <c r="F69" i="118" s="1"/>
  <c r="E51" i="118"/>
  <c r="E69" i="118" s="1"/>
  <c r="D51" i="118"/>
  <c r="D69" i="118" s="1"/>
  <c r="C51" i="118"/>
  <c r="C69" i="118" s="1"/>
  <c r="I50" i="118"/>
  <c r="I68" i="118" s="1"/>
  <c r="H50" i="118"/>
  <c r="H68" i="118" s="1"/>
  <c r="G50" i="118"/>
  <c r="G68" i="118" s="1"/>
  <c r="F50" i="118"/>
  <c r="F68" i="118" s="1"/>
  <c r="E50" i="118"/>
  <c r="E68" i="118" s="1"/>
  <c r="D50" i="118"/>
  <c r="D68" i="118" s="1"/>
  <c r="C50" i="118"/>
  <c r="C68" i="118" s="1"/>
  <c r="I49" i="118"/>
  <c r="I67" i="118" s="1"/>
  <c r="H49" i="118"/>
  <c r="H67" i="118" s="1"/>
  <c r="G49" i="118"/>
  <c r="G67" i="118" s="1"/>
  <c r="F49" i="118"/>
  <c r="F67" i="118" s="1"/>
  <c r="E49" i="118"/>
  <c r="E67" i="118" s="1"/>
  <c r="D49" i="118"/>
  <c r="D67" i="118" s="1"/>
  <c r="C49" i="118"/>
  <c r="C67" i="118" s="1"/>
  <c r="Y43" i="118"/>
  <c r="Y822" i="118" s="1"/>
  <c r="X43" i="118"/>
  <c r="X822" i="118" s="1"/>
  <c r="W43" i="118"/>
  <c r="W822" i="118" s="1"/>
  <c r="V43" i="118"/>
  <c r="V822" i="118" s="1"/>
  <c r="U43" i="118"/>
  <c r="U822" i="118" s="1"/>
  <c r="T43" i="118"/>
  <c r="T822" i="118" s="1"/>
  <c r="S43" i="118"/>
  <c r="S822" i="118" s="1"/>
  <c r="R43" i="118"/>
  <c r="R822" i="118" s="1"/>
  <c r="Q43" i="118"/>
  <c r="Q822" i="118" s="1"/>
  <c r="P43" i="118"/>
  <c r="P822" i="118" s="1"/>
  <c r="O43" i="118"/>
  <c r="O822" i="118" s="1"/>
  <c r="N43" i="118"/>
  <c r="N822" i="118" s="1"/>
  <c r="M43" i="118"/>
  <c r="M822" i="118" s="1"/>
  <c r="Y28" i="118"/>
  <c r="Y730" i="118" s="1"/>
  <c r="X28" i="118"/>
  <c r="X730" i="118" s="1"/>
  <c r="W28" i="118"/>
  <c r="W730" i="118" s="1"/>
  <c r="V28" i="118"/>
  <c r="V730" i="118" s="1"/>
  <c r="U28" i="118"/>
  <c r="U730" i="118" s="1"/>
  <c r="T28" i="118"/>
  <c r="T730" i="118" s="1"/>
  <c r="S28" i="118"/>
  <c r="S730" i="118" s="1"/>
  <c r="R28" i="118"/>
  <c r="R730" i="118" s="1"/>
  <c r="Q28" i="118"/>
  <c r="Q730" i="118" s="1"/>
  <c r="P28" i="118"/>
  <c r="P730" i="118" s="1"/>
  <c r="O28" i="118"/>
  <c r="O730" i="118" s="1"/>
  <c r="N28" i="118"/>
  <c r="N730" i="118" s="1"/>
  <c r="M28" i="118"/>
  <c r="M730" i="118" s="1"/>
  <c r="I42" i="118"/>
  <c r="H42" i="118"/>
  <c r="G42" i="118"/>
  <c r="F42" i="118"/>
  <c r="E42" i="118"/>
  <c r="D42" i="118"/>
  <c r="C42" i="118"/>
  <c r="I26" i="118"/>
  <c r="I41" i="118" s="1"/>
  <c r="H26" i="118"/>
  <c r="H41" i="118" s="1"/>
  <c r="G26" i="118"/>
  <c r="G41" i="118" s="1"/>
  <c r="F26" i="118"/>
  <c r="F41" i="118" s="1"/>
  <c r="E26" i="118"/>
  <c r="E41" i="118" s="1"/>
  <c r="D26" i="118"/>
  <c r="D41" i="118" s="1"/>
  <c r="C26" i="118"/>
  <c r="C41" i="118" s="1"/>
  <c r="I25" i="118"/>
  <c r="I40" i="118" s="1"/>
  <c r="H25" i="118"/>
  <c r="H40" i="118" s="1"/>
  <c r="G25" i="118"/>
  <c r="G40" i="118" s="1"/>
  <c r="F25" i="118"/>
  <c r="F40" i="118" s="1"/>
  <c r="E25" i="118"/>
  <c r="E40" i="118" s="1"/>
  <c r="D25" i="118"/>
  <c r="D40" i="118" s="1"/>
  <c r="C25" i="118"/>
  <c r="C40" i="118" s="1"/>
  <c r="I24" i="118"/>
  <c r="I39" i="118" s="1"/>
  <c r="H24" i="118"/>
  <c r="H39" i="118" s="1"/>
  <c r="G24" i="118"/>
  <c r="G39" i="118" s="1"/>
  <c r="F24" i="118"/>
  <c r="F39" i="118" s="1"/>
  <c r="E24" i="118"/>
  <c r="E39" i="118" s="1"/>
  <c r="D24" i="118"/>
  <c r="D39" i="118" s="1"/>
  <c r="C24" i="118"/>
  <c r="C39" i="118" s="1"/>
  <c r="I23" i="118"/>
  <c r="I38" i="118" s="1"/>
  <c r="H23" i="118"/>
  <c r="H38" i="118" s="1"/>
  <c r="G23" i="118"/>
  <c r="G38" i="118" s="1"/>
  <c r="F23" i="118"/>
  <c r="F38" i="118" s="1"/>
  <c r="E23" i="118"/>
  <c r="E38" i="118" s="1"/>
  <c r="D23" i="118"/>
  <c r="D38" i="118" s="1"/>
  <c r="C23" i="118"/>
  <c r="C38" i="118" s="1"/>
  <c r="I22" i="118"/>
  <c r="I37" i="118" s="1"/>
  <c r="H22" i="118"/>
  <c r="H37" i="118" s="1"/>
  <c r="G22" i="118"/>
  <c r="G37" i="118" s="1"/>
  <c r="F22" i="118"/>
  <c r="F37" i="118" s="1"/>
  <c r="E22" i="118"/>
  <c r="E37" i="118" s="1"/>
  <c r="D22" i="118"/>
  <c r="D37" i="118" s="1"/>
  <c r="C22" i="118"/>
  <c r="C37" i="118" s="1"/>
  <c r="I21" i="118"/>
  <c r="I36" i="118" s="1"/>
  <c r="H21" i="118"/>
  <c r="H36" i="118" s="1"/>
  <c r="G21" i="118"/>
  <c r="G36" i="118" s="1"/>
  <c r="F21" i="118"/>
  <c r="F36" i="118" s="1"/>
  <c r="E21" i="118"/>
  <c r="E36" i="118" s="1"/>
  <c r="D21" i="118"/>
  <c r="D36" i="118" s="1"/>
  <c r="C21" i="118"/>
  <c r="C36" i="118" s="1"/>
  <c r="I20" i="118"/>
  <c r="I35" i="118" s="1"/>
  <c r="H20" i="118"/>
  <c r="H35" i="118" s="1"/>
  <c r="G20" i="118"/>
  <c r="G35" i="118" s="1"/>
  <c r="F20" i="118"/>
  <c r="F35" i="118" s="1"/>
  <c r="E20" i="118"/>
  <c r="E35" i="118" s="1"/>
  <c r="D20" i="118"/>
  <c r="D35" i="118" s="1"/>
  <c r="C20" i="118"/>
  <c r="C35" i="118" s="1"/>
  <c r="I19" i="118"/>
  <c r="I34" i="118" s="1"/>
  <c r="H19" i="118"/>
  <c r="H34" i="118" s="1"/>
  <c r="G19" i="118"/>
  <c r="G34" i="118" s="1"/>
  <c r="F19" i="118"/>
  <c r="F34" i="118" s="1"/>
  <c r="E19" i="118"/>
  <c r="E34" i="118" s="1"/>
  <c r="D19" i="118"/>
  <c r="D34" i="118" s="1"/>
  <c r="C19" i="118"/>
  <c r="C34" i="118" s="1"/>
  <c r="I18" i="118"/>
  <c r="I33" i="118" s="1"/>
  <c r="H18" i="118"/>
  <c r="H33" i="118" s="1"/>
  <c r="G18" i="118"/>
  <c r="G33" i="118" s="1"/>
  <c r="F18" i="118"/>
  <c r="F33" i="118" s="1"/>
  <c r="E18" i="118"/>
  <c r="E33" i="118" s="1"/>
  <c r="D18" i="118"/>
  <c r="D33" i="118" s="1"/>
  <c r="C18" i="118"/>
  <c r="C33" i="118" s="1"/>
  <c r="I17" i="118"/>
  <c r="I32" i="118" s="1"/>
  <c r="H17" i="118"/>
  <c r="H32" i="118" s="1"/>
  <c r="G17" i="118"/>
  <c r="G32" i="118" s="1"/>
  <c r="F17" i="118"/>
  <c r="F32" i="118" s="1"/>
  <c r="E17" i="118"/>
  <c r="E32" i="118" s="1"/>
  <c r="D17" i="118"/>
  <c r="D32" i="118" s="1"/>
  <c r="C17" i="118"/>
  <c r="C32" i="118" s="1"/>
  <c r="AF495" i="117"/>
  <c r="AF496" i="117" s="1"/>
  <c r="AE495" i="117"/>
  <c r="AE496" i="117" s="1"/>
  <c r="AD495" i="117"/>
  <c r="AD496" i="117" s="1"/>
  <c r="AC495" i="117"/>
  <c r="AC496" i="117" s="1"/>
  <c r="AB495" i="117"/>
  <c r="AB496" i="117" s="1"/>
  <c r="AA495" i="117"/>
  <c r="AA496" i="117" s="1"/>
  <c r="Z495" i="117"/>
  <c r="Z496" i="117" s="1"/>
  <c r="Y495" i="117"/>
  <c r="Y496" i="117" s="1"/>
  <c r="X495" i="117"/>
  <c r="X496" i="117" s="1"/>
  <c r="W495" i="117"/>
  <c r="W496" i="117" s="1"/>
  <c r="V495" i="117"/>
  <c r="V496" i="117" s="1"/>
  <c r="U495" i="117"/>
  <c r="U496" i="117" s="1"/>
  <c r="T495" i="117"/>
  <c r="T496" i="117" s="1"/>
  <c r="AF489" i="117"/>
  <c r="AF490" i="117" s="1"/>
  <c r="AE489" i="117"/>
  <c r="AE490" i="117" s="1"/>
  <c r="AD489" i="117"/>
  <c r="AD490" i="117" s="1"/>
  <c r="AC489" i="117"/>
  <c r="AC490" i="117" s="1"/>
  <c r="AB489" i="117"/>
  <c r="AB490" i="117" s="1"/>
  <c r="AA489" i="117"/>
  <c r="AA490" i="117" s="1"/>
  <c r="Z489" i="117"/>
  <c r="Z490" i="117" s="1"/>
  <c r="Y489" i="117"/>
  <c r="Y490" i="117" s="1"/>
  <c r="X489" i="117"/>
  <c r="X490" i="117" s="1"/>
  <c r="W489" i="117"/>
  <c r="W490" i="117" s="1"/>
  <c r="V489" i="117"/>
  <c r="V490" i="117" s="1"/>
  <c r="U489" i="117"/>
  <c r="U490" i="117" s="1"/>
  <c r="T489" i="117"/>
  <c r="T490" i="117" s="1"/>
  <c r="AF465" i="117"/>
  <c r="AE465" i="117"/>
  <c r="AD465" i="117"/>
  <c r="AC465" i="117"/>
  <c r="AB465" i="117"/>
  <c r="AA465" i="117"/>
  <c r="Z465" i="117"/>
  <c r="Y465" i="117"/>
  <c r="X465" i="117"/>
  <c r="W465" i="117"/>
  <c r="V465" i="117"/>
  <c r="U465" i="117"/>
  <c r="T465" i="117"/>
  <c r="AF415" i="117"/>
  <c r="AE415" i="117"/>
  <c r="AD415" i="117"/>
  <c r="AC415" i="117"/>
  <c r="AB415" i="117"/>
  <c r="AA415" i="117"/>
  <c r="Z415" i="117"/>
  <c r="Y415" i="117"/>
  <c r="X415" i="117"/>
  <c r="W415" i="117"/>
  <c r="V415" i="117"/>
  <c r="U415" i="117"/>
  <c r="T415" i="117"/>
  <c r="AF399" i="117"/>
  <c r="AE399" i="117"/>
  <c r="AD399" i="117"/>
  <c r="AC399" i="117"/>
  <c r="AB399" i="117"/>
  <c r="AA399" i="117"/>
  <c r="Z399" i="117"/>
  <c r="Y399" i="117"/>
  <c r="X399" i="117"/>
  <c r="W399" i="117"/>
  <c r="V399" i="117"/>
  <c r="U399" i="117"/>
  <c r="T399" i="117"/>
  <c r="AF383" i="117"/>
  <c r="AE383" i="117"/>
  <c r="AD383" i="117"/>
  <c r="AC383" i="117"/>
  <c r="AB383" i="117"/>
  <c r="AA383" i="117"/>
  <c r="Z383" i="117"/>
  <c r="Y383" i="117"/>
  <c r="X383" i="117"/>
  <c r="W383" i="117"/>
  <c r="V383" i="117"/>
  <c r="U383" i="117"/>
  <c r="T383" i="117"/>
  <c r="AF365" i="117"/>
  <c r="AE365" i="117"/>
  <c r="AD365" i="117"/>
  <c r="AC365" i="117"/>
  <c r="AB365" i="117"/>
  <c r="AA365" i="117"/>
  <c r="Z365" i="117"/>
  <c r="Y365" i="117"/>
  <c r="X365" i="117"/>
  <c r="W365" i="117"/>
  <c r="V365" i="117"/>
  <c r="U365" i="117"/>
  <c r="T365" i="117"/>
  <c r="AF342" i="117"/>
  <c r="AE342" i="117"/>
  <c r="AD342" i="117"/>
  <c r="AC342" i="117"/>
  <c r="AB342" i="117"/>
  <c r="AA342" i="117"/>
  <c r="Z342" i="117"/>
  <c r="Y342" i="117"/>
  <c r="X342" i="117"/>
  <c r="W342" i="117"/>
  <c r="V342" i="117"/>
  <c r="U342" i="117"/>
  <c r="T342" i="117"/>
  <c r="AF315" i="117"/>
  <c r="AF451" i="117" s="1"/>
  <c r="AE315" i="117"/>
  <c r="AE451" i="117" s="1"/>
  <c r="AD315" i="117"/>
  <c r="AD451" i="117" s="1"/>
  <c r="AC315" i="117"/>
  <c r="AC451" i="117" s="1"/>
  <c r="AB315" i="117"/>
  <c r="AB451" i="117" s="1"/>
  <c r="AA315" i="117"/>
  <c r="AA451" i="117" s="1"/>
  <c r="Z315" i="117"/>
  <c r="Z451" i="117" s="1"/>
  <c r="Y315" i="117"/>
  <c r="Y451" i="117" s="1"/>
  <c r="X315" i="117"/>
  <c r="X451" i="117" s="1"/>
  <c r="W315" i="117"/>
  <c r="W451" i="117" s="1"/>
  <c r="V315" i="117"/>
  <c r="V451" i="117" s="1"/>
  <c r="U315" i="117"/>
  <c r="U451" i="117" s="1"/>
  <c r="T315" i="117"/>
  <c r="T451" i="117" s="1"/>
  <c r="AF129" i="117"/>
  <c r="AE129" i="117"/>
  <c r="AD129" i="117"/>
  <c r="AC129" i="117"/>
  <c r="AB129" i="117"/>
  <c r="AA129" i="117"/>
  <c r="Z129" i="117"/>
  <c r="Y129" i="117"/>
  <c r="X129" i="117"/>
  <c r="W129" i="117"/>
  <c r="V129" i="117"/>
  <c r="U129" i="117"/>
  <c r="T129" i="117"/>
  <c r="AF113" i="117"/>
  <c r="AE113" i="117"/>
  <c r="AD113" i="117"/>
  <c r="AC113" i="117"/>
  <c r="AB113" i="117"/>
  <c r="AA113" i="117"/>
  <c r="Z113" i="117"/>
  <c r="Y113" i="117"/>
  <c r="X113" i="117"/>
  <c r="W113" i="117"/>
  <c r="V113" i="117"/>
  <c r="U113" i="117"/>
  <c r="T113" i="117"/>
  <c r="AF97" i="117"/>
  <c r="AF450" i="117" s="1"/>
  <c r="AE97" i="117"/>
  <c r="AE450" i="117" s="1"/>
  <c r="AD97" i="117"/>
  <c r="AD450" i="117" s="1"/>
  <c r="AC97" i="117"/>
  <c r="AC450" i="117" s="1"/>
  <c r="AB97" i="117"/>
  <c r="AB450" i="117" s="1"/>
  <c r="AA97" i="117"/>
  <c r="AA450" i="117" s="1"/>
  <c r="Z97" i="117"/>
  <c r="Z450" i="117" s="1"/>
  <c r="Y97" i="117"/>
  <c r="Y450" i="117" s="1"/>
  <c r="X97" i="117"/>
  <c r="X450" i="117" s="1"/>
  <c r="W97" i="117"/>
  <c r="W450" i="117" s="1"/>
  <c r="V97" i="117"/>
  <c r="V450" i="117" s="1"/>
  <c r="U97" i="117"/>
  <c r="U450" i="117" s="1"/>
  <c r="T97" i="117"/>
  <c r="T450" i="117" s="1"/>
  <c r="AF82" i="117"/>
  <c r="AE82" i="117"/>
  <c r="AD82" i="117"/>
  <c r="AC82" i="117"/>
  <c r="AB82" i="117"/>
  <c r="AA82" i="117"/>
  <c r="Z82" i="117"/>
  <c r="Y82" i="117"/>
  <c r="X82" i="117"/>
  <c r="W82" i="117"/>
  <c r="V82" i="117"/>
  <c r="U82" i="117"/>
  <c r="T82" i="117"/>
  <c r="AF67" i="117"/>
  <c r="AE67" i="117"/>
  <c r="AD67" i="117"/>
  <c r="AC67" i="117"/>
  <c r="AB67" i="117"/>
  <c r="AA67" i="117"/>
  <c r="Z67" i="117"/>
  <c r="Y67" i="117"/>
  <c r="X67" i="117"/>
  <c r="W67" i="117"/>
  <c r="V67" i="117"/>
  <c r="U67" i="117"/>
  <c r="T67" i="117"/>
  <c r="AF52" i="117"/>
  <c r="AE52" i="117"/>
  <c r="AD52" i="117"/>
  <c r="AC52" i="117"/>
  <c r="AB52" i="117"/>
  <c r="AA52" i="117"/>
  <c r="Z52" i="117"/>
  <c r="Y52" i="117"/>
  <c r="X52" i="117"/>
  <c r="W52" i="117"/>
  <c r="V52" i="117"/>
  <c r="U52" i="117"/>
  <c r="T52" i="117"/>
  <c r="AF19" i="117"/>
  <c r="AE19" i="117"/>
  <c r="AD19" i="117"/>
  <c r="AC19" i="117"/>
  <c r="AB19" i="117"/>
  <c r="AA19" i="117"/>
  <c r="Z19" i="117"/>
  <c r="Y19" i="117"/>
  <c r="X19" i="117"/>
  <c r="W19" i="117"/>
  <c r="V19" i="117"/>
  <c r="U19" i="117"/>
  <c r="T19" i="117"/>
  <c r="X269" i="116"/>
  <c r="W269" i="116"/>
  <c r="V269" i="116"/>
  <c r="U269" i="116"/>
  <c r="T269" i="116"/>
  <c r="S269" i="116"/>
  <c r="R269" i="116"/>
  <c r="Q269" i="116"/>
  <c r="P269" i="116"/>
  <c r="O269" i="116"/>
  <c r="N269" i="116"/>
  <c r="M269" i="116"/>
  <c r="L269" i="116"/>
  <c r="X257" i="116"/>
  <c r="W257" i="116"/>
  <c r="V257" i="116"/>
  <c r="U257" i="116"/>
  <c r="T257" i="116"/>
  <c r="S257" i="116"/>
  <c r="R257" i="116"/>
  <c r="Q257" i="116"/>
  <c r="P257" i="116"/>
  <c r="O257" i="116"/>
  <c r="N257" i="116"/>
  <c r="M257" i="116"/>
  <c r="L257" i="116"/>
  <c r="E256" i="116"/>
  <c r="E255" i="116"/>
  <c r="E254" i="116"/>
  <c r="E253" i="116"/>
  <c r="E252" i="116"/>
  <c r="E251" i="116"/>
  <c r="E240" i="116"/>
  <c r="E239" i="116"/>
  <c r="E238" i="116"/>
  <c r="E237" i="116"/>
  <c r="E236" i="116"/>
  <c r="E235" i="116"/>
  <c r="E222" i="116"/>
  <c r="E221" i="116"/>
  <c r="E220" i="116"/>
  <c r="E219" i="116"/>
  <c r="X191" i="116"/>
  <c r="W191" i="116"/>
  <c r="V191" i="116"/>
  <c r="U191" i="116"/>
  <c r="T191" i="116"/>
  <c r="S191" i="116"/>
  <c r="R191" i="116"/>
  <c r="R186" i="116"/>
  <c r="X175" i="116"/>
  <c r="W175" i="116"/>
  <c r="V175" i="116"/>
  <c r="U175" i="116"/>
  <c r="T175" i="116"/>
  <c r="S175" i="116"/>
  <c r="R175" i="116"/>
  <c r="R174" i="116"/>
  <c r="R199" i="116" s="1"/>
  <c r="X173" i="116"/>
  <c r="W173" i="116"/>
  <c r="X174" i="116" s="1"/>
  <c r="X199" i="116" s="1"/>
  <c r="V173" i="116"/>
  <c r="W174" i="116" s="1"/>
  <c r="W199" i="116" s="1"/>
  <c r="U173" i="116"/>
  <c r="V174" i="116" s="1"/>
  <c r="V199" i="116" s="1"/>
  <c r="T173" i="116"/>
  <c r="U174" i="116" s="1"/>
  <c r="U199" i="116" s="1"/>
  <c r="S173" i="116"/>
  <c r="T174" i="116" s="1"/>
  <c r="T199" i="116" s="1"/>
  <c r="R173" i="116"/>
  <c r="S174" i="116" s="1"/>
  <c r="S199" i="116" s="1"/>
  <c r="R169" i="116"/>
  <c r="X168" i="116"/>
  <c r="W168" i="116"/>
  <c r="X169" i="116" s="1"/>
  <c r="V168" i="116"/>
  <c r="W169" i="116" s="1"/>
  <c r="W170" i="116" s="1"/>
  <c r="U168" i="116"/>
  <c r="V169" i="116" s="1"/>
  <c r="T168" i="116"/>
  <c r="U169" i="116" s="1"/>
  <c r="S168" i="116"/>
  <c r="T169" i="116" s="1"/>
  <c r="R168" i="116"/>
  <c r="S169" i="116" s="1"/>
  <c r="X161" i="116"/>
  <c r="X162" i="116" s="1"/>
  <c r="W161" i="116"/>
  <c r="W162" i="116" s="1"/>
  <c r="V161" i="116"/>
  <c r="V162" i="116" s="1"/>
  <c r="U161" i="116"/>
  <c r="U162" i="116" s="1"/>
  <c r="T161" i="116"/>
  <c r="T162" i="116" s="1"/>
  <c r="S161" i="116"/>
  <c r="R161" i="116"/>
  <c r="Q161" i="116"/>
  <c r="P161" i="116"/>
  <c r="O161" i="116"/>
  <c r="N161" i="116"/>
  <c r="M161" i="116"/>
  <c r="L161" i="116"/>
  <c r="X146" i="116"/>
  <c r="W146" i="116"/>
  <c r="V146" i="116"/>
  <c r="U146" i="116"/>
  <c r="T146" i="116"/>
  <c r="S146" i="116"/>
  <c r="R146" i="116"/>
  <c r="Q146" i="116"/>
  <c r="P146" i="116"/>
  <c r="O146" i="116"/>
  <c r="N146" i="116"/>
  <c r="M146" i="116"/>
  <c r="L146" i="116"/>
  <c r="X145" i="116"/>
  <c r="W145" i="116"/>
  <c r="V145" i="116"/>
  <c r="U145" i="116"/>
  <c r="T145" i="116"/>
  <c r="S145" i="116"/>
  <c r="R145" i="116"/>
  <c r="Q145" i="116"/>
  <c r="P145" i="116"/>
  <c r="O145" i="116"/>
  <c r="N145" i="116"/>
  <c r="M145" i="116"/>
  <c r="L145" i="116"/>
  <c r="X144" i="116"/>
  <c r="W144" i="116"/>
  <c r="V144" i="116"/>
  <c r="U144" i="116"/>
  <c r="T144" i="116"/>
  <c r="S144" i="116"/>
  <c r="R144" i="116"/>
  <c r="Q144" i="116"/>
  <c r="P144" i="116"/>
  <c r="O144" i="116"/>
  <c r="N144" i="116"/>
  <c r="M144" i="116"/>
  <c r="L144" i="116"/>
  <c r="X143" i="116"/>
  <c r="W143" i="116"/>
  <c r="V143" i="116"/>
  <c r="U143" i="116"/>
  <c r="T143" i="116"/>
  <c r="S143" i="116"/>
  <c r="R143" i="116"/>
  <c r="Q143" i="116"/>
  <c r="P143" i="116"/>
  <c r="O143" i="116"/>
  <c r="N143" i="116"/>
  <c r="M143" i="116"/>
  <c r="L143" i="116"/>
  <c r="X142" i="116"/>
  <c r="W142" i="116"/>
  <c r="V142" i="116"/>
  <c r="U142" i="116"/>
  <c r="T142" i="116"/>
  <c r="S142" i="116"/>
  <c r="R142" i="116"/>
  <c r="Q142" i="116"/>
  <c r="P142" i="116"/>
  <c r="O142" i="116"/>
  <c r="N142" i="116"/>
  <c r="M142" i="116"/>
  <c r="L142" i="116"/>
  <c r="X141" i="116"/>
  <c r="W141" i="116"/>
  <c r="V141" i="116"/>
  <c r="U141" i="116"/>
  <c r="T141" i="116"/>
  <c r="S141" i="116"/>
  <c r="R141" i="116"/>
  <c r="Q141" i="116"/>
  <c r="P141" i="116"/>
  <c r="O141" i="116"/>
  <c r="N141" i="116"/>
  <c r="M141" i="116"/>
  <c r="L141" i="116"/>
  <c r="X139" i="116"/>
  <c r="W139" i="116"/>
  <c r="V139" i="116"/>
  <c r="U139" i="116"/>
  <c r="T139" i="116"/>
  <c r="S139" i="116"/>
  <c r="R139" i="116"/>
  <c r="Q139" i="116"/>
  <c r="P139" i="116"/>
  <c r="O139" i="116"/>
  <c r="N139" i="116"/>
  <c r="M139" i="116"/>
  <c r="L139" i="116"/>
  <c r="L134" i="116"/>
  <c r="M130" i="116" s="1"/>
  <c r="M134" i="116" s="1"/>
  <c r="N130" i="116" s="1"/>
  <c r="N134" i="116" s="1"/>
  <c r="O130" i="116" s="1"/>
  <c r="O134" i="116" s="1"/>
  <c r="P130" i="116" s="1"/>
  <c r="P134" i="116" s="1"/>
  <c r="Q130" i="116" s="1"/>
  <c r="Q134" i="116" s="1"/>
  <c r="R130" i="116" s="1"/>
  <c r="R134" i="116" s="1"/>
  <c r="S130" i="116" s="1"/>
  <c r="S134" i="116" s="1"/>
  <c r="T130" i="116" s="1"/>
  <c r="T134" i="116" s="1"/>
  <c r="U130" i="116" s="1"/>
  <c r="U134" i="116" s="1"/>
  <c r="V130" i="116" s="1"/>
  <c r="V134" i="116" s="1"/>
  <c r="W130" i="116" s="1"/>
  <c r="W134" i="116" s="1"/>
  <c r="X130" i="116" s="1"/>
  <c r="X134" i="116" s="1"/>
  <c r="L126" i="116"/>
  <c r="M122" i="116" s="1"/>
  <c r="M126" i="116" s="1"/>
  <c r="N122" i="116" s="1"/>
  <c r="N126" i="116" s="1"/>
  <c r="O122" i="116" s="1"/>
  <c r="O126" i="116" s="1"/>
  <c r="P122" i="116" s="1"/>
  <c r="P126" i="116" s="1"/>
  <c r="Q122" i="116" s="1"/>
  <c r="Q126" i="116" s="1"/>
  <c r="R122" i="116" s="1"/>
  <c r="R126" i="116" s="1"/>
  <c r="S122" i="116" s="1"/>
  <c r="S126" i="116" s="1"/>
  <c r="T122" i="116" s="1"/>
  <c r="T126" i="116" s="1"/>
  <c r="U122" i="116" s="1"/>
  <c r="U126" i="116" s="1"/>
  <c r="V122" i="116" s="1"/>
  <c r="V126" i="116" s="1"/>
  <c r="W122" i="116" s="1"/>
  <c r="W126" i="116" s="1"/>
  <c r="X122" i="116" s="1"/>
  <c r="X126" i="116" s="1"/>
  <c r="L119" i="116"/>
  <c r="M116" i="116" s="1"/>
  <c r="M119" i="116" s="1"/>
  <c r="N116" i="116" s="1"/>
  <c r="N119" i="116" s="1"/>
  <c r="O116" i="116" s="1"/>
  <c r="O119" i="116" s="1"/>
  <c r="P116" i="116" s="1"/>
  <c r="P119" i="116" s="1"/>
  <c r="Q116" i="116" s="1"/>
  <c r="Q119" i="116" s="1"/>
  <c r="R116" i="116" s="1"/>
  <c r="R119" i="116" s="1"/>
  <c r="S116" i="116" s="1"/>
  <c r="S119" i="116" s="1"/>
  <c r="T116" i="116" s="1"/>
  <c r="T119" i="116" s="1"/>
  <c r="U116" i="116" s="1"/>
  <c r="U119" i="116" s="1"/>
  <c r="V116" i="116" s="1"/>
  <c r="V119" i="116" s="1"/>
  <c r="W116" i="116" s="1"/>
  <c r="W119" i="116" s="1"/>
  <c r="X116" i="116" s="1"/>
  <c r="X119" i="116" s="1"/>
  <c r="L113" i="116"/>
  <c r="M110" i="116" s="1"/>
  <c r="M113" i="116" s="1"/>
  <c r="N110" i="116" s="1"/>
  <c r="N113" i="116" s="1"/>
  <c r="O110" i="116" s="1"/>
  <c r="O113" i="116" s="1"/>
  <c r="P110" i="116" s="1"/>
  <c r="P113" i="116" s="1"/>
  <c r="Q110" i="116" s="1"/>
  <c r="Q113" i="116" s="1"/>
  <c r="R110" i="116" s="1"/>
  <c r="R113" i="116" s="1"/>
  <c r="S110" i="116" s="1"/>
  <c r="S113" i="116" s="1"/>
  <c r="T110" i="116" s="1"/>
  <c r="T113" i="116" s="1"/>
  <c r="U110" i="116" s="1"/>
  <c r="U113" i="116" s="1"/>
  <c r="V110" i="116" s="1"/>
  <c r="V113" i="116" s="1"/>
  <c r="W110" i="116" s="1"/>
  <c r="W113" i="116" s="1"/>
  <c r="X110" i="116" s="1"/>
  <c r="X113" i="116" s="1"/>
  <c r="L107" i="116"/>
  <c r="M104" i="116" s="1"/>
  <c r="M107" i="116" s="1"/>
  <c r="N104" i="116" s="1"/>
  <c r="N107" i="116" s="1"/>
  <c r="O104" i="116" s="1"/>
  <c r="O107" i="116" s="1"/>
  <c r="P104" i="116" s="1"/>
  <c r="P107" i="116" s="1"/>
  <c r="Q104" i="116" s="1"/>
  <c r="Q107" i="116" s="1"/>
  <c r="R104" i="116" s="1"/>
  <c r="R107" i="116" s="1"/>
  <c r="S104" i="116" s="1"/>
  <c r="S107" i="116" s="1"/>
  <c r="T104" i="116" s="1"/>
  <c r="T107" i="116" s="1"/>
  <c r="U104" i="116" s="1"/>
  <c r="U107" i="116" s="1"/>
  <c r="V104" i="116" s="1"/>
  <c r="V107" i="116" s="1"/>
  <c r="W104" i="116" s="1"/>
  <c r="W107" i="116" s="1"/>
  <c r="X104" i="116" s="1"/>
  <c r="X107" i="116" s="1"/>
  <c r="L101" i="116"/>
  <c r="M98" i="116" s="1"/>
  <c r="M101" i="116" s="1"/>
  <c r="N98" i="116" s="1"/>
  <c r="N101" i="116" s="1"/>
  <c r="O98" i="116" s="1"/>
  <c r="O101" i="116" s="1"/>
  <c r="P98" i="116" s="1"/>
  <c r="P101" i="116" s="1"/>
  <c r="Q98" i="116" s="1"/>
  <c r="Q101" i="116" s="1"/>
  <c r="R98" i="116" s="1"/>
  <c r="R101" i="116" s="1"/>
  <c r="S98" i="116" s="1"/>
  <c r="S101" i="116" s="1"/>
  <c r="T98" i="116" s="1"/>
  <c r="T101" i="116" s="1"/>
  <c r="U98" i="116" s="1"/>
  <c r="U101" i="116" s="1"/>
  <c r="V98" i="116" s="1"/>
  <c r="V101" i="116" s="1"/>
  <c r="W98" i="116" s="1"/>
  <c r="W101" i="116" s="1"/>
  <c r="X98" i="116" s="1"/>
  <c r="X101" i="116" s="1"/>
  <c r="X88" i="116"/>
  <c r="W88" i="116"/>
  <c r="V88" i="116"/>
  <c r="U88" i="116"/>
  <c r="T88" i="116"/>
  <c r="S88" i="116"/>
  <c r="R88" i="116"/>
  <c r="Q88" i="116"/>
  <c r="P88" i="116"/>
  <c r="O88" i="116"/>
  <c r="N88" i="116"/>
  <c r="M88" i="116"/>
  <c r="L88" i="116"/>
  <c r="X83" i="116"/>
  <c r="W83" i="116"/>
  <c r="V83" i="116"/>
  <c r="U83" i="116"/>
  <c r="T83" i="116"/>
  <c r="S83" i="116"/>
  <c r="R83" i="116"/>
  <c r="Q83" i="116"/>
  <c r="P83" i="116"/>
  <c r="O83" i="116"/>
  <c r="N83" i="116"/>
  <c r="M83" i="116"/>
  <c r="L83" i="116"/>
  <c r="X82" i="116"/>
  <c r="W82" i="116"/>
  <c r="V82" i="116"/>
  <c r="U82" i="116"/>
  <c r="T82" i="116"/>
  <c r="S82" i="116"/>
  <c r="R82" i="116"/>
  <c r="Q82" i="116"/>
  <c r="P82" i="116"/>
  <c r="O82" i="116"/>
  <c r="N82" i="116"/>
  <c r="M82" i="116"/>
  <c r="L82" i="116"/>
  <c r="X81" i="116"/>
  <c r="W81" i="116"/>
  <c r="V81" i="116"/>
  <c r="U81" i="116"/>
  <c r="T81" i="116"/>
  <c r="S81" i="116"/>
  <c r="R81" i="116"/>
  <c r="Q81" i="116"/>
  <c r="P81" i="116"/>
  <c r="O81" i="116"/>
  <c r="N81" i="116"/>
  <c r="M81" i="116"/>
  <c r="L81" i="116"/>
  <c r="X80" i="116"/>
  <c r="W80" i="116"/>
  <c r="V80" i="116"/>
  <c r="U80" i="116"/>
  <c r="T80" i="116"/>
  <c r="S80" i="116"/>
  <c r="R80" i="116"/>
  <c r="Q80" i="116"/>
  <c r="P80" i="116"/>
  <c r="O80" i="116"/>
  <c r="N80" i="116"/>
  <c r="M80" i="116"/>
  <c r="L80" i="116"/>
  <c r="L71" i="116"/>
  <c r="X67" i="116"/>
  <c r="X71" i="116" s="1"/>
  <c r="W67" i="116"/>
  <c r="W71" i="116" s="1"/>
  <c r="V67" i="116"/>
  <c r="V71" i="116" s="1"/>
  <c r="U67" i="116"/>
  <c r="U71" i="116" s="1"/>
  <c r="T67" i="116"/>
  <c r="T71" i="116" s="1"/>
  <c r="S67" i="116"/>
  <c r="S71" i="116" s="1"/>
  <c r="R67" i="116"/>
  <c r="R71" i="116" s="1"/>
  <c r="Q67" i="116"/>
  <c r="Q71" i="116" s="1"/>
  <c r="P67" i="116"/>
  <c r="P71" i="116" s="1"/>
  <c r="O67" i="116"/>
  <c r="O71" i="116" s="1"/>
  <c r="N67" i="116"/>
  <c r="N71" i="116" s="1"/>
  <c r="M67" i="116"/>
  <c r="M71" i="116" s="1"/>
  <c r="L64" i="116"/>
  <c r="M60" i="116" s="1"/>
  <c r="M64" i="116" s="1"/>
  <c r="N60" i="116" s="1"/>
  <c r="N64" i="116" s="1"/>
  <c r="O60" i="116" s="1"/>
  <c r="O64" i="116" s="1"/>
  <c r="P60" i="116" s="1"/>
  <c r="P64" i="116" s="1"/>
  <c r="Q60" i="116" s="1"/>
  <c r="Q64" i="116" s="1"/>
  <c r="R60" i="116" s="1"/>
  <c r="R64" i="116" s="1"/>
  <c r="S60" i="116" s="1"/>
  <c r="S64" i="116" s="1"/>
  <c r="T60" i="116" s="1"/>
  <c r="T64" i="116" s="1"/>
  <c r="U60" i="116" s="1"/>
  <c r="U64" i="116" s="1"/>
  <c r="V60" i="116" s="1"/>
  <c r="V64" i="116" s="1"/>
  <c r="W60" i="116" s="1"/>
  <c r="W64" i="116" s="1"/>
  <c r="X60" i="116" s="1"/>
  <c r="X64" i="116" s="1"/>
  <c r="L57" i="116"/>
  <c r="M54" i="116" s="1"/>
  <c r="M57" i="116" s="1"/>
  <c r="N54" i="116" s="1"/>
  <c r="N57" i="116" s="1"/>
  <c r="O54" i="116" s="1"/>
  <c r="O57" i="116" s="1"/>
  <c r="P54" i="116" s="1"/>
  <c r="P57" i="116" s="1"/>
  <c r="Q54" i="116" s="1"/>
  <c r="Q57" i="116" s="1"/>
  <c r="R54" i="116" s="1"/>
  <c r="R57" i="116" s="1"/>
  <c r="S54" i="116" s="1"/>
  <c r="S57" i="116" s="1"/>
  <c r="T54" i="116" s="1"/>
  <c r="T57" i="116" s="1"/>
  <c r="U54" i="116" s="1"/>
  <c r="U57" i="116" s="1"/>
  <c r="V54" i="116" s="1"/>
  <c r="V57" i="116" s="1"/>
  <c r="W54" i="116" s="1"/>
  <c r="W57" i="116" s="1"/>
  <c r="X54" i="116" s="1"/>
  <c r="X57" i="116" s="1"/>
  <c r="L51" i="116"/>
  <c r="M48" i="116" s="1"/>
  <c r="M51" i="116" s="1"/>
  <c r="N48" i="116" s="1"/>
  <c r="N51" i="116" s="1"/>
  <c r="O48" i="116" s="1"/>
  <c r="O51" i="116" s="1"/>
  <c r="P48" i="116" s="1"/>
  <c r="P51" i="116" s="1"/>
  <c r="Q48" i="116" s="1"/>
  <c r="Q51" i="116" s="1"/>
  <c r="R48" i="116" s="1"/>
  <c r="R51" i="116" s="1"/>
  <c r="S48" i="116" s="1"/>
  <c r="S51" i="116" s="1"/>
  <c r="T48" i="116" s="1"/>
  <c r="T51" i="116" s="1"/>
  <c r="U48" i="116" s="1"/>
  <c r="U51" i="116" s="1"/>
  <c r="V48" i="116" s="1"/>
  <c r="V51" i="116" s="1"/>
  <c r="W48" i="116" s="1"/>
  <c r="W51" i="116" s="1"/>
  <c r="X48" i="116" s="1"/>
  <c r="X51" i="116" s="1"/>
  <c r="L45" i="116"/>
  <c r="M42" i="116" s="1"/>
  <c r="M45" i="116" s="1"/>
  <c r="N42" i="116" s="1"/>
  <c r="N45" i="116" s="1"/>
  <c r="O42" i="116" s="1"/>
  <c r="O45" i="116" s="1"/>
  <c r="P42" i="116" s="1"/>
  <c r="P45" i="116" s="1"/>
  <c r="Q42" i="116" s="1"/>
  <c r="Q45" i="116" s="1"/>
  <c r="R42" i="116" s="1"/>
  <c r="R45" i="116" s="1"/>
  <c r="S42" i="116" s="1"/>
  <c r="S45" i="116" s="1"/>
  <c r="T42" i="116" s="1"/>
  <c r="T45" i="116" s="1"/>
  <c r="U42" i="116" s="1"/>
  <c r="U45" i="116" s="1"/>
  <c r="V42" i="116" s="1"/>
  <c r="V45" i="116" s="1"/>
  <c r="W42" i="116" s="1"/>
  <c r="W45" i="116" s="1"/>
  <c r="X42" i="116" s="1"/>
  <c r="X45" i="116" s="1"/>
  <c r="L39" i="116"/>
  <c r="M36" i="116" s="1"/>
  <c r="M39" i="116" s="1"/>
  <c r="N36" i="116" s="1"/>
  <c r="N39" i="116" s="1"/>
  <c r="O36" i="116" s="1"/>
  <c r="O39" i="116" s="1"/>
  <c r="P36" i="116" s="1"/>
  <c r="P39" i="116" s="1"/>
  <c r="Q36" i="116" s="1"/>
  <c r="Q39" i="116" s="1"/>
  <c r="R36" i="116" s="1"/>
  <c r="R39" i="116" s="1"/>
  <c r="S36" i="116" s="1"/>
  <c r="S39" i="116" s="1"/>
  <c r="T36" i="116" s="1"/>
  <c r="T39" i="116" s="1"/>
  <c r="U36" i="116" s="1"/>
  <c r="U39" i="116" s="1"/>
  <c r="V36" i="116" s="1"/>
  <c r="V39" i="116" s="1"/>
  <c r="W36" i="116" s="1"/>
  <c r="W39" i="116" s="1"/>
  <c r="X36" i="116" s="1"/>
  <c r="X39" i="116" s="1"/>
  <c r="X34" i="116"/>
  <c r="W34" i="116"/>
  <c r="W95" i="116" s="1"/>
  <c r="V34" i="116"/>
  <c r="V79" i="116" s="1"/>
  <c r="U34" i="116"/>
  <c r="U95" i="116" s="1"/>
  <c r="T34" i="116"/>
  <c r="S34" i="116"/>
  <c r="R34" i="116"/>
  <c r="Q34" i="116"/>
  <c r="Q78" i="116" s="1"/>
  <c r="P34" i="116"/>
  <c r="O34" i="116"/>
  <c r="O79" i="116" s="1"/>
  <c r="N34" i="116"/>
  <c r="N79" i="116" s="1"/>
  <c r="M34" i="116"/>
  <c r="M78" i="116" s="1"/>
  <c r="L34" i="116"/>
  <c r="X32" i="116"/>
  <c r="W32" i="116"/>
  <c r="V32" i="116"/>
  <c r="U32" i="116"/>
  <c r="T32" i="116"/>
  <c r="S32" i="116"/>
  <c r="R32" i="116"/>
  <c r="Q32" i="116"/>
  <c r="P32" i="116"/>
  <c r="O32" i="116"/>
  <c r="N32" i="116"/>
  <c r="M32" i="116"/>
  <c r="L32" i="116"/>
  <c r="L33" i="116" s="1"/>
  <c r="L215" i="116" s="1"/>
  <c r="L223" i="116" s="1"/>
  <c r="L226" i="116" s="1"/>
  <c r="F82" i="115"/>
  <c r="G81" i="115"/>
  <c r="P69" i="115"/>
  <c r="P68" i="115"/>
  <c r="P67" i="115"/>
  <c r="P66" i="115"/>
  <c r="N66" i="115"/>
  <c r="K66" i="115"/>
  <c r="P65" i="115"/>
  <c r="N65" i="115"/>
  <c r="T12" i="116" s="1"/>
  <c r="T13" i="116" s="1"/>
  <c r="K65" i="115"/>
  <c r="T11" i="116" s="1"/>
  <c r="P64" i="115"/>
  <c r="N64" i="115"/>
  <c r="S12" i="116" s="1"/>
  <c r="K64" i="115"/>
  <c r="S11" i="116" s="1"/>
  <c r="S13" i="116" s="1"/>
  <c r="P63" i="115"/>
  <c r="N63" i="115"/>
  <c r="R12" i="116" s="1"/>
  <c r="R184" i="116" s="1"/>
  <c r="K63" i="115"/>
  <c r="R11" i="116" s="1"/>
  <c r="P62" i="115"/>
  <c r="N62" i="115"/>
  <c r="Q12" i="116" s="1"/>
  <c r="K62" i="115"/>
  <c r="Q11" i="116" s="1"/>
  <c r="Q13" i="116" s="1"/>
  <c r="P61" i="115"/>
  <c r="N61" i="115"/>
  <c r="P12" i="116" s="1"/>
  <c r="K61" i="115"/>
  <c r="P11" i="116" s="1"/>
  <c r="P13" i="116" s="1"/>
  <c r="P60" i="115"/>
  <c r="N60" i="115"/>
  <c r="O12" i="116" s="1"/>
  <c r="K60" i="115"/>
  <c r="O11" i="116" s="1"/>
  <c r="O13" i="116" s="1"/>
  <c r="P59" i="115"/>
  <c r="N59" i="115"/>
  <c r="N12" i="116" s="1"/>
  <c r="K59" i="115"/>
  <c r="N11" i="116" s="1"/>
  <c r="N13" i="116" s="1"/>
  <c r="P58" i="115"/>
  <c r="N58" i="115"/>
  <c r="M12" i="116" s="1"/>
  <c r="K58" i="115"/>
  <c r="M11" i="116" s="1"/>
  <c r="M13" i="116" s="1"/>
  <c r="P57" i="115"/>
  <c r="N57" i="115"/>
  <c r="L12" i="116" s="1"/>
  <c r="K57" i="115"/>
  <c r="L11" i="116" s="1"/>
  <c r="L13" i="116" s="1"/>
  <c r="P56" i="115"/>
  <c r="N56" i="115"/>
  <c r="K56" i="115"/>
  <c r="P55" i="115"/>
  <c r="N55" i="115"/>
  <c r="K55" i="115"/>
  <c r="P54" i="115"/>
  <c r="N54" i="115"/>
  <c r="K54" i="115"/>
  <c r="P53" i="115"/>
  <c r="N53" i="115"/>
  <c r="K53" i="115"/>
  <c r="P52" i="115"/>
  <c r="N52" i="115"/>
  <c r="K52" i="115"/>
  <c r="P51" i="115"/>
  <c r="N51" i="115"/>
  <c r="K51" i="115"/>
  <c r="P50" i="115"/>
  <c r="N50" i="115"/>
  <c r="K50" i="115"/>
  <c r="P49" i="115"/>
  <c r="K49" i="115"/>
  <c r="P48" i="115"/>
  <c r="K48" i="115"/>
  <c r="P47" i="115"/>
  <c r="G30" i="115"/>
  <c r="G29" i="115"/>
  <c r="G28" i="115"/>
  <c r="G27" i="115"/>
  <c r="G26" i="115"/>
  <c r="G25" i="115"/>
  <c r="G24" i="115"/>
  <c r="G23" i="115"/>
  <c r="G22" i="115"/>
  <c r="G21" i="115"/>
  <c r="G20" i="115"/>
  <c r="G19" i="115"/>
  <c r="G18" i="115"/>
  <c r="G17" i="115"/>
  <c r="M63" i="115" l="1"/>
  <c r="M64" i="115" s="1"/>
  <c r="O825" i="118"/>
  <c r="O827" i="118" s="1"/>
  <c r="O832" i="118" s="1"/>
  <c r="O848" i="118" s="1"/>
  <c r="O850" i="118" s="1"/>
  <c r="S825" i="118"/>
  <c r="W825" i="118"/>
  <c r="W827" i="118" s="1"/>
  <c r="W832" i="118" s="1"/>
  <c r="W848" i="118" s="1"/>
  <c r="W850" i="118" s="1"/>
  <c r="H52" i="115"/>
  <c r="H60" i="115"/>
  <c r="L95" i="116"/>
  <c r="L79" i="116"/>
  <c r="P263" i="116"/>
  <c r="P79" i="116"/>
  <c r="R79" i="116"/>
  <c r="R78" i="116"/>
  <c r="S79" i="116"/>
  <c r="S78" i="116"/>
  <c r="T95" i="116"/>
  <c r="T79" i="116"/>
  <c r="X78" i="116"/>
  <c r="X79" i="116"/>
  <c r="L89" i="116"/>
  <c r="L209" i="116" s="1"/>
  <c r="P89" i="116"/>
  <c r="P209" i="116" s="1"/>
  <c r="T89" i="116"/>
  <c r="X89" i="116"/>
  <c r="M79" i="116"/>
  <c r="M85" i="116" s="1"/>
  <c r="Q79" i="116"/>
  <c r="Q85" i="116" s="1"/>
  <c r="U79" i="116"/>
  <c r="N78" i="116"/>
  <c r="N85" i="116" s="1"/>
  <c r="V78" i="116"/>
  <c r="V85" i="116" s="1"/>
  <c r="O78" i="116"/>
  <c r="O85" i="116" s="1"/>
  <c r="W78" i="116"/>
  <c r="W79" i="116"/>
  <c r="M89" i="116"/>
  <c r="M209" i="116" s="1"/>
  <c r="U89" i="116"/>
  <c r="U78" i="116"/>
  <c r="O89" i="116"/>
  <c r="O209" i="116" s="1"/>
  <c r="S89" i="116"/>
  <c r="W89" i="116"/>
  <c r="Q89" i="116"/>
  <c r="Q209" i="116" s="1"/>
  <c r="L78" i="116"/>
  <c r="P78" i="116"/>
  <c r="T78" i="116"/>
  <c r="N89" i="116"/>
  <c r="N209" i="116" s="1"/>
  <c r="R89" i="116"/>
  <c r="V89" i="116"/>
  <c r="T126" i="120"/>
  <c r="O127" i="120"/>
  <c r="W127" i="120"/>
  <c r="R129" i="120"/>
  <c r="M130" i="120"/>
  <c r="U130" i="120"/>
  <c r="P122" i="120"/>
  <c r="T119" i="120"/>
  <c r="H55" i="115"/>
  <c r="U55" i="120"/>
  <c r="L126" i="120"/>
  <c r="N129" i="120"/>
  <c r="V129" i="120"/>
  <c r="Q130" i="120"/>
  <c r="L119" i="120"/>
  <c r="X122" i="120"/>
  <c r="J63" i="115"/>
  <c r="J64" i="115" s="1"/>
  <c r="J65" i="115" s="1"/>
  <c r="J66" i="115" s="1"/>
  <c r="H63" i="115"/>
  <c r="AE424" i="117"/>
  <c r="AE444" i="117" s="1"/>
  <c r="AE461" i="117" s="1"/>
  <c r="AE472" i="117" s="1"/>
  <c r="O733" i="118"/>
  <c r="O739" i="118" s="1"/>
  <c r="O755" i="118" s="1"/>
  <c r="O770" i="118" s="1"/>
  <c r="O772" i="118" s="1"/>
  <c r="O779" i="118" s="1"/>
  <c r="O797" i="118" s="1"/>
  <c r="O814" i="118" s="1"/>
  <c r="S733" i="118"/>
  <c r="S739" i="118" s="1"/>
  <c r="S755" i="118" s="1"/>
  <c r="S770" i="118" s="1"/>
  <c r="S772" i="118" s="1"/>
  <c r="S779" i="118" s="1"/>
  <c r="S797" i="118" s="1"/>
  <c r="S814" i="118" s="1"/>
  <c r="W733" i="118"/>
  <c r="W739" i="118" s="1"/>
  <c r="W755" i="118" s="1"/>
  <c r="W770" i="118" s="1"/>
  <c r="W772" i="118" s="1"/>
  <c r="W779" i="118" s="1"/>
  <c r="W797" i="118" s="1"/>
  <c r="W814" i="118" s="1"/>
  <c r="H66" i="115"/>
  <c r="P825" i="118"/>
  <c r="P827" i="118" s="1"/>
  <c r="P832" i="118" s="1"/>
  <c r="P848" i="118" s="1"/>
  <c r="P850" i="118" s="1"/>
  <c r="T825" i="118"/>
  <c r="T827" i="118" s="1"/>
  <c r="T832" i="118" s="1"/>
  <c r="T848" i="118" s="1"/>
  <c r="T850" i="118" s="1"/>
  <c r="X825" i="118"/>
  <c r="X827" i="118" s="1"/>
  <c r="X832" i="118" s="1"/>
  <c r="X848" i="118" s="1"/>
  <c r="X850" i="118" s="1"/>
  <c r="M65" i="115"/>
  <c r="M66" i="115" s="1"/>
  <c r="H65" i="115"/>
  <c r="H51" i="115"/>
  <c r="H53" i="115"/>
  <c r="H61" i="115"/>
  <c r="P76" i="116"/>
  <c r="X76" i="116"/>
  <c r="N126" i="120"/>
  <c r="R126" i="120"/>
  <c r="V126" i="120"/>
  <c r="M127" i="120"/>
  <c r="Q127" i="120"/>
  <c r="U127" i="120"/>
  <c r="L129" i="120"/>
  <c r="P129" i="120"/>
  <c r="T129" i="120"/>
  <c r="X129" i="120"/>
  <c r="O130" i="120"/>
  <c r="S130" i="120"/>
  <c r="W130" i="120"/>
  <c r="N825" i="118"/>
  <c r="N827" i="118" s="1"/>
  <c r="N832" i="118" s="1"/>
  <c r="N848" i="118" s="1"/>
  <c r="N850" i="118" s="1"/>
  <c r="V825" i="118"/>
  <c r="V827" i="118" s="1"/>
  <c r="V832" i="118" s="1"/>
  <c r="V848" i="118" s="1"/>
  <c r="V850" i="118" s="1"/>
  <c r="H56" i="115"/>
  <c r="F76" i="115"/>
  <c r="M29" i="116"/>
  <c r="M33" i="116" s="1"/>
  <c r="W76" i="116"/>
  <c r="T424" i="117"/>
  <c r="T444" i="117" s="1"/>
  <c r="T461" i="117" s="1"/>
  <c r="AB424" i="117"/>
  <c r="AB444" i="117" s="1"/>
  <c r="AB461" i="117" s="1"/>
  <c r="AB472" i="117" s="1"/>
  <c r="P733" i="118"/>
  <c r="P739" i="118" s="1"/>
  <c r="P755" i="118" s="1"/>
  <c r="P770" i="118" s="1"/>
  <c r="P772" i="118" s="1"/>
  <c r="P779" i="118" s="1"/>
  <c r="P797" i="118" s="1"/>
  <c r="P814" i="118" s="1"/>
  <c r="T733" i="118"/>
  <c r="T739" i="118" s="1"/>
  <c r="T755" i="118" s="1"/>
  <c r="T770" i="118" s="1"/>
  <c r="T772" i="118" s="1"/>
  <c r="T779" i="118" s="1"/>
  <c r="T797" i="118" s="1"/>
  <c r="T814" i="118" s="1"/>
  <c r="X733" i="118"/>
  <c r="X739" i="118" s="1"/>
  <c r="X755" i="118" s="1"/>
  <c r="X770" i="118" s="1"/>
  <c r="X772" i="118" s="1"/>
  <c r="X779" i="118" s="1"/>
  <c r="X797" i="118" s="1"/>
  <c r="X814" i="118" s="1"/>
  <c r="AA739" i="118"/>
  <c r="AA755" i="118" s="1"/>
  <c r="AA770" i="118" s="1"/>
  <c r="AA772" i="118" s="1"/>
  <c r="M126" i="120"/>
  <c r="Q126" i="120"/>
  <c r="U126" i="120"/>
  <c r="L127" i="120"/>
  <c r="P127" i="120"/>
  <c r="T127" i="120"/>
  <c r="X127" i="120"/>
  <c r="O129" i="120"/>
  <c r="S129" i="120"/>
  <c r="W129" i="120"/>
  <c r="N130" i="120"/>
  <c r="R130" i="120"/>
  <c r="V130" i="120"/>
  <c r="M148" i="116"/>
  <c r="U148" i="116"/>
  <c r="U424" i="117"/>
  <c r="U444" i="117" s="1"/>
  <c r="U461" i="117" s="1"/>
  <c r="U472" i="117" s="1"/>
  <c r="AC424" i="117"/>
  <c r="AC444" i="117" s="1"/>
  <c r="AC461" i="117" s="1"/>
  <c r="M733" i="118"/>
  <c r="M739" i="118" s="1"/>
  <c r="M755" i="118" s="1"/>
  <c r="M770" i="118" s="1"/>
  <c r="M772" i="118" s="1"/>
  <c r="M779" i="118" s="1"/>
  <c r="M797" i="118" s="1"/>
  <c r="M814" i="118" s="1"/>
  <c r="U733" i="118"/>
  <c r="U739" i="118" s="1"/>
  <c r="U755" i="118" s="1"/>
  <c r="U770" i="118" s="1"/>
  <c r="U772" i="118" s="1"/>
  <c r="U779" i="118" s="1"/>
  <c r="U797" i="118" s="1"/>
  <c r="U814" i="118" s="1"/>
  <c r="M825" i="118"/>
  <c r="M827" i="118" s="1"/>
  <c r="M832" i="118" s="1"/>
  <c r="M848" i="118" s="1"/>
  <c r="M850" i="118" s="1"/>
  <c r="U825" i="118"/>
  <c r="U827" i="118" s="1"/>
  <c r="U832" i="118" s="1"/>
  <c r="U848" i="118" s="1"/>
  <c r="U850" i="118" s="1"/>
  <c r="O52" i="120"/>
  <c r="S55" i="120"/>
  <c r="V148" i="116"/>
  <c r="N733" i="118"/>
  <c r="N739" i="118" s="1"/>
  <c r="N755" i="118" s="1"/>
  <c r="N770" i="118" s="1"/>
  <c r="N772" i="118" s="1"/>
  <c r="N779" i="118" s="1"/>
  <c r="N797" i="118" s="1"/>
  <c r="N814" i="118" s="1"/>
  <c r="R733" i="118"/>
  <c r="R739" i="118" s="1"/>
  <c r="R755" i="118" s="1"/>
  <c r="R770" i="118" s="1"/>
  <c r="R772" i="118" s="1"/>
  <c r="R779" i="118" s="1"/>
  <c r="R797" i="118" s="1"/>
  <c r="R814" i="118" s="1"/>
  <c r="V733" i="118"/>
  <c r="V739" i="118" s="1"/>
  <c r="V755" i="118" s="1"/>
  <c r="V770" i="118" s="1"/>
  <c r="V772" i="118" s="1"/>
  <c r="V779" i="118" s="1"/>
  <c r="V797" i="118" s="1"/>
  <c r="V814" i="118" s="1"/>
  <c r="M35" i="119"/>
  <c r="N29" i="119" s="1"/>
  <c r="N33" i="119" s="1"/>
  <c r="N35" i="119" s="1"/>
  <c r="O29" i="119" s="1"/>
  <c r="O33" i="119" s="1"/>
  <c r="O35" i="119" s="1"/>
  <c r="P29" i="119" s="1"/>
  <c r="P33" i="119" s="1"/>
  <c r="P35" i="119" s="1"/>
  <c r="Q29" i="119" s="1"/>
  <c r="Q33" i="119" s="1"/>
  <c r="Q35" i="119" s="1"/>
  <c r="R29" i="119" s="1"/>
  <c r="R33" i="119" s="1"/>
  <c r="R35" i="119" s="1"/>
  <c r="S29" i="119" s="1"/>
  <c r="S33" i="119" s="1"/>
  <c r="S35" i="119" s="1"/>
  <c r="T29" i="119" s="1"/>
  <c r="T33" i="119" s="1"/>
  <c r="T35" i="119" s="1"/>
  <c r="U29" i="119" s="1"/>
  <c r="U33" i="119" s="1"/>
  <c r="U35" i="119" s="1"/>
  <c r="V29" i="119" s="1"/>
  <c r="V33" i="119" s="1"/>
  <c r="V35" i="119" s="1"/>
  <c r="W29" i="119" s="1"/>
  <c r="W33" i="119" s="1"/>
  <c r="W35" i="119" s="1"/>
  <c r="X29" i="119" s="1"/>
  <c r="X33" i="119" s="1"/>
  <c r="X35" i="119" s="1"/>
  <c r="Y29" i="119" s="1"/>
  <c r="Y33" i="119" s="1"/>
  <c r="Y35" i="119" s="1"/>
  <c r="O126" i="120"/>
  <c r="S126" i="120"/>
  <c r="W126" i="120"/>
  <c r="N127" i="120"/>
  <c r="R127" i="120"/>
  <c r="V127" i="120"/>
  <c r="M129" i="120"/>
  <c r="U129" i="120"/>
  <c r="P130" i="120"/>
  <c r="X130" i="120"/>
  <c r="S119" i="120"/>
  <c r="H48" i="115"/>
  <c r="G48" i="115" s="1"/>
  <c r="H49" i="115"/>
  <c r="H50" i="115"/>
  <c r="H54" i="115"/>
  <c r="H57" i="115"/>
  <c r="H58" i="115"/>
  <c r="H62" i="115"/>
  <c r="U11" i="116"/>
  <c r="K67" i="115"/>
  <c r="K68" i="115" s="1"/>
  <c r="U12" i="116"/>
  <c r="U13" i="116" s="1"/>
  <c r="N67" i="115"/>
  <c r="H67" i="115" s="1"/>
  <c r="F83" i="115"/>
  <c r="G82" i="115"/>
  <c r="M262" i="116"/>
  <c r="M95" i="116"/>
  <c r="O262" i="116"/>
  <c r="O95" i="116"/>
  <c r="O76" i="116"/>
  <c r="S76" i="116"/>
  <c r="V76" i="116"/>
  <c r="O148" i="116"/>
  <c r="P148" i="116"/>
  <c r="W148" i="116"/>
  <c r="X148" i="116"/>
  <c r="S148" i="116"/>
  <c r="N148" i="116"/>
  <c r="L230" i="116"/>
  <c r="L241" i="116" s="1"/>
  <c r="L258" i="116" s="1"/>
  <c r="L264" i="116" s="1"/>
  <c r="L162" i="116"/>
  <c r="L211" i="116" s="1"/>
  <c r="M230" i="116"/>
  <c r="M241" i="116" s="1"/>
  <c r="M258" i="116" s="1"/>
  <c r="M264" i="116" s="1"/>
  <c r="M162" i="116"/>
  <c r="M211" i="116" s="1"/>
  <c r="N230" i="116"/>
  <c r="N241" i="116" s="1"/>
  <c r="N258" i="116" s="1"/>
  <c r="N264" i="116" s="1"/>
  <c r="N162" i="116"/>
  <c r="N211" i="116" s="1"/>
  <c r="O230" i="116"/>
  <c r="O241" i="116" s="1"/>
  <c r="O258" i="116" s="1"/>
  <c r="O264" i="116" s="1"/>
  <c r="O162" i="116"/>
  <c r="O211" i="116" s="1"/>
  <c r="P230" i="116"/>
  <c r="P241" i="116" s="1"/>
  <c r="P258" i="116" s="1"/>
  <c r="P264" i="116" s="1"/>
  <c r="P162" i="116"/>
  <c r="P211" i="116" s="1"/>
  <c r="R170" i="116"/>
  <c r="Z424" i="117"/>
  <c r="Z444" i="117" s="1"/>
  <c r="Z461" i="117" s="1"/>
  <c r="R825" i="118"/>
  <c r="R827" i="118" s="1"/>
  <c r="R832" i="118" s="1"/>
  <c r="R848" i="118" s="1"/>
  <c r="R850" i="118" s="1"/>
  <c r="M15" i="119"/>
  <c r="M49" i="119" s="1"/>
  <c r="M52" i="119" s="1"/>
  <c r="W52" i="120"/>
  <c r="W15" i="120"/>
  <c r="W55" i="120" s="1"/>
  <c r="N66" i="120"/>
  <c r="N122" i="120" s="1"/>
  <c r="N119" i="120"/>
  <c r="O66" i="120"/>
  <c r="O122" i="120" s="1"/>
  <c r="O119" i="120"/>
  <c r="Q119" i="120"/>
  <c r="Q66" i="120"/>
  <c r="Q122" i="120" s="1"/>
  <c r="R119" i="120"/>
  <c r="R66" i="120"/>
  <c r="R122" i="120" s="1"/>
  <c r="V66" i="120"/>
  <c r="V122" i="120" s="1"/>
  <c r="V119" i="120"/>
  <c r="P126" i="120"/>
  <c r="X126" i="120"/>
  <c r="S127" i="120"/>
  <c r="Q129" i="120"/>
  <c r="L130" i="120"/>
  <c r="T130" i="120"/>
  <c r="R14" i="121"/>
  <c r="R16" i="121"/>
  <c r="R17" i="121"/>
  <c r="R18" i="121"/>
  <c r="R19" i="121"/>
  <c r="R20" i="121"/>
  <c r="R21" i="121"/>
  <c r="R22" i="121"/>
  <c r="R23" i="121"/>
  <c r="R24" i="121"/>
  <c r="R25" i="121"/>
  <c r="R26" i="121"/>
  <c r="R27" i="121"/>
  <c r="R28" i="121"/>
  <c r="R29" i="121"/>
  <c r="R30" i="121"/>
  <c r="R31" i="121"/>
  <c r="R32" i="121"/>
  <c r="R33" i="121"/>
  <c r="R34" i="121"/>
  <c r="R35" i="121"/>
  <c r="R36" i="121"/>
  <c r="R37" i="121"/>
  <c r="R38" i="121"/>
  <c r="R39" i="121"/>
  <c r="R40" i="121"/>
  <c r="R41" i="121"/>
  <c r="R42" i="121"/>
  <c r="R43" i="121"/>
  <c r="R44" i="121"/>
  <c r="R45" i="121"/>
  <c r="R46" i="121"/>
  <c r="R47" i="121"/>
  <c r="R48" i="121"/>
  <c r="R49" i="121"/>
  <c r="R50" i="121"/>
  <c r="R51" i="121"/>
  <c r="R52" i="121"/>
  <c r="R53" i="121"/>
  <c r="R54" i="121"/>
  <c r="R55" i="121"/>
  <c r="R56" i="121"/>
  <c r="R57" i="121"/>
  <c r="R58" i="121"/>
  <c r="R59" i="121"/>
  <c r="R60" i="121"/>
  <c r="R61" i="121"/>
  <c r="R62" i="121"/>
  <c r="R63" i="121"/>
  <c r="R64" i="121"/>
  <c r="R65" i="121"/>
  <c r="R66" i="121"/>
  <c r="R67" i="121"/>
  <c r="R68" i="121"/>
  <c r="R69" i="121"/>
  <c r="R70" i="121"/>
  <c r="R71" i="121"/>
  <c r="R72" i="121"/>
  <c r="R73" i="121"/>
  <c r="R74" i="121"/>
  <c r="R75" i="121"/>
  <c r="R76" i="121"/>
  <c r="R77" i="121"/>
  <c r="R78" i="121"/>
  <c r="R79" i="121"/>
  <c r="R80" i="121"/>
  <c r="R81" i="121"/>
  <c r="R82" i="121"/>
  <c r="R83" i="121"/>
  <c r="R84" i="121"/>
  <c r="R85" i="121"/>
  <c r="R86" i="121"/>
  <c r="R87" i="121"/>
  <c r="R88" i="121"/>
  <c r="R89" i="121"/>
  <c r="R90" i="121"/>
  <c r="R91" i="121"/>
  <c r="R15" i="121"/>
  <c r="H64" i="115"/>
  <c r="F73" i="115"/>
  <c r="V170" i="116"/>
  <c r="R178" i="116"/>
  <c r="R13" i="116"/>
  <c r="F74" i="115"/>
  <c r="M225" i="116"/>
  <c r="L227" i="116"/>
  <c r="H59" i="115"/>
  <c r="R185" i="116"/>
  <c r="Q162" i="116"/>
  <c r="Q211" i="116" s="1"/>
  <c r="Q230" i="116"/>
  <c r="Q241" i="116" s="1"/>
  <c r="N263" i="116"/>
  <c r="N262" i="116"/>
  <c r="L148" i="116"/>
  <c r="T148" i="116"/>
  <c r="Q148" i="116"/>
  <c r="R162" i="116"/>
  <c r="V424" i="117"/>
  <c r="V444" i="117" s="1"/>
  <c r="V461" i="117" s="1"/>
  <c r="V472" i="117" s="1"/>
  <c r="Q263" i="116"/>
  <c r="Q95" i="116"/>
  <c r="Q262" i="116"/>
  <c r="V95" i="116"/>
  <c r="R148" i="116"/>
  <c r="S170" i="116"/>
  <c r="W424" i="117"/>
  <c r="W444" i="117" s="1"/>
  <c r="W461" i="117" s="1"/>
  <c r="R95" i="116"/>
  <c r="R76" i="116"/>
  <c r="N76" i="116"/>
  <c r="T170" i="116"/>
  <c r="S95" i="116"/>
  <c r="U170" i="116"/>
  <c r="R187" i="116"/>
  <c r="R201" i="116"/>
  <c r="L262" i="116"/>
  <c r="L76" i="116"/>
  <c r="L263" i="116"/>
  <c r="T76" i="116"/>
  <c r="M76" i="116"/>
  <c r="M263" i="116"/>
  <c r="U76" i="116"/>
  <c r="Q76" i="116"/>
  <c r="N95" i="116"/>
  <c r="X170" i="116"/>
  <c r="AA424" i="117"/>
  <c r="AA444" i="117" s="1"/>
  <c r="AA461" i="117" s="1"/>
  <c r="AA480" i="117" s="1"/>
  <c r="AD424" i="117"/>
  <c r="AD444" i="117" s="1"/>
  <c r="AD461" i="117" s="1"/>
  <c r="P262" i="116"/>
  <c r="Y424" i="117"/>
  <c r="Y444" i="117" s="1"/>
  <c r="Y461" i="117" s="1"/>
  <c r="Y480" i="117" s="1"/>
  <c r="P95" i="116"/>
  <c r="X95" i="116"/>
  <c r="S827" i="118"/>
  <c r="S832" i="118" s="1"/>
  <c r="S848" i="118" s="1"/>
  <c r="S850" i="118" s="1"/>
  <c r="X424" i="117"/>
  <c r="X444" i="117" s="1"/>
  <c r="X461" i="117" s="1"/>
  <c r="AF424" i="117"/>
  <c r="AF444" i="117" s="1"/>
  <c r="AF461" i="117" s="1"/>
  <c r="AF480" i="117" s="1"/>
  <c r="O263" i="116"/>
  <c r="S162" i="116"/>
  <c r="R31" i="120"/>
  <c r="R55" i="120" s="1"/>
  <c r="R52" i="120"/>
  <c r="L15" i="120"/>
  <c r="L55" i="120" s="1"/>
  <c r="L52" i="120"/>
  <c r="T15" i="120"/>
  <c r="T55" i="120" s="1"/>
  <c r="T52" i="120"/>
  <c r="Q733" i="118"/>
  <c r="Q739" i="118" s="1"/>
  <c r="Q755" i="118" s="1"/>
  <c r="Q770" i="118" s="1"/>
  <c r="Q772" i="118" s="1"/>
  <c r="Q779" i="118" s="1"/>
  <c r="Q797" i="118" s="1"/>
  <c r="Q814" i="118" s="1"/>
  <c r="Y733" i="118"/>
  <c r="Y739" i="118" s="1"/>
  <c r="Y755" i="118" s="1"/>
  <c r="Y770" i="118" s="1"/>
  <c r="Y772" i="118" s="1"/>
  <c r="Y779" i="118" s="1"/>
  <c r="Y797" i="118" s="1"/>
  <c r="Y814" i="118" s="1"/>
  <c r="Q825" i="118"/>
  <c r="Q827" i="118" s="1"/>
  <c r="Q832" i="118" s="1"/>
  <c r="Q848" i="118" s="1"/>
  <c r="Q850" i="118" s="1"/>
  <c r="Y825" i="118"/>
  <c r="Y827" i="118" s="1"/>
  <c r="Y832" i="118" s="1"/>
  <c r="Y848" i="118" s="1"/>
  <c r="Y850" i="118" s="1"/>
  <c r="M55" i="120"/>
  <c r="M45" i="119"/>
  <c r="N39" i="119" s="1"/>
  <c r="N43" i="119" s="1"/>
  <c r="N45" i="119" s="1"/>
  <c r="O39" i="119" s="1"/>
  <c r="O43" i="119" s="1"/>
  <c r="O45" i="119" s="1"/>
  <c r="P39" i="119" s="1"/>
  <c r="P43" i="119" s="1"/>
  <c r="P45" i="119" s="1"/>
  <c r="Q39" i="119" s="1"/>
  <c r="Q43" i="119" s="1"/>
  <c r="Q45" i="119" s="1"/>
  <c r="R39" i="119" s="1"/>
  <c r="R43" i="119" s="1"/>
  <c r="R45" i="119" s="1"/>
  <c r="S39" i="119" s="1"/>
  <c r="S43" i="119" s="1"/>
  <c r="S45" i="119" s="1"/>
  <c r="T39" i="119" s="1"/>
  <c r="T43" i="119" s="1"/>
  <c r="T45" i="119" s="1"/>
  <c r="U39" i="119" s="1"/>
  <c r="U43" i="119" s="1"/>
  <c r="U45" i="119" s="1"/>
  <c r="V39" i="119" s="1"/>
  <c r="V43" i="119" s="1"/>
  <c r="V45" i="119" s="1"/>
  <c r="W39" i="119" s="1"/>
  <c r="W43" i="119" s="1"/>
  <c r="W45" i="119" s="1"/>
  <c r="X39" i="119" s="1"/>
  <c r="X43" i="119" s="1"/>
  <c r="X45" i="119" s="1"/>
  <c r="Y39" i="119" s="1"/>
  <c r="Y43" i="119" s="1"/>
  <c r="Y45" i="119" s="1"/>
  <c r="N15" i="120"/>
  <c r="N55" i="120" s="1"/>
  <c r="N52" i="120"/>
  <c r="V15" i="120"/>
  <c r="V55" i="120" s="1"/>
  <c r="V52" i="120"/>
  <c r="W119" i="120"/>
  <c r="M119" i="120"/>
  <c r="U119" i="120"/>
  <c r="Q52" i="120"/>
  <c r="O15" i="120"/>
  <c r="O55" i="120" s="1"/>
  <c r="S52" i="120"/>
  <c r="Q55" i="120"/>
  <c r="P52" i="120"/>
  <c r="X52" i="120"/>
  <c r="W122" i="120"/>
  <c r="M92" i="121"/>
  <c r="S66" i="120"/>
  <c r="S122" i="120" s="1"/>
  <c r="P119" i="120"/>
  <c r="X119" i="120"/>
  <c r="P31" i="120"/>
  <c r="P55" i="120" s="1"/>
  <c r="X31" i="120"/>
  <c r="X55" i="120" s="1"/>
  <c r="X131" i="120" s="1"/>
  <c r="M52" i="120"/>
  <c r="U52" i="120"/>
  <c r="L66" i="120"/>
  <c r="L122" i="120" s="1"/>
  <c r="T66" i="120"/>
  <c r="T122" i="120" s="1"/>
  <c r="N92" i="121"/>
  <c r="M25" i="119"/>
  <c r="M66" i="120"/>
  <c r="M122" i="120" s="1"/>
  <c r="U66" i="120"/>
  <c r="U122" i="120" s="1"/>
  <c r="U131" i="120" s="1"/>
  <c r="R85" i="116" l="1"/>
  <c r="T85" i="116"/>
  <c r="U85" i="116"/>
  <c r="W131" i="120"/>
  <c r="S128" i="120"/>
  <c r="N128" i="120"/>
  <c r="X85" i="116"/>
  <c r="Q813" i="118"/>
  <c r="X480" i="117"/>
  <c r="X479" i="117"/>
  <c r="X471" i="117"/>
  <c r="S813" i="118"/>
  <c r="Z471" i="117"/>
  <c r="Z479" i="117"/>
  <c r="M813" i="118"/>
  <c r="T480" i="117"/>
  <c r="T479" i="117"/>
  <c r="T471" i="117"/>
  <c r="AF472" i="117"/>
  <c r="Z480" i="117"/>
  <c r="Z472" i="117"/>
  <c r="X472" i="117"/>
  <c r="R813" i="118"/>
  <c r="Y479" i="117"/>
  <c r="Y483" i="117" s="1"/>
  <c r="Y484" i="117" s="1"/>
  <c r="Y471" i="117"/>
  <c r="W813" i="118"/>
  <c r="AD471" i="117"/>
  <c r="AD479" i="117"/>
  <c r="O813" i="118"/>
  <c r="V471" i="117"/>
  <c r="V475" i="117" s="1"/>
  <c r="V476" i="117" s="1"/>
  <c r="V479" i="117"/>
  <c r="V480" i="117"/>
  <c r="V813" i="118"/>
  <c r="AC479" i="117"/>
  <c r="AC471" i="117"/>
  <c r="X813" i="118"/>
  <c r="AE471" i="117"/>
  <c r="AE475" i="117" s="1"/>
  <c r="AE476" i="117" s="1"/>
  <c r="AE479" i="117"/>
  <c r="AE480" i="117"/>
  <c r="AD480" i="117"/>
  <c r="T472" i="117"/>
  <c r="AC480" i="117"/>
  <c r="Y813" i="118"/>
  <c r="AF471" i="117"/>
  <c r="AF479" i="117"/>
  <c r="AF483" i="117" s="1"/>
  <c r="AF484" i="117" s="1"/>
  <c r="T813" i="118"/>
  <c r="AA471" i="117"/>
  <c r="AA479" i="117"/>
  <c r="AA483" i="117" s="1"/>
  <c r="AA484" i="117" s="1"/>
  <c r="P813" i="118"/>
  <c r="W471" i="117"/>
  <c r="W480" i="117"/>
  <c r="W479" i="117"/>
  <c r="N813" i="118"/>
  <c r="U479" i="117"/>
  <c r="U480" i="117"/>
  <c r="U471" i="117"/>
  <c r="U475" i="117" s="1"/>
  <c r="U476" i="117" s="1"/>
  <c r="U813" i="118"/>
  <c r="AB479" i="117"/>
  <c r="AB471" i="117"/>
  <c r="AB475" i="117" s="1"/>
  <c r="AB476" i="117" s="1"/>
  <c r="W472" i="117"/>
  <c r="AB480" i="117"/>
  <c r="AA472" i="117"/>
  <c r="AD472" i="117"/>
  <c r="Y472" i="117"/>
  <c r="AC472" i="117"/>
  <c r="W85" i="116"/>
  <c r="L85" i="116"/>
  <c r="S85" i="116"/>
  <c r="P85" i="116"/>
  <c r="O128" i="120"/>
  <c r="P131" i="120"/>
  <c r="T128" i="120"/>
  <c r="L128" i="120"/>
  <c r="Q128" i="120"/>
  <c r="U128" i="120"/>
  <c r="Q131" i="120"/>
  <c r="W128" i="120"/>
  <c r="M16" i="119"/>
  <c r="N11" i="119" s="1"/>
  <c r="N14" i="119" s="1"/>
  <c r="N15" i="119" s="1"/>
  <c r="N49" i="119" s="1"/>
  <c r="G49" i="115"/>
  <c r="G50" i="115" s="1"/>
  <c r="G51" i="115" s="1"/>
  <c r="G52" i="115" s="1"/>
  <c r="G53" i="115" s="1"/>
  <c r="G54" i="115" s="1"/>
  <c r="G55" i="115" s="1"/>
  <c r="G56" i="115" s="1"/>
  <c r="G57" i="115" s="1"/>
  <c r="G58" i="115" s="1"/>
  <c r="G59" i="115" s="1"/>
  <c r="G60" i="115" s="1"/>
  <c r="G61" i="115" s="1"/>
  <c r="G62" i="115" s="1"/>
  <c r="R92" i="121"/>
  <c r="M128" i="120"/>
  <c r="R128" i="120"/>
  <c r="L260" i="116"/>
  <c r="L261" i="116" s="1"/>
  <c r="N68" i="115"/>
  <c r="H68" i="115" s="1"/>
  <c r="S131" i="120"/>
  <c r="V128" i="120"/>
  <c r="N20" i="119"/>
  <c r="N23" i="119" s="1"/>
  <c r="N24" i="119" s="1"/>
  <c r="N48" i="119" s="1"/>
  <c r="N131" i="120"/>
  <c r="R131" i="120"/>
  <c r="T131" i="120"/>
  <c r="G83" i="115"/>
  <c r="F84" i="115"/>
  <c r="V12" i="116"/>
  <c r="V13" i="116" s="1"/>
  <c r="M67" i="115"/>
  <c r="V11" i="116"/>
  <c r="J67" i="115"/>
  <c r="J68" i="115" s="1"/>
  <c r="S184" i="116"/>
  <c r="S186" i="116"/>
  <c r="N29" i="116"/>
  <c r="N33" i="116" s="1"/>
  <c r="M215" i="116"/>
  <c r="M223" i="116" s="1"/>
  <c r="M226" i="116" s="1"/>
  <c r="O131" i="120"/>
  <c r="M131" i="120"/>
  <c r="W11" i="116"/>
  <c r="K69" i="115"/>
  <c r="X11" i="116" s="1"/>
  <c r="R179" i="116"/>
  <c r="R180" i="116"/>
  <c r="R192" i="116"/>
  <c r="R193" i="116" s="1"/>
  <c r="S190" i="116" s="1"/>
  <c r="Q258" i="116"/>
  <c r="Q264" i="116" s="1"/>
  <c r="X128" i="120"/>
  <c r="V131" i="120"/>
  <c r="P128" i="120"/>
  <c r="L131" i="120"/>
  <c r="L243" i="116"/>
  <c r="L244" i="116" s="1"/>
  <c r="X483" i="117" l="1"/>
  <c r="X484" i="117" s="1"/>
  <c r="M68" i="115"/>
  <c r="N69" i="115"/>
  <c r="X12" i="116" s="1"/>
  <c r="X13" i="116" s="1"/>
  <c r="T483" i="117"/>
  <c r="T484" i="117" s="1"/>
  <c r="AB483" i="117"/>
  <c r="AB484" i="117" s="1"/>
  <c r="W475" i="117"/>
  <c r="W476" i="117" s="1"/>
  <c r="AA475" i="117"/>
  <c r="AA476" i="117" s="1"/>
  <c r="AC475" i="117"/>
  <c r="AC476" i="117" s="1"/>
  <c r="V483" i="117"/>
  <c r="V484" i="117" s="1"/>
  <c r="T475" i="117"/>
  <c r="T476" i="117" s="1"/>
  <c r="Z483" i="117"/>
  <c r="Z484" i="117" s="1"/>
  <c r="X475" i="117"/>
  <c r="X476" i="117" s="1"/>
  <c r="U483" i="117"/>
  <c r="U484" i="117" s="1"/>
  <c r="AE483" i="117"/>
  <c r="AE484" i="117" s="1"/>
  <c r="AC483" i="117"/>
  <c r="AC484" i="117" s="1"/>
  <c r="AD475" i="117"/>
  <c r="AD476" i="117" s="1"/>
  <c r="Y475" i="117"/>
  <c r="Y476" i="117" s="1"/>
  <c r="Z475" i="117"/>
  <c r="Z476" i="117" s="1"/>
  <c r="W483" i="117"/>
  <c r="W484" i="117" s="1"/>
  <c r="AF475" i="117"/>
  <c r="AF476" i="117" s="1"/>
  <c r="AD483" i="117"/>
  <c r="AD484" i="117" s="1"/>
  <c r="G73" i="115"/>
  <c r="G74" i="115" s="1"/>
  <c r="G76" i="115"/>
  <c r="W12" i="116"/>
  <c r="W13" i="116" s="1"/>
  <c r="N16" i="119"/>
  <c r="O11" i="119" s="1"/>
  <c r="O14" i="119" s="1"/>
  <c r="O15" i="119" s="1"/>
  <c r="O49" i="119" s="1"/>
  <c r="N52" i="119"/>
  <c r="N225" i="116"/>
  <c r="M227" i="116"/>
  <c r="M260" i="116" s="1"/>
  <c r="M261" i="116" s="1"/>
  <c r="F85" i="115"/>
  <c r="G84" i="115"/>
  <c r="G63" i="115"/>
  <c r="G64" i="115" s="1"/>
  <c r="G65" i="115" s="1"/>
  <c r="G66" i="115" s="1"/>
  <c r="G67" i="115" s="1"/>
  <c r="G68" i="115" s="1"/>
  <c r="J11" i="24"/>
  <c r="K11" i="24"/>
  <c r="L11" i="24"/>
  <c r="M11" i="24"/>
  <c r="N11" i="24"/>
  <c r="S178" i="116"/>
  <c r="S201" i="116"/>
  <c r="S187" i="116"/>
  <c r="R200" i="116"/>
  <c r="R181" i="116"/>
  <c r="R206" i="116" s="1"/>
  <c r="R194" i="116"/>
  <c r="S185" i="116"/>
  <c r="N25" i="119"/>
  <c r="O20" i="119" s="1"/>
  <c r="O23" i="119" s="1"/>
  <c r="O29" i="116"/>
  <c r="O33" i="116" s="1"/>
  <c r="N215" i="116"/>
  <c r="N223" i="116" s="1"/>
  <c r="N226" i="116" s="1"/>
  <c r="O225" i="116" s="1"/>
  <c r="J69" i="115"/>
  <c r="K41" i="111" l="1"/>
  <c r="H69" i="115"/>
  <c r="G69" i="115" s="1"/>
  <c r="M69" i="115"/>
  <c r="R196" i="116"/>
  <c r="R198" i="116"/>
  <c r="R203" i="116" s="1"/>
  <c r="M243" i="116"/>
  <c r="M244" i="116" s="1"/>
  <c r="N227" i="116"/>
  <c r="N260" i="116" s="1"/>
  <c r="N261" i="116" s="1"/>
  <c r="G85" i="115"/>
  <c r="F86" i="115"/>
  <c r="R207" i="116"/>
  <c r="R209" i="116" s="1"/>
  <c r="R230" i="116"/>
  <c r="R241" i="116" s="1"/>
  <c r="O215" i="116"/>
  <c r="O223" i="116" s="1"/>
  <c r="O226" i="116" s="1"/>
  <c r="P225" i="116" s="1"/>
  <c r="P29" i="116"/>
  <c r="P33" i="116" s="1"/>
  <c r="O24" i="119"/>
  <c r="S192" i="116"/>
  <c r="S193" i="116" s="1"/>
  <c r="T190" i="116" s="1"/>
  <c r="S179" i="116"/>
  <c r="O16" i="119"/>
  <c r="P11" i="119" s="1"/>
  <c r="P14" i="119" s="1"/>
  <c r="T184" i="116"/>
  <c r="T186" i="116"/>
  <c r="R263" i="116"/>
  <c r="S180" i="116"/>
  <c r="R262" i="116"/>
  <c r="O227" i="116" l="1"/>
  <c r="O260" i="116" s="1"/>
  <c r="O261" i="116" s="1"/>
  <c r="R211" i="116"/>
  <c r="N243" i="116"/>
  <c r="N244" i="116" s="1"/>
  <c r="N50" i="24"/>
  <c r="N39" i="24"/>
  <c r="J39" i="24"/>
  <c r="K50" i="24"/>
  <c r="L50" i="24"/>
  <c r="K39" i="24"/>
  <c r="L39" i="24"/>
  <c r="J50" i="24"/>
  <c r="M50" i="24"/>
  <c r="M39" i="24"/>
  <c r="O48" i="119"/>
  <c r="O52" i="119" s="1"/>
  <c r="O25" i="119"/>
  <c r="P20" i="119" s="1"/>
  <c r="P23" i="119" s="1"/>
  <c r="P24" i="119" s="1"/>
  <c r="P48" i="119" s="1"/>
  <c r="F87" i="115"/>
  <c r="G86" i="115"/>
  <c r="T185" i="116"/>
  <c r="S200" i="116"/>
  <c r="S181" i="116"/>
  <c r="S206" i="116" s="1"/>
  <c r="S194" i="116"/>
  <c r="T178" i="116"/>
  <c r="T180" i="116" s="1"/>
  <c r="P215" i="116"/>
  <c r="P223" i="116" s="1"/>
  <c r="P226" i="116" s="1"/>
  <c r="Q225" i="116" s="1"/>
  <c r="Q29" i="116"/>
  <c r="Q33" i="116" s="1"/>
  <c r="P15" i="119"/>
  <c r="P49" i="119" s="1"/>
  <c r="R258" i="116"/>
  <c r="R264" i="116" s="1"/>
  <c r="T201" i="116"/>
  <c r="T187" i="116"/>
  <c r="P50" i="24" l="1"/>
  <c r="P54" i="24" s="1"/>
  <c r="O243" i="116"/>
  <c r="O244" i="116" s="1"/>
  <c r="J54" i="24"/>
  <c r="S196" i="116"/>
  <c r="S198" i="116"/>
  <c r="S203" i="116" s="1"/>
  <c r="L54" i="24"/>
  <c r="N54" i="24"/>
  <c r="M54" i="24"/>
  <c r="Q50" i="24"/>
  <c r="Q54" i="24" s="1"/>
  <c r="P227" i="116"/>
  <c r="P243" i="116" s="1"/>
  <c r="P244" i="116" s="1"/>
  <c r="F88" i="115"/>
  <c r="G87" i="115"/>
  <c r="T192" i="116"/>
  <c r="T193" i="116" s="1"/>
  <c r="U190" i="116" s="1"/>
  <c r="T179" i="116"/>
  <c r="T200" i="116"/>
  <c r="T181" i="116"/>
  <c r="T206" i="116" s="1"/>
  <c r="T194" i="116"/>
  <c r="P16" i="119"/>
  <c r="Q11" i="119" s="1"/>
  <c r="Q14" i="119" s="1"/>
  <c r="S207" i="116"/>
  <c r="S211" i="116" s="1"/>
  <c r="S230" i="116"/>
  <c r="S241" i="116" s="1"/>
  <c r="Q215" i="116"/>
  <c r="Q223" i="116" s="1"/>
  <c r="Q226" i="116" s="1"/>
  <c r="R225" i="116" s="1"/>
  <c r="R29" i="116"/>
  <c r="R33" i="116" s="1"/>
  <c r="S263" i="116"/>
  <c r="U184" i="116"/>
  <c r="U186" i="116"/>
  <c r="P52" i="119"/>
  <c r="S262" i="116"/>
  <c r="P25" i="119"/>
  <c r="Q20" i="119" s="1"/>
  <c r="Q23" i="119" s="1"/>
  <c r="S209" i="116" l="1"/>
  <c r="T196" i="116"/>
  <c r="T198" i="116"/>
  <c r="T203" i="116" s="1"/>
  <c r="R50" i="24"/>
  <c r="R54" i="24" s="1"/>
  <c r="P260" i="116"/>
  <c r="P261" i="116" s="1"/>
  <c r="Q227" i="116"/>
  <c r="Q243" i="116" s="1"/>
  <c r="Q244" i="116" s="1"/>
  <c r="F89" i="115"/>
  <c r="G88" i="115"/>
  <c r="Q15" i="119"/>
  <c r="Q49" i="119" s="1"/>
  <c r="T207" i="116"/>
  <c r="T211" i="116" s="1"/>
  <c r="T230" i="116"/>
  <c r="T241" i="116" s="1"/>
  <c r="U178" i="116"/>
  <c r="U180" i="116" s="1"/>
  <c r="U185" i="116"/>
  <c r="T263" i="116"/>
  <c r="S29" i="116"/>
  <c r="S33" i="116" s="1"/>
  <c r="R215" i="116"/>
  <c r="R223" i="116" s="1"/>
  <c r="R226" i="116" s="1"/>
  <c r="S225" i="116" s="1"/>
  <c r="T262" i="116"/>
  <c r="S258" i="116"/>
  <c r="S264" i="116" s="1"/>
  <c r="Q24" i="119"/>
  <c r="Q48" i="119" s="1"/>
  <c r="U201" i="116"/>
  <c r="U187" i="116"/>
  <c r="Q25" i="119" l="1"/>
  <c r="R20" i="119" s="1"/>
  <c r="R23" i="119" s="1"/>
  <c r="T209" i="116"/>
  <c r="S50" i="24"/>
  <c r="S54" i="24" s="1"/>
  <c r="Q260" i="116"/>
  <c r="Q261" i="116" s="1"/>
  <c r="Q52" i="119"/>
  <c r="G89" i="115"/>
  <c r="F90" i="115"/>
  <c r="U181" i="116"/>
  <c r="U206" i="116" s="1"/>
  <c r="U200" i="116"/>
  <c r="U194" i="116"/>
  <c r="U198" i="116" s="1"/>
  <c r="S215" i="116"/>
  <c r="S223" i="116" s="1"/>
  <c r="S226" i="116" s="1"/>
  <c r="T225" i="116" s="1"/>
  <c r="T29" i="116"/>
  <c r="T33" i="116" s="1"/>
  <c r="T258" i="116"/>
  <c r="T264" i="116" s="1"/>
  <c r="R24" i="119"/>
  <c r="R48" i="119" s="1"/>
  <c r="U192" i="116"/>
  <c r="U193" i="116" s="1"/>
  <c r="V190" i="116" s="1"/>
  <c r="U179" i="116"/>
  <c r="R227" i="116"/>
  <c r="Q16" i="119"/>
  <c r="R11" i="119" s="1"/>
  <c r="R14" i="119" s="1"/>
  <c r="V184" i="116"/>
  <c r="V186" i="116"/>
  <c r="U203" i="116" l="1"/>
  <c r="T50" i="24"/>
  <c r="T54" i="24" s="1"/>
  <c r="U196" i="116"/>
  <c r="U262" i="116"/>
  <c r="F91" i="115"/>
  <c r="G90" i="115"/>
  <c r="K89" i="115"/>
  <c r="J89" i="115"/>
  <c r="R260" i="116"/>
  <c r="R261" i="116" s="1"/>
  <c r="R243" i="116"/>
  <c r="R244" i="116" s="1"/>
  <c r="T215" i="116"/>
  <c r="T223" i="116" s="1"/>
  <c r="T226" i="116" s="1"/>
  <c r="U225" i="116" s="1"/>
  <c r="U29" i="116"/>
  <c r="U33" i="116" s="1"/>
  <c r="R25" i="119"/>
  <c r="S20" i="119" s="1"/>
  <c r="S23" i="119" s="1"/>
  <c r="R15" i="119"/>
  <c r="U207" i="116"/>
  <c r="U211" i="116" s="1"/>
  <c r="U230" i="116"/>
  <c r="U241" i="116" s="1"/>
  <c r="V185" i="116"/>
  <c r="V201" i="116"/>
  <c r="V187" i="116"/>
  <c r="U263" i="116"/>
  <c r="V178" i="116"/>
  <c r="V180" i="116" s="1"/>
  <c r="S227" i="116"/>
  <c r="K90" i="115" l="1"/>
  <c r="U209" i="116"/>
  <c r="V50" i="24"/>
  <c r="V54" i="24" s="1"/>
  <c r="U50" i="24"/>
  <c r="U54" i="24" s="1"/>
  <c r="T227" i="116"/>
  <c r="T260" i="116" s="1"/>
  <c r="T261" i="116" s="1"/>
  <c r="J90" i="115"/>
  <c r="R49" i="119"/>
  <c r="R52" i="119" s="1"/>
  <c r="R16" i="119"/>
  <c r="S11" i="119" s="1"/>
  <c r="S14" i="119" s="1"/>
  <c r="S15" i="119" s="1"/>
  <c r="G91" i="115"/>
  <c r="F92" i="115"/>
  <c r="V181" i="116"/>
  <c r="V206" i="116" s="1"/>
  <c r="V200" i="116"/>
  <c r="V194" i="116"/>
  <c r="V198" i="116" s="1"/>
  <c r="V29" i="116"/>
  <c r="V33" i="116" s="1"/>
  <c r="U215" i="116"/>
  <c r="U223" i="116" s="1"/>
  <c r="U226" i="116" s="1"/>
  <c r="V225" i="116" s="1"/>
  <c r="W186" i="116"/>
  <c r="W184" i="116"/>
  <c r="W185" i="116" s="1"/>
  <c r="U258" i="116"/>
  <c r="U264" i="116" s="1"/>
  <c r="S243" i="116"/>
  <c r="S244" i="116" s="1"/>
  <c r="S260" i="116"/>
  <c r="S261" i="116" s="1"/>
  <c r="S24" i="119"/>
  <c r="S48" i="119" s="1"/>
  <c r="V192" i="116"/>
  <c r="V193" i="116" s="1"/>
  <c r="W190" i="116" s="1"/>
  <c r="V179" i="116"/>
  <c r="V203" i="116" l="1"/>
  <c r="U227" i="116"/>
  <c r="U260" i="116" s="1"/>
  <c r="U261" i="116" s="1"/>
  <c r="T243" i="116"/>
  <c r="T244" i="116" s="1"/>
  <c r="S49" i="119"/>
  <c r="S52" i="119" s="1"/>
  <c r="S16" i="119"/>
  <c r="T11" i="119" s="1"/>
  <c r="T14" i="119" s="1"/>
  <c r="T15" i="119" s="1"/>
  <c r="F93" i="115"/>
  <c r="G92" i="115"/>
  <c r="J91" i="115"/>
  <c r="K91" i="115"/>
  <c r="X186" i="116"/>
  <c r="X184" i="116"/>
  <c r="X185" i="116" s="1"/>
  <c r="W178" i="116"/>
  <c r="W180" i="116" s="1"/>
  <c r="S25" i="119"/>
  <c r="T20" i="119" s="1"/>
  <c r="T23" i="119" s="1"/>
  <c r="W187" i="116"/>
  <c r="W201" i="116"/>
  <c r="V207" i="116"/>
  <c r="V209" i="116" s="1"/>
  <c r="V230" i="116"/>
  <c r="V241" i="116" s="1"/>
  <c r="V263" i="116"/>
  <c r="W29" i="116"/>
  <c r="W33" i="116" s="1"/>
  <c r="V215" i="116"/>
  <c r="V223" i="116" s="1"/>
  <c r="V226" i="116" s="1"/>
  <c r="V196" i="116"/>
  <c r="V262" i="116"/>
  <c r="U243" i="116" l="1"/>
  <c r="U244" i="116" s="1"/>
  <c r="T49" i="119"/>
  <c r="T16" i="119"/>
  <c r="U11" i="119" s="1"/>
  <c r="U14" i="119" s="1"/>
  <c r="U15" i="119" s="1"/>
  <c r="U49" i="119" s="1"/>
  <c r="J92" i="115"/>
  <c r="V211" i="116"/>
  <c r="W225" i="116"/>
  <c r="V227" i="116"/>
  <c r="V260" i="116" s="1"/>
  <c r="V261" i="116" s="1"/>
  <c r="K92" i="115"/>
  <c r="G93" i="115"/>
  <c r="F94" i="115"/>
  <c r="W200" i="116"/>
  <c r="W181" i="116"/>
  <c r="W206" i="116" s="1"/>
  <c r="W194" i="116"/>
  <c r="W198" i="116" s="1"/>
  <c r="X29" i="116"/>
  <c r="X33" i="116" s="1"/>
  <c r="W192" i="116"/>
  <c r="W193" i="116" s="1"/>
  <c r="W179" i="116"/>
  <c r="V258" i="116"/>
  <c r="V264" i="116" s="1"/>
  <c r="X187" i="116"/>
  <c r="X201" i="116"/>
  <c r="T24" i="119"/>
  <c r="T48" i="119" s="1"/>
  <c r="V243" i="116" l="1"/>
  <c r="V244" i="116" s="1"/>
  <c r="W203" i="116"/>
  <c r="T52" i="119"/>
  <c r="U16" i="119"/>
  <c r="V11" i="119" s="1"/>
  <c r="V14" i="119" s="1"/>
  <c r="V15" i="119" s="1"/>
  <c r="V49" i="119" s="1"/>
  <c r="X190" i="116"/>
  <c r="W215" i="116"/>
  <c r="W223" i="116" s="1"/>
  <c r="W226" i="116" s="1"/>
  <c r="F95" i="115"/>
  <c r="G94" i="115"/>
  <c r="K93" i="115"/>
  <c r="J93" i="115"/>
  <c r="W263" i="116"/>
  <c r="W207" i="116"/>
  <c r="W211" i="116" s="1"/>
  <c r="W230" i="116"/>
  <c r="W241" i="116" s="1"/>
  <c r="X178" i="116"/>
  <c r="X180" i="116" s="1"/>
  <c r="W196" i="116"/>
  <c r="T25" i="119"/>
  <c r="U20" i="119" s="1"/>
  <c r="U23" i="119" s="1"/>
  <c r="W262" i="116"/>
  <c r="J94" i="115" l="1"/>
  <c r="K94" i="115"/>
  <c r="G95" i="115"/>
  <c r="F96" i="115"/>
  <c r="X225" i="116"/>
  <c r="W227" i="116"/>
  <c r="W260" i="116" s="1"/>
  <c r="W261" i="116" s="1"/>
  <c r="X200" i="116"/>
  <c r="X181" i="116"/>
  <c r="X206" i="116" s="1"/>
  <c r="X194" i="116"/>
  <c r="X198" i="116" s="1"/>
  <c r="W209" i="116"/>
  <c r="X192" i="116"/>
  <c r="X193" i="116" s="1"/>
  <c r="X215" i="116" s="1"/>
  <c r="X223" i="116" s="1"/>
  <c r="X226" i="116" s="1"/>
  <c r="X179" i="116"/>
  <c r="V16" i="119"/>
  <c r="W11" i="119" s="1"/>
  <c r="W14" i="119" s="1"/>
  <c r="U24" i="119"/>
  <c r="U48" i="119" s="1"/>
  <c r="U52" i="119" s="1"/>
  <c r="W258" i="116"/>
  <c r="W264" i="116" s="1"/>
  <c r="W243" i="116" l="1"/>
  <c r="W244" i="116" s="1"/>
  <c r="X203" i="116"/>
  <c r="X227" i="116"/>
  <c r="X196" i="116"/>
  <c r="X262" i="116"/>
  <c r="F97" i="115"/>
  <c r="G96" i="115"/>
  <c r="K95" i="115"/>
  <c r="J95" i="115"/>
  <c r="U25" i="119"/>
  <c r="V20" i="119" s="1"/>
  <c r="V23" i="119" s="1"/>
  <c r="V24" i="119" s="1"/>
  <c r="V48" i="119" s="1"/>
  <c r="V52" i="119" s="1"/>
  <c r="X207" i="116"/>
  <c r="X211" i="116" s="1"/>
  <c r="X230" i="116"/>
  <c r="X241" i="116" s="1"/>
  <c r="X263" i="116"/>
  <c r="W15" i="119"/>
  <c r="W49" i="119" s="1"/>
  <c r="X209" i="116" l="1"/>
  <c r="J96" i="115"/>
  <c r="K96" i="115"/>
  <c r="F98" i="115"/>
  <c r="G97" i="115"/>
  <c r="V25" i="119"/>
  <c r="W20" i="119" s="1"/>
  <c r="W23" i="119" s="1"/>
  <c r="X258" i="116"/>
  <c r="X264" i="116" s="1"/>
  <c r="X243" i="116"/>
  <c r="X244" i="116" s="1"/>
  <c r="X260" i="116"/>
  <c r="X261" i="116" s="1"/>
  <c r="W16" i="119"/>
  <c r="X11" i="119" s="1"/>
  <c r="X14" i="119" s="1"/>
  <c r="K97" i="115" l="1"/>
  <c r="J97" i="115"/>
  <c r="G98" i="115"/>
  <c r="F99" i="115"/>
  <c r="X15" i="119"/>
  <c r="X49" i="119" s="1"/>
  <c r="W24" i="119"/>
  <c r="W48" i="119" s="1"/>
  <c r="W52" i="119" s="1"/>
  <c r="K98" i="115" l="1"/>
  <c r="X16" i="119"/>
  <c r="Y11" i="119" s="1"/>
  <c r="Y14" i="119" s="1"/>
  <c r="Y15" i="119" s="1"/>
  <c r="Y49" i="119" s="1"/>
  <c r="F100" i="115"/>
  <c r="G99" i="115"/>
  <c r="J98" i="115"/>
  <c r="W25" i="119"/>
  <c r="X20" i="119" s="1"/>
  <c r="X23" i="119" s="1"/>
  <c r="J99" i="115" l="1"/>
  <c r="K99" i="115"/>
  <c r="F101" i="115"/>
  <c r="G100" i="115"/>
  <c r="Y16" i="119"/>
  <c r="X24" i="119"/>
  <c r="X48" i="119" s="1"/>
  <c r="X52" i="119" s="1"/>
  <c r="K100" i="115" l="1"/>
  <c r="J100" i="115"/>
  <c r="F102" i="115"/>
  <c r="G101" i="115"/>
  <c r="X25" i="119"/>
  <c r="Y20" i="119" s="1"/>
  <c r="Y23" i="119" s="1"/>
  <c r="K101" i="115" l="1"/>
  <c r="F103" i="115"/>
  <c r="G102" i="115"/>
  <c r="J101" i="115"/>
  <c r="Y24" i="119"/>
  <c r="Y48" i="119" s="1"/>
  <c r="Y52" i="119" s="1"/>
  <c r="J102" i="115" l="1"/>
  <c r="K102" i="115"/>
  <c r="Y25" i="119"/>
  <c r="F104" i="115"/>
  <c r="G103" i="115"/>
  <c r="K103" i="115" l="1"/>
  <c r="J103" i="115"/>
  <c r="G104" i="115"/>
  <c r="F105" i="115"/>
  <c r="K104" i="115" l="1"/>
  <c r="F106" i="115"/>
  <c r="G105" i="115"/>
  <c r="J104" i="115"/>
  <c r="J105" i="115" l="1"/>
  <c r="K105" i="115"/>
  <c r="F107" i="115"/>
  <c r="G106" i="115"/>
  <c r="K106" i="115" l="1"/>
  <c r="J106" i="115"/>
  <c r="F108" i="115"/>
  <c r="G107" i="115"/>
  <c r="K107" i="115" l="1"/>
  <c r="F109" i="115"/>
  <c r="G108" i="115"/>
  <c r="J107" i="115"/>
  <c r="J108" i="115" l="1"/>
  <c r="K108" i="115"/>
  <c r="F110" i="115"/>
  <c r="G109" i="115"/>
  <c r="K109" i="115" l="1"/>
  <c r="J109" i="115"/>
  <c r="G110" i="115"/>
  <c r="F111" i="115"/>
  <c r="K110" i="115" l="1"/>
  <c r="F112" i="115"/>
  <c r="G111" i="115"/>
  <c r="J110" i="115"/>
  <c r="J111" i="115" l="1"/>
  <c r="K111" i="115"/>
  <c r="F113" i="115"/>
  <c r="G112" i="115"/>
  <c r="K112" i="115" l="1"/>
  <c r="J112" i="115"/>
  <c r="F114" i="115"/>
  <c r="G113" i="115"/>
  <c r="K113" i="115" l="1"/>
  <c r="G114" i="115"/>
  <c r="F115" i="115"/>
  <c r="J113" i="115"/>
  <c r="J114" i="115" l="1"/>
  <c r="K114" i="115"/>
  <c r="F116" i="115"/>
  <c r="G115" i="115"/>
  <c r="K115" i="115" l="1"/>
  <c r="J115" i="115"/>
  <c r="F117" i="115"/>
  <c r="G116" i="115"/>
  <c r="K116" i="115" l="1"/>
  <c r="F118" i="115"/>
  <c r="G117" i="115"/>
  <c r="J116" i="115"/>
  <c r="J117" i="115" l="1"/>
  <c r="K117" i="115"/>
  <c r="F119" i="115"/>
  <c r="G118" i="115"/>
  <c r="K118" i="115" l="1"/>
  <c r="J118" i="115"/>
  <c r="F120" i="115"/>
  <c r="G119" i="115"/>
  <c r="K119" i="115" l="1"/>
  <c r="G120" i="115"/>
  <c r="F121" i="115"/>
  <c r="J119" i="115"/>
  <c r="J120" i="115" l="1"/>
  <c r="K120" i="115"/>
  <c r="F122" i="115"/>
  <c r="G121" i="115"/>
  <c r="K121" i="115" l="1"/>
  <c r="J121" i="115"/>
  <c r="F123" i="115"/>
  <c r="G122" i="115"/>
  <c r="K122" i="115" l="1"/>
  <c r="F124" i="115"/>
  <c r="G123" i="115"/>
  <c r="J122" i="115"/>
  <c r="J123" i="115" l="1"/>
  <c r="K123" i="115"/>
  <c r="F125" i="115"/>
  <c r="G124" i="115"/>
  <c r="K124" i="115" l="1"/>
  <c r="J124" i="115"/>
  <c r="F126" i="115"/>
  <c r="G125" i="115"/>
  <c r="K125" i="115" l="1"/>
  <c r="G126" i="115"/>
  <c r="F127" i="115"/>
  <c r="J125" i="115"/>
  <c r="J126" i="115" l="1"/>
  <c r="K126" i="115"/>
  <c r="F128" i="115"/>
  <c r="G127" i="115"/>
  <c r="K127" i="115" l="1"/>
  <c r="J127" i="115"/>
  <c r="F129" i="115"/>
  <c r="G128" i="115"/>
  <c r="K128" i="115" l="1"/>
  <c r="F130" i="115"/>
  <c r="G129" i="115"/>
  <c r="J128" i="115"/>
  <c r="J129" i="115" l="1"/>
  <c r="K129" i="115"/>
  <c r="F131" i="115"/>
  <c r="G130" i="115"/>
  <c r="K130" i="115" l="1"/>
  <c r="J130" i="115"/>
  <c r="F132" i="115"/>
  <c r="G131" i="115"/>
  <c r="K131" i="115" l="1"/>
  <c r="F133" i="115"/>
  <c r="G132" i="115"/>
  <c r="J131" i="115"/>
  <c r="J132" i="115" l="1"/>
  <c r="K132" i="115"/>
  <c r="F134" i="115"/>
  <c r="G133" i="115"/>
  <c r="K133" i="115" l="1"/>
  <c r="J133" i="115"/>
  <c r="F135" i="115"/>
  <c r="G134" i="115"/>
  <c r="K134" i="115" l="1"/>
  <c r="F136" i="115"/>
  <c r="G135" i="115"/>
  <c r="J134" i="115"/>
  <c r="J135" i="115" l="1"/>
  <c r="K135" i="115"/>
  <c r="F137" i="115"/>
  <c r="G136" i="115"/>
  <c r="K136" i="115" l="1"/>
  <c r="J136" i="115"/>
  <c r="F138" i="115"/>
  <c r="G137" i="115"/>
  <c r="K137" i="115" l="1"/>
  <c r="F139" i="115"/>
  <c r="G138" i="115"/>
  <c r="J137" i="115"/>
  <c r="J138" i="115" l="1"/>
  <c r="K138" i="115"/>
  <c r="F140" i="115"/>
  <c r="G139" i="115"/>
  <c r="K139" i="115" l="1"/>
  <c r="J139" i="115"/>
  <c r="F141" i="115"/>
  <c r="G140" i="115"/>
  <c r="K140" i="115" l="1"/>
  <c r="F142" i="115"/>
  <c r="G141" i="115"/>
  <c r="J140" i="115"/>
  <c r="J141" i="115" l="1"/>
  <c r="K141" i="115"/>
  <c r="F143" i="115"/>
  <c r="G142" i="115"/>
  <c r="K142" i="115" l="1"/>
  <c r="J142" i="115"/>
  <c r="F144" i="115"/>
  <c r="G143" i="115"/>
  <c r="K143" i="115" l="1"/>
  <c r="F145" i="115"/>
  <c r="G144" i="115"/>
  <c r="J143" i="115"/>
  <c r="J144" i="115" l="1"/>
  <c r="K144" i="115"/>
  <c r="F146" i="115"/>
  <c r="G145" i="115"/>
  <c r="K145" i="115" l="1"/>
  <c r="J145" i="115"/>
  <c r="F147" i="115"/>
  <c r="G146" i="115"/>
  <c r="K146" i="115" l="1"/>
  <c r="F148" i="115"/>
  <c r="G147" i="115"/>
  <c r="J146" i="115"/>
  <c r="J147" i="115" l="1"/>
  <c r="K147" i="115"/>
  <c r="F149" i="115"/>
  <c r="G148" i="115"/>
  <c r="K148" i="115" l="1"/>
  <c r="J148" i="115"/>
  <c r="F150" i="115"/>
  <c r="G149" i="115"/>
  <c r="K149" i="115" l="1"/>
  <c r="F151" i="115"/>
  <c r="G150" i="115"/>
  <c r="J149" i="115"/>
  <c r="J150" i="115" l="1"/>
  <c r="K150" i="115"/>
  <c r="F152" i="115"/>
  <c r="G151" i="115"/>
  <c r="K151" i="115" l="1"/>
  <c r="J151" i="115"/>
  <c r="F153" i="115"/>
  <c r="G152" i="115"/>
  <c r="K152" i="115" l="1"/>
  <c r="F154" i="115"/>
  <c r="G153" i="115"/>
  <c r="J152" i="115"/>
  <c r="K153" i="115" l="1"/>
  <c r="J153" i="115"/>
  <c r="F155" i="115"/>
  <c r="G154" i="115"/>
  <c r="K154" i="115" l="1"/>
  <c r="J154" i="115"/>
  <c r="F156" i="115"/>
  <c r="G155" i="115"/>
  <c r="K155" i="115" l="1"/>
  <c r="F157" i="115"/>
  <c r="G156" i="115"/>
  <c r="J155" i="115"/>
  <c r="J156" i="115" l="1"/>
  <c r="K156" i="115"/>
  <c r="F158" i="115"/>
  <c r="G157" i="115"/>
  <c r="J157" i="115" l="1"/>
  <c r="K157" i="115"/>
  <c r="F159" i="115"/>
  <c r="G158" i="115"/>
  <c r="J158" i="115" l="1"/>
  <c r="F160" i="115"/>
  <c r="G159" i="115"/>
  <c r="K158" i="115"/>
  <c r="K159" i="115" l="1"/>
  <c r="J159" i="115"/>
  <c r="F161" i="115"/>
  <c r="G160" i="115"/>
  <c r="K160" i="115" l="1"/>
  <c r="J160" i="115"/>
  <c r="F162" i="115"/>
  <c r="G161" i="115"/>
  <c r="J161" i="115" l="1"/>
  <c r="F163" i="115"/>
  <c r="G162" i="115"/>
  <c r="K161" i="115"/>
  <c r="J162" i="115" l="1"/>
  <c r="K162" i="115"/>
  <c r="F164" i="115"/>
  <c r="G163" i="115"/>
  <c r="K163" i="115" l="1"/>
  <c r="J163" i="115"/>
  <c r="F165" i="115"/>
  <c r="G164" i="115"/>
  <c r="J164" i="115" l="1"/>
  <c r="F166" i="115"/>
  <c r="G165" i="115"/>
  <c r="J165" i="115" s="1"/>
  <c r="K164" i="115"/>
  <c r="K165" i="115" l="1"/>
  <c r="F167" i="115"/>
  <c r="G166" i="115"/>
  <c r="K166" i="115" l="1"/>
  <c r="J166" i="115"/>
  <c r="F168" i="115"/>
  <c r="G167" i="115"/>
  <c r="J167" i="115" l="1"/>
  <c r="F169" i="115"/>
  <c r="G168" i="115"/>
  <c r="J168" i="115" s="1"/>
  <c r="K167" i="115"/>
  <c r="K168" i="115" l="1"/>
  <c r="F170" i="115"/>
  <c r="G169" i="115"/>
  <c r="J169" i="115" l="1"/>
  <c r="K169" i="115"/>
  <c r="F171" i="115"/>
  <c r="G170" i="115"/>
  <c r="M45" i="114"/>
  <c r="M28" i="114"/>
  <c r="T45" i="114"/>
  <c r="S45" i="114"/>
  <c r="R45" i="114"/>
  <c r="Q45" i="114"/>
  <c r="P45" i="114"/>
  <c r="O45" i="114"/>
  <c r="N45" i="114"/>
  <c r="G4" i="114"/>
  <c r="Y49" i="114"/>
  <c r="X49" i="114"/>
  <c r="W49" i="114"/>
  <c r="V49" i="114"/>
  <c r="U49" i="114"/>
  <c r="T49" i="114"/>
  <c r="S49" i="114"/>
  <c r="R49" i="114"/>
  <c r="Q49" i="114"/>
  <c r="P49" i="114"/>
  <c r="O49" i="114"/>
  <c r="N49" i="114"/>
  <c r="M49" i="114"/>
  <c r="Y28" i="114"/>
  <c r="X28" i="114"/>
  <c r="W28" i="114"/>
  <c r="V28" i="114"/>
  <c r="U28" i="114"/>
  <c r="T28" i="114"/>
  <c r="S28" i="114"/>
  <c r="R28" i="114"/>
  <c r="Q28" i="114"/>
  <c r="P28" i="114"/>
  <c r="O28" i="114"/>
  <c r="N28" i="114"/>
  <c r="J170" i="115" l="1"/>
  <c r="F172" i="115"/>
  <c r="G172" i="115" s="1"/>
  <c r="G171" i="115"/>
  <c r="K170" i="115"/>
  <c r="CD77" i="36"/>
  <c r="CB77" i="36"/>
  <c r="BZ77" i="36"/>
  <c r="BX77" i="36"/>
  <c r="BO77" i="36"/>
  <c r="BM77" i="36"/>
  <c r="BK77" i="36"/>
  <c r="BI77" i="36"/>
  <c r="AO77" i="36"/>
  <c r="AP77" i="36"/>
  <c r="AQ77" i="36"/>
  <c r="AR77" i="36"/>
  <c r="AS77" i="36"/>
  <c r="AT77" i="36"/>
  <c r="AU77" i="36"/>
  <c r="AV77" i="36"/>
  <c r="AW77" i="36"/>
  <c r="AX77" i="36"/>
  <c r="AY77" i="36"/>
  <c r="AZ77" i="36"/>
  <c r="BA77" i="36"/>
  <c r="BB77" i="36"/>
  <c r="BC77" i="36"/>
  <c r="BD77" i="36"/>
  <c r="BE77" i="36"/>
  <c r="BF77" i="36"/>
  <c r="AN77" i="36"/>
  <c r="J171" i="115" l="1"/>
  <c r="J172" i="115" s="1"/>
  <c r="K171" i="115"/>
  <c r="K172" i="115" s="1"/>
  <c r="X44" i="113"/>
  <c r="N44" i="113"/>
  <c r="M44" i="113"/>
  <c r="L44" i="113"/>
  <c r="K44" i="113"/>
  <c r="J44" i="113"/>
  <c r="A3" i="113"/>
  <c r="P56" i="112" l="1"/>
  <c r="O56" i="112"/>
  <c r="N56" i="112"/>
  <c r="M56" i="112"/>
  <c r="L56" i="112"/>
  <c r="K56" i="112"/>
  <c r="J56" i="112"/>
  <c r="P31" i="112"/>
  <c r="O31" i="112"/>
  <c r="N31" i="112"/>
  <c r="M31" i="112"/>
  <c r="L31" i="112"/>
  <c r="K31" i="112"/>
  <c r="J31" i="112"/>
  <c r="A3" i="112"/>
  <c r="AZ163" i="62" l="1"/>
  <c r="AY163" i="62"/>
  <c r="AX163" i="62"/>
  <c r="AW163" i="62"/>
  <c r="AV163" i="62"/>
  <c r="AU163" i="62"/>
  <c r="AT163" i="62"/>
  <c r="AS163" i="62"/>
  <c r="AR163" i="62"/>
  <c r="AQ163" i="62"/>
  <c r="AP163" i="62"/>
  <c r="AO163" i="62"/>
  <c r="AN163" i="62"/>
  <c r="AK163" i="62"/>
  <c r="AJ163" i="62"/>
  <c r="AI163" i="62"/>
  <c r="AH163" i="62"/>
  <c r="AG163" i="62"/>
  <c r="AF163" i="62"/>
  <c r="AE163" i="62"/>
  <c r="AD163" i="62"/>
  <c r="AC163" i="62"/>
  <c r="AB163" i="62"/>
  <c r="AA163" i="62"/>
  <c r="Z163" i="62"/>
  <c r="Y163" i="62"/>
  <c r="V163" i="62"/>
  <c r="U163" i="62"/>
  <c r="T163" i="62"/>
  <c r="S163" i="62"/>
  <c r="R163" i="62"/>
  <c r="Q163" i="62"/>
  <c r="P163" i="62"/>
  <c r="O163" i="62"/>
  <c r="N163" i="62"/>
  <c r="M163" i="62"/>
  <c r="L163" i="62"/>
  <c r="K163" i="62"/>
  <c r="J163" i="62"/>
  <c r="J45" i="62" l="1"/>
  <c r="K45" i="62"/>
  <c r="L45" i="62"/>
  <c r="M45" i="62"/>
  <c r="N45" i="62"/>
  <c r="O45" i="62"/>
  <c r="P45" i="62"/>
  <c r="Q45" i="62"/>
  <c r="R45" i="62"/>
  <c r="S45" i="62"/>
  <c r="T45" i="62"/>
  <c r="U45" i="62"/>
  <c r="V45" i="62"/>
  <c r="Y45" i="62"/>
  <c r="Z45" i="62"/>
  <c r="AA45" i="62"/>
  <c r="AB45" i="62"/>
  <c r="AC45" i="62"/>
  <c r="AD45" i="62"/>
  <c r="AE45" i="62"/>
  <c r="AF45" i="62"/>
  <c r="AG45" i="62"/>
  <c r="AH45" i="62"/>
  <c r="AI45" i="62"/>
  <c r="AJ45" i="62"/>
  <c r="AK45" i="62"/>
  <c r="AN45" i="62"/>
  <c r="AO45" i="62"/>
  <c r="AP45" i="62"/>
  <c r="AQ45" i="62"/>
  <c r="AR45" i="62"/>
  <c r="AS45" i="62"/>
  <c r="AT45" i="62"/>
  <c r="AU45" i="62"/>
  <c r="AV45" i="62"/>
  <c r="AW45" i="62"/>
  <c r="AX45" i="62"/>
  <c r="AY45" i="62"/>
  <c r="AZ45" i="62"/>
  <c r="AA113" i="54" l="1"/>
  <c r="Z113" i="54"/>
  <c r="Y113" i="54"/>
  <c r="X113" i="54"/>
  <c r="W113" i="54"/>
  <c r="V113" i="54"/>
  <c r="U113" i="54"/>
  <c r="T113" i="54"/>
  <c r="S113" i="54"/>
  <c r="R113" i="54"/>
  <c r="AA112" i="54"/>
  <c r="Z112" i="54"/>
  <c r="Y112" i="54"/>
  <c r="X112" i="54"/>
  <c r="W112" i="54"/>
  <c r="V112" i="54"/>
  <c r="U112" i="54"/>
  <c r="T112" i="54"/>
  <c r="S112" i="54"/>
  <c r="R112" i="54"/>
  <c r="AA99" i="54"/>
  <c r="Z99" i="54"/>
  <c r="Y99" i="54"/>
  <c r="X99" i="54"/>
  <c r="W99" i="54"/>
  <c r="V99" i="54"/>
  <c r="U99" i="54"/>
  <c r="T99" i="54"/>
  <c r="S99" i="54"/>
  <c r="R99" i="54"/>
  <c r="AA98" i="54"/>
  <c r="Z98" i="54"/>
  <c r="Y98" i="54"/>
  <c r="X98" i="54"/>
  <c r="W98" i="54"/>
  <c r="V98" i="54"/>
  <c r="U98" i="54"/>
  <c r="T98" i="54"/>
  <c r="S98" i="54"/>
  <c r="R98" i="54"/>
  <c r="AA46" i="54"/>
  <c r="Z46" i="54"/>
  <c r="Y46" i="54"/>
  <c r="X46" i="54"/>
  <c r="W46" i="54"/>
  <c r="V46" i="54"/>
  <c r="U46" i="54"/>
  <c r="T46" i="54"/>
  <c r="S46" i="54"/>
  <c r="R46" i="54"/>
  <c r="AA45" i="54"/>
  <c r="Z45" i="54"/>
  <c r="Y45" i="54"/>
  <c r="X45" i="54"/>
  <c r="W45" i="54"/>
  <c r="V45" i="54"/>
  <c r="U45" i="54"/>
  <c r="T45" i="54"/>
  <c r="S45" i="54"/>
  <c r="R45" i="54"/>
  <c r="AA31" i="54"/>
  <c r="Z31" i="54"/>
  <c r="Y31" i="54"/>
  <c r="X31" i="54"/>
  <c r="W31" i="54"/>
  <c r="V31" i="54"/>
  <c r="U31" i="54"/>
  <c r="T31" i="54"/>
  <c r="S31" i="54"/>
  <c r="R31" i="54"/>
  <c r="AA30" i="54"/>
  <c r="Z30" i="54"/>
  <c r="Y30" i="54"/>
  <c r="X30" i="54"/>
  <c r="W30" i="54"/>
  <c r="V30" i="54"/>
  <c r="U30" i="54"/>
  <c r="T30" i="54"/>
  <c r="S30" i="54"/>
  <c r="R30" i="54"/>
  <c r="AA141" i="54" l="1"/>
  <c r="Z141" i="54"/>
  <c r="Y141" i="54"/>
  <c r="X141" i="54"/>
  <c r="W141" i="54"/>
  <c r="V141" i="54"/>
  <c r="U141" i="54"/>
  <c r="T141" i="54"/>
  <c r="S141" i="54"/>
  <c r="R141" i="54"/>
  <c r="Q141" i="54"/>
  <c r="P141" i="54"/>
  <c r="O141" i="54"/>
  <c r="N141" i="54"/>
  <c r="M141" i="54"/>
  <c r="L141" i="54"/>
  <c r="K141" i="54"/>
  <c r="J141" i="54"/>
  <c r="AA111" i="54" l="1"/>
  <c r="Z111" i="54"/>
  <c r="Y111" i="54"/>
  <c r="X111" i="54"/>
  <c r="W111" i="54"/>
  <c r="V111" i="54"/>
  <c r="U111" i="54"/>
  <c r="T111" i="54"/>
  <c r="S111" i="54"/>
  <c r="R111" i="54"/>
  <c r="AA110" i="54"/>
  <c r="Z110" i="54"/>
  <c r="Y110" i="54"/>
  <c r="X110" i="54"/>
  <c r="W110" i="54"/>
  <c r="V110" i="54"/>
  <c r="U110" i="54"/>
  <c r="T110" i="54"/>
  <c r="S110" i="54"/>
  <c r="R110" i="54"/>
  <c r="AA96" i="54"/>
  <c r="Z96" i="54"/>
  <c r="Y96" i="54"/>
  <c r="X96" i="54"/>
  <c r="W96" i="54"/>
  <c r="V96" i="54"/>
  <c r="U96" i="54"/>
  <c r="T96" i="54"/>
  <c r="S96" i="54"/>
  <c r="R96" i="54"/>
  <c r="AA97" i="54"/>
  <c r="Z97" i="54"/>
  <c r="Y97" i="54"/>
  <c r="X97" i="54"/>
  <c r="W97" i="54"/>
  <c r="V97" i="54"/>
  <c r="U97" i="54"/>
  <c r="T97" i="54"/>
  <c r="S97" i="54"/>
  <c r="R97" i="54"/>
  <c r="R43" i="54"/>
  <c r="S43" i="54"/>
  <c r="T43" i="54"/>
  <c r="U43" i="54"/>
  <c r="V43" i="54"/>
  <c r="W43" i="54"/>
  <c r="X43" i="54"/>
  <c r="Y43" i="54"/>
  <c r="Z43" i="54"/>
  <c r="AA43" i="54"/>
  <c r="R44" i="54"/>
  <c r="S44" i="54"/>
  <c r="T44" i="54"/>
  <c r="U44" i="54"/>
  <c r="V44" i="54"/>
  <c r="W44" i="54"/>
  <c r="X44" i="54"/>
  <c r="Y44" i="54"/>
  <c r="Z44" i="54"/>
  <c r="AA44" i="54"/>
  <c r="R47" i="54"/>
  <c r="S47" i="54"/>
  <c r="T47" i="54"/>
  <c r="U47" i="54"/>
  <c r="V47" i="54"/>
  <c r="W47" i="54"/>
  <c r="X47" i="54"/>
  <c r="Y47" i="54"/>
  <c r="Z47" i="54"/>
  <c r="AA47" i="54"/>
  <c r="R48" i="54"/>
  <c r="S48" i="54"/>
  <c r="T48" i="54"/>
  <c r="U48" i="54"/>
  <c r="V48" i="54"/>
  <c r="W48" i="54"/>
  <c r="X48" i="54"/>
  <c r="Y48" i="54"/>
  <c r="Z48" i="54"/>
  <c r="AA48" i="54"/>
  <c r="R49" i="54"/>
  <c r="S49" i="54"/>
  <c r="T49" i="54"/>
  <c r="U49" i="54"/>
  <c r="V49" i="54"/>
  <c r="W49" i="54"/>
  <c r="X49" i="54"/>
  <c r="Y49" i="54"/>
  <c r="Z49" i="54"/>
  <c r="AA49" i="54"/>
  <c r="R50" i="54"/>
  <c r="S50" i="54"/>
  <c r="T50" i="54"/>
  <c r="U50" i="54"/>
  <c r="V50" i="54"/>
  <c r="W50" i="54"/>
  <c r="X50" i="54"/>
  <c r="Y50" i="54"/>
  <c r="Z50" i="54"/>
  <c r="AA50" i="54"/>
  <c r="R51" i="54"/>
  <c r="S51" i="54"/>
  <c r="T51" i="54"/>
  <c r="U51" i="54"/>
  <c r="V51" i="54"/>
  <c r="W51" i="54"/>
  <c r="X51" i="54"/>
  <c r="Y51" i="54"/>
  <c r="Z51" i="54"/>
  <c r="AA51" i="54"/>
  <c r="R52" i="54"/>
  <c r="S52" i="54"/>
  <c r="T52" i="54"/>
  <c r="U52" i="54"/>
  <c r="V52" i="54"/>
  <c r="W52" i="54"/>
  <c r="X52" i="54"/>
  <c r="Y52" i="54"/>
  <c r="Z52" i="54"/>
  <c r="AA52" i="54"/>
  <c r="R28" i="54"/>
  <c r="S28" i="54"/>
  <c r="T28" i="54"/>
  <c r="U28" i="54"/>
  <c r="V28" i="54"/>
  <c r="W28" i="54"/>
  <c r="X28" i="54"/>
  <c r="Y28" i="54"/>
  <c r="Z28" i="54"/>
  <c r="AA28" i="54"/>
  <c r="R29" i="54"/>
  <c r="S29" i="54"/>
  <c r="T29" i="54"/>
  <c r="U29" i="54"/>
  <c r="V29" i="54"/>
  <c r="W29" i="54"/>
  <c r="X29" i="54"/>
  <c r="Y29" i="54"/>
  <c r="Z29" i="54"/>
  <c r="AA29" i="54"/>
  <c r="R32" i="54"/>
  <c r="S32" i="54"/>
  <c r="T32" i="54"/>
  <c r="U32" i="54"/>
  <c r="V32" i="54"/>
  <c r="W32" i="54"/>
  <c r="X32" i="54"/>
  <c r="Y32" i="54"/>
  <c r="Z32" i="54"/>
  <c r="AA32" i="54"/>
  <c r="R33" i="54"/>
  <c r="S33" i="54"/>
  <c r="T33" i="54"/>
  <c r="U33" i="54"/>
  <c r="V33" i="54"/>
  <c r="W33" i="54"/>
  <c r="X33" i="54"/>
  <c r="Y33" i="54"/>
  <c r="Z33" i="54"/>
  <c r="AA33" i="54"/>
  <c r="R34" i="54"/>
  <c r="S34" i="54"/>
  <c r="T34" i="54"/>
  <c r="U34" i="54"/>
  <c r="V34" i="54"/>
  <c r="W34" i="54"/>
  <c r="X34" i="54"/>
  <c r="Y34" i="54"/>
  <c r="Z34" i="54"/>
  <c r="AA34" i="54"/>
  <c r="R35" i="54"/>
  <c r="S35" i="54"/>
  <c r="T35" i="54"/>
  <c r="U35" i="54"/>
  <c r="V35" i="54"/>
  <c r="W35" i="54"/>
  <c r="X35" i="54"/>
  <c r="Y35" i="54"/>
  <c r="Z35" i="54"/>
  <c r="AA35" i="54"/>
  <c r="R36" i="54"/>
  <c r="S36" i="54"/>
  <c r="T36" i="54"/>
  <c r="U36" i="54"/>
  <c r="V36" i="54"/>
  <c r="W36" i="54"/>
  <c r="X36" i="54"/>
  <c r="Y36" i="54"/>
  <c r="Z36" i="54"/>
  <c r="AA36" i="54"/>
  <c r="R37" i="54"/>
  <c r="S37" i="54"/>
  <c r="T37" i="54"/>
  <c r="U37" i="54"/>
  <c r="V37" i="54"/>
  <c r="W37" i="54"/>
  <c r="X37" i="54"/>
  <c r="Y37" i="54"/>
  <c r="Z37" i="54"/>
  <c r="AA37" i="54"/>
  <c r="R38" i="54"/>
  <c r="S38" i="54"/>
  <c r="T38" i="54"/>
  <c r="U38" i="54"/>
  <c r="V38" i="54"/>
  <c r="W38" i="54"/>
  <c r="X38" i="54"/>
  <c r="Y38" i="54"/>
  <c r="Z38" i="54"/>
  <c r="AA38" i="54"/>
  <c r="Q79" i="54"/>
  <c r="P79" i="54"/>
  <c r="O79" i="54"/>
  <c r="N79" i="54"/>
  <c r="M79" i="54"/>
  <c r="L79" i="54"/>
  <c r="K79" i="54"/>
  <c r="Y150" i="54" l="1"/>
  <c r="Y160" i="54" s="1"/>
  <c r="U150" i="54"/>
  <c r="U160" i="54" s="1"/>
  <c r="X150" i="54"/>
  <c r="X160" i="54" s="1"/>
  <c r="Z150" i="54"/>
  <c r="Z160" i="54" s="1"/>
  <c r="L13" i="54"/>
  <c r="L148" i="54"/>
  <c r="L158" i="54" s="1"/>
  <c r="N13" i="54"/>
  <c r="N148" i="54"/>
  <c r="N158" i="54" s="1"/>
  <c r="M13" i="54"/>
  <c r="M148" i="54"/>
  <c r="M158" i="54" s="1"/>
  <c r="O13" i="54"/>
  <c r="O148" i="54"/>
  <c r="O158" i="54" s="1"/>
  <c r="P13" i="54"/>
  <c r="P148" i="54"/>
  <c r="P158" i="54" s="1"/>
  <c r="Q13" i="54"/>
  <c r="Q148" i="54"/>
  <c r="Q158" i="54" s="1"/>
  <c r="K13" i="54"/>
  <c r="K148" i="54"/>
  <c r="K158" i="54" s="1"/>
  <c r="T150" i="54"/>
  <c r="T160" i="54" s="1"/>
  <c r="AA150" i="54"/>
  <c r="AA160" i="54" s="1"/>
  <c r="S150" i="54"/>
  <c r="S160" i="54" s="1"/>
  <c r="R150" i="54"/>
  <c r="R160" i="54" s="1"/>
  <c r="W150" i="54"/>
  <c r="W160" i="54" s="1"/>
  <c r="V150" i="54"/>
  <c r="V160" i="54" s="1"/>
  <c r="V79" i="54"/>
  <c r="V13" i="54" s="1"/>
  <c r="Y79" i="54"/>
  <c r="Y13" i="54" s="1"/>
  <c r="W79" i="54"/>
  <c r="W13" i="54" s="1"/>
  <c r="R79" i="54"/>
  <c r="R13" i="54" s="1"/>
  <c r="Z79" i="54"/>
  <c r="Z13" i="54" s="1"/>
  <c r="AA79" i="54"/>
  <c r="AA13" i="54" s="1"/>
  <c r="X79" i="54"/>
  <c r="X13" i="54" s="1"/>
  <c r="T79" i="54"/>
  <c r="T13" i="54" s="1"/>
  <c r="S79" i="54"/>
  <c r="S13" i="54" s="1"/>
  <c r="U79" i="54"/>
  <c r="U13" i="54" s="1"/>
  <c r="AN78" i="35" l="1"/>
  <c r="AO78" i="35"/>
  <c r="AP78" i="35"/>
  <c r="AQ78" i="35"/>
  <c r="AR78" i="35"/>
  <c r="AS78" i="35"/>
  <c r="AT78" i="35"/>
  <c r="AU78" i="35"/>
  <c r="AV78" i="35"/>
  <c r="AW78" i="35"/>
  <c r="AX78" i="35"/>
  <c r="AY78" i="35"/>
  <c r="AZ78" i="35"/>
  <c r="AN79" i="35"/>
  <c r="AO79" i="35"/>
  <c r="AP79" i="35"/>
  <c r="AQ79" i="35"/>
  <c r="AR79" i="35"/>
  <c r="AS79" i="35"/>
  <c r="AT79" i="35"/>
  <c r="AU79" i="35"/>
  <c r="AV79" i="35"/>
  <c r="AW79" i="35"/>
  <c r="AX79" i="35"/>
  <c r="AY79" i="35"/>
  <c r="AZ79" i="35"/>
  <c r="AN80" i="35"/>
  <c r="AO80" i="35"/>
  <c r="AP80" i="35"/>
  <c r="AQ80" i="35"/>
  <c r="AR80" i="35"/>
  <c r="AS80" i="35"/>
  <c r="AT80" i="35"/>
  <c r="AU80" i="35"/>
  <c r="AV80" i="35"/>
  <c r="AW80" i="35"/>
  <c r="AX80" i="35"/>
  <c r="AY80" i="35"/>
  <c r="AZ80" i="35"/>
  <c r="AN81" i="35"/>
  <c r="AO81" i="35"/>
  <c r="AP81" i="35"/>
  <c r="AQ81" i="35"/>
  <c r="AR81" i="35"/>
  <c r="AS81" i="35"/>
  <c r="AT81" i="35"/>
  <c r="AU81" i="35"/>
  <c r="AV81" i="35"/>
  <c r="AW81" i="35"/>
  <c r="AX81" i="35"/>
  <c r="AY81" i="35"/>
  <c r="AZ81" i="35"/>
  <c r="AO77" i="35"/>
  <c r="AP77" i="35"/>
  <c r="AQ77" i="35"/>
  <c r="AR77" i="35"/>
  <c r="AS77" i="35"/>
  <c r="AT77" i="35"/>
  <c r="AU77" i="35"/>
  <c r="AV77" i="35"/>
  <c r="AW77" i="35"/>
  <c r="AX77" i="35"/>
  <c r="AY77" i="35"/>
  <c r="AZ77" i="35"/>
  <c r="AN77" i="35"/>
  <c r="AZ65" i="35"/>
  <c r="AY65" i="35"/>
  <c r="AX65" i="35"/>
  <c r="AW65" i="35"/>
  <c r="AV65" i="35"/>
  <c r="AU65" i="35"/>
  <c r="AT65" i="35"/>
  <c r="AS65" i="35"/>
  <c r="AR65" i="35"/>
  <c r="AQ65" i="35"/>
  <c r="AP65" i="35"/>
  <c r="AO65" i="35"/>
  <c r="AN65" i="35"/>
  <c r="AZ58" i="35"/>
  <c r="AY58" i="35"/>
  <c r="AX58" i="35"/>
  <c r="AW58" i="35"/>
  <c r="AV58" i="35"/>
  <c r="AU58" i="35"/>
  <c r="AT58" i="35"/>
  <c r="AS58" i="35"/>
  <c r="AR58" i="35"/>
  <c r="AQ58" i="35"/>
  <c r="AP58" i="35"/>
  <c r="AO58" i="35"/>
  <c r="AN58" i="35"/>
  <c r="AZ92" i="35"/>
  <c r="AY92" i="35"/>
  <c r="AX92" i="35"/>
  <c r="AW92" i="35"/>
  <c r="AV92" i="35"/>
  <c r="AU92" i="35"/>
  <c r="AT92" i="35"/>
  <c r="AS92" i="35"/>
  <c r="AR92" i="35"/>
  <c r="AQ92" i="35"/>
  <c r="AP92" i="35"/>
  <c r="AO92" i="35"/>
  <c r="AN92" i="35"/>
  <c r="AZ47" i="35"/>
  <c r="AY47" i="35"/>
  <c r="AX47" i="35"/>
  <c r="AW47" i="35"/>
  <c r="AV47" i="35"/>
  <c r="AU47" i="35"/>
  <c r="AT47" i="35"/>
  <c r="AS47" i="35"/>
  <c r="AR47" i="35"/>
  <c r="AQ47" i="35"/>
  <c r="AP47" i="35"/>
  <c r="AO47" i="35"/>
  <c r="AN47" i="35"/>
  <c r="V119" i="111" l="1"/>
  <c r="U119" i="111"/>
  <c r="T119" i="111"/>
  <c r="S119" i="111"/>
  <c r="R119" i="111"/>
  <c r="Q119" i="111"/>
  <c r="P119" i="111"/>
  <c r="O119" i="111"/>
  <c r="N119" i="111"/>
  <c r="M119" i="111"/>
  <c r="L119" i="111"/>
  <c r="K119" i="111"/>
  <c r="J119" i="111"/>
  <c r="V118" i="111"/>
  <c r="U118" i="111"/>
  <c r="T118" i="111"/>
  <c r="S118" i="111"/>
  <c r="R118" i="111"/>
  <c r="Q118" i="111"/>
  <c r="P118" i="111"/>
  <c r="O118" i="111"/>
  <c r="N118" i="111"/>
  <c r="M118" i="111"/>
  <c r="L118" i="111"/>
  <c r="K118" i="111"/>
  <c r="J118" i="111"/>
  <c r="V117" i="111"/>
  <c r="U117" i="111"/>
  <c r="T117" i="111"/>
  <c r="S117" i="111"/>
  <c r="R117" i="111"/>
  <c r="Q117" i="111"/>
  <c r="P117" i="111"/>
  <c r="O117" i="111"/>
  <c r="N117" i="111"/>
  <c r="M117" i="111"/>
  <c r="L117" i="111"/>
  <c r="K117" i="111"/>
  <c r="J117" i="111"/>
  <c r="V100" i="111"/>
  <c r="U100" i="111"/>
  <c r="T100" i="111"/>
  <c r="S100" i="111"/>
  <c r="R100" i="111"/>
  <c r="Q100" i="111"/>
  <c r="P100" i="111"/>
  <c r="O100" i="111"/>
  <c r="N100" i="111"/>
  <c r="M100" i="111"/>
  <c r="L100" i="111"/>
  <c r="K100" i="111"/>
  <c r="J100" i="111"/>
  <c r="V99" i="111"/>
  <c r="U99" i="111"/>
  <c r="T99" i="111"/>
  <c r="S99" i="111"/>
  <c r="R99" i="111"/>
  <c r="Q99" i="111"/>
  <c r="P99" i="111"/>
  <c r="O99" i="111"/>
  <c r="N99" i="111"/>
  <c r="M99" i="111"/>
  <c r="L99" i="111"/>
  <c r="K99" i="111"/>
  <c r="J99" i="111"/>
  <c r="V98" i="111"/>
  <c r="U98" i="111"/>
  <c r="T98" i="111"/>
  <c r="S98" i="111"/>
  <c r="R98" i="111"/>
  <c r="Q98" i="111"/>
  <c r="P98" i="111"/>
  <c r="O98" i="111"/>
  <c r="N98" i="111"/>
  <c r="M98" i="111"/>
  <c r="L98" i="111"/>
  <c r="K98" i="111"/>
  <c r="J98" i="111"/>
  <c r="V81" i="111"/>
  <c r="U81" i="111"/>
  <c r="T81" i="111"/>
  <c r="S81" i="111"/>
  <c r="R81" i="111"/>
  <c r="Q81" i="111"/>
  <c r="P81" i="111"/>
  <c r="O81" i="111"/>
  <c r="N81" i="111"/>
  <c r="M81" i="111"/>
  <c r="L81" i="111"/>
  <c r="K81" i="111"/>
  <c r="J81" i="111"/>
  <c r="V80" i="111"/>
  <c r="U80" i="111"/>
  <c r="T80" i="111"/>
  <c r="S80" i="111"/>
  <c r="R80" i="111"/>
  <c r="Q80" i="111"/>
  <c r="P80" i="111"/>
  <c r="O80" i="111"/>
  <c r="N80" i="111"/>
  <c r="M80" i="111"/>
  <c r="L80" i="111"/>
  <c r="K80" i="111"/>
  <c r="J80" i="111"/>
  <c r="V79" i="111"/>
  <c r="U79" i="111"/>
  <c r="T79" i="111"/>
  <c r="S79" i="111"/>
  <c r="R79" i="111"/>
  <c r="Q79" i="111"/>
  <c r="P79" i="111"/>
  <c r="O79" i="111"/>
  <c r="N79" i="111"/>
  <c r="M79" i="111"/>
  <c r="L79" i="111"/>
  <c r="K79" i="111"/>
  <c r="J79" i="111"/>
  <c r="V62" i="111"/>
  <c r="U62" i="111"/>
  <c r="T62" i="111"/>
  <c r="S62" i="111"/>
  <c r="R62" i="111"/>
  <c r="Q62" i="111"/>
  <c r="P62" i="111"/>
  <c r="O62" i="111"/>
  <c r="N62" i="111"/>
  <c r="M62" i="111"/>
  <c r="L62" i="111"/>
  <c r="K62" i="111"/>
  <c r="J62" i="111"/>
  <c r="V61" i="111"/>
  <c r="U61" i="111"/>
  <c r="T61" i="111"/>
  <c r="S61" i="111"/>
  <c r="R61" i="111"/>
  <c r="Q61" i="111"/>
  <c r="P61" i="111"/>
  <c r="O61" i="111"/>
  <c r="N61" i="111"/>
  <c r="M61" i="111"/>
  <c r="L61" i="111"/>
  <c r="K61" i="111"/>
  <c r="J61" i="111"/>
  <c r="V60" i="111"/>
  <c r="U60" i="111"/>
  <c r="T60" i="111"/>
  <c r="S60" i="111"/>
  <c r="R60" i="111"/>
  <c r="Q60" i="111"/>
  <c r="P60" i="111"/>
  <c r="O60" i="111"/>
  <c r="N60" i="111"/>
  <c r="M60" i="111"/>
  <c r="L60" i="111"/>
  <c r="K60" i="111"/>
  <c r="J60" i="111"/>
  <c r="V43" i="111"/>
  <c r="U43" i="111"/>
  <c r="T43" i="111"/>
  <c r="S43" i="111"/>
  <c r="R43" i="111"/>
  <c r="Q43" i="111"/>
  <c r="P43" i="111"/>
  <c r="O43" i="111"/>
  <c r="N43" i="111"/>
  <c r="M43" i="111"/>
  <c r="L43" i="111"/>
  <c r="K43" i="111"/>
  <c r="J43" i="111"/>
  <c r="V42" i="111"/>
  <c r="U42" i="111"/>
  <c r="T42" i="111"/>
  <c r="S42" i="111"/>
  <c r="R42" i="111"/>
  <c r="Q42" i="111"/>
  <c r="P42" i="111"/>
  <c r="O42" i="111"/>
  <c r="N42" i="111"/>
  <c r="M42" i="111"/>
  <c r="L42" i="111"/>
  <c r="K42" i="111"/>
  <c r="J42" i="111"/>
  <c r="V41" i="111"/>
  <c r="U41" i="111"/>
  <c r="T41" i="111"/>
  <c r="S41" i="111"/>
  <c r="R41" i="111"/>
  <c r="Q41" i="111"/>
  <c r="P41" i="111"/>
  <c r="O41" i="111"/>
  <c r="N41" i="111"/>
  <c r="M41" i="111"/>
  <c r="L41" i="111"/>
  <c r="J41" i="111"/>
  <c r="K22" i="111"/>
  <c r="L22" i="111"/>
  <c r="M22" i="111"/>
  <c r="N22" i="111"/>
  <c r="O22" i="111"/>
  <c r="P22" i="111"/>
  <c r="Q22" i="111"/>
  <c r="R22" i="111"/>
  <c r="S22" i="111"/>
  <c r="T22" i="111"/>
  <c r="U22" i="111"/>
  <c r="V22" i="111"/>
  <c r="K23" i="111"/>
  <c r="L23" i="111"/>
  <c r="M23" i="111"/>
  <c r="N23" i="111"/>
  <c r="O23" i="111"/>
  <c r="P23" i="111"/>
  <c r="Q23" i="111"/>
  <c r="R23" i="111"/>
  <c r="S23" i="111"/>
  <c r="T23" i="111"/>
  <c r="U23" i="111"/>
  <c r="V23" i="111"/>
  <c r="K24" i="111"/>
  <c r="L24" i="111"/>
  <c r="M24" i="111"/>
  <c r="N24" i="111"/>
  <c r="O24" i="111"/>
  <c r="P24" i="111"/>
  <c r="Q24" i="111"/>
  <c r="R24" i="111"/>
  <c r="S24" i="111"/>
  <c r="T24" i="111"/>
  <c r="U24" i="111"/>
  <c r="V24" i="111"/>
  <c r="J23" i="111"/>
  <c r="J24" i="111"/>
  <c r="J22" i="111"/>
  <c r="J26" i="82" l="1"/>
  <c r="J31" i="82" s="1"/>
  <c r="J25" i="50" l="1"/>
  <c r="J28" i="50" s="1"/>
  <c r="J31" i="50" s="1"/>
  <c r="K25" i="50"/>
  <c r="K28" i="50" s="1"/>
  <c r="K31" i="50" s="1"/>
  <c r="L25" i="50"/>
  <c r="L28" i="50" s="1"/>
  <c r="L31" i="50" s="1"/>
  <c r="M25" i="50"/>
  <c r="M28" i="50" s="1"/>
  <c r="M31" i="50" s="1"/>
  <c r="N25" i="50"/>
  <c r="N28" i="50" s="1"/>
  <c r="N31" i="50" s="1"/>
  <c r="O25" i="50"/>
  <c r="O28" i="50" s="1"/>
  <c r="O31" i="50" s="1"/>
  <c r="P25" i="50"/>
  <c r="P28" i="50" s="1"/>
  <c r="P31" i="50" s="1"/>
  <c r="Q25" i="50"/>
  <c r="Q28" i="50" s="1"/>
  <c r="Q31" i="50" s="1"/>
  <c r="R25" i="50"/>
  <c r="R28" i="50" s="1"/>
  <c r="R31" i="50" s="1"/>
  <c r="S25" i="50"/>
  <c r="S28" i="50" s="1"/>
  <c r="S31" i="50" s="1"/>
  <c r="T25" i="50"/>
  <c r="T28" i="50" s="1"/>
  <c r="T31" i="50" s="1"/>
  <c r="U25" i="50"/>
  <c r="U28" i="50" s="1"/>
  <c r="U31" i="50" s="1"/>
  <c r="V25" i="50"/>
  <c r="V28" i="50" s="1"/>
  <c r="V31" i="50" s="1"/>
  <c r="V544" i="6" l="1"/>
  <c r="U544" i="6"/>
  <c r="T544" i="6"/>
  <c r="S544" i="6"/>
  <c r="R544" i="6"/>
  <c r="Q544" i="6"/>
  <c r="P544" i="6"/>
  <c r="O544" i="6"/>
  <c r="N544" i="6"/>
  <c r="M544" i="6"/>
  <c r="L544" i="6"/>
  <c r="K544" i="6"/>
  <c r="J544" i="6"/>
  <c r="K507" i="6"/>
  <c r="K51" i="74" s="1"/>
  <c r="L507" i="6"/>
  <c r="L51" i="74" s="1"/>
  <c r="M507" i="6"/>
  <c r="M51" i="74" s="1"/>
  <c r="N507" i="6"/>
  <c r="N51" i="74" s="1"/>
  <c r="O507" i="6"/>
  <c r="O51" i="74" s="1"/>
  <c r="P507" i="6"/>
  <c r="P51" i="74" s="1"/>
  <c r="Q507" i="6"/>
  <c r="Q51" i="74" s="1"/>
  <c r="R507" i="6"/>
  <c r="R51" i="74" s="1"/>
  <c r="S507" i="6"/>
  <c r="S51" i="74" s="1"/>
  <c r="T507" i="6"/>
  <c r="T51" i="74" s="1"/>
  <c r="U507" i="6"/>
  <c r="U51" i="74" s="1"/>
  <c r="V507" i="6"/>
  <c r="V51" i="74" s="1"/>
  <c r="J507" i="6"/>
  <c r="J51" i="74" s="1"/>
  <c r="AK74" i="62" l="1"/>
  <c r="AJ74" i="62"/>
  <c r="AI74" i="62"/>
  <c r="AH74" i="62"/>
  <c r="AG74" i="62"/>
  <c r="AF74" i="62"/>
  <c r="AE74" i="62"/>
  <c r="AD74" i="62"/>
  <c r="AC74" i="62"/>
  <c r="AB74" i="62"/>
  <c r="AA74" i="62"/>
  <c r="Z74" i="62"/>
  <c r="Y74" i="62"/>
  <c r="V74" i="62"/>
  <c r="U74" i="62"/>
  <c r="T74" i="62"/>
  <c r="S74" i="62"/>
  <c r="R74" i="62"/>
  <c r="Q74" i="62"/>
  <c r="P74" i="62"/>
  <c r="O74" i="62"/>
  <c r="N74" i="62"/>
  <c r="M74" i="62"/>
  <c r="L74" i="62"/>
  <c r="K74" i="62"/>
  <c r="J74" i="62"/>
  <c r="AZ68" i="62"/>
  <c r="AZ76" i="62" s="1"/>
  <c r="AY68" i="62"/>
  <c r="AY76" i="62" s="1"/>
  <c r="AX68" i="62"/>
  <c r="AX76" i="62" s="1"/>
  <c r="AW68" i="62"/>
  <c r="AW76" i="62" s="1"/>
  <c r="AV68" i="62"/>
  <c r="AV76" i="62" s="1"/>
  <c r="AU68" i="62"/>
  <c r="AU76" i="62" s="1"/>
  <c r="AT68" i="62"/>
  <c r="AT76" i="62" s="1"/>
  <c r="AS68" i="62"/>
  <c r="AS76" i="62" s="1"/>
  <c r="AR68" i="62"/>
  <c r="AR76" i="62" s="1"/>
  <c r="AQ68" i="62"/>
  <c r="AQ76" i="62" s="1"/>
  <c r="AP68" i="62"/>
  <c r="AP76" i="62" s="1"/>
  <c r="AO68" i="62"/>
  <c r="AO76" i="62" s="1"/>
  <c r="AN68" i="62"/>
  <c r="AN76" i="62" s="1"/>
  <c r="AK68" i="62"/>
  <c r="AJ68" i="62"/>
  <c r="AI68" i="62"/>
  <c r="AH68" i="62"/>
  <c r="AG68" i="62"/>
  <c r="AF68" i="62"/>
  <c r="AE68" i="62"/>
  <c r="AD68" i="62"/>
  <c r="AC68" i="62"/>
  <c r="AB68" i="62"/>
  <c r="AA68" i="62"/>
  <c r="Z68" i="62"/>
  <c r="Y68" i="62"/>
  <c r="V68" i="62"/>
  <c r="U68" i="62"/>
  <c r="T68" i="62"/>
  <c r="S68" i="62"/>
  <c r="R68" i="62"/>
  <c r="Q68" i="62"/>
  <c r="P68" i="62"/>
  <c r="O68" i="62"/>
  <c r="N68" i="62"/>
  <c r="M68" i="62"/>
  <c r="L68" i="62"/>
  <c r="K68" i="62"/>
  <c r="J68" i="62"/>
  <c r="AC76" i="62" l="1"/>
  <c r="AK76" i="62"/>
  <c r="K76" i="62"/>
  <c r="Z76" i="62"/>
  <c r="S76" i="62"/>
  <c r="P76" i="62"/>
  <c r="AH76" i="62"/>
  <c r="N76" i="62"/>
  <c r="V76" i="62"/>
  <c r="AF76" i="62"/>
  <c r="AA76" i="62"/>
  <c r="Q76" i="62"/>
  <c r="AI76" i="62"/>
  <c r="O76" i="62"/>
  <c r="AD76" i="62"/>
  <c r="J76" i="62"/>
  <c r="R76" i="62"/>
  <c r="AB76" i="62"/>
  <c r="AJ76" i="62"/>
  <c r="L76" i="62"/>
  <c r="M76" i="62"/>
  <c r="U76" i="62"/>
  <c r="AE76" i="62"/>
  <c r="AG76" i="62"/>
  <c r="T76" i="62"/>
  <c r="Y76" i="62"/>
  <c r="AZ48" i="22"/>
  <c r="AZ50" i="22" s="1"/>
  <c r="AY48" i="22"/>
  <c r="AY50" i="22" s="1"/>
  <c r="AX48" i="22"/>
  <c r="AX50" i="22" s="1"/>
  <c r="AW48" i="22"/>
  <c r="AW50" i="22" s="1"/>
  <c r="AV48" i="22"/>
  <c r="AV50" i="22" s="1"/>
  <c r="AU48" i="22"/>
  <c r="AT48" i="22"/>
  <c r="AS48" i="22"/>
  <c r="AR48" i="22"/>
  <c r="AQ48" i="22"/>
  <c r="AP48" i="22"/>
  <c r="AO48" i="22"/>
  <c r="AN48" i="22"/>
  <c r="AZ39" i="22"/>
  <c r="AY39" i="22"/>
  <c r="AX39" i="22"/>
  <c r="AW39" i="22"/>
  <c r="AV39" i="22"/>
  <c r="AU39" i="22"/>
  <c r="AU41" i="22" s="1"/>
  <c r="AT39" i="22"/>
  <c r="AT41" i="22" s="1"/>
  <c r="AS39" i="22"/>
  <c r="AS41" i="22" s="1"/>
  <c r="AR39" i="22"/>
  <c r="AR41" i="22" s="1"/>
  <c r="AQ39" i="22"/>
  <c r="AQ41" i="22" s="1"/>
  <c r="AP39" i="22"/>
  <c r="AP41" i="22" s="1"/>
  <c r="AO39" i="22"/>
  <c r="AO41" i="22" s="1"/>
  <c r="AN39" i="22"/>
  <c r="AN41" i="22" s="1"/>
  <c r="AO30" i="22"/>
  <c r="AO32" i="22" s="1"/>
  <c r="AP30" i="22"/>
  <c r="AP32" i="22" s="1"/>
  <c r="AQ30" i="22"/>
  <c r="AQ32" i="22" s="1"/>
  <c r="AR30" i="22"/>
  <c r="AR32" i="22" s="1"/>
  <c r="AS30" i="22"/>
  <c r="AS32" i="22" s="1"/>
  <c r="AN30" i="22"/>
  <c r="AN32" i="22" s="1"/>
  <c r="AV41" i="22" l="1"/>
  <c r="AV42" i="22" s="1"/>
  <c r="AW41" i="22"/>
  <c r="AW42" i="22" s="1"/>
  <c r="AX41" i="22"/>
  <c r="AX42" i="22" s="1"/>
  <c r="AY41" i="22"/>
  <c r="AY42" i="22" s="1"/>
  <c r="AZ41" i="22"/>
  <c r="AZ42" i="22" s="1"/>
  <c r="J157" i="62"/>
  <c r="K157" i="62"/>
  <c r="L157" i="62"/>
  <c r="M157" i="62"/>
  <c r="N157" i="62"/>
  <c r="O157" i="62"/>
  <c r="P157" i="62"/>
  <c r="Q157" i="62"/>
  <c r="R157" i="62"/>
  <c r="S157" i="62"/>
  <c r="T157" i="62"/>
  <c r="U157" i="62"/>
  <c r="V157" i="62"/>
  <c r="Y157" i="62"/>
  <c r="Z157" i="62"/>
  <c r="AA157" i="62"/>
  <c r="AB157" i="62"/>
  <c r="AC157" i="62"/>
  <c r="AD157" i="62"/>
  <c r="AE157" i="62"/>
  <c r="AF157" i="62"/>
  <c r="AG157" i="62"/>
  <c r="AH157" i="62"/>
  <c r="AI157" i="62"/>
  <c r="AJ157" i="62"/>
  <c r="AK157" i="62"/>
  <c r="AN157" i="62"/>
  <c r="AO157" i="62"/>
  <c r="AP157" i="62"/>
  <c r="AQ157" i="62"/>
  <c r="AR157" i="62"/>
  <c r="AS157" i="62"/>
  <c r="AT157" i="62"/>
  <c r="AU157" i="62"/>
  <c r="AV157" i="62"/>
  <c r="AW157" i="62"/>
  <c r="AX157" i="62"/>
  <c r="AY157" i="62"/>
  <c r="AZ157" i="62"/>
  <c r="J91" i="62"/>
  <c r="K91" i="62"/>
  <c r="L91" i="62"/>
  <c r="M91" i="62"/>
  <c r="N91" i="62"/>
  <c r="O91" i="62"/>
  <c r="P91" i="62"/>
  <c r="Q91" i="62"/>
  <c r="R91" i="62"/>
  <c r="S91" i="62"/>
  <c r="T91" i="62"/>
  <c r="U91" i="62"/>
  <c r="V91" i="62"/>
  <c r="Y91" i="62"/>
  <c r="Z91" i="62"/>
  <c r="AA91" i="62"/>
  <c r="AB91" i="62"/>
  <c r="AC91" i="62"/>
  <c r="AD91" i="62"/>
  <c r="AE91" i="62"/>
  <c r="AF91" i="62"/>
  <c r="AG91" i="62"/>
  <c r="AH91" i="62"/>
  <c r="AI91" i="62"/>
  <c r="AJ91" i="62"/>
  <c r="AK91" i="62"/>
  <c r="AN91" i="62"/>
  <c r="AO91" i="62"/>
  <c r="AP91" i="62"/>
  <c r="AQ91" i="62"/>
  <c r="AR91" i="62"/>
  <c r="AS91" i="62"/>
  <c r="AT91" i="62"/>
  <c r="AU91" i="62"/>
  <c r="AV91" i="62"/>
  <c r="AW91" i="62"/>
  <c r="AX91" i="62"/>
  <c r="AY91" i="62"/>
  <c r="AZ91" i="62"/>
  <c r="J97" i="62"/>
  <c r="K97" i="62"/>
  <c r="L97" i="62"/>
  <c r="M97" i="62"/>
  <c r="N97" i="62"/>
  <c r="O97" i="62"/>
  <c r="P97" i="62"/>
  <c r="Q97" i="62"/>
  <c r="R97" i="62"/>
  <c r="S97" i="62"/>
  <c r="T97" i="62"/>
  <c r="U97" i="62"/>
  <c r="V97" i="62"/>
  <c r="Y97" i="62"/>
  <c r="Z97" i="62"/>
  <c r="AA97" i="62"/>
  <c r="AB97" i="62"/>
  <c r="AC97" i="62"/>
  <c r="AD97" i="62"/>
  <c r="AE97" i="62"/>
  <c r="AF97" i="62"/>
  <c r="AG97" i="62"/>
  <c r="AH97" i="62"/>
  <c r="AI97" i="62"/>
  <c r="AJ97" i="62"/>
  <c r="AK97" i="62"/>
  <c r="AN97" i="62"/>
  <c r="AO97" i="62"/>
  <c r="AP97" i="62"/>
  <c r="AQ97" i="62"/>
  <c r="AR97" i="62"/>
  <c r="AS97" i="62"/>
  <c r="AT97" i="62"/>
  <c r="AU97" i="62"/>
  <c r="AV97" i="62"/>
  <c r="AW97" i="62"/>
  <c r="AX97" i="62"/>
  <c r="AY97" i="62"/>
  <c r="AZ97" i="62"/>
  <c r="J135" i="54" l="1"/>
  <c r="Q135" i="54"/>
  <c r="P135" i="54"/>
  <c r="O135" i="54"/>
  <c r="N135" i="54"/>
  <c r="M135" i="54"/>
  <c r="L135" i="54"/>
  <c r="K135" i="54"/>
  <c r="Q126" i="54"/>
  <c r="P126" i="54"/>
  <c r="O126" i="54"/>
  <c r="N126" i="54"/>
  <c r="M126" i="54"/>
  <c r="L126" i="54"/>
  <c r="K126" i="54"/>
  <c r="J126" i="54"/>
  <c r="Q120" i="54"/>
  <c r="P120" i="54"/>
  <c r="O120" i="54"/>
  <c r="N120" i="54"/>
  <c r="M120" i="54"/>
  <c r="L120" i="54"/>
  <c r="K120" i="54"/>
  <c r="J120" i="54"/>
  <c r="Q106" i="54"/>
  <c r="P106" i="54"/>
  <c r="O106" i="54"/>
  <c r="N106" i="54"/>
  <c r="M106" i="54"/>
  <c r="L106" i="54"/>
  <c r="K106" i="54"/>
  <c r="J106" i="54"/>
  <c r="K92" i="54"/>
  <c r="L92" i="54"/>
  <c r="M92" i="54"/>
  <c r="N92" i="54"/>
  <c r="O92" i="54"/>
  <c r="P92" i="54"/>
  <c r="Q92" i="54"/>
  <c r="J92" i="54"/>
  <c r="AZ81" i="30"/>
  <c r="AY81" i="30"/>
  <c r="AX81" i="30"/>
  <c r="AW81" i="30"/>
  <c r="AV81" i="30"/>
  <c r="AU81" i="30"/>
  <c r="AT81" i="30"/>
  <c r="AS81" i="30"/>
  <c r="AR81" i="30"/>
  <c r="AQ81" i="30"/>
  <c r="AP81" i="30"/>
  <c r="AO81" i="30"/>
  <c r="AN81" i="30"/>
  <c r="AK81" i="30"/>
  <c r="AJ81" i="30"/>
  <c r="AI81" i="30"/>
  <c r="AH81" i="30"/>
  <c r="AG81" i="30"/>
  <c r="AF81" i="30"/>
  <c r="AE81" i="30"/>
  <c r="AD81" i="30"/>
  <c r="AC81" i="30"/>
  <c r="AB81" i="30"/>
  <c r="AA81" i="30"/>
  <c r="Z81" i="30"/>
  <c r="Y81" i="30"/>
  <c r="K81" i="30"/>
  <c r="L81" i="30"/>
  <c r="M81" i="30"/>
  <c r="N81" i="30"/>
  <c r="O81" i="30"/>
  <c r="J81" i="30"/>
  <c r="AK210" i="29"/>
  <c r="AJ210" i="29"/>
  <c r="AI210" i="29"/>
  <c r="AH210" i="29"/>
  <c r="AG210" i="29"/>
  <c r="AF210" i="29"/>
  <c r="AE210" i="29"/>
  <c r="AD210" i="29"/>
  <c r="AC210" i="29"/>
  <c r="AB210" i="29"/>
  <c r="AA210" i="29"/>
  <c r="Z210" i="29"/>
  <c r="Y210" i="29"/>
  <c r="Q210" i="29"/>
  <c r="R210" i="29"/>
  <c r="S210" i="29"/>
  <c r="T210" i="29"/>
  <c r="U210" i="29"/>
  <c r="V210" i="29"/>
  <c r="P210" i="29"/>
  <c r="K210" i="29"/>
  <c r="L210" i="29"/>
  <c r="M210" i="29"/>
  <c r="N210" i="29"/>
  <c r="O210" i="29"/>
  <c r="J210" i="29"/>
  <c r="AZ177" i="29"/>
  <c r="AY177" i="29"/>
  <c r="AX177" i="29"/>
  <c r="AW177" i="29"/>
  <c r="AV177" i="29"/>
  <c r="AU177" i="29"/>
  <c r="AT177" i="29"/>
  <c r="AS177" i="29"/>
  <c r="AR177" i="29"/>
  <c r="AQ177" i="29"/>
  <c r="AP177" i="29"/>
  <c r="AO177" i="29"/>
  <c r="AN177" i="29"/>
  <c r="AK177" i="29"/>
  <c r="AJ177" i="29"/>
  <c r="AI177" i="29"/>
  <c r="AH177" i="29"/>
  <c r="AG177" i="29"/>
  <c r="AF177" i="29"/>
  <c r="AE177" i="29"/>
  <c r="AD177" i="29"/>
  <c r="AC177" i="29"/>
  <c r="AB177" i="29"/>
  <c r="AA177" i="29"/>
  <c r="Z177" i="29"/>
  <c r="Y177" i="29"/>
  <c r="Q177" i="29"/>
  <c r="R177" i="29"/>
  <c r="S177" i="29"/>
  <c r="T177" i="29"/>
  <c r="U177" i="29"/>
  <c r="V177" i="29"/>
  <c r="P177" i="29"/>
  <c r="K177" i="29"/>
  <c r="L177" i="29"/>
  <c r="M177" i="29"/>
  <c r="N177" i="29"/>
  <c r="O177" i="29"/>
  <c r="J177" i="29"/>
  <c r="AZ154" i="29"/>
  <c r="AY154" i="29"/>
  <c r="AX154" i="29"/>
  <c r="AW154" i="29"/>
  <c r="AV154" i="29"/>
  <c r="AU154" i="29"/>
  <c r="AT154" i="29"/>
  <c r="AS154" i="29"/>
  <c r="AR154" i="29"/>
  <c r="AQ154" i="29"/>
  <c r="AP154" i="29"/>
  <c r="AO154" i="29"/>
  <c r="AN154" i="29"/>
  <c r="AK154" i="29"/>
  <c r="AJ154" i="29"/>
  <c r="AI154" i="29"/>
  <c r="AH154" i="29"/>
  <c r="AG154" i="29"/>
  <c r="AF154" i="29"/>
  <c r="AE154" i="29"/>
  <c r="AD154" i="29"/>
  <c r="AC154" i="29"/>
  <c r="AB154" i="29"/>
  <c r="AA154" i="29"/>
  <c r="Z154" i="29"/>
  <c r="Y154" i="29"/>
  <c r="Q154" i="29"/>
  <c r="R154" i="29"/>
  <c r="S154" i="29"/>
  <c r="T154" i="29"/>
  <c r="U154" i="29"/>
  <c r="V154" i="29"/>
  <c r="P154" i="29"/>
  <c r="K154" i="29"/>
  <c r="L154" i="29"/>
  <c r="M154" i="29"/>
  <c r="N154" i="29"/>
  <c r="O154" i="29"/>
  <c r="J154" i="29"/>
  <c r="AZ116" i="29"/>
  <c r="AY116" i="29"/>
  <c r="AX116" i="29"/>
  <c r="AW116" i="29"/>
  <c r="AV116" i="29"/>
  <c r="AU116" i="29"/>
  <c r="AT116" i="29"/>
  <c r="Q116" i="29"/>
  <c r="R116" i="29"/>
  <c r="S116" i="29"/>
  <c r="T116" i="29"/>
  <c r="U116" i="29"/>
  <c r="V116" i="29"/>
  <c r="P116" i="29"/>
  <c r="AZ91" i="29"/>
  <c r="AY91" i="29"/>
  <c r="AX91" i="29"/>
  <c r="AW91" i="29"/>
  <c r="AV91" i="29"/>
  <c r="AU91" i="29"/>
  <c r="AT91" i="29"/>
  <c r="AS91" i="29"/>
  <c r="AR91" i="29"/>
  <c r="AQ91" i="29"/>
  <c r="AP91" i="29"/>
  <c r="AO91" i="29"/>
  <c r="AN91" i="29"/>
  <c r="AK91" i="29"/>
  <c r="AJ91" i="29"/>
  <c r="AI91" i="29"/>
  <c r="AH91" i="29"/>
  <c r="AG91" i="29"/>
  <c r="AF91" i="29"/>
  <c r="AE91" i="29"/>
  <c r="AD91" i="29"/>
  <c r="AC91" i="29"/>
  <c r="AB91" i="29"/>
  <c r="AA91" i="29"/>
  <c r="Z91" i="29"/>
  <c r="Y91" i="29"/>
  <c r="V91" i="29"/>
  <c r="U91" i="29"/>
  <c r="T91" i="29"/>
  <c r="S91" i="29"/>
  <c r="R91" i="29"/>
  <c r="Q91" i="29"/>
  <c r="P91" i="29"/>
  <c r="O91" i="29"/>
  <c r="N91" i="29"/>
  <c r="M91" i="29"/>
  <c r="L91" i="29"/>
  <c r="K91" i="29"/>
  <c r="J91" i="29"/>
  <c r="AZ77" i="29"/>
  <c r="AY77" i="29"/>
  <c r="AX77" i="29"/>
  <c r="AW77" i="29"/>
  <c r="AV77" i="29"/>
  <c r="AU77" i="29"/>
  <c r="AT77" i="29"/>
  <c r="AS77" i="29"/>
  <c r="AR77" i="29"/>
  <c r="AQ77" i="29"/>
  <c r="AP77" i="29"/>
  <c r="AO77" i="29"/>
  <c r="AN77" i="29"/>
  <c r="AK77" i="29"/>
  <c r="AJ77" i="29"/>
  <c r="AI77" i="29"/>
  <c r="AH77" i="29"/>
  <c r="AG77" i="29"/>
  <c r="AF77" i="29"/>
  <c r="AE77" i="29"/>
  <c r="AD77" i="29"/>
  <c r="AC77" i="29"/>
  <c r="AB77" i="29"/>
  <c r="AA77" i="29"/>
  <c r="Z77" i="29"/>
  <c r="Y77" i="29"/>
  <c r="V77" i="29"/>
  <c r="U77" i="29"/>
  <c r="T77" i="29"/>
  <c r="S77" i="29"/>
  <c r="R77" i="29"/>
  <c r="Q77" i="29"/>
  <c r="P77" i="29"/>
  <c r="O77" i="29"/>
  <c r="N77" i="29"/>
  <c r="M77" i="29"/>
  <c r="L77" i="29"/>
  <c r="K77" i="29"/>
  <c r="J77" i="29"/>
  <c r="AZ63" i="29"/>
  <c r="AY63" i="29"/>
  <c r="AX63" i="29"/>
  <c r="AW63" i="29"/>
  <c r="AV63" i="29"/>
  <c r="AU63" i="29"/>
  <c r="AT63" i="29"/>
  <c r="AS63" i="29"/>
  <c r="AR63" i="29"/>
  <c r="AQ63" i="29"/>
  <c r="AP63" i="29"/>
  <c r="AO63" i="29"/>
  <c r="AN63" i="29"/>
  <c r="AK63" i="29"/>
  <c r="AJ63" i="29"/>
  <c r="AI63" i="29"/>
  <c r="AH63" i="29"/>
  <c r="AG63" i="29"/>
  <c r="AF63" i="29"/>
  <c r="AE63" i="29"/>
  <c r="AD63" i="29"/>
  <c r="AC63" i="29"/>
  <c r="AB63" i="29"/>
  <c r="AA63" i="29"/>
  <c r="Z63" i="29"/>
  <c r="Y63" i="29"/>
  <c r="V63" i="29"/>
  <c r="U63" i="29"/>
  <c r="T63" i="29"/>
  <c r="S63" i="29"/>
  <c r="R63" i="29"/>
  <c r="Q63" i="29"/>
  <c r="P63" i="29"/>
  <c r="O63" i="29"/>
  <c r="N63" i="29"/>
  <c r="M63" i="29"/>
  <c r="L63" i="29"/>
  <c r="K63" i="29"/>
  <c r="J63" i="29"/>
  <c r="AZ49" i="29"/>
  <c r="AY49" i="29"/>
  <c r="AX49" i="29"/>
  <c r="AW49" i="29"/>
  <c r="AV49" i="29"/>
  <c r="AU49" i="29"/>
  <c r="AT49" i="29"/>
  <c r="AS49" i="29"/>
  <c r="AR49" i="29"/>
  <c r="AQ49" i="29"/>
  <c r="AP49" i="29"/>
  <c r="AO49" i="29"/>
  <c r="AN49" i="29"/>
  <c r="AK49" i="29"/>
  <c r="AJ49" i="29"/>
  <c r="AI49" i="29"/>
  <c r="AH49" i="29"/>
  <c r="AG49" i="29"/>
  <c r="AF49" i="29"/>
  <c r="AE49" i="29"/>
  <c r="AD49" i="29"/>
  <c r="AC49" i="29"/>
  <c r="AB49" i="29"/>
  <c r="AA49" i="29"/>
  <c r="Z49" i="29"/>
  <c r="Y49" i="29"/>
  <c r="V49" i="29"/>
  <c r="U49" i="29"/>
  <c r="T49" i="29"/>
  <c r="S49" i="29"/>
  <c r="R49" i="29"/>
  <c r="Q49" i="29"/>
  <c r="P49" i="29"/>
  <c r="O49" i="29"/>
  <c r="N49" i="29"/>
  <c r="M49" i="29"/>
  <c r="L49" i="29"/>
  <c r="K49" i="29"/>
  <c r="J49" i="29"/>
  <c r="AZ35" i="29"/>
  <c r="AY35" i="29"/>
  <c r="AX35" i="29"/>
  <c r="AW35" i="29"/>
  <c r="AV35" i="29"/>
  <c r="AU35" i="29"/>
  <c r="AT35" i="29"/>
  <c r="AS35" i="29"/>
  <c r="AR35" i="29"/>
  <c r="AQ35" i="29"/>
  <c r="AP35" i="29"/>
  <c r="AO35" i="29"/>
  <c r="AN35" i="29"/>
  <c r="Z35" i="29"/>
  <c r="AA35" i="29"/>
  <c r="AB35" i="29"/>
  <c r="AC35" i="29"/>
  <c r="AD35" i="29"/>
  <c r="Y35" i="29"/>
  <c r="Q35" i="29"/>
  <c r="P35" i="29"/>
  <c r="K35" i="29"/>
  <c r="L35" i="29"/>
  <c r="M35" i="29"/>
  <c r="N35" i="29"/>
  <c r="O35" i="29"/>
  <c r="J35" i="29"/>
  <c r="AZ31" i="28"/>
  <c r="AY31" i="28"/>
  <c r="AX31" i="28"/>
  <c r="AW31" i="28"/>
  <c r="AV31" i="28"/>
  <c r="AU31" i="28"/>
  <c r="AT31" i="28"/>
  <c r="AS31" i="28"/>
  <c r="AR31" i="28"/>
  <c r="AQ31" i="28"/>
  <c r="AP31" i="28"/>
  <c r="AO31" i="28"/>
  <c r="AN31" i="28"/>
  <c r="AZ23" i="28"/>
  <c r="AY23" i="28"/>
  <c r="AX23" i="28"/>
  <c r="AW23" i="28"/>
  <c r="AV23" i="28"/>
  <c r="AU23" i="28"/>
  <c r="AT23" i="28"/>
  <c r="AS23" i="28"/>
  <c r="AR23" i="28"/>
  <c r="AQ23" i="28"/>
  <c r="AP23" i="28"/>
  <c r="AO23" i="28"/>
  <c r="AN23" i="28"/>
  <c r="AK31" i="28"/>
  <c r="AJ31" i="28"/>
  <c r="AI31" i="28"/>
  <c r="AH31" i="28"/>
  <c r="AG31" i="28"/>
  <c r="AF31" i="28"/>
  <c r="AE31" i="28"/>
  <c r="AD31" i="28"/>
  <c r="AC31" i="28"/>
  <c r="AB31" i="28"/>
  <c r="AA31" i="28"/>
  <c r="Z31" i="28"/>
  <c r="Y31" i="28"/>
  <c r="K31" i="28"/>
  <c r="L31" i="28"/>
  <c r="M31" i="28"/>
  <c r="N31" i="28"/>
  <c r="O31" i="28"/>
  <c r="P31" i="28"/>
  <c r="Q31" i="28"/>
  <c r="R31" i="28"/>
  <c r="S31" i="28"/>
  <c r="T31" i="28"/>
  <c r="U31" i="28"/>
  <c r="V31" i="28"/>
  <c r="J31" i="28"/>
  <c r="Z23" i="28"/>
  <c r="AA23" i="28"/>
  <c r="AB23" i="28"/>
  <c r="AC23" i="28"/>
  <c r="AD23" i="28"/>
  <c r="AE23" i="28"/>
  <c r="AF23" i="28"/>
  <c r="AG23" i="28"/>
  <c r="AH23" i="28"/>
  <c r="AI23" i="28"/>
  <c r="AJ23" i="28"/>
  <c r="AK23" i="28"/>
  <c r="Y23" i="28"/>
  <c r="J55" i="10"/>
  <c r="K55" i="10"/>
  <c r="L55" i="10"/>
  <c r="M55" i="10"/>
  <c r="N55" i="10"/>
  <c r="O55" i="10"/>
  <c r="P55" i="10"/>
  <c r="Q55" i="10"/>
  <c r="R55" i="10"/>
  <c r="S55" i="10"/>
  <c r="T55" i="10"/>
  <c r="U55" i="10"/>
  <c r="V55" i="10"/>
  <c r="J143" i="54" l="1"/>
  <c r="N143" i="54"/>
  <c r="Q143" i="54"/>
  <c r="M143" i="54"/>
  <c r="P143" i="54"/>
  <c r="O143" i="54"/>
  <c r="L143" i="54"/>
  <c r="K143" i="54"/>
  <c r="AV93" i="29"/>
  <c r="AD93" i="29"/>
  <c r="AO93" i="29"/>
  <c r="AW93" i="29"/>
  <c r="Y93" i="29"/>
  <c r="AP93" i="29"/>
  <c r="AX93" i="29"/>
  <c r="AQ93" i="29"/>
  <c r="AY93" i="29"/>
  <c r="AN93" i="29"/>
  <c r="O93" i="29"/>
  <c r="N93" i="29"/>
  <c r="M93" i="29"/>
  <c r="AC93" i="29"/>
  <c r="AR93" i="29"/>
  <c r="AZ93" i="29"/>
  <c r="AA93" i="29"/>
  <c r="AT93" i="29"/>
  <c r="AB93" i="29"/>
  <c r="Z93" i="29"/>
  <c r="AU93" i="29"/>
  <c r="AS93" i="29"/>
  <c r="J93" i="29"/>
  <c r="L93" i="29"/>
  <c r="K93" i="29"/>
  <c r="P93" i="29"/>
  <c r="Q93" i="29"/>
  <c r="V70" i="74"/>
  <c r="U70" i="74"/>
  <c r="T70" i="74"/>
  <c r="S70" i="74"/>
  <c r="R70" i="74"/>
  <c r="BO81" i="36" l="1"/>
  <c r="A3" i="111" l="1"/>
  <c r="CD81" i="36" l="1"/>
  <c r="CB81" i="36"/>
  <c r="BZ81" i="36"/>
  <c r="BX81" i="36"/>
  <c r="BM81" i="36"/>
  <c r="BK81" i="36"/>
  <c r="BI81" i="36"/>
  <c r="BF81" i="36"/>
  <c r="BE81" i="36"/>
  <c r="BD81" i="36"/>
  <c r="BC81" i="36"/>
  <c r="BB81" i="36"/>
  <c r="BA81" i="36"/>
  <c r="AZ81" i="36"/>
  <c r="BO182" i="76" s="1"/>
  <c r="AY81" i="36"/>
  <c r="BN182" i="76" s="1"/>
  <c r="AX81" i="36"/>
  <c r="BM182" i="76" s="1"/>
  <c r="AW81" i="36"/>
  <c r="BL182" i="76" s="1"/>
  <c r="AV81" i="36"/>
  <c r="BK182" i="76" s="1"/>
  <c r="AU81" i="36"/>
  <c r="BJ182" i="76" s="1"/>
  <c r="AT81" i="36"/>
  <c r="BI182" i="76" s="1"/>
  <c r="AS81" i="36"/>
  <c r="BH182" i="76" s="1"/>
  <c r="AR81" i="36"/>
  <c r="BG182" i="76" s="1"/>
  <c r="AQ81" i="36"/>
  <c r="BF182" i="76" s="1"/>
  <c r="AP81" i="36"/>
  <c r="BE182" i="76" s="1"/>
  <c r="AO81" i="36"/>
  <c r="BD182" i="76" s="1"/>
  <c r="AN81" i="36"/>
  <c r="BC182" i="76" s="1"/>
  <c r="AK57" i="76"/>
  <c r="AJ57" i="76"/>
  <c r="AI57" i="76"/>
  <c r="AH57" i="76"/>
  <c r="AG57" i="76"/>
  <c r="AF57" i="76"/>
  <c r="AE57" i="76"/>
  <c r="AD57" i="76"/>
  <c r="AC57" i="76"/>
  <c r="AB57" i="76"/>
  <c r="AA57" i="76"/>
  <c r="Z57" i="76"/>
  <c r="Y57" i="76"/>
  <c r="V57" i="76"/>
  <c r="U57" i="76"/>
  <c r="T57" i="76"/>
  <c r="S57" i="76"/>
  <c r="R57" i="76"/>
  <c r="Q57" i="76"/>
  <c r="P57" i="76"/>
  <c r="O57" i="76"/>
  <c r="N57" i="76"/>
  <c r="M57" i="76"/>
  <c r="L57" i="76"/>
  <c r="K57" i="76"/>
  <c r="J57" i="76"/>
  <c r="C15" i="109" l="1"/>
  <c r="AV39" i="14" l="1"/>
  <c r="AS39" i="14"/>
  <c r="AR39" i="14"/>
  <c r="AQ39" i="14"/>
  <c r="AP39" i="14"/>
  <c r="AO39" i="14"/>
  <c r="AN39" i="14"/>
  <c r="AK39" i="14"/>
  <c r="AJ39" i="14"/>
  <c r="AI39" i="14"/>
  <c r="AH39" i="14"/>
  <c r="AG39" i="14"/>
  <c r="AF39" i="14"/>
  <c r="AE39" i="14"/>
  <c r="AD39" i="14"/>
  <c r="AC39" i="14"/>
  <c r="AB39" i="14"/>
  <c r="AA39" i="14"/>
  <c r="Z39" i="14"/>
  <c r="Y39" i="14"/>
  <c r="K39" i="14"/>
  <c r="L39" i="14"/>
  <c r="M39" i="14"/>
  <c r="N39" i="14"/>
  <c r="O39" i="14"/>
  <c r="P39" i="14"/>
  <c r="Q39" i="14"/>
  <c r="R39" i="14"/>
  <c r="S39" i="14"/>
  <c r="T39" i="14"/>
  <c r="U39" i="14"/>
  <c r="V39" i="14"/>
  <c r="J39" i="14"/>
  <c r="AX34" i="14"/>
  <c r="AX38" i="14"/>
  <c r="AX37" i="14"/>
  <c r="AX36" i="14"/>
  <c r="AK42" i="110"/>
  <c r="AJ42" i="110"/>
  <c r="AI42" i="110"/>
  <c r="AH42" i="110"/>
  <c r="AG42" i="110"/>
  <c r="AF42" i="110"/>
  <c r="AE42" i="110"/>
  <c r="AD42" i="110"/>
  <c r="AC42" i="110"/>
  <c r="AB42" i="110"/>
  <c r="AA42" i="110"/>
  <c r="Z42" i="110"/>
  <c r="Y42" i="110"/>
  <c r="AV18" i="14"/>
  <c r="AS18" i="14"/>
  <c r="AR18" i="14"/>
  <c r="AQ18" i="14"/>
  <c r="AP18" i="14"/>
  <c r="AO18" i="14"/>
  <c r="AN18" i="14"/>
  <c r="AK18" i="14"/>
  <c r="AJ18" i="14"/>
  <c r="AI18" i="14"/>
  <c r="AH18" i="14"/>
  <c r="AG18" i="14"/>
  <c r="AF18" i="14"/>
  <c r="AE18" i="14"/>
  <c r="AD18" i="14"/>
  <c r="AC18" i="14"/>
  <c r="AB18" i="14"/>
  <c r="AA18" i="14"/>
  <c r="Z18" i="14"/>
  <c r="Y18" i="14"/>
  <c r="K18" i="14"/>
  <c r="L18" i="14"/>
  <c r="M18" i="14"/>
  <c r="N18" i="14"/>
  <c r="O18" i="14"/>
  <c r="P18" i="14"/>
  <c r="Q18" i="14"/>
  <c r="R18" i="14"/>
  <c r="S18" i="14"/>
  <c r="T18" i="14"/>
  <c r="U18" i="14"/>
  <c r="V18" i="14"/>
  <c r="J18" i="14"/>
  <c r="AX17" i="14"/>
  <c r="AX16" i="14"/>
  <c r="AX15" i="14"/>
  <c r="AX14" i="14"/>
  <c r="AX13" i="14"/>
  <c r="AX12" i="14"/>
  <c r="AX18" i="14" l="1"/>
  <c r="AK34" i="110" l="1"/>
  <c r="AJ34" i="110"/>
  <c r="AI34" i="110"/>
  <c r="AH34" i="110"/>
  <c r="AG34" i="110"/>
  <c r="AF34" i="110"/>
  <c r="AE34" i="110"/>
  <c r="AD34" i="110"/>
  <c r="AC34" i="110"/>
  <c r="AB34" i="110"/>
  <c r="AA34" i="110"/>
  <c r="Z34" i="110"/>
  <c r="Y34" i="110"/>
  <c r="AK26" i="110"/>
  <c r="AJ26" i="110"/>
  <c r="AI26" i="110"/>
  <c r="AH26" i="110"/>
  <c r="AG26" i="110"/>
  <c r="AF26" i="110"/>
  <c r="AE26" i="110"/>
  <c r="AD26" i="110"/>
  <c r="AC26" i="110"/>
  <c r="AB26" i="110"/>
  <c r="AA26" i="110"/>
  <c r="Z26" i="110"/>
  <c r="Y26" i="110"/>
  <c r="AK21" i="110"/>
  <c r="AJ21" i="110"/>
  <c r="AI21" i="110"/>
  <c r="AH21" i="110"/>
  <c r="AG21" i="110"/>
  <c r="AF21" i="110"/>
  <c r="AE21" i="110"/>
  <c r="AD21" i="110"/>
  <c r="AC21" i="110"/>
  <c r="AB21" i="110"/>
  <c r="AA21" i="110"/>
  <c r="Z21" i="110"/>
  <c r="Y21" i="110"/>
  <c r="AK15" i="110"/>
  <c r="AJ15" i="110"/>
  <c r="AI15" i="110"/>
  <c r="AH15" i="110"/>
  <c r="AG15" i="110"/>
  <c r="AF15" i="110"/>
  <c r="AE15" i="110"/>
  <c r="AD15" i="110"/>
  <c r="AC15" i="110"/>
  <c r="AB15" i="110"/>
  <c r="AA15" i="110"/>
  <c r="Z15" i="110"/>
  <c r="Y15" i="110"/>
  <c r="A3" i="110"/>
  <c r="J168" i="63"/>
  <c r="J155" i="63"/>
  <c r="J138" i="63"/>
  <c r="J127" i="63"/>
  <c r="J119" i="63"/>
  <c r="Y44" i="110" l="1"/>
  <c r="AG44" i="110"/>
  <c r="J143" i="63"/>
  <c r="AA44" i="110"/>
  <c r="AC44" i="110"/>
  <c r="AK44" i="110"/>
  <c r="AI44" i="110"/>
  <c r="Z44" i="110"/>
  <c r="AH44" i="110"/>
  <c r="AB44" i="110"/>
  <c r="AJ44" i="110"/>
  <c r="AD44" i="110"/>
  <c r="AE44" i="110"/>
  <c r="AF44" i="110"/>
  <c r="A3" i="109" l="1"/>
  <c r="D15" i="109"/>
  <c r="E15" i="109"/>
  <c r="C25" i="109"/>
  <c r="C26" i="109"/>
  <c r="C27" i="109"/>
  <c r="C35" i="109"/>
  <c r="C36" i="109"/>
  <c r="C41" i="109"/>
  <c r="D41" i="109"/>
  <c r="E41" i="109"/>
  <c r="C101" i="109"/>
  <c r="D101" i="109"/>
  <c r="E101" i="109"/>
  <c r="C111" i="109"/>
  <c r="C112" i="109"/>
  <c r="C113" i="109"/>
  <c r="C121" i="109"/>
  <c r="C122" i="109"/>
  <c r="C127" i="109"/>
  <c r="D127" i="109"/>
  <c r="E127" i="109"/>
  <c r="F127" i="109"/>
  <c r="J109" i="63" l="1"/>
  <c r="J92" i="63"/>
  <c r="J75" i="63"/>
  <c r="O168" i="63" l="1"/>
  <c r="N168" i="63"/>
  <c r="M168" i="63"/>
  <c r="L168" i="63"/>
  <c r="K168" i="63"/>
  <c r="O155" i="63"/>
  <c r="N155" i="63"/>
  <c r="M155" i="63"/>
  <c r="L155" i="63"/>
  <c r="K155" i="63"/>
  <c r="O138" i="63"/>
  <c r="N138" i="63"/>
  <c r="M138" i="63"/>
  <c r="L138" i="63"/>
  <c r="K138" i="63"/>
  <c r="O127" i="63"/>
  <c r="N127" i="63"/>
  <c r="M127" i="63"/>
  <c r="L127" i="63"/>
  <c r="K127" i="63"/>
  <c r="O119" i="63"/>
  <c r="N119" i="63"/>
  <c r="M119" i="63"/>
  <c r="L119" i="63"/>
  <c r="K119" i="63"/>
  <c r="O109" i="63"/>
  <c r="N109" i="63"/>
  <c r="M109" i="63"/>
  <c r="L109" i="63"/>
  <c r="K109" i="63"/>
  <c r="O92" i="63"/>
  <c r="N92" i="63"/>
  <c r="M92" i="63"/>
  <c r="L92" i="63"/>
  <c r="K92" i="63"/>
  <c r="O75" i="63"/>
  <c r="N75" i="63"/>
  <c r="M75" i="63"/>
  <c r="L75" i="63"/>
  <c r="K75" i="63"/>
  <c r="O143" i="63" l="1"/>
  <c r="M143" i="63"/>
  <c r="L143" i="63"/>
  <c r="K143" i="63"/>
  <c r="N143" i="63"/>
  <c r="K20" i="86"/>
  <c r="L20" i="86"/>
  <c r="M20" i="86"/>
  <c r="N20" i="86"/>
  <c r="O20" i="86"/>
  <c r="AG25" i="108" l="1"/>
  <c r="AH25" i="108"/>
  <c r="AI25" i="108"/>
  <c r="AJ25" i="108"/>
  <c r="AK25" i="108"/>
  <c r="AF25" i="108"/>
  <c r="AE25" i="108"/>
  <c r="AD25" i="108"/>
  <c r="AC25" i="108"/>
  <c r="AB25" i="108"/>
  <c r="AA25" i="108"/>
  <c r="Z25" i="108"/>
  <c r="Y25" i="108"/>
  <c r="K16" i="108"/>
  <c r="L16" i="108"/>
  <c r="M16" i="108"/>
  <c r="N16" i="108"/>
  <c r="O16" i="108"/>
  <c r="P16" i="108"/>
  <c r="Q16" i="108"/>
  <c r="R16" i="108"/>
  <c r="S16" i="108"/>
  <c r="T16" i="108"/>
  <c r="U16" i="108"/>
  <c r="V16" i="108"/>
  <c r="K23" i="108"/>
  <c r="L23" i="108"/>
  <c r="M23" i="108"/>
  <c r="N23" i="108"/>
  <c r="O23" i="108"/>
  <c r="P23" i="108"/>
  <c r="Q23" i="108"/>
  <c r="R23" i="108"/>
  <c r="S23" i="108"/>
  <c r="T23" i="108"/>
  <c r="U23" i="108"/>
  <c r="V23" i="108"/>
  <c r="J23" i="108"/>
  <c r="J16" i="108"/>
  <c r="A3" i="108"/>
  <c r="AA13" i="106"/>
  <c r="AA14" i="106"/>
  <c r="AA15" i="106"/>
  <c r="AA16" i="106"/>
  <c r="AA17" i="106"/>
  <c r="AA18" i="106"/>
  <c r="AA19" i="106"/>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12" i="106"/>
  <c r="K91" i="106"/>
  <c r="L91" i="106"/>
  <c r="M91" i="106"/>
  <c r="N91" i="106"/>
  <c r="O91" i="106"/>
  <c r="P91" i="106"/>
  <c r="Q91" i="106"/>
  <c r="R91" i="106"/>
  <c r="S91" i="106"/>
  <c r="T91" i="106"/>
  <c r="U91" i="106"/>
  <c r="V91" i="106"/>
  <c r="J91" i="106"/>
  <c r="A3" i="106"/>
  <c r="U25" i="108" l="1"/>
  <c r="T25" i="108"/>
  <c r="S25" i="108"/>
  <c r="R25" i="108"/>
  <c r="Q25" i="108"/>
  <c r="P25" i="108"/>
  <c r="O25" i="108"/>
  <c r="N25" i="108"/>
  <c r="M25" i="108"/>
  <c r="L25" i="108"/>
  <c r="K25" i="108"/>
  <c r="V25" i="108"/>
  <c r="J25" i="108"/>
  <c r="K41" i="64"/>
  <c r="L41" i="64"/>
  <c r="M41" i="64"/>
  <c r="N41" i="64"/>
  <c r="O41" i="64"/>
  <c r="P41" i="64"/>
  <c r="Q41" i="64"/>
  <c r="R41" i="64"/>
  <c r="S41" i="64"/>
  <c r="T41" i="64"/>
  <c r="U41" i="64"/>
  <c r="V41" i="64"/>
  <c r="J41" i="64"/>
  <c r="V70" i="64"/>
  <c r="U70" i="64"/>
  <c r="T70" i="64"/>
  <c r="S70" i="64"/>
  <c r="R70" i="64"/>
  <c r="Q70" i="64"/>
  <c r="P70" i="64"/>
  <c r="O70" i="64"/>
  <c r="N70" i="64"/>
  <c r="M70" i="64"/>
  <c r="L70" i="64"/>
  <c r="K70" i="64"/>
  <c r="J70" i="64"/>
  <c r="S175" i="105" l="1"/>
  <c r="R175" i="105"/>
  <c r="Q175" i="105"/>
  <c r="P175" i="105"/>
  <c r="O175" i="105"/>
  <c r="N175" i="105"/>
  <c r="M175" i="105"/>
  <c r="L175" i="105"/>
  <c r="K175" i="105"/>
  <c r="J175" i="105"/>
  <c r="I175" i="105"/>
  <c r="H175" i="105"/>
  <c r="G175" i="105"/>
  <c r="S141" i="105"/>
  <c r="R141" i="105"/>
  <c r="Q141" i="105"/>
  <c r="P141" i="105"/>
  <c r="O141" i="105"/>
  <c r="N141" i="105"/>
  <c r="M141" i="105"/>
  <c r="L141" i="105"/>
  <c r="K141" i="105"/>
  <c r="J141" i="105"/>
  <c r="I141" i="105"/>
  <c r="H141" i="105"/>
  <c r="G141" i="105"/>
  <c r="S107" i="105"/>
  <c r="R107" i="105"/>
  <c r="Q107" i="105"/>
  <c r="P107" i="105"/>
  <c r="O107" i="105"/>
  <c r="N107" i="105"/>
  <c r="M107" i="105"/>
  <c r="L107" i="105"/>
  <c r="K107" i="105"/>
  <c r="J107" i="105"/>
  <c r="I107" i="105"/>
  <c r="H107" i="105"/>
  <c r="G107" i="105"/>
  <c r="S62" i="105"/>
  <c r="R62" i="105"/>
  <c r="Q62" i="105"/>
  <c r="P62" i="105"/>
  <c r="O62" i="105"/>
  <c r="N62" i="105"/>
  <c r="M62" i="105"/>
  <c r="L62" i="105"/>
  <c r="K62" i="105"/>
  <c r="J62" i="105"/>
  <c r="I62" i="105"/>
  <c r="H62" i="105"/>
  <c r="G62" i="105"/>
  <c r="A3" i="105"/>
  <c r="S175" i="104"/>
  <c r="R175" i="104"/>
  <c r="Q175" i="104"/>
  <c r="P175" i="104"/>
  <c r="O175" i="104"/>
  <c r="N175" i="104"/>
  <c r="M175" i="104"/>
  <c r="L175" i="104"/>
  <c r="K175" i="104"/>
  <c r="J175" i="104"/>
  <c r="I175" i="104"/>
  <c r="H175" i="104"/>
  <c r="G175" i="104"/>
  <c r="S141" i="104"/>
  <c r="R141" i="104"/>
  <c r="Q141" i="104"/>
  <c r="P141" i="104"/>
  <c r="O141" i="104"/>
  <c r="N141" i="104"/>
  <c r="M141" i="104"/>
  <c r="L141" i="104"/>
  <c r="K141" i="104"/>
  <c r="J141" i="104"/>
  <c r="I141" i="104"/>
  <c r="H141" i="104"/>
  <c r="G141" i="104"/>
  <c r="S107" i="104"/>
  <c r="R107" i="104"/>
  <c r="Q107" i="104"/>
  <c r="P107" i="104"/>
  <c r="O107" i="104"/>
  <c r="N107" i="104"/>
  <c r="M107" i="104"/>
  <c r="L107" i="104"/>
  <c r="K107" i="104"/>
  <c r="J107" i="104"/>
  <c r="I107" i="104"/>
  <c r="H107" i="104"/>
  <c r="G107" i="104"/>
  <c r="H62" i="104"/>
  <c r="I62" i="104"/>
  <c r="J62" i="104"/>
  <c r="K62" i="104"/>
  <c r="K12" i="104" s="1"/>
  <c r="L62" i="104"/>
  <c r="M62" i="104"/>
  <c r="N62" i="104"/>
  <c r="O62" i="104"/>
  <c r="O12" i="104" s="1"/>
  <c r="P62" i="104"/>
  <c r="Q62" i="104"/>
  <c r="Q12" i="104" s="1"/>
  <c r="R62" i="104"/>
  <c r="S62" i="104"/>
  <c r="G62" i="104"/>
  <c r="A3" i="104"/>
  <c r="V60" i="102"/>
  <c r="U60" i="102"/>
  <c r="T60" i="102"/>
  <c r="S60" i="102"/>
  <c r="R60" i="102"/>
  <c r="Q60" i="102"/>
  <c r="P60" i="102"/>
  <c r="O60" i="102"/>
  <c r="N60" i="102"/>
  <c r="M60" i="102"/>
  <c r="L60" i="102"/>
  <c r="K60" i="102"/>
  <c r="J60" i="102"/>
  <c r="V33" i="102"/>
  <c r="U33" i="102"/>
  <c r="T33" i="102"/>
  <c r="S33" i="102"/>
  <c r="R33" i="102"/>
  <c r="Q33" i="102"/>
  <c r="P33" i="102"/>
  <c r="O33" i="102"/>
  <c r="N33" i="102"/>
  <c r="M33" i="102"/>
  <c r="L33" i="102"/>
  <c r="K33" i="102"/>
  <c r="J33" i="102"/>
  <c r="A3" i="102"/>
  <c r="S12" i="104" l="1"/>
  <c r="M12" i="104"/>
  <c r="P53" i="114"/>
  <c r="M68" i="74"/>
  <c r="T53" i="114"/>
  <c r="Q68" i="74"/>
  <c r="U71" i="74"/>
  <c r="X53" i="114"/>
  <c r="M53" i="114"/>
  <c r="J68" i="74"/>
  <c r="Q53" i="114"/>
  <c r="N68" i="74"/>
  <c r="R71" i="74"/>
  <c r="U53" i="114"/>
  <c r="V71" i="74"/>
  <c r="Y53" i="114"/>
  <c r="L12" i="105"/>
  <c r="N53" i="114"/>
  <c r="K68" i="74"/>
  <c r="R53" i="114"/>
  <c r="O68" i="74"/>
  <c r="S71" i="74"/>
  <c r="V53" i="114"/>
  <c r="O53" i="114"/>
  <c r="L68" i="74"/>
  <c r="S53" i="114"/>
  <c r="P68" i="74"/>
  <c r="T71" i="74"/>
  <c r="W53" i="114"/>
  <c r="R12" i="105"/>
  <c r="G12" i="104"/>
  <c r="P12" i="104"/>
  <c r="L12" i="104"/>
  <c r="H12" i="104"/>
  <c r="J12" i="105"/>
  <c r="M12" i="105"/>
  <c r="R12" i="104"/>
  <c r="J12" i="104"/>
  <c r="I12" i="105"/>
  <c r="Q12" i="105"/>
  <c r="G12" i="105"/>
  <c r="N12" i="105"/>
  <c r="O12" i="105"/>
  <c r="I12" i="104"/>
  <c r="N12" i="104"/>
  <c r="H12" i="105"/>
  <c r="P12" i="105"/>
  <c r="K12" i="105"/>
  <c r="S12" i="105"/>
  <c r="J18" i="60"/>
  <c r="V101" i="82" l="1"/>
  <c r="V106" i="82" s="1"/>
  <c r="U101" i="82"/>
  <c r="U106" i="82" s="1"/>
  <c r="T101" i="82"/>
  <c r="T106" i="82" s="1"/>
  <c r="S101" i="82"/>
  <c r="S106" i="82" s="1"/>
  <c r="R101" i="82"/>
  <c r="R106" i="82" s="1"/>
  <c r="Q101" i="82"/>
  <c r="Q106" i="82" s="1"/>
  <c r="P101" i="82"/>
  <c r="P106" i="82" s="1"/>
  <c r="O101" i="82"/>
  <c r="O106" i="82" s="1"/>
  <c r="N101" i="82"/>
  <c r="N106" i="82" s="1"/>
  <c r="M101" i="82"/>
  <c r="M106" i="82" s="1"/>
  <c r="L101" i="82"/>
  <c r="L106" i="82" s="1"/>
  <c r="K101" i="82"/>
  <c r="K106" i="82" s="1"/>
  <c r="J101" i="82"/>
  <c r="J106" i="82" s="1"/>
  <c r="V76" i="82"/>
  <c r="V81" i="82" s="1"/>
  <c r="U76" i="82"/>
  <c r="U81" i="82" s="1"/>
  <c r="T76" i="82"/>
  <c r="T81" i="82" s="1"/>
  <c r="S76" i="82"/>
  <c r="S81" i="82" s="1"/>
  <c r="R76" i="82"/>
  <c r="R81" i="82" s="1"/>
  <c r="Q76" i="82"/>
  <c r="Q81" i="82" s="1"/>
  <c r="P76" i="82"/>
  <c r="P81" i="82" s="1"/>
  <c r="O76" i="82"/>
  <c r="O81" i="82" s="1"/>
  <c r="N76" i="82"/>
  <c r="N81" i="82" s="1"/>
  <c r="M76" i="82"/>
  <c r="M81" i="82" s="1"/>
  <c r="L76" i="82"/>
  <c r="L81" i="82" s="1"/>
  <c r="K76" i="82"/>
  <c r="K81" i="82" s="1"/>
  <c r="J76" i="82"/>
  <c r="J81" i="82" s="1"/>
  <c r="J20" i="86" l="1"/>
  <c r="O184" i="56"/>
  <c r="N184" i="56"/>
  <c r="M184" i="56"/>
  <c r="L184" i="56"/>
  <c r="K184" i="56"/>
  <c r="J184" i="56"/>
  <c r="V172" i="56"/>
  <c r="U172" i="56"/>
  <c r="T172" i="56"/>
  <c r="S172" i="56"/>
  <c r="R172" i="56"/>
  <c r="Q172" i="56"/>
  <c r="P172" i="56"/>
  <c r="O172" i="56"/>
  <c r="N172" i="56"/>
  <c r="M172" i="56"/>
  <c r="L172" i="56"/>
  <c r="K172" i="56"/>
  <c r="J172" i="56"/>
  <c r="V160" i="56"/>
  <c r="U160" i="56"/>
  <c r="T160" i="56"/>
  <c r="S160" i="56"/>
  <c r="R160" i="56"/>
  <c r="Q160" i="56"/>
  <c r="P160" i="56"/>
  <c r="O160" i="56"/>
  <c r="N160" i="56"/>
  <c r="M160" i="56"/>
  <c r="L160" i="56"/>
  <c r="K160" i="56"/>
  <c r="J160" i="56"/>
  <c r="O148" i="56"/>
  <c r="N148" i="56"/>
  <c r="M148" i="56"/>
  <c r="L148" i="56"/>
  <c r="K148" i="56"/>
  <c r="J148" i="56"/>
  <c r="V136" i="56" l="1"/>
  <c r="U136" i="56"/>
  <c r="T136" i="56"/>
  <c r="S136" i="56"/>
  <c r="R136" i="56"/>
  <c r="Q136" i="56"/>
  <c r="P136" i="56"/>
  <c r="O136" i="56"/>
  <c r="N136" i="56"/>
  <c r="M136" i="56"/>
  <c r="L136" i="56"/>
  <c r="K136" i="56"/>
  <c r="J136" i="56"/>
  <c r="V106" i="56"/>
  <c r="U106" i="56"/>
  <c r="T106" i="56"/>
  <c r="S106" i="56"/>
  <c r="R106" i="56"/>
  <c r="Q106" i="56"/>
  <c r="O106" i="56"/>
  <c r="N106" i="56"/>
  <c r="M106" i="56"/>
  <c r="L106" i="56"/>
  <c r="K106" i="56"/>
  <c r="J106" i="56"/>
  <c r="V94" i="56"/>
  <c r="U94" i="56"/>
  <c r="T94" i="56"/>
  <c r="S94" i="56"/>
  <c r="R94" i="56"/>
  <c r="Q94" i="56"/>
  <c r="P94" i="56"/>
  <c r="O94" i="56"/>
  <c r="N94" i="56"/>
  <c r="M94" i="56"/>
  <c r="L94" i="56"/>
  <c r="K94" i="56"/>
  <c r="J94" i="56"/>
  <c r="V85" i="56"/>
  <c r="U85" i="56"/>
  <c r="T85" i="56"/>
  <c r="S85" i="56"/>
  <c r="R85" i="56"/>
  <c r="Q85" i="56"/>
  <c r="P85" i="56"/>
  <c r="O85" i="56"/>
  <c r="N85" i="56"/>
  <c r="M85" i="56"/>
  <c r="L85" i="56"/>
  <c r="K85" i="56"/>
  <c r="J85" i="56"/>
  <c r="V76" i="56"/>
  <c r="U76" i="56"/>
  <c r="T76" i="56"/>
  <c r="S76" i="56"/>
  <c r="R76" i="56"/>
  <c r="Q76" i="56"/>
  <c r="P76" i="56"/>
  <c r="O76" i="56"/>
  <c r="N76" i="56"/>
  <c r="M76" i="56"/>
  <c r="L76" i="56"/>
  <c r="K76" i="56"/>
  <c r="J76" i="56"/>
  <c r="BH64" i="56"/>
  <c r="BG64" i="56"/>
  <c r="BF64" i="56"/>
  <c r="BE64" i="56"/>
  <c r="BD64" i="56"/>
  <c r="BC64" i="56"/>
  <c r="BH55" i="56"/>
  <c r="BG55" i="56"/>
  <c r="BF55" i="56"/>
  <c r="BE55" i="56"/>
  <c r="BD55" i="56"/>
  <c r="BC55" i="56"/>
  <c r="BO46" i="56"/>
  <c r="BN46" i="56"/>
  <c r="BM46" i="56"/>
  <c r="BL46" i="56"/>
  <c r="BK46" i="56"/>
  <c r="BJ46" i="56"/>
  <c r="BI46" i="56"/>
  <c r="BH46" i="56"/>
  <c r="BG46" i="56"/>
  <c r="BF46" i="56"/>
  <c r="BE46" i="56"/>
  <c r="BD46" i="56"/>
  <c r="BC46" i="56"/>
  <c r="O37" i="56"/>
  <c r="N37" i="56"/>
  <c r="M37" i="56"/>
  <c r="L37" i="56"/>
  <c r="K37" i="56"/>
  <c r="J37" i="56"/>
  <c r="O28" i="56"/>
  <c r="N28" i="56"/>
  <c r="M28" i="56"/>
  <c r="L28" i="56"/>
  <c r="K28" i="56"/>
  <c r="J28" i="56"/>
  <c r="K19" i="56"/>
  <c r="K24" i="80" s="1"/>
  <c r="L19" i="56"/>
  <c r="L24" i="80" s="1"/>
  <c r="M19" i="56"/>
  <c r="M24" i="80" s="1"/>
  <c r="N19" i="56"/>
  <c r="N24" i="80" s="1"/>
  <c r="O19" i="56"/>
  <c r="O24" i="80" s="1"/>
  <c r="J19" i="56"/>
  <c r="J24" i="80" s="1"/>
  <c r="K73" i="54" l="1"/>
  <c r="L73" i="54"/>
  <c r="M73" i="54"/>
  <c r="N73" i="54"/>
  <c r="O73" i="54"/>
  <c r="P73" i="54"/>
  <c r="Q73" i="54"/>
  <c r="J73" i="54"/>
  <c r="V73" i="54" l="1"/>
  <c r="W73" i="54"/>
  <c r="X73" i="54"/>
  <c r="Y73" i="54"/>
  <c r="Z73" i="54"/>
  <c r="AA73" i="54"/>
  <c r="R73" i="54"/>
  <c r="T73" i="54"/>
  <c r="S73" i="54"/>
  <c r="U73" i="54"/>
  <c r="S95" i="54"/>
  <c r="T95" i="54"/>
  <c r="U95" i="54"/>
  <c r="V95" i="54"/>
  <c r="W95" i="54"/>
  <c r="X95" i="54"/>
  <c r="Y95" i="54"/>
  <c r="Z95" i="54"/>
  <c r="AA95" i="54"/>
  <c r="S100" i="54"/>
  <c r="T100" i="54"/>
  <c r="U100" i="54"/>
  <c r="V100" i="54"/>
  <c r="W100" i="54"/>
  <c r="X100" i="54"/>
  <c r="Y100" i="54"/>
  <c r="Z100" i="54"/>
  <c r="AA100" i="54"/>
  <c r="S101" i="54"/>
  <c r="T101" i="54"/>
  <c r="U101" i="54"/>
  <c r="V101" i="54"/>
  <c r="W101" i="54"/>
  <c r="X101" i="54"/>
  <c r="Y101" i="54"/>
  <c r="Z101" i="54"/>
  <c r="AA101" i="54"/>
  <c r="S102" i="54"/>
  <c r="T102" i="54"/>
  <c r="U102" i="54"/>
  <c r="V102" i="54"/>
  <c r="W102" i="54"/>
  <c r="X102" i="54"/>
  <c r="Y102" i="54"/>
  <c r="Z102" i="54"/>
  <c r="AA102" i="54"/>
  <c r="S103" i="54"/>
  <c r="T103" i="54"/>
  <c r="U103" i="54"/>
  <c r="V103" i="54"/>
  <c r="W103" i="54"/>
  <c r="X103" i="54"/>
  <c r="Y103" i="54"/>
  <c r="Z103" i="54"/>
  <c r="AA103" i="54"/>
  <c r="S104" i="54"/>
  <c r="T104" i="54"/>
  <c r="U104" i="54"/>
  <c r="V104" i="54"/>
  <c r="W104" i="54"/>
  <c r="X104" i="54"/>
  <c r="Y104" i="54"/>
  <c r="Z104" i="54"/>
  <c r="AA104" i="54"/>
  <c r="S109" i="54"/>
  <c r="T109" i="54"/>
  <c r="U109" i="54"/>
  <c r="V109" i="54"/>
  <c r="W109" i="54"/>
  <c r="X109" i="54"/>
  <c r="Y109" i="54"/>
  <c r="Z109" i="54"/>
  <c r="AA109" i="54"/>
  <c r="S114" i="54"/>
  <c r="T114" i="54"/>
  <c r="U114" i="54"/>
  <c r="V114" i="54"/>
  <c r="W114" i="54"/>
  <c r="X114" i="54"/>
  <c r="Y114" i="54"/>
  <c r="Z114" i="54"/>
  <c r="AA114" i="54"/>
  <c r="S115" i="54"/>
  <c r="T115" i="54"/>
  <c r="U115" i="54"/>
  <c r="V115" i="54"/>
  <c r="W115" i="54"/>
  <c r="X115" i="54"/>
  <c r="Y115" i="54"/>
  <c r="Z115" i="54"/>
  <c r="AA115" i="54"/>
  <c r="S116" i="54"/>
  <c r="T116" i="54"/>
  <c r="U116" i="54"/>
  <c r="V116" i="54"/>
  <c r="W116" i="54"/>
  <c r="X116" i="54"/>
  <c r="Y116" i="54"/>
  <c r="Z116" i="54"/>
  <c r="AA116" i="54"/>
  <c r="S117" i="54"/>
  <c r="T117" i="54"/>
  <c r="U117" i="54"/>
  <c r="V117" i="54"/>
  <c r="W117" i="54"/>
  <c r="X117" i="54"/>
  <c r="Y117" i="54"/>
  <c r="Z117" i="54"/>
  <c r="AA117" i="54"/>
  <c r="S118" i="54"/>
  <c r="T118" i="54"/>
  <c r="U118" i="54"/>
  <c r="V118" i="54"/>
  <c r="W118" i="54"/>
  <c r="X118" i="54"/>
  <c r="Y118" i="54"/>
  <c r="Z118" i="54"/>
  <c r="AA118" i="54"/>
  <c r="S123" i="54"/>
  <c r="T123" i="54"/>
  <c r="U123" i="54"/>
  <c r="V123" i="54"/>
  <c r="W123" i="54"/>
  <c r="X123" i="54"/>
  <c r="Y123" i="54"/>
  <c r="Z123" i="54"/>
  <c r="AA123" i="54"/>
  <c r="S124" i="54"/>
  <c r="T124" i="54"/>
  <c r="U124" i="54"/>
  <c r="V124" i="54"/>
  <c r="W124" i="54"/>
  <c r="X124" i="54"/>
  <c r="Y124" i="54"/>
  <c r="Z124" i="54"/>
  <c r="AA124" i="54"/>
  <c r="S129" i="54"/>
  <c r="T129" i="54"/>
  <c r="U129" i="54"/>
  <c r="V129" i="54"/>
  <c r="W129" i="54"/>
  <c r="X129" i="54"/>
  <c r="Y129" i="54"/>
  <c r="Z129" i="54"/>
  <c r="AA129" i="54"/>
  <c r="S130" i="54"/>
  <c r="T130" i="54"/>
  <c r="U130" i="54"/>
  <c r="V130" i="54"/>
  <c r="W130" i="54"/>
  <c r="X130" i="54"/>
  <c r="Y130" i="54"/>
  <c r="Z130" i="54"/>
  <c r="AA130" i="54"/>
  <c r="S131" i="54"/>
  <c r="T131" i="54"/>
  <c r="U131" i="54"/>
  <c r="V131" i="54"/>
  <c r="W131" i="54"/>
  <c r="X131" i="54"/>
  <c r="Y131" i="54"/>
  <c r="Z131" i="54"/>
  <c r="AA131" i="54"/>
  <c r="S132" i="54"/>
  <c r="T132" i="54"/>
  <c r="U132" i="54"/>
  <c r="V132" i="54"/>
  <c r="W132" i="54"/>
  <c r="X132" i="54"/>
  <c r="Y132" i="54"/>
  <c r="Z132" i="54"/>
  <c r="AA132" i="54"/>
  <c r="S133" i="54"/>
  <c r="T133" i="54"/>
  <c r="U133" i="54"/>
  <c r="V133" i="54"/>
  <c r="W133" i="54"/>
  <c r="X133" i="54"/>
  <c r="Y133" i="54"/>
  <c r="Z133" i="54"/>
  <c r="AA133" i="54"/>
  <c r="S87" i="54"/>
  <c r="T87" i="54"/>
  <c r="U87" i="54"/>
  <c r="V87" i="54"/>
  <c r="W87" i="54"/>
  <c r="X87" i="54"/>
  <c r="Y87" i="54"/>
  <c r="Z87" i="54"/>
  <c r="AA87" i="54"/>
  <c r="S88" i="54"/>
  <c r="T88" i="54"/>
  <c r="U88" i="54"/>
  <c r="V88" i="54"/>
  <c r="W88" i="54"/>
  <c r="X88" i="54"/>
  <c r="Y88" i="54"/>
  <c r="Z88" i="54"/>
  <c r="AA88" i="54"/>
  <c r="S89" i="54"/>
  <c r="T89" i="54"/>
  <c r="U89" i="54"/>
  <c r="V89" i="54"/>
  <c r="W89" i="54"/>
  <c r="X89" i="54"/>
  <c r="Y89" i="54"/>
  <c r="Z89" i="54"/>
  <c r="AA89" i="54"/>
  <c r="S90" i="54"/>
  <c r="T90" i="54"/>
  <c r="U90" i="54"/>
  <c r="V90" i="54"/>
  <c r="W90" i="54"/>
  <c r="X90" i="54"/>
  <c r="Y90" i="54"/>
  <c r="Z90" i="54"/>
  <c r="AA90" i="54"/>
  <c r="S62" i="54"/>
  <c r="T62" i="54"/>
  <c r="U62" i="54"/>
  <c r="V62" i="54"/>
  <c r="W62" i="54"/>
  <c r="X62" i="54"/>
  <c r="Y62" i="54"/>
  <c r="Z62" i="54"/>
  <c r="AA62" i="54"/>
  <c r="S63" i="54"/>
  <c r="T63" i="54"/>
  <c r="U63" i="54"/>
  <c r="V63" i="54"/>
  <c r="W63" i="54"/>
  <c r="X63" i="54"/>
  <c r="Y63" i="54"/>
  <c r="Z63" i="54"/>
  <c r="AA63" i="54"/>
  <c r="S64" i="54"/>
  <c r="T64" i="54"/>
  <c r="U64" i="54"/>
  <c r="V64" i="54"/>
  <c r="W64" i="54"/>
  <c r="X64" i="54"/>
  <c r="Y64" i="54"/>
  <c r="Z64" i="54"/>
  <c r="AA64" i="54"/>
  <c r="S65" i="54"/>
  <c r="T65" i="54"/>
  <c r="U65" i="54"/>
  <c r="V65" i="54"/>
  <c r="W65" i="54"/>
  <c r="X65" i="54"/>
  <c r="Y65" i="54"/>
  <c r="Z65" i="54"/>
  <c r="AA65" i="54"/>
  <c r="S66" i="54"/>
  <c r="T66" i="54"/>
  <c r="U66" i="54"/>
  <c r="V66" i="54"/>
  <c r="W66" i="54"/>
  <c r="X66" i="54"/>
  <c r="Y66" i="54"/>
  <c r="Z66" i="54"/>
  <c r="AA66" i="54"/>
  <c r="S57" i="54"/>
  <c r="T57" i="54"/>
  <c r="U57" i="54"/>
  <c r="V57" i="54"/>
  <c r="W57" i="54"/>
  <c r="X57" i="54"/>
  <c r="Y57" i="54"/>
  <c r="Z57" i="54"/>
  <c r="AA57" i="54"/>
  <c r="S58" i="54"/>
  <c r="T58" i="54"/>
  <c r="U58" i="54"/>
  <c r="V58" i="54"/>
  <c r="W58" i="54"/>
  <c r="X58" i="54"/>
  <c r="Y58" i="54"/>
  <c r="Z58" i="54"/>
  <c r="AA58" i="54"/>
  <c r="S42" i="54"/>
  <c r="T42" i="54"/>
  <c r="U42" i="54"/>
  <c r="V42" i="54"/>
  <c r="W42" i="54"/>
  <c r="X42" i="54"/>
  <c r="Y42" i="54"/>
  <c r="Z42" i="54"/>
  <c r="AA42" i="54"/>
  <c r="S53" i="54"/>
  <c r="T53" i="54"/>
  <c r="U53" i="54"/>
  <c r="V53" i="54"/>
  <c r="W53" i="54"/>
  <c r="X53" i="54"/>
  <c r="Y53" i="54"/>
  <c r="Z53" i="54"/>
  <c r="AA53" i="54"/>
  <c r="S27" i="54"/>
  <c r="T27" i="54"/>
  <c r="U27" i="54"/>
  <c r="V27" i="54"/>
  <c r="W27" i="54"/>
  <c r="X27" i="54"/>
  <c r="Y27" i="54"/>
  <c r="Z27" i="54"/>
  <c r="AA27" i="54"/>
  <c r="R21" i="54"/>
  <c r="S21" i="54"/>
  <c r="T21" i="54"/>
  <c r="U21" i="54"/>
  <c r="V21" i="54"/>
  <c r="W21" i="54"/>
  <c r="X21" i="54"/>
  <c r="Y21" i="54"/>
  <c r="Z21" i="54"/>
  <c r="AA21" i="54"/>
  <c r="R22" i="54"/>
  <c r="S22" i="54"/>
  <c r="T22" i="54"/>
  <c r="U22" i="54"/>
  <c r="V22" i="54"/>
  <c r="W22" i="54"/>
  <c r="X22" i="54"/>
  <c r="Y22" i="54"/>
  <c r="Z22" i="54"/>
  <c r="AA22" i="54"/>
  <c r="R23" i="54"/>
  <c r="S23" i="54"/>
  <c r="T23" i="54"/>
  <c r="U23" i="54"/>
  <c r="V23" i="54"/>
  <c r="W23" i="54"/>
  <c r="X23" i="54"/>
  <c r="Y23" i="54"/>
  <c r="Z23" i="54"/>
  <c r="AA23" i="54"/>
  <c r="S20" i="54"/>
  <c r="T20" i="54"/>
  <c r="U20" i="54"/>
  <c r="V20" i="54"/>
  <c r="W20" i="54"/>
  <c r="X20" i="54"/>
  <c r="Y20" i="54"/>
  <c r="Y149" i="54" s="1"/>
  <c r="Y159" i="54" s="1"/>
  <c r="Z20" i="54"/>
  <c r="AA20" i="54"/>
  <c r="V149" i="54" l="1"/>
  <c r="V159" i="54" s="1"/>
  <c r="V148" i="54"/>
  <c r="X149" i="54"/>
  <c r="X159" i="54" s="1"/>
  <c r="W149" i="54"/>
  <c r="W159" i="54" s="1"/>
  <c r="T148" i="54"/>
  <c r="U149" i="54"/>
  <c r="U159" i="54" s="1"/>
  <c r="AA149" i="54"/>
  <c r="AA159" i="54" s="1"/>
  <c r="S149" i="54"/>
  <c r="S159" i="54" s="1"/>
  <c r="W153" i="54"/>
  <c r="X153" i="54"/>
  <c r="V153" i="54"/>
  <c r="U153" i="54"/>
  <c r="T153" i="54"/>
  <c r="AA153" i="54"/>
  <c r="S153" i="54"/>
  <c r="Z153" i="54"/>
  <c r="Y153" i="54"/>
  <c r="U148" i="54"/>
  <c r="AA148" i="54"/>
  <c r="S148" i="54"/>
  <c r="Z148" i="54"/>
  <c r="T149" i="54"/>
  <c r="T159" i="54" s="1"/>
  <c r="Y148" i="54"/>
  <c r="X148" i="54"/>
  <c r="Z149" i="54"/>
  <c r="Z159" i="54" s="1"/>
  <c r="W148" i="54"/>
  <c r="T126" i="54"/>
  <c r="U135" i="54"/>
  <c r="AA135" i="54"/>
  <c r="S135" i="54"/>
  <c r="T135" i="54"/>
  <c r="Z135" i="54"/>
  <c r="Y135" i="54"/>
  <c r="X135" i="54"/>
  <c r="W135" i="54"/>
  <c r="U126" i="54"/>
  <c r="V135" i="54"/>
  <c r="Z126" i="54"/>
  <c r="Y126" i="54"/>
  <c r="X126" i="54"/>
  <c r="W126" i="54"/>
  <c r="S126" i="54"/>
  <c r="V126" i="54"/>
  <c r="AA126" i="54"/>
  <c r="W92" i="54"/>
  <c r="Z106" i="54"/>
  <c r="T120" i="54"/>
  <c r="AA120" i="54"/>
  <c r="S120" i="54"/>
  <c r="Y106" i="54"/>
  <c r="Z120" i="54"/>
  <c r="X106" i="54"/>
  <c r="Y120" i="54"/>
  <c r="W106" i="54"/>
  <c r="X120" i="54"/>
  <c r="V106" i="54"/>
  <c r="W120" i="54"/>
  <c r="U106" i="54"/>
  <c r="V120" i="54"/>
  <c r="T106" i="54"/>
  <c r="U120" i="54"/>
  <c r="AA106" i="54"/>
  <c r="S106" i="54"/>
  <c r="W59" i="54"/>
  <c r="AA59" i="54"/>
  <c r="Z39" i="54"/>
  <c r="W24" i="54"/>
  <c r="X54" i="54"/>
  <c r="AA54" i="54"/>
  <c r="W54" i="54"/>
  <c r="X59" i="54"/>
  <c r="Z59" i="54"/>
  <c r="X92" i="54"/>
  <c r="AA92" i="54"/>
  <c r="Z67" i="54"/>
  <c r="X67" i="54"/>
  <c r="Y24" i="54"/>
  <c r="AA67" i="54"/>
  <c r="Y67" i="54"/>
  <c r="Y92" i="54"/>
  <c r="Z24" i="54"/>
  <c r="Z92" i="54"/>
  <c r="X24" i="54"/>
  <c r="AA24" i="54"/>
  <c r="W39" i="54"/>
  <c r="Y59" i="54"/>
  <c r="X39" i="54"/>
  <c r="AA39" i="54"/>
  <c r="Y39" i="54"/>
  <c r="Y54" i="54"/>
  <c r="Z54" i="54"/>
  <c r="W67" i="54"/>
  <c r="V158" i="54" l="1"/>
  <c r="W158" i="54"/>
  <c r="X158" i="54"/>
  <c r="T158" i="54"/>
  <c r="U158" i="54"/>
  <c r="Y158" i="54"/>
  <c r="Z158" i="54"/>
  <c r="S158" i="54"/>
  <c r="AA158" i="54"/>
  <c r="Y143" i="54"/>
  <c r="Z143" i="54"/>
  <c r="W81" i="54"/>
  <c r="W143" i="54"/>
  <c r="AA143" i="54"/>
  <c r="X143" i="54"/>
  <c r="AA81" i="54"/>
  <c r="X81" i="54"/>
  <c r="Z81" i="54"/>
  <c r="Y81" i="54"/>
  <c r="W12" i="54" l="1"/>
  <c r="W14" i="54" s="1"/>
  <c r="X12" i="54"/>
  <c r="X14" i="54" s="1"/>
  <c r="Z12" i="54"/>
  <c r="Z14" i="54" s="1"/>
  <c r="AA12" i="54"/>
  <c r="AA14" i="54" s="1"/>
  <c r="Y12" i="54"/>
  <c r="Y14" i="54" s="1"/>
  <c r="V19" i="101" l="1"/>
  <c r="U19" i="101"/>
  <c r="T19" i="101"/>
  <c r="T25" i="101" s="1"/>
  <c r="S19" i="101"/>
  <c r="S25" i="101" s="1"/>
  <c r="R19" i="101"/>
  <c r="R25" i="101" s="1"/>
  <c r="Q19" i="101"/>
  <c r="Q25" i="101" s="1"/>
  <c r="P19" i="101"/>
  <c r="O19" i="101"/>
  <c r="O25" i="101" s="1"/>
  <c r="N19" i="101"/>
  <c r="M19" i="101"/>
  <c r="L19" i="101"/>
  <c r="L25" i="101" s="1"/>
  <c r="K19" i="101"/>
  <c r="K25" i="101" s="1"/>
  <c r="J19" i="101"/>
  <c r="J25" i="101" s="1"/>
  <c r="A3" i="101"/>
  <c r="P25" i="101" l="1"/>
  <c r="M25" i="101"/>
  <c r="U25" i="101"/>
  <c r="N25" i="101"/>
  <c r="V25" i="101"/>
  <c r="R26" i="24"/>
  <c r="V26" i="24"/>
  <c r="U26" i="24"/>
  <c r="T26" i="24"/>
  <c r="S26" i="24"/>
  <c r="Q26" i="24"/>
  <c r="L26" i="24"/>
  <c r="M26" i="24"/>
  <c r="N26" i="24"/>
  <c r="P26" i="24"/>
  <c r="K26" i="24"/>
  <c r="J26" i="24"/>
  <c r="V15" i="24"/>
  <c r="U15" i="24"/>
  <c r="T15" i="24"/>
  <c r="S15" i="24"/>
  <c r="R15" i="24"/>
  <c r="Q15" i="24"/>
  <c r="P15" i="24"/>
  <c r="N15" i="24"/>
  <c r="M15" i="24"/>
  <c r="L15" i="24"/>
  <c r="K15" i="24"/>
  <c r="J15" i="24"/>
  <c r="S30" i="24" l="1"/>
  <c r="K30" i="24"/>
  <c r="L30" i="24"/>
  <c r="T30" i="24"/>
  <c r="Q30" i="24"/>
  <c r="J30" i="24"/>
  <c r="R30" i="24"/>
  <c r="M30" i="24"/>
  <c r="U30" i="24"/>
  <c r="N30" i="24"/>
  <c r="V30" i="24"/>
  <c r="P30" i="24"/>
  <c r="K53" i="100" l="1"/>
  <c r="L53" i="100"/>
  <c r="M53" i="100"/>
  <c r="N53" i="100"/>
  <c r="O53" i="100"/>
  <c r="J53" i="100"/>
  <c r="A3" i="100"/>
  <c r="A3" i="99" l="1"/>
  <c r="BY66" i="76" l="1"/>
  <c r="BX66" i="76"/>
  <c r="BW66" i="76"/>
  <c r="BV66" i="76"/>
  <c r="BU66" i="76"/>
  <c r="BT66" i="76"/>
  <c r="BS66" i="76"/>
  <c r="BY65" i="76"/>
  <c r="BX65" i="76"/>
  <c r="BW65" i="76"/>
  <c r="BV65" i="76"/>
  <c r="BU65" i="76"/>
  <c r="BT65" i="76"/>
  <c r="BS65" i="76"/>
  <c r="BC66" i="76"/>
  <c r="BR66" i="76" s="1"/>
  <c r="BC65" i="76"/>
  <c r="BR65" i="76" s="1"/>
  <c r="AK66" i="76"/>
  <c r="AJ66" i="76"/>
  <c r="AI66" i="76"/>
  <c r="AH66" i="76"/>
  <c r="AG66" i="76"/>
  <c r="AF66" i="76"/>
  <c r="AE66" i="76"/>
  <c r="AD66" i="76"/>
  <c r="AC66" i="76"/>
  <c r="AB66" i="76"/>
  <c r="AA66" i="76"/>
  <c r="Z66" i="76"/>
  <c r="Y66" i="76"/>
  <c r="AK65" i="76"/>
  <c r="AJ65" i="76"/>
  <c r="AI65" i="76"/>
  <c r="AH65" i="76"/>
  <c r="AG65" i="76"/>
  <c r="AF65" i="76"/>
  <c r="AE65" i="76"/>
  <c r="AD65" i="76"/>
  <c r="AC65" i="76"/>
  <c r="AB65" i="76"/>
  <c r="AA65" i="76"/>
  <c r="Z65" i="76"/>
  <c r="Y65" i="76"/>
  <c r="V66" i="76"/>
  <c r="U66" i="76"/>
  <c r="T66" i="76"/>
  <c r="S66" i="76"/>
  <c r="R66" i="76"/>
  <c r="Q66" i="76"/>
  <c r="P66" i="76"/>
  <c r="O66" i="76"/>
  <c r="N66" i="76"/>
  <c r="M66" i="76"/>
  <c r="L66" i="76"/>
  <c r="K66" i="76"/>
  <c r="J66" i="76"/>
  <c r="V65" i="76"/>
  <c r="U65" i="76"/>
  <c r="T65" i="76"/>
  <c r="S65" i="76"/>
  <c r="R65" i="76"/>
  <c r="Q65" i="76"/>
  <c r="P65" i="76"/>
  <c r="O65" i="76"/>
  <c r="N65" i="76"/>
  <c r="M65" i="76"/>
  <c r="L65" i="76"/>
  <c r="K65" i="76"/>
  <c r="J65" i="76"/>
  <c r="BY59" i="76"/>
  <c r="BX59" i="76"/>
  <c r="BW59" i="76"/>
  <c r="BV59" i="76"/>
  <c r="BU59" i="76"/>
  <c r="BT59" i="76"/>
  <c r="BS59" i="76"/>
  <c r="BY58" i="76"/>
  <c r="BX58" i="76"/>
  <c r="BW58" i="76"/>
  <c r="BV58" i="76"/>
  <c r="BU58" i="76"/>
  <c r="BT58" i="76"/>
  <c r="BS58" i="76"/>
  <c r="BC59" i="76"/>
  <c r="BR59" i="76" s="1"/>
  <c r="BC58" i="76"/>
  <c r="BR58" i="76" s="1"/>
  <c r="AK59" i="76"/>
  <c r="AJ59" i="76"/>
  <c r="AI59" i="76"/>
  <c r="AH59" i="76"/>
  <c r="AG59" i="76"/>
  <c r="AF59" i="76"/>
  <c r="AE59" i="76"/>
  <c r="AD59" i="76"/>
  <c r="AC59" i="76"/>
  <c r="AB59" i="76"/>
  <c r="AA59" i="76"/>
  <c r="Z59" i="76"/>
  <c r="Y59" i="76"/>
  <c r="AK58" i="76"/>
  <c r="AJ58" i="76"/>
  <c r="AI58" i="76"/>
  <c r="AH58" i="76"/>
  <c r="AG58" i="76"/>
  <c r="AF58" i="76"/>
  <c r="AE58" i="76"/>
  <c r="AD58" i="76"/>
  <c r="AC58" i="76"/>
  <c r="AB58" i="76"/>
  <c r="AA58" i="76"/>
  <c r="Z58" i="76"/>
  <c r="Y58" i="76"/>
  <c r="V59" i="76"/>
  <c r="U59" i="76"/>
  <c r="T59" i="76"/>
  <c r="S59" i="76"/>
  <c r="R59" i="76"/>
  <c r="Q59" i="76"/>
  <c r="P59" i="76"/>
  <c r="O59" i="76"/>
  <c r="N59" i="76"/>
  <c r="M59" i="76"/>
  <c r="L59" i="76"/>
  <c r="K59" i="76"/>
  <c r="J59" i="76"/>
  <c r="V58" i="76"/>
  <c r="U58" i="76"/>
  <c r="T58" i="76"/>
  <c r="S58" i="76"/>
  <c r="R58" i="76"/>
  <c r="Q58" i="76"/>
  <c r="P58" i="76"/>
  <c r="O58" i="76"/>
  <c r="N58" i="76"/>
  <c r="M58" i="76"/>
  <c r="L58" i="76"/>
  <c r="K58" i="76"/>
  <c r="J58" i="76"/>
  <c r="CD52" i="76"/>
  <c r="CC52" i="76"/>
  <c r="CB52" i="76"/>
  <c r="CA52" i="76"/>
  <c r="BZ52" i="76"/>
  <c r="BY52" i="76"/>
  <c r="BX52" i="76"/>
  <c r="BW52" i="76"/>
  <c r="BV52" i="76"/>
  <c r="BU52" i="76"/>
  <c r="BT52" i="76"/>
  <c r="BS52" i="76"/>
  <c r="BC52" i="76"/>
  <c r="BR52" i="76" s="1"/>
  <c r="AK52" i="76"/>
  <c r="AJ52" i="76"/>
  <c r="AI52" i="76"/>
  <c r="AH52" i="76"/>
  <c r="AG52" i="76"/>
  <c r="AF52" i="76"/>
  <c r="AE52" i="76"/>
  <c r="AD52" i="76"/>
  <c r="AC52" i="76"/>
  <c r="AB52" i="76"/>
  <c r="AA52" i="76"/>
  <c r="Z52" i="76"/>
  <c r="Y52" i="76"/>
  <c r="V52" i="76"/>
  <c r="U52" i="76"/>
  <c r="T52" i="76"/>
  <c r="S52" i="76"/>
  <c r="R52" i="76"/>
  <c r="Q52" i="76"/>
  <c r="P52" i="76"/>
  <c r="O52" i="76"/>
  <c r="N52" i="76"/>
  <c r="M52" i="76"/>
  <c r="L52" i="76"/>
  <c r="K52" i="76"/>
  <c r="J52" i="76"/>
  <c r="CD51" i="76"/>
  <c r="CC51" i="76"/>
  <c r="CB51" i="76"/>
  <c r="CA51" i="76"/>
  <c r="BZ51" i="76"/>
  <c r="BY51" i="76"/>
  <c r="BX51" i="76"/>
  <c r="BW51" i="76"/>
  <c r="BV51" i="76"/>
  <c r="BU51" i="76"/>
  <c r="BT51" i="76"/>
  <c r="BS51" i="76"/>
  <c r="BC51" i="76"/>
  <c r="BR51" i="76" s="1"/>
  <c r="AK51" i="76"/>
  <c r="AJ51" i="76"/>
  <c r="AI51" i="76"/>
  <c r="AH51" i="76"/>
  <c r="AG51" i="76"/>
  <c r="AF51" i="76"/>
  <c r="AE51" i="76"/>
  <c r="AD51" i="76"/>
  <c r="AC51" i="76"/>
  <c r="AB51" i="76"/>
  <c r="AA51" i="76"/>
  <c r="Z51" i="76"/>
  <c r="Y51" i="76"/>
  <c r="V51" i="76"/>
  <c r="U51" i="76"/>
  <c r="T51" i="76"/>
  <c r="S51" i="76"/>
  <c r="R51" i="76"/>
  <c r="Q51" i="76"/>
  <c r="P51" i="76"/>
  <c r="O51" i="76"/>
  <c r="N51" i="76"/>
  <c r="M51" i="76"/>
  <c r="L51" i="76"/>
  <c r="K51" i="76"/>
  <c r="J51" i="76"/>
  <c r="CJ50" i="36"/>
  <c r="CH50" i="36"/>
  <c r="CF50" i="36"/>
  <c r="CD50" i="36"/>
  <c r="CB50" i="36"/>
  <c r="BU50" i="36"/>
  <c r="BS50" i="36"/>
  <c r="BQ50" i="36"/>
  <c r="BO50" i="36"/>
  <c r="BM50" i="36"/>
  <c r="BF50" i="36"/>
  <c r="BE50" i="36"/>
  <c r="BD50" i="36"/>
  <c r="BC50" i="36"/>
  <c r="BB50" i="36"/>
  <c r="BA50" i="36"/>
  <c r="AZ50" i="36"/>
  <c r="AY50" i="36"/>
  <c r="AX50" i="36"/>
  <c r="AW50" i="36"/>
  <c r="AV50" i="36"/>
  <c r="AU50" i="36"/>
  <c r="AT50" i="36"/>
  <c r="AS50" i="36"/>
  <c r="AR50" i="36"/>
  <c r="AQ50" i="36"/>
  <c r="AP50" i="36"/>
  <c r="AO50" i="36"/>
  <c r="AN50" i="36"/>
  <c r="BC48" i="76" s="1"/>
  <c r="AK50" i="36"/>
  <c r="AK48" i="76" s="1"/>
  <c r="AJ50" i="36"/>
  <c r="AJ48" i="76" s="1"/>
  <c r="AI50" i="36"/>
  <c r="AI48" i="76" s="1"/>
  <c r="AH50" i="36"/>
  <c r="AH48" i="76" s="1"/>
  <c r="AG50" i="36"/>
  <c r="AG48" i="76" s="1"/>
  <c r="AF50" i="36"/>
  <c r="AF48" i="76" s="1"/>
  <c r="AE50" i="36"/>
  <c r="AE48" i="76" s="1"/>
  <c r="AD50" i="36"/>
  <c r="AD48" i="76" s="1"/>
  <c r="AC50" i="36"/>
  <c r="AC48" i="76" s="1"/>
  <c r="AB50" i="36"/>
  <c r="AB48" i="76" s="1"/>
  <c r="AA50" i="36"/>
  <c r="AA48" i="76" s="1"/>
  <c r="Z50" i="36"/>
  <c r="Z48" i="76" s="1"/>
  <c r="Y50" i="36"/>
  <c r="Y48" i="76" s="1"/>
  <c r="V50" i="36"/>
  <c r="V48" i="76" s="1"/>
  <c r="U50" i="36"/>
  <c r="U48" i="76" s="1"/>
  <c r="T50" i="36"/>
  <c r="T48" i="76" s="1"/>
  <c r="S50" i="36"/>
  <c r="S48" i="76" s="1"/>
  <c r="R50" i="36"/>
  <c r="R14" i="36" s="1"/>
  <c r="Q50" i="36"/>
  <c r="Q14" i="36" s="1"/>
  <c r="P50" i="36"/>
  <c r="P48" i="76" s="1"/>
  <c r="O50" i="36"/>
  <c r="O48" i="76" s="1"/>
  <c r="N50" i="36"/>
  <c r="N48" i="76" s="1"/>
  <c r="M50" i="36"/>
  <c r="M48" i="76" s="1"/>
  <c r="L50" i="36"/>
  <c r="L48" i="76" s="1"/>
  <c r="K50" i="36"/>
  <c r="K48" i="76" s="1"/>
  <c r="J50" i="36"/>
  <c r="J14" i="36" s="1"/>
  <c r="AR58" i="76" l="1"/>
  <c r="AZ58" i="76"/>
  <c r="CD58" i="76" s="1"/>
  <c r="AU59" i="76"/>
  <c r="BN48" i="76"/>
  <c r="BG48" i="76"/>
  <c r="BK48" i="76"/>
  <c r="BO48" i="76"/>
  <c r="BJ48" i="76"/>
  <c r="BD48" i="76"/>
  <c r="BH48" i="76"/>
  <c r="BL48" i="76"/>
  <c r="BF48" i="76"/>
  <c r="BE48" i="76"/>
  <c r="BI48" i="76"/>
  <c r="BM48" i="76"/>
  <c r="AP58" i="76"/>
  <c r="AT58" i="76"/>
  <c r="AX58" i="76"/>
  <c r="CB58" i="76" s="1"/>
  <c r="AN65" i="76"/>
  <c r="AV65" i="76"/>
  <c r="BZ65" i="76" s="1"/>
  <c r="AQ66" i="76"/>
  <c r="AY66" i="76"/>
  <c r="CC66" i="76" s="1"/>
  <c r="AN59" i="76"/>
  <c r="AR59" i="76"/>
  <c r="AZ59" i="76"/>
  <c r="CD59" i="76" s="1"/>
  <c r="AP65" i="76"/>
  <c r="AT65" i="76"/>
  <c r="AX65" i="76"/>
  <c r="CB65" i="76" s="1"/>
  <c r="AO66" i="76"/>
  <c r="AS66" i="76"/>
  <c r="AW66" i="76"/>
  <c r="CA66" i="76" s="1"/>
  <c r="K14" i="36"/>
  <c r="S14" i="36"/>
  <c r="Q48" i="76"/>
  <c r="AU48" i="76" s="1"/>
  <c r="L14" i="36"/>
  <c r="T14" i="36"/>
  <c r="R48" i="76"/>
  <c r="AV48" i="76" s="1"/>
  <c r="M14" i="36"/>
  <c r="U14" i="36"/>
  <c r="N14" i="36"/>
  <c r="V14" i="36"/>
  <c r="O14" i="36"/>
  <c r="P14" i="36"/>
  <c r="J48" i="76"/>
  <c r="AN48" i="76" s="1"/>
  <c r="BR48" i="76" s="1"/>
  <c r="AQ48" i="76"/>
  <c r="AY48" i="76"/>
  <c r="AR48" i="76"/>
  <c r="AZ48" i="76"/>
  <c r="BH33" i="76"/>
  <c r="AR65" i="76"/>
  <c r="AZ65" i="76"/>
  <c r="CD65" i="76" s="1"/>
  <c r="AU66" i="76"/>
  <c r="AN58" i="76"/>
  <c r="AV58" i="76"/>
  <c r="BZ58" i="76" s="1"/>
  <c r="AQ59" i="76"/>
  <c r="AY59" i="76"/>
  <c r="CC59" i="76" s="1"/>
  <c r="AP48" i="76"/>
  <c r="AT48" i="76"/>
  <c r="AX48" i="76"/>
  <c r="AQ58" i="76"/>
  <c r="AU58" i="76"/>
  <c r="AY58" i="76"/>
  <c r="CC58" i="76" s="1"/>
  <c r="AP59" i="76"/>
  <c r="AT59" i="76"/>
  <c r="AX59" i="76"/>
  <c r="CB59" i="76" s="1"/>
  <c r="AV59" i="76"/>
  <c r="BZ59" i="76" s="1"/>
  <c r="AQ65" i="76"/>
  <c r="AU65" i="76"/>
  <c r="AY65" i="76"/>
  <c r="CC65" i="76" s="1"/>
  <c r="AP66" i="76"/>
  <c r="AT66" i="76"/>
  <c r="AX66" i="76"/>
  <c r="CB66" i="76" s="1"/>
  <c r="BG33" i="76"/>
  <c r="BK33" i="76"/>
  <c r="AO59" i="76"/>
  <c r="AS59" i="76"/>
  <c r="AW59" i="76"/>
  <c r="CA59" i="76" s="1"/>
  <c r="AO58" i="76"/>
  <c r="AS58" i="76"/>
  <c r="AW58" i="76"/>
  <c r="CA58" i="76" s="1"/>
  <c r="AO65" i="76"/>
  <c r="AS65" i="76"/>
  <c r="AW65" i="76"/>
  <c r="CA65" i="76" s="1"/>
  <c r="AN66" i="76"/>
  <c r="AR66" i="76"/>
  <c r="AV66" i="76"/>
  <c r="BZ66" i="76" s="1"/>
  <c r="AZ66" i="76"/>
  <c r="CD66" i="76" s="1"/>
  <c r="AO48" i="76"/>
  <c r="AW48" i="76"/>
  <c r="AS48" i="76"/>
  <c r="BJ33" i="76"/>
  <c r="BN33" i="76"/>
  <c r="A3" i="98"/>
  <c r="BC36" i="76"/>
  <c r="BO169" i="76"/>
  <c r="CD169" i="76" s="1"/>
  <c r="BN169" i="76"/>
  <c r="CC169" i="76" s="1"/>
  <c r="BM169" i="76"/>
  <c r="CB169" i="76" s="1"/>
  <c r="BL169" i="76"/>
  <c r="CA169" i="76" s="1"/>
  <c r="BK169" i="76"/>
  <c r="BZ169" i="76" s="1"/>
  <c r="BJ169" i="76"/>
  <c r="BI169" i="76"/>
  <c r="BH169" i="76"/>
  <c r="BG169" i="76"/>
  <c r="BF169" i="76"/>
  <c r="BE169" i="76"/>
  <c r="BD169" i="76"/>
  <c r="BO168" i="76"/>
  <c r="BN168" i="76"/>
  <c r="BM168" i="76"/>
  <c r="BL168" i="76"/>
  <c r="BL171" i="76" s="1"/>
  <c r="BL38" i="76" s="1"/>
  <c r="BK168" i="76"/>
  <c r="BJ168" i="76"/>
  <c r="BJ171" i="76" s="1"/>
  <c r="BJ38" i="76" s="1"/>
  <c r="BI168" i="76"/>
  <c r="BH168" i="76"/>
  <c r="BG168" i="76"/>
  <c r="BF168" i="76"/>
  <c r="BE168" i="76"/>
  <c r="BD168" i="76"/>
  <c r="BC169" i="76"/>
  <c r="BC168" i="76"/>
  <c r="AK169" i="76"/>
  <c r="AJ169" i="76"/>
  <c r="AI169" i="76"/>
  <c r="AH169" i="76"/>
  <c r="AG169" i="76"/>
  <c r="AF169" i="76"/>
  <c r="AE169" i="76"/>
  <c r="AD169" i="76"/>
  <c r="AC169" i="76"/>
  <c r="AB169" i="76"/>
  <c r="AA169" i="76"/>
  <c r="Z169" i="76"/>
  <c r="Y169" i="76"/>
  <c r="AK168" i="76"/>
  <c r="AJ168" i="76"/>
  <c r="AI168" i="76"/>
  <c r="AH168" i="76"/>
  <c r="AG168" i="76"/>
  <c r="AF168" i="76"/>
  <c r="AE168" i="76"/>
  <c r="AD168" i="76"/>
  <c r="AC168" i="76"/>
  <c r="AB168" i="76"/>
  <c r="AA168" i="76"/>
  <c r="Z168" i="76"/>
  <c r="Y168" i="76"/>
  <c r="V169" i="76"/>
  <c r="U169" i="76"/>
  <c r="T169" i="76"/>
  <c r="S169" i="76"/>
  <c r="R169" i="76"/>
  <c r="Q169" i="76"/>
  <c r="P169" i="76"/>
  <c r="O169" i="76"/>
  <c r="N169" i="76"/>
  <c r="M169" i="76"/>
  <c r="L169" i="76"/>
  <c r="K169" i="76"/>
  <c r="V168" i="76"/>
  <c r="U168" i="76"/>
  <c r="U171" i="76" s="1"/>
  <c r="U38" i="76" s="1"/>
  <c r="T168" i="76"/>
  <c r="T171" i="76" s="1"/>
  <c r="T38" i="76" s="1"/>
  <c r="S168" i="76"/>
  <c r="R168" i="76"/>
  <c r="Q168" i="76"/>
  <c r="P168" i="76"/>
  <c r="O168" i="76"/>
  <c r="N168" i="76"/>
  <c r="M168" i="76"/>
  <c r="L168" i="76"/>
  <c r="K168" i="76"/>
  <c r="J169" i="76"/>
  <c r="J168" i="76"/>
  <c r="AK33" i="76"/>
  <c r="AJ33" i="76"/>
  <c r="AF33" i="76"/>
  <c r="AE33" i="76"/>
  <c r="AD33" i="76"/>
  <c r="AC33" i="76"/>
  <c r="AB33" i="76"/>
  <c r="Z33" i="76"/>
  <c r="AK129" i="76"/>
  <c r="AJ129" i="76"/>
  <c r="AI129" i="76"/>
  <c r="AH129" i="76"/>
  <c r="AG129" i="76"/>
  <c r="AF129" i="76"/>
  <c r="AE129" i="76"/>
  <c r="AD129" i="76"/>
  <c r="AC129" i="76"/>
  <c r="AB129" i="76"/>
  <c r="AA129" i="76"/>
  <c r="Z129" i="76"/>
  <c r="AK128" i="76"/>
  <c r="AJ128" i="76"/>
  <c r="AI128" i="76"/>
  <c r="AH128" i="76"/>
  <c r="AG128" i="76"/>
  <c r="AF128" i="76"/>
  <c r="AE128" i="76"/>
  <c r="AD128" i="76"/>
  <c r="AC128" i="76"/>
  <c r="AB128" i="76"/>
  <c r="AA128" i="76"/>
  <c r="Z128" i="76"/>
  <c r="AK124" i="76"/>
  <c r="AJ124" i="76"/>
  <c r="AI124" i="76"/>
  <c r="AH124" i="76"/>
  <c r="AG124" i="76"/>
  <c r="AF124" i="76"/>
  <c r="AE124" i="76"/>
  <c r="AD124" i="76"/>
  <c r="AC124" i="76"/>
  <c r="AB124" i="76"/>
  <c r="AA124" i="76"/>
  <c r="Z124" i="76"/>
  <c r="AK123" i="76"/>
  <c r="AJ123" i="76"/>
  <c r="AI123" i="76"/>
  <c r="AH123" i="76"/>
  <c r="AG123" i="76"/>
  <c r="AF123" i="76"/>
  <c r="AF125" i="76" s="1"/>
  <c r="AE123" i="76"/>
  <c r="AE125" i="76" s="1"/>
  <c r="AD123" i="76"/>
  <c r="AD125" i="76" s="1"/>
  <c r="AC123" i="76"/>
  <c r="AC125" i="76" s="1"/>
  <c r="AB123" i="76"/>
  <c r="AA123" i="76"/>
  <c r="Z123" i="76"/>
  <c r="Y129" i="76"/>
  <c r="Y128" i="76"/>
  <c r="Y124" i="76"/>
  <c r="Y123" i="76"/>
  <c r="AK108" i="76"/>
  <c r="AJ108" i="76"/>
  <c r="AI108" i="76"/>
  <c r="AH108" i="76"/>
  <c r="AG108" i="76"/>
  <c r="AF108" i="76"/>
  <c r="AE108" i="76"/>
  <c r="AD108" i="76"/>
  <c r="AC108" i="76"/>
  <c r="AB108" i="76"/>
  <c r="AA108" i="76"/>
  <c r="Z108" i="76"/>
  <c r="AK107" i="76"/>
  <c r="AJ107" i="76"/>
  <c r="AI107" i="76"/>
  <c r="AH107" i="76"/>
  <c r="AG107" i="76"/>
  <c r="AF107" i="76"/>
  <c r="AE107" i="76"/>
  <c r="AD107" i="76"/>
  <c r="AC107" i="76"/>
  <c r="AB107" i="76"/>
  <c r="AA107" i="76"/>
  <c r="Z107" i="76"/>
  <c r="AK103" i="76"/>
  <c r="AJ103" i="76"/>
  <c r="AI103" i="76"/>
  <c r="AH103" i="76"/>
  <c r="AG103" i="76"/>
  <c r="AF103" i="76"/>
  <c r="AE103" i="76"/>
  <c r="AD103" i="76"/>
  <c r="AC103" i="76"/>
  <c r="AB103" i="76"/>
  <c r="AA103" i="76"/>
  <c r="Z103" i="76"/>
  <c r="AK102" i="76"/>
  <c r="AJ102" i="76"/>
  <c r="AJ104" i="76" s="1"/>
  <c r="AI102" i="76"/>
  <c r="AI104" i="76" s="1"/>
  <c r="AH102" i="76"/>
  <c r="AH104" i="76" s="1"/>
  <c r="AG102" i="76"/>
  <c r="AG104" i="76" s="1"/>
  <c r="AF102" i="76"/>
  <c r="AE102" i="76"/>
  <c r="AD102" i="76"/>
  <c r="AC102" i="76"/>
  <c r="AB102" i="76"/>
  <c r="AA102" i="76"/>
  <c r="Z102" i="76"/>
  <c r="Y108" i="76"/>
  <c r="Y107" i="76"/>
  <c r="Y103" i="76"/>
  <c r="Y102" i="76"/>
  <c r="AK87" i="76"/>
  <c r="AJ87" i="76"/>
  <c r="AI87" i="76"/>
  <c r="AH87" i="76"/>
  <c r="AG87" i="76"/>
  <c r="AF87" i="76"/>
  <c r="AE87" i="76"/>
  <c r="AD87" i="76"/>
  <c r="AC87" i="76"/>
  <c r="AB87" i="76"/>
  <c r="AA87" i="76"/>
  <c r="Z87" i="76"/>
  <c r="AK86" i="76"/>
  <c r="AJ86" i="76"/>
  <c r="AI86" i="76"/>
  <c r="AH86" i="76"/>
  <c r="AG86" i="76"/>
  <c r="AF86" i="76"/>
  <c r="AE86" i="76"/>
  <c r="AD86" i="76"/>
  <c r="AC86" i="76"/>
  <c r="AB86" i="76"/>
  <c r="AA86" i="76"/>
  <c r="Z86" i="76"/>
  <c r="AK82" i="76"/>
  <c r="AJ82" i="76"/>
  <c r="AI82" i="76"/>
  <c r="AH82" i="76"/>
  <c r="AG82" i="76"/>
  <c r="AF82" i="76"/>
  <c r="AE82" i="76"/>
  <c r="AD82" i="76"/>
  <c r="AC82" i="76"/>
  <c r="AB82" i="76"/>
  <c r="AA82" i="76"/>
  <c r="Z82" i="76"/>
  <c r="AK81" i="76"/>
  <c r="AK83" i="76" s="1"/>
  <c r="AJ81" i="76"/>
  <c r="AI81" i="76"/>
  <c r="AH81" i="76"/>
  <c r="AG81" i="76"/>
  <c r="AF81" i="76"/>
  <c r="AE81" i="76"/>
  <c r="AD81" i="76"/>
  <c r="AC81" i="76"/>
  <c r="AB81" i="76"/>
  <c r="AA81" i="76"/>
  <c r="Z81" i="76"/>
  <c r="Y87" i="76"/>
  <c r="Y86" i="76"/>
  <c r="Y82" i="76"/>
  <c r="Y81" i="76"/>
  <c r="AK64" i="76"/>
  <c r="AJ64" i="76"/>
  <c r="AI64" i="76"/>
  <c r="AH64" i="76"/>
  <c r="AG64" i="76"/>
  <c r="AF64" i="76"/>
  <c r="AE64" i="76"/>
  <c r="AD64" i="76"/>
  <c r="AC64" i="76"/>
  <c r="AB64" i="76"/>
  <c r="AA64" i="76"/>
  <c r="Z64" i="76"/>
  <c r="AK63" i="76"/>
  <c r="AJ63" i="76"/>
  <c r="AJ67" i="76" s="1"/>
  <c r="AI63" i="76"/>
  <c r="AI67" i="76" s="1"/>
  <c r="AH63" i="76"/>
  <c r="AH67" i="76" s="1"/>
  <c r="AG63" i="76"/>
  <c r="AG67" i="76" s="1"/>
  <c r="AF63" i="76"/>
  <c r="AE63" i="76"/>
  <c r="AD63" i="76"/>
  <c r="AC63" i="76"/>
  <c r="AB63" i="76"/>
  <c r="AA63" i="76"/>
  <c r="Z63" i="76"/>
  <c r="AK56" i="76"/>
  <c r="AK60" i="76" s="1"/>
  <c r="AJ56" i="76"/>
  <c r="AJ60" i="76" s="1"/>
  <c r="AI56" i="76"/>
  <c r="AI60" i="76" s="1"/>
  <c r="AH56" i="76"/>
  <c r="AH60" i="76" s="1"/>
  <c r="AG56" i="76"/>
  <c r="AG60" i="76" s="1"/>
  <c r="AF56" i="76"/>
  <c r="AF60" i="76" s="1"/>
  <c r="AE56" i="76"/>
  <c r="AE60" i="76" s="1"/>
  <c r="AD56" i="76"/>
  <c r="AD60" i="76" s="1"/>
  <c r="AC56" i="76"/>
  <c r="AC60" i="76" s="1"/>
  <c r="AB56" i="76"/>
  <c r="AB60" i="76" s="1"/>
  <c r="AA56" i="76"/>
  <c r="AA60" i="76" s="1"/>
  <c r="Z56" i="76"/>
  <c r="Z60" i="76" s="1"/>
  <c r="Y64" i="76"/>
  <c r="Y63" i="76"/>
  <c r="Y56" i="76"/>
  <c r="Y60" i="76" s="1"/>
  <c r="Z83" i="76" l="1"/>
  <c r="BN171" i="76"/>
  <c r="BN38" i="76" s="1"/>
  <c r="BI171" i="76"/>
  <c r="BI38" i="76" s="1"/>
  <c r="AH125" i="76"/>
  <c r="AK125" i="76"/>
  <c r="L171" i="76"/>
  <c r="L38" i="76" s="1"/>
  <c r="AJ125" i="76"/>
  <c r="AC83" i="76"/>
  <c r="Z104" i="76"/>
  <c r="M171" i="76"/>
  <c r="M38" i="76" s="1"/>
  <c r="K171" i="76"/>
  <c r="K38" i="76" s="1"/>
  <c r="AA67" i="76"/>
  <c r="AE83" i="76"/>
  <c r="AA104" i="76"/>
  <c r="AB67" i="76"/>
  <c r="AF83" i="76"/>
  <c r="AB104" i="76"/>
  <c r="O171" i="76"/>
  <c r="O38" i="76" s="1"/>
  <c r="BD171" i="76"/>
  <c r="BD38" i="76" s="1"/>
  <c r="AB83" i="76"/>
  <c r="AC67" i="76"/>
  <c r="AD67" i="76"/>
  <c r="AH83" i="76"/>
  <c r="AD104" i="76"/>
  <c r="Z125" i="76"/>
  <c r="Q171" i="76"/>
  <c r="Q38" i="76" s="1"/>
  <c r="BF171" i="76"/>
  <c r="BF38" i="76" s="1"/>
  <c r="Z67" i="76"/>
  <c r="AE67" i="76"/>
  <c r="AF67" i="76"/>
  <c r="AJ83" i="76"/>
  <c r="AF104" i="76"/>
  <c r="AB125" i="76"/>
  <c r="S171" i="76"/>
  <c r="S38" i="76" s="1"/>
  <c r="BH171" i="76"/>
  <c r="BH38" i="76" s="1"/>
  <c r="AD83" i="76"/>
  <c r="BX48" i="76"/>
  <c r="BW48" i="76"/>
  <c r="AK67" i="76"/>
  <c r="BY48" i="76"/>
  <c r="CC48" i="76"/>
  <c r="BU48" i="76"/>
  <c r="CB48" i="76"/>
  <c r="CA48" i="76"/>
  <c r="CD48" i="76"/>
  <c r="BZ48" i="76"/>
  <c r="BT48" i="76"/>
  <c r="BS48" i="76"/>
  <c r="BV48" i="76"/>
  <c r="BF33" i="76"/>
  <c r="BO33" i="76"/>
  <c r="BM33" i="76"/>
  <c r="BD33" i="76"/>
  <c r="BI33" i="76"/>
  <c r="BE33" i="76"/>
  <c r="BL33" i="76"/>
  <c r="Y67" i="76"/>
  <c r="AH33" i="76"/>
  <c r="AG83" i="76"/>
  <c r="AK104" i="76"/>
  <c r="V171" i="76"/>
  <c r="V38" i="76" s="1"/>
  <c r="N171" i="76"/>
  <c r="N38" i="76" s="1"/>
  <c r="AC104" i="76"/>
  <c r="AA83" i="76"/>
  <c r="AI83" i="76"/>
  <c r="AE104" i="76"/>
  <c r="AA125" i="76"/>
  <c r="AA33" i="76"/>
  <c r="AI33" i="76"/>
  <c r="P171" i="76"/>
  <c r="P38" i="76" s="1"/>
  <c r="AG125" i="76"/>
  <c r="AG33" i="76"/>
  <c r="AI125" i="76"/>
  <c r="BC171" i="76"/>
  <c r="BC38" i="76" s="1"/>
  <c r="J171" i="76"/>
  <c r="J38" i="76" s="1"/>
  <c r="AZ168" i="76"/>
  <c r="CD168" i="76" s="1"/>
  <c r="AB171" i="76"/>
  <c r="AB38" i="76" s="1"/>
  <c r="AS168" i="76"/>
  <c r="BW168" i="76" s="1"/>
  <c r="Y171" i="76"/>
  <c r="Y38" i="76" s="1"/>
  <c r="AG171" i="76"/>
  <c r="AG38" i="76" s="1"/>
  <c r="BE171" i="76"/>
  <c r="BE38" i="76" s="1"/>
  <c r="BM171" i="76"/>
  <c r="BM38" i="76" s="1"/>
  <c r="AN168" i="76"/>
  <c r="BR168" i="76" s="1"/>
  <c r="AR168" i="76"/>
  <c r="BV168" i="76" s="1"/>
  <c r="AV168" i="76"/>
  <c r="BZ168" i="76" s="1"/>
  <c r="AR169" i="76"/>
  <c r="BV169" i="76" s="1"/>
  <c r="AZ169" i="76"/>
  <c r="AQ168" i="76"/>
  <c r="BU168" i="76" s="1"/>
  <c r="AU168" i="76"/>
  <c r="BY168" i="76" s="1"/>
  <c r="AY168" i="76"/>
  <c r="CC168" i="76" s="1"/>
  <c r="AF171" i="76"/>
  <c r="AF38" i="76" s="1"/>
  <c r="BO171" i="76"/>
  <c r="BO38" i="76" s="1"/>
  <c r="BG171" i="76"/>
  <c r="BG38" i="76" s="1"/>
  <c r="R171" i="76"/>
  <c r="R38" i="76" s="1"/>
  <c r="AP169" i="76"/>
  <c r="BT169" i="76" s="1"/>
  <c r="AT169" i="76"/>
  <c r="BX169" i="76" s="1"/>
  <c r="AX169" i="76"/>
  <c r="AW168" i="76"/>
  <c r="CA168" i="76" s="1"/>
  <c r="AN169" i="76"/>
  <c r="BR169" i="76" s="1"/>
  <c r="AC171" i="76"/>
  <c r="AC38" i="76" s="1"/>
  <c r="AV169" i="76"/>
  <c r="AK171" i="76"/>
  <c r="AK38" i="76" s="1"/>
  <c r="AJ171" i="76"/>
  <c r="AJ38" i="76" s="1"/>
  <c r="AY38" i="76" s="1"/>
  <c r="U41" i="99" s="1"/>
  <c r="BK171" i="76"/>
  <c r="BK38" i="76" s="1"/>
  <c r="AO168" i="76"/>
  <c r="BS168" i="76" s="1"/>
  <c r="AQ169" i="76"/>
  <c r="BU169" i="76" s="1"/>
  <c r="AU169" i="76"/>
  <c r="BY169" i="76" s="1"/>
  <c r="AY169" i="76"/>
  <c r="AP168" i="76"/>
  <c r="AT168" i="76"/>
  <c r="AX168" i="76"/>
  <c r="CB168" i="76" s="1"/>
  <c r="Z171" i="76"/>
  <c r="Z38" i="76" s="1"/>
  <c r="AD171" i="76"/>
  <c r="AD38" i="76" s="1"/>
  <c r="AH171" i="76"/>
  <c r="AH38" i="76" s="1"/>
  <c r="AW38" i="76" s="1"/>
  <c r="S41" i="99" s="1"/>
  <c r="AA171" i="76"/>
  <c r="AA38" i="76" s="1"/>
  <c r="AP38" i="76" s="1"/>
  <c r="L41" i="99" s="1"/>
  <c r="AE171" i="76"/>
  <c r="AE38" i="76" s="1"/>
  <c r="AI171" i="76"/>
  <c r="AI38" i="76" s="1"/>
  <c r="AX38" i="76" s="1"/>
  <c r="T41" i="99" s="1"/>
  <c r="AO169" i="76"/>
  <c r="BS169" i="76" s="1"/>
  <c r="AS169" i="76"/>
  <c r="BW169" i="76" s="1"/>
  <c r="AW169" i="76"/>
  <c r="AU38" i="76" l="1"/>
  <c r="Q41" i="99" s="1"/>
  <c r="AT171" i="76"/>
  <c r="AS38" i="76"/>
  <c r="O41" i="99" s="1"/>
  <c r="AQ38" i="76"/>
  <c r="M41" i="99" s="1"/>
  <c r="AP171" i="76"/>
  <c r="AO38" i="76"/>
  <c r="K41" i="99" s="1"/>
  <c r="BT168" i="76"/>
  <c r="BX168" i="76"/>
  <c r="AV38" i="76"/>
  <c r="R41" i="99" s="1"/>
  <c r="AN38" i="76"/>
  <c r="J41" i="99" s="1"/>
  <c r="AT38" i="76"/>
  <c r="P41" i="99" s="1"/>
  <c r="AR38" i="76"/>
  <c r="N41" i="99" s="1"/>
  <c r="AZ38" i="76"/>
  <c r="V41" i="99" s="1"/>
  <c r="AX171" i="76"/>
  <c r="AN171" i="76"/>
  <c r="AU171" i="76"/>
  <c r="AQ171" i="76"/>
  <c r="AV171" i="76"/>
  <c r="AZ171" i="76"/>
  <c r="AO171" i="76"/>
  <c r="AR171" i="76"/>
  <c r="AS171" i="76"/>
  <c r="Y33" i="76"/>
  <c r="AY171" i="76"/>
  <c r="AW171" i="76"/>
  <c r="AO218" i="15" l="1"/>
  <c r="AP218" i="15"/>
  <c r="AQ218" i="15"/>
  <c r="AR218" i="15"/>
  <c r="AS218" i="15"/>
  <c r="AN218" i="15"/>
  <c r="AO212" i="15"/>
  <c r="AP212" i="15"/>
  <c r="AQ212" i="15"/>
  <c r="AR212" i="15"/>
  <c r="AS212" i="15"/>
  <c r="AN212" i="15"/>
  <c r="AK218" i="15"/>
  <c r="Z218" i="15"/>
  <c r="AA218" i="15"/>
  <c r="AB218" i="15"/>
  <c r="AC218" i="15"/>
  <c r="AD218" i="15"/>
  <c r="AE218" i="15"/>
  <c r="AF218" i="15"/>
  <c r="AG218" i="15"/>
  <c r="AH218" i="15"/>
  <c r="AI218" i="15"/>
  <c r="AJ218" i="15"/>
  <c r="Z212" i="15"/>
  <c r="AA212" i="15"/>
  <c r="AB212" i="15"/>
  <c r="AC212" i="15"/>
  <c r="AD212" i="15"/>
  <c r="AE212" i="15"/>
  <c r="AF212" i="15"/>
  <c r="AG212" i="15"/>
  <c r="AH212" i="15"/>
  <c r="AI212" i="15"/>
  <c r="AJ212" i="15"/>
  <c r="AK212" i="15"/>
  <c r="Y218" i="15"/>
  <c r="Y212" i="15"/>
  <c r="K218" i="15"/>
  <c r="L218" i="15"/>
  <c r="M218" i="15"/>
  <c r="N218" i="15"/>
  <c r="O218" i="15"/>
  <c r="P218" i="15"/>
  <c r="Q218" i="15"/>
  <c r="R218" i="15"/>
  <c r="S218" i="15"/>
  <c r="T218" i="15"/>
  <c r="U218" i="15"/>
  <c r="V218" i="15"/>
  <c r="J218" i="15"/>
  <c r="K81" i="20"/>
  <c r="L81" i="20"/>
  <c r="M81" i="20"/>
  <c r="N81" i="20"/>
  <c r="O81" i="20"/>
  <c r="P81" i="20"/>
  <c r="Q81" i="20"/>
  <c r="R81" i="20"/>
  <c r="S81" i="20"/>
  <c r="T81" i="20"/>
  <c r="U81" i="20"/>
  <c r="V81" i="20"/>
  <c r="J81" i="20"/>
  <c r="K384" i="6"/>
  <c r="J384" i="6"/>
  <c r="J220" i="15" l="1"/>
  <c r="CD150" i="76"/>
  <c r="CC150" i="76"/>
  <c r="CB150" i="76"/>
  <c r="CA150" i="76"/>
  <c r="BZ150" i="76"/>
  <c r="BY150" i="76"/>
  <c r="BX150" i="76"/>
  <c r="BW150" i="76"/>
  <c r="BV150" i="76"/>
  <c r="BU150" i="76"/>
  <c r="BT150" i="76"/>
  <c r="BS150" i="76"/>
  <c r="BR150" i="76"/>
  <c r="CD149" i="76"/>
  <c r="CC149" i="76"/>
  <c r="CB149" i="76"/>
  <c r="CA149" i="76"/>
  <c r="BZ149" i="76"/>
  <c r="BY149" i="76"/>
  <c r="BX149" i="76"/>
  <c r="BW149" i="76"/>
  <c r="BV149" i="76"/>
  <c r="BU149" i="76"/>
  <c r="BT149" i="76"/>
  <c r="BS149" i="76"/>
  <c r="BR149" i="76"/>
  <c r="CD145" i="76"/>
  <c r="CC145" i="76"/>
  <c r="CB145" i="76"/>
  <c r="CA145" i="76"/>
  <c r="BZ145" i="76"/>
  <c r="BY145" i="76"/>
  <c r="BX145" i="76"/>
  <c r="BW145" i="76"/>
  <c r="BV145" i="76"/>
  <c r="BU145" i="76"/>
  <c r="BT145" i="76"/>
  <c r="BS145" i="76"/>
  <c r="BR145" i="76"/>
  <c r="CD144" i="76"/>
  <c r="CC144" i="76"/>
  <c r="CB144" i="76"/>
  <c r="CA144" i="76"/>
  <c r="BZ144" i="76"/>
  <c r="BY144" i="76"/>
  <c r="BX144" i="76"/>
  <c r="BW144" i="76"/>
  <c r="BV144" i="76"/>
  <c r="BU144" i="76"/>
  <c r="BT144" i="76"/>
  <c r="BS144" i="76"/>
  <c r="BR144" i="76"/>
  <c r="BT33" i="76" l="1"/>
  <c r="BS123" i="76"/>
  <c r="BT123" i="76"/>
  <c r="BU123" i="76"/>
  <c r="BV123" i="76"/>
  <c r="BW123" i="76"/>
  <c r="BX123" i="76"/>
  <c r="BY123" i="76"/>
  <c r="BT124" i="76"/>
  <c r="BW124" i="76"/>
  <c r="BX124" i="76"/>
  <c r="BY124" i="76"/>
  <c r="BS128" i="76"/>
  <c r="BT128" i="76"/>
  <c r="BU128" i="76"/>
  <c r="BW128" i="76"/>
  <c r="BX128" i="76"/>
  <c r="BY128" i="76"/>
  <c r="BS129" i="76"/>
  <c r="BT129" i="76"/>
  <c r="BU129" i="76"/>
  <c r="BV129" i="76"/>
  <c r="BX129" i="76"/>
  <c r="BR129" i="76"/>
  <c r="BR124" i="76"/>
  <c r="BR128" i="76"/>
  <c r="BR123" i="76"/>
  <c r="AJ130" i="76"/>
  <c r="AJ28" i="76" s="1"/>
  <c r="AI130" i="76"/>
  <c r="AI28" i="76" s="1"/>
  <c r="AB130" i="76"/>
  <c r="AB28" i="76" s="1"/>
  <c r="AA130" i="76"/>
  <c r="AA28" i="76" s="1"/>
  <c r="AK130" i="76"/>
  <c r="AK28" i="76" s="1"/>
  <c r="AH130" i="76"/>
  <c r="AH28" i="76" s="1"/>
  <c r="AG130" i="76"/>
  <c r="AG28" i="76" s="1"/>
  <c r="AF130" i="76"/>
  <c r="AF28" i="76" s="1"/>
  <c r="AE130" i="76"/>
  <c r="AE28" i="76" s="1"/>
  <c r="AD130" i="76"/>
  <c r="AD28" i="76" s="1"/>
  <c r="AC130" i="76"/>
  <c r="AC28" i="76" s="1"/>
  <c r="Z130" i="76"/>
  <c r="Z28" i="76" s="1"/>
  <c r="Y130" i="76"/>
  <c r="Y125" i="76"/>
  <c r="K123" i="76"/>
  <c r="AO123" i="76" s="1"/>
  <c r="L123" i="76"/>
  <c r="AP123" i="76" s="1"/>
  <c r="M123" i="76"/>
  <c r="AQ123" i="76" s="1"/>
  <c r="N123" i="76"/>
  <c r="AR123" i="76" s="1"/>
  <c r="O123" i="76"/>
  <c r="AS123" i="76" s="1"/>
  <c r="P123" i="76"/>
  <c r="AT123" i="76" s="1"/>
  <c r="Q123" i="76"/>
  <c r="AU123" i="76" s="1"/>
  <c r="R123" i="76"/>
  <c r="AV123" i="76" s="1"/>
  <c r="S123" i="76"/>
  <c r="AW123" i="76" s="1"/>
  <c r="CA123" i="76" s="1"/>
  <c r="T123" i="76"/>
  <c r="AX123" i="76" s="1"/>
  <c r="CB123" i="76" s="1"/>
  <c r="U123" i="76"/>
  <c r="AY123" i="76" s="1"/>
  <c r="CC123" i="76" s="1"/>
  <c r="V123" i="76"/>
  <c r="AZ123" i="76" s="1"/>
  <c r="CD123" i="76" s="1"/>
  <c r="K124" i="76"/>
  <c r="AO124" i="76" s="1"/>
  <c r="L124" i="76"/>
  <c r="AP124" i="76" s="1"/>
  <c r="M124" i="76"/>
  <c r="AQ124" i="76" s="1"/>
  <c r="N124" i="76"/>
  <c r="O124" i="76"/>
  <c r="P124" i="76"/>
  <c r="AT124" i="76" s="1"/>
  <c r="Q124" i="76"/>
  <c r="AU124" i="76" s="1"/>
  <c r="R124" i="76"/>
  <c r="AV124" i="76" s="1"/>
  <c r="BZ124" i="76" s="1"/>
  <c r="S124" i="76"/>
  <c r="AW124" i="76" s="1"/>
  <c r="T124" i="76"/>
  <c r="AX124" i="76" s="1"/>
  <c r="CB124" i="76" s="1"/>
  <c r="U124" i="76"/>
  <c r="AY124" i="76" s="1"/>
  <c r="V124" i="76"/>
  <c r="K128" i="76"/>
  <c r="AO128" i="76" s="1"/>
  <c r="L128" i="76"/>
  <c r="AP128" i="76" s="1"/>
  <c r="M128" i="76"/>
  <c r="AQ128" i="76" s="1"/>
  <c r="N128" i="76"/>
  <c r="O128" i="76"/>
  <c r="AS128" i="76" s="1"/>
  <c r="P128" i="76"/>
  <c r="AT128" i="76" s="1"/>
  <c r="Q128" i="76"/>
  <c r="AU128" i="76" s="1"/>
  <c r="R128" i="76"/>
  <c r="AV128" i="76" s="1"/>
  <c r="BZ128" i="76" s="1"/>
  <c r="S128" i="76"/>
  <c r="AW128" i="76" s="1"/>
  <c r="CA128" i="76" s="1"/>
  <c r="T128" i="76"/>
  <c r="AX128" i="76" s="1"/>
  <c r="CB128" i="76" s="1"/>
  <c r="U128" i="76"/>
  <c r="AY128" i="76" s="1"/>
  <c r="CC128" i="76" s="1"/>
  <c r="V128" i="76"/>
  <c r="K129" i="76"/>
  <c r="L129" i="76"/>
  <c r="AP129" i="76" s="1"/>
  <c r="M129" i="76"/>
  <c r="AQ129" i="76" s="1"/>
  <c r="N129" i="76"/>
  <c r="AR129" i="76" s="1"/>
  <c r="O129" i="76"/>
  <c r="AS129" i="76" s="1"/>
  <c r="P129" i="76"/>
  <c r="AT129" i="76" s="1"/>
  <c r="Q129" i="76"/>
  <c r="AU129" i="76" s="1"/>
  <c r="R129" i="76"/>
  <c r="S129" i="76"/>
  <c r="T129" i="76"/>
  <c r="AX129" i="76" s="1"/>
  <c r="U129" i="76"/>
  <c r="AY129" i="76" s="1"/>
  <c r="CC129" i="76" s="1"/>
  <c r="V129" i="76"/>
  <c r="AZ129" i="76" s="1"/>
  <c r="CD129" i="76" s="1"/>
  <c r="J129" i="76"/>
  <c r="AN129" i="76" s="1"/>
  <c r="J128" i="76"/>
  <c r="AN128" i="76" s="1"/>
  <c r="J124" i="76"/>
  <c r="AN124" i="76" s="1"/>
  <c r="J123" i="76"/>
  <c r="AN123" i="76" s="1"/>
  <c r="BS107" i="76"/>
  <c r="BT107" i="76"/>
  <c r="BU107" i="76"/>
  <c r="BV107" i="76"/>
  <c r="BX107" i="76"/>
  <c r="BY107" i="76"/>
  <c r="BS108" i="76"/>
  <c r="BT108" i="76"/>
  <c r="BU108" i="76"/>
  <c r="BV108" i="76"/>
  <c r="BX108" i="76"/>
  <c r="BY108" i="76"/>
  <c r="BY102" i="76"/>
  <c r="BY103" i="76"/>
  <c r="BR108" i="76"/>
  <c r="AK109" i="76"/>
  <c r="AK23" i="76" s="1"/>
  <c r="AJ109" i="76"/>
  <c r="AJ23" i="76" s="1"/>
  <c r="AB109" i="76"/>
  <c r="AB23" i="76" s="1"/>
  <c r="AI109" i="76"/>
  <c r="AI23" i="76" s="1"/>
  <c r="AH109" i="76"/>
  <c r="AH23" i="76" s="1"/>
  <c r="AG109" i="76"/>
  <c r="AG23" i="76" s="1"/>
  <c r="AF109" i="76"/>
  <c r="AF23" i="76" s="1"/>
  <c r="AE109" i="76"/>
  <c r="AE23" i="76" s="1"/>
  <c r="AD109" i="76"/>
  <c r="AD23" i="76" s="1"/>
  <c r="AC109" i="76"/>
  <c r="AC23" i="76" s="1"/>
  <c r="AA109" i="76"/>
  <c r="AA23" i="76" s="1"/>
  <c r="Z109" i="76"/>
  <c r="Z23" i="76" s="1"/>
  <c r="Y109" i="76"/>
  <c r="Y104" i="76"/>
  <c r="K102" i="76"/>
  <c r="AO102" i="76" s="1"/>
  <c r="BS102" i="76" s="1"/>
  <c r="L102" i="76"/>
  <c r="AP102" i="76" s="1"/>
  <c r="BT102" i="76" s="1"/>
  <c r="M102" i="76"/>
  <c r="AQ102" i="76" s="1"/>
  <c r="BU102" i="76" s="1"/>
  <c r="N102" i="76"/>
  <c r="AR102" i="76" s="1"/>
  <c r="BV102" i="76" s="1"/>
  <c r="O102" i="76"/>
  <c r="AS102" i="76" s="1"/>
  <c r="BW102" i="76" s="1"/>
  <c r="P102" i="76"/>
  <c r="AT102" i="76" s="1"/>
  <c r="BX102" i="76" s="1"/>
  <c r="Q102" i="76"/>
  <c r="R102" i="76"/>
  <c r="AV102" i="76" s="1"/>
  <c r="BZ102" i="76" s="1"/>
  <c r="S102" i="76"/>
  <c r="AW102" i="76" s="1"/>
  <c r="CA102" i="76" s="1"/>
  <c r="T102" i="76"/>
  <c r="AX102" i="76" s="1"/>
  <c r="CB102" i="76" s="1"/>
  <c r="U102" i="76"/>
  <c r="V102" i="76"/>
  <c r="AZ102" i="76" s="1"/>
  <c r="CD102" i="76" s="1"/>
  <c r="K103" i="76"/>
  <c r="L103" i="76"/>
  <c r="M103" i="76"/>
  <c r="N103" i="76"/>
  <c r="AR103" i="76" s="1"/>
  <c r="BV103" i="76" s="1"/>
  <c r="O103" i="76"/>
  <c r="AS103" i="76" s="1"/>
  <c r="BW103" i="76" s="1"/>
  <c r="P103" i="76"/>
  <c r="AT103" i="76" s="1"/>
  <c r="BX103" i="76" s="1"/>
  <c r="Q103" i="76"/>
  <c r="AU103" i="76" s="1"/>
  <c r="R103" i="76"/>
  <c r="S103" i="76"/>
  <c r="T103" i="76"/>
  <c r="U103" i="76"/>
  <c r="AY103" i="76" s="1"/>
  <c r="CC103" i="76" s="1"/>
  <c r="V103" i="76"/>
  <c r="AZ103" i="76" s="1"/>
  <c r="CD103" i="76" s="1"/>
  <c r="K107" i="76"/>
  <c r="AO107" i="76" s="1"/>
  <c r="L107" i="76"/>
  <c r="AP107" i="76" s="1"/>
  <c r="M107" i="76"/>
  <c r="AQ107" i="76" s="1"/>
  <c r="N107" i="76"/>
  <c r="AR107" i="76" s="1"/>
  <c r="O107" i="76"/>
  <c r="AS107" i="76" s="1"/>
  <c r="BW107" i="76" s="1"/>
  <c r="P107" i="76"/>
  <c r="AT107" i="76" s="1"/>
  <c r="Q107" i="76"/>
  <c r="R107" i="76"/>
  <c r="AV107" i="76" s="1"/>
  <c r="BZ107" i="76" s="1"/>
  <c r="S107" i="76"/>
  <c r="AW107" i="76" s="1"/>
  <c r="CA107" i="76" s="1"/>
  <c r="T107" i="76"/>
  <c r="AX107" i="76" s="1"/>
  <c r="CB107" i="76" s="1"/>
  <c r="U107" i="76"/>
  <c r="AY107" i="76" s="1"/>
  <c r="CC107" i="76" s="1"/>
  <c r="V107" i="76"/>
  <c r="AZ107" i="76" s="1"/>
  <c r="CD107" i="76" s="1"/>
  <c r="K108" i="76"/>
  <c r="AO108" i="76" s="1"/>
  <c r="L108" i="76"/>
  <c r="AP108" i="76" s="1"/>
  <c r="M108" i="76"/>
  <c r="AQ108" i="76" s="1"/>
  <c r="N108" i="76"/>
  <c r="O108" i="76"/>
  <c r="P108" i="76"/>
  <c r="AT108" i="76" s="1"/>
  <c r="Q108" i="76"/>
  <c r="AU108" i="76" s="1"/>
  <c r="R108" i="76"/>
  <c r="AV108" i="76" s="1"/>
  <c r="BZ108" i="76" s="1"/>
  <c r="S108" i="76"/>
  <c r="AW108" i="76" s="1"/>
  <c r="CA108" i="76" s="1"/>
  <c r="T108" i="76"/>
  <c r="AX108" i="76" s="1"/>
  <c r="CB108" i="76" s="1"/>
  <c r="U108" i="76"/>
  <c r="AY108" i="76" s="1"/>
  <c r="CC108" i="76" s="1"/>
  <c r="V108" i="76"/>
  <c r="J108" i="76"/>
  <c r="AN108" i="76" s="1"/>
  <c r="J107" i="76"/>
  <c r="AN107" i="76" s="1"/>
  <c r="J103" i="76"/>
  <c r="AN103" i="76" s="1"/>
  <c r="BR103" i="76" s="1"/>
  <c r="J102" i="76"/>
  <c r="AN102" i="76" s="1"/>
  <c r="BR102" i="76" s="1"/>
  <c r="BY86" i="76"/>
  <c r="AK88" i="76"/>
  <c r="AK18" i="76" s="1"/>
  <c r="AJ88" i="76"/>
  <c r="AJ18" i="76" s="1"/>
  <c r="AC88" i="76"/>
  <c r="AC18" i="76" s="1"/>
  <c r="AB88" i="76"/>
  <c r="AB18" i="76" s="1"/>
  <c r="AG88" i="76"/>
  <c r="AG18" i="76" s="1"/>
  <c r="Y88" i="76"/>
  <c r="AI88" i="76"/>
  <c r="AI18" i="76" s="1"/>
  <c r="AH88" i="76"/>
  <c r="AH18" i="76" s="1"/>
  <c r="AF88" i="76"/>
  <c r="AF18" i="76" s="1"/>
  <c r="AE88" i="76"/>
  <c r="AE18" i="76" s="1"/>
  <c r="AD88" i="76"/>
  <c r="AD18" i="76" s="1"/>
  <c r="AA88" i="76"/>
  <c r="AA18" i="76" s="1"/>
  <c r="Z88" i="76"/>
  <c r="Z18" i="76" s="1"/>
  <c r="Y83" i="76"/>
  <c r="J87" i="76"/>
  <c r="K87" i="76"/>
  <c r="L87" i="76"/>
  <c r="M87" i="76"/>
  <c r="N87" i="76"/>
  <c r="O87" i="76"/>
  <c r="P87" i="76"/>
  <c r="Q87" i="76"/>
  <c r="R87" i="76"/>
  <c r="S87" i="76"/>
  <c r="T87" i="76"/>
  <c r="U87" i="76"/>
  <c r="V87" i="76"/>
  <c r="K86" i="76"/>
  <c r="L86" i="76"/>
  <c r="M86" i="76"/>
  <c r="M88" i="76" s="1"/>
  <c r="N86" i="76"/>
  <c r="O86" i="76"/>
  <c r="P86" i="76"/>
  <c r="Q86" i="76"/>
  <c r="R86" i="76"/>
  <c r="S86" i="76"/>
  <c r="T86" i="76"/>
  <c r="U86" i="76"/>
  <c r="U88" i="76" s="1"/>
  <c r="V86" i="76"/>
  <c r="J86" i="76"/>
  <c r="J82" i="76"/>
  <c r="K82" i="76"/>
  <c r="L82" i="76"/>
  <c r="M82" i="76"/>
  <c r="N82" i="76"/>
  <c r="O82" i="76"/>
  <c r="P82" i="76"/>
  <c r="Q82" i="76"/>
  <c r="R82" i="76"/>
  <c r="S82" i="76"/>
  <c r="T82" i="76"/>
  <c r="U82" i="76"/>
  <c r="V82" i="76"/>
  <c r="K81" i="76"/>
  <c r="K83" i="76" s="1"/>
  <c r="L81" i="76"/>
  <c r="M81" i="76"/>
  <c r="M83" i="76" s="1"/>
  <c r="N81" i="76"/>
  <c r="O81" i="76"/>
  <c r="P81" i="76"/>
  <c r="Q81" i="76"/>
  <c r="R81" i="76"/>
  <c r="S81" i="76"/>
  <c r="S83" i="76" s="1"/>
  <c r="T81" i="76"/>
  <c r="U81" i="76"/>
  <c r="V81" i="76"/>
  <c r="V83" i="76" s="1"/>
  <c r="J81" i="76"/>
  <c r="BC60" i="76"/>
  <c r="AI13" i="76"/>
  <c r="AA13" i="76"/>
  <c r="AK13" i="76"/>
  <c r="AJ13" i="76"/>
  <c r="AH13" i="76"/>
  <c r="AG13" i="76"/>
  <c r="AF13" i="76"/>
  <c r="AE13" i="76"/>
  <c r="AD13" i="76"/>
  <c r="AC13" i="76"/>
  <c r="AB13" i="76"/>
  <c r="Z13" i="76"/>
  <c r="K64" i="76"/>
  <c r="AO64" i="76" s="1"/>
  <c r="BS64" i="76" s="1"/>
  <c r="L64" i="76"/>
  <c r="AP64" i="76" s="1"/>
  <c r="BT64" i="76" s="1"/>
  <c r="M64" i="76"/>
  <c r="AQ64" i="76" s="1"/>
  <c r="BU64" i="76" s="1"/>
  <c r="N64" i="76"/>
  <c r="AR64" i="76" s="1"/>
  <c r="BV64" i="76" s="1"/>
  <c r="O64" i="76"/>
  <c r="AS64" i="76" s="1"/>
  <c r="BW64" i="76" s="1"/>
  <c r="P64" i="76"/>
  <c r="AT64" i="76" s="1"/>
  <c r="BX64" i="76" s="1"/>
  <c r="Q64" i="76"/>
  <c r="AU64" i="76" s="1"/>
  <c r="BY64" i="76" s="1"/>
  <c r="R64" i="76"/>
  <c r="AV64" i="76" s="1"/>
  <c r="BZ64" i="76" s="1"/>
  <c r="S64" i="76"/>
  <c r="AW64" i="76" s="1"/>
  <c r="CA64" i="76" s="1"/>
  <c r="T64" i="76"/>
  <c r="AX64" i="76" s="1"/>
  <c r="CB64" i="76" s="1"/>
  <c r="U64" i="76"/>
  <c r="AY64" i="76" s="1"/>
  <c r="CC64" i="76" s="1"/>
  <c r="V64" i="76"/>
  <c r="AZ64" i="76" s="1"/>
  <c r="CD64" i="76" s="1"/>
  <c r="J64" i="76"/>
  <c r="AN64" i="76" s="1"/>
  <c r="BR64" i="76" s="1"/>
  <c r="K63" i="76"/>
  <c r="L63" i="76"/>
  <c r="M63" i="76"/>
  <c r="N63" i="76"/>
  <c r="O63" i="76"/>
  <c r="P63" i="76"/>
  <c r="Q63" i="76"/>
  <c r="R63" i="76"/>
  <c r="S63" i="76"/>
  <c r="T63" i="76"/>
  <c r="U63" i="76"/>
  <c r="V63" i="76"/>
  <c r="J63" i="76"/>
  <c r="AO57" i="76"/>
  <c r="BS57" i="76" s="1"/>
  <c r="AP57" i="76"/>
  <c r="BT57" i="76" s="1"/>
  <c r="AQ57" i="76"/>
  <c r="BU57" i="76" s="1"/>
  <c r="AR57" i="76"/>
  <c r="BV57" i="76" s="1"/>
  <c r="AS57" i="76"/>
  <c r="BW57" i="76" s="1"/>
  <c r="AT57" i="76"/>
  <c r="BX57" i="76" s="1"/>
  <c r="AU57" i="76"/>
  <c r="BY57" i="76" s="1"/>
  <c r="AV57" i="76"/>
  <c r="BZ57" i="76" s="1"/>
  <c r="AW57" i="76"/>
  <c r="CA57" i="76" s="1"/>
  <c r="AX57" i="76"/>
  <c r="CB57" i="76" s="1"/>
  <c r="AY57" i="76"/>
  <c r="CC57" i="76" s="1"/>
  <c r="AZ57" i="76"/>
  <c r="CD57" i="76" s="1"/>
  <c r="AN57" i="76"/>
  <c r="BR57" i="76" s="1"/>
  <c r="K56" i="76"/>
  <c r="L56" i="76"/>
  <c r="M56" i="76"/>
  <c r="N56" i="76"/>
  <c r="O56" i="76"/>
  <c r="P56" i="76"/>
  <c r="Q56" i="76"/>
  <c r="R56" i="76"/>
  <c r="S56" i="76"/>
  <c r="T56" i="76"/>
  <c r="U56" i="76"/>
  <c r="V56" i="76"/>
  <c r="J56" i="76"/>
  <c r="J99" i="19"/>
  <c r="K99" i="19" s="1"/>
  <c r="L99" i="19" s="1"/>
  <c r="M99" i="19" s="1"/>
  <c r="N99" i="19" s="1"/>
  <c r="O99" i="19" s="1"/>
  <c r="J98" i="19"/>
  <c r="K98" i="19" s="1"/>
  <c r="L98" i="19" s="1"/>
  <c r="M98" i="19" s="1"/>
  <c r="N98" i="19" s="1"/>
  <c r="O98" i="19" s="1"/>
  <c r="J97" i="19"/>
  <c r="K97" i="19" s="1"/>
  <c r="L97" i="19" s="1"/>
  <c r="M97" i="19" s="1"/>
  <c r="N97" i="19" s="1"/>
  <c r="J96" i="19"/>
  <c r="K96" i="19" s="1"/>
  <c r="L96" i="19" s="1"/>
  <c r="M96" i="19" s="1"/>
  <c r="N96" i="19" s="1"/>
  <c r="AV20" i="15"/>
  <c r="AV19" i="15"/>
  <c r="AV18" i="15"/>
  <c r="AV17" i="15"/>
  <c r="AV16" i="15"/>
  <c r="AV15" i="15"/>
  <c r="AV14" i="15"/>
  <c r="AV13" i="15"/>
  <c r="AV12" i="15"/>
  <c r="AS20" i="15"/>
  <c r="AR20" i="15"/>
  <c r="AQ20" i="15"/>
  <c r="AP20" i="15"/>
  <c r="AO20" i="15"/>
  <c r="AN20" i="15"/>
  <c r="AS19" i="15"/>
  <c r="AR19" i="15"/>
  <c r="AQ19" i="15"/>
  <c r="AP19" i="15"/>
  <c r="AO19" i="15"/>
  <c r="AN19" i="15"/>
  <c r="AS18" i="15"/>
  <c r="AR18" i="15"/>
  <c r="AQ18" i="15"/>
  <c r="AP18" i="15"/>
  <c r="AO18" i="15"/>
  <c r="AN18" i="15"/>
  <c r="AS17" i="15"/>
  <c r="AR17" i="15"/>
  <c r="AQ17" i="15"/>
  <c r="AP17" i="15"/>
  <c r="AO17" i="15"/>
  <c r="AN17" i="15"/>
  <c r="AS16" i="15"/>
  <c r="AR16" i="15"/>
  <c r="AQ16" i="15"/>
  <c r="AP16" i="15"/>
  <c r="AO16" i="15"/>
  <c r="AN16" i="15"/>
  <c r="AS15" i="15"/>
  <c r="AR15" i="15"/>
  <c r="AQ15" i="15"/>
  <c r="AP15" i="15"/>
  <c r="AO15" i="15"/>
  <c r="AN15" i="15"/>
  <c r="AS14" i="15"/>
  <c r="AR14" i="15"/>
  <c r="AQ14" i="15"/>
  <c r="AP14" i="15"/>
  <c r="AO14" i="15"/>
  <c r="AN14" i="15"/>
  <c r="AS13" i="15"/>
  <c r="AR13" i="15"/>
  <c r="AQ13" i="15"/>
  <c r="AP13" i="15"/>
  <c r="AO13" i="15"/>
  <c r="AN13" i="15"/>
  <c r="AS12" i="15"/>
  <c r="AR12" i="15"/>
  <c r="AQ12" i="15"/>
  <c r="AP12" i="15"/>
  <c r="AO12" i="15"/>
  <c r="AN12" i="15"/>
  <c r="AK20" i="15"/>
  <c r="AJ20" i="15"/>
  <c r="AI20" i="15"/>
  <c r="AH20" i="15"/>
  <c r="AG20" i="15"/>
  <c r="AF20" i="15"/>
  <c r="AE20" i="15"/>
  <c r="AD20" i="15"/>
  <c r="AC20" i="15"/>
  <c r="AB20" i="15"/>
  <c r="AA20" i="15"/>
  <c r="Z20" i="15"/>
  <c r="Y20" i="15"/>
  <c r="AK19" i="15"/>
  <c r="AJ19" i="15"/>
  <c r="AI19" i="15"/>
  <c r="AH19" i="15"/>
  <c r="AG19" i="15"/>
  <c r="AF19" i="15"/>
  <c r="AE19" i="15"/>
  <c r="AD19" i="15"/>
  <c r="AC19" i="15"/>
  <c r="AB19" i="15"/>
  <c r="AA19" i="15"/>
  <c r="Z19" i="15"/>
  <c r="Y19" i="15"/>
  <c r="AK18" i="15"/>
  <c r="AJ18" i="15"/>
  <c r="AI18" i="15"/>
  <c r="AH18" i="15"/>
  <c r="AG18" i="15"/>
  <c r="AF18" i="15"/>
  <c r="AE18" i="15"/>
  <c r="AD18" i="15"/>
  <c r="AC18" i="15"/>
  <c r="AB18" i="15"/>
  <c r="AA18" i="15"/>
  <c r="Z18" i="15"/>
  <c r="Y18" i="15"/>
  <c r="AK17" i="15"/>
  <c r="AJ17" i="15"/>
  <c r="AI17" i="15"/>
  <c r="AH17" i="15"/>
  <c r="AG17" i="15"/>
  <c r="AF17" i="15"/>
  <c r="AE17" i="15"/>
  <c r="AD17" i="15"/>
  <c r="AC17" i="15"/>
  <c r="AB17" i="15"/>
  <c r="AA17" i="15"/>
  <c r="Z17" i="15"/>
  <c r="Y17" i="15"/>
  <c r="AK16" i="15"/>
  <c r="AJ16" i="15"/>
  <c r="AI16" i="15"/>
  <c r="AH16" i="15"/>
  <c r="AG16" i="15"/>
  <c r="AF16" i="15"/>
  <c r="AE16" i="15"/>
  <c r="AD16" i="15"/>
  <c r="AC16" i="15"/>
  <c r="AB16" i="15"/>
  <c r="AA16" i="15"/>
  <c r="Z16" i="15"/>
  <c r="Y16" i="15"/>
  <c r="AK15" i="15"/>
  <c r="AJ15" i="15"/>
  <c r="AI15" i="15"/>
  <c r="AH15" i="15"/>
  <c r="AG15" i="15"/>
  <c r="AF15" i="15"/>
  <c r="AE15" i="15"/>
  <c r="AD15" i="15"/>
  <c r="AC15" i="15"/>
  <c r="AB15" i="15"/>
  <c r="AA15" i="15"/>
  <c r="Z15" i="15"/>
  <c r="Y15" i="15"/>
  <c r="AK14" i="15"/>
  <c r="AJ14" i="15"/>
  <c r="AI14" i="15"/>
  <c r="AH14" i="15"/>
  <c r="AG14" i="15"/>
  <c r="AF14" i="15"/>
  <c r="AE14" i="15"/>
  <c r="AD14" i="15"/>
  <c r="AC14" i="15"/>
  <c r="AB14" i="15"/>
  <c r="AA14" i="15"/>
  <c r="Z14" i="15"/>
  <c r="Y14" i="15"/>
  <c r="AK13" i="15"/>
  <c r="AJ13" i="15"/>
  <c r="AI13" i="15"/>
  <c r="AH13" i="15"/>
  <c r="AG13" i="15"/>
  <c r="AF13" i="15"/>
  <c r="AE13" i="15"/>
  <c r="AD13" i="15"/>
  <c r="AC13" i="15"/>
  <c r="AB13" i="15"/>
  <c r="AA13" i="15"/>
  <c r="Z13" i="15"/>
  <c r="Y13" i="15"/>
  <c r="AK12" i="15"/>
  <c r="AJ12" i="15"/>
  <c r="AI12" i="15"/>
  <c r="AH12" i="15"/>
  <c r="AG12" i="15"/>
  <c r="AF12" i="15"/>
  <c r="AE12" i="15"/>
  <c r="AD12" i="15"/>
  <c r="AC12" i="15"/>
  <c r="AB12" i="15"/>
  <c r="AA12" i="15"/>
  <c r="Z12" i="15"/>
  <c r="Y12" i="15"/>
  <c r="K12" i="15"/>
  <c r="L12" i="15"/>
  <c r="M12" i="15"/>
  <c r="N12" i="15"/>
  <c r="O12" i="15"/>
  <c r="P12" i="15"/>
  <c r="Q12" i="15"/>
  <c r="R12" i="15"/>
  <c r="S12" i="15"/>
  <c r="T12" i="15"/>
  <c r="U12" i="15"/>
  <c r="V12" i="15"/>
  <c r="K13" i="15"/>
  <c r="L13" i="15"/>
  <c r="M13" i="15"/>
  <c r="N13" i="15"/>
  <c r="O13" i="15"/>
  <c r="P13" i="15"/>
  <c r="Q13" i="15"/>
  <c r="R13" i="15"/>
  <c r="S13" i="15"/>
  <c r="T13" i="15"/>
  <c r="U13" i="15"/>
  <c r="V13" i="15"/>
  <c r="K14" i="15"/>
  <c r="L14" i="15"/>
  <c r="M14" i="15"/>
  <c r="N14" i="15"/>
  <c r="O14" i="15"/>
  <c r="P14" i="15"/>
  <c r="Q14" i="15"/>
  <c r="R14" i="15"/>
  <c r="S14" i="15"/>
  <c r="T14" i="15"/>
  <c r="U14" i="15"/>
  <c r="V14" i="15"/>
  <c r="K15" i="15"/>
  <c r="L15" i="15"/>
  <c r="M15" i="15"/>
  <c r="N15" i="15"/>
  <c r="O15" i="15"/>
  <c r="P15" i="15"/>
  <c r="Q15" i="15"/>
  <c r="R15" i="15"/>
  <c r="S15" i="15"/>
  <c r="T15" i="15"/>
  <c r="U15" i="15"/>
  <c r="V15" i="15"/>
  <c r="K16" i="15"/>
  <c r="L16" i="15"/>
  <c r="M16" i="15"/>
  <c r="N16" i="15"/>
  <c r="O16" i="15"/>
  <c r="P16" i="15"/>
  <c r="Q16" i="15"/>
  <c r="R16" i="15"/>
  <c r="S16" i="15"/>
  <c r="T16" i="15"/>
  <c r="U16" i="15"/>
  <c r="V16" i="15"/>
  <c r="K17" i="15"/>
  <c r="L17" i="15"/>
  <c r="M17" i="15"/>
  <c r="N17" i="15"/>
  <c r="O17" i="15"/>
  <c r="P17" i="15"/>
  <c r="Q17" i="15"/>
  <c r="R17" i="15"/>
  <c r="S17" i="15"/>
  <c r="T17" i="15"/>
  <c r="U17" i="15"/>
  <c r="V17" i="15"/>
  <c r="K18" i="15"/>
  <c r="L18" i="15"/>
  <c r="M18" i="15"/>
  <c r="N18" i="15"/>
  <c r="O18" i="15"/>
  <c r="P18" i="15"/>
  <c r="Q18" i="15"/>
  <c r="R18" i="15"/>
  <c r="S18" i="15"/>
  <c r="T18" i="15"/>
  <c r="U18" i="15"/>
  <c r="V18" i="15"/>
  <c r="K19" i="15"/>
  <c r="L19" i="15"/>
  <c r="M19" i="15"/>
  <c r="N19" i="15"/>
  <c r="O19" i="15"/>
  <c r="P19" i="15"/>
  <c r="Q19" i="15"/>
  <c r="R19" i="15"/>
  <c r="S19" i="15"/>
  <c r="T19" i="15"/>
  <c r="U19" i="15"/>
  <c r="V19" i="15"/>
  <c r="K20" i="15"/>
  <c r="L20" i="15"/>
  <c r="M20" i="15"/>
  <c r="N20" i="15"/>
  <c r="O20" i="15"/>
  <c r="P20" i="15"/>
  <c r="Q20" i="15"/>
  <c r="R20" i="15"/>
  <c r="S20" i="15"/>
  <c r="T20" i="15"/>
  <c r="U20" i="15"/>
  <c r="V20" i="15"/>
  <c r="J13" i="15"/>
  <c r="J14" i="15"/>
  <c r="J15" i="15"/>
  <c r="J16" i="15"/>
  <c r="J17" i="15"/>
  <c r="J18" i="15"/>
  <c r="J19" i="15"/>
  <c r="J20" i="15"/>
  <c r="J12" i="15"/>
  <c r="AX278" i="15"/>
  <c r="AX277" i="15"/>
  <c r="AX271" i="15"/>
  <c r="AX265" i="15"/>
  <c r="AX258" i="15"/>
  <c r="AX257" i="15"/>
  <c r="AX256" i="15"/>
  <c r="AX252" i="15"/>
  <c r="AX251" i="15"/>
  <c r="AX250" i="15"/>
  <c r="AX246" i="15"/>
  <c r="AX245" i="15"/>
  <c r="AX244" i="15"/>
  <c r="AX235" i="15"/>
  <c r="AX234" i="15"/>
  <c r="AX233" i="15"/>
  <c r="AX229" i="15"/>
  <c r="AX228" i="15"/>
  <c r="AX227" i="15"/>
  <c r="AX226" i="15"/>
  <c r="AX201" i="15"/>
  <c r="AX200" i="15"/>
  <c r="AX199" i="15"/>
  <c r="AX198" i="15"/>
  <c r="AX197" i="15"/>
  <c r="AX196" i="15"/>
  <c r="AX195" i="15"/>
  <c r="AX194" i="15"/>
  <c r="AX193" i="15"/>
  <c r="AX189" i="15"/>
  <c r="AX188" i="15"/>
  <c r="AX187" i="15"/>
  <c r="AX186" i="15"/>
  <c r="AX185" i="15"/>
  <c r="AX184" i="15"/>
  <c r="AX183" i="15"/>
  <c r="AX182" i="15"/>
  <c r="AX181" i="15"/>
  <c r="AX172" i="15"/>
  <c r="AX171" i="15"/>
  <c r="AX170" i="15"/>
  <c r="AX169" i="15"/>
  <c r="AX168" i="15"/>
  <c r="AX167" i="15"/>
  <c r="AX166" i="15"/>
  <c r="AX165" i="15"/>
  <c r="AX164" i="15"/>
  <c r="AX160" i="15"/>
  <c r="AX159" i="15"/>
  <c r="AX158" i="15"/>
  <c r="AX157" i="15"/>
  <c r="AX156" i="15"/>
  <c r="AX155" i="15"/>
  <c r="AX154" i="15"/>
  <c r="AX153" i="15"/>
  <c r="AX152" i="15"/>
  <c r="AX148" i="15"/>
  <c r="AX147" i="15"/>
  <c r="AX146" i="15"/>
  <c r="AX145" i="15"/>
  <c r="AX144" i="15"/>
  <c r="AX143" i="15"/>
  <c r="AX142" i="15"/>
  <c r="AX141" i="15"/>
  <c r="AX140" i="15"/>
  <c r="AX136" i="15"/>
  <c r="AX135" i="15"/>
  <c r="AX134" i="15"/>
  <c r="AX133" i="15"/>
  <c r="AX132" i="15"/>
  <c r="AX131" i="15"/>
  <c r="AX130" i="15"/>
  <c r="AX129" i="15"/>
  <c r="AX128" i="15"/>
  <c r="AX124" i="15"/>
  <c r="AX123" i="15"/>
  <c r="AX122" i="15"/>
  <c r="AX121" i="15"/>
  <c r="AX120" i="15"/>
  <c r="AX119" i="15"/>
  <c r="AX118" i="15"/>
  <c r="AX117" i="15"/>
  <c r="AX116" i="15"/>
  <c r="AX112" i="15"/>
  <c r="AX111" i="15"/>
  <c r="AX110" i="15"/>
  <c r="AX109" i="15"/>
  <c r="AX108" i="15"/>
  <c r="AX107" i="15"/>
  <c r="AX106" i="15"/>
  <c r="AX105" i="15"/>
  <c r="AX104" i="15"/>
  <c r="AX95" i="15"/>
  <c r="AX94" i="15"/>
  <c r="AX93" i="15"/>
  <c r="AX92" i="15"/>
  <c r="AX91" i="15"/>
  <c r="AX90" i="15"/>
  <c r="AX89" i="15"/>
  <c r="AX88" i="15"/>
  <c r="AX87" i="15"/>
  <c r="AX83" i="15"/>
  <c r="AX82" i="15"/>
  <c r="AX81" i="15"/>
  <c r="AX80" i="15"/>
  <c r="AX79" i="15"/>
  <c r="AX78" i="15"/>
  <c r="AX77" i="15"/>
  <c r="AX76" i="15"/>
  <c r="AX75" i="15"/>
  <c r="AX71" i="15"/>
  <c r="AX70" i="15"/>
  <c r="AX69" i="15"/>
  <c r="AX68" i="15"/>
  <c r="AX67" i="15"/>
  <c r="AX66" i="15"/>
  <c r="AX65" i="15"/>
  <c r="AX64" i="15"/>
  <c r="AX63" i="15"/>
  <c r="AX59" i="15"/>
  <c r="AX58" i="15"/>
  <c r="AX57" i="15"/>
  <c r="AX56" i="15"/>
  <c r="AX55" i="15"/>
  <c r="AX54" i="15"/>
  <c r="AX53" i="15"/>
  <c r="AX52" i="15"/>
  <c r="AX51" i="15"/>
  <c r="AX47" i="15"/>
  <c r="AX46" i="15"/>
  <c r="AX45" i="15"/>
  <c r="AX44" i="15"/>
  <c r="AX43" i="15"/>
  <c r="AX42" i="15"/>
  <c r="AX41" i="15"/>
  <c r="AX40" i="15"/>
  <c r="AX39" i="15"/>
  <c r="AX28" i="15"/>
  <c r="AX29" i="15"/>
  <c r="AX30" i="15"/>
  <c r="AX31" i="15"/>
  <c r="AX32" i="15"/>
  <c r="AX33" i="15"/>
  <c r="AX34" i="15"/>
  <c r="AX35" i="15"/>
  <c r="AX27" i="15"/>
  <c r="T88" i="76" l="1"/>
  <c r="P83" i="76"/>
  <c r="R88" i="76"/>
  <c r="T83" i="76"/>
  <c r="T18" i="76" s="1"/>
  <c r="AX18" i="76" s="1"/>
  <c r="N88" i="76"/>
  <c r="Y18" i="76"/>
  <c r="R83" i="76"/>
  <c r="R18" i="76" s="1"/>
  <c r="AV18" i="76" s="1"/>
  <c r="L88" i="76"/>
  <c r="L83" i="76"/>
  <c r="V88" i="76"/>
  <c r="V18" i="76" s="1"/>
  <c r="AZ18" i="76" s="1"/>
  <c r="U83" i="76"/>
  <c r="U18" i="76" s="1"/>
  <c r="AY18" i="76" s="1"/>
  <c r="O88" i="76"/>
  <c r="AN56" i="76"/>
  <c r="AN60" i="76" s="1"/>
  <c r="J60" i="76"/>
  <c r="AZ56" i="76"/>
  <c r="AZ60" i="76" s="1"/>
  <c r="V60" i="76"/>
  <c r="AY56" i="76"/>
  <c r="AY60" i="76" s="1"/>
  <c r="U60" i="76"/>
  <c r="AX56" i="76"/>
  <c r="AX60" i="76" s="1"/>
  <c r="T60" i="76"/>
  <c r="AW56" i="76"/>
  <c r="AW60" i="76" s="1"/>
  <c r="S60" i="76"/>
  <c r="AV56" i="76"/>
  <c r="AV60" i="76" s="1"/>
  <c r="R60" i="76"/>
  <c r="AU56" i="76"/>
  <c r="AU60" i="76" s="1"/>
  <c r="Q60" i="76"/>
  <c r="AT56" i="76"/>
  <c r="AT60" i="76" s="1"/>
  <c r="P60" i="76"/>
  <c r="AS56" i="76"/>
  <c r="AS60" i="76" s="1"/>
  <c r="O60" i="76"/>
  <c r="AR56" i="76"/>
  <c r="AR60" i="76" s="1"/>
  <c r="N60" i="76"/>
  <c r="AQ56" i="76"/>
  <c r="AQ60" i="76" s="1"/>
  <c r="M60" i="76"/>
  <c r="AP56" i="76"/>
  <c r="AP60" i="76" s="1"/>
  <c r="L60" i="76"/>
  <c r="AO56" i="76"/>
  <c r="AO60" i="76" s="1"/>
  <c r="K60" i="76"/>
  <c r="AN63" i="76"/>
  <c r="AN67" i="76" s="1"/>
  <c r="J67" i="76"/>
  <c r="AZ63" i="76"/>
  <c r="V67" i="76"/>
  <c r="AY63" i="76"/>
  <c r="U67" i="76"/>
  <c r="AX63" i="76"/>
  <c r="T67" i="76"/>
  <c r="AW63" i="76"/>
  <c r="S67" i="76"/>
  <c r="AV63" i="76"/>
  <c r="R67" i="76"/>
  <c r="AU63" i="76"/>
  <c r="AU67" i="76" s="1"/>
  <c r="Q67" i="76"/>
  <c r="AT63" i="76"/>
  <c r="AT67" i="76" s="1"/>
  <c r="P67" i="76"/>
  <c r="AS63" i="76"/>
  <c r="AS67" i="76" s="1"/>
  <c r="O67" i="76"/>
  <c r="AR63" i="76"/>
  <c r="AR67" i="76" s="1"/>
  <c r="N67" i="76"/>
  <c r="AQ63" i="76"/>
  <c r="AQ67" i="76" s="1"/>
  <c r="M67" i="76"/>
  <c r="AP63" i="76"/>
  <c r="AP67" i="76" s="1"/>
  <c r="L67" i="76"/>
  <c r="AO63" i="76"/>
  <c r="AO67" i="76" s="1"/>
  <c r="K67" i="76"/>
  <c r="BC67" i="76"/>
  <c r="Q83" i="76"/>
  <c r="S88" i="76"/>
  <c r="S18" i="76" s="1"/>
  <c r="AW18" i="76" s="1"/>
  <c r="K88" i="76"/>
  <c r="K18" i="76" s="1"/>
  <c r="AO18" i="76" s="1"/>
  <c r="R125" i="76"/>
  <c r="O83" i="76"/>
  <c r="Q88" i="76"/>
  <c r="M125" i="76"/>
  <c r="P88" i="76"/>
  <c r="L125" i="76"/>
  <c r="M18" i="76"/>
  <c r="AQ18" i="76" s="1"/>
  <c r="K125" i="76"/>
  <c r="O97" i="19"/>
  <c r="P97" i="19" s="1"/>
  <c r="Q97" i="19" s="1"/>
  <c r="R97" i="19" s="1"/>
  <c r="S97" i="19" s="1"/>
  <c r="T97" i="19" s="1"/>
  <c r="U97" i="19" s="1"/>
  <c r="V97" i="19" s="1"/>
  <c r="P98" i="19"/>
  <c r="Q98" i="19" s="1"/>
  <c r="P99" i="19"/>
  <c r="Q99" i="19" s="1"/>
  <c r="R99" i="19" s="1"/>
  <c r="S99" i="19" s="1"/>
  <c r="T99" i="19" s="1"/>
  <c r="U99" i="19" s="1"/>
  <c r="V99" i="19" s="1"/>
  <c r="O96" i="19"/>
  <c r="P96" i="19" s="1"/>
  <c r="Q96" i="19" s="1"/>
  <c r="R96" i="19" s="1"/>
  <c r="S96" i="19" s="1"/>
  <c r="T96" i="19" s="1"/>
  <c r="U96" i="19" s="1"/>
  <c r="V96" i="19" s="1"/>
  <c r="M109" i="76"/>
  <c r="N83" i="76"/>
  <c r="N18" i="76" s="1"/>
  <c r="AR18" i="76" s="1"/>
  <c r="J33" i="76"/>
  <c r="AN33" i="76" s="1"/>
  <c r="S33" i="76"/>
  <c r="AW33" i="76" s="1"/>
  <c r="CA33" i="76" s="1"/>
  <c r="M33" i="76"/>
  <c r="AQ33" i="76" s="1"/>
  <c r="Y23" i="76"/>
  <c r="O104" i="76"/>
  <c r="P33" i="76"/>
  <c r="AT33" i="76" s="1"/>
  <c r="Y13" i="76"/>
  <c r="Y28" i="76"/>
  <c r="BX33" i="76"/>
  <c r="L33" i="76"/>
  <c r="AP33" i="76" s="1"/>
  <c r="T33" i="76"/>
  <c r="AX33" i="76" s="1"/>
  <c r="CB33" i="76" s="1"/>
  <c r="K33" i="76"/>
  <c r="AO33" i="76" s="1"/>
  <c r="O33" i="76"/>
  <c r="AS33" i="76" s="1"/>
  <c r="BY33" i="76"/>
  <c r="BW33" i="76"/>
  <c r="V33" i="76"/>
  <c r="AZ33" i="76" s="1"/>
  <c r="CD33" i="76" s="1"/>
  <c r="BC33" i="76"/>
  <c r="BR33" i="76" s="1"/>
  <c r="U33" i="76"/>
  <c r="AY33" i="76" s="1"/>
  <c r="CC33" i="76" s="1"/>
  <c r="N33" i="76"/>
  <c r="AR33" i="76" s="1"/>
  <c r="R33" i="76"/>
  <c r="AV33" i="76" s="1"/>
  <c r="BZ33" i="76" s="1"/>
  <c r="Q33" i="76"/>
  <c r="AU33" i="76" s="1"/>
  <c r="BV33" i="76"/>
  <c r="BU33" i="76"/>
  <c r="BS33" i="76"/>
  <c r="Q130" i="76"/>
  <c r="L109" i="76"/>
  <c r="AN104" i="76"/>
  <c r="P109" i="76"/>
  <c r="T130" i="76"/>
  <c r="AN130" i="76"/>
  <c r="S109" i="76"/>
  <c r="K109" i="76"/>
  <c r="AW125" i="76"/>
  <c r="S125" i="76"/>
  <c r="J88" i="76"/>
  <c r="U109" i="76"/>
  <c r="AT109" i="76"/>
  <c r="AY130" i="76"/>
  <c r="AU130" i="76"/>
  <c r="AQ130" i="76"/>
  <c r="J83" i="76"/>
  <c r="BC104" i="76"/>
  <c r="M130" i="76"/>
  <c r="AO125" i="76"/>
  <c r="AN109" i="76"/>
  <c r="AS104" i="76"/>
  <c r="AN125" i="76"/>
  <c r="U130" i="76"/>
  <c r="L130" i="76"/>
  <c r="BC125" i="76"/>
  <c r="V109" i="76"/>
  <c r="AZ108" i="76"/>
  <c r="N109" i="76"/>
  <c r="AR108" i="76"/>
  <c r="AR109" i="76" s="1"/>
  <c r="AR104" i="76"/>
  <c r="S130" i="76"/>
  <c r="AW129" i="76"/>
  <c r="AP125" i="76"/>
  <c r="BU124" i="76"/>
  <c r="BC88" i="76"/>
  <c r="J109" i="76"/>
  <c r="T109" i="76"/>
  <c r="AY109" i="76"/>
  <c r="Q109" i="76"/>
  <c r="AU107" i="76"/>
  <c r="AU109" i="76" s="1"/>
  <c r="AQ109" i="76"/>
  <c r="P104" i="76"/>
  <c r="M104" i="76"/>
  <c r="AQ103" i="76"/>
  <c r="U104" i="76"/>
  <c r="AY102" i="76"/>
  <c r="Q104" i="76"/>
  <c r="AU102" i="76"/>
  <c r="AU104" i="76" s="1"/>
  <c r="J125" i="76"/>
  <c r="P130" i="76"/>
  <c r="R130" i="76"/>
  <c r="AV129" i="76"/>
  <c r="AV130" i="76" s="1"/>
  <c r="V130" i="76"/>
  <c r="AZ128" i="76"/>
  <c r="N130" i="76"/>
  <c r="AR128" i="76"/>
  <c r="AR130" i="76" s="1"/>
  <c r="U125" i="76"/>
  <c r="Q125" i="76"/>
  <c r="O125" i="76"/>
  <c r="AS124" i="76"/>
  <c r="AS125" i="76" s="1"/>
  <c r="BW129" i="76"/>
  <c r="AZ104" i="76"/>
  <c r="K130" i="76"/>
  <c r="AO129" i="76"/>
  <c r="AO130" i="76" s="1"/>
  <c r="AT125" i="76"/>
  <c r="CC124" i="76"/>
  <c r="AX109" i="76"/>
  <c r="AP109" i="76"/>
  <c r="T104" i="76"/>
  <c r="AX103" i="76"/>
  <c r="L104" i="76"/>
  <c r="AP103" i="76"/>
  <c r="AT104" i="76"/>
  <c r="BC109" i="76"/>
  <c r="BR107" i="76"/>
  <c r="J130" i="76"/>
  <c r="O130" i="76"/>
  <c r="T125" i="76"/>
  <c r="P125" i="76"/>
  <c r="V125" i="76"/>
  <c r="AZ124" i="76"/>
  <c r="AZ125" i="76" s="1"/>
  <c r="N125" i="76"/>
  <c r="AR124" i="76"/>
  <c r="AR125" i="76" s="1"/>
  <c r="AV125" i="76"/>
  <c r="BV128" i="76"/>
  <c r="CA124" i="76"/>
  <c r="BS124" i="76"/>
  <c r="BS56" i="76"/>
  <c r="BY87" i="76"/>
  <c r="J104" i="76"/>
  <c r="AV109" i="76"/>
  <c r="V104" i="76"/>
  <c r="R104" i="76"/>
  <c r="AV103" i="76"/>
  <c r="AS130" i="76"/>
  <c r="AX125" i="76"/>
  <c r="CB129" i="76"/>
  <c r="R109" i="76"/>
  <c r="O109" i="76"/>
  <c r="AS108" i="76"/>
  <c r="AW109" i="76"/>
  <c r="AO109" i="76"/>
  <c r="N104" i="76"/>
  <c r="S104" i="76"/>
  <c r="AW103" i="76"/>
  <c r="K104" i="76"/>
  <c r="AO103" i="76"/>
  <c r="AX130" i="76"/>
  <c r="AT130" i="76"/>
  <c r="AP130" i="76"/>
  <c r="AY125" i="76"/>
  <c r="AU125" i="76"/>
  <c r="AQ125" i="76"/>
  <c r="BY129" i="76"/>
  <c r="BV124" i="76"/>
  <c r="BZ123" i="76"/>
  <c r="J77" i="19"/>
  <c r="K77" i="19" s="1"/>
  <c r="L77" i="19" s="1"/>
  <c r="M77" i="19" s="1"/>
  <c r="N77" i="19" s="1"/>
  <c r="J74" i="19"/>
  <c r="K74" i="19" s="1"/>
  <c r="L74" i="19" s="1"/>
  <c r="M74" i="19" s="1"/>
  <c r="N74" i="19" s="1"/>
  <c r="J75" i="19"/>
  <c r="K75" i="19" s="1"/>
  <c r="L75" i="19" s="1"/>
  <c r="M75" i="19" s="1"/>
  <c r="N75" i="19" s="1"/>
  <c r="J76" i="19"/>
  <c r="K76" i="19" s="1"/>
  <c r="L76" i="19" s="1"/>
  <c r="M76" i="19" s="1"/>
  <c r="N76" i="19" s="1"/>
  <c r="J78" i="19"/>
  <c r="J71" i="19"/>
  <c r="K71" i="19" s="1"/>
  <c r="J79" i="19"/>
  <c r="K79" i="19" s="1"/>
  <c r="L79" i="19" s="1"/>
  <c r="M79" i="19" s="1"/>
  <c r="N79" i="19" s="1"/>
  <c r="J72" i="19"/>
  <c r="K72" i="19" s="1"/>
  <c r="L72" i="19" s="1"/>
  <c r="M72" i="19" s="1"/>
  <c r="N72" i="19" s="1"/>
  <c r="J73" i="19"/>
  <c r="K73" i="19" s="1"/>
  <c r="L73" i="19" s="1"/>
  <c r="M73" i="19" s="1"/>
  <c r="N73" i="19" s="1"/>
  <c r="N100" i="19"/>
  <c r="M100" i="19"/>
  <c r="L100" i="19"/>
  <c r="K100" i="19"/>
  <c r="J100" i="19"/>
  <c r="BC130" i="76"/>
  <c r="BC83" i="76"/>
  <c r="K78" i="19"/>
  <c r="L78" i="19" s="1"/>
  <c r="M78" i="19" s="1"/>
  <c r="N78" i="19" s="1"/>
  <c r="L18" i="76" l="1"/>
  <c r="AP18" i="76" s="1"/>
  <c r="P18" i="76"/>
  <c r="AT18" i="76" s="1"/>
  <c r="BX63" i="76"/>
  <c r="O72" i="19"/>
  <c r="P72" i="19" s="1"/>
  <c r="Q72" i="19" s="1"/>
  <c r="R72" i="19" s="1"/>
  <c r="S72" i="19" s="1"/>
  <c r="T72" i="19" s="1"/>
  <c r="U72" i="19" s="1"/>
  <c r="V72" i="19" s="1"/>
  <c r="O76" i="19"/>
  <c r="P76" i="19" s="1"/>
  <c r="Q76" i="19" s="1"/>
  <c r="R76" i="19" s="1"/>
  <c r="S76" i="19" s="1"/>
  <c r="T76" i="19" s="1"/>
  <c r="U76" i="19" s="1"/>
  <c r="V76" i="19" s="1"/>
  <c r="O79" i="19"/>
  <c r="P79" i="19" s="1"/>
  <c r="Q79" i="19" s="1"/>
  <c r="R79" i="19" s="1"/>
  <c r="S79" i="19" s="1"/>
  <c r="T79" i="19" s="1"/>
  <c r="U79" i="19" s="1"/>
  <c r="V79" i="19" s="1"/>
  <c r="O75" i="19"/>
  <c r="P75" i="19" s="1"/>
  <c r="Q75" i="19" s="1"/>
  <c r="R75" i="19" s="1"/>
  <c r="S75" i="19" s="1"/>
  <c r="T75" i="19" s="1"/>
  <c r="U75" i="19" s="1"/>
  <c r="V75" i="19" s="1"/>
  <c r="O78" i="19"/>
  <c r="P78" i="19" s="1"/>
  <c r="Q78" i="19" s="1"/>
  <c r="R78" i="19" s="1"/>
  <c r="S78" i="19" s="1"/>
  <c r="T78" i="19" s="1"/>
  <c r="U78" i="19" s="1"/>
  <c r="V78" i="19" s="1"/>
  <c r="O74" i="19"/>
  <c r="P74" i="19" s="1"/>
  <c r="Q74" i="19" s="1"/>
  <c r="R74" i="19" s="1"/>
  <c r="S74" i="19" s="1"/>
  <c r="T74" i="19" s="1"/>
  <c r="U74" i="19" s="1"/>
  <c r="V74" i="19" s="1"/>
  <c r="O73" i="19"/>
  <c r="P73" i="19" s="1"/>
  <c r="Q73" i="19" s="1"/>
  <c r="R73" i="19" s="1"/>
  <c r="S73" i="19" s="1"/>
  <c r="T73" i="19" s="1"/>
  <c r="U73" i="19" s="1"/>
  <c r="V73" i="19" s="1"/>
  <c r="O77" i="19"/>
  <c r="P77" i="19" s="1"/>
  <c r="Q77" i="19" s="1"/>
  <c r="R77" i="19" s="1"/>
  <c r="S77" i="19" s="1"/>
  <c r="T77" i="19" s="1"/>
  <c r="U77" i="19" s="1"/>
  <c r="V77" i="19" s="1"/>
  <c r="BX56" i="76"/>
  <c r="BZ56" i="76"/>
  <c r="BR63" i="76"/>
  <c r="CB56" i="76"/>
  <c r="CC56" i="76"/>
  <c r="O18" i="76"/>
  <c r="AS18" i="76" s="1"/>
  <c r="BW18" i="76" s="1"/>
  <c r="CD56" i="76"/>
  <c r="Q23" i="76"/>
  <c r="AU23" i="76" s="1"/>
  <c r="BY63" i="76"/>
  <c r="BV56" i="76"/>
  <c r="BS63" i="76"/>
  <c r="BT56" i="76"/>
  <c r="BW63" i="76"/>
  <c r="BU63" i="76"/>
  <c r="AQ104" i="76"/>
  <c r="BU103" i="76"/>
  <c r="AZ109" i="76"/>
  <c r="CD108" i="76"/>
  <c r="BT63" i="76"/>
  <c r="AS109" i="76"/>
  <c r="BW108" i="76"/>
  <c r="BZ129" i="76"/>
  <c r="BU56" i="76"/>
  <c r="AW67" i="76"/>
  <c r="CA63" i="76"/>
  <c r="AY67" i="76"/>
  <c r="CC63" i="76"/>
  <c r="AW104" i="76"/>
  <c r="CA103" i="76"/>
  <c r="AX104" i="76"/>
  <c r="CB103" i="76"/>
  <c r="BR56" i="76"/>
  <c r="CD124" i="76"/>
  <c r="AO104" i="76"/>
  <c r="BS103" i="76"/>
  <c r="AV104" i="76"/>
  <c r="BZ103" i="76"/>
  <c r="AP104" i="76"/>
  <c r="BT103" i="76"/>
  <c r="BY56" i="76"/>
  <c r="BW56" i="76"/>
  <c r="AZ130" i="76"/>
  <c r="CD128" i="76"/>
  <c r="AY104" i="76"/>
  <c r="CC102" i="76"/>
  <c r="CA56" i="76"/>
  <c r="BV63" i="76"/>
  <c r="AW130" i="76"/>
  <c r="CA129" i="76"/>
  <c r="AV67" i="76"/>
  <c r="BZ63" i="76"/>
  <c r="AX67" i="76"/>
  <c r="CB63" i="76"/>
  <c r="AZ67" i="76"/>
  <c r="CD63" i="76"/>
  <c r="Q28" i="76"/>
  <c r="AU28" i="76" s="1"/>
  <c r="BS28" i="76"/>
  <c r="BT28" i="76"/>
  <c r="CD18" i="76"/>
  <c r="K28" i="76"/>
  <c r="AO28" i="76" s="1"/>
  <c r="J13" i="76"/>
  <c r="AN13" i="76" s="1"/>
  <c r="P23" i="76"/>
  <c r="AT23" i="76" s="1"/>
  <c r="BX23" i="76" s="1"/>
  <c r="M28" i="76"/>
  <c r="AQ28" i="76" s="1"/>
  <c r="BT18" i="76"/>
  <c r="Q18" i="76"/>
  <c r="AU18" i="76" s="1"/>
  <c r="BY18" i="76" s="1"/>
  <c r="L28" i="76"/>
  <c r="AP28" i="76" s="1"/>
  <c r="R28" i="76"/>
  <c r="AV28" i="76" s="1"/>
  <c r="BZ28" i="76" s="1"/>
  <c r="O100" i="19"/>
  <c r="S23" i="76"/>
  <c r="AW23" i="76" s="1"/>
  <c r="CA23" i="76" s="1"/>
  <c r="BS18" i="76"/>
  <c r="V28" i="76"/>
  <c r="AZ28" i="76" s="1"/>
  <c r="CD28" i="76" s="1"/>
  <c r="BU28" i="76"/>
  <c r="CC18" i="76"/>
  <c r="R98" i="19"/>
  <c r="S98" i="19" s="1"/>
  <c r="T98" i="19" s="1"/>
  <c r="U98" i="19" s="1"/>
  <c r="V98" i="19" s="1"/>
  <c r="V100" i="19" s="1"/>
  <c r="Q100" i="19"/>
  <c r="P100" i="19"/>
  <c r="M23" i="76"/>
  <c r="AQ23" i="76" s="1"/>
  <c r="BU23" i="76" s="1"/>
  <c r="BZ18" i="76"/>
  <c r="CB18" i="76"/>
  <c r="CA18" i="76"/>
  <c r="V13" i="76"/>
  <c r="AZ13" i="76" s="1"/>
  <c r="CD13" i="76" s="1"/>
  <c r="O23" i="76"/>
  <c r="AS23" i="76" s="1"/>
  <c r="BW23" i="76" s="1"/>
  <c r="BX18" i="76"/>
  <c r="O13" i="76"/>
  <c r="AS13" i="76" s="1"/>
  <c r="BW13" i="76" s="1"/>
  <c r="R23" i="76"/>
  <c r="AV23" i="76" s="1"/>
  <c r="BZ23" i="76" s="1"/>
  <c r="T28" i="76"/>
  <c r="AX28" i="76" s="1"/>
  <c r="CB28" i="76" s="1"/>
  <c r="T13" i="76"/>
  <c r="AX13" i="76" s="1"/>
  <c r="CB13" i="76" s="1"/>
  <c r="N13" i="76"/>
  <c r="AR13" i="76" s="1"/>
  <c r="BV13" i="76" s="1"/>
  <c r="J18" i="76"/>
  <c r="AN18" i="76" s="1"/>
  <c r="S13" i="76"/>
  <c r="AW13" i="76" s="1"/>
  <c r="CA13" i="76" s="1"/>
  <c r="V23" i="76"/>
  <c r="AZ23" i="76" s="1"/>
  <c r="CD23" i="76" s="1"/>
  <c r="L23" i="76"/>
  <c r="AP23" i="76" s="1"/>
  <c r="BT23" i="76" s="1"/>
  <c r="BV18" i="76"/>
  <c r="BW28" i="76"/>
  <c r="J23" i="76"/>
  <c r="AN23" i="76" s="1"/>
  <c r="P28" i="76"/>
  <c r="AT28" i="76" s="1"/>
  <c r="L13" i="76"/>
  <c r="AP13" i="76" s="1"/>
  <c r="BT13" i="76" s="1"/>
  <c r="BU18" i="76"/>
  <c r="N23" i="76"/>
  <c r="AR23" i="76" s="1"/>
  <c r="BV23" i="76" s="1"/>
  <c r="T23" i="76"/>
  <c r="AX23" i="76" s="1"/>
  <c r="CB23" i="76" s="1"/>
  <c r="BC18" i="76"/>
  <c r="N28" i="76"/>
  <c r="AR28" i="76" s="1"/>
  <c r="R13" i="76"/>
  <c r="AV13" i="76" s="1"/>
  <c r="BZ13" i="76" s="1"/>
  <c r="S28" i="76"/>
  <c r="AW28" i="76" s="1"/>
  <c r="CA28" i="76" s="1"/>
  <c r="BX28" i="76"/>
  <c r="O28" i="76"/>
  <c r="AS28" i="76" s="1"/>
  <c r="U23" i="76"/>
  <c r="AY23" i="76" s="1"/>
  <c r="CC23" i="76" s="1"/>
  <c r="M13" i="76"/>
  <c r="AQ13" i="76" s="1"/>
  <c r="BU13" i="76" s="1"/>
  <c r="BC23" i="76"/>
  <c r="Q13" i="76"/>
  <c r="AU13" i="76" s="1"/>
  <c r="BY13" i="76" s="1"/>
  <c r="BC28" i="76"/>
  <c r="BR28" i="76" s="1"/>
  <c r="BY28" i="76"/>
  <c r="BC13" i="76"/>
  <c r="BV28" i="76"/>
  <c r="K23" i="76"/>
  <c r="AO23" i="76" s="1"/>
  <c r="BS23" i="76" s="1"/>
  <c r="K13" i="76"/>
  <c r="AO13" i="76" s="1"/>
  <c r="BS13" i="76" s="1"/>
  <c r="BY23" i="76"/>
  <c r="P13" i="76"/>
  <c r="AT13" i="76" s="1"/>
  <c r="BX13" i="76" s="1"/>
  <c r="U28" i="76"/>
  <c r="AY28" i="76" s="1"/>
  <c r="CC28" i="76" s="1"/>
  <c r="J28" i="76"/>
  <c r="AN28" i="76" s="1"/>
  <c r="U13" i="76"/>
  <c r="AY13" i="76" s="1"/>
  <c r="CC13" i="76" s="1"/>
  <c r="J80" i="19"/>
  <c r="L71" i="19"/>
  <c r="K80" i="19"/>
  <c r="AC21" i="15"/>
  <c r="Z21" i="15"/>
  <c r="BR23" i="76" l="1"/>
  <c r="BR18" i="76"/>
  <c r="BR13" i="76"/>
  <c r="T100" i="19"/>
  <c r="U100" i="19"/>
  <c r="R100" i="19"/>
  <c r="S100" i="19"/>
  <c r="L80" i="19"/>
  <c r="M71" i="19"/>
  <c r="AA21" i="15"/>
  <c r="AK21" i="15"/>
  <c r="AH21" i="15"/>
  <c r="AI21" i="15"/>
  <c r="N21" i="15"/>
  <c r="N71" i="19" l="1"/>
  <c r="O71" i="19" s="1"/>
  <c r="M80" i="19"/>
  <c r="AP21" i="15"/>
  <c r="AE21" i="15"/>
  <c r="M21" i="15"/>
  <c r="K21" i="15"/>
  <c r="V21" i="15"/>
  <c r="U21" i="15"/>
  <c r="S21" i="15"/>
  <c r="R21" i="15"/>
  <c r="N80" i="19" l="1"/>
  <c r="AV21" i="15"/>
  <c r="AR21" i="15"/>
  <c r="AS21" i="15"/>
  <c r="AQ21" i="15"/>
  <c r="AN21" i="15"/>
  <c r="AG21" i="15"/>
  <c r="AF21" i="15"/>
  <c r="AD21" i="15"/>
  <c r="AB21" i="15"/>
  <c r="O21" i="15"/>
  <c r="T21" i="15"/>
  <c r="Q21" i="15"/>
  <c r="P71" i="19" l="1"/>
  <c r="O80" i="19"/>
  <c r="AO21" i="15"/>
  <c r="AJ21" i="15"/>
  <c r="P21" i="15"/>
  <c r="Q71" i="19" l="1"/>
  <c r="P80" i="19"/>
  <c r="L21" i="15"/>
  <c r="R71" i="19" l="1"/>
  <c r="Q80" i="19"/>
  <c r="Y21" i="15"/>
  <c r="S71" i="19" l="1"/>
  <c r="R80" i="19"/>
  <c r="T71" i="19" l="1"/>
  <c r="S80" i="19"/>
  <c r="U71" i="19" l="1"/>
  <c r="T80" i="19"/>
  <c r="V71" i="19" l="1"/>
  <c r="V80" i="19" s="1"/>
  <c r="U80" i="19"/>
  <c r="K126" i="82" l="1"/>
  <c r="L126" i="82"/>
  <c r="M126" i="82"/>
  <c r="N126" i="82"/>
  <c r="O126" i="82"/>
  <c r="P126" i="82"/>
  <c r="Q126" i="82"/>
  <c r="R126" i="82"/>
  <c r="S126" i="82"/>
  <c r="T126" i="82"/>
  <c r="U126" i="82"/>
  <c r="V126" i="82"/>
  <c r="K51" i="82"/>
  <c r="L51" i="82"/>
  <c r="M51" i="82"/>
  <c r="N51" i="82"/>
  <c r="O51" i="82"/>
  <c r="P51" i="82"/>
  <c r="Q51" i="82"/>
  <c r="R51" i="82"/>
  <c r="S51" i="82"/>
  <c r="T51" i="82"/>
  <c r="U51" i="82"/>
  <c r="V51" i="82"/>
  <c r="K26" i="82"/>
  <c r="L26" i="82"/>
  <c r="M26" i="82"/>
  <c r="N26" i="82"/>
  <c r="O26" i="82"/>
  <c r="P26" i="82"/>
  <c r="Q26" i="82"/>
  <c r="R26" i="82"/>
  <c r="S26" i="82"/>
  <c r="T26" i="82"/>
  <c r="U26" i="82"/>
  <c r="V26" i="82"/>
  <c r="J36" i="20" l="1"/>
  <c r="V24" i="20"/>
  <c r="U24" i="20"/>
  <c r="T24" i="20"/>
  <c r="S24" i="20"/>
  <c r="R24" i="20"/>
  <c r="Q24" i="20"/>
  <c r="P24" i="20"/>
  <c r="O24" i="20"/>
  <c r="N24" i="20"/>
  <c r="M24" i="20"/>
  <c r="L24" i="20"/>
  <c r="K24" i="20"/>
  <c r="J24" i="20"/>
  <c r="K19" i="20"/>
  <c r="L19" i="20"/>
  <c r="M19" i="20"/>
  <c r="N19" i="20"/>
  <c r="O19" i="20"/>
  <c r="P19" i="20"/>
  <c r="Q19" i="20"/>
  <c r="R19" i="20"/>
  <c r="S19" i="20"/>
  <c r="T19" i="20"/>
  <c r="U19" i="20"/>
  <c r="V19" i="20"/>
  <c r="J19" i="20"/>
  <c r="K14" i="20"/>
  <c r="L14" i="20"/>
  <c r="M14" i="20"/>
  <c r="N14" i="20"/>
  <c r="O14" i="20"/>
  <c r="P14" i="20"/>
  <c r="Q14" i="20"/>
  <c r="R14" i="20"/>
  <c r="S14" i="20"/>
  <c r="T14" i="20"/>
  <c r="U14" i="20"/>
  <c r="V14" i="20"/>
  <c r="J14" i="20"/>
  <c r="V22" i="41" l="1"/>
  <c r="U22" i="41"/>
  <c r="T22" i="41"/>
  <c r="S22" i="41"/>
  <c r="R22" i="41"/>
  <c r="Q22" i="41"/>
  <c r="P22" i="41"/>
  <c r="O22" i="41"/>
  <c r="N22" i="41"/>
  <c r="M22" i="41"/>
  <c r="L22" i="41"/>
  <c r="K22" i="41"/>
  <c r="J22" i="41"/>
  <c r="K17" i="69"/>
  <c r="L17" i="69"/>
  <c r="M17" i="69"/>
  <c r="N17" i="69"/>
  <c r="O17" i="69"/>
  <c r="P17" i="69"/>
  <c r="Q17" i="69"/>
  <c r="R17" i="69"/>
  <c r="S17" i="69"/>
  <c r="T17" i="69"/>
  <c r="U17" i="69"/>
  <c r="V17" i="69"/>
  <c r="J17" i="69"/>
  <c r="BT159" i="69"/>
  <c r="BV159" i="69"/>
  <c r="BR159" i="69"/>
  <c r="BG159" i="69"/>
  <c r="BV171" i="69"/>
  <c r="BT171" i="69"/>
  <c r="BR171" i="69"/>
  <c r="BG171" i="69"/>
  <c r="BE171" i="69"/>
  <c r="BC171" i="69"/>
  <c r="AZ171" i="69"/>
  <c r="AY171" i="69"/>
  <c r="AX171" i="69"/>
  <c r="AW171" i="69"/>
  <c r="AV171" i="69"/>
  <c r="AU171" i="69"/>
  <c r="AT171" i="69"/>
  <c r="AS171" i="69"/>
  <c r="AR171" i="69"/>
  <c r="AQ171" i="69"/>
  <c r="AP171" i="69"/>
  <c r="AO171" i="69"/>
  <c r="AN171" i="69"/>
  <c r="BE159" i="69"/>
  <c r="BC159" i="69"/>
  <c r="AZ159" i="69"/>
  <c r="AY159" i="69"/>
  <c r="AX159" i="69"/>
  <c r="AW159" i="69"/>
  <c r="AV159" i="69"/>
  <c r="AU159" i="69"/>
  <c r="AT159" i="69"/>
  <c r="AS159" i="69"/>
  <c r="AR159" i="69"/>
  <c r="AQ159" i="69"/>
  <c r="AP159" i="69"/>
  <c r="AO159" i="69"/>
  <c r="AN159" i="69"/>
  <c r="AZ103" i="69"/>
  <c r="AY103" i="69"/>
  <c r="AX103" i="69"/>
  <c r="AW103" i="69"/>
  <c r="AV103" i="69"/>
  <c r="AU103" i="69"/>
  <c r="AT103" i="69"/>
  <c r="AS103" i="69"/>
  <c r="AR103" i="69"/>
  <c r="AQ103" i="69"/>
  <c r="AP103" i="69"/>
  <c r="AO103" i="69"/>
  <c r="AN103" i="69"/>
  <c r="AZ92" i="69"/>
  <c r="AY92" i="69"/>
  <c r="AX92" i="69"/>
  <c r="AW92" i="69"/>
  <c r="AV92" i="69"/>
  <c r="AU92" i="69"/>
  <c r="AT92" i="69"/>
  <c r="AS92" i="69"/>
  <c r="AR92" i="69"/>
  <c r="AQ92" i="69"/>
  <c r="AP92" i="69"/>
  <c r="AO92" i="69"/>
  <c r="AN92" i="69"/>
  <c r="CD103" i="69"/>
  <c r="CB103" i="69"/>
  <c r="BZ103" i="69"/>
  <c r="BX103" i="69"/>
  <c r="BV103" i="69"/>
  <c r="CD92" i="69"/>
  <c r="CB92" i="69"/>
  <c r="BZ92" i="69"/>
  <c r="BX92" i="69"/>
  <c r="BV92" i="69"/>
  <c r="CD78" i="69"/>
  <c r="CB78" i="69"/>
  <c r="BZ78" i="69"/>
  <c r="BX78" i="69"/>
  <c r="BV78" i="69"/>
  <c r="BO78" i="69"/>
  <c r="BM78" i="69"/>
  <c r="BK78" i="69"/>
  <c r="BI78" i="69"/>
  <c r="BG78" i="69"/>
  <c r="BO103" i="69"/>
  <c r="BM103" i="69"/>
  <c r="BK103" i="69"/>
  <c r="BI103" i="69"/>
  <c r="BG103" i="69"/>
  <c r="BO92" i="69"/>
  <c r="BM92" i="69"/>
  <c r="BK92" i="69"/>
  <c r="BI92" i="69"/>
  <c r="BG92" i="69"/>
  <c r="AK103" i="69"/>
  <c r="AJ103" i="69"/>
  <c r="AI103" i="69"/>
  <c r="AH103" i="69"/>
  <c r="AG103" i="69"/>
  <c r="AF103" i="69"/>
  <c r="AE103" i="69"/>
  <c r="AD103" i="69"/>
  <c r="AC103" i="69"/>
  <c r="AB103" i="69"/>
  <c r="AA103" i="69"/>
  <c r="Z103" i="69"/>
  <c r="Y103" i="69"/>
  <c r="V103" i="69"/>
  <c r="V19" i="69" s="1"/>
  <c r="U103" i="69"/>
  <c r="U19" i="69" s="1"/>
  <c r="T103" i="69"/>
  <c r="T19" i="69" s="1"/>
  <c r="S103" i="69"/>
  <c r="S19" i="69" s="1"/>
  <c r="R103" i="69"/>
  <c r="R19" i="69" s="1"/>
  <c r="Q103" i="69"/>
  <c r="Q19" i="69" s="1"/>
  <c r="P103" i="69"/>
  <c r="P19" i="69" s="1"/>
  <c r="O103" i="69"/>
  <c r="O19" i="69" s="1"/>
  <c r="N103" i="69"/>
  <c r="N19" i="69" s="1"/>
  <c r="M103" i="69"/>
  <c r="M19" i="69" s="1"/>
  <c r="L103" i="69"/>
  <c r="L19" i="69" s="1"/>
  <c r="K103" i="69"/>
  <c r="K19" i="69" s="1"/>
  <c r="J103" i="69"/>
  <c r="J19" i="69" s="1"/>
  <c r="AK92" i="69"/>
  <c r="AJ92" i="69"/>
  <c r="AI92" i="69"/>
  <c r="AH92" i="69"/>
  <c r="AG92" i="69"/>
  <c r="AF92" i="69"/>
  <c r="AE92" i="69"/>
  <c r="AD92" i="69"/>
  <c r="AC92" i="69"/>
  <c r="AB92" i="69"/>
  <c r="AA92" i="69"/>
  <c r="Z92" i="69"/>
  <c r="Y92" i="69"/>
  <c r="V92" i="69"/>
  <c r="V18" i="69" s="1"/>
  <c r="U92" i="69"/>
  <c r="U18" i="69" s="1"/>
  <c r="T92" i="69"/>
  <c r="T18" i="69" s="1"/>
  <c r="S92" i="69"/>
  <c r="S18" i="69" s="1"/>
  <c r="R92" i="69"/>
  <c r="R18" i="69" s="1"/>
  <c r="Q92" i="69"/>
  <c r="Q18" i="69" s="1"/>
  <c r="P92" i="69"/>
  <c r="P18" i="69" s="1"/>
  <c r="O92" i="69"/>
  <c r="O18" i="69" s="1"/>
  <c r="N92" i="69"/>
  <c r="N18" i="69" s="1"/>
  <c r="M92" i="69"/>
  <c r="M18" i="69" s="1"/>
  <c r="L92" i="69"/>
  <c r="L18" i="69" s="1"/>
  <c r="K92" i="69"/>
  <c r="K18" i="69" s="1"/>
  <c r="J92" i="69"/>
  <c r="J18" i="69" s="1"/>
  <c r="AZ347" i="41"/>
  <c r="AY347" i="41"/>
  <c r="AX347" i="41"/>
  <c r="AW347" i="41"/>
  <c r="AV347" i="41"/>
  <c r="AU347" i="41"/>
  <c r="AT347" i="41"/>
  <c r="AS347" i="41"/>
  <c r="AR347" i="41"/>
  <c r="AQ347" i="41"/>
  <c r="AP347" i="41"/>
  <c r="AO347" i="41"/>
  <c r="AN347" i="41"/>
  <c r="AK347" i="41"/>
  <c r="AJ347" i="41"/>
  <c r="AI347" i="41"/>
  <c r="AH347" i="41"/>
  <c r="AG347" i="41"/>
  <c r="AF347" i="41"/>
  <c r="AE347" i="41"/>
  <c r="AD347" i="41"/>
  <c r="AC347" i="41"/>
  <c r="AB347" i="41"/>
  <c r="AA347" i="41"/>
  <c r="Z347" i="41"/>
  <c r="Y347" i="41"/>
  <c r="K347" i="41"/>
  <c r="K23" i="41" s="1"/>
  <c r="L347" i="41"/>
  <c r="L23" i="41" s="1"/>
  <c r="M347" i="41"/>
  <c r="M23" i="41" s="1"/>
  <c r="N347" i="41"/>
  <c r="N23" i="41" s="1"/>
  <c r="O347" i="41"/>
  <c r="O23" i="41" s="1"/>
  <c r="P347" i="41"/>
  <c r="P23" i="41" s="1"/>
  <c r="Q347" i="41"/>
  <c r="Q23" i="41" s="1"/>
  <c r="R347" i="41"/>
  <c r="R23" i="41" s="1"/>
  <c r="S347" i="41"/>
  <c r="S23" i="41" s="1"/>
  <c r="T347" i="41"/>
  <c r="T23" i="41" s="1"/>
  <c r="U347" i="41"/>
  <c r="U23" i="41" s="1"/>
  <c r="V347" i="41"/>
  <c r="V23" i="41" s="1"/>
  <c r="J347" i="41"/>
  <c r="J23" i="41" s="1"/>
  <c r="V21" i="41" l="1"/>
  <c r="U21" i="41"/>
  <c r="T21" i="41"/>
  <c r="S21" i="41"/>
  <c r="R21" i="41"/>
  <c r="Q21" i="41"/>
  <c r="P21" i="41"/>
  <c r="O21" i="41"/>
  <c r="N21" i="41"/>
  <c r="M21" i="41"/>
  <c r="L21" i="41"/>
  <c r="K21" i="41"/>
  <c r="J21" i="41"/>
  <c r="K59" i="74"/>
  <c r="L59" i="74"/>
  <c r="M59" i="74"/>
  <c r="N59" i="74"/>
  <c r="O59" i="74"/>
  <c r="P59" i="74"/>
  <c r="Q59" i="74"/>
  <c r="R59" i="74"/>
  <c r="S59" i="74"/>
  <c r="T59" i="74"/>
  <c r="U59" i="74"/>
  <c r="V59" i="74"/>
  <c r="K60" i="74"/>
  <c r="L60" i="74"/>
  <c r="M60" i="74"/>
  <c r="N60" i="74"/>
  <c r="O60" i="74"/>
  <c r="P60" i="74"/>
  <c r="Q60" i="74"/>
  <c r="R60" i="74"/>
  <c r="S60" i="74"/>
  <c r="T60" i="74"/>
  <c r="U60" i="74"/>
  <c r="V60" i="74"/>
  <c r="K61" i="74"/>
  <c r="L61" i="74"/>
  <c r="M61" i="74"/>
  <c r="N61" i="74"/>
  <c r="O61" i="74"/>
  <c r="P61" i="74"/>
  <c r="Q61" i="74"/>
  <c r="R61" i="74"/>
  <c r="S61" i="74"/>
  <c r="T61" i="74"/>
  <c r="U61" i="74"/>
  <c r="V61" i="74"/>
  <c r="K62" i="74"/>
  <c r="L62" i="74"/>
  <c r="M62" i="74"/>
  <c r="N62" i="74"/>
  <c r="O62" i="74"/>
  <c r="P62" i="74"/>
  <c r="Q62" i="74"/>
  <c r="R62" i="74"/>
  <c r="S62" i="74"/>
  <c r="T62" i="74"/>
  <c r="U62" i="74"/>
  <c r="V62" i="74"/>
  <c r="K63" i="74"/>
  <c r="L63" i="74"/>
  <c r="M63" i="74"/>
  <c r="N63" i="74"/>
  <c r="O63" i="74"/>
  <c r="P63" i="74"/>
  <c r="Q63" i="74"/>
  <c r="K64" i="74"/>
  <c r="L64" i="74"/>
  <c r="M64" i="74"/>
  <c r="N64" i="74"/>
  <c r="O64" i="74"/>
  <c r="P64" i="74"/>
  <c r="Q64" i="74"/>
  <c r="K65" i="74"/>
  <c r="L65" i="74"/>
  <c r="M65" i="74"/>
  <c r="N65" i="74"/>
  <c r="O65" i="74"/>
  <c r="P65" i="74"/>
  <c r="Q65" i="74"/>
  <c r="R65" i="74"/>
  <c r="S65" i="74"/>
  <c r="T65" i="74"/>
  <c r="U65" i="74"/>
  <c r="V65" i="74"/>
  <c r="K66" i="74"/>
  <c r="L66" i="74"/>
  <c r="M66" i="74"/>
  <c r="N66" i="74"/>
  <c r="O66" i="74"/>
  <c r="P66" i="74"/>
  <c r="Q66" i="74"/>
  <c r="R66" i="74"/>
  <c r="S66" i="74"/>
  <c r="T66" i="74"/>
  <c r="U66" i="74"/>
  <c r="V66" i="74"/>
  <c r="K67" i="74"/>
  <c r="L67" i="74"/>
  <c r="M67" i="74"/>
  <c r="N67" i="74"/>
  <c r="O67" i="74"/>
  <c r="P67" i="74"/>
  <c r="Q67" i="74"/>
  <c r="R67" i="74"/>
  <c r="S67" i="74"/>
  <c r="T67" i="74"/>
  <c r="U67" i="74"/>
  <c r="V67" i="74"/>
  <c r="J60" i="74"/>
  <c r="J61" i="74"/>
  <c r="J62" i="74"/>
  <c r="J63" i="74"/>
  <c r="J64" i="74"/>
  <c r="J65" i="74"/>
  <c r="J66" i="74"/>
  <c r="J67" i="74"/>
  <c r="J59" i="74"/>
  <c r="O72" i="74" l="1"/>
  <c r="J72" i="74"/>
  <c r="U72" i="74"/>
  <c r="M72" i="74"/>
  <c r="T72" i="74"/>
  <c r="L72" i="74"/>
  <c r="S72" i="74"/>
  <c r="K72" i="74"/>
  <c r="R72" i="74"/>
  <c r="N72" i="74"/>
  <c r="Q72" i="74"/>
  <c r="P72" i="74"/>
  <c r="V72" i="74"/>
  <c r="K32" i="7"/>
  <c r="L32" i="7"/>
  <c r="M32" i="7"/>
  <c r="N32" i="7"/>
  <c r="O32" i="7"/>
  <c r="P32" i="7"/>
  <c r="Q32" i="7"/>
  <c r="R32" i="7"/>
  <c r="S32" i="7"/>
  <c r="T32" i="7"/>
  <c r="U32" i="7"/>
  <c r="V32" i="7"/>
  <c r="J32" i="7"/>
  <c r="V140" i="80" l="1"/>
  <c r="U140" i="80"/>
  <c r="T140" i="80"/>
  <c r="S140" i="80"/>
  <c r="R140" i="80"/>
  <c r="Q140" i="80"/>
  <c r="P140" i="80"/>
  <c r="O140" i="80"/>
  <c r="N140" i="80"/>
  <c r="M140" i="80"/>
  <c r="L140" i="80"/>
  <c r="K140" i="80"/>
  <c r="J140" i="80"/>
  <c r="K36" i="80"/>
  <c r="L36" i="80"/>
  <c r="M36" i="80"/>
  <c r="N36" i="80"/>
  <c r="O36" i="80"/>
  <c r="P36" i="80"/>
  <c r="Q36" i="80"/>
  <c r="R36" i="80"/>
  <c r="S36" i="80"/>
  <c r="T36" i="80"/>
  <c r="U36" i="80"/>
  <c r="V36" i="80"/>
  <c r="J36" i="80"/>
  <c r="BS159" i="76" l="1"/>
  <c r="BT159" i="76"/>
  <c r="BU159" i="76"/>
  <c r="BV159" i="76"/>
  <c r="BW159" i="76"/>
  <c r="BX159" i="76"/>
  <c r="BY159" i="76"/>
  <c r="BZ159" i="76"/>
  <c r="CA159" i="76"/>
  <c r="CB159" i="76"/>
  <c r="CC159" i="76"/>
  <c r="CD159" i="76"/>
  <c r="BS160" i="76"/>
  <c r="BT160" i="76"/>
  <c r="BU160" i="76"/>
  <c r="BV160" i="76"/>
  <c r="BW160" i="76"/>
  <c r="BX160" i="76"/>
  <c r="BY160" i="76"/>
  <c r="BZ160" i="76"/>
  <c r="CA160" i="76"/>
  <c r="CB160" i="76"/>
  <c r="CC160" i="76"/>
  <c r="CD160" i="76"/>
  <c r="BS161" i="76"/>
  <c r="BT161" i="76"/>
  <c r="BU161" i="76"/>
  <c r="BV161" i="76"/>
  <c r="BW161" i="76"/>
  <c r="BX161" i="76"/>
  <c r="BY161" i="76"/>
  <c r="BZ161" i="76"/>
  <c r="CA161" i="76"/>
  <c r="CB161" i="76"/>
  <c r="CC161" i="76"/>
  <c r="CD161" i="76"/>
  <c r="BC160" i="76"/>
  <c r="BR160" i="76" s="1"/>
  <c r="BC161" i="76"/>
  <c r="BR161" i="76" s="1"/>
  <c r="BC159" i="76"/>
  <c r="BR159" i="76" s="1"/>
  <c r="AK161" i="76"/>
  <c r="AJ161" i="76"/>
  <c r="AI161" i="76"/>
  <c r="AH161" i="76"/>
  <c r="AG161" i="76"/>
  <c r="AF161" i="76"/>
  <c r="AE161" i="76"/>
  <c r="AD161" i="76"/>
  <c r="AC161" i="76"/>
  <c r="AB161" i="76"/>
  <c r="AA161" i="76"/>
  <c r="Z161" i="76"/>
  <c r="Y161" i="76"/>
  <c r="AK160" i="76"/>
  <c r="AJ160" i="76"/>
  <c r="AI160" i="76"/>
  <c r="AH160" i="76"/>
  <c r="AG160" i="76"/>
  <c r="AF160" i="76"/>
  <c r="AE160" i="76"/>
  <c r="AD160" i="76"/>
  <c r="AC160" i="76"/>
  <c r="AB160" i="76"/>
  <c r="AA160" i="76"/>
  <c r="Z160" i="76"/>
  <c r="Y160" i="76"/>
  <c r="AK159" i="76"/>
  <c r="AJ159" i="76"/>
  <c r="AI159" i="76"/>
  <c r="AH159" i="76"/>
  <c r="AG159" i="76"/>
  <c r="AF159" i="76"/>
  <c r="AE159" i="76"/>
  <c r="AD159" i="76"/>
  <c r="AC159" i="76"/>
  <c r="AB159" i="76"/>
  <c r="AA159" i="76"/>
  <c r="Z159" i="76"/>
  <c r="Y159" i="76"/>
  <c r="K159" i="76"/>
  <c r="L159" i="76"/>
  <c r="AP159" i="76" s="1"/>
  <c r="M159" i="76"/>
  <c r="N159" i="76"/>
  <c r="O159" i="76"/>
  <c r="P159" i="76"/>
  <c r="Q159" i="76"/>
  <c r="R159" i="76"/>
  <c r="AV159" i="76" s="1"/>
  <c r="S159" i="76"/>
  <c r="T159" i="76"/>
  <c r="AX159" i="76" s="1"/>
  <c r="U159" i="76"/>
  <c r="V159" i="76"/>
  <c r="AZ159" i="76" s="1"/>
  <c r="K160" i="76"/>
  <c r="L160" i="76"/>
  <c r="M160" i="76"/>
  <c r="N160" i="76"/>
  <c r="O160" i="76"/>
  <c r="P160" i="76"/>
  <c r="Q160" i="76"/>
  <c r="R160" i="76"/>
  <c r="S160" i="76"/>
  <c r="T160" i="76"/>
  <c r="U160" i="76"/>
  <c r="V160" i="76"/>
  <c r="K161" i="76"/>
  <c r="L161" i="76"/>
  <c r="M161" i="76"/>
  <c r="AQ161" i="76" s="1"/>
  <c r="N161" i="76"/>
  <c r="O161" i="76"/>
  <c r="P161" i="76"/>
  <c r="Q161" i="76"/>
  <c r="AU161" i="76" s="1"/>
  <c r="R161" i="76"/>
  <c r="S161" i="76"/>
  <c r="T161" i="76"/>
  <c r="U161" i="76"/>
  <c r="V161" i="76"/>
  <c r="J161" i="76"/>
  <c r="J160" i="76"/>
  <c r="J159" i="76"/>
  <c r="P162" i="76" l="1"/>
  <c r="P36" i="76" s="1"/>
  <c r="AS161" i="76"/>
  <c r="AT159" i="76"/>
  <c r="V162" i="76"/>
  <c r="V36" i="76" s="1"/>
  <c r="AR159" i="76"/>
  <c r="U162" i="76"/>
  <c r="U36" i="76" s="1"/>
  <c r="N162" i="76"/>
  <c r="N36" i="76" s="1"/>
  <c r="AX161" i="76"/>
  <c r="AW161" i="76"/>
  <c r="AO161" i="76"/>
  <c r="AN161" i="76"/>
  <c r="AN159" i="76"/>
  <c r="R162" i="76"/>
  <c r="R36" i="76" s="1"/>
  <c r="M189" i="61" s="1"/>
  <c r="AY160" i="76"/>
  <c r="AU160" i="76"/>
  <c r="AQ160" i="76"/>
  <c r="AT161" i="76"/>
  <c r="AP161" i="76"/>
  <c r="AY159" i="76"/>
  <c r="AQ159" i="76"/>
  <c r="Z162" i="76"/>
  <c r="Z36" i="76" s="1"/>
  <c r="AD162" i="76"/>
  <c r="AD36" i="76" s="1"/>
  <c r="AH162" i="76"/>
  <c r="AH36" i="76" s="1"/>
  <c r="AC162" i="76"/>
  <c r="AC36" i="76" s="1"/>
  <c r="AK162" i="76"/>
  <c r="AK36" i="76" s="1"/>
  <c r="AX160" i="76"/>
  <c r="AT160" i="76"/>
  <c r="AP160" i="76"/>
  <c r="AA162" i="76"/>
  <c r="AA36" i="76" s="1"/>
  <c r="AI162" i="76"/>
  <c r="AI36" i="76" s="1"/>
  <c r="T162" i="76"/>
  <c r="T36" i="76" s="1"/>
  <c r="L162" i="76"/>
  <c r="L36" i="76" s="1"/>
  <c r="AS160" i="76"/>
  <c r="AW159" i="76"/>
  <c r="AS159" i="76"/>
  <c r="AO159" i="76"/>
  <c r="J162" i="76"/>
  <c r="J36" i="76" s="1"/>
  <c r="AZ161" i="76"/>
  <c r="AV161" i="76"/>
  <c r="AR161" i="76"/>
  <c r="AZ160" i="76"/>
  <c r="AV160" i="76"/>
  <c r="AR160" i="76"/>
  <c r="M162" i="76"/>
  <c r="M36" i="76" s="1"/>
  <c r="AN160" i="76"/>
  <c r="AY161" i="76"/>
  <c r="Q162" i="76"/>
  <c r="Q36" i="76" s="1"/>
  <c r="S162" i="76"/>
  <c r="S36" i="76" s="1"/>
  <c r="K162" i="76"/>
  <c r="K36" i="76" s="1"/>
  <c r="O162" i="76"/>
  <c r="O36" i="76" s="1"/>
  <c r="AB162" i="76"/>
  <c r="AB36" i="76" s="1"/>
  <c r="AF162" i="76"/>
  <c r="AF36" i="76" s="1"/>
  <c r="AJ162" i="76"/>
  <c r="AJ36" i="76" s="1"/>
  <c r="AE162" i="76"/>
  <c r="AE36" i="76" s="1"/>
  <c r="AO160" i="76"/>
  <c r="AW160" i="76"/>
  <c r="Y162" i="76"/>
  <c r="Y36" i="76" s="1"/>
  <c r="AG162" i="76"/>
  <c r="AG36" i="76" s="1"/>
  <c r="AU159" i="76"/>
  <c r="AZ87" i="76"/>
  <c r="CD87" i="76" s="1"/>
  <c r="AY87" i="76"/>
  <c r="CC87" i="76" s="1"/>
  <c r="AX87" i="76"/>
  <c r="CB87" i="76" s="1"/>
  <c r="AW87" i="76"/>
  <c r="CA87" i="76" s="1"/>
  <c r="AV87" i="76"/>
  <c r="BZ87" i="76" s="1"/>
  <c r="AU87" i="76"/>
  <c r="AT87" i="76"/>
  <c r="BX87" i="76" s="1"/>
  <c r="AS87" i="76"/>
  <c r="BW87" i="76" s="1"/>
  <c r="AR87" i="76"/>
  <c r="BV87" i="76" s="1"/>
  <c r="AQ87" i="76"/>
  <c r="BU87" i="76" s="1"/>
  <c r="AP87" i="76"/>
  <c r="BT87" i="76" s="1"/>
  <c r="AO87" i="76"/>
  <c r="BS87" i="76" s="1"/>
  <c r="AN87" i="76"/>
  <c r="BR87" i="76" s="1"/>
  <c r="AZ86" i="76"/>
  <c r="CD86" i="76" s="1"/>
  <c r="AY86" i="76"/>
  <c r="CC86" i="76" s="1"/>
  <c r="AX86" i="76"/>
  <c r="CB86" i="76" s="1"/>
  <c r="AW86" i="76"/>
  <c r="CA86" i="76" s="1"/>
  <c r="AV86" i="76"/>
  <c r="BZ86" i="76" s="1"/>
  <c r="AU86" i="76"/>
  <c r="AT86" i="76"/>
  <c r="BX86" i="76" s="1"/>
  <c r="AS86" i="76"/>
  <c r="BW86" i="76" s="1"/>
  <c r="AR86" i="76"/>
  <c r="BV86" i="76" s="1"/>
  <c r="AQ86" i="76"/>
  <c r="BU86" i="76" s="1"/>
  <c r="AP86" i="76"/>
  <c r="BT86" i="76" s="1"/>
  <c r="AO86" i="76"/>
  <c r="BS86" i="76" s="1"/>
  <c r="AN86" i="76"/>
  <c r="BR86" i="76" s="1"/>
  <c r="AZ82" i="76"/>
  <c r="CD82" i="76" s="1"/>
  <c r="AY82" i="76"/>
  <c r="CC82" i="76" s="1"/>
  <c r="AX82" i="76"/>
  <c r="CB82" i="76" s="1"/>
  <c r="AW82" i="76"/>
  <c r="CA82" i="76" s="1"/>
  <c r="AV82" i="76"/>
  <c r="BZ82" i="76" s="1"/>
  <c r="AU82" i="76"/>
  <c r="BY82" i="76" s="1"/>
  <c r="AT82" i="76"/>
  <c r="BX82" i="76" s="1"/>
  <c r="AS82" i="76"/>
  <c r="BW82" i="76" s="1"/>
  <c r="AR82" i="76"/>
  <c r="BV82" i="76" s="1"/>
  <c r="AQ82" i="76"/>
  <c r="BU82" i="76" s="1"/>
  <c r="AP82" i="76"/>
  <c r="BT82" i="76" s="1"/>
  <c r="AO82" i="76"/>
  <c r="BS82" i="76" s="1"/>
  <c r="AN82" i="76"/>
  <c r="BR82" i="76" s="1"/>
  <c r="AZ81" i="76"/>
  <c r="CD81" i="76" s="1"/>
  <c r="AY81" i="76"/>
  <c r="CC81" i="76" s="1"/>
  <c r="AX81" i="76"/>
  <c r="CB81" i="76" s="1"/>
  <c r="AW81" i="76"/>
  <c r="CA81" i="76" s="1"/>
  <c r="AV81" i="76"/>
  <c r="BZ81" i="76" s="1"/>
  <c r="AU81" i="76"/>
  <c r="BY81" i="76" s="1"/>
  <c r="AT81" i="76"/>
  <c r="BX81" i="76" s="1"/>
  <c r="AS81" i="76"/>
  <c r="BW81" i="76" s="1"/>
  <c r="AR81" i="76"/>
  <c r="BV81" i="76" s="1"/>
  <c r="AQ81" i="76"/>
  <c r="BU81" i="76" s="1"/>
  <c r="AP81" i="76"/>
  <c r="BT81" i="76" s="1"/>
  <c r="AO81" i="76"/>
  <c r="BS81" i="76" s="1"/>
  <c r="AN81" i="76"/>
  <c r="BR81" i="76" s="1"/>
  <c r="R133" i="54"/>
  <c r="R132" i="54"/>
  <c r="R131" i="54"/>
  <c r="R130" i="54"/>
  <c r="R129" i="54"/>
  <c r="R124" i="54"/>
  <c r="R123" i="54"/>
  <c r="R118" i="54"/>
  <c r="R117" i="54"/>
  <c r="R116" i="54"/>
  <c r="R115" i="54"/>
  <c r="R114" i="54"/>
  <c r="R109" i="54"/>
  <c r="R104" i="54"/>
  <c r="R103" i="54"/>
  <c r="R102" i="54"/>
  <c r="R101" i="54"/>
  <c r="R100" i="54"/>
  <c r="R95" i="54"/>
  <c r="R90" i="54"/>
  <c r="R89" i="54"/>
  <c r="V92" i="54"/>
  <c r="V143" i="54" s="1"/>
  <c r="R88" i="54"/>
  <c r="S92" i="54"/>
  <c r="S143" i="54" s="1"/>
  <c r="R87" i="54"/>
  <c r="Q189" i="61" l="1"/>
  <c r="R153" i="54"/>
  <c r="AY36" i="76"/>
  <c r="U40" i="99" s="1"/>
  <c r="AT36" i="76"/>
  <c r="P40" i="99" s="1"/>
  <c r="AQ162" i="76"/>
  <c r="AZ36" i="76"/>
  <c r="V40" i="99" s="1"/>
  <c r="AT162" i="76"/>
  <c r="AW162" i="76"/>
  <c r="AW36" i="76"/>
  <c r="S40" i="99" s="1"/>
  <c r="R126" i="54"/>
  <c r="AX162" i="76"/>
  <c r="AS36" i="76"/>
  <c r="O40" i="99" s="1"/>
  <c r="AP36" i="76"/>
  <c r="L40" i="99" s="1"/>
  <c r="AO36" i="76"/>
  <c r="K40" i="99" s="1"/>
  <c r="AX36" i="76"/>
  <c r="T40" i="99" s="1"/>
  <c r="AU36" i="76"/>
  <c r="Q40" i="99" s="1"/>
  <c r="AQ36" i="76"/>
  <c r="M40" i="99" s="1"/>
  <c r="AN36" i="76"/>
  <c r="J40" i="99" s="1"/>
  <c r="AV36" i="76"/>
  <c r="R40" i="99" s="1"/>
  <c r="AR36" i="76"/>
  <c r="N40" i="99" s="1"/>
  <c r="R135" i="54"/>
  <c r="R120" i="54"/>
  <c r="R106" i="54"/>
  <c r="T92" i="54"/>
  <c r="T143" i="54" s="1"/>
  <c r="R92" i="54"/>
  <c r="U92" i="54"/>
  <c r="U143" i="54" s="1"/>
  <c r="AN162" i="76"/>
  <c r="AZ162" i="76"/>
  <c r="AP162" i="76"/>
  <c r="AY162" i="76"/>
  <c r="AU162" i="76"/>
  <c r="AS162" i="76"/>
  <c r="AY83" i="76"/>
  <c r="AO88" i="76"/>
  <c r="AW88" i="76"/>
  <c r="AR162" i="76"/>
  <c r="AO162" i="76"/>
  <c r="AV162" i="76"/>
  <c r="AR83" i="76"/>
  <c r="AV83" i="76"/>
  <c r="AZ83" i="76"/>
  <c r="AP88" i="76"/>
  <c r="AO83" i="76"/>
  <c r="AU88" i="76"/>
  <c r="AX88" i="76"/>
  <c r="AP83" i="76"/>
  <c r="AX83" i="76"/>
  <c r="AZ88" i="76"/>
  <c r="AS88" i="76"/>
  <c r="AN83" i="76"/>
  <c r="AQ88" i="76"/>
  <c r="AY88" i="76"/>
  <c r="AQ83" i="76"/>
  <c r="AW83" i="76"/>
  <c r="AS83" i="76"/>
  <c r="AT83" i="76"/>
  <c r="AR88" i="76"/>
  <c r="AT88" i="76"/>
  <c r="AN88" i="76"/>
  <c r="AV88" i="76"/>
  <c r="AU83" i="76"/>
  <c r="V239" i="62"/>
  <c r="U239" i="62"/>
  <c r="T239" i="62"/>
  <c r="S239" i="62"/>
  <c r="R239" i="62"/>
  <c r="Q239" i="62"/>
  <c r="P239" i="62"/>
  <c r="O239" i="62"/>
  <c r="N239" i="62"/>
  <c r="M239" i="62"/>
  <c r="L239" i="62"/>
  <c r="K239" i="62"/>
  <c r="J239" i="62"/>
  <c r="R143" i="54" l="1"/>
  <c r="BD25" i="75"/>
  <c r="BE25" i="75"/>
  <c r="BF25" i="75"/>
  <c r="BG25" i="75"/>
  <c r="BH25" i="75"/>
  <c r="BI25" i="75"/>
  <c r="BJ25" i="75"/>
  <c r="BK25" i="75"/>
  <c r="BL25" i="75"/>
  <c r="BM25" i="75"/>
  <c r="BN25" i="75"/>
  <c r="BO25" i="75"/>
  <c r="BD26" i="75"/>
  <c r="BE26" i="75"/>
  <c r="BF26" i="75"/>
  <c r="BG26" i="75"/>
  <c r="BH26" i="75"/>
  <c r="BI26" i="75"/>
  <c r="BJ26" i="75"/>
  <c r="BK26" i="75"/>
  <c r="BL26" i="75"/>
  <c r="BM26" i="75"/>
  <c r="BN26" i="75"/>
  <c r="BO26" i="75"/>
  <c r="BD27" i="75"/>
  <c r="BE27" i="75"/>
  <c r="BF27" i="75"/>
  <c r="BG27" i="75"/>
  <c r="BH27" i="75"/>
  <c r="BI27" i="75"/>
  <c r="BJ27" i="75"/>
  <c r="BK27" i="75"/>
  <c r="BL27" i="75"/>
  <c r="BM27" i="75"/>
  <c r="BN27" i="75"/>
  <c r="BO27" i="75"/>
  <c r="BD28" i="75"/>
  <c r="BE28" i="75"/>
  <c r="BF28" i="75"/>
  <c r="BG28" i="75"/>
  <c r="BH28" i="75"/>
  <c r="BI28" i="75"/>
  <c r="BJ28" i="75"/>
  <c r="BK28" i="75"/>
  <c r="BL28" i="75"/>
  <c r="BM28" i="75"/>
  <c r="BN28" i="75"/>
  <c r="BO28" i="75"/>
  <c r="BC28" i="75"/>
  <c r="BC27" i="75"/>
  <c r="BC26" i="75"/>
  <c r="BC25" i="75"/>
  <c r="Z25" i="75"/>
  <c r="AA25" i="75"/>
  <c r="AB25" i="75"/>
  <c r="AC25" i="75"/>
  <c r="AD25" i="75"/>
  <c r="AE25" i="75"/>
  <c r="AF25" i="75"/>
  <c r="AG25" i="75"/>
  <c r="AH25" i="75"/>
  <c r="AI25" i="75"/>
  <c r="AJ25" i="75"/>
  <c r="AK25" i="75"/>
  <c r="Z26" i="75"/>
  <c r="AA26" i="75"/>
  <c r="AB26" i="75"/>
  <c r="AC26" i="75"/>
  <c r="AD26" i="75"/>
  <c r="AE26" i="75"/>
  <c r="AF26" i="75"/>
  <c r="AG26" i="75"/>
  <c r="AH26" i="75"/>
  <c r="AI26" i="75"/>
  <c r="AJ26" i="75"/>
  <c r="AK26" i="75"/>
  <c r="Z27" i="75"/>
  <c r="AA27" i="75"/>
  <c r="AB27" i="75"/>
  <c r="AC27" i="75"/>
  <c r="AD27" i="75"/>
  <c r="AE27" i="75"/>
  <c r="AF27" i="75"/>
  <c r="AG27" i="75"/>
  <c r="AH27" i="75"/>
  <c r="AI27" i="75"/>
  <c r="AJ27" i="75"/>
  <c r="AK27" i="75"/>
  <c r="Z28" i="75"/>
  <c r="AA28" i="75"/>
  <c r="AB28" i="75"/>
  <c r="AC28" i="75"/>
  <c r="AD28" i="75"/>
  <c r="AE28" i="75"/>
  <c r="AF28" i="75"/>
  <c r="AG28" i="75"/>
  <c r="AH28" i="75"/>
  <c r="AI28" i="75"/>
  <c r="AJ28" i="75"/>
  <c r="AK28" i="75"/>
  <c r="Y28" i="75"/>
  <c r="Y27" i="75"/>
  <c r="Y26" i="75"/>
  <c r="Y25" i="75"/>
  <c r="Z13" i="75"/>
  <c r="AA13" i="75"/>
  <c r="AB13" i="75"/>
  <c r="AC13" i="75"/>
  <c r="AD13" i="75"/>
  <c r="Z14" i="75"/>
  <c r="AA14" i="75"/>
  <c r="AB14" i="75"/>
  <c r="AC14" i="75"/>
  <c r="AD14" i="75"/>
  <c r="Z15" i="75"/>
  <c r="AA15" i="75"/>
  <c r="AB15" i="75"/>
  <c r="AC15" i="75"/>
  <c r="AD15" i="75"/>
  <c r="Z16" i="75"/>
  <c r="AA16" i="75"/>
  <c r="AB16" i="75"/>
  <c r="AC16" i="75"/>
  <c r="AD16" i="75"/>
  <c r="Y16" i="75"/>
  <c r="Y15" i="75"/>
  <c r="Y14" i="75"/>
  <c r="Y13" i="75"/>
  <c r="K25" i="75"/>
  <c r="L25" i="75"/>
  <c r="M25" i="75"/>
  <c r="N25" i="75"/>
  <c r="O25" i="75"/>
  <c r="P25" i="75"/>
  <c r="Q25" i="75"/>
  <c r="R25" i="75"/>
  <c r="S25" i="75"/>
  <c r="T25" i="75"/>
  <c r="U25" i="75"/>
  <c r="V25" i="75"/>
  <c r="AZ25" i="75" s="1"/>
  <c r="CD25" i="75" s="1"/>
  <c r="K26" i="75"/>
  <c r="L26" i="75"/>
  <c r="AP26" i="75" s="1"/>
  <c r="BT26" i="75" s="1"/>
  <c r="M26" i="75"/>
  <c r="N26" i="75"/>
  <c r="O26" i="75"/>
  <c r="P26" i="75"/>
  <c r="Q26" i="75"/>
  <c r="R26" i="75"/>
  <c r="S26" i="75"/>
  <c r="T26" i="75"/>
  <c r="U26" i="75"/>
  <c r="V26" i="75"/>
  <c r="K27" i="75"/>
  <c r="L27" i="75"/>
  <c r="M27" i="75"/>
  <c r="N27" i="75"/>
  <c r="AR27" i="75" s="1"/>
  <c r="BV27" i="75" s="1"/>
  <c r="O27" i="75"/>
  <c r="P27" i="75"/>
  <c r="AT27" i="75" s="1"/>
  <c r="Q27" i="75"/>
  <c r="R27" i="75"/>
  <c r="S27" i="75"/>
  <c r="T27" i="75"/>
  <c r="U27" i="75"/>
  <c r="V27" i="75"/>
  <c r="K28" i="75"/>
  <c r="L28" i="75"/>
  <c r="M28" i="75"/>
  <c r="N28" i="75"/>
  <c r="O28" i="75"/>
  <c r="P28" i="75"/>
  <c r="Q28" i="75"/>
  <c r="R28" i="75"/>
  <c r="AV28" i="75" s="1"/>
  <c r="BZ28" i="75" s="1"/>
  <c r="S28" i="75"/>
  <c r="T28" i="75"/>
  <c r="AX28" i="75" s="1"/>
  <c r="CB28" i="75" s="1"/>
  <c r="U28" i="75"/>
  <c r="V28" i="75"/>
  <c r="J28" i="75"/>
  <c r="J27" i="75"/>
  <c r="J26" i="75"/>
  <c r="J25" i="75"/>
  <c r="AT159" i="11"/>
  <c r="AR159" i="11"/>
  <c r="AT148" i="11"/>
  <c r="AR148" i="11"/>
  <c r="AT137" i="11"/>
  <c r="AR137" i="11"/>
  <c r="AT126" i="11"/>
  <c r="AR126" i="11"/>
  <c r="AT110" i="11"/>
  <c r="AR110" i="11"/>
  <c r="AT99" i="11"/>
  <c r="AR99" i="11"/>
  <c r="AT88" i="11"/>
  <c r="AR88" i="11"/>
  <c r="AT77" i="11"/>
  <c r="AR77" i="11"/>
  <c r="AT61" i="11"/>
  <c r="AR61" i="11"/>
  <c r="AT50" i="11"/>
  <c r="AR50" i="11"/>
  <c r="AT39" i="11"/>
  <c r="AR39" i="11"/>
  <c r="AT28" i="11"/>
  <c r="AR28" i="11"/>
  <c r="AK159" i="11"/>
  <c r="AJ159" i="11"/>
  <c r="AI159" i="11"/>
  <c r="AH159" i="11"/>
  <c r="AG159" i="11"/>
  <c r="AF159" i="11"/>
  <c r="AE159" i="11"/>
  <c r="AD159" i="11"/>
  <c r="AK148" i="11"/>
  <c r="AJ148" i="11"/>
  <c r="AI148" i="11"/>
  <c r="AH148" i="11"/>
  <c r="AG148" i="11"/>
  <c r="AF148" i="11"/>
  <c r="AE148" i="11"/>
  <c r="AC148" i="11"/>
  <c r="AA148" i="11"/>
  <c r="Z148" i="11"/>
  <c r="AK137" i="11"/>
  <c r="AJ137" i="11"/>
  <c r="AI137" i="11"/>
  <c r="AH137" i="11"/>
  <c r="AG137" i="11"/>
  <c r="AF137" i="11"/>
  <c r="AE137" i="11"/>
  <c r="AD137" i="11"/>
  <c r="AB137" i="11"/>
  <c r="AA137" i="11"/>
  <c r="Z137" i="11"/>
  <c r="AK126" i="11"/>
  <c r="AJ126" i="11"/>
  <c r="AI126" i="11"/>
  <c r="AH126" i="11"/>
  <c r="AG126" i="11"/>
  <c r="AF126" i="11"/>
  <c r="AE126" i="11"/>
  <c r="AK110" i="11"/>
  <c r="AJ110" i="11"/>
  <c r="AI110" i="11"/>
  <c r="AH110" i="11"/>
  <c r="AG110" i="11"/>
  <c r="AF110" i="11"/>
  <c r="AE110" i="11"/>
  <c r="AA110" i="11"/>
  <c r="Z110" i="11"/>
  <c r="AK99" i="11"/>
  <c r="AJ99" i="11"/>
  <c r="AI99" i="11"/>
  <c r="AH99" i="11"/>
  <c r="AG99" i="11"/>
  <c r="AF99" i="11"/>
  <c r="AE99" i="11"/>
  <c r="Y99" i="11"/>
  <c r="AK88" i="11"/>
  <c r="AJ88" i="11"/>
  <c r="AI88" i="11"/>
  <c r="AH88" i="11"/>
  <c r="AG88" i="11"/>
  <c r="AF88" i="11"/>
  <c r="AE88" i="11"/>
  <c r="AD88" i="11"/>
  <c r="Y88" i="11"/>
  <c r="AK77" i="11"/>
  <c r="AJ77" i="11"/>
  <c r="AI77" i="11"/>
  <c r="AH77" i="11"/>
  <c r="AG77" i="11"/>
  <c r="AF77" i="11"/>
  <c r="AE77" i="11"/>
  <c r="AD77" i="11"/>
  <c r="AC77" i="11"/>
  <c r="AK61" i="11"/>
  <c r="AJ61" i="11"/>
  <c r="AI61" i="11"/>
  <c r="AH61" i="11"/>
  <c r="AG61" i="11"/>
  <c r="AF61" i="11"/>
  <c r="AE61" i="11"/>
  <c r="Y61" i="11"/>
  <c r="AK50" i="11"/>
  <c r="AJ50" i="11"/>
  <c r="AI50" i="11"/>
  <c r="AH50" i="11"/>
  <c r="AG50" i="11"/>
  <c r="AF50" i="11"/>
  <c r="AE50" i="11"/>
  <c r="AK39" i="11"/>
  <c r="AJ39" i="11"/>
  <c r="AI39" i="11"/>
  <c r="AH39" i="11"/>
  <c r="AG39" i="11"/>
  <c r="AF39" i="11"/>
  <c r="AE39" i="11"/>
  <c r="AK28" i="11"/>
  <c r="AJ28" i="11"/>
  <c r="AI28" i="11"/>
  <c r="AH28" i="11"/>
  <c r="AG28" i="11"/>
  <c r="AF28" i="11"/>
  <c r="AE28" i="11"/>
  <c r="AO259" i="15"/>
  <c r="AP259" i="15"/>
  <c r="AQ259" i="15"/>
  <c r="AR259" i="15"/>
  <c r="AS259" i="15"/>
  <c r="AN259" i="15"/>
  <c r="AK259" i="15"/>
  <c r="AJ259" i="15"/>
  <c r="AI259" i="15"/>
  <c r="AH259" i="15"/>
  <c r="AG259" i="15"/>
  <c r="AF259" i="15"/>
  <c r="AE259" i="15"/>
  <c r="AD259" i="15"/>
  <c r="AC259" i="15"/>
  <c r="AB259" i="15"/>
  <c r="AA259" i="15"/>
  <c r="Z259" i="15"/>
  <c r="Y259" i="15"/>
  <c r="K259" i="15"/>
  <c r="L259" i="15"/>
  <c r="M259" i="15"/>
  <c r="N259" i="15"/>
  <c r="O259" i="15"/>
  <c r="P259" i="15"/>
  <c r="Q259" i="15"/>
  <c r="R259" i="15"/>
  <c r="S259" i="15"/>
  <c r="T259" i="15"/>
  <c r="U259" i="15"/>
  <c r="V259" i="15"/>
  <c r="J259" i="15"/>
  <c r="AV259" i="15"/>
  <c r="J88" i="19"/>
  <c r="K88" i="19" s="1"/>
  <c r="L88" i="19" s="1"/>
  <c r="M88" i="19" s="1"/>
  <c r="N88" i="19" s="1"/>
  <c r="O88" i="19" s="1"/>
  <c r="P88" i="19" s="1"/>
  <c r="Q88" i="19" s="1"/>
  <c r="R88" i="19" s="1"/>
  <c r="S88" i="19" s="1"/>
  <c r="T88" i="19" s="1"/>
  <c r="U88" i="19" s="1"/>
  <c r="V88" i="19" s="1"/>
  <c r="J89" i="19"/>
  <c r="K89" i="19" s="1"/>
  <c r="L89" i="19" s="1"/>
  <c r="M89" i="19" s="1"/>
  <c r="J87" i="19"/>
  <c r="K87" i="19" s="1"/>
  <c r="L87" i="19" s="1"/>
  <c r="M87" i="19" s="1"/>
  <c r="N87" i="19" s="1"/>
  <c r="O87" i="19" s="1"/>
  <c r="P87" i="19" s="1"/>
  <c r="Q87" i="19" s="1"/>
  <c r="R87" i="19" s="1"/>
  <c r="S87" i="19" s="1"/>
  <c r="T87" i="19" s="1"/>
  <c r="U87" i="19" s="1"/>
  <c r="V87" i="19" s="1"/>
  <c r="L65" i="19"/>
  <c r="M65" i="19"/>
  <c r="O65" i="19"/>
  <c r="R65" i="19"/>
  <c r="S65" i="19"/>
  <c r="T65" i="19"/>
  <c r="U65" i="19"/>
  <c r="J65" i="19"/>
  <c r="AX35" i="14"/>
  <c r="AX27" i="14"/>
  <c r="AX26" i="14"/>
  <c r="AX25" i="14"/>
  <c r="AN26" i="75" l="1"/>
  <c r="BR26" i="75" s="1"/>
  <c r="AU28" i="75"/>
  <c r="BY28" i="75" s="1"/>
  <c r="AQ27" i="75"/>
  <c r="BU27" i="75" s="1"/>
  <c r="AY25" i="75"/>
  <c r="CC25" i="75" s="1"/>
  <c r="BX27" i="75"/>
  <c r="AP28" i="75"/>
  <c r="BT28" i="75" s="1"/>
  <c r="AX26" i="75"/>
  <c r="CB26" i="75" s="1"/>
  <c r="AT25" i="75"/>
  <c r="BX25" i="75" s="1"/>
  <c r="AZ27" i="75"/>
  <c r="CD27" i="75" s="1"/>
  <c r="AV26" i="75"/>
  <c r="BZ26" i="75" s="1"/>
  <c r="AR25" i="75"/>
  <c r="BV25" i="75" s="1"/>
  <c r="AY27" i="75"/>
  <c r="CC27" i="75" s="1"/>
  <c r="AU26" i="75"/>
  <c r="BY26" i="75" s="1"/>
  <c r="AQ25" i="75"/>
  <c r="BU25" i="75" s="1"/>
  <c r="AN27" i="75"/>
  <c r="BR27" i="75" s="1"/>
  <c r="AX28" i="14"/>
  <c r="AX39" i="14"/>
  <c r="J108" i="19"/>
  <c r="K108" i="19" s="1"/>
  <c r="L108" i="19" s="1"/>
  <c r="M108" i="19" s="1"/>
  <c r="N108" i="19" s="1"/>
  <c r="O108" i="19" s="1"/>
  <c r="P108" i="19" s="1"/>
  <c r="Q108" i="19" s="1"/>
  <c r="R108" i="19" s="1"/>
  <c r="S108" i="19" s="1"/>
  <c r="T108" i="19" s="1"/>
  <c r="U108" i="19" s="1"/>
  <c r="V108" i="19" s="1"/>
  <c r="K65" i="19"/>
  <c r="P65" i="19"/>
  <c r="Q65" i="19"/>
  <c r="V65" i="19"/>
  <c r="N65" i="19"/>
  <c r="J107" i="19"/>
  <c r="K107" i="19" s="1"/>
  <c r="L107" i="19" s="1"/>
  <c r="M107" i="19" s="1"/>
  <c r="N107" i="19" s="1"/>
  <c r="O107" i="19" s="1"/>
  <c r="P107" i="19" s="1"/>
  <c r="Q107" i="19" s="1"/>
  <c r="R107" i="19" s="1"/>
  <c r="S107" i="19" s="1"/>
  <c r="T107" i="19" s="1"/>
  <c r="U107" i="19" s="1"/>
  <c r="V107" i="19" s="1"/>
  <c r="J106" i="19"/>
  <c r="K106" i="19" s="1"/>
  <c r="L106" i="19" s="1"/>
  <c r="M106" i="19" s="1"/>
  <c r="N106" i="19" s="1"/>
  <c r="O106" i="19" s="1"/>
  <c r="P106" i="19" s="1"/>
  <c r="Q106" i="19" s="1"/>
  <c r="R106" i="19" s="1"/>
  <c r="S106" i="19" s="1"/>
  <c r="T106" i="19" s="1"/>
  <c r="U106" i="19" s="1"/>
  <c r="V106" i="19" s="1"/>
  <c r="AN28" i="75"/>
  <c r="BR28" i="75" s="1"/>
  <c r="AS28" i="75"/>
  <c r="BW28" i="75" s="1"/>
  <c r="AW27" i="75"/>
  <c r="CA27" i="75" s="1"/>
  <c r="AO27" i="75"/>
  <c r="BS27" i="75" s="1"/>
  <c r="AS26" i="75"/>
  <c r="BW26" i="75" s="1"/>
  <c r="AT28" i="75"/>
  <c r="BX28" i="75" s="1"/>
  <c r="AX27" i="75"/>
  <c r="CB27" i="75" s="1"/>
  <c r="AP27" i="75"/>
  <c r="BT27" i="75" s="1"/>
  <c r="AT26" i="75"/>
  <c r="BX26" i="75" s="1"/>
  <c r="AX25" i="75"/>
  <c r="CB25" i="75" s="1"/>
  <c r="AP25" i="75"/>
  <c r="BT25" i="75" s="1"/>
  <c r="AY26" i="75"/>
  <c r="CC26" i="75" s="1"/>
  <c r="AW26" i="75"/>
  <c r="CA26" i="75" s="1"/>
  <c r="AO26" i="75"/>
  <c r="BS26" i="75" s="1"/>
  <c r="AS25" i="75"/>
  <c r="BW25" i="75" s="1"/>
  <c r="AY28" i="75"/>
  <c r="CC28" i="75" s="1"/>
  <c r="AQ28" i="75"/>
  <c r="BU28" i="75" s="1"/>
  <c r="AU27" i="75"/>
  <c r="BY27" i="75" s="1"/>
  <c r="AQ26" i="75"/>
  <c r="BU26" i="75" s="1"/>
  <c r="AU25" i="75"/>
  <c r="BY25" i="75" s="1"/>
  <c r="AR28" i="75"/>
  <c r="BV28" i="75" s="1"/>
  <c r="AV27" i="75"/>
  <c r="BZ27" i="75" s="1"/>
  <c r="AZ26" i="75"/>
  <c r="CD26" i="75" s="1"/>
  <c r="AR26" i="75"/>
  <c r="BV26" i="75" s="1"/>
  <c r="AV25" i="75"/>
  <c r="BZ25" i="75" s="1"/>
  <c r="AW28" i="75"/>
  <c r="CA28" i="75" s="1"/>
  <c r="AO28" i="75"/>
  <c r="BS28" i="75" s="1"/>
  <c r="AS27" i="75"/>
  <c r="BW27" i="75" s="1"/>
  <c r="AN25" i="75"/>
  <c r="BR25" i="75" s="1"/>
  <c r="AO25" i="75"/>
  <c r="BS25" i="75" s="1"/>
  <c r="AW25" i="75"/>
  <c r="CA25" i="75" s="1"/>
  <c r="AZ28" i="75"/>
  <c r="CD28" i="75" s="1"/>
  <c r="AX259" i="15"/>
  <c r="AX253" i="15"/>
  <c r="AX247" i="15"/>
  <c r="N89" i="19"/>
  <c r="J109" i="19" l="1"/>
  <c r="K109" i="19"/>
  <c r="O89" i="19"/>
  <c r="L109" i="19" l="1"/>
  <c r="P89" i="19"/>
  <c r="M109" i="19" l="1"/>
  <c r="Q89" i="19"/>
  <c r="N109" i="19" l="1"/>
  <c r="R89" i="19"/>
  <c r="O109" i="19" l="1"/>
  <c r="S89" i="19"/>
  <c r="P109" i="19" l="1"/>
  <c r="T89" i="19"/>
  <c r="Q109" i="19" l="1"/>
  <c r="U89" i="19"/>
  <c r="R109" i="19" l="1"/>
  <c r="V89" i="19"/>
  <c r="S109" i="19" l="1"/>
  <c r="T109" i="19" l="1"/>
  <c r="V109" i="19" l="1"/>
  <c r="U109" i="19"/>
  <c r="R66" i="54" l="1"/>
  <c r="R65" i="54"/>
  <c r="R64" i="54"/>
  <c r="R63" i="54"/>
  <c r="T67" i="54"/>
  <c r="R62" i="54"/>
  <c r="R58" i="54"/>
  <c r="R57" i="54"/>
  <c r="R53" i="54"/>
  <c r="R42" i="54"/>
  <c r="R27" i="54"/>
  <c r="R20" i="54"/>
  <c r="R149" i="54" s="1"/>
  <c r="R159" i="54" s="1"/>
  <c r="R148" i="54" l="1"/>
  <c r="R158" i="54" s="1"/>
  <c r="R24" i="54"/>
  <c r="T39" i="54"/>
  <c r="V67" i="54"/>
  <c r="U24" i="54"/>
  <c r="S59" i="54"/>
  <c r="V59" i="54"/>
  <c r="T24" i="54"/>
  <c r="T59" i="54"/>
  <c r="R67" i="54"/>
  <c r="V24" i="54"/>
  <c r="R59" i="54"/>
  <c r="S24" i="54"/>
  <c r="U59" i="54"/>
  <c r="S39" i="54"/>
  <c r="R39" i="54"/>
  <c r="R54" i="54"/>
  <c r="U67" i="54"/>
  <c r="S54" i="54"/>
  <c r="T54" i="54"/>
  <c r="V39" i="54"/>
  <c r="U54" i="54"/>
  <c r="S67" i="54"/>
  <c r="U39" i="54"/>
  <c r="V54" i="54"/>
  <c r="K59" i="54"/>
  <c r="L59" i="54"/>
  <c r="M59" i="54"/>
  <c r="N59" i="54"/>
  <c r="O59" i="54"/>
  <c r="P59" i="54"/>
  <c r="Q59" i="54"/>
  <c r="J59" i="54"/>
  <c r="K54" i="54"/>
  <c r="L54" i="54"/>
  <c r="M54" i="54"/>
  <c r="N54" i="54"/>
  <c r="O54" i="54"/>
  <c r="P54" i="54"/>
  <c r="Q54" i="54"/>
  <c r="J54" i="54"/>
  <c r="K39" i="54"/>
  <c r="L39" i="54"/>
  <c r="M39" i="54"/>
  <c r="N39" i="54"/>
  <c r="O39" i="54"/>
  <c r="P39" i="54"/>
  <c r="Q39" i="54"/>
  <c r="J39" i="54"/>
  <c r="K24" i="54"/>
  <c r="L24" i="54"/>
  <c r="M24" i="54"/>
  <c r="N24" i="54"/>
  <c r="O24" i="54"/>
  <c r="P24" i="54"/>
  <c r="Q24" i="54"/>
  <c r="J24" i="54"/>
  <c r="Z53" i="25"/>
  <c r="AA53" i="25"/>
  <c r="AB53" i="25"/>
  <c r="AC53" i="25"/>
  <c r="AD53" i="25"/>
  <c r="AE53" i="25"/>
  <c r="AF53" i="25"/>
  <c r="AG53" i="25"/>
  <c r="AH53" i="25"/>
  <c r="AI53" i="25"/>
  <c r="AJ53" i="25"/>
  <c r="AK53" i="25"/>
  <c r="Y53" i="25"/>
  <c r="Y66" i="25"/>
  <c r="Y45" i="25"/>
  <c r="K142" i="25"/>
  <c r="L142" i="25"/>
  <c r="M142" i="25"/>
  <c r="N142" i="25"/>
  <c r="O142" i="25"/>
  <c r="P142" i="25"/>
  <c r="Q142" i="25"/>
  <c r="R142" i="25"/>
  <c r="S142" i="25"/>
  <c r="T142" i="25"/>
  <c r="U142" i="25"/>
  <c r="V142" i="25"/>
  <c r="J142" i="25"/>
  <c r="K130" i="25"/>
  <c r="L130" i="25"/>
  <c r="M130" i="25"/>
  <c r="N130" i="25"/>
  <c r="O130" i="25"/>
  <c r="P130" i="25"/>
  <c r="Q130" i="25"/>
  <c r="R130" i="25"/>
  <c r="S130" i="25"/>
  <c r="T130" i="25"/>
  <c r="U130" i="25"/>
  <c r="V130" i="25"/>
  <c r="J130" i="25"/>
  <c r="AK118" i="25"/>
  <c r="AJ118" i="25"/>
  <c r="AI118" i="25"/>
  <c r="AH118" i="25"/>
  <c r="AG118" i="25"/>
  <c r="AF118" i="25"/>
  <c r="AE118" i="25"/>
  <c r="AD118" i="25"/>
  <c r="AC118" i="25"/>
  <c r="AB118" i="25"/>
  <c r="AA118" i="25"/>
  <c r="Z118" i="25"/>
  <c r="Y118" i="25"/>
  <c r="K118" i="25"/>
  <c r="K14" i="25" s="1"/>
  <c r="L118" i="25"/>
  <c r="L14" i="25" s="1"/>
  <c r="M118" i="25"/>
  <c r="M14" i="25" s="1"/>
  <c r="N118" i="25"/>
  <c r="N14" i="25" s="1"/>
  <c r="O118" i="25"/>
  <c r="O14" i="25" s="1"/>
  <c r="P118" i="25"/>
  <c r="P14" i="25" s="1"/>
  <c r="Q118" i="25"/>
  <c r="Q14" i="25" s="1"/>
  <c r="R118" i="25"/>
  <c r="R14" i="25" s="1"/>
  <c r="S118" i="25"/>
  <c r="S14" i="25" s="1"/>
  <c r="T118" i="25"/>
  <c r="T14" i="25" s="1"/>
  <c r="U118" i="25"/>
  <c r="U14" i="25" s="1"/>
  <c r="V118" i="25"/>
  <c r="V14" i="25" s="1"/>
  <c r="J118" i="25"/>
  <c r="J14" i="25" s="1"/>
  <c r="AK100" i="25"/>
  <c r="AJ100" i="25"/>
  <c r="AI100" i="25"/>
  <c r="AH100" i="25"/>
  <c r="AG100" i="25"/>
  <c r="AF100" i="25"/>
  <c r="AE100" i="25"/>
  <c r="AD100" i="25"/>
  <c r="AC100" i="25"/>
  <c r="AB100" i="25"/>
  <c r="AA100" i="25"/>
  <c r="Z100" i="25"/>
  <c r="Y100" i="25"/>
  <c r="AK87" i="25"/>
  <c r="AJ87" i="25"/>
  <c r="AI87" i="25"/>
  <c r="AH87" i="25"/>
  <c r="AG87" i="25"/>
  <c r="AF87" i="25"/>
  <c r="AE87" i="25"/>
  <c r="AD87" i="25"/>
  <c r="AC87" i="25"/>
  <c r="AB87" i="25"/>
  <c r="AA87" i="25"/>
  <c r="Z87" i="25"/>
  <c r="Y87" i="25"/>
  <c r="AK79" i="25"/>
  <c r="AJ79" i="25"/>
  <c r="AI79" i="25"/>
  <c r="AH79" i="25"/>
  <c r="AG79" i="25"/>
  <c r="AF79" i="25"/>
  <c r="AE79" i="25"/>
  <c r="AD79" i="25"/>
  <c r="AC79" i="25"/>
  <c r="AB79" i="25"/>
  <c r="AA79" i="25"/>
  <c r="Z79" i="25"/>
  <c r="Y79" i="25"/>
  <c r="V79" i="25"/>
  <c r="U79" i="25"/>
  <c r="T79" i="25"/>
  <c r="S79" i="25"/>
  <c r="R79" i="25"/>
  <c r="Q79" i="25"/>
  <c r="P79" i="25"/>
  <c r="O79" i="25"/>
  <c r="N79" i="25"/>
  <c r="M79" i="25"/>
  <c r="L79" i="25"/>
  <c r="K79" i="25"/>
  <c r="J79" i="25"/>
  <c r="V100" i="25"/>
  <c r="U100" i="25"/>
  <c r="T100" i="25"/>
  <c r="S100" i="25"/>
  <c r="R100" i="25"/>
  <c r="Q100" i="25"/>
  <c r="P100" i="25"/>
  <c r="O100" i="25"/>
  <c r="N100" i="25"/>
  <c r="M100" i="25"/>
  <c r="L100" i="25"/>
  <c r="K100" i="25"/>
  <c r="J100" i="25"/>
  <c r="V87" i="25"/>
  <c r="U87" i="25"/>
  <c r="T87" i="25"/>
  <c r="S87" i="25"/>
  <c r="R87" i="25"/>
  <c r="Q87" i="25"/>
  <c r="P87" i="25"/>
  <c r="O87" i="25"/>
  <c r="N87" i="25"/>
  <c r="M87" i="25"/>
  <c r="L87" i="25"/>
  <c r="K87" i="25"/>
  <c r="J87" i="25"/>
  <c r="K53" i="25"/>
  <c r="L53" i="25"/>
  <c r="M53" i="25"/>
  <c r="N53" i="25"/>
  <c r="O53" i="25"/>
  <c r="P53" i="25"/>
  <c r="Q53" i="25"/>
  <c r="R53" i="25"/>
  <c r="S53" i="25"/>
  <c r="T53" i="25"/>
  <c r="U53" i="25"/>
  <c r="V53" i="25"/>
  <c r="J53" i="25"/>
  <c r="AK66" i="25"/>
  <c r="AJ66" i="25"/>
  <c r="AI66" i="25"/>
  <c r="AH66" i="25"/>
  <c r="AG66" i="25"/>
  <c r="AF66" i="25"/>
  <c r="AE66" i="25"/>
  <c r="AD66" i="25"/>
  <c r="AC66" i="25"/>
  <c r="AB66" i="25"/>
  <c r="AA66" i="25"/>
  <c r="Z66" i="25"/>
  <c r="AK45" i="25"/>
  <c r="AJ45" i="25"/>
  <c r="AI45" i="25"/>
  <c r="AH45" i="25"/>
  <c r="AG45" i="25"/>
  <c r="AF45" i="25"/>
  <c r="AE45" i="25"/>
  <c r="AD45" i="25"/>
  <c r="AC45" i="25"/>
  <c r="AB45" i="25"/>
  <c r="AA45" i="25"/>
  <c r="Z45" i="25"/>
  <c r="AK38" i="25"/>
  <c r="AJ38" i="25"/>
  <c r="AI38" i="25"/>
  <c r="AH38" i="25"/>
  <c r="AG38" i="25"/>
  <c r="AF38" i="25"/>
  <c r="AE38" i="25"/>
  <c r="AD38" i="25"/>
  <c r="AC38" i="25"/>
  <c r="AB38" i="25"/>
  <c r="AA38" i="25"/>
  <c r="Z38" i="25"/>
  <c r="Y38" i="25"/>
  <c r="AK31" i="25"/>
  <c r="AJ31" i="25"/>
  <c r="AI31" i="25"/>
  <c r="AH31" i="25"/>
  <c r="AG31" i="25"/>
  <c r="AF31" i="25"/>
  <c r="AE31" i="25"/>
  <c r="AD31" i="25"/>
  <c r="AC31" i="25"/>
  <c r="AB31" i="25"/>
  <c r="AA31" i="25"/>
  <c r="Z31" i="25"/>
  <c r="Y31" i="25"/>
  <c r="AK24" i="25"/>
  <c r="AJ24" i="25"/>
  <c r="AI24" i="25"/>
  <c r="AH24" i="25"/>
  <c r="AG24" i="25"/>
  <c r="AF24" i="25"/>
  <c r="AE24" i="25"/>
  <c r="AD24" i="25"/>
  <c r="AC24" i="25"/>
  <c r="AB24" i="25"/>
  <c r="AA24" i="25"/>
  <c r="Z24" i="25"/>
  <c r="Y24" i="25"/>
  <c r="K66" i="25"/>
  <c r="L66" i="25"/>
  <c r="M66" i="25"/>
  <c r="N66" i="25"/>
  <c r="O66" i="25"/>
  <c r="P66" i="25"/>
  <c r="Q66" i="25"/>
  <c r="R66" i="25"/>
  <c r="S66" i="25"/>
  <c r="T66" i="25"/>
  <c r="U66" i="25"/>
  <c r="V66" i="25"/>
  <c r="J66" i="25"/>
  <c r="V45" i="25"/>
  <c r="U45" i="25"/>
  <c r="T45" i="25"/>
  <c r="S45" i="25"/>
  <c r="R45" i="25"/>
  <c r="Q45" i="25"/>
  <c r="P45" i="25"/>
  <c r="O45" i="25"/>
  <c r="N45" i="25"/>
  <c r="M45" i="25"/>
  <c r="L45" i="25"/>
  <c r="K45" i="25"/>
  <c r="J45" i="25"/>
  <c r="V38" i="25"/>
  <c r="U38" i="25"/>
  <c r="T38" i="25"/>
  <c r="S38" i="25"/>
  <c r="R38" i="25"/>
  <c r="Q38" i="25"/>
  <c r="P38" i="25"/>
  <c r="O38" i="25"/>
  <c r="N38" i="25"/>
  <c r="M38" i="25"/>
  <c r="L38" i="25"/>
  <c r="K38" i="25"/>
  <c r="J38" i="25"/>
  <c r="V31" i="25"/>
  <c r="U31" i="25"/>
  <c r="T31" i="25"/>
  <c r="S31" i="25"/>
  <c r="R31" i="25"/>
  <c r="Q31" i="25"/>
  <c r="P31" i="25"/>
  <c r="O31" i="25"/>
  <c r="N31" i="25"/>
  <c r="M31" i="25"/>
  <c r="L31" i="25"/>
  <c r="K31" i="25"/>
  <c r="J31" i="25"/>
  <c r="K24" i="25"/>
  <c r="L24" i="25"/>
  <c r="M24" i="25"/>
  <c r="N24" i="25"/>
  <c r="O24" i="25"/>
  <c r="P24" i="25"/>
  <c r="Q24" i="25"/>
  <c r="R24" i="25"/>
  <c r="S24" i="25"/>
  <c r="T24" i="25"/>
  <c r="U24" i="25"/>
  <c r="V24" i="25"/>
  <c r="J24" i="25"/>
  <c r="AD24" i="22"/>
  <c r="AC24" i="22"/>
  <c r="AB24" i="22"/>
  <c r="AA24" i="22"/>
  <c r="Z24" i="22"/>
  <c r="Y24" i="22"/>
  <c r="O24" i="22"/>
  <c r="N24" i="22"/>
  <c r="M24" i="22"/>
  <c r="L24" i="22"/>
  <c r="K24" i="22"/>
  <c r="J24" i="22"/>
  <c r="K15" i="22"/>
  <c r="L15" i="22"/>
  <c r="M15" i="22"/>
  <c r="N15" i="22"/>
  <c r="O15" i="22"/>
  <c r="P15" i="22"/>
  <c r="Q15" i="22"/>
  <c r="R15" i="22"/>
  <c r="S15" i="22"/>
  <c r="T15" i="22"/>
  <c r="U15" i="22"/>
  <c r="V15" i="22"/>
  <c r="J15" i="22"/>
  <c r="V324" i="21"/>
  <c r="U324" i="21"/>
  <c r="T324" i="21"/>
  <c r="S324" i="21"/>
  <c r="R324" i="21"/>
  <c r="Q324" i="21"/>
  <c r="P324" i="21"/>
  <c r="O324" i="21"/>
  <c r="N324" i="21"/>
  <c r="M324" i="21"/>
  <c r="L324" i="21"/>
  <c r="K324" i="21"/>
  <c r="J324" i="21"/>
  <c r="V283" i="21"/>
  <c r="U283" i="21"/>
  <c r="T283" i="21"/>
  <c r="S283" i="21"/>
  <c r="R283" i="21"/>
  <c r="Q283" i="21"/>
  <c r="P283" i="21"/>
  <c r="O283" i="21"/>
  <c r="N283" i="21"/>
  <c r="M283" i="21"/>
  <c r="L283" i="21"/>
  <c r="K283" i="21"/>
  <c r="J283" i="21"/>
  <c r="V244" i="21"/>
  <c r="U244" i="21"/>
  <c r="T244" i="21"/>
  <c r="S244" i="21"/>
  <c r="R244" i="21"/>
  <c r="Q244" i="21"/>
  <c r="P244" i="21"/>
  <c r="O244" i="21"/>
  <c r="N244" i="21"/>
  <c r="M244" i="21"/>
  <c r="L244" i="21"/>
  <c r="K244" i="21"/>
  <c r="J244" i="21"/>
  <c r="K234" i="21"/>
  <c r="L234" i="21"/>
  <c r="M234" i="21"/>
  <c r="N234" i="21"/>
  <c r="O234" i="21"/>
  <c r="P234" i="21"/>
  <c r="Q234" i="21"/>
  <c r="R234" i="21"/>
  <c r="S234" i="21"/>
  <c r="T234" i="21"/>
  <c r="U234" i="21"/>
  <c r="V234" i="21"/>
  <c r="J234" i="21"/>
  <c r="V222" i="21"/>
  <c r="U222" i="21"/>
  <c r="T222" i="21"/>
  <c r="S222" i="21"/>
  <c r="R222" i="21"/>
  <c r="Q222" i="21"/>
  <c r="P222" i="21"/>
  <c r="O222" i="21"/>
  <c r="N222" i="21"/>
  <c r="M222" i="21"/>
  <c r="L222" i="21"/>
  <c r="K222" i="21"/>
  <c r="J222" i="21"/>
  <c r="V215" i="21"/>
  <c r="U215" i="21"/>
  <c r="T215" i="21"/>
  <c r="S215" i="21"/>
  <c r="R215" i="21"/>
  <c r="Q215" i="21"/>
  <c r="P215" i="21"/>
  <c r="O215" i="21"/>
  <c r="N215" i="21"/>
  <c r="M215" i="21"/>
  <c r="L215" i="21"/>
  <c r="K215" i="21"/>
  <c r="J215" i="21"/>
  <c r="V203" i="21"/>
  <c r="U203" i="21"/>
  <c r="T203" i="21"/>
  <c r="S203" i="21"/>
  <c r="R203" i="21"/>
  <c r="Q203" i="21"/>
  <c r="P203" i="21"/>
  <c r="O203" i="21"/>
  <c r="N203" i="21"/>
  <c r="M203" i="21"/>
  <c r="L203" i="21"/>
  <c r="K203" i="21"/>
  <c r="J203" i="21"/>
  <c r="V191" i="21"/>
  <c r="U191" i="21"/>
  <c r="T191" i="21"/>
  <c r="S191" i="21"/>
  <c r="R191" i="21"/>
  <c r="Q191" i="21"/>
  <c r="P191" i="21"/>
  <c r="O191" i="21"/>
  <c r="N191" i="21"/>
  <c r="M191" i="21"/>
  <c r="L191" i="21"/>
  <c r="K191" i="21"/>
  <c r="J191" i="21"/>
  <c r="K174" i="21"/>
  <c r="L174" i="21"/>
  <c r="M174" i="21"/>
  <c r="N174" i="21"/>
  <c r="O174" i="21"/>
  <c r="P174" i="21"/>
  <c r="Q174" i="21"/>
  <c r="R174" i="21"/>
  <c r="S174" i="21"/>
  <c r="T174" i="21"/>
  <c r="U174" i="21"/>
  <c r="V174" i="21"/>
  <c r="J174" i="21"/>
  <c r="V122" i="21"/>
  <c r="U122" i="21"/>
  <c r="T122" i="21"/>
  <c r="S122" i="21"/>
  <c r="R122" i="21"/>
  <c r="Q122" i="21"/>
  <c r="P122" i="21"/>
  <c r="O122" i="21"/>
  <c r="N122" i="21"/>
  <c r="M122" i="21"/>
  <c r="L122" i="21"/>
  <c r="K122" i="21"/>
  <c r="J122" i="21"/>
  <c r="K112" i="21"/>
  <c r="L112" i="21"/>
  <c r="M112" i="21"/>
  <c r="N112" i="21"/>
  <c r="O112" i="21"/>
  <c r="P112" i="21"/>
  <c r="Q112" i="21"/>
  <c r="R112" i="21"/>
  <c r="S112" i="21"/>
  <c r="T112" i="21"/>
  <c r="U112" i="21"/>
  <c r="V112" i="21"/>
  <c r="J112" i="21"/>
  <c r="V100" i="21"/>
  <c r="U100" i="21"/>
  <c r="T100" i="21"/>
  <c r="S100" i="21"/>
  <c r="R100" i="21"/>
  <c r="Q100" i="21"/>
  <c r="P100" i="21"/>
  <c r="O100" i="21"/>
  <c r="N100" i="21"/>
  <c r="M100" i="21"/>
  <c r="L100" i="21"/>
  <c r="K100" i="21"/>
  <c r="J100" i="21"/>
  <c r="V93" i="21"/>
  <c r="U93" i="21"/>
  <c r="T93" i="21"/>
  <c r="S93" i="21"/>
  <c r="R93" i="21"/>
  <c r="Q93" i="21"/>
  <c r="P93" i="21"/>
  <c r="O93" i="21"/>
  <c r="N93" i="21"/>
  <c r="M93" i="21"/>
  <c r="L93" i="21"/>
  <c r="K93" i="21"/>
  <c r="J93" i="21"/>
  <c r="V81" i="21"/>
  <c r="U81" i="21"/>
  <c r="T81" i="21"/>
  <c r="S81" i="21"/>
  <c r="R81" i="21"/>
  <c r="Q81" i="21"/>
  <c r="P81" i="21"/>
  <c r="O81" i="21"/>
  <c r="N81" i="21"/>
  <c r="M81" i="21"/>
  <c r="L81" i="21"/>
  <c r="K81" i="21"/>
  <c r="J81" i="21"/>
  <c r="V69" i="21"/>
  <c r="U69" i="21"/>
  <c r="T69" i="21"/>
  <c r="S69" i="21"/>
  <c r="R69" i="21"/>
  <c r="Q69" i="21"/>
  <c r="P69" i="21"/>
  <c r="O69" i="21"/>
  <c r="N69" i="21"/>
  <c r="M69" i="21"/>
  <c r="L69" i="21"/>
  <c r="K69" i="21"/>
  <c r="J69" i="21"/>
  <c r="K52" i="21"/>
  <c r="L52" i="21"/>
  <c r="M52" i="21"/>
  <c r="N52" i="21"/>
  <c r="O52" i="21"/>
  <c r="P52" i="21"/>
  <c r="Q52" i="21"/>
  <c r="R52" i="21"/>
  <c r="S52" i="21"/>
  <c r="T52" i="21"/>
  <c r="U52" i="21"/>
  <c r="V52" i="21"/>
  <c r="J52" i="21"/>
  <c r="K59" i="20"/>
  <c r="K68" i="20" s="1"/>
  <c r="L59" i="20"/>
  <c r="L68" i="20" s="1"/>
  <c r="M59" i="20"/>
  <c r="M68" i="20" s="1"/>
  <c r="N59" i="20"/>
  <c r="N68" i="20" s="1"/>
  <c r="O59" i="20"/>
  <c r="O68" i="20" s="1"/>
  <c r="P59" i="20"/>
  <c r="P68" i="20" s="1"/>
  <c r="Q59" i="20"/>
  <c r="Q68" i="20" s="1"/>
  <c r="R59" i="20"/>
  <c r="R68" i="20" s="1"/>
  <c r="S59" i="20"/>
  <c r="S68" i="20" s="1"/>
  <c r="T59" i="20"/>
  <c r="T68" i="20" s="1"/>
  <c r="U59" i="20"/>
  <c r="U68" i="20" s="1"/>
  <c r="V59" i="20"/>
  <c r="V68" i="20" s="1"/>
  <c r="J59" i="20"/>
  <c r="J68" i="20" s="1"/>
  <c r="K42" i="20"/>
  <c r="L42" i="20"/>
  <c r="M42" i="20"/>
  <c r="N42" i="20"/>
  <c r="O42" i="20"/>
  <c r="P42" i="20"/>
  <c r="Q42" i="20"/>
  <c r="R42" i="20"/>
  <c r="S42" i="20"/>
  <c r="T42" i="20"/>
  <c r="U42" i="20"/>
  <c r="V42" i="20"/>
  <c r="J42" i="20"/>
  <c r="J44" i="20" s="1"/>
  <c r="K36" i="20"/>
  <c r="L36" i="20"/>
  <c r="M36" i="20"/>
  <c r="N36" i="20"/>
  <c r="O36" i="20"/>
  <c r="P36" i="20"/>
  <c r="Q36" i="20"/>
  <c r="R36" i="20"/>
  <c r="S36" i="20"/>
  <c r="T36" i="20"/>
  <c r="U36" i="20"/>
  <c r="V36" i="20"/>
  <c r="AZ97" i="17"/>
  <c r="AY97" i="17"/>
  <c r="AX97" i="17"/>
  <c r="AW97" i="17"/>
  <c r="AV97" i="17"/>
  <c r="AU97" i="17"/>
  <c r="AT97" i="17"/>
  <c r="AS97" i="17"/>
  <c r="AR97" i="17"/>
  <c r="AQ97" i="17"/>
  <c r="AP97" i="17"/>
  <c r="AO97" i="17"/>
  <c r="AN97" i="17"/>
  <c r="AK97" i="17"/>
  <c r="AJ97" i="17"/>
  <c r="AI97" i="17"/>
  <c r="AH97" i="17"/>
  <c r="AG97" i="17"/>
  <c r="AF97" i="17"/>
  <c r="AE97" i="17"/>
  <c r="AD97" i="17"/>
  <c r="AC97" i="17"/>
  <c r="AB97" i="17"/>
  <c r="AA97" i="17"/>
  <c r="Z97" i="17"/>
  <c r="Y97" i="17"/>
  <c r="K97" i="17"/>
  <c r="L97" i="17"/>
  <c r="M97" i="17"/>
  <c r="N97" i="17"/>
  <c r="O97" i="17"/>
  <c r="P97" i="17"/>
  <c r="Q97" i="17"/>
  <c r="R97" i="17"/>
  <c r="S97" i="17"/>
  <c r="T97" i="17"/>
  <c r="U97" i="17"/>
  <c r="V97" i="17"/>
  <c r="J97" i="17"/>
  <c r="AK70" i="17"/>
  <c r="AJ70" i="17"/>
  <c r="AI70" i="17"/>
  <c r="AH70" i="17"/>
  <c r="AG70" i="17"/>
  <c r="AF70" i="17"/>
  <c r="AE70" i="17"/>
  <c r="AD70" i="17"/>
  <c r="AC70" i="17"/>
  <c r="AB70" i="17"/>
  <c r="AA70" i="17"/>
  <c r="Z70" i="17"/>
  <c r="Y70" i="17"/>
  <c r="K70" i="17"/>
  <c r="L70" i="17"/>
  <c r="M70" i="17"/>
  <c r="N70" i="17"/>
  <c r="O70" i="17"/>
  <c r="P70" i="17"/>
  <c r="Q70" i="17"/>
  <c r="R70" i="17"/>
  <c r="S70" i="17"/>
  <c r="T70" i="17"/>
  <c r="U70" i="17"/>
  <c r="V70" i="17"/>
  <c r="J70" i="17"/>
  <c r="AZ43" i="17"/>
  <c r="AY43" i="17"/>
  <c r="AX43" i="17"/>
  <c r="AW43" i="17"/>
  <c r="AV43" i="17"/>
  <c r="AU43" i="17"/>
  <c r="AT43" i="17"/>
  <c r="AS43" i="17"/>
  <c r="AR43" i="17"/>
  <c r="AQ43" i="17"/>
  <c r="AP43" i="17"/>
  <c r="AO43" i="17"/>
  <c r="AN43" i="17"/>
  <c r="AK43" i="17"/>
  <c r="AJ43" i="17"/>
  <c r="AI43" i="17"/>
  <c r="AH43" i="17"/>
  <c r="AG43" i="17"/>
  <c r="AF43" i="17"/>
  <c r="AE43" i="17"/>
  <c r="AD43" i="17"/>
  <c r="AC43" i="17"/>
  <c r="AB43" i="17"/>
  <c r="AA43" i="17"/>
  <c r="Z43" i="17"/>
  <c r="Y43" i="17"/>
  <c r="K43" i="17"/>
  <c r="L43" i="17"/>
  <c r="M43" i="17"/>
  <c r="N43" i="17"/>
  <c r="O43" i="17"/>
  <c r="P43" i="17"/>
  <c r="Q43" i="17"/>
  <c r="R43" i="17"/>
  <c r="S43" i="17"/>
  <c r="T43" i="17"/>
  <c r="U43" i="17"/>
  <c r="V43" i="17"/>
  <c r="J43" i="17"/>
  <c r="AX230" i="15"/>
  <c r="AX236" i="15"/>
  <c r="AX218" i="15"/>
  <c r="AX212" i="15"/>
  <c r="AV218" i="15"/>
  <c r="AV212" i="15"/>
  <c r="AE220" i="15"/>
  <c r="AD220" i="15"/>
  <c r="V220" i="15"/>
  <c r="N220" i="15"/>
  <c r="AO220" i="15"/>
  <c r="AN220" i="15"/>
  <c r="AS202" i="15"/>
  <c r="AR202" i="15"/>
  <c r="AQ202" i="15"/>
  <c r="AP202" i="15"/>
  <c r="AO202" i="15"/>
  <c r="AN202" i="15"/>
  <c r="AK202" i="15"/>
  <c r="AJ202" i="15"/>
  <c r="AI202" i="15"/>
  <c r="AI220" i="15" s="1"/>
  <c r="AH202" i="15"/>
  <c r="AG202" i="15"/>
  <c r="AF202" i="15"/>
  <c r="AE202" i="15"/>
  <c r="AD202" i="15"/>
  <c r="AC202" i="15"/>
  <c r="AB202" i="15"/>
  <c r="AA202" i="15"/>
  <c r="AA220" i="15" s="1"/>
  <c r="Z202" i="15"/>
  <c r="Y202" i="15"/>
  <c r="O220" i="15"/>
  <c r="V202" i="15"/>
  <c r="U202" i="15"/>
  <c r="T202" i="15"/>
  <c r="S202" i="15"/>
  <c r="R202" i="15"/>
  <c r="Q202" i="15"/>
  <c r="P202" i="15"/>
  <c r="O202" i="15"/>
  <c r="N202" i="15"/>
  <c r="M202" i="15"/>
  <c r="L202" i="15"/>
  <c r="K202" i="15"/>
  <c r="J202" i="15"/>
  <c r="AV202" i="15"/>
  <c r="AX173" i="15"/>
  <c r="AX161" i="15"/>
  <c r="AX149" i="15"/>
  <c r="AX137" i="15"/>
  <c r="AX125" i="15"/>
  <c r="AX113" i="15"/>
  <c r="AT30" i="22" l="1"/>
  <c r="AT32" i="22" s="1"/>
  <c r="P44" i="20"/>
  <c r="V204" i="15"/>
  <c r="AD204" i="15"/>
  <c r="V285" i="21"/>
  <c r="R285" i="21"/>
  <c r="N285" i="21"/>
  <c r="T285" i="21"/>
  <c r="P285" i="21"/>
  <c r="L285" i="21"/>
  <c r="V54" i="21"/>
  <c r="R54" i="21"/>
  <c r="T176" i="21"/>
  <c r="P176" i="21"/>
  <c r="L176" i="21"/>
  <c r="N54" i="21"/>
  <c r="AV204" i="15"/>
  <c r="V44" i="20"/>
  <c r="R44" i="20"/>
  <c r="AN204" i="15"/>
  <c r="K102" i="21"/>
  <c r="O102" i="21"/>
  <c r="S102" i="21"/>
  <c r="M224" i="21"/>
  <c r="U224" i="21"/>
  <c r="L326" i="21"/>
  <c r="P326" i="21"/>
  <c r="T326" i="21"/>
  <c r="S68" i="25"/>
  <c r="S12" i="25" s="1"/>
  <c r="Y102" i="25"/>
  <c r="AC102" i="25"/>
  <c r="AG102" i="25"/>
  <c r="AK102" i="25"/>
  <c r="AE204" i="15"/>
  <c r="S44" i="20"/>
  <c r="O44" i="20"/>
  <c r="U54" i="21"/>
  <c r="Q54" i="21"/>
  <c r="M54" i="21"/>
  <c r="M326" i="21"/>
  <c r="Q326" i="21"/>
  <c r="U326" i="21"/>
  <c r="Z102" i="25"/>
  <c r="AD102" i="25"/>
  <c r="AH102" i="25"/>
  <c r="N204" i="15"/>
  <c r="AO204" i="15"/>
  <c r="T54" i="21"/>
  <c r="P54" i="21"/>
  <c r="L54" i="21"/>
  <c r="M102" i="21"/>
  <c r="Q102" i="21"/>
  <c r="U102" i="21"/>
  <c r="V176" i="21"/>
  <c r="R176" i="21"/>
  <c r="N176" i="21"/>
  <c r="O224" i="21"/>
  <c r="S224" i="21"/>
  <c r="J326" i="21"/>
  <c r="N326" i="21"/>
  <c r="R326" i="21"/>
  <c r="V326" i="21"/>
  <c r="U68" i="25"/>
  <c r="U12" i="25" s="1"/>
  <c r="AA102" i="25"/>
  <c r="AE102" i="25"/>
  <c r="AI102" i="25"/>
  <c r="AV220" i="15"/>
  <c r="S54" i="21"/>
  <c r="O54" i="21"/>
  <c r="K54" i="21"/>
  <c r="J102" i="21"/>
  <c r="R102" i="21"/>
  <c r="U176" i="21"/>
  <c r="Q176" i="21"/>
  <c r="M176" i="21"/>
  <c r="L224" i="21"/>
  <c r="P224" i="21"/>
  <c r="T224" i="21"/>
  <c r="J285" i="21"/>
  <c r="S285" i="21"/>
  <c r="O285" i="21"/>
  <c r="K285" i="21"/>
  <c r="K326" i="21"/>
  <c r="O326" i="21"/>
  <c r="S326" i="21"/>
  <c r="P68" i="25"/>
  <c r="P12" i="25" s="1"/>
  <c r="AB102" i="25"/>
  <c r="AF102" i="25"/>
  <c r="AJ102" i="25"/>
  <c r="U81" i="54"/>
  <c r="U12" i="54" s="1"/>
  <c r="U14" i="54" s="1"/>
  <c r="L102" i="21"/>
  <c r="P102" i="21"/>
  <c r="T102" i="21"/>
  <c r="J176" i="21"/>
  <c r="S176" i="21"/>
  <c r="O176" i="21"/>
  <c r="K176" i="21"/>
  <c r="J224" i="21"/>
  <c r="N224" i="21"/>
  <c r="R224" i="21"/>
  <c r="V224" i="21"/>
  <c r="U285" i="21"/>
  <c r="Q285" i="21"/>
  <c r="M285" i="21"/>
  <c r="J54" i="21"/>
  <c r="N102" i="21"/>
  <c r="V102" i="21"/>
  <c r="Q224" i="21"/>
  <c r="J102" i="25"/>
  <c r="J13" i="25" s="1"/>
  <c r="K102" i="25"/>
  <c r="K13" i="25" s="1"/>
  <c r="L102" i="25"/>
  <c r="L13" i="25" s="1"/>
  <c r="M102" i="25"/>
  <c r="M13" i="25" s="1"/>
  <c r="N102" i="25"/>
  <c r="N13" i="25" s="1"/>
  <c r="O102" i="25"/>
  <c r="O13" i="25" s="1"/>
  <c r="P102" i="25"/>
  <c r="P13" i="25" s="1"/>
  <c r="Q102" i="25"/>
  <c r="Q13" i="25" s="1"/>
  <c r="R102" i="25"/>
  <c r="R13" i="25" s="1"/>
  <c r="S102" i="25"/>
  <c r="S13" i="25" s="1"/>
  <c r="T102" i="25"/>
  <c r="T13" i="25" s="1"/>
  <c r="U102" i="25"/>
  <c r="U13" i="25" s="1"/>
  <c r="V102" i="25"/>
  <c r="V13" i="25" s="1"/>
  <c r="Q81" i="54"/>
  <c r="Q12" i="54" s="1"/>
  <c r="Q14" i="54" s="1"/>
  <c r="P81" i="54"/>
  <c r="P12" i="54" s="1"/>
  <c r="P14" i="54" s="1"/>
  <c r="O81" i="54"/>
  <c r="O12" i="54" s="1"/>
  <c r="O14" i="54" s="1"/>
  <c r="N81" i="54"/>
  <c r="N12" i="54" s="1"/>
  <c r="N14" i="54" s="1"/>
  <c r="M81" i="54"/>
  <c r="M12" i="54" s="1"/>
  <c r="M14" i="54" s="1"/>
  <c r="L81" i="54"/>
  <c r="L12" i="54" s="1"/>
  <c r="L14" i="54" s="1"/>
  <c r="J81" i="54"/>
  <c r="J12" i="54" s="1"/>
  <c r="J14" i="54" s="1"/>
  <c r="K81" i="54"/>
  <c r="T81" i="54"/>
  <c r="T12" i="54" s="1"/>
  <c r="T14" i="54" s="1"/>
  <c r="R81" i="54"/>
  <c r="R12" i="54" s="1"/>
  <c r="R14" i="54" s="1"/>
  <c r="S81" i="54"/>
  <c r="S12" i="54" s="1"/>
  <c r="S14" i="54" s="1"/>
  <c r="V81" i="54"/>
  <c r="V12" i="54" s="1"/>
  <c r="V14" i="54" s="1"/>
  <c r="K44" i="20"/>
  <c r="N44" i="20"/>
  <c r="U44" i="20"/>
  <c r="M44" i="20"/>
  <c r="T44" i="20"/>
  <c r="L44" i="20"/>
  <c r="Q44" i="20"/>
  <c r="T220" i="15"/>
  <c r="T204" i="15"/>
  <c r="AS220" i="15"/>
  <c r="AS204" i="15"/>
  <c r="K220" i="15"/>
  <c r="K204" i="15"/>
  <c r="S220" i="15"/>
  <c r="S204" i="15"/>
  <c r="AR220" i="15"/>
  <c r="AR204" i="15"/>
  <c r="M220" i="15"/>
  <c r="M204" i="15"/>
  <c r="U220" i="15"/>
  <c r="U204" i="15"/>
  <c r="Y220" i="15"/>
  <c r="Y204" i="15"/>
  <c r="AG220" i="15"/>
  <c r="AG204" i="15"/>
  <c r="Z220" i="15"/>
  <c r="Z204" i="15"/>
  <c r="AH220" i="15"/>
  <c r="AH204" i="15"/>
  <c r="AF220" i="15"/>
  <c r="AF204" i="15"/>
  <c r="O204" i="15"/>
  <c r="AA204" i="15"/>
  <c r="AI204" i="15"/>
  <c r="L220" i="15"/>
  <c r="L204" i="15"/>
  <c r="P220" i="15"/>
  <c r="P204" i="15"/>
  <c r="AB220" i="15"/>
  <c r="AB204" i="15"/>
  <c r="AJ220" i="15"/>
  <c r="AJ204" i="15"/>
  <c r="Q220" i="15"/>
  <c r="Q204" i="15"/>
  <c r="AC220" i="15"/>
  <c r="AC204" i="15"/>
  <c r="AK220" i="15"/>
  <c r="AK204" i="15"/>
  <c r="AP220" i="15"/>
  <c r="AP204" i="15"/>
  <c r="J204" i="15"/>
  <c r="R220" i="15"/>
  <c r="R204" i="15"/>
  <c r="AQ220" i="15"/>
  <c r="AQ204" i="15"/>
  <c r="J86" i="19"/>
  <c r="M68" i="25"/>
  <c r="M12" i="25" s="1"/>
  <c r="AD68" i="25"/>
  <c r="O68" i="25"/>
  <c r="O12" i="25" s="1"/>
  <c r="V68" i="25"/>
  <c r="V12" i="25" s="1"/>
  <c r="N68" i="25"/>
  <c r="N12" i="25" s="1"/>
  <c r="Z68" i="25"/>
  <c r="AH68" i="25"/>
  <c r="AF68" i="25"/>
  <c r="R68" i="25"/>
  <c r="R12" i="25" s="1"/>
  <c r="Y68" i="25"/>
  <c r="AG68" i="25"/>
  <c r="Q68" i="25"/>
  <c r="Q12" i="25" s="1"/>
  <c r="AB68" i="25"/>
  <c r="AJ68" i="25"/>
  <c r="AE68" i="25"/>
  <c r="AC68" i="25"/>
  <c r="AK68" i="25"/>
  <c r="AA68" i="25"/>
  <c r="AI68" i="25"/>
  <c r="T68" i="25"/>
  <c r="T12" i="25" s="1"/>
  <c r="L68" i="25"/>
  <c r="L12" i="25" s="1"/>
  <c r="K68" i="25"/>
  <c r="K12" i="25" s="1"/>
  <c r="J68" i="25"/>
  <c r="J12" i="25" s="1"/>
  <c r="K224" i="21"/>
  <c r="AX238" i="15"/>
  <c r="AX220" i="15"/>
  <c r="AX190" i="15"/>
  <c r="AX202" i="15"/>
  <c r="AX175" i="15"/>
  <c r="AX36" i="15"/>
  <c r="AX60" i="15"/>
  <c r="AX72" i="15"/>
  <c r="AX48" i="15"/>
  <c r="AX84" i="15"/>
  <c r="AX96" i="15"/>
  <c r="U11" i="25" l="1"/>
  <c r="L11" i="25"/>
  <c r="S11" i="25"/>
  <c r="T11" i="25"/>
  <c r="K11" i="25"/>
  <c r="Q11" i="25"/>
  <c r="R11" i="25"/>
  <c r="N11" i="25"/>
  <c r="V11" i="25"/>
  <c r="M11" i="25"/>
  <c r="O11" i="25"/>
  <c r="P11" i="25"/>
  <c r="J11" i="25"/>
  <c r="AX204" i="15"/>
  <c r="K12" i="54"/>
  <c r="K14" i="54" s="1"/>
  <c r="K86" i="19"/>
  <c r="J90" i="19"/>
  <c r="AX98" i="15"/>
  <c r="AU30" i="22" l="1"/>
  <c r="AU32" i="22" s="1"/>
  <c r="R34" i="22"/>
  <c r="K90" i="19"/>
  <c r="L86" i="19"/>
  <c r="S34" i="22" l="1"/>
  <c r="AV30" i="22"/>
  <c r="AV32" i="22" s="1"/>
  <c r="AV33" i="22" s="1"/>
  <c r="M86" i="19"/>
  <c r="L90" i="19"/>
  <c r="AW30" i="22" l="1"/>
  <c r="AW32" i="22" s="1"/>
  <c r="AW33" i="22" s="1"/>
  <c r="T34" i="22"/>
  <c r="N86" i="19"/>
  <c r="M90" i="19"/>
  <c r="K93" i="71"/>
  <c r="K20" i="71" s="1"/>
  <c r="L93" i="71"/>
  <c r="L20" i="71" s="1"/>
  <c r="M93" i="71"/>
  <c r="M20" i="71" s="1"/>
  <c r="N93" i="71"/>
  <c r="N20" i="71" s="1"/>
  <c r="O93" i="71"/>
  <c r="O20" i="71" s="1"/>
  <c r="P93" i="71"/>
  <c r="P20" i="71" s="1"/>
  <c r="Q93" i="71"/>
  <c r="Q20" i="71" s="1"/>
  <c r="R93" i="71"/>
  <c r="R20" i="71" s="1"/>
  <c r="S93" i="71"/>
  <c r="S20" i="71" s="1"/>
  <c r="T20" i="71"/>
  <c r="U93" i="71"/>
  <c r="U20" i="71" s="1"/>
  <c r="V93" i="71"/>
  <c r="V20" i="71" s="1"/>
  <c r="J93" i="71"/>
  <c r="J20" i="71" s="1"/>
  <c r="V18" i="71"/>
  <c r="T18" i="71"/>
  <c r="S18" i="71"/>
  <c r="R18" i="71"/>
  <c r="Q18" i="71"/>
  <c r="P18" i="71"/>
  <c r="O18" i="71"/>
  <c r="N18" i="71"/>
  <c r="L18" i="71"/>
  <c r="K18" i="71"/>
  <c r="J18" i="71"/>
  <c r="V17" i="71"/>
  <c r="U17" i="71"/>
  <c r="T17" i="71"/>
  <c r="S17" i="71"/>
  <c r="Q17" i="71"/>
  <c r="P17" i="71"/>
  <c r="O17" i="71"/>
  <c r="N17" i="71"/>
  <c r="M17" i="71"/>
  <c r="L17" i="71"/>
  <c r="K17" i="71"/>
  <c r="U16" i="71"/>
  <c r="T16" i="71"/>
  <c r="S16" i="71"/>
  <c r="R16" i="71"/>
  <c r="Q16" i="71"/>
  <c r="P16" i="71"/>
  <c r="O16" i="71"/>
  <c r="M16" i="71"/>
  <c r="L16" i="71"/>
  <c r="K16" i="71"/>
  <c r="J16" i="71"/>
  <c r="U15" i="71"/>
  <c r="R15" i="71"/>
  <c r="Q15" i="71"/>
  <c r="P15" i="71"/>
  <c r="O15" i="71"/>
  <c r="M15" i="71"/>
  <c r="K15" i="71"/>
  <c r="J15" i="71"/>
  <c r="V14" i="71"/>
  <c r="U14" i="71"/>
  <c r="T14" i="71"/>
  <c r="S14" i="71"/>
  <c r="R14" i="71"/>
  <c r="Q14" i="71"/>
  <c r="P14" i="71"/>
  <c r="O14" i="71"/>
  <c r="N14" i="71"/>
  <c r="M14" i="71"/>
  <c r="L14" i="71"/>
  <c r="K14" i="71"/>
  <c r="J14" i="71"/>
  <c r="U13" i="71"/>
  <c r="T13" i="71"/>
  <c r="S13" i="71"/>
  <c r="R13" i="71"/>
  <c r="Q13" i="71"/>
  <c r="P13" i="71"/>
  <c r="O13" i="71"/>
  <c r="M13" i="71"/>
  <c r="L13" i="71"/>
  <c r="K13" i="71"/>
  <c r="J13" i="71"/>
  <c r="N12" i="71"/>
  <c r="Q12" i="71"/>
  <c r="V12" i="71"/>
  <c r="N13" i="71"/>
  <c r="V13" i="71"/>
  <c r="L15" i="71"/>
  <c r="S15" i="71"/>
  <c r="T15" i="71"/>
  <c r="N16" i="71"/>
  <c r="V16" i="71"/>
  <c r="R17" i="71"/>
  <c r="M18" i="71"/>
  <c r="U18" i="71"/>
  <c r="J17" i="71"/>
  <c r="AZ139" i="70"/>
  <c r="AY139" i="70"/>
  <c r="AX139" i="70"/>
  <c r="AW139" i="70"/>
  <c r="AV139" i="70"/>
  <c r="AU139" i="70"/>
  <c r="AT139" i="70"/>
  <c r="AS139" i="70"/>
  <c r="AR139" i="70"/>
  <c r="AQ139" i="70"/>
  <c r="AP139" i="70"/>
  <c r="AO139" i="70"/>
  <c r="AN139" i="70"/>
  <c r="V17" i="70"/>
  <c r="U17" i="70"/>
  <c r="T17" i="70"/>
  <c r="S17" i="70"/>
  <c r="R17" i="70"/>
  <c r="Q17" i="70"/>
  <c r="P17" i="70"/>
  <c r="O17" i="70"/>
  <c r="N17" i="70"/>
  <c r="M17" i="70"/>
  <c r="L17" i="70"/>
  <c r="K17" i="70"/>
  <c r="J17" i="70"/>
  <c r="V16" i="70"/>
  <c r="U16" i="70"/>
  <c r="T16" i="70"/>
  <c r="S16" i="70"/>
  <c r="R16" i="70"/>
  <c r="Q16" i="70"/>
  <c r="P16" i="70"/>
  <c r="O16" i="70"/>
  <c r="N16" i="70"/>
  <c r="M16" i="70"/>
  <c r="L16" i="70"/>
  <c r="K16" i="70"/>
  <c r="J16" i="70"/>
  <c r="V15" i="70"/>
  <c r="U15" i="70"/>
  <c r="T15" i="70"/>
  <c r="S15" i="70"/>
  <c r="R15" i="70"/>
  <c r="Q15" i="70"/>
  <c r="P15" i="70"/>
  <c r="O15" i="70"/>
  <c r="N15" i="70"/>
  <c r="M15" i="70"/>
  <c r="L15" i="70"/>
  <c r="K15" i="70"/>
  <c r="V14" i="70"/>
  <c r="U14" i="70"/>
  <c r="T14" i="70"/>
  <c r="S14" i="70"/>
  <c r="R14" i="70"/>
  <c r="Q14" i="70"/>
  <c r="P14" i="70"/>
  <c r="O14" i="70"/>
  <c r="N14" i="70"/>
  <c r="M14" i="70"/>
  <c r="L14" i="70"/>
  <c r="K14" i="70"/>
  <c r="J14" i="70"/>
  <c r="V13" i="70"/>
  <c r="U13" i="70"/>
  <c r="T13" i="70"/>
  <c r="S13" i="70"/>
  <c r="R13" i="70"/>
  <c r="Q13" i="70"/>
  <c r="P13" i="70"/>
  <c r="O13" i="70"/>
  <c r="N13" i="70"/>
  <c r="M13" i="70"/>
  <c r="L13" i="70"/>
  <c r="K13" i="70"/>
  <c r="J13" i="70"/>
  <c r="J15" i="70"/>
  <c r="AO144" i="69"/>
  <c r="AP144" i="69"/>
  <c r="AQ144" i="69"/>
  <c r="AR144" i="69"/>
  <c r="AS144" i="69"/>
  <c r="AT144" i="69"/>
  <c r="AU144" i="69"/>
  <c r="AV144" i="69"/>
  <c r="AW144" i="69"/>
  <c r="AX144" i="69"/>
  <c r="AY144" i="69"/>
  <c r="AZ144" i="69"/>
  <c r="AN144" i="69"/>
  <c r="AO132" i="69"/>
  <c r="AP132" i="69"/>
  <c r="AQ132" i="69"/>
  <c r="AR132" i="69"/>
  <c r="AS132" i="69"/>
  <c r="AT132" i="69"/>
  <c r="AU132" i="69"/>
  <c r="AV132" i="69"/>
  <c r="AW132" i="69"/>
  <c r="AX132" i="69"/>
  <c r="AY132" i="69"/>
  <c r="AZ132" i="69"/>
  <c r="AN132" i="69"/>
  <c r="AZ127" i="69"/>
  <c r="AY127" i="69"/>
  <c r="AX127" i="69"/>
  <c r="AW127" i="69"/>
  <c r="AV127" i="69"/>
  <c r="AU127" i="69"/>
  <c r="AT127" i="69"/>
  <c r="AS127" i="69"/>
  <c r="AR127" i="69"/>
  <c r="AQ127" i="69"/>
  <c r="AP127" i="69"/>
  <c r="AO127" i="69"/>
  <c r="AN127" i="69"/>
  <c r="AO121" i="69"/>
  <c r="AP121" i="69"/>
  <c r="AQ121" i="69"/>
  <c r="AR121" i="69"/>
  <c r="AS121" i="69"/>
  <c r="AT121" i="69"/>
  <c r="AU121" i="69"/>
  <c r="AV121" i="69"/>
  <c r="AW121" i="69"/>
  <c r="AX121" i="69"/>
  <c r="AY121" i="69"/>
  <c r="AZ121" i="69"/>
  <c r="AN121" i="69"/>
  <c r="AO115" i="69"/>
  <c r="AP115" i="69"/>
  <c r="AQ115" i="69"/>
  <c r="AR115" i="69"/>
  <c r="AS115" i="69"/>
  <c r="AT115" i="69"/>
  <c r="AU115" i="69"/>
  <c r="AV115" i="69"/>
  <c r="AW115" i="69"/>
  <c r="AX115" i="69"/>
  <c r="AY115" i="69"/>
  <c r="AZ115" i="69"/>
  <c r="AN115" i="69"/>
  <c r="BV144" i="69"/>
  <c r="BT144" i="69"/>
  <c r="BR144" i="69"/>
  <c r="BV132" i="69"/>
  <c r="BT132" i="69"/>
  <c r="BR132" i="69"/>
  <c r="BV127" i="69"/>
  <c r="BT127" i="69"/>
  <c r="BR127" i="69"/>
  <c r="BV121" i="69"/>
  <c r="BT121" i="69"/>
  <c r="BR121" i="69"/>
  <c r="BV115" i="69"/>
  <c r="BT115" i="69"/>
  <c r="BR115" i="69"/>
  <c r="BG144" i="69"/>
  <c r="BE144" i="69"/>
  <c r="BC144" i="69"/>
  <c r="BG132" i="69"/>
  <c r="BE132" i="69"/>
  <c r="BC132" i="69"/>
  <c r="BG127" i="69"/>
  <c r="BE127" i="69"/>
  <c r="BC127" i="69"/>
  <c r="BG121" i="69"/>
  <c r="BE121" i="69"/>
  <c r="BC121" i="69"/>
  <c r="BG115" i="69"/>
  <c r="BE115" i="69"/>
  <c r="BC115" i="69"/>
  <c r="CD67" i="69"/>
  <c r="CB67" i="69"/>
  <c r="BZ67" i="69"/>
  <c r="BX67" i="69"/>
  <c r="BV67" i="69"/>
  <c r="CD56" i="69"/>
  <c r="CB56" i="69"/>
  <c r="BZ56" i="69"/>
  <c r="BX56" i="69"/>
  <c r="BV56" i="69"/>
  <c r="CD45" i="69"/>
  <c r="CB45" i="69"/>
  <c r="BZ45" i="69"/>
  <c r="BX45" i="69"/>
  <c r="BV45" i="69"/>
  <c r="CD34" i="69"/>
  <c r="CB34" i="69"/>
  <c r="BZ34" i="69"/>
  <c r="BX34" i="69"/>
  <c r="BV34" i="69"/>
  <c r="BO67" i="69"/>
  <c r="BM67" i="69"/>
  <c r="BK67" i="69"/>
  <c r="BI67" i="69"/>
  <c r="BG67" i="69"/>
  <c r="BO56" i="69"/>
  <c r="BM56" i="69"/>
  <c r="BK56" i="69"/>
  <c r="BI56" i="69"/>
  <c r="BG56" i="69"/>
  <c r="BO45" i="69"/>
  <c r="BM45" i="69"/>
  <c r="BK45" i="69"/>
  <c r="BI45" i="69"/>
  <c r="BG45" i="69"/>
  <c r="BO34" i="69"/>
  <c r="BM34" i="69"/>
  <c r="BK34" i="69"/>
  <c r="BI34" i="69"/>
  <c r="BG34" i="69"/>
  <c r="AZ78" i="69"/>
  <c r="BO140" i="76" s="1"/>
  <c r="AY78" i="69"/>
  <c r="BN140" i="76" s="1"/>
  <c r="AX78" i="69"/>
  <c r="BM140" i="76" s="1"/>
  <c r="AW78" i="69"/>
  <c r="BL140" i="76" s="1"/>
  <c r="AV78" i="69"/>
  <c r="BK140" i="76" s="1"/>
  <c r="AU78" i="69"/>
  <c r="BJ140" i="76" s="1"/>
  <c r="AT78" i="69"/>
  <c r="BI140" i="76" s="1"/>
  <c r="AS78" i="69"/>
  <c r="BH140" i="76" s="1"/>
  <c r="AR78" i="69"/>
  <c r="BG140" i="76" s="1"/>
  <c r="AQ78" i="69"/>
  <c r="BF140" i="76" s="1"/>
  <c r="AP78" i="69"/>
  <c r="BE140" i="76" s="1"/>
  <c r="AO78" i="69"/>
  <c r="BD140" i="76" s="1"/>
  <c r="AN78" i="69"/>
  <c r="AZ67" i="69"/>
  <c r="AY67" i="69"/>
  <c r="AX67" i="69"/>
  <c r="AW67" i="69"/>
  <c r="AV67" i="69"/>
  <c r="AU67" i="69"/>
  <c r="AT67" i="69"/>
  <c r="AS67" i="69"/>
  <c r="AR67" i="69"/>
  <c r="AQ67" i="69"/>
  <c r="AP67" i="69"/>
  <c r="AO67" i="69"/>
  <c r="AN67" i="69"/>
  <c r="BC119" i="76" s="1"/>
  <c r="BR119" i="76" s="1"/>
  <c r="AZ56" i="69"/>
  <c r="AY56" i="69"/>
  <c r="AX56" i="69"/>
  <c r="AW56" i="69"/>
  <c r="AV56" i="69"/>
  <c r="AU56" i="69"/>
  <c r="AT56" i="69"/>
  <c r="AS56" i="69"/>
  <c r="AR56" i="69"/>
  <c r="AQ56" i="69"/>
  <c r="AP56" i="69"/>
  <c r="AO56" i="69"/>
  <c r="AN56" i="69"/>
  <c r="BC98" i="76" s="1"/>
  <c r="BR98" i="76" s="1"/>
  <c r="AZ45" i="69"/>
  <c r="AY45" i="69"/>
  <c r="AX45" i="69"/>
  <c r="AW45" i="69"/>
  <c r="AV45" i="69"/>
  <c r="AU45" i="69"/>
  <c r="AT45" i="69"/>
  <c r="AS45" i="69"/>
  <c r="AR45" i="69"/>
  <c r="AQ45" i="69"/>
  <c r="AP45" i="69"/>
  <c r="AO45" i="69"/>
  <c r="AN45" i="69"/>
  <c r="BC77" i="76" s="1"/>
  <c r="BR77" i="76" s="1"/>
  <c r="AZ34" i="69"/>
  <c r="BO50" i="76" s="1"/>
  <c r="AY34" i="69"/>
  <c r="BN50" i="76" s="1"/>
  <c r="AX34" i="69"/>
  <c r="BM50" i="76" s="1"/>
  <c r="AW34" i="69"/>
  <c r="BL50" i="76" s="1"/>
  <c r="AV34" i="69"/>
  <c r="BK50" i="76" s="1"/>
  <c r="AU34" i="69"/>
  <c r="BJ50" i="76" s="1"/>
  <c r="AT34" i="69"/>
  <c r="BI50" i="76" s="1"/>
  <c r="AS34" i="69"/>
  <c r="BH50" i="76" s="1"/>
  <c r="AR34" i="69"/>
  <c r="BG50" i="76" s="1"/>
  <c r="AQ34" i="69"/>
  <c r="BF50" i="76" s="1"/>
  <c r="AP34" i="69"/>
  <c r="BE50" i="76" s="1"/>
  <c r="AO34" i="69"/>
  <c r="BD50" i="76" s="1"/>
  <c r="AN34" i="69"/>
  <c r="AK78" i="69"/>
  <c r="AJ78" i="69"/>
  <c r="AJ140" i="76" s="1"/>
  <c r="AI78" i="69"/>
  <c r="AH78" i="69"/>
  <c r="AG78" i="69"/>
  <c r="AF78" i="69"/>
  <c r="AE78" i="69"/>
  <c r="AD78" i="69"/>
  <c r="AC78" i="69"/>
  <c r="AB78" i="69"/>
  <c r="AB140" i="76" s="1"/>
  <c r="AA78" i="69"/>
  <c r="Z78" i="69"/>
  <c r="Y78" i="69"/>
  <c r="Y140" i="76" s="1"/>
  <c r="AK67" i="69"/>
  <c r="AK119" i="76" s="1"/>
  <c r="AJ67" i="69"/>
  <c r="AJ119" i="76" s="1"/>
  <c r="AI67" i="69"/>
  <c r="AI119" i="76" s="1"/>
  <c r="AH67" i="69"/>
  <c r="AH119" i="76" s="1"/>
  <c r="AG67" i="69"/>
  <c r="AG119" i="76" s="1"/>
  <c r="AF67" i="69"/>
  <c r="AF119" i="76" s="1"/>
  <c r="AE67" i="69"/>
  <c r="AE119" i="76" s="1"/>
  <c r="AD67" i="69"/>
  <c r="AD119" i="76" s="1"/>
  <c r="AC67" i="69"/>
  <c r="AC119" i="76" s="1"/>
  <c r="AB67" i="69"/>
  <c r="AB119" i="76" s="1"/>
  <c r="AA67" i="69"/>
  <c r="AA119" i="76" s="1"/>
  <c r="Z67" i="69"/>
  <c r="Z119" i="76" s="1"/>
  <c r="Y67" i="69"/>
  <c r="Y119" i="76" s="1"/>
  <c r="AK56" i="69"/>
  <c r="AK98" i="76" s="1"/>
  <c r="AJ56" i="69"/>
  <c r="AJ98" i="76" s="1"/>
  <c r="AI56" i="69"/>
  <c r="AI98" i="76" s="1"/>
  <c r="AH56" i="69"/>
  <c r="AH98" i="76" s="1"/>
  <c r="AG56" i="69"/>
  <c r="AG98" i="76" s="1"/>
  <c r="AF56" i="69"/>
  <c r="AF98" i="76" s="1"/>
  <c r="AE56" i="69"/>
  <c r="AE98" i="76" s="1"/>
  <c r="AD56" i="69"/>
  <c r="AD98" i="76" s="1"/>
  <c r="AC56" i="69"/>
  <c r="AC98" i="76" s="1"/>
  <c r="AB56" i="69"/>
  <c r="AB98" i="76" s="1"/>
  <c r="AA56" i="69"/>
  <c r="AA98" i="76" s="1"/>
  <c r="Z56" i="69"/>
  <c r="Z98" i="76" s="1"/>
  <c r="Y56" i="69"/>
  <c r="Y98" i="76" s="1"/>
  <c r="AK45" i="69"/>
  <c r="AK77" i="76" s="1"/>
  <c r="AJ45" i="69"/>
  <c r="AJ77" i="76" s="1"/>
  <c r="AI45" i="69"/>
  <c r="AI77" i="76" s="1"/>
  <c r="AH45" i="69"/>
  <c r="AH77" i="76" s="1"/>
  <c r="AG45" i="69"/>
  <c r="AG77" i="76" s="1"/>
  <c r="AF45" i="69"/>
  <c r="AF77" i="76" s="1"/>
  <c r="AE45" i="69"/>
  <c r="AE77" i="76" s="1"/>
  <c r="AD45" i="69"/>
  <c r="AD77" i="76" s="1"/>
  <c r="AC45" i="69"/>
  <c r="AC77" i="76" s="1"/>
  <c r="AB45" i="69"/>
  <c r="AB77" i="76" s="1"/>
  <c r="AA45" i="69"/>
  <c r="AA77" i="76" s="1"/>
  <c r="Z45" i="69"/>
  <c r="Z77" i="76" s="1"/>
  <c r="Y45" i="69"/>
  <c r="Y77" i="76" s="1"/>
  <c r="AK34" i="69"/>
  <c r="AJ34" i="69"/>
  <c r="AI34" i="69"/>
  <c r="AH34" i="69"/>
  <c r="AG34" i="69"/>
  <c r="AF34" i="69"/>
  <c r="AE34" i="69"/>
  <c r="AD34" i="69"/>
  <c r="AC34" i="69"/>
  <c r="AB34" i="69"/>
  <c r="AA34" i="69"/>
  <c r="Z34" i="69"/>
  <c r="Y34" i="69"/>
  <c r="V78" i="69"/>
  <c r="U78" i="69"/>
  <c r="T78" i="69"/>
  <c r="T16" i="69" s="1"/>
  <c r="S78" i="69"/>
  <c r="S140" i="76" s="1"/>
  <c r="R78" i="69"/>
  <c r="R140" i="76" s="1"/>
  <c r="Q78" i="69"/>
  <c r="Q140" i="76" s="1"/>
  <c r="P78" i="69"/>
  <c r="P16" i="69" s="1"/>
  <c r="O78" i="69"/>
  <c r="O140" i="76" s="1"/>
  <c r="N78" i="69"/>
  <c r="M78" i="69"/>
  <c r="M16" i="69" s="1"/>
  <c r="L78" i="69"/>
  <c r="L16" i="69" s="1"/>
  <c r="K78" i="69"/>
  <c r="K140" i="76" s="1"/>
  <c r="J78" i="69"/>
  <c r="J140" i="76" s="1"/>
  <c r="V67" i="69"/>
  <c r="U67" i="69"/>
  <c r="T67" i="69"/>
  <c r="T119" i="76" s="1"/>
  <c r="S67" i="69"/>
  <c r="S119" i="76" s="1"/>
  <c r="R67" i="69"/>
  <c r="R119" i="76" s="1"/>
  <c r="Q67" i="69"/>
  <c r="Q119" i="76" s="1"/>
  <c r="P67" i="69"/>
  <c r="P119" i="76" s="1"/>
  <c r="O67" i="69"/>
  <c r="N67" i="69"/>
  <c r="M67" i="69"/>
  <c r="L67" i="69"/>
  <c r="L119" i="76" s="1"/>
  <c r="K67" i="69"/>
  <c r="K119" i="76" s="1"/>
  <c r="J67" i="69"/>
  <c r="J119" i="76" s="1"/>
  <c r="V56" i="69"/>
  <c r="U56" i="69"/>
  <c r="T56" i="69"/>
  <c r="T98" i="76" s="1"/>
  <c r="S56" i="69"/>
  <c r="S98" i="76" s="1"/>
  <c r="R56" i="69"/>
  <c r="Q56" i="69"/>
  <c r="Q98" i="76" s="1"/>
  <c r="P56" i="69"/>
  <c r="P98" i="76" s="1"/>
  <c r="O56" i="69"/>
  <c r="O98" i="76" s="1"/>
  <c r="N56" i="69"/>
  <c r="N98" i="76" s="1"/>
  <c r="M56" i="69"/>
  <c r="L56" i="69"/>
  <c r="L98" i="76" s="1"/>
  <c r="K56" i="69"/>
  <c r="K98" i="76" s="1"/>
  <c r="J56" i="69"/>
  <c r="V45" i="69"/>
  <c r="V77" i="76" s="1"/>
  <c r="U45" i="69"/>
  <c r="U77" i="76" s="1"/>
  <c r="T45" i="69"/>
  <c r="T77" i="76" s="1"/>
  <c r="S45" i="69"/>
  <c r="S77" i="76" s="1"/>
  <c r="R45" i="69"/>
  <c r="R77" i="76" s="1"/>
  <c r="Q45" i="69"/>
  <c r="Q77" i="76" s="1"/>
  <c r="P45" i="69"/>
  <c r="P77" i="76" s="1"/>
  <c r="O45" i="69"/>
  <c r="N45" i="69"/>
  <c r="N77" i="76" s="1"/>
  <c r="M45" i="69"/>
  <c r="M77" i="76" s="1"/>
  <c r="L45" i="69"/>
  <c r="L77" i="76" s="1"/>
  <c r="K45" i="69"/>
  <c r="K77" i="76" s="1"/>
  <c r="J45" i="69"/>
  <c r="J77" i="76" s="1"/>
  <c r="K34" i="69"/>
  <c r="K12" i="69" s="1"/>
  <c r="L34" i="69"/>
  <c r="L12" i="69" s="1"/>
  <c r="M34" i="69"/>
  <c r="N34" i="69"/>
  <c r="O34" i="69"/>
  <c r="P34" i="69"/>
  <c r="P12" i="69" s="1"/>
  <c r="Q34" i="69"/>
  <c r="R34" i="69"/>
  <c r="S34" i="69"/>
  <c r="T34" i="69"/>
  <c r="T12" i="69" s="1"/>
  <c r="U34" i="69"/>
  <c r="V34" i="69"/>
  <c r="V12" i="69" s="1"/>
  <c r="J34" i="69"/>
  <c r="U16" i="69"/>
  <c r="K20" i="41"/>
  <c r="L20" i="41"/>
  <c r="M20" i="41"/>
  <c r="N20" i="41"/>
  <c r="O20" i="41"/>
  <c r="P20" i="41"/>
  <c r="Q20" i="41"/>
  <c r="R20" i="41"/>
  <c r="S20" i="41"/>
  <c r="T20" i="41"/>
  <c r="U20" i="41"/>
  <c r="V20" i="41"/>
  <c r="J20" i="41"/>
  <c r="V19" i="41"/>
  <c r="U19" i="41"/>
  <c r="T19" i="41"/>
  <c r="S19" i="41"/>
  <c r="R19" i="41"/>
  <c r="Q19" i="41"/>
  <c r="P19" i="41"/>
  <c r="O19" i="41"/>
  <c r="N19" i="41"/>
  <c r="M19" i="41"/>
  <c r="L19" i="41"/>
  <c r="K19" i="41"/>
  <c r="J19" i="41"/>
  <c r="V18" i="41"/>
  <c r="U18" i="41"/>
  <c r="T18" i="41"/>
  <c r="S18" i="41"/>
  <c r="R18" i="41"/>
  <c r="Q18" i="41"/>
  <c r="P18" i="41"/>
  <c r="O18" i="41"/>
  <c r="N18" i="41"/>
  <c r="M18" i="41"/>
  <c r="L18" i="41"/>
  <c r="K18" i="41"/>
  <c r="J18" i="41"/>
  <c r="V17" i="41"/>
  <c r="U17" i="41"/>
  <c r="T17" i="41"/>
  <c r="S17" i="41"/>
  <c r="R17" i="41"/>
  <c r="Q17" i="41"/>
  <c r="P17" i="41"/>
  <c r="O17" i="41"/>
  <c r="N17" i="41"/>
  <c r="M17" i="41"/>
  <c r="L17" i="41"/>
  <c r="K17" i="41"/>
  <c r="J17" i="41"/>
  <c r="V16" i="41"/>
  <c r="U16" i="41"/>
  <c r="T16" i="41"/>
  <c r="S16" i="41"/>
  <c r="R16" i="41"/>
  <c r="Q16" i="41"/>
  <c r="P16" i="41"/>
  <c r="O16" i="41"/>
  <c r="N16" i="41"/>
  <c r="M16" i="41"/>
  <c r="L16" i="41"/>
  <c r="K16" i="41"/>
  <c r="J16" i="41"/>
  <c r="V15" i="41"/>
  <c r="U15" i="41"/>
  <c r="T15" i="41"/>
  <c r="S15" i="41"/>
  <c r="R15" i="41"/>
  <c r="Q15" i="41"/>
  <c r="P15" i="41"/>
  <c r="O15" i="41"/>
  <c r="N15" i="41"/>
  <c r="M15" i="41"/>
  <c r="L15" i="41"/>
  <c r="K15" i="41"/>
  <c r="J15" i="41"/>
  <c r="V14" i="41"/>
  <c r="U14" i="41"/>
  <c r="T14" i="41"/>
  <c r="S14" i="41"/>
  <c r="R14" i="41"/>
  <c r="Q14" i="41"/>
  <c r="P14" i="41"/>
  <c r="O14" i="41"/>
  <c r="N14" i="41"/>
  <c r="M14" i="41"/>
  <c r="L14" i="41"/>
  <c r="K14" i="41"/>
  <c r="J14" i="41"/>
  <c r="K13" i="41"/>
  <c r="L13" i="41"/>
  <c r="M13" i="41"/>
  <c r="N13" i="41"/>
  <c r="O13" i="41"/>
  <c r="P13" i="41"/>
  <c r="Q13" i="41"/>
  <c r="R13" i="41"/>
  <c r="S13" i="41"/>
  <c r="T13" i="41"/>
  <c r="U13" i="41"/>
  <c r="V13" i="41"/>
  <c r="J13" i="41"/>
  <c r="K12" i="41"/>
  <c r="L12" i="41"/>
  <c r="M12" i="41"/>
  <c r="N12" i="41"/>
  <c r="O12" i="41"/>
  <c r="P12" i="41"/>
  <c r="Q12" i="41"/>
  <c r="R12" i="41"/>
  <c r="S12" i="41"/>
  <c r="T12" i="41"/>
  <c r="U12" i="41"/>
  <c r="V12" i="41"/>
  <c r="J12" i="41"/>
  <c r="AK139" i="76"/>
  <c r="AJ139" i="76"/>
  <c r="AI139" i="76"/>
  <c r="AH139" i="76"/>
  <c r="AG139" i="76"/>
  <c r="AF139" i="76"/>
  <c r="AE139" i="76"/>
  <c r="AD139" i="76"/>
  <c r="AC139" i="76"/>
  <c r="AB139" i="76"/>
  <c r="AA139" i="76"/>
  <c r="Z139" i="76"/>
  <c r="Y139" i="76"/>
  <c r="AK118" i="76"/>
  <c r="AJ118" i="76"/>
  <c r="AI118" i="76"/>
  <c r="AH118" i="76"/>
  <c r="AG118" i="76"/>
  <c r="AF118" i="76"/>
  <c r="AE118" i="76"/>
  <c r="AD118" i="76"/>
  <c r="AC118" i="76"/>
  <c r="AB118" i="76"/>
  <c r="AA118" i="76"/>
  <c r="Z118" i="76"/>
  <c r="Y118" i="76"/>
  <c r="AK97" i="76"/>
  <c r="AJ97" i="76"/>
  <c r="AI97" i="76"/>
  <c r="AH97" i="76"/>
  <c r="AG97" i="76"/>
  <c r="AF97" i="76"/>
  <c r="AE97" i="76"/>
  <c r="AD97" i="76"/>
  <c r="AC97" i="76"/>
  <c r="AB97" i="76"/>
  <c r="AA97" i="76"/>
  <c r="Z97" i="76"/>
  <c r="Y97" i="76"/>
  <c r="AK76" i="76"/>
  <c r="AJ76" i="76"/>
  <c r="AI76" i="76"/>
  <c r="AH76" i="76"/>
  <c r="AG76" i="76"/>
  <c r="AF76" i="76"/>
  <c r="AE76" i="76"/>
  <c r="AD76" i="76"/>
  <c r="AC76" i="76"/>
  <c r="AB76" i="76"/>
  <c r="AA76" i="76"/>
  <c r="Z76" i="76"/>
  <c r="Y76" i="76"/>
  <c r="BO139" i="76"/>
  <c r="BK139" i="76"/>
  <c r="BG139" i="76"/>
  <c r="BL118" i="76"/>
  <c r="BH118" i="76"/>
  <c r="BD118" i="76"/>
  <c r="BM97" i="76"/>
  <c r="BI97" i="76"/>
  <c r="BE97" i="76"/>
  <c r="BN76" i="76"/>
  <c r="BJ76" i="76"/>
  <c r="BF76" i="76"/>
  <c r="BO49" i="76"/>
  <c r="BK49" i="76"/>
  <c r="BG49" i="76"/>
  <c r="U20" i="66"/>
  <c r="T20" i="66"/>
  <c r="S20" i="66"/>
  <c r="R20" i="66"/>
  <c r="P20" i="66"/>
  <c r="O20" i="66"/>
  <c r="M20" i="66"/>
  <c r="L20" i="66"/>
  <c r="K20" i="66"/>
  <c r="J20" i="66"/>
  <c r="V19" i="66"/>
  <c r="U19" i="66"/>
  <c r="T19" i="66"/>
  <c r="S19" i="66"/>
  <c r="R19" i="66"/>
  <c r="Q19" i="66"/>
  <c r="P19" i="66"/>
  <c r="O19" i="66"/>
  <c r="N19" i="66"/>
  <c r="M19" i="66"/>
  <c r="L19" i="66"/>
  <c r="K19" i="66"/>
  <c r="J19" i="66"/>
  <c r="V18" i="66"/>
  <c r="U18" i="66"/>
  <c r="T18" i="66"/>
  <c r="R18" i="66"/>
  <c r="Q18" i="66"/>
  <c r="O18" i="66"/>
  <c r="N18" i="66"/>
  <c r="M18" i="66"/>
  <c r="L18" i="66"/>
  <c r="CD37" i="66"/>
  <c r="CD61" i="66" s="1"/>
  <c r="CB37" i="66"/>
  <c r="CB61" i="66" s="1"/>
  <c r="BZ37" i="66"/>
  <c r="BZ61" i="66" s="1"/>
  <c r="BX37" i="66"/>
  <c r="BX61" i="66" s="1"/>
  <c r="BV37" i="66"/>
  <c r="BV61" i="66" s="1"/>
  <c r="BO37" i="66"/>
  <c r="BO61" i="66" s="1"/>
  <c r="BM37" i="66"/>
  <c r="BM61" i="66" s="1"/>
  <c r="BK37" i="66"/>
  <c r="BK61" i="66" s="1"/>
  <c r="BI37" i="66"/>
  <c r="BI61" i="66" s="1"/>
  <c r="BG37" i="66"/>
  <c r="BG61" i="66" s="1"/>
  <c r="AZ37" i="66"/>
  <c r="AZ61" i="66" s="1"/>
  <c r="AY37" i="66"/>
  <c r="AY61" i="66" s="1"/>
  <c r="AX37" i="66"/>
  <c r="AX61" i="66" s="1"/>
  <c r="AW37" i="66"/>
  <c r="AW61" i="66" s="1"/>
  <c r="AV37" i="66"/>
  <c r="AV61" i="66" s="1"/>
  <c r="AU37" i="66"/>
  <c r="AU61" i="66" s="1"/>
  <c r="AT37" i="66"/>
  <c r="AT61" i="66" s="1"/>
  <c r="AS37" i="66"/>
  <c r="AS61" i="66" s="1"/>
  <c r="AR37" i="66"/>
  <c r="AR61" i="66" s="1"/>
  <c r="AQ37" i="66"/>
  <c r="AQ61" i="66" s="1"/>
  <c r="AP37" i="66"/>
  <c r="AP61" i="66" s="1"/>
  <c r="AO37" i="66"/>
  <c r="AO61" i="66" s="1"/>
  <c r="AN37" i="66"/>
  <c r="AN61" i="66" s="1"/>
  <c r="AK37" i="66"/>
  <c r="AK61" i="66" s="1"/>
  <c r="AJ37" i="66"/>
  <c r="AJ61" i="66" s="1"/>
  <c r="AI37" i="66"/>
  <c r="AI61" i="66" s="1"/>
  <c r="AH37" i="66"/>
  <c r="AH61" i="66" s="1"/>
  <c r="AG37" i="66"/>
  <c r="AG61" i="66" s="1"/>
  <c r="AF37" i="66"/>
  <c r="AF61" i="66" s="1"/>
  <c r="AE37" i="66"/>
  <c r="AE61" i="66" s="1"/>
  <c r="AD37" i="66"/>
  <c r="AD61" i="66" s="1"/>
  <c r="AC37" i="66"/>
  <c r="AC61" i="66" s="1"/>
  <c r="AB37" i="66"/>
  <c r="AB61" i="66" s="1"/>
  <c r="AA37" i="66"/>
  <c r="AA61" i="66" s="1"/>
  <c r="Z37" i="66"/>
  <c r="Z61" i="66" s="1"/>
  <c r="Y37" i="66"/>
  <c r="Y61" i="66" s="1"/>
  <c r="V14" i="66"/>
  <c r="U14" i="66"/>
  <c r="S14" i="66"/>
  <c r="R14" i="66"/>
  <c r="Q14" i="66"/>
  <c r="O14" i="66"/>
  <c r="N14" i="66"/>
  <c r="M14" i="66"/>
  <c r="K14" i="66"/>
  <c r="V13" i="66"/>
  <c r="U13" i="66"/>
  <c r="T13" i="66"/>
  <c r="S13" i="66"/>
  <c r="R13" i="66"/>
  <c r="Q13" i="66"/>
  <c r="P13" i="66"/>
  <c r="O13" i="66"/>
  <c r="N13" i="66"/>
  <c r="L13" i="66"/>
  <c r="K13" i="66"/>
  <c r="J13" i="66"/>
  <c r="K37" i="66"/>
  <c r="L37" i="66"/>
  <c r="M37" i="66"/>
  <c r="N37" i="66"/>
  <c r="N61" i="66" s="1"/>
  <c r="O37" i="66"/>
  <c r="O61" i="66" s="1"/>
  <c r="P37" i="66"/>
  <c r="P61" i="66" s="1"/>
  <c r="Q37" i="66"/>
  <c r="Q61" i="66" s="1"/>
  <c r="R37" i="66"/>
  <c r="S37" i="66"/>
  <c r="T37" i="66"/>
  <c r="U37" i="66"/>
  <c r="V37" i="66"/>
  <c r="V61" i="66" s="1"/>
  <c r="J37" i="66"/>
  <c r="T14" i="66"/>
  <c r="Q20" i="66"/>
  <c r="BV68" i="65"/>
  <c r="BT68" i="65"/>
  <c r="BR68" i="65"/>
  <c r="BV62" i="65"/>
  <c r="BT62" i="65"/>
  <c r="BR62" i="65"/>
  <c r="BC68" i="65"/>
  <c r="BG68" i="65"/>
  <c r="BE68" i="65"/>
  <c r="BG62" i="65"/>
  <c r="BE62" i="65"/>
  <c r="BC62" i="65"/>
  <c r="AZ68" i="65"/>
  <c r="AY68" i="65"/>
  <c r="AX68" i="65"/>
  <c r="AW68" i="65"/>
  <c r="AV68" i="65"/>
  <c r="AU68" i="65"/>
  <c r="AT68" i="65"/>
  <c r="AS68" i="65"/>
  <c r="AR68" i="65"/>
  <c r="AQ68" i="65"/>
  <c r="AP68" i="65"/>
  <c r="AO68" i="65"/>
  <c r="AN68" i="65"/>
  <c r="AO62" i="65"/>
  <c r="AP62" i="65"/>
  <c r="AQ62" i="65"/>
  <c r="AR62" i="65"/>
  <c r="AS62" i="65"/>
  <c r="AT62" i="65"/>
  <c r="AU62" i="65"/>
  <c r="AV62" i="65"/>
  <c r="AW62" i="65"/>
  <c r="AX62" i="65"/>
  <c r="AY62" i="65"/>
  <c r="AZ62" i="65"/>
  <c r="AN62" i="65"/>
  <c r="CD51" i="65"/>
  <c r="CB51" i="65"/>
  <c r="BZ51" i="65"/>
  <c r="BX51" i="65"/>
  <c r="BV51" i="65"/>
  <c r="BO51" i="65"/>
  <c r="BM51" i="65"/>
  <c r="BK51" i="65"/>
  <c r="BI51" i="65"/>
  <c r="BG51" i="65"/>
  <c r="CD40" i="65"/>
  <c r="CB40" i="65"/>
  <c r="BZ40" i="65"/>
  <c r="BX40" i="65"/>
  <c r="BV40" i="65"/>
  <c r="BO40" i="65"/>
  <c r="BM40" i="65"/>
  <c r="BK40" i="65"/>
  <c r="BI40" i="65"/>
  <c r="BG40" i="65"/>
  <c r="CD29" i="65"/>
  <c r="CB29" i="65"/>
  <c r="BZ29" i="65"/>
  <c r="BX29" i="65"/>
  <c r="BV29" i="65"/>
  <c r="BO29" i="65"/>
  <c r="BM29" i="65"/>
  <c r="BK29" i="65"/>
  <c r="BI29" i="65"/>
  <c r="BG29" i="65"/>
  <c r="AZ51" i="65"/>
  <c r="AY51" i="65"/>
  <c r="AX51" i="65"/>
  <c r="AW51" i="65"/>
  <c r="AV51" i="65"/>
  <c r="AU51" i="65"/>
  <c r="AT51" i="65"/>
  <c r="AS51" i="65"/>
  <c r="AR51" i="65"/>
  <c r="AQ51" i="65"/>
  <c r="AP51" i="65"/>
  <c r="AO51" i="65"/>
  <c r="AN51" i="65"/>
  <c r="AZ40" i="65"/>
  <c r="AY40" i="65"/>
  <c r="AX40" i="65"/>
  <c r="AW40" i="65"/>
  <c r="AV40" i="65"/>
  <c r="AU40" i="65"/>
  <c r="AT40" i="65"/>
  <c r="AS40" i="65"/>
  <c r="AR40" i="65"/>
  <c r="AQ40" i="65"/>
  <c r="AP40" i="65"/>
  <c r="AO40" i="65"/>
  <c r="AN40" i="65"/>
  <c r="AZ29" i="65"/>
  <c r="AY29" i="65"/>
  <c r="AX29" i="65"/>
  <c r="AW29" i="65"/>
  <c r="AV29" i="65"/>
  <c r="AU29" i="65"/>
  <c r="AT29" i="65"/>
  <c r="AS29" i="65"/>
  <c r="AR29" i="65"/>
  <c r="AQ29" i="65"/>
  <c r="AP29" i="65"/>
  <c r="AO29" i="65"/>
  <c r="AN29" i="65"/>
  <c r="AK51" i="65"/>
  <c r="AJ51" i="65"/>
  <c r="AI51" i="65"/>
  <c r="AH51" i="65"/>
  <c r="AG51" i="65"/>
  <c r="AF51" i="65"/>
  <c r="AE51" i="65"/>
  <c r="AD51" i="65"/>
  <c r="AC51" i="65"/>
  <c r="AB51" i="65"/>
  <c r="AA51" i="65"/>
  <c r="Z51" i="65"/>
  <c r="Y51" i="65"/>
  <c r="AK40" i="65"/>
  <c r="AJ40" i="65"/>
  <c r="AI40" i="65"/>
  <c r="AH40" i="65"/>
  <c r="AG40" i="65"/>
  <c r="AF40" i="65"/>
  <c r="AE40" i="65"/>
  <c r="AD40" i="65"/>
  <c r="AC40" i="65"/>
  <c r="AB40" i="65"/>
  <c r="AA40" i="65"/>
  <c r="Z40" i="65"/>
  <c r="Y40" i="65"/>
  <c r="AK29" i="65"/>
  <c r="AJ29" i="65"/>
  <c r="AI29" i="65"/>
  <c r="AH29" i="65"/>
  <c r="AG29" i="65"/>
  <c r="AF29" i="65"/>
  <c r="AE29" i="65"/>
  <c r="AD29" i="65"/>
  <c r="AC29" i="65"/>
  <c r="AB29" i="65"/>
  <c r="AA29" i="65"/>
  <c r="Z29" i="65"/>
  <c r="Y29" i="65"/>
  <c r="V51" i="65"/>
  <c r="V14" i="65" s="1"/>
  <c r="U51" i="65"/>
  <c r="U14" i="65" s="1"/>
  <c r="T51" i="65"/>
  <c r="T14" i="65" s="1"/>
  <c r="S51" i="65"/>
  <c r="S14" i="65" s="1"/>
  <c r="R51" i="65"/>
  <c r="Q51" i="65"/>
  <c r="Q14" i="65" s="1"/>
  <c r="P51" i="65"/>
  <c r="P14" i="65" s="1"/>
  <c r="O51" i="65"/>
  <c r="O14" i="65" s="1"/>
  <c r="N51" i="65"/>
  <c r="N14" i="65" s="1"/>
  <c r="M51" i="65"/>
  <c r="M14" i="65" s="1"/>
  <c r="L51" i="65"/>
  <c r="L14" i="65" s="1"/>
  <c r="K51" i="65"/>
  <c r="K14" i="65" s="1"/>
  <c r="J51" i="65"/>
  <c r="J14" i="65" s="1"/>
  <c r="V40" i="65"/>
  <c r="V13" i="65" s="1"/>
  <c r="U40" i="65"/>
  <c r="U13" i="65" s="1"/>
  <c r="T40" i="65"/>
  <c r="T13" i="65" s="1"/>
  <c r="S40" i="65"/>
  <c r="S13" i="65" s="1"/>
  <c r="R40" i="65"/>
  <c r="R13" i="65" s="1"/>
  <c r="Q40" i="65"/>
  <c r="Q13" i="65" s="1"/>
  <c r="P40" i="65"/>
  <c r="P13" i="65" s="1"/>
  <c r="O40" i="65"/>
  <c r="O13" i="65" s="1"/>
  <c r="N40" i="65"/>
  <c r="M40" i="65"/>
  <c r="M13" i="65" s="1"/>
  <c r="L40" i="65"/>
  <c r="L13" i="65" s="1"/>
  <c r="K40" i="65"/>
  <c r="K13" i="65" s="1"/>
  <c r="J40" i="65"/>
  <c r="J13" i="65" s="1"/>
  <c r="K29" i="65"/>
  <c r="K12" i="65" s="1"/>
  <c r="L29" i="65"/>
  <c r="M29" i="65"/>
  <c r="N29" i="65"/>
  <c r="N12" i="65" s="1"/>
  <c r="O29" i="65"/>
  <c r="P29" i="65"/>
  <c r="P12" i="65" s="1"/>
  <c r="Q29" i="65"/>
  <c r="Q12" i="65" s="1"/>
  <c r="R29" i="65"/>
  <c r="R12" i="65" s="1"/>
  <c r="S29" i="65"/>
  <c r="S12" i="65" s="1"/>
  <c r="T29" i="65"/>
  <c r="U29" i="65"/>
  <c r="U12" i="65" s="1"/>
  <c r="V29" i="65"/>
  <c r="V12" i="65" s="1"/>
  <c r="J29" i="65"/>
  <c r="J12" i="65" s="1"/>
  <c r="AK40" i="36"/>
  <c r="AJ40" i="36"/>
  <c r="AI40" i="36"/>
  <c r="AH40" i="36"/>
  <c r="AG40" i="36"/>
  <c r="AF40" i="36"/>
  <c r="AE40" i="36"/>
  <c r="AD40" i="36"/>
  <c r="AC40" i="36"/>
  <c r="AB40" i="36"/>
  <c r="AA40" i="36"/>
  <c r="Z40" i="36"/>
  <c r="Y40" i="36"/>
  <c r="AK29" i="36"/>
  <c r="AJ29" i="36"/>
  <c r="AI29" i="36"/>
  <c r="AH29" i="36"/>
  <c r="AG29" i="36"/>
  <c r="AF29" i="36"/>
  <c r="AE29" i="36"/>
  <c r="AD29" i="36"/>
  <c r="AC29" i="36"/>
  <c r="AB29" i="36"/>
  <c r="AA29" i="36"/>
  <c r="Z29" i="36"/>
  <c r="Y29" i="36"/>
  <c r="CB70" i="36"/>
  <c r="BZ70" i="36"/>
  <c r="BX70" i="36"/>
  <c r="CB63" i="36"/>
  <c r="BZ63" i="36"/>
  <c r="BX63" i="36"/>
  <c r="BM70" i="36"/>
  <c r="BM63" i="36"/>
  <c r="BK70" i="36"/>
  <c r="BK63" i="36"/>
  <c r="BI70" i="36"/>
  <c r="BI63" i="36"/>
  <c r="BF70" i="36"/>
  <c r="BE70" i="36"/>
  <c r="BD70" i="36"/>
  <c r="BC70" i="36"/>
  <c r="BB70" i="36"/>
  <c r="BA70" i="36"/>
  <c r="AZ70" i="36"/>
  <c r="AY70" i="36"/>
  <c r="AX70" i="36"/>
  <c r="AW70" i="36"/>
  <c r="AV70" i="36"/>
  <c r="AU70" i="36"/>
  <c r="AT70" i="36"/>
  <c r="AS70" i="36"/>
  <c r="AR70" i="36"/>
  <c r="AQ70" i="36"/>
  <c r="AP70" i="36"/>
  <c r="AO70" i="36"/>
  <c r="AN70" i="36"/>
  <c r="AO63" i="36"/>
  <c r="AP63" i="36"/>
  <c r="AQ63" i="36"/>
  <c r="AR63" i="36"/>
  <c r="AS63" i="36"/>
  <c r="AT63" i="36"/>
  <c r="AU63" i="36"/>
  <c r="AV63" i="36"/>
  <c r="AW63" i="36"/>
  <c r="AX63" i="36"/>
  <c r="AY63" i="36"/>
  <c r="AZ63" i="36"/>
  <c r="BA63" i="36"/>
  <c r="BB63" i="36"/>
  <c r="BC63" i="36"/>
  <c r="BD63" i="36"/>
  <c r="BD84" i="36" s="1"/>
  <c r="BE63" i="36"/>
  <c r="BF63" i="36"/>
  <c r="BF84" i="36" s="1"/>
  <c r="AN63" i="36"/>
  <c r="CJ40" i="36"/>
  <c r="CH40" i="36"/>
  <c r="CF40" i="36"/>
  <c r="CD40" i="36"/>
  <c r="CB40" i="36"/>
  <c r="CJ29" i="36"/>
  <c r="CH29" i="36"/>
  <c r="CF29" i="36"/>
  <c r="CD29" i="36"/>
  <c r="CB29" i="36"/>
  <c r="BU40" i="36"/>
  <c r="BU29" i="36"/>
  <c r="BS40" i="36"/>
  <c r="BS29" i="36"/>
  <c r="BQ40" i="36"/>
  <c r="BQ29" i="36"/>
  <c r="BO40" i="36"/>
  <c r="BO29" i="36"/>
  <c r="BM40" i="36"/>
  <c r="BM29" i="36"/>
  <c r="BA29" i="36"/>
  <c r="BB29" i="36"/>
  <c r="BC29" i="36"/>
  <c r="BD29" i="36"/>
  <c r="BE29" i="36"/>
  <c r="BF29" i="36"/>
  <c r="BA40" i="36"/>
  <c r="BB40" i="36"/>
  <c r="BC40" i="36"/>
  <c r="BD40" i="36"/>
  <c r="BE40" i="36"/>
  <c r="BF40" i="36"/>
  <c r="AZ40" i="36"/>
  <c r="AY40" i="36"/>
  <c r="AX40" i="36"/>
  <c r="AW40" i="36"/>
  <c r="AV40" i="36"/>
  <c r="AU40" i="36"/>
  <c r="AT40" i="36"/>
  <c r="AS40" i="36"/>
  <c r="AR40" i="36"/>
  <c r="AQ40" i="36"/>
  <c r="AP40" i="36"/>
  <c r="AO40" i="36"/>
  <c r="AN40" i="36"/>
  <c r="AZ29" i="36"/>
  <c r="AY29" i="36"/>
  <c r="AX29" i="36"/>
  <c r="AW29" i="36"/>
  <c r="AV29" i="36"/>
  <c r="AU29" i="36"/>
  <c r="AT29" i="36"/>
  <c r="AS29" i="36"/>
  <c r="AR29" i="36"/>
  <c r="AQ29" i="36"/>
  <c r="AP29" i="36"/>
  <c r="AO29" i="36"/>
  <c r="AN29" i="36"/>
  <c r="V40" i="36"/>
  <c r="V13" i="36" s="1"/>
  <c r="U40" i="36"/>
  <c r="U13" i="36" s="1"/>
  <c r="T40" i="36"/>
  <c r="T13" i="36" s="1"/>
  <c r="S40" i="36"/>
  <c r="S13" i="36" s="1"/>
  <c r="R40" i="36"/>
  <c r="R13" i="36" s="1"/>
  <c r="Q40" i="36"/>
  <c r="Q13" i="36" s="1"/>
  <c r="P40" i="36"/>
  <c r="P13" i="36" s="1"/>
  <c r="O40" i="36"/>
  <c r="O13" i="36" s="1"/>
  <c r="N40" i="36"/>
  <c r="M40" i="36"/>
  <c r="M13" i="36" s="1"/>
  <c r="L40" i="36"/>
  <c r="L13" i="36" s="1"/>
  <c r="K40" i="36"/>
  <c r="K13" i="36" s="1"/>
  <c r="J40" i="36"/>
  <c r="J13" i="36" s="1"/>
  <c r="K29" i="36"/>
  <c r="K12" i="36" s="1"/>
  <c r="L29" i="36"/>
  <c r="M29" i="36"/>
  <c r="N29" i="36"/>
  <c r="N47" i="76" s="1"/>
  <c r="O29" i="36"/>
  <c r="P29" i="36"/>
  <c r="Q29" i="36"/>
  <c r="R29" i="36"/>
  <c r="S29" i="36"/>
  <c r="T29" i="36"/>
  <c r="U29" i="36"/>
  <c r="V29" i="36"/>
  <c r="J29" i="36"/>
  <c r="AM207" i="34"/>
  <c r="AM168" i="34"/>
  <c r="AN40" i="34"/>
  <c r="AM29" i="34"/>
  <c r="Q12" i="66" l="1"/>
  <c r="AX30" i="22"/>
  <c r="AX32" i="22" s="1"/>
  <c r="AX33" i="22" s="1"/>
  <c r="U34" i="22"/>
  <c r="BB84" i="36"/>
  <c r="O12" i="66"/>
  <c r="O15" i="66" s="1"/>
  <c r="P12" i="66"/>
  <c r="J12" i="66"/>
  <c r="J61" i="66"/>
  <c r="R12" i="66"/>
  <c r="R15" i="66" s="1"/>
  <c r="R61" i="66"/>
  <c r="R96" i="76" s="1"/>
  <c r="U12" i="66"/>
  <c r="U15" i="66" s="1"/>
  <c r="U61" i="66"/>
  <c r="U96" i="76" s="1"/>
  <c r="M12" i="66"/>
  <c r="M61" i="66"/>
  <c r="M96" i="76" s="1"/>
  <c r="T12" i="66"/>
  <c r="T15" i="66" s="1"/>
  <c r="T61" i="66"/>
  <c r="T96" i="76" s="1"/>
  <c r="L12" i="66"/>
  <c r="L61" i="66"/>
  <c r="L96" i="76" s="1"/>
  <c r="S12" i="66"/>
  <c r="S15" i="66" s="1"/>
  <c r="S61" i="66"/>
  <c r="S96" i="76" s="1"/>
  <c r="K12" i="66"/>
  <c r="K15" i="66" s="1"/>
  <c r="K61" i="66"/>
  <c r="K96" i="76" s="1"/>
  <c r="BH177" i="76"/>
  <c r="R13" i="69"/>
  <c r="BL177" i="76"/>
  <c r="BD177" i="76"/>
  <c r="BD47" i="76"/>
  <c r="BH47" i="76"/>
  <c r="BL47" i="76"/>
  <c r="BO177" i="76"/>
  <c r="BK177" i="76"/>
  <c r="BG177" i="76"/>
  <c r="BE49" i="76"/>
  <c r="BI49" i="76"/>
  <c r="BM49" i="76"/>
  <c r="BD76" i="76"/>
  <c r="BS76" i="76" s="1"/>
  <c r="BH76" i="76"/>
  <c r="BW76" i="76" s="1"/>
  <c r="BL76" i="76"/>
  <c r="CA76" i="76" s="1"/>
  <c r="BG97" i="76"/>
  <c r="BK97" i="76"/>
  <c r="BO97" i="76"/>
  <c r="BF118" i="76"/>
  <c r="BU118" i="76" s="1"/>
  <c r="BJ118" i="76"/>
  <c r="BN118" i="76"/>
  <c r="CC118" i="76" s="1"/>
  <c r="BE139" i="76"/>
  <c r="BI139" i="76"/>
  <c r="BX139" i="76" s="1"/>
  <c r="BM139" i="76"/>
  <c r="CB139" i="76" s="1"/>
  <c r="BF47" i="76"/>
  <c r="BJ47" i="76"/>
  <c r="BN47" i="76"/>
  <c r="BM177" i="76"/>
  <c r="BI177" i="76"/>
  <c r="K16" i="69"/>
  <c r="BE47" i="76"/>
  <c r="BI47" i="76"/>
  <c r="BN177" i="76"/>
  <c r="BJ177" i="76"/>
  <c r="BF177" i="76"/>
  <c r="BF49" i="76"/>
  <c r="BJ49" i="76"/>
  <c r="BN49" i="76"/>
  <c r="BE76" i="76"/>
  <c r="BT76" i="76" s="1"/>
  <c r="BI76" i="76"/>
  <c r="BM76" i="76"/>
  <c r="BD97" i="76"/>
  <c r="BH97" i="76"/>
  <c r="BL97" i="76"/>
  <c r="BG118" i="76"/>
  <c r="BV118" i="76" s="1"/>
  <c r="BK118" i="76"/>
  <c r="BO118" i="76"/>
  <c r="BF139" i="76"/>
  <c r="BJ139" i="76"/>
  <c r="BN139" i="76"/>
  <c r="CC139" i="76" s="1"/>
  <c r="J15" i="69"/>
  <c r="O14" i="69"/>
  <c r="AR98" i="76"/>
  <c r="AU119" i="76"/>
  <c r="BE77" i="76"/>
  <c r="BT77" i="76" s="1"/>
  <c r="BI77" i="76"/>
  <c r="BX77" i="76" s="1"/>
  <c r="BM77" i="76"/>
  <c r="CB77" i="76" s="1"/>
  <c r="BD98" i="76"/>
  <c r="BS98" i="76" s="1"/>
  <c r="BH98" i="76"/>
  <c r="BW98" i="76" s="1"/>
  <c r="BL98" i="76"/>
  <c r="CA98" i="76" s="1"/>
  <c r="BG119" i="76"/>
  <c r="BV119" i="76" s="1"/>
  <c r="BK119" i="76"/>
  <c r="BZ119" i="76" s="1"/>
  <c r="BO119" i="76"/>
  <c r="CD119" i="76" s="1"/>
  <c r="BM47" i="76"/>
  <c r="BC177" i="76"/>
  <c r="S14" i="69"/>
  <c r="P13" i="69"/>
  <c r="BF77" i="76"/>
  <c r="BU77" i="76" s="1"/>
  <c r="BJ77" i="76"/>
  <c r="BY77" i="76" s="1"/>
  <c r="BN77" i="76"/>
  <c r="CC77" i="76" s="1"/>
  <c r="BE98" i="76"/>
  <c r="BT98" i="76" s="1"/>
  <c r="BI98" i="76"/>
  <c r="BX98" i="76" s="1"/>
  <c r="BM98" i="76"/>
  <c r="CB98" i="76" s="1"/>
  <c r="BD119" i="76"/>
  <c r="BS119" i="76" s="1"/>
  <c r="BH119" i="76"/>
  <c r="BW119" i="76" s="1"/>
  <c r="BL119" i="76"/>
  <c r="CA119" i="76" s="1"/>
  <c r="AP84" i="36"/>
  <c r="BE177" i="76"/>
  <c r="BG77" i="76"/>
  <c r="BV77" i="76" s="1"/>
  <c r="BK77" i="76"/>
  <c r="BZ77" i="76" s="1"/>
  <c r="BO77" i="76"/>
  <c r="CD77" i="76" s="1"/>
  <c r="BF98" i="76"/>
  <c r="BU98" i="76" s="1"/>
  <c r="BJ98" i="76"/>
  <c r="BY98" i="76" s="1"/>
  <c r="BN98" i="76"/>
  <c r="CC98" i="76" s="1"/>
  <c r="BE119" i="76"/>
  <c r="BT119" i="76" s="1"/>
  <c r="BI119" i="76"/>
  <c r="BX119" i="76" s="1"/>
  <c r="BM119" i="76"/>
  <c r="CB119" i="76" s="1"/>
  <c r="BG47" i="76"/>
  <c r="BG53" i="76" s="1"/>
  <c r="BG12" i="76" s="1"/>
  <c r="BK47" i="76"/>
  <c r="BK53" i="76" s="1"/>
  <c r="BK12" i="76" s="1"/>
  <c r="BO47" i="76"/>
  <c r="BO53" i="76" s="1"/>
  <c r="BO12" i="76" s="1"/>
  <c r="BD49" i="76"/>
  <c r="BH49" i="76"/>
  <c r="BL49" i="76"/>
  <c r="BG76" i="76"/>
  <c r="BV76" i="76" s="1"/>
  <c r="BK76" i="76"/>
  <c r="BZ76" i="76" s="1"/>
  <c r="BO76" i="76"/>
  <c r="CD76" i="76" s="1"/>
  <c r="BF97" i="76"/>
  <c r="BJ97" i="76"/>
  <c r="BN97" i="76"/>
  <c r="BE118" i="76"/>
  <c r="BI118" i="76"/>
  <c r="BM118" i="76"/>
  <c r="BD139" i="76"/>
  <c r="BH139" i="76"/>
  <c r="BL139" i="76"/>
  <c r="CA139" i="76" s="1"/>
  <c r="T13" i="69"/>
  <c r="BD77" i="76"/>
  <c r="BS77" i="76" s="1"/>
  <c r="BH77" i="76"/>
  <c r="BW77" i="76" s="1"/>
  <c r="BL77" i="76"/>
  <c r="CA77" i="76" s="1"/>
  <c r="BG98" i="76"/>
  <c r="BV98" i="76" s="1"/>
  <c r="BK98" i="76"/>
  <c r="BZ98" i="76" s="1"/>
  <c r="BO98" i="76"/>
  <c r="CD98" i="76" s="1"/>
  <c r="BF119" i="76"/>
  <c r="BU119" i="76" s="1"/>
  <c r="BJ119" i="76"/>
  <c r="BY119" i="76" s="1"/>
  <c r="BN119" i="76"/>
  <c r="CC119" i="76" s="1"/>
  <c r="BC49" i="76"/>
  <c r="K15" i="36"/>
  <c r="AB47" i="76"/>
  <c r="AF47" i="76"/>
  <c r="AJ47" i="76"/>
  <c r="Z47" i="76"/>
  <c r="AH47" i="76"/>
  <c r="P15" i="65"/>
  <c r="V96" i="76"/>
  <c r="N96" i="76"/>
  <c r="BM179" i="76"/>
  <c r="BI179" i="76"/>
  <c r="BZ84" i="36"/>
  <c r="Q47" i="76"/>
  <c r="BE84" i="36"/>
  <c r="BA84" i="36"/>
  <c r="AW84" i="36"/>
  <c r="AO84" i="36"/>
  <c r="BV53" i="65"/>
  <c r="N14" i="69"/>
  <c r="BK53" i="65"/>
  <c r="BX53" i="65"/>
  <c r="Q15" i="69"/>
  <c r="U24" i="41"/>
  <c r="Q24" i="41"/>
  <c r="M24" i="41"/>
  <c r="T15" i="69"/>
  <c r="BM105" i="69"/>
  <c r="CB105" i="69"/>
  <c r="BR173" i="69"/>
  <c r="J13" i="67"/>
  <c r="R14" i="67"/>
  <c r="L15" i="69"/>
  <c r="J98" i="76"/>
  <c r="AN98" i="76" s="1"/>
  <c r="J14" i="69"/>
  <c r="V98" i="76"/>
  <c r="AZ98" i="76" s="1"/>
  <c r="V14" i="69"/>
  <c r="M119" i="76"/>
  <c r="AQ119" i="76" s="1"/>
  <c r="M15" i="69"/>
  <c r="U119" i="76"/>
  <c r="AY119" i="76" s="1"/>
  <c r="U15" i="69"/>
  <c r="AA53" i="65"/>
  <c r="AA75" i="76" s="1"/>
  <c r="AA78" i="76" s="1"/>
  <c r="AA90" i="76" s="1"/>
  <c r="AE53" i="65"/>
  <c r="AE75" i="76" s="1"/>
  <c r="AE78" i="76" s="1"/>
  <c r="AE90" i="76" s="1"/>
  <c r="AI53" i="65"/>
  <c r="AI75" i="76" s="1"/>
  <c r="AI78" i="76" s="1"/>
  <c r="AI90" i="76" s="1"/>
  <c r="AQ53" i="65"/>
  <c r="AU53" i="65"/>
  <c r="AY53" i="65"/>
  <c r="BG53" i="65"/>
  <c r="BO53" i="65"/>
  <c r="P117" i="76"/>
  <c r="Z117" i="76"/>
  <c r="Z120" i="76" s="1"/>
  <c r="Z132" i="76" s="1"/>
  <c r="AH117" i="76"/>
  <c r="AH120" i="76" s="1"/>
  <c r="AH132" i="76" s="1"/>
  <c r="BC117" i="76"/>
  <c r="N140" i="76"/>
  <c r="N16" i="69"/>
  <c r="V140" i="76"/>
  <c r="V16" i="69"/>
  <c r="AP105" i="69"/>
  <c r="AT105" i="69"/>
  <c r="AX105" i="69"/>
  <c r="BE173" i="69"/>
  <c r="BI84" i="36"/>
  <c r="BM84" i="36"/>
  <c r="CB84" i="36"/>
  <c r="Y47" i="76"/>
  <c r="AG47" i="76"/>
  <c r="U15" i="65"/>
  <c r="M53" i="65"/>
  <c r="M75" i="76" s="1"/>
  <c r="AB53" i="65"/>
  <c r="AB75" i="76" s="1"/>
  <c r="AB78" i="76" s="1"/>
  <c r="AB17" i="76" s="1"/>
  <c r="AB19" i="76" s="1"/>
  <c r="AJ53" i="65"/>
  <c r="AJ75" i="76" s="1"/>
  <c r="AJ78" i="76" s="1"/>
  <c r="AJ17" i="76" s="1"/>
  <c r="AJ19" i="76" s="1"/>
  <c r="AX76" i="65"/>
  <c r="BM178" i="76" s="1"/>
  <c r="AP76" i="65"/>
  <c r="BE178" i="76" s="1"/>
  <c r="BV173" i="69"/>
  <c r="J47" i="76"/>
  <c r="S47" i="76"/>
  <c r="O47" i="76"/>
  <c r="K47" i="76"/>
  <c r="AN84" i="36"/>
  <c r="BC84" i="36"/>
  <c r="AY84" i="36"/>
  <c r="AQ84" i="36"/>
  <c r="BK84" i="36"/>
  <c r="BX84" i="36"/>
  <c r="AA47" i="76"/>
  <c r="AE47" i="76"/>
  <c r="AI47" i="76"/>
  <c r="AP53" i="65"/>
  <c r="AT53" i="65"/>
  <c r="AX53" i="65"/>
  <c r="AZ76" i="65"/>
  <c r="BO178" i="76" s="1"/>
  <c r="AV76" i="65"/>
  <c r="BK178" i="76" s="1"/>
  <c r="AR76" i="65"/>
  <c r="BG178" i="76" s="1"/>
  <c r="Z96" i="76"/>
  <c r="Z99" i="76" s="1"/>
  <c r="Z111" i="76" s="1"/>
  <c r="AD96" i="76"/>
  <c r="AD99" i="76" s="1"/>
  <c r="AD111" i="76" s="1"/>
  <c r="AH96" i="76"/>
  <c r="AH99" i="76" s="1"/>
  <c r="AH111" i="76" s="1"/>
  <c r="AE117" i="76"/>
  <c r="P13" i="67"/>
  <c r="R15" i="69"/>
  <c r="K14" i="69"/>
  <c r="L13" i="69"/>
  <c r="BG173" i="69"/>
  <c r="AT141" i="70"/>
  <c r="AX141" i="70"/>
  <c r="BC173" i="69"/>
  <c r="BT173" i="69"/>
  <c r="AZ84" i="36"/>
  <c r="AX84" i="36"/>
  <c r="AV84" i="36"/>
  <c r="AU84" i="36"/>
  <c r="AT84" i="36"/>
  <c r="AS84" i="36"/>
  <c r="AR84" i="36"/>
  <c r="T53" i="65"/>
  <c r="T75" i="76" s="1"/>
  <c r="T12" i="65"/>
  <c r="T15" i="65" s="1"/>
  <c r="O53" i="65"/>
  <c r="O75" i="76" s="1"/>
  <c r="O12" i="65"/>
  <c r="O15" i="65" s="1"/>
  <c r="L12" i="65"/>
  <c r="L15" i="65" s="1"/>
  <c r="L53" i="65"/>
  <c r="L75" i="76" s="1"/>
  <c r="R53" i="65"/>
  <c r="R75" i="76" s="1"/>
  <c r="Z53" i="65"/>
  <c r="Z75" i="76" s="1"/>
  <c r="Z78" i="76" s="1"/>
  <c r="Z90" i="76" s="1"/>
  <c r="AD53" i="65"/>
  <c r="AD75" i="76" s="1"/>
  <c r="AD78" i="76" s="1"/>
  <c r="AD17" i="76" s="1"/>
  <c r="AD19" i="76" s="1"/>
  <c r="AH53" i="65"/>
  <c r="AH75" i="76" s="1"/>
  <c r="AH78" i="76" s="1"/>
  <c r="AH90" i="76" s="1"/>
  <c r="AR53" i="65"/>
  <c r="J49" i="76"/>
  <c r="V49" i="76"/>
  <c r="U49" i="76"/>
  <c r="T49" i="76"/>
  <c r="S49" i="76"/>
  <c r="R49" i="76"/>
  <c r="Q49" i="76"/>
  <c r="P49" i="76"/>
  <c r="O49" i="76"/>
  <c r="N49" i="76"/>
  <c r="M49" i="76"/>
  <c r="L49" i="76"/>
  <c r="K49" i="76"/>
  <c r="J76" i="76"/>
  <c r="AN76" i="76" s="1"/>
  <c r="K76" i="76"/>
  <c r="AO76" i="76" s="1"/>
  <c r="L76" i="76"/>
  <c r="M76" i="76"/>
  <c r="N76" i="76"/>
  <c r="AR76" i="76" s="1"/>
  <c r="O76" i="76"/>
  <c r="AS76" i="76" s="1"/>
  <c r="P76" i="76"/>
  <c r="AT76" i="76" s="1"/>
  <c r="Q76" i="76"/>
  <c r="AU76" i="76" s="1"/>
  <c r="R76" i="76"/>
  <c r="AV76" i="76" s="1"/>
  <c r="S76" i="76"/>
  <c r="AW76" i="76" s="1"/>
  <c r="T76" i="76"/>
  <c r="AX76" i="76" s="1"/>
  <c r="U76" i="76"/>
  <c r="V76" i="76"/>
  <c r="AZ76" i="76" s="1"/>
  <c r="J97" i="76"/>
  <c r="AN97" i="76" s="1"/>
  <c r="K97" i="76"/>
  <c r="AO97" i="76" s="1"/>
  <c r="L97" i="76"/>
  <c r="AP97" i="76" s="1"/>
  <c r="M97" i="76"/>
  <c r="AQ97" i="76" s="1"/>
  <c r="N97" i="76"/>
  <c r="AR97" i="76" s="1"/>
  <c r="O97" i="76"/>
  <c r="AS97" i="76" s="1"/>
  <c r="P97" i="76"/>
  <c r="AT97" i="76" s="1"/>
  <c r="Q97" i="76"/>
  <c r="AU97" i="76" s="1"/>
  <c r="R97" i="76"/>
  <c r="AV97" i="76" s="1"/>
  <c r="S97" i="76"/>
  <c r="AW97" i="76" s="1"/>
  <c r="T97" i="76"/>
  <c r="AX97" i="76" s="1"/>
  <c r="U97" i="76"/>
  <c r="AY97" i="76" s="1"/>
  <c r="V97" i="76"/>
  <c r="AZ97" i="76" s="1"/>
  <c r="J118" i="76"/>
  <c r="AN118" i="76" s="1"/>
  <c r="K118" i="76"/>
  <c r="AO118" i="76" s="1"/>
  <c r="BS118" i="76" s="1"/>
  <c r="L118" i="76"/>
  <c r="AP118" i="76" s="1"/>
  <c r="M118" i="76"/>
  <c r="AQ118" i="76" s="1"/>
  <c r="N118" i="76"/>
  <c r="AR118" i="76" s="1"/>
  <c r="O118" i="76"/>
  <c r="AS118" i="76" s="1"/>
  <c r="P118" i="76"/>
  <c r="AT118" i="76" s="1"/>
  <c r="Q118" i="76"/>
  <c r="AU118" i="76" s="1"/>
  <c r="R118" i="76"/>
  <c r="AV118" i="76" s="1"/>
  <c r="S118" i="76"/>
  <c r="AW118" i="76" s="1"/>
  <c r="CA118" i="76" s="1"/>
  <c r="T118" i="76"/>
  <c r="AX118" i="76" s="1"/>
  <c r="U118" i="76"/>
  <c r="AY118" i="76" s="1"/>
  <c r="V118" i="76"/>
  <c r="AZ118" i="76" s="1"/>
  <c r="J139" i="76"/>
  <c r="AN139" i="76" s="1"/>
  <c r="K139" i="76"/>
  <c r="AO139" i="76" s="1"/>
  <c r="L139" i="76"/>
  <c r="AP139" i="76" s="1"/>
  <c r="M139" i="76"/>
  <c r="AQ139" i="76" s="1"/>
  <c r="N139" i="76"/>
  <c r="AR139" i="76" s="1"/>
  <c r="BV139" i="76" s="1"/>
  <c r="O139" i="76"/>
  <c r="AS139" i="76" s="1"/>
  <c r="P139" i="76"/>
  <c r="AT139" i="76" s="1"/>
  <c r="Q139" i="76"/>
  <c r="AU139" i="76" s="1"/>
  <c r="R139" i="76"/>
  <c r="AV139" i="76" s="1"/>
  <c r="S139" i="76"/>
  <c r="AW139" i="76" s="1"/>
  <c r="T139" i="76"/>
  <c r="AX139" i="76" s="1"/>
  <c r="U139" i="76"/>
  <c r="AY139" i="76" s="1"/>
  <c r="V139" i="76"/>
  <c r="AZ139" i="76" s="1"/>
  <c r="BC76" i="76"/>
  <c r="BR76" i="76" s="1"/>
  <c r="CB76" i="76"/>
  <c r="BC97" i="76"/>
  <c r="BT97" i="76"/>
  <c r="BX97" i="76"/>
  <c r="CB97" i="76"/>
  <c r="BC118" i="76"/>
  <c r="BR118" i="76" s="1"/>
  <c r="BC139" i="76"/>
  <c r="BY139" i="76"/>
  <c r="BZ139" i="76"/>
  <c r="CD139" i="76"/>
  <c r="Y49" i="76"/>
  <c r="Z49" i="76"/>
  <c r="AA49" i="76"/>
  <c r="AB49" i="76"/>
  <c r="AC49" i="76"/>
  <c r="AD49" i="76"/>
  <c r="AE49" i="76"/>
  <c r="AF49" i="76"/>
  <c r="AG49" i="76"/>
  <c r="AH49" i="76"/>
  <c r="AI49" i="76"/>
  <c r="AJ49" i="76"/>
  <c r="AK49" i="76"/>
  <c r="V12" i="70"/>
  <c r="V18" i="70" s="1"/>
  <c r="U12" i="70"/>
  <c r="U18" i="70" s="1"/>
  <c r="T12" i="70"/>
  <c r="T18" i="70" s="1"/>
  <c r="S12" i="70"/>
  <c r="S18" i="70" s="1"/>
  <c r="R12" i="70"/>
  <c r="R18" i="70" s="1"/>
  <c r="Q12" i="70"/>
  <c r="Q18" i="70" s="1"/>
  <c r="P12" i="70"/>
  <c r="P18" i="70" s="1"/>
  <c r="O12" i="70"/>
  <c r="O18" i="70" s="1"/>
  <c r="N12" i="70"/>
  <c r="N18" i="70" s="1"/>
  <c r="M12" i="70"/>
  <c r="M18" i="70" s="1"/>
  <c r="L12" i="70"/>
  <c r="L18" i="70" s="1"/>
  <c r="K12" i="70"/>
  <c r="K18" i="70" s="1"/>
  <c r="AS141" i="70"/>
  <c r="J12" i="71"/>
  <c r="J21" i="71" s="1"/>
  <c r="T12" i="71"/>
  <c r="T21" i="71" s="1"/>
  <c r="S12" i="71"/>
  <c r="S21" i="71" s="1"/>
  <c r="R12" i="71"/>
  <c r="R21" i="71" s="1"/>
  <c r="P12" i="71"/>
  <c r="P21" i="71" s="1"/>
  <c r="O12" i="71"/>
  <c r="O21" i="71" s="1"/>
  <c r="M12" i="71"/>
  <c r="M21" i="71" s="1"/>
  <c r="L12" i="71"/>
  <c r="L21" i="71" s="1"/>
  <c r="K12" i="71"/>
  <c r="K21" i="71" s="1"/>
  <c r="R47" i="76"/>
  <c r="U47" i="76"/>
  <c r="M47" i="76"/>
  <c r="O12" i="36"/>
  <c r="O15" i="36" s="1"/>
  <c r="T47" i="76"/>
  <c r="L47" i="76"/>
  <c r="BC47" i="76"/>
  <c r="CB53" i="36"/>
  <c r="AC47" i="76"/>
  <c r="AK47" i="76"/>
  <c r="CD53" i="36"/>
  <c r="AD53" i="36"/>
  <c r="AD47" i="76"/>
  <c r="V53" i="36"/>
  <c r="V47" i="76"/>
  <c r="CF53" i="36"/>
  <c r="CH53" i="36"/>
  <c r="P47" i="76"/>
  <c r="CJ53" i="36"/>
  <c r="AF140" i="76"/>
  <c r="AU140" i="76" s="1"/>
  <c r="BT140" i="76"/>
  <c r="BX140" i="76"/>
  <c r="CB140" i="76"/>
  <c r="AC140" i="76"/>
  <c r="AG140" i="76"/>
  <c r="AV140" i="76" s="1"/>
  <c r="AK140" i="76"/>
  <c r="AQ105" i="69"/>
  <c r="AU105" i="69"/>
  <c r="AY105" i="69"/>
  <c r="BU140" i="76"/>
  <c r="BY140" i="76"/>
  <c r="CC140" i="76"/>
  <c r="BG105" i="69"/>
  <c r="BO105" i="69"/>
  <c r="BV105" i="69"/>
  <c r="CD105" i="69"/>
  <c r="S15" i="69"/>
  <c r="Q14" i="69"/>
  <c r="V13" i="69"/>
  <c r="L140" i="76"/>
  <c r="P140" i="76"/>
  <c r="T140" i="76"/>
  <c r="Z140" i="76"/>
  <c r="AO140" i="76" s="1"/>
  <c r="AD140" i="76"/>
  <c r="AS140" i="76" s="1"/>
  <c r="AH140" i="76"/>
  <c r="AW140" i="76" s="1"/>
  <c r="AN105" i="69"/>
  <c r="AR105" i="69"/>
  <c r="AV105" i="69"/>
  <c r="AZ105" i="69"/>
  <c r="BC140" i="76"/>
  <c r="BR140" i="76" s="1"/>
  <c r="BV140" i="76"/>
  <c r="BZ140" i="76"/>
  <c r="CD140" i="76"/>
  <c r="BI105" i="69"/>
  <c r="BX105" i="69"/>
  <c r="AX173" i="69"/>
  <c r="AT173" i="69"/>
  <c r="AP173" i="69"/>
  <c r="K15" i="69"/>
  <c r="U13" i="69"/>
  <c r="M13" i="69"/>
  <c r="AP77" i="76"/>
  <c r="AX77" i="76"/>
  <c r="AO98" i="76"/>
  <c r="AS98" i="76"/>
  <c r="AW98" i="76"/>
  <c r="AN119" i="76"/>
  <c r="AV119" i="76"/>
  <c r="M140" i="76"/>
  <c r="AQ140" i="76" s="1"/>
  <c r="U140" i="76"/>
  <c r="AY140" i="76" s="1"/>
  <c r="AA140" i="76"/>
  <c r="AE140" i="76"/>
  <c r="AI140" i="76"/>
  <c r="BS50" i="76"/>
  <c r="AO105" i="69"/>
  <c r="BW50" i="76"/>
  <c r="AS105" i="69"/>
  <c r="CA50" i="76"/>
  <c r="AW105" i="69"/>
  <c r="BS140" i="76"/>
  <c r="BW140" i="76"/>
  <c r="CA140" i="76"/>
  <c r="BK105" i="69"/>
  <c r="BZ105" i="69"/>
  <c r="J24" i="41"/>
  <c r="S24" i="41"/>
  <c r="O24" i="41"/>
  <c r="K24" i="41"/>
  <c r="V24" i="41"/>
  <c r="R24" i="41"/>
  <c r="N24" i="41"/>
  <c r="T24" i="41"/>
  <c r="P24" i="41"/>
  <c r="L24" i="41"/>
  <c r="BH138" i="76"/>
  <c r="BE181" i="76"/>
  <c r="BI181" i="76"/>
  <c r="BM181" i="76"/>
  <c r="K12" i="67"/>
  <c r="V12" i="67"/>
  <c r="N12" i="67"/>
  <c r="O12" i="67"/>
  <c r="U12" i="67"/>
  <c r="Q12" i="67"/>
  <c r="M12" i="67"/>
  <c r="T12" i="67"/>
  <c r="P12" i="67"/>
  <c r="L12" i="67"/>
  <c r="Z138" i="76"/>
  <c r="Q13" i="67"/>
  <c r="K13" i="67"/>
  <c r="O13" i="67"/>
  <c r="M13" i="67"/>
  <c r="U13" i="67"/>
  <c r="T13" i="67"/>
  <c r="N13" i="67"/>
  <c r="R13" i="67"/>
  <c r="V13" i="67"/>
  <c r="BN179" i="76"/>
  <c r="BF179" i="76"/>
  <c r="K15" i="65"/>
  <c r="V15" i="65"/>
  <c r="V53" i="65"/>
  <c r="V75" i="76" s="1"/>
  <c r="P53" i="65"/>
  <c r="P75" i="76" s="1"/>
  <c r="K53" i="65"/>
  <c r="K75" i="76" s="1"/>
  <c r="BR76" i="65"/>
  <c r="R14" i="65"/>
  <c r="R15" i="65" s="1"/>
  <c r="M12" i="65"/>
  <c r="M15" i="65" s="1"/>
  <c r="S15" i="65"/>
  <c r="U53" i="65"/>
  <c r="U75" i="76" s="1"/>
  <c r="Y53" i="65"/>
  <c r="Y75" i="76" s="1"/>
  <c r="Y78" i="76" s="1"/>
  <c r="AC53" i="65"/>
  <c r="AC75" i="76" s="1"/>
  <c r="AC78" i="76" s="1"/>
  <c r="AG53" i="65"/>
  <c r="AG75" i="76" s="1"/>
  <c r="AK53" i="65"/>
  <c r="AK75" i="76" s="1"/>
  <c r="AK78" i="76" s="1"/>
  <c r="AF53" i="65"/>
  <c r="AF75" i="76" s="1"/>
  <c r="AF78" i="76" s="1"/>
  <c r="AF90" i="76" s="1"/>
  <c r="AN53" i="65"/>
  <c r="BC75" i="76" s="1"/>
  <c r="AV53" i="65"/>
  <c r="BI53" i="65"/>
  <c r="BZ53" i="65"/>
  <c r="CD53" i="65"/>
  <c r="AO76" i="65"/>
  <c r="BD178" i="76" s="1"/>
  <c r="BE76" i="65"/>
  <c r="AO53" i="65"/>
  <c r="AS53" i="65"/>
  <c r="AW53" i="65"/>
  <c r="AZ53" i="65"/>
  <c r="CB53" i="65"/>
  <c r="U53" i="36"/>
  <c r="Q53" i="36"/>
  <c r="M53" i="36"/>
  <c r="AS53" i="36"/>
  <c r="AE53" i="36"/>
  <c r="V12" i="36"/>
  <c r="V15" i="36" s="1"/>
  <c r="BM53" i="36"/>
  <c r="U12" i="36"/>
  <c r="U15" i="36" s="1"/>
  <c r="Q12" i="36"/>
  <c r="Q15" i="36" s="1"/>
  <c r="AU53" i="36"/>
  <c r="BE53" i="36"/>
  <c r="BA53" i="36"/>
  <c r="N12" i="36"/>
  <c r="N53" i="36"/>
  <c r="AR53" i="36"/>
  <c r="AO53" i="36"/>
  <c r="AW53" i="36"/>
  <c r="BD53" i="36"/>
  <c r="BQ53" i="36"/>
  <c r="BU53" i="36"/>
  <c r="AA53" i="36"/>
  <c r="AI53" i="36"/>
  <c r="R12" i="36"/>
  <c r="R15" i="36" s="1"/>
  <c r="R53" i="36"/>
  <c r="AZ53" i="36"/>
  <c r="AH53" i="36"/>
  <c r="J12" i="36"/>
  <c r="J15" i="36" s="1"/>
  <c r="J53" i="36"/>
  <c r="T12" i="36"/>
  <c r="T15" i="36" s="1"/>
  <c r="T53" i="36"/>
  <c r="P12" i="36"/>
  <c r="P15" i="36" s="1"/>
  <c r="P53" i="36"/>
  <c r="L12" i="36"/>
  <c r="L15" i="36" s="1"/>
  <c r="L53" i="36"/>
  <c r="AP53" i="36"/>
  <c r="AT53" i="36"/>
  <c r="AX53" i="36"/>
  <c r="BC53" i="36"/>
  <c r="AB53" i="36"/>
  <c r="AF53" i="36"/>
  <c r="AJ53" i="36"/>
  <c r="AN53" i="36"/>
  <c r="AV53" i="36"/>
  <c r="Z53" i="36"/>
  <c r="S12" i="36"/>
  <c r="S15" i="36" s="1"/>
  <c r="S53" i="36"/>
  <c r="O53" i="36"/>
  <c r="K53" i="36"/>
  <c r="AQ53" i="36"/>
  <c r="AY53" i="36"/>
  <c r="BF53" i="36"/>
  <c r="BB53" i="36"/>
  <c r="BO53" i="36"/>
  <c r="BS53" i="36"/>
  <c r="Y53" i="36"/>
  <c r="AC53" i="36"/>
  <c r="AG53" i="36"/>
  <c r="AK53" i="36"/>
  <c r="AO47" i="76"/>
  <c r="AU77" i="76"/>
  <c r="AP98" i="76"/>
  <c r="AT98" i="76"/>
  <c r="AX98" i="76"/>
  <c r="AO119" i="76"/>
  <c r="AW119" i="76"/>
  <c r="AN140" i="76"/>
  <c r="AQ141" i="70"/>
  <c r="AY141" i="70"/>
  <c r="AN141" i="70"/>
  <c r="AR141" i="70"/>
  <c r="AV141" i="70"/>
  <c r="AZ141" i="70"/>
  <c r="AU141" i="70"/>
  <c r="AO141" i="70"/>
  <c r="AW141" i="70"/>
  <c r="AO173" i="69"/>
  <c r="AS173" i="69"/>
  <c r="AZ173" i="69"/>
  <c r="AV173" i="69"/>
  <c r="AR173" i="69"/>
  <c r="AN173" i="69"/>
  <c r="AW173" i="69"/>
  <c r="AY173" i="69"/>
  <c r="AU173" i="69"/>
  <c r="AQ173" i="69"/>
  <c r="BG181" i="76"/>
  <c r="BO181" i="76"/>
  <c r="BO179" i="76"/>
  <c r="M13" i="66"/>
  <c r="AB96" i="76"/>
  <c r="AB99" i="76" s="1"/>
  <c r="BH179" i="76"/>
  <c r="BL179" i="76"/>
  <c r="BC179" i="76"/>
  <c r="BG179" i="76"/>
  <c r="BK179" i="76"/>
  <c r="O96" i="76"/>
  <c r="P96" i="76"/>
  <c r="AJ96" i="76"/>
  <c r="AJ99" i="76" s="1"/>
  <c r="AJ111" i="76" s="1"/>
  <c r="BD179" i="76"/>
  <c r="AA96" i="76"/>
  <c r="AA99" i="76" s="1"/>
  <c r="AA22" i="76" s="1"/>
  <c r="AA24" i="76" s="1"/>
  <c r="AE96" i="76"/>
  <c r="AE99" i="76" s="1"/>
  <c r="AE22" i="76" s="1"/>
  <c r="AE24" i="76" s="1"/>
  <c r="AI96" i="76"/>
  <c r="AI99" i="76" s="1"/>
  <c r="M117" i="76"/>
  <c r="Q117" i="76"/>
  <c r="U117" i="76"/>
  <c r="AA117" i="76"/>
  <c r="AA120" i="76" s="1"/>
  <c r="AI117" i="76"/>
  <c r="AI120" i="76" s="1"/>
  <c r="M21" i="66"/>
  <c r="P18" i="66"/>
  <c r="P21" i="66" s="1"/>
  <c r="P14" i="66"/>
  <c r="N12" i="66"/>
  <c r="N15" i="66" s="1"/>
  <c r="AF96" i="76"/>
  <c r="AF99" i="76" s="1"/>
  <c r="AF22" i="76" s="1"/>
  <c r="AF24" i="76" s="1"/>
  <c r="BC96" i="76"/>
  <c r="J117" i="76"/>
  <c r="R21" i="66"/>
  <c r="AB117" i="76"/>
  <c r="AB120" i="76" s="1"/>
  <c r="AJ117" i="76"/>
  <c r="N117" i="76"/>
  <c r="V117" i="76"/>
  <c r="AF117" i="76"/>
  <c r="T117" i="76"/>
  <c r="Q96" i="76"/>
  <c r="L21" i="66"/>
  <c r="T21" i="66"/>
  <c r="AD117" i="76"/>
  <c r="AD120" i="76" s="1"/>
  <c r="L117" i="76"/>
  <c r="L14" i="66"/>
  <c r="BE179" i="76"/>
  <c r="U21" i="66"/>
  <c r="O21" i="66"/>
  <c r="V12" i="66"/>
  <c r="V15" i="66" s="1"/>
  <c r="Y96" i="76"/>
  <c r="Y99" i="76" s="1"/>
  <c r="Y111" i="76" s="1"/>
  <c r="AC96" i="76"/>
  <c r="AC99" i="76" s="1"/>
  <c r="AG96" i="76"/>
  <c r="AG99" i="76" s="1"/>
  <c r="AK96" i="76"/>
  <c r="K117" i="76"/>
  <c r="O117" i="76"/>
  <c r="Y117" i="76"/>
  <c r="Y120" i="76" s="1"/>
  <c r="AC117" i="76"/>
  <c r="AC120" i="76" s="1"/>
  <c r="AG117" i="76"/>
  <c r="AG120" i="76" s="1"/>
  <c r="AG132" i="76" s="1"/>
  <c r="AK117" i="76"/>
  <c r="AK120" i="76" s="1"/>
  <c r="AT76" i="65"/>
  <c r="BI178" i="76" s="1"/>
  <c r="AW76" i="65"/>
  <c r="BL178" i="76" s="1"/>
  <c r="AS76" i="65"/>
  <c r="BH178" i="76" s="1"/>
  <c r="AQ76" i="65"/>
  <c r="BF178" i="76" s="1"/>
  <c r="AU76" i="65"/>
  <c r="BJ178" i="76" s="1"/>
  <c r="AY76" i="65"/>
  <c r="BN178" i="76" s="1"/>
  <c r="BT76" i="65"/>
  <c r="BG76" i="65"/>
  <c r="BV76" i="65"/>
  <c r="AN76" i="65"/>
  <c r="BC178" i="76" s="1"/>
  <c r="BU76" i="76"/>
  <c r="BY76" i="76"/>
  <c r="CC76" i="76"/>
  <c r="BW118" i="76"/>
  <c r="AN77" i="76"/>
  <c r="AR77" i="76"/>
  <c r="AV77" i="76"/>
  <c r="AZ77" i="76"/>
  <c r="AU98" i="76"/>
  <c r="AP119" i="76"/>
  <c r="AT119" i="76"/>
  <c r="AX119" i="76"/>
  <c r="BO180" i="76"/>
  <c r="BH180" i="76"/>
  <c r="BG180" i="76"/>
  <c r="BN180" i="76"/>
  <c r="BF180" i="76"/>
  <c r="BM180" i="76"/>
  <c r="BI180" i="76"/>
  <c r="BE180" i="76"/>
  <c r="U12" i="71"/>
  <c r="U21" i="71" s="1"/>
  <c r="O86" i="19"/>
  <c r="N90" i="19"/>
  <c r="T14" i="67"/>
  <c r="S12" i="67"/>
  <c r="BK181" i="76"/>
  <c r="BK138" i="76"/>
  <c r="BK141" i="76" s="1"/>
  <c r="BK32" i="76" s="1"/>
  <c r="AD138" i="76"/>
  <c r="BL138" i="76"/>
  <c r="BF138" i="76"/>
  <c r="BI138" i="76"/>
  <c r="BJ138" i="76"/>
  <c r="BM138" i="76"/>
  <c r="BN138" i="76"/>
  <c r="BO138" i="76"/>
  <c r="BO141" i="76" s="1"/>
  <c r="BO32" i="76" s="1"/>
  <c r="R12" i="67"/>
  <c r="L13" i="67"/>
  <c r="K14" i="67"/>
  <c r="AO77" i="76"/>
  <c r="AW77" i="76"/>
  <c r="AQ77" i="76"/>
  <c r="AY77" i="76"/>
  <c r="BT50" i="76"/>
  <c r="Q13" i="69"/>
  <c r="R12" i="69"/>
  <c r="R105" i="69"/>
  <c r="R50" i="76"/>
  <c r="M14" i="69"/>
  <c r="M98" i="76"/>
  <c r="AQ98" i="76" s="1"/>
  <c r="U14" i="69"/>
  <c r="U98" i="76"/>
  <c r="AY98" i="76" s="1"/>
  <c r="AC105" i="69"/>
  <c r="AC50" i="76"/>
  <c r="AK105" i="69"/>
  <c r="AK50" i="76"/>
  <c r="S105" i="69"/>
  <c r="S50" i="76"/>
  <c r="L14" i="69"/>
  <c r="J105" i="69"/>
  <c r="Q12" i="69"/>
  <c r="Q105" i="69"/>
  <c r="Q50" i="76"/>
  <c r="AD105" i="69"/>
  <c r="AD50" i="76"/>
  <c r="BV50" i="76"/>
  <c r="CD50" i="76"/>
  <c r="K105" i="69"/>
  <c r="K50" i="76"/>
  <c r="S16" i="69"/>
  <c r="P105" i="69"/>
  <c r="P50" i="76"/>
  <c r="AE105" i="69"/>
  <c r="AE50" i="76"/>
  <c r="O15" i="69"/>
  <c r="O119" i="76"/>
  <c r="AS119" i="76" s="1"/>
  <c r="AJ105" i="69"/>
  <c r="AJ50" i="76"/>
  <c r="CB50" i="76"/>
  <c r="R16" i="69"/>
  <c r="T14" i="69"/>
  <c r="O105" i="69"/>
  <c r="O50" i="76"/>
  <c r="AF105" i="69"/>
  <c r="AF50" i="76"/>
  <c r="V105" i="69"/>
  <c r="V50" i="76"/>
  <c r="N12" i="69"/>
  <c r="N105" i="69"/>
  <c r="N50" i="76"/>
  <c r="O16" i="69"/>
  <c r="Y105" i="69"/>
  <c r="AG105" i="69"/>
  <c r="AG50" i="76"/>
  <c r="AB105" i="69"/>
  <c r="AB50" i="76"/>
  <c r="S12" i="69"/>
  <c r="U12" i="69"/>
  <c r="U105" i="69"/>
  <c r="U50" i="76"/>
  <c r="M12" i="69"/>
  <c r="M105" i="69"/>
  <c r="M50" i="76"/>
  <c r="O13" i="69"/>
  <c r="O77" i="76"/>
  <c r="AS77" i="76" s="1"/>
  <c r="R14" i="69"/>
  <c r="R98" i="76"/>
  <c r="AV98" i="76" s="1"/>
  <c r="Z105" i="69"/>
  <c r="Z50" i="76"/>
  <c r="AH105" i="69"/>
  <c r="AH50" i="76"/>
  <c r="BC50" i="76"/>
  <c r="BR50" i="76" s="1"/>
  <c r="BZ50" i="76"/>
  <c r="J16" i="69"/>
  <c r="P15" i="69"/>
  <c r="P14" i="69"/>
  <c r="S13" i="69"/>
  <c r="O12" i="69"/>
  <c r="T105" i="69"/>
  <c r="T50" i="76"/>
  <c r="L105" i="69"/>
  <c r="L50" i="76"/>
  <c r="AT77" i="76"/>
  <c r="N15" i="69"/>
  <c r="N119" i="76"/>
  <c r="V15" i="69"/>
  <c r="V119" i="76"/>
  <c r="Q16" i="69"/>
  <c r="AA105" i="69"/>
  <c r="AA50" i="76"/>
  <c r="AI105" i="69"/>
  <c r="AI50" i="76"/>
  <c r="BL180" i="76"/>
  <c r="BD180" i="76"/>
  <c r="BC180" i="76"/>
  <c r="BJ179" i="76"/>
  <c r="BK180" i="76"/>
  <c r="BJ180" i="76"/>
  <c r="AY76" i="76"/>
  <c r="Y50" i="76"/>
  <c r="J12" i="69"/>
  <c r="J50" i="76"/>
  <c r="N15" i="71"/>
  <c r="N21" i="71" s="1"/>
  <c r="V15" i="71"/>
  <c r="V21" i="71" s="1"/>
  <c r="Q21" i="71"/>
  <c r="AP141" i="70"/>
  <c r="J12" i="70"/>
  <c r="J18" i="70" s="1"/>
  <c r="N13" i="69"/>
  <c r="K13" i="69"/>
  <c r="J13" i="69"/>
  <c r="S13" i="67"/>
  <c r="J12" i="67"/>
  <c r="J96" i="76"/>
  <c r="S117" i="76"/>
  <c r="J18" i="66"/>
  <c r="J21" i="66" s="1"/>
  <c r="Q21" i="66"/>
  <c r="V20" i="66"/>
  <c r="V21" i="66" s="1"/>
  <c r="N20" i="66"/>
  <c r="N21" i="66" s="1"/>
  <c r="S18" i="66"/>
  <c r="S21" i="66" s="1"/>
  <c r="K18" i="66"/>
  <c r="K21" i="66" s="1"/>
  <c r="R117" i="76"/>
  <c r="J14" i="66"/>
  <c r="Q15" i="66"/>
  <c r="N53" i="65"/>
  <c r="N75" i="76" s="1"/>
  <c r="S53" i="65"/>
  <c r="S75" i="76" s="1"/>
  <c r="Q15" i="65"/>
  <c r="Q53" i="65"/>
  <c r="Q75" i="76" s="1"/>
  <c r="N13" i="65"/>
  <c r="N15" i="65" s="1"/>
  <c r="BC76" i="65"/>
  <c r="BM53" i="65"/>
  <c r="J53" i="65"/>
  <c r="J75" i="76" s="1"/>
  <c r="J15" i="65"/>
  <c r="N13" i="36"/>
  <c r="M12" i="36"/>
  <c r="M15" i="36" s="1"/>
  <c r="BF141" i="76" l="1"/>
  <c r="BF32" i="76" s="1"/>
  <c r="N15" i="98"/>
  <c r="J15" i="66"/>
  <c r="J23" i="66" s="1"/>
  <c r="BL141" i="76"/>
  <c r="BL32" i="76" s="1"/>
  <c r="BU139" i="76"/>
  <c r="M15" i="66"/>
  <c r="BU97" i="76"/>
  <c r="BZ97" i="76"/>
  <c r="BJ141" i="76"/>
  <c r="BJ32" i="76" s="1"/>
  <c r="BR139" i="76"/>
  <c r="BR97" i="76"/>
  <c r="BH53" i="76"/>
  <c r="BH12" i="76" s="1"/>
  <c r="BZ118" i="76"/>
  <c r="BT139" i="76"/>
  <c r="BY97" i="76"/>
  <c r="BS97" i="76"/>
  <c r="CD97" i="76"/>
  <c r="CB118" i="76"/>
  <c r="BN141" i="76"/>
  <c r="BN32" i="76" s="1"/>
  <c r="BS139" i="76"/>
  <c r="CC97" i="76"/>
  <c r="CD118" i="76"/>
  <c r="BW97" i="76"/>
  <c r="BX118" i="76"/>
  <c r="BW139" i="76"/>
  <c r="BT118" i="76"/>
  <c r="CA97" i="76"/>
  <c r="BY118" i="76"/>
  <c r="BV97" i="76"/>
  <c r="P15" i="66"/>
  <c r="AY30" i="22"/>
  <c r="AY32" i="22" s="1"/>
  <c r="AY33" i="22" s="1"/>
  <c r="V34" i="22"/>
  <c r="BM141" i="76"/>
  <c r="BM32" i="76" s="1"/>
  <c r="O15" i="98"/>
  <c r="T15" i="98"/>
  <c r="BH141" i="76"/>
  <c r="BH32" i="76" s="1"/>
  <c r="BM53" i="76"/>
  <c r="BM12" i="76" s="1"/>
  <c r="BE53" i="76"/>
  <c r="BE12" i="76" s="1"/>
  <c r="L15" i="66"/>
  <c r="L23" i="66" s="1"/>
  <c r="V15" i="98"/>
  <c r="K15" i="98"/>
  <c r="BI141" i="76"/>
  <c r="BI32" i="76" s="1"/>
  <c r="Q15" i="98"/>
  <c r="AW75" i="76"/>
  <c r="R15" i="98"/>
  <c r="P15" i="98"/>
  <c r="BL53" i="76"/>
  <c r="BL12" i="76" s="1"/>
  <c r="BJ53" i="76"/>
  <c r="BJ12" i="76" s="1"/>
  <c r="BD53" i="76"/>
  <c r="BD12" i="76" s="1"/>
  <c r="BE138" i="76"/>
  <c r="BE141" i="76" s="1"/>
  <c r="BE32" i="76" s="1"/>
  <c r="AG138" i="76"/>
  <c r="AG141" i="76" s="1"/>
  <c r="AG153" i="76" s="1"/>
  <c r="BN53" i="76"/>
  <c r="BN12" i="76" s="1"/>
  <c r="BG138" i="76"/>
  <c r="BG141" i="76" s="1"/>
  <c r="BG32" i="76" s="1"/>
  <c r="U138" i="76"/>
  <c r="BF53" i="76"/>
  <c r="BF12" i="76" s="1"/>
  <c r="BI53" i="76"/>
  <c r="BI12" i="76" s="1"/>
  <c r="BD138" i="76"/>
  <c r="BD141" i="76" s="1"/>
  <c r="BD32" i="76" s="1"/>
  <c r="M15" i="98"/>
  <c r="BG183" i="76"/>
  <c r="V78" i="76"/>
  <c r="V90" i="76" s="1"/>
  <c r="AW117" i="76"/>
  <c r="BI183" i="76"/>
  <c r="BN181" i="76"/>
  <c r="BN183" i="76" s="1"/>
  <c r="BK183" i="76"/>
  <c r="BO183" i="76"/>
  <c r="BM183" i="76"/>
  <c r="BM117" i="76"/>
  <c r="BM120" i="76" s="1"/>
  <c r="BM27" i="76" s="1"/>
  <c r="BL117" i="76"/>
  <c r="BL96" i="76"/>
  <c r="BL99" i="76" s="1"/>
  <c r="BL22" i="76" s="1"/>
  <c r="BJ117" i="76"/>
  <c r="BI96" i="76"/>
  <c r="BI99" i="76" s="1"/>
  <c r="BI22" i="76" s="1"/>
  <c r="BH117" i="76"/>
  <c r="BO96" i="76"/>
  <c r="BO99" i="76" s="1"/>
  <c r="BO22" i="76" s="1"/>
  <c r="BO75" i="76"/>
  <c r="BN117" i="76"/>
  <c r="BN120" i="76" s="1"/>
  <c r="BN27" i="76" s="1"/>
  <c r="BL181" i="76"/>
  <c r="BL183" i="76" s="1"/>
  <c r="BI75" i="76"/>
  <c r="BG117" i="76"/>
  <c r="BG120" i="76" s="1"/>
  <c r="BG27" i="76" s="1"/>
  <c r="BJ75" i="76"/>
  <c r="BE117" i="76"/>
  <c r="BE120" i="76" s="1"/>
  <c r="BE27" i="76" s="1"/>
  <c r="BD117" i="76"/>
  <c r="BD96" i="76"/>
  <c r="BD99" i="76" s="1"/>
  <c r="BD22" i="76" s="1"/>
  <c r="BN96" i="76"/>
  <c r="BI117" i="76"/>
  <c r="BI120" i="76" s="1"/>
  <c r="BI27" i="76" s="1"/>
  <c r="BG96" i="76"/>
  <c r="BL75" i="76"/>
  <c r="BL78" i="76" s="1"/>
  <c r="BL17" i="76" s="1"/>
  <c r="BF117" i="76"/>
  <c r="BF120" i="76" s="1"/>
  <c r="BF27" i="76" s="1"/>
  <c r="BE75" i="76"/>
  <c r="BE78" i="76" s="1"/>
  <c r="BE17" i="76" s="1"/>
  <c r="BF75" i="76"/>
  <c r="BF78" i="76" s="1"/>
  <c r="BF17" i="76" s="1"/>
  <c r="BC181" i="76"/>
  <c r="BC183" i="76" s="1"/>
  <c r="BE183" i="76"/>
  <c r="BM96" i="76"/>
  <c r="BM99" i="76" s="1"/>
  <c r="BM22" i="76" s="1"/>
  <c r="BK96" i="76"/>
  <c r="BK99" i="76" s="1"/>
  <c r="BK22" i="76" s="1"/>
  <c r="BJ96" i="76"/>
  <c r="BJ99" i="76" s="1"/>
  <c r="BJ22" i="76" s="1"/>
  <c r="BH75" i="76"/>
  <c r="BH78" i="76" s="1"/>
  <c r="BH17" i="76" s="1"/>
  <c r="BK75" i="76"/>
  <c r="BK78" i="76" s="1"/>
  <c r="BK17" i="76" s="1"/>
  <c r="BD181" i="76"/>
  <c r="BD183" i="76" s="1"/>
  <c r="BF181" i="76"/>
  <c r="BF183" i="76" s="1"/>
  <c r="BO117" i="76"/>
  <c r="BO120" i="76" s="1"/>
  <c r="BO27" i="76" s="1"/>
  <c r="BE96" i="76"/>
  <c r="BE99" i="76" s="1"/>
  <c r="BE22" i="76" s="1"/>
  <c r="BH96" i="76"/>
  <c r="BH99" i="76" s="1"/>
  <c r="BH22" i="76" s="1"/>
  <c r="BF96" i="76"/>
  <c r="BF99" i="76" s="1"/>
  <c r="BF22" i="76" s="1"/>
  <c r="BD75" i="76"/>
  <c r="BD78" i="76" s="1"/>
  <c r="BD17" i="76" s="1"/>
  <c r="BH181" i="76"/>
  <c r="BH183" i="76" s="1"/>
  <c r="BJ181" i="76"/>
  <c r="BJ183" i="76" s="1"/>
  <c r="BG75" i="76"/>
  <c r="BG78" i="76" s="1"/>
  <c r="BG17" i="76" s="1"/>
  <c r="BM75" i="76"/>
  <c r="BM78" i="76" s="1"/>
  <c r="BM17" i="76" s="1"/>
  <c r="AR140" i="76"/>
  <c r="BK117" i="76"/>
  <c r="BK120" i="76" s="1"/>
  <c r="BK27" i="76" s="1"/>
  <c r="BN75" i="76"/>
  <c r="AO117" i="76"/>
  <c r="AO120" i="76" s="1"/>
  <c r="AO132" i="76" s="1"/>
  <c r="AT75" i="76"/>
  <c r="AT78" i="76" s="1"/>
  <c r="AT90" i="76" s="1"/>
  <c r="AY47" i="76"/>
  <c r="AH138" i="76"/>
  <c r="AH141" i="76" s="1"/>
  <c r="AH153" i="76" s="1"/>
  <c r="AJ138" i="76"/>
  <c r="AJ141" i="76" s="1"/>
  <c r="AJ153" i="76" s="1"/>
  <c r="L78" i="76"/>
  <c r="L90" i="76" s="1"/>
  <c r="AR49" i="76"/>
  <c r="AY75" i="76"/>
  <c r="AY78" i="76" s="1"/>
  <c r="AY90" i="76" s="1"/>
  <c r="AA138" i="76"/>
  <c r="AA141" i="76" s="1"/>
  <c r="AP76" i="76"/>
  <c r="AU117" i="76"/>
  <c r="AU120" i="76" s="1"/>
  <c r="AU132" i="76" s="1"/>
  <c r="P120" i="76"/>
  <c r="P132" i="76" s="1"/>
  <c r="AV49" i="76"/>
  <c r="BZ49" i="76" s="1"/>
  <c r="T23" i="66"/>
  <c r="M138" i="76"/>
  <c r="AT117" i="76"/>
  <c r="AT120" i="76" s="1"/>
  <c r="AT132" i="76" s="1"/>
  <c r="AU75" i="76"/>
  <c r="AU78" i="76" s="1"/>
  <c r="AU90" i="76" s="1"/>
  <c r="AZ96" i="76"/>
  <c r="AZ99" i="76" s="1"/>
  <c r="AZ111" i="76" s="1"/>
  <c r="CC47" i="76"/>
  <c r="AO49" i="76"/>
  <c r="BS49" i="76" s="1"/>
  <c r="AS75" i="76"/>
  <c r="AS78" i="76" s="1"/>
  <c r="AS90" i="76" s="1"/>
  <c r="T78" i="76"/>
  <c r="T90" i="76" s="1"/>
  <c r="AF138" i="76"/>
  <c r="AF141" i="76" s="1"/>
  <c r="AF153" i="76" s="1"/>
  <c r="L138" i="76"/>
  <c r="AP75" i="76"/>
  <c r="AZ140" i="76"/>
  <c r="J138" i="76"/>
  <c r="AW49" i="76"/>
  <c r="CA49" i="76" s="1"/>
  <c r="AS49" i="76"/>
  <c r="AB138" i="76"/>
  <c r="AB141" i="76" s="1"/>
  <c r="AB153" i="76" s="1"/>
  <c r="AY49" i="76"/>
  <c r="CC49" i="76" s="1"/>
  <c r="AU49" i="76"/>
  <c r="BY49" i="76" s="1"/>
  <c r="M78" i="76"/>
  <c r="M90" i="76" s="1"/>
  <c r="AX49" i="76"/>
  <c r="O23" i="66"/>
  <c r="T20" i="69"/>
  <c r="J14" i="67"/>
  <c r="J15" i="67" s="1"/>
  <c r="AC138" i="76"/>
  <c r="AC141" i="76" s="1"/>
  <c r="AC153" i="76" s="1"/>
  <c r="AO75" i="76"/>
  <c r="AO78" i="76" s="1"/>
  <c r="AO90" i="76" s="1"/>
  <c r="K20" i="69"/>
  <c r="AS96" i="76"/>
  <c r="AS99" i="76" s="1"/>
  <c r="AS111" i="76" s="1"/>
  <c r="T99" i="76"/>
  <c r="T22" i="76" s="1"/>
  <c r="AI138" i="76"/>
  <c r="AI141" i="76" s="1"/>
  <c r="AX75" i="76"/>
  <c r="AX78" i="76" s="1"/>
  <c r="AX90" i="76" s="1"/>
  <c r="R23" i="66"/>
  <c r="V99" i="76"/>
  <c r="V22" i="76" s="1"/>
  <c r="AQ76" i="76"/>
  <c r="BX76" i="76"/>
  <c r="AQ75" i="76"/>
  <c r="U20" i="69"/>
  <c r="AE120" i="76"/>
  <c r="AE132" i="76" s="1"/>
  <c r="AO96" i="76"/>
  <c r="AO99" i="76" s="1"/>
  <c r="AO111" i="76" s="1"/>
  <c r="Q120" i="76"/>
  <c r="Q27" i="76" s="1"/>
  <c r="L99" i="76"/>
  <c r="L22" i="76" s="1"/>
  <c r="AV75" i="76"/>
  <c r="AV78" i="76" s="1"/>
  <c r="AV90" i="76" s="1"/>
  <c r="P20" i="69"/>
  <c r="N15" i="36"/>
  <c r="AZ49" i="76"/>
  <c r="CD49" i="76" s="1"/>
  <c r="AP49" i="76"/>
  <c r="BT49" i="76" s="1"/>
  <c r="AT49" i="76"/>
  <c r="BX49" i="76" s="1"/>
  <c r="R78" i="76"/>
  <c r="R90" i="76" s="1"/>
  <c r="N99" i="76"/>
  <c r="N22" i="76" s="1"/>
  <c r="L20" i="69"/>
  <c r="T120" i="76"/>
  <c r="T27" i="76" s="1"/>
  <c r="U120" i="76"/>
  <c r="U132" i="76" s="1"/>
  <c r="P99" i="76"/>
  <c r="P22" i="76" s="1"/>
  <c r="O20" i="69"/>
  <c r="K78" i="76"/>
  <c r="K90" i="76" s="1"/>
  <c r="M20" i="69"/>
  <c r="AE138" i="76"/>
  <c r="AE141" i="76" s="1"/>
  <c r="AE32" i="76" s="1"/>
  <c r="AE34" i="76" s="1"/>
  <c r="AK138" i="76"/>
  <c r="AK141" i="76" s="1"/>
  <c r="AK153" i="76" s="1"/>
  <c r="AB90" i="76"/>
  <c r="L120" i="76"/>
  <c r="L132" i="76" s="1"/>
  <c r="AW96" i="76"/>
  <c r="AW99" i="76" s="1"/>
  <c r="AW111" i="76" s="1"/>
  <c r="M120" i="76"/>
  <c r="M132" i="76" s="1"/>
  <c r="S23" i="66"/>
  <c r="BX50" i="76"/>
  <c r="Y138" i="76"/>
  <c r="Y141" i="76" s="1"/>
  <c r="Y32" i="76" s="1"/>
  <c r="Y34" i="76" s="1"/>
  <c r="O14" i="67"/>
  <c r="O15" i="67" s="1"/>
  <c r="O138" i="76"/>
  <c r="AS138" i="76" s="1"/>
  <c r="AS141" i="76" s="1"/>
  <c r="AS153" i="76" s="1"/>
  <c r="V138" i="76"/>
  <c r="V141" i="76" s="1"/>
  <c r="N138" i="76"/>
  <c r="BC138" i="76"/>
  <c r="T138" i="76"/>
  <c r="T141" i="76" s="1"/>
  <c r="M23" i="66"/>
  <c r="P14" i="67"/>
  <c r="P15" i="67" s="1"/>
  <c r="P138" i="76"/>
  <c r="P141" i="76" s="1"/>
  <c r="Q138" i="76"/>
  <c r="R138" i="76"/>
  <c r="S14" i="67"/>
  <c r="S138" i="76"/>
  <c r="S141" i="76" s="1"/>
  <c r="K138" i="76"/>
  <c r="AO138" i="76" s="1"/>
  <c r="AO141" i="76" s="1"/>
  <c r="AO153" i="76" s="1"/>
  <c r="AD141" i="76"/>
  <c r="AD153" i="76" s="1"/>
  <c r="Z141" i="76"/>
  <c r="Z153" i="76" s="1"/>
  <c r="V20" i="69"/>
  <c r="CC50" i="76"/>
  <c r="BY50" i="76"/>
  <c r="BU50" i="76"/>
  <c r="P53" i="76"/>
  <c r="P12" i="76" s="1"/>
  <c r="V53" i="76"/>
  <c r="V69" i="76" s="1"/>
  <c r="AD53" i="76"/>
  <c r="AD69" i="76" s="1"/>
  <c r="AK53" i="76"/>
  <c r="AK69" i="76" s="1"/>
  <c r="AC53" i="76"/>
  <c r="AC12" i="76" s="1"/>
  <c r="AC14" i="76" s="1"/>
  <c r="BC53" i="76"/>
  <c r="L53" i="76"/>
  <c r="L12" i="76" s="1"/>
  <c r="T53" i="76"/>
  <c r="T69" i="76" s="1"/>
  <c r="M53" i="76"/>
  <c r="U53" i="76"/>
  <c r="U69" i="76" s="1"/>
  <c r="R53" i="76"/>
  <c r="AJ53" i="76"/>
  <c r="AJ69" i="76" s="1"/>
  <c r="AI53" i="76"/>
  <c r="AI12" i="76" s="1"/>
  <c r="AI14" i="76" s="1"/>
  <c r="AH53" i="76"/>
  <c r="AH69" i="76" s="1"/>
  <c r="AG53" i="76"/>
  <c r="AG12" i="76" s="1"/>
  <c r="AG14" i="76" s="1"/>
  <c r="AF53" i="76"/>
  <c r="AF69" i="76" s="1"/>
  <c r="AE53" i="76"/>
  <c r="AE69" i="76" s="1"/>
  <c r="AB53" i="76"/>
  <c r="AB69" i="76" s="1"/>
  <c r="AA53" i="76"/>
  <c r="AA69" i="76" s="1"/>
  <c r="Z53" i="76"/>
  <c r="Z69" i="76" s="1"/>
  <c r="Y53" i="76"/>
  <c r="Y69" i="76" s="1"/>
  <c r="K53" i="76"/>
  <c r="K12" i="76" s="1"/>
  <c r="AQ49" i="76"/>
  <c r="BU49" i="76" s="1"/>
  <c r="N53" i="76"/>
  <c r="N69" i="76" s="1"/>
  <c r="O53" i="76"/>
  <c r="O12" i="76" s="1"/>
  <c r="Q53" i="76"/>
  <c r="Q12" i="76" s="1"/>
  <c r="S53" i="76"/>
  <c r="S69" i="76" s="1"/>
  <c r="J53" i="76"/>
  <c r="AN49" i="76"/>
  <c r="BR49" i="76" s="1"/>
  <c r="AH17" i="76"/>
  <c r="AH19" i="76" s="1"/>
  <c r="AJ90" i="76"/>
  <c r="Z17" i="76"/>
  <c r="Z19" i="76" s="1"/>
  <c r="AD90" i="76"/>
  <c r="AT47" i="76"/>
  <c r="BX47" i="76" s="1"/>
  <c r="AS47" i="76"/>
  <c r="BW47" i="76" s="1"/>
  <c r="AZ47" i="76"/>
  <c r="CD47" i="76" s="1"/>
  <c r="BS47" i="76"/>
  <c r="AT140" i="76"/>
  <c r="AX140" i="76"/>
  <c r="AP140" i="76"/>
  <c r="AN75" i="76"/>
  <c r="AN78" i="76" s="1"/>
  <c r="AN90" i="76" s="1"/>
  <c r="S20" i="69"/>
  <c r="Q20" i="69"/>
  <c r="J20" i="69"/>
  <c r="N20" i="69"/>
  <c r="R20" i="69"/>
  <c r="AR75" i="76"/>
  <c r="AR78" i="76" s="1"/>
  <c r="AR90" i="76" s="1"/>
  <c r="AA17" i="76"/>
  <c r="AA19" i="76" s="1"/>
  <c r="AC90" i="76"/>
  <c r="AC17" i="76"/>
  <c r="AC19" i="76" s="1"/>
  <c r="Y90" i="76"/>
  <c r="Y17" i="76"/>
  <c r="Y19" i="76" s="1"/>
  <c r="J78" i="76"/>
  <c r="J17" i="76" s="1"/>
  <c r="K120" i="76"/>
  <c r="K132" i="76" s="1"/>
  <c r="AE17" i="76"/>
  <c r="AE19" i="76" s="1"/>
  <c r="P78" i="76"/>
  <c r="P17" i="76" s="1"/>
  <c r="AW120" i="76"/>
  <c r="AW132" i="76" s="1"/>
  <c r="T15" i="67"/>
  <c r="S15" i="67"/>
  <c r="V14" i="67"/>
  <c r="V15" i="67" s="1"/>
  <c r="R15" i="67"/>
  <c r="K15" i="67"/>
  <c r="P23" i="66"/>
  <c r="AK90" i="76"/>
  <c r="AK17" i="76"/>
  <c r="AK19" i="76" s="1"/>
  <c r="Q78" i="76"/>
  <c r="Q90" i="76" s="1"/>
  <c r="N78" i="76"/>
  <c r="N90" i="76" s="1"/>
  <c r="S78" i="76"/>
  <c r="S17" i="76" s="1"/>
  <c r="AF17" i="76"/>
  <c r="AF19" i="76" s="1"/>
  <c r="AI17" i="76"/>
  <c r="AI19" i="76" s="1"/>
  <c r="U78" i="76"/>
  <c r="U90" i="76" s="1"/>
  <c r="AG78" i="76"/>
  <c r="AZ75" i="76"/>
  <c r="AZ78" i="76" s="1"/>
  <c r="AZ90" i="76" s="1"/>
  <c r="AU47" i="76"/>
  <c r="BY47" i="76" s="1"/>
  <c r="AW47" i="76"/>
  <c r="CA47" i="76" s="1"/>
  <c r="AV47" i="76"/>
  <c r="BZ47" i="76" s="1"/>
  <c r="AP47" i="76"/>
  <c r="BT47" i="76" s="1"/>
  <c r="AX47" i="76"/>
  <c r="CB47" i="76" s="1"/>
  <c r="AR47" i="76"/>
  <c r="BV47" i="76" s="1"/>
  <c r="M99" i="76"/>
  <c r="M111" i="76" s="1"/>
  <c r="AN96" i="76"/>
  <c r="AN99" i="76" s="1"/>
  <c r="AN111" i="76" s="1"/>
  <c r="O99" i="76"/>
  <c r="O111" i="76" s="1"/>
  <c r="AH22" i="76"/>
  <c r="AH24" i="76" s="1"/>
  <c r="AS117" i="76"/>
  <c r="AS120" i="76" s="1"/>
  <c r="AS132" i="76" s="1"/>
  <c r="AY96" i="76"/>
  <c r="AY99" i="76" s="1"/>
  <c r="AY111" i="76" s="1"/>
  <c r="AJ22" i="76"/>
  <c r="AJ24" i="76" s="1"/>
  <c r="AH27" i="76"/>
  <c r="AH29" i="76" s="1"/>
  <c r="AP117" i="76"/>
  <c r="AP120" i="76" s="1"/>
  <c r="AP132" i="76" s="1"/>
  <c r="AU96" i="76"/>
  <c r="AU99" i="76" s="1"/>
  <c r="AU111" i="76" s="1"/>
  <c r="AE111" i="76"/>
  <c r="S99" i="76"/>
  <c r="S111" i="76" s="1"/>
  <c r="AV117" i="76"/>
  <c r="AV120" i="76" s="1"/>
  <c r="AV132" i="76" s="1"/>
  <c r="AI22" i="76"/>
  <c r="AI24" i="76" s="1"/>
  <c r="AI111" i="76"/>
  <c r="AG111" i="76"/>
  <c r="AG22" i="76"/>
  <c r="AG24" i="76" s="1"/>
  <c r="AB111" i="76"/>
  <c r="AB22" i="76"/>
  <c r="AB24" i="76" s="1"/>
  <c r="Z27" i="76"/>
  <c r="Z29" i="76" s="1"/>
  <c r="AA111" i="76"/>
  <c r="AQ96" i="76"/>
  <c r="AQ99" i="76" s="1"/>
  <c r="AQ111" i="76" s="1"/>
  <c r="AY117" i="76"/>
  <c r="AY120" i="76" s="1"/>
  <c r="AY132" i="76" s="1"/>
  <c r="AQ117" i="76"/>
  <c r="AQ120" i="76" s="1"/>
  <c r="AQ132" i="76" s="1"/>
  <c r="Q99" i="76"/>
  <c r="Q111" i="76" s="1"/>
  <c r="AA132" i="76"/>
  <c r="AA27" i="76"/>
  <c r="AA29" i="76" s="1"/>
  <c r="AI132" i="76"/>
  <c r="AI27" i="76"/>
  <c r="AI29" i="76" s="1"/>
  <c r="AP96" i="76"/>
  <c r="AP99" i="76" s="1"/>
  <c r="AP111" i="76" s="1"/>
  <c r="AD22" i="76"/>
  <c r="AD24" i="76" s="1"/>
  <c r="AV96" i="76"/>
  <c r="AV99" i="76" s="1"/>
  <c r="AV111" i="76" s="1"/>
  <c r="AX96" i="76"/>
  <c r="AX99" i="76" s="1"/>
  <c r="AX111" i="76" s="1"/>
  <c r="AF111" i="76"/>
  <c r="AF120" i="76"/>
  <c r="AX117" i="76"/>
  <c r="AX120" i="76" s="1"/>
  <c r="AX132" i="76" s="1"/>
  <c r="AT96" i="76"/>
  <c r="AT99" i="76" s="1"/>
  <c r="AT111" i="76" s="1"/>
  <c r="K23" i="66"/>
  <c r="Y27" i="76"/>
  <c r="Y29" i="76" s="1"/>
  <c r="Y132" i="76"/>
  <c r="AC22" i="76"/>
  <c r="AC24" i="76" s="1"/>
  <c r="AC111" i="76"/>
  <c r="AB132" i="76"/>
  <c r="AB27" i="76"/>
  <c r="AB29" i="76" s="1"/>
  <c r="AD27" i="76"/>
  <c r="AD29" i="76" s="1"/>
  <c r="AD132" i="76"/>
  <c r="R120" i="76"/>
  <c r="R27" i="76" s="1"/>
  <c r="K99" i="76"/>
  <c r="K111" i="76" s="1"/>
  <c r="S120" i="76"/>
  <c r="S132" i="76" s="1"/>
  <c r="AG27" i="76"/>
  <c r="AG29" i="76" s="1"/>
  <c r="Z22" i="76"/>
  <c r="Z24" i="76" s="1"/>
  <c r="Y22" i="76"/>
  <c r="Y24" i="76" s="1"/>
  <c r="AJ120" i="76"/>
  <c r="AR96" i="76"/>
  <c r="AR99" i="76" s="1"/>
  <c r="AR111" i="76" s="1"/>
  <c r="Q23" i="66"/>
  <c r="AK99" i="76"/>
  <c r="AZ117" i="76"/>
  <c r="U23" i="66"/>
  <c r="AR117" i="76"/>
  <c r="AN117" i="76"/>
  <c r="AN120" i="76" s="1"/>
  <c r="AN132" i="76" s="1"/>
  <c r="AC132" i="76"/>
  <c r="AC27" i="76"/>
  <c r="AC29" i="76" s="1"/>
  <c r="P111" i="76"/>
  <c r="AK132" i="76"/>
  <c r="AK27" i="76"/>
  <c r="AK29" i="76" s="1"/>
  <c r="O120" i="76"/>
  <c r="AQ47" i="76"/>
  <c r="BU47" i="76" s="1"/>
  <c r="AN47" i="76"/>
  <c r="BR47" i="76" s="1"/>
  <c r="BW49" i="76"/>
  <c r="CB49" i="76"/>
  <c r="V120" i="76"/>
  <c r="AZ119" i="76"/>
  <c r="BV49" i="76"/>
  <c r="N120" i="76"/>
  <c r="AR119" i="76"/>
  <c r="P86" i="19"/>
  <c r="O90" i="19"/>
  <c r="N14" i="67"/>
  <c r="N15" i="67" s="1"/>
  <c r="U14" i="67"/>
  <c r="U15" i="67" s="1"/>
  <c r="M14" i="67"/>
  <c r="M15" i="67" s="1"/>
  <c r="Q14" i="67"/>
  <c r="Q15" i="67" s="1"/>
  <c r="L14" i="67"/>
  <c r="L15" i="67" s="1"/>
  <c r="AQ50" i="76"/>
  <c r="AY50" i="76"/>
  <c r="AR50" i="76"/>
  <c r="AV50" i="76"/>
  <c r="O78" i="76"/>
  <c r="AU50" i="76"/>
  <c r="AS50" i="76"/>
  <c r="R99" i="76"/>
  <c r="AT50" i="76"/>
  <c r="AP50" i="76"/>
  <c r="AW50" i="76"/>
  <c r="AZ50" i="76"/>
  <c r="U99" i="76"/>
  <c r="AX50" i="76"/>
  <c r="AO50" i="76"/>
  <c r="AW78" i="76"/>
  <c r="AW90" i="76" s="1"/>
  <c r="AN50" i="76"/>
  <c r="N23" i="66"/>
  <c r="V23" i="66"/>
  <c r="L17" i="76" l="1"/>
  <c r="BK41" i="76"/>
  <c r="BM41" i="76"/>
  <c r="BF41" i="76"/>
  <c r="BW138" i="76"/>
  <c r="AZ30" i="22"/>
  <c r="AZ32" i="22" s="1"/>
  <c r="AZ33" i="22" s="1"/>
  <c r="AW138" i="76"/>
  <c r="AV138" i="76"/>
  <c r="AV141" i="76" s="1"/>
  <c r="AV153" i="76" s="1"/>
  <c r="AP78" i="76"/>
  <c r="AP90" i="76" s="1"/>
  <c r="BS138" i="76"/>
  <c r="AG32" i="76"/>
  <c r="AG34" i="76" s="1"/>
  <c r="V111" i="76"/>
  <c r="AO53" i="76"/>
  <c r="AO69" i="76" s="1"/>
  <c r="P27" i="76"/>
  <c r="P29" i="76" s="1"/>
  <c r="BR117" i="76"/>
  <c r="T111" i="76"/>
  <c r="BR96" i="76"/>
  <c r="R17" i="76"/>
  <c r="R19" i="76" s="1"/>
  <c r="BR75" i="76"/>
  <c r="K69" i="76"/>
  <c r="AA153" i="76"/>
  <c r="AA32" i="76"/>
  <c r="AA34" i="76" s="1"/>
  <c r="AJ32" i="76"/>
  <c r="AJ34" i="76" s="1"/>
  <c r="V17" i="76"/>
  <c r="AZ17" i="76" s="1"/>
  <c r="AZ19" i="76" s="1"/>
  <c r="V36" i="99" s="1"/>
  <c r="AF32" i="76"/>
  <c r="AF34" i="76" s="1"/>
  <c r="AU138" i="76"/>
  <c r="AY138" i="76"/>
  <c r="BN78" i="76"/>
  <c r="BN17" i="76" s="1"/>
  <c r="CC75" i="76"/>
  <c r="BG99" i="76"/>
  <c r="BG22" i="76" s="1"/>
  <c r="BG41" i="76" s="1"/>
  <c r="BV96" i="76"/>
  <c r="BN99" i="76"/>
  <c r="BN22" i="76" s="1"/>
  <c r="CC96" i="76"/>
  <c r="BD120" i="76"/>
  <c r="BD27" i="76" s="1"/>
  <c r="BS117" i="76"/>
  <c r="BJ78" i="76"/>
  <c r="BJ17" i="76" s="1"/>
  <c r="BY75" i="76"/>
  <c r="BI78" i="76"/>
  <c r="BI17" i="76" s="1"/>
  <c r="BI41" i="76" s="1"/>
  <c r="BX75" i="76"/>
  <c r="BO78" i="76"/>
  <c r="BO17" i="76" s="1"/>
  <c r="BO41" i="76" s="1"/>
  <c r="CD75" i="76"/>
  <c r="BH120" i="76"/>
  <c r="BH27" i="76" s="1"/>
  <c r="BH41" i="76" s="1"/>
  <c r="BW117" i="76"/>
  <c r="BJ120" i="76"/>
  <c r="BJ27" i="76" s="1"/>
  <c r="BY117" i="76"/>
  <c r="BL120" i="76"/>
  <c r="BL27" i="76" s="1"/>
  <c r="BL41" i="76" s="1"/>
  <c r="CA117" i="76"/>
  <c r="CB75" i="76"/>
  <c r="BU96" i="76"/>
  <c r="BT96" i="76"/>
  <c r="BW75" i="76"/>
  <c r="BZ96" i="76"/>
  <c r="BT75" i="76"/>
  <c r="CA75" i="76"/>
  <c r="BX117" i="76"/>
  <c r="BS96" i="76"/>
  <c r="BT117" i="76"/>
  <c r="BV117" i="76"/>
  <c r="AP138" i="76"/>
  <c r="BZ117" i="76"/>
  <c r="CC117" i="76"/>
  <c r="CD96" i="76"/>
  <c r="BX96" i="76"/>
  <c r="CA96" i="76"/>
  <c r="CB117" i="76"/>
  <c r="BV75" i="76"/>
  <c r="BS75" i="76"/>
  <c r="BW96" i="76"/>
  <c r="CD117" i="76"/>
  <c r="BZ75" i="76"/>
  <c r="BY96" i="76"/>
  <c r="CB96" i="76"/>
  <c r="BU75" i="76"/>
  <c r="BU117" i="76"/>
  <c r="AR138" i="76"/>
  <c r="T132" i="76"/>
  <c r="AB32" i="76"/>
  <c r="AB34" i="76" s="1"/>
  <c r="AQ138" i="76"/>
  <c r="T17" i="76"/>
  <c r="T19" i="76" s="1"/>
  <c r="AE27" i="76"/>
  <c r="AE29" i="76" s="1"/>
  <c r="AD32" i="76"/>
  <c r="AD34" i="76" s="1"/>
  <c r="R141" i="76"/>
  <c r="R32" i="76" s="1"/>
  <c r="L111" i="76"/>
  <c r="M17" i="76"/>
  <c r="M19" i="76" s="1"/>
  <c r="N111" i="76"/>
  <c r="Q132" i="76"/>
  <c r="Y153" i="76"/>
  <c r="AQ78" i="76"/>
  <c r="AQ90" i="76" s="1"/>
  <c r="AT138" i="76"/>
  <c r="BX138" i="76" s="1"/>
  <c r="AI153" i="76"/>
  <c r="AI32" i="76"/>
  <c r="AI34" i="76" s="1"/>
  <c r="AI40" i="76" s="1"/>
  <c r="AE12" i="76"/>
  <c r="AE14" i="76" s="1"/>
  <c r="S90" i="76"/>
  <c r="S12" i="76"/>
  <c r="S14" i="76" s="1"/>
  <c r="M27" i="76"/>
  <c r="AQ27" i="76" s="1"/>
  <c r="N141" i="76"/>
  <c r="N153" i="76" s="1"/>
  <c r="AH32" i="76"/>
  <c r="AH34" i="76" s="1"/>
  <c r="AC32" i="76"/>
  <c r="AC34" i="76" s="1"/>
  <c r="AC40" i="76" s="1"/>
  <c r="AX138" i="76"/>
  <c r="U27" i="76"/>
  <c r="U29" i="76" s="1"/>
  <c r="K17" i="76"/>
  <c r="AO17" i="76" s="1"/>
  <c r="AO19" i="76" s="1"/>
  <c r="K36" i="99" s="1"/>
  <c r="L27" i="76"/>
  <c r="AP27" i="76" s="1"/>
  <c r="R132" i="76"/>
  <c r="Z32" i="76"/>
  <c r="Z34" i="76" s="1"/>
  <c r="AE153" i="76"/>
  <c r="AK32" i="76"/>
  <c r="AK34" i="76" s="1"/>
  <c r="J15" i="98"/>
  <c r="J16" i="98" s="1"/>
  <c r="K141" i="76"/>
  <c r="K153" i="76" s="1"/>
  <c r="AN138" i="76"/>
  <c r="AN141" i="76" s="1"/>
  <c r="AN153" i="76" s="1"/>
  <c r="U15" i="98"/>
  <c r="AZ138" i="76"/>
  <c r="S15" i="98"/>
  <c r="L15" i="98"/>
  <c r="AY53" i="76"/>
  <c r="AY69" i="76" s="1"/>
  <c r="AN53" i="76"/>
  <c r="AN69" i="76" s="1"/>
  <c r="AQ53" i="76"/>
  <c r="AQ69" i="76" s="1"/>
  <c r="AR53" i="76"/>
  <c r="AR69" i="76" s="1"/>
  <c r="AX53" i="76"/>
  <c r="AX69" i="76" s="1"/>
  <c r="AP53" i="76"/>
  <c r="AP69" i="76" s="1"/>
  <c r="AV53" i="76"/>
  <c r="AV69" i="76" s="1"/>
  <c r="AW53" i="76"/>
  <c r="AW69" i="76" s="1"/>
  <c r="AU53" i="76"/>
  <c r="AU69" i="76" s="1"/>
  <c r="AZ53" i="76"/>
  <c r="AZ69" i="76" s="1"/>
  <c r="AS53" i="76"/>
  <c r="AS69" i="76" s="1"/>
  <c r="AT53" i="76"/>
  <c r="AT69" i="76" s="1"/>
  <c r="P69" i="76"/>
  <c r="AD12" i="76"/>
  <c r="AD14" i="76" s="1"/>
  <c r="U17" i="76"/>
  <c r="AY17" i="76" s="1"/>
  <c r="AY19" i="76" s="1"/>
  <c r="U36" i="99" s="1"/>
  <c r="V12" i="76"/>
  <c r="V14" i="76" s="1"/>
  <c r="P90" i="76"/>
  <c r="J90" i="76"/>
  <c r="AI69" i="76"/>
  <c r="U12" i="76"/>
  <c r="U14" i="76" s="1"/>
  <c r="AH12" i="76"/>
  <c r="AH14" i="76" s="1"/>
  <c r="N17" i="76"/>
  <c r="N19" i="76" s="1"/>
  <c r="K27" i="76"/>
  <c r="AO27" i="76" s="1"/>
  <c r="AO29" i="76" s="1"/>
  <c r="K38" i="99" s="1"/>
  <c r="AK12" i="76"/>
  <c r="AK14" i="76" s="1"/>
  <c r="Q69" i="76"/>
  <c r="O69" i="76"/>
  <c r="AJ12" i="76"/>
  <c r="AJ14" i="76" s="1"/>
  <c r="O22" i="76"/>
  <c r="O24" i="76" s="1"/>
  <c r="AC69" i="76"/>
  <c r="Y12" i="76"/>
  <c r="Y14" i="76" s="1"/>
  <c r="Y40" i="76" s="1"/>
  <c r="Q17" i="76"/>
  <c r="Q19" i="76" s="1"/>
  <c r="AG69" i="76"/>
  <c r="L69" i="76"/>
  <c r="M22" i="76"/>
  <c r="AQ22" i="76" s="1"/>
  <c r="AQ24" i="76" s="1"/>
  <c r="M37" i="99" s="1"/>
  <c r="AG90" i="76"/>
  <c r="AG17" i="76"/>
  <c r="AG19" i="76" s="1"/>
  <c r="AF12" i="76"/>
  <c r="AF14" i="76" s="1"/>
  <c r="T12" i="76"/>
  <c r="T14" i="76" s="1"/>
  <c r="AB12" i="76"/>
  <c r="AB14" i="76" s="1"/>
  <c r="Z12" i="76"/>
  <c r="Z14" i="76" s="1"/>
  <c r="AA12" i="76"/>
  <c r="AA14" i="76" s="1"/>
  <c r="AA40" i="76" s="1"/>
  <c r="N12" i="76"/>
  <c r="N14" i="76" s="1"/>
  <c r="S22" i="76"/>
  <c r="AW22" i="76" s="1"/>
  <c r="AW24" i="76" s="1"/>
  <c r="S37" i="99" s="1"/>
  <c r="T153" i="76"/>
  <c r="T32" i="76"/>
  <c r="O141" i="76"/>
  <c r="V153" i="76"/>
  <c r="V32" i="76"/>
  <c r="P153" i="76"/>
  <c r="P32" i="76"/>
  <c r="S153" i="76"/>
  <c r="S32" i="76"/>
  <c r="AR120" i="76"/>
  <c r="AR132" i="76" s="1"/>
  <c r="Q22" i="76"/>
  <c r="Q24" i="76" s="1"/>
  <c r="S27" i="76"/>
  <c r="S29" i="76" s="1"/>
  <c r="K22" i="76"/>
  <c r="AO22" i="76" s="1"/>
  <c r="AO24" i="76" s="1"/>
  <c r="K37" i="99" s="1"/>
  <c r="AF132" i="76"/>
  <c r="AF27" i="76"/>
  <c r="AF29" i="76" s="1"/>
  <c r="AK22" i="76"/>
  <c r="AK24" i="76" s="1"/>
  <c r="AK111" i="76"/>
  <c r="AJ132" i="76"/>
  <c r="AJ27" i="76"/>
  <c r="AJ29" i="76" s="1"/>
  <c r="AZ120" i="76"/>
  <c r="AZ132" i="76" s="1"/>
  <c r="T24" i="76"/>
  <c r="AX22" i="76"/>
  <c r="AX24" i="76" s="1"/>
  <c r="T37" i="99" s="1"/>
  <c r="Q29" i="76"/>
  <c r="O132" i="76"/>
  <c r="O27" i="76"/>
  <c r="U111" i="76"/>
  <c r="U22" i="76"/>
  <c r="N132" i="76"/>
  <c r="N27" i="76"/>
  <c r="L24" i="76"/>
  <c r="AP22" i="76"/>
  <c r="AP24" i="76" s="1"/>
  <c r="L37" i="99" s="1"/>
  <c r="AX27" i="76"/>
  <c r="AX29" i="76" s="1"/>
  <c r="T38" i="99" s="1"/>
  <c r="T29" i="76"/>
  <c r="AR22" i="76"/>
  <c r="AR24" i="76" s="1"/>
  <c r="N37" i="99" s="1"/>
  <c r="N24" i="76"/>
  <c r="V24" i="76"/>
  <c r="R29" i="76"/>
  <c r="AV27" i="76"/>
  <c r="AV29" i="76" s="1"/>
  <c r="R38" i="99" s="1"/>
  <c r="R111" i="76"/>
  <c r="R22" i="76"/>
  <c r="V132" i="76"/>
  <c r="V27" i="76"/>
  <c r="AT22" i="76"/>
  <c r="AT24" i="76" s="1"/>
  <c r="P37" i="99" s="1"/>
  <c r="P24" i="76"/>
  <c r="S19" i="76"/>
  <c r="AW17" i="76"/>
  <c r="AW19" i="76" s="1"/>
  <c r="S36" i="99" s="1"/>
  <c r="AP17" i="76"/>
  <c r="L19" i="76"/>
  <c r="AT17" i="76"/>
  <c r="AT19" i="76" s="1"/>
  <c r="P36" i="99" s="1"/>
  <c r="P19" i="76"/>
  <c r="O90" i="76"/>
  <c r="O17" i="76"/>
  <c r="AN17" i="76"/>
  <c r="AN19" i="76" s="1"/>
  <c r="J36" i="99" s="1"/>
  <c r="J19" i="76"/>
  <c r="P14" i="76"/>
  <c r="J69" i="76"/>
  <c r="J12" i="76"/>
  <c r="O14" i="76"/>
  <c r="L14" i="76"/>
  <c r="K14" i="76"/>
  <c r="M69" i="76"/>
  <c r="M12" i="76"/>
  <c r="R69" i="76"/>
  <c r="R12" i="76"/>
  <c r="Q14" i="76"/>
  <c r="Q86" i="19"/>
  <c r="P90" i="19"/>
  <c r="Q141" i="76"/>
  <c r="M141" i="76"/>
  <c r="U141" i="76"/>
  <c r="L141" i="76"/>
  <c r="AN29" i="34"/>
  <c r="BJ41" i="76" l="1"/>
  <c r="BN41" i="76"/>
  <c r="M175" i="61"/>
  <c r="BZ138" i="76"/>
  <c r="K12" i="98"/>
  <c r="K16" i="98" s="1"/>
  <c r="CD17" i="76"/>
  <c r="AG40" i="76"/>
  <c r="AE40" i="76"/>
  <c r="AT12" i="76"/>
  <c r="AT14" i="76" s="1"/>
  <c r="P35" i="99" s="1"/>
  <c r="AW141" i="76"/>
  <c r="AW153" i="76" s="1"/>
  <c r="CA138" i="76"/>
  <c r="AT141" i="76"/>
  <c r="AT153" i="76" s="1"/>
  <c r="AZ141" i="76"/>
  <c r="AZ153" i="76" s="1"/>
  <c r="CD138" i="76"/>
  <c r="AX141" i="76"/>
  <c r="AX153" i="76" s="1"/>
  <c r="CB138" i="76"/>
  <c r="AR141" i="76"/>
  <c r="AR153" i="76" s="1"/>
  <c r="BV138" i="76"/>
  <c r="AQ141" i="76"/>
  <c r="AQ153" i="76" s="1"/>
  <c r="BU138" i="76"/>
  <c r="AU141" i="76"/>
  <c r="AU153" i="76" s="1"/>
  <c r="BY138" i="76"/>
  <c r="R153" i="76"/>
  <c r="AP141" i="76"/>
  <c r="AP153" i="76" s="1"/>
  <c r="BT138" i="76"/>
  <c r="AY141" i="76"/>
  <c r="AY153" i="76" s="1"/>
  <c r="CC138" i="76"/>
  <c r="BR138" i="76"/>
  <c r="AQ29" i="76"/>
  <c r="M38" i="99" s="1"/>
  <c r="BU27" i="76"/>
  <c r="AP29" i="76"/>
  <c r="L38" i="99" s="1"/>
  <c r="BT27" i="76"/>
  <c r="BS27" i="76"/>
  <c r="CB27" i="76"/>
  <c r="BZ27" i="76"/>
  <c r="V19" i="76"/>
  <c r="BX17" i="76"/>
  <c r="BS17" i="76"/>
  <c r="AQ17" i="76"/>
  <c r="AQ19" i="76" s="1"/>
  <c r="M36" i="99" s="1"/>
  <c r="AP19" i="76"/>
  <c r="L36" i="99" s="1"/>
  <c r="BT17" i="76"/>
  <c r="CC17" i="76"/>
  <c r="CA17" i="76"/>
  <c r="AT27" i="76"/>
  <c r="AX17" i="76"/>
  <c r="AB40" i="76"/>
  <c r="M29" i="76"/>
  <c r="AD40" i="76"/>
  <c r="Z40" i="76"/>
  <c r="AH40" i="76"/>
  <c r="K19" i="76"/>
  <c r="K32" i="76"/>
  <c r="K34" i="76" s="1"/>
  <c r="N32" i="76"/>
  <c r="AR32" i="76" s="1"/>
  <c r="AR34" i="76" s="1"/>
  <c r="N39" i="99" s="1"/>
  <c r="AS12" i="76"/>
  <c r="U19" i="76"/>
  <c r="AU17" i="76"/>
  <c r="AU19" i="76" s="1"/>
  <c r="Q36" i="99" s="1"/>
  <c r="L29" i="76"/>
  <c r="AK40" i="76"/>
  <c r="AZ12" i="76"/>
  <c r="AR17" i="76"/>
  <c r="AW12" i="76"/>
  <c r="K29" i="76"/>
  <c r="AX12" i="76"/>
  <c r="AY12" i="76"/>
  <c r="M24" i="76"/>
  <c r="AS22" i="76"/>
  <c r="AS24" i="76" s="1"/>
  <c r="O37" i="99" s="1"/>
  <c r="AJ40" i="76"/>
  <c r="AW27" i="76"/>
  <c r="AW29" i="76" s="1"/>
  <c r="S38" i="99" s="1"/>
  <c r="S24" i="76"/>
  <c r="AF40" i="76"/>
  <c r="AV17" i="76"/>
  <c r="AU12" i="76"/>
  <c r="AP12" i="76"/>
  <c r="AO12" i="76"/>
  <c r="AR12" i="76"/>
  <c r="AU22" i="76"/>
  <c r="AU24" i="76" s="1"/>
  <c r="Q37" i="99" s="1"/>
  <c r="U153" i="76"/>
  <c r="U32" i="76"/>
  <c r="P34" i="76"/>
  <c r="P40" i="76" s="1"/>
  <c r="AT32" i="76"/>
  <c r="AT34" i="76" s="1"/>
  <c r="Q153" i="76"/>
  <c r="Q32" i="76"/>
  <c r="R34" i="76"/>
  <c r="AV32" i="76"/>
  <c r="AV34" i="76" s="1"/>
  <c r="R39" i="99" s="1"/>
  <c r="T34" i="76"/>
  <c r="T40" i="76" s="1"/>
  <c r="AX32" i="76"/>
  <c r="AX34" i="76" s="1"/>
  <c r="T39" i="99" s="1"/>
  <c r="M153" i="76"/>
  <c r="M32" i="76"/>
  <c r="O153" i="76"/>
  <c r="O32" i="76"/>
  <c r="L153" i="76"/>
  <c r="L32" i="76"/>
  <c r="AW32" i="76"/>
  <c r="AW34" i="76" s="1"/>
  <c r="S39" i="99" s="1"/>
  <c r="S34" i="76"/>
  <c r="AZ32" i="76"/>
  <c r="AZ34" i="76" s="1"/>
  <c r="V39" i="99" s="1"/>
  <c r="V34" i="76"/>
  <c r="AU27" i="76"/>
  <c r="AU29" i="76" s="1"/>
  <c r="Q38" i="99" s="1"/>
  <c r="K24" i="76"/>
  <c r="AZ22" i="76"/>
  <c r="AZ24" i="76" s="1"/>
  <c r="V37" i="99" s="1"/>
  <c r="AY27" i="76"/>
  <c r="N29" i="76"/>
  <c r="AR27" i="76"/>
  <c r="AV22" i="76"/>
  <c r="AV24" i="76" s="1"/>
  <c r="R37" i="99" s="1"/>
  <c r="R24" i="76"/>
  <c r="U24" i="76"/>
  <c r="AY22" i="76"/>
  <c r="AY24" i="76" s="1"/>
  <c r="U37" i="99" s="1"/>
  <c r="O29" i="76"/>
  <c r="AS27" i="76"/>
  <c r="AS29" i="76" s="1"/>
  <c r="O38" i="99" s="1"/>
  <c r="V29" i="76"/>
  <c r="AZ27" i="76"/>
  <c r="AS17" i="76"/>
  <c r="O19" i="76"/>
  <c r="AQ12" i="76"/>
  <c r="M14" i="76"/>
  <c r="AV12" i="76"/>
  <c r="R14" i="76"/>
  <c r="AN12" i="76"/>
  <c r="AN14" i="76" s="1"/>
  <c r="J14" i="76"/>
  <c r="R86" i="19"/>
  <c r="Q90" i="19"/>
  <c r="K97" i="64"/>
  <c r="L97" i="64"/>
  <c r="M97" i="64"/>
  <c r="N97" i="64"/>
  <c r="O97" i="64"/>
  <c r="J97" i="64"/>
  <c r="K84" i="64"/>
  <c r="L84" i="64"/>
  <c r="M84" i="64"/>
  <c r="N84" i="64"/>
  <c r="O84" i="64"/>
  <c r="J84" i="64"/>
  <c r="O58" i="64"/>
  <c r="O72" i="64" s="1"/>
  <c r="O14" i="64" s="1"/>
  <c r="N58" i="64"/>
  <c r="N72" i="64" s="1"/>
  <c r="N14" i="64" s="1"/>
  <c r="M58" i="64"/>
  <c r="M72" i="64" s="1"/>
  <c r="M14" i="64" s="1"/>
  <c r="L58" i="64"/>
  <c r="L72" i="64" s="1"/>
  <c r="L14" i="64" s="1"/>
  <c r="K58" i="64"/>
  <c r="K72" i="64" s="1"/>
  <c r="K14" i="64" s="1"/>
  <c r="J58" i="64"/>
  <c r="J72" i="64" s="1"/>
  <c r="J14" i="64" s="1"/>
  <c r="K29" i="64"/>
  <c r="K43" i="64" s="1"/>
  <c r="K13" i="64" s="1"/>
  <c r="L29" i="64"/>
  <c r="L43" i="64" s="1"/>
  <c r="L13" i="64" s="1"/>
  <c r="M29" i="64"/>
  <c r="M43" i="64" s="1"/>
  <c r="M13" i="64" s="1"/>
  <c r="N29" i="64"/>
  <c r="N43" i="64" s="1"/>
  <c r="N13" i="64" s="1"/>
  <c r="O29" i="64"/>
  <c r="O43" i="64" s="1"/>
  <c r="O13" i="64" s="1"/>
  <c r="J29" i="64"/>
  <c r="J43" i="64" s="1"/>
  <c r="J13" i="64" s="1"/>
  <c r="AK36" i="35"/>
  <c r="AJ36" i="35"/>
  <c r="AI36" i="35"/>
  <c r="AH36" i="35"/>
  <c r="AG36" i="35"/>
  <c r="AF36" i="35"/>
  <c r="AE36" i="35"/>
  <c r="AD36" i="35"/>
  <c r="AC36" i="35"/>
  <c r="AB36" i="35"/>
  <c r="AA36" i="35"/>
  <c r="Z36" i="35"/>
  <c r="Y36" i="35"/>
  <c r="V36" i="35"/>
  <c r="V14" i="35" s="1"/>
  <c r="U36" i="35"/>
  <c r="U14" i="35" s="1"/>
  <c r="T36" i="35"/>
  <c r="T14" i="35" s="1"/>
  <c r="S36" i="35"/>
  <c r="S14" i="35" s="1"/>
  <c r="R36" i="35"/>
  <c r="R14" i="35" s="1"/>
  <c r="Q36" i="35"/>
  <c r="Q14" i="35" s="1"/>
  <c r="P36" i="35"/>
  <c r="P14" i="35" s="1"/>
  <c r="O36" i="35"/>
  <c r="O14" i="35" s="1"/>
  <c r="N36" i="35"/>
  <c r="N14" i="35" s="1"/>
  <c r="M36" i="35"/>
  <c r="M14" i="35" s="1"/>
  <c r="L36" i="35"/>
  <c r="L14" i="35" s="1"/>
  <c r="K36" i="35"/>
  <c r="K14" i="35" s="1"/>
  <c r="J36" i="35"/>
  <c r="J14" i="35" s="1"/>
  <c r="AK25" i="35"/>
  <c r="AJ25" i="35"/>
  <c r="AI25" i="35"/>
  <c r="AH25" i="35"/>
  <c r="AG25" i="35"/>
  <c r="AF25" i="35"/>
  <c r="AE25" i="35"/>
  <c r="AD25" i="35"/>
  <c r="AC25" i="35"/>
  <c r="AB25" i="35"/>
  <c r="AA25" i="35"/>
  <c r="Z25" i="35"/>
  <c r="Y25" i="35"/>
  <c r="K25" i="35"/>
  <c r="K13" i="35" s="1"/>
  <c r="K42" i="75" s="1"/>
  <c r="AO42" i="75" s="1"/>
  <c r="K31" i="99" s="1"/>
  <c r="L25" i="35"/>
  <c r="L13" i="35" s="1"/>
  <c r="L42" i="75" s="1"/>
  <c r="AP42" i="75" s="1"/>
  <c r="L31" i="99" s="1"/>
  <c r="M25" i="35"/>
  <c r="M13" i="35" s="1"/>
  <c r="M42" i="75" s="1"/>
  <c r="AQ42" i="75" s="1"/>
  <c r="M31" i="99" s="1"/>
  <c r="N25" i="35"/>
  <c r="N13" i="35" s="1"/>
  <c r="N42" i="75" s="1"/>
  <c r="AR42" i="75" s="1"/>
  <c r="N31" i="99" s="1"/>
  <c r="O25" i="35"/>
  <c r="O13" i="35" s="1"/>
  <c r="O42" i="75" s="1"/>
  <c r="AS42" i="75" s="1"/>
  <c r="O31" i="99" s="1"/>
  <c r="P25" i="35"/>
  <c r="P13" i="35" s="1"/>
  <c r="P42" i="75" s="1"/>
  <c r="AT42" i="75" s="1"/>
  <c r="P31" i="99" s="1"/>
  <c r="Q25" i="35"/>
  <c r="Q13" i="35" s="1"/>
  <c r="Q42" i="75" s="1"/>
  <c r="AU42" i="75" s="1"/>
  <c r="Q31" i="99" s="1"/>
  <c r="R25" i="35"/>
  <c r="R13" i="35" s="1"/>
  <c r="R42" i="75" s="1"/>
  <c r="AV42" i="75" s="1"/>
  <c r="R31" i="99" s="1"/>
  <c r="S25" i="35"/>
  <c r="S13" i="35" s="1"/>
  <c r="S42" i="75" s="1"/>
  <c r="AW42" i="75" s="1"/>
  <c r="S31" i="99" s="1"/>
  <c r="T25" i="35"/>
  <c r="T13" i="35" s="1"/>
  <c r="T42" i="75" s="1"/>
  <c r="AX42" i="75" s="1"/>
  <c r="T31" i="99" s="1"/>
  <c r="U25" i="35"/>
  <c r="U13" i="35" s="1"/>
  <c r="U42" i="75" s="1"/>
  <c r="AY42" i="75" s="1"/>
  <c r="U31" i="99" s="1"/>
  <c r="V25" i="35"/>
  <c r="V13" i="35" s="1"/>
  <c r="V42" i="75" s="1"/>
  <c r="AZ42" i="75" s="1"/>
  <c r="V31" i="99" s="1"/>
  <c r="J25" i="35"/>
  <c r="J13" i="35" s="1"/>
  <c r="J42" i="75" s="1"/>
  <c r="AN42" i="75" s="1"/>
  <c r="J31" i="99" s="1"/>
  <c r="AK207" i="34"/>
  <c r="AJ207" i="34"/>
  <c r="AI207" i="34"/>
  <c r="AH207" i="34"/>
  <c r="AG207" i="34"/>
  <c r="AF207" i="34"/>
  <c r="AE207" i="34"/>
  <c r="AD207" i="34"/>
  <c r="AC207" i="34"/>
  <c r="AB207" i="34"/>
  <c r="AA207" i="34"/>
  <c r="Z207" i="34"/>
  <c r="Y207" i="34"/>
  <c r="V207" i="34"/>
  <c r="V18" i="34" s="1"/>
  <c r="U207" i="34"/>
  <c r="U18" i="34" s="1"/>
  <c r="T207" i="34"/>
  <c r="T18" i="34" s="1"/>
  <c r="S207" i="34"/>
  <c r="S18" i="34" s="1"/>
  <c r="R207" i="34"/>
  <c r="R18" i="34" s="1"/>
  <c r="Q207" i="34"/>
  <c r="Q18" i="34" s="1"/>
  <c r="P207" i="34"/>
  <c r="P18" i="34" s="1"/>
  <c r="O207" i="34"/>
  <c r="O18" i="34" s="1"/>
  <c r="N207" i="34"/>
  <c r="N18" i="34" s="1"/>
  <c r="M207" i="34"/>
  <c r="M18" i="34" s="1"/>
  <c r="L207" i="34"/>
  <c r="L18" i="34" s="1"/>
  <c r="K207" i="34"/>
  <c r="K18" i="34" s="1"/>
  <c r="J207" i="34"/>
  <c r="J18" i="34" s="1"/>
  <c r="AK168" i="34"/>
  <c r="AJ168" i="34"/>
  <c r="AI168" i="34"/>
  <c r="AH168" i="34"/>
  <c r="AG168" i="34"/>
  <c r="AF168" i="34"/>
  <c r="AE168" i="34"/>
  <c r="AD168" i="34"/>
  <c r="AC168" i="34"/>
  <c r="AB168" i="34"/>
  <c r="AA168" i="34"/>
  <c r="Z168" i="34"/>
  <c r="Y168" i="34"/>
  <c r="V168" i="34"/>
  <c r="V17" i="34" s="1"/>
  <c r="U168" i="34"/>
  <c r="U17" i="34" s="1"/>
  <c r="T168" i="34"/>
  <c r="T17" i="34" s="1"/>
  <c r="S168" i="34"/>
  <c r="S17" i="34" s="1"/>
  <c r="R168" i="34"/>
  <c r="R17" i="34" s="1"/>
  <c r="Q168" i="34"/>
  <c r="Q17" i="34" s="1"/>
  <c r="P168" i="34"/>
  <c r="P17" i="34" s="1"/>
  <c r="O168" i="34"/>
  <c r="O17" i="34" s="1"/>
  <c r="N168" i="34"/>
  <c r="N17" i="34" s="1"/>
  <c r="M168" i="34"/>
  <c r="M17" i="34" s="1"/>
  <c r="L168" i="34"/>
  <c r="L17" i="34" s="1"/>
  <c r="K168" i="34"/>
  <c r="K17" i="34" s="1"/>
  <c r="J168" i="34"/>
  <c r="J17" i="34" s="1"/>
  <c r="AM95" i="34"/>
  <c r="AK95" i="34"/>
  <c r="AJ95" i="34"/>
  <c r="AI95" i="34"/>
  <c r="AH95" i="34"/>
  <c r="AG95" i="34"/>
  <c r="AF95" i="34"/>
  <c r="AE95" i="34"/>
  <c r="AD95" i="34"/>
  <c r="AC95" i="34"/>
  <c r="AB95" i="34"/>
  <c r="AA95" i="34"/>
  <c r="Z95" i="34"/>
  <c r="Y95" i="34"/>
  <c r="K95" i="34"/>
  <c r="K16" i="34" s="1"/>
  <c r="L95" i="34"/>
  <c r="L16" i="34" s="1"/>
  <c r="M95" i="34"/>
  <c r="M16" i="34" s="1"/>
  <c r="N95" i="34"/>
  <c r="N16" i="34" s="1"/>
  <c r="O95" i="34"/>
  <c r="O16" i="34" s="1"/>
  <c r="P95" i="34"/>
  <c r="P16" i="34" s="1"/>
  <c r="Q95" i="34"/>
  <c r="Q16" i="34" s="1"/>
  <c r="R95" i="34"/>
  <c r="R16" i="34" s="1"/>
  <c r="S95" i="34"/>
  <c r="S16" i="34" s="1"/>
  <c r="T95" i="34"/>
  <c r="T16" i="34" s="1"/>
  <c r="U95" i="34"/>
  <c r="U16" i="34" s="1"/>
  <c r="V95" i="34"/>
  <c r="V16" i="34" s="1"/>
  <c r="J95" i="34"/>
  <c r="J16" i="34" s="1"/>
  <c r="AK58" i="34"/>
  <c r="AJ58" i="34"/>
  <c r="AI58" i="34"/>
  <c r="AH58" i="34"/>
  <c r="AG58" i="34"/>
  <c r="AF58" i="34"/>
  <c r="AE58" i="34"/>
  <c r="AD58" i="34"/>
  <c r="AC58" i="34"/>
  <c r="AB58" i="34"/>
  <c r="AA58" i="34"/>
  <c r="Z58" i="34"/>
  <c r="Y58" i="34"/>
  <c r="K15" i="34"/>
  <c r="L15" i="34"/>
  <c r="M15" i="34"/>
  <c r="O15" i="34"/>
  <c r="P15" i="34"/>
  <c r="Q15" i="34"/>
  <c r="R58" i="34"/>
  <c r="R15" i="34" s="1"/>
  <c r="S58" i="34"/>
  <c r="S15" i="34" s="1"/>
  <c r="T58" i="34"/>
  <c r="T15" i="34" s="1"/>
  <c r="U58" i="34"/>
  <c r="U15" i="34" s="1"/>
  <c r="V58" i="34"/>
  <c r="V15" i="34" s="1"/>
  <c r="J15" i="34"/>
  <c r="AM40" i="34"/>
  <c r="AK40" i="34"/>
  <c r="AJ40" i="34"/>
  <c r="AI40" i="34"/>
  <c r="AH40" i="34"/>
  <c r="AG40" i="34"/>
  <c r="AF40" i="34"/>
  <c r="AE40" i="34"/>
  <c r="AD40" i="34"/>
  <c r="AC40" i="34"/>
  <c r="AB40" i="34"/>
  <c r="AA40" i="34"/>
  <c r="Z40" i="34"/>
  <c r="Y40" i="34"/>
  <c r="V40" i="34"/>
  <c r="V14" i="34" s="1"/>
  <c r="U40" i="34"/>
  <c r="U14" i="34" s="1"/>
  <c r="T40" i="34"/>
  <c r="T14" i="34" s="1"/>
  <c r="S40" i="34"/>
  <c r="S14" i="34" s="1"/>
  <c r="R40" i="34"/>
  <c r="R14" i="34" s="1"/>
  <c r="Q40" i="34"/>
  <c r="Q14" i="34" s="1"/>
  <c r="P40" i="34"/>
  <c r="P14" i="34" s="1"/>
  <c r="O40" i="34"/>
  <c r="O14" i="34" s="1"/>
  <c r="N40" i="34"/>
  <c r="N14" i="34" s="1"/>
  <c r="M40" i="34"/>
  <c r="M14" i="34" s="1"/>
  <c r="L40" i="34"/>
  <c r="K40" i="34"/>
  <c r="K14" i="34" s="1"/>
  <c r="J40" i="34"/>
  <c r="J14" i="34" s="1"/>
  <c r="AK29" i="34"/>
  <c r="AJ29" i="34"/>
  <c r="AI29" i="34"/>
  <c r="AH29" i="34"/>
  <c r="AG29" i="34"/>
  <c r="AF29" i="34"/>
  <c r="AE29" i="34"/>
  <c r="AD29" i="34"/>
  <c r="AC29" i="34"/>
  <c r="AB29" i="34"/>
  <c r="AA29" i="34"/>
  <c r="Z29" i="34"/>
  <c r="Y29" i="34"/>
  <c r="L14" i="34"/>
  <c r="K29" i="34"/>
  <c r="K13" i="34" s="1"/>
  <c r="L29" i="34"/>
  <c r="L13" i="34" s="1"/>
  <c r="M29" i="34"/>
  <c r="M13" i="34" s="1"/>
  <c r="N29" i="34"/>
  <c r="N13" i="34" s="1"/>
  <c r="O29" i="34"/>
  <c r="O13" i="34" s="1"/>
  <c r="P29" i="34"/>
  <c r="P13" i="34" s="1"/>
  <c r="Q29" i="34"/>
  <c r="Q13" i="34" s="1"/>
  <c r="R29" i="34"/>
  <c r="S29" i="34"/>
  <c r="S13" i="34" s="1"/>
  <c r="T29" i="34"/>
  <c r="T13" i="34" s="1"/>
  <c r="U29" i="34"/>
  <c r="U13" i="34" s="1"/>
  <c r="V29" i="34"/>
  <c r="V13" i="34" s="1"/>
  <c r="J29" i="34"/>
  <c r="J13" i="34" s="1"/>
  <c r="N15" i="34"/>
  <c r="BX12" i="76" l="1"/>
  <c r="M182" i="61"/>
  <c r="P207" i="8"/>
  <c r="Q175" i="61"/>
  <c r="L12" i="98"/>
  <c r="P24" i="22"/>
  <c r="AE24" i="22"/>
  <c r="N34" i="76"/>
  <c r="N40" i="76" s="1"/>
  <c r="CA27" i="76"/>
  <c r="AZ29" i="76"/>
  <c r="V38" i="99" s="1"/>
  <c r="CD27" i="76"/>
  <c r="AR29" i="76"/>
  <c r="N38" i="99" s="1"/>
  <c r="BV27" i="76"/>
  <c r="BY27" i="76"/>
  <c r="BW27" i="76"/>
  <c r="AY29" i="76"/>
  <c r="U38" i="99" s="1"/>
  <c r="CC27" i="76"/>
  <c r="AT29" i="76"/>
  <c r="P38" i="99" s="1"/>
  <c r="BX27" i="76"/>
  <c r="BU17" i="76"/>
  <c r="BY17" i="76"/>
  <c r="AS19" i="76"/>
  <c r="O36" i="99" s="1"/>
  <c r="BW17" i="76"/>
  <c r="AR19" i="76"/>
  <c r="N36" i="99" s="1"/>
  <c r="BV17" i="76"/>
  <c r="AX19" i="76"/>
  <c r="T36" i="99" s="1"/>
  <c r="CB17" i="76"/>
  <c r="AV19" i="76"/>
  <c r="R36" i="99" s="1"/>
  <c r="BZ17" i="76"/>
  <c r="AU14" i="76"/>
  <c r="Q35" i="99" s="1"/>
  <c r="BY12" i="76"/>
  <c r="AQ14" i="76"/>
  <c r="M35" i="99" s="1"/>
  <c r="BU12" i="76"/>
  <c r="AR14" i="76"/>
  <c r="N35" i="99" s="1"/>
  <c r="BV12" i="76"/>
  <c r="AX14" i="76"/>
  <c r="T35" i="99" s="1"/>
  <c r="CB12" i="76"/>
  <c r="AS14" i="76"/>
  <c r="O35" i="99" s="1"/>
  <c r="BW12" i="76"/>
  <c r="AO14" i="76"/>
  <c r="K35" i="99" s="1"/>
  <c r="BS12" i="76"/>
  <c r="AZ14" i="76"/>
  <c r="V35" i="99" s="1"/>
  <c r="V42" i="99" s="1"/>
  <c r="CD12" i="76"/>
  <c r="AY14" i="76"/>
  <c r="U35" i="99" s="1"/>
  <c r="CC12" i="76"/>
  <c r="AV14" i="76"/>
  <c r="R35" i="99" s="1"/>
  <c r="BZ12" i="76"/>
  <c r="AP14" i="76"/>
  <c r="L35" i="99" s="1"/>
  <c r="BT12" i="76"/>
  <c r="AW14" i="76"/>
  <c r="S35" i="99" s="1"/>
  <c r="S42" i="99" s="1"/>
  <c r="CA12" i="76"/>
  <c r="AO32" i="76"/>
  <c r="AO34" i="76" s="1"/>
  <c r="K39" i="99" s="1"/>
  <c r="Y40" i="75"/>
  <c r="Z40" i="75"/>
  <c r="AA40" i="75"/>
  <c r="AB40" i="75"/>
  <c r="AC40" i="75"/>
  <c r="AD40" i="75"/>
  <c r="AE40" i="75"/>
  <c r="AF40" i="75"/>
  <c r="AG40" i="75"/>
  <c r="AH40" i="75"/>
  <c r="AI40" i="75"/>
  <c r="AJ40" i="75"/>
  <c r="AK40" i="75"/>
  <c r="P39" i="99"/>
  <c r="J35" i="99"/>
  <c r="S40" i="76"/>
  <c r="K18" i="19"/>
  <c r="K12" i="64"/>
  <c r="M12" i="64"/>
  <c r="N12" i="64"/>
  <c r="O12" i="64"/>
  <c r="J12" i="64"/>
  <c r="K40" i="76"/>
  <c r="R40" i="76"/>
  <c r="AS32" i="76"/>
  <c r="O34" i="76"/>
  <c r="O40" i="76" s="1"/>
  <c r="AU32" i="76"/>
  <c r="AU34" i="76" s="1"/>
  <c r="Q34" i="76"/>
  <c r="Q40" i="76" s="1"/>
  <c r="AY32" i="76"/>
  <c r="AY34" i="76" s="1"/>
  <c r="U34" i="76"/>
  <c r="U40" i="76" s="1"/>
  <c r="AP32" i="76"/>
  <c r="AP34" i="76" s="1"/>
  <c r="L34" i="76"/>
  <c r="L40" i="76" s="1"/>
  <c r="AQ32" i="76"/>
  <c r="M34" i="76"/>
  <c r="M40" i="76" s="1"/>
  <c r="V40" i="76"/>
  <c r="S86" i="19"/>
  <c r="R90" i="19"/>
  <c r="L12" i="64"/>
  <c r="J45" i="19"/>
  <c r="J18" i="19"/>
  <c r="R13" i="34"/>
  <c r="R12" i="34" s="1"/>
  <c r="R40" i="75" s="1"/>
  <c r="M158" i="61" s="1"/>
  <c r="V12" i="35"/>
  <c r="U12" i="35"/>
  <c r="T12" i="35"/>
  <c r="S12" i="35"/>
  <c r="M12" i="35"/>
  <c r="L12" i="35"/>
  <c r="K12" i="35"/>
  <c r="N12" i="35"/>
  <c r="O12" i="35"/>
  <c r="P12" i="35"/>
  <c r="Q12" i="35"/>
  <c r="J12" i="35"/>
  <c r="R12" i="35"/>
  <c r="M12" i="34"/>
  <c r="M40" i="75" s="1"/>
  <c r="K12" i="34"/>
  <c r="K40" i="75" s="1"/>
  <c r="T12" i="34"/>
  <c r="T40" i="75" s="1"/>
  <c r="S12" i="34"/>
  <c r="S40" i="75" s="1"/>
  <c r="U12" i="34"/>
  <c r="U40" i="75" s="1"/>
  <c r="P12" i="34"/>
  <c r="P40" i="75" s="1"/>
  <c r="Q12" i="34"/>
  <c r="Q40" i="75" s="1"/>
  <c r="O12" i="34"/>
  <c r="O40" i="75" s="1"/>
  <c r="L12" i="34"/>
  <c r="L40" i="75" s="1"/>
  <c r="N12" i="34"/>
  <c r="N40" i="75" s="1"/>
  <c r="V12" i="34"/>
  <c r="V40" i="75" s="1"/>
  <c r="Q158" i="61" s="1"/>
  <c r="J12" i="34"/>
  <c r="J40" i="75" s="1"/>
  <c r="AK148" i="33"/>
  <c r="AK37" i="75" s="1"/>
  <c r="AJ148" i="33"/>
  <c r="AJ37" i="75" s="1"/>
  <c r="AI148" i="33"/>
  <c r="AI37" i="75" s="1"/>
  <c r="AH148" i="33"/>
  <c r="AH37" i="75" s="1"/>
  <c r="AG148" i="33"/>
  <c r="AG37" i="75" s="1"/>
  <c r="AF148" i="33"/>
  <c r="AF37" i="75" s="1"/>
  <c r="AE148" i="33"/>
  <c r="AE37" i="75" s="1"/>
  <c r="AD148" i="33"/>
  <c r="AD37" i="75" s="1"/>
  <c r="AC148" i="33"/>
  <c r="AC37" i="75" s="1"/>
  <c r="AB148" i="33"/>
  <c r="AB37" i="75" s="1"/>
  <c r="AA148" i="33"/>
  <c r="AA37" i="75" s="1"/>
  <c r="Z148" i="33"/>
  <c r="Z37" i="75" s="1"/>
  <c r="Y148" i="33"/>
  <c r="Y37" i="75" s="1"/>
  <c r="K148" i="33"/>
  <c r="K16" i="33" s="1"/>
  <c r="K37" i="75" s="1"/>
  <c r="L148" i="33"/>
  <c r="L16" i="33" s="1"/>
  <c r="L37" i="75" s="1"/>
  <c r="M148" i="33"/>
  <c r="M16" i="33" s="1"/>
  <c r="M37" i="75" s="1"/>
  <c r="N148" i="33"/>
  <c r="N16" i="33" s="1"/>
  <c r="N37" i="75" s="1"/>
  <c r="AR37" i="75" s="1"/>
  <c r="O148" i="33"/>
  <c r="O16" i="33" s="1"/>
  <c r="O37" i="75" s="1"/>
  <c r="P148" i="33"/>
  <c r="P16" i="33" s="1"/>
  <c r="P37" i="75" s="1"/>
  <c r="Q148" i="33"/>
  <c r="Q16" i="33" s="1"/>
  <c r="Q37" i="75" s="1"/>
  <c r="R148" i="33"/>
  <c r="R16" i="33" s="1"/>
  <c r="R37" i="75" s="1"/>
  <c r="AV37" i="75" s="1"/>
  <c r="S148" i="33"/>
  <c r="S16" i="33" s="1"/>
  <c r="S37" i="75" s="1"/>
  <c r="T148" i="33"/>
  <c r="T16" i="33" s="1"/>
  <c r="T37" i="75" s="1"/>
  <c r="AX37" i="75" s="1"/>
  <c r="U148" i="33"/>
  <c r="U16" i="33" s="1"/>
  <c r="U37" i="75" s="1"/>
  <c r="V148" i="33"/>
  <c r="V16" i="33" s="1"/>
  <c r="V37" i="75" s="1"/>
  <c r="J148" i="33"/>
  <c r="J16" i="33" s="1"/>
  <c r="J37" i="75" s="1"/>
  <c r="AZ76" i="33"/>
  <c r="AY76" i="33"/>
  <c r="AX76" i="33"/>
  <c r="AW76" i="33"/>
  <c r="AV76" i="33"/>
  <c r="AU76" i="33"/>
  <c r="AT76" i="33"/>
  <c r="AS76" i="33"/>
  <c r="AR76" i="33"/>
  <c r="AQ76" i="33"/>
  <c r="AP76" i="33"/>
  <c r="AO76" i="33"/>
  <c r="AN76" i="33"/>
  <c r="AZ68" i="33"/>
  <c r="AY68" i="33"/>
  <c r="AX68" i="33"/>
  <c r="AW68" i="33"/>
  <c r="AV68" i="33"/>
  <c r="AU68" i="33"/>
  <c r="AT68" i="33"/>
  <c r="AS68" i="33"/>
  <c r="AR68" i="33"/>
  <c r="AQ68" i="33"/>
  <c r="AP68" i="33"/>
  <c r="AO68" i="33"/>
  <c r="AN68" i="33"/>
  <c r="AZ63" i="33"/>
  <c r="AY63" i="33"/>
  <c r="AX63" i="33"/>
  <c r="AW63" i="33"/>
  <c r="AV63" i="33"/>
  <c r="AU63" i="33"/>
  <c r="AT63" i="33"/>
  <c r="AS63" i="33"/>
  <c r="AR63" i="33"/>
  <c r="AQ63" i="33"/>
  <c r="AP63" i="33"/>
  <c r="AO63" i="33"/>
  <c r="AN63" i="33"/>
  <c r="AZ58" i="33"/>
  <c r="AY58" i="33"/>
  <c r="AX58" i="33"/>
  <c r="AW58" i="33"/>
  <c r="AV58" i="33"/>
  <c r="AU58" i="33"/>
  <c r="AT58" i="33"/>
  <c r="AS58" i="33"/>
  <c r="AR58" i="33"/>
  <c r="AQ58" i="33"/>
  <c r="AP58" i="33"/>
  <c r="AO58" i="33"/>
  <c r="AN58" i="33"/>
  <c r="AE36" i="33"/>
  <c r="BO29" i="75"/>
  <c r="BN29" i="75"/>
  <c r="BM29" i="75"/>
  <c r="BL29" i="75"/>
  <c r="BK29" i="75"/>
  <c r="BJ29" i="75"/>
  <c r="BI29" i="75"/>
  <c r="BH29" i="75"/>
  <c r="BG29" i="75"/>
  <c r="BF29" i="75"/>
  <c r="BE29" i="75"/>
  <c r="BD29" i="75"/>
  <c r="BC29" i="75"/>
  <c r="AK29" i="75"/>
  <c r="AK30" i="75" s="1"/>
  <c r="AJ29" i="75"/>
  <c r="AJ30" i="75" s="1"/>
  <c r="AI29" i="75"/>
  <c r="AI30" i="75" s="1"/>
  <c r="AH29" i="75"/>
  <c r="AH30" i="75" s="1"/>
  <c r="AG29" i="75"/>
  <c r="AG30" i="75" s="1"/>
  <c r="AF29" i="75"/>
  <c r="AF30" i="75" s="1"/>
  <c r="AE29" i="75"/>
  <c r="AE30" i="75" s="1"/>
  <c r="AD29" i="75"/>
  <c r="AD30" i="75" s="1"/>
  <c r="AC29" i="75"/>
  <c r="AC30" i="75" s="1"/>
  <c r="AB29" i="75"/>
  <c r="AB30" i="75" s="1"/>
  <c r="AA29" i="75"/>
  <c r="AA30" i="75" s="1"/>
  <c r="Z29" i="75"/>
  <c r="Z30" i="75" s="1"/>
  <c r="Y29" i="75"/>
  <c r="Y30" i="75" s="1"/>
  <c r="K29" i="75"/>
  <c r="L29" i="75"/>
  <c r="M29" i="75"/>
  <c r="N29" i="75"/>
  <c r="O29" i="75"/>
  <c r="Q29" i="75"/>
  <c r="S29" i="75"/>
  <c r="U29" i="75"/>
  <c r="J29" i="75"/>
  <c r="Q81" i="30"/>
  <c r="R81" i="30"/>
  <c r="S81" i="30"/>
  <c r="T81" i="30"/>
  <c r="U81" i="30"/>
  <c r="V81" i="30"/>
  <c r="P81" i="30"/>
  <c r="AZ52" i="30"/>
  <c r="AY52" i="30"/>
  <c r="AX52" i="30"/>
  <c r="AW52" i="30"/>
  <c r="AV52" i="30"/>
  <c r="AU52" i="30"/>
  <c r="AT52" i="30"/>
  <c r="AS52" i="30"/>
  <c r="AR52" i="30"/>
  <c r="AQ52" i="30"/>
  <c r="AP52" i="30"/>
  <c r="AO52" i="30"/>
  <c r="AN52" i="30"/>
  <c r="AZ48" i="30"/>
  <c r="AY48" i="30"/>
  <c r="AX48" i="30"/>
  <c r="AW48" i="30"/>
  <c r="AV48" i="30"/>
  <c r="AU48" i="30"/>
  <c r="AT48" i="30"/>
  <c r="AS48" i="30"/>
  <c r="AR48" i="30"/>
  <c r="AQ48" i="30"/>
  <c r="AP48" i="30"/>
  <c r="AO48" i="30"/>
  <c r="AN48" i="30"/>
  <c r="AZ43" i="30"/>
  <c r="AY43" i="30"/>
  <c r="AX43" i="30"/>
  <c r="AW43" i="30"/>
  <c r="AV43" i="30"/>
  <c r="AU43" i="30"/>
  <c r="AT43" i="30"/>
  <c r="AS43" i="30"/>
  <c r="AR43" i="30"/>
  <c r="AQ43" i="30"/>
  <c r="AP43" i="30"/>
  <c r="AO43" i="30"/>
  <c r="AN43" i="30"/>
  <c r="AK52" i="30"/>
  <c r="AJ52" i="30"/>
  <c r="AI52" i="30"/>
  <c r="AH52" i="30"/>
  <c r="AG52" i="30"/>
  <c r="AF52" i="30"/>
  <c r="AE52" i="30"/>
  <c r="AD52" i="30"/>
  <c r="AC52" i="30"/>
  <c r="AB52" i="30"/>
  <c r="AA52" i="30"/>
  <c r="Z52" i="30"/>
  <c r="Y52" i="30"/>
  <c r="AK48" i="30"/>
  <c r="AJ48" i="30"/>
  <c r="AI48" i="30"/>
  <c r="AH48" i="30"/>
  <c r="AG48" i="30"/>
  <c r="AF48" i="30"/>
  <c r="AE48" i="30"/>
  <c r="AD48" i="30"/>
  <c r="AC48" i="30"/>
  <c r="AB48" i="30"/>
  <c r="AA48" i="30"/>
  <c r="Z48" i="30"/>
  <c r="Y48" i="30"/>
  <c r="AK43" i="30"/>
  <c r="AJ43" i="30"/>
  <c r="AI43" i="30"/>
  <c r="AH43" i="30"/>
  <c r="AG43" i="30"/>
  <c r="AF43" i="30"/>
  <c r="AE43" i="30"/>
  <c r="AD43" i="30"/>
  <c r="AC43" i="30"/>
  <c r="AB43" i="30"/>
  <c r="AA43" i="30"/>
  <c r="Z43" i="30"/>
  <c r="Y43" i="30"/>
  <c r="V52" i="30"/>
  <c r="U52" i="30"/>
  <c r="T52" i="30"/>
  <c r="S52" i="30"/>
  <c r="R52" i="30"/>
  <c r="Q52" i="30"/>
  <c r="P52" i="30"/>
  <c r="O52" i="30"/>
  <c r="N52" i="30"/>
  <c r="M52" i="30"/>
  <c r="L52" i="30"/>
  <c r="K52" i="30"/>
  <c r="J52" i="30"/>
  <c r="V48" i="30"/>
  <c r="U48" i="30"/>
  <c r="T48" i="30"/>
  <c r="S48" i="30"/>
  <c r="R48" i="30"/>
  <c r="Q48" i="30"/>
  <c r="P48" i="30"/>
  <c r="O48" i="30"/>
  <c r="N48" i="30"/>
  <c r="M48" i="30"/>
  <c r="L48" i="30"/>
  <c r="K48" i="30"/>
  <c r="J48" i="30"/>
  <c r="V43" i="30"/>
  <c r="U43" i="30"/>
  <c r="T43" i="30"/>
  <c r="S43" i="30"/>
  <c r="R43" i="30"/>
  <c r="Q43" i="30"/>
  <c r="P43" i="30"/>
  <c r="O43" i="30"/>
  <c r="N43" i="30"/>
  <c r="M43" i="30"/>
  <c r="L43" i="30"/>
  <c r="K43" i="30"/>
  <c r="J43" i="30"/>
  <c r="AZ32" i="30"/>
  <c r="AY32" i="30"/>
  <c r="AX32" i="30"/>
  <c r="AW32" i="30"/>
  <c r="AV32" i="30"/>
  <c r="AU32" i="30"/>
  <c r="AT32" i="30"/>
  <c r="AS32" i="30"/>
  <c r="AR32" i="30"/>
  <c r="AQ32" i="30"/>
  <c r="AP32" i="30"/>
  <c r="AO32" i="30"/>
  <c r="AN32" i="30"/>
  <c r="AZ28" i="30"/>
  <c r="AY28" i="30"/>
  <c r="AX28" i="30"/>
  <c r="AW28" i="30"/>
  <c r="AV28" i="30"/>
  <c r="AU28" i="30"/>
  <c r="AT28" i="30"/>
  <c r="AS28" i="30"/>
  <c r="AR28" i="30"/>
  <c r="AQ28" i="30"/>
  <c r="AP28" i="30"/>
  <c r="AO28" i="30"/>
  <c r="AN28" i="30"/>
  <c r="AZ23" i="30"/>
  <c r="AY23" i="30"/>
  <c r="AX23" i="30"/>
  <c r="AW23" i="30"/>
  <c r="AV23" i="30"/>
  <c r="AU23" i="30"/>
  <c r="AT23" i="30"/>
  <c r="AS23" i="30"/>
  <c r="AR23" i="30"/>
  <c r="AQ23" i="30"/>
  <c r="AP23" i="30"/>
  <c r="AO23" i="30"/>
  <c r="AN23" i="30"/>
  <c r="AK32" i="30"/>
  <c r="AJ32" i="30"/>
  <c r="AI32" i="30"/>
  <c r="AH32" i="30"/>
  <c r="AG32" i="30"/>
  <c r="AF32" i="30"/>
  <c r="AE32" i="30"/>
  <c r="AD32" i="30"/>
  <c r="AC32" i="30"/>
  <c r="AB32" i="30"/>
  <c r="AA32" i="30"/>
  <c r="Z32" i="30"/>
  <c r="Y32" i="30"/>
  <c r="AK28" i="30"/>
  <c r="AJ28" i="30"/>
  <c r="AI28" i="30"/>
  <c r="AH28" i="30"/>
  <c r="AG28" i="30"/>
  <c r="AF28" i="30"/>
  <c r="AE28" i="30"/>
  <c r="AD28" i="30"/>
  <c r="AC28" i="30"/>
  <c r="AB28" i="30"/>
  <c r="AA28" i="30"/>
  <c r="Z28" i="30"/>
  <c r="Y28" i="30"/>
  <c r="AK23" i="30"/>
  <c r="AJ23" i="30"/>
  <c r="AI23" i="30"/>
  <c r="AH23" i="30"/>
  <c r="AG23" i="30"/>
  <c r="AF23" i="30"/>
  <c r="AE23" i="30"/>
  <c r="AD23" i="30"/>
  <c r="AC23" i="30"/>
  <c r="AB23" i="30"/>
  <c r="AA23" i="30"/>
  <c r="Z23" i="30"/>
  <c r="Y23" i="30"/>
  <c r="V32" i="30"/>
  <c r="U32" i="30"/>
  <c r="T32" i="30"/>
  <c r="S32" i="30"/>
  <c r="R32" i="30"/>
  <c r="Q32" i="30"/>
  <c r="P32" i="30"/>
  <c r="O32" i="30"/>
  <c r="N32" i="30"/>
  <c r="M32" i="30"/>
  <c r="L32" i="30"/>
  <c r="K32" i="30"/>
  <c r="J32" i="30"/>
  <c r="V28" i="30"/>
  <c r="U28" i="30"/>
  <c r="T28" i="30"/>
  <c r="S28" i="30"/>
  <c r="R28" i="30"/>
  <c r="Q28" i="30"/>
  <c r="P28" i="30"/>
  <c r="O28" i="30"/>
  <c r="N28" i="30"/>
  <c r="M28" i="30"/>
  <c r="L28" i="30"/>
  <c r="K28" i="30"/>
  <c r="J28" i="30"/>
  <c r="K23" i="30"/>
  <c r="L23" i="30"/>
  <c r="M23" i="30"/>
  <c r="N23" i="30"/>
  <c r="O23" i="30"/>
  <c r="P23" i="30"/>
  <c r="Q23" i="30"/>
  <c r="R23" i="30"/>
  <c r="S23" i="30"/>
  <c r="T23" i="30"/>
  <c r="U23" i="30"/>
  <c r="V23" i="30"/>
  <c r="J23" i="30"/>
  <c r="AK14" i="75"/>
  <c r="AJ14" i="75"/>
  <c r="AI14" i="75"/>
  <c r="AH14" i="75"/>
  <c r="AG14" i="75"/>
  <c r="AF14" i="75"/>
  <c r="AE14" i="75"/>
  <c r="AK13" i="75"/>
  <c r="AJ13" i="75"/>
  <c r="AI13" i="75"/>
  <c r="AH13" i="75"/>
  <c r="AG13" i="75"/>
  <c r="AF13" i="75"/>
  <c r="AE13" i="75"/>
  <c r="BH12" i="75"/>
  <c r="BG12" i="75"/>
  <c r="BF12" i="75"/>
  <c r="BE12" i="75"/>
  <c r="BD12" i="75"/>
  <c r="BC12" i="75"/>
  <c r="AD12" i="75"/>
  <c r="AD17" i="75" s="1"/>
  <c r="AC12" i="75"/>
  <c r="AC17" i="75" s="1"/>
  <c r="AB12" i="75"/>
  <c r="AB17" i="75" s="1"/>
  <c r="AA12" i="75"/>
  <c r="AA17" i="75" s="1"/>
  <c r="Z12" i="75"/>
  <c r="Z17" i="75" s="1"/>
  <c r="Y12" i="75"/>
  <c r="Y17" i="75" s="1"/>
  <c r="AK35" i="29"/>
  <c r="AK93" i="29" s="1"/>
  <c r="AJ35" i="29"/>
  <c r="AJ93" i="29" s="1"/>
  <c r="AI35" i="29"/>
  <c r="AI93" i="29" s="1"/>
  <c r="AH35" i="29"/>
  <c r="AH93" i="29" s="1"/>
  <c r="AG35" i="29"/>
  <c r="AG93" i="29" s="1"/>
  <c r="AF35" i="29"/>
  <c r="AF93" i="29" s="1"/>
  <c r="AE35" i="29"/>
  <c r="AE93" i="29" s="1"/>
  <c r="K13" i="29"/>
  <c r="L13" i="29"/>
  <c r="L12" i="75" s="1"/>
  <c r="M13" i="29"/>
  <c r="N13" i="29"/>
  <c r="N12" i="75" s="1"/>
  <c r="O13" i="29"/>
  <c r="J13" i="29"/>
  <c r="R35" i="29"/>
  <c r="R93" i="29" s="1"/>
  <c r="S35" i="29"/>
  <c r="S93" i="29" s="1"/>
  <c r="T35" i="29"/>
  <c r="T93" i="29" s="1"/>
  <c r="U35" i="29"/>
  <c r="U93" i="29" s="1"/>
  <c r="V35" i="29"/>
  <c r="V93" i="29" s="1"/>
  <c r="K14" i="29"/>
  <c r="K13" i="75" s="1"/>
  <c r="AO13" i="75" s="1"/>
  <c r="L14" i="29"/>
  <c r="L13" i="75" s="1"/>
  <c r="AP13" i="75" s="1"/>
  <c r="M14" i="29"/>
  <c r="M13" i="75" s="1"/>
  <c r="AQ13" i="75" s="1"/>
  <c r="N14" i="29"/>
  <c r="O14" i="29"/>
  <c r="O13" i="75" s="1"/>
  <c r="AS13" i="75" s="1"/>
  <c r="K15" i="29"/>
  <c r="K14" i="75" s="1"/>
  <c r="AO14" i="75" s="1"/>
  <c r="L15" i="29"/>
  <c r="L14" i="75" s="1"/>
  <c r="AP14" i="75" s="1"/>
  <c r="M15" i="29"/>
  <c r="M14" i="75" s="1"/>
  <c r="AQ14" i="75" s="1"/>
  <c r="N15" i="29"/>
  <c r="N14" i="75" s="1"/>
  <c r="AR14" i="75" s="1"/>
  <c r="O15" i="29"/>
  <c r="O14" i="75" s="1"/>
  <c r="AS14" i="75" s="1"/>
  <c r="K16" i="29"/>
  <c r="K15" i="75" s="1"/>
  <c r="AO15" i="75" s="1"/>
  <c r="L16" i="29"/>
  <c r="L15" i="75" s="1"/>
  <c r="AP15" i="75" s="1"/>
  <c r="M16" i="29"/>
  <c r="M15" i="75" s="1"/>
  <c r="AQ15" i="75" s="1"/>
  <c r="N16" i="29"/>
  <c r="N15" i="75" s="1"/>
  <c r="AR15" i="75" s="1"/>
  <c r="O16" i="29"/>
  <c r="O15" i="75" s="1"/>
  <c r="AS15" i="75" s="1"/>
  <c r="K17" i="29"/>
  <c r="K16" i="75" s="1"/>
  <c r="AO16" i="75" s="1"/>
  <c r="L17" i="29"/>
  <c r="L16" i="75" s="1"/>
  <c r="AP16" i="75" s="1"/>
  <c r="M17" i="29"/>
  <c r="M16" i="75" s="1"/>
  <c r="AQ16" i="75" s="1"/>
  <c r="N17" i="29"/>
  <c r="N16" i="75" s="1"/>
  <c r="AR16" i="75" s="1"/>
  <c r="O17" i="29"/>
  <c r="O16" i="75" s="1"/>
  <c r="AS16" i="75" s="1"/>
  <c r="J17" i="29"/>
  <c r="J16" i="75" s="1"/>
  <c r="AN16" i="75" s="1"/>
  <c r="J16" i="29"/>
  <c r="J15" i="75" s="1"/>
  <c r="AN15" i="75" s="1"/>
  <c r="J15" i="29"/>
  <c r="J14" i="75" s="1"/>
  <c r="AN14" i="75" s="1"/>
  <c r="J14" i="29"/>
  <c r="J13" i="75" s="1"/>
  <c r="AN13" i="75" s="1"/>
  <c r="K14" i="28"/>
  <c r="L14" i="28"/>
  <c r="N14" i="28"/>
  <c r="O14" i="28"/>
  <c r="P14" i="28"/>
  <c r="Q14" i="28"/>
  <c r="R14" i="28"/>
  <c r="T14" i="28"/>
  <c r="V14" i="28"/>
  <c r="J14" i="28"/>
  <c r="K13" i="28"/>
  <c r="L13" i="28"/>
  <c r="M13" i="28"/>
  <c r="N13" i="28"/>
  <c r="O13" i="28"/>
  <c r="P13" i="28"/>
  <c r="Q13" i="28"/>
  <c r="R13" i="28"/>
  <c r="S13" i="28"/>
  <c r="T13" i="28"/>
  <c r="U13" i="28"/>
  <c r="V13" i="28"/>
  <c r="J13" i="28"/>
  <c r="M14" i="28"/>
  <c r="S14" i="28"/>
  <c r="U14" i="28"/>
  <c r="R337" i="62"/>
  <c r="S337" i="62"/>
  <c r="T337" i="62"/>
  <c r="U337" i="62"/>
  <c r="V337" i="62"/>
  <c r="V324" i="62"/>
  <c r="U324" i="62"/>
  <c r="T324" i="62"/>
  <c r="S324" i="62"/>
  <c r="R324" i="62"/>
  <c r="R318" i="62"/>
  <c r="S318" i="62"/>
  <c r="T318" i="62"/>
  <c r="U318" i="62"/>
  <c r="V318" i="62"/>
  <c r="V307" i="62"/>
  <c r="U307" i="62"/>
  <c r="T307" i="62"/>
  <c r="S307" i="62"/>
  <c r="R307" i="62"/>
  <c r="V300" i="62"/>
  <c r="U300" i="62"/>
  <c r="T300" i="62"/>
  <c r="S300" i="62"/>
  <c r="R300" i="62"/>
  <c r="V291" i="62"/>
  <c r="U291" i="62"/>
  <c r="T291" i="62"/>
  <c r="S291" i="62"/>
  <c r="R291" i="62"/>
  <c r="R278" i="62"/>
  <c r="S278" i="62"/>
  <c r="T278" i="62"/>
  <c r="U278" i="62"/>
  <c r="V278" i="62"/>
  <c r="R271" i="62"/>
  <c r="S271" i="62"/>
  <c r="T271" i="62"/>
  <c r="U271" i="62"/>
  <c r="V271" i="62"/>
  <c r="R262" i="62"/>
  <c r="S262" i="62"/>
  <c r="T262" i="62"/>
  <c r="U262" i="62"/>
  <c r="V262" i="62"/>
  <c r="K232" i="62"/>
  <c r="L232" i="62"/>
  <c r="M232" i="62"/>
  <c r="N232" i="62"/>
  <c r="O232" i="62"/>
  <c r="P232" i="62"/>
  <c r="Q232" i="62"/>
  <c r="R232" i="62"/>
  <c r="S232" i="62"/>
  <c r="T232" i="62"/>
  <c r="U232" i="62"/>
  <c r="V232" i="62"/>
  <c r="J232" i="62"/>
  <c r="K223" i="62"/>
  <c r="L223" i="62"/>
  <c r="M223" i="62"/>
  <c r="N223" i="62"/>
  <c r="O223" i="62"/>
  <c r="P223" i="62"/>
  <c r="Q223" i="62"/>
  <c r="R223" i="62"/>
  <c r="S223" i="62"/>
  <c r="T223" i="62"/>
  <c r="U223" i="62"/>
  <c r="V223" i="62"/>
  <c r="J223" i="62"/>
  <c r="BO212" i="62"/>
  <c r="BN212" i="62"/>
  <c r="BM212" i="62"/>
  <c r="BL212" i="62"/>
  <c r="BK212" i="62"/>
  <c r="BJ212" i="62"/>
  <c r="BI212" i="62"/>
  <c r="BH212" i="62"/>
  <c r="BG212" i="62"/>
  <c r="BF212" i="62"/>
  <c r="BE212" i="62"/>
  <c r="BD212" i="62"/>
  <c r="BC212" i="62"/>
  <c r="BO206" i="62"/>
  <c r="BN206" i="62"/>
  <c r="BM206" i="62"/>
  <c r="BL206" i="62"/>
  <c r="BK206" i="62"/>
  <c r="BJ206" i="62"/>
  <c r="BI206" i="62"/>
  <c r="BH206" i="62"/>
  <c r="BG206" i="62"/>
  <c r="BF206" i="62"/>
  <c r="BE206" i="62"/>
  <c r="BD206" i="62"/>
  <c r="BC206" i="62"/>
  <c r="BO200" i="62"/>
  <c r="BN200" i="62"/>
  <c r="BM200" i="62"/>
  <c r="BL200" i="62"/>
  <c r="BK200" i="62"/>
  <c r="BJ200" i="62"/>
  <c r="BI200" i="62"/>
  <c r="BH200" i="62"/>
  <c r="BG200" i="62"/>
  <c r="BF200" i="62"/>
  <c r="BE200" i="62"/>
  <c r="BD200" i="62"/>
  <c r="BC200" i="62"/>
  <c r="BO194" i="62"/>
  <c r="BN194" i="62"/>
  <c r="BM194" i="62"/>
  <c r="BL194" i="62"/>
  <c r="BK194" i="62"/>
  <c r="BJ194" i="62"/>
  <c r="BI194" i="62"/>
  <c r="BH194" i="62"/>
  <c r="BG194" i="62"/>
  <c r="BF194" i="62"/>
  <c r="BE194" i="62"/>
  <c r="BD194" i="62"/>
  <c r="BC194" i="62"/>
  <c r="BD188" i="62"/>
  <c r="BE188" i="62"/>
  <c r="BF188" i="62"/>
  <c r="BG188" i="62"/>
  <c r="BH188" i="62"/>
  <c r="BI188" i="62"/>
  <c r="BJ188" i="62"/>
  <c r="BK188" i="62"/>
  <c r="BL188" i="62"/>
  <c r="BM188" i="62"/>
  <c r="BN188" i="62"/>
  <c r="BO188" i="62"/>
  <c r="BC188" i="62"/>
  <c r="AZ212" i="62"/>
  <c r="AY212" i="62"/>
  <c r="AX212" i="62"/>
  <c r="AW212" i="62"/>
  <c r="AV212" i="62"/>
  <c r="AU212" i="62"/>
  <c r="AT212" i="62"/>
  <c r="AS212" i="62"/>
  <c r="AR212" i="62"/>
  <c r="AQ212" i="62"/>
  <c r="AP212" i="62"/>
  <c r="AO212" i="62"/>
  <c r="AN212" i="62"/>
  <c r="AZ206" i="62"/>
  <c r="AY206" i="62"/>
  <c r="AX206" i="62"/>
  <c r="AW206" i="62"/>
  <c r="AV206" i="62"/>
  <c r="AU206" i="62"/>
  <c r="AT206" i="62"/>
  <c r="AS206" i="62"/>
  <c r="AR206" i="62"/>
  <c r="AQ206" i="62"/>
  <c r="AP206" i="62"/>
  <c r="AO206" i="62"/>
  <c r="AN206" i="62"/>
  <c r="AZ200" i="62"/>
  <c r="AY200" i="62"/>
  <c r="AX200" i="62"/>
  <c r="AW200" i="62"/>
  <c r="AV200" i="62"/>
  <c r="AU200" i="62"/>
  <c r="AT200" i="62"/>
  <c r="AS200" i="62"/>
  <c r="AR200" i="62"/>
  <c r="AQ200" i="62"/>
  <c r="AP200" i="62"/>
  <c r="AO200" i="62"/>
  <c r="AN200" i="62"/>
  <c r="AZ194" i="62"/>
  <c r="AY194" i="62"/>
  <c r="AX194" i="62"/>
  <c r="AW194" i="62"/>
  <c r="AV194" i="62"/>
  <c r="AU194" i="62"/>
  <c r="AT194" i="62"/>
  <c r="AS194" i="62"/>
  <c r="AR194" i="62"/>
  <c r="AQ194" i="62"/>
  <c r="AP194" i="62"/>
  <c r="AO194" i="62"/>
  <c r="AN194" i="62"/>
  <c r="AO188" i="62"/>
  <c r="AP188" i="62"/>
  <c r="AQ188" i="62"/>
  <c r="AR188" i="62"/>
  <c r="AS188" i="62"/>
  <c r="AT188" i="62"/>
  <c r="AU188" i="62"/>
  <c r="AV188" i="62"/>
  <c r="AW188" i="62"/>
  <c r="AX188" i="62"/>
  <c r="AY188" i="62"/>
  <c r="AZ188" i="62"/>
  <c r="AN188" i="62"/>
  <c r="AZ177" i="62"/>
  <c r="AY177" i="62"/>
  <c r="AX177" i="62"/>
  <c r="AW177" i="62"/>
  <c r="AV177" i="62"/>
  <c r="AU177" i="62"/>
  <c r="AT177" i="62"/>
  <c r="AS177" i="62"/>
  <c r="AR177" i="62"/>
  <c r="AQ177" i="62"/>
  <c r="AP177" i="62"/>
  <c r="AO177" i="62"/>
  <c r="AN177" i="62"/>
  <c r="AZ169" i="62"/>
  <c r="AY169" i="62"/>
  <c r="AX169" i="62"/>
  <c r="AW169" i="62"/>
  <c r="AV169" i="62"/>
  <c r="AU169" i="62"/>
  <c r="AT169" i="62"/>
  <c r="AS169" i="62"/>
  <c r="AR169" i="62"/>
  <c r="AQ169" i="62"/>
  <c r="AP169" i="62"/>
  <c r="AO169" i="62"/>
  <c r="AN169" i="62"/>
  <c r="AZ151" i="62"/>
  <c r="AY151" i="62"/>
  <c r="AX151" i="62"/>
  <c r="AW151" i="62"/>
  <c r="AV151" i="62"/>
  <c r="AU151" i="62"/>
  <c r="AT151" i="62"/>
  <c r="AS151" i="62"/>
  <c r="AR151" i="62"/>
  <c r="AQ151" i="62"/>
  <c r="AP151" i="62"/>
  <c r="AO151" i="62"/>
  <c r="AN151" i="62"/>
  <c r="AZ145" i="62"/>
  <c r="AY145" i="62"/>
  <c r="AX145" i="62"/>
  <c r="AW145" i="62"/>
  <c r="AV145" i="62"/>
  <c r="AU145" i="62"/>
  <c r="AT145" i="62"/>
  <c r="AS145" i="62"/>
  <c r="AR145" i="62"/>
  <c r="AQ145" i="62"/>
  <c r="AP145" i="62"/>
  <c r="AO145" i="62"/>
  <c r="AN145" i="62"/>
  <c r="AK177" i="62"/>
  <c r="AJ177" i="62"/>
  <c r="AI177" i="62"/>
  <c r="AH177" i="62"/>
  <c r="AG177" i="62"/>
  <c r="AF177" i="62"/>
  <c r="AE177" i="62"/>
  <c r="AD177" i="62"/>
  <c r="AC177" i="62"/>
  <c r="AB177" i="62"/>
  <c r="AA177" i="62"/>
  <c r="Z177" i="62"/>
  <c r="Y177" i="62"/>
  <c r="AK169" i="62"/>
  <c r="AJ169" i="62"/>
  <c r="AI169" i="62"/>
  <c r="AH169" i="62"/>
  <c r="AG169" i="62"/>
  <c r="AF169" i="62"/>
  <c r="AE169" i="62"/>
  <c r="AD169" i="62"/>
  <c r="AC169" i="62"/>
  <c r="AB169" i="62"/>
  <c r="AA169" i="62"/>
  <c r="Z169" i="62"/>
  <c r="Y169" i="62"/>
  <c r="AK151" i="62"/>
  <c r="AJ151" i="62"/>
  <c r="AI151" i="62"/>
  <c r="AH151" i="62"/>
  <c r="AG151" i="62"/>
  <c r="AF151" i="62"/>
  <c r="AE151" i="62"/>
  <c r="AD151" i="62"/>
  <c r="AC151" i="62"/>
  <c r="AB151" i="62"/>
  <c r="AA151" i="62"/>
  <c r="Z151" i="62"/>
  <c r="Y151" i="62"/>
  <c r="AK145" i="62"/>
  <c r="AJ145" i="62"/>
  <c r="AI145" i="62"/>
  <c r="AH145" i="62"/>
  <c r="AG145" i="62"/>
  <c r="AF145" i="62"/>
  <c r="AE145" i="62"/>
  <c r="AD145" i="62"/>
  <c r="AC145" i="62"/>
  <c r="AB145" i="62"/>
  <c r="AA145" i="62"/>
  <c r="Z145" i="62"/>
  <c r="Y145" i="62"/>
  <c r="K177" i="62"/>
  <c r="L177" i="62"/>
  <c r="M177" i="62"/>
  <c r="N177" i="62"/>
  <c r="O177" i="62"/>
  <c r="P177" i="62"/>
  <c r="Q177" i="62"/>
  <c r="R177" i="62"/>
  <c r="S177" i="62"/>
  <c r="T177" i="62"/>
  <c r="U177" i="62"/>
  <c r="V177" i="62"/>
  <c r="J177" i="62"/>
  <c r="V169" i="62"/>
  <c r="U169" i="62"/>
  <c r="T169" i="62"/>
  <c r="S169" i="62"/>
  <c r="R169" i="62"/>
  <c r="Q169" i="62"/>
  <c r="P169" i="62"/>
  <c r="O169" i="62"/>
  <c r="N169" i="62"/>
  <c r="M169" i="62"/>
  <c r="L169" i="62"/>
  <c r="K169" i="62"/>
  <c r="J169" i="62"/>
  <c r="V151" i="62"/>
  <c r="U151" i="62"/>
  <c r="T151" i="62"/>
  <c r="S151" i="62"/>
  <c r="R151" i="62"/>
  <c r="Q151" i="62"/>
  <c r="P151" i="62"/>
  <c r="O151" i="62"/>
  <c r="N151" i="62"/>
  <c r="M151" i="62"/>
  <c r="L151" i="62"/>
  <c r="K151" i="62"/>
  <c r="J151" i="62"/>
  <c r="K145" i="62"/>
  <c r="L145" i="62"/>
  <c r="M145" i="62"/>
  <c r="N145" i="62"/>
  <c r="O145" i="62"/>
  <c r="P145" i="62"/>
  <c r="Q145" i="62"/>
  <c r="R145" i="62"/>
  <c r="S145" i="62"/>
  <c r="T145" i="62"/>
  <c r="U145" i="62"/>
  <c r="V145" i="62"/>
  <c r="J145" i="62"/>
  <c r="AZ134" i="62"/>
  <c r="AY134" i="62"/>
  <c r="AX134" i="62"/>
  <c r="AW134" i="62"/>
  <c r="AV134" i="62"/>
  <c r="AU134" i="62"/>
  <c r="AT134" i="62"/>
  <c r="AS134" i="62"/>
  <c r="AR134" i="62"/>
  <c r="AQ134" i="62"/>
  <c r="AP134" i="62"/>
  <c r="AO134" i="62"/>
  <c r="AN134" i="62"/>
  <c r="AZ126" i="62"/>
  <c r="AY126" i="62"/>
  <c r="AX126" i="62"/>
  <c r="AW126" i="62"/>
  <c r="AV126" i="62"/>
  <c r="AU126" i="62"/>
  <c r="AT126" i="62"/>
  <c r="AS126" i="62"/>
  <c r="AR126" i="62"/>
  <c r="AQ126" i="62"/>
  <c r="AP126" i="62"/>
  <c r="AO126" i="62"/>
  <c r="AN126" i="62"/>
  <c r="AZ120" i="62"/>
  <c r="AY120" i="62"/>
  <c r="AX120" i="62"/>
  <c r="AW120" i="62"/>
  <c r="AV120" i="62"/>
  <c r="AU120" i="62"/>
  <c r="AT120" i="62"/>
  <c r="AS120" i="62"/>
  <c r="AR120" i="62"/>
  <c r="AQ120" i="62"/>
  <c r="AP120" i="62"/>
  <c r="AO120" i="62"/>
  <c r="AN120" i="62"/>
  <c r="AZ114" i="62"/>
  <c r="AY114" i="62"/>
  <c r="AX114" i="62"/>
  <c r="AW114" i="62"/>
  <c r="AV114" i="62"/>
  <c r="AU114" i="62"/>
  <c r="AT114" i="62"/>
  <c r="AS114" i="62"/>
  <c r="AR114" i="62"/>
  <c r="AQ114" i="62"/>
  <c r="AP114" i="62"/>
  <c r="AO114" i="62"/>
  <c r="AN114" i="62"/>
  <c r="AZ108" i="62"/>
  <c r="AY108" i="62"/>
  <c r="AX108" i="62"/>
  <c r="AW108" i="62"/>
  <c r="AV108" i="62"/>
  <c r="AU108" i="62"/>
  <c r="AT108" i="62"/>
  <c r="AS108" i="62"/>
  <c r="AR108" i="62"/>
  <c r="AQ108" i="62"/>
  <c r="AP108" i="62"/>
  <c r="AO108" i="62"/>
  <c r="AN108" i="62"/>
  <c r="AK134" i="62"/>
  <c r="AJ134" i="62"/>
  <c r="AI134" i="62"/>
  <c r="AH134" i="62"/>
  <c r="AG134" i="62"/>
  <c r="AF134" i="62"/>
  <c r="AE134" i="62"/>
  <c r="AD134" i="62"/>
  <c r="AC134" i="62"/>
  <c r="AB134" i="62"/>
  <c r="AA134" i="62"/>
  <c r="Z134" i="62"/>
  <c r="Y134" i="62"/>
  <c r="AK126" i="62"/>
  <c r="AJ126" i="62"/>
  <c r="AI126" i="62"/>
  <c r="AH126" i="62"/>
  <c r="AG126" i="62"/>
  <c r="AF126" i="62"/>
  <c r="AE126" i="62"/>
  <c r="AD126" i="62"/>
  <c r="AC126" i="62"/>
  <c r="AB126" i="62"/>
  <c r="AA126" i="62"/>
  <c r="Z126" i="62"/>
  <c r="Y126" i="62"/>
  <c r="AK120" i="62"/>
  <c r="AJ120" i="62"/>
  <c r="AI120" i="62"/>
  <c r="AH120" i="62"/>
  <c r="AG120" i="62"/>
  <c r="AF120" i="62"/>
  <c r="AE120" i="62"/>
  <c r="AD120" i="62"/>
  <c r="AC120" i="62"/>
  <c r="AB120" i="62"/>
  <c r="AA120" i="62"/>
  <c r="Z120" i="62"/>
  <c r="Y120" i="62"/>
  <c r="AK114" i="62"/>
  <c r="AJ114" i="62"/>
  <c r="AI114" i="62"/>
  <c r="AH114" i="62"/>
  <c r="AG114" i="62"/>
  <c r="AF114" i="62"/>
  <c r="AE114" i="62"/>
  <c r="AD114" i="62"/>
  <c r="AC114" i="62"/>
  <c r="AB114" i="62"/>
  <c r="AA114" i="62"/>
  <c r="Z114" i="62"/>
  <c r="Y114" i="62"/>
  <c r="AK108" i="62"/>
  <c r="AJ108" i="62"/>
  <c r="AI108" i="62"/>
  <c r="AH108" i="62"/>
  <c r="AG108" i="62"/>
  <c r="AF108" i="62"/>
  <c r="AE108" i="62"/>
  <c r="AD108" i="62"/>
  <c r="AC108" i="62"/>
  <c r="AB108" i="62"/>
  <c r="AA108" i="62"/>
  <c r="Z108" i="62"/>
  <c r="Y108" i="62"/>
  <c r="K134" i="62"/>
  <c r="L134" i="62"/>
  <c r="M134" i="62"/>
  <c r="N134" i="62"/>
  <c r="O134" i="62"/>
  <c r="P134" i="62"/>
  <c r="Q134" i="62"/>
  <c r="R134" i="62"/>
  <c r="S134" i="62"/>
  <c r="T134" i="62"/>
  <c r="U134" i="62"/>
  <c r="V134" i="62"/>
  <c r="J134" i="62"/>
  <c r="V126" i="62"/>
  <c r="U126" i="62"/>
  <c r="T126" i="62"/>
  <c r="S126" i="62"/>
  <c r="R126" i="62"/>
  <c r="Q126" i="62"/>
  <c r="P126" i="62"/>
  <c r="O126" i="62"/>
  <c r="N126" i="62"/>
  <c r="M126" i="62"/>
  <c r="L126" i="62"/>
  <c r="K126" i="62"/>
  <c r="J126" i="62"/>
  <c r="V120" i="62"/>
  <c r="U120" i="62"/>
  <c r="T120" i="62"/>
  <c r="S120" i="62"/>
  <c r="R120" i="62"/>
  <c r="Q120" i="62"/>
  <c r="P120" i="62"/>
  <c r="O120" i="62"/>
  <c r="N120" i="62"/>
  <c r="M120" i="62"/>
  <c r="L120" i="62"/>
  <c r="K120" i="62"/>
  <c r="J120" i="62"/>
  <c r="V114" i="62"/>
  <c r="U114" i="62"/>
  <c r="T114" i="62"/>
  <c r="S114" i="62"/>
  <c r="R114" i="62"/>
  <c r="Q114" i="62"/>
  <c r="P114" i="62"/>
  <c r="O114" i="62"/>
  <c r="N114" i="62"/>
  <c r="M114" i="62"/>
  <c r="L114" i="62"/>
  <c r="K114" i="62"/>
  <c r="J114" i="62"/>
  <c r="K108" i="62"/>
  <c r="L108" i="62"/>
  <c r="M108" i="62"/>
  <c r="N108" i="62"/>
  <c r="O108" i="62"/>
  <c r="P108" i="62"/>
  <c r="Q108" i="62"/>
  <c r="R108" i="62"/>
  <c r="S108" i="62"/>
  <c r="T108" i="62"/>
  <c r="U108" i="62"/>
  <c r="V108" i="62"/>
  <c r="J108" i="62"/>
  <c r="AZ85" i="62"/>
  <c r="AZ99" i="62" s="1"/>
  <c r="AY85" i="62"/>
  <c r="AY99" i="62" s="1"/>
  <c r="AX85" i="62"/>
  <c r="AX99" i="62" s="1"/>
  <c r="AW85" i="62"/>
  <c r="AW99" i="62" s="1"/>
  <c r="AV85" i="62"/>
  <c r="AV99" i="62" s="1"/>
  <c r="AU85" i="62"/>
  <c r="AU99" i="62" s="1"/>
  <c r="AT85" i="62"/>
  <c r="AT99" i="62" s="1"/>
  <c r="AS85" i="62"/>
  <c r="AS99" i="62" s="1"/>
  <c r="AR85" i="62"/>
  <c r="AR99" i="62" s="1"/>
  <c r="AQ85" i="62"/>
  <c r="AQ99" i="62" s="1"/>
  <c r="AP85" i="62"/>
  <c r="AP99" i="62" s="1"/>
  <c r="AO85" i="62"/>
  <c r="AO99" i="62" s="1"/>
  <c r="AN85" i="62"/>
  <c r="AN99" i="62" s="1"/>
  <c r="AK85" i="62"/>
  <c r="AK99" i="62" s="1"/>
  <c r="AJ85" i="62"/>
  <c r="AJ99" i="62" s="1"/>
  <c r="AI85" i="62"/>
  <c r="AI99" i="62" s="1"/>
  <c r="AH85" i="62"/>
  <c r="AH99" i="62" s="1"/>
  <c r="AG85" i="62"/>
  <c r="AG99" i="62" s="1"/>
  <c r="AF85" i="62"/>
  <c r="AF99" i="62" s="1"/>
  <c r="AE85" i="62"/>
  <c r="AE99" i="62" s="1"/>
  <c r="AD85" i="62"/>
  <c r="AD99" i="62" s="1"/>
  <c r="AC85" i="62"/>
  <c r="AC99" i="62" s="1"/>
  <c r="AB85" i="62"/>
  <c r="AB99" i="62" s="1"/>
  <c r="AA85" i="62"/>
  <c r="AA99" i="62" s="1"/>
  <c r="Z85" i="62"/>
  <c r="Z99" i="62" s="1"/>
  <c r="Y85" i="62"/>
  <c r="Y99" i="62" s="1"/>
  <c r="K85" i="62"/>
  <c r="K99" i="62" s="1"/>
  <c r="L85" i="62"/>
  <c r="L99" i="62" s="1"/>
  <c r="M85" i="62"/>
  <c r="M99" i="62" s="1"/>
  <c r="N85" i="62"/>
  <c r="N99" i="62" s="1"/>
  <c r="O85" i="62"/>
  <c r="O99" i="62" s="1"/>
  <c r="P85" i="62"/>
  <c r="P99" i="62" s="1"/>
  <c r="Q85" i="62"/>
  <c r="Q99" i="62" s="1"/>
  <c r="R85" i="62"/>
  <c r="R99" i="62" s="1"/>
  <c r="S85" i="62"/>
  <c r="S99" i="62" s="1"/>
  <c r="T85" i="62"/>
  <c r="T99" i="62" s="1"/>
  <c r="U85" i="62"/>
  <c r="U99" i="62" s="1"/>
  <c r="V85" i="62"/>
  <c r="V99" i="62" s="1"/>
  <c r="J85" i="62"/>
  <c r="J99" i="62" s="1"/>
  <c r="AZ57" i="62"/>
  <c r="AY57" i="62"/>
  <c r="AX57" i="62"/>
  <c r="AW57" i="62"/>
  <c r="AV57" i="62"/>
  <c r="AU57" i="62"/>
  <c r="AT57" i="62"/>
  <c r="AS57" i="62"/>
  <c r="AR57" i="62"/>
  <c r="AQ57" i="62"/>
  <c r="AP57" i="62"/>
  <c r="AO57" i="62"/>
  <c r="AN57" i="62"/>
  <c r="AZ51" i="62"/>
  <c r="AY51" i="62"/>
  <c r="AX51" i="62"/>
  <c r="AW51" i="62"/>
  <c r="AV51" i="62"/>
  <c r="AU51" i="62"/>
  <c r="AT51" i="62"/>
  <c r="AS51" i="62"/>
  <c r="AR51" i="62"/>
  <c r="AQ51" i="62"/>
  <c r="AP51" i="62"/>
  <c r="AO51" i="62"/>
  <c r="AN51" i="62"/>
  <c r="AZ39" i="62"/>
  <c r="AY39" i="62"/>
  <c r="AX39" i="62"/>
  <c r="AW39" i="62"/>
  <c r="AV39" i="62"/>
  <c r="AU39" i="62"/>
  <c r="AT39" i="62"/>
  <c r="AS39" i="62"/>
  <c r="AR39" i="62"/>
  <c r="AQ39" i="62"/>
  <c r="AP39" i="62"/>
  <c r="AO39" i="62"/>
  <c r="AN39" i="62"/>
  <c r="AZ33" i="62"/>
  <c r="AY33" i="62"/>
  <c r="AX33" i="62"/>
  <c r="AW33" i="62"/>
  <c r="AV33" i="62"/>
  <c r="AU33" i="62"/>
  <c r="AT33" i="62"/>
  <c r="AS33" i="62"/>
  <c r="AR33" i="62"/>
  <c r="AQ33" i="62"/>
  <c r="AP33" i="62"/>
  <c r="AO33" i="62"/>
  <c r="AN33" i="62"/>
  <c r="AZ27" i="62"/>
  <c r="AY27" i="62"/>
  <c r="AX27" i="62"/>
  <c r="AW27" i="62"/>
  <c r="AV27" i="62"/>
  <c r="AU27" i="62"/>
  <c r="AT27" i="62"/>
  <c r="AS27" i="62"/>
  <c r="AR27" i="62"/>
  <c r="AQ27" i="62"/>
  <c r="AP27" i="62"/>
  <c r="AO27" i="62"/>
  <c r="AN27" i="62"/>
  <c r="AZ21" i="62"/>
  <c r="AY21" i="62"/>
  <c r="AX21" i="62"/>
  <c r="AW21" i="62"/>
  <c r="AV21" i="62"/>
  <c r="AU21" i="62"/>
  <c r="AT21" i="62"/>
  <c r="AS21" i="62"/>
  <c r="AR21" i="62"/>
  <c r="AQ21" i="62"/>
  <c r="AP21" i="62"/>
  <c r="AO21" i="62"/>
  <c r="AN21" i="62"/>
  <c r="AO15" i="62"/>
  <c r="AP15" i="62"/>
  <c r="AQ15" i="62"/>
  <c r="AR15" i="62"/>
  <c r="AS15" i="62"/>
  <c r="AT15" i="62"/>
  <c r="AU15" i="62"/>
  <c r="AV15" i="62"/>
  <c r="AW15" i="62"/>
  <c r="AX15" i="62"/>
  <c r="AY15" i="62"/>
  <c r="AZ15" i="62"/>
  <c r="AN15" i="62"/>
  <c r="AK51" i="62"/>
  <c r="AJ51" i="62"/>
  <c r="AI51" i="62"/>
  <c r="AH51" i="62"/>
  <c r="AG51" i="62"/>
  <c r="AF51" i="62"/>
  <c r="AE51" i="62"/>
  <c r="AD51" i="62"/>
  <c r="AC51" i="62"/>
  <c r="AB51" i="62"/>
  <c r="AA51" i="62"/>
  <c r="Z51" i="62"/>
  <c r="Y51" i="62"/>
  <c r="AK39" i="62"/>
  <c r="AJ39" i="62"/>
  <c r="AI39" i="62"/>
  <c r="AH39" i="62"/>
  <c r="AG39" i="62"/>
  <c r="AF39" i="62"/>
  <c r="AE39" i="62"/>
  <c r="AD39" i="62"/>
  <c r="AC39" i="62"/>
  <c r="AB39" i="62"/>
  <c r="AA39" i="62"/>
  <c r="Z39" i="62"/>
  <c r="Y39" i="62"/>
  <c r="AK33" i="62"/>
  <c r="AJ33" i="62"/>
  <c r="AI33" i="62"/>
  <c r="AH33" i="62"/>
  <c r="AG33" i="62"/>
  <c r="AF33" i="62"/>
  <c r="AE33" i="62"/>
  <c r="AD33" i="62"/>
  <c r="AC33" i="62"/>
  <c r="AB33" i="62"/>
  <c r="AA33" i="62"/>
  <c r="Z33" i="62"/>
  <c r="Y33" i="62"/>
  <c r="AK27" i="62"/>
  <c r="AJ27" i="62"/>
  <c r="AI27" i="62"/>
  <c r="AH27" i="62"/>
  <c r="AG27" i="62"/>
  <c r="AF27" i="62"/>
  <c r="AE27" i="62"/>
  <c r="AD27" i="62"/>
  <c r="AC27" i="62"/>
  <c r="AB27" i="62"/>
  <c r="AA27" i="62"/>
  <c r="Z27" i="62"/>
  <c r="Y27" i="62"/>
  <c r="AK21" i="62"/>
  <c r="AJ21" i="62"/>
  <c r="AI21" i="62"/>
  <c r="AH21" i="62"/>
  <c r="AG21" i="62"/>
  <c r="AF21" i="62"/>
  <c r="AE21" i="62"/>
  <c r="AD21" i="62"/>
  <c r="AC21" i="62"/>
  <c r="AB21" i="62"/>
  <c r="AA21" i="62"/>
  <c r="Z21" i="62"/>
  <c r="Y21" i="62"/>
  <c r="AK15" i="62"/>
  <c r="AJ15" i="62"/>
  <c r="AI15" i="62"/>
  <c r="AH15" i="62"/>
  <c r="AG15" i="62"/>
  <c r="AF15" i="62"/>
  <c r="AE15" i="62"/>
  <c r="AD15" i="62"/>
  <c r="AC15" i="62"/>
  <c r="AB15" i="62"/>
  <c r="AA15" i="62"/>
  <c r="Z15" i="62"/>
  <c r="Y15" i="62"/>
  <c r="V51" i="62"/>
  <c r="U51" i="62"/>
  <c r="T51" i="62"/>
  <c r="S51" i="62"/>
  <c r="R51" i="62"/>
  <c r="Q51" i="62"/>
  <c r="P51" i="62"/>
  <c r="O51" i="62"/>
  <c r="N51" i="62"/>
  <c r="M51" i="62"/>
  <c r="L51" i="62"/>
  <c r="K51" i="62"/>
  <c r="J51" i="62"/>
  <c r="V39" i="62"/>
  <c r="U39" i="62"/>
  <c r="T39" i="62"/>
  <c r="S39" i="62"/>
  <c r="R39" i="62"/>
  <c r="Q39" i="62"/>
  <c r="P39" i="62"/>
  <c r="O39" i="62"/>
  <c r="N39" i="62"/>
  <c r="M39" i="62"/>
  <c r="L39" i="62"/>
  <c r="K39" i="62"/>
  <c r="J39" i="62"/>
  <c r="V33" i="62"/>
  <c r="U33" i="62"/>
  <c r="T33" i="62"/>
  <c r="S33" i="62"/>
  <c r="R33" i="62"/>
  <c r="Q33" i="62"/>
  <c r="P33" i="62"/>
  <c r="O33" i="62"/>
  <c r="N33" i="62"/>
  <c r="M33" i="62"/>
  <c r="L33" i="62"/>
  <c r="K33" i="62"/>
  <c r="J33" i="62"/>
  <c r="V27" i="62"/>
  <c r="U27" i="62"/>
  <c r="T27" i="62"/>
  <c r="S27" i="62"/>
  <c r="R27" i="62"/>
  <c r="Q27" i="62"/>
  <c r="P27" i="62"/>
  <c r="O27" i="62"/>
  <c r="N27" i="62"/>
  <c r="M27" i="62"/>
  <c r="L27" i="62"/>
  <c r="K27" i="62"/>
  <c r="J27" i="62"/>
  <c r="V21" i="62"/>
  <c r="U21" i="62"/>
  <c r="T21" i="62"/>
  <c r="S21" i="62"/>
  <c r="R21" i="62"/>
  <c r="Q21" i="62"/>
  <c r="P21" i="62"/>
  <c r="O21" i="62"/>
  <c r="N21" i="62"/>
  <c r="M21" i="62"/>
  <c r="L21" i="62"/>
  <c r="K21" i="62"/>
  <c r="J21" i="62"/>
  <c r="K15" i="62"/>
  <c r="L15" i="62"/>
  <c r="M15" i="62"/>
  <c r="N15" i="62"/>
  <c r="O15" i="62"/>
  <c r="P15" i="62"/>
  <c r="Q15" i="62"/>
  <c r="R15" i="62"/>
  <c r="S15" i="62"/>
  <c r="T15" i="62"/>
  <c r="U15" i="62"/>
  <c r="V15" i="62"/>
  <c r="J15" i="62"/>
  <c r="R42" i="99" l="1"/>
  <c r="Q182" i="61"/>
  <c r="AX40" i="75"/>
  <c r="W10" i="114" s="1"/>
  <c r="M196" i="61"/>
  <c r="Q196" i="61" s="1"/>
  <c r="Q207" i="8"/>
  <c r="M168" i="61"/>
  <c r="Q168" i="61" s="1"/>
  <c r="L16" i="98"/>
  <c r="M12" i="98" s="1"/>
  <c r="M16" i="98" s="1"/>
  <c r="N12" i="98" s="1"/>
  <c r="N16" i="98" s="1"/>
  <c r="O12" i="98" s="1"/>
  <c r="O16" i="98" s="1"/>
  <c r="Q24" i="22"/>
  <c r="N42" i="99"/>
  <c r="AF24" i="22"/>
  <c r="AY40" i="75"/>
  <c r="X10" i="114" s="1"/>
  <c r="R24" i="22"/>
  <c r="AT40" i="76"/>
  <c r="S12" i="114" s="1"/>
  <c r="S65" i="114" s="1"/>
  <c r="AZ37" i="75"/>
  <c r="P42" i="99"/>
  <c r="AX40" i="76"/>
  <c r="W12" i="114" s="1"/>
  <c r="W65" i="114" s="1"/>
  <c r="T42" i="99"/>
  <c r="AR40" i="76"/>
  <c r="Q12" i="114" s="1"/>
  <c r="Q65" i="114" s="1"/>
  <c r="AW40" i="76"/>
  <c r="V12" i="114" s="1"/>
  <c r="V65" i="114" s="1"/>
  <c r="AV40" i="76"/>
  <c r="U12" i="114" s="1"/>
  <c r="U65" i="114" s="1"/>
  <c r="AZ40" i="76"/>
  <c r="Y12" i="114" s="1"/>
  <c r="Y65" i="114" s="1"/>
  <c r="AO40" i="76"/>
  <c r="N12" i="114" s="1"/>
  <c r="N65" i="114" s="1"/>
  <c r="K42" i="99"/>
  <c r="AY37" i="75"/>
  <c r="AQ37" i="75"/>
  <c r="AN40" i="75"/>
  <c r="J30" i="99" s="1"/>
  <c r="AT40" i="75"/>
  <c r="S10" i="114" s="1"/>
  <c r="AP40" i="75"/>
  <c r="O10" i="114" s="1"/>
  <c r="V34" i="30"/>
  <c r="V13" i="30" s="1"/>
  <c r="V20" i="75" s="1"/>
  <c r="R34" i="30"/>
  <c r="R13" i="30" s="1"/>
  <c r="R20" i="75" s="1"/>
  <c r="N34" i="30"/>
  <c r="N13" i="30" s="1"/>
  <c r="N20" i="75" s="1"/>
  <c r="AA34" i="30"/>
  <c r="AA20" i="75" s="1"/>
  <c r="AI34" i="30"/>
  <c r="AI20" i="75" s="1"/>
  <c r="AZ40" i="75"/>
  <c r="Y10" i="114" s="1"/>
  <c r="AV40" i="75"/>
  <c r="U10" i="114" s="1"/>
  <c r="AR40" i="75"/>
  <c r="Q10" i="114" s="1"/>
  <c r="AU40" i="75"/>
  <c r="T10" i="114" s="1"/>
  <c r="AQ40" i="75"/>
  <c r="P10" i="114" s="1"/>
  <c r="BI21" i="75"/>
  <c r="BF20" i="75"/>
  <c r="BF21" i="75"/>
  <c r="BN21" i="75"/>
  <c r="AS40" i="75"/>
  <c r="AW40" i="75"/>
  <c r="V10" i="114" s="1"/>
  <c r="R241" i="62"/>
  <c r="AO40" i="75"/>
  <c r="N10" i="114" s="1"/>
  <c r="AQ34" i="76"/>
  <c r="L39" i="99"/>
  <c r="L42" i="99" s="1"/>
  <c r="AP40" i="76"/>
  <c r="O12" i="114" s="1"/>
  <c r="O65" i="114" s="1"/>
  <c r="U39" i="99"/>
  <c r="U42" i="99" s="1"/>
  <c r="AY40" i="76"/>
  <c r="X12" i="114" s="1"/>
  <c r="X65" i="114" s="1"/>
  <c r="Q39" i="99"/>
  <c r="Q42" i="99" s="1"/>
  <c r="AU40" i="76"/>
  <c r="T12" i="114" s="1"/>
  <c r="T65" i="114" s="1"/>
  <c r="AS34" i="76"/>
  <c r="T30" i="99"/>
  <c r="M30" i="99"/>
  <c r="Y59" i="62"/>
  <c r="AG59" i="62"/>
  <c r="P59" i="62"/>
  <c r="Q59" i="62"/>
  <c r="L59" i="62"/>
  <c r="R59" i="62"/>
  <c r="AF59" i="62"/>
  <c r="AA59" i="62"/>
  <c r="AI59" i="62"/>
  <c r="Z59" i="62"/>
  <c r="O59" i="62"/>
  <c r="V59" i="62"/>
  <c r="AJ59" i="62"/>
  <c r="J59" i="62"/>
  <c r="N59" i="62"/>
  <c r="AB59" i="62"/>
  <c r="U59" i="62"/>
  <c r="M59" i="62"/>
  <c r="AC59" i="62"/>
  <c r="AK59" i="62"/>
  <c r="AH59" i="62"/>
  <c r="T59" i="62"/>
  <c r="AD59" i="62"/>
  <c r="S59" i="62"/>
  <c r="K59" i="62"/>
  <c r="AE59" i="62"/>
  <c r="J179" i="62"/>
  <c r="O179" i="62"/>
  <c r="AC179" i="62"/>
  <c r="AK179" i="62"/>
  <c r="AN179" i="62"/>
  <c r="AV179" i="62"/>
  <c r="AE179" i="62"/>
  <c r="AP179" i="62"/>
  <c r="Q136" i="62"/>
  <c r="AS179" i="62"/>
  <c r="AX179" i="62"/>
  <c r="T179" i="62"/>
  <c r="L179" i="62"/>
  <c r="R179" i="62"/>
  <c r="Z179" i="62"/>
  <c r="AH179" i="62"/>
  <c r="P179" i="62"/>
  <c r="AB179" i="62"/>
  <c r="AJ179" i="62"/>
  <c r="AU179" i="62"/>
  <c r="V179" i="62"/>
  <c r="N179" i="62"/>
  <c r="AD179" i="62"/>
  <c r="AO179" i="62"/>
  <c r="AW179" i="62"/>
  <c r="U179" i="62"/>
  <c r="M179" i="62"/>
  <c r="AR136" i="62"/>
  <c r="AZ136" i="62"/>
  <c r="AF179" i="62"/>
  <c r="AQ179" i="62"/>
  <c r="AY179" i="62"/>
  <c r="S179" i="62"/>
  <c r="K179" i="62"/>
  <c r="Y179" i="62"/>
  <c r="AG179" i="62"/>
  <c r="AR179" i="62"/>
  <c r="AZ179" i="62"/>
  <c r="Q179" i="62"/>
  <c r="AA179" i="62"/>
  <c r="AI179" i="62"/>
  <c r="AT179" i="62"/>
  <c r="AD136" i="62"/>
  <c r="O136" i="62"/>
  <c r="AF136" i="62"/>
  <c r="AT136" i="62"/>
  <c r="T136" i="62"/>
  <c r="L136" i="62"/>
  <c r="AA136" i="62"/>
  <c r="AI136" i="62"/>
  <c r="AO136" i="62"/>
  <c r="AW136" i="62"/>
  <c r="R136" i="62"/>
  <c r="AC136" i="62"/>
  <c r="AK136" i="62"/>
  <c r="AQ136" i="62"/>
  <c r="AY136" i="62"/>
  <c r="P136" i="62"/>
  <c r="J136" i="62"/>
  <c r="AZ59" i="62"/>
  <c r="AR59" i="62"/>
  <c r="AE136" i="62"/>
  <c r="AS136" i="62"/>
  <c r="V136" i="62"/>
  <c r="N136" i="62"/>
  <c r="Y136" i="62"/>
  <c r="AG136" i="62"/>
  <c r="AU136" i="62"/>
  <c r="U136" i="62"/>
  <c r="M136" i="62"/>
  <c r="Z136" i="62"/>
  <c r="AH136" i="62"/>
  <c r="AN136" i="62"/>
  <c r="AV136" i="62"/>
  <c r="S136" i="62"/>
  <c r="K136" i="62"/>
  <c r="AB136" i="62"/>
  <c r="AJ136" i="62"/>
  <c r="AP136" i="62"/>
  <c r="AX136" i="62"/>
  <c r="AN59" i="62"/>
  <c r="AS59" i="62"/>
  <c r="AQ59" i="62"/>
  <c r="AX59" i="62"/>
  <c r="AP59" i="62"/>
  <c r="AW59" i="62"/>
  <c r="AO59" i="62"/>
  <c r="AV59" i="62"/>
  <c r="AU59" i="62"/>
  <c r="AY59" i="62"/>
  <c r="AT59" i="62"/>
  <c r="S339" i="62"/>
  <c r="J241" i="62"/>
  <c r="O241" i="62"/>
  <c r="Q241" i="62"/>
  <c r="S241" i="62"/>
  <c r="K241" i="62"/>
  <c r="V241" i="62"/>
  <c r="N241" i="62"/>
  <c r="U241" i="62"/>
  <c r="M241" i="62"/>
  <c r="V309" i="62"/>
  <c r="N51" i="113" s="1"/>
  <c r="U339" i="62"/>
  <c r="R309" i="62"/>
  <c r="J51" i="113" s="1"/>
  <c r="T241" i="62"/>
  <c r="L241" i="62"/>
  <c r="S280" i="62"/>
  <c r="K50" i="113" s="1"/>
  <c r="T339" i="62"/>
  <c r="P241" i="62"/>
  <c r="R339" i="62"/>
  <c r="S309" i="62"/>
  <c r="K51" i="113" s="1"/>
  <c r="T280" i="62"/>
  <c r="L50" i="113" s="1"/>
  <c r="V339" i="62"/>
  <c r="U280" i="62"/>
  <c r="M50" i="113" s="1"/>
  <c r="T309" i="62"/>
  <c r="L51" i="113" s="1"/>
  <c r="R280" i="62"/>
  <c r="V280" i="62"/>
  <c r="BN20" i="75"/>
  <c r="J25" i="19"/>
  <c r="AN37" i="75"/>
  <c r="AW37" i="75"/>
  <c r="AP37" i="75"/>
  <c r="AO37" i="75"/>
  <c r="AT37" i="75"/>
  <c r="AU37" i="75"/>
  <c r="AS37" i="75"/>
  <c r="AO29" i="75"/>
  <c r="BS29" i="75" s="1"/>
  <c r="K30" i="75"/>
  <c r="T29" i="75"/>
  <c r="AP29" i="75"/>
  <c r="BT29" i="75" s="1"/>
  <c r="L30" i="75"/>
  <c r="AW29" i="75"/>
  <c r="CA29" i="75" s="1"/>
  <c r="S30" i="75"/>
  <c r="AU29" i="75"/>
  <c r="BY29" i="75" s="1"/>
  <c r="Q30" i="75"/>
  <c r="AN29" i="75"/>
  <c r="BR29" i="75" s="1"/>
  <c r="J30" i="75"/>
  <c r="P29" i="75"/>
  <c r="R29" i="75"/>
  <c r="AS29" i="75"/>
  <c r="BW29" i="75" s="1"/>
  <c r="O30" i="75"/>
  <c r="V29" i="75"/>
  <c r="N30" i="75"/>
  <c r="AR29" i="75"/>
  <c r="BV29" i="75" s="1"/>
  <c r="U30" i="75"/>
  <c r="AY29" i="75"/>
  <c r="CC29" i="75" s="1"/>
  <c r="AQ29" i="75"/>
  <c r="BU29" i="75" s="1"/>
  <c r="M30" i="75"/>
  <c r="BE20" i="75"/>
  <c r="BM20" i="75"/>
  <c r="AC54" i="30"/>
  <c r="AC21" i="75" s="1"/>
  <c r="BH21" i="75"/>
  <c r="AF54" i="30"/>
  <c r="AF21" i="75" s="1"/>
  <c r="BC21" i="75"/>
  <c r="BK21" i="75"/>
  <c r="AK54" i="30"/>
  <c r="AK21" i="75" s="1"/>
  <c r="U34" i="30"/>
  <c r="U13" i="30" s="1"/>
  <c r="U20" i="75" s="1"/>
  <c r="BG20" i="75"/>
  <c r="BJ21" i="75"/>
  <c r="BH20" i="75"/>
  <c r="AE34" i="30"/>
  <c r="AE20" i="75" s="1"/>
  <c r="BJ20" i="75"/>
  <c r="BE21" i="75"/>
  <c r="BM21" i="75"/>
  <c r="BC20" i="75"/>
  <c r="T13" i="29"/>
  <c r="T12" i="75" s="1"/>
  <c r="BI12" i="75"/>
  <c r="R13" i="29"/>
  <c r="R12" i="75" s="1"/>
  <c r="U13" i="29"/>
  <c r="U12" i="75" s="1"/>
  <c r="J34" i="30"/>
  <c r="J13" i="30" s="1"/>
  <c r="J20" i="75" s="1"/>
  <c r="M34" i="30"/>
  <c r="M13" i="30" s="1"/>
  <c r="M20" i="75" s="1"/>
  <c r="BO20" i="75"/>
  <c r="AD34" i="30"/>
  <c r="AD20" i="75" s="1"/>
  <c r="BI20" i="75"/>
  <c r="BD21" i="75"/>
  <c r="BL21" i="75"/>
  <c r="BK20" i="75"/>
  <c r="Y34" i="30"/>
  <c r="Y20" i="75" s="1"/>
  <c r="AG34" i="30"/>
  <c r="AG20" i="75" s="1"/>
  <c r="BD20" i="75"/>
  <c r="BL20" i="75"/>
  <c r="L54" i="30"/>
  <c r="L14" i="30" s="1"/>
  <c r="L21" i="75" s="1"/>
  <c r="T54" i="30"/>
  <c r="T14" i="30" s="1"/>
  <c r="T21" i="75" s="1"/>
  <c r="BG21" i="75"/>
  <c r="BO21" i="75"/>
  <c r="AF12" i="75"/>
  <c r="BJ12" i="75"/>
  <c r="S13" i="29"/>
  <c r="S12" i="75" s="1"/>
  <c r="V13" i="29"/>
  <c r="V12" i="75" s="1"/>
  <c r="AH12" i="75"/>
  <c r="BK12" i="75"/>
  <c r="Q13" i="29"/>
  <c r="Q12" i="75" s="1"/>
  <c r="AG12" i="75"/>
  <c r="P13" i="29"/>
  <c r="P12" i="75" s="1"/>
  <c r="AR12" i="75"/>
  <c r="BV12" i="75" s="1"/>
  <c r="AI12" i="75"/>
  <c r="AJ12" i="75"/>
  <c r="BM12" i="75"/>
  <c r="O12" i="29"/>
  <c r="O12" i="75"/>
  <c r="N12" i="29"/>
  <c r="N13" i="75"/>
  <c r="AR13" i="75" s="1"/>
  <c r="AP12" i="75"/>
  <c r="BT12" i="75" s="1"/>
  <c r="L17" i="75"/>
  <c r="AK12" i="75"/>
  <c r="BN12" i="75"/>
  <c r="M12" i="29"/>
  <c r="M12" i="75"/>
  <c r="K12" i="29"/>
  <c r="K12" i="75"/>
  <c r="BO12" i="75"/>
  <c r="AE12" i="75"/>
  <c r="J12" i="29"/>
  <c r="J12" i="75"/>
  <c r="BL12" i="75"/>
  <c r="T86" i="19"/>
  <c r="S90" i="19"/>
  <c r="S34" i="30"/>
  <c r="S13" i="30" s="1"/>
  <c r="S20" i="75" s="1"/>
  <c r="K34" i="30"/>
  <c r="K13" i="30" s="1"/>
  <c r="K20" i="75" s="1"/>
  <c r="Q54" i="30"/>
  <c r="Q14" i="30" s="1"/>
  <c r="Q21" i="75" s="1"/>
  <c r="O54" i="30"/>
  <c r="O14" i="30" s="1"/>
  <c r="O21" i="75" s="1"/>
  <c r="AE54" i="30"/>
  <c r="AE21" i="75" s="1"/>
  <c r="Q34" i="30"/>
  <c r="Q13" i="30" s="1"/>
  <c r="AD54" i="30"/>
  <c r="AD21" i="75" s="1"/>
  <c r="P34" i="30"/>
  <c r="P13" i="30" s="1"/>
  <c r="L34" i="30"/>
  <c r="L13" i="30" s="1"/>
  <c r="L20" i="75" s="1"/>
  <c r="T34" i="30"/>
  <c r="T13" i="30" s="1"/>
  <c r="T20" i="75" s="1"/>
  <c r="O34" i="30"/>
  <c r="O13" i="30" s="1"/>
  <c r="O20" i="75" s="1"/>
  <c r="J54" i="30"/>
  <c r="J14" i="30" s="1"/>
  <c r="R54" i="30"/>
  <c r="R14" i="30" s="1"/>
  <c r="R21" i="75" s="1"/>
  <c r="P54" i="30"/>
  <c r="P14" i="30" s="1"/>
  <c r="P21" i="75" s="1"/>
  <c r="Z54" i="30"/>
  <c r="Z21" i="75" s="1"/>
  <c r="AH54" i="30"/>
  <c r="AH21" i="75" s="1"/>
  <c r="Z34" i="30"/>
  <c r="Z20" i="75" s="1"/>
  <c r="AH34" i="30"/>
  <c r="AH20" i="75" s="1"/>
  <c r="K54" i="30"/>
  <c r="K14" i="30" s="1"/>
  <c r="S54" i="30"/>
  <c r="S14" i="30" s="1"/>
  <c r="Y54" i="30"/>
  <c r="Y21" i="75" s="1"/>
  <c r="AG54" i="30"/>
  <c r="AG21" i="75" s="1"/>
  <c r="AB34" i="30"/>
  <c r="AB20" i="75" s="1"/>
  <c r="AJ34" i="30"/>
  <c r="AJ20" i="75" s="1"/>
  <c r="M54" i="30"/>
  <c r="M14" i="30" s="1"/>
  <c r="M21" i="75" s="1"/>
  <c r="U54" i="30"/>
  <c r="U14" i="30" s="1"/>
  <c r="U21" i="75" s="1"/>
  <c r="AA54" i="30"/>
  <c r="AA21" i="75" s="1"/>
  <c r="AI54" i="30"/>
  <c r="AI21" i="75" s="1"/>
  <c r="AC34" i="30"/>
  <c r="AC20" i="75" s="1"/>
  <c r="AK34" i="30"/>
  <c r="AK20" i="75" s="1"/>
  <c r="N54" i="30"/>
  <c r="N14" i="30" s="1"/>
  <c r="V54" i="30"/>
  <c r="V14" i="30" s="1"/>
  <c r="AB54" i="30"/>
  <c r="AB21" i="75" s="1"/>
  <c r="AJ54" i="30"/>
  <c r="AJ21" i="75" s="1"/>
  <c r="AF34" i="30"/>
  <c r="AF20" i="75" s="1"/>
  <c r="U309" i="62"/>
  <c r="M51" i="113" s="1"/>
  <c r="K45" i="19"/>
  <c r="L18" i="19"/>
  <c r="L12" i="29"/>
  <c r="O12" i="28"/>
  <c r="T12" i="28"/>
  <c r="K12" i="28"/>
  <c r="S12" i="28"/>
  <c r="L12" i="28"/>
  <c r="R12" i="28"/>
  <c r="Q12" i="28"/>
  <c r="P12" i="28"/>
  <c r="V12" i="28"/>
  <c r="U12" i="28"/>
  <c r="J12" i="28"/>
  <c r="N12" i="28"/>
  <c r="M12" i="28"/>
  <c r="P97" i="64" l="1"/>
  <c r="AA22" i="75"/>
  <c r="R207" i="8"/>
  <c r="P58" i="64"/>
  <c r="P72" i="64" s="1"/>
  <c r="P14" i="64" s="1"/>
  <c r="Q97" i="64"/>
  <c r="U30" i="99"/>
  <c r="P12" i="98"/>
  <c r="P16" i="98" s="1"/>
  <c r="AG24" i="22"/>
  <c r="L30" i="99"/>
  <c r="S24" i="22"/>
  <c r="M10" i="114"/>
  <c r="AV20" i="75"/>
  <c r="BZ20" i="75" s="1"/>
  <c r="P30" i="99"/>
  <c r="AI22" i="75"/>
  <c r="R30" i="99"/>
  <c r="R22" i="75"/>
  <c r="M137" i="61" s="1"/>
  <c r="N30" i="99"/>
  <c r="Q30" i="99"/>
  <c r="AE22" i="75"/>
  <c r="V30" i="99"/>
  <c r="K30" i="99"/>
  <c r="S30" i="99"/>
  <c r="O30" i="99"/>
  <c r="R10" i="114"/>
  <c r="AF22" i="75"/>
  <c r="AU21" i="75"/>
  <c r="BY21" i="75" s="1"/>
  <c r="N50" i="113"/>
  <c r="N90" i="113" s="1"/>
  <c r="J50" i="113"/>
  <c r="J90" i="113" s="1"/>
  <c r="M90" i="113"/>
  <c r="L90" i="113"/>
  <c r="K90" i="113"/>
  <c r="O39" i="99"/>
  <c r="O42" i="99" s="1"/>
  <c r="AS40" i="76"/>
  <c r="R12" i="114" s="1"/>
  <c r="R65" i="114" s="1"/>
  <c r="M39" i="99"/>
  <c r="M42" i="99" s="1"/>
  <c r="AQ40" i="76"/>
  <c r="P12" i="114" s="1"/>
  <c r="P65" i="114" s="1"/>
  <c r="K25" i="19"/>
  <c r="AY20" i="75"/>
  <c r="CC20" i="75" s="1"/>
  <c r="AR30" i="75"/>
  <c r="AT29" i="75"/>
  <c r="BX29" i="75" s="1"/>
  <c r="P30" i="75"/>
  <c r="AX29" i="75"/>
  <c r="CB29" i="75" s="1"/>
  <c r="T30" i="75"/>
  <c r="AN30" i="75"/>
  <c r="AQ30" i="75"/>
  <c r="AW30" i="75"/>
  <c r="AP30" i="75"/>
  <c r="AY30" i="75"/>
  <c r="AS30" i="75"/>
  <c r="AU30" i="75"/>
  <c r="AZ29" i="75"/>
  <c r="CD29" i="75" s="1"/>
  <c r="V30" i="75"/>
  <c r="Q144" i="61" s="1"/>
  <c r="AV29" i="75"/>
  <c r="BZ29" i="75" s="1"/>
  <c r="R30" i="75"/>
  <c r="M144" i="61" s="1"/>
  <c r="AO30" i="75"/>
  <c r="AK22" i="75"/>
  <c r="T12" i="30"/>
  <c r="AC22" i="75"/>
  <c r="AH22" i="75"/>
  <c r="O12" i="30"/>
  <c r="M12" i="30"/>
  <c r="R12" i="30"/>
  <c r="AB22" i="75"/>
  <c r="AP21" i="75"/>
  <c r="BT21" i="75" s="1"/>
  <c r="AT21" i="75"/>
  <c r="BX21" i="75" s="1"/>
  <c r="AZ12" i="75"/>
  <c r="CD12" i="75" s="1"/>
  <c r="M22" i="75"/>
  <c r="AQ21" i="75"/>
  <c r="BU21" i="75" s="1"/>
  <c r="Z22" i="75"/>
  <c r="L22" i="75"/>
  <c r="AP20" i="75"/>
  <c r="BT20" i="75" s="1"/>
  <c r="AW20" i="75"/>
  <c r="CA20" i="75" s="1"/>
  <c r="AR20" i="75"/>
  <c r="BV20" i="75" s="1"/>
  <c r="U12" i="30"/>
  <c r="V12" i="30"/>
  <c r="V21" i="75"/>
  <c r="AJ22" i="75"/>
  <c r="P12" i="30"/>
  <c r="P20" i="75"/>
  <c r="AX21" i="75"/>
  <c r="CB21" i="75" s="1"/>
  <c r="AQ20" i="75"/>
  <c r="BU20" i="75" s="1"/>
  <c r="Q12" i="30"/>
  <c r="Q20" i="75"/>
  <c r="U22" i="75"/>
  <c r="AY21" i="75"/>
  <c r="CC21" i="75" s="1"/>
  <c r="AV21" i="75"/>
  <c r="BZ21" i="75" s="1"/>
  <c r="AZ20" i="75"/>
  <c r="CD20" i="75" s="1"/>
  <c r="AO20" i="75"/>
  <c r="BS20" i="75" s="1"/>
  <c r="S12" i="30"/>
  <c r="S21" i="75"/>
  <c r="AW21" i="75" s="1"/>
  <c r="CA21" i="75" s="1"/>
  <c r="J12" i="30"/>
  <c r="J21" i="75"/>
  <c r="AN21" i="75" s="1"/>
  <c r="BR21" i="75" s="1"/>
  <c r="AS21" i="75"/>
  <c r="BW21" i="75" s="1"/>
  <c r="AG22" i="75"/>
  <c r="AN20" i="75"/>
  <c r="BR20" i="75" s="1"/>
  <c r="T22" i="75"/>
  <c r="AX20" i="75"/>
  <c r="CB20" i="75" s="1"/>
  <c r="N12" i="30"/>
  <c r="N21" i="75"/>
  <c r="L12" i="30"/>
  <c r="K12" i="30"/>
  <c r="K21" i="75"/>
  <c r="AO21" i="75" s="1"/>
  <c r="BS21" i="75" s="1"/>
  <c r="O22" i="75"/>
  <c r="AS20" i="75"/>
  <c r="BW20" i="75" s="1"/>
  <c r="Y22" i="75"/>
  <c r="AD22" i="75"/>
  <c r="AQ12" i="75"/>
  <c r="BU12" i="75" s="1"/>
  <c r="M17" i="75"/>
  <c r="N17" i="75"/>
  <c r="AW12" i="75"/>
  <c r="CA12" i="75" s="1"/>
  <c r="AT12" i="75"/>
  <c r="BX12" i="75" s="1"/>
  <c r="AN12" i="75"/>
  <c r="BR12" i="75" s="1"/>
  <c r="J17" i="75"/>
  <c r="AU12" i="75"/>
  <c r="BY12" i="75" s="1"/>
  <c r="AR17" i="75"/>
  <c r="AV12" i="75"/>
  <c r="BZ12" i="75" s="1"/>
  <c r="AY12" i="75"/>
  <c r="CC12" i="75" s="1"/>
  <c r="AS12" i="75"/>
  <c r="BW12" i="75" s="1"/>
  <c r="O17" i="75"/>
  <c r="AO12" i="75"/>
  <c r="BS12" i="75" s="1"/>
  <c r="K17" i="75"/>
  <c r="AP17" i="75"/>
  <c r="AX12" i="75"/>
  <c r="CB12" i="75" s="1"/>
  <c r="U86" i="19"/>
  <c r="T90" i="19"/>
  <c r="L45" i="19"/>
  <c r="L25" i="19"/>
  <c r="M18" i="19"/>
  <c r="V159" i="11"/>
  <c r="U159" i="11"/>
  <c r="T159" i="11"/>
  <c r="S159" i="11"/>
  <c r="R159" i="11"/>
  <c r="Q159" i="11"/>
  <c r="P159" i="11"/>
  <c r="V148" i="11"/>
  <c r="U148" i="11"/>
  <c r="T148" i="11"/>
  <c r="S148" i="11"/>
  <c r="R148" i="11"/>
  <c r="Q148" i="11"/>
  <c r="P148" i="11"/>
  <c r="V137" i="11"/>
  <c r="U137" i="11"/>
  <c r="T137" i="11"/>
  <c r="S137" i="11"/>
  <c r="R137" i="11"/>
  <c r="Q137" i="11"/>
  <c r="P137" i="11"/>
  <c r="V126" i="11"/>
  <c r="U126" i="11"/>
  <c r="T126" i="11"/>
  <c r="S126" i="11"/>
  <c r="R126" i="11"/>
  <c r="Q126" i="11"/>
  <c r="P126" i="11"/>
  <c r="V110" i="11"/>
  <c r="U110" i="11"/>
  <c r="T110" i="11"/>
  <c r="S110" i="11"/>
  <c r="R110" i="11"/>
  <c r="Q110" i="11"/>
  <c r="P110" i="11"/>
  <c r="V99" i="11"/>
  <c r="U99" i="11"/>
  <c r="T99" i="11"/>
  <c r="S99" i="11"/>
  <c r="R99" i="11"/>
  <c r="Q99" i="11"/>
  <c r="P99" i="11"/>
  <c r="V88" i="11"/>
  <c r="U88" i="11"/>
  <c r="T88" i="11"/>
  <c r="S88" i="11"/>
  <c r="R88" i="11"/>
  <c r="Q88" i="11"/>
  <c r="P88" i="11"/>
  <c r="V77" i="11"/>
  <c r="U77" i="11"/>
  <c r="T77" i="11"/>
  <c r="S77" i="11"/>
  <c r="R77" i="11"/>
  <c r="Q77" i="11"/>
  <c r="P77" i="11"/>
  <c r="P61" i="11"/>
  <c r="Q61" i="11"/>
  <c r="R61" i="11"/>
  <c r="S61" i="11"/>
  <c r="T61" i="11"/>
  <c r="U61" i="11"/>
  <c r="V61" i="11"/>
  <c r="P50" i="11"/>
  <c r="Q50" i="11"/>
  <c r="R50" i="11"/>
  <c r="S50" i="11"/>
  <c r="T50" i="11"/>
  <c r="U50" i="11"/>
  <c r="V50" i="11"/>
  <c r="P39" i="11"/>
  <c r="Q39" i="11"/>
  <c r="R39" i="11"/>
  <c r="S39" i="11"/>
  <c r="T39" i="11"/>
  <c r="U39" i="11"/>
  <c r="V39" i="11"/>
  <c r="P28" i="11"/>
  <c r="Q28" i="11"/>
  <c r="R28" i="11"/>
  <c r="S28" i="11"/>
  <c r="T28" i="11"/>
  <c r="U28" i="11"/>
  <c r="V28" i="11"/>
  <c r="S207" i="8" l="1"/>
  <c r="R97" i="64"/>
  <c r="Q58" i="64"/>
  <c r="Q72" i="64" s="1"/>
  <c r="Q14" i="64" s="1"/>
  <c r="Q12" i="98"/>
  <c r="Q16" i="98" s="1"/>
  <c r="T24" i="22"/>
  <c r="AH24" i="22"/>
  <c r="S112" i="11"/>
  <c r="S13" i="11" s="1"/>
  <c r="V63" i="11"/>
  <c r="V12" i="11" s="1"/>
  <c r="R63" i="11"/>
  <c r="R12" i="11" s="1"/>
  <c r="T63" i="11"/>
  <c r="T12" i="11" s="1"/>
  <c r="P63" i="11"/>
  <c r="P12" i="11" s="1"/>
  <c r="U161" i="11"/>
  <c r="U14" i="11" s="1"/>
  <c r="U112" i="11"/>
  <c r="U13" i="11" s="1"/>
  <c r="Q112" i="11"/>
  <c r="Q13" i="11" s="1"/>
  <c r="S63" i="11"/>
  <c r="S12" i="11" s="1"/>
  <c r="R112" i="11"/>
  <c r="R13" i="11" s="1"/>
  <c r="V112" i="11"/>
  <c r="V13" i="11" s="1"/>
  <c r="R161" i="11"/>
  <c r="R14" i="11" s="1"/>
  <c r="U63" i="11"/>
  <c r="U12" i="11" s="1"/>
  <c r="Q63" i="11"/>
  <c r="Q12" i="11" s="1"/>
  <c r="T112" i="11"/>
  <c r="T13" i="11" s="1"/>
  <c r="P161" i="11"/>
  <c r="P14" i="11" s="1"/>
  <c r="V161" i="11"/>
  <c r="V14" i="11" s="1"/>
  <c r="K29" i="99"/>
  <c r="Q29" i="99"/>
  <c r="O29" i="99"/>
  <c r="U29" i="99"/>
  <c r="L29" i="99"/>
  <c r="S29" i="99"/>
  <c r="M29" i="99"/>
  <c r="J29" i="99"/>
  <c r="N29" i="99"/>
  <c r="L26" i="99"/>
  <c r="N26" i="99"/>
  <c r="J11" i="12"/>
  <c r="V11" i="12"/>
  <c r="U11" i="12"/>
  <c r="M11" i="12"/>
  <c r="T11" i="12"/>
  <c r="L11" i="12"/>
  <c r="S11" i="12"/>
  <c r="K11" i="12"/>
  <c r="R11" i="12"/>
  <c r="Q11" i="12"/>
  <c r="O11" i="12"/>
  <c r="N11" i="12"/>
  <c r="P11" i="12"/>
  <c r="AZ30" i="75"/>
  <c r="AX30" i="75"/>
  <c r="AV30" i="75"/>
  <c r="AT30" i="75"/>
  <c r="J22" i="75"/>
  <c r="AS22" i="75"/>
  <c r="O28" i="99" s="1"/>
  <c r="S22" i="75"/>
  <c r="AW22" i="75"/>
  <c r="S28" i="99" s="1"/>
  <c r="AN22" i="75"/>
  <c r="J28" i="99" s="1"/>
  <c r="Q22" i="75"/>
  <c r="AU20" i="75"/>
  <c r="BY20" i="75" s="1"/>
  <c r="AZ21" i="75"/>
  <c r="CD21" i="75" s="1"/>
  <c r="V22" i="75"/>
  <c r="Q137" i="61" s="1"/>
  <c r="AP22" i="75"/>
  <c r="AX22" i="75"/>
  <c r="T28" i="99" s="1"/>
  <c r="AY22" i="75"/>
  <c r="U28" i="99" s="1"/>
  <c r="AO22" i="75"/>
  <c r="K28" i="99" s="1"/>
  <c r="AQ22" i="75"/>
  <c r="M28" i="99" s="1"/>
  <c r="P22" i="75"/>
  <c r="AT20" i="75"/>
  <c r="BX20" i="75" s="1"/>
  <c r="K22" i="75"/>
  <c r="AV22" i="75"/>
  <c r="R28" i="99" s="1"/>
  <c r="AR21" i="75"/>
  <c r="BV21" i="75" s="1"/>
  <c r="N22" i="75"/>
  <c r="AN17" i="75"/>
  <c r="AO17" i="75"/>
  <c r="AS17" i="75"/>
  <c r="AQ17" i="75"/>
  <c r="V86" i="19"/>
  <c r="V90" i="19" s="1"/>
  <c r="U90" i="19"/>
  <c r="M45" i="19"/>
  <c r="M25" i="19"/>
  <c r="P112" i="11"/>
  <c r="P13" i="11" s="1"/>
  <c r="S161" i="11"/>
  <c r="S14" i="11" s="1"/>
  <c r="Q161" i="11"/>
  <c r="Q14" i="11" s="1"/>
  <c r="T161" i="11"/>
  <c r="T14" i="11" s="1"/>
  <c r="N18" i="19"/>
  <c r="T207" i="8" l="1"/>
  <c r="S97" i="64"/>
  <c r="R58" i="64"/>
  <c r="R72" i="64" s="1"/>
  <c r="R14" i="64" s="1"/>
  <c r="R12" i="98"/>
  <c r="R16" i="98" s="1"/>
  <c r="AI24" i="22"/>
  <c r="V24" i="22"/>
  <c r="U24" i="22"/>
  <c r="U11" i="11"/>
  <c r="AZ22" i="75"/>
  <c r="V28" i="99" s="1"/>
  <c r="P11" i="11"/>
  <c r="T11" i="11"/>
  <c r="Q11" i="11"/>
  <c r="S11" i="11"/>
  <c r="V11" i="11"/>
  <c r="R11" i="11"/>
  <c r="L28" i="99"/>
  <c r="P29" i="99"/>
  <c r="R29" i="99"/>
  <c r="T29" i="99"/>
  <c r="V29" i="99"/>
  <c r="O26" i="99"/>
  <c r="J26" i="99"/>
  <c r="M26" i="99"/>
  <c r="K26" i="99"/>
  <c r="AU22" i="75"/>
  <c r="Q28" i="99" s="1"/>
  <c r="AT22" i="75"/>
  <c r="P28" i="99" s="1"/>
  <c r="AR22" i="75"/>
  <c r="N45" i="19"/>
  <c r="N25" i="19"/>
  <c r="O18" i="19"/>
  <c r="V207" i="8" l="1"/>
  <c r="U207" i="8"/>
  <c r="S58" i="64"/>
  <c r="S72" i="64" s="1"/>
  <c r="S14" i="64" s="1"/>
  <c r="T97" i="64"/>
  <c r="S12" i="98"/>
  <c r="AK24" i="22"/>
  <c r="AJ24" i="22"/>
  <c r="N28" i="99"/>
  <c r="O45" i="19"/>
  <c r="O25" i="19"/>
  <c r="P18" i="19"/>
  <c r="A3" i="3"/>
  <c r="S16" i="98" l="1"/>
  <c r="T12" i="98" s="1"/>
  <c r="T16" i="98" s="1"/>
  <c r="U12" i="98" s="1"/>
  <c r="U16" i="98" s="1"/>
  <c r="V12" i="98" s="1"/>
  <c r="V16" i="98" s="1"/>
  <c r="V97" i="64"/>
  <c r="U97" i="64"/>
  <c r="T58" i="64"/>
  <c r="T72" i="64" s="1"/>
  <c r="T14" i="64" s="1"/>
  <c r="P45" i="19"/>
  <c r="P25" i="19"/>
  <c r="Q18" i="19"/>
  <c r="A3" i="2"/>
  <c r="V58" i="64" l="1"/>
  <c r="V72" i="64" s="1"/>
  <c r="V14" i="64" s="1"/>
  <c r="U58" i="64"/>
  <c r="U72" i="64" s="1"/>
  <c r="U14" i="64" s="1"/>
  <c r="Q45" i="19"/>
  <c r="Q25" i="19"/>
  <c r="R18" i="19"/>
  <c r="A3" i="86"/>
  <c r="R45" i="19" l="1"/>
  <c r="R25" i="19"/>
  <c r="S18" i="19"/>
  <c r="S45" i="19" l="1"/>
  <c r="S25" i="19"/>
  <c r="T18" i="19"/>
  <c r="T45" i="19" l="1"/>
  <c r="T25" i="19"/>
  <c r="V18" i="19"/>
  <c r="U18" i="19"/>
  <c r="L14" i="10"/>
  <c r="O14" i="10"/>
  <c r="T14" i="10"/>
  <c r="Z71" i="10"/>
  <c r="AA71" i="10"/>
  <c r="AB71" i="10"/>
  <c r="AC71" i="10"/>
  <c r="AD71" i="10"/>
  <c r="AE71" i="10"/>
  <c r="AF71" i="10"/>
  <c r="AG71" i="10"/>
  <c r="AH71" i="10"/>
  <c r="AI71" i="10"/>
  <c r="AJ71" i="10"/>
  <c r="AK71" i="10"/>
  <c r="Y71" i="10"/>
  <c r="K14" i="10"/>
  <c r="M14" i="10"/>
  <c r="N14" i="10"/>
  <c r="P14" i="10"/>
  <c r="Q14" i="10"/>
  <c r="R14" i="10"/>
  <c r="S14" i="10"/>
  <c r="U14" i="10"/>
  <c r="V14" i="10"/>
  <c r="J14" i="10"/>
  <c r="K44" i="10"/>
  <c r="K13" i="10" s="1"/>
  <c r="L44" i="10"/>
  <c r="L13" i="10" s="1"/>
  <c r="M44" i="10"/>
  <c r="M13" i="10" s="1"/>
  <c r="N44" i="10"/>
  <c r="N13" i="10" s="1"/>
  <c r="O44" i="10"/>
  <c r="O13" i="10" s="1"/>
  <c r="P44" i="10"/>
  <c r="P13" i="10" s="1"/>
  <c r="Q44" i="10"/>
  <c r="Q13" i="10" s="1"/>
  <c r="R44" i="10"/>
  <c r="R13" i="10" s="1"/>
  <c r="S44" i="10"/>
  <c r="S13" i="10" s="1"/>
  <c r="T44" i="10"/>
  <c r="T13" i="10" s="1"/>
  <c r="U44" i="10"/>
  <c r="U13" i="10" s="1"/>
  <c r="V44" i="10"/>
  <c r="V13" i="10" s="1"/>
  <c r="J44" i="10"/>
  <c r="J13" i="10" s="1"/>
  <c r="V29" i="10"/>
  <c r="U29" i="10"/>
  <c r="T29" i="10"/>
  <c r="S29" i="10"/>
  <c r="R29" i="10"/>
  <c r="Q29" i="10"/>
  <c r="P29" i="10"/>
  <c r="O29" i="10"/>
  <c r="N29" i="10"/>
  <c r="M29" i="10"/>
  <c r="L29" i="10"/>
  <c r="K29" i="10"/>
  <c r="J29" i="10"/>
  <c r="K23" i="10"/>
  <c r="L23" i="10"/>
  <c r="M23" i="10"/>
  <c r="N23" i="10"/>
  <c r="O23" i="10"/>
  <c r="P23" i="10"/>
  <c r="Q23" i="10"/>
  <c r="R23" i="10"/>
  <c r="R31" i="10" s="1"/>
  <c r="R12" i="10" s="1"/>
  <c r="S23" i="10"/>
  <c r="T23" i="10"/>
  <c r="U23" i="10"/>
  <c r="V23" i="10"/>
  <c r="J23" i="10"/>
  <c r="K277" i="8"/>
  <c r="L277" i="8"/>
  <c r="M277" i="8"/>
  <c r="N277" i="8"/>
  <c r="O277" i="8"/>
  <c r="P277" i="8"/>
  <c r="Q277" i="8"/>
  <c r="J277" i="8"/>
  <c r="V185" i="8"/>
  <c r="U185" i="8"/>
  <c r="T185" i="8"/>
  <c r="S185" i="8"/>
  <c r="R185" i="8"/>
  <c r="Q185" i="8"/>
  <c r="P185" i="8"/>
  <c r="O185" i="8"/>
  <c r="N185" i="8"/>
  <c r="M185" i="8"/>
  <c r="L185" i="8"/>
  <c r="K185" i="8"/>
  <c r="J185" i="8"/>
  <c r="V178" i="8"/>
  <c r="U178" i="8"/>
  <c r="T178" i="8"/>
  <c r="S178" i="8"/>
  <c r="R178" i="8"/>
  <c r="Q178" i="8"/>
  <c r="P178" i="8"/>
  <c r="O178" i="8"/>
  <c r="N178" i="8"/>
  <c r="M178" i="8"/>
  <c r="L178" i="8"/>
  <c r="K178" i="8"/>
  <c r="J178" i="8"/>
  <c r="V171" i="8"/>
  <c r="U171" i="8"/>
  <c r="T171" i="8"/>
  <c r="S171" i="8"/>
  <c r="R171" i="8"/>
  <c r="Q171" i="8"/>
  <c r="P171" i="8"/>
  <c r="O171" i="8"/>
  <c r="N171" i="8"/>
  <c r="M171" i="8"/>
  <c r="L171" i="8"/>
  <c r="K171" i="8"/>
  <c r="J171" i="8"/>
  <c r="K164" i="8"/>
  <c r="L164" i="8"/>
  <c r="M164" i="8"/>
  <c r="N164" i="8"/>
  <c r="O164" i="8"/>
  <c r="P164" i="8"/>
  <c r="Q164" i="8"/>
  <c r="R164" i="8"/>
  <c r="S164" i="8"/>
  <c r="T164" i="8"/>
  <c r="U164" i="8"/>
  <c r="V164" i="8"/>
  <c r="J164" i="8"/>
  <c r="K154" i="8"/>
  <c r="L154" i="8"/>
  <c r="M154" i="8"/>
  <c r="N154" i="8"/>
  <c r="O154" i="8"/>
  <c r="P154" i="8"/>
  <c r="Q154" i="8"/>
  <c r="R154" i="8"/>
  <c r="S154" i="8"/>
  <c r="T154" i="8"/>
  <c r="U154" i="8"/>
  <c r="V154" i="8"/>
  <c r="J154" i="8"/>
  <c r="V138" i="8"/>
  <c r="U138" i="8"/>
  <c r="T138" i="8"/>
  <c r="S138" i="8"/>
  <c r="R138" i="8"/>
  <c r="Q138" i="8"/>
  <c r="P138" i="8"/>
  <c r="O138" i="8"/>
  <c r="N138" i="8"/>
  <c r="M138" i="8"/>
  <c r="L138" i="8"/>
  <c r="K138" i="8"/>
  <c r="J138" i="8"/>
  <c r="V131" i="8"/>
  <c r="U131" i="8"/>
  <c r="T131" i="8"/>
  <c r="S131" i="8"/>
  <c r="R131" i="8"/>
  <c r="Q131" i="8"/>
  <c r="P131" i="8"/>
  <c r="O131" i="8"/>
  <c r="N131" i="8"/>
  <c r="M131" i="8"/>
  <c r="L131" i="8"/>
  <c r="K131" i="8"/>
  <c r="J131" i="8"/>
  <c r="V124" i="8"/>
  <c r="U124" i="8"/>
  <c r="T124" i="8"/>
  <c r="S124" i="8"/>
  <c r="R124" i="8"/>
  <c r="Q124" i="8"/>
  <c r="P124" i="8"/>
  <c r="O124" i="8"/>
  <c r="N124" i="8"/>
  <c r="M124" i="8"/>
  <c r="L124" i="8"/>
  <c r="K124" i="8"/>
  <c r="J124" i="8"/>
  <c r="V117" i="8"/>
  <c r="U117" i="8"/>
  <c r="T117" i="8"/>
  <c r="S117" i="8"/>
  <c r="R117" i="8"/>
  <c r="Q117" i="8"/>
  <c r="P117" i="8"/>
  <c r="O117" i="8"/>
  <c r="N117" i="8"/>
  <c r="M117" i="8"/>
  <c r="L117" i="8"/>
  <c r="K117" i="8"/>
  <c r="J117" i="8"/>
  <c r="V110" i="8"/>
  <c r="U110" i="8"/>
  <c r="T110" i="8"/>
  <c r="S110" i="8"/>
  <c r="R110" i="8"/>
  <c r="Q110" i="8"/>
  <c r="P110" i="8"/>
  <c r="O110" i="8"/>
  <c r="N110" i="8"/>
  <c r="M110" i="8"/>
  <c r="L110" i="8"/>
  <c r="K110" i="8"/>
  <c r="J110" i="8"/>
  <c r="V103" i="8"/>
  <c r="U103" i="8"/>
  <c r="T103" i="8"/>
  <c r="S103" i="8"/>
  <c r="R103" i="8"/>
  <c r="Q103" i="8"/>
  <c r="P103" i="8"/>
  <c r="O103" i="8"/>
  <c r="N103" i="8"/>
  <c r="M103" i="8"/>
  <c r="L103" i="8"/>
  <c r="K103" i="8"/>
  <c r="J103" i="8"/>
  <c r="V96" i="8"/>
  <c r="U96" i="8"/>
  <c r="T96" i="8"/>
  <c r="S96" i="8"/>
  <c r="R96" i="8"/>
  <c r="Q96" i="8"/>
  <c r="P96" i="8"/>
  <c r="O96" i="8"/>
  <c r="N96" i="8"/>
  <c r="M96" i="8"/>
  <c r="L96" i="8"/>
  <c r="K96" i="8"/>
  <c r="J96" i="8"/>
  <c r="K89" i="8"/>
  <c r="L89" i="8"/>
  <c r="M89" i="8"/>
  <c r="N89" i="8"/>
  <c r="O89" i="8"/>
  <c r="P89" i="8"/>
  <c r="Q89" i="8"/>
  <c r="R89" i="8"/>
  <c r="S89" i="8"/>
  <c r="T89" i="8"/>
  <c r="U89" i="8"/>
  <c r="V89" i="8"/>
  <c r="J89" i="8"/>
  <c r="V77" i="8"/>
  <c r="U77" i="8"/>
  <c r="T77" i="8"/>
  <c r="S77" i="8"/>
  <c r="R77" i="8"/>
  <c r="Q77" i="8"/>
  <c r="P77" i="8"/>
  <c r="O77" i="8"/>
  <c r="N77" i="8"/>
  <c r="M77" i="8"/>
  <c r="L77" i="8"/>
  <c r="K77" i="8"/>
  <c r="J77" i="8"/>
  <c r="V70" i="8"/>
  <c r="U70" i="8"/>
  <c r="T70" i="8"/>
  <c r="S70" i="8"/>
  <c r="R70" i="8"/>
  <c r="Q70" i="8"/>
  <c r="P70" i="8"/>
  <c r="O70" i="8"/>
  <c r="N70" i="8"/>
  <c r="M70" i="8"/>
  <c r="L70" i="8"/>
  <c r="K70" i="8"/>
  <c r="J70" i="8"/>
  <c r="V63" i="8"/>
  <c r="U63" i="8"/>
  <c r="T63" i="8"/>
  <c r="S63" i="8"/>
  <c r="R63" i="8"/>
  <c r="Q63" i="8"/>
  <c r="P63" i="8"/>
  <c r="O63" i="8"/>
  <c r="N63" i="8"/>
  <c r="M63" i="8"/>
  <c r="L63" i="8"/>
  <c r="K63" i="8"/>
  <c r="J63" i="8"/>
  <c r="K56" i="8"/>
  <c r="L56" i="8"/>
  <c r="M56" i="8"/>
  <c r="N56" i="8"/>
  <c r="O56" i="8"/>
  <c r="P56" i="8"/>
  <c r="Q56" i="8"/>
  <c r="R56" i="8"/>
  <c r="S56" i="8"/>
  <c r="T56" i="8"/>
  <c r="U56" i="8"/>
  <c r="V56" i="8"/>
  <c r="J56" i="8"/>
  <c r="K49" i="8"/>
  <c r="L49" i="8"/>
  <c r="M49" i="8"/>
  <c r="N49" i="8"/>
  <c r="O49" i="8"/>
  <c r="P49" i="8"/>
  <c r="Q49" i="8"/>
  <c r="R49" i="8"/>
  <c r="S49" i="8"/>
  <c r="T49" i="8"/>
  <c r="U49" i="8"/>
  <c r="V49" i="8"/>
  <c r="J49" i="8"/>
  <c r="K37" i="8"/>
  <c r="L37" i="8"/>
  <c r="M37" i="8"/>
  <c r="N37" i="8"/>
  <c r="O37" i="8"/>
  <c r="P37" i="8"/>
  <c r="Q37" i="8"/>
  <c r="R37" i="8"/>
  <c r="S37" i="8"/>
  <c r="T37" i="8"/>
  <c r="U37" i="8"/>
  <c r="V37" i="8"/>
  <c r="J37" i="8"/>
  <c r="K30" i="8"/>
  <c r="L30" i="8"/>
  <c r="M30" i="8"/>
  <c r="N30" i="8"/>
  <c r="O30" i="8"/>
  <c r="P30" i="8"/>
  <c r="Q30" i="8"/>
  <c r="R30" i="8"/>
  <c r="S30" i="8"/>
  <c r="T30" i="8"/>
  <c r="U30" i="8"/>
  <c r="V30" i="8"/>
  <c r="J30" i="8"/>
  <c r="K23" i="8"/>
  <c r="L23" i="8"/>
  <c r="M23" i="8"/>
  <c r="N23" i="8"/>
  <c r="O23" i="8"/>
  <c r="P23" i="8"/>
  <c r="Q23" i="8"/>
  <c r="R23" i="8"/>
  <c r="S23" i="8"/>
  <c r="T23" i="8"/>
  <c r="U23" i="8"/>
  <c r="V23" i="8"/>
  <c r="J23" i="8"/>
  <c r="K16" i="8"/>
  <c r="L16" i="8"/>
  <c r="M16" i="8"/>
  <c r="N16" i="8"/>
  <c r="O16" i="8"/>
  <c r="P16" i="8"/>
  <c r="Q16" i="8"/>
  <c r="R16" i="8"/>
  <c r="S16" i="8"/>
  <c r="T16" i="8"/>
  <c r="U16" i="8"/>
  <c r="V16" i="8"/>
  <c r="J16" i="8"/>
  <c r="L31" i="10" l="1"/>
  <c r="L12" i="10" s="1"/>
  <c r="V31" i="10"/>
  <c r="V12" i="10" s="1"/>
  <c r="T31" i="10"/>
  <c r="T12" i="10" s="1"/>
  <c r="Q31" i="10"/>
  <c r="Q12" i="10" s="1"/>
  <c r="J31" i="10"/>
  <c r="J12" i="10" s="1"/>
  <c r="J11" i="10" s="1"/>
  <c r="M187" i="8"/>
  <c r="U187" i="8"/>
  <c r="P31" i="10"/>
  <c r="P12" i="10" s="1"/>
  <c r="P11" i="10" s="1"/>
  <c r="T187" i="8"/>
  <c r="U140" i="8"/>
  <c r="Q187" i="8"/>
  <c r="V187" i="8"/>
  <c r="R187" i="8"/>
  <c r="S79" i="8"/>
  <c r="K79" i="8"/>
  <c r="T140" i="8"/>
  <c r="L140" i="8"/>
  <c r="N187" i="8"/>
  <c r="Q79" i="8"/>
  <c r="O187" i="8"/>
  <c r="R39" i="8"/>
  <c r="V79" i="8"/>
  <c r="N79" i="8"/>
  <c r="U79" i="8"/>
  <c r="S31" i="10"/>
  <c r="S12" i="10" s="1"/>
  <c r="S11" i="10" s="1"/>
  <c r="N31" i="10"/>
  <c r="N12" i="10" s="1"/>
  <c r="N11" i="10" s="1"/>
  <c r="T11" i="10"/>
  <c r="L11" i="10"/>
  <c r="O31" i="10"/>
  <c r="O12" i="10" s="1"/>
  <c r="O11" i="10" s="1"/>
  <c r="M31" i="10"/>
  <c r="M12" i="10" s="1"/>
  <c r="M11" i="10" s="1"/>
  <c r="U31" i="10"/>
  <c r="U12" i="10" s="1"/>
  <c r="U11" i="10" s="1"/>
  <c r="Q11" i="10"/>
  <c r="R11" i="10"/>
  <c r="V11" i="10"/>
  <c r="O140" i="8"/>
  <c r="Q39" i="8"/>
  <c r="J140" i="8"/>
  <c r="P39" i="8"/>
  <c r="T79" i="8"/>
  <c r="L79" i="8"/>
  <c r="V140" i="8"/>
  <c r="N140" i="8"/>
  <c r="S187" i="8"/>
  <c r="K187" i="8"/>
  <c r="M79" i="8"/>
  <c r="U39" i="8"/>
  <c r="M39" i="8"/>
  <c r="O39" i="8"/>
  <c r="S140" i="8"/>
  <c r="K140" i="8"/>
  <c r="P187" i="8"/>
  <c r="L187" i="8"/>
  <c r="V39" i="8"/>
  <c r="T39" i="8"/>
  <c r="N39" i="8"/>
  <c r="R140" i="8"/>
  <c r="J187" i="8"/>
  <c r="S39" i="8"/>
  <c r="K39" i="8"/>
  <c r="J79" i="8"/>
  <c r="O79" i="8"/>
  <c r="Q140" i="8"/>
  <c r="R79" i="8"/>
  <c r="L39" i="8"/>
  <c r="P79" i="8"/>
  <c r="P140" i="8"/>
  <c r="M140" i="8"/>
  <c r="J39" i="8"/>
  <c r="V45" i="19"/>
  <c r="U45" i="19"/>
  <c r="V25" i="19"/>
  <c r="U25" i="19"/>
  <c r="K31" i="10"/>
  <c r="K12" i="10" s="1"/>
  <c r="K11" i="10" s="1"/>
  <c r="Q168" i="63"/>
  <c r="R168" i="63"/>
  <c r="S168" i="63"/>
  <c r="T168" i="63"/>
  <c r="U168" i="63"/>
  <c r="V168" i="63"/>
  <c r="P168" i="63"/>
  <c r="Q155" i="63"/>
  <c r="R155" i="63"/>
  <c r="S155" i="63"/>
  <c r="T155" i="63"/>
  <c r="U155" i="63"/>
  <c r="V155" i="63"/>
  <c r="P155" i="63"/>
  <c r="Q138" i="63"/>
  <c r="R138" i="63"/>
  <c r="S138" i="63"/>
  <c r="T138" i="63"/>
  <c r="U138" i="63"/>
  <c r="V138" i="63"/>
  <c r="P138" i="63"/>
  <c r="Q127" i="63"/>
  <c r="R127" i="63"/>
  <c r="S127" i="63"/>
  <c r="T127" i="63"/>
  <c r="U127" i="63"/>
  <c r="V127" i="63"/>
  <c r="P127" i="63"/>
  <c r="Q119" i="63"/>
  <c r="R119" i="63"/>
  <c r="S119" i="63"/>
  <c r="T119" i="63"/>
  <c r="U119" i="63"/>
  <c r="V119" i="63"/>
  <c r="P119" i="63"/>
  <c r="Q109" i="63"/>
  <c r="R109" i="63"/>
  <c r="S109" i="63"/>
  <c r="T109" i="63"/>
  <c r="U109" i="63"/>
  <c r="V109" i="63"/>
  <c r="P109" i="63"/>
  <c r="Q92" i="63"/>
  <c r="R92" i="63"/>
  <c r="S92" i="63"/>
  <c r="T92" i="63"/>
  <c r="U92" i="63"/>
  <c r="V92" i="63"/>
  <c r="P92" i="63"/>
  <c r="Q75" i="63"/>
  <c r="R75" i="63"/>
  <c r="S75" i="63"/>
  <c r="T75" i="63"/>
  <c r="U75" i="63"/>
  <c r="V75" i="63"/>
  <c r="P75" i="63"/>
  <c r="K18" i="60"/>
  <c r="L18" i="60"/>
  <c r="M18" i="60"/>
  <c r="N18" i="60"/>
  <c r="O18" i="60"/>
  <c r="J44" i="84"/>
  <c r="J48" i="84" s="1"/>
  <c r="K44" i="84"/>
  <c r="K48" i="84" s="1"/>
  <c r="L44" i="84"/>
  <c r="L48" i="84" s="1"/>
  <c r="M44" i="84"/>
  <c r="M48" i="84" s="1"/>
  <c r="N44" i="84"/>
  <c r="N48" i="84" s="1"/>
  <c r="O44" i="84"/>
  <c r="O48" i="84" s="1"/>
  <c r="P44" i="84"/>
  <c r="P115" i="56" s="1"/>
  <c r="Q44" i="84"/>
  <c r="R44" i="84"/>
  <c r="S44" i="84"/>
  <c r="T44" i="84"/>
  <c r="U44" i="84"/>
  <c r="V44" i="84"/>
  <c r="J60" i="84"/>
  <c r="K60" i="84"/>
  <c r="L60" i="84"/>
  <c r="M60" i="84"/>
  <c r="N60" i="84"/>
  <c r="O60" i="84"/>
  <c r="P60" i="84"/>
  <c r="Q60" i="84"/>
  <c r="R60" i="84"/>
  <c r="S60" i="84"/>
  <c r="T60" i="84"/>
  <c r="U60" i="84"/>
  <c r="V60" i="84"/>
  <c r="J64" i="84"/>
  <c r="J67" i="84" s="1"/>
  <c r="J70" i="84" s="1"/>
  <c r="J72" i="84" s="1"/>
  <c r="J74" i="84" s="1"/>
  <c r="K64" i="84"/>
  <c r="L64" i="84"/>
  <c r="L67" i="84" s="1"/>
  <c r="L70" i="84" s="1"/>
  <c r="L72" i="84" s="1"/>
  <c r="L74" i="84" s="1"/>
  <c r="M64" i="84"/>
  <c r="M67" i="84" s="1"/>
  <c r="M70" i="84" s="1"/>
  <c r="M72" i="84" s="1"/>
  <c r="M74" i="84" s="1"/>
  <c r="N64" i="84"/>
  <c r="N67" i="84" s="1"/>
  <c r="N70" i="84" s="1"/>
  <c r="N72" i="84" s="1"/>
  <c r="N74" i="84" s="1"/>
  <c r="O64" i="84"/>
  <c r="O67" i="84" s="1"/>
  <c r="O70" i="84" s="1"/>
  <c r="O72" i="84" s="1"/>
  <c r="O74" i="84" s="1"/>
  <c r="P64" i="84"/>
  <c r="P67" i="84" s="1"/>
  <c r="P70" i="84" s="1"/>
  <c r="P72" i="84" s="1"/>
  <c r="P74" i="84" s="1"/>
  <c r="Q64" i="84"/>
  <c r="Q67" i="84" s="1"/>
  <c r="Q70" i="84" s="1"/>
  <c r="Q72" i="84" s="1"/>
  <c r="Q74" i="84" s="1"/>
  <c r="R64" i="84"/>
  <c r="R67" i="84" s="1"/>
  <c r="R70" i="84" s="1"/>
  <c r="R72" i="84" s="1"/>
  <c r="R74" i="84" s="1"/>
  <c r="S64" i="84"/>
  <c r="S67" i="84" s="1"/>
  <c r="S70" i="84" s="1"/>
  <c r="S72" i="84" s="1"/>
  <c r="S74" i="84" s="1"/>
  <c r="T64" i="84"/>
  <c r="T67" i="84" s="1"/>
  <c r="T70" i="84" s="1"/>
  <c r="T72" i="84" s="1"/>
  <c r="T74" i="84" s="1"/>
  <c r="U64" i="84"/>
  <c r="U67" i="84" s="1"/>
  <c r="U70" i="84" s="1"/>
  <c r="U72" i="84" s="1"/>
  <c r="U74" i="84" s="1"/>
  <c r="V64" i="84"/>
  <c r="V67" i="84" s="1"/>
  <c r="V70" i="84" s="1"/>
  <c r="V72" i="84" s="1"/>
  <c r="V74" i="84" s="1"/>
  <c r="K67" i="84"/>
  <c r="K70" i="84" s="1"/>
  <c r="K72" i="84" s="1"/>
  <c r="K74" i="84" s="1"/>
  <c r="J91" i="84"/>
  <c r="K91" i="84"/>
  <c r="L91" i="84"/>
  <c r="M91" i="84"/>
  <c r="N91" i="84"/>
  <c r="O91" i="84"/>
  <c r="P91" i="84"/>
  <c r="Q91" i="84"/>
  <c r="R91" i="84"/>
  <c r="S91" i="84"/>
  <c r="T91" i="84"/>
  <c r="U91" i="84"/>
  <c r="V91" i="84"/>
  <c r="J95" i="84"/>
  <c r="J98" i="84" s="1"/>
  <c r="J101" i="84" s="1"/>
  <c r="J103" i="84" s="1"/>
  <c r="J105" i="84" s="1"/>
  <c r="K95" i="84"/>
  <c r="K98" i="84" s="1"/>
  <c r="K101" i="84" s="1"/>
  <c r="K103" i="84" s="1"/>
  <c r="K105" i="84" s="1"/>
  <c r="L95" i="84"/>
  <c r="L98" i="84" s="1"/>
  <c r="L101" i="84" s="1"/>
  <c r="L103" i="84" s="1"/>
  <c r="L105" i="84" s="1"/>
  <c r="M95" i="84"/>
  <c r="M98" i="84" s="1"/>
  <c r="M101" i="84" s="1"/>
  <c r="M103" i="84" s="1"/>
  <c r="M105" i="84" s="1"/>
  <c r="N95" i="84"/>
  <c r="N98" i="84" s="1"/>
  <c r="N101" i="84" s="1"/>
  <c r="N103" i="84" s="1"/>
  <c r="N105" i="84" s="1"/>
  <c r="O95" i="84"/>
  <c r="O98" i="84" s="1"/>
  <c r="O101" i="84" s="1"/>
  <c r="O103" i="84" s="1"/>
  <c r="O105" i="84" s="1"/>
  <c r="P95" i="84"/>
  <c r="P98" i="84" s="1"/>
  <c r="P101" i="84" s="1"/>
  <c r="P103" i="84" s="1"/>
  <c r="P105" i="84" s="1"/>
  <c r="Q95" i="84"/>
  <c r="Q98" i="84" s="1"/>
  <c r="Q101" i="84" s="1"/>
  <c r="Q103" i="84" s="1"/>
  <c r="Q105" i="84" s="1"/>
  <c r="R95" i="84"/>
  <c r="R98" i="84" s="1"/>
  <c r="R101" i="84" s="1"/>
  <c r="R103" i="84" s="1"/>
  <c r="R105" i="84" s="1"/>
  <c r="S95" i="84"/>
  <c r="S98" i="84" s="1"/>
  <c r="S101" i="84" s="1"/>
  <c r="S103" i="84" s="1"/>
  <c r="S105" i="84" s="1"/>
  <c r="T95" i="84"/>
  <c r="T98" i="84" s="1"/>
  <c r="T101" i="84" s="1"/>
  <c r="T103" i="84" s="1"/>
  <c r="T105" i="84" s="1"/>
  <c r="U95" i="84"/>
  <c r="U98" i="84" s="1"/>
  <c r="U101" i="84" s="1"/>
  <c r="U103" i="84" s="1"/>
  <c r="U105" i="84" s="1"/>
  <c r="V95" i="84"/>
  <c r="V98" i="84" s="1"/>
  <c r="V101" i="84" s="1"/>
  <c r="V103" i="84" s="1"/>
  <c r="V105" i="84" s="1"/>
  <c r="K31" i="82"/>
  <c r="L31" i="82"/>
  <c r="M31" i="82"/>
  <c r="N31" i="82"/>
  <c r="O31" i="82"/>
  <c r="P31" i="82"/>
  <c r="Q31" i="82"/>
  <c r="R31" i="82"/>
  <c r="S31" i="82"/>
  <c r="T31" i="82"/>
  <c r="U31" i="82"/>
  <c r="V31" i="82"/>
  <c r="J51" i="82"/>
  <c r="J56" i="82" s="1"/>
  <c r="K56" i="82"/>
  <c r="L56" i="82"/>
  <c r="M56" i="82"/>
  <c r="N56" i="82"/>
  <c r="O56" i="82"/>
  <c r="P56" i="82"/>
  <c r="Q56" i="82"/>
  <c r="R56" i="82"/>
  <c r="S56" i="82"/>
  <c r="T56" i="82"/>
  <c r="U56" i="82"/>
  <c r="V56" i="82"/>
  <c r="J126" i="82"/>
  <c r="J131" i="82" s="1"/>
  <c r="K131" i="82"/>
  <c r="L131" i="82"/>
  <c r="M131" i="82"/>
  <c r="N131" i="82"/>
  <c r="O131" i="82"/>
  <c r="P131" i="82"/>
  <c r="Q131" i="82"/>
  <c r="R131" i="82"/>
  <c r="S131" i="82"/>
  <c r="T131" i="82"/>
  <c r="U131" i="82"/>
  <c r="V131" i="82"/>
  <c r="J12" i="80"/>
  <c r="K12" i="80"/>
  <c r="L12" i="80"/>
  <c r="M12" i="80"/>
  <c r="N12" i="80"/>
  <c r="O12" i="80"/>
  <c r="P12" i="80"/>
  <c r="Q12" i="80"/>
  <c r="R12" i="80"/>
  <c r="S12" i="80"/>
  <c r="T12" i="80"/>
  <c r="U12" i="80"/>
  <c r="V12" i="80"/>
  <c r="J13" i="80"/>
  <c r="K13" i="80"/>
  <c r="L13" i="80"/>
  <c r="M13" i="80"/>
  <c r="N13" i="80"/>
  <c r="O13" i="80"/>
  <c r="P13" i="80"/>
  <c r="Q13" i="80"/>
  <c r="R13" i="80"/>
  <c r="S13" i="80"/>
  <c r="T13" i="80"/>
  <c r="U13" i="80"/>
  <c r="V13" i="80"/>
  <c r="J14" i="80"/>
  <c r="K14" i="80"/>
  <c r="L14" i="80"/>
  <c r="M14" i="80"/>
  <c r="N14" i="80"/>
  <c r="O14" i="80"/>
  <c r="P14" i="80"/>
  <c r="Q14" i="80"/>
  <c r="R14" i="80"/>
  <c r="S14" i="80"/>
  <c r="T14" i="80"/>
  <c r="U14" i="80"/>
  <c r="V14" i="80"/>
  <c r="J15" i="80"/>
  <c r="K15" i="80"/>
  <c r="L15" i="80"/>
  <c r="M15" i="80"/>
  <c r="N15" i="80"/>
  <c r="O15" i="80"/>
  <c r="P15" i="80"/>
  <c r="Q15" i="80"/>
  <c r="R15" i="80"/>
  <c r="S15" i="80"/>
  <c r="T15" i="80"/>
  <c r="U15" i="80"/>
  <c r="V15" i="80"/>
  <c r="J16" i="80"/>
  <c r="K16" i="80"/>
  <c r="L16" i="80"/>
  <c r="M16" i="80"/>
  <c r="N16" i="80"/>
  <c r="O16" i="80"/>
  <c r="P16" i="80"/>
  <c r="Q16" i="80"/>
  <c r="R16" i="80"/>
  <c r="S16" i="80"/>
  <c r="T16" i="80"/>
  <c r="U16" i="80"/>
  <c r="V16" i="80"/>
  <c r="J17" i="80"/>
  <c r="K17" i="80"/>
  <c r="L17" i="80"/>
  <c r="M17" i="80"/>
  <c r="N17" i="80"/>
  <c r="O17" i="80"/>
  <c r="P17" i="80"/>
  <c r="Q17" i="80"/>
  <c r="R17" i="80"/>
  <c r="S17" i="80"/>
  <c r="T17" i="80"/>
  <c r="U17" i="80"/>
  <c r="V17" i="80"/>
  <c r="J18" i="80"/>
  <c r="K18" i="80"/>
  <c r="L18" i="80"/>
  <c r="M18" i="80"/>
  <c r="N18" i="80"/>
  <c r="O18" i="80"/>
  <c r="P18" i="80"/>
  <c r="Q18" i="80"/>
  <c r="R18" i="80"/>
  <c r="S18" i="80"/>
  <c r="T18" i="80"/>
  <c r="U18" i="80"/>
  <c r="V18" i="80"/>
  <c r="J49" i="80"/>
  <c r="K49" i="80"/>
  <c r="L49" i="80"/>
  <c r="M49" i="80"/>
  <c r="N49" i="80"/>
  <c r="O49" i="80"/>
  <c r="P49" i="80"/>
  <c r="Q49" i="80"/>
  <c r="R49" i="80"/>
  <c r="S49" i="80"/>
  <c r="T49" i="80"/>
  <c r="U49" i="80"/>
  <c r="V49" i="80"/>
  <c r="J62" i="80"/>
  <c r="K62" i="80"/>
  <c r="L62" i="80"/>
  <c r="M62" i="80"/>
  <c r="N62" i="80"/>
  <c r="O62" i="80"/>
  <c r="P62" i="80"/>
  <c r="Q62" i="80"/>
  <c r="R62" i="80"/>
  <c r="S62" i="80"/>
  <c r="T62" i="80"/>
  <c r="U62" i="80"/>
  <c r="V62" i="80"/>
  <c r="J75" i="80"/>
  <c r="K75" i="80"/>
  <c r="L75" i="80"/>
  <c r="M75" i="80"/>
  <c r="N75" i="80"/>
  <c r="O75" i="80"/>
  <c r="P75" i="80"/>
  <c r="Q75" i="80"/>
  <c r="R75" i="80"/>
  <c r="S75" i="80"/>
  <c r="T75" i="80"/>
  <c r="U75" i="80"/>
  <c r="V75" i="80"/>
  <c r="J88" i="80"/>
  <c r="K88" i="80"/>
  <c r="L88" i="80"/>
  <c r="M88" i="80"/>
  <c r="N88" i="80"/>
  <c r="O88" i="80"/>
  <c r="P88" i="80"/>
  <c r="Q88" i="80"/>
  <c r="R88" i="80"/>
  <c r="S88" i="80"/>
  <c r="T88" i="80"/>
  <c r="U88" i="80"/>
  <c r="V88" i="80"/>
  <c r="J101" i="80"/>
  <c r="K101" i="80"/>
  <c r="L101" i="80"/>
  <c r="M101" i="80"/>
  <c r="N101" i="80"/>
  <c r="O101" i="80"/>
  <c r="P101" i="80"/>
  <c r="Q101" i="80"/>
  <c r="R101" i="80"/>
  <c r="S101" i="80"/>
  <c r="T101" i="80"/>
  <c r="U101" i="80"/>
  <c r="V101" i="80"/>
  <c r="J114" i="80"/>
  <c r="K114" i="80"/>
  <c r="L114" i="80"/>
  <c r="M114" i="80"/>
  <c r="N114" i="80"/>
  <c r="O114" i="80"/>
  <c r="P114" i="80"/>
  <c r="Q114" i="80"/>
  <c r="R114" i="80"/>
  <c r="S114" i="80"/>
  <c r="T114" i="80"/>
  <c r="U114" i="80"/>
  <c r="V114" i="80"/>
  <c r="J127" i="80"/>
  <c r="K127" i="80"/>
  <c r="L127" i="80"/>
  <c r="M127" i="80"/>
  <c r="N127" i="80"/>
  <c r="O127" i="80"/>
  <c r="P127" i="80"/>
  <c r="Q127" i="80"/>
  <c r="R127" i="80"/>
  <c r="S127" i="80"/>
  <c r="T127" i="80"/>
  <c r="U127" i="80"/>
  <c r="V127" i="80"/>
  <c r="J153" i="80"/>
  <c r="K153" i="80"/>
  <c r="L153" i="80"/>
  <c r="M153" i="80"/>
  <c r="N153" i="80"/>
  <c r="O153" i="80"/>
  <c r="P153" i="80"/>
  <c r="Q153" i="80"/>
  <c r="R153" i="80"/>
  <c r="S153" i="80"/>
  <c r="T153" i="80"/>
  <c r="U153" i="80"/>
  <c r="V153" i="80"/>
  <c r="O279" i="8" l="1"/>
  <c r="U115" i="56"/>
  <c r="U124" i="56"/>
  <c r="Q115" i="56"/>
  <c r="T115" i="56"/>
  <c r="T124" i="56"/>
  <c r="S115" i="56"/>
  <c r="V115" i="56"/>
  <c r="V124" i="56"/>
  <c r="R115" i="56"/>
  <c r="R124" i="56"/>
  <c r="V143" i="63"/>
  <c r="T143" i="63"/>
  <c r="S143" i="63"/>
  <c r="Q143" i="63"/>
  <c r="U143" i="63"/>
  <c r="R143" i="63"/>
  <c r="T19" i="80"/>
  <c r="T23" i="80" s="1"/>
  <c r="L19" i="80"/>
  <c r="L23" i="80" s="1"/>
  <c r="Q19" i="80"/>
  <c r="V19" i="80"/>
  <c r="V23" i="80" s="1"/>
  <c r="N19" i="80"/>
  <c r="N23" i="80" s="1"/>
  <c r="S19" i="80"/>
  <c r="S23" i="80" s="1"/>
  <c r="K19" i="80"/>
  <c r="K23" i="80" s="1"/>
  <c r="P19" i="80"/>
  <c r="U19" i="80"/>
  <c r="U23" i="80" s="1"/>
  <c r="M19" i="80"/>
  <c r="M23" i="80" s="1"/>
  <c r="R19" i="80"/>
  <c r="R23" i="80" s="1"/>
  <c r="J19" i="80"/>
  <c r="J23" i="80" s="1"/>
  <c r="O19" i="80"/>
  <c r="P143" i="63"/>
  <c r="S124" i="56" l="1"/>
  <c r="S48" i="84"/>
  <c r="Q124" i="56"/>
  <c r="Q48" i="84"/>
  <c r="V48" i="84"/>
  <c r="R48" i="84"/>
  <c r="T48" i="84"/>
  <c r="U48" i="84"/>
  <c r="Q23" i="80"/>
  <c r="P23" i="80"/>
  <c r="O23" i="80"/>
  <c r="A3" i="68"/>
  <c r="A3" i="41"/>
  <c r="A3" i="69"/>
  <c r="A3" i="70"/>
  <c r="A3" i="71"/>
  <c r="A3" i="72"/>
  <c r="A3" i="14"/>
  <c r="A3" i="15"/>
  <c r="A3" i="17"/>
  <c r="A3" i="19"/>
  <c r="A3" i="20"/>
  <c r="A3" i="21"/>
  <c r="A3" i="22"/>
  <c r="A3" i="25"/>
  <c r="A3" i="54"/>
  <c r="R341" i="6"/>
  <c r="R344" i="6" s="1"/>
  <c r="M103" i="61" s="1"/>
  <c r="R36" i="74" l="1"/>
  <c r="J227" i="6"/>
  <c r="J176" i="6"/>
  <c r="J179" i="6" s="1"/>
  <c r="J23" i="74" s="1"/>
  <c r="J16" i="99" s="1"/>
  <c r="J230" i="6" l="1"/>
  <c r="J119" i="6"/>
  <c r="K95" i="6"/>
  <c r="K98" i="6" s="1"/>
  <c r="K16" i="74" s="1"/>
  <c r="J57" i="6"/>
  <c r="J60" i="6" s="1"/>
  <c r="J14" i="74" s="1"/>
  <c r="J38" i="6"/>
  <c r="J30" i="74" l="1"/>
  <c r="J122" i="6"/>
  <c r="J20" i="74" s="1"/>
  <c r="J13" i="99" s="1"/>
  <c r="A3" i="67" l="1"/>
  <c r="A3" i="66"/>
  <c r="A3" i="65"/>
  <c r="A3" i="36"/>
  <c r="A3" i="76"/>
  <c r="A3" i="64"/>
  <c r="A3" i="35"/>
  <c r="A3" i="34"/>
  <c r="A3" i="33"/>
  <c r="A3" i="30"/>
  <c r="A3" i="29"/>
  <c r="A3" i="75"/>
  <c r="A3" i="28"/>
  <c r="A3" i="27"/>
  <c r="A3" i="62"/>
  <c r="A3" i="50"/>
  <c r="A3" i="12"/>
  <c r="A3" i="11"/>
  <c r="A3" i="10"/>
  <c r="A3" i="8"/>
  <c r="A3" i="63"/>
  <c r="A3" i="61"/>
  <c r="A3" i="60"/>
  <c r="A3" i="56"/>
  <c r="A3" i="55"/>
  <c r="A3" i="24"/>
  <c r="A3" i="7"/>
  <c r="A3" i="6"/>
  <c r="A3" i="74"/>
  <c r="A3" i="1"/>
  <c r="BC12" i="76" l="1"/>
  <c r="BR12" i="76" s="1"/>
  <c r="BC78" i="76"/>
  <c r="BC17" i="76" s="1"/>
  <c r="BR17" i="76" s="1"/>
  <c r="J99" i="76"/>
  <c r="BC99" i="76"/>
  <c r="BC22" i="76" s="1"/>
  <c r="BS22" i="76"/>
  <c r="BT22" i="76"/>
  <c r="BU22" i="76"/>
  <c r="BV22" i="76"/>
  <c r="BW22" i="76"/>
  <c r="BX22" i="76"/>
  <c r="BY22" i="76"/>
  <c r="BZ22" i="76"/>
  <c r="CA22" i="76"/>
  <c r="CB22" i="76"/>
  <c r="CC22" i="76"/>
  <c r="CD22" i="76"/>
  <c r="J120" i="76"/>
  <c r="BC120" i="76"/>
  <c r="BC27" i="76" s="1"/>
  <c r="J141" i="76"/>
  <c r="BC141" i="76"/>
  <c r="BC32" i="76" s="1"/>
  <c r="BS32" i="76"/>
  <c r="BT32" i="76"/>
  <c r="BU32" i="76"/>
  <c r="BV32" i="76"/>
  <c r="BW32" i="76"/>
  <c r="BX32" i="76"/>
  <c r="BY32" i="76"/>
  <c r="BZ32" i="76"/>
  <c r="CA32" i="76"/>
  <c r="CB32" i="76"/>
  <c r="CC32" i="76"/>
  <c r="CD32" i="76"/>
  <c r="J153" i="76" l="1"/>
  <c r="J32" i="76"/>
  <c r="J111" i="76"/>
  <c r="J22" i="76"/>
  <c r="J132" i="76"/>
  <c r="J27" i="76"/>
  <c r="K163" i="55"/>
  <c r="K13" i="55" s="1"/>
  <c r="L163" i="55"/>
  <c r="L13" i="55" s="1"/>
  <c r="M163" i="55"/>
  <c r="M13" i="55" s="1"/>
  <c r="N163" i="55"/>
  <c r="N13" i="55" s="1"/>
  <c r="O163" i="55"/>
  <c r="O13" i="55" s="1"/>
  <c r="P163" i="55"/>
  <c r="P13" i="55" s="1"/>
  <c r="Q163" i="55"/>
  <c r="Q13" i="55" s="1"/>
  <c r="R163" i="55"/>
  <c r="R13" i="55" s="1"/>
  <c r="S163" i="55"/>
  <c r="S13" i="55" s="1"/>
  <c r="T163" i="55"/>
  <c r="T13" i="55" s="1"/>
  <c r="U163" i="55"/>
  <c r="U13" i="55" s="1"/>
  <c r="V163" i="55"/>
  <c r="V13" i="55" s="1"/>
  <c r="J163" i="55"/>
  <c r="J13" i="55" s="1"/>
  <c r="K88" i="55"/>
  <c r="K12" i="55" s="1"/>
  <c r="L88" i="55"/>
  <c r="L12" i="55" s="1"/>
  <c r="M88" i="55"/>
  <c r="M12" i="55" s="1"/>
  <c r="N88" i="55"/>
  <c r="N12" i="55" s="1"/>
  <c r="O88" i="55"/>
  <c r="O12" i="55" s="1"/>
  <c r="P88" i="55"/>
  <c r="P12" i="55" s="1"/>
  <c r="Q88" i="55"/>
  <c r="Q12" i="55" s="1"/>
  <c r="R88" i="55"/>
  <c r="R12" i="55" s="1"/>
  <c r="S88" i="55"/>
  <c r="S12" i="55" s="1"/>
  <c r="T88" i="55"/>
  <c r="T12" i="55" s="1"/>
  <c r="U88" i="55"/>
  <c r="U12" i="55" s="1"/>
  <c r="V88" i="55"/>
  <c r="V12" i="55" s="1"/>
  <c r="J88" i="55"/>
  <c r="J12" i="55" s="1"/>
  <c r="V465" i="6"/>
  <c r="V468" i="6" s="1"/>
  <c r="U465" i="6"/>
  <c r="U468" i="6" s="1"/>
  <c r="T465" i="6"/>
  <c r="T468" i="6" s="1"/>
  <c r="S465" i="6"/>
  <c r="S468" i="6" s="1"/>
  <c r="R465" i="6"/>
  <c r="R468" i="6" s="1"/>
  <c r="Q465" i="6"/>
  <c r="Q468" i="6" s="1"/>
  <c r="P465" i="6"/>
  <c r="P468" i="6" s="1"/>
  <c r="O465" i="6"/>
  <c r="O468" i="6" s="1"/>
  <c r="N465" i="6"/>
  <c r="N468" i="6" s="1"/>
  <c r="M465" i="6"/>
  <c r="M468" i="6" s="1"/>
  <c r="L465" i="6"/>
  <c r="L468" i="6" s="1"/>
  <c r="K465" i="6"/>
  <c r="K468" i="6" s="1"/>
  <c r="J465" i="6"/>
  <c r="J468" i="6" s="1"/>
  <c r="J446" i="6"/>
  <c r="J449" i="6" s="1"/>
  <c r="J47" i="74" s="1"/>
  <c r="V446" i="6"/>
  <c r="V449" i="6" s="1"/>
  <c r="V47" i="74" s="1"/>
  <c r="U446" i="6"/>
  <c r="U449" i="6" s="1"/>
  <c r="U47" i="74" s="1"/>
  <c r="T446" i="6"/>
  <c r="T449" i="6" s="1"/>
  <c r="T47" i="74" s="1"/>
  <c r="S446" i="6"/>
  <c r="S449" i="6" s="1"/>
  <c r="S47" i="74" s="1"/>
  <c r="R446" i="6"/>
  <c r="R449" i="6" s="1"/>
  <c r="R47" i="74" s="1"/>
  <c r="Q446" i="6"/>
  <c r="Q449" i="6" s="1"/>
  <c r="Q47" i="74" s="1"/>
  <c r="P446" i="6"/>
  <c r="P449" i="6" s="1"/>
  <c r="P47" i="74" s="1"/>
  <c r="O446" i="6"/>
  <c r="O449" i="6" s="1"/>
  <c r="O47" i="74" s="1"/>
  <c r="N446" i="6"/>
  <c r="N449" i="6" s="1"/>
  <c r="N47" i="74" s="1"/>
  <c r="M446" i="6"/>
  <c r="M449" i="6" s="1"/>
  <c r="M47" i="74" s="1"/>
  <c r="L446" i="6"/>
  <c r="L449" i="6" s="1"/>
  <c r="L47" i="74" s="1"/>
  <c r="K446" i="6"/>
  <c r="K449" i="6" s="1"/>
  <c r="K47" i="74" s="1"/>
  <c r="V427" i="6"/>
  <c r="V430" i="6" s="1"/>
  <c r="V46" i="74" s="1"/>
  <c r="U427" i="6"/>
  <c r="U430" i="6" s="1"/>
  <c r="U46" i="74" s="1"/>
  <c r="T427" i="6"/>
  <c r="T430" i="6" s="1"/>
  <c r="T46" i="74" s="1"/>
  <c r="S427" i="6"/>
  <c r="S430" i="6" s="1"/>
  <c r="S46" i="74" s="1"/>
  <c r="R427" i="6"/>
  <c r="R430" i="6" s="1"/>
  <c r="R46" i="74" s="1"/>
  <c r="Q427" i="6"/>
  <c r="Q430" i="6" s="1"/>
  <c r="Q46" i="74" s="1"/>
  <c r="P427" i="6"/>
  <c r="P430" i="6" s="1"/>
  <c r="P46" i="74" s="1"/>
  <c r="O427" i="6"/>
  <c r="O430" i="6" s="1"/>
  <c r="O46" i="74" s="1"/>
  <c r="N427" i="6"/>
  <c r="N430" i="6" s="1"/>
  <c r="N46" i="74" s="1"/>
  <c r="M427" i="6"/>
  <c r="M430" i="6" s="1"/>
  <c r="M46" i="74" s="1"/>
  <c r="L427" i="6"/>
  <c r="L430" i="6" s="1"/>
  <c r="L46" i="74" s="1"/>
  <c r="K427" i="6"/>
  <c r="K430" i="6" s="1"/>
  <c r="K46" i="74" s="1"/>
  <c r="J427" i="6"/>
  <c r="J430" i="6" s="1"/>
  <c r="J46" i="74" s="1"/>
  <c r="K408" i="6"/>
  <c r="K411" i="6" s="1"/>
  <c r="L408" i="6"/>
  <c r="M408" i="6"/>
  <c r="M411" i="6" s="1"/>
  <c r="N408" i="6"/>
  <c r="N411" i="6" s="1"/>
  <c r="O408" i="6"/>
  <c r="O411" i="6" s="1"/>
  <c r="P408" i="6"/>
  <c r="P411" i="6" s="1"/>
  <c r="Q408" i="6"/>
  <c r="Q411" i="6" s="1"/>
  <c r="R408" i="6"/>
  <c r="R411" i="6" s="1"/>
  <c r="S408" i="6"/>
  <c r="S411" i="6" s="1"/>
  <c r="T408" i="6"/>
  <c r="T411" i="6" s="1"/>
  <c r="U408" i="6"/>
  <c r="U411" i="6" s="1"/>
  <c r="V408" i="6"/>
  <c r="V411" i="6" s="1"/>
  <c r="J408" i="6"/>
  <c r="K387" i="6"/>
  <c r="K389" i="6" s="1"/>
  <c r="L384" i="6"/>
  <c r="L387" i="6" s="1"/>
  <c r="L389" i="6" s="1"/>
  <c r="M384" i="6"/>
  <c r="M387" i="6" s="1"/>
  <c r="M389" i="6" s="1"/>
  <c r="N384" i="6"/>
  <c r="N387" i="6" s="1"/>
  <c r="N389" i="6" s="1"/>
  <c r="O384" i="6"/>
  <c r="O387" i="6" s="1"/>
  <c r="O389" i="6" s="1"/>
  <c r="P384" i="6"/>
  <c r="P387" i="6" s="1"/>
  <c r="P389" i="6" s="1"/>
  <c r="Q384" i="6"/>
  <c r="Q387" i="6" s="1"/>
  <c r="Q389" i="6" s="1"/>
  <c r="R384" i="6"/>
  <c r="R387" i="6" s="1"/>
  <c r="R389" i="6" s="1"/>
  <c r="S384" i="6"/>
  <c r="S387" i="6" s="1"/>
  <c r="S389" i="6" s="1"/>
  <c r="T384" i="6"/>
  <c r="T387" i="6" s="1"/>
  <c r="T389" i="6" s="1"/>
  <c r="U384" i="6"/>
  <c r="U387" i="6" s="1"/>
  <c r="U389" i="6" s="1"/>
  <c r="V384" i="6"/>
  <c r="V387" i="6" s="1"/>
  <c r="V389" i="6" s="1"/>
  <c r="J387" i="6"/>
  <c r="J389" i="6" s="1"/>
  <c r="V360" i="6"/>
  <c r="U360" i="6"/>
  <c r="T360" i="6"/>
  <c r="S360" i="6"/>
  <c r="R360" i="6"/>
  <c r="Q360" i="6"/>
  <c r="P360" i="6"/>
  <c r="O360" i="6"/>
  <c r="N360" i="6"/>
  <c r="M360" i="6"/>
  <c r="L360" i="6"/>
  <c r="K360" i="6"/>
  <c r="J360" i="6"/>
  <c r="V341" i="6"/>
  <c r="U341" i="6"/>
  <c r="T341" i="6"/>
  <c r="S341" i="6"/>
  <c r="Q341" i="6"/>
  <c r="P341" i="6"/>
  <c r="O341" i="6"/>
  <c r="N341" i="6"/>
  <c r="M341" i="6"/>
  <c r="L341" i="6"/>
  <c r="K341" i="6"/>
  <c r="J341" i="6"/>
  <c r="V322" i="6"/>
  <c r="U322" i="6"/>
  <c r="T322" i="6"/>
  <c r="S322" i="6"/>
  <c r="R322" i="6"/>
  <c r="Q322" i="6"/>
  <c r="P322" i="6"/>
  <c r="O322" i="6"/>
  <c r="N322" i="6"/>
  <c r="M322" i="6"/>
  <c r="L322" i="6"/>
  <c r="K322" i="6"/>
  <c r="J322" i="6"/>
  <c r="V303" i="6"/>
  <c r="U303" i="6"/>
  <c r="T303" i="6"/>
  <c r="S303" i="6"/>
  <c r="R303" i="6"/>
  <c r="Q303" i="6"/>
  <c r="P303" i="6"/>
  <c r="O303" i="6"/>
  <c r="N303" i="6"/>
  <c r="M303" i="6"/>
  <c r="L303" i="6"/>
  <c r="K303" i="6"/>
  <c r="J303" i="6"/>
  <c r="V284" i="6"/>
  <c r="U284" i="6"/>
  <c r="T284" i="6"/>
  <c r="S284" i="6"/>
  <c r="R284" i="6"/>
  <c r="Q284" i="6"/>
  <c r="P284" i="6"/>
  <c r="O284" i="6"/>
  <c r="N284" i="6"/>
  <c r="M284" i="6"/>
  <c r="L284" i="6"/>
  <c r="K284" i="6"/>
  <c r="J284" i="6"/>
  <c r="V265" i="6"/>
  <c r="U265" i="6"/>
  <c r="T265" i="6"/>
  <c r="S265" i="6"/>
  <c r="R265" i="6"/>
  <c r="Q265" i="6"/>
  <c r="P265" i="6"/>
  <c r="O265" i="6"/>
  <c r="N265" i="6"/>
  <c r="M265" i="6"/>
  <c r="L265" i="6"/>
  <c r="K265" i="6"/>
  <c r="J265" i="6"/>
  <c r="V246" i="6"/>
  <c r="U246" i="6"/>
  <c r="T246" i="6"/>
  <c r="S246" i="6"/>
  <c r="R246" i="6"/>
  <c r="Q246" i="6"/>
  <c r="P246" i="6"/>
  <c r="O246" i="6"/>
  <c r="N246" i="6"/>
  <c r="M246" i="6"/>
  <c r="J246" i="6"/>
  <c r="K246" i="6"/>
  <c r="K227" i="6"/>
  <c r="L227" i="6"/>
  <c r="M227" i="6"/>
  <c r="N227" i="6"/>
  <c r="O227" i="6"/>
  <c r="P227" i="6"/>
  <c r="Q227" i="6"/>
  <c r="R227" i="6"/>
  <c r="S227" i="6"/>
  <c r="T227" i="6"/>
  <c r="U227" i="6"/>
  <c r="V227" i="6"/>
  <c r="K201" i="6"/>
  <c r="K204" i="6" s="1"/>
  <c r="K24" i="74" s="1"/>
  <c r="K17" i="99" s="1"/>
  <c r="L201" i="6"/>
  <c r="L204" i="6" s="1"/>
  <c r="L24" i="74" s="1"/>
  <c r="L17" i="99" s="1"/>
  <c r="M201" i="6"/>
  <c r="M204" i="6" s="1"/>
  <c r="M24" i="74" s="1"/>
  <c r="M17" i="99" s="1"/>
  <c r="N201" i="6"/>
  <c r="N204" i="6" s="1"/>
  <c r="N24" i="74" s="1"/>
  <c r="N17" i="99" s="1"/>
  <c r="O201" i="6"/>
  <c r="O204" i="6" s="1"/>
  <c r="P201" i="6"/>
  <c r="P204" i="6" s="1"/>
  <c r="P24" i="74" s="1"/>
  <c r="P17" i="99" s="1"/>
  <c r="Q201" i="6"/>
  <c r="Q204" i="6" s="1"/>
  <c r="Q24" i="74" s="1"/>
  <c r="Q17" i="99" s="1"/>
  <c r="R201" i="6"/>
  <c r="R204" i="6" s="1"/>
  <c r="S201" i="6"/>
  <c r="S204" i="6" s="1"/>
  <c r="S24" i="74" s="1"/>
  <c r="S17" i="99" s="1"/>
  <c r="T201" i="6"/>
  <c r="T204" i="6" s="1"/>
  <c r="T24" i="74" s="1"/>
  <c r="T17" i="99" s="1"/>
  <c r="U201" i="6"/>
  <c r="U204" i="6" s="1"/>
  <c r="U24" i="74" s="1"/>
  <c r="U17" i="99" s="1"/>
  <c r="V201" i="6"/>
  <c r="V204" i="6" s="1"/>
  <c r="J201" i="6"/>
  <c r="J204" i="6" s="1"/>
  <c r="J24" i="74" s="1"/>
  <c r="J17" i="99" s="1"/>
  <c r="K176" i="6"/>
  <c r="K179" i="6" s="1"/>
  <c r="K23" i="74" s="1"/>
  <c r="K16" i="99" s="1"/>
  <c r="L176" i="6"/>
  <c r="L179" i="6" s="1"/>
  <c r="L23" i="74" s="1"/>
  <c r="L16" i="99" s="1"/>
  <c r="M176" i="6"/>
  <c r="M179" i="6" s="1"/>
  <c r="M23" i="74" s="1"/>
  <c r="M16" i="99" s="1"/>
  <c r="N176" i="6"/>
  <c r="N179" i="6" s="1"/>
  <c r="N23" i="74" s="1"/>
  <c r="N16" i="99" s="1"/>
  <c r="O176" i="6"/>
  <c r="O179" i="6" s="1"/>
  <c r="O23" i="74" s="1"/>
  <c r="O16" i="99" s="1"/>
  <c r="P176" i="6"/>
  <c r="P179" i="6" s="1"/>
  <c r="P23" i="74" s="1"/>
  <c r="P16" i="99" s="1"/>
  <c r="Q176" i="6"/>
  <c r="Q179" i="6" s="1"/>
  <c r="Q23" i="74" s="1"/>
  <c r="Q16" i="99" s="1"/>
  <c r="R176" i="6"/>
  <c r="R179" i="6" s="1"/>
  <c r="R23" i="74" s="1"/>
  <c r="R16" i="99" s="1"/>
  <c r="S176" i="6"/>
  <c r="S179" i="6" s="1"/>
  <c r="S23" i="74" s="1"/>
  <c r="S16" i="99" s="1"/>
  <c r="T176" i="6"/>
  <c r="T179" i="6" s="1"/>
  <c r="T23" i="74" s="1"/>
  <c r="T16" i="99" s="1"/>
  <c r="U176" i="6"/>
  <c r="U179" i="6" s="1"/>
  <c r="U23" i="74" s="1"/>
  <c r="U16" i="99" s="1"/>
  <c r="V176" i="6"/>
  <c r="V179" i="6" s="1"/>
  <c r="V23" i="74" s="1"/>
  <c r="V16" i="99" s="1"/>
  <c r="V157" i="6"/>
  <c r="V160" i="6" s="1"/>
  <c r="U157" i="6"/>
  <c r="U160" i="6" s="1"/>
  <c r="U22" i="74" s="1"/>
  <c r="U15" i="99" s="1"/>
  <c r="T157" i="6"/>
  <c r="T160" i="6" s="1"/>
  <c r="T22" i="74" s="1"/>
  <c r="T15" i="99" s="1"/>
  <c r="S157" i="6"/>
  <c r="R157" i="6"/>
  <c r="Q157" i="6"/>
  <c r="Q160" i="6" s="1"/>
  <c r="Q22" i="74" s="1"/>
  <c r="Q15" i="99" s="1"/>
  <c r="P157" i="6"/>
  <c r="P160" i="6" s="1"/>
  <c r="P22" i="74" s="1"/>
  <c r="P15" i="99" s="1"/>
  <c r="O157" i="6"/>
  <c r="O160" i="6" s="1"/>
  <c r="N157" i="6"/>
  <c r="N160" i="6" s="1"/>
  <c r="N22" i="74" s="1"/>
  <c r="N15" i="99" s="1"/>
  <c r="M157" i="6"/>
  <c r="M160" i="6" s="1"/>
  <c r="M22" i="74" s="1"/>
  <c r="M15" i="99" s="1"/>
  <c r="L157" i="6"/>
  <c r="L160" i="6" s="1"/>
  <c r="L22" i="74" s="1"/>
  <c r="L15" i="99" s="1"/>
  <c r="K157" i="6"/>
  <c r="K160" i="6" s="1"/>
  <c r="K22" i="74" s="1"/>
  <c r="K15" i="99" s="1"/>
  <c r="J157" i="6"/>
  <c r="J160" i="6" s="1"/>
  <c r="J22" i="74" s="1"/>
  <c r="J15" i="99" s="1"/>
  <c r="J138" i="6"/>
  <c r="V138" i="6"/>
  <c r="V141" i="6" s="1"/>
  <c r="U138" i="6"/>
  <c r="U141" i="6" s="1"/>
  <c r="U21" i="74" s="1"/>
  <c r="U14" i="99" s="1"/>
  <c r="T138" i="6"/>
  <c r="T141" i="6" s="1"/>
  <c r="T21" i="74" s="1"/>
  <c r="T14" i="99" s="1"/>
  <c r="S138" i="6"/>
  <c r="S141" i="6" s="1"/>
  <c r="S21" i="74" s="1"/>
  <c r="S14" i="99" s="1"/>
  <c r="R138" i="6"/>
  <c r="R141" i="6" s="1"/>
  <c r="Q138" i="6"/>
  <c r="Q141" i="6" s="1"/>
  <c r="Q21" i="74" s="1"/>
  <c r="Q14" i="99" s="1"/>
  <c r="P138" i="6"/>
  <c r="P141" i="6" s="1"/>
  <c r="P21" i="74" s="1"/>
  <c r="P14" i="99" s="1"/>
  <c r="O138" i="6"/>
  <c r="O141" i="6" s="1"/>
  <c r="N138" i="6"/>
  <c r="N141" i="6" s="1"/>
  <c r="N21" i="74" s="1"/>
  <c r="N14" i="99" s="1"/>
  <c r="M138" i="6"/>
  <c r="M141" i="6" s="1"/>
  <c r="M21" i="74" s="1"/>
  <c r="M14" i="99" s="1"/>
  <c r="L138" i="6"/>
  <c r="L141" i="6" s="1"/>
  <c r="L21" i="74" s="1"/>
  <c r="L14" i="99" s="1"/>
  <c r="K138" i="6"/>
  <c r="K141" i="6" s="1"/>
  <c r="K21" i="74" s="1"/>
  <c r="K14" i="99" s="1"/>
  <c r="K119" i="6"/>
  <c r="K122" i="6" s="1"/>
  <c r="L119" i="6"/>
  <c r="L122" i="6" s="1"/>
  <c r="L20" i="74" s="1"/>
  <c r="L13" i="99" s="1"/>
  <c r="M119" i="6"/>
  <c r="M122" i="6" s="1"/>
  <c r="N119" i="6"/>
  <c r="N122" i="6" s="1"/>
  <c r="O119" i="6"/>
  <c r="O122" i="6" s="1"/>
  <c r="P119" i="6"/>
  <c r="P122" i="6" s="1"/>
  <c r="Q119" i="6"/>
  <c r="Q122" i="6" s="1"/>
  <c r="Q20" i="74" s="1"/>
  <c r="Q13" i="99" s="1"/>
  <c r="R119" i="6"/>
  <c r="R122" i="6" s="1"/>
  <c r="M23" i="61" s="1"/>
  <c r="S119" i="6"/>
  <c r="S122" i="6" s="1"/>
  <c r="T119" i="6"/>
  <c r="T122" i="6" s="1"/>
  <c r="T20" i="74" s="1"/>
  <c r="T13" i="99" s="1"/>
  <c r="U119" i="6"/>
  <c r="U122" i="6" s="1"/>
  <c r="V119" i="6"/>
  <c r="V122" i="6" s="1"/>
  <c r="Q23" i="61" s="1"/>
  <c r="V95" i="6"/>
  <c r="V98" i="6" s="1"/>
  <c r="V16" i="74" s="1"/>
  <c r="U95" i="6"/>
  <c r="U98" i="6" s="1"/>
  <c r="U16" i="74" s="1"/>
  <c r="T95" i="6"/>
  <c r="T98" i="6" s="1"/>
  <c r="T16" i="74" s="1"/>
  <c r="S95" i="6"/>
  <c r="S98" i="6" s="1"/>
  <c r="S16" i="74" s="1"/>
  <c r="R95" i="6"/>
  <c r="R98" i="6" s="1"/>
  <c r="R16" i="74" s="1"/>
  <c r="Q95" i="6"/>
  <c r="Q98" i="6" s="1"/>
  <c r="Q16" i="74" s="1"/>
  <c r="P95" i="6"/>
  <c r="P98" i="6" s="1"/>
  <c r="P16" i="74" s="1"/>
  <c r="O95" i="6"/>
  <c r="O98" i="6" s="1"/>
  <c r="O16" i="74" s="1"/>
  <c r="N95" i="6"/>
  <c r="N98" i="6" s="1"/>
  <c r="N16" i="74" s="1"/>
  <c r="M95" i="6"/>
  <c r="M98" i="6" s="1"/>
  <c r="M16" i="74" s="1"/>
  <c r="L95" i="6"/>
  <c r="L98" i="6" s="1"/>
  <c r="L16" i="74" s="1"/>
  <c r="J95" i="6"/>
  <c r="J98" i="6" s="1"/>
  <c r="J16" i="74" s="1"/>
  <c r="L76" i="6"/>
  <c r="L79" i="6" s="1"/>
  <c r="L15" i="74" s="1"/>
  <c r="V76" i="6"/>
  <c r="V79" i="6" s="1"/>
  <c r="V15" i="74" s="1"/>
  <c r="U76" i="6"/>
  <c r="U79" i="6" s="1"/>
  <c r="U15" i="74" s="1"/>
  <c r="T76" i="6"/>
  <c r="T79" i="6" s="1"/>
  <c r="T15" i="74" s="1"/>
  <c r="S76" i="6"/>
  <c r="S79" i="6" s="1"/>
  <c r="S15" i="74" s="1"/>
  <c r="R76" i="6"/>
  <c r="R79" i="6" s="1"/>
  <c r="R15" i="74" s="1"/>
  <c r="Q76" i="6"/>
  <c r="Q79" i="6" s="1"/>
  <c r="Q15" i="74" s="1"/>
  <c r="P76" i="6"/>
  <c r="P79" i="6" s="1"/>
  <c r="P15" i="74" s="1"/>
  <c r="O76" i="6"/>
  <c r="O79" i="6" s="1"/>
  <c r="O15" i="74" s="1"/>
  <c r="N76" i="6"/>
  <c r="N79" i="6" s="1"/>
  <c r="N15" i="74" s="1"/>
  <c r="M76" i="6"/>
  <c r="M79" i="6" s="1"/>
  <c r="M15" i="74" s="1"/>
  <c r="K76" i="6"/>
  <c r="K79" i="6" s="1"/>
  <c r="K15" i="74" s="1"/>
  <c r="J76" i="6"/>
  <c r="J79" i="6" s="1"/>
  <c r="J15" i="74" s="1"/>
  <c r="K57" i="6"/>
  <c r="K60" i="6" s="1"/>
  <c r="K14" i="74" s="1"/>
  <c r="L57" i="6"/>
  <c r="L60" i="6" s="1"/>
  <c r="L14" i="74" s="1"/>
  <c r="M57" i="6"/>
  <c r="M60" i="6" s="1"/>
  <c r="M14" i="74" s="1"/>
  <c r="N57" i="6"/>
  <c r="N60" i="6" s="1"/>
  <c r="N14" i="74" s="1"/>
  <c r="O57" i="6"/>
  <c r="O60" i="6" s="1"/>
  <c r="O14" i="74" s="1"/>
  <c r="P57" i="6"/>
  <c r="P60" i="6" s="1"/>
  <c r="P14" i="74" s="1"/>
  <c r="Q57" i="6"/>
  <c r="Q60" i="6" s="1"/>
  <c r="Q14" i="74" s="1"/>
  <c r="R57" i="6"/>
  <c r="R60" i="6" s="1"/>
  <c r="R14" i="74" s="1"/>
  <c r="S57" i="6"/>
  <c r="S60" i="6" s="1"/>
  <c r="S14" i="74" s="1"/>
  <c r="T57" i="6"/>
  <c r="T60" i="6" s="1"/>
  <c r="T14" i="74" s="1"/>
  <c r="U57" i="6"/>
  <c r="U60" i="6" s="1"/>
  <c r="U14" i="74" s="1"/>
  <c r="V57" i="6"/>
  <c r="V60" i="6" s="1"/>
  <c r="V14" i="74" s="1"/>
  <c r="K38" i="6"/>
  <c r="K41" i="6" s="1"/>
  <c r="L38" i="6"/>
  <c r="M38" i="6"/>
  <c r="M41" i="6" s="1"/>
  <c r="N38" i="6"/>
  <c r="N41" i="6" s="1"/>
  <c r="O38" i="6"/>
  <c r="O41" i="6" s="1"/>
  <c r="P38" i="6"/>
  <c r="P41" i="6" s="1"/>
  <c r="Q38" i="6"/>
  <c r="Q41" i="6" s="1"/>
  <c r="R38" i="6"/>
  <c r="S38" i="6"/>
  <c r="T38" i="6"/>
  <c r="T41" i="6" s="1"/>
  <c r="U38" i="6"/>
  <c r="U41" i="6" s="1"/>
  <c r="V38" i="6"/>
  <c r="V41" i="6" s="1"/>
  <c r="J41" i="6"/>
  <c r="V22" i="74" l="1"/>
  <c r="V15" i="99" s="1"/>
  <c r="Q37" i="61"/>
  <c r="N15" i="6"/>
  <c r="O22" i="74"/>
  <c r="O15" i="99" s="1"/>
  <c r="J37" i="61"/>
  <c r="O24" i="74"/>
  <c r="O17" i="99" s="1"/>
  <c r="J51" i="61"/>
  <c r="M15" i="6"/>
  <c r="O20" i="74"/>
  <c r="O13" i="99" s="1"/>
  <c r="J23" i="61"/>
  <c r="R21" i="74"/>
  <c r="R14" i="99" s="1"/>
  <c r="M30" i="61"/>
  <c r="V21" i="74"/>
  <c r="V14" i="99" s="1"/>
  <c r="Q30" i="61"/>
  <c r="V24" i="74"/>
  <c r="V17" i="99" s="1"/>
  <c r="Q51" i="61"/>
  <c r="R24" i="74"/>
  <c r="R17" i="99" s="1"/>
  <c r="M51" i="61"/>
  <c r="L15" i="6"/>
  <c r="O21" i="74"/>
  <c r="O14" i="99" s="1"/>
  <c r="J30" i="61"/>
  <c r="J15" i="6"/>
  <c r="O15" i="6"/>
  <c r="K15" i="6"/>
  <c r="S160" i="6"/>
  <c r="S22" i="74" s="1"/>
  <c r="S15" i="99" s="1"/>
  <c r="R160" i="6"/>
  <c r="P16" i="86"/>
  <c r="U15" i="6"/>
  <c r="Q15" i="6"/>
  <c r="T15" i="6"/>
  <c r="S15" i="6"/>
  <c r="V15" i="6"/>
  <c r="R15" i="6"/>
  <c r="P15" i="6"/>
  <c r="P48" i="74"/>
  <c r="O48" i="74"/>
  <c r="Q48" i="74"/>
  <c r="N48" i="74"/>
  <c r="J48" i="74"/>
  <c r="R48" i="74"/>
  <c r="V48" i="74"/>
  <c r="K48" i="74"/>
  <c r="S48" i="74"/>
  <c r="L48" i="74"/>
  <c r="T48" i="74"/>
  <c r="M48" i="74"/>
  <c r="U48" i="74"/>
  <c r="U40" i="74"/>
  <c r="U22" i="99" s="1"/>
  <c r="M40" i="74"/>
  <c r="M22" i="99" s="1"/>
  <c r="O13" i="74"/>
  <c r="O17" i="74" s="1"/>
  <c r="O12" i="99" s="1"/>
  <c r="T40" i="74"/>
  <c r="T22" i="99" s="1"/>
  <c r="L40" i="74"/>
  <c r="L22" i="99" s="1"/>
  <c r="N40" i="74"/>
  <c r="N22" i="99" s="1"/>
  <c r="T13" i="74"/>
  <c r="T17" i="74" s="1"/>
  <c r="T12" i="99" s="1"/>
  <c r="T18" i="99" s="1"/>
  <c r="S40" i="74"/>
  <c r="S22" i="99" s="1"/>
  <c r="K40" i="74"/>
  <c r="K22" i="99" s="1"/>
  <c r="V40" i="74"/>
  <c r="V22" i="99" s="1"/>
  <c r="K13" i="74"/>
  <c r="K17" i="74" s="1"/>
  <c r="K12" i="99" s="1"/>
  <c r="R40" i="74"/>
  <c r="R22" i="99" s="1"/>
  <c r="J40" i="74"/>
  <c r="J22" i="99" s="1"/>
  <c r="Q40" i="74"/>
  <c r="Q22" i="99" s="1"/>
  <c r="O40" i="74"/>
  <c r="O22" i="99" s="1"/>
  <c r="Q13" i="74"/>
  <c r="Q17" i="74" s="1"/>
  <c r="Q12" i="99" s="1"/>
  <c r="Q18" i="99" s="1"/>
  <c r="P40" i="74"/>
  <c r="P22" i="99" s="1"/>
  <c r="J34" i="76"/>
  <c r="AN32" i="76"/>
  <c r="BR32" i="76" s="1"/>
  <c r="AN27" i="76"/>
  <c r="J29" i="76"/>
  <c r="AN22" i="76"/>
  <c r="J24" i="76"/>
  <c r="Q25" i="74"/>
  <c r="N230" i="6"/>
  <c r="M344" i="6"/>
  <c r="J249" i="6"/>
  <c r="T45" i="74"/>
  <c r="T470" i="6"/>
  <c r="T17" i="6" s="1"/>
  <c r="V100" i="6"/>
  <c r="V13" i="74"/>
  <c r="V17" i="74" s="1"/>
  <c r="V12" i="99" s="1"/>
  <c r="P100" i="6"/>
  <c r="P12" i="6" s="1"/>
  <c r="P13" i="74"/>
  <c r="P17" i="74" s="1"/>
  <c r="P12" i="99" s="1"/>
  <c r="T249" i="6"/>
  <c r="J100" i="6"/>
  <c r="J12" i="6" s="1"/>
  <c r="J13" i="74"/>
  <c r="J17" i="74" s="1"/>
  <c r="J12" i="99" s="1"/>
  <c r="P206" i="6"/>
  <c r="P20" i="74"/>
  <c r="M249" i="6"/>
  <c r="U249" i="6"/>
  <c r="S45" i="74"/>
  <c r="S470" i="6"/>
  <c r="S17" i="6" s="1"/>
  <c r="K45" i="74"/>
  <c r="K470" i="6"/>
  <c r="K17" i="6" s="1"/>
  <c r="N206" i="6"/>
  <c r="N20" i="74"/>
  <c r="U230" i="6"/>
  <c r="M230" i="6"/>
  <c r="O249" i="6"/>
  <c r="J68" i="61" s="1"/>
  <c r="Q45" i="74"/>
  <c r="Q470" i="6"/>
  <c r="Q17" i="6" s="1"/>
  <c r="U100" i="6"/>
  <c r="U12" i="6" s="1"/>
  <c r="U13" i="74"/>
  <c r="U17" i="74" s="1"/>
  <c r="U12" i="99" s="1"/>
  <c r="V206" i="6"/>
  <c r="V20" i="74"/>
  <c r="U206" i="6"/>
  <c r="U20" i="74"/>
  <c r="M206" i="6"/>
  <c r="M20" i="74"/>
  <c r="T230" i="6"/>
  <c r="P249" i="6"/>
  <c r="P45" i="74"/>
  <c r="P470" i="6"/>
  <c r="P17" i="6" s="1"/>
  <c r="V230" i="6"/>
  <c r="Q61" i="61" s="1"/>
  <c r="R45" i="74"/>
  <c r="R470" i="6"/>
  <c r="R17" i="6" s="1"/>
  <c r="S230" i="6"/>
  <c r="K230" i="6"/>
  <c r="Q249" i="6"/>
  <c r="O45" i="74"/>
  <c r="O470" i="6"/>
  <c r="O17" i="6" s="1"/>
  <c r="N249" i="6"/>
  <c r="T25" i="74"/>
  <c r="L25" i="74"/>
  <c r="S20" i="74"/>
  <c r="K206" i="6"/>
  <c r="K20" i="74"/>
  <c r="R249" i="6"/>
  <c r="M68" i="61" s="1"/>
  <c r="V45" i="74"/>
  <c r="V470" i="6"/>
  <c r="V17" i="6" s="1"/>
  <c r="N45" i="74"/>
  <c r="N470" i="6"/>
  <c r="N17" i="6" s="1"/>
  <c r="N100" i="6"/>
  <c r="N12" i="6" s="1"/>
  <c r="N13" i="74"/>
  <c r="N17" i="74" s="1"/>
  <c r="N12" i="99" s="1"/>
  <c r="V249" i="6"/>
  <c r="Q68" i="61" s="1"/>
  <c r="M100" i="6"/>
  <c r="M12" i="6" s="1"/>
  <c r="M13" i="74"/>
  <c r="M17" i="74" s="1"/>
  <c r="M12" i="99" s="1"/>
  <c r="R206" i="6"/>
  <c r="R20" i="74"/>
  <c r="K249" i="6"/>
  <c r="S249" i="6"/>
  <c r="U45" i="74"/>
  <c r="U470" i="6"/>
  <c r="U17" i="6" s="1"/>
  <c r="M45" i="74"/>
  <c r="M470" i="6"/>
  <c r="M17" i="6" s="1"/>
  <c r="O206" i="6"/>
  <c r="O230" i="6"/>
  <c r="J61" i="61" s="1"/>
  <c r="P268" i="6"/>
  <c r="K287" i="6"/>
  <c r="S287" i="6"/>
  <c r="N306" i="6"/>
  <c r="V306" i="6"/>
  <c r="Q89" i="61" s="1"/>
  <c r="Q325" i="6"/>
  <c r="L344" i="6"/>
  <c r="T344" i="6"/>
  <c r="O363" i="6"/>
  <c r="L411" i="6"/>
  <c r="Q268" i="6"/>
  <c r="R325" i="6"/>
  <c r="M96" i="61" s="1"/>
  <c r="T100" i="6"/>
  <c r="T12" i="6" s="1"/>
  <c r="L41" i="6"/>
  <c r="R268" i="6"/>
  <c r="M75" i="61" s="1"/>
  <c r="M287" i="6"/>
  <c r="U287" i="6"/>
  <c r="P306" i="6"/>
  <c r="K325" i="6"/>
  <c r="S325" i="6"/>
  <c r="N344" i="6"/>
  <c r="V344" i="6"/>
  <c r="Q103" i="61" s="1"/>
  <c r="Q363" i="6"/>
  <c r="K100" i="6"/>
  <c r="K12" i="6" s="1"/>
  <c r="T206" i="6"/>
  <c r="L206" i="6"/>
  <c r="L230" i="6"/>
  <c r="K268" i="6"/>
  <c r="S268" i="6"/>
  <c r="N287" i="6"/>
  <c r="V287" i="6"/>
  <c r="Q82" i="61" s="1"/>
  <c r="Q306" i="6"/>
  <c r="L325" i="6"/>
  <c r="T325" i="6"/>
  <c r="O344" i="6"/>
  <c r="J103" i="61" s="1"/>
  <c r="R363" i="6"/>
  <c r="T287" i="6"/>
  <c r="S41" i="6"/>
  <c r="R41" i="6"/>
  <c r="L268" i="6"/>
  <c r="T268" i="6"/>
  <c r="O287" i="6"/>
  <c r="J82" i="61" s="1"/>
  <c r="R306" i="6"/>
  <c r="M89" i="61" s="1"/>
  <c r="M325" i="6"/>
  <c r="U325" i="6"/>
  <c r="P344" i="6"/>
  <c r="K363" i="6"/>
  <c r="S363" i="6"/>
  <c r="L287" i="6"/>
  <c r="Q100" i="6"/>
  <c r="Q12" i="6" s="1"/>
  <c r="R230" i="6"/>
  <c r="M61" i="61" s="1"/>
  <c r="M268" i="6"/>
  <c r="U268" i="6"/>
  <c r="P287" i="6"/>
  <c r="K306" i="6"/>
  <c r="S306" i="6"/>
  <c r="N325" i="6"/>
  <c r="V325" i="6"/>
  <c r="Q96" i="61" s="1"/>
  <c r="Q344" i="6"/>
  <c r="L363" i="6"/>
  <c r="T363" i="6"/>
  <c r="J411" i="6"/>
  <c r="U344" i="6"/>
  <c r="Q206" i="6"/>
  <c r="Q230" i="6"/>
  <c r="N268" i="6"/>
  <c r="V268" i="6"/>
  <c r="Q75" i="61" s="1"/>
  <c r="Q287" i="6"/>
  <c r="L306" i="6"/>
  <c r="T306" i="6"/>
  <c r="O325" i="6"/>
  <c r="J96" i="61" s="1"/>
  <c r="M363" i="6"/>
  <c r="U363" i="6"/>
  <c r="O306" i="6"/>
  <c r="J89" i="61" s="1"/>
  <c r="P363" i="6"/>
  <c r="O100" i="6"/>
  <c r="P230" i="6"/>
  <c r="O268" i="6"/>
  <c r="J75" i="61" s="1"/>
  <c r="R287" i="6"/>
  <c r="M82" i="61" s="1"/>
  <c r="M306" i="6"/>
  <c r="U306" i="6"/>
  <c r="P325" i="6"/>
  <c r="K344" i="6"/>
  <c r="S344" i="6"/>
  <c r="N363" i="6"/>
  <c r="V363" i="6"/>
  <c r="J344" i="6"/>
  <c r="J325" i="6"/>
  <c r="J363" i="6"/>
  <c r="J268" i="6"/>
  <c r="J306" i="6"/>
  <c r="J287" i="6"/>
  <c r="J141" i="6"/>
  <c r="N11" i="55"/>
  <c r="S11" i="55"/>
  <c r="R11" i="55"/>
  <c r="O11" i="55"/>
  <c r="P11" i="55"/>
  <c r="V11" i="55"/>
  <c r="U11" i="55"/>
  <c r="M11" i="55"/>
  <c r="Q11" i="55"/>
  <c r="T11" i="55"/>
  <c r="L11" i="55"/>
  <c r="K11" i="55"/>
  <c r="J11" i="55"/>
  <c r="O25" i="74" l="1"/>
  <c r="O18" i="99"/>
  <c r="O13" i="6"/>
  <c r="R13" i="6"/>
  <c r="K13" i="6"/>
  <c r="U13" i="6"/>
  <c r="L13" i="6"/>
  <c r="T13" i="6"/>
  <c r="M13" i="6"/>
  <c r="V13" i="6"/>
  <c r="V12" i="6"/>
  <c r="Q16" i="61"/>
  <c r="R22" i="74"/>
  <c r="R15" i="99" s="1"/>
  <c r="M37" i="61"/>
  <c r="O12" i="6"/>
  <c r="J16" i="61"/>
  <c r="Q13" i="6"/>
  <c r="N13" i="6"/>
  <c r="P13" i="6"/>
  <c r="P148" i="56"/>
  <c r="P12" i="86"/>
  <c r="AN29" i="76"/>
  <c r="J38" i="99" s="1"/>
  <c r="BR27" i="76"/>
  <c r="AN24" i="76"/>
  <c r="J37" i="99" s="1"/>
  <c r="BR22" i="76"/>
  <c r="T49" i="74"/>
  <c r="W58" i="114" s="1"/>
  <c r="W59" i="114" s="1"/>
  <c r="S206" i="6"/>
  <c r="Q16" i="86"/>
  <c r="V49" i="74"/>
  <c r="Y58" i="114" s="1"/>
  <c r="Y59" i="114" s="1"/>
  <c r="Q49" i="74"/>
  <c r="T58" i="114" s="1"/>
  <c r="T59" i="114" s="1"/>
  <c r="J31" i="74"/>
  <c r="J365" i="6"/>
  <c r="P19" i="86"/>
  <c r="P49" i="74"/>
  <c r="S58" i="114" s="1"/>
  <c r="S59" i="114" s="1"/>
  <c r="P14" i="86"/>
  <c r="U49" i="74"/>
  <c r="X58" i="114" s="1"/>
  <c r="X59" i="114" s="1"/>
  <c r="S49" i="74"/>
  <c r="V58" i="114" s="1"/>
  <c r="V59" i="114" s="1"/>
  <c r="R13" i="99"/>
  <c r="K25" i="74"/>
  <c r="K27" i="74" s="1"/>
  <c r="K13" i="99"/>
  <c r="K18" i="99" s="1"/>
  <c r="S25" i="74"/>
  <c r="S13" i="99"/>
  <c r="M25" i="74"/>
  <c r="M27" i="74" s="1"/>
  <c r="M13" i="99"/>
  <c r="M18" i="99" s="1"/>
  <c r="U25" i="74"/>
  <c r="U27" i="74" s="1"/>
  <c r="U13" i="99"/>
  <c r="U18" i="99" s="1"/>
  <c r="V25" i="74"/>
  <c r="V27" i="74" s="1"/>
  <c r="V13" i="99"/>
  <c r="V18" i="99" s="1"/>
  <c r="N25" i="74"/>
  <c r="N27" i="74" s="1"/>
  <c r="N13" i="99"/>
  <c r="N18" i="99" s="1"/>
  <c r="P25" i="74"/>
  <c r="P27" i="74" s="1"/>
  <c r="P13" i="99"/>
  <c r="P18" i="99" s="1"/>
  <c r="AN34" i="76"/>
  <c r="K49" i="74"/>
  <c r="N58" i="114" s="1"/>
  <c r="N59" i="114" s="1"/>
  <c r="R49" i="74"/>
  <c r="U58" i="114" s="1"/>
  <c r="U59" i="114" s="1"/>
  <c r="O49" i="74"/>
  <c r="R58" i="114" s="1"/>
  <c r="R59" i="114" s="1"/>
  <c r="N49" i="74"/>
  <c r="Q58" i="114" s="1"/>
  <c r="Q59" i="114" s="1"/>
  <c r="M49" i="74"/>
  <c r="P58" i="114" s="1"/>
  <c r="P59" i="114" s="1"/>
  <c r="Q27" i="74"/>
  <c r="J40" i="76"/>
  <c r="O27" i="74"/>
  <c r="T27" i="74"/>
  <c r="U30" i="74"/>
  <c r="O34" i="74"/>
  <c r="N365" i="6"/>
  <c r="N32" i="74"/>
  <c r="L37" i="74"/>
  <c r="M32" i="74"/>
  <c r="U365" i="6"/>
  <c r="U35" i="74"/>
  <c r="S100" i="6"/>
  <c r="S12" i="6" s="1"/>
  <c r="S13" i="74"/>
  <c r="S17" i="74" s="1"/>
  <c r="V33" i="74"/>
  <c r="M33" i="74"/>
  <c r="L45" i="74"/>
  <c r="L49" i="74" s="1"/>
  <c r="O58" i="114" s="1"/>
  <c r="O59" i="114" s="1"/>
  <c r="L470" i="6"/>
  <c r="L17" i="6" s="1"/>
  <c r="S33" i="74"/>
  <c r="V31" i="74"/>
  <c r="S30" i="74"/>
  <c r="J35" i="74"/>
  <c r="V365" i="6"/>
  <c r="V32" i="74"/>
  <c r="U32" i="74"/>
  <c r="U33" i="74"/>
  <c r="M34" i="74"/>
  <c r="U37" i="74"/>
  <c r="Q30" i="74"/>
  <c r="Q36" i="74"/>
  <c r="R30" i="74"/>
  <c r="M35" i="74"/>
  <c r="N33" i="74"/>
  <c r="Q37" i="74"/>
  <c r="R32" i="74"/>
  <c r="K365" i="6"/>
  <c r="K33" i="74"/>
  <c r="V30" i="74"/>
  <c r="P31" i="74"/>
  <c r="U31" i="74"/>
  <c r="P37" i="74"/>
  <c r="P36" i="74"/>
  <c r="N34" i="74"/>
  <c r="R33" i="74"/>
  <c r="M37" i="74"/>
  <c r="V35" i="74"/>
  <c r="R34" i="74"/>
  <c r="T33" i="74"/>
  <c r="S365" i="6"/>
  <c r="S32" i="74"/>
  <c r="V36" i="74"/>
  <c r="M365" i="6"/>
  <c r="O37" i="74"/>
  <c r="P32" i="74"/>
  <c r="S31" i="74"/>
  <c r="P35" i="74"/>
  <c r="Q34" i="74"/>
  <c r="J34" i="74"/>
  <c r="J36" i="74"/>
  <c r="V37" i="74"/>
  <c r="O32" i="74"/>
  <c r="O35" i="74"/>
  <c r="N35" i="74"/>
  <c r="O33" i="74"/>
  <c r="R37" i="74"/>
  <c r="K32" i="74"/>
  <c r="N36" i="74"/>
  <c r="L100" i="6"/>
  <c r="L12" i="6" s="1"/>
  <c r="L13" i="74"/>
  <c r="L17" i="74" s="1"/>
  <c r="T36" i="74"/>
  <c r="O30" i="74"/>
  <c r="O31" i="74"/>
  <c r="M31" i="74"/>
  <c r="J206" i="6"/>
  <c r="J21" i="74"/>
  <c r="J32" i="74"/>
  <c r="N37" i="74"/>
  <c r="P30" i="74"/>
  <c r="T34" i="74"/>
  <c r="U36" i="74"/>
  <c r="S34" i="74"/>
  <c r="L33" i="74"/>
  <c r="T365" i="6"/>
  <c r="T32" i="74"/>
  <c r="O36" i="74"/>
  <c r="L30" i="74"/>
  <c r="S35" i="74"/>
  <c r="L36" i="74"/>
  <c r="K31" i="74"/>
  <c r="R31" i="74"/>
  <c r="N31" i="74"/>
  <c r="Q31" i="74"/>
  <c r="M36" i="74"/>
  <c r="T37" i="74"/>
  <c r="Q32" i="74"/>
  <c r="J37" i="74"/>
  <c r="S36" i="74"/>
  <c r="J45" i="74"/>
  <c r="J49" i="74" s="1"/>
  <c r="M58" i="114" s="1"/>
  <c r="M59" i="114" s="1"/>
  <c r="J470" i="6"/>
  <c r="J17" i="6" s="1"/>
  <c r="K35" i="74"/>
  <c r="Q35" i="74"/>
  <c r="T30" i="74"/>
  <c r="M30" i="74"/>
  <c r="U34" i="74"/>
  <c r="L34" i="74"/>
  <c r="K34" i="74"/>
  <c r="S37" i="74"/>
  <c r="L32" i="74"/>
  <c r="T35" i="74"/>
  <c r="J33" i="74"/>
  <c r="K36" i="74"/>
  <c r="Q33" i="74"/>
  <c r="P33" i="74"/>
  <c r="K37" i="74"/>
  <c r="R100" i="6"/>
  <c r="R13" i="74"/>
  <c r="R17" i="74" s="1"/>
  <c r="L35" i="74"/>
  <c r="P34" i="74"/>
  <c r="R35" i="74"/>
  <c r="V34" i="74"/>
  <c r="K30" i="74"/>
  <c r="T31" i="74"/>
  <c r="N30" i="74"/>
  <c r="P365" i="6"/>
  <c r="Q365" i="6"/>
  <c r="O365" i="6"/>
  <c r="R365" i="6"/>
  <c r="L365" i="6"/>
  <c r="J13" i="6" l="1"/>
  <c r="S13" i="6"/>
  <c r="Q14" i="6"/>
  <c r="Q16" i="6" s="1"/>
  <c r="O14" i="6"/>
  <c r="O16" i="6" s="1"/>
  <c r="S14" i="6"/>
  <c r="S16" i="6" s="1"/>
  <c r="M14" i="6"/>
  <c r="M16" i="6" s="1"/>
  <c r="K14" i="6"/>
  <c r="K16" i="6" s="1"/>
  <c r="L14" i="6"/>
  <c r="P14" i="6"/>
  <c r="P16" i="6" s="1"/>
  <c r="R14" i="6"/>
  <c r="R12" i="6"/>
  <c r="M16" i="61"/>
  <c r="T14" i="6"/>
  <c r="T16" i="6" s="1"/>
  <c r="V14" i="6"/>
  <c r="V16" i="6" s="1"/>
  <c r="U14" i="6"/>
  <c r="U16" i="6" s="1"/>
  <c r="N14" i="6"/>
  <c r="N16" i="6" s="1"/>
  <c r="R25" i="74"/>
  <c r="R27" i="74" s="1"/>
  <c r="J14" i="6"/>
  <c r="R16" i="86"/>
  <c r="R148" i="56" s="1"/>
  <c r="Q12" i="86"/>
  <c r="Q148" i="56"/>
  <c r="P20" i="86"/>
  <c r="P28" i="56"/>
  <c r="P19" i="56"/>
  <c r="P24" i="80" s="1"/>
  <c r="Q19" i="86"/>
  <c r="P184" i="56"/>
  <c r="P18" i="60"/>
  <c r="R12" i="99"/>
  <c r="R18" i="99" s="1"/>
  <c r="J25" i="74"/>
  <c r="J27" i="74" s="1"/>
  <c r="J14" i="99"/>
  <c r="J18" i="99" s="1"/>
  <c r="J16" i="6"/>
  <c r="J19" i="6" s="1"/>
  <c r="L27" i="74"/>
  <c r="L12" i="99"/>
  <c r="L18" i="99" s="1"/>
  <c r="L16" i="6"/>
  <c r="S27" i="74"/>
  <c r="S12" i="99"/>
  <c r="S18" i="99" s="1"/>
  <c r="J39" i="99"/>
  <c r="J42" i="99" s="1"/>
  <c r="AN40" i="76"/>
  <c r="M12" i="114" s="1"/>
  <c r="M65" i="114" s="1"/>
  <c r="M38" i="74"/>
  <c r="M21" i="99" s="1"/>
  <c r="M23" i="99" s="1"/>
  <c r="N38" i="74"/>
  <c r="N21" i="99" s="1"/>
  <c r="N23" i="99" s="1"/>
  <c r="O38" i="74"/>
  <c r="O21" i="99" s="1"/>
  <c r="O23" i="99" s="1"/>
  <c r="V38" i="74"/>
  <c r="V21" i="99" s="1"/>
  <c r="V23" i="99" s="1"/>
  <c r="K38" i="74"/>
  <c r="K21" i="99" s="1"/>
  <c r="K23" i="99" s="1"/>
  <c r="P38" i="74"/>
  <c r="P21" i="99" s="1"/>
  <c r="P23" i="99" s="1"/>
  <c r="R38" i="74"/>
  <c r="R21" i="99" s="1"/>
  <c r="R23" i="99" s="1"/>
  <c r="S38" i="74"/>
  <c r="S21" i="99" s="1"/>
  <c r="S23" i="99" s="1"/>
  <c r="L38" i="74"/>
  <c r="L21" i="99" s="1"/>
  <c r="L23" i="99" s="1"/>
  <c r="J38" i="74"/>
  <c r="J21" i="99" s="1"/>
  <c r="J23" i="99" s="1"/>
  <c r="U38" i="74"/>
  <c r="U21" i="99" s="1"/>
  <c r="U23" i="99" s="1"/>
  <c r="T38" i="74"/>
  <c r="T21" i="99" s="1"/>
  <c r="T23" i="99" s="1"/>
  <c r="Q38" i="74"/>
  <c r="Q21" i="99" s="1"/>
  <c r="Q23" i="99" s="1"/>
  <c r="R16" i="6" l="1"/>
  <c r="S16" i="86"/>
  <c r="T16" i="86" s="1"/>
  <c r="R12" i="86"/>
  <c r="S12" i="86" s="1"/>
  <c r="P37" i="56"/>
  <c r="P124" i="56"/>
  <c r="P48" i="84" s="1"/>
  <c r="P106" i="56"/>
  <c r="Q28" i="56"/>
  <c r="Q19" i="56"/>
  <c r="Q24" i="80" s="1"/>
  <c r="Q18" i="60"/>
  <c r="R19" i="86"/>
  <c r="Q184" i="56"/>
  <c r="Q20" i="86"/>
  <c r="S148" i="56"/>
  <c r="K42" i="74"/>
  <c r="V42" i="74"/>
  <c r="O42" i="74"/>
  <c r="N42" i="74"/>
  <c r="Q42" i="74"/>
  <c r="T11" i="114" s="1"/>
  <c r="T42" i="74"/>
  <c r="W11" i="114" s="1"/>
  <c r="U42" i="74"/>
  <c r="M42" i="74"/>
  <c r="R42" i="74"/>
  <c r="P42" i="74"/>
  <c r="J42" i="74"/>
  <c r="M11" i="114" s="1"/>
  <c r="L42" i="74"/>
  <c r="S42" i="74"/>
  <c r="O41" i="63" l="1"/>
  <c r="Q41" i="63"/>
  <c r="K41" i="63"/>
  <c r="U41" i="63"/>
  <c r="R41" i="63"/>
  <c r="M41" i="63"/>
  <c r="V41" i="63"/>
  <c r="T41" i="63"/>
  <c r="N41" i="63"/>
  <c r="P41" i="63"/>
  <c r="R53" i="74"/>
  <c r="U11" i="114"/>
  <c r="N53" i="74"/>
  <c r="Q11" i="114"/>
  <c r="U53" i="74"/>
  <c r="X11" i="114"/>
  <c r="O53" i="74"/>
  <c r="R11" i="114"/>
  <c r="S53" i="74"/>
  <c r="V11" i="114"/>
  <c r="K53" i="74"/>
  <c r="N11" i="114"/>
  <c r="M53" i="74"/>
  <c r="P11" i="114"/>
  <c r="P53" i="74"/>
  <c r="S11" i="114"/>
  <c r="V53" i="74"/>
  <c r="Y11" i="114"/>
  <c r="L53" i="74"/>
  <c r="O11" i="114"/>
  <c r="S19" i="86"/>
  <c r="R184" i="56"/>
  <c r="Q37" i="56"/>
  <c r="U16" i="86"/>
  <c r="T148" i="56"/>
  <c r="R20" i="86"/>
  <c r="R18" i="60"/>
  <c r="T12" i="86"/>
  <c r="R28" i="56"/>
  <c r="R19" i="56"/>
  <c r="R24" i="80" s="1"/>
  <c r="T53" i="74"/>
  <c r="Q53" i="74"/>
  <c r="J53" i="74"/>
  <c r="AZ132" i="33"/>
  <c r="AY132" i="33"/>
  <c r="AX132" i="33"/>
  <c r="AW132" i="33"/>
  <c r="AV132" i="33"/>
  <c r="AU132" i="33"/>
  <c r="AT132" i="33"/>
  <c r="AS132" i="33"/>
  <c r="AR132" i="33"/>
  <c r="AQ132" i="33"/>
  <c r="AP132" i="33"/>
  <c r="AO132" i="33"/>
  <c r="AN132" i="33"/>
  <c r="AK132" i="33"/>
  <c r="AJ132" i="33"/>
  <c r="AI132" i="33"/>
  <c r="AH132" i="33"/>
  <c r="AG132" i="33"/>
  <c r="AF132" i="33"/>
  <c r="AE132" i="33"/>
  <c r="AD132" i="33"/>
  <c r="AC132" i="33"/>
  <c r="AB132" i="33"/>
  <c r="AA132" i="33"/>
  <c r="Z132" i="33"/>
  <c r="Y132" i="33"/>
  <c r="V132" i="33"/>
  <c r="U132" i="33"/>
  <c r="T132" i="33"/>
  <c r="S132" i="33"/>
  <c r="R132" i="33"/>
  <c r="Q132" i="33"/>
  <c r="P132" i="33"/>
  <c r="O132" i="33"/>
  <c r="N132" i="33"/>
  <c r="M132" i="33"/>
  <c r="L132" i="33"/>
  <c r="K132" i="33"/>
  <c r="J132" i="33"/>
  <c r="AZ127" i="33"/>
  <c r="AY127" i="33"/>
  <c r="AX127" i="33"/>
  <c r="AW127" i="33"/>
  <c r="AV127" i="33"/>
  <c r="AU127" i="33"/>
  <c r="AT127" i="33"/>
  <c r="AS127" i="33"/>
  <c r="AR127" i="33"/>
  <c r="AQ127" i="33"/>
  <c r="AP127" i="33"/>
  <c r="AO127" i="33"/>
  <c r="AN127" i="33"/>
  <c r="AK127" i="33"/>
  <c r="AJ127" i="33"/>
  <c r="AI127" i="33"/>
  <c r="AH127" i="33"/>
  <c r="AG127" i="33"/>
  <c r="AF127" i="33"/>
  <c r="AE127" i="33"/>
  <c r="AD127" i="33"/>
  <c r="AC127" i="33"/>
  <c r="AB127" i="33"/>
  <c r="AA127" i="33"/>
  <c r="Z127" i="33"/>
  <c r="Y127" i="33"/>
  <c r="V127" i="33"/>
  <c r="U127" i="33"/>
  <c r="T127" i="33"/>
  <c r="S127" i="33"/>
  <c r="R127" i="33"/>
  <c r="Q127" i="33"/>
  <c r="P127" i="33"/>
  <c r="O127" i="33"/>
  <c r="N127" i="33"/>
  <c r="M127" i="33"/>
  <c r="L127" i="33"/>
  <c r="K127" i="33"/>
  <c r="J127" i="33"/>
  <c r="AZ122" i="33"/>
  <c r="AY122" i="33"/>
  <c r="AX122" i="33"/>
  <c r="AW122" i="33"/>
  <c r="AV122" i="33"/>
  <c r="AU122" i="33"/>
  <c r="AT122" i="33"/>
  <c r="AS122" i="33"/>
  <c r="AR122" i="33"/>
  <c r="AQ122" i="33"/>
  <c r="AP122" i="33"/>
  <c r="AO122" i="33"/>
  <c r="AN122" i="33"/>
  <c r="AK122" i="33"/>
  <c r="AJ122" i="33"/>
  <c r="AI122" i="33"/>
  <c r="AH122" i="33"/>
  <c r="AG122" i="33"/>
  <c r="AF122" i="33"/>
  <c r="AE122" i="33"/>
  <c r="AD122" i="33"/>
  <c r="AC122" i="33"/>
  <c r="AB122" i="33"/>
  <c r="AA122" i="33"/>
  <c r="Z122" i="33"/>
  <c r="Y122" i="33"/>
  <c r="V122" i="33"/>
  <c r="U122" i="33"/>
  <c r="T122" i="33"/>
  <c r="S122" i="33"/>
  <c r="R122" i="33"/>
  <c r="Q122" i="33"/>
  <c r="P122" i="33"/>
  <c r="O122" i="33"/>
  <c r="N122" i="33"/>
  <c r="M122" i="33"/>
  <c r="L122" i="33"/>
  <c r="K122" i="33"/>
  <c r="J122" i="33"/>
  <c r="AZ108" i="33"/>
  <c r="AY108" i="33"/>
  <c r="AX108" i="33"/>
  <c r="AW108" i="33"/>
  <c r="AV108" i="33"/>
  <c r="AU108" i="33"/>
  <c r="AT108" i="33"/>
  <c r="AS108" i="33"/>
  <c r="AR108" i="33"/>
  <c r="AQ108" i="33"/>
  <c r="AP108" i="33"/>
  <c r="AO108" i="33"/>
  <c r="AN108" i="33"/>
  <c r="AK108" i="33"/>
  <c r="AJ108" i="33"/>
  <c r="AI108" i="33"/>
  <c r="AH108" i="33"/>
  <c r="AG108" i="33"/>
  <c r="AF108" i="33"/>
  <c r="AE108" i="33"/>
  <c r="AD108" i="33"/>
  <c r="AC108" i="33"/>
  <c r="AB108" i="33"/>
  <c r="AA108" i="33"/>
  <c r="Z108" i="33"/>
  <c r="Y108" i="33"/>
  <c r="V108" i="33"/>
  <c r="U108" i="33"/>
  <c r="T108" i="33"/>
  <c r="S108" i="33"/>
  <c r="R108" i="33"/>
  <c r="Q108" i="33"/>
  <c r="P108" i="33"/>
  <c r="O108" i="33"/>
  <c r="N108" i="33"/>
  <c r="M108" i="33"/>
  <c r="L108" i="33"/>
  <c r="K108" i="33"/>
  <c r="J108" i="33"/>
  <c r="AZ100" i="33"/>
  <c r="AY100" i="33"/>
  <c r="AX100" i="33"/>
  <c r="AW100" i="33"/>
  <c r="AV100" i="33"/>
  <c r="AU100" i="33"/>
  <c r="AT100" i="33"/>
  <c r="AS100" i="33"/>
  <c r="AR100" i="33"/>
  <c r="AQ100" i="33"/>
  <c r="AP100" i="33"/>
  <c r="AO100" i="33"/>
  <c r="AN100" i="33"/>
  <c r="AK100" i="33"/>
  <c r="AJ100" i="33"/>
  <c r="AI100" i="33"/>
  <c r="AH100" i="33"/>
  <c r="AG100" i="33"/>
  <c r="AF100" i="33"/>
  <c r="AE100" i="33"/>
  <c r="AD100" i="33"/>
  <c r="AC100" i="33"/>
  <c r="AB100" i="33"/>
  <c r="AA100" i="33"/>
  <c r="Z100" i="33"/>
  <c r="Y100" i="33"/>
  <c r="V100" i="33"/>
  <c r="U100" i="33"/>
  <c r="T100" i="33"/>
  <c r="S100" i="33"/>
  <c r="R100" i="33"/>
  <c r="Q100" i="33"/>
  <c r="P100" i="33"/>
  <c r="O100" i="33"/>
  <c r="N100" i="33"/>
  <c r="M100" i="33"/>
  <c r="L100" i="33"/>
  <c r="K100" i="33"/>
  <c r="J100" i="33"/>
  <c r="AZ95" i="33"/>
  <c r="AY95" i="33"/>
  <c r="AX95" i="33"/>
  <c r="AW95" i="33"/>
  <c r="AV95" i="33"/>
  <c r="AU95" i="33"/>
  <c r="AT95" i="33"/>
  <c r="AS95" i="33"/>
  <c r="AR95" i="33"/>
  <c r="AQ95" i="33"/>
  <c r="AP95" i="33"/>
  <c r="AO95" i="33"/>
  <c r="AN95" i="33"/>
  <c r="AK95" i="33"/>
  <c r="AJ95" i="33"/>
  <c r="AI95" i="33"/>
  <c r="AH95" i="33"/>
  <c r="AG95" i="33"/>
  <c r="AF95" i="33"/>
  <c r="AE95" i="33"/>
  <c r="AD95" i="33"/>
  <c r="AC95" i="33"/>
  <c r="AB95" i="33"/>
  <c r="AA95" i="33"/>
  <c r="Z95" i="33"/>
  <c r="Y95" i="33"/>
  <c r="V95" i="33"/>
  <c r="U95" i="33"/>
  <c r="T95" i="33"/>
  <c r="S95" i="33"/>
  <c r="R95" i="33"/>
  <c r="Q95" i="33"/>
  <c r="P95" i="33"/>
  <c r="O95" i="33"/>
  <c r="N95" i="33"/>
  <c r="M95" i="33"/>
  <c r="L95" i="33"/>
  <c r="K95" i="33"/>
  <c r="J95" i="33"/>
  <c r="AZ90" i="33"/>
  <c r="AY90" i="33"/>
  <c r="AX90" i="33"/>
  <c r="AW90" i="33"/>
  <c r="AV90" i="33"/>
  <c r="AU90" i="33"/>
  <c r="AT90" i="33"/>
  <c r="AS90" i="33"/>
  <c r="AR90" i="33"/>
  <c r="AQ90" i="33"/>
  <c r="AP90" i="33"/>
  <c r="AO90" i="33"/>
  <c r="AN90" i="33"/>
  <c r="AK90" i="33"/>
  <c r="AJ90" i="33"/>
  <c r="AI90" i="33"/>
  <c r="AH90" i="33"/>
  <c r="AG90" i="33"/>
  <c r="AF90" i="33"/>
  <c r="AE90" i="33"/>
  <c r="AD90" i="33"/>
  <c r="AC90" i="33"/>
  <c r="AB90" i="33"/>
  <c r="AA90" i="33"/>
  <c r="Z90" i="33"/>
  <c r="Y90" i="33"/>
  <c r="V90" i="33"/>
  <c r="U90" i="33"/>
  <c r="T90" i="33"/>
  <c r="S90" i="33"/>
  <c r="R90" i="33"/>
  <c r="Q90" i="33"/>
  <c r="P90" i="33"/>
  <c r="O90" i="33"/>
  <c r="N90" i="33"/>
  <c r="M90" i="33"/>
  <c r="L90" i="33"/>
  <c r="K90" i="33"/>
  <c r="J90" i="33"/>
  <c r="AK76" i="33"/>
  <c r="AJ76" i="33"/>
  <c r="AI76" i="33"/>
  <c r="AH76" i="33"/>
  <c r="AG76" i="33"/>
  <c r="AF76" i="33"/>
  <c r="AE76" i="33"/>
  <c r="AD76" i="33"/>
  <c r="AC76" i="33"/>
  <c r="AB76" i="33"/>
  <c r="AA76" i="33"/>
  <c r="Z76" i="33"/>
  <c r="Y76" i="33"/>
  <c r="V76" i="33"/>
  <c r="U76" i="33"/>
  <c r="T76" i="33"/>
  <c r="S76" i="33"/>
  <c r="R76" i="33"/>
  <c r="Q76" i="33"/>
  <c r="P76" i="33"/>
  <c r="O76" i="33"/>
  <c r="N76" i="33"/>
  <c r="M76" i="33"/>
  <c r="L76" i="33"/>
  <c r="K76" i="33"/>
  <c r="J76" i="33"/>
  <c r="AK68" i="33"/>
  <c r="AJ68" i="33"/>
  <c r="AI68" i="33"/>
  <c r="AH68" i="33"/>
  <c r="AG68" i="33"/>
  <c r="AF68" i="33"/>
  <c r="AE68" i="33"/>
  <c r="AD68" i="33"/>
  <c r="AC68" i="33"/>
  <c r="AB68" i="33"/>
  <c r="AA68" i="33"/>
  <c r="Z68" i="33"/>
  <c r="Y68" i="33"/>
  <c r="V68" i="33"/>
  <c r="U68" i="33"/>
  <c r="T68" i="33"/>
  <c r="S68" i="33"/>
  <c r="R68" i="33"/>
  <c r="Q68" i="33"/>
  <c r="P68" i="33"/>
  <c r="O68" i="33"/>
  <c r="N68" i="33"/>
  <c r="M68" i="33"/>
  <c r="L68" i="33"/>
  <c r="K68" i="33"/>
  <c r="J68" i="33"/>
  <c r="AK63" i="33"/>
  <c r="AJ63" i="33"/>
  <c r="AI63" i="33"/>
  <c r="AH63" i="33"/>
  <c r="AG63" i="33"/>
  <c r="AF63" i="33"/>
  <c r="AE63" i="33"/>
  <c r="AD63" i="33"/>
  <c r="AC63" i="33"/>
  <c r="AB63" i="33"/>
  <c r="AA63" i="33"/>
  <c r="Z63" i="33"/>
  <c r="Y63" i="33"/>
  <c r="V63" i="33"/>
  <c r="U63" i="33"/>
  <c r="T63" i="33"/>
  <c r="S63" i="33"/>
  <c r="R63" i="33"/>
  <c r="Q63" i="33"/>
  <c r="P63" i="33"/>
  <c r="O63" i="33"/>
  <c r="N63" i="33"/>
  <c r="M63" i="33"/>
  <c r="L63" i="33"/>
  <c r="K63" i="33"/>
  <c r="J63" i="33"/>
  <c r="AK58" i="33"/>
  <c r="AJ58" i="33"/>
  <c r="AI58" i="33"/>
  <c r="AH58" i="33"/>
  <c r="AG58" i="33"/>
  <c r="AF58" i="33"/>
  <c r="AE58" i="33"/>
  <c r="AD58" i="33"/>
  <c r="AC58" i="33"/>
  <c r="AB58" i="33"/>
  <c r="AA58" i="33"/>
  <c r="Z58" i="33"/>
  <c r="Y58" i="33"/>
  <c r="V58" i="33"/>
  <c r="U58" i="33"/>
  <c r="T58" i="33"/>
  <c r="S58" i="33"/>
  <c r="R58" i="33"/>
  <c r="Q58" i="33"/>
  <c r="P58" i="33"/>
  <c r="O58" i="33"/>
  <c r="N58" i="33"/>
  <c r="M58" i="33"/>
  <c r="L58" i="33"/>
  <c r="K58" i="33"/>
  <c r="J58" i="33"/>
  <c r="AZ44" i="33"/>
  <c r="AY44" i="33"/>
  <c r="AX44" i="33"/>
  <c r="AW44" i="33"/>
  <c r="AV44" i="33"/>
  <c r="AU44" i="33"/>
  <c r="AT44" i="33"/>
  <c r="AS44" i="33"/>
  <c r="AR44" i="33"/>
  <c r="AQ44" i="33"/>
  <c r="AP44" i="33"/>
  <c r="AO44" i="33"/>
  <c r="AN44" i="33"/>
  <c r="AK44" i="33"/>
  <c r="AJ44" i="33"/>
  <c r="AI44" i="33"/>
  <c r="AH44" i="33"/>
  <c r="AG44" i="33"/>
  <c r="AF44" i="33"/>
  <c r="AE44" i="33"/>
  <c r="AD44" i="33"/>
  <c r="AC44" i="33"/>
  <c r="AB44" i="33"/>
  <c r="AA44" i="33"/>
  <c r="Z44" i="33"/>
  <c r="Y44" i="33"/>
  <c r="V44" i="33"/>
  <c r="U44" i="33"/>
  <c r="T44" i="33"/>
  <c r="S44" i="33"/>
  <c r="R44" i="33"/>
  <c r="Q44" i="33"/>
  <c r="P44" i="33"/>
  <c r="O44" i="33"/>
  <c r="N44" i="33"/>
  <c r="M44" i="33"/>
  <c r="L44" i="33"/>
  <c r="K44" i="33"/>
  <c r="J44" i="33"/>
  <c r="AZ36" i="33"/>
  <c r="AY36" i="33"/>
  <c r="AX36" i="33"/>
  <c r="AW36" i="33"/>
  <c r="AV36" i="33"/>
  <c r="AU36" i="33"/>
  <c r="AT36" i="33"/>
  <c r="AS36" i="33"/>
  <c r="AR36" i="33"/>
  <c r="AQ36" i="33"/>
  <c r="AP36" i="33"/>
  <c r="AO36" i="33"/>
  <c r="AN36" i="33"/>
  <c r="AK36" i="33"/>
  <c r="AJ36" i="33"/>
  <c r="AI36" i="33"/>
  <c r="AH36" i="33"/>
  <c r="AG36" i="33"/>
  <c r="AF36" i="33"/>
  <c r="AD36" i="33"/>
  <c r="AC36" i="33"/>
  <c r="AB36" i="33"/>
  <c r="AA36" i="33"/>
  <c r="Z36" i="33"/>
  <c r="Y36" i="33"/>
  <c r="V36" i="33"/>
  <c r="U36" i="33"/>
  <c r="T36" i="33"/>
  <c r="S36" i="33"/>
  <c r="R36" i="33"/>
  <c r="Q36" i="33"/>
  <c r="P36" i="33"/>
  <c r="O36" i="33"/>
  <c r="N36" i="33"/>
  <c r="M36" i="33"/>
  <c r="L36" i="33"/>
  <c r="K36" i="33"/>
  <c r="J36" i="33"/>
  <c r="AZ31" i="33"/>
  <c r="AY31" i="33"/>
  <c r="AX31" i="33"/>
  <c r="AW31" i="33"/>
  <c r="AV31" i="33"/>
  <c r="AU31" i="33"/>
  <c r="AT31" i="33"/>
  <c r="AS31" i="33"/>
  <c r="AR31" i="33"/>
  <c r="AQ31" i="33"/>
  <c r="AP31" i="33"/>
  <c r="AO31" i="33"/>
  <c r="AN31" i="33"/>
  <c r="AK31" i="33"/>
  <c r="AJ31" i="33"/>
  <c r="AI31" i="33"/>
  <c r="AH31" i="33"/>
  <c r="AG31" i="33"/>
  <c r="AF31" i="33"/>
  <c r="AE31" i="33"/>
  <c r="AD31" i="33"/>
  <c r="AC31" i="33"/>
  <c r="AB31" i="33"/>
  <c r="AA31" i="33"/>
  <c r="Z31" i="33"/>
  <c r="Y31" i="33"/>
  <c r="V31" i="33"/>
  <c r="U31" i="33"/>
  <c r="T31" i="33"/>
  <c r="S31" i="33"/>
  <c r="R31" i="33"/>
  <c r="Q31" i="33"/>
  <c r="P31" i="33"/>
  <c r="O31" i="33"/>
  <c r="N31" i="33"/>
  <c r="M31" i="33"/>
  <c r="L31" i="33"/>
  <c r="K31" i="33"/>
  <c r="J31" i="33"/>
  <c r="AZ26" i="33"/>
  <c r="AY26" i="33"/>
  <c r="AX26" i="33"/>
  <c r="AW26" i="33"/>
  <c r="AV26" i="33"/>
  <c r="AU26" i="33"/>
  <c r="AT26" i="33"/>
  <c r="AS26" i="33"/>
  <c r="AR26" i="33"/>
  <c r="AQ26" i="33"/>
  <c r="AP26" i="33"/>
  <c r="AO26" i="33"/>
  <c r="AN26" i="33"/>
  <c r="AK26" i="33"/>
  <c r="AJ26" i="33"/>
  <c r="AI26" i="33"/>
  <c r="AH26" i="33"/>
  <c r="AG26" i="33"/>
  <c r="AF26" i="33"/>
  <c r="AE26" i="33"/>
  <c r="AD26" i="33"/>
  <c r="AC26" i="33"/>
  <c r="AB26" i="33"/>
  <c r="AA26" i="33"/>
  <c r="Z26" i="33"/>
  <c r="Y26" i="33"/>
  <c r="V26" i="33"/>
  <c r="U26" i="33"/>
  <c r="T26" i="33"/>
  <c r="S26" i="33"/>
  <c r="R26" i="33"/>
  <c r="Q26" i="33"/>
  <c r="P26" i="33"/>
  <c r="O26" i="33"/>
  <c r="N26" i="33"/>
  <c r="M26" i="33"/>
  <c r="L26" i="33"/>
  <c r="K26" i="33"/>
  <c r="J26" i="33"/>
  <c r="BG81" i="30"/>
  <c r="BF81" i="30"/>
  <c r="BE81" i="30"/>
  <c r="BD81" i="30"/>
  <c r="AK16" i="75"/>
  <c r="AJ16" i="75"/>
  <c r="AI16" i="75"/>
  <c r="AH16" i="75"/>
  <c r="AG16" i="75"/>
  <c r="AF16" i="75"/>
  <c r="AE16" i="75"/>
  <c r="V17" i="29"/>
  <c r="V16" i="75" s="1"/>
  <c r="U17" i="29"/>
  <c r="U16" i="75" s="1"/>
  <c r="T17" i="29"/>
  <c r="T16" i="75" s="1"/>
  <c r="S17" i="29"/>
  <c r="S16" i="75" s="1"/>
  <c r="R17" i="29"/>
  <c r="R16" i="75" s="1"/>
  <c r="Q17" i="29"/>
  <c r="Q16" i="75" s="1"/>
  <c r="P17" i="29"/>
  <c r="P16" i="75" s="1"/>
  <c r="AK15" i="75"/>
  <c r="AJ15" i="75"/>
  <c r="AI15" i="75"/>
  <c r="AH15" i="75"/>
  <c r="AG15" i="75"/>
  <c r="AF15" i="75"/>
  <c r="AE15" i="75"/>
  <c r="V16" i="29"/>
  <c r="V15" i="75" s="1"/>
  <c r="U16" i="29"/>
  <c r="U15" i="75" s="1"/>
  <c r="T16" i="29"/>
  <c r="T15" i="75" s="1"/>
  <c r="S16" i="29"/>
  <c r="S15" i="75" s="1"/>
  <c r="R16" i="29"/>
  <c r="R15" i="75" s="1"/>
  <c r="Q16" i="29"/>
  <c r="Q15" i="75" s="1"/>
  <c r="P16" i="29"/>
  <c r="P15" i="75" s="1"/>
  <c r="V15" i="29"/>
  <c r="V14" i="75" s="1"/>
  <c r="AZ14" i="75" s="1"/>
  <c r="U15" i="29"/>
  <c r="U14" i="75" s="1"/>
  <c r="AY14" i="75" s="1"/>
  <c r="T15" i="29"/>
  <c r="T14" i="75" s="1"/>
  <c r="AX14" i="75" s="1"/>
  <c r="S15" i="29"/>
  <c r="S14" i="75" s="1"/>
  <c r="AW14" i="75" s="1"/>
  <c r="R15" i="29"/>
  <c r="R14" i="75" s="1"/>
  <c r="AV14" i="75" s="1"/>
  <c r="Q15" i="29"/>
  <c r="Q14" i="75" s="1"/>
  <c r="AU14" i="75" s="1"/>
  <c r="P15" i="29"/>
  <c r="P14" i="75" s="1"/>
  <c r="AT14" i="75" s="1"/>
  <c r="V14" i="29"/>
  <c r="U14" i="29"/>
  <c r="T14" i="29"/>
  <c r="S14" i="29"/>
  <c r="R14" i="29"/>
  <c r="Q14" i="29"/>
  <c r="P14" i="29"/>
  <c r="AA171" i="27"/>
  <c r="Z171" i="27"/>
  <c r="Y171" i="27"/>
  <c r="X171" i="27"/>
  <c r="W171" i="27"/>
  <c r="V171" i="27"/>
  <c r="U171" i="27"/>
  <c r="T171" i="27"/>
  <c r="S171" i="27"/>
  <c r="R171" i="27"/>
  <c r="Q171" i="27"/>
  <c r="P171" i="27"/>
  <c r="O171" i="27"/>
  <c r="N171" i="27"/>
  <c r="M171" i="27"/>
  <c r="L171" i="27"/>
  <c r="K171" i="27"/>
  <c r="J171" i="27"/>
  <c r="AA28" i="27"/>
  <c r="AA12" i="27" s="1"/>
  <c r="Z28" i="27"/>
  <c r="Z12" i="27" s="1"/>
  <c r="Y28" i="27"/>
  <c r="Y12" i="27" s="1"/>
  <c r="X28" i="27"/>
  <c r="X12" i="27" s="1"/>
  <c r="W28" i="27"/>
  <c r="W12" i="27" s="1"/>
  <c r="V28" i="27"/>
  <c r="V12" i="27" s="1"/>
  <c r="U28" i="27"/>
  <c r="U12" i="27" s="1"/>
  <c r="T28" i="27"/>
  <c r="T12" i="27" s="1"/>
  <c r="S28" i="27"/>
  <c r="S12" i="27" s="1"/>
  <c r="R28" i="27"/>
  <c r="R12" i="27" s="1"/>
  <c r="Q28" i="27"/>
  <c r="Q12" i="27" s="1"/>
  <c r="P28" i="27"/>
  <c r="P12" i="27" s="1"/>
  <c r="O28" i="27"/>
  <c r="O12" i="27" s="1"/>
  <c r="N28" i="27"/>
  <c r="N12" i="27" s="1"/>
  <c r="M28" i="27"/>
  <c r="M12" i="27" s="1"/>
  <c r="L28" i="27"/>
  <c r="L12" i="27" s="1"/>
  <c r="K28" i="27"/>
  <c r="K12" i="27" s="1"/>
  <c r="J28" i="27"/>
  <c r="J12" i="27" s="1"/>
  <c r="I34" i="4"/>
  <c r="B34" i="4" s="1"/>
  <c r="I33" i="4"/>
  <c r="B33" i="4" s="1"/>
  <c r="I32" i="4"/>
  <c r="B32" i="4" s="1"/>
  <c r="AA14" i="4"/>
  <c r="AA13" i="4"/>
  <c r="AA12" i="4"/>
  <c r="I12" i="4"/>
  <c r="AA11" i="4"/>
  <c r="R58" i="63" l="1"/>
  <c r="L41" i="63"/>
  <c r="S41" i="63"/>
  <c r="U58" i="63"/>
  <c r="V58" i="63"/>
  <c r="M58" i="63"/>
  <c r="Q58" i="63"/>
  <c r="P58" i="63"/>
  <c r="S58" i="63"/>
  <c r="O58" i="63"/>
  <c r="K58" i="63"/>
  <c r="N58" i="63"/>
  <c r="J58" i="63"/>
  <c r="J41" i="63"/>
  <c r="T58" i="63"/>
  <c r="L58" i="63"/>
  <c r="S20" i="86"/>
  <c r="Q48" i="33"/>
  <c r="Q12" i="33" s="1"/>
  <c r="Q33" i="75" s="1"/>
  <c r="AA48" i="33"/>
  <c r="AA33" i="75" s="1"/>
  <c r="AI48" i="33"/>
  <c r="AI33" i="75" s="1"/>
  <c r="N112" i="33"/>
  <c r="N14" i="33" s="1"/>
  <c r="N35" i="75" s="1"/>
  <c r="V112" i="33"/>
  <c r="V14" i="33" s="1"/>
  <c r="V35" i="75" s="1"/>
  <c r="AF112" i="33"/>
  <c r="AF35" i="75" s="1"/>
  <c r="J136" i="33"/>
  <c r="J15" i="33" s="1"/>
  <c r="J36" i="75" s="1"/>
  <c r="R136" i="33"/>
  <c r="R15" i="33" s="1"/>
  <c r="R36" i="75" s="1"/>
  <c r="AB136" i="33"/>
  <c r="AB36" i="75" s="1"/>
  <c r="AJ136" i="33"/>
  <c r="AJ36" i="75" s="1"/>
  <c r="S18" i="60"/>
  <c r="U12" i="86"/>
  <c r="S28" i="56"/>
  <c r="S19" i="56"/>
  <c r="S24" i="80" s="1"/>
  <c r="R37" i="56"/>
  <c r="V16" i="86"/>
  <c r="U148" i="56"/>
  <c r="T19" i="86"/>
  <c r="S184" i="56"/>
  <c r="G3" i="114"/>
  <c r="A2" i="113"/>
  <c r="A2" i="112"/>
  <c r="AV16" i="75"/>
  <c r="AE17" i="75"/>
  <c r="A2" i="111"/>
  <c r="A2" i="110"/>
  <c r="A2" i="109"/>
  <c r="AG17" i="75"/>
  <c r="N80" i="33"/>
  <c r="N13" i="33" s="1"/>
  <c r="N34" i="75" s="1"/>
  <c r="V80" i="33"/>
  <c r="V13" i="33" s="1"/>
  <c r="V34" i="75" s="1"/>
  <c r="AF80" i="33"/>
  <c r="AF34" i="75" s="1"/>
  <c r="O80" i="33"/>
  <c r="O13" i="33" s="1"/>
  <c r="O34" i="75" s="1"/>
  <c r="Y80" i="33"/>
  <c r="Y34" i="75" s="1"/>
  <c r="AG80" i="33"/>
  <c r="AG34" i="75" s="1"/>
  <c r="O112" i="33"/>
  <c r="O14" i="33" s="1"/>
  <c r="O35" i="75" s="1"/>
  <c r="Y112" i="33"/>
  <c r="Y35" i="75" s="1"/>
  <c r="AG112" i="33"/>
  <c r="AG35" i="75" s="1"/>
  <c r="K136" i="33"/>
  <c r="K15" i="33" s="1"/>
  <c r="K36" i="75" s="1"/>
  <c r="AK136" i="33"/>
  <c r="AK36" i="75" s="1"/>
  <c r="K48" i="33"/>
  <c r="K12" i="33" s="1"/>
  <c r="S48" i="33"/>
  <c r="S12" i="33" s="1"/>
  <c r="AC48" i="33"/>
  <c r="AC33" i="75" s="1"/>
  <c r="AK48" i="33"/>
  <c r="AK33" i="75" s="1"/>
  <c r="P80" i="33"/>
  <c r="P13" i="33" s="1"/>
  <c r="P34" i="75" s="1"/>
  <c r="Z80" i="33"/>
  <c r="Z34" i="75" s="1"/>
  <c r="AH80" i="33"/>
  <c r="AH34" i="75" s="1"/>
  <c r="P112" i="33"/>
  <c r="P14" i="33" s="1"/>
  <c r="P35" i="75" s="1"/>
  <c r="Z112" i="33"/>
  <c r="Z35" i="75" s="1"/>
  <c r="AH112" i="33"/>
  <c r="AH35" i="75" s="1"/>
  <c r="L136" i="33"/>
  <c r="L15" i="33" s="1"/>
  <c r="L36" i="75" s="1"/>
  <c r="T136" i="33"/>
  <c r="T15" i="33" s="1"/>
  <c r="T36" i="75" s="1"/>
  <c r="AD136" i="33"/>
  <c r="AD36" i="75" s="1"/>
  <c r="Q80" i="33"/>
  <c r="Q13" i="33" s="1"/>
  <c r="Q34" i="75" s="1"/>
  <c r="AA112" i="33"/>
  <c r="AA35" i="75" s="1"/>
  <c r="M136" i="33"/>
  <c r="M15" i="33" s="1"/>
  <c r="M36" i="75" s="1"/>
  <c r="M48" i="33"/>
  <c r="M12" i="33" s="1"/>
  <c r="J80" i="33"/>
  <c r="J13" i="33" s="1"/>
  <c r="J34" i="75" s="1"/>
  <c r="AN34" i="75" s="1"/>
  <c r="R80" i="33"/>
  <c r="R13" i="33" s="1"/>
  <c r="R34" i="75" s="1"/>
  <c r="AB80" i="33"/>
  <c r="AB34" i="75" s="1"/>
  <c r="AJ80" i="33"/>
  <c r="AJ34" i="75" s="1"/>
  <c r="J112" i="33"/>
  <c r="J14" i="33" s="1"/>
  <c r="J35" i="75" s="1"/>
  <c r="R112" i="33"/>
  <c r="R14" i="33" s="1"/>
  <c r="R35" i="75" s="1"/>
  <c r="AB112" i="33"/>
  <c r="AB35" i="75" s="1"/>
  <c r="AJ112" i="33"/>
  <c r="AJ35" i="75" s="1"/>
  <c r="N136" i="33"/>
  <c r="N15" i="33" s="1"/>
  <c r="N36" i="75" s="1"/>
  <c r="V136" i="33"/>
  <c r="V15" i="33" s="1"/>
  <c r="V36" i="75" s="1"/>
  <c r="AF136" i="33"/>
  <c r="AF36" i="75" s="1"/>
  <c r="J48" i="33"/>
  <c r="J12" i="33" s="1"/>
  <c r="J33" i="75" s="1"/>
  <c r="R48" i="33"/>
  <c r="R12" i="33" s="1"/>
  <c r="AB48" i="33"/>
  <c r="AB33" i="75" s="1"/>
  <c r="AJ48" i="33"/>
  <c r="AJ33" i="75" s="1"/>
  <c r="S136" i="33"/>
  <c r="S15" i="33" s="1"/>
  <c r="S36" i="75" s="1"/>
  <c r="AD48" i="33"/>
  <c r="AD33" i="75" s="1"/>
  <c r="AI80" i="33"/>
  <c r="AI34" i="75" s="1"/>
  <c r="AI112" i="33"/>
  <c r="AI35" i="75" s="1"/>
  <c r="AE136" i="33"/>
  <c r="AE36" i="75" s="1"/>
  <c r="AE48" i="33"/>
  <c r="AE33" i="75" s="1"/>
  <c r="N48" i="33"/>
  <c r="N12" i="33" s="1"/>
  <c r="V48" i="33"/>
  <c r="V12" i="33" s="1"/>
  <c r="AF48" i="33"/>
  <c r="AF33" i="75" s="1"/>
  <c r="K80" i="33"/>
  <c r="K13" i="33" s="1"/>
  <c r="K34" i="75" s="1"/>
  <c r="S80" i="33"/>
  <c r="S13" i="33" s="1"/>
  <c r="S34" i="75" s="1"/>
  <c r="AC80" i="33"/>
  <c r="AC34" i="75" s="1"/>
  <c r="AK80" i="33"/>
  <c r="AK34" i="75" s="1"/>
  <c r="K112" i="33"/>
  <c r="K14" i="33" s="1"/>
  <c r="K35" i="75" s="1"/>
  <c r="S112" i="33"/>
  <c r="S14" i="33" s="1"/>
  <c r="S35" i="75" s="1"/>
  <c r="AC112" i="33"/>
  <c r="AC35" i="75" s="1"/>
  <c r="AK112" i="33"/>
  <c r="AK35" i="75" s="1"/>
  <c r="O136" i="33"/>
  <c r="O15" i="33" s="1"/>
  <c r="O36" i="75" s="1"/>
  <c r="Y136" i="33"/>
  <c r="Y36" i="75" s="1"/>
  <c r="AG136" i="33"/>
  <c r="AG36" i="75" s="1"/>
  <c r="AC136" i="33"/>
  <c r="AC36" i="75" s="1"/>
  <c r="L48" i="33"/>
  <c r="L12" i="33" s="1"/>
  <c r="T48" i="33"/>
  <c r="T12" i="33" s="1"/>
  <c r="AA80" i="33"/>
  <c r="AA34" i="75" s="1"/>
  <c r="Q112" i="33"/>
  <c r="Q14" i="33" s="1"/>
  <c r="Q35" i="75" s="1"/>
  <c r="U136" i="33"/>
  <c r="U15" i="33" s="1"/>
  <c r="U36" i="75" s="1"/>
  <c r="Y48" i="33"/>
  <c r="Y33" i="75" s="1"/>
  <c r="AG48" i="33"/>
  <c r="AG33" i="75" s="1"/>
  <c r="L80" i="33"/>
  <c r="L13" i="33" s="1"/>
  <c r="L34" i="75" s="1"/>
  <c r="T80" i="33"/>
  <c r="T13" i="33" s="1"/>
  <c r="T34" i="75" s="1"/>
  <c r="AD80" i="33"/>
  <c r="AD34" i="75" s="1"/>
  <c r="L112" i="33"/>
  <c r="L14" i="33" s="1"/>
  <c r="L35" i="75" s="1"/>
  <c r="T112" i="33"/>
  <c r="T14" i="33" s="1"/>
  <c r="T35" i="75" s="1"/>
  <c r="AD112" i="33"/>
  <c r="AD35" i="75" s="1"/>
  <c r="P136" i="33"/>
  <c r="P15" i="33" s="1"/>
  <c r="P36" i="75" s="1"/>
  <c r="Z136" i="33"/>
  <c r="Z36" i="75" s="1"/>
  <c r="AH136" i="33"/>
  <c r="AH36" i="75" s="1"/>
  <c r="U48" i="33"/>
  <c r="U12" i="33" s="1"/>
  <c r="O48" i="33"/>
  <c r="O12" i="33" s="1"/>
  <c r="P48" i="33"/>
  <c r="P12" i="33" s="1"/>
  <c r="P33" i="75" s="1"/>
  <c r="Z48" i="33"/>
  <c r="Z33" i="75" s="1"/>
  <c r="AH48" i="33"/>
  <c r="AH33" i="75" s="1"/>
  <c r="M80" i="33"/>
  <c r="M13" i="33" s="1"/>
  <c r="M34" i="75" s="1"/>
  <c r="U80" i="33"/>
  <c r="U13" i="33" s="1"/>
  <c r="U34" i="75" s="1"/>
  <c r="AE80" i="33"/>
  <c r="AE34" i="75" s="1"/>
  <c r="M112" i="33"/>
  <c r="M14" i="33" s="1"/>
  <c r="M35" i="75" s="1"/>
  <c r="U112" i="33"/>
  <c r="U14" i="33" s="1"/>
  <c r="U35" i="75" s="1"/>
  <c r="AE112" i="33"/>
  <c r="AE35" i="75" s="1"/>
  <c r="Q136" i="33"/>
  <c r="Q15" i="33" s="1"/>
  <c r="Q36" i="75" s="1"/>
  <c r="AA136" i="33"/>
  <c r="AA36" i="75" s="1"/>
  <c r="AI136" i="33"/>
  <c r="AI36" i="75" s="1"/>
  <c r="AY15" i="75"/>
  <c r="AT16" i="75"/>
  <c r="AT15" i="75"/>
  <c r="AW15" i="75"/>
  <c r="AZ16" i="75"/>
  <c r="AW16" i="75"/>
  <c r="AK17" i="75"/>
  <c r="AX15" i="75"/>
  <c r="AF17" i="75"/>
  <c r="AJ17" i="75"/>
  <c r="AZ15" i="75"/>
  <c r="AU16" i="75"/>
  <c r="U13" i="75"/>
  <c r="U12" i="29"/>
  <c r="AU15" i="75"/>
  <c r="AX16" i="75"/>
  <c r="P13" i="75"/>
  <c r="P12" i="29"/>
  <c r="AV15" i="75"/>
  <c r="AH17" i="75"/>
  <c r="AY16" i="75"/>
  <c r="Q13" i="75"/>
  <c r="Q12" i="29"/>
  <c r="AI17" i="75"/>
  <c r="R13" i="75"/>
  <c r="R12" i="29"/>
  <c r="V13" i="75"/>
  <c r="V12" i="29"/>
  <c r="S13" i="75"/>
  <c r="S12" i="29"/>
  <c r="T13" i="75"/>
  <c r="T12" i="29"/>
  <c r="A2" i="108"/>
  <c r="A2" i="106"/>
  <c r="A2" i="105"/>
  <c r="A2" i="102"/>
  <c r="A2" i="104"/>
  <c r="A2" i="101"/>
  <c r="A2" i="100"/>
  <c r="A2" i="99"/>
  <c r="A2" i="98"/>
  <c r="A2" i="3"/>
  <c r="A2" i="86"/>
  <c r="A2" i="41"/>
  <c r="A2" i="72"/>
  <c r="A2" i="17"/>
  <c r="A2" i="21"/>
  <c r="A2" i="22"/>
  <c r="A2" i="71"/>
  <c r="A2" i="69"/>
  <c r="A2" i="14"/>
  <c r="A2" i="68"/>
  <c r="A2" i="20"/>
  <c r="A2" i="70"/>
  <c r="A2" i="15"/>
  <c r="A2" i="19"/>
  <c r="A2" i="25"/>
  <c r="A2" i="54"/>
  <c r="A2" i="4"/>
  <c r="A2" i="67"/>
  <c r="A2" i="76"/>
  <c r="A2" i="33"/>
  <c r="A2" i="29"/>
  <c r="A2" i="62"/>
  <c r="A2" i="10"/>
  <c r="A2" i="60"/>
  <c r="A2" i="56"/>
  <c r="A2" i="6"/>
  <c r="A2" i="64"/>
  <c r="A2" i="8"/>
  <c r="A2" i="55"/>
  <c r="A2" i="66"/>
  <c r="A2" i="75"/>
  <c r="A2" i="50"/>
  <c r="A2" i="74"/>
  <c r="A2" i="7"/>
  <c r="A2" i="65"/>
  <c r="A2" i="35"/>
  <c r="A2" i="28"/>
  <c r="A2" i="12"/>
  <c r="A2" i="63"/>
  <c r="A2" i="24"/>
  <c r="A2" i="36"/>
  <c r="A2" i="34"/>
  <c r="A2" i="30"/>
  <c r="A2" i="27"/>
  <c r="A2" i="11"/>
  <c r="A2" i="61"/>
  <c r="A2" i="1"/>
  <c r="A2" i="2"/>
  <c r="V148" i="56" l="1"/>
  <c r="AU35" i="75"/>
  <c r="AZ35" i="75"/>
  <c r="AQ36" i="75"/>
  <c r="AU36" i="75"/>
  <c r="AY36" i="75"/>
  <c r="AV36" i="75"/>
  <c r="AR35" i="75"/>
  <c r="AS34" i="75"/>
  <c r="S37" i="56"/>
  <c r="T28" i="56"/>
  <c r="T19" i="56"/>
  <c r="T24" i="80" s="1"/>
  <c r="U19" i="86"/>
  <c r="T184" i="56"/>
  <c r="V12" i="86"/>
  <c r="AR34" i="75"/>
  <c r="T20" i="86"/>
  <c r="T18" i="60"/>
  <c r="AU34" i="75"/>
  <c r="AY35" i="75"/>
  <c r="AN36" i="75"/>
  <c r="AN35" i="75"/>
  <c r="AZ34" i="75"/>
  <c r="AG38" i="75"/>
  <c r="AG44" i="75" s="1"/>
  <c r="AV34" i="75"/>
  <c r="AP35" i="75"/>
  <c r="AZ36" i="75"/>
  <c r="AX35" i="75"/>
  <c r="AO34" i="75"/>
  <c r="AT36" i="75"/>
  <c r="AW34" i="75"/>
  <c r="AA38" i="75"/>
  <c r="AA44" i="75" s="1"/>
  <c r="AT34" i="75"/>
  <c r="AH38" i="75"/>
  <c r="AH44" i="75" s="1"/>
  <c r="AP34" i="75"/>
  <c r="AV35" i="75"/>
  <c r="AI38" i="75"/>
  <c r="AI44" i="75" s="1"/>
  <c r="N11" i="33"/>
  <c r="N33" i="75"/>
  <c r="AW36" i="75"/>
  <c r="AY34" i="75"/>
  <c r="AX34" i="75"/>
  <c r="L33" i="75"/>
  <c r="L11" i="33"/>
  <c r="AF38" i="75"/>
  <c r="AF44" i="75" s="1"/>
  <c r="AP36" i="75"/>
  <c r="AC38" i="75"/>
  <c r="AC44" i="75" s="1"/>
  <c r="S33" i="75"/>
  <c r="S11" i="33"/>
  <c r="Z38" i="75"/>
  <c r="Z44" i="75" s="1"/>
  <c r="AE38" i="75"/>
  <c r="AE44" i="75" s="1"/>
  <c r="V33" i="75"/>
  <c r="V11" i="33"/>
  <c r="AW35" i="75"/>
  <c r="AO35" i="75"/>
  <c r="AT35" i="75"/>
  <c r="AQ35" i="75"/>
  <c r="U33" i="75"/>
  <c r="U11" i="33"/>
  <c r="AD38" i="75"/>
  <c r="AD44" i="75" s="1"/>
  <c r="P11" i="33"/>
  <c r="AB38" i="75"/>
  <c r="AB44" i="75" s="1"/>
  <c r="AR36" i="75"/>
  <c r="AO36" i="75"/>
  <c r="K11" i="33"/>
  <c r="K33" i="75"/>
  <c r="O33" i="75"/>
  <c r="O11" i="33"/>
  <c r="Y38" i="75"/>
  <c r="Y44" i="75" s="1"/>
  <c r="AJ38" i="75"/>
  <c r="AJ44" i="75" s="1"/>
  <c r="R33" i="75"/>
  <c r="R11" i="33"/>
  <c r="M33" i="75"/>
  <c r="M11" i="33"/>
  <c r="AT33" i="75"/>
  <c r="P38" i="75"/>
  <c r="Q11" i="33"/>
  <c r="AN33" i="75"/>
  <c r="J38" i="75"/>
  <c r="J44" i="75" s="1"/>
  <c r="AQ34" i="75"/>
  <c r="AU33" i="75"/>
  <c r="Q38" i="75"/>
  <c r="T33" i="75"/>
  <c r="T11" i="33"/>
  <c r="AS36" i="75"/>
  <c r="AX36" i="75"/>
  <c r="AK38" i="75"/>
  <c r="AK44" i="75" s="1"/>
  <c r="AS35" i="75"/>
  <c r="AZ13" i="75"/>
  <c r="AZ17" i="75" s="1"/>
  <c r="V17" i="75"/>
  <c r="Q130" i="61" s="1"/>
  <c r="AV13" i="75"/>
  <c r="AV17" i="75" s="1"/>
  <c r="R17" i="75"/>
  <c r="M130" i="61" s="1"/>
  <c r="AT13" i="75"/>
  <c r="AT17" i="75" s="1"/>
  <c r="P17" i="75"/>
  <c r="AU13" i="75"/>
  <c r="AU17" i="75" s="1"/>
  <c r="Q17" i="75"/>
  <c r="AX13" i="75"/>
  <c r="AX17" i="75" s="1"/>
  <c r="T17" i="75"/>
  <c r="AW13" i="75"/>
  <c r="AW17" i="75" s="1"/>
  <c r="S17" i="75"/>
  <c r="AY13" i="75"/>
  <c r="AY17" i="75" s="1"/>
  <c r="U17" i="75"/>
  <c r="J11" i="33"/>
  <c r="U20" i="86" l="1"/>
  <c r="AU38" i="75"/>
  <c r="Q27" i="99" s="1"/>
  <c r="V18" i="60"/>
  <c r="U18" i="60"/>
  <c r="U19" i="56"/>
  <c r="U24" i="80" s="1"/>
  <c r="V19" i="56"/>
  <c r="V24" i="80" s="1"/>
  <c r="AN38" i="75"/>
  <c r="J27" i="99" s="1"/>
  <c r="J32" i="99" s="1"/>
  <c r="J44" i="99" s="1"/>
  <c r="V19" i="86"/>
  <c r="U184" i="56"/>
  <c r="T37" i="56"/>
  <c r="Q26" i="99"/>
  <c r="Q32" i="99" s="1"/>
  <c r="Q44" i="99" s="1"/>
  <c r="U26" i="99"/>
  <c r="V26" i="99"/>
  <c r="S26" i="99"/>
  <c r="R26" i="99"/>
  <c r="P26" i="99"/>
  <c r="T26" i="99"/>
  <c r="P44" i="75"/>
  <c r="AY33" i="75"/>
  <c r="AY38" i="75" s="1"/>
  <c r="X9" i="114" s="1"/>
  <c r="X64" i="114" s="1"/>
  <c r="U38" i="75"/>
  <c r="U44" i="75" s="1"/>
  <c r="AQ33" i="75"/>
  <c r="AQ38" i="75" s="1"/>
  <c r="P9" i="114" s="1"/>
  <c r="P64" i="114" s="1"/>
  <c r="M38" i="75"/>
  <c r="M44" i="75" s="1"/>
  <c r="AZ33" i="75"/>
  <c r="AZ38" i="75" s="1"/>
  <c r="Y9" i="114" s="1"/>
  <c r="Y64" i="114" s="1"/>
  <c r="V38" i="75"/>
  <c r="AV33" i="75"/>
  <c r="AV38" i="75" s="1"/>
  <c r="U9" i="114" s="1"/>
  <c r="U64" i="114" s="1"/>
  <c r="R38" i="75"/>
  <c r="AS33" i="75"/>
  <c r="AS38" i="75" s="1"/>
  <c r="R9" i="114" s="1"/>
  <c r="R64" i="114" s="1"/>
  <c r="O38" i="75"/>
  <c r="O44" i="75" s="1"/>
  <c r="AX33" i="75"/>
  <c r="AX38" i="75" s="1"/>
  <c r="W9" i="114" s="1"/>
  <c r="W64" i="114" s="1"/>
  <c r="T38" i="75"/>
  <c r="T44" i="75" s="1"/>
  <c r="AW33" i="75"/>
  <c r="AW38" i="75" s="1"/>
  <c r="V9" i="114" s="1"/>
  <c r="V64" i="114" s="1"/>
  <c r="S38" i="75"/>
  <c r="AP33" i="75"/>
  <c r="AP38" i="75" s="1"/>
  <c r="O9" i="114" s="1"/>
  <c r="O64" i="114" s="1"/>
  <c r="L38" i="75"/>
  <c r="L44" i="75" s="1"/>
  <c r="Q44" i="75"/>
  <c r="AR33" i="75"/>
  <c r="AR38" i="75" s="1"/>
  <c r="Q9" i="114" s="1"/>
  <c r="Q64" i="114" s="1"/>
  <c r="N38" i="75"/>
  <c r="N44" i="75" s="1"/>
  <c r="AO33" i="75"/>
  <c r="AO38" i="75" s="1"/>
  <c r="N9" i="114" s="1"/>
  <c r="N64" i="114" s="1"/>
  <c r="K38" i="75"/>
  <c r="K44" i="75" s="1"/>
  <c r="S44" i="75"/>
  <c r="AT38" i="75"/>
  <c r="S9" i="114" s="1"/>
  <c r="S64" i="114" s="1"/>
  <c r="AU44" i="75"/>
  <c r="AX12" i="15"/>
  <c r="R44" i="75" l="1"/>
  <c r="M151" i="61"/>
  <c r="V44" i="75"/>
  <c r="Q151" i="61"/>
  <c r="V184" i="56"/>
  <c r="T9" i="114"/>
  <c r="M9" i="114"/>
  <c r="AV44" i="75"/>
  <c r="AN44" i="75"/>
  <c r="V28" i="56"/>
  <c r="U28" i="56"/>
  <c r="V37" i="56"/>
  <c r="U37" i="56"/>
  <c r="V20" i="86"/>
  <c r="AT44" i="75"/>
  <c r="P27" i="99"/>
  <c r="P32" i="99" s="1"/>
  <c r="P44" i="99" s="1"/>
  <c r="S13" i="114"/>
  <c r="K27" i="99"/>
  <c r="K32" i="99" s="1"/>
  <c r="K44" i="99" s="1"/>
  <c r="N13" i="114"/>
  <c r="N27" i="99"/>
  <c r="N32" i="99" s="1"/>
  <c r="N44" i="99" s="1"/>
  <c r="Q13" i="114"/>
  <c r="L27" i="99"/>
  <c r="L32" i="99" s="1"/>
  <c r="L44" i="99" s="1"/>
  <c r="O13" i="114"/>
  <c r="S27" i="99"/>
  <c r="S32" i="99" s="1"/>
  <c r="S44" i="99" s="1"/>
  <c r="V13" i="114"/>
  <c r="AX44" i="75"/>
  <c r="T27" i="99"/>
  <c r="T32" i="99" s="1"/>
  <c r="T44" i="99" s="1"/>
  <c r="W13" i="114"/>
  <c r="O27" i="99"/>
  <c r="O32" i="99" s="1"/>
  <c r="O44" i="99" s="1"/>
  <c r="R13" i="114"/>
  <c r="R27" i="99"/>
  <c r="R32" i="99" s="1"/>
  <c r="R44" i="99" s="1"/>
  <c r="U13" i="114"/>
  <c r="AZ44" i="75"/>
  <c r="V27" i="99"/>
  <c r="V32" i="99" s="1"/>
  <c r="V44" i="99" s="1"/>
  <c r="Y13" i="114"/>
  <c r="M27" i="99"/>
  <c r="M32" i="99" s="1"/>
  <c r="M44" i="99" s="1"/>
  <c r="P13" i="114"/>
  <c r="AY44" i="75"/>
  <c r="U27" i="99"/>
  <c r="U32" i="99" s="1"/>
  <c r="U44" i="99" s="1"/>
  <c r="X13" i="114"/>
  <c r="AW44" i="75"/>
  <c r="AQ44" i="75"/>
  <c r="AP44" i="75"/>
  <c r="AS44" i="75"/>
  <c r="AR44" i="75"/>
  <c r="AO44" i="75"/>
  <c r="AX13" i="15"/>
  <c r="P197" i="8" l="1"/>
  <c r="P279" i="8"/>
  <c r="P29" i="64"/>
  <c r="P43" i="64" s="1"/>
  <c r="P13" i="64" s="1"/>
  <c r="P12" i="64" s="1"/>
  <c r="P84" i="64"/>
  <c r="M13" i="114"/>
  <c r="M64" i="114"/>
  <c r="T13" i="114"/>
  <c r="T64" i="114"/>
  <c r="AX14" i="15"/>
  <c r="AX15" i="15"/>
  <c r="BI64" i="56" l="1"/>
  <c r="BI55" i="56"/>
  <c r="Q197" i="8"/>
  <c r="Q279" i="8"/>
  <c r="Q84" i="64"/>
  <c r="Q29" i="64"/>
  <c r="Q43" i="64" s="1"/>
  <c r="Q13" i="64" s="1"/>
  <c r="Q12" i="64" s="1"/>
  <c r="AX16" i="15"/>
  <c r="R197" i="8" l="1"/>
  <c r="R279" i="8"/>
  <c r="BJ64" i="56"/>
  <c r="BJ55" i="56"/>
  <c r="R84" i="64"/>
  <c r="R29" i="64"/>
  <c r="R43" i="64" s="1"/>
  <c r="R13" i="64" s="1"/>
  <c r="R12" i="64" s="1"/>
  <c r="AX17" i="15"/>
  <c r="AX18" i="15"/>
  <c r="R271" i="8" l="1"/>
  <c r="R270" i="8"/>
  <c r="R274" i="8"/>
  <c r="R273" i="8"/>
  <c r="R272" i="8"/>
  <c r="R275" i="8"/>
  <c r="S197" i="8"/>
  <c r="S279" i="8"/>
  <c r="S29" i="64"/>
  <c r="S43" i="64" s="1"/>
  <c r="S13" i="64" s="1"/>
  <c r="S12" i="64" s="1"/>
  <c r="S84" i="64"/>
  <c r="AX19" i="15"/>
  <c r="S273" i="8" l="1"/>
  <c r="BL55" i="56"/>
  <c r="BL64" i="56"/>
  <c r="S274" i="8"/>
  <c r="S270" i="8"/>
  <c r="S271" i="8"/>
  <c r="T197" i="8"/>
  <c r="T279" i="8"/>
  <c r="S275" i="8"/>
  <c r="S272" i="8"/>
  <c r="BK55" i="56"/>
  <c r="BK64" i="56"/>
  <c r="T84" i="64"/>
  <c r="T29" i="64"/>
  <c r="T43" i="64" s="1"/>
  <c r="T13" i="64" s="1"/>
  <c r="T12" i="64" s="1"/>
  <c r="AX20" i="15"/>
  <c r="J21" i="15"/>
  <c r="T271" i="8" l="1"/>
  <c r="T272" i="8"/>
  <c r="T275" i="8"/>
  <c r="T273" i="8"/>
  <c r="U197" i="8"/>
  <c r="U279" i="8"/>
  <c r="T270" i="8"/>
  <c r="T274" i="8"/>
  <c r="BM64" i="56"/>
  <c r="BM55" i="56"/>
  <c r="S277" i="8"/>
  <c r="V29" i="64"/>
  <c r="V43" i="64" s="1"/>
  <c r="V13" i="64" s="1"/>
  <c r="V12" i="64" s="1"/>
  <c r="U29" i="64"/>
  <c r="U43" i="64" s="1"/>
  <c r="U13" i="64" s="1"/>
  <c r="U12" i="64" s="1"/>
  <c r="V84" i="64"/>
  <c r="U84" i="64"/>
  <c r="AX21" i="15"/>
  <c r="U274" i="8" l="1"/>
  <c r="U270" i="8"/>
  <c r="BN64" i="56"/>
  <c r="BN55" i="56"/>
  <c r="U271" i="8"/>
  <c r="V197" i="8"/>
  <c r="V279" i="8"/>
  <c r="T277" i="8"/>
  <c r="U273" i="8"/>
  <c r="U275" i="8"/>
  <c r="U272" i="8"/>
  <c r="L19" i="6"/>
  <c r="P19" i="6"/>
  <c r="N19" i="6"/>
  <c r="Q19" i="6"/>
  <c r="K19" i="6"/>
  <c r="U19" i="6"/>
  <c r="O19" i="6"/>
  <c r="M19" i="6"/>
  <c r="R19" i="6"/>
  <c r="V19" i="6"/>
  <c r="T19" i="6"/>
  <c r="S19" i="6"/>
  <c r="K54" i="24"/>
  <c r="V272" i="8" l="1"/>
  <c r="V275" i="8"/>
  <c r="V273" i="8"/>
  <c r="V270" i="8"/>
  <c r="BO55" i="56"/>
  <c r="BO64" i="56"/>
  <c r="V271" i="8"/>
  <c r="V274" i="8"/>
  <c r="U277" i="8"/>
  <c r="O159" i="11"/>
  <c r="N159" i="11"/>
  <c r="M159" i="11"/>
  <c r="L159" i="11"/>
  <c r="K159" i="11"/>
  <c r="J159" i="11"/>
  <c r="O148" i="11"/>
  <c r="N148" i="11"/>
  <c r="M148" i="11"/>
  <c r="L148" i="11"/>
  <c r="K148" i="11"/>
  <c r="J148" i="11"/>
  <c r="O137" i="11"/>
  <c r="N137" i="11"/>
  <c r="M137" i="11"/>
  <c r="L137" i="11"/>
  <c r="K137" i="11"/>
  <c r="J137" i="11"/>
  <c r="O110" i="11"/>
  <c r="N110" i="11"/>
  <c r="M110" i="11"/>
  <c r="L110" i="11"/>
  <c r="K110" i="11"/>
  <c r="J110" i="11"/>
  <c r="O99" i="11"/>
  <c r="N99" i="11"/>
  <c r="M99" i="11"/>
  <c r="L99" i="11"/>
  <c r="K99" i="11"/>
  <c r="J99" i="11"/>
  <c r="O88" i="11"/>
  <c r="N88" i="11"/>
  <c r="M88" i="11"/>
  <c r="L88" i="11"/>
  <c r="K88" i="11"/>
  <c r="J88" i="11"/>
  <c r="O77" i="11"/>
  <c r="N77" i="11"/>
  <c r="M77" i="11"/>
  <c r="L77" i="11"/>
  <c r="K77" i="11"/>
  <c r="J77" i="11"/>
  <c r="O61" i="11"/>
  <c r="N61" i="11"/>
  <c r="M61" i="11"/>
  <c r="L61" i="11"/>
  <c r="K61" i="11"/>
  <c r="J61" i="11"/>
  <c r="O50" i="11"/>
  <c r="N50" i="11"/>
  <c r="M50" i="11"/>
  <c r="L50" i="11"/>
  <c r="K50" i="11"/>
  <c r="J50" i="11"/>
  <c r="O39" i="11"/>
  <c r="N39" i="11"/>
  <c r="M39" i="11"/>
  <c r="L39" i="11"/>
  <c r="K39" i="11"/>
  <c r="J39" i="11"/>
  <c r="O28" i="11"/>
  <c r="N28" i="11"/>
  <c r="M28" i="11"/>
  <c r="L28" i="11"/>
  <c r="K28" i="11"/>
  <c r="J28" i="11"/>
  <c r="V277" i="8" l="1"/>
  <c r="L63" i="11"/>
  <c r="L12" i="11" s="1"/>
  <c r="L112" i="11"/>
  <c r="L13" i="11" s="1"/>
  <c r="M63" i="11"/>
  <c r="M12" i="11" s="1"/>
  <c r="M112" i="11"/>
  <c r="M13" i="11" s="1"/>
  <c r="J63" i="11"/>
  <c r="J12" i="11" s="1"/>
  <c r="N63" i="11"/>
  <c r="N12" i="11" s="1"/>
  <c r="J112" i="11"/>
  <c r="J13" i="11" s="1"/>
  <c r="N112" i="11"/>
  <c r="N13" i="11" s="1"/>
  <c r="J126" i="11"/>
  <c r="J161" i="11" s="1"/>
  <c r="J14" i="11" s="1"/>
  <c r="N126" i="11"/>
  <c r="N161" i="11" s="1"/>
  <c r="N14" i="11" s="1"/>
  <c r="K63" i="11"/>
  <c r="K12" i="11" s="1"/>
  <c r="O63" i="11"/>
  <c r="O12" i="11" s="1"/>
  <c r="K112" i="11"/>
  <c r="K13" i="11" s="1"/>
  <c r="O112" i="11"/>
  <c r="O13" i="11" s="1"/>
  <c r="K126" i="11"/>
  <c r="K161" i="11" s="1"/>
  <c r="K14" i="11" s="1"/>
  <c r="O126" i="11"/>
  <c r="O161" i="11" s="1"/>
  <c r="O14" i="11" s="1"/>
  <c r="L126" i="11"/>
  <c r="L161" i="11" s="1"/>
  <c r="L14" i="11" s="1"/>
  <c r="M126" i="11"/>
  <c r="M161" i="11" s="1"/>
  <c r="M14" i="11" s="1"/>
  <c r="AC159" i="11"/>
  <c r="AB159" i="11"/>
  <c r="AA159" i="11"/>
  <c r="Z159" i="11"/>
  <c r="Y159" i="11"/>
  <c r="AD148" i="11"/>
  <c r="AB148" i="11"/>
  <c r="Y148" i="11"/>
  <c r="AC137" i="11"/>
  <c r="Y137" i="11"/>
  <c r="AC126" i="11"/>
  <c r="AB126" i="11"/>
  <c r="AA126" i="11"/>
  <c r="Y126" i="11"/>
  <c r="AD110" i="11"/>
  <c r="AC110" i="11"/>
  <c r="AB110" i="11"/>
  <c r="Y110" i="11"/>
  <c r="AD99" i="11"/>
  <c r="AC99" i="11"/>
  <c r="AB99" i="11"/>
  <c r="AA99" i="11"/>
  <c r="Z99" i="11"/>
  <c r="AC88" i="11"/>
  <c r="AB88" i="11"/>
  <c r="AA88" i="11"/>
  <c r="Z88" i="11"/>
  <c r="AB77" i="11"/>
  <c r="AA77" i="11"/>
  <c r="Z77" i="11"/>
  <c r="Y77" i="11"/>
  <c r="AD61" i="11"/>
  <c r="AC61" i="11"/>
  <c r="AB61" i="11"/>
  <c r="AA61" i="11"/>
  <c r="Z61" i="11"/>
  <c r="AD50" i="11"/>
  <c r="AC50" i="11"/>
  <c r="AB50" i="11"/>
  <c r="AA50" i="11"/>
  <c r="Z50" i="11"/>
  <c r="Y50" i="11"/>
  <c r="AD39" i="11"/>
  <c r="AC39" i="11"/>
  <c r="AB39" i="11"/>
  <c r="AA39" i="11"/>
  <c r="Z39" i="11"/>
  <c r="Y39" i="11"/>
  <c r="AD28" i="11"/>
  <c r="AC28" i="11"/>
  <c r="AB28" i="11"/>
  <c r="AA28" i="11"/>
  <c r="Z28" i="11"/>
  <c r="Y28" i="11"/>
  <c r="L11" i="11" l="1"/>
  <c r="N11" i="11"/>
  <c r="M11" i="11"/>
  <c r="K11" i="11"/>
  <c r="O11" i="11"/>
  <c r="Z126" i="11"/>
  <c r="AD126" i="11"/>
  <c r="J11" i="11"/>
  <c r="K42" i="12"/>
  <c r="K16" i="12" s="1"/>
  <c r="J42" i="12"/>
  <c r="J29" i="12"/>
  <c r="J16" i="12" l="1"/>
  <c r="R27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Nicole Weir</author>
  </authors>
  <commentList>
    <comment ref="C57" authorId="0" shapeId="0" xr:uid="{00000000-0006-0000-1400-000001000000}">
      <text>
        <r>
          <rPr>
            <sz val="11"/>
            <color indexed="81"/>
            <rFont val="Tahoma"/>
            <family val="2"/>
          </rPr>
          <t xml:space="preserve">Total IT systems and infrastructure end users isn't just the total on the two above sections. It is the discrete total number. End users could be non-operational and operational. So don't add in sum of the two catoegries above.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Jonathan Farrier</author>
  </authors>
  <commentList>
    <comment ref="B56" authorId="0" shapeId="0" xr:uid="{00000000-0006-0000-2800-000001000000}">
      <text>
        <r>
          <rPr>
            <b/>
            <sz val="12"/>
            <color indexed="81"/>
            <rFont val="Tahoma"/>
            <family val="2"/>
          </rPr>
          <t>JF:</t>
        </r>
        <r>
          <rPr>
            <sz val="12"/>
            <color indexed="81"/>
            <rFont val="Tahoma"/>
            <family val="2"/>
          </rPr>
          <t xml:space="preserve">
Also include the costs and workloads for projects =&gt;£0.5m in the above aggregate tables for general and specific reinforcement.</t>
        </r>
      </text>
    </comment>
  </commentList>
</comments>
</file>

<file path=xl/sharedStrings.xml><?xml version="1.0" encoding="utf-8"?>
<sst xmlns="http://schemas.openxmlformats.org/spreadsheetml/2006/main" count="44004" uniqueCount="3710">
  <si>
    <t>Business Plan Data Templates</t>
  </si>
  <si>
    <t xml:space="preserve"> </t>
  </si>
  <si>
    <t>RIIO-GD2</t>
  </si>
  <si>
    <t>Business Plan Data Template</t>
  </si>
  <si>
    <t>(Final v3)</t>
  </si>
  <si>
    <t>GDN Name:</t>
  </si>
  <si>
    <t>Master</t>
  </si>
  <si>
    <t>Date of Submission:</t>
  </si>
  <si>
    <t>CONTENTS AND VERSION CONTROL</t>
  </si>
  <si>
    <t>Colour Codes</t>
  </si>
  <si>
    <t>GDN input</t>
  </si>
  <si>
    <t>Auto calculation</t>
  </si>
  <si>
    <t>Version Submission Control</t>
  </si>
  <si>
    <t>Date submitted</t>
  </si>
  <si>
    <t>Specify: Date</t>
  </si>
  <si>
    <t>Submission version number</t>
  </si>
  <si>
    <t>Specify: Version number</t>
  </si>
  <si>
    <t>(Hyper Links to tables)</t>
  </si>
  <si>
    <t>Mark 'X' when complete</t>
  </si>
  <si>
    <t>Table Type</t>
  </si>
  <si>
    <t>Table No.</t>
  </si>
  <si>
    <t>Table Name</t>
  </si>
  <si>
    <t>Financial Issues</t>
  </si>
  <si>
    <t>Universal Data</t>
  </si>
  <si>
    <t>BPFM Inputs</t>
  </si>
  <si>
    <t>BP Financial Requirements</t>
  </si>
  <si>
    <t>1.02b</t>
  </si>
  <si>
    <t>Debt</t>
  </si>
  <si>
    <t>1.02c</t>
  </si>
  <si>
    <t>Interest</t>
  </si>
  <si>
    <t>BP Tax Inputs</t>
  </si>
  <si>
    <t>BP Disposals 1</t>
  </si>
  <si>
    <t>BP Disposals 2</t>
  </si>
  <si>
    <t>Totex</t>
  </si>
  <si>
    <t>Totex Summary</t>
  </si>
  <si>
    <t>GD1 Adjustments</t>
  </si>
  <si>
    <t>Opex</t>
  </si>
  <si>
    <t>Opex Summary</t>
  </si>
  <si>
    <t>Opex Cost Matrix: Controllable Activity Costs</t>
  </si>
  <si>
    <t>Opex Cost Matrix: Non-Controllable Activity Costs</t>
  </si>
  <si>
    <t>Emergency</t>
  </si>
  <si>
    <t>Maintenance</t>
  </si>
  <si>
    <t>Business Support Group</t>
  </si>
  <si>
    <t>Business Support Allocation</t>
  </si>
  <si>
    <t>IT &amp; Telecoms Group</t>
  </si>
  <si>
    <t>Property Management Group</t>
  </si>
  <si>
    <t>Insurance Group</t>
  </si>
  <si>
    <t>CEO &amp; Corporate - Network costs</t>
  </si>
  <si>
    <t>Insource/Outsource</t>
  </si>
  <si>
    <t>Real Price Effects (RPE) &amp; Ongoing Efficiency</t>
  </si>
  <si>
    <t>Full Time Equivalent (FTE)</t>
  </si>
  <si>
    <t>Training &amp; Apprentices: Costs</t>
  </si>
  <si>
    <t>Training &amp; Apprentices: Programmes</t>
  </si>
  <si>
    <t>Training &amp; Apprentices: Numbers</t>
  </si>
  <si>
    <t>Shrinkage</t>
  </si>
  <si>
    <t>Street Works</t>
  </si>
  <si>
    <t>Low-Pressure Gasholders</t>
  </si>
  <si>
    <t>Land Remediation</t>
  </si>
  <si>
    <t>Statutory Independent Undertakings (SIU)</t>
  </si>
  <si>
    <t>Opex/Repex/Capex</t>
  </si>
  <si>
    <t>Smart Metering</t>
  </si>
  <si>
    <t>Related Party Transactions</t>
  </si>
  <si>
    <t>Capex</t>
  </si>
  <si>
    <t>Capex Summary</t>
  </si>
  <si>
    <t>LTS, Storage &amp; Entry</t>
  </si>
  <si>
    <t>Reinforcement (&lt;7 barg)</t>
  </si>
  <si>
    <t>Governors</t>
  </si>
  <si>
    <t>Connections</t>
  </si>
  <si>
    <t>Other Capex</t>
  </si>
  <si>
    <t>Transport &amp; Plant (Opex &amp; Capex)</t>
  </si>
  <si>
    <t>Capitalised Overheads</t>
  </si>
  <si>
    <t>Repex</t>
  </si>
  <si>
    <t>Repex Summary</t>
  </si>
  <si>
    <t>Repex Mains Tier-1</t>
  </si>
  <si>
    <t>Repex Mains Tier-2A</t>
  </si>
  <si>
    <t>Repex Mains Tier-2B &amp; 3</t>
  </si>
  <si>
    <t>Repex Mains Other</t>
  </si>
  <si>
    <t>Repex Mains Diversions</t>
  </si>
  <si>
    <t>Capitalised Replacement</t>
  </si>
  <si>
    <t xml:space="preserve">Repex Services </t>
  </si>
  <si>
    <t>Repex Multiple Occupancy Buildings (MOB)</t>
  </si>
  <si>
    <t>Repex Cost Breakdown</t>
  </si>
  <si>
    <t>Mains Risk Prioritisation System (MRPS)</t>
  </si>
  <si>
    <t>Dynamic Growth Tier 1</t>
  </si>
  <si>
    <t>Robotic Intervention</t>
  </si>
  <si>
    <t>Other</t>
  </si>
  <si>
    <t>LTS &amp; Entry Assets</t>
  </si>
  <si>
    <t>Network Assets</t>
  </si>
  <si>
    <t>Capacity &amp; Storage Assets</t>
  </si>
  <si>
    <t>Capacity &amp; Demand</t>
  </si>
  <si>
    <t>Capacity Output</t>
  </si>
  <si>
    <t>Modern Equivalent Asset Value (MEAV) Assets</t>
  </si>
  <si>
    <t>PRE, Reports &amp; Repairs</t>
  </si>
  <si>
    <t>Safety</t>
  </si>
  <si>
    <t>Reliability</t>
  </si>
  <si>
    <t>Business Carbon Footprint (BCF)</t>
  </si>
  <si>
    <t>Innovation</t>
  </si>
  <si>
    <t>Cyber Security OT</t>
  </si>
  <si>
    <t>Cyber Security IT</t>
  </si>
  <si>
    <t>Physical Security Capex</t>
  </si>
  <si>
    <t>Physical Security Opex</t>
  </si>
  <si>
    <t>Environmental Action Plan (EAP)</t>
  </si>
  <si>
    <t>NARM Reconciliation</t>
  </si>
  <si>
    <t>Bespoke &amp; Uncertain Activities</t>
  </si>
  <si>
    <t>BPDT Version</t>
  </si>
  <si>
    <t>Table number</t>
  </si>
  <si>
    <t>Table name</t>
  </si>
  <si>
    <t>Changes made in the Business Plan Data Tables</t>
  </si>
  <si>
    <t>Cross reference to RIGs</t>
  </si>
  <si>
    <t>Change made by</t>
  </si>
  <si>
    <t>Version 1.0</t>
  </si>
  <si>
    <t>All Tables</t>
  </si>
  <si>
    <t>Draft issue (29th March 2019)</t>
  </si>
  <si>
    <t>Opex Cost Matrix - C</t>
  </si>
  <si>
    <t>Training and Apprentices summary J15 - V15 changed to display correct number (J505 - V505)</t>
  </si>
  <si>
    <t>Ofgem</t>
  </si>
  <si>
    <t>J92 sum included median days (row 90) in total number of repairs. Sum amended to remove row 90</t>
  </si>
  <si>
    <t>Subtotals in row 213 and 219 have been corrected</t>
  </si>
  <si>
    <t>Property Management</t>
  </si>
  <si>
    <t>Check in row 18 had incorrect reference to total. Replaced 172 with 17 in the forumla in row 18</t>
  </si>
  <si>
    <t>BCF</t>
  </si>
  <si>
    <t>Subtotals in rows 34, 43, 78, and 87 have been corrected</t>
  </si>
  <si>
    <t xml:space="preserve">Formula added to reinforcement workload cells </t>
  </si>
  <si>
    <t xml:space="preserve">Added Transport &amp; Plant to net costs, and to the sum of net costs. </t>
  </si>
  <si>
    <t>Rows 130, 135 and 140 updated to capture both cells above, not just the one cell</t>
  </si>
  <si>
    <t>Service interventions:domestic and service interventions: non-domestic rows updated to remove reference to workloads in Rows 130-190 in the 4.06 services sheet</t>
  </si>
  <si>
    <t xml:space="preserve">Rows 102, 103, 107, 108 - added in services from &gt;30m iron mains, &gt;2" steel mains for general, diversions (rechargeable and non-rechargeable) and capitalised replacement </t>
  </si>
  <si>
    <t>Added in sections for:
- 'Services not associated with mains replacement' section, summarising domestic and non-domestic service costs and volumes
- Repex Summary - providing a summary total for all of the repex categories in a single place</t>
  </si>
  <si>
    <t>Moved 'Decommissioned Summary' table to workloads column to align with other data, and left other cells inbetween blank</t>
  </si>
  <si>
    <t>n/a</t>
  </si>
  <si>
    <t>Added a new worksheet for capturing any net cost or workload adjustments for GD1</t>
  </si>
  <si>
    <t>Related Party</t>
  </si>
  <si>
    <t>New worksheet. Content and format yet to be finalised, but should align with the GD1 BPDT.</t>
  </si>
  <si>
    <t>Added a new worksheet for displaying net totex costs for each year of GD1 and GD2</t>
  </si>
  <si>
    <t>Opex Cost Matrix</t>
  </si>
  <si>
    <t>Renamed summary table heading to "NET COSTS", and amended formulas to sum net costs. Meaning that these costs are net of contributions and recoveries.</t>
  </si>
  <si>
    <t>Structure realigned to match RRP - general confusion over how to complete the previous tables.</t>
  </si>
  <si>
    <t>Removed "(Incl. Buyouts)" after the "MOBs" category.</t>
  </si>
  <si>
    <t>New worksheet added to capture smart metering costs. This aligns with the RRP</t>
  </si>
  <si>
    <t>Section added to calculate the total scope 1, scope 2 and scope 3 emissions</t>
  </si>
  <si>
    <t>Conversion factor unit changes to an input cell</t>
  </si>
  <si>
    <t>Electricity substation row removed</t>
  </si>
  <si>
    <t>Contractor emissions input cells added in rows 67, 76, 85, 90,and 98 for RIIO-1. Formula in summary added to include contractor emissions for GD1.</t>
  </si>
  <si>
    <t>Added in breakdown of shrinkage (leakage, own use gas, gas theft). Shrinkage CO2e in summary changed from input to calculation from shrinkage data below.</t>
  </si>
  <si>
    <t xml:space="preserve">Changed tab to only capture gross costs, contributions, and to calculate net costs for each activity that makes up business support. </t>
  </si>
  <si>
    <t xml:space="preserve">Changed tab to capture allocated costs to GDNs, other businesses (UK regulated, and other non-regulated. It also captures the additional allocation information previously in tab 2.08, 2.10 and 2.12. Captures gross costs, contrinutions and calculates net costs. </t>
  </si>
  <si>
    <t>IT &amp; Telecoms Allocation</t>
  </si>
  <si>
    <t>Delete. Information now in 2.06</t>
  </si>
  <si>
    <t xml:space="preserve">Changed building specifications to capture number and net internal area of category 1,2 and 3, and training centres, rather than office, depot and trainin centres. </t>
  </si>
  <si>
    <t xml:space="preserve">Deleted data on individual builidngs, and replaced with summary for category 3 buildings. </t>
  </si>
  <si>
    <t>Property Management Allocation</t>
  </si>
  <si>
    <t>Insurance Allocation</t>
  </si>
  <si>
    <t>CEO &amp; Corporate</t>
  </si>
  <si>
    <t xml:space="preserve">Changed tab to capture network level CEO and corporate costs at same level of disaggregation. </t>
  </si>
  <si>
    <t xml:space="preserve">Added new worksheet for capturing innovation roll out costs for projects, and NIA funding. </t>
  </si>
  <si>
    <t>Cyber Security Operational Technology</t>
  </si>
  <si>
    <t xml:space="preserve">Added new worksheet for capturing cyber security costs. </t>
  </si>
  <si>
    <t>Cyber Security Information Technology</t>
  </si>
  <si>
    <t>Added new worksheet for capturing Capex physical security costs.</t>
  </si>
  <si>
    <t>Added new worksheet for capturing Oapex physical security costs.</t>
  </si>
  <si>
    <t xml:space="preserve">Split out the Indirect Opex Recharged to Repex and Indirect Opex Recharged to Capex into component activities. </t>
  </si>
  <si>
    <t xml:space="preserve">Suggested change to the naming of total costs to total costs after capitalisation (for gross and net totals). </t>
  </si>
  <si>
    <t>RPE_OE</t>
  </si>
  <si>
    <t>Added input fields for each year of GD1.</t>
  </si>
  <si>
    <t>FTE</t>
  </si>
  <si>
    <t>Removed reference to Diversions &lt;7barg in the capex table, since this category has now been removed from the BPDT.</t>
  </si>
  <si>
    <t>Deleted the Capitalised Overheads row, since these costs are already included in activity-level costs.
Deleted the Reinforcement ≥£0.5m row (row 22), since this is already included in the individual components of general and specific reinforcement.
Deleted the Diversions rows, since diversions are fully captured within LTS, Storage &amp; Entry and Repex.</t>
  </si>
  <si>
    <t>Removed the Reinforcement ≥ £0.5m (General and Specific) row from the summary (row 22), since these costs are already included in the individual categories for general and specific reinforcement, and hence were being double-counted.</t>
  </si>
  <si>
    <t>Changed the governor categories to align with the new categories within 3.04.</t>
  </si>
  <si>
    <t>Removed the line for Connections -&gt; Projects =&gt;50k, as this table has been reduced in sheet 3.05 to number of new enquiries and number of new connections. As a result, costs related to projects &gt;50k should now be included in the connections tables for domestic and non-domestic.</t>
  </si>
  <si>
    <t>Deleted the CBA tables, since this information should be adequately captured in IDPs.</t>
  </si>
  <si>
    <t>Added two new specification fields to the specifications tables - cost confidence and narrative reference.</t>
  </si>
  <si>
    <t>Reinforcement</t>
  </si>
  <si>
    <t>Updated the summary table at the top of the sheet by removing row 15 (Reinforcement ≥£0.5m (General and Specific)) - because projects ≥£0.5m are already included in the individual general and specific reinforcement categories. Also, have amended the titles of the individual tables for general and specific reinforcement to make clear that these tables are intended to capture all projects, even those ≥£0.5m.</t>
  </si>
  <si>
    <t>Reduced the district governor categories to only IP Inlet and MP Inlet.</t>
  </si>
  <si>
    <t>Diversions</t>
  </si>
  <si>
    <t>Deleted this sheet, since diversions are fully captured within LTS, Storage &amp; Entry and Repex.</t>
  </si>
  <si>
    <t>New breakdown of governor intervention types: Full Replacement, Housing Replacement Only, Refurbishment (Incl. Component Replacement), Decommission. This more closely aligns with the RRPs.</t>
  </si>
  <si>
    <t>Reduced all district governor categories to only IP Inlet and MP Inlet.</t>
  </si>
  <si>
    <t>Forecasts for projects =&gt;50k has now been reduced to only number of new enquiries and number of new connections. Forecasts for projects =&gt;50k should also now be included in the above tables for domestic and non-domestic connections. As result, the specific line in the summary table for projects =&gt;50k has been removed.</t>
  </si>
  <si>
    <t>Xoserve Projects &gt;£50k has been refined down to a single row - i.e. large Xoserve spend in aggregate rather than project-specific.</t>
  </si>
  <si>
    <t>New sheet added to capture dynamic growth for tier-1, which was previously captured within the tier-1 sheet.</t>
  </si>
  <si>
    <t>New sheet added to capture robotic intervention activities - e.g. CISBOT.</t>
  </si>
  <si>
    <t>Removed LDZ splits.</t>
  </si>
  <si>
    <t>Governor categories reduced to IP Inlet and MP Inlet. Now consistent with governor classifications elsewhere.</t>
  </si>
  <si>
    <t>Added new table to capture adjustments to capacity (mcm b/f).</t>
  </si>
  <si>
    <t>Removed LDZ splits for Storage.</t>
  </si>
  <si>
    <t>Removed diameter bands for actioned condition-related service repairs.</t>
  </si>
  <si>
    <t>Version circulated for comment 15/08/19</t>
  </si>
  <si>
    <t>Opex Cost Matrix - NC</t>
  </si>
  <si>
    <t xml:space="preserve">Added in Xoserve because they will be treated as pass through costs in RIIO-2. </t>
  </si>
  <si>
    <t xml:space="preserve">Added in Xoserve into the Non-Controllable Opex Costs table </t>
  </si>
  <si>
    <t xml:space="preserve">Changed layout of tab so that the number of sites is captured in a new column to the right of the workload, rather than in separate rows with the workload. Empty rows have been deleted. </t>
  </si>
  <si>
    <t>3.01, 3.02, 5.10</t>
  </si>
  <si>
    <t>LTS Storage &amp; Entry, Reinforcement, BCF</t>
  </si>
  <si>
    <t xml:space="preserve">In instances where there was a total with input cells for historical data and calculations for forecasts, this has been split out into two separate rows. </t>
  </si>
  <si>
    <t>Removed Lane Rental Applications from the Permit &amp; Applications table. This is because there are no application costs assocaited with lane rental, just a daily charge. These costs are still captured in the second table titled Lane Rental.</t>
  </si>
  <si>
    <t xml:space="preserve">Updated tab. Removed individual categories within the overall number of unplanned interruptions (with the exception that Cadent Lon will have to provide separate numbers for MOBs and non-MOBs). Added a calculation of average interruption duration. Added a requirement to provide headroom for RIIO-GD2, and large event allowance for all years. </t>
  </si>
  <si>
    <t>Opex Cost Matrix - Controllable</t>
  </si>
  <si>
    <t>Added two new tables at the bottom of the sheet to capture disallowed and allowed related party and substantial outsourcing margins at the activity level. This was previously captured as a single line item in 2.00 Opex Summary sheet. This new format offers more granularity of data, and aligns with the format of the GD1 RRP.</t>
  </si>
  <si>
    <t>Changed the line item for disallowed related party and substantial outsourcing margins from an input to a formula, as this detail is now being captured in 2.01 Opex Cost Matrix - Controllable.</t>
  </si>
  <si>
    <t xml:space="preserve">Updated tab. Removed requirement to input data at the LDZ level. </t>
  </si>
  <si>
    <t xml:space="preserve">Developed this new worksheet. Captures the name of each related party and a description of the services provided to GDN. For each related party, the table captures turnover and costs (split by opex, capex and repex), and calculates the margin. </t>
  </si>
  <si>
    <t xml:space="preserve">Updated 'NTS Pension Recharge' to 'Pension Deficit Charge Adjustment (NTS Pension Recharge)' to match terminology used in Sector Methodology Consultation docuemnts. </t>
  </si>
  <si>
    <t xml:space="preserve">Removed rows for property insurance as this is captured in 2.11 Insurance Group. </t>
  </si>
  <si>
    <t>Transport and Plant</t>
  </si>
  <si>
    <t xml:space="preserve">Updated formatting so that workload data is in a separate column on the right. </t>
  </si>
  <si>
    <t xml:space="preserve">Added in section for 'Other Emission Sources' to GDN and Contractor Emissions.
Split 'Road' into Diesel, Petrol and LPG for GDN and Contractor Emissions.
Split 'Air' into Domestic, European and International for GDN Emissions. 
</t>
  </si>
  <si>
    <t>Changed heading names within the Permit &amp; Notice Applications table to differentiate between permits and notices. Previously permits and notices were grouped together within each category. Notices (with the exception of TTRN) are now aggregated into a single Notices section.</t>
  </si>
  <si>
    <t>Productivity table has been removed.</t>
  </si>
  <si>
    <t>Workload breakdown table subheadings changed from "Projects/Jobs" to "Projects".</t>
  </si>
  <si>
    <t>Removed the Reinstatement Breakdown table.</t>
  </si>
  <si>
    <t>Remvoed the Traffic Management Breakdown table.</t>
  </si>
  <si>
    <t>Simplified the Repex categories within each breakdown table.</t>
  </si>
  <si>
    <t>Removed the Adminstration table.</t>
  </si>
  <si>
    <t>Removed the Productivity table.</t>
  </si>
  <si>
    <t>Other changes, including: introduction of lane rental avoidance charges; simplification of inspection categories; simplification of penalty charges, with the introduction of a separate category for Section 74 overstay charges; changed unit rates from £m to £k.</t>
  </si>
  <si>
    <t>Added a new specification field to record the NARM intervention category relating to each project.</t>
  </si>
  <si>
    <t>Added a new worksheet to capture NARM costs and workloads.</t>
  </si>
  <si>
    <t>Bespoke Outputs &amp; Uncertainties</t>
  </si>
  <si>
    <t>Added a new worksheet to capture bespoke outputs and uncertain costs, plus associated workloads and CVP.</t>
  </si>
  <si>
    <t>Amended formula for Mains Decommissioned: Other Policy &amp; Condition (Incl. Diversions &amp; Capitalised Replacement) to include iron mains &gt;30m and steel mains (rows 160 and 177, respectively, from sheet 4.04).</t>
  </si>
  <si>
    <t>Repex Tier 1</t>
  </si>
  <si>
    <t>Row 65 in the Mains Decommissioned table was incorrectly named Ductile Iron: Low Pressure. This has been corrected to Cast Iron &amp; Spun Iron: Low-Pressure.</t>
  </si>
  <si>
    <t>Opex Cost Matrix NC</t>
  </si>
  <si>
    <t>Removed input cells for PPF Levy Costs and Pension Scheme Administration Costs in RIIO-2, since these will now be treated as part of Totex.</t>
  </si>
  <si>
    <t>Opex Cost Matrix C</t>
  </si>
  <si>
    <t>Added input cells for PPF Levy Costs and Pension Scheme Administration Costs in RIIO-2 under ODA, since these will now be treated as part of Totex.</t>
  </si>
  <si>
    <t>Repex Sheets</t>
  </si>
  <si>
    <t>Sheets 4.04, 4.05 and 4.06 incorrectly stated metric diameter bands for a number of mains decommissioning categories. These have now been converted to imperial diameter bands.</t>
  </si>
  <si>
    <t>Gross Costs tables renamed Net Costs.</t>
  </si>
  <si>
    <t>Dynamic Growth</t>
  </si>
  <si>
    <t>Table names have been changed, as they were incorrectly labelled as cost summaries yet their purpose is to record workload for mains and services.</t>
  </si>
  <si>
    <t>A separate table added for mains commissioned, which is intended to capture any robotic intervention costs recorded against repex.</t>
  </si>
  <si>
    <t xml:space="preserve">BP_Financial_Requirements </t>
  </si>
  <si>
    <t>rows, 54,55, 108, 114, 120. Cell format changed from % to numeric</t>
  </si>
  <si>
    <t>K216, K233. amended cell discription to £m as values can be positive or negative, cash/overdraft</t>
  </si>
  <si>
    <t>J233. Description amendment to "Total interest on cash, short term deposits and overdrafts"</t>
  </si>
  <si>
    <t>J154. Description amendment to 'paying'</t>
  </si>
  <si>
    <t>BP_Tax_Inputs</t>
  </si>
  <si>
    <t>row 101 deleted, LiMo calculates actual company forecast tax based on actual company forecast interest (and other inputs)</t>
  </si>
  <si>
    <t>Row 268 and 269 added to capture actual forecast equity issuance transaction costs</t>
  </si>
  <si>
    <t>BPFM_Inputs</t>
  </si>
  <si>
    <t>Added section on RIIO-2 additional cost categories consistent with LIMO model</t>
  </si>
  <si>
    <t>Row 34,44 adjusted to include transfer and revision amounts, use opening balance</t>
  </si>
  <si>
    <t>Changed statuatory depreciation headings</t>
  </si>
  <si>
    <t>Corrected incorrect sign in row 50</t>
  </si>
  <si>
    <t>row 130 formula corrected to refer to row 134 (was referring to 136)</t>
  </si>
  <si>
    <t>The total formula row in the RPE Weightings table has been removed. Each expenditure category subtotal should add to 100%.</t>
  </si>
  <si>
    <t>Formula corrections in the net costs table.</t>
  </si>
  <si>
    <t>Added in an extra reference field to capture the BPFM input related to the adjustment.</t>
  </si>
  <si>
    <t>Added in Network Innovation (excl. IRM) and Innovation Roll-Out Expenditure (IRM) for RIIO-1 only.</t>
  </si>
  <si>
    <t>Corrected links to other worksheets. Also removed non-controllable costs.</t>
  </si>
  <si>
    <t xml:space="preserve">Formula for the calculation of major incidnets changed to capture the impact of major incidents on the average duration of unplanned interruptions. This is in columns AN-AZ, rows 32 and 41. </t>
  </si>
  <si>
    <t xml:space="preserve">Changed total scope of emissions for GDN and contractors to input cells. </t>
  </si>
  <si>
    <t>EAP</t>
  </si>
  <si>
    <t xml:space="preserve">In Local Pollution table, removed requirement to input % brekdown from source, and added total number of pollution events. </t>
  </si>
  <si>
    <t>Corrected the total shrinkage cost formula to use shrinkage volume instead of throughput.
Added calculations for the associated emissions (tCO2e) of shrinkage using the workload data and BCF/shrinkage assumptions. 
Emission calculations are extended out until the end of IMPR (see guidacne for detail on assumptions used in calculation). 
Added cells to input leakage volume for services, low pressure mains and medium pressure mains for the last year of IMRP.</t>
  </si>
  <si>
    <t>Removed the dynamic growth table for tier-1 services.</t>
  </si>
  <si>
    <t>General simplifications to level of detail and number of input years. Table titles changed from Gross Costs to Net Costs, reflecting the intention to capture post-capitalised costs.</t>
  </si>
  <si>
    <t>T&amp;A Numbers</t>
  </si>
  <si>
    <t>Simplified the sheet by removing references to individual programmes. The tables now captures positions created and apprentices/trainees qualifying aggregated for each trainee type.</t>
  </si>
  <si>
    <t>Simplified the Capex and Repex tables, which now record FTEs at a single aggregated level.</t>
  </si>
  <si>
    <t>Removed the entry cells within each uncertainties table for the last two years of RIIO-1. The uncertain tables now only capture GD2 costs.</t>
  </si>
  <si>
    <t>Updated the breakdown of governors to align with the RRP.</t>
  </si>
  <si>
    <t>Removed Wayleaves/Servitudes/Easements, street works, LP gasholder, reinstatement, and land remediation from the pre-specified list of reporting categories. Xoserve now limited to ODA.</t>
  </si>
  <si>
    <t>Updated table titles to Net Costs. Updated total lables to Net Costs Before/After Contributions &amp; Recoveries. Amended the structure of the summary table to separate out non price-controlled activities.</t>
  </si>
  <si>
    <t>Removed Contributions and Net Costs tables.</t>
  </si>
  <si>
    <t>Removed Contributions and Net Costs tables. Added in tables against each business support category to capture Costs allocated to Capex and Costs Allocated to Repex.</t>
  </si>
  <si>
    <t>Removed the Building Summary table, as this information can be derived from the List of Buildings table instead.</t>
  </si>
  <si>
    <t>LP Gasholder</t>
  </si>
  <si>
    <t>Changed terminology of network intervention costs to Associated Capex.
Table titles changed to Net Costs.</t>
  </si>
  <si>
    <t>Table titles changed to Net Costs.</t>
  </si>
  <si>
    <t>All tables</t>
  </si>
  <si>
    <t>Redundant tabs deleted and tab names updated.</t>
  </si>
  <si>
    <t>Final BPDT published 20/09/2019</t>
  </si>
  <si>
    <t xml:space="preserve">Changed formatting in cells Y143 to AK144 to 3 decimal places. </t>
  </si>
  <si>
    <t>Changed reference in J22 from  “='2.00_Opex_Summary'!J1” to “='2.01_Opex_Cost_Matrix_C'!J160”</t>
  </si>
  <si>
    <t xml:space="preserve">Changed formula in row 71 to sum the relevant colum of rows 24:31 in the Opex Cost Matrix NC tab. E.g cell J1 in the Opex summary has been changed to “=SUM('2.02_Opex_Cost_Matrix_NC'!J24:J31)” </t>
  </si>
  <si>
    <t>Change the formula in cell J15 on sheet 4.11 Dynamic Growth Tier-1 Mains to: "='4.00_Repex_Summary'!BC177+'4.00_Repex_Summary'!BC182"</t>
  </si>
  <si>
    <t>Xoserve costs will be treated as pass-through in RIIO-GD2, so all Xoserve costs in RIIO-GD2 should be reported in sheet 2.02 Opex Cost Matrix - Non-Controllable.</t>
  </si>
  <si>
    <t>Changed the following formulas:
Row 41: SUM 22:24, changed to SUM 35:37
Row 42 = Cell 25, changed to cell 38
Row 54 = SUM 22:24,changed to SUM 48:50
Row 55 = Cell 25, changed to cell 51</t>
  </si>
  <si>
    <t>N/A</t>
  </si>
  <si>
    <t>If GDNs are reporting Repex and Opex sub-deducts elsewhere in the BPDT, we ask that this be flagged to us using the BPDT commentary so that we can trace it through.</t>
  </si>
  <si>
    <t>Change row 15 formulas changed to sum 12:14 instead of 12:13.</t>
  </si>
  <si>
    <t>Capitalised replacement</t>
  </si>
  <si>
    <t xml:space="preserve">Changed formulas to:
Cell BC173: =SUM(BC115,BC121,BC127,BC132,BC144,BC147,BC159,BC171)
Cell BE173: =SUM(BE115, BE121,BE127,BE132,BE144,BE147,BE159,BE171)
Cell BG173: =SUM(BG115,BG121,BG127,BG132,BG144,BG147,BG159,BG171)
Cell BR173: =SUM(BR115,BR121,BR127,BR132,BR144,BR147,BR159,BR171)
Cell BT173: =SUM(BT115,BT121,BT127,BT132,BT144,BT147,BT159,BT171)
Cell BV173: =SUM(BV115,BV121,BV127,BV132,BV144,BV147,BV159,BV171)
</t>
  </si>
  <si>
    <t xml:space="preserve">Bespoke &amp; Uncertain Activities </t>
  </si>
  <si>
    <t>Added “/1000” to each of the formulas in cells J59 to N60.</t>
  </si>
  <si>
    <t xml:space="preserve">Chagned forumlas in row 157 to sum the two cells above instead of just the cell in row 155. </t>
  </si>
  <si>
    <t>Repex MOB</t>
  </si>
  <si>
    <t>Added formula "=S39" to cell S14</t>
  </si>
  <si>
    <t>Changed formulas in row 58 to sum row 46:56 (eg =SUM(J46:J56)  etc.)</t>
  </si>
  <si>
    <t>Changed headings in cells B116: B122 to:
Total emissions
Total kilometres travelled
Network length
Licence area
Carbon intensity - by operational km
Carbon intensity - by network length
Carbon intensity - by licence area</t>
  </si>
  <si>
    <t xml:space="preserve">Corrected the formulas in a number of cells to link to the correct columns that contain workload data ('4.07_Repex_Services' tab, columns AN:AZ). </t>
  </si>
  <si>
    <t xml:space="preserve">Removed reference to 4.07_Repex_Services rows 165:171, 234:240 and 303:309 from the forumlas of in the following cells. The rest of the formula has been kept the same.
</t>
  </si>
  <si>
    <t>Changed formula in cells BC146:BO146 to sum cells 144 and 145 from above (in the same column and the subtotals).</t>
  </si>
  <si>
    <t>In cells BC177:BO177, the first part of formula was summing the total from row 84 on 4.01 Repex Main Teir 1. This has been changed to sum rows 63, 70 and 77 instead, to exclude &lt;=2" Steel (which is included elsewhere in the repex summary).</t>
  </si>
  <si>
    <t xml:space="preserve">Added to the forumlas in cells BC182:BO182 to sum &lt;=2" Steel workload from tabs 4.05 and 4.06 as well as 4.01. </t>
  </si>
  <si>
    <t xml:space="preserve">Changed subtotals in cells BC183:BO183 to sum the cells above in rows 177:182. </t>
  </si>
  <si>
    <t xml:space="preserve">Chaged formulas in cells BC181:BO181 to sum all the Other Policy &amp; Condition (Incl. Diversions &amp; Capitalised Replacement) workload. Previously the sum was missing out some of the Steel &gt;2", Iron &gt;30m and MPDI from Diversions (4.05) and Capitalised Replacement (4.06) tabs. </t>
  </si>
  <si>
    <t>Meav Assets</t>
  </si>
  <si>
    <t xml:space="preserve">The last element of the SUM formula has been removed for:
LTS Pipelines: for cells P12 to V17 and P21 to V24
NTS Offtakes: for cells P31 to V31
PRS: for cells P37 to V37
Embedded Gas Entry Points: for cells P43 to V44
Above-Ground Installations (AGI): for cells P51 to V51
</t>
  </si>
  <si>
    <t xml:space="preserve">Distribution Mains: All Materials &amp; Pressures: for cells O71 to O79, amended the SUM formula to pick up adjustments to populations in the year 2018/19. </t>
  </si>
  <si>
    <t xml:space="preserve">NTS Offtakes: Capacity of Assets: NTS Flat. For cells AE31 to AK31, the last element in the SUM formula has been removed. </t>
  </si>
  <si>
    <t>Company names and date input</t>
  </si>
  <si>
    <t>Full name</t>
  </si>
  <si>
    <t>Abbreviation</t>
  </si>
  <si>
    <t>Enter GDN number from Table to the right</t>
  </si>
  <si>
    <t>MASTER</t>
  </si>
  <si>
    <t>LDZ1</t>
  </si>
  <si>
    <t>LDZ2</t>
  </si>
  <si>
    <t>LDZ3</t>
  </si>
  <si>
    <t>LDZ</t>
  </si>
  <si>
    <t>LDZ name</t>
  </si>
  <si>
    <t>GDN1</t>
  </si>
  <si>
    <t>East of England</t>
  </si>
  <si>
    <t>Scotland</t>
  </si>
  <si>
    <t>Northern</t>
  </si>
  <si>
    <t>Wales and West</t>
  </si>
  <si>
    <t>E Mid</t>
  </si>
  <si>
    <t>East</t>
  </si>
  <si>
    <t>NW</t>
  </si>
  <si>
    <t>North West</t>
  </si>
  <si>
    <t>GDN2</t>
  </si>
  <si>
    <t>London</t>
  </si>
  <si>
    <t>Southern</t>
  </si>
  <si>
    <t>N Thames</t>
  </si>
  <si>
    <t>East Midlands</t>
  </si>
  <si>
    <t>GDN3</t>
  </si>
  <si>
    <t>Other GDNs in same group</t>
  </si>
  <si>
    <t>Eastern</t>
  </si>
  <si>
    <t>GDN4</t>
  </si>
  <si>
    <t>West Midlands</t>
  </si>
  <si>
    <t>W Mid</t>
  </si>
  <si>
    <t>North</t>
  </si>
  <si>
    <t>NE</t>
  </si>
  <si>
    <t>Scot</t>
  </si>
  <si>
    <t>SE</t>
  </si>
  <si>
    <t>South</t>
  </si>
  <si>
    <t>North Thames</t>
  </si>
  <si>
    <t>Related Parties</t>
  </si>
  <si>
    <t>Wales &amp; West</t>
  </si>
  <si>
    <t>N Wales</t>
  </si>
  <si>
    <t>S Wales</t>
  </si>
  <si>
    <t>SW</t>
  </si>
  <si>
    <t>Wales North</t>
  </si>
  <si>
    <t>RP1</t>
  </si>
  <si>
    <t>North East</t>
  </si>
  <si>
    <t>RP2</t>
  </si>
  <si>
    <t>RP3</t>
  </si>
  <si>
    <t>Wales South</t>
  </si>
  <si>
    <t>RP4</t>
  </si>
  <si>
    <t>RP5</t>
  </si>
  <si>
    <t>South East</t>
  </si>
  <si>
    <t>RP6</t>
  </si>
  <si>
    <t>RP7</t>
  </si>
  <si>
    <t>South West</t>
  </si>
  <si>
    <t>RP8</t>
  </si>
  <si>
    <t>RP9</t>
  </si>
  <si>
    <t>RP10</t>
  </si>
  <si>
    <t>LDZs</t>
  </si>
  <si>
    <t>sheet</t>
  </si>
  <si>
    <t>table</t>
  </si>
  <si>
    <t>metadata</t>
  </si>
  <si>
    <t>subtable_1</t>
  </si>
  <si>
    <t>universal_data</t>
  </si>
  <si>
    <t>ignore</t>
  </si>
  <si>
    <t>reporting_details</t>
  </si>
  <si>
    <t>no_header</t>
  </si>
  <si>
    <t>data_type</t>
  </si>
  <si>
    <t>value</t>
  </si>
  <si>
    <t>company_name</t>
  </si>
  <si>
    <t>Company Name:</t>
  </si>
  <si>
    <t>company_short_name</t>
  </si>
  <si>
    <t>Company Short Name:</t>
  </si>
  <si>
    <t>reporting_year</t>
  </si>
  <si>
    <t>Reporting Year: (enter 2007 for 2006/07)</t>
  </si>
  <si>
    <t>version_number</t>
  </si>
  <si>
    <t>Version (Number)</t>
  </si>
  <si>
    <t>submitted_date</t>
  </si>
  <si>
    <t>Submitted Date:</t>
  </si>
  <si>
    <t>Inflation Index Used to Convert to 2018/19 Price Base:</t>
  </si>
  <si>
    <t>reporting_year_minus_6</t>
  </si>
  <si>
    <t>Reporting Year - 6</t>
  </si>
  <si>
    <t>reporting_year_minus_5</t>
  </si>
  <si>
    <t>Reporting Year - 5</t>
  </si>
  <si>
    <t>reporting_year_minus_4</t>
  </si>
  <si>
    <t>Reporting Year - 4</t>
  </si>
  <si>
    <t>reporting_year_minus_3</t>
  </si>
  <si>
    <t>Reporting Year - 3</t>
  </si>
  <si>
    <t>reporting_year_minus_2</t>
  </si>
  <si>
    <t>Reporting Year - 2</t>
  </si>
  <si>
    <t>reporting_year_minus_1</t>
  </si>
  <si>
    <t>Reporting Year - 1</t>
  </si>
  <si>
    <t>Reporting Year:</t>
  </si>
  <si>
    <t>reporting_year_plus_1</t>
  </si>
  <si>
    <t>Reporting Year + 1</t>
  </si>
  <si>
    <t>reporting_year_plus_2</t>
  </si>
  <si>
    <t>Reporting Year + 2</t>
  </si>
  <si>
    <t>reporting_year_plus_3</t>
  </si>
  <si>
    <t>Reporting Year + 3</t>
  </si>
  <si>
    <t>reporting_year_plus_4</t>
  </si>
  <si>
    <t>Reporting Year + 4</t>
  </si>
  <si>
    <t>reporting_year_plus_5</t>
  </si>
  <si>
    <t>Reporting Year + 5</t>
  </si>
  <si>
    <t>reporting_year_plus_6</t>
  </si>
  <si>
    <t>Reporting Year + 6</t>
  </si>
  <si>
    <t>reporting_year_plus_7</t>
  </si>
  <si>
    <t>Reporting Year + 7</t>
  </si>
  <si>
    <t>inflation_obr</t>
  </si>
  <si>
    <t>col_sub_table</t>
  </si>
  <si>
    <t>table_context_1</t>
  </si>
  <si>
    <t>table_context_2</t>
  </si>
  <si>
    <t>Inflation  Forecasts (OBR)</t>
  </si>
  <si>
    <t>header</t>
  </si>
  <si>
    <t>OBR publication date March 2019</t>
  </si>
  <si>
    <t>Calendar year forecast</t>
  </si>
  <si>
    <t>RPI</t>
  </si>
  <si>
    <t>CPI</t>
  </si>
  <si>
    <t>rate</t>
  </si>
  <si>
    <t>financial_details</t>
  </si>
  <si>
    <t>table_context_3</t>
  </si>
  <si>
    <t>table_context_4</t>
  </si>
  <si>
    <t>FY Index</t>
  </si>
  <si>
    <t>Financial year average RPI-CPIH</t>
  </si>
  <si>
    <t>RPI-CPIH inflation</t>
  </si>
  <si>
    <t>Financial year average RPI</t>
  </si>
  <si>
    <t>RPI inflation</t>
  </si>
  <si>
    <t>Financial year average CPIH</t>
  </si>
  <si>
    <t>CPIH inflation</t>
  </si>
  <si>
    <t>RIIO-2 year</t>
  </si>
  <si>
    <t>fy_index_2003_04</t>
  </si>
  <si>
    <t>2003/04</t>
  </si>
  <si>
    <t>fy_index_2004_05</t>
  </si>
  <si>
    <t>2004/05</t>
  </si>
  <si>
    <t>fy_index_2005_06</t>
  </si>
  <si>
    <t>2005/06</t>
  </si>
  <si>
    <t>fy_index_2006_07</t>
  </si>
  <si>
    <t>2006/07</t>
  </si>
  <si>
    <t>fy_index_2007_08</t>
  </si>
  <si>
    <t>2007/08</t>
  </si>
  <si>
    <t>fy_index_2008_09</t>
  </si>
  <si>
    <t>2008/09</t>
  </si>
  <si>
    <t>fy_index_2009_10</t>
  </si>
  <si>
    <t>2009/10</t>
  </si>
  <si>
    <t>fy_index_2010_11</t>
  </si>
  <si>
    <t>2010/11</t>
  </si>
  <si>
    <t>fy_index_2011_12</t>
  </si>
  <si>
    <t>2011/12</t>
  </si>
  <si>
    <t>fy_index_2012_13</t>
  </si>
  <si>
    <t>2012/13</t>
  </si>
  <si>
    <t>fy_index_2013_14</t>
  </si>
  <si>
    <t>2013/14</t>
  </si>
  <si>
    <t>fy_index_2014_15</t>
  </si>
  <si>
    <t>2014/15</t>
  </si>
  <si>
    <t>fy_index_2015_16</t>
  </si>
  <si>
    <t>2015/16</t>
  </si>
  <si>
    <t>fy_index_2016_17</t>
  </si>
  <si>
    <t>2016/17</t>
  </si>
  <si>
    <t>fy_index_2017_18</t>
  </si>
  <si>
    <t>2017/18</t>
  </si>
  <si>
    <t>fy_index_2018_19</t>
  </si>
  <si>
    <t>2018/19</t>
  </si>
  <si>
    <t>fy_index_2019_20</t>
  </si>
  <si>
    <t>2019/20</t>
  </si>
  <si>
    <t>fy_index_2020_21</t>
  </si>
  <si>
    <t>2020/21</t>
  </si>
  <si>
    <t>fy_index_2021_22</t>
  </si>
  <si>
    <t>2021/22</t>
  </si>
  <si>
    <t>fy_index_2022_23</t>
  </si>
  <si>
    <t>2022/23</t>
  </si>
  <si>
    <t>fy_index_2023_24</t>
  </si>
  <si>
    <t>2023/24</t>
  </si>
  <si>
    <t>fy_index_2024_25</t>
  </si>
  <si>
    <t>2024/25</t>
  </si>
  <si>
    <t>fy_index_2025_26</t>
  </si>
  <si>
    <t>2025/26</t>
  </si>
  <si>
    <t>conversion_details</t>
  </si>
  <si>
    <t>convert_2009_10_prices_to_2018_19</t>
  </si>
  <si>
    <t>convert_2018_19_to_2009_10</t>
  </si>
  <si>
    <t>convert_from_previous_year_price_base</t>
  </si>
  <si>
    <t>inflation_monthly</t>
  </si>
  <si>
    <t>Monthly Forecast Inflation Index</t>
  </si>
  <si>
    <t>Financial Year</t>
  </si>
  <si>
    <t>CPIH</t>
  </si>
  <si>
    <t>index</t>
  </si>
  <si>
    <t>subtable_2</t>
  </si>
  <si>
    <t>subtable_3</t>
  </si>
  <si>
    <t>1.01_bpfm_inputs</t>
  </si>
  <si>
    <t>£m 2018/19 Prices</t>
  </si>
  <si>
    <t>pcfm_actual_expenditure_inputs</t>
  </si>
  <si>
    <t>unit</t>
  </si>
  <si>
    <t>BPFM Actual Expenditure Inputs</t>
  </si>
  <si>
    <t>actual_load_related_capex_expenditure</t>
  </si>
  <si>
    <t>alc</t>
  </si>
  <si>
    <t>2018_19_prices</t>
  </si>
  <si>
    <t>Actual load related capex expenditure</t>
  </si>
  <si>
    <t>£m</t>
  </si>
  <si>
    <t>ALC</t>
  </si>
  <si>
    <t>Changed formula to include Governors and Gas Holders</t>
  </si>
  <si>
    <t>actual_other_capex_expenditure</t>
  </si>
  <si>
    <t>aoc</t>
  </si>
  <si>
    <t>Actual other capex expenditure</t>
  </si>
  <si>
    <t>AOC</t>
  </si>
  <si>
    <t>Changed formula to exclude Governors</t>
  </si>
  <si>
    <t>actual_controllable_opex</t>
  </si>
  <si>
    <t>aco</t>
  </si>
  <si>
    <t>Actual controllable opex</t>
  </si>
  <si>
    <t>ACO</t>
  </si>
  <si>
    <t>actual_replacement_expenditure</t>
  </si>
  <si>
    <t>are</t>
  </si>
  <si>
    <t>Actual replacement expenditure</t>
  </si>
  <si>
    <t>ARE</t>
  </si>
  <si>
    <t>total_actual_expenditure</t>
  </si>
  <si>
    <t>Total Actual Expenditure</t>
  </si>
  <si>
    <t>pcfm_uncertain_expenditure_inputs</t>
  </si>
  <si>
    <t>BPFM Uncertain Expenditure Inputs</t>
  </si>
  <si>
    <t>uncertain_costs_enhanced_physical_site_security</t>
  </si>
  <si>
    <t>iaeeps</t>
  </si>
  <si>
    <t>Uncertain costs - Enhanced Physical Site Security</t>
  </si>
  <si>
    <t>IAEEPS</t>
  </si>
  <si>
    <t>allowed_uncertain_costs_specified_street_work</t>
  </si>
  <si>
    <t>iaesw</t>
  </si>
  <si>
    <t>Allowed uncertain costs (Specified street work costs)</t>
  </si>
  <si>
    <t>IAESW</t>
  </si>
  <si>
    <t>allowed_uncertain_costs_connection_charging_boundary_change</t>
  </si>
  <si>
    <t>iaeccb</t>
  </si>
  <si>
    <t>Allowed uncertain costs (Connection charging boundary change costs)</t>
  </si>
  <si>
    <t>IAECCB</t>
  </si>
  <si>
    <t>allowed_uncertain_costs_fuel_poor_network_extension_scheme</t>
  </si>
  <si>
    <t>iaefp</t>
  </si>
  <si>
    <t>Allowed uncertain costs (Fuel poor network extension scheme)</t>
  </si>
  <si>
    <t>IAEFP</t>
  </si>
  <si>
    <t>allowed_uncertain_costs_central_agent)</t>
  </si>
  <si>
    <t>iaeca</t>
  </si>
  <si>
    <t>Allowed uncertain costs (Central agent)</t>
  </si>
  <si>
    <t>IAECA</t>
  </si>
  <si>
    <t>allowed_uncertain_costs_smart_metering_roll_out</t>
  </si>
  <si>
    <t>iaesm</t>
  </si>
  <si>
    <t>Allowed uncertain costs (Smart metering roll out costs)</t>
  </si>
  <si>
    <t>IAESM</t>
  </si>
  <si>
    <t>allowed_uncertain_costs_mains_and_services_replacement_expenditure</t>
  </si>
  <si>
    <t>re</t>
  </si>
  <si>
    <t>Allowed uncertain costs (Mains and services replacement expenditure)</t>
  </si>
  <si>
    <t>RE</t>
  </si>
  <si>
    <t>allowed_uncertain_costs_large_load_connection</t>
  </si>
  <si>
    <t>iaellc</t>
  </si>
  <si>
    <t>Allowed uncertain Costs (Large load connection costs)</t>
  </si>
  <si>
    <t>IAELLC</t>
  </si>
  <si>
    <t>allowed_innovation_roll_out_mechanism</t>
  </si>
  <si>
    <t>irm</t>
  </si>
  <si>
    <t>Allowed innovation roll-out mechanism</t>
  </si>
  <si>
    <t>IRM</t>
  </si>
  <si>
    <t>nts_exit_capacity_costs</t>
  </si>
  <si>
    <t>aex</t>
  </si>
  <si>
    <t>NTS Exit Capacity costs</t>
  </si>
  <si>
    <t>AEX</t>
  </si>
  <si>
    <t>shrinkage_costs</t>
  </si>
  <si>
    <t>alsc</t>
  </si>
  <si>
    <t>Shrinkage costs</t>
  </si>
  <si>
    <t>ALSC</t>
  </si>
  <si>
    <t>total_uncertain_expenditure</t>
  </si>
  <si>
    <t>Total Uncertain Expenditure</t>
  </si>
  <si>
    <t>RIIO-2 additional items</t>
  </si>
  <si>
    <t>pcfm_additional_expenditure_inputs</t>
  </si>
  <si>
    <t>asset_class_1</t>
  </si>
  <si>
    <t>Asset class 1 expenditure</t>
  </si>
  <si>
    <t>asset_class_2</t>
  </si>
  <si>
    <t>Asset class 2 expenditure</t>
  </si>
  <si>
    <t>spare_1</t>
  </si>
  <si>
    <t>[Spare 1]</t>
  </si>
  <si>
    <t>spare_2</t>
  </si>
  <si>
    <t>[Spare 2]</t>
  </si>
  <si>
    <t>spare_3</t>
  </si>
  <si>
    <t>[Spare 3]</t>
  </si>
  <si>
    <t>spare_4</t>
  </si>
  <si>
    <t>[Spare 4]</t>
  </si>
  <si>
    <t>spare_5</t>
  </si>
  <si>
    <t>[Spare 5]</t>
  </si>
  <si>
    <t>legacy_revenue_adj</t>
  </si>
  <si>
    <t>RIIO-2 legacy price control adjustments to allowed revenue</t>
  </si>
  <si>
    <t>legacy_rav_adj</t>
  </si>
  <si>
    <t>RIIO-2 legacy price control adjustments to RAV</t>
  </si>
  <si>
    <t>pcfm_pension_inputs</t>
  </si>
  <si>
    <t>BPFM Pension Inputs</t>
  </si>
  <si>
    <t>pension_scheme_admin_and_pension_protection_fund_levy</t>
  </si>
  <si>
    <t>apfe</t>
  </si>
  <si>
    <t>Pension Scheme Administration and Pension Protection Fund levy</t>
  </si>
  <si>
    <t>APFE</t>
  </si>
  <si>
    <t>revised_allowances_following_ofgem_2017_reasonableness_review</t>
  </si>
  <si>
    <t>Revised allowances following Ofgem 2017 Reasonableness Review</t>
  </si>
  <si>
    <t>adjustments_since_2017_reasonableness_review</t>
  </si>
  <si>
    <t>Adjustments since 2017 Reasonableness Review</t>
  </si>
  <si>
    <t>pension_scheme_established_deficit</t>
  </si>
  <si>
    <t>ede</t>
  </si>
  <si>
    <t>Pension Scheme Established Deficit Repair Allowance</t>
  </si>
  <si>
    <t>EDE</t>
  </si>
  <si>
    <t>non_controllable_opex</t>
  </si>
  <si>
    <t>Non-totex</t>
  </si>
  <si>
    <t>non_controllable_opex_other</t>
  </si>
  <si>
    <t>Non-controllable opex (Other)</t>
  </si>
  <si>
    <t>pcfm_excluded_services_inputs_darts</t>
  </si>
  <si>
    <t>BPFM Excluded Services Inputs (DARTs)</t>
  </si>
  <si>
    <t>excluded_services_revenue</t>
  </si>
  <si>
    <t>Excluded services revenue</t>
  </si>
  <si>
    <t>identified_excluded_services_costs</t>
  </si>
  <si>
    <t>Identified excluded services costs</t>
  </si>
  <si>
    <t>excluded_services</t>
  </si>
  <si>
    <t>Excluded services</t>
  </si>
  <si>
    <t>pcfm_statutory_depreciation_inputs</t>
  </si>
  <si>
    <t>BPFM Statutory Depreciation Inputs</t>
  </si>
  <si>
    <t>statutory_depreciation</t>
  </si>
  <si>
    <t>Statutory depreciation</t>
  </si>
  <si>
    <t>capex</t>
  </si>
  <si>
    <t>repex</t>
  </si>
  <si>
    <t>sui_costs</t>
  </si>
  <si>
    <t>SIU Costs</t>
  </si>
  <si>
    <t>x.xx_bpfm_inputs</t>
  </si>
  <si>
    <t>1.02_bp_financial_requirements</t>
  </si>
  <si>
    <t>£m Nominal</t>
  </si>
  <si>
    <t>inputs</t>
  </si>
  <si>
    <t>Actual debt cost inputs for BP data templates:</t>
  </si>
  <si>
    <t>Inflation Rates to be used in calculating principal accretion on IL debt and conversion of nominal to real interest rate</t>
  </si>
  <si>
    <t>inflation_rates_il_debt</t>
  </si>
  <si>
    <t>rpi</t>
  </si>
  <si>
    <t xml:space="preserve">RPI </t>
  </si>
  <si>
    <t>%</t>
  </si>
  <si>
    <t>cpih</t>
  </si>
  <si>
    <t xml:space="preserve">CPIH </t>
  </si>
  <si>
    <t>used</t>
  </si>
  <si>
    <t>Inflation Rate to be used for conversion to real</t>
  </si>
  <si>
    <t>Interest Rates to be assumed for new debt raised in year (derived from Iboxx Forecast 29/03/19 for consistency with May SSMD Working Assumptions. Libor curve as at 29/03/2019)</t>
  </si>
  <si>
    <t>interest_rates</t>
  </si>
  <si>
    <t>nominal</t>
  </si>
  <si>
    <t>Nominal</t>
  </si>
  <si>
    <t>cpih_real</t>
  </si>
  <si>
    <t>real</t>
  </si>
  <si>
    <t>CPIH real</t>
  </si>
  <si>
    <t>rpi_real</t>
  </si>
  <si>
    <t>RPI real</t>
  </si>
  <si>
    <t>3m_libor</t>
  </si>
  <si>
    <t>3m LIBOR</t>
  </si>
  <si>
    <t>6m_libor</t>
  </si>
  <si>
    <t>6m LIBOR</t>
  </si>
  <si>
    <t>12m_libor</t>
  </si>
  <si>
    <t>12m LIBOR</t>
  </si>
  <si>
    <t>credit_spread</t>
  </si>
  <si>
    <t>Credit Spread Assumption for Floating Rate Debt</t>
  </si>
  <si>
    <t>embedded_debt</t>
  </si>
  <si>
    <t>Actual Debt Composition -Pre interest rate and IL derivatives (but including cross currency swaps used for any non GBP issuance), excluding shareholders loans</t>
  </si>
  <si>
    <t>Total Embedded Debt (notional principal outstanding value)</t>
  </si>
  <si>
    <t>opening</t>
  </si>
  <si>
    <t>Opening Volume of Embedded Debt</t>
  </si>
  <si>
    <t>issued</t>
  </si>
  <si>
    <t>Embedded Debt Issued</t>
  </si>
  <si>
    <t>repaid</t>
  </si>
  <si>
    <t>Embedded Debt Repaid</t>
  </si>
  <si>
    <t>(negative £m)</t>
  </si>
  <si>
    <t>principal_inflation_accretion</t>
  </si>
  <si>
    <t>Principal inflation accretion on RPI or CPIH linked debt (current year)</t>
  </si>
  <si>
    <t>closing</t>
  </si>
  <si>
    <t>Closing Balance of Embedded Debt</t>
  </si>
  <si>
    <t>wavg_total</t>
  </si>
  <si>
    <t>Time Weighted Average Embedded Debt</t>
  </si>
  <si>
    <t>fixed_rate</t>
  </si>
  <si>
    <t>Opening volume of embedded fixed rate</t>
  </si>
  <si>
    <t>Volume embedded fixed rate issued</t>
  </si>
  <si>
    <t>Volume embedded fixed rate repaid</t>
  </si>
  <si>
    <t>Volume embedded fixed rate closing</t>
  </si>
  <si>
    <t>Volume of embedded debt fixed rate (time weighted average)</t>
  </si>
  <si>
    <t>wavg_nominal_coupon</t>
  </si>
  <si>
    <t>Weighted average Fixed Rate nominal coupon (embedded debt)</t>
  </si>
  <si>
    <t>3m_libor_floating</t>
  </si>
  <si>
    <t>Opening volume of floating 3m LIBOR</t>
  </si>
  <si>
    <t>Volume embedded floating 3m LIBOR issued</t>
  </si>
  <si>
    <t>Volume embedded floating 3m LIBOR repaid</t>
  </si>
  <si>
    <t>Volume embedded floating 3m LIBOR closing</t>
  </si>
  <si>
    <t>Volume of debt floating 3m LIBOR (time weighted average)</t>
  </si>
  <si>
    <t>wavg_spread</t>
  </si>
  <si>
    <t>Weighted average margin/spread on 3M LIBOR debt  (embedded debt)</t>
  </si>
  <si>
    <t>6m_libor_floating</t>
  </si>
  <si>
    <t>Opening volume of floating 6m LIBOR</t>
  </si>
  <si>
    <t>Volume embedded floating 6m LIBOR issued</t>
  </si>
  <si>
    <t>Volume embedded floating 6m LIBOR repaid</t>
  </si>
  <si>
    <t>Volume embedded floating 6m LIBOR closing</t>
  </si>
  <si>
    <t>Volume of debt floating 6m LIBOR (time weighted average)</t>
  </si>
  <si>
    <t>Weighted average margin/spread on 6M LIBOR debt  (embedded debt)</t>
  </si>
  <si>
    <t>12_libor_floating</t>
  </si>
  <si>
    <t>Opening volume of floating 12m LIBOR</t>
  </si>
  <si>
    <t>Volume embedded floating 12m LIBOR issued</t>
  </si>
  <si>
    <t>Volume embedded floating 12m LIBOR repaid</t>
  </si>
  <si>
    <t>Volume embedded floating 12m LIBOR closing</t>
  </si>
  <si>
    <t>Volume of debt floating 12m LIBOR (time weighted average)</t>
  </si>
  <si>
    <t>Weighted average margin/spread on 12M LIBOR debt  (embedded debt)</t>
  </si>
  <si>
    <t>rpi_linked</t>
  </si>
  <si>
    <t>Opening volume of embedded RPI linked (including accrued inflation to date)</t>
  </si>
  <si>
    <t>Volume embedded RPI linked issued</t>
  </si>
  <si>
    <t>Volume embedded RPI linked repaid (including accrued inflation to date)</t>
  </si>
  <si>
    <t>principal_accretion</t>
  </si>
  <si>
    <t>Principal accretion on RPI Linked debt (current financial year)</t>
  </si>
  <si>
    <t>Volume embedded RPI linked closing</t>
  </si>
  <si>
    <t>Volume of debt RPI linked (including accrued inflation to date) (time weighted average)</t>
  </si>
  <si>
    <t>wavg_real_coupon</t>
  </si>
  <si>
    <t>Weighted average RPI real coupon  (embedded debt)</t>
  </si>
  <si>
    <t>cpi_linked</t>
  </si>
  <si>
    <t>Opening volume of embedded CPI/CPIH linked (including accrued inflation to date)</t>
  </si>
  <si>
    <t>Volume embedded CPI/CPIH linked issued</t>
  </si>
  <si>
    <t>Volume embedded CPI/CPIH linked repaid (including accrued inflation to date)</t>
  </si>
  <si>
    <t>Principal accretion on CPI/CPIH linked debt (current financial year)</t>
  </si>
  <si>
    <t>Volume embedded CPI/CPIH linked closing</t>
  </si>
  <si>
    <t>Volume of debt CPI/CPIH linked (including accrued inflation to date) (time weighted average)</t>
  </si>
  <si>
    <t>Weighted average CPI/CPIH real coupon  (embedded debt)</t>
  </si>
  <si>
    <t>checks</t>
  </si>
  <si>
    <t>check1</t>
  </si>
  <si>
    <t>Check</t>
  </si>
  <si>
    <t>embedded_debt_proportion</t>
  </si>
  <si>
    <t>fixed_rate_proportion</t>
  </si>
  <si>
    <t>Proportion of embedded debt fixed rate (time weighted average)</t>
  </si>
  <si>
    <t>3m_libor_proportion</t>
  </si>
  <si>
    <t>Proportion of embedded debt Floating 3m LIBOR (time weighted average)</t>
  </si>
  <si>
    <t>6m_libor_proportion</t>
  </si>
  <si>
    <t>Proportion of embedded debt Floating 6m LIBOR (time weighted average)</t>
  </si>
  <si>
    <t>12m_libor_proportion</t>
  </si>
  <si>
    <t>Proportion of embedded debt floating linked to 12m LIBOR (time weighted average)</t>
  </si>
  <si>
    <t>rpi_linked_proportion</t>
  </si>
  <si>
    <t>Proportion of embedded debt RPI linked (time weighted average)</t>
  </si>
  <si>
    <t>cpi_linked_proportion</t>
  </si>
  <si>
    <t>Proportion of embedded debt CPI/CPIH linked (time weighted average)</t>
  </si>
  <si>
    <t>check2</t>
  </si>
  <si>
    <t>interest_expense</t>
  </si>
  <si>
    <t>Embedded Debt Interest Expense</t>
  </si>
  <si>
    <t>calculated_interest_expense</t>
  </si>
  <si>
    <t>Calculated Embedded Debt Interest Expense</t>
  </si>
  <si>
    <t>calculated_nominal_wavg_coupon</t>
  </si>
  <si>
    <t>Calculated Embedded Debt Nominal Weighted Average Coupon</t>
  </si>
  <si>
    <t>embedded_liability</t>
  </si>
  <si>
    <t>Actual Debt Composition - Post impact of interest rate and inflation derivatives</t>
  </si>
  <si>
    <t>Total Embedded Net Liability (notional principal outstanding value)</t>
  </si>
  <si>
    <t>total_volume_of_embedded_debt</t>
  </si>
  <si>
    <t>Time Weighted Average Embedded Liability</t>
  </si>
  <si>
    <t>Opening volume of embedded liability fixed rate</t>
  </si>
  <si>
    <t>Volume embedded liability fixed rate issued</t>
  </si>
  <si>
    <t>Volume embedded liability fixed rate repaid</t>
  </si>
  <si>
    <t>Volume embedded liability fixed rate closing</t>
  </si>
  <si>
    <t>Volume of embedded liability fixed rate (time weighted average)</t>
  </si>
  <si>
    <t>Weighted average nominal coupon</t>
  </si>
  <si>
    <t>Opening volume of embedded liability floating 3m LIBOR</t>
  </si>
  <si>
    <t>Volume embedded liability floating 3m LIBOR issued</t>
  </si>
  <si>
    <t>Volume embedded liability floating 3m LIBOR repaid</t>
  </si>
  <si>
    <t>Volume embedded liability floating 3m LIBOR closing</t>
  </si>
  <si>
    <t>Volume of embedded liability floating 3m LIBOR (time weighted average)</t>
  </si>
  <si>
    <t>Weighted average margin/spread on 3M LIBOR debt</t>
  </si>
  <si>
    <t>Opening volume of embedded liability floating 6m LIBOR</t>
  </si>
  <si>
    <t>Volume embedded liability floating 6m LIBOR issued</t>
  </si>
  <si>
    <t>Volume embedded liability floating 6m LIBOR repaid</t>
  </si>
  <si>
    <t>Volume embedded liability floating 6m LIBOR closing</t>
  </si>
  <si>
    <t>Volume of embedded debt/liability floating 6m LIBOR (time weighted average)</t>
  </si>
  <si>
    <t>Weighted average margin/spread on 6M LIBOR debt</t>
  </si>
  <si>
    <t>Opening volume of embedded liability floating 12m LIBOR</t>
  </si>
  <si>
    <t>Volume embedded liability floating 12m LIBOR issued</t>
  </si>
  <si>
    <t>Volume embedded liability floating 12m LIBOR repaid</t>
  </si>
  <si>
    <t>Volume embedded liability floating 12m LIBOR closing</t>
  </si>
  <si>
    <t>Volume of embedded debt/liability floating 12m LIBOR (time weighted average)</t>
  </si>
  <si>
    <t>Weighted average margin/spread on 12M LIBOR debt</t>
  </si>
  <si>
    <t>Volume embedded liability RPI linked opening</t>
  </si>
  <si>
    <t>Volume embedded liability RPI linked issued</t>
  </si>
  <si>
    <t>Volume embedded liability RPI linked repaid (including accrued inflation to date)</t>
  </si>
  <si>
    <t>Volume embedded liability RPI linked closing</t>
  </si>
  <si>
    <t>Volume of embedded debt/liability RPI linked (including accrued inflation to date) (time weighted average)</t>
  </si>
  <si>
    <t>Weighted average embedded debt/liability RPI real coupon</t>
  </si>
  <si>
    <t>principal_accretion_derivatives</t>
  </si>
  <si>
    <t>Principal accretion on RPI Linked derivatives (current financial year)</t>
  </si>
  <si>
    <t>Opening volume of embedded liability CPI/CPIH linked (including accrued inflation to date)</t>
  </si>
  <si>
    <t>Volume embedded liability CPI/CPIH linked issued</t>
  </si>
  <si>
    <t>Volume embedded liability CPI/CPIH linked repaid (including accrued inflation to date)</t>
  </si>
  <si>
    <t>Principal accretion on embedded liability CPI/CPIH linked debt (current financial year)</t>
  </si>
  <si>
    <t>Volume embedded liability CPI/CPIH linked closing</t>
  </si>
  <si>
    <t>Volume of embedded liability CPI/CPIH linked (time weighted average)</t>
  </si>
  <si>
    <t>Weighted average embedded liability CPI/CPIH real coupon</t>
  </si>
  <si>
    <t>Principal accretion on embedded CPI/CPIH linked derivatives (current financial year)</t>
  </si>
  <si>
    <t>embedded_liability_proportion</t>
  </si>
  <si>
    <t>Proportion of embedded liability fixed rate (time weighted average)</t>
  </si>
  <si>
    <t>Proportion of embedded liability Floating 3m LIBOR (time weighted average)</t>
  </si>
  <si>
    <t>Proportion of embedded liability Floating 6m LIBOR (time weighted average)</t>
  </si>
  <si>
    <t>Proportion of embedded liability floating linked to 12m LIBOR (time weighted average)</t>
  </si>
  <si>
    <t>Proportion of embedded liability RPI linked (time weighted average)</t>
  </si>
  <si>
    <t>cpih_linked</t>
  </si>
  <si>
    <t>Proportion of embedded liability CPI/CPIH linked (time weighted average)</t>
  </si>
  <si>
    <t>check</t>
  </si>
  <si>
    <t>Overlay Derivatives (not directly converting specific debt issuance into a different product base)</t>
  </si>
  <si>
    <t>overlay_derivatives</t>
  </si>
  <si>
    <t>interest_income</t>
  </si>
  <si>
    <t>floating_rate</t>
  </si>
  <si>
    <t>Interest income on floating rate receiving overlay derivatives</t>
  </si>
  <si>
    <t>Interest expense on floating rate paying overlay derivatives</t>
  </si>
  <si>
    <t>Interest income on fixed rate receiving overlay derivatives</t>
  </si>
  <si>
    <t>Interest expense on fixed rate paying overlay derivatives</t>
  </si>
  <si>
    <t>Interest income on RPI receiving overlay derivatives</t>
  </si>
  <si>
    <t>Interest expense on RPI paying overlay derivatives</t>
  </si>
  <si>
    <t>Interest income on CPI/CPIH receiving derivatives</t>
  </si>
  <si>
    <t>Interest Expense on CPI/CPIH paying derivatives</t>
  </si>
  <si>
    <t xml:space="preserve">Embedded Liability Interest Expense </t>
  </si>
  <si>
    <t>Calculated Embedded Liability Interest Expense</t>
  </si>
  <si>
    <t>Calculated Embedded Liability Nominal Weighted Average Coupon</t>
  </si>
  <si>
    <t>New Debt Composition &amp; Expense Pre and Post Derivatives (notional principal outstanding value)</t>
  </si>
  <si>
    <t>new_debt</t>
  </si>
  <si>
    <t>raised_in_year</t>
  </si>
  <si>
    <t>New fixed rate debt raised in year</t>
  </si>
  <si>
    <t>year_part_outstanding</t>
  </si>
  <si>
    <t>Year proportion new fixed rate debt raised in year is outstanding</t>
  </si>
  <si>
    <t>proportion</t>
  </si>
  <si>
    <t>closing_new_debt</t>
  </si>
  <si>
    <t>Closing new fixed rate debt</t>
  </si>
  <si>
    <t>Volume of new debt fixed rate (time weighted average)</t>
  </si>
  <si>
    <t>wavg_nominal_rate</t>
  </si>
  <si>
    <t>Weighted average new fixed rate nominal interest rate</t>
  </si>
  <si>
    <t>New floating rate debt raised in year (all assumed 6M LIBOR for simplicity)</t>
  </si>
  <si>
    <t>Year proportion new floating rate debt raised in year is outstanding</t>
  </si>
  <si>
    <t>Closing new floating rate debt</t>
  </si>
  <si>
    <t>Volume of new debt floating (time weighted average)</t>
  </si>
  <si>
    <t>Weighted average margin/spread on new floating rate debt</t>
  </si>
  <si>
    <t>New RPI linked debt raised in year</t>
  </si>
  <si>
    <t>Year proportion new RPI linked debt raised in year is outstanding</t>
  </si>
  <si>
    <t>Principal accretion on new RPI Linked debt (current year)</t>
  </si>
  <si>
    <t>Closing RPI linked new debt</t>
  </si>
  <si>
    <t>Volume of debt RPI linked (time weighted average)</t>
  </si>
  <si>
    <t>Weighted average RPI real interest rate</t>
  </si>
  <si>
    <t>New CPI/CPIH debt raised in year</t>
  </si>
  <si>
    <t>Year proportion new CPI/CPIH linked debt raised in year is outstanding</t>
  </si>
  <si>
    <t>Principal accretion on new CPI/CPIH linked debt</t>
  </si>
  <si>
    <t>Closing CPI/CPIH new debt</t>
  </si>
  <si>
    <t>Volume of new debt CPI/CPIH linked (time weighted average)</t>
  </si>
  <si>
    <t>Weighted average CPI/CPIH real coupon</t>
  </si>
  <si>
    <t xml:space="preserve">Forecast Refinancing/New Debt </t>
  </si>
  <si>
    <t>forecast_refinancing</t>
  </si>
  <si>
    <t xml:space="preserve">new_debt </t>
  </si>
  <si>
    <t>opening_new_debt</t>
  </si>
  <si>
    <t>Opening New debt</t>
  </si>
  <si>
    <t>new_debt_raised_in_year</t>
  </si>
  <si>
    <t>New Debt Raised in Year</t>
  </si>
  <si>
    <t>Principal accretion on new RPI or CPIH/CPIH linked debt (current year)</t>
  </si>
  <si>
    <t>Closing New Debt</t>
  </si>
  <si>
    <t>Time Weighted Average Total Volume of New Debt</t>
  </si>
  <si>
    <t>new_debt_proportion</t>
  </si>
  <si>
    <t>Proportion of New debt fixed rate  (time weighted average)</t>
  </si>
  <si>
    <t>Proportion of new debt Floating (time weighted average)</t>
  </si>
  <si>
    <t>Proportion of new debt RPI linked (time weighted average)</t>
  </si>
  <si>
    <t>Proportion of new debt CPI/CPIH linked (time weighted average)</t>
  </si>
  <si>
    <t xml:space="preserve">New Debt Interest Expense </t>
  </si>
  <si>
    <t>Calculated New Debt Interest Expense</t>
  </si>
  <si>
    <t>Calculated New Debt Nominal Weighted Average Coupon</t>
  </si>
  <si>
    <t>total_costs</t>
  </si>
  <si>
    <t>wavg_nominal_interest_rate</t>
  </si>
  <si>
    <t>pre_derivatives</t>
  </si>
  <si>
    <t>Weighted Average Nominal Interest Rate Combined (pre derivatives)</t>
  </si>
  <si>
    <t>post_derivatives</t>
  </si>
  <si>
    <t>Weighted Average Nominal Interest Rate Combined (post impact of derivatives)</t>
  </si>
  <si>
    <t>Conversion to Regulatory (RIIO-1) Definition of Net Debt</t>
  </si>
  <si>
    <t>riio_1_conversion</t>
  </si>
  <si>
    <t>net_debt</t>
  </si>
  <si>
    <t>closing_debt_balance</t>
  </si>
  <si>
    <t>Closing Balance of Debt (from rows above)</t>
  </si>
  <si>
    <t>cash_short_term_deposits_and_overdrafts</t>
  </si>
  <si>
    <t>Total cash, short term deposits and overdrafts (per balance sheet)</t>
  </si>
  <si>
    <t>relating_to_unregulated</t>
  </si>
  <si>
    <t>Less net debt relating to unregulated business</t>
  </si>
  <si>
    <t>relating_to_other_regulated_business</t>
  </si>
  <si>
    <t>Less net debt relating to other regulated business in group</t>
  </si>
  <si>
    <t>[Insert adjustment as necessary]</t>
  </si>
  <si>
    <t>riio_1_closing</t>
  </si>
  <si>
    <t>Closing Net Debt per Regulatory (RIIO-1) Definition</t>
  </si>
  <si>
    <t>riio_1_opening</t>
  </si>
  <si>
    <t>Opening Net Debt per Regulatory (RIIO-1) Definition</t>
  </si>
  <si>
    <t>riio_1_average</t>
  </si>
  <si>
    <t>Average Net Debt per Regulatory (RIIO-1) Definition</t>
  </si>
  <si>
    <t>Conversion to Regulatory (RIIO-1) Definition of Net Interest</t>
  </si>
  <si>
    <t>net_interest</t>
  </si>
  <si>
    <t>Interest Expense (from rows above)</t>
  </si>
  <si>
    <t>Less net interest relating to unregulated business</t>
  </si>
  <si>
    <t>Less net interest relating to other regulated business in group</t>
  </si>
  <si>
    <t>interest_on_cash</t>
  </si>
  <si>
    <t>Total interest on cash, short term deposits and overdrafts</t>
  </si>
  <si>
    <t>interest_not_qualifying_for_tax_relief</t>
  </si>
  <si>
    <t>Interest not qualifying for corporation tax relief</t>
  </si>
  <si>
    <t>Regulatory (RIIO-1) Definition of Net Interest</t>
  </si>
  <si>
    <t>bpfm</t>
  </si>
  <si>
    <t>pre_adjustment</t>
  </si>
  <si>
    <t>actual_nominal_rate</t>
  </si>
  <si>
    <t>Pre-adjustment BPFM Actual CoD Nominal Interest Rate</t>
  </si>
  <si>
    <t>nominal %</t>
  </si>
  <si>
    <t>actual_real_rate</t>
  </si>
  <si>
    <t>Pre-adjustment BPFM Actual CoD Real Interest Rate (for FinScenario sheet)</t>
  </si>
  <si>
    <t>real %</t>
  </si>
  <si>
    <t>Costs excluded from Regulatory (RIIO-1) Definition of Net Interest</t>
  </si>
  <si>
    <t>costs_excluded</t>
  </si>
  <si>
    <t>debt_redemption</t>
  </si>
  <si>
    <t>Debt redemption costs</t>
  </si>
  <si>
    <t>debt_issuance</t>
  </si>
  <si>
    <t>Debt issuance expenses</t>
  </si>
  <si>
    <t>commitment_fees</t>
  </si>
  <si>
    <t>Commitment fees on undrawn facilities</t>
  </si>
  <si>
    <t>swap_termination</t>
  </si>
  <si>
    <t>Swap termination costs</t>
  </si>
  <si>
    <t>total_net_interest_adjustments</t>
  </si>
  <si>
    <t>Total Net Interest Adjustments</t>
  </si>
  <si>
    <t>total_adjusted_expense</t>
  </si>
  <si>
    <t>Adjusted Net Interest Expense</t>
  </si>
  <si>
    <t>post_adjustment</t>
  </si>
  <si>
    <t>Post adjustment BPFM CoD Nominal Interest Rate</t>
  </si>
  <si>
    <t>Post-adjustment BPFM Actual CoD Real Interest Rate (for FinScenario sheet)</t>
  </si>
  <si>
    <t>proportion_rpi_linked</t>
  </si>
  <si>
    <t xml:space="preserve">Proportion of Actual Debt RPI Linked </t>
  </si>
  <si>
    <t>proportion_cpi_linked</t>
  </si>
  <si>
    <t>Proportion of Actual Debt CPI/CPIH Linked</t>
  </si>
  <si>
    <t>principal_accretion_share</t>
  </si>
  <si>
    <t>Share of Adjusted Net Interest Expense as debt principal inflation accretion (for Fin Scenario sheet)</t>
  </si>
  <si>
    <t>Forecast actual equity</t>
  </si>
  <si>
    <t>forecast_equity</t>
  </si>
  <si>
    <t>forecast_actual_equity</t>
  </si>
  <si>
    <t>equity_issuance</t>
  </si>
  <si>
    <t>Forecast actual equity issuance</t>
  </si>
  <si>
    <t>Forecast actual equity issuance transaction costs</t>
  </si>
  <si>
    <t>Forecast actual equity issuance transaction costs as %</t>
  </si>
  <si>
    <t>equity_dividends</t>
  </si>
  <si>
    <t>Forecast actual equity dividends (or shareholder loan payments)</t>
  </si>
  <si>
    <t>(£m)</t>
  </si>
  <si>
    <r>
      <rPr>
        <u/>
        <sz val="10"/>
        <rFont val="Gill Sans MT"/>
        <family val="2"/>
      </rPr>
      <t>Note:</t>
    </r>
    <r>
      <rPr>
        <sz val="10"/>
        <rFont val="Gill Sans MT"/>
        <family val="2"/>
      </rPr>
      <t xml:space="preserve"> Please report general information for each type of embedded debt only (ie do not forecast refinancing or new debt issuance). Please complete a separate row for each issuance (including tap issuance).</t>
    </r>
  </si>
  <si>
    <r>
      <rPr>
        <u/>
        <sz val="10"/>
        <rFont val="Gill Sans MT"/>
        <family val="2"/>
      </rPr>
      <t>Note:</t>
    </r>
    <r>
      <rPr>
        <sz val="10"/>
        <rFont val="Gill Sans MT"/>
        <family val="2"/>
      </rPr>
      <t xml:space="preserve"> Please report historical and expected book value (as per statutory accounts) as of each year-end for embedded debt only including any accretion value (ie do not forecast refinancing or new debt issuance levels)</t>
    </r>
  </si>
  <si>
    <t>£m nominal</t>
  </si>
  <si>
    <t>RIIO-1</t>
  </si>
  <si>
    <t>RIIO-2</t>
  </si>
  <si>
    <t>Actuals</t>
  </si>
  <si>
    <t>Forecast</t>
  </si>
  <si>
    <t>Years ending 31 March</t>
  </si>
  <si>
    <t>A.</t>
  </si>
  <si>
    <t>Schedule of cash, short term deposits and overdrafts (per Balance Sheet)</t>
  </si>
  <si>
    <t>(Income statement debits and cash out flows entered as +ve values, credits as -ve values)</t>
  </si>
  <si>
    <t>Cash at bank and in hand (-ve)</t>
  </si>
  <si>
    <t>Amounts posted with banks as collateral under derivative arrangements (-ve)</t>
  </si>
  <si>
    <t>Short term deposits (-ve)</t>
  </si>
  <si>
    <t>Overdrafts (+ve)</t>
  </si>
  <si>
    <t>Amounts posted as collateral by banks under derivative arrangements (+ve)</t>
  </si>
  <si>
    <t xml:space="preserve">{ Insert new rows here as necessary } </t>
  </si>
  <si>
    <t>Total A.</t>
  </si>
  <si>
    <t>B.</t>
  </si>
  <si>
    <t>Analysis of External borrowings, bonds, external loans and finance leases (+ve)</t>
  </si>
  <si>
    <t>Bonds</t>
  </si>
  <si>
    <t>ISIN</t>
  </si>
  <si>
    <t>Issue date</t>
  </si>
  <si>
    <t>Maturity date</t>
  </si>
  <si>
    <t>Description</t>
  </si>
  <si>
    <t>Bond type</t>
  </si>
  <si>
    <t>Payment rank</t>
  </si>
  <si>
    <t>Reference rate</t>
  </si>
  <si>
    <t>Coupon rate / margin spread on reference rate</t>
  </si>
  <si>
    <t>Original currency</t>
  </si>
  <si>
    <t>GBP value on date of issue</t>
  </si>
  <si>
    <t>Transaction costs (total)</t>
  </si>
  <si>
    <t xml:space="preserve">Swapped / Hedged at issue </t>
  </si>
  <si>
    <t xml:space="preserve">Post swap / hedge coupon rate </t>
  </si>
  <si>
    <t>Special features</t>
  </si>
  <si>
    <t>Base index</t>
  </si>
  <si>
    <t>Notional issued</t>
  </si>
  <si>
    <t>Yield to maturity at issue date</t>
  </si>
  <si>
    <t>Ref</t>
  </si>
  <si>
    <t>dd/mm/yyyy</t>
  </si>
  <si>
    <t>GBP / EUR / etc</t>
  </si>
  <si>
    <t xml:space="preserve"> (pay leg) %</t>
  </si>
  <si>
    <t>B1.1</t>
  </si>
  <si>
    <t>Cusip G6655@AA4</t>
  </si>
  <si>
    <t>US Private Placement Senior Notes</t>
  </si>
  <si>
    <t>Fixed rate</t>
  </si>
  <si>
    <t>Senior</t>
  </si>
  <si>
    <t>Not applicable</t>
  </si>
  <si>
    <t>GBP</t>
  </si>
  <si>
    <t>B1.2</t>
  </si>
  <si>
    <t>Fair value of portion of above note in a FV hedge relationship</t>
  </si>
  <si>
    <t>B1.3</t>
  </si>
  <si>
    <t>Capitalised finance charges on above</t>
  </si>
  <si>
    <t>B1.4</t>
  </si>
  <si>
    <t>Cusip G6655@AB2</t>
  </si>
  <si>
    <t>B1.5</t>
  </si>
  <si>
    <t>B1.6</t>
  </si>
  <si>
    <t>B1.7</t>
  </si>
  <si>
    <t>B1.8</t>
  </si>
  <si>
    <t>B1.9</t>
  </si>
  <si>
    <t>B1.X</t>
  </si>
  <si>
    <t>External loans and finance leases</t>
  </si>
  <si>
    <t>Identifier (if applicable)</t>
  </si>
  <si>
    <t>Loan type</t>
  </si>
  <si>
    <t>Interest rate / margin spread on reference rate</t>
  </si>
  <si>
    <t>Max loan/Commitment amount</t>
  </si>
  <si>
    <t>Counterparty</t>
  </si>
  <si>
    <t>Commitment fee</t>
  </si>
  <si>
    <t xml:space="preserve">% </t>
  </si>
  <si>
    <t>GBP / EURO / etc</t>
  </si>
  <si>
    <t>B2.1</t>
  </si>
  <si>
    <t>EIB loan</t>
  </si>
  <si>
    <t>Floating</t>
  </si>
  <si>
    <t>LIBOR 3 month</t>
  </si>
  <si>
    <t>EIB</t>
  </si>
  <si>
    <t>B2.2</t>
  </si>
  <si>
    <t>B2.3</t>
  </si>
  <si>
    <t>B2.4</t>
  </si>
  <si>
    <t>B2.5</t>
  </si>
  <si>
    <t>B2.6</t>
  </si>
  <si>
    <t>B2.7</t>
  </si>
  <si>
    <t>B2.8</t>
  </si>
  <si>
    <t>B2.9</t>
  </si>
  <si>
    <t>B2.10</t>
  </si>
  <si>
    <t>B2.11</t>
  </si>
  <si>
    <t>Revolving Credit Loan</t>
  </si>
  <si>
    <t>LIBOR 1 month</t>
  </si>
  <si>
    <t>Syndicated</t>
  </si>
  <si>
    <t>B2.12</t>
  </si>
  <si>
    <t>B2.X</t>
  </si>
  <si>
    <t>Total B.</t>
  </si>
  <si>
    <t>C.</t>
  </si>
  <si>
    <t>Analysis of loans from other group companies (+ve)</t>
  </si>
  <si>
    <t>Identifier (if applicable</t>
  </si>
  <si>
    <t>Max loan</t>
  </si>
  <si>
    <t>C1</t>
  </si>
  <si>
    <t>ISIN XS0436054885</t>
  </si>
  <si>
    <t>On-lent bond issue proceeds</t>
  </si>
  <si>
    <t>Gilt yield</t>
  </si>
  <si>
    <t>NGNF</t>
  </si>
  <si>
    <t>C2</t>
  </si>
  <si>
    <t>ISIN XS0234964459</t>
  </si>
  <si>
    <t>C3</t>
  </si>
  <si>
    <t>Fair value of portion of above loan in, or previously in, a FV hedge relationship</t>
  </si>
  <si>
    <t>C4</t>
  </si>
  <si>
    <t>ISIN XS0234964533</t>
  </si>
  <si>
    <t>C5</t>
  </si>
  <si>
    <t>C6</t>
  </si>
  <si>
    <t>ISIN XS0494932741</t>
  </si>
  <si>
    <t>C7</t>
  </si>
  <si>
    <t>Interest free loan deom NGNH</t>
  </si>
  <si>
    <t>Interest free</t>
  </si>
  <si>
    <t>NGNH</t>
  </si>
  <si>
    <t>C8</t>
  </si>
  <si>
    <t>C9</t>
  </si>
  <si>
    <t>CX</t>
  </si>
  <si>
    <t>Total C.</t>
  </si>
  <si>
    <t>D.</t>
  </si>
  <si>
    <t>Analysis of loans to other group companies (-ve)</t>
  </si>
  <si>
    <t>D1</t>
  </si>
  <si>
    <t>D2</t>
  </si>
  <si>
    <t>D3</t>
  </si>
  <si>
    <t>D4</t>
  </si>
  <si>
    <t>D5</t>
  </si>
  <si>
    <t>D6</t>
  </si>
  <si>
    <t>D7</t>
  </si>
  <si>
    <t>D8</t>
  </si>
  <si>
    <t>D9</t>
  </si>
  <si>
    <t>DX</t>
  </si>
  <si>
    <t>Total D.</t>
  </si>
  <si>
    <t>E.</t>
  </si>
  <si>
    <t>Analysis of other amounts due to/(from) group companies per Balance Sheet</t>
  </si>
  <si>
    <t>Start 
date</t>
  </si>
  <si>
    <t>End 
date</t>
  </si>
  <si>
    <t>Name of Counterparty</t>
  </si>
  <si>
    <t>Payable/ (Receivable)</t>
  </si>
  <si>
    <t>E1</t>
  </si>
  <si>
    <t>Amounts owed to Northern Gas Networks Holdings Limited</t>
  </si>
  <si>
    <t>E2</t>
  </si>
  <si>
    <t>Amounts owed to Northern Gas Networks Operations Limited</t>
  </si>
  <si>
    <t>E3</t>
  </si>
  <si>
    <t>Amounts owed to Northern Gas Networks Finance plc</t>
  </si>
  <si>
    <t>E4</t>
  </si>
  <si>
    <t>E5</t>
  </si>
  <si>
    <t>E6</t>
  </si>
  <si>
    <t>E7</t>
  </si>
  <si>
    <t>E8</t>
  </si>
  <si>
    <t>E9</t>
  </si>
  <si>
    <t>EX</t>
  </si>
  <si>
    <t>Total E.</t>
  </si>
  <si>
    <t>F.</t>
  </si>
  <si>
    <t>Other financial exposure</t>
  </si>
  <si>
    <t>Start</t>
  </si>
  <si>
    <t>End</t>
  </si>
  <si>
    <t>Name of</t>
  </si>
  <si>
    <t>Amount</t>
  </si>
  <si>
    <t>date</t>
  </si>
  <si>
    <t>Guaranteed</t>
  </si>
  <si>
    <t>F1</t>
  </si>
  <si>
    <t>F2</t>
  </si>
  <si>
    <t>F3</t>
  </si>
  <si>
    <t>F4</t>
  </si>
  <si>
    <t>F5</t>
  </si>
  <si>
    <t>F6</t>
  </si>
  <si>
    <t>F7</t>
  </si>
  <si>
    <t>F8</t>
  </si>
  <si>
    <t>F9</t>
  </si>
  <si>
    <t>FX</t>
  </si>
  <si>
    <t>Total F.</t>
  </si>
  <si>
    <t>G.</t>
  </si>
  <si>
    <t>Currency SWAPS</t>
  </si>
  <si>
    <t>Description &amp; rationale for instrument</t>
  </si>
  <si>
    <t xml:space="preserve">Receive leg </t>
  </si>
  <si>
    <t>Pay leg</t>
  </si>
  <si>
    <t>Notional amount</t>
  </si>
  <si>
    <t>Payment frequency</t>
  </si>
  <si>
    <t xml:space="preserve">Pay leg </t>
  </si>
  <si>
    <t>Currency</t>
  </si>
  <si>
    <t>6m / 12m etc</t>
  </si>
  <si>
    <t>type</t>
  </si>
  <si>
    <t>Rate / margin spread on underlying %</t>
  </si>
  <si>
    <t>Underlying reference rate (if any)</t>
  </si>
  <si>
    <t>Rate / margin spread on underlying</t>
  </si>
  <si>
    <t>G1</t>
  </si>
  <si>
    <t>G2</t>
  </si>
  <si>
    <t>G3</t>
  </si>
  <si>
    <t>G4</t>
  </si>
  <si>
    <t>G5</t>
  </si>
  <si>
    <t>G6</t>
  </si>
  <si>
    <t>G7</t>
  </si>
  <si>
    <t>G8</t>
  </si>
  <si>
    <t>G9</t>
  </si>
  <si>
    <t>GX</t>
  </si>
  <si>
    <t xml:space="preserve">Total G. </t>
  </si>
  <si>
    <t>Additional commentary on individual instruments (as of latest reporting date, using ref to lines above)</t>
  </si>
  <si>
    <t>H</t>
  </si>
  <si>
    <t>Interest rate SWAPS</t>
  </si>
  <si>
    <t>H1</t>
  </si>
  <si>
    <t>Swap 2027 bond (C2) to floating rate for life</t>
  </si>
  <si>
    <t>6m for floating, 12m for fixed%</t>
  </si>
  <si>
    <t>-</t>
  </si>
  <si>
    <t>6m Libor</t>
  </si>
  <si>
    <t>Various</t>
  </si>
  <si>
    <t>H2</t>
  </si>
  <si>
    <t>Swap 2035 bond (C3) to floating rate for life</t>
  </si>
  <si>
    <t>H3</t>
  </si>
  <si>
    <t>Various from</t>
  </si>
  <si>
    <t>Various to</t>
  </si>
  <si>
    <t>Re-fix rate on 2027 bond (C2) for periods up to 10 years</t>
  </si>
  <si>
    <t>6m</t>
  </si>
  <si>
    <t>H4</t>
  </si>
  <si>
    <t>Re-fix rate on 2035 bond (C3) for periods up to 10 years</t>
  </si>
  <si>
    <t>H5</t>
  </si>
  <si>
    <t>Original pre-hedge of 2019 bond (C1)</t>
  </si>
  <si>
    <t>H6</t>
  </si>
  <si>
    <t>Annuitise negative fair value of above swaps</t>
  </si>
  <si>
    <t>H7</t>
  </si>
  <si>
    <t>Original pre-hedge of 2040 bond (C4)</t>
  </si>
  <si>
    <t>H8</t>
  </si>
  <si>
    <t>H9</t>
  </si>
  <si>
    <t>Re-fix rate on floating rate EIB loans (B2.1-2.4 &amp; B2.6-2.10)</t>
  </si>
  <si>
    <t>3m</t>
  </si>
  <si>
    <t>3m Libor</t>
  </si>
  <si>
    <t>H10</t>
  </si>
  <si>
    <t>6m for floating, 12m for fixed</t>
  </si>
  <si>
    <t>6M Libor</t>
  </si>
  <si>
    <t>Barclays</t>
  </si>
  <si>
    <t>H11</t>
  </si>
  <si>
    <t>H12</t>
  </si>
  <si>
    <t>H13</t>
  </si>
  <si>
    <t>17.5 (£35m prior to Sept 17)</t>
  </si>
  <si>
    <t>JP Morgan Chase</t>
  </si>
  <si>
    <t>H14</t>
  </si>
  <si>
    <t>1.25 (£2.5m prior to Sept 17)</t>
  </si>
  <si>
    <t>H15</t>
  </si>
  <si>
    <t>12.5 (£25m prior to Sept i7)</t>
  </si>
  <si>
    <t>H16</t>
  </si>
  <si>
    <t>Societe Generale</t>
  </si>
  <si>
    <t>H17</t>
  </si>
  <si>
    <t>H18</t>
  </si>
  <si>
    <t>Royal Bank of Canada</t>
  </si>
  <si>
    <t>H19</t>
  </si>
  <si>
    <t>H20</t>
  </si>
  <si>
    <t>H21</t>
  </si>
  <si>
    <t>H22</t>
  </si>
  <si>
    <t>Santander</t>
  </si>
  <si>
    <t>H23</t>
  </si>
  <si>
    <t>H24</t>
  </si>
  <si>
    <t>H25</t>
  </si>
  <si>
    <t>H26</t>
  </si>
  <si>
    <t>H27</t>
  </si>
  <si>
    <t>H28</t>
  </si>
  <si>
    <t>H29</t>
  </si>
  <si>
    <t>H30</t>
  </si>
  <si>
    <t>H31</t>
  </si>
  <si>
    <t>14.375 £28.75 prior to Sep 17)</t>
  </si>
  <si>
    <t>H32</t>
  </si>
  <si>
    <t>17.5 (£35 prior to Sep 17)</t>
  </si>
  <si>
    <t>H33</t>
  </si>
  <si>
    <t>H34</t>
  </si>
  <si>
    <t>H35</t>
  </si>
  <si>
    <t>H36</t>
  </si>
  <si>
    <t>H37</t>
  </si>
  <si>
    <t>H38</t>
  </si>
  <si>
    <t>H39</t>
  </si>
  <si>
    <t>H40</t>
  </si>
  <si>
    <t>H41</t>
  </si>
  <si>
    <t>H42</t>
  </si>
  <si>
    <t>H43</t>
  </si>
  <si>
    <t>H44</t>
  </si>
  <si>
    <t>H45</t>
  </si>
  <si>
    <t>H46</t>
  </si>
  <si>
    <t>Lloyds TSB</t>
  </si>
  <si>
    <t>H47</t>
  </si>
  <si>
    <t>H48</t>
  </si>
  <si>
    <t>H49</t>
  </si>
  <si>
    <t>H50</t>
  </si>
  <si>
    <t>H51</t>
  </si>
  <si>
    <t>H52</t>
  </si>
  <si>
    <t>H53</t>
  </si>
  <si>
    <t>H54</t>
  </si>
  <si>
    <t>H55</t>
  </si>
  <si>
    <t>H56</t>
  </si>
  <si>
    <t>H57</t>
  </si>
  <si>
    <t>H58</t>
  </si>
  <si>
    <t>H59</t>
  </si>
  <si>
    <t>H60</t>
  </si>
  <si>
    <t>H61</t>
  </si>
  <si>
    <t>H62</t>
  </si>
  <si>
    <t>H63</t>
  </si>
  <si>
    <t>H64</t>
  </si>
  <si>
    <t>H65</t>
  </si>
  <si>
    <t>H66</t>
  </si>
  <si>
    <t>H67</t>
  </si>
  <si>
    <t>H68</t>
  </si>
  <si>
    <t>H69</t>
  </si>
  <si>
    <t>H70</t>
  </si>
  <si>
    <t>H71</t>
  </si>
  <si>
    <t>H72</t>
  </si>
  <si>
    <t>H73</t>
  </si>
  <si>
    <t>H74</t>
  </si>
  <si>
    <t>H75</t>
  </si>
  <si>
    <t>H76</t>
  </si>
  <si>
    <t>H77</t>
  </si>
  <si>
    <t>H78</t>
  </si>
  <si>
    <t>H79</t>
  </si>
  <si>
    <t>H80</t>
  </si>
  <si>
    <t>H81</t>
  </si>
  <si>
    <t>H82</t>
  </si>
  <si>
    <t>H83</t>
  </si>
  <si>
    <t>H84</t>
  </si>
  <si>
    <t>H85</t>
  </si>
  <si>
    <t>H86</t>
  </si>
  <si>
    <t>H87</t>
  </si>
  <si>
    <t>H88</t>
  </si>
  <si>
    <t>H89</t>
  </si>
  <si>
    <t>H90</t>
  </si>
  <si>
    <t>RBC</t>
  </si>
  <si>
    <t>H91</t>
  </si>
  <si>
    <t>H92</t>
  </si>
  <si>
    <t>H93</t>
  </si>
  <si>
    <t>H94</t>
  </si>
  <si>
    <t>H95</t>
  </si>
  <si>
    <t>H96</t>
  </si>
  <si>
    <t>H97</t>
  </si>
  <si>
    <t>Lloyds Bank Corp Mkts</t>
  </si>
  <si>
    <t>H98</t>
  </si>
  <si>
    <t>H99</t>
  </si>
  <si>
    <t>H100</t>
  </si>
  <si>
    <t>H101</t>
  </si>
  <si>
    <t>H102</t>
  </si>
  <si>
    <t>H103</t>
  </si>
  <si>
    <t>H104</t>
  </si>
  <si>
    <t>H105</t>
  </si>
  <si>
    <t>Hedge of floating rate EIB loan (B2.1)</t>
  </si>
  <si>
    <t>3M Libor</t>
  </si>
  <si>
    <t>H106</t>
  </si>
  <si>
    <t>H107</t>
  </si>
  <si>
    <t>H108</t>
  </si>
  <si>
    <t>Hedge of floating rate EIB loan (B2.2)</t>
  </si>
  <si>
    <t>H109</t>
  </si>
  <si>
    <t>H110</t>
  </si>
  <si>
    <t>H111</t>
  </si>
  <si>
    <t>H112</t>
  </si>
  <si>
    <t>H113</t>
  </si>
  <si>
    <t>Hedge of floating rate EIB loan (B2.3)</t>
  </si>
  <si>
    <t>H114</t>
  </si>
  <si>
    <t>H115</t>
  </si>
  <si>
    <t>Hedge of floating rate EIB loan (B2.4)</t>
  </si>
  <si>
    <t>H116</t>
  </si>
  <si>
    <t>H117</t>
  </si>
  <si>
    <t>H118</t>
  </si>
  <si>
    <t>H119</t>
  </si>
  <si>
    <t>Hedge of floating rate EIB loan (B2.6)</t>
  </si>
  <si>
    <t>H120</t>
  </si>
  <si>
    <t>H121</t>
  </si>
  <si>
    <t>10.1 (amortises)</t>
  </si>
  <si>
    <t>H122</t>
  </si>
  <si>
    <t>Hedge of floating rate EIB loan (B2.7)</t>
  </si>
  <si>
    <t>H123</t>
  </si>
  <si>
    <t>H124</t>
  </si>
  <si>
    <t>H125</t>
  </si>
  <si>
    <t>Hedge of floating rate EIB loan (B2.8)</t>
  </si>
  <si>
    <t>H126</t>
  </si>
  <si>
    <t>H127</t>
  </si>
  <si>
    <t>H128</t>
  </si>
  <si>
    <t>Hedge of floating rate EIB loan (B2.9)</t>
  </si>
  <si>
    <t>H129</t>
  </si>
  <si>
    <t>H130</t>
  </si>
  <si>
    <t>H131</t>
  </si>
  <si>
    <t>H132</t>
  </si>
  <si>
    <t>Hedge of floating rate EIB loan (B2.10)</t>
  </si>
  <si>
    <t>Lloyds</t>
  </si>
  <si>
    <t>H133</t>
  </si>
  <si>
    <t>H134</t>
  </si>
  <si>
    <t>H135</t>
  </si>
  <si>
    <t>H136</t>
  </si>
  <si>
    <t>H137</t>
  </si>
  <si>
    <t>H138</t>
  </si>
  <si>
    <t>H139</t>
  </si>
  <si>
    <t>H140</t>
  </si>
  <si>
    <t>H141</t>
  </si>
  <si>
    <t>H142</t>
  </si>
  <si>
    <t>H143</t>
  </si>
  <si>
    <t>H144</t>
  </si>
  <si>
    <t>H145</t>
  </si>
  <si>
    <t>H146</t>
  </si>
  <si>
    <t>H147</t>
  </si>
  <si>
    <t>H148</t>
  </si>
  <si>
    <t>H149</t>
  </si>
  <si>
    <t>H150</t>
  </si>
  <si>
    <t>H151</t>
  </si>
  <si>
    <t>H152</t>
  </si>
  <si>
    <t>H153</t>
  </si>
  <si>
    <t>H154</t>
  </si>
  <si>
    <t>H155</t>
  </si>
  <si>
    <t>H156</t>
  </si>
  <si>
    <t>H157</t>
  </si>
  <si>
    <t>H158</t>
  </si>
  <si>
    <t>H159</t>
  </si>
  <si>
    <t>H160</t>
  </si>
  <si>
    <t>H161</t>
  </si>
  <si>
    <t>Swap 2029 USPP note (B1.1) to floating rate for life on accreting basis</t>
  </si>
  <si>
    <t>H162</t>
  </si>
  <si>
    <t>H163</t>
  </si>
  <si>
    <t>Swap 2031 USPP note (B1.3) to floating rate for life on accreting basis</t>
  </si>
  <si>
    <t>H164</t>
  </si>
  <si>
    <t>H165</t>
  </si>
  <si>
    <t>H166</t>
  </si>
  <si>
    <t>H167</t>
  </si>
  <si>
    <t>HX</t>
  </si>
  <si>
    <t xml:space="preserve">Total H. </t>
  </si>
  <si>
    <t>FVs to 2018 include "other" debtor/creditor balances associated with previously hedged bonds (In C3 from 2019)</t>
  </si>
  <si>
    <t>FVs include "other" debtor/creditor balances associated with previously hedged bonds (In C5 from 2019)</t>
  </si>
  <si>
    <t>I.</t>
  </si>
  <si>
    <t>Inflation-linked SWAPS</t>
  </si>
  <si>
    <t>I1</t>
  </si>
  <si>
    <t>I2</t>
  </si>
  <si>
    <t>I3</t>
  </si>
  <si>
    <t>I4</t>
  </si>
  <si>
    <t>I5</t>
  </si>
  <si>
    <t>I6</t>
  </si>
  <si>
    <t>I7</t>
  </si>
  <si>
    <t>I8</t>
  </si>
  <si>
    <t>I9</t>
  </si>
  <si>
    <t>IX</t>
  </si>
  <si>
    <t xml:space="preserve">Total I. </t>
  </si>
  <si>
    <t>J.</t>
  </si>
  <si>
    <t>Interest Rate Forward Contracts</t>
  </si>
  <si>
    <t>Rate</t>
  </si>
  <si>
    <t>J1</t>
  </si>
  <si>
    <t>J2</t>
  </si>
  <si>
    <t>J3</t>
  </si>
  <si>
    <t>J4</t>
  </si>
  <si>
    <t>JX</t>
  </si>
  <si>
    <t>Total J.</t>
  </si>
  <si>
    <t>K.</t>
  </si>
  <si>
    <t>Foreign exchange forward rate contracts</t>
  </si>
  <si>
    <t>Exchange rate</t>
  </si>
  <si>
    <t>Receive : Pay</t>
  </si>
  <si>
    <t>K1</t>
  </si>
  <si>
    <t>K2</t>
  </si>
  <si>
    <t>K3</t>
  </si>
  <si>
    <t>K4</t>
  </si>
  <si>
    <t>KX</t>
  </si>
  <si>
    <t xml:space="preserve">         </t>
  </si>
  <si>
    <t>Total K.</t>
  </si>
  <si>
    <t>L.</t>
  </si>
  <si>
    <t>Other swaps, forward rate contracts &amp; OTC options</t>
  </si>
  <si>
    <t>L1</t>
  </si>
  <si>
    <t>L2</t>
  </si>
  <si>
    <t>L3</t>
  </si>
  <si>
    <t>L4</t>
  </si>
  <si>
    <t>LX</t>
  </si>
  <si>
    <t>Total L.</t>
  </si>
  <si>
    <t>M.</t>
  </si>
  <si>
    <t>Other derivatives including exchange traded futures and options</t>
  </si>
  <si>
    <t>M1</t>
  </si>
  <si>
    <t>M2</t>
  </si>
  <si>
    <t>M3</t>
  </si>
  <si>
    <t>M4</t>
  </si>
  <si>
    <t>MX</t>
  </si>
  <si>
    <t>Total M.</t>
  </si>
  <si>
    <t>Total Net Debt</t>
  </si>
  <si>
    <r>
      <rPr>
        <u/>
        <sz val="10"/>
        <rFont val="Gill Sans MT"/>
        <family val="2"/>
      </rPr>
      <t>Note:</t>
    </r>
    <r>
      <rPr>
        <sz val="10"/>
        <rFont val="Gill Sans MT"/>
        <family val="2"/>
      </rPr>
      <t xml:space="preserve"> Please provide additional commentary for each type of debt</t>
    </r>
  </si>
  <si>
    <t>Additional Commentary (for most recent year ended)</t>
  </si>
  <si>
    <t>Re external loans B11 &amp; B12, there were drawings under a syndicated credit facility starting on 28 October 2015 and terminating in October 2022 in the year but none outstanding at year-end.</t>
  </si>
  <si>
    <t>Re bonds C1-C4 we have entered details of the external debt issued by a financing subsidiary of the Licence holder and on-lent to the Licence holder</t>
  </si>
  <si>
    <t>Unamortised Issue Costs</t>
  </si>
  <si>
    <t>Fixed asset investments not readily convertible to cash</t>
  </si>
  <si>
    <t>Preference shares</t>
  </si>
  <si>
    <t>Long term loans (Not for benefit of regulated business or distribution in nature)</t>
  </si>
  <si>
    <t>Fair values of intercompany loans in FV hedge relationships</t>
  </si>
  <si>
    <t>Intercompany balances</t>
  </si>
  <si>
    <t>FV of interest rate swaps</t>
  </si>
  <si>
    <t>Fair values of USPP notes in FV hedge relationships</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</si>
  <si>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</si>
  <si>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</si>
  <si>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</si>
  <si>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</si>
  <si>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</si>
  <si>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</si>
  <si>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</si>
  <si>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</si>
  <si>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Total Net Debt Per Regulatory Definition</t>
  </si>
  <si>
    <t>Allocation of net debt (Per regulatory definition. Transmission companies only)</t>
  </si>
  <si>
    <t>System operator allocation (transmission companies only)</t>
  </si>
  <si>
    <t>Transmission or distribution allocation</t>
  </si>
  <si>
    <r>
      <rPr>
        <u/>
        <sz val="10"/>
        <rFont val="Gill Sans MT"/>
        <family val="2"/>
      </rPr>
      <t>Note:</t>
    </r>
    <r>
      <rPr>
        <sz val="10"/>
        <rFont val="Gill Sans MT"/>
        <family val="2"/>
      </rPr>
      <t xml:space="preserve"> Please confirm overall outturn and expected exposure of embedded debt, pre &amp; post derivative instruments (as per "Total Net Debt" rather than "Total Net Debt Per Regulatory Definition")</t>
    </r>
  </si>
  <si>
    <t>Pre derivative average exposure to interest rate and inflation changes</t>
  </si>
  <si>
    <t>Proportion of net borrowings which are fixed rate</t>
  </si>
  <si>
    <t>Proportion of net borrowings which are floating rate</t>
  </si>
  <si>
    <t>Proportion of net borrowings which are RPI linked</t>
  </si>
  <si>
    <t>Proportion of net borrowings which are CPI linked</t>
  </si>
  <si>
    <t>Total</t>
  </si>
  <si>
    <t>Post derivative average exposure to interest rate and inflation changes</t>
  </si>
  <si>
    <t>Pre derivative average exposure to currency rates</t>
  </si>
  <si>
    <t>Proportion of net borrowings which are GBP based</t>
  </si>
  <si>
    <t>Proportion of net borrowings which are non GBP based</t>
  </si>
  <si>
    <t>Post derivative average exposure to currency rates</t>
  </si>
  <si>
    <t>End of sheet</t>
  </si>
  <si>
    <r>
      <rPr>
        <u/>
        <sz val="10"/>
        <rFont val="Gill Sans MT"/>
        <family val="2"/>
      </rPr>
      <t>Note:</t>
    </r>
    <r>
      <rPr>
        <sz val="10"/>
        <rFont val="Gill Sans MT"/>
        <family val="2"/>
      </rPr>
      <t xml:space="preserve"> Please report debt costs for each debt type, segregating each type between the income statement and the cash flow statement. Please report historical and expected costs for embedded debt &amp; associated products only (ie do not forecast refinancing or new debt issuance costs).</t>
    </r>
  </si>
  <si>
    <t>Interest paid on External borrowings, bonds, external loans and finance leases (+ve)</t>
  </si>
  <si>
    <t>Income statement (P&amp;L) charge</t>
  </si>
  <si>
    <t>Cash flow</t>
  </si>
  <si>
    <t>&amp;</t>
  </si>
  <si>
    <t>External loan or finance lease</t>
  </si>
  <si>
    <t>Interest paid on loans from other group companies (+ve)</t>
  </si>
  <si>
    <t>Interest received on loans to other group companies (-ve)</t>
  </si>
  <si>
    <t xml:space="preserve">Interest paid (received) on other amounts due to/(from) group companies </t>
  </si>
  <si>
    <t xml:space="preserve">Finance cost for other financial exposure </t>
  </si>
  <si>
    <t>Financing costs paid (received) on Currency SWAPS as per income statement</t>
  </si>
  <si>
    <t xml:space="preserve">Financing costs paid (received) on Interest rate SWAPS </t>
  </si>
  <si>
    <t xml:space="preserve">Financing costs paid (received) on Inflation-linked SWAPS </t>
  </si>
  <si>
    <t>Financing costs paid (received) on Interest Rate Forward Contracts</t>
  </si>
  <si>
    <t>Financing costs paid (received) on foreign exchange forward rate contracts</t>
  </si>
  <si>
    <t xml:space="preserve">Financing costs paid (received) on other swaps, forward rate contracts &amp; OTC options </t>
  </si>
  <si>
    <t xml:space="preserve">Financing costs paid (received) on other derivatives including exchange traded futures and options </t>
  </si>
  <si>
    <t>Analysis of financing costs as per income statement</t>
  </si>
  <si>
    <t>Income statement debits and cash out flows entered as +ve values, credits as -ve values</t>
  </si>
  <si>
    <t>Overdrafts</t>
  </si>
  <si>
    <t>Commercial Paper</t>
  </si>
  <si>
    <t>Loans from other group companies</t>
  </si>
  <si>
    <t>G-M</t>
  </si>
  <si>
    <t>Derivatives etc.</t>
  </si>
  <si>
    <t>Guarantee fee on bonds underlying intercompany loan</t>
  </si>
  <si>
    <t>Unwind of discount / proceeds shortfall on bonds underlying intercompany loans</t>
  </si>
  <si>
    <t>Other adjustment (Overwrite)</t>
  </si>
  <si>
    <t>Sub Total: "Debt Interest Expense"</t>
  </si>
  <si>
    <t>Plus pensions: interest on scheme liabilities</t>
  </si>
  <si>
    <t>Plus unwinding of discount on provisions</t>
  </si>
  <si>
    <t>Plus debt redemption costs</t>
  </si>
  <si>
    <t>Plus Preference dividends</t>
  </si>
  <si>
    <t>Plus commitment fees</t>
  </si>
  <si>
    <t>Less Interest capitalised</t>
  </si>
  <si>
    <t xml:space="preserve">Plus losses on derivative financial instruments </t>
  </si>
  <si>
    <t>Interest on Shipper deposits</t>
  </si>
  <si>
    <t>Agency fees</t>
  </si>
  <si>
    <t>Bank fees</t>
  </si>
  <si>
    <t>Amortised issuance costs</t>
  </si>
  <si>
    <t>Interest on ABC loan note</t>
  </si>
  <si>
    <t>xoserve dividends</t>
  </si>
  <si>
    <t>Finance lease interest</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</si>
  <si>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</si>
  <si>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</si>
  <si>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</si>
  <si>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</si>
  <si>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</si>
  <si>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Loans to other group companies</t>
  </si>
  <si>
    <t>Sub total "debt interest paid"</t>
  </si>
  <si>
    <t>Plus pensions: expected return on scheme assets</t>
  </si>
  <si>
    <t>Plus other, non debt, elements of interest recd.</t>
  </si>
  <si>
    <t xml:space="preserve">Plus gains on derivative financial instruments </t>
  </si>
  <si>
    <t>Unwind of ABC prepayment</t>
  </si>
  <si>
    <t>Total Interest income as per income statement</t>
  </si>
  <si>
    <t>Net Interest Calculation</t>
  </si>
  <si>
    <t>Total Interest Expense &amp; Finance Costs</t>
  </si>
  <si>
    <t>Total Interest Income</t>
  </si>
  <si>
    <t>Net Interest Per Statutory Accounts</t>
  </si>
  <si>
    <t>Allocation of net interest (Per income statement. Transmission companies only)</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</si>
  <si>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</si>
  <si>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</si>
  <si>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</si>
  <si>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</si>
  <si>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</si>
  <si>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</si>
  <si>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</si>
  <si>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1. Unwind of discount on provisions</t>
  </si>
  <si>
    <t>2. ABC loan note interest &amp; unwind of prepayment</t>
  </si>
  <si>
    <t>3. Other adjustment (Overwrite)</t>
  </si>
  <si>
    <t>4. Xoserve dividends</t>
  </si>
  <si>
    <t>5. Interest on shipper deposits</t>
  </si>
  <si>
    <t>6. Other adjustment (Overwrite)</t>
  </si>
  <si>
    <t>7. Other adjustment (Overwrite)</t>
  </si>
  <si>
    <t>8. Other adjustment (Overwrite)</t>
  </si>
  <si>
    <t>9. Other adjustment (Overwrite)</t>
  </si>
  <si>
    <t>Net Interest Per Regulatory (RIIO-1) Definition</t>
  </si>
  <si>
    <t>Add back Debt Issuance expenses</t>
  </si>
  <si>
    <t>Costs of early redemption on long term debt (excluding exceptional costs of buy backs associated with M&amp;A activity)</t>
  </si>
  <si>
    <t>Add accrual for inflation accretion on index-linked swaps (if applicable)</t>
  </si>
  <si>
    <t>Other Adjustments [please specify]</t>
  </si>
  <si>
    <t>Adjustments to be applied to Assumed Finance cost for performance assessment</t>
  </si>
  <si>
    <t>Allocation of net interest (Per regulatory definition. Transmission companies only)</t>
  </si>
  <si>
    <t>Inputs to Tax Clawback Calculation</t>
  </si>
  <si>
    <t>Total Net Debt Per Regulatory (RIIO-1) Definition</t>
  </si>
  <si>
    <t>Analysis of financing costs as per cash flow statement</t>
  </si>
  <si>
    <t>Cash flow statement debits and cash out flows entered as +ve values, credits as -ve values</t>
  </si>
  <si>
    <t>Analysis of interest paid as per cash flow statement</t>
  </si>
  <si>
    <t>Derivatives etc</t>
  </si>
  <si>
    <t>Sub Total: "debt interest paid"</t>
  </si>
  <si>
    <t>Plus other, non debt elements of interest paid</t>
  </si>
  <si>
    <t>Total Interest Paid as per cash flow statement</t>
  </si>
  <si>
    <t>Analysis of interest received as per cash flow statement</t>
  </si>
  <si>
    <t>Sub total "debt interest received"</t>
  </si>
  <si>
    <t>Plus pensions: interest received on scheme assets</t>
  </si>
  <si>
    <t xml:space="preserve">Plus interest received on derivative financial instruments </t>
  </si>
  <si>
    <t>Total Interest Received as per cash flow statement</t>
  </si>
  <si>
    <t>Net Interest Calculation (per cash flow statement)</t>
  </si>
  <si>
    <t>Interest &amp; Finance costs (cash outflow)</t>
  </si>
  <si>
    <t>Interest &amp; Finance costs (cash inflow)</t>
  </si>
  <si>
    <t>Net cash flow Statutory Accounts</t>
  </si>
  <si>
    <t>Allocation of net interest (Per cash flow statement. Transmission companies only)</t>
  </si>
  <si>
    <t>`</t>
  </si>
  <si>
    <t>1.03_bp_tax_inputs</t>
  </si>
  <si>
    <t>capital_allowances</t>
  </si>
  <si>
    <t>Capital allowances</t>
  </si>
  <si>
    <t>General pool</t>
  </si>
  <si>
    <t>general_pool</t>
  </si>
  <si>
    <t>capital_allowance_rate</t>
  </si>
  <si>
    <t>Capital allowance rate</t>
  </si>
  <si>
    <t>Opening_balance_brought_forward</t>
  </si>
  <si>
    <t>Opening balance brought forward</t>
  </si>
  <si>
    <t>revisions</t>
  </si>
  <si>
    <t>Revisions</t>
  </si>
  <si>
    <t>capex_ additions</t>
  </si>
  <si>
    <t>Capex additions</t>
  </si>
  <si>
    <t>tax_book_value_pre_depreciation</t>
  </si>
  <si>
    <t>Tax book value pre-depreciation</t>
  </si>
  <si>
    <t>general_pool_capital_allowance_reducing_balance</t>
  </si>
  <si>
    <t>General pool capital allowance (reducing balance)</t>
  </si>
  <si>
    <t>closing_balance_carried_forward</t>
  </si>
  <si>
    <t>Closing balance carried forward</t>
  </si>
  <si>
    <t>Special Rates pool</t>
  </si>
  <si>
    <t>special_rates_pool</t>
  </si>
  <si>
    <t>Special Rates capital allowance (reducing balance)</t>
  </si>
  <si>
    <t>Deferred revenue expenditure</t>
  </si>
  <si>
    <t>deferred_revenue_expenditure</t>
  </si>
  <si>
    <t>transfer</t>
  </si>
  <si>
    <t>Transfer</t>
  </si>
  <si>
    <t>deferred_revenue_expenditure_capital_allowance_straight_line</t>
  </si>
  <si>
    <t>Deferred revenue expenditure capital allowance (straight line)</t>
  </si>
  <si>
    <t>Structures and Buildings Allowance</t>
  </si>
  <si>
    <t>Structures and Buildings capital allowance (straight line)</t>
  </si>
  <si>
    <t>total_capital_allowances</t>
  </si>
  <si>
    <t>Total capital allowances</t>
  </si>
  <si>
    <t xml:space="preserve">tax_pool_allocations </t>
  </si>
  <si>
    <t xml:space="preserve">Tax Pool Allocations </t>
  </si>
  <si>
    <t>Allocation to "General" pool</t>
  </si>
  <si>
    <t>allocation_to_general_pool</t>
  </si>
  <si>
    <t>load_related</t>
  </si>
  <si>
    <t>Load Related</t>
  </si>
  <si>
    <t>non_load_related_other</t>
  </si>
  <si>
    <t>Non-Load Related - other</t>
  </si>
  <si>
    <t>opex</t>
  </si>
  <si>
    <t>allocation_to_special_rate_pool</t>
  </si>
  <si>
    <t>Allocation to "Special Rate" pool</t>
  </si>
  <si>
    <t>allocation_to_deferred_revenue_pool</t>
  </si>
  <si>
    <t>Allocation to "Deferred Revenue" pool</t>
  </si>
  <si>
    <t>Allocation to "Structures and buildings" pool</t>
  </si>
  <si>
    <t>allocation_to_revenue_pool</t>
  </si>
  <si>
    <t>Allocation to "Revenue" pool</t>
  </si>
  <si>
    <t>allocation_to_non_qualifying_pool</t>
  </si>
  <si>
    <t>Allocation to "Non Qualifying" pool</t>
  </si>
  <si>
    <t>allocation_check</t>
  </si>
  <si>
    <t>Allocation check</t>
  </si>
  <si>
    <t>load_related_capex_expenditure</t>
  </si>
  <si>
    <t>Load related capex expenditure</t>
  </si>
  <si>
    <t>asset_replacement_capex_expenditure</t>
  </si>
  <si>
    <t>Asset replacement capex expenditure</t>
  </si>
  <si>
    <t>other_capex_expenditure</t>
  </si>
  <si>
    <t>Other capex expenditure</t>
  </si>
  <si>
    <t xml:space="preserve">other_tax_forecast_differences_v_notional_tax_allowance </t>
  </si>
  <si>
    <t>Other tax forecast differences v notional tax allowance (explain where inputted)</t>
  </si>
  <si>
    <t>1.04_bp_disposals_1</t>
  </si>
  <si>
    <t>disposals_by_asset_type</t>
  </si>
  <si>
    <t>Disposals by asset type</t>
  </si>
  <si>
    <t>Intangible</t>
  </si>
  <si>
    <t>intangible</t>
  </si>
  <si>
    <t>cost</t>
  </si>
  <si>
    <t>Cost</t>
  </si>
  <si>
    <t>depn</t>
  </si>
  <si>
    <t>Depn.</t>
  </si>
  <si>
    <t>net_book_value</t>
  </si>
  <si>
    <t>Net Book Value</t>
  </si>
  <si>
    <t>net_sales_proceeds</t>
  </si>
  <si>
    <t>Net Sales Proceeds</t>
  </si>
  <si>
    <t>transfer_to_current_assets</t>
  </si>
  <si>
    <t>Transfer to Current Assets</t>
  </si>
  <si>
    <t>profit_loss_on_disposal</t>
  </si>
  <si>
    <t>Profit / (Loss) on Disposal</t>
  </si>
  <si>
    <t>Land &amp; Buildiing</t>
  </si>
  <si>
    <t>land_and_building</t>
  </si>
  <si>
    <t>plant_and_machinery</t>
  </si>
  <si>
    <t>Plant &amp; Machinery</t>
  </si>
  <si>
    <t>motor_vehicles_and_office_equipment</t>
  </si>
  <si>
    <t>Motor Vehicles &amp; Office Equipment</t>
  </si>
  <si>
    <t xml:space="preserve">property_and associated_land_ disposal_income </t>
  </si>
  <si>
    <t>Property and associated land disposal income - various sites (complete table below)</t>
  </si>
  <si>
    <t>Sub Total</t>
  </si>
  <si>
    <t>sub_total</t>
  </si>
  <si>
    <t>reclassification_adjustment</t>
  </si>
  <si>
    <t>Reclassification / Adjustment</t>
  </si>
  <si>
    <t>Adjustment (1) - overwrite</t>
  </si>
  <si>
    <t>adjustment_1_overwrite</t>
  </si>
  <si>
    <t>Adjustment (2) - overwrite</t>
  </si>
  <si>
    <t>adjustment_2_overwrite</t>
  </si>
  <si>
    <t>adjustment_3_overwrite</t>
  </si>
  <si>
    <t>Adjustment (3) - overwrite</t>
  </si>
  <si>
    <t>adjustment_4_overwrite</t>
  </si>
  <si>
    <t>Adjustment (4) - overwrite</t>
  </si>
  <si>
    <t>adjustment_5_overwrite</t>
  </si>
  <si>
    <t>Adjustment (5) - overwrite</t>
  </si>
  <si>
    <t>adjustment_6_overwrite</t>
  </si>
  <si>
    <t>Adjustment (6) - overwrite</t>
  </si>
  <si>
    <t>adjustment_7_overwrite</t>
  </si>
  <si>
    <t>Adjustment (7) - overwrite</t>
  </si>
  <si>
    <t>total</t>
  </si>
  <si>
    <t xml:space="preserve">Total </t>
  </si>
  <si>
    <t>[name of site disposed of]</t>
  </si>
  <si>
    <t>[name related party]</t>
  </si>
  <si>
    <t>[name third party]</t>
  </si>
  <si>
    <t>1.05_bp_disposals_2</t>
  </si>
  <si>
    <t>property_ and_ assoc_land_ disposal_ income</t>
  </si>
  <si>
    <t>no_rotate</t>
  </si>
  <si>
    <t>Property and associated land disposal income - various sites</t>
  </si>
  <si>
    <t>Year</t>
  </si>
  <si>
    <t>Gross disposal value</t>
  </si>
  <si>
    <t>Direct costs of disposal</t>
  </si>
  <si>
    <t>Directly associated remediation costs</t>
  </si>
  <si>
    <t>Former use of site / land</t>
  </si>
  <si>
    <t>Disposal date</t>
  </si>
  <si>
    <t>Related party sale</t>
  </si>
  <si>
    <t>Third party sale</t>
  </si>
  <si>
    <r>
      <t>Independent valuation</t>
    </r>
    <r>
      <rPr>
        <b/>
        <vertAlign val="superscript"/>
        <sz val="11"/>
        <rFont val="Verdana"/>
        <family val="2"/>
      </rPr>
      <t>1</t>
    </r>
  </si>
  <si>
    <t>Dockfield Road - Shipley</t>
  </si>
  <si>
    <t xml:space="preserve">- </t>
  </si>
  <si>
    <t>NGN site</t>
  </si>
  <si>
    <t>No</t>
  </si>
  <si>
    <t>Yes</t>
  </si>
  <si>
    <t>Portrack - disposed of in Jan 2017 but sale proceeds defined as profit on disposal in 2017/8.</t>
  </si>
  <si>
    <t>Gas holder site</t>
  </si>
  <si>
    <t>O'Connor Utilities</t>
  </si>
  <si>
    <t>Spennymore</t>
  </si>
  <si>
    <t>Sold to GAP group</t>
  </si>
  <si>
    <t>[20XX/XX]</t>
  </si>
  <si>
    <r>
      <rPr>
        <b/>
        <vertAlign val="superscript"/>
        <sz val="11"/>
        <rFont val="Verdana"/>
        <family val="2"/>
      </rPr>
      <t>1</t>
    </r>
    <r>
      <rPr>
        <sz val="11"/>
        <rFont val="Verdana"/>
        <family val="2"/>
      </rPr>
      <t xml:space="preserve"> Provide copies of all independent valuations</t>
    </r>
  </si>
  <si>
    <t>Price Base:</t>
  </si>
  <si>
    <t>TOTEX</t>
  </si>
  <si>
    <t>NET CONTROLLABLE COSTS</t>
  </si>
  <si>
    <t>RIIO-GD1</t>
  </si>
  <si>
    <t>Unit</t>
  </si>
  <si>
    <t>Direct Opex</t>
  </si>
  <si>
    <t>Work Management</t>
  </si>
  <si>
    <t>Repair</t>
  </si>
  <si>
    <t>Statutory independent undertakings (SIU)</t>
  </si>
  <si>
    <t>Other Direct Activities</t>
  </si>
  <si>
    <t>TOTAL DIRECT OPEX</t>
  </si>
  <si>
    <t>Indirect Opex</t>
  </si>
  <si>
    <t>Business Support</t>
  </si>
  <si>
    <t>Training &amp; Apprentices</t>
  </si>
  <si>
    <t>TOTAL INDIRECT OPEX</t>
  </si>
  <si>
    <t>LTS, storage and entry</t>
  </si>
  <si>
    <t>Reinforcement (&lt;7barg)</t>
  </si>
  <si>
    <t>Transport &amp; Plant</t>
  </si>
  <si>
    <t>TOTAL CAPEX</t>
  </si>
  <si>
    <t>Tier-1</t>
  </si>
  <si>
    <t>Tier-2A</t>
  </si>
  <si>
    <t>Tier-2B</t>
  </si>
  <si>
    <t>Tier-3</t>
  </si>
  <si>
    <t>Other Policy &amp; Condition (inc. MDPI)</t>
  </si>
  <si>
    <t>Multiple Occupancy Buildings (MOBs)</t>
  </si>
  <si>
    <t>Services Not Associated with Mains Replacement</t>
  </si>
  <si>
    <t>TOTAL REPEX</t>
  </si>
  <si>
    <t>Adjustments</t>
  </si>
  <si>
    <t>COST ADJUSTMENTS</t>
  </si>
  <si>
    <t>WORKLOAD/VOLUME ADJUSTMENTS</t>
  </si>
  <si>
    <t>REFERENCE</t>
  </si>
  <si>
    <t>Baseline Activity</t>
  </si>
  <si>
    <t>Baseline Activity Sheet Name</t>
  </si>
  <si>
    <t>Baseline Activity Row Number</t>
  </si>
  <si>
    <t>Reference to BPFM Input</t>
  </si>
  <si>
    <t>External References</t>
  </si>
  <si>
    <t>Description of Adjustment</t>
  </si>
  <si>
    <t>Call Handling credit received from National Grid for GDPCR1</t>
  </si>
  <si>
    <t>TOTAL</t>
  </si>
  <si>
    <t>2.00 Opex Summary</t>
  </si>
  <si>
    <t>Controllable Opex Costs</t>
  </si>
  <si>
    <t>NET COSTS</t>
  </si>
  <si>
    <t>Direct Activities</t>
  </si>
  <si>
    <t>Asset Management (Including Network Policy)</t>
  </si>
  <si>
    <t>Operations Management (Including Contract Management)</t>
  </si>
  <si>
    <t>Customer Management &amp; Network Support</t>
  </si>
  <si>
    <t>System Control</t>
  </si>
  <si>
    <t>SUBTOTAL</t>
  </si>
  <si>
    <t>Work Execution</t>
  </si>
  <si>
    <t>Statutory Independent Networks (SIU)</t>
  </si>
  <si>
    <t>Other Direct Activities (ODA)</t>
  </si>
  <si>
    <t>TOTAL DIRECT ACTIVITIES</t>
  </si>
  <si>
    <t>IT &amp; Telecoms</t>
  </si>
  <si>
    <t>HR &amp; Non-Operational Training</t>
  </si>
  <si>
    <t>Audit, Finance &amp; Regulation</t>
  </si>
  <si>
    <t>Insurance</t>
  </si>
  <si>
    <t>Procurement</t>
  </si>
  <si>
    <t>CEO &amp; Group Management</t>
  </si>
  <si>
    <t>Stores &amp; Logistics</t>
  </si>
  <si>
    <t>TOTAL CONTROLLABLE OPEX COSTS: PRICE-CONTROLLED ACTIVITIES</t>
  </si>
  <si>
    <t>Non-Price Controlled Activities</t>
  </si>
  <si>
    <t>De Minimis Activity</t>
  </si>
  <si>
    <t>Excluded Services</t>
  </si>
  <si>
    <t>Metering</t>
  </si>
  <si>
    <t>Consented</t>
  </si>
  <si>
    <t>Disallowed Related Party and Substantial Outsourcing Margins</t>
  </si>
  <si>
    <t>TOTAL CONTROLLABLE OPEX COSTS</t>
  </si>
  <si>
    <t>Non-Controllable Opex Costs</t>
  </si>
  <si>
    <t>Non-Controllable Cost</t>
  </si>
  <si>
    <t>Ofgem Licence</t>
  </si>
  <si>
    <t>Network Rates</t>
  </si>
  <si>
    <t>Established Pension Deficit Recovery Plan Payment</t>
  </si>
  <si>
    <t>PPF Levy Costs</t>
  </si>
  <si>
    <t>Pension Scheme Administration Costs</t>
  </si>
  <si>
    <t>NTS Pension Recharge</t>
  </si>
  <si>
    <t>Bad Debt</t>
  </si>
  <si>
    <t>NTS Exit Costs</t>
  </si>
  <si>
    <t>Network Innovation (ex IRM)</t>
  </si>
  <si>
    <t>Innovation Roll-out expenditure (IRM)</t>
  </si>
  <si>
    <t>Xoserve</t>
  </si>
  <si>
    <t>2.01 Opex Cost Matrix: Controllable Activity Costs</t>
  </si>
  <si>
    <t>Cost Summary</t>
  </si>
  <si>
    <t xml:space="preserve">Unit </t>
  </si>
  <si>
    <t>Opex Category</t>
  </si>
  <si>
    <t>Direct Costs: Work Management</t>
  </si>
  <si>
    <t>Direct Costs: Work Execution</t>
  </si>
  <si>
    <t>Business Support Costs</t>
  </si>
  <si>
    <t>TOTAL NET CONTROLLABLE OPEX COSTS: PRICE-CONTROLLED ACTIVITIES</t>
  </si>
  <si>
    <t>Total Net Controllable Opex Costs</t>
  </si>
  <si>
    <t>Staff Costs (Including Agency Costs)</t>
  </si>
  <si>
    <t>Contractor Labour</t>
  </si>
  <si>
    <t>Materials</t>
  </si>
  <si>
    <t>Professional and Consultancy Fees</t>
  </si>
  <si>
    <t>Non-Salary Staff Costs (Including T+S)</t>
  </si>
  <si>
    <t>Rent and Rates</t>
  </si>
  <si>
    <t>Interruptible Contracts</t>
  </si>
  <si>
    <t>LP Gasholder Intervention (Excl. Land Remediation)</t>
  </si>
  <si>
    <t>Land Remediation (Incl. Gasholders)</t>
  </si>
  <si>
    <t xml:space="preserve">Stakeholder and Communciations </t>
  </si>
  <si>
    <t xml:space="preserve">Miscellaneous/ Other Costs </t>
  </si>
  <si>
    <t>TOTAL NET COSTS BEFORE CONTRIBUTIONS &amp; RECOVERIES</t>
  </si>
  <si>
    <t>Customer Contributions</t>
  </si>
  <si>
    <t>Cost Recoveries</t>
  </si>
  <si>
    <t>TOTAL NET COSTS AFTER CONTRIBUTIONS &amp; RECOVERIES</t>
  </si>
  <si>
    <t>Reinstatement</t>
  </si>
  <si>
    <t>Bought In Services</t>
  </si>
  <si>
    <t>TOTAL NET COSTS</t>
  </si>
  <si>
    <t>Repairs</t>
  </si>
  <si>
    <t>Insurance &amp; Compensation</t>
  </si>
  <si>
    <t>Wayleaves/Servitudes/Easements</t>
  </si>
  <si>
    <t>District Incident</t>
  </si>
  <si>
    <t>Streetworks</t>
  </si>
  <si>
    <t>IT &amp; Telecom</t>
  </si>
  <si>
    <t xml:space="preserve">TOTAL NET COSTS </t>
  </si>
  <si>
    <t>Disallowed Related party and Substantial Outsourcing Margins</t>
  </si>
  <si>
    <t>TOTAL DISALLOWED RELATED PARTY MARGINS</t>
  </si>
  <si>
    <t>Allowed Related party and Substantial Outsourcing Margins</t>
  </si>
  <si>
    <t>TOTAL ALLOWED RELATED PARTY MARGINS</t>
  </si>
  <si>
    <t>Opex: Direct Costs</t>
  </si>
  <si>
    <t>General Labour: Opex</t>
  </si>
  <si>
    <t>Specialist Labour: Opex</t>
  </si>
  <si>
    <t>Materials: Opex</t>
  </si>
  <si>
    <t>Plant &amp; Equipment</t>
  </si>
  <si>
    <t>Transport</t>
  </si>
  <si>
    <t>Other: Opex</t>
  </si>
  <si>
    <t>Opex: Indirect Costs</t>
  </si>
  <si>
    <t>2.02 Opex Cost Matrix: Non-Controllable Activity Costs</t>
  </si>
  <si>
    <t>Non-Controllable Costs</t>
  </si>
  <si>
    <t>Pension Deficit Charge Adjustment (NTS Pension Recharge)</t>
  </si>
  <si>
    <t>NIA</t>
  </si>
  <si>
    <t>TOTAL NET NON-CONTROLLABLE COSTS</t>
  </si>
  <si>
    <t>2.03 Emergency</t>
  </si>
  <si>
    <t>Emergency Cost Allocation Smart Metering</t>
  </si>
  <si>
    <t>Emergency Activities</t>
  </si>
  <si>
    <t>External</t>
  </si>
  <si>
    <t>Not External</t>
  </si>
  <si>
    <t>Non-Productive Time</t>
  </si>
  <si>
    <t>Total Net Emergency Costs</t>
  </si>
  <si>
    <t>Price Controlled Activities</t>
  </si>
  <si>
    <t>Total Emergency Costs Allocated to Price Controlled Activities</t>
  </si>
  <si>
    <t>Total Emergency Costs Allocated to Non-Price Controlled Activities</t>
  </si>
  <si>
    <t>Emergency Cost Allocation Non-Smart Metering</t>
  </si>
  <si>
    <t>2.04 Maintenance</t>
  </si>
  <si>
    <t>Costs by Activity</t>
  </si>
  <si>
    <t>Routine Maintenance</t>
  </si>
  <si>
    <t>Non-Routine Maintenance</t>
  </si>
  <si>
    <t>NTS Offtakes</t>
  </si>
  <si>
    <t>Regulator Systems</t>
  </si>
  <si>
    <t>Slam-Shut Systems</t>
  </si>
  <si>
    <t>Filter Systems</t>
  </si>
  <si>
    <t>Pre-Heating Systems</t>
  </si>
  <si>
    <t>Odorisation Systems</t>
  </si>
  <si>
    <t>Metering Systems</t>
  </si>
  <si>
    <t>Civils</t>
  </si>
  <si>
    <t>Electrical Systems</t>
  </si>
  <si>
    <t>Instrumentation Systems</t>
  </si>
  <si>
    <t>LTS Pipelines</t>
  </si>
  <si>
    <t>Block Valves</t>
  </si>
  <si>
    <t>Sleeves: Nitrogen &amp; Other</t>
  </si>
  <si>
    <t>LTS Pipelines: Piggable</t>
  </si>
  <si>
    <t>LTS Pipelines: Non-Piggable</t>
  </si>
  <si>
    <t>≥7 bar Special Crossings</t>
  </si>
  <si>
    <t>PRS</t>
  </si>
  <si>
    <t>Storage</t>
  </si>
  <si>
    <t>Operational Holders</t>
  </si>
  <si>
    <t>Non-Operational Holders (Mothballed &amp; Decommissioned)</t>
  </si>
  <si>
    <t>High-Pressure Vessels</t>
  </si>
  <si>
    <t>Distribution Mains</t>
  </si>
  <si>
    <t>Valves</t>
  </si>
  <si>
    <t>&lt;7 bar Special Crossings</t>
  </si>
  <si>
    <t>Distribution Mains: Iron</t>
  </si>
  <si>
    <t>Distribution Mains: PE</t>
  </si>
  <si>
    <t>Distribution Mains: Steel</t>
  </si>
  <si>
    <t>Distribution Mains: Other Materials</t>
  </si>
  <si>
    <t>District Governors</t>
  </si>
  <si>
    <t>I&amp;C Governors</t>
  </si>
  <si>
    <t xml:space="preserve">Small District Governor </t>
  </si>
  <si>
    <t>Below 7 bar  Electrical  and Telecommunications</t>
  </si>
  <si>
    <t>Service Governors</t>
  </si>
  <si>
    <t>Services &amp; MOBs</t>
  </si>
  <si>
    <t>Services</t>
  </si>
  <si>
    <t>MOBs</t>
  </si>
  <si>
    <t>LPG/LNG Networks</t>
  </si>
  <si>
    <t>LPG Storage</t>
  </si>
  <si>
    <t>LPG Mains</t>
  </si>
  <si>
    <t>LPG Services</t>
  </si>
  <si>
    <t>LNG Vessels</t>
  </si>
  <si>
    <t>Other Routine Maintenance</t>
  </si>
  <si>
    <t>Telemetry &amp; Communications</t>
  </si>
  <si>
    <t>Cathodic Protection</t>
  </si>
  <si>
    <t>Sub-Deducts</t>
  </si>
  <si>
    <t>PSUP</t>
  </si>
  <si>
    <t>Centralised Emergency Materials &amp; Equipment (CEME)</t>
  </si>
  <si>
    <t>Other Leakage</t>
  </si>
  <si>
    <t>Surveys</t>
  </si>
  <si>
    <t>R&amp;M of Reinstatement</t>
  </si>
  <si>
    <t xml:space="preserve">Other maintenance costs </t>
  </si>
  <si>
    <t>Crop Loss / Drainage</t>
  </si>
  <si>
    <t>Biomethane</t>
  </si>
  <si>
    <t>Other Non-Routine Maintenance</t>
  </si>
  <si>
    <t>2.05 Business Support Group</t>
  </si>
  <si>
    <t>GROSS COSTS</t>
  </si>
  <si>
    <t>Cash Controllable Costs by Activity</t>
  </si>
  <si>
    <t>2.06  Business Support Allocation</t>
  </si>
  <si>
    <t>COSTS ALLOCATED TO CAPEX</t>
  </si>
  <si>
    <t>COSTS ALLOCATED TO REPEX</t>
  </si>
  <si>
    <t>VOLUMES</t>
  </si>
  <si>
    <t>Entity</t>
  </si>
  <si>
    <t>Other businesses (UK regulated)</t>
  </si>
  <si>
    <t xml:space="preserve">Other non-regulated </t>
  </si>
  <si>
    <t>Allocation of total non-operational IT &amp; telecoms costs</t>
  </si>
  <si>
    <t>Allocation of total operational IT &amp; telecoms costs</t>
  </si>
  <si>
    <t>End users of non-operational IT &amp; telecoms costs</t>
  </si>
  <si>
    <t>No.</t>
  </si>
  <si>
    <t>End users of operational IT &amp; telecoms costs</t>
  </si>
  <si>
    <t>Total IT systems and infrastructure end users (non-operational and operational)</t>
  </si>
  <si>
    <t>Allocation of total non-operational property management costs</t>
  </si>
  <si>
    <t>Allocation of total operational property management costs</t>
  </si>
  <si>
    <t>Allocation of insurance premium costs</t>
  </si>
  <si>
    <t>Allocation of other insurance costs</t>
  </si>
  <si>
    <t>2.07 IT &amp; Telecoms Group</t>
  </si>
  <si>
    <t>Group Totals</t>
  </si>
  <si>
    <t>Costs by category</t>
  </si>
  <si>
    <t>Gross Staff Costs (Including Gross Pension &amp; Agency costs)</t>
  </si>
  <si>
    <t>Contractor Costs</t>
  </si>
  <si>
    <t>Bought in Services</t>
  </si>
  <si>
    <t>Software</t>
  </si>
  <si>
    <t>Hardware</t>
  </si>
  <si>
    <t>Other Costs</t>
  </si>
  <si>
    <t>Data Centre Security</t>
  </si>
  <si>
    <t>TOTAL GROSS CONTROLLABLE COSTS</t>
  </si>
  <si>
    <t>Depreciation</t>
  </si>
  <si>
    <t>Amortisation</t>
  </si>
  <si>
    <t>Application Development</t>
  </si>
  <si>
    <t>Category</t>
  </si>
  <si>
    <t>Application Maintenance &amp; Support</t>
  </si>
  <si>
    <t>Desktop Services</t>
  </si>
  <si>
    <t>Application Server Support</t>
  </si>
  <si>
    <t>Central Printing</t>
  </si>
  <si>
    <t>Network (LAN &amp; WAN)</t>
  </si>
  <si>
    <t>Training Centre(s)</t>
  </si>
  <si>
    <t>Business Telecoms</t>
  </si>
  <si>
    <t>Management Services</t>
  </si>
  <si>
    <t>2.08 Property Management Group</t>
  </si>
  <si>
    <t>Non-allocated costs</t>
  </si>
  <si>
    <t>Gross Staff Costs (including Agency Costs)</t>
  </si>
  <si>
    <t>Gross Pension Costs</t>
  </si>
  <si>
    <t>Professional and consultancy fees</t>
  </si>
  <si>
    <t>Rents</t>
  </si>
  <si>
    <t>Rates</t>
  </si>
  <si>
    <t>Facilities management costs</t>
  </si>
  <si>
    <t>Profit and loss on fixed assets</t>
  </si>
  <si>
    <t xml:space="preserve">Sum of category 3 buildings (≥£1m per year) </t>
  </si>
  <si>
    <t>Building costs</t>
  </si>
  <si>
    <t>Security</t>
  </si>
  <si>
    <t>Waste</t>
  </si>
  <si>
    <t>Utilities</t>
  </si>
  <si>
    <t xml:space="preserve">Sum of category 2 buildings (&lt;£1m and ≥£0.5m per year) </t>
  </si>
  <si>
    <t>Professional Fees</t>
  </si>
  <si>
    <t xml:space="preserve">Sum of category 1 buildings (&lt;£0.5m per year) </t>
  </si>
  <si>
    <t>Sum of training centres</t>
  </si>
  <si>
    <t>List of buildings (2018/19)</t>
  </si>
  <si>
    <t>SPECIFICATIONS</t>
  </si>
  <si>
    <t>Lease type</t>
  </si>
  <si>
    <t>Owned by</t>
  </si>
  <si>
    <t>Net internal area (m2)</t>
  </si>
  <si>
    <t>Building name</t>
  </si>
  <si>
    <t>Category 1</t>
  </si>
  <si>
    <t>Leasehold</t>
  </si>
  <si>
    <t>Freehold</t>
  </si>
  <si>
    <t>Category 3</t>
  </si>
  <si>
    <t>2.09 Insurance Group</t>
  </si>
  <si>
    <t>Group Insurance Department Costs</t>
  </si>
  <si>
    <t>Insurance Premiums</t>
  </si>
  <si>
    <t>Loss or damage due to adverse events</t>
  </si>
  <si>
    <t>Property - buildings and contents</t>
  </si>
  <si>
    <t>Engineering failure</t>
  </si>
  <si>
    <t>Crime and theft</t>
  </si>
  <si>
    <t>Goods in transit</t>
  </si>
  <si>
    <t>Business interruption</t>
  </si>
  <si>
    <t>Trade credit insurance</t>
  </si>
  <si>
    <t>Motor vehicles</t>
  </si>
  <si>
    <t>Legal expenses</t>
  </si>
  <si>
    <t>Network assets</t>
  </si>
  <si>
    <t>Terrorism and sabotage</t>
  </si>
  <si>
    <t>Aviation</t>
  </si>
  <si>
    <t>Cyber Insurance</t>
  </si>
  <si>
    <t>Other costs</t>
  </si>
  <si>
    <t>Third party legal liability</t>
  </si>
  <si>
    <t>Employers' liability</t>
  </si>
  <si>
    <t>Public and product liability and professional indemnity</t>
  </si>
  <si>
    <t>Motor vehicle liability</t>
  </si>
  <si>
    <t>Environmental impairment liability</t>
  </si>
  <si>
    <t>Employee</t>
  </si>
  <si>
    <t>Personal accident and sickness insurance</t>
  </si>
  <si>
    <t>Income protection insurance</t>
  </si>
  <si>
    <t>Private medical insurance</t>
  </si>
  <si>
    <t>Life assurance</t>
  </si>
  <si>
    <t>Travel</t>
  </si>
  <si>
    <t>Directors &amp; officers</t>
  </si>
  <si>
    <t>Employment practice liability</t>
  </si>
  <si>
    <t>Pension trustees indemnity (recharged to pensions)</t>
  </si>
  <si>
    <t>Self retained claims costs (below deductable)</t>
  </si>
  <si>
    <t>Brokers fees</t>
  </si>
  <si>
    <t>Other Insurance Costs</t>
  </si>
  <si>
    <t>Captive Insurance Costs</t>
  </si>
  <si>
    <t xml:space="preserve">Regulated </t>
  </si>
  <si>
    <t>Premiums Invoiced</t>
  </si>
  <si>
    <t>Gas Distribution</t>
  </si>
  <si>
    <t>LNG</t>
  </si>
  <si>
    <t>Other United Kingdom</t>
  </si>
  <si>
    <t>Overseas</t>
  </si>
  <si>
    <t>GBRA / P&amp;L</t>
  </si>
  <si>
    <t>Total Written Premiums</t>
  </si>
  <si>
    <t>Reinsurance Costs</t>
  </si>
  <si>
    <t>Net premium</t>
  </si>
  <si>
    <t>Claims Costs</t>
  </si>
  <si>
    <t>Underwriting Expenses</t>
  </si>
  <si>
    <t>Underwriting Profit</t>
  </si>
  <si>
    <t>Investment Income</t>
  </si>
  <si>
    <t>Operating Expenses</t>
  </si>
  <si>
    <t>Retained Profit / (Loss)</t>
  </si>
  <si>
    <t>Unrealised Investment Gain</t>
  </si>
  <si>
    <t>Total Movement in SH Funds</t>
  </si>
  <si>
    <t>UK Tax Adjustment (28%)</t>
  </si>
  <si>
    <t>Profit After Taxation</t>
  </si>
  <si>
    <t>Balance Sheet</t>
  </si>
  <si>
    <t>Assets</t>
  </si>
  <si>
    <t>Non-Insurance Liabilities</t>
  </si>
  <si>
    <t>Gross Loss Reserves</t>
  </si>
  <si>
    <t>Reinsurance Assets</t>
  </si>
  <si>
    <t>Shareholders Funds</t>
  </si>
  <si>
    <t>Annual Retained Risk</t>
  </si>
  <si>
    <t>Excess Capital Adequacy</t>
  </si>
  <si>
    <t>Non Regulated</t>
  </si>
  <si>
    <t>2.10 CEO &amp; Corporate: Network costs</t>
  </si>
  <si>
    <t>Network CEO &amp; Other Corporate Costs</t>
  </si>
  <si>
    <t>CEO &amp; Other Corporate Costs</t>
  </si>
  <si>
    <t>Communications</t>
  </si>
  <si>
    <t>Group Strategy</t>
  </si>
  <si>
    <t>Legal / Risk and Compliance/ Comp Secrtariat</t>
  </si>
  <si>
    <t>Corporate Responsibility and Investor Relations</t>
  </si>
  <si>
    <t>Group Corporate Affairs</t>
  </si>
  <si>
    <t>Board Members and Other</t>
  </si>
  <si>
    <t>2.11 Insource/Outsource</t>
  </si>
  <si>
    <t xml:space="preserve">Price Base: </t>
  </si>
  <si>
    <t>Insourced Costs</t>
  </si>
  <si>
    <t>Outsourced Costs: Open Book Contract Labour Only</t>
  </si>
  <si>
    <t>Outsourced Costs: Open Book Contract Other</t>
  </si>
  <si>
    <t>Outsourced Costs: Closed Book Contract</t>
  </si>
  <si>
    <t>Tier-2A &amp; 2B</t>
  </si>
  <si>
    <t>Repex MOBs</t>
  </si>
  <si>
    <t>Other Repex</t>
  </si>
  <si>
    <t>2.12 Real Price Effects (RPE) &amp; Ongoing Efficiency</t>
  </si>
  <si>
    <t>RPE Indices</t>
  </si>
  <si>
    <t>RPE GROWTH</t>
  </si>
  <si>
    <t>Expenditure Category</t>
  </si>
  <si>
    <t>Index</t>
  </si>
  <si>
    <t>Repex Mains</t>
  </si>
  <si>
    <t>Repex Services</t>
  </si>
  <si>
    <t>RPE Weightings</t>
  </si>
  <si>
    <t>COST WEIGHTINGS</t>
  </si>
  <si>
    <t>General Labour: Capex</t>
  </si>
  <si>
    <t>General Labour: Repex</t>
  </si>
  <si>
    <t>Specialist Labour: Capex</t>
  </si>
  <si>
    <t>Specialist Labour: Repex</t>
  </si>
  <si>
    <t>Materials: Capex</t>
  </si>
  <si>
    <t>Materials: Repex</t>
  </si>
  <si>
    <t>Other: Capex</t>
  </si>
  <si>
    <t>Other: Repex</t>
  </si>
  <si>
    <t>Repex: Mains</t>
  </si>
  <si>
    <t>Repex: Services</t>
  </si>
  <si>
    <t>Disaggregated Opex RPE Costs</t>
  </si>
  <si>
    <t>RPE COSTS</t>
  </si>
  <si>
    <t>Asset Management</t>
  </si>
  <si>
    <t>Operations Management</t>
  </si>
  <si>
    <t>Customer Management</t>
  </si>
  <si>
    <t>HR &amp; non-operational training</t>
  </si>
  <si>
    <t>CEO &amp; group management</t>
  </si>
  <si>
    <t>Trainees &amp; Apprentices</t>
  </si>
  <si>
    <t>Disaggregated Capex RPE Costs</t>
  </si>
  <si>
    <t>Diversions &lt;7barg Excl. Repex</t>
  </si>
  <si>
    <t>Disaggregated Repex RPE Costs</t>
  </si>
  <si>
    <t>Tier-1 Mains</t>
  </si>
  <si>
    <t>Tier-2A &amp; 2B Mains</t>
  </si>
  <si>
    <t>Tier-3 Mains</t>
  </si>
  <si>
    <t>Other Mains</t>
  </si>
  <si>
    <t>Repex Diversions</t>
  </si>
  <si>
    <t>Ongoing Efficiency</t>
  </si>
  <si>
    <t>ONGOING EFFICIENCY GROWTH</t>
  </si>
  <si>
    <t>2.13 Full Time Equivalent (FTE)</t>
  </si>
  <si>
    <t>VOLUMES (FTE)</t>
  </si>
  <si>
    <t>GDN's Own Employees</t>
  </si>
  <si>
    <t>GDN's Own Trainees &amp; Apprentices</t>
  </si>
  <si>
    <t>Contract Labour</t>
  </si>
  <si>
    <t>Apprentice Craftsperson</t>
  </si>
  <si>
    <t>Apprentice Engineer</t>
  </si>
  <si>
    <t>Graduate &amp; Other Staff/Management Trainees</t>
  </si>
  <si>
    <t>Occupation Breakdown</t>
  </si>
  <si>
    <t>SOC CODE</t>
  </si>
  <si>
    <t>SOC Code</t>
  </si>
  <si>
    <t>Occupations</t>
  </si>
  <si>
    <t>Corporate Managers And Senior Officials</t>
  </si>
  <si>
    <t>Production Managers</t>
  </si>
  <si>
    <t>Functional Managers</t>
  </si>
  <si>
    <t>Quality And Customer Care Managers</t>
  </si>
  <si>
    <t>Financial Institution And Office Managers</t>
  </si>
  <si>
    <t>Managers In Distribution, Storage And Retailing</t>
  </si>
  <si>
    <t>Protective Service Officers</t>
  </si>
  <si>
    <t>Health And Social Services Managers</t>
  </si>
  <si>
    <t>Managers And Proprietors In Other Service Industries</t>
  </si>
  <si>
    <t>Engineering Professionals</t>
  </si>
  <si>
    <t>Information And Communication Technology Professionals</t>
  </si>
  <si>
    <t>Conservation &amp; Environmental professionals</t>
  </si>
  <si>
    <t>Teaching Professionals</t>
  </si>
  <si>
    <t>Legal Professionals</t>
  </si>
  <si>
    <t>Business And Statistical Professionals</t>
  </si>
  <si>
    <t>Architects, Town Planners, Surveyors</t>
  </si>
  <si>
    <t>Science And Engineering Technicians</t>
  </si>
  <si>
    <t>Draughtspersons And Building Inspectors</t>
  </si>
  <si>
    <t>IT Service Delivery Occupations</t>
  </si>
  <si>
    <t>Protective Service Occupations</t>
  </si>
  <si>
    <t>Media Associate Professionals</t>
  </si>
  <si>
    <t>Transport Associate Professionals</t>
  </si>
  <si>
    <t>Legal Associate Professionals</t>
  </si>
  <si>
    <t>Business And Finance Associate Professionals</t>
  </si>
  <si>
    <t>Sales And Related Associate Professionals</t>
  </si>
  <si>
    <t>Conservation Associate Professionals</t>
  </si>
  <si>
    <t>Public Service And Other Associate Professionals</t>
  </si>
  <si>
    <t>Administrative Occupations: Finance</t>
  </si>
  <si>
    <t>Administrative Occupations: Records</t>
  </si>
  <si>
    <t>Administrative Occupations: Communications</t>
  </si>
  <si>
    <t>Administrative Occupations: General</t>
  </si>
  <si>
    <t>Administrative Occupations: Office Managers and Suppliers</t>
  </si>
  <si>
    <t>Secretarial And Related Occupations</t>
  </si>
  <si>
    <t>Agricultural Trades</t>
  </si>
  <si>
    <t>Metal Forming, Welding And Related Trades</t>
  </si>
  <si>
    <t>Metal Machining, Fitting And Instrument Making Trades</t>
  </si>
  <si>
    <t>Vehicle Trades</t>
  </si>
  <si>
    <t>Electrical Trades</t>
  </si>
  <si>
    <t>Construction Trades</t>
  </si>
  <si>
    <t>Building Trades</t>
  </si>
  <si>
    <t>Skilled Trades n. e. c.</t>
  </si>
  <si>
    <t>Personal Services Occupations n. e. c.</t>
  </si>
  <si>
    <t>Customer Service Occupations</t>
  </si>
  <si>
    <t>Plant And Machine Operatives</t>
  </si>
  <si>
    <t>Assemblers And Routine Operatives</t>
  </si>
  <si>
    <t>Construction Operatives</t>
  </si>
  <si>
    <t>Transport Operatives And Drivers</t>
  </si>
  <si>
    <t>Mobile Machine Drivers And Operatives</t>
  </si>
  <si>
    <t>Elementary Construction Occupations</t>
  </si>
  <si>
    <t>Elementary Process Plant Occupations</t>
  </si>
  <si>
    <t>Elementary Goods Storage Occupations</t>
  </si>
  <si>
    <t>Elementary Administration Occupations</t>
  </si>
  <si>
    <t>Elementary Security Occupations</t>
  </si>
  <si>
    <t>2.14 Training &amp; Apprentices: Costs</t>
  </si>
  <si>
    <t>Salary Costs</t>
  </si>
  <si>
    <t>Training Costs</t>
  </si>
  <si>
    <t>Administration Costs</t>
  </si>
  <si>
    <t>Basic Salary &amp; Wages</t>
  </si>
  <si>
    <t>Craftsperson Apprentice</t>
  </si>
  <si>
    <t>Engineer Apprentice</t>
  </si>
  <si>
    <t>Normal Pension Charges</t>
  </si>
  <si>
    <t>Training to Address Skills Shortage</t>
  </si>
  <si>
    <t>Recruitment Costs</t>
  </si>
  <si>
    <t>Training Department Overheads</t>
  </si>
  <si>
    <t xml:space="preserve"> External Funding</t>
  </si>
  <si>
    <t>CONTIBUTIONS</t>
  </si>
  <si>
    <t>Funding Description</t>
  </si>
  <si>
    <t>2.15 Training &amp; Apprentices: Programmes</t>
  </si>
  <si>
    <t>Craftsperson Apprentice Programmes</t>
  </si>
  <si>
    <t>Engineer Apprentice Programmes</t>
  </si>
  <si>
    <t>Graduate &amp; Other Staff/Management Trainee Programmes</t>
  </si>
  <si>
    <t>AVERAGE PROGRAMME HEADCOUNT</t>
  </si>
  <si>
    <t>Trainee Type</t>
  </si>
  <si>
    <t>Programme Length</t>
  </si>
  <si>
    <t>Accreditation/Award</t>
  </si>
  <si>
    <t>Average Annual Training Cost per Apprentice/Trainee: Operational</t>
  </si>
  <si>
    <t>Average Annual Training Cost per Apprentice/Trainee: Non-Operational</t>
  </si>
  <si>
    <t>Value</t>
  </si>
  <si>
    <t>Programmes: Year-1</t>
  </si>
  <si>
    <t>Years</t>
  </si>
  <si>
    <t>£k</t>
  </si>
  <si>
    <t>Programmes: Year-2</t>
  </si>
  <si>
    <t>Programmes: Year-3</t>
  </si>
  <si>
    <t>Programmes: Year-4</t>
  </si>
  <si>
    <t>Gas Network Craftsperson - Emergency Response</t>
  </si>
  <si>
    <t xml:space="preserve">Gas Network Team Leader </t>
  </si>
  <si>
    <t>2.16 Training &amp; Apprentices: Numbers</t>
  </si>
  <si>
    <t>Summary</t>
  </si>
  <si>
    <t>HEADCOUNT</t>
  </si>
  <si>
    <t>Positions Created</t>
  </si>
  <si>
    <t>Apprentices/Trainees Qualifying</t>
  </si>
  <si>
    <t>Trainees/Apprentices Qualifying</t>
  </si>
  <si>
    <t>Retirees</t>
  </si>
  <si>
    <t>Other Leavers</t>
  </si>
  <si>
    <t>Additional Positions Created</t>
  </si>
  <si>
    <t>TOTAL POSITIONS CREATED</t>
  </si>
  <si>
    <t>TOTAL TRAINEES/APPRENTICES QUALIFYING</t>
  </si>
  <si>
    <t>2.17 Shrinkage</t>
  </si>
  <si>
    <t>Total shrinkage</t>
  </si>
  <si>
    <t>COST AND VOLUME</t>
  </si>
  <si>
    <t>CO2 EQUIVALENT EMISSIONS</t>
  </si>
  <si>
    <t>BCF / shrinkage assumptions</t>
  </si>
  <si>
    <t>END OF IMRP</t>
  </si>
  <si>
    <t>TO END OF IMRP</t>
  </si>
  <si>
    <t>2032/33</t>
  </si>
  <si>
    <t>2026/27</t>
  </si>
  <si>
    <t>2027/28</t>
  </si>
  <si>
    <t>2028/29</t>
  </si>
  <si>
    <t>2029/30</t>
  </si>
  <si>
    <t>2030/31</t>
  </si>
  <si>
    <t>2031/32</t>
  </si>
  <si>
    <t>Assumed CV MJ/m3</t>
  </si>
  <si>
    <t>Throughput</t>
  </si>
  <si>
    <t>GWh</t>
  </si>
  <si>
    <t>Assumed proportion of methane in natural gas</t>
  </si>
  <si>
    <t>Average system pressure</t>
  </si>
  <si>
    <t>MEG saturation</t>
  </si>
  <si>
    <t>Mains/service leakage at benchmark pressure/MEG</t>
  </si>
  <si>
    <t>tCO2e</t>
  </si>
  <si>
    <t>Assumed density of Methane kg/m3</t>
  </si>
  <si>
    <t>Pressure/MEG impact</t>
  </si>
  <si>
    <t>Leakage volume</t>
  </si>
  <si>
    <t>Assumed Global Warming Potential of Methane (tCO2e)</t>
  </si>
  <si>
    <t>Low pressure mains</t>
  </si>
  <si>
    <t>Medium pressure mains</t>
  </si>
  <si>
    <t>Assumed proportion of Carbon Dioxide in natural gas</t>
  </si>
  <si>
    <t>AGIs</t>
  </si>
  <si>
    <t>Third party</t>
  </si>
  <si>
    <t>Assumed density of Carbon Dioxide kg/m3</t>
  </si>
  <si>
    <t>Own Use volume</t>
  </si>
  <si>
    <t>Theft volume</t>
  </si>
  <si>
    <t>Relevant DEFRA emission potential for natural gas kg/kWh</t>
  </si>
  <si>
    <t>Cost of gas</t>
  </si>
  <si>
    <t>p/kWh</t>
  </si>
  <si>
    <t>Total shrinkage cost</t>
  </si>
  <si>
    <t>2.18 Street Works</t>
  </si>
  <si>
    <t>Permit &amp; Notice Applications</t>
  </si>
  <si>
    <t>CONTRIBUTIONS</t>
  </si>
  <si>
    <t>Provisional Advance Authorisations (PAA)</t>
  </si>
  <si>
    <t>Major Works Permits</t>
  </si>
  <si>
    <t>Standard Works Permits</t>
  </si>
  <si>
    <t>Minor Works Permits</t>
  </si>
  <si>
    <t>Immediate Works Permits</t>
  </si>
  <si>
    <t>Traffic Orders &amp; Notices (TTRO/TTRN)</t>
  </si>
  <si>
    <t>Chargeable Permit Variations</t>
  </si>
  <si>
    <t>Notices (excl. TTRN)</t>
  </si>
  <si>
    <t>Lane Rental</t>
  </si>
  <si>
    <t>Avoidance Charges</t>
  </si>
  <si>
    <t>Inspections</t>
  </si>
  <si>
    <t>Sample Inspections</t>
  </si>
  <si>
    <t>Defect Inspections</t>
  </si>
  <si>
    <t>Other Inspections</t>
  </si>
  <si>
    <t>Suspensions &amp; Switch-Outs</t>
  </si>
  <si>
    <t>Bus Lane Suspensions</t>
  </si>
  <si>
    <t>Bus Stop Suspensions</t>
  </si>
  <si>
    <t>Parking Bay Suspensions</t>
  </si>
  <si>
    <t>Traffic Light Switch-Outs (All Types)</t>
  </si>
  <si>
    <t>Other Suspensions &amp; Switch-Outs</t>
  </si>
  <si>
    <t>Charges/Penalties</t>
  </si>
  <si>
    <t>NRSWA Fixed Penalty Notices</t>
  </si>
  <si>
    <t>TMA Fixed Penalty Notices</t>
  </si>
  <si>
    <t>Scotland Fixed Penalty Notices</t>
  </si>
  <si>
    <t>Section 74 Overstay Charges</t>
  </si>
  <si>
    <t>Legal Cases/Prosecutions</t>
  </si>
  <si>
    <t>Other Charges/Penalties</t>
  </si>
  <si>
    <t>Workload Breakdown</t>
  </si>
  <si>
    <t>WORKLOAD</t>
  </si>
  <si>
    <t>Total Projects</t>
  </si>
  <si>
    <t>km</t>
  </si>
  <si>
    <t>Projects Subject to Permit Scheme</t>
  </si>
  <si>
    <t>Projects Subject to Notice Scheme</t>
  </si>
  <si>
    <t>Projects Subject to Lane Rental Scheme</t>
  </si>
  <si>
    <t>Projects Not Subject to a Street Works Scheme</t>
  </si>
  <si>
    <t>Street Works Breakdown</t>
  </si>
  <si>
    <t>LTS &amp; Storage</t>
  </si>
  <si>
    <t>Diversions: &lt;7barg Excl. Repex</t>
  </si>
  <si>
    <t>Tier-1 Mains &amp; Associated Services</t>
  </si>
  <si>
    <t>Tier-2 &amp; Tier-3 Mains &amp; Associated Services</t>
  </si>
  <si>
    <t>Other Policy &amp; Condition (Incl. MPDI) &amp; Associated Services</t>
  </si>
  <si>
    <t>Local/Highway Authority Breakdown</t>
  </si>
  <si>
    <t>Local/Highway Authority Status</t>
  </si>
  <si>
    <t>Total Number of Authorities</t>
  </si>
  <si>
    <t>Authorities Operating Without Any Street Works Scheme</t>
  </si>
  <si>
    <t>Authorities Operating a Notice Scheme</t>
  </si>
  <si>
    <t>Authorities Operating a Permit Scheme</t>
  </si>
  <si>
    <t>Authorities Operating a Lane Rental Scheme</t>
  </si>
  <si>
    <t>Uncertainty Costs: Permit Schemes</t>
  </si>
  <si>
    <t>UNCERTAIN COSTS</t>
  </si>
  <si>
    <t>Uncertainty Costs: Lane Rental Schemes</t>
  </si>
  <si>
    <t>Uncertainty Costs: Other</t>
  </si>
  <si>
    <t>System Upgrades/Changes</t>
  </si>
  <si>
    <t>Regulatory/Legislative Changes</t>
  </si>
  <si>
    <t>Other Uncertainty Costs</t>
  </si>
  <si>
    <t>2.19 Low-Pressure Gasholders</t>
  </si>
  <si>
    <t>&gt;RIIO-GD2</t>
  </si>
  <si>
    <t>Demolition Costs</t>
  </si>
  <si>
    <t>Associated Capex Costs</t>
  </si>
  <si>
    <t>Gasholder Demolition</t>
  </si>
  <si>
    <t>Intervention Type</t>
  </si>
  <si>
    <t>Full Demolition</t>
  </si>
  <si>
    <t>mcm</t>
  </si>
  <si>
    <t>Partial Demolition</t>
  </si>
  <si>
    <t>Decomission</t>
  </si>
  <si>
    <t>Mothball</t>
  </si>
  <si>
    <t>Associated Capex</t>
  </si>
  <si>
    <t>Activity</t>
  </si>
  <si>
    <t>Storage (Non-LTS)</t>
  </si>
  <si>
    <t>LP Gasholders</t>
  </si>
  <si>
    <t>Location</t>
  </si>
  <si>
    <t>2018/19 Status</t>
  </si>
  <si>
    <t>Type</t>
  </si>
  <si>
    <t>Capacity</t>
  </si>
  <si>
    <t>Footprint</t>
  </si>
  <si>
    <t>Comments</t>
  </si>
  <si>
    <t>(mcm)</t>
  </si>
  <si>
    <t>(m2)</t>
  </si>
  <si>
    <t>Gasholder Name</t>
  </si>
  <si>
    <t>Ayres Quay</t>
  </si>
  <si>
    <t>Sunderland</t>
  </si>
  <si>
    <t>fully demolished</t>
  </si>
  <si>
    <t>Spiral guided- below ground</t>
  </si>
  <si>
    <t>Tindale Crescent</t>
  </si>
  <si>
    <t>Bishop Auckland</t>
  </si>
  <si>
    <t>Spiral guided- above ground</t>
  </si>
  <si>
    <t>Blyth</t>
  </si>
  <si>
    <t>decommissioned</t>
  </si>
  <si>
    <t>Clay Flatts</t>
  </si>
  <si>
    <t>Workington</t>
  </si>
  <si>
    <t>Curlew Road</t>
  </si>
  <si>
    <t>Jarrow</t>
  </si>
  <si>
    <t>Elswick 2</t>
  </si>
  <si>
    <t>Newcastle</t>
  </si>
  <si>
    <t>Elswick 3</t>
  </si>
  <si>
    <t>Howdon 2</t>
  </si>
  <si>
    <t>Howdon 3</t>
  </si>
  <si>
    <t>Minton Lane</t>
  </si>
  <si>
    <t>North Shields</t>
  </si>
  <si>
    <t>Column guided- below ground</t>
  </si>
  <si>
    <t>Redheugh 2</t>
  </si>
  <si>
    <t>Gateshead</t>
  </si>
  <si>
    <t>Redheugh 4</t>
  </si>
  <si>
    <t>Redheugh 5</t>
  </si>
  <si>
    <t>Rome Street</t>
  </si>
  <si>
    <t>Carlisle</t>
  </si>
  <si>
    <t>South Gosforth</t>
  </si>
  <si>
    <t>Oyston Street</t>
  </si>
  <si>
    <t>South Shields</t>
  </si>
  <si>
    <t>St. Anthony's</t>
  </si>
  <si>
    <t>Cannon Park 6</t>
  </si>
  <si>
    <t>middlesbrough</t>
  </si>
  <si>
    <t>Cannon Park 7</t>
  </si>
  <si>
    <t>Old London Road</t>
  </si>
  <si>
    <t>Penrith</t>
  </si>
  <si>
    <t>Hendon 3</t>
  </si>
  <si>
    <t>Hendon 4</t>
  </si>
  <si>
    <t>Hendon 5</t>
  </si>
  <si>
    <t>Portrack Lane</t>
  </si>
  <si>
    <t>Stockton</t>
  </si>
  <si>
    <t>Valley Street</t>
  </si>
  <si>
    <t>Darlington</t>
  </si>
  <si>
    <t>Bankside 5</t>
  </si>
  <si>
    <t>Hull</t>
  </si>
  <si>
    <t>Bankside 8</t>
  </si>
  <si>
    <t>Anderson Road</t>
  </si>
  <si>
    <t>Goole</t>
  </si>
  <si>
    <t>Ripon Road</t>
  </si>
  <si>
    <t>Harrogate</t>
  </si>
  <si>
    <t>Heworth Green</t>
  </si>
  <si>
    <t>York</t>
  </si>
  <si>
    <t>Birksall 1</t>
  </si>
  <si>
    <t>Bradford</t>
  </si>
  <si>
    <t>Birksall 2</t>
  </si>
  <si>
    <t>Birksall 3</t>
  </si>
  <si>
    <t>Canal Road 5</t>
  </si>
  <si>
    <t>Canal Road 6</t>
  </si>
  <si>
    <t>Cleckheaton, Whitechapel Road</t>
  </si>
  <si>
    <t>Cleckheaton</t>
  </si>
  <si>
    <t>Crossgates</t>
  </si>
  <si>
    <t>Leeds</t>
  </si>
  <si>
    <t>Column guided-above ground</t>
  </si>
  <si>
    <t>Gas Works Street</t>
  </si>
  <si>
    <t>Huddersfield</t>
  </si>
  <si>
    <t>Gas Works Road 1</t>
  </si>
  <si>
    <t>Keighley</t>
  </si>
  <si>
    <t>Gas Works Road 3</t>
  </si>
  <si>
    <t>Meadow Lane 3</t>
  </si>
  <si>
    <t>Meadow Lane 5</t>
  </si>
  <si>
    <t>Mulcture Hall</t>
  </si>
  <si>
    <t>Halifax</t>
  </si>
  <si>
    <t>New Wortley</t>
  </si>
  <si>
    <t>Sheepscar</t>
  </si>
  <si>
    <t>Moorfield Road</t>
  </si>
  <si>
    <t>Bridlington</t>
  </si>
  <si>
    <t>St. Marks Street</t>
  </si>
  <si>
    <t>2.20 Land Remediation</t>
  </si>
  <si>
    <t>Statutory Activities</t>
  </si>
  <si>
    <t>Non-statutory Activities</t>
  </si>
  <si>
    <t>NO. OF SITES</t>
  </si>
  <si>
    <t>Statutory Remediation Activities</t>
  </si>
  <si>
    <t>Routine site monitoring and maintenance</t>
  </si>
  <si>
    <t>m2</t>
  </si>
  <si>
    <t>Statutory remediation of non-gasholder sites</t>
  </si>
  <si>
    <t>Statutory remediation of gasholder sites</t>
  </si>
  <si>
    <t>Non-Statutory Activities</t>
  </si>
  <si>
    <t>Non-Statutory Remedation Activities</t>
  </si>
  <si>
    <t>Non-statutory remediation of non-gasholder sites</t>
  </si>
  <si>
    <t>Non-statutory remediation of gasholder sites</t>
  </si>
  <si>
    <t>2.21 Statutory Independent Undertakings (SIU)</t>
  </si>
  <si>
    <t>OPEX</t>
  </si>
  <si>
    <t>CAPEX</t>
  </si>
  <si>
    <t>REPEX</t>
  </si>
  <si>
    <t>CONTRIBUTIONS: EXCLUDING CROSS-SUBSIDY</t>
  </si>
  <si>
    <t>Fuel</t>
  </si>
  <si>
    <t>LPG</t>
  </si>
  <si>
    <t>Processing</t>
  </si>
  <si>
    <t>Transportation</t>
  </si>
  <si>
    <t>Administration</t>
  </si>
  <si>
    <t>Other OPEX</t>
  </si>
  <si>
    <t>Interim Solutions</t>
  </si>
  <si>
    <t>Enduring Solution</t>
  </si>
  <si>
    <t>Other CAPEX</t>
  </si>
  <si>
    <t>CROSS-SUBSIDY</t>
  </si>
  <si>
    <t>TOTAL CROSS-SUBSIDY</t>
  </si>
  <si>
    <t>SIU Name</t>
  </si>
  <si>
    <t>DEMAND</t>
  </si>
  <si>
    <t>TOTAL DEMAND (1-in-20 PEAK: SEVERE LDC)</t>
  </si>
  <si>
    <t>mcm/d</t>
  </si>
  <si>
    <t>2.22 Smart Metering</t>
  </si>
  <si>
    <t>Smart Metering Cost Allocation by Activity</t>
  </si>
  <si>
    <t>ODA</t>
  </si>
  <si>
    <t>Total Smart Metering Costs Allocated to Opex</t>
  </si>
  <si>
    <t>Other Repex Services</t>
  </si>
  <si>
    <t>2.23 Related Party Transactions</t>
  </si>
  <si>
    <t>Related Party 1</t>
  </si>
  <si>
    <t>Description of services</t>
  </si>
  <si>
    <t>Vehicle service and maintenance</t>
  </si>
  <si>
    <t>Related Party Name</t>
  </si>
  <si>
    <t>VLS Ltd</t>
  </si>
  <si>
    <t>Turnover</t>
  </si>
  <si>
    <t>Costs</t>
  </si>
  <si>
    <t>Margin</t>
  </si>
  <si>
    <t>Related Party 2</t>
  </si>
  <si>
    <t>Vehicle purchase, service and maintenance</t>
  </si>
  <si>
    <t>UKPN</t>
  </si>
  <si>
    <t>Related Party 3</t>
  </si>
  <si>
    <t>Related Party 4</t>
  </si>
  <si>
    <t>Related Party 5</t>
  </si>
  <si>
    <t>Related Party 6</t>
  </si>
  <si>
    <t>3.00 Capex Summary</t>
  </si>
  <si>
    <t>NET UNIT COSTS</t>
  </si>
  <si>
    <t>£m/km</t>
  </si>
  <si>
    <t>Embedded Gas Entry Points</t>
  </si>
  <si>
    <t>General Reinforcement</t>
  </si>
  <si>
    <t>Specific Reinforcement</t>
  </si>
  <si>
    <t>District Governor: Full Replacement</t>
  </si>
  <si>
    <t>£m/Governor</t>
  </si>
  <si>
    <t>District Governor: Housing Replacement Only</t>
  </si>
  <si>
    <t>District Governor: Refurbishment (Incl. Component Replacement)</t>
  </si>
  <si>
    <t>District Governor: Decommission</t>
  </si>
  <si>
    <t>Service Governor Replacement</t>
  </si>
  <si>
    <t>New Housing</t>
  </si>
  <si>
    <t>Existing Housing</t>
  </si>
  <si>
    <t>Non-Domestic</t>
  </si>
  <si>
    <t>FPNES</t>
  </si>
  <si>
    <t>SIU</t>
  </si>
  <si>
    <t>3.01 LTS, Storage &amp; Entry</t>
  </si>
  <si>
    <t>Cost Confidence</t>
  </si>
  <si>
    <t>Narrative Reference</t>
  </si>
  <si>
    <t>LDZ/LDZs</t>
  </si>
  <si>
    <t>Diameter</t>
  </si>
  <si>
    <t>Load/Non-Load</t>
  </si>
  <si>
    <t>Piggable Length</t>
  </si>
  <si>
    <t>Non-Piggable Length</t>
  </si>
  <si>
    <t>Max. Design Operating Pressure</t>
  </si>
  <si>
    <t>NARM Intervention Category</t>
  </si>
  <si>
    <t>mm</t>
  </si>
  <si>
    <t>barg</t>
  </si>
  <si>
    <t>Projects &lt; £0.5m</t>
  </si>
  <si>
    <t>RIIO-GD1 historical totals</t>
  </si>
  <si>
    <t>Aislaby Land Slip Diversion</t>
  </si>
  <si>
    <t>Lamesly Coal House</t>
  </si>
  <si>
    <t>Carlisle Road</t>
  </si>
  <si>
    <t>OLI1 pipelines (River bed)</t>
  </si>
  <si>
    <t>Replacement</t>
  </si>
  <si>
    <t>Storage (Linepack)</t>
  </si>
  <si>
    <t>Pipelines (Other Capex)</t>
  </si>
  <si>
    <t>TransPennine</t>
  </si>
  <si>
    <t>Storage (non-LTS)</t>
  </si>
  <si>
    <t>Max. Design Capacity</t>
  </si>
  <si>
    <t>Act. Contracted Annual Volume</t>
  </si>
  <si>
    <t>Act. Contracted Daily Volume</t>
  </si>
  <si>
    <t>≤2018/19</t>
  </si>
  <si>
    <t>Project/Activity Description</t>
  </si>
  <si>
    <t>LP Gasholder Demolition Capex</t>
  </si>
  <si>
    <t>Projects &lt; £0.5m (excl. LP Gasholder Capex)</t>
  </si>
  <si>
    <t>RIIO-GD1 historical totals (excl. LP Gasholder Capex)</t>
  </si>
  <si>
    <t>Max. Design Inlet Pressure</t>
  </si>
  <si>
    <t>mcm/h</t>
  </si>
  <si>
    <t>Meadow Lane D, P &amp; B</t>
  </si>
  <si>
    <t>Upgrade</t>
  </si>
  <si>
    <t>Saltend Design, Procurement &amp; Build</t>
  </si>
  <si>
    <t>Brenda Road (D, P &amp; C)</t>
  </si>
  <si>
    <t>PSSR Validation 2018</t>
  </si>
  <si>
    <t>West Cumberland Hospital (D, P &amp; C)</t>
  </si>
  <si>
    <t>PRS Preheating (Replace)</t>
  </si>
  <si>
    <t>System</t>
  </si>
  <si>
    <t>PRS Preheating (Refurb)</t>
  </si>
  <si>
    <t>Asset</t>
  </si>
  <si>
    <t>PRS Pressure Control (Replace)</t>
  </si>
  <si>
    <t>PRS Pressure Control (Refurb)</t>
  </si>
  <si>
    <t>System / Asset</t>
  </si>
  <si>
    <t>PRS Filter (Replace)</t>
  </si>
  <si>
    <t>Offtake Name</t>
  </si>
  <si>
    <t>Max. Design Outlet Pressure</t>
  </si>
  <si>
    <t>Humbleton</t>
  </si>
  <si>
    <t>Pickering Offtake Upgrade</t>
  </si>
  <si>
    <t xml:space="preserve">Bishop Auckland  </t>
  </si>
  <si>
    <t>Burley Bank  (D, P &amp; B)</t>
  </si>
  <si>
    <t>Cowpen Bewley</t>
  </si>
  <si>
    <t>Saltwick</t>
  </si>
  <si>
    <t>Offtake Preheating (Replace)</t>
  </si>
  <si>
    <t>Offtake Preheating (Refurb)</t>
  </si>
  <si>
    <t>Offtake Filters (Replace)</t>
  </si>
  <si>
    <t>Offtake Pressure Control (Refurb)</t>
  </si>
  <si>
    <t>Offtake Odorant (Replace)</t>
  </si>
  <si>
    <t>Offtake Odorant (Refurb)</t>
  </si>
  <si>
    <t>Offtake Meters (Replace)</t>
  </si>
  <si>
    <t>Pressure Tier</t>
  </si>
  <si>
    <t>Connection Type</t>
  </si>
  <si>
    <t>3.02 Reinforcement (&lt;7barg)</t>
  </si>
  <si>
    <t>All Projects: General Reinforcement</t>
  </si>
  <si>
    <t>All Projects: Specific Reinforcement</t>
  </si>
  <si>
    <t>Mains: ≤180mm</t>
  </si>
  <si>
    <t>Low Pressure (LP)</t>
  </si>
  <si>
    <t>Medium Pressure (MP)</t>
  </si>
  <si>
    <t>Intermediate Pressure (IP)</t>
  </si>
  <si>
    <t>Mains: &gt;180mm</t>
  </si>
  <si>
    <t>District Governors:</t>
  </si>
  <si>
    <t>IP Inlet</t>
  </si>
  <si>
    <t>MP Inlet</t>
  </si>
  <si>
    <t xml:space="preserve">Reinforcement ≥ £0.5m (General and Specific) </t>
  </si>
  <si>
    <t>WORKLOAD (ALL DIAMETERS &amp; PRESSURES)</t>
  </si>
  <si>
    <t>Pressure</t>
  </si>
  <si>
    <t>Mains (km)</t>
  </si>
  <si>
    <t>District Governors Installed</t>
  </si>
  <si>
    <t>Tier</t>
  </si>
  <si>
    <t>≤180mm</t>
  </si>
  <si>
    <t>&gt;180mm</t>
  </si>
  <si>
    <t>Project Description</t>
  </si>
  <si>
    <t>Sherburn</t>
  </si>
  <si>
    <t>3.03 Governors</t>
  </si>
  <si>
    <t>Full Replacement</t>
  </si>
  <si>
    <t>Housing Replacement Only</t>
  </si>
  <si>
    <t>Refurbishment (Incl. Component Replacement)</t>
  </si>
  <si>
    <t>Decommission</t>
  </si>
  <si>
    <t>Governor Type</t>
  </si>
  <si>
    <t>Domestic</t>
  </si>
  <si>
    <t>3.04 Connections</t>
  </si>
  <si>
    <t>Mains</t>
  </si>
  <si>
    <t>Risers</t>
  </si>
  <si>
    <t>Meter Points</t>
  </si>
  <si>
    <t>District: IP Inlet</t>
  </si>
  <si>
    <t>District: MP Inlet</t>
  </si>
  <si>
    <t>Service</t>
  </si>
  <si>
    <t>Design &amp; Quotation</t>
  </si>
  <si>
    <t>Customer self-quotes</t>
  </si>
  <si>
    <t>Initial enquiries / Land enquiries</t>
  </si>
  <si>
    <t>Standard quotes (no network analysis)</t>
  </si>
  <si>
    <t>Standard quotes (with network analysis)</t>
  </si>
  <si>
    <t>"Sufficiently Complex" quotations</t>
  </si>
  <si>
    <t>Total number of quotations prepared</t>
  </si>
  <si>
    <t>Total New Demand</t>
  </si>
  <si>
    <t>m3/h</t>
  </si>
  <si>
    <t>FPNES (Excluded from Above Sections)</t>
  </si>
  <si>
    <t>Relating to One-Off Connections</t>
  </si>
  <si>
    <t>Relating to CommUnity Scheme Connections</t>
  </si>
  <si>
    <t>Relating to Other Scheme Connections (UIP/IGT)</t>
  </si>
  <si>
    <t>SIU (Excluded from Above Sections)</t>
  </si>
  <si>
    <t>IGT (Excluded from Above Sections)</t>
  </si>
  <si>
    <r>
      <t xml:space="preserve">Projects </t>
    </r>
    <r>
      <rPr>
        <b/>
        <sz val="12"/>
        <color theme="1"/>
        <rFont val="Verdana"/>
        <family val="2"/>
      </rPr>
      <t>≥</t>
    </r>
    <r>
      <rPr>
        <b/>
        <sz val="12"/>
        <color theme="1"/>
        <rFont val="Arial"/>
        <family val="2"/>
      </rPr>
      <t xml:space="preserve"> £50k (Incl. in Above Tables)</t>
    </r>
  </si>
  <si>
    <t>All Projects ≥ £50k</t>
  </si>
  <si>
    <t>Number of New Enquiries</t>
  </si>
  <si>
    <t>Number of New Connections</t>
  </si>
  <si>
    <t>3.05 Other Capex</t>
  </si>
  <si>
    <t>System Operations: Projects &lt;£0.5m Aggregated</t>
  </si>
  <si>
    <t>IT &amp; Related Telecom: Projects &lt;£0.5m Aggregated</t>
  </si>
  <si>
    <t>Other Capex: Projects &lt;£0.5m Aggregated</t>
  </si>
  <si>
    <t>Systems Operations: Individual Projects ≥£0.5m</t>
  </si>
  <si>
    <t>IT &amp; Related Telecom: Individual Projects ≥£0.5m</t>
  </si>
  <si>
    <t>Other Capex: Individual Projects ≥£0.5m</t>
  </si>
  <si>
    <t>RIIO-GD2 COST SUMMARY</t>
  </si>
  <si>
    <t>Total Design Costs</t>
  </si>
  <si>
    <t>Total Implementation Costs</t>
  </si>
  <si>
    <t>Systems</t>
  </si>
  <si>
    <t>Infrastructure</t>
  </si>
  <si>
    <t>Land, Buildings, Furniture &amp; Fittings</t>
  </si>
  <si>
    <t>Security (Excl. PSUP)</t>
  </si>
  <si>
    <t>Tools &amp; Equipment</t>
  </si>
  <si>
    <t>Plant (Excl. Wheeled Plant)</t>
  </si>
  <si>
    <t>Associated with Smart Meter Rollout</t>
  </si>
  <si>
    <t>Other - excluding smart metering</t>
  </si>
  <si>
    <t>Formula updated to include Xoserve</t>
  </si>
  <si>
    <r>
      <t xml:space="preserve">Systems Operations: Individual Projects </t>
    </r>
    <r>
      <rPr>
        <b/>
        <sz val="11"/>
        <color theme="1"/>
        <rFont val="Verdana"/>
        <family val="2"/>
      </rPr>
      <t>≥</t>
    </r>
    <r>
      <rPr>
        <b/>
        <sz val="11"/>
        <color theme="1"/>
        <rFont val="Arial"/>
        <family val="2"/>
      </rPr>
      <t>£0.5m</t>
    </r>
  </si>
  <si>
    <t>Project Name/Description</t>
  </si>
  <si>
    <t>SCADA system replacement</t>
  </si>
  <si>
    <r>
      <t xml:space="preserve">IT &amp; Related Telecom: Individual Projects </t>
    </r>
    <r>
      <rPr>
        <b/>
        <sz val="11"/>
        <color theme="1"/>
        <rFont val="Verdana"/>
        <family val="2"/>
      </rPr>
      <t>≥</t>
    </r>
    <r>
      <rPr>
        <b/>
        <sz val="11"/>
        <color theme="1"/>
        <rFont val="Arial"/>
        <family val="2"/>
      </rPr>
      <t>£0.5m</t>
    </r>
  </si>
  <si>
    <t>S4 Hana</t>
  </si>
  <si>
    <t>AWS Cloud Provision</t>
  </si>
  <si>
    <t>BSR46  SAP Optimisation Package</t>
  </si>
  <si>
    <t>Work App Extension - Connections, Replacement</t>
  </si>
  <si>
    <t>Smarter Faster Switching</t>
  </si>
  <si>
    <t>Core GIS upgrade</t>
  </si>
  <si>
    <t>Windows 10 Upgrade</t>
  </si>
  <si>
    <t>SAP MRS</t>
  </si>
  <si>
    <t>Laptop/ Desktop Refreshes</t>
  </si>
  <si>
    <t>Field device refresh- tablet</t>
  </si>
  <si>
    <t>Windows Upgrade (Desktop)</t>
  </si>
  <si>
    <t>Windows Upgrade (server)</t>
  </si>
  <si>
    <t>Mobile Phone Refreshes</t>
  </si>
  <si>
    <t>Cloud Infrastructure Development</t>
  </si>
  <si>
    <t>SAP Upgrade</t>
  </si>
  <si>
    <t xml:space="preserve">Internet of Things </t>
  </si>
  <si>
    <t>Robotic Process Automation (RPA)</t>
  </si>
  <si>
    <t>GIS Maps upgrades</t>
  </si>
  <si>
    <t>Telemetry Replacement</t>
  </si>
  <si>
    <t>Unified Communications network replacement</t>
  </si>
  <si>
    <t>Device/Network Cyber Security</t>
  </si>
  <si>
    <t>NIS Directive Improvement Plan</t>
  </si>
  <si>
    <r>
      <t xml:space="preserve">Other Capex: Individual Projects </t>
    </r>
    <r>
      <rPr>
        <b/>
        <sz val="11"/>
        <color theme="1"/>
        <rFont val="Verdana"/>
        <family val="2"/>
      </rPr>
      <t>≥</t>
    </r>
    <r>
      <rPr>
        <b/>
        <sz val="11"/>
        <color theme="1"/>
        <rFont val="Arial"/>
        <family val="2"/>
      </rPr>
      <t>£0.5m</t>
    </r>
  </si>
  <si>
    <t>Burradon Rebuild</t>
  </si>
  <si>
    <t>BSR27 Thorpe Park Ground Floor</t>
  </si>
  <si>
    <t>Calorimeter Replacement 2019/2020</t>
  </si>
  <si>
    <t>Overcrossings 2018 and 2019 build</t>
  </si>
  <si>
    <t xml:space="preserve">Cannon Park </t>
  </si>
  <si>
    <t>PSUP Security</t>
  </si>
  <si>
    <t>Overcrossings 2020</t>
  </si>
  <si>
    <t>Bradford Depot</t>
  </si>
  <si>
    <t>Hull Depot</t>
  </si>
  <si>
    <t>Pressure Management</t>
  </si>
  <si>
    <t>Overcrossings</t>
  </si>
  <si>
    <t>&lt;7bar Valves</t>
  </si>
  <si>
    <t>RIIO-GD1 historical totals (Excl. Xoserve)</t>
  </si>
  <si>
    <t>3.06 Transport &amp; Plant (Opex &amp; Capex)</t>
  </si>
  <si>
    <t>GROSS COSTS: TOTAL</t>
  </si>
  <si>
    <t>Capital Expenditure</t>
  </si>
  <si>
    <t>Operating Expenditure</t>
  </si>
  <si>
    <t>GROSS COSTS: PRICE CONTROL ACTIVITIES</t>
  </si>
  <si>
    <t>Cars</t>
  </si>
  <si>
    <t>Car-Derived Vans</t>
  </si>
  <si>
    <t>LGV</t>
  </si>
  <si>
    <t>HGV</t>
  </si>
  <si>
    <t>Wheeled Plant</t>
  </si>
  <si>
    <t>Total Population</t>
  </si>
  <si>
    <t>Population</t>
  </si>
  <si>
    <t>New and Replacement Vehicles</t>
  </si>
  <si>
    <t>Planned Life of New Vehicles</t>
  </si>
  <si>
    <t>Ownership</t>
  </si>
  <si>
    <t>Owned</t>
  </si>
  <si>
    <t>Leased</t>
  </si>
  <si>
    <t>Mileage</t>
  </si>
  <si>
    <t>Annual Mileage</t>
  </si>
  <si>
    <t>`000 miles</t>
  </si>
  <si>
    <t>3.07 Capitalised Overheads</t>
  </si>
  <si>
    <t>Capitalised Overheads By Category: Capex</t>
  </si>
  <si>
    <t>Direct Opex Recharged to Capex</t>
  </si>
  <si>
    <t>Capitalised Labour Costs</t>
  </si>
  <si>
    <t>Capitalised Pensions Costs</t>
  </si>
  <si>
    <t>Transport Operating Costs</t>
  </si>
  <si>
    <t>Last Mile Logistics</t>
  </si>
  <si>
    <t>Other Non-Staff Related</t>
  </si>
  <si>
    <t xml:space="preserve">IT </t>
  </si>
  <si>
    <t>Legal, PPE and Other</t>
  </si>
  <si>
    <t>Indirect Opex Recharged to Capex</t>
  </si>
  <si>
    <t>Capitalised Overheads By Category: Repex</t>
  </si>
  <si>
    <t>Direct Opex Recharged to Repex</t>
  </si>
  <si>
    <t>Property</t>
  </si>
  <si>
    <t>Indirect Opex Recharged to Repex</t>
  </si>
  <si>
    <t>Capitalised Overheads By Activity: Capex</t>
  </si>
  <si>
    <t>Capex Activity</t>
  </si>
  <si>
    <t>Capitalised Overheads By Activity: Repex</t>
  </si>
  <si>
    <t>Repex Activity</t>
  </si>
  <si>
    <t>4.00 Repex Summary</t>
  </si>
  <si>
    <t>Tier 1 (Incl. Steel &lt;=2")</t>
  </si>
  <si>
    <t>£m/Service</t>
  </si>
  <si>
    <t>Tier 2A</t>
  </si>
  <si>
    <t>Tier 2B</t>
  </si>
  <si>
    <t>Tier 3</t>
  </si>
  <si>
    <t>Mains Commissioned</t>
  </si>
  <si>
    <t>Steel &lt;=2"</t>
  </si>
  <si>
    <t>Diversions Attributed to Tier-1</t>
  </si>
  <si>
    <t>Capitalised Replacement Attributed to Tier-1</t>
  </si>
  <si>
    <t>Diversions Attributed to Steel &lt;2"</t>
  </si>
  <si>
    <t>Capitalised Replacement Attributed to Steel &lt;2"</t>
  </si>
  <si>
    <t>Service Interventions: Domestic</t>
  </si>
  <si>
    <t>Relay (Incl. Diversions &amp; Capitalised Replacement)</t>
  </si>
  <si>
    <t>Transfer (Incl. Diversions &amp; Capitalised Replacement)</t>
  </si>
  <si>
    <t>Relay (Incl. Diversions &amp; Capitalised Replacement) - Steel &lt;=2"</t>
  </si>
  <si>
    <t>Transfer (Incl. Diversions &amp; Capitalised Replacement) - Steel &lt;2"</t>
  </si>
  <si>
    <t>Service Interventions: Non-Domestic</t>
  </si>
  <si>
    <t>Diversions Attributed to Tier-2A</t>
  </si>
  <si>
    <t>Capitalised Replacement Attributed to Tier-2A</t>
  </si>
  <si>
    <t>Diversions Attributed to Tier-2B</t>
  </si>
  <si>
    <t>Capitalised Replacement Attributed to Tier-2B</t>
  </si>
  <si>
    <t>Diversions Attributed to Tier-3</t>
  </si>
  <si>
    <t>Capitalised Replacement Attributed to Tier-3</t>
  </si>
  <si>
    <t>Other Policy &amp; Condition (Incl. MPDI)</t>
  </si>
  <si>
    <t>Diversions Attributed to Other Policy &amp; Condition</t>
  </si>
  <si>
    <t>Capitalised Replacement Attributed to Other Policy &amp; Condition</t>
  </si>
  <si>
    <t>Multiple Occupancy Buildings (MOB)</t>
  </si>
  <si>
    <t>WORKLOAD: TOTAL RISER LENGTH</t>
  </si>
  <si>
    <t>Riser Length</t>
  </si>
  <si>
    <t>Riser Length &lt;20m</t>
  </si>
  <si>
    <t>Riser Length ≥20m &amp; ≤40m</t>
  </si>
  <si>
    <t>Riser Length &gt;40m</t>
  </si>
  <si>
    <t>Mains Decommissioned</t>
  </si>
  <si>
    <t>Tier-1 (Incl. Diversions &amp; Capitalised Replacement)</t>
  </si>
  <si>
    <t>Tier-2A (Incl. Diversions &amp; Capitalised Replacement)</t>
  </si>
  <si>
    <t>Tier-2B (Incl. Diversions &amp; Capitalised Replacement)</t>
  </si>
  <si>
    <t>Tier-3 (Incl. Diversions &amp; Capitalised Replacement)</t>
  </si>
  <si>
    <t>Other Policy &amp; Condition (Incl. Diversions &amp; Capitalised Replacement)</t>
  </si>
  <si>
    <t>Steel &lt;=2" (Incl. Diversions &amp; Capitalised Replacement)</t>
  </si>
  <si>
    <t>4.01 Repex Mains Tier-1</t>
  </si>
  <si>
    <t>Replacing Cast Iron &amp; Spun Iron: Low-Pressure</t>
  </si>
  <si>
    <t>Replacing Ductile-Iron: Low-Pressure</t>
  </si>
  <si>
    <t>Replacing Steel ≤2"</t>
  </si>
  <si>
    <t>RIIO-GD1 SPECIFICATIONS (ALL YEARS)</t>
  </si>
  <si>
    <t>RIIO-GD2 SPECIFICATIONS (ALL YEARS)</t>
  </si>
  <si>
    <t>&gt; RIIO-GD2</t>
  </si>
  <si>
    <t>Reinstatement
(% of Gross Costs)</t>
  </si>
  <si>
    <t>Street Works
(% of Gross Costs)</t>
  </si>
  <si>
    <t>Length of Mains Inserted 
(Dead)</t>
  </si>
  <si>
    <t>Length of Mains Inserted 
(Live/Other)</t>
  </si>
  <si>
    <t>Length of Mains Open Cut in Carriageway</t>
  </si>
  <si>
    <t>Length of Mains Open Cut in Footway/Footpath</t>
  </si>
  <si>
    <t>Length of Mains Open Cut in Verge/Other</t>
  </si>
  <si>
    <t>Replacing Cast Iron &amp; Spun Iron: Low-Pressure &amp; Medium-Pressure</t>
  </si>
  <si>
    <r>
      <rPr>
        <sz val="11"/>
        <color theme="1"/>
        <rFont val="Verdana"/>
        <family val="2"/>
      </rPr>
      <t>≤</t>
    </r>
    <r>
      <rPr>
        <sz val="11"/>
        <color theme="1"/>
        <rFont val="Arial"/>
        <family val="2"/>
      </rPr>
      <t>75mm</t>
    </r>
  </si>
  <si>
    <t>&gt;75mm to 125mm</t>
  </si>
  <si>
    <t>&gt;125mm to 180mm</t>
  </si>
  <si>
    <t>&gt;180mm to 250mm</t>
  </si>
  <si>
    <t>&gt;250mm to 355mm</t>
  </si>
  <si>
    <t>&gt;355mm to 500mm</t>
  </si>
  <si>
    <t>&gt;500mm to 630mm</t>
  </si>
  <si>
    <t>&gt;630mm</t>
  </si>
  <si>
    <t>Replacing Ductile Iron: Low-Pressure</t>
  </si>
  <si>
    <r>
      <t xml:space="preserve">Replacing Steel </t>
    </r>
    <r>
      <rPr>
        <b/>
        <sz val="11"/>
        <color theme="1"/>
        <rFont val="Times New Roman"/>
        <family val="1"/>
      </rPr>
      <t>≤</t>
    </r>
    <r>
      <rPr>
        <b/>
        <sz val="11"/>
        <color theme="1"/>
        <rFont val="Arial"/>
        <family val="2"/>
      </rPr>
      <t>2"</t>
    </r>
  </si>
  <si>
    <t>Length of Mains in Carriageway</t>
  </si>
  <si>
    <t>Length of Mains in Footway/Footpath</t>
  </si>
  <si>
    <t>Length of Mains in Verge/Other</t>
  </si>
  <si>
    <t>Lay-to-Abandon</t>
  </si>
  <si>
    <t>Cast Iron &amp; Spun Iron: Low-Pressure</t>
  </si>
  <si>
    <t>≤3"</t>
  </si>
  <si>
    <t>4"-5"</t>
  </si>
  <si>
    <t>6"-7"</t>
  </si>
  <si>
    <t>8"</t>
  </si>
  <si>
    <t>Cast Iron &amp; Spun Iron: Medium-Pressure</t>
  </si>
  <si>
    <t>Ductile Iron: Low-Pressure</t>
  </si>
  <si>
    <t>Steel ≤2"</t>
  </si>
  <si>
    <t xml:space="preserve"> ≤2"</t>
  </si>
  <si>
    <t>4.02 Repex Mains Tier-2A</t>
  </si>
  <si>
    <t>Replacing Cast Iron &amp; Spun Iron: Medium-Pressure</t>
  </si>
  <si>
    <t>9"</t>
  </si>
  <si>
    <t>10"-12"</t>
  </si>
  <si>
    <t>&gt;12"-17"</t>
  </si>
  <si>
    <t>4.03 Repex Mains Tier-2B &amp; 3</t>
  </si>
  <si>
    <t>Tier-2B Activity</t>
  </si>
  <si>
    <t>Tier-3 Activity</t>
  </si>
  <si>
    <t>Mains Commissioned: Tier-2B</t>
  </si>
  <si>
    <t>Mains Commissioned: Tier-3</t>
  </si>
  <si>
    <t>Mains Decommissioned: Tier-2B</t>
  </si>
  <si>
    <t>Mains Decommissioned: Tier-3</t>
  </si>
  <si>
    <t>18"-24"</t>
  </si>
  <si>
    <t>&gt;24"</t>
  </si>
  <si>
    <t>4.04 Repex Mains Other</t>
  </si>
  <si>
    <t>Replacing Iron &gt;30m</t>
  </si>
  <si>
    <t>Replacing Steel &gt;2"</t>
  </si>
  <si>
    <t>Replacing Other Policy &amp; Condition Mains</t>
  </si>
  <si>
    <t>Mains Commissioned: Replacing Iron &gt;30m</t>
  </si>
  <si>
    <t>Mains Commissioned: Replacing Steel</t>
  </si>
  <si>
    <t>Mains Commissioned: Replacing Other Policy &amp; Condition</t>
  </si>
  <si>
    <t>Replacing Other Policy &amp; Condition Mains (Excl. MPDI)</t>
  </si>
  <si>
    <t>Replacing Medium-Pressure Ductile Iron (MPDI)</t>
  </si>
  <si>
    <t>Replacing MPDI: Tier-1</t>
  </si>
  <si>
    <t>Replacing MPDI: Tier-2A</t>
  </si>
  <si>
    <t>Replacing MPDI: Tier-2B</t>
  </si>
  <si>
    <t>Replacing MPDI: Tier-3</t>
  </si>
  <si>
    <t>Replacing MPDI: Other</t>
  </si>
  <si>
    <t>Mains Decommissioned: Iron &gt;30m</t>
  </si>
  <si>
    <t>Cast Iron &amp; Spun Iron: Low-Pressure &amp; Medium-Pressure</t>
  </si>
  <si>
    <t>Mains Decommissioned: Steel</t>
  </si>
  <si>
    <t>Steel &gt;2"</t>
  </si>
  <si>
    <t>Mains Decommissioned: Other Policy &amp; Condition</t>
  </si>
  <si>
    <t>Other Policy &amp; Condition Mains (Excl. MPDI)</t>
  </si>
  <si>
    <t>Medium-Pressure Ductile Iron (MPDI)</t>
  </si>
  <si>
    <t>MPDI: Tier-1</t>
  </si>
  <si>
    <t>MPDI: Tier-2A</t>
  </si>
  <si>
    <t>MPDI: Tier-2B</t>
  </si>
  <si>
    <t>MPDI: Tier-3</t>
  </si>
  <si>
    <t>MPDI: Other</t>
  </si>
  <si>
    <t>4.05 Repex Mains Diversions</t>
  </si>
  <si>
    <t>Non-Rechargeable Diversions: Tier-1</t>
  </si>
  <si>
    <t>Non-Rechargeable Diversions: Tier-2A</t>
  </si>
  <si>
    <t>Non-Rechargeable Diversions: Tier-2B</t>
  </si>
  <si>
    <t>Non-Rechargeable Diversions: Tier-3</t>
  </si>
  <si>
    <t>Non-Rechargeable Diversions: Other Policy &amp; Condition (Incl. MPDI)</t>
  </si>
  <si>
    <t>Non-Rechargeable Diversions: Steel ≤2"</t>
  </si>
  <si>
    <t>Non-Rechargeable Diversions: Steel &gt;2"</t>
  </si>
  <si>
    <t>Non-Rechargeable Diversions: Iron &gt;30m</t>
  </si>
  <si>
    <t>Mains Commissioned: Non-Rechargeable Diversions</t>
  </si>
  <si>
    <t>Iron &gt;30m</t>
  </si>
  <si>
    <t>Mains Commissioned: Rechargeable Diversions</t>
  </si>
  <si>
    <t>Mains Decommissioned: Non-Rechargeable Diversions</t>
  </si>
  <si>
    <t>Mains Decommissioned: Rechargeable Diversions</t>
  </si>
  <si>
    <t>4.06 Capitalised Replacement</t>
  </si>
  <si>
    <t>4.07 Repex Services</t>
  </si>
  <si>
    <t>Iron Mains &gt;30m</t>
  </si>
  <si>
    <r>
      <t xml:space="preserve">Steel Mains </t>
    </r>
    <r>
      <rPr>
        <sz val="11"/>
        <color theme="1"/>
        <rFont val="Verdana"/>
        <family val="2"/>
      </rPr>
      <t>≤</t>
    </r>
    <r>
      <rPr>
        <sz val="11"/>
        <color theme="1"/>
        <rFont val="Arial"/>
        <family val="2"/>
      </rPr>
      <t>2"</t>
    </r>
  </si>
  <si>
    <r>
      <t>Steel Mains &gt;</t>
    </r>
    <r>
      <rPr>
        <sz val="11"/>
        <color theme="1"/>
        <rFont val="Arial"/>
        <family val="2"/>
      </rPr>
      <t>2"</t>
    </r>
  </si>
  <si>
    <t>Diversions: Non-Rechargeable</t>
  </si>
  <si>
    <t>Diversions: Rechargeable</t>
  </si>
  <si>
    <t>Average Service Length</t>
  </si>
  <si>
    <t>Relay by insertion</t>
  </si>
  <si>
    <t>Relay</t>
  </si>
  <si>
    <t>m</t>
  </si>
  <si>
    <r>
      <t xml:space="preserve">Steel Mains </t>
    </r>
    <r>
      <rPr>
        <b/>
        <sz val="12"/>
        <color theme="1"/>
        <rFont val="Verdana"/>
        <family val="2"/>
      </rPr>
      <t>≤2"</t>
    </r>
  </si>
  <si>
    <r>
      <t xml:space="preserve">Steel Mains </t>
    </r>
    <r>
      <rPr>
        <b/>
        <sz val="12"/>
        <color theme="1"/>
        <rFont val="Verdana"/>
        <family val="2"/>
      </rPr>
      <t>&gt;2"</t>
    </r>
  </si>
  <si>
    <t>Relay: Bulk Services</t>
  </si>
  <si>
    <t>Relay: Service Alts, Meter Relocations</t>
  </si>
  <si>
    <t>Relay: After Escape</t>
  </si>
  <si>
    <t>Relay: Smart Metering</t>
  </si>
  <si>
    <t>Relay: Smart Metering (Workload at Cost of Shipper)</t>
  </si>
  <si>
    <t>Relay: Other (Metallic)</t>
  </si>
  <si>
    <t>Relay: Other (Non-Metallic)</t>
  </si>
  <si>
    <t>UNC SUB DEDUCTS</t>
  </si>
  <si>
    <t>4.08 Repex Multiple Occupancy Buildings (MOB)</t>
  </si>
  <si>
    <t>Planned Replacement</t>
  </si>
  <si>
    <t>Replacement on Failure</t>
  </si>
  <si>
    <t>Planned Refurbishment</t>
  </si>
  <si>
    <t>Refurbishment on Failure</t>
  </si>
  <si>
    <t>Planned Permanent Isolation</t>
  </si>
  <si>
    <t>Permanent Isolation on Failure</t>
  </si>
  <si>
    <t>MOB Interventions</t>
  </si>
  <si>
    <t>WORKLOAD: NUMBER OF MOBs</t>
  </si>
  <si>
    <t>WORKLOAD: NUMBER OF METER POINTS</t>
  </si>
  <si>
    <t>4.09 Repex Cost Breakdown</t>
  </si>
  <si>
    <t>Tier-1 Mains &amp; Services</t>
  </si>
  <si>
    <t>Tier-2A Mains &amp; Services</t>
  </si>
  <si>
    <t>Tier-2B Mains &amp; Services</t>
  </si>
  <si>
    <t>Tier-3 Mains &amp; Services</t>
  </si>
  <si>
    <t>Other Policy &amp; Condition Mains &amp; Services (Incl. MPDI)</t>
  </si>
  <si>
    <t>Diversions Mains &amp; Services</t>
  </si>
  <si>
    <t>Capitalised Replacement Mains &amp; Services</t>
  </si>
  <si>
    <t>Services not Associated with Mains Replacement</t>
  </si>
  <si>
    <t>Repex Mains &amp; Services</t>
  </si>
  <si>
    <t>Direct Labour</t>
  </si>
  <si>
    <t>Cost Type</t>
  </si>
  <si>
    <t>4.10 Mains Risk Prioritisation System (MRPS)</t>
  </si>
  <si>
    <t>4.11 Dynamic Growth Tier-1 Mains</t>
  </si>
  <si>
    <t>Mains Summary</t>
  </si>
  <si>
    <t>TIER 1 IRON MAINS DYNAMIC GROWTH</t>
  </si>
  <si>
    <t>Tier 1 Iron Mains</t>
  </si>
  <si>
    <t>Population at beginning of year</t>
  </si>
  <si>
    <t>Dynamic growth - previously unrecorded assets</t>
  </si>
  <si>
    <t>Dynamic growth - &lt;30m boundary changes</t>
  </si>
  <si>
    <t>Length Decommissioned</t>
  </si>
  <si>
    <t>Population at end of year</t>
  </si>
  <si>
    <t>4.12 Robotic Intervention</t>
  </si>
  <si>
    <t>Specifications</t>
  </si>
  <si>
    <t>Tool Name</t>
  </si>
  <si>
    <t>Other Policy &amp; Condition</t>
  </si>
  <si>
    <t>5.01 LTS &amp; Entry Assets</t>
  </si>
  <si>
    <t>LTS Pipelines by Diameter Band</t>
  </si>
  <si>
    <t>COMMISSIONED</t>
  </si>
  <si>
    <t>DECOMMISSIONED</t>
  </si>
  <si>
    <t>ADJUSTMENTS TO POPULATION (B/F)</t>
  </si>
  <si>
    <t>Population Brought Forward
(into 2013/14)</t>
  </si>
  <si>
    <t>Population Carried Forward
(into 2018/19)</t>
  </si>
  <si>
    <t>Diameter Band</t>
  </si>
  <si>
    <t>Nominal Diameter ≤200mm</t>
  </si>
  <si>
    <t>Nominal Diameter &gt;200mm &amp; ≤300mm</t>
  </si>
  <si>
    <t>Nominal Diameter &gt;300mm &amp; ≤450mm</t>
  </si>
  <si>
    <t>Nominal Diameter &gt;450mm &amp; ≤600mm</t>
  </si>
  <si>
    <t>Nominal Diameter &gt;600mm &amp; ≤800mm</t>
  </si>
  <si>
    <t>Nominal Diameter &gt;800mm</t>
  </si>
  <si>
    <t>LTS Pipelines by Operating Pressure</t>
  </si>
  <si>
    <t>Maximum Design Operating Pressure</t>
  </si>
  <si>
    <t>≤30bar</t>
  </si>
  <si>
    <t>&gt;30bar &amp; ≤50bar</t>
  </si>
  <si>
    <t>&gt;50bar &amp; ≤70bar</t>
  </si>
  <si>
    <t>&gt;70bar</t>
  </si>
  <si>
    <t>Installations</t>
  </si>
  <si>
    <t>Asset Category</t>
  </si>
  <si>
    <t>Embedded Gas Entry Points ≥7bar</t>
  </si>
  <si>
    <t>Embedded Gas Entry Points &lt;7bar</t>
  </si>
  <si>
    <t>AGI</t>
  </si>
  <si>
    <t>5.02 Network Assets</t>
  </si>
  <si>
    <t>Distribution Mains Summary</t>
  </si>
  <si>
    <t>Diameter Band: A</t>
  </si>
  <si>
    <t>Diameter Band: B</t>
  </si>
  <si>
    <t>Diameter Band: C</t>
  </si>
  <si>
    <t>Diameter Band: D</t>
  </si>
  <si>
    <t>Diameter Band: E</t>
  </si>
  <si>
    <t>Diameter Band: F</t>
  </si>
  <si>
    <t>Diameter Band: G</t>
  </si>
  <si>
    <t>Diameter Band: H</t>
  </si>
  <si>
    <t>Diameter Band: I</t>
  </si>
  <si>
    <t>Distribution Mains: Low Pressure</t>
  </si>
  <si>
    <t>PE</t>
  </si>
  <si>
    <t>Steel</t>
  </si>
  <si>
    <t>Cast Iron</t>
  </si>
  <si>
    <t>Spun Iron</t>
  </si>
  <si>
    <t>Ductile Iron</t>
  </si>
  <si>
    <t>Other Materials</t>
  </si>
  <si>
    <t>Distribution Mains: Medium Pressure</t>
  </si>
  <si>
    <t>Population Brought Forward
(into 2018/19)</t>
  </si>
  <si>
    <t>Distribution Mains: Intermediate Pressure</t>
  </si>
  <si>
    <t>adjusted Ofgem's formula</t>
  </si>
  <si>
    <t>Service: Domestic</t>
  </si>
  <si>
    <t>Service: Non-Domestic &lt;200scm/h</t>
  </si>
  <si>
    <r>
      <t xml:space="preserve">Service: Non-Domestic </t>
    </r>
    <r>
      <rPr>
        <sz val="11"/>
        <color theme="1"/>
        <rFont val="Verdana"/>
        <family val="2"/>
      </rPr>
      <t>≥</t>
    </r>
    <r>
      <rPr>
        <sz val="11"/>
        <color theme="1"/>
        <rFont val="Arial"/>
        <family val="2"/>
      </rPr>
      <t>200scm/h</t>
    </r>
  </si>
  <si>
    <t>Services (Excl. MOB, CSEP, IGT &amp; SIU)</t>
  </si>
  <si>
    <t>Domestic Services</t>
  </si>
  <si>
    <t>Mixed PE/Steel</t>
  </si>
  <si>
    <t>Non-Domestic Services</t>
  </si>
  <si>
    <t>MOB: Riser &lt;20m</t>
  </si>
  <si>
    <r>
      <t xml:space="preserve">MOB: Riser </t>
    </r>
    <r>
      <rPr>
        <b/>
        <sz val="11"/>
        <color theme="1"/>
        <rFont val="Verdana"/>
        <family val="2"/>
      </rPr>
      <t>≥</t>
    </r>
    <r>
      <rPr>
        <b/>
        <sz val="11"/>
        <color theme="1"/>
        <rFont val="Arial"/>
        <family val="2"/>
      </rPr>
      <t xml:space="preserve">20m &amp; </t>
    </r>
    <r>
      <rPr>
        <b/>
        <sz val="11"/>
        <color theme="1"/>
        <rFont val="Verdana"/>
        <family val="2"/>
      </rPr>
      <t>≤40m</t>
    </r>
  </si>
  <si>
    <t>MOB: Riser &gt;40m</t>
  </si>
  <si>
    <t>Connected System Entry Points (CSEP)</t>
  </si>
  <si>
    <t>CSEP</t>
  </si>
  <si>
    <t>Independent Gas Transporter (IGT) Services</t>
  </si>
  <si>
    <t>IGT Services Downstream of GDN</t>
  </si>
  <si>
    <t>5.03 Capacity &amp; Storage Assets</t>
  </si>
  <si>
    <t>ASSET POPULATION</t>
  </si>
  <si>
    <t>ADJUSTMENTS TO CAPACITY (mcm b/f)</t>
  </si>
  <si>
    <t>Usable Capacity Brought Forward
(Into 2013/14)</t>
  </si>
  <si>
    <t>Useable Capacity by Asset Category</t>
  </si>
  <si>
    <t>No,</t>
  </si>
  <si>
    <t>Salt Cavities &amp; Mined Cavities</t>
  </si>
  <si>
    <t>LNG Storage</t>
  </si>
  <si>
    <t>Linepack</t>
  </si>
  <si>
    <t>COMMISSIONED (USEABLE CAPACITY INSTALLED)</t>
  </si>
  <si>
    <t>DECOMMISSIONED (USEABLE CAPACITY LOST)</t>
  </si>
  <si>
    <t>Storage Type</t>
  </si>
  <si>
    <t>LTS Linepack</t>
  </si>
  <si>
    <t>LTS Linepack (Contracted)</t>
  </si>
  <si>
    <t>Usable Capacity: NTS Flat</t>
  </si>
  <si>
    <t>5.04 Capacity &amp; Demand</t>
  </si>
  <si>
    <t>NTS FLAT CAPACITY REQUIRED (1-in-20 PEAK: SEVERE LDC)</t>
  </si>
  <si>
    <t>NTS FLEXIBLE CAPACITY REQUIRED (1-in-20 PEAK: SEVERE LDC)</t>
  </si>
  <si>
    <t>PEAK FLOWRATE (1-in-20 PEAK: SEVERE LDC)</t>
  </si>
  <si>
    <t>MINIMUM INLET PRESSURE AT START OF DAY (1-in-20 PEAK: SEVERE LDC)</t>
  </si>
  <si>
    <t>MINIMUM INLET PRESSURE AT END OF DAY (1-in-20 PEAK: SEVERE LDC)</t>
  </si>
  <si>
    <t>NTS Exit Zone</t>
  </si>
  <si>
    <t>NTS Offtake Name</t>
  </si>
  <si>
    <t>BISH</t>
  </si>
  <si>
    <t>Zone</t>
  </si>
  <si>
    <t>NO1</t>
  </si>
  <si>
    <t>COLD</t>
  </si>
  <si>
    <t>CORG</t>
  </si>
  <si>
    <t>COWP</t>
  </si>
  <si>
    <t>ELTN</t>
  </si>
  <si>
    <t>GUYZ</t>
  </si>
  <si>
    <t>HUMB</t>
  </si>
  <si>
    <t>LBUR</t>
  </si>
  <si>
    <t>SALT</t>
  </si>
  <si>
    <t>SLWK</t>
  </si>
  <si>
    <t>THRN</t>
  </si>
  <si>
    <t>KELD</t>
  </si>
  <si>
    <t>NO2</t>
  </si>
  <si>
    <t>MELK</t>
  </si>
  <si>
    <t>TOWL</t>
  </si>
  <si>
    <t>WETH</t>
  </si>
  <si>
    <t>ASSL</t>
  </si>
  <si>
    <t>NE1</t>
  </si>
  <si>
    <t>BALD</t>
  </si>
  <si>
    <t>BURL</t>
  </si>
  <si>
    <t>PANL</t>
  </si>
  <si>
    <t>RAWC</t>
  </si>
  <si>
    <t>TOWT</t>
  </si>
  <si>
    <t>GANS</t>
  </si>
  <si>
    <t>NE2</t>
  </si>
  <si>
    <t>PAUL</t>
  </si>
  <si>
    <t>PICK</t>
  </si>
  <si>
    <t>TOTAL VOLUME OF STORAGE REQUIRED (1-in-20 PEAK: SEVERE LDC)</t>
  </si>
  <si>
    <t>TOTAL VOLUME OF STORAGE AVAILABLE (1-in-20 PEAK: SEVERE LDC)</t>
  </si>
  <si>
    <t>Interruptible</t>
  </si>
  <si>
    <t>NUMBER OF SITES WITH AN INTERRUPTIBLE CONTRACT</t>
  </si>
  <si>
    <t>TOTAL CAPACITY OF INTERRUPTIBLE SITES</t>
  </si>
  <si>
    <t>TOTAL INTERRUPTED CAPACITY</t>
  </si>
  <si>
    <t>Assumed Planning CV</t>
  </si>
  <si>
    <t>NO</t>
  </si>
  <si>
    <t>MJ/m3</t>
  </si>
  <si>
    <t>5.05 Capacity Output Data</t>
  </si>
  <si>
    <t>Capacity Utilisation</t>
  </si>
  <si>
    <t>CAPACITY UTILISATION</t>
  </si>
  <si>
    <t>Capacity Utilisation ≤50%</t>
  </si>
  <si>
    <t>Capacity Utilisation &gt;50% &amp; ≤70%</t>
  </si>
  <si>
    <t>Capacity Utilisation &gt;70% &amp; ≤80%</t>
  </si>
  <si>
    <t>Capacity Utilisation &gt;80% &amp; ≤100%</t>
  </si>
  <si>
    <t>Capacity Utilisation &gt;100%</t>
  </si>
  <si>
    <t>5.06 Modern Equivalent Asset Value (MEAV) Assets</t>
  </si>
  <si>
    <t>NUMBER OF ASSETS</t>
  </si>
  <si>
    <t>CAPACITY OF ASSETS: NTS FLAT</t>
  </si>
  <si>
    <t>Pressure Reduction Stations (PRS)</t>
  </si>
  <si>
    <t>Embedded Gas Entry Points &lt;7barg</t>
  </si>
  <si>
    <t>Embedded Gas Entry Points ≥7barg</t>
  </si>
  <si>
    <t>Above-Ground Installations (AGI)</t>
  </si>
  <si>
    <t>Low-Pressure Gasholders: Operational</t>
  </si>
  <si>
    <t>Low-Pressure Gasholders: Mothballed</t>
  </si>
  <si>
    <t>Other Storage</t>
  </si>
  <si>
    <t>Linepack: LTS</t>
  </si>
  <si>
    <t>Linepack: NTS Contracted</t>
  </si>
  <si>
    <t>Distribution Mains: All Materials &amp; Pressures</t>
  </si>
  <si>
    <t>District</t>
  </si>
  <si>
    <t>Services (Excl. MOB, CSEP, IGT, SIU)</t>
  </si>
  <si>
    <t>Riser &lt;20m</t>
  </si>
  <si>
    <t>Riser ≥20m &amp; ≤40m</t>
  </si>
  <si>
    <t>Riser &gt;40m</t>
  </si>
  <si>
    <t>5.07 PRE, Reports &amp; Repairs</t>
  </si>
  <si>
    <t>Public Reported Escapes (PRE)</t>
  </si>
  <si>
    <t>Controlled</t>
  </si>
  <si>
    <t>Controlled Gas Escapes/Emergencies</t>
  </si>
  <si>
    <t>Responded-to within Timescale</t>
  </si>
  <si>
    <t>Uncontrolled</t>
  </si>
  <si>
    <t>Uncontrolled Gas Escapes/Emergencies</t>
  </si>
  <si>
    <t>Other: Non-Gas</t>
  </si>
  <si>
    <t>Escapes/Emergencies</t>
  </si>
  <si>
    <t>Reports</t>
  </si>
  <si>
    <t>Reports: Network Related</t>
  </si>
  <si>
    <t>Escape: Distribution Mains (Condition)</t>
  </si>
  <si>
    <t>Escape: Service (Condition)</t>
  </si>
  <si>
    <t>Escape: Distribution Mains Interference (Damage)</t>
  </si>
  <si>
    <t>Escape: Service Interference (Damage)</t>
  </si>
  <si>
    <t>Other: Distribution Mains</t>
  </si>
  <si>
    <t>Other: Service</t>
  </si>
  <si>
    <t>Reports: Non-Network Related</t>
  </si>
  <si>
    <t>No Trace</t>
  </si>
  <si>
    <t>CO Confirmed &amp; Suspected</t>
  </si>
  <si>
    <t>Other: Everything Else</t>
  </si>
  <si>
    <t>Actioned Repairs</t>
  </si>
  <si>
    <t>Distribution Mains: Condition</t>
  </si>
  <si>
    <t>Distribution Mains: Interference</t>
  </si>
  <si>
    <t>Distribution Mains: All Diameters</t>
  </si>
  <si>
    <t>Services: Condition</t>
  </si>
  <si>
    <t>Services: Interference</t>
  </si>
  <si>
    <t>Deferred Repairs</t>
  </si>
  <si>
    <t>Repairs Deferred Beyond 28-Days</t>
  </si>
  <si>
    <t>29-35 Days</t>
  </si>
  <si>
    <t>36-42 Days</t>
  </si>
  <si>
    <t>43-49 Days</t>
  </si>
  <si>
    <t>50-56 Days</t>
  </si>
  <si>
    <t>&gt;56 Days</t>
  </si>
  <si>
    <t>Median Repair Time &gt;28 Days</t>
  </si>
  <si>
    <t>Days</t>
  </si>
  <si>
    <t>5.08 Safety</t>
  </si>
  <si>
    <t>Reportable GIB Events: Low-Pressure</t>
  </si>
  <si>
    <t>Other Reportable GIB Events</t>
  </si>
  <si>
    <t>Non-Iron Mains</t>
  </si>
  <si>
    <t>Service Pipes</t>
  </si>
  <si>
    <t>Non-Pipe Specific Components</t>
  </si>
  <si>
    <t>Third-Party Interference</t>
  </si>
  <si>
    <t>Reportable GIB Events: Medium-Pressure</t>
  </si>
  <si>
    <t>Reportable GIB Events: Intermediate-Pressure</t>
  </si>
  <si>
    <t>Reportable GIB Events: High-Pressure</t>
  </si>
  <si>
    <t>Reportable GIB Events: Non-Network</t>
  </si>
  <si>
    <t>Reportable Non-Network Emergency Jobs</t>
  </si>
  <si>
    <t>Non-Reportable GIB Events: Low-Pressure</t>
  </si>
  <si>
    <t>Non-Reportable GIB Events: Medium-Pressure</t>
  </si>
  <si>
    <t>Non-Reportable GIB Events: Intermediate-Pressure</t>
  </si>
  <si>
    <t>Other Non-Reportable GIB Events</t>
  </si>
  <si>
    <t>Non-Reportable GIB Events: High-Pressure</t>
  </si>
  <si>
    <t>Fractures &amp; Failures: Low-Pressure</t>
  </si>
  <si>
    <t>Fractures &amp; Failures: Medium-Pressure</t>
  </si>
  <si>
    <t>Repair Risk</t>
  </si>
  <si>
    <t>REPAIR RISK</t>
  </si>
  <si>
    <t>Total Accumulative Network Repair Risk</t>
  </si>
  <si>
    <r>
      <t>No. Incidents x10</t>
    </r>
    <r>
      <rPr>
        <vertAlign val="superscript"/>
        <sz val="11"/>
        <rFont val="Arial"/>
        <family val="2"/>
      </rPr>
      <t>6</t>
    </r>
  </si>
  <si>
    <t>5.09 Reliability</t>
  </si>
  <si>
    <t>Customers</t>
  </si>
  <si>
    <t>CUSTOMER POPULATION</t>
  </si>
  <si>
    <t>Customer Type</t>
  </si>
  <si>
    <t>Domestic (Excl. MOB)</t>
  </si>
  <si>
    <t>Non-Domestic (Incl. I&amp;C)</t>
  </si>
  <si>
    <t>Non-Contractual Interruptions: Planned</t>
  </si>
  <si>
    <t>DURATIONS</t>
  </si>
  <si>
    <t>Cause of Interruption</t>
  </si>
  <si>
    <t>GDN-Initiated Activities</t>
  </si>
  <si>
    <t>Minutes</t>
  </si>
  <si>
    <t>Non-GDN Initiated Mains Diversions</t>
  </si>
  <si>
    <t>Non-GDN Initiated Service Alterations</t>
  </si>
  <si>
    <t>For completion by all GDNs apart from Cadent Lon</t>
  </si>
  <si>
    <t>Non-Contractual Interruptions: Unplanned</t>
  </si>
  <si>
    <t>AVERAGE DURATIONS</t>
  </si>
  <si>
    <t>Unplanned Interuptions</t>
  </si>
  <si>
    <t>Headroom</t>
  </si>
  <si>
    <t>Major incident impact</t>
  </si>
  <si>
    <t>For completion by Cadent Lon only</t>
  </si>
  <si>
    <t>Non-MOB Interruptions</t>
  </si>
  <si>
    <t>MPB Interruptions</t>
  </si>
  <si>
    <t>5.10 Business Carbon Footprint (BCF)</t>
  </si>
  <si>
    <t>Total BCF (excluding shrinkage)</t>
  </si>
  <si>
    <t>Total BCF (Including shrinkage)</t>
  </si>
  <si>
    <t xml:space="preserve">GDN Emissions </t>
  </si>
  <si>
    <t>CONVERSION FACTORS</t>
  </si>
  <si>
    <t>VOLUME</t>
  </si>
  <si>
    <t>Buildings Energy Usage</t>
  </si>
  <si>
    <t>Buildings - Electricity</t>
  </si>
  <si>
    <t>tCO2e/kwh - UK grid average electricity</t>
  </si>
  <si>
    <t>kwh (electricity)</t>
  </si>
  <si>
    <t>Buildings - Other Fuels</t>
  </si>
  <si>
    <t>tCO2e/kwh (gross CV)</t>
  </si>
  <si>
    <t>kwh (natural gas)</t>
  </si>
  <si>
    <t>100% renewable electricity</t>
  </si>
  <si>
    <t>tCO2e/kwh - 100% renewable electricity</t>
  </si>
  <si>
    <t>kwh (100% renewable electricity)</t>
  </si>
  <si>
    <t>Biogas (100% renewable)</t>
  </si>
  <si>
    <t>tCO2e/kwh</t>
  </si>
  <si>
    <t>kwh (biogas)</t>
  </si>
  <si>
    <t>Operational Transport</t>
  </si>
  <si>
    <t>Road (Diesel)</t>
  </si>
  <si>
    <t>tCO2e/litre</t>
  </si>
  <si>
    <t>Litres</t>
  </si>
  <si>
    <t>Road (Petrol)</t>
  </si>
  <si>
    <t>Included with diesel</t>
  </si>
  <si>
    <t>Road (LPG)</t>
  </si>
  <si>
    <t>Road (CNG)</t>
  </si>
  <si>
    <t>de minimis</t>
  </si>
  <si>
    <t>Road (EV)</t>
  </si>
  <si>
    <t>tCO2e/mile (Class III EV van including T&amp;D losses)</t>
  </si>
  <si>
    <t>Miles</t>
  </si>
  <si>
    <t>Rail</t>
  </si>
  <si>
    <t>Sea</t>
  </si>
  <si>
    <t>Air (Domestic)</t>
  </si>
  <si>
    <t>Air (European)</t>
  </si>
  <si>
    <t>Air (International)</t>
  </si>
  <si>
    <t>Zero emission vehicle, eg hydrogen or EV fuelled by 100% renewable electricity</t>
  </si>
  <si>
    <t>tCO2e/mile (type to be determined)</t>
  </si>
  <si>
    <t>Business Transport</t>
  </si>
  <si>
    <t>tCO2e/mile (medium sized car)</t>
  </si>
  <si>
    <t>tCO2e/mile (medium sized EV car including T&amp;D losses, assume zero by 2030/31)</t>
  </si>
  <si>
    <t>tCO2e/passenger.km</t>
  </si>
  <si>
    <t>Passenger.km</t>
  </si>
  <si>
    <t>tCO2e/passenger.km (short haul from UK, average passenger)</t>
  </si>
  <si>
    <t>Petrol hybrid</t>
  </si>
  <si>
    <t>tCO2e/mile (medium sized hybrid car)</t>
  </si>
  <si>
    <t>Plug-in petrol hybrid</t>
  </si>
  <si>
    <t>tCO2e/mile (medium sized plug-in petrol hybrid including T&amp;D losses)</t>
  </si>
  <si>
    <t>Fugitive Emissions</t>
  </si>
  <si>
    <t>Fuel Combustion (non-building)</t>
  </si>
  <si>
    <t>Diesel</t>
  </si>
  <si>
    <t>Included in operational transport diesel use</t>
  </si>
  <si>
    <t xml:space="preserve">Gas Natural </t>
  </si>
  <si>
    <t xml:space="preserve">Fuels Other </t>
  </si>
  <si>
    <t>Other Emissions</t>
  </si>
  <si>
    <t>Leakage</t>
  </si>
  <si>
    <t>Own use gas</t>
  </si>
  <si>
    <t>Gas theft</t>
  </si>
  <si>
    <t>TOTAL (EXCLUDING SHRINKAGE)</t>
  </si>
  <si>
    <t>Contractor Emissions</t>
  </si>
  <si>
    <t>Not measured</t>
  </si>
  <si>
    <t>Air</t>
  </si>
  <si>
    <t>tCO2e/litre (aviation turbine fuel)</t>
  </si>
  <si>
    <t>Car mileage (average car, fuel unknown)</t>
  </si>
  <si>
    <t>tCO2e/mile (average car, fuel unknown)</t>
  </si>
  <si>
    <t>Included in operational transport</t>
  </si>
  <si>
    <t>Petrol</t>
  </si>
  <si>
    <t>Red diesel (gas oil)</t>
  </si>
  <si>
    <t>PE pipe manufacture and transport</t>
  </si>
  <si>
    <t>Electricity transmission and distribution losses</t>
  </si>
  <si>
    <t>Scope of Emissions</t>
  </si>
  <si>
    <t>GDN Emissions</t>
  </si>
  <si>
    <t>Scope 1</t>
  </si>
  <si>
    <t>Scope 2</t>
  </si>
  <si>
    <t>Scope 3</t>
  </si>
  <si>
    <t>Total Emissions</t>
  </si>
  <si>
    <t>5.11 Innovation</t>
  </si>
  <si>
    <t>Additional allowance to roll out previously proven innovation</t>
  </si>
  <si>
    <t>Project name</t>
  </si>
  <si>
    <t>Narrative Ref.</t>
  </si>
  <si>
    <t>Network Innovation Allowance funding</t>
  </si>
  <si>
    <t>Innovation theme</t>
  </si>
  <si>
    <t>5.12 Cyber Security Operational Technology</t>
  </si>
  <si>
    <t>SUMMARY</t>
  </si>
  <si>
    <t>Total gross costs (opex and capex)</t>
  </si>
  <si>
    <t>Activity levels</t>
  </si>
  <si>
    <t>Control Systems - new installations</t>
  </si>
  <si>
    <t>No. Sites</t>
  </si>
  <si>
    <t>Telemetry - new installations</t>
  </si>
  <si>
    <t>Metering and Analysers - new installations</t>
  </si>
  <si>
    <t>No. Units</t>
  </si>
  <si>
    <t>Opex costs for Baseline funding should be entered here, costs relating to proposed Uncertainty Mechanisms should be entered in separate table below</t>
  </si>
  <si>
    <t>A. Organisational Capabilities</t>
  </si>
  <si>
    <t>A1. Governance</t>
  </si>
  <si>
    <t>A1.a Board Direction</t>
  </si>
  <si>
    <t>A1.b Roles &amp; Responsibilities</t>
  </si>
  <si>
    <t>A1.c Decision-making</t>
  </si>
  <si>
    <t>A2. Risk Management</t>
  </si>
  <si>
    <t>A2.a Risk Management Process</t>
  </si>
  <si>
    <t>A2.b Assurance</t>
  </si>
  <si>
    <t>A3. Asset Management</t>
  </si>
  <si>
    <t>A3.a Asset Management</t>
  </si>
  <si>
    <t>A4. Supply Chain</t>
  </si>
  <si>
    <t>A4.a Supply Chain</t>
  </si>
  <si>
    <t>B. Protective Security Measures</t>
  </si>
  <si>
    <t>B1. Service Protection Policies &amp; Processes</t>
  </si>
  <si>
    <t>B1.a Policy &amp; Process Development</t>
  </si>
  <si>
    <t>B1.b Policy &amp; Process Implementation</t>
  </si>
  <si>
    <t>B2. Identity &amp; Access Control</t>
  </si>
  <si>
    <t>B2.a Identity Verification, Authentication &amp; Authorisation</t>
  </si>
  <si>
    <t>B2.b Device Management</t>
  </si>
  <si>
    <t>B2.c Privileged User Management</t>
  </si>
  <si>
    <t>B2.d Identity &amp; Access Management</t>
  </si>
  <si>
    <t>B3. Data Security</t>
  </si>
  <si>
    <t>B3.a Understanding Data</t>
  </si>
  <si>
    <t>B3.b Data in Transit</t>
  </si>
  <si>
    <t>B3.c Stored Data</t>
  </si>
  <si>
    <t>B3.d Mobile Data</t>
  </si>
  <si>
    <t>B3.e Media/Equipment Sanitisation</t>
  </si>
  <si>
    <t>B4. System Security</t>
  </si>
  <si>
    <t>B4.a Secure By Design</t>
  </si>
  <si>
    <t>B4.b Secure Configuration</t>
  </si>
  <si>
    <t>B4.c Secure Management</t>
  </si>
  <si>
    <t>B4.d Vulnerability Management</t>
  </si>
  <si>
    <t>B5. Resilient Networks &amp; Systems</t>
  </si>
  <si>
    <t>B5.a Resilience Preparation</t>
  </si>
  <si>
    <t>B5.b Design for Resilience</t>
  </si>
  <si>
    <t>B5.c Backups</t>
  </si>
  <si>
    <t>B6. Staff Awareness &amp; Training</t>
  </si>
  <si>
    <t>B6.a Cyber Security Culture</t>
  </si>
  <si>
    <t>B6.b Cyber Security Training</t>
  </si>
  <si>
    <t>C. Detecting Cyber Security Events</t>
  </si>
  <si>
    <t>C1. Security Monitoring</t>
  </si>
  <si>
    <t>C1.a Monitoring Coverage</t>
  </si>
  <si>
    <t>C1.b Securing Logs</t>
  </si>
  <si>
    <t>C1.c Generating Alerts</t>
  </si>
  <si>
    <t>C1.d Identifying Security Incidents</t>
  </si>
  <si>
    <t>C1.e Monitoring Tools &amp; Skills</t>
  </si>
  <si>
    <t>C2. Proactive Security Event Discovery</t>
  </si>
  <si>
    <t>C2.a System Abnormalities for Attack Detection</t>
  </si>
  <si>
    <t>C2.b Proactive Attack Discovery</t>
  </si>
  <si>
    <t>D. Minimising the Impact of Cyber Security Incidents</t>
  </si>
  <si>
    <t>D1. Response &amp; Recovery Planning</t>
  </si>
  <si>
    <t>D1.a Response Plan</t>
  </si>
  <si>
    <t>D1.b Response &amp; Recovery Capability</t>
  </si>
  <si>
    <t>D1.c Testing &amp; Exercising</t>
  </si>
  <si>
    <t>D2. Lessons Learned</t>
  </si>
  <si>
    <t>D2.a Incident Root Cause Analysis</t>
  </si>
  <si>
    <t>D2.b Using Incidents to Drive Improvements</t>
  </si>
  <si>
    <t>Capex costs for Baseline funding should be entered here, costs relating to proposed Uncertainty Mechanisms should be entered in separate table below</t>
  </si>
  <si>
    <t>Project costs for Baseline funding</t>
  </si>
  <si>
    <t>Project Category</t>
  </si>
  <si>
    <t>Project name/initiatives</t>
  </si>
  <si>
    <t>Uncertainty Mechanism costs</t>
  </si>
  <si>
    <t>5.12 Cyber Security Information Technology</t>
  </si>
  <si>
    <t>5.13 Physical Security Capex</t>
  </si>
  <si>
    <t>Physical Security Capex Costs by Scheme</t>
  </si>
  <si>
    <t>SCHEME SPECIFICATIONS</t>
  </si>
  <si>
    <t>Scheme Identifier</t>
  </si>
  <si>
    <t>Start Date</t>
  </si>
  <si>
    <t>Finish Date</t>
  </si>
  <si>
    <t>Days to complete</t>
  </si>
  <si>
    <t>Status</t>
  </si>
  <si>
    <t>Physical Security Scheme</t>
  </si>
  <si>
    <t>Scheme Number</t>
  </si>
  <si>
    <t>5.14 Physical Security Opex</t>
  </si>
  <si>
    <t>Owned Sites</t>
  </si>
  <si>
    <t>PDSA</t>
  </si>
  <si>
    <t>Data Communications</t>
  </si>
  <si>
    <t>No. of Sites</t>
  </si>
  <si>
    <t>Shared Sites</t>
  </si>
  <si>
    <t>5.16 Environmental Action Plan</t>
  </si>
  <si>
    <t>Table 1: 
Environmental baseline measures under RIIO-GD1</t>
  </si>
  <si>
    <t>Measure for start of RIIO-GD1 (2014)</t>
  </si>
  <si>
    <t>Measure for latest year RIIO-GD1</t>
  </si>
  <si>
    <t>Average Measure for 
RIIO-GD1 to date</t>
  </si>
  <si>
    <r>
      <t>Notes</t>
    </r>
    <r>
      <rPr>
        <sz val="11"/>
        <color theme="1"/>
        <rFont val="Arial"/>
        <family val="2"/>
      </rPr>
      <t xml:space="preserve"> (GDNs to explain measures or why they don’t have a measure)</t>
    </r>
  </si>
  <si>
    <t>Total - Scope 1 (leakage)</t>
  </si>
  <si>
    <t>Arithmetic mean of 2013/14 and 2018/19 values used as average measure. As per RRP reports.</t>
  </si>
  <si>
    <t>Total - Scope 1 (other shrinkage)</t>
  </si>
  <si>
    <t>Total - Scope 1 (other)</t>
  </si>
  <si>
    <t>Total - Scope 2</t>
  </si>
  <si>
    <t>Total - Scope 3</t>
  </si>
  <si>
    <t>Buildings Energy Usage (incl. contractors)</t>
  </si>
  <si>
    <t>Total emissions</t>
  </si>
  <si>
    <t>Gas and electricity consumption data reported during RIIO-1 includes offices, depots and gas infrastructure sites at NGN sites only, excluding contractors. 2018/19 consumption at NGN offices and depots only (excluding infrastructure sites) is estimated from energy records at approximately 91% (gas) and 32% (electricity) of total consumption and this is the basis of the figures presented. Office and depot (only) energy consumption data is not available for 2013-14 so figures from the nearest available year have been used (2017/18, 87% of total gas consumption and 29% of total electricity consumption).  
Arithmetic mean of 2013/14 and 2018/19 values used as average measure.</t>
  </si>
  <si>
    <t xml:space="preserve">Potential normalisation factors </t>
  </si>
  <si>
    <t>No. of Staff (incl. contractors working in GDN premises)</t>
  </si>
  <si>
    <t>Staff numbers for NGN direct employees only as de minimis number of contractors permanently working in NGN premises. Arithmetic mean of 2013/14 and 2018/19 values used as average measure. As per BPDT 2.13.</t>
  </si>
  <si>
    <t>Building floor space</t>
  </si>
  <si>
    <t>m^2</t>
  </si>
  <si>
    <t>Building floor space represents NGN office and depot floor space, excluding gas infrastructure sites (not available). Building floor space data unavailable for 2014, assumed same as 2018/19.</t>
  </si>
  <si>
    <t>Other: Specify</t>
  </si>
  <si>
    <t>Specify: Unit</t>
  </si>
  <si>
    <t>Carbon intensity (by staff)</t>
  </si>
  <si>
    <t>tCO2e/FTE</t>
  </si>
  <si>
    <t>Carbon intensity (by building floor space)</t>
  </si>
  <si>
    <t>tCO2e/m^2</t>
  </si>
  <si>
    <t>Carbon Intensity (by other)</t>
  </si>
  <si>
    <t>Operational transport</t>
  </si>
  <si>
    <t>Carbon emissions associated with NGN Commercial Vehicle Fleet (Scope 1). Contractors (Scope 3) not included. Arithmetic mean of 2013/14 and 2018/19 values used as average measure.</t>
  </si>
  <si>
    <t>Total kilometres travelled</t>
  </si>
  <si>
    <t>Actual distances travelled not available as carbon emissions are calculated from fuel purchase card data. Carbon emissions associated with NGN Fleet (Scope 1) converted to distances travelled using 2013 and 2018 DEFRA conversion factors for freighting goods in Class III van (standard fleet vehicle type). Arithmetic mean of 2013/14 and 2018/19 values used as average measure. Contractors not included.</t>
  </si>
  <si>
    <t>Network length</t>
  </si>
  <si>
    <t>Arithmetic mean of 2013/14 and 2018/19 values used as average measure</t>
  </si>
  <si>
    <t>Licence area</t>
  </si>
  <si>
    <t>km^2</t>
  </si>
  <si>
    <t>Estimate from NGN network records. Assumed constant throughout</t>
  </si>
  <si>
    <t>Carbon intensity - by operational km</t>
  </si>
  <si>
    <t>tCO2e /operational km</t>
  </si>
  <si>
    <t>Carbon intensity - by network length</t>
  </si>
  <si>
    <t>tCO2e /km</t>
  </si>
  <si>
    <t>Carbon intensity - by licence area</t>
  </si>
  <si>
    <t>tCO2e km^2</t>
  </si>
  <si>
    <t>Carbon emissions associated with NGN business mileage (Scope 1) and business rail and air travel (Scope 3). Arithmetic mean of 2013/14 and 2018/19 values used as average measure. Contractors excluded</t>
  </si>
  <si>
    <t>Actual distances travelled not available. Carbon emissions associated with NGN business mileage (Scope 1) and business air and rail travel (Scope 3) converted to distances travelled using 2013 and 2018 DEFRA conversion factors for emissions per km travelled via average passenger vehicle (fuel unknown), national rail, and average passenger short haul international flight. Arithmetic mean of 2013/14 and 2018/19 values used as average measure. Contractors excluded.</t>
  </si>
  <si>
    <t>Carbon intensity - Business Transport</t>
  </si>
  <si>
    <t>tCO2e / transport km's</t>
  </si>
  <si>
    <t>Fuel Combustion</t>
  </si>
  <si>
    <t>Data not available</t>
  </si>
  <si>
    <t>Diesel for mobile plant/equipment is included in operational transport emissions (row 30)</t>
  </si>
  <si>
    <t>Not used</t>
  </si>
  <si>
    <t>De minimis quantities of petrol and red diesel used by NGN for plant/machinery. Included in operational transport emissions (row 30).</t>
  </si>
  <si>
    <t>Average embedded carbon of new projects</t>
  </si>
  <si>
    <r>
      <rPr>
        <sz val="7"/>
        <color theme="1"/>
        <rFont val="Arial"/>
        <family val="2"/>
      </rPr>
      <t xml:space="preserve"> </t>
    </r>
    <r>
      <rPr>
        <sz val="11"/>
        <color theme="1"/>
        <rFont val="Arial"/>
        <family val="2"/>
      </rPr>
      <t>Volume</t>
    </r>
  </si>
  <si>
    <t xml:space="preserve">Not required to be measured during RIIO-1. NGN RIIO-2 EAP includes requirement to implement a tool to measure this, create a baseline and then establish an appropriate reduction target. </t>
  </si>
  <si>
    <r>
      <rPr>
        <sz val="7"/>
        <color theme="1"/>
        <rFont val="Arial"/>
        <family val="2"/>
      </rPr>
      <t xml:space="preserve"> </t>
    </r>
    <r>
      <rPr>
        <sz val="11"/>
        <color theme="1"/>
        <rFont val="Arial"/>
        <family val="2"/>
      </rPr>
      <t>% breakdown by:</t>
    </r>
  </si>
  <si>
    <t>Manufacture</t>
  </si>
  <si>
    <t>Construction</t>
  </si>
  <si>
    <t>End of life</t>
  </si>
  <si>
    <t>Local pollution</t>
  </si>
  <si>
    <t>(Total volume of each pollution)</t>
  </si>
  <si>
    <t>No pollution incidents recorded during RIIO-1</t>
  </si>
  <si>
    <t>(Total number of pollution incidents)</t>
  </si>
  <si>
    <t>Number</t>
  </si>
  <si>
    <t xml:space="preserve">Waste  </t>
  </si>
  <si>
    <t>Volume</t>
  </si>
  <si>
    <t>m^3</t>
  </si>
  <si>
    <t>Includes excavation spoil (c.99.5%) and office and depot waste, waste paper and waste PE pipe. Non-excavation spoil waste mass not available for 2014 so assumed equal to 2018/19 value. Converted from mass to volume using estimated bulk density of mixed excavation spoil (primary consitutent) of 1.9t/m3</t>
  </si>
  <si>
    <t>Kg</t>
  </si>
  <si>
    <t>Includes excavation spoil (c.99.5%) and office and depot waste, waste paper and waste PE pipe. Non-excavation spoil waste mass not available for 2014 so assumed equal to 2018/19 value.</t>
  </si>
  <si>
    <t>% breakdown by source ie new projects, business operations, etc</t>
  </si>
  <si>
    <t>New projects</t>
  </si>
  <si>
    <t>As detailed in rows 75 and 76, excavation spoil comprises approximately 99.5% of total waste. Excavation spoil  is generated from emergency and repair projects, mains replacement projects and gas connections projects.</t>
  </si>
  <si>
    <t>Business Operations</t>
  </si>
  <si>
    <t>As detailed in rows 75 and 76, excavation spoil comprises approximately 99% of total waste, with the remaining c.0.5% being general waste from offices and depots attributable to general business operations.</t>
  </si>
  <si>
    <t>Breakdown of waste management by:</t>
  </si>
  <si>
    <r>
      <rPr>
        <sz val="7"/>
        <color theme="1"/>
        <rFont val="Arial"/>
        <family val="2"/>
      </rPr>
      <t xml:space="preserve"> </t>
    </r>
    <r>
      <rPr>
        <sz val="11"/>
        <color theme="1"/>
        <rFont val="Arial"/>
        <family val="2"/>
      </rPr>
      <t>% reuse/reduce</t>
    </r>
  </si>
  <si>
    <t>Unknown</t>
  </si>
  <si>
    <t>Not measured during RIIO-1.</t>
  </si>
  <si>
    <t>% recycling</t>
  </si>
  <si>
    <t xml:space="preserve">As detailed in rows 75 and 76 approximately 99.5% of total waste generated annually is excavation spoil. % recycled and % to landfill reflects excavation spoil performance as reported in RRP RIIO-1. </t>
  </si>
  <si>
    <t>% to landfill</t>
  </si>
  <si>
    <t>Biodiversity at network sites</t>
  </si>
  <si>
    <t>% of existing sites monitored</t>
  </si>
  <si>
    <t xml:space="preserve">Not required to be measured during RIIO-1. NGN RIIO-2 EAP includes requirement to implement a tool to measure this. </t>
  </si>
  <si>
    <r>
      <rPr>
        <sz val="7"/>
        <color theme="1"/>
        <rFont val="Arial"/>
        <family val="2"/>
      </rPr>
      <t xml:space="preserve"> </t>
    </r>
    <r>
      <rPr>
        <sz val="11"/>
        <color theme="1"/>
        <rFont val="Arial"/>
        <family val="2"/>
      </rPr>
      <t>Defra Biodiversity Metric 2.0 of biodiversity value for each monitored site/habitat</t>
    </r>
  </si>
  <si>
    <t>Total biodiversity net gain delivered on new developments (using DBM2)</t>
  </si>
  <si>
    <t xml:space="preserve">Table 2: Projected environmental measures at end of RIIO-GD2 </t>
  </si>
  <si>
    <t>Lower bound - Measure under BAU in the final year of RIIO2 (without RIIO-2 initiatives in Table 3)</t>
  </si>
  <si>
    <t>Upper bound - Measure under BAU in the final year of RIIO2 (without RIIO-2 initiatives in Table 3)</t>
  </si>
  <si>
    <t>Lower bound - Measure in the final year of RIIO2 (with RIIO-2 initiatives in Table 3)</t>
  </si>
  <si>
    <t>Upper bound - Measure in the final year of RIIO2 (with RIIO-2 initiatives in Table 3)</t>
  </si>
  <si>
    <t>Initiative identifier (any initiatives contributing to change in impact - listed in table 3)</t>
  </si>
  <si>
    <t>Notes</t>
  </si>
  <si>
    <t>Specify: Initiative identifier
1, 2, 3</t>
  </si>
  <si>
    <t>BAU scenario represents continuation of our RIIO-1 leakage management strategy. RIIO-2 scenario represents NGN's proposed RIIO-2 leakage management strategy. Remainder of calculation input criteria as per those shown on BPDT 2.17, column AU.
Upper and lower bounds calculated from 2025/26 shrinkage estimates (BAU and RIIO-2) for each scenario +/- the 2018/19 shrinkage forecast reconcilliation (15.88 Gwh converted to carbon). Upper and lower bounds estimates for each scenario then split into leakage and other shrinkage (theft and own use gas).
Calculations utilise 28 x global warming potential for methane and 77.31% natural gas content in methane as per NGN CBA methodology.</t>
  </si>
  <si>
    <t>Specify: Initiative identifier:
N/A</t>
  </si>
  <si>
    <t>Specify: Initiative identifier:
5, 7, 8</t>
  </si>
  <si>
    <t>Scope 1 (other) emissions include carbon emissions from NGN metered gas use, commercial vehicle fleet use and business mileage.
BAU lower and upper bounds reflect lowest/highest recorded total Scope 1 (other) annual emissions recorded during RIIO-1
RIIO-2 upper/lower bounds calculated as forecast emissions for each scenario +/- 10%.</t>
  </si>
  <si>
    <t>Specify: Initiative identifier:
4, 6, 7, 8</t>
  </si>
  <si>
    <t>Scope 2 emissions include carbon emissions from NGN electricity use in offices, buildings and gas infrastructure sites, and electricity use associated with charging electric vehicles used for operational and business mileage.
BAU lower and upper bounds reflect lowest/highest recorded total Scope 2 annual emissions recorded during RIIO-1
RIIO-2 upper/lower bounds calculated as forecast emissions for each scenario +/- 10%.</t>
  </si>
  <si>
    <t>Specify: Initiative identifier:
9, 10, 18</t>
  </si>
  <si>
    <t>Scope 3 emissions include carbon emissions from contractor mileage, plastic gas pipe production and transport, transmission and distribution losses associated with electricity used, business air travel and business train travel.
BAU lower and upper bounds reflect lowest/highest recorded total Scope 3 annual emissions recorded during RIIO-1
RIIO-2 upper/lower bounds calculated as forecast emissions for each scenario +/- 10%.</t>
  </si>
  <si>
    <t>Total emissions - buildings energy use</t>
  </si>
  <si>
    <t>Specify: Initiative identifier: 
4, 5, 6</t>
  </si>
  <si>
    <t>Energy use in NGN offices and depots only. Excludes energy use at contractors buildings as they work for multiple clients across multiple locations so it is not appropriate to apportion their energy usage to NGN work.
BAU lower and upper bounds reflect lowest/highest recorded gas and electricity consumption carbon emissions recorded during RIIO-1. Assumed office/depot energy use accounts for typically 88% of total metered gas use and 30% of total electricity use based on available data for 2017/18 and 2018/19
RIIO-2 forecasts allow for EAP initiatives to purchase only 100% renewable (bio)gas and electricity for our metered use at offices, depots and gas infrastructure sites (excluding replacement shrinkage gas) by 25/26. Upper/lower bound emissions represent forecast emissions +/- 10%.</t>
  </si>
  <si>
    <t>Specify: Initiative identifier</t>
  </si>
  <si>
    <t>Staff numbers for NGN direct employees only as de minimis number of contractors permanently working in NGN premises. Assumed constant for all scenarios. As per BPDT 2.13.</t>
  </si>
  <si>
    <t>Assume remain as per 2018/19</t>
  </si>
  <si>
    <t>Other - Company to fill In</t>
  </si>
  <si>
    <t>Specify: Initiative identifier:
7</t>
  </si>
  <si>
    <t>NGN fleet emissions only. Contractors excluded.
BAU lower and upper bounds reflect lowest/highest recorded operational transport carbon emissions recorded during RIIO-1. These have been converted to km travelled using the DEFRA conversion factor for freighting goods in a Class III (predominant vehicle type) van from the relevant year.
RIIO-2 upper and lower and bounds represent RIIO-2 operational transport carbon emissions for traditional operation fleet emissions (Scope 1) and emissions from commercial EV fleet charging (Scope 2) +/- 10%. Distance forecasts based on estimated km travelled during 2025/26 +/- 10%</t>
  </si>
  <si>
    <t>As per RIIO-2 BPDT 5.01 and 5.02 for above (LTS) and below (distribution) 7 bar networks. Assumed constant in all scenarios.</t>
  </si>
  <si>
    <t>Assumed constant in all scenarios</t>
  </si>
  <si>
    <t>tCO2e / operational km's</t>
  </si>
  <si>
    <t>tCO2e / network length</t>
  </si>
  <si>
    <t>tCO2e / km^2</t>
  </si>
  <si>
    <t>Specify: Initiative identifier:
8</t>
  </si>
  <si>
    <t>NGN fleet emissions only. Contractors excluded.
BAU lower and upper bounds reflect lowest/highest recorded inidividual business mileage, air travel and rail travel carbon emissions recorded during RIIO-1. These have been converted to km travelled using the relevant DEFRA conversion factors from the years in question.
RIIO-2 upper and lower and bounds represent RIIO-2 business mileage carbon emissions for traditional car fleet emissions (Scope 1) and emissions from EV car fleet charging (Scope 2), plus air and train business travel emissions +/- 10%. Distance forecasts based on estimated km travelled during 2025/26 +/- 10%</t>
  </si>
  <si>
    <t>De minimis</t>
  </si>
  <si>
    <t>Diesel for mobile plant/equipment is included in operational transport emissions (row 116)</t>
  </si>
  <si>
    <t>Not used for mobile plant/equipment</t>
  </si>
  <si>
    <t>De minimis quantities of petrol and red diesel used by NGN for plant/machinery. Included in operational transport emissions (row 116).</t>
  </si>
  <si>
    <t>Specify: Initiative identifier:
11</t>
  </si>
  <si>
    <t>Not required to be measured during RIIO-1 and as such no data currently available to enable provision of a forecast. NGN RIIO-2 EAP includes requirement to implement a tool to measure this, create a baseline and then establish an appropriate reduction target.</t>
  </si>
  <si>
    <t>Not applicable, see cell I135</t>
  </si>
  <si>
    <t>NGN do not anticipate having any local pollution incidents</t>
  </si>
  <si>
    <t>Specify: Initiative identifier: 
13</t>
  </si>
  <si>
    <t>Includes excavation spoil (c.99.5%) and office and depot waste, waste paper and waste PE pipe based on RIIO-1 data. Range of values provided reflect forecast masses from row 162 converted from mass to volume using range of estimated bulk density of mixed excavation spoil (primary waste consitutent, c99.5%) of 1.8t/m3 (upper bound) to 2.0t/m3 (lower bound).</t>
  </si>
  <si>
    <t>Specify: Initiative identifier:
13</t>
  </si>
  <si>
    <t>Includes excavation spoil (c.99.5%) and office and depot waste, waste paper and waste PE pipe based on RIIO-1 data.
BAU forecasts use range of RIIO-1 excavation spoil masses plus assumption that office/depot waste will remains as current (2018).
RIIO-2 forecasts use range of RIIO-1 excavation spoil masses with forecast reduced mass of office/depot waste following implementation of EAP initiatives.</t>
  </si>
  <si>
    <t>As detailed in rows 75 and 76,  new projects waste is excavation spoil from emergency and repair work, new gas connections and gas mains replacement work. Business operations waste is office and depot waste.</t>
  </si>
  <si>
    <t>% reuse/reduce</t>
  </si>
  <si>
    <t>Specify: Initiative identifier: 
12, 14</t>
  </si>
  <si>
    <t>Not currently measured, assumed to be de minimis throughout</t>
  </si>
  <si>
    <t>BAU upper and lower bounds estimated based on range of excavation spoil and office/depot waste volumes generated during RIIO-1 and anticipated % disposal to landfill / recycled based on continuation of 2018/19 recycling performance.
RIIO-2 upper and lower bounds estimated based on range of excavation spoil and office/depot waste volumes generated during RIIO-1 and anticipated % disposal to landfill / recycled based on proposed EAP initiatives.</t>
  </si>
  <si>
    <t>25No.</t>
  </si>
  <si>
    <t>50No.</t>
  </si>
  <si>
    <t>Specify: Initiative identifier:
16</t>
  </si>
  <si>
    <t>Not required to be measured during RIIO-1 and as such no methodology or data exists to enable provision of a forecast for RIIO-2. NGN RIIO-2 EAP includes requirement to implement a tool to measure this. 
NGN RIIO-2 EAP includes a commitment to undertake ecosystem services monitoring at upto 50 of our sites (&gt;0.5ha) during RIIO-2.</t>
  </si>
  <si>
    <r>
      <rPr>
        <sz val="7"/>
        <color theme="1"/>
        <rFont val="Arial"/>
        <family val="2"/>
      </rPr>
      <t xml:space="preserve"> </t>
    </r>
    <r>
      <rPr>
        <sz val="11"/>
        <color theme="1"/>
        <rFont val="Arial"/>
        <family val="2"/>
      </rPr>
      <t>Defra Biodiversity Metric 2.0* of biodiversity value for each monitored site/habitat</t>
    </r>
  </si>
  <si>
    <t>Specify: Initiative identifier:
15, 16</t>
  </si>
  <si>
    <t xml:space="preserve">Not required to be measured during RIIO-1 and as such no methodology or data exists to enable provision of a forecast for RIIO-2. NGN RIIO-2 EAP includes requirement to implement a tool to measure this. </t>
  </si>
  <si>
    <t xml:space="preserve">Table 3: RIIO-GD2 environmental initiatives </t>
  </si>
  <si>
    <t>Initiative identifier</t>
  </si>
  <si>
    <t>Net benefit</t>
  </si>
  <si>
    <t>Dependencies</t>
  </si>
  <si>
    <t>Milestone metrics</t>
  </si>
  <si>
    <t>Costs £m (3 d.ps.)</t>
  </si>
  <si>
    <t>Description of initiative</t>
  </si>
  <si>
    <t>Link to CBA</t>
  </si>
  <si>
    <t>Is initiative dependent on another activity or project in the business plan?</t>
  </si>
  <si>
    <t>Expected value at start of RIIO-2</t>
  </si>
  <si>
    <t>Expected value at end of RIIO-2</t>
  </si>
  <si>
    <t>Mains replacement programme</t>
  </si>
  <si>
    <t xml:space="preserve">270,500 tCO2-e leakage saving over RIIO-2
CBA = Appendix A23.M and A23.N
Shrinkage and leakage forecasts in Environmental Action Plan, Appendix A8
</t>
  </si>
  <si>
    <t>Mains replacement programme across all pipe Tiers and material types</t>
  </si>
  <si>
    <t>Gas leakage (Gwh)</t>
  </si>
  <si>
    <t>As per BPDT 4.00</t>
  </si>
  <si>
    <t>System pressure management</t>
  </si>
  <si>
    <t>12,600 tCO2-e saving over RIIO-2
Pressure Management CBA = Appendix A23.I 
No CBA for gas conditioning due to low cost value</t>
  </si>
  <si>
    <t>Difficult to distinguish the individual carbon benefits delivered by system pressure management and gas conditioning so benefits considered together. Capex costs presented only.</t>
  </si>
  <si>
    <t>Gas conditioning</t>
  </si>
  <si>
    <t>Puchase 100% renewable electricity for offices, depots and gas infrastructure sites. Commence in 2021/22 for NGN controlled supplies (c.85%), and all supplies from 2023/24 onwards.</t>
  </si>
  <si>
    <t>7100 tCO2-e saving over RIIO-2
No CBA as initiative being introduced at no cost to the customer</t>
  </si>
  <si>
    <t>Carbon emissions from electricity use at NGN offices, depots and gas infrastructure sites (tCO2-e)</t>
  </si>
  <si>
    <t>RIIO-2 scope 2 electricity emissions are also forecast to include electricity use at third party premises for charging NGN EV vehicle fleet. This electricity consumption will be assumed to be UK electricity grid average carbon intensity as per DEFRA conversion factors.</t>
  </si>
  <si>
    <t>Purchase 100% renewable gas for metered use in offices, depots and gas infrastructure sites. Effective from 2024/25 onwards.</t>
  </si>
  <si>
    <t>530 tCO2-e saving over RIIO-2
No CBA as initiative being introduced at no cost to the customer</t>
  </si>
  <si>
    <t>Carbon emissions from metered gas use at NGN offices, depots and gas infrastructure sites (tCO2-e)</t>
  </si>
  <si>
    <t>Assumes 100% renewable gas supply tariff is widely commercially available from 2024/25 onwards.</t>
  </si>
  <si>
    <t>Install on-site renewable energy generation at all NGN offices and depots</t>
  </si>
  <si>
    <t>280 tCO2-e saving over RIIO-2
No CBA for renewable energy generation due to low cost value</t>
  </si>
  <si>
    <t>Kwp of renewable electricity generation installed on NGN premises</t>
  </si>
  <si>
    <t>Assumes 310kwp installed during RIIO-1</t>
  </si>
  <si>
    <t>Commercial vehicle replacement strategy during RIIO-2, including installation of EV charging infrastructure</t>
  </si>
  <si>
    <t>2500 tCO2-e saving over RIIO-2
Pressure Management CBA = Appendix A23.K</t>
  </si>
  <si>
    <t>Carbon emissions from operational business travel (Scope 1) and electricity used to charge commercial EV fleet (Scope2) (tCO2-e)</t>
  </si>
  <si>
    <t>Carbon savings estimated are tank to wheel for non-Evs and well to wheel for Evs as per carbon reporting requirements. CBA presents well to wheel carbon savings. EV charging infrastructure is £857k over RIIO-2 included in figures to right.</t>
  </si>
  <si>
    <t>Company car fleet replacement strategy during RIIO-2</t>
  </si>
  <si>
    <t>1800 tCO2-e saving over RIIO-2
No CBA as initiative being introduced at no cost to the customer</t>
  </si>
  <si>
    <t>Installation of EV charging infrastructure network (EAP Initiative 7)</t>
  </si>
  <si>
    <t>Carbon emissions from business mileage (Scope 1) and electricity used to charge  EV car fleet (Scope2) (tCO2-e)</t>
  </si>
  <si>
    <t>Carbon savings estimated are tank to wheel for non-EVs and well to wheel for EVs as per carbon reporting requirements</t>
  </si>
  <si>
    <t>Plastic gas pipe waste reduction</t>
  </si>
  <si>
    <t>450 tCO2-e over RIIO-2
No CBA as initiative being introduced at no cost to the customer</t>
  </si>
  <si>
    <t>Carbon emissions from production and transport of plastic gas pipe and fittings purchased by NGN (tCO2e)</t>
  </si>
  <si>
    <t>Assumes PE pipe distribution and transport carbon emissions calculation remains as per RIIO-1</t>
  </si>
  <si>
    <t>Contractor vehicle carbon emissions reduction targets</t>
  </si>
  <si>
    <t>2800 tCO2-e over RIIO-2
No CBA as initiative being introduced at no cost to the customer</t>
  </si>
  <si>
    <t>Carbon emissions from contractor operational road vehicles and helicopter surveys (tCO2-e)</t>
  </si>
  <si>
    <t>Carbon savings estimated are tank to wheel as per carbon reporting requirements</t>
  </si>
  <si>
    <t>Establish embodied carbon assessment methodology/tool, baseline and RIIO-2 reduction target</t>
  </si>
  <si>
    <t>No CBA as initiative being introduced at no cost to the customer</t>
  </si>
  <si>
    <t>Implement a tool to measure this, create a baseline and then establish an appropriate reduction target for 2025/26.</t>
  </si>
  <si>
    <t>Cannot establish milestones as yet</t>
  </si>
  <si>
    <t>Reduction excavation spoil disposal to landfill to &lt;0.1% by 2025/26</t>
  </si>
  <si>
    <t>930,000 t of excavation spoil diverted from landfill over RIIO-2.
Additional 1,900 t of excavation spoil diverted from landfill during RIIO-2 compared to RIIO-1 performance saving 12 tCO2-e.
No CBA as initiative being introduced at no cost to the customer</t>
  </si>
  <si>
    <t>% excavation spoil disposed to landfill</t>
  </si>
  <si>
    <t>Excavation spoil classified as hazardous waste excluded from calculation.</t>
  </si>
  <si>
    <t>Reduce office and depot waste by 20% from 2017/18 to 2025/26</t>
  </si>
  <si>
    <t>860t of office and depot waste avoided during RIIO-2 compared to RIIO-1 performance, saving 18 tCO2-e.
No CBA as initiative being introduced at no cost to the customer</t>
  </si>
  <si>
    <t>Office and depot waste (t)</t>
  </si>
  <si>
    <t>Includes general office and depot waste, waste plastic gas pipe and waste paper.</t>
  </si>
  <si>
    <t>Dispose of 0% office and depot waste to landfill by 2025/26</t>
  </si>
  <si>
    <t>185t of office and depot waste diverted from landfill during RIIO-2 compared to RIIO-1 performance, saving 14 tCO2-e.
No CBA as initiative being introduced at no cost to the customer</t>
  </si>
  <si>
    <t>Office and depot waste disposed to landfill (t)</t>
  </si>
  <si>
    <t>Reduce paper usage by 50% from 2017/18 to 2025/26</t>
  </si>
  <si>
    <t>Paper usage reduced by 30t over RIIO-2 saving 29tCO2-e.
No CBA as initiative being introduced at no cost to the customer</t>
  </si>
  <si>
    <t>Paper usage (t)</t>
  </si>
  <si>
    <t>Paper purchased for use in offices and depots</t>
  </si>
  <si>
    <t>Install homes for nature on 250 of our asset sites by 2025/26</t>
  </si>
  <si>
    <t>Enhancements at 250 NGN asset sites to promote biodiversity by 2025/26
No CBA as initiative being introduced at no cost to the customer</t>
  </si>
  <si>
    <t>Number of 'homes for nature' enhancements delivered</t>
  </si>
  <si>
    <t>Measure net changes in ecosystem services from our asset sites (upto 50 sites)</t>
  </si>
  <si>
    <t>Number of sites where ecosystem services being monitored</t>
  </si>
  <si>
    <t>Sites &gt;0.5 hectares</t>
  </si>
  <si>
    <t>NGN business air travel carbon emissions reduction targets</t>
  </si>
  <si>
    <t>30 tCO2-e over RIIO-2
No CBA as initiative being introduced at no cost to the customer</t>
  </si>
  <si>
    <t>Carbon emissions from NGN business air travel (tCO2-e)</t>
  </si>
  <si>
    <t>Carbon savings estimated are per passenger kilometre as per carbon reporting requirements</t>
  </si>
  <si>
    <t>5.17 NARM Reconciliation</t>
  </si>
  <si>
    <t>NARM Replacement</t>
  </si>
  <si>
    <t>Reference to Supporting Narrative</t>
  </si>
  <si>
    <t>Asset Type</t>
  </si>
  <si>
    <t>LTS Pipelines (Piggable)</t>
  </si>
  <si>
    <t>LTS Pipelines (Non Piggable)</t>
  </si>
  <si>
    <t>Iron Mains</t>
  </si>
  <si>
    <t>PE Mains</t>
  </si>
  <si>
    <t>Steel Mains</t>
  </si>
  <si>
    <t>#</t>
  </si>
  <si>
    <t>Offtake Filters</t>
  </si>
  <si>
    <t>PRS Filters</t>
  </si>
  <si>
    <t>Offtake Slamshut/Regulators</t>
  </si>
  <si>
    <t>PRS Slamshut/Regulators</t>
  </si>
  <si>
    <t>Offtake Pre-heating</t>
  </si>
  <si>
    <t>PRS Pre-heating</t>
  </si>
  <si>
    <t>Odorisation &amp; Metering</t>
  </si>
  <si>
    <t>NARM Refurbishment</t>
  </si>
  <si>
    <t>No workload included as costs are for CP and OLI1 conversion therefore km unit is not relevant.</t>
  </si>
  <si>
    <t>No workload included as costs are for CP therefore km unit is not relevant.</t>
  </si>
  <si>
    <t>5.18 Bespoke &amp; Uncertain Activities</t>
  </si>
  <si>
    <t>Bespoke Activities</t>
  </si>
  <si>
    <t>INCREMENTAL COSTS</t>
  </si>
  <si>
    <t>INCREMENTAL WORKLOAD/VOLUMES</t>
  </si>
  <si>
    <t>INCREMENTAL VALUE (CVP)</t>
  </si>
  <si>
    <t>NPV</t>
  </si>
  <si>
    <t>Baseline Category (Opex/Capex/Repex)</t>
  </si>
  <si>
    <t>Location of Baseline Activity in BPDT</t>
  </si>
  <si>
    <t>Reference to Supporting Narrative(s)</t>
  </si>
  <si>
    <t>Bespoke Output Costs Excluded from BPDT Baseline Figures? (Y/N)</t>
  </si>
  <si>
    <t>Bespoke Output Workload Excluded from BPDT Baseline Figures? (Y/N)</t>
  </si>
  <si>
    <t>GDN Notes</t>
  </si>
  <si>
    <t>Description of Bespoke Activity</t>
  </si>
  <si>
    <t>Customer Satisfaction Survey (non-regulated)</t>
  </si>
  <si>
    <t>All</t>
  </si>
  <si>
    <t>All BPDT</t>
  </si>
  <si>
    <t>N</t>
  </si>
  <si>
    <t>Key account service standards for shippers</t>
  </si>
  <si>
    <t>Specific costs are not separately identifiable.</t>
  </si>
  <si>
    <t>2.01 of the BPDT – Audit, Finance and Regulation</t>
  </si>
  <si>
    <t>Key account service standards for Suppliers</t>
  </si>
  <si>
    <t>2.01 – Audit, Finance and Regulation</t>
  </si>
  <si>
    <t>Key account service standards for Gas Transporters</t>
  </si>
  <si>
    <t>Opex / Capex</t>
  </si>
  <si>
    <t xml:space="preserve">2.01 - Maintenance for Service Alts and 3.04 - Connections. </t>
  </si>
  <si>
    <t xml:space="preserve">Disconnection and diversion quotations </t>
  </si>
  <si>
    <t xml:space="preserve">Initial capacity studies for entry </t>
  </si>
  <si>
    <t>Initial capacity studies for large load connections</t>
  </si>
  <si>
    <t xml:space="preserve">Job completion lead time including re-instatement </t>
  </si>
  <si>
    <t>% of repairs completed within 12 hours</t>
  </si>
  <si>
    <t>Outstanding repairs completed in 7 days</t>
  </si>
  <si>
    <t>Outstanding Repairs completed in 28 days</t>
  </si>
  <si>
    <t xml:space="preserve">Supply restoration to appliance following ECV connection for an planned interruption.   </t>
  </si>
  <si>
    <t>Opex / Repex</t>
  </si>
  <si>
    <t xml:space="preserve">Supply restoration to ECV and appliance following unplanned interruption.   </t>
  </si>
  <si>
    <t>Major Incident Standards</t>
  </si>
  <si>
    <t>2.01 - District incidents</t>
  </si>
  <si>
    <t>NA</t>
  </si>
  <si>
    <t>Not separately identifiable</t>
  </si>
  <si>
    <t>Business Plan -                                                                                                                                                                                                                                                                                                                                                                                                                               Part 4.2.3 - Help for those who need it most                                                                                                                                                                                                                                                Appendices -                                                                                                                                                                                                                                                                                                                                                                                                          A4 - NGN RIIO-2 Stakeholder Engagement Insights                                                                                                                                                                                                                                                                                                                  A6 - NGN RIIO-2 Outputs                                                                                                                                                                                                                                                                                                                                                                                      A7 - NGN RIIO-2 Vulnerability Strategy</t>
  </si>
  <si>
    <t>Priority Services Register (PSR) promotion/registrations</t>
  </si>
  <si>
    <t>Registration</t>
  </si>
  <si>
    <t>Not separately identifiable - anywhere we interact with the customer</t>
  </si>
  <si>
    <t>Carbon monoxide (CO) awareness sessions and provision of free CO alarms to all new connections customers</t>
  </si>
  <si>
    <t xml:space="preserve">Session </t>
  </si>
  <si>
    <t>CEO</t>
  </si>
  <si>
    <t>Energy Efficiency Advice</t>
  </si>
  <si>
    <t>Not separately identifiable - anywhere we interact with the customer. £34,000pa
to deliver 1000 visits/ referrals per year</t>
  </si>
  <si>
    <t xml:space="preserve">Hardship Fund  </t>
  </si>
  <si>
    <t>GDN Funded - £150,000 per annum</t>
  </si>
  <si>
    <t xml:space="preserve">GDN Funded </t>
  </si>
  <si>
    <t>Y</t>
  </si>
  <si>
    <t>Community Partnering Fund</t>
  </si>
  <si>
    <t>GDN Funded - £50,000 per annum</t>
  </si>
  <si>
    <t>Social and Customer Competency Framework</t>
  </si>
  <si>
    <t xml:space="preserve">Opex </t>
  </si>
  <si>
    <t xml:space="preserve"> CEO </t>
  </si>
  <si>
    <t>Business Plan - Part 4.2.3 - Help for those who need it most                                                                                                                                                                                                                                                Appendices -                                                                                                                                                                                                                                                                                                                                                                                                          A4 - NGN RIIO-2 Stakeholder Engagement Insights                                                                                                                                                                                                                                                                                                                  A6 - NGN RIIO-2 Outputs                                                                                                                                                                                                                                                                                                                                                                                      A7 - NGN RIIO-2 Vulnerability Strategy</t>
  </si>
  <si>
    <t>Dedicated 24/7 PSR/Extra Support Hotline</t>
  </si>
  <si>
    <t>£70k over RIIO2</t>
  </si>
  <si>
    <t>100 Community Partners trained each year to deliver support with Carbon Monoxide safety; Priority Services Registrations/Awareness; Energy Efficiency Advice/Referrals</t>
  </si>
  <si>
    <t>Not separately identifiable - anywhere we interact with the customer. £8650pa</t>
  </si>
  <si>
    <t>Business Plan -                                                                                                                                                                                                                                                                                                                                                                                                         Part 4.4.2 -Supporting the move to a net zero future                                                                                                                                                                                                                                                                                                                                                                                                                                                                                                                                                                                                                            Appendices -                                                                                                                                                                                                                                                                                                                                                                                                          A4 - NGN RIIO-2 Stakeholder Engagement Insights                                                                                                                                                                                                                                                                                                                  A6 - NGN RIIO-2 Outputs                                                                                                                                                                                                                                                                                                                                                                                      A8 - NGN RIIO-2 Environmental Action Plan</t>
  </si>
  <si>
    <t>Biomethane Process Improvements</t>
  </si>
  <si>
    <t>Not identifiable</t>
  </si>
  <si>
    <t>AEP - Initiatives to facilitate a low carbon future</t>
  </si>
  <si>
    <t xml:space="preserve">BPDT 3.05 - Other Capex </t>
  </si>
  <si>
    <t>AEP - Initiatives to improve Air Quality</t>
  </si>
  <si>
    <t>BPDT 3.06 - Transport &amp; Plant - £15m over RIIO2                                                                                                                                                                                                                                                                                                                                                                                                                                                                                                              BPDT 3.05 - EV Charging - £0.5m over RIIO2</t>
  </si>
  <si>
    <t xml:space="preserve">3.05 &amp; 3.06 </t>
  </si>
  <si>
    <t>Business Plan -                                                                                                                                                                                                                                                                                                                                                                                                         Part 4.4.1 - Protecting the environment                                                                                                                                                                                                                                                                                                                                                                                                                                                                                                                                                                                                            Appendices -                                                                                                                                                                                                                                                                                                                                                                                                          A4 - NGN RIIO-2 Stakeholder Engagement Insights                                                                                                                                                                                                                                                                                                                  A6 - NGN RIIO-2 Outputs                                                                                                                                                                                                                                                                                                                                                                                      A8 - NGN RIIO-2 Environmental Action Plan</t>
  </si>
  <si>
    <t>AEP - Initiatives to use resources responsibly</t>
  </si>
  <si>
    <t>Not identifiable - impacts all operations</t>
  </si>
  <si>
    <t>AEP - Initiatives to Enhance Life on Land</t>
  </si>
  <si>
    <t>Uncertain Activities</t>
  </si>
  <si>
    <t>UNCERTAIN WORKLOAD/VOLUMES</t>
  </si>
  <si>
    <t>Uncertain Costs Excluded from BPDT Baseline Figures? (Y/N)</t>
  </si>
  <si>
    <t>Uncertain Workload/Volumes Excluded from BPDT Baseline Figures? (Y/N)</t>
  </si>
  <si>
    <t>Description of Uncertainty</t>
  </si>
  <si>
    <t>Street Works: Permit Schemes</t>
  </si>
  <si>
    <t>We have not included any uncertain costs in our baseline - the streetworks table simply shows what we think they may be</t>
  </si>
  <si>
    <t>Street Works: Lane Rental</t>
  </si>
  <si>
    <t>Fuel Poor</t>
  </si>
  <si>
    <t>Street works excavation disposal</t>
  </si>
  <si>
    <t>Large load connections</t>
  </si>
  <si>
    <t>Section 6.4.4 p150</t>
  </si>
  <si>
    <t xml:space="preserve">High speed rail </t>
  </si>
  <si>
    <t>Trans Pennine Rail Electrification</t>
  </si>
  <si>
    <t>LTS pipelines</t>
  </si>
  <si>
    <t>Section 6.4.1 p146</t>
  </si>
  <si>
    <t>Gasholders</t>
  </si>
  <si>
    <t>Site status</t>
  </si>
  <si>
    <t>Column-Guided A/G</t>
  </si>
  <si>
    <t>Operational</t>
  </si>
  <si>
    <t>Contaminated</t>
  </si>
  <si>
    <t>Column-Guided B/G</t>
  </si>
  <si>
    <t>Decommissioned</t>
  </si>
  <si>
    <t>Remediated</t>
  </si>
  <si>
    <t>Spiral-Guided A/G</t>
  </si>
  <si>
    <t>Partially Demolished</t>
  </si>
  <si>
    <t>Uncontaminated</t>
  </si>
  <si>
    <t>Spiral-Guided B/G</t>
  </si>
  <si>
    <t>Fully Demolished</t>
  </si>
  <si>
    <t>Wiggins</t>
  </si>
  <si>
    <t>Mothballed</t>
  </si>
  <si>
    <t>MAN</t>
  </si>
  <si>
    <t>Reinforcement Category</t>
  </si>
  <si>
    <t>Reinforcement Pressure</t>
  </si>
  <si>
    <t>General</t>
  </si>
  <si>
    <t>IP</t>
  </si>
  <si>
    <t>Specific</t>
  </si>
  <si>
    <t>MP</t>
  </si>
  <si>
    <t>General &amp; Specific</t>
  </si>
  <si>
    <t>LP</t>
  </si>
  <si>
    <t>LTS Justification</t>
  </si>
  <si>
    <t>Entry Pressure</t>
  </si>
  <si>
    <t>Entry Connection Type</t>
  </si>
  <si>
    <t>&lt;7 bar</t>
  </si>
  <si>
    <t>Distributed Gas Connection</t>
  </si>
  <si>
    <t>Non-Load Related</t>
  </si>
  <si>
    <t>≥7 bar</t>
  </si>
  <si>
    <t>Refurbishment</t>
  </si>
  <si>
    <t>Maintenance/Repair</t>
  </si>
  <si>
    <t>Addition</t>
  </si>
  <si>
    <t>Removal</t>
  </si>
  <si>
    <t>Consequential Intervention</t>
  </si>
  <si>
    <t>T&amp;A Trainee Type</t>
  </si>
  <si>
    <t>Competent</t>
  </si>
  <si>
    <t>Semi-Competent</t>
  </si>
  <si>
    <t>Graduate Trainee</t>
  </si>
  <si>
    <t>Trainee</t>
  </si>
  <si>
    <t>Upskiller</t>
  </si>
  <si>
    <t>Property Management Costs</t>
  </si>
  <si>
    <t>Property Category</t>
  </si>
  <si>
    <t>Lease Type</t>
  </si>
  <si>
    <t>Category 2</t>
  </si>
  <si>
    <t>Lease-Rent from related party</t>
  </si>
  <si>
    <t>Training Centre</t>
  </si>
  <si>
    <t>Other Capex List 1</t>
  </si>
  <si>
    <t>Other Capex List 2</t>
  </si>
  <si>
    <t>Physical security Capex</t>
  </si>
  <si>
    <t>To be constructed</t>
  </si>
  <si>
    <t>Under construction</t>
  </si>
  <si>
    <t>Under review</t>
  </si>
  <si>
    <t>Complete</t>
  </si>
  <si>
    <t>Closed</t>
  </si>
  <si>
    <t>Stopped/terminated</t>
  </si>
  <si>
    <t xml:space="preserve"> Costs for each output are not separately identifiable. C £69m (gross for connections) baseline costs included for connections and this output will be delivered as a part of the end to end connections process with no incremental increase in epxenditure</t>
  </si>
  <si>
    <t xml:space="preserve">Baseline Totex Cost of c£15m pa </t>
  </si>
  <si>
    <t xml:space="preserve">Baseline Totex to deliver this outputs is included n line 2.01 of BPDT and is c£15m pa for unplanned interruptions (similar to E&amp;R) and BPDT 4.00 - repex expenditure c£540m for planned interruptions. </t>
  </si>
  <si>
    <t>Baseline totex to deliver this output is c£2m over RIIO-2.  This baseline based on RIIO-1 observed costs.</t>
  </si>
  <si>
    <t>Baseline costs are not separately identifiable as this applies anywhere that  we interact with the customer</t>
  </si>
  <si>
    <t>Across all areas of customer interations therefore specific  not seperatley identifiable</t>
  </si>
  <si>
    <t>BPDT 2.20 - Land remediation £3.4m over RIIO2 
BPBT 2.19 - Gasholder Demolition - £16m. Note the full £16m is for the entire gas holder demolition programme.</t>
  </si>
  <si>
    <t>2.20 and 2.19</t>
  </si>
  <si>
    <t>Business Plan -                                                                                                                                                                                                                                                                                                                                                                                                         Part 4.4.1 - Protecting the environment                                                                                                                                                                                                                                                                                                                                                                                                                                                                                                                                                                                                            Appendices -                                                                                                                                                                                                                                                                                                                                                                                                          A4 - NGN RIIO-2 Stakeholder Engagement Insights                                                                                                                                                                                                                                                                                                                  A6 - NGN RIIO-2 Outputs                                                                                                                                                                                                                                                                                                                                                                                      A8 - NGN RIIO-2 Environmental Action Plan
A13 - NGN RIIO-2 Customer Value Proposition</t>
  </si>
  <si>
    <t>Business Plan - Part 4.2.3 - Help for those who need it most                                                                                                                                                                                                                                                Appendices -                                                                                                                                                                                                                                                                                                                                                                                                          A4 - NGN RIIO-2 Stakeholder Engagement Insights                                                                                                                                                                                                                                                                                                                  A6 - NGN RIIO-2 Outputs                                                                                                                                                                                                                                                                                                                                                                                      A7 - NGN RIIO-2 Vulnerability Strategy
A13 - NGN RIIO-2 Customer Value Proposition</t>
  </si>
  <si>
    <t>Part 4.2.1 - A truly great customer experience for everyone                                                                                                                                                                                                                                                                                                                                                                                                                                                                                                                                                                                                                                                                                                                  A4 - NGN RIIO-2 Stakeholder Engagement Insights                                                                                                                                                                                                                                                                                                                  A6 - NGN RIIO-2 Outputs</t>
  </si>
  <si>
    <t>Part 4.2.1 - A truly great customer experience for everyone                                                                                                                                                                                                                                                                                                                                                                                                                                                                                                                                                                                                                                                                                                                   A4 - NGN RIIO-2 Stakeholder Engagement Insights                                                                                                                                                                                                                                                                                                                  A6 - NGN RIIO-2 Outputs</t>
  </si>
  <si>
    <t xml:space="preserve">Part 4.2.2 - Gas there when you need it                                                                                                                                                                                                                                                                                                                                Part 6 - Delivering value for money                                                                                                                                                                                                                                                                                                                                                                                                                                                                                                                                                                                                                                                                                                                                                     A4 - NGN RIIO-2 Stakeholder Engagement Insights                                                                                                                                                                                                                                                                                                                  A6 - NGN RIIO-2 Outputs                                                                                                                                                                                                                                                                                                                                                                         </t>
  </si>
  <si>
    <t xml:space="preserve">Part 4.2.2 - Gas there when you need it                                                                                                                                                                                                                                                                                                                                Part 6 - Delivering value for money                                                                                                                                                                                                                                                                                                                                                                                                                                                                                                                                                                                                                                                                                                                                                  A4 - NGN RIIO-2 Stakeholder Engagement Insights                                                                                                                                                                                                                                                                                                                  A6 - NGN RIIO-2 Outputs                                                                                                                                                                                                                                                                                                                                                                       </t>
  </si>
  <si>
    <t xml:space="preserve">Part 4.2.2 - Gas there when you need it                                                                                                                                                                                                                                                                                                                                Part 6 - Delivering value for money                                                                                                                                                                                                                                                                                                                                                                                                                                                                                                                                                                                                                                                                                                                                             A4 - NGN RIIO-2 Stakeholder Engagement Insights                                                                                                                                                                                                                                                                                                                  A6 - NGN RIIO-2 Outputs                                                                                                                                                                                                                                                                                                                                                                             </t>
  </si>
  <si>
    <t xml:space="preserve">Part 4.2.2 - Gas there when you need it                                                                                                                                                                                                                                                                                                                                Part 6 - Delivering value for money                                                                                                                                                                                                                                                                                                                                                                                                                                                                                                                                                                                                                                                                                                                                                    A4 - NGN RIIO-2 Stakeholder Engagement Insights                                                                                                                                                                                                                                                                                                                  A6 - NGN RIIO-2 Outputs                                                                                                                                                                                                                                                                                                                                                                         </t>
  </si>
  <si>
    <t xml:space="preserve">Part 4.2.2 - Gas there when you need it                                                                                                                                                                                                                                                                                                                                Part 6 - Delivering value for money                                                                                                                                                                                                                                                                                                                                                                                                                                                                                                                                                                                                                                                                                                                                                     A4 - NGN RIIO-2 Stakeholder Engagement Insights                                                                                                                                                                                                                                                                                                                  A6 - NGN RIIO-2 Outputs                                                                                                                                                                                                                                                                                                                                                                           </t>
  </si>
  <si>
    <t xml:space="preserve">Part 4.2.2 - Gas there when you need it                                                                                                                                                                                                                            Part 6 - Delivering value for money                                                                                                                                                                                                                                                                                                                                                                                                                                                                                                                                                                                                                                                                                                                                                    A4 - NGN RIIO-2 Stakeholder Engagement Insights                                                                                                                                                                                                                                                                                                                A6 - NGN RIIO-2 Outputs           
A13 - NGN RIIO-2 Customer Value Proposition                                                                                                                                                                                                                                                                                                                                                           </t>
  </si>
  <si>
    <t xml:space="preserve">Part 4.2.2 - Gas there when you need it                                                                                                                                                                                                                                                                                                                                Part 6 - Delivering value for money                                                                                                                                                                                                                                                                                                                                                                                                                                                                                                                                                                                                                                                                                                                                                         A4 - NGN RIIO-2 Stakeholder Engagement Insights                                                                                                                                                                                                                                                                                                                  A6 - NGN RIIO-2 Outputs                                                                                                                                                                                                                                                                                                                                                                      </t>
  </si>
  <si>
    <t>Part 4.2.2 - Gas there when you need it                                                                                                                                                                                                                                      A4 - NGN RIIO-2 Stakeholder Engagement Insights                                                                                                                                                                                                                                                                                                                  A6 - NGN RIIO-2 Outputs                                                                                                                                                                                                                                                                                                                                                                                      A7 - NGN RIIO-2 Vulnerability Strategy</t>
  </si>
  <si>
    <t>Part 4.2.2 - Gas there when you need it                                                                                                                                                                                                                                                                                                                                Part 6 - Delivering value for money                                                                                                                                                                                                                                                                                                                                                A4 - NGN RIIO-2 Stakeholder Engagement Insights        
A13 - NGN RIIO-2 Customer Value Proposition                                                                                                                                                                                                                                                                                                           A6 - NGN RIIO-2 Outputs</t>
  </si>
  <si>
    <t>Part 4.2.3 - Help for those who need it most                                                                                                                                                                                                                                                A4 - NGN RIIO-2 Stakeholder Engagement Insights                                                                                                                                                                                                                                                                                                                  A6 - NGN RIIO-2 Outputs                                                                                                                                                                                                                                                                                                                                                                                      A7 - NGN RIIO-2 Vulnerability Strategy</t>
  </si>
  <si>
    <t>Part 4.2.3 - Help for those who need it most                                                                                                                                                                                                                                                A4 - NGN RIIO-2 Stakeholder Engagement Insights                                                                                                                                                                                                                                                                                                                  A6 - NGN RIIO-2 Outputs        
A13 - NGN RIIO-2 Customer Value Proposition                                                                                                                                                                                                                                                                                                                                                                                A7 - NGN RIIO-2 Vulnerability Strategy</t>
  </si>
  <si>
    <t xml:space="preserve">Business Plan -                                                                                                                                                                                                                                                                                                                                                                                                                               Part 4.2.3 - Help for those who need it most                                                                                                                                                                                                                                                Appendices -                                                                                                                                                                                                                                                                                                                                                                                                          A4 - NGN RIIO-2 Stakeholder Engagement Insights                                                                                                                                                                                                                                                                                                                  A6 - NGN RIIO-2 Outputs  
A13 - NGN RIIO-2 Customer Value Proposition                                                                                                                                                                                                                                                                                                                                                                                    A7 - NGN RIIO-2 Vulnerability Strategy
</t>
  </si>
  <si>
    <t>There is no specific field in the BPDT to report Repex sub-deducts in RIIO-1.  We have included Repex costs in RIIO-1 for UNC sub-deducts in row 345 of Table 4.07 (previously Non-Domestic Relay Other (Non-metallic) where we have no activity).</t>
  </si>
  <si>
    <t>NRSWA: Failure to Reinstate (S.70(6)) - OPEX</t>
  </si>
  <si>
    <t>NRSWA: Failure to Reinstate (S.70(6)) - REPEX</t>
  </si>
  <si>
    <t>NRSWA: Failure to Reinstate (S.70(6)) - CAPEX</t>
  </si>
  <si>
    <t>Traffic Management</t>
  </si>
  <si>
    <t>Productivity</t>
  </si>
  <si>
    <t>BSR21/15 Pannal Security Design</t>
  </si>
  <si>
    <t>31 Mortimer Street, Bradford, BD8 9RL</t>
  </si>
  <si>
    <t>Cumberland House, Greenside Lane, Bradford, BD8 9TF</t>
  </si>
  <si>
    <t>Mylord Crescent, Camperdown Industrial Estate, Burradon, Newcastle, NE12 5UJ</t>
  </si>
  <si>
    <t>Cannon Street, Cannon Park, Middlesbrough, TS1 5JH</t>
  </si>
  <si>
    <t>Unit 1 F, G &amp; H, Port Road Business Park, Port Road, Carlisle, CA2 7AF</t>
  </si>
  <si>
    <t>Akeler House, 1, Emperor Way, Doxford International Business Park, Doxford, Sunderland, SR3 3XR</t>
  </si>
  <si>
    <t>Unit K1, Lowfields Business Park, Halifax, HX5 9DA</t>
  </si>
  <si>
    <t xml:space="preserve">Unit 24, Felnex Close, Pontefract Lane, Leeds, LS9 0SR </t>
  </si>
  <si>
    <t>Clough Road, Hull, HU5 1SB</t>
  </si>
  <si>
    <t>Nr Stampley Moss Farm, Blaydon on Tyne, Tyne &amp; Wear, NE39 1AY</t>
  </si>
  <si>
    <t>7 Camberwell Way, Moorside Park, Sunderland, SR3 3XN</t>
  </si>
  <si>
    <t>Bondgate Industrial Estate, Pontefract, West Yorkshire, WF8 2LJ</t>
  </si>
  <si>
    <t>Unit 20 Olympian Trading Estate, Cayton Low Road, Scarborough, North Yorkshire, YO11 3DF</t>
  </si>
  <si>
    <t>Unit 9, Temple Point, Finch, Leeds, LS15 9JQ</t>
  </si>
  <si>
    <t xml:space="preserve">1100 Century Way, Thorpe Park Business Park, Colton, Leeds, LS15 8TU </t>
  </si>
  <si>
    <t>Unit 9, The Forum, Rose Avenue, Poppleton, York, YO26 6RU</t>
  </si>
  <si>
    <t>Rainhill Road, Stephenson Ind Estate, Washington, NE37 3HP</t>
  </si>
  <si>
    <t>Direct Investment Solutions</t>
  </si>
  <si>
    <t>Hartley Property Group</t>
  </si>
  <si>
    <t>PJW Limited</t>
  </si>
  <si>
    <t>NGN</t>
  </si>
  <si>
    <t>Zurich Assurance Ltd</t>
  </si>
  <si>
    <t>Gentoo</t>
  </si>
  <si>
    <t>VCEP LLP</t>
  </si>
  <si>
    <t>Birch Park Investments Limited</t>
  </si>
  <si>
    <t>National Grid</t>
  </si>
  <si>
    <t>Sunderland City Council</t>
  </si>
  <si>
    <t>Eltom Limited</t>
  </si>
  <si>
    <t>BDS Properties</t>
  </si>
  <si>
    <t>Bereta Properties LLP</t>
  </si>
  <si>
    <t>Brightsea S.A.R.L</t>
  </si>
  <si>
    <t>Heyrod Constructions Limited</t>
  </si>
  <si>
    <t xml:space="preserve">Future </t>
  </si>
  <si>
    <t>Safety &amp; Emergency</t>
  </si>
  <si>
    <t xml:space="preserve">Reliability and Maintenance </t>
  </si>
  <si>
    <t>Enviroment and low carbon</t>
  </si>
  <si>
    <t>Distribution Mains replacement</t>
  </si>
  <si>
    <t>Customer vulnerability</t>
  </si>
  <si>
    <t>Creating solutions to enable us to keep gas flowing</t>
  </si>
  <si>
    <t>Enduring solutions for customers in vulnerable situations beyond our day to day activities</t>
  </si>
  <si>
    <t>Whole systems and smart grids to reduce poverty</t>
  </si>
  <si>
    <t>Energy systems transition</t>
  </si>
  <si>
    <t>Creating evidenced based solutions to support the transition towards a hydrogen future</t>
  </si>
  <si>
    <t>Creating data driven networks to manage risk, enable transition and modernise delivery</t>
  </si>
  <si>
    <t>Enabling decarbonisation through intelligent network solutions</t>
  </si>
  <si>
    <t>Learning skills council</t>
  </si>
  <si>
    <t>EUIAS - Level 3</t>
  </si>
  <si>
    <t>Specify: Programme Name</t>
  </si>
  <si>
    <t>EUIAS - Level 2</t>
  </si>
  <si>
    <t>NCO Level 1 gas</t>
  </si>
  <si>
    <t>Level 1</t>
  </si>
  <si>
    <t>Apprentice Programme Graduate)</t>
  </si>
  <si>
    <t xml:space="preserve"> - Other Direct Costs</t>
  </si>
  <si>
    <t xml:space="preserve"> - Connections</t>
  </si>
  <si>
    <t xml:space="preserve"> - Other Capex</t>
  </si>
  <si>
    <t xml:space="preserve"> - Fuel 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</si>
</sst>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quot;£&quot;* #,##0.00_-;\-&quot;£&quot;* #,##0.00_-;_-&quot;£&quot;* &quot;-&quot;??_-;_-@_-"/>
    <numFmt numFmtId="43" formatCode="_-* #,##0.00_-;\-* #,##0.00_-;_-* &quot;-&quot;??_-;_-@_-"/>
    <numFmt numFmtId="164" formatCode="_(* #,##0.00_);_(* \(#,##0.00\);_(* &quot;-&quot;??_);_(@_)"/>
    <numFmt numFmtId="165" formatCode="0.0"/>
    <numFmt numFmtId="166" formatCode="#,##0.0;[Red]\(#,##0.0\)"/>
    <numFmt numFmtId="167" formatCode="0.0000"/>
    <numFmt numFmtId="168" formatCode="_-* #,##0_-;\-* #,##0_-;_-* &quot; &quot;_-;_-@_-"/>
    <numFmt numFmtId="169" formatCode="#,##0.000;[Red]\-#,##0.000;\-"/>
    <numFmt numFmtId="170" formatCode="#,##0.0;[Red]\-#,##0.0;\-"/>
    <numFmt numFmtId="171" formatCode="#,##0;[Red]\-#,##0;\-"/>
    <numFmt numFmtId="172" formatCode="#,##0.00;[Red]\-#,##0.00;\-"/>
    <numFmt numFmtId="173" formatCode="0_ ;[Red]\-0\ "/>
    <numFmt numFmtId="174" formatCode="[$$-409]#,##0.00"/>
    <numFmt numFmtId="175" formatCode="[$-809]d\ mmmm\ yyyy;@"/>
    <numFmt numFmtId="176" formatCode="0.000"/>
    <numFmt numFmtId="177" formatCode="0.0%;\-0.0%;\-"/>
    <numFmt numFmtId="178" formatCode="0.0%"/>
    <numFmt numFmtId="179" formatCode="0.00%;\-0.00%;\-"/>
    <numFmt numFmtId="180" formatCode="#,##0.000_);\(#,##0.000\);\-_)"/>
    <numFmt numFmtId="181" formatCode="#,##0.0_);\(#,##0.0\);\-_)"/>
    <numFmt numFmtId="182" formatCode="#,##0.00%_);\(#,##0.00%\);\-_)"/>
    <numFmt numFmtId="183" formatCode="#,##0.000_);\(#,##0.000\);\-"/>
    <numFmt numFmtId="184" formatCode="_(* #,##0.0_);_(* \(#,##0.0\);_(* &quot;-&quot;?_);_(@_)"/>
    <numFmt numFmtId="185" formatCode="#,##0.0000_);\(#,##0.0000\);\-_)"/>
    <numFmt numFmtId="186" formatCode="#,##0.00_);\(#,##0.00\);\-_)"/>
    <numFmt numFmtId="187" formatCode="0.000000000"/>
    <numFmt numFmtId="188" formatCode="#,##0.0"/>
    <numFmt numFmtId="189" formatCode="_(* #,##0.0_);_(* \(#,##0.0\);_(* &quot;-&quot;??_);_(@_)"/>
    <numFmt numFmtId="190" formatCode="#,##0_);[Red]\(#,##0\);\-"/>
    <numFmt numFmtId="191" formatCode="dd/mm/yyyy;@"/>
    <numFmt numFmtId="192" formatCode="0.000000"/>
    <numFmt numFmtId="193" formatCode="#,##0.000_ ;[Red]\-#,##0.000\ "/>
    <numFmt numFmtId="194" formatCode="#,##0.00000000000000_ ;[Red]\-#,##0.00000000000000\ "/>
    <numFmt numFmtId="195" formatCode="[$-F800]dddd\,\ mmmm\ dd\,\ yyyy"/>
    <numFmt numFmtId="196" formatCode="#,##0.0000;[Red]\-#,##0.0000;\-"/>
    <numFmt numFmtId="197" formatCode="#,##0.00000;[Red]\-#,##0.00000;\-"/>
  </numFmts>
  <fonts count="109">
    <font>
      <sz val="10"/>
      <color theme="1"/>
      <name val="Verdana"/>
      <family val="2"/>
    </font>
    <font>
      <sz val="11"/>
      <color theme="1"/>
      <name val="Calibri"/>
      <family val="2"/>
      <scheme val="minor"/>
    </font>
    <font>
      <sz val="11"/>
      <color theme="1"/>
      <name val="Calibri"/>
      <family val="2"/>
      <scheme val="minor"/>
    </font>
    <font>
      <sz val="10"/>
      <color theme="1"/>
      <name val="Verdana"/>
      <family val="2"/>
    </font>
    <font>
      <sz val="11"/>
      <name val="CG Omega"/>
    </font>
    <font>
      <b/>
      <sz val="20"/>
      <name val="CG Omega"/>
      <family val="2"/>
    </font>
    <font>
      <i/>
      <sz val="14"/>
      <name val="CG Omega"/>
      <family val="2"/>
    </font>
    <font>
      <sz val="14"/>
      <name val="CG Omega"/>
      <family val="2"/>
    </font>
    <font>
      <b/>
      <sz val="18"/>
      <name val="Verdana"/>
      <family val="2"/>
    </font>
    <font>
      <b/>
      <sz val="20"/>
      <name val="Verdana"/>
      <family val="2"/>
    </font>
    <font>
      <sz val="11"/>
      <name val="Verdana"/>
      <family val="2"/>
    </font>
    <font>
      <b/>
      <sz val="16"/>
      <color theme="1"/>
      <name val="Verdana"/>
      <family val="2"/>
    </font>
    <font>
      <b/>
      <sz val="16"/>
      <name val="Verdana"/>
      <family val="2"/>
    </font>
    <font>
      <b/>
      <sz val="16"/>
      <name val="CG Omega"/>
      <family val="2"/>
    </font>
    <font>
      <b/>
      <sz val="11"/>
      <name val="CG Omega"/>
      <family val="2"/>
    </font>
    <font>
      <b/>
      <sz val="14"/>
      <name val="CG Omega"/>
      <family val="2"/>
    </font>
    <font>
      <sz val="10"/>
      <name val="Arial"/>
      <family val="2"/>
    </font>
    <font>
      <sz val="10"/>
      <name val="Verdana"/>
      <family val="2"/>
    </font>
    <font>
      <u/>
      <sz val="10"/>
      <color theme="10"/>
      <name val="Verdana"/>
      <family val="2"/>
    </font>
    <font>
      <u/>
      <sz val="11"/>
      <color indexed="12"/>
      <name val="CG Omega"/>
      <family val="2"/>
    </font>
    <font>
      <b/>
      <sz val="11"/>
      <name val="Verdana"/>
      <family val="2"/>
    </font>
    <font>
      <b/>
      <u/>
      <sz val="14"/>
      <name val="CG Omega"/>
      <family val="2"/>
    </font>
    <font>
      <sz val="14"/>
      <color indexed="12"/>
      <name val="CG Omega"/>
      <family val="2"/>
    </font>
    <font>
      <sz val="11"/>
      <name val="Arial"/>
      <family val="2"/>
    </font>
    <font>
      <sz val="11"/>
      <name val="CG Omega"/>
      <family val="2"/>
    </font>
    <font>
      <b/>
      <sz val="10"/>
      <name val="Verdana"/>
      <family val="2"/>
    </font>
    <font>
      <sz val="11"/>
      <color indexed="9"/>
      <name val="CG Omega"/>
      <family val="2"/>
    </font>
    <font>
      <sz val="14"/>
      <color indexed="10"/>
      <name val="CG Omega"/>
      <family val="2"/>
    </font>
    <font>
      <sz val="10"/>
      <color theme="1"/>
      <name val="Arial"/>
      <family val="2"/>
    </font>
    <font>
      <b/>
      <sz val="16"/>
      <name val="Arial"/>
      <family val="2"/>
    </font>
    <font>
      <b/>
      <sz val="12"/>
      <color theme="1"/>
      <name val="Arial"/>
      <family val="2"/>
    </font>
    <font>
      <sz val="11"/>
      <color theme="1"/>
      <name val="Arial"/>
      <family val="2"/>
    </font>
    <font>
      <sz val="14"/>
      <color theme="1"/>
      <name val="Arial"/>
      <family val="2"/>
    </font>
    <font>
      <b/>
      <sz val="14"/>
      <color theme="1"/>
      <name val="Arial"/>
      <family val="2"/>
    </font>
    <font>
      <sz val="14"/>
      <name val="Arial"/>
      <family val="2"/>
    </font>
    <font>
      <sz val="12"/>
      <color theme="1"/>
      <name val="Arial"/>
      <family val="2"/>
    </font>
    <font>
      <sz val="12"/>
      <name val="Arial"/>
      <family val="2"/>
    </font>
    <font>
      <b/>
      <sz val="11"/>
      <color theme="1"/>
      <name val="Arial"/>
      <family val="2"/>
    </font>
    <font>
      <b/>
      <sz val="11"/>
      <name val="Arial"/>
      <family val="2"/>
    </font>
    <font>
      <sz val="11"/>
      <color theme="1"/>
      <name val="Verdana"/>
      <family val="2"/>
    </font>
    <font>
      <b/>
      <sz val="11"/>
      <color theme="1"/>
      <name val="Verdana"/>
      <family val="2"/>
    </font>
    <font>
      <b/>
      <sz val="12"/>
      <name val="Arial"/>
      <family val="2"/>
    </font>
    <font>
      <b/>
      <sz val="10"/>
      <name val="Arial"/>
      <family val="2"/>
    </font>
    <font>
      <sz val="20"/>
      <color rgb="FFFF0000"/>
      <name val="CG Omega"/>
    </font>
    <font>
      <b/>
      <sz val="14"/>
      <name val="Arial"/>
      <family val="2"/>
    </font>
    <font>
      <sz val="16"/>
      <color theme="1"/>
      <name val="Arial"/>
      <family val="2"/>
    </font>
    <font>
      <b/>
      <sz val="12"/>
      <color theme="1"/>
      <name val="Verdana"/>
      <family val="2"/>
    </font>
    <font>
      <vertAlign val="superscript"/>
      <sz val="11"/>
      <name val="Arial"/>
      <family val="2"/>
    </font>
    <font>
      <sz val="11"/>
      <color rgb="FFFF0000"/>
      <name val="Arial"/>
      <family val="2"/>
    </font>
    <font>
      <sz val="11"/>
      <color indexed="81"/>
      <name val="Tahoma"/>
      <family val="2"/>
    </font>
    <font>
      <b/>
      <sz val="20"/>
      <name val="Arial"/>
      <family val="2"/>
    </font>
    <font>
      <i/>
      <sz val="14"/>
      <name val="Arial"/>
      <family val="2"/>
    </font>
    <font>
      <sz val="10"/>
      <color indexed="12"/>
      <name val="Arial"/>
      <family val="2"/>
    </font>
    <font>
      <b/>
      <sz val="14"/>
      <color rgb="FFFF0000"/>
      <name val="Arial"/>
      <family val="2"/>
    </font>
    <font>
      <b/>
      <i/>
      <sz val="11"/>
      <color rgb="FFFF0000"/>
      <name val="Arial"/>
      <family val="2"/>
    </font>
    <font>
      <sz val="11"/>
      <color indexed="12"/>
      <name val="Arial"/>
      <family val="2"/>
    </font>
    <font>
      <u/>
      <sz val="10"/>
      <color indexed="12"/>
      <name val="Arial"/>
      <family val="2"/>
    </font>
    <font>
      <sz val="10"/>
      <color rgb="FFFF0000"/>
      <name val="Verdana"/>
      <family val="2"/>
    </font>
    <font>
      <b/>
      <sz val="10"/>
      <color theme="1"/>
      <name val="Verdana"/>
      <family val="2"/>
    </font>
    <font>
      <b/>
      <sz val="16"/>
      <color rgb="FF3E3E3E"/>
      <name val="CG Omega"/>
      <family val="2"/>
    </font>
    <font>
      <sz val="10"/>
      <color theme="1"/>
      <name val="CG Omega"/>
      <family val="2"/>
    </font>
    <font>
      <b/>
      <sz val="12"/>
      <name val="CG Omega"/>
      <family val="2"/>
    </font>
    <font>
      <b/>
      <sz val="10"/>
      <name val="CG Omega"/>
      <family val="2"/>
    </font>
    <font>
      <sz val="16"/>
      <color theme="1"/>
      <name val="CG Omega"/>
      <family val="2"/>
    </font>
    <font>
      <sz val="10"/>
      <color indexed="8"/>
      <name val="Verdana"/>
      <family val="2"/>
    </font>
    <font>
      <b/>
      <sz val="10"/>
      <color rgb="FF3E3E3E"/>
      <name val="CG Omega"/>
      <family val="2"/>
    </font>
    <font>
      <sz val="10"/>
      <name val="Gill Sans MT"/>
      <family val="2"/>
    </font>
    <font>
      <b/>
      <sz val="10"/>
      <color rgb="FFFF0000"/>
      <name val="Verdana"/>
      <family val="2"/>
    </font>
    <font>
      <b/>
      <sz val="11"/>
      <name val="CG Omega"/>
    </font>
    <font>
      <sz val="6"/>
      <color theme="1"/>
      <name val="Verdana"/>
      <family val="2"/>
    </font>
    <font>
      <b/>
      <sz val="12"/>
      <name val="Verdana"/>
      <family val="2"/>
    </font>
    <font>
      <b/>
      <vertAlign val="superscript"/>
      <sz val="11"/>
      <name val="Verdana"/>
      <family val="2"/>
    </font>
    <font>
      <b/>
      <sz val="10"/>
      <color rgb="FF3E3E3E"/>
      <name val="Verdana"/>
      <family val="2"/>
    </font>
    <font>
      <sz val="8"/>
      <color theme="1"/>
      <name val="Verdana"/>
      <family val="2"/>
    </font>
    <font>
      <sz val="10"/>
      <color rgb="FF3E3E3E"/>
      <name val="Verdana"/>
      <family val="2"/>
    </font>
    <font>
      <sz val="10"/>
      <color rgb="FF000000"/>
      <name val="Verdana"/>
      <family val="2"/>
    </font>
    <font>
      <b/>
      <u/>
      <sz val="10"/>
      <name val="Verdana"/>
      <family val="2"/>
    </font>
    <font>
      <b/>
      <sz val="8"/>
      <color theme="1"/>
      <name val="Verdana"/>
      <family val="2"/>
    </font>
    <font>
      <b/>
      <sz val="12"/>
      <color rgb="FFFF0000"/>
      <name val="Arial"/>
      <family val="2"/>
    </font>
    <font>
      <b/>
      <sz val="11"/>
      <color theme="1"/>
      <name val="Times New Roman"/>
      <family val="1"/>
    </font>
    <font>
      <sz val="11"/>
      <color theme="1"/>
      <name val="Calibri"/>
      <family val="2"/>
      <scheme val="minor"/>
    </font>
    <font>
      <b/>
      <sz val="10"/>
      <color theme="1"/>
      <name val="Arial"/>
      <family val="2"/>
    </font>
    <font>
      <sz val="11"/>
      <color theme="1"/>
      <name val="Calibri"/>
      <family val="2"/>
    </font>
    <font>
      <b/>
      <sz val="11"/>
      <color theme="1"/>
      <name val="Calibri"/>
      <family val="2"/>
    </font>
    <font>
      <sz val="11"/>
      <color theme="1"/>
      <name val="Symbol"/>
      <family val="1"/>
      <charset val="2"/>
    </font>
    <font>
      <b/>
      <sz val="11"/>
      <color indexed="8"/>
      <name val="Arial"/>
      <family val="2"/>
    </font>
    <font>
      <sz val="11"/>
      <color indexed="8"/>
      <name val="Arial"/>
      <family val="2"/>
    </font>
    <font>
      <i/>
      <sz val="11"/>
      <color theme="1"/>
      <name val="Arial"/>
      <family val="2"/>
    </font>
    <font>
      <sz val="7"/>
      <color theme="1"/>
      <name val="Arial"/>
      <family val="2"/>
    </font>
    <font>
      <sz val="10"/>
      <color theme="1"/>
      <name val="Gill Sans MT"/>
      <family val="2"/>
    </font>
    <font>
      <sz val="10"/>
      <name val="CG Omega"/>
    </font>
    <font>
      <sz val="12"/>
      <color theme="1"/>
      <name val="Verdana"/>
      <family val="2"/>
    </font>
    <font>
      <i/>
      <sz val="12"/>
      <color theme="1"/>
      <name val="Verdana"/>
      <family val="2"/>
    </font>
    <font>
      <u/>
      <sz val="10"/>
      <name val="Gill Sans MT"/>
      <family val="2"/>
    </font>
    <font>
      <b/>
      <i/>
      <sz val="10"/>
      <name val="Verdana"/>
      <family val="2"/>
    </font>
    <font>
      <sz val="8"/>
      <name val="Verdana"/>
      <family val="2"/>
    </font>
    <font>
      <sz val="9"/>
      <name val="Verdana"/>
      <family val="2"/>
    </font>
    <font>
      <i/>
      <sz val="10"/>
      <name val="Verdana"/>
      <family val="2"/>
    </font>
    <font>
      <sz val="10"/>
      <color theme="0" tint="-4.9989318521683403E-2"/>
      <name val="Gill Sans MT"/>
      <family val="2"/>
    </font>
    <font>
      <b/>
      <u/>
      <sz val="14"/>
      <name val="Verdana"/>
      <family val="2"/>
    </font>
    <font>
      <sz val="10"/>
      <color indexed="12"/>
      <name val="Verdana"/>
      <family val="2"/>
    </font>
    <font>
      <sz val="10"/>
      <color indexed="10"/>
      <name val="Verdana"/>
      <family val="2"/>
    </font>
    <font>
      <b/>
      <sz val="12"/>
      <color indexed="81"/>
      <name val="Tahoma"/>
      <family val="2"/>
    </font>
    <font>
      <sz val="12"/>
      <color indexed="81"/>
      <name val="Tahoma"/>
      <family val="2"/>
    </font>
    <font>
      <i/>
      <sz val="10"/>
      <color theme="1"/>
      <name val="Verdana"/>
      <family val="2"/>
    </font>
    <font>
      <sz val="10"/>
      <color rgb="FFFF0000"/>
      <name val="Gill Sans MT"/>
      <family val="2"/>
    </font>
    <font>
      <sz val="14"/>
      <color indexed="8"/>
      <name val="Calibri"/>
      <family val="2"/>
    </font>
    <font>
      <u/>
      <sz val="11"/>
      <name val="Arial"/>
      <family val="2"/>
    </font>
    <font>
      <sz val="10"/>
      <color theme="1"/>
      <name val="Calibri"/>
      <family val="2"/>
      <scheme val="minor"/>
    </font>
  </fonts>
  <fills count="38">
    <fill>
      <patternFill patternType="none"/>
    </fill>
    <fill>
      <patternFill patternType="gray125"/>
    </fill>
    <fill>
      <patternFill patternType="solid">
        <fgColor indexed="52"/>
        <bgColor indexed="64"/>
      </patternFill>
    </fill>
    <fill>
      <patternFill patternType="solid">
        <fgColor rgb="FF99CCFF"/>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C99"/>
        <bgColor indexed="64"/>
      </patternFill>
    </fill>
    <fill>
      <patternFill patternType="solid">
        <fgColor rgb="FFCCFFCC"/>
        <bgColor indexed="64"/>
      </patternFill>
    </fill>
    <fill>
      <patternFill patternType="solid">
        <fgColor rgb="FFFF6600"/>
        <bgColor indexed="64"/>
      </patternFill>
    </fill>
    <fill>
      <patternFill patternType="solid">
        <fgColor rgb="FFFFFF00"/>
        <bgColor indexed="64"/>
      </patternFill>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indexed="65"/>
        <bgColor theme="0" tint="-0.34998626667073579"/>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indexed="26"/>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9900"/>
        <bgColor indexed="64"/>
      </patternFill>
    </fill>
    <fill>
      <patternFill patternType="solid">
        <fgColor theme="0" tint="-0.249977111117893"/>
        <bgColor indexed="64"/>
      </patternFill>
    </fill>
    <fill>
      <patternFill patternType="solid">
        <fgColor rgb="FFC0C0C0"/>
        <bgColor indexed="64"/>
      </patternFill>
    </fill>
    <fill>
      <patternFill patternType="solid">
        <fgColor theme="8" tint="0.59999389629810485"/>
        <bgColor indexed="64"/>
      </patternFill>
    </fill>
    <fill>
      <patternFill patternType="solid">
        <fgColor theme="0" tint="-0.14999847407452621"/>
        <bgColor theme="0" tint="-0.34998626667073579"/>
      </patternFill>
    </fill>
    <fill>
      <patternFill patternType="solid">
        <fgColor theme="0" tint="-4.9989318521683403E-2"/>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C5E1FF"/>
        <bgColor indexed="64"/>
      </patternFill>
    </fill>
    <fill>
      <patternFill patternType="solid">
        <fgColor rgb="FFD1FFD1"/>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2"/>
        <bgColor indexed="64"/>
      </patternFill>
    </fill>
    <fill>
      <patternFill patternType="solid">
        <fgColor rgb="FFD4FAFC"/>
        <bgColor indexed="64"/>
      </patternFill>
    </fill>
    <fill>
      <patternFill patternType="solid">
        <fgColor rgb="FFCCFFFF"/>
        <bgColor indexed="64"/>
      </patternFill>
    </fill>
    <fill>
      <patternFill patternType="solid">
        <fgColor theme="6"/>
        <bgColor indexed="64"/>
      </patternFill>
    </fill>
    <fill>
      <patternFill patternType="solid">
        <fgColor indexed="9"/>
        <bgColor indexed="64"/>
      </patternFill>
    </fill>
  </fills>
  <borders count="163">
    <border>
      <left/>
      <right/>
      <top/>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right/>
      <top style="medium">
        <color auto="1"/>
      </top>
      <bottom style="medium">
        <color auto="1"/>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right style="dashed">
        <color auto="1"/>
      </right>
      <top/>
      <bottom/>
      <diagonal/>
    </border>
    <border>
      <left style="dashed">
        <color auto="1"/>
      </left>
      <right style="thin">
        <color auto="1"/>
      </right>
      <top style="thin">
        <color auto="1"/>
      </top>
      <bottom style="thin">
        <color auto="1"/>
      </bottom>
      <diagonal/>
    </border>
    <border>
      <left/>
      <right/>
      <top style="hair">
        <color theme="0" tint="-0.499984740745262"/>
      </top>
      <bottom style="hair">
        <color theme="0" tint="-0.499984740745262"/>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dotted">
        <color indexed="64"/>
      </left>
      <right/>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dotted">
        <color indexed="64"/>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dotted">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style="dotted">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style="thin">
        <color theme="0" tint="-0.499984740745262"/>
      </right>
      <top style="thin">
        <color auto="1"/>
      </top>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indexed="64"/>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dotted">
        <color indexed="64"/>
      </left>
      <right style="thin">
        <color theme="0" tint="-0.499984740745262"/>
      </right>
      <top style="thin">
        <color indexed="64"/>
      </top>
      <bottom style="thin">
        <color indexed="64"/>
      </bottom>
      <diagonal/>
    </border>
    <border>
      <left/>
      <right style="thin">
        <color theme="0" tint="-0.499984740745262"/>
      </right>
      <top style="thin">
        <color indexed="64"/>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dotted">
        <color indexed="64"/>
      </left>
      <right style="thin">
        <color theme="0" tint="-0.499984740745262"/>
      </right>
      <top/>
      <bottom style="thin">
        <color indexed="64"/>
      </bottom>
      <diagonal/>
    </border>
    <border>
      <left style="dotted">
        <color indexed="64"/>
      </left>
      <right/>
      <top style="thin">
        <color indexed="64"/>
      </top>
      <bottom/>
      <diagonal/>
    </border>
    <border>
      <left style="dotted">
        <color indexed="64"/>
      </left>
      <right style="thin">
        <color theme="0" tint="-0.499984740745262"/>
      </right>
      <top style="thin">
        <color indexed="64"/>
      </top>
      <bottom/>
      <diagonal/>
    </border>
    <border>
      <left style="thin">
        <color indexed="64"/>
      </left>
      <right style="thin">
        <color indexed="64"/>
      </right>
      <top style="thin">
        <color indexed="64"/>
      </top>
      <bottom style="thin">
        <color theme="0" tint="-0.499984740745262"/>
      </bottom>
      <diagonal/>
    </border>
    <border>
      <left style="thin">
        <color indexed="64"/>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thin">
        <color theme="0" tint="-0.499984740745262"/>
      </left>
      <right/>
      <top/>
      <bottom/>
      <diagonal/>
    </border>
    <border>
      <left style="thin">
        <color theme="0" tint="-0.499984740745262"/>
      </left>
      <right/>
      <top/>
      <bottom style="thin">
        <color theme="0" tint="-0.499984740745262"/>
      </bottom>
      <diagonal/>
    </border>
    <border>
      <left style="dotted">
        <color indexed="64"/>
      </left>
      <right style="thin">
        <color theme="0" tint="-0.499984740745262"/>
      </right>
      <top/>
      <bottom style="thin">
        <color theme="0" tint="-0.499984740745262"/>
      </bottom>
      <diagonal/>
    </border>
    <border>
      <left/>
      <right/>
      <top style="hair">
        <color theme="0" tint="-0.499984740745262"/>
      </top>
      <bottom/>
      <diagonal/>
    </border>
    <border>
      <left/>
      <right/>
      <top/>
      <bottom style="hair">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dotted">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0" tint="-0.499984740745262"/>
      </top>
      <bottom/>
      <diagonal/>
    </border>
    <border>
      <left/>
      <right style="thin">
        <color indexed="64"/>
      </right>
      <top style="thin">
        <color theme="0" tint="-0.499984740745262"/>
      </top>
      <bottom/>
      <diagonal/>
    </border>
  </borders>
  <cellStyleXfs count="70">
    <xf numFmtId="0" fontId="0" fillId="0" borderId="0"/>
    <xf numFmtId="9" fontId="24" fillId="0" borderId="0" applyFont="0" applyFill="0" applyBorder="0" applyAlignment="0" applyProtection="0"/>
    <xf numFmtId="0" fontId="4" fillId="0" borderId="0"/>
    <xf numFmtId="0" fontId="4" fillId="0" borderId="0"/>
    <xf numFmtId="0" fontId="4" fillId="0" borderId="0"/>
    <xf numFmtId="0" fontId="4" fillId="0" borderId="0"/>
    <xf numFmtId="0" fontId="16" fillId="0" borderId="0" applyFont="0" applyFill="0" applyBorder="0" applyAlignment="0" applyProtection="0"/>
    <xf numFmtId="0" fontId="3" fillId="0" borderId="0"/>
    <xf numFmtId="0" fontId="18" fillId="0" borderId="0" applyNumberFormat="0" applyFill="0" applyBorder="0" applyAlignment="0" applyProtection="0">
      <alignment vertical="top"/>
      <protection locked="0"/>
    </xf>
    <xf numFmtId="0" fontId="16" fillId="0" borderId="0" applyFont="0" applyFill="0" applyBorder="0" applyAlignment="0" applyProtection="0"/>
    <xf numFmtId="0" fontId="19" fillId="0" borderId="0" applyNumberFormat="0" applyFill="0" applyBorder="0" applyAlignment="0" applyProtection="0">
      <alignment vertical="top"/>
      <protection locked="0"/>
    </xf>
    <xf numFmtId="0" fontId="2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24" fillId="0" borderId="0"/>
    <xf numFmtId="174" fontId="3" fillId="0" borderId="0"/>
    <xf numFmtId="0" fontId="24" fillId="0" borderId="0"/>
    <xf numFmtId="174" fontId="24" fillId="0" borderId="0"/>
    <xf numFmtId="174" fontId="24" fillId="0" borderId="0"/>
    <xf numFmtId="0" fontId="3" fillId="0" borderId="0"/>
    <xf numFmtId="0" fontId="17" fillId="0" borderId="0"/>
    <xf numFmtId="174" fontId="64" fillId="0" borderId="0"/>
    <xf numFmtId="174" fontId="16" fillId="0" borderId="0"/>
    <xf numFmtId="0" fontId="3" fillId="0" borderId="0"/>
    <xf numFmtId="174" fontId="24" fillId="0" borderId="0"/>
    <xf numFmtId="174" fontId="16" fillId="0" borderId="0"/>
    <xf numFmtId="164" fontId="4" fillId="0" borderId="0" applyFont="0" applyFill="0" applyBorder="0" applyAlignment="0" applyProtection="0"/>
    <xf numFmtId="0" fontId="3" fillId="0" borderId="0"/>
    <xf numFmtId="0" fontId="80" fillId="0" borderId="0"/>
    <xf numFmtId="174" fontId="19" fillId="0" borderId="0" applyNumberFormat="0" applyFill="0" applyBorder="0" applyAlignment="0" applyProtection="0">
      <alignment vertical="top"/>
      <protection locked="0"/>
    </xf>
    <xf numFmtId="0" fontId="16" fillId="0" borderId="0"/>
    <xf numFmtId="0" fontId="18" fillId="0" borderId="0" applyNumberFormat="0" applyFill="0" applyBorder="0" applyAlignment="0" applyProtection="0"/>
    <xf numFmtId="0" fontId="24" fillId="0" borderId="0"/>
    <xf numFmtId="0" fontId="4" fillId="0" borderId="0"/>
    <xf numFmtId="0" fontId="3" fillId="0" borderId="0"/>
    <xf numFmtId="0" fontId="16" fillId="0" borderId="0"/>
    <xf numFmtId="181" fontId="66" fillId="29" borderId="0" applyBorder="0">
      <alignment vertical="center"/>
    </xf>
    <xf numFmtId="0" fontId="16" fillId="0" borderId="0"/>
    <xf numFmtId="164" fontId="3" fillId="0" borderId="0" applyFont="0" applyFill="0" applyBorder="0" applyAlignment="0" applyProtection="0"/>
    <xf numFmtId="172" fontId="3" fillId="30" borderId="13">
      <alignment vertical="center"/>
    </xf>
    <xf numFmtId="0" fontId="16" fillId="0" borderId="0"/>
    <xf numFmtId="9" fontId="24" fillId="0" borderId="0" applyFont="0" applyFill="0" applyBorder="0" applyAlignment="0" applyProtection="0"/>
    <xf numFmtId="172" fontId="3" fillId="19" borderId="13">
      <alignment vertical="center"/>
      <protection locked="0"/>
    </xf>
    <xf numFmtId="0" fontId="4" fillId="0" borderId="0">
      <alignment vertical="top"/>
    </xf>
    <xf numFmtId="9" fontId="3" fillId="0" borderId="0" applyFont="0" applyFill="0" applyBorder="0" applyAlignment="0" applyProtection="0"/>
    <xf numFmtId="181" fontId="98" fillId="31" borderId="0"/>
    <xf numFmtId="0" fontId="16" fillId="0" borderId="0"/>
    <xf numFmtId="0" fontId="16" fillId="0" borderId="0"/>
    <xf numFmtId="0" fontId="80" fillId="0" borderId="0"/>
    <xf numFmtId="0" fontId="16" fillId="0" borderId="0"/>
    <xf numFmtId="0" fontId="2" fillId="0" borderId="0"/>
    <xf numFmtId="43" fontId="3" fillId="0" borderId="0" applyFont="0" applyFill="0" applyBorder="0" applyAlignment="0" applyProtection="0"/>
  </cellStyleXfs>
  <cellXfs count="3045">
    <xf numFmtId="0" fontId="0" fillId="0" borderId="0" xfId="0"/>
    <xf numFmtId="0" fontId="5" fillId="2" borderId="0" xfId="2" applyFont="1" applyFill="1" applyBorder="1" applyProtection="1"/>
    <xf numFmtId="0" fontId="0" fillId="2" borderId="0" xfId="3" applyFont="1" applyFill="1"/>
    <xf numFmtId="0" fontId="5" fillId="2" borderId="0" xfId="3" applyFont="1" applyFill="1"/>
    <xf numFmtId="0" fontId="5" fillId="2" borderId="0" xfId="3" applyFont="1" applyFill="1" applyAlignment="1">
      <alignment horizontal="left"/>
    </xf>
    <xf numFmtId="0" fontId="5" fillId="2" borderId="0" xfId="3" applyFont="1" applyFill="1" applyBorder="1" applyAlignment="1">
      <alignment horizontal="left"/>
    </xf>
    <xf numFmtId="0" fontId="0" fillId="2" borderId="0" xfId="3" applyFont="1" applyFill="1" applyBorder="1"/>
    <xf numFmtId="0" fontId="6" fillId="2" borderId="0" xfId="3" applyFont="1" applyFill="1"/>
    <xf numFmtId="0" fontId="5" fillId="2" borderId="1" xfId="3" applyFont="1" applyFill="1" applyBorder="1" applyAlignment="1">
      <alignment horizontal="left"/>
    </xf>
    <xf numFmtId="0" fontId="0" fillId="2" borderId="1" xfId="3" applyFont="1" applyFill="1" applyBorder="1"/>
    <xf numFmtId="0" fontId="7" fillId="2" borderId="1" xfId="3" applyFont="1" applyFill="1" applyBorder="1" applyAlignment="1">
      <alignment horizontal="right"/>
    </xf>
    <xf numFmtId="0" fontId="5" fillId="2" borderId="1" xfId="3" applyFont="1" applyFill="1" applyBorder="1"/>
    <xf numFmtId="0" fontId="4" fillId="0" borderId="0" xfId="2"/>
    <xf numFmtId="0" fontId="3" fillId="0" borderId="2" xfId="4" applyFont="1" applyBorder="1"/>
    <xf numFmtId="0" fontId="3" fillId="0" borderId="3" xfId="4" applyFont="1" applyBorder="1"/>
    <xf numFmtId="0" fontId="3" fillId="0" borderId="4" xfId="4" applyFont="1" applyBorder="1"/>
    <xf numFmtId="0" fontId="3" fillId="0" borderId="5" xfId="4" applyFont="1" applyBorder="1"/>
    <xf numFmtId="0" fontId="3" fillId="0" borderId="0" xfId="4" applyFont="1" applyBorder="1"/>
    <xf numFmtId="0" fontId="3" fillId="0" borderId="6" xfId="4" applyFont="1" applyBorder="1"/>
    <xf numFmtId="0" fontId="8" fillId="0" borderId="0" xfId="4" applyFont="1" applyAlignment="1">
      <alignment horizontal="center"/>
    </xf>
    <xf numFmtId="0" fontId="4" fillId="0" borderId="0" xfId="5"/>
    <xf numFmtId="0" fontId="3" fillId="0" borderId="0" xfId="4" applyFont="1" applyAlignment="1">
      <alignment horizontal="center"/>
    </xf>
    <xf numFmtId="0" fontId="9" fillId="0" borderId="0" xfId="4" applyFont="1" applyAlignment="1">
      <alignment horizontal="center"/>
    </xf>
    <xf numFmtId="0" fontId="10" fillId="0" borderId="0" xfId="5" applyFont="1"/>
    <xf numFmtId="0" fontId="3" fillId="0" borderId="0" xfId="4" applyFont="1" applyBorder="1" applyAlignment="1">
      <alignment horizontal="right"/>
    </xf>
    <xf numFmtId="0" fontId="11" fillId="3" borderId="0" xfId="4" applyFont="1" applyFill="1" applyBorder="1"/>
    <xf numFmtId="0" fontId="12" fillId="3" borderId="0" xfId="5" applyFont="1" applyFill="1"/>
    <xf numFmtId="0" fontId="3" fillId="4" borderId="0" xfId="4" applyFont="1" applyFill="1" applyBorder="1"/>
    <xf numFmtId="0" fontId="10" fillId="4" borderId="0" xfId="5" applyFont="1" applyFill="1"/>
    <xf numFmtId="0" fontId="3" fillId="0" borderId="7" xfId="4" applyFont="1" applyBorder="1"/>
    <xf numFmtId="0" fontId="3" fillId="0" borderId="8" xfId="4" applyFont="1" applyBorder="1"/>
    <xf numFmtId="0" fontId="3" fillId="0" borderId="9" xfId="4" applyFont="1" applyBorder="1"/>
    <xf numFmtId="0" fontId="19" fillId="0" borderId="0" xfId="10" applyAlignment="1" applyProtection="1"/>
    <xf numFmtId="15" fontId="14" fillId="10" borderId="13" xfId="4" applyNumberFormat="1" applyFont="1" applyFill="1" applyBorder="1" applyAlignment="1">
      <alignment horizontal="center" vertical="top" wrapText="1"/>
    </xf>
    <xf numFmtId="0" fontId="14" fillId="10" borderId="13" xfId="4" applyFont="1" applyFill="1" applyBorder="1" applyAlignment="1">
      <alignment vertical="top" wrapText="1"/>
    </xf>
    <xf numFmtId="0" fontId="20" fillId="10" borderId="13" xfId="4" applyFont="1" applyFill="1" applyBorder="1" applyAlignment="1">
      <alignment horizontal="center" vertical="top" wrapText="1"/>
    </xf>
    <xf numFmtId="0" fontId="3" fillId="0" borderId="13" xfId="4" applyFont="1" applyBorder="1" applyAlignment="1">
      <alignment horizontal="left" vertical="top"/>
    </xf>
    <xf numFmtId="0" fontId="4" fillId="0" borderId="0" xfId="5" applyAlignment="1">
      <alignment vertical="top"/>
    </xf>
    <xf numFmtId="0" fontId="13" fillId="0" borderId="0" xfId="3" applyFont="1"/>
    <xf numFmtId="0" fontId="7" fillId="0" borderId="0" xfId="3" applyFont="1"/>
    <xf numFmtId="0" fontId="21" fillId="0" borderId="0" xfId="3" applyFont="1"/>
    <xf numFmtId="0" fontId="21" fillId="0" borderId="0" xfId="3" applyFont="1" applyAlignment="1">
      <alignment horizontal="centerContinuous"/>
    </xf>
    <xf numFmtId="0" fontId="7" fillId="0" borderId="0" xfId="3" applyFont="1" applyBorder="1"/>
    <xf numFmtId="0" fontId="23" fillId="0" borderId="14" xfId="11" applyNumberFormat="1" applyBorder="1" applyProtection="1"/>
    <xf numFmtId="0" fontId="23" fillId="0" borderId="15" xfId="11" applyBorder="1" applyProtection="1"/>
    <xf numFmtId="0" fontId="7" fillId="0" borderId="14" xfId="3" applyFont="1" applyBorder="1"/>
    <xf numFmtId="0" fontId="7" fillId="0" borderId="16" xfId="3" applyFont="1" applyBorder="1"/>
    <xf numFmtId="0" fontId="7" fillId="0" borderId="15" xfId="3" applyFont="1" applyBorder="1"/>
    <xf numFmtId="0" fontId="0" fillId="0" borderId="14" xfId="3" applyFont="1" applyBorder="1"/>
    <xf numFmtId="0" fontId="0" fillId="0" borderId="15" xfId="3" applyFont="1" applyBorder="1"/>
    <xf numFmtId="0" fontId="4" fillId="0" borderId="14" xfId="5" applyFill="1" applyBorder="1"/>
    <xf numFmtId="0" fontId="4" fillId="0" borderId="16" xfId="5" applyFill="1" applyBorder="1"/>
    <xf numFmtId="0" fontId="4" fillId="0" borderId="15" xfId="5" applyFill="1" applyBorder="1"/>
    <xf numFmtId="0" fontId="4" fillId="0" borderId="17" xfId="5" applyFill="1" applyBorder="1"/>
    <xf numFmtId="0" fontId="7" fillId="0" borderId="0" xfId="3" applyFont="1" applyAlignment="1">
      <alignment horizontal="center"/>
    </xf>
    <xf numFmtId="0" fontId="7" fillId="0" borderId="13" xfId="3" applyFont="1" applyFill="1" applyBorder="1" applyProtection="1"/>
    <xf numFmtId="0" fontId="23" fillId="0" borderId="15" xfId="11" applyFont="1" applyBorder="1" applyProtection="1"/>
    <xf numFmtId="0" fontId="0" fillId="0" borderId="18" xfId="3" applyFont="1" applyBorder="1"/>
    <xf numFmtId="0" fontId="0" fillId="0" borderId="0" xfId="3" applyFont="1" applyBorder="1"/>
    <xf numFmtId="0" fontId="0" fillId="0" borderId="19" xfId="3" applyFont="1" applyBorder="1"/>
    <xf numFmtId="0" fontId="4" fillId="0" borderId="18" xfId="5" applyFill="1" applyBorder="1"/>
    <xf numFmtId="0" fontId="4" fillId="0" borderId="0" xfId="5" applyFill="1" applyBorder="1"/>
    <xf numFmtId="0" fontId="4" fillId="0" borderId="19" xfId="5" applyFill="1" applyBorder="1"/>
    <xf numFmtId="0" fontId="4" fillId="0" borderId="20" xfId="5" applyFill="1" applyBorder="1"/>
    <xf numFmtId="0" fontId="23" fillId="0" borderId="18" xfId="11" applyNumberFormat="1" applyBorder="1" applyProtection="1"/>
    <xf numFmtId="0" fontId="23" fillId="0" borderId="19" xfId="11" applyFont="1" applyBorder="1" applyProtection="1"/>
    <xf numFmtId="0" fontId="15" fillId="0" borderId="0" xfId="3" applyFont="1"/>
    <xf numFmtId="0" fontId="4" fillId="0" borderId="21" xfId="5" applyFill="1" applyBorder="1"/>
    <xf numFmtId="0" fontId="4" fillId="0" borderId="22" xfId="5" applyFill="1" applyBorder="1"/>
    <xf numFmtId="0" fontId="4" fillId="0" borderId="23" xfId="5" applyFill="1" applyBorder="1"/>
    <xf numFmtId="0" fontId="4" fillId="0" borderId="24" xfId="5" applyFill="1" applyBorder="1"/>
    <xf numFmtId="0" fontId="23" fillId="0" borderId="21" xfId="11" applyNumberFormat="1" applyBorder="1" applyProtection="1"/>
    <xf numFmtId="0" fontId="23" fillId="0" borderId="23" xfId="11" applyFont="1" applyBorder="1" applyProtection="1"/>
    <xf numFmtId="0" fontId="0" fillId="0" borderId="21" xfId="3" applyFont="1" applyBorder="1"/>
    <xf numFmtId="0" fontId="0" fillId="0" borderId="22" xfId="3" applyFont="1" applyBorder="1"/>
    <xf numFmtId="0" fontId="0" fillId="0" borderId="23" xfId="3" applyFont="1" applyBorder="1"/>
    <xf numFmtId="0" fontId="23" fillId="0" borderId="0" xfId="11" applyNumberFormat="1" applyBorder="1" applyProtection="1"/>
    <xf numFmtId="0" fontId="23" fillId="0" borderId="0" xfId="11" applyBorder="1" applyProtection="1"/>
    <xf numFmtId="165" fontId="17" fillId="11" borderId="0" xfId="3" applyNumberFormat="1" applyFont="1" applyFill="1"/>
    <xf numFmtId="0" fontId="17" fillId="11" borderId="0" xfId="3" applyFont="1" applyFill="1"/>
    <xf numFmtId="0" fontId="4" fillId="12" borderId="0" xfId="5" applyFill="1"/>
    <xf numFmtId="0" fontId="17" fillId="12" borderId="0" xfId="3" applyFont="1" applyFill="1"/>
    <xf numFmtId="0" fontId="7" fillId="12" borderId="0" xfId="3" applyFont="1" applyFill="1"/>
    <xf numFmtId="167" fontId="17" fillId="11" borderId="0" xfId="3" applyNumberFormat="1" applyFont="1" applyFill="1"/>
    <xf numFmtId="165" fontId="25" fillId="11" borderId="0" xfId="3" applyNumberFormat="1" applyFont="1" applyFill="1" applyBorder="1"/>
    <xf numFmtId="0" fontId="24" fillId="0" borderId="0" xfId="3" applyFont="1"/>
    <xf numFmtId="0" fontId="26" fillId="0" borderId="0" xfId="3" applyFont="1"/>
    <xf numFmtId="0" fontId="27" fillId="0" borderId="0" xfId="3" quotePrefix="1" applyFont="1"/>
    <xf numFmtId="0" fontId="0" fillId="0" borderId="0" xfId="3" applyFont="1" applyAlignment="1">
      <alignment horizontal="center"/>
    </xf>
    <xf numFmtId="0" fontId="28" fillId="0" borderId="0" xfId="12" applyFont="1" applyAlignment="1">
      <alignment vertical="center"/>
    </xf>
    <xf numFmtId="0" fontId="30" fillId="0" borderId="0" xfId="12" applyFont="1" applyAlignment="1">
      <alignment horizontal="left" vertical="center"/>
    </xf>
    <xf numFmtId="165" fontId="29" fillId="0" borderId="0" xfId="13" applyNumberFormat="1" applyFont="1" applyAlignment="1" applyProtection="1">
      <alignment vertical="center"/>
    </xf>
    <xf numFmtId="0" fontId="31" fillId="0" borderId="0" xfId="12" applyFont="1" applyBorder="1" applyAlignment="1">
      <alignment horizontal="center" vertical="center"/>
    </xf>
    <xf numFmtId="0" fontId="31" fillId="0" borderId="0" xfId="12" applyFont="1" applyAlignment="1">
      <alignment horizontal="center" vertical="center"/>
    </xf>
    <xf numFmtId="0" fontId="31" fillId="0" borderId="0" xfId="12" applyFont="1" applyAlignment="1">
      <alignment vertical="center"/>
    </xf>
    <xf numFmtId="0" fontId="23" fillId="0" borderId="0" xfId="14" applyFont="1" applyFill="1" applyAlignment="1">
      <alignment horizontal="left" vertical="center"/>
    </xf>
    <xf numFmtId="0" fontId="23" fillId="0" borderId="0" xfId="2" applyFont="1" applyFill="1" applyBorder="1" applyAlignment="1" applyProtection="1">
      <alignment horizontal="center" vertical="center"/>
    </xf>
    <xf numFmtId="0" fontId="23" fillId="0" borderId="0" xfId="2" applyFont="1" applyFill="1" applyBorder="1" applyAlignment="1" applyProtection="1">
      <alignment vertical="center"/>
    </xf>
    <xf numFmtId="0" fontId="23" fillId="0" borderId="0" xfId="14" applyFont="1" applyFill="1" applyAlignment="1">
      <alignment vertical="center"/>
    </xf>
    <xf numFmtId="0" fontId="16" fillId="0" borderId="0" xfId="14" applyFont="1" applyFill="1" applyAlignment="1">
      <alignment vertical="center"/>
    </xf>
    <xf numFmtId="0" fontId="32" fillId="0" borderId="0" xfId="12" applyFont="1" applyAlignment="1">
      <alignment vertical="center"/>
    </xf>
    <xf numFmtId="0" fontId="33" fillId="0" borderId="25" xfId="12" applyFont="1" applyBorder="1" applyAlignment="1">
      <alignment horizontal="left" vertical="center"/>
    </xf>
    <xf numFmtId="0" fontId="33" fillId="0" borderId="26" xfId="12" applyFont="1" applyBorder="1" applyAlignment="1">
      <alignment horizontal="left" vertical="center"/>
    </xf>
    <xf numFmtId="0" fontId="32" fillId="0" borderId="26" xfId="12" applyFont="1" applyBorder="1" applyAlignment="1">
      <alignment vertical="center"/>
    </xf>
    <xf numFmtId="0" fontId="34" fillId="13" borderId="26" xfId="14" applyFont="1" applyFill="1" applyBorder="1" applyAlignment="1">
      <alignment vertical="center"/>
    </xf>
    <xf numFmtId="0" fontId="32" fillId="14" borderId="27" xfId="12" applyFont="1" applyFill="1" applyBorder="1" applyAlignment="1">
      <alignment horizontal="centerContinuous" vertical="center"/>
    </xf>
    <xf numFmtId="0" fontId="32" fillId="14" borderId="28" xfId="12" applyFont="1" applyFill="1" applyBorder="1" applyAlignment="1">
      <alignment horizontal="centerContinuous" vertical="center"/>
    </xf>
    <xf numFmtId="0" fontId="32" fillId="14" borderId="29" xfId="12" applyFont="1" applyFill="1" applyBorder="1" applyAlignment="1">
      <alignment horizontal="centerContinuous" vertical="center"/>
    </xf>
    <xf numFmtId="0" fontId="32" fillId="0" borderId="0" xfId="12" applyFont="1" applyBorder="1" applyAlignment="1">
      <alignment horizontal="center" vertical="center"/>
    </xf>
    <xf numFmtId="0" fontId="35" fillId="0" borderId="30" xfId="12" applyFont="1" applyBorder="1" applyAlignment="1">
      <alignment horizontal="left" vertical="center"/>
    </xf>
    <xf numFmtId="0" fontId="35" fillId="0" borderId="0" xfId="12" applyFont="1" applyBorder="1" applyAlignment="1">
      <alignment horizontal="left" vertical="center"/>
    </xf>
    <xf numFmtId="0" fontId="35" fillId="0" borderId="0" xfId="12" applyFont="1" applyBorder="1" applyAlignment="1">
      <alignment vertical="center"/>
    </xf>
    <xf numFmtId="0" fontId="36" fillId="13" borderId="0" xfId="14" applyFont="1" applyFill="1" applyBorder="1" applyAlignment="1">
      <alignment vertical="center"/>
    </xf>
    <xf numFmtId="0" fontId="35" fillId="0" borderId="0" xfId="12" applyFont="1" applyAlignment="1">
      <alignment vertical="center"/>
    </xf>
    <xf numFmtId="0" fontId="35" fillId="0" borderId="0" xfId="12" applyFont="1" applyBorder="1" applyAlignment="1">
      <alignment horizontal="center" vertical="center"/>
    </xf>
    <xf numFmtId="0" fontId="37" fillId="0" borderId="30" xfId="12" applyFont="1" applyBorder="1" applyAlignment="1">
      <alignment horizontal="left" vertical="center"/>
    </xf>
    <xf numFmtId="0" fontId="37" fillId="0" borderId="0" xfId="12" applyFont="1" applyBorder="1" applyAlignment="1">
      <alignment horizontal="left" vertical="center"/>
    </xf>
    <xf numFmtId="0" fontId="31" fillId="0" borderId="0" xfId="12" applyFont="1" applyBorder="1" applyAlignment="1">
      <alignment vertical="center"/>
    </xf>
    <xf numFmtId="0" fontId="23" fillId="13" borderId="0" xfId="14" applyFont="1" applyFill="1" applyBorder="1" applyAlignment="1">
      <alignment vertical="center"/>
    </xf>
    <xf numFmtId="0" fontId="31" fillId="0" borderId="10" xfId="12" applyFont="1" applyBorder="1" applyAlignment="1">
      <alignment horizontal="center" vertical="center"/>
    </xf>
    <xf numFmtId="0" fontId="31" fillId="0" borderId="34" xfId="12" applyFont="1" applyBorder="1" applyAlignment="1">
      <alignment horizontal="center" vertical="center"/>
    </xf>
    <xf numFmtId="0" fontId="31" fillId="0" borderId="24" xfId="12" applyFont="1" applyBorder="1" applyAlignment="1">
      <alignment horizontal="center" vertical="center"/>
    </xf>
    <xf numFmtId="0" fontId="31" fillId="0" borderId="35" xfId="12" applyFont="1" applyBorder="1" applyAlignment="1">
      <alignment horizontal="center" vertical="center"/>
    </xf>
    <xf numFmtId="0" fontId="31" fillId="0" borderId="30" xfId="12" applyFont="1" applyBorder="1" applyAlignment="1">
      <alignment horizontal="left" vertical="center"/>
    </xf>
    <xf numFmtId="169" fontId="37" fillId="17" borderId="36" xfId="2" applyNumberFormat="1" applyFont="1" applyFill="1" applyBorder="1" applyAlignment="1">
      <alignment horizontal="right" vertical="center"/>
    </xf>
    <xf numFmtId="169" fontId="37" fillId="17" borderId="13" xfId="2" applyNumberFormat="1" applyFont="1" applyFill="1" applyBorder="1" applyAlignment="1">
      <alignment horizontal="right" vertical="center"/>
    </xf>
    <xf numFmtId="169" fontId="37" fillId="17" borderId="37" xfId="2" applyNumberFormat="1" applyFont="1" applyFill="1" applyBorder="1" applyAlignment="1">
      <alignment horizontal="right" vertical="center"/>
    </xf>
    <xf numFmtId="0" fontId="31" fillId="0" borderId="0" xfId="12" applyFont="1" applyBorder="1" applyAlignment="1">
      <alignment horizontal="left" vertical="center"/>
    </xf>
    <xf numFmtId="169" fontId="31" fillId="5" borderId="36" xfId="2" applyNumberFormat="1" applyFont="1" applyFill="1" applyBorder="1" applyAlignment="1">
      <alignment horizontal="right" vertical="center"/>
    </xf>
    <xf numFmtId="169" fontId="31" fillId="5" borderId="13" xfId="2" applyNumberFormat="1" applyFont="1" applyFill="1" applyBorder="1" applyAlignment="1">
      <alignment horizontal="right" vertical="center"/>
    </xf>
    <xf numFmtId="169" fontId="31" fillId="5" borderId="37" xfId="2" applyNumberFormat="1" applyFont="1" applyFill="1" applyBorder="1" applyAlignment="1">
      <alignment horizontal="right" vertical="center"/>
    </xf>
    <xf numFmtId="0" fontId="31" fillId="0" borderId="38" xfId="12" applyFont="1" applyBorder="1" applyAlignment="1">
      <alignment vertical="center"/>
    </xf>
    <xf numFmtId="0" fontId="31" fillId="0" borderId="1" xfId="12" applyFont="1" applyBorder="1" applyAlignment="1">
      <alignment horizontal="left" vertical="center"/>
    </xf>
    <xf numFmtId="0" fontId="23" fillId="13" borderId="1" xfId="14" applyFont="1" applyFill="1" applyBorder="1" applyAlignment="1">
      <alignment vertical="center"/>
    </xf>
    <xf numFmtId="0" fontId="28" fillId="0" borderId="0" xfId="12" applyFont="1" applyAlignment="1">
      <alignment horizontal="left" vertical="center"/>
    </xf>
    <xf numFmtId="0" fontId="35" fillId="16" borderId="27" xfId="12" applyFont="1" applyFill="1" applyBorder="1" applyAlignment="1">
      <alignment horizontal="centerContinuous" vertical="center"/>
    </xf>
    <xf numFmtId="0" fontId="35" fillId="16" borderId="43" xfId="12" applyFont="1" applyFill="1" applyBorder="1" applyAlignment="1">
      <alignment horizontal="centerContinuous" vertical="center"/>
    </xf>
    <xf numFmtId="0" fontId="31" fillId="0" borderId="13" xfId="12" applyFont="1" applyBorder="1" applyAlignment="1">
      <alignment horizontal="center" vertical="center"/>
    </xf>
    <xf numFmtId="0" fontId="31" fillId="0" borderId="37" xfId="12" applyFont="1" applyBorder="1" applyAlignment="1">
      <alignment horizontal="center" vertical="center"/>
    </xf>
    <xf numFmtId="0" fontId="23" fillId="13" borderId="30" xfId="14" applyFont="1" applyFill="1" applyBorder="1" applyAlignment="1">
      <alignment vertical="center"/>
    </xf>
    <xf numFmtId="0" fontId="23" fillId="13" borderId="44" xfId="14" applyFont="1" applyFill="1" applyBorder="1" applyAlignment="1">
      <alignment vertical="center"/>
    </xf>
    <xf numFmtId="169" fontId="23" fillId="18" borderId="13" xfId="2" applyNumberFormat="1" applyFont="1" applyFill="1" applyBorder="1" applyAlignment="1">
      <alignment horizontal="right" vertical="center"/>
    </xf>
    <xf numFmtId="169" fontId="23" fillId="18" borderId="10" xfId="2" applyNumberFormat="1" applyFont="1" applyFill="1" applyBorder="1" applyAlignment="1">
      <alignment horizontal="right" vertical="center"/>
    </xf>
    <xf numFmtId="169" fontId="23" fillId="18" borderId="36" xfId="2" applyNumberFormat="1" applyFont="1" applyFill="1" applyBorder="1" applyAlignment="1">
      <alignment horizontal="right" vertical="center"/>
    </xf>
    <xf numFmtId="169" fontId="23" fillId="18" borderId="37" xfId="2" applyNumberFormat="1" applyFont="1" applyFill="1" applyBorder="1" applyAlignment="1">
      <alignment horizontal="right" vertical="center"/>
    </xf>
    <xf numFmtId="0" fontId="31" fillId="0" borderId="1" xfId="12" applyFont="1" applyBorder="1" applyAlignment="1">
      <alignment vertical="center"/>
    </xf>
    <xf numFmtId="0" fontId="31" fillId="0" borderId="45" xfId="12" applyFont="1" applyBorder="1" applyAlignment="1">
      <alignment horizontal="center" vertical="center"/>
    </xf>
    <xf numFmtId="169" fontId="37" fillId="17" borderId="40" xfId="2" applyNumberFormat="1" applyFont="1" applyFill="1" applyBorder="1" applyAlignment="1">
      <alignment horizontal="right" vertical="center"/>
    </xf>
    <xf numFmtId="169" fontId="37" fillId="17" borderId="39" xfId="2" applyNumberFormat="1" applyFont="1" applyFill="1" applyBorder="1" applyAlignment="1">
      <alignment horizontal="right" vertical="center"/>
    </xf>
    <xf numFmtId="169" fontId="37" fillId="17" borderId="41" xfId="2" applyNumberFormat="1" applyFont="1" applyFill="1" applyBorder="1" applyAlignment="1">
      <alignment horizontal="right" vertical="center"/>
    </xf>
    <xf numFmtId="0" fontId="16" fillId="0" borderId="0" xfId="14" applyFont="1" applyFill="1" applyAlignment="1">
      <alignment horizontal="left" vertical="center"/>
    </xf>
    <xf numFmtId="0" fontId="35" fillId="15" borderId="31" xfId="12" applyFont="1" applyFill="1" applyBorder="1" applyAlignment="1">
      <alignment horizontal="centerContinuous" vertical="center"/>
    </xf>
    <xf numFmtId="0" fontId="35" fillId="15" borderId="32" xfId="12" applyFont="1" applyFill="1" applyBorder="1" applyAlignment="1">
      <alignment horizontal="centerContinuous" vertical="center"/>
    </xf>
    <xf numFmtId="0" fontId="35" fillId="15" borderId="33" xfId="12" applyFont="1" applyFill="1" applyBorder="1" applyAlignment="1">
      <alignment horizontal="centerContinuous" vertical="center"/>
    </xf>
    <xf numFmtId="0" fontId="35" fillId="16" borderId="31" xfId="12" applyFont="1" applyFill="1" applyBorder="1" applyAlignment="1">
      <alignment horizontal="centerContinuous" vertical="center"/>
    </xf>
    <xf numFmtId="0" fontId="35" fillId="16" borderId="32" xfId="12" applyFont="1" applyFill="1" applyBorder="1" applyAlignment="1">
      <alignment horizontal="centerContinuous" vertical="center"/>
    </xf>
    <xf numFmtId="0" fontId="35" fillId="16" borderId="33" xfId="12" applyFont="1" applyFill="1" applyBorder="1" applyAlignment="1">
      <alignment horizontal="centerContinuous" vertical="center"/>
    </xf>
    <xf numFmtId="0" fontId="36" fillId="0" borderId="0" xfId="14" applyFont="1" applyFill="1" applyAlignment="1">
      <alignment vertical="center"/>
    </xf>
    <xf numFmtId="0" fontId="31" fillId="0" borderId="36" xfId="12" applyFont="1" applyBorder="1" applyAlignment="1">
      <alignment horizontal="center" vertical="center"/>
    </xf>
    <xf numFmtId="0" fontId="31" fillId="0" borderId="30" xfId="12" applyFont="1" applyBorder="1" applyAlignment="1">
      <alignment vertical="center"/>
    </xf>
    <xf numFmtId="0" fontId="31" fillId="0" borderId="44" xfId="12" applyFont="1" applyBorder="1" applyAlignment="1">
      <alignment vertical="center"/>
    </xf>
    <xf numFmtId="0" fontId="23" fillId="0" borderId="30" xfId="14" applyFont="1" applyFill="1" applyBorder="1" applyAlignment="1">
      <alignment vertical="center"/>
    </xf>
    <xf numFmtId="0" fontId="31" fillId="0" borderId="0" xfId="15" applyFont="1" applyBorder="1" applyAlignment="1">
      <alignment horizontal="left" vertical="center"/>
    </xf>
    <xf numFmtId="0" fontId="31" fillId="0" borderId="0" xfId="15" applyFont="1" applyBorder="1" applyAlignment="1">
      <alignment horizontal="left" vertical="center" wrapText="1"/>
    </xf>
    <xf numFmtId="0" fontId="23" fillId="0" borderId="10" xfId="2" applyFont="1" applyFill="1" applyBorder="1" applyAlignment="1" applyProtection="1">
      <alignment horizontal="center" vertical="center"/>
    </xf>
    <xf numFmtId="171" fontId="23" fillId="18" borderId="36" xfId="2" applyNumberFormat="1" applyFont="1" applyFill="1" applyBorder="1" applyAlignment="1">
      <alignment horizontal="right" vertical="center"/>
    </xf>
    <xf numFmtId="171" fontId="23" fillId="18" borderId="13" xfId="2" applyNumberFormat="1" applyFont="1" applyFill="1" applyBorder="1" applyAlignment="1">
      <alignment horizontal="right" vertical="center"/>
    </xf>
    <xf numFmtId="171" fontId="23" fillId="18" borderId="37" xfId="2" applyNumberFormat="1" applyFont="1" applyFill="1" applyBorder="1" applyAlignment="1">
      <alignment horizontal="right" vertical="center"/>
    </xf>
    <xf numFmtId="0" fontId="31" fillId="0" borderId="0" xfId="15" applyFont="1" applyFill="1" applyBorder="1" applyAlignment="1">
      <alignment horizontal="left" vertical="center" wrapText="1"/>
    </xf>
    <xf numFmtId="0" fontId="31" fillId="0" borderId="0" xfId="15" applyFont="1" applyFill="1" applyBorder="1" applyAlignment="1">
      <alignment horizontal="left" vertical="center"/>
    </xf>
    <xf numFmtId="171" fontId="0" fillId="18" borderId="13" xfId="2" applyNumberFormat="1" applyFont="1" applyFill="1" applyBorder="1" applyAlignment="1">
      <alignment horizontal="left" vertical="top"/>
    </xf>
    <xf numFmtId="0" fontId="31" fillId="0" borderId="30" xfId="15" applyFont="1" applyBorder="1" applyAlignment="1">
      <alignment horizontal="left" vertical="center" wrapText="1"/>
    </xf>
    <xf numFmtId="0" fontId="31" fillId="0" borderId="44" xfId="15" applyFont="1" applyBorder="1" applyAlignment="1">
      <alignment horizontal="left" vertical="center" wrapText="1"/>
    </xf>
    <xf numFmtId="0" fontId="16" fillId="0" borderId="0" xfId="2" applyFont="1" applyAlignment="1">
      <alignment vertical="center"/>
    </xf>
    <xf numFmtId="0" fontId="16" fillId="0" borderId="0" xfId="2" applyFont="1" applyAlignment="1">
      <alignment horizontal="left" vertical="center"/>
    </xf>
    <xf numFmtId="0" fontId="16" fillId="0" borderId="0" xfId="2" applyFont="1" applyAlignment="1">
      <alignment horizontal="center" vertical="center"/>
    </xf>
    <xf numFmtId="0" fontId="31" fillId="0" borderId="38" xfId="12" applyFont="1" applyBorder="1" applyAlignment="1">
      <alignment horizontal="left" vertical="center"/>
    </xf>
    <xf numFmtId="169" fontId="31" fillId="5" borderId="39" xfId="2" applyNumberFormat="1" applyFont="1" applyFill="1" applyBorder="1" applyAlignment="1">
      <alignment horizontal="right" vertical="center"/>
    </xf>
    <xf numFmtId="169" fontId="31" fillId="5" borderId="40" xfId="2" applyNumberFormat="1" applyFont="1" applyFill="1" applyBorder="1" applyAlignment="1">
      <alignment horizontal="right" vertical="center"/>
    </xf>
    <xf numFmtId="169" fontId="31" fillId="5" borderId="41" xfId="2" applyNumberFormat="1" applyFont="1" applyFill="1" applyBorder="1" applyAlignment="1">
      <alignment horizontal="right" vertical="center"/>
    </xf>
    <xf numFmtId="0" fontId="30" fillId="0" borderId="0" xfId="15" applyFont="1" applyBorder="1" applyAlignment="1">
      <alignment horizontal="left" vertical="center"/>
    </xf>
    <xf numFmtId="0" fontId="31" fillId="0" borderId="30" xfId="16" applyFont="1" applyBorder="1" applyAlignment="1">
      <alignment horizontal="left" vertical="center"/>
    </xf>
    <xf numFmtId="0" fontId="31" fillId="0" borderId="0" xfId="17" applyFont="1" applyBorder="1" applyAlignment="1">
      <alignment horizontal="left" vertical="center"/>
    </xf>
    <xf numFmtId="0" fontId="31" fillId="0" borderId="0" xfId="16" applyFont="1" applyBorder="1" applyAlignment="1">
      <alignment horizontal="left" vertical="center"/>
    </xf>
    <xf numFmtId="0" fontId="31" fillId="0" borderId="0" xfId="17" applyFont="1" applyBorder="1" applyAlignment="1">
      <alignment horizontal="right" vertical="center" wrapText="1"/>
    </xf>
    <xf numFmtId="0" fontId="23" fillId="0" borderId="0" xfId="14" applyFont="1" applyFill="1" applyBorder="1" applyAlignment="1">
      <alignment vertical="center"/>
    </xf>
    <xf numFmtId="0" fontId="37" fillId="0" borderId="0" xfId="15" applyFont="1" applyBorder="1" applyAlignment="1">
      <alignment horizontal="left" vertical="center"/>
    </xf>
    <xf numFmtId="0" fontId="32" fillId="14" borderId="43" xfId="12" applyFont="1" applyFill="1" applyBorder="1" applyAlignment="1">
      <alignment horizontal="centerContinuous" vertical="center"/>
    </xf>
    <xf numFmtId="172" fontId="23" fillId="18" borderId="13" xfId="2" applyNumberFormat="1" applyFont="1" applyFill="1" applyBorder="1" applyAlignment="1">
      <alignment horizontal="right" vertical="center"/>
    </xf>
    <xf numFmtId="172" fontId="23" fillId="18" borderId="37" xfId="2" applyNumberFormat="1" applyFont="1" applyFill="1" applyBorder="1" applyAlignment="1">
      <alignment horizontal="right" vertical="center"/>
    </xf>
    <xf numFmtId="172" fontId="23" fillId="18" borderId="36" xfId="2" applyNumberFormat="1" applyFont="1" applyFill="1" applyBorder="1" applyAlignment="1">
      <alignment horizontal="right" vertical="center"/>
    </xf>
    <xf numFmtId="0" fontId="23" fillId="0" borderId="38" xfId="14" applyFont="1" applyFill="1" applyBorder="1" applyAlignment="1">
      <alignment vertical="center"/>
    </xf>
    <xf numFmtId="0" fontId="23" fillId="0" borderId="1" xfId="14" applyFont="1" applyFill="1" applyBorder="1" applyAlignment="1">
      <alignment vertical="center"/>
    </xf>
    <xf numFmtId="0" fontId="31" fillId="0" borderId="1" xfId="15" applyFont="1" applyBorder="1" applyAlignment="1">
      <alignment horizontal="left" vertical="center"/>
    </xf>
    <xf numFmtId="0" fontId="31" fillId="0" borderId="1" xfId="15" applyFont="1" applyBorder="1" applyAlignment="1">
      <alignment horizontal="left" vertical="center" wrapText="1"/>
    </xf>
    <xf numFmtId="0" fontId="23" fillId="0" borderId="45" xfId="2" applyFont="1" applyFill="1" applyBorder="1" applyAlignment="1" applyProtection="1">
      <alignment horizontal="center" vertical="center"/>
    </xf>
    <xf numFmtId="172" fontId="23" fillId="18" borderId="40" xfId="2" applyNumberFormat="1" applyFont="1" applyFill="1" applyBorder="1" applyAlignment="1">
      <alignment horizontal="right" vertical="center"/>
    </xf>
    <xf numFmtId="172" fontId="23" fillId="18" borderId="41" xfId="2" applyNumberFormat="1" applyFont="1" applyFill="1" applyBorder="1" applyAlignment="1">
      <alignment horizontal="right" vertical="center"/>
    </xf>
    <xf numFmtId="172" fontId="23" fillId="18" borderId="39" xfId="2" applyNumberFormat="1" applyFont="1" applyFill="1" applyBorder="1" applyAlignment="1">
      <alignment horizontal="right" vertical="center"/>
    </xf>
    <xf numFmtId="0" fontId="35" fillId="16" borderId="46" xfId="12" applyFont="1" applyFill="1" applyBorder="1" applyAlignment="1">
      <alignment horizontal="centerContinuous" vertical="center"/>
    </xf>
    <xf numFmtId="0" fontId="28" fillId="0" borderId="26" xfId="12" applyFont="1" applyBorder="1" applyAlignment="1">
      <alignment vertical="center"/>
    </xf>
    <xf numFmtId="0" fontId="28" fillId="0" borderId="0" xfId="12" applyFont="1" applyBorder="1" applyAlignment="1">
      <alignment vertical="center"/>
    </xf>
    <xf numFmtId="0" fontId="31" fillId="11" borderId="13" xfId="18" applyFont="1" applyFill="1" applyBorder="1" applyAlignment="1">
      <alignment horizontal="center" vertical="center" wrapText="1"/>
    </xf>
    <xf numFmtId="0" fontId="31" fillId="11" borderId="13" xfId="18" applyFont="1" applyFill="1" applyBorder="1" applyAlignment="1">
      <alignment horizontal="centerContinuous" vertical="center" wrapText="1"/>
    </xf>
    <xf numFmtId="0" fontId="31" fillId="11" borderId="37" xfId="18" applyFont="1" applyFill="1" applyBorder="1" applyAlignment="1">
      <alignment horizontal="centerContinuous" vertical="center" wrapText="1"/>
    </xf>
    <xf numFmtId="0" fontId="23" fillId="13" borderId="0" xfId="14" applyFont="1" applyFill="1" applyBorder="1" applyAlignment="1">
      <alignment horizontal="center"/>
    </xf>
    <xf numFmtId="0" fontId="31" fillId="11" borderId="13" xfId="18" applyFont="1" applyFill="1" applyBorder="1" applyAlignment="1">
      <alignment horizontal="center" vertical="center"/>
    </xf>
    <xf numFmtId="0" fontId="31" fillId="11" borderId="37" xfId="18" applyFont="1" applyFill="1" applyBorder="1" applyAlignment="1">
      <alignment horizontal="center" vertical="center"/>
    </xf>
    <xf numFmtId="0" fontId="31" fillId="0" borderId="19" xfId="12" applyFont="1" applyBorder="1" applyAlignment="1">
      <alignment vertical="center"/>
    </xf>
    <xf numFmtId="0" fontId="23" fillId="13" borderId="0" xfId="14" applyFont="1" applyFill="1" applyBorder="1" applyAlignment="1"/>
    <xf numFmtId="0" fontId="23" fillId="13" borderId="44" xfId="14" applyFont="1" applyFill="1" applyBorder="1" applyAlignment="1"/>
    <xf numFmtId="171" fontId="23" fillId="18" borderId="13" xfId="2" applyNumberFormat="1" applyFont="1" applyFill="1" applyBorder="1" applyAlignment="1"/>
    <xf numFmtId="172" fontId="23" fillId="18" borderId="13" xfId="2" applyNumberFormat="1" applyFont="1" applyFill="1" applyBorder="1" applyAlignment="1"/>
    <xf numFmtId="49" fontId="23" fillId="18" borderId="13" xfId="2" applyNumberFormat="1" applyFont="1" applyFill="1" applyBorder="1" applyAlignment="1">
      <alignment horizontal="left"/>
    </xf>
    <xf numFmtId="171" fontId="23" fillId="18" borderId="37" xfId="2" applyNumberFormat="1" applyFont="1" applyFill="1" applyBorder="1" applyAlignment="1"/>
    <xf numFmtId="0" fontId="23" fillId="0" borderId="44" xfId="14" applyFont="1" applyFill="1" applyBorder="1" applyAlignment="1">
      <alignment vertical="center"/>
    </xf>
    <xf numFmtId="0" fontId="28" fillId="0" borderId="1" xfId="12" applyFont="1" applyBorder="1" applyAlignment="1">
      <alignment vertical="center"/>
    </xf>
    <xf numFmtId="0" fontId="23" fillId="0" borderId="49" xfId="14" applyFont="1" applyFill="1" applyBorder="1" applyAlignment="1">
      <alignment vertical="center"/>
    </xf>
    <xf numFmtId="0" fontId="32" fillId="11" borderId="47" xfId="18" applyFont="1" applyFill="1" applyBorder="1" applyAlignment="1">
      <alignment horizontal="centerContinuous" vertical="center"/>
    </xf>
    <xf numFmtId="0" fontId="32" fillId="0" borderId="27" xfId="12" applyFont="1" applyBorder="1" applyAlignment="1">
      <alignment horizontal="centerContinuous" vertical="center"/>
    </xf>
    <xf numFmtId="0" fontId="32" fillId="11" borderId="32" xfId="18" applyFont="1" applyFill="1" applyBorder="1" applyAlignment="1">
      <alignment horizontal="centerContinuous" vertical="center"/>
    </xf>
    <xf numFmtId="0" fontId="32" fillId="0" borderId="48" xfId="12" applyFont="1" applyBorder="1" applyAlignment="1">
      <alignment horizontal="centerContinuous" vertical="center"/>
    </xf>
    <xf numFmtId="0" fontId="36" fillId="0" borderId="0" xfId="14" applyFont="1" applyFill="1" applyBorder="1" applyAlignment="1">
      <alignment vertical="center"/>
    </xf>
    <xf numFmtId="0" fontId="31" fillId="11" borderId="10" xfId="18" applyFont="1" applyFill="1" applyBorder="1" applyAlignment="1">
      <alignment horizontal="centerContinuous" vertical="center" wrapText="1"/>
    </xf>
    <xf numFmtId="0" fontId="31" fillId="11" borderId="11" xfId="18" applyFont="1" applyFill="1" applyBorder="1" applyAlignment="1">
      <alignment horizontal="centerContinuous" vertical="center" wrapText="1"/>
    </xf>
    <xf numFmtId="0" fontId="31" fillId="11" borderId="10" xfId="18" applyFont="1" applyFill="1" applyBorder="1" applyAlignment="1">
      <alignment horizontal="center" vertical="center"/>
    </xf>
    <xf numFmtId="0" fontId="31" fillId="11" borderId="12" xfId="18" applyFont="1" applyFill="1" applyBorder="1" applyAlignment="1">
      <alignment horizontal="center" vertical="center"/>
    </xf>
    <xf numFmtId="0" fontId="23" fillId="0" borderId="12" xfId="2" applyFont="1" applyFill="1" applyBorder="1" applyAlignment="1" applyProtection="1">
      <alignment horizontal="center" vertical="center"/>
    </xf>
    <xf numFmtId="172" fontId="31" fillId="5" borderId="37" xfId="2" applyNumberFormat="1" applyFont="1" applyFill="1" applyBorder="1" applyAlignment="1">
      <alignment horizontal="right" vertical="center"/>
    </xf>
    <xf numFmtId="0" fontId="37" fillId="0" borderId="0" xfId="12" applyFont="1" applyBorder="1" applyAlignment="1">
      <alignment horizontal="center" vertical="center"/>
    </xf>
    <xf numFmtId="0" fontId="39" fillId="0" borderId="0" xfId="15" applyFont="1" applyBorder="1" applyAlignment="1">
      <alignment horizontal="left" vertical="center"/>
    </xf>
    <xf numFmtId="0" fontId="23" fillId="13" borderId="13" xfId="14" applyFont="1" applyFill="1" applyBorder="1" applyAlignment="1"/>
    <xf numFmtId="171" fontId="23" fillId="18" borderId="39" xfId="2" applyNumberFormat="1" applyFont="1" applyFill="1" applyBorder="1" applyAlignment="1">
      <alignment horizontal="right" vertical="center"/>
    </xf>
    <xf numFmtId="171" fontId="23" fillId="18" borderId="40" xfId="2" applyNumberFormat="1" applyFont="1" applyFill="1" applyBorder="1" applyAlignment="1">
      <alignment horizontal="right" vertical="center"/>
    </xf>
    <xf numFmtId="171" fontId="23" fillId="18" borderId="41" xfId="2" applyNumberFormat="1" applyFont="1" applyFill="1" applyBorder="1" applyAlignment="1">
      <alignment horizontal="right" vertical="center"/>
    </xf>
    <xf numFmtId="169" fontId="23" fillId="18" borderId="40" xfId="2" applyNumberFormat="1" applyFont="1" applyFill="1" applyBorder="1" applyAlignment="1">
      <alignment horizontal="right" vertical="center"/>
    </xf>
    <xf numFmtId="0" fontId="31" fillId="0" borderId="12" xfId="12" applyFont="1" applyBorder="1" applyAlignment="1">
      <alignment horizontal="center" vertical="center"/>
    </xf>
    <xf numFmtId="0" fontId="23" fillId="13" borderId="49" xfId="14" applyFont="1" applyFill="1" applyBorder="1" applyAlignment="1"/>
    <xf numFmtId="171" fontId="23" fillId="18" borderId="12" xfId="2" applyNumberFormat="1" applyFont="1" applyFill="1" applyBorder="1" applyAlignment="1">
      <alignment horizontal="right" vertical="center"/>
    </xf>
    <xf numFmtId="0" fontId="31" fillId="0" borderId="38" xfId="16" applyFont="1" applyBorder="1" applyAlignment="1">
      <alignment horizontal="left" vertical="center"/>
    </xf>
    <xf numFmtId="0" fontId="31" fillId="0" borderId="1" xfId="17" applyFont="1" applyBorder="1" applyAlignment="1">
      <alignment horizontal="left" vertical="center"/>
    </xf>
    <xf numFmtId="0" fontId="31" fillId="0" borderId="1" xfId="17" applyFont="1" applyBorder="1" applyAlignment="1">
      <alignment horizontal="right" vertical="center" wrapText="1"/>
    </xf>
    <xf numFmtId="0" fontId="31" fillId="0" borderId="23" xfId="12" applyFont="1" applyBorder="1" applyAlignment="1">
      <alignment horizontal="center" vertical="center"/>
    </xf>
    <xf numFmtId="169" fontId="31" fillId="5" borderId="50" xfId="2" applyNumberFormat="1" applyFont="1" applyFill="1" applyBorder="1" applyAlignment="1">
      <alignment horizontal="right" vertical="center"/>
    </xf>
    <xf numFmtId="169" fontId="31" fillId="5" borderId="12" xfId="2" applyNumberFormat="1" applyFont="1" applyFill="1" applyBorder="1" applyAlignment="1">
      <alignment horizontal="right" vertical="center"/>
    </xf>
    <xf numFmtId="0" fontId="37" fillId="0" borderId="0" xfId="17" applyFont="1" applyBorder="1" applyAlignment="1">
      <alignment horizontal="left" vertical="center"/>
    </xf>
    <xf numFmtId="0" fontId="37" fillId="0" borderId="1" xfId="17" applyFont="1" applyBorder="1" applyAlignment="1">
      <alignment horizontal="left" vertical="center"/>
    </xf>
    <xf numFmtId="0" fontId="30" fillId="0" borderId="1" xfId="15" applyFont="1" applyBorder="1" applyAlignment="1">
      <alignment horizontal="left" vertical="center"/>
    </xf>
    <xf numFmtId="0" fontId="23" fillId="0" borderId="0" xfId="5" applyFont="1"/>
    <xf numFmtId="0" fontId="31" fillId="0" borderId="0" xfId="16" applyFont="1"/>
    <xf numFmtId="0" fontId="30" fillId="0" borderId="0" xfId="16" applyFont="1" applyAlignment="1">
      <alignment vertical="center"/>
    </xf>
    <xf numFmtId="165" fontId="38" fillId="0" borderId="0" xfId="13" applyNumberFormat="1" applyFont="1" applyAlignment="1" applyProtection="1"/>
    <xf numFmtId="0" fontId="31" fillId="0" borderId="0" xfId="16" applyFont="1" applyBorder="1" applyAlignment="1">
      <alignment horizontal="center"/>
    </xf>
    <xf numFmtId="0" fontId="31" fillId="0" borderId="0" xfId="16" applyFont="1" applyAlignment="1">
      <alignment horizontal="center"/>
    </xf>
    <xf numFmtId="0" fontId="28" fillId="0" borderId="0" xfId="16" applyFont="1" applyAlignment="1">
      <alignment vertical="center"/>
    </xf>
    <xf numFmtId="0" fontId="31" fillId="0" borderId="0" xfId="16" applyFont="1" applyAlignment="1">
      <alignment horizontal="center" vertical="center"/>
    </xf>
    <xf numFmtId="0" fontId="31" fillId="0" borderId="0" xfId="16" applyFont="1" applyAlignment="1">
      <alignment vertical="center"/>
    </xf>
    <xf numFmtId="0" fontId="31" fillId="0" borderId="0" xfId="16" applyFont="1" applyBorder="1" applyAlignment="1">
      <alignment horizontal="center" vertical="center"/>
    </xf>
    <xf numFmtId="0" fontId="23" fillId="0" borderId="0" xfId="14" applyFont="1" applyFill="1"/>
    <xf numFmtId="0" fontId="23" fillId="0" borderId="0" xfId="2" applyFont="1" applyFill="1" applyBorder="1" applyProtection="1"/>
    <xf numFmtId="0" fontId="23" fillId="0" borderId="0" xfId="2" applyFont="1" applyFill="1" applyBorder="1" applyAlignment="1" applyProtection="1">
      <alignment horizontal="center"/>
    </xf>
    <xf numFmtId="0" fontId="37" fillId="0" borderId="25" xfId="16" applyFont="1" applyBorder="1" applyAlignment="1">
      <alignment vertical="center"/>
    </xf>
    <xf numFmtId="0" fontId="31" fillId="0" borderId="26" xfId="16" applyFont="1" applyBorder="1"/>
    <xf numFmtId="0" fontId="31" fillId="0" borderId="30" xfId="16" applyFont="1" applyBorder="1"/>
    <xf numFmtId="0" fontId="31" fillId="0" borderId="0" xfId="16" applyFont="1" applyBorder="1"/>
    <xf numFmtId="0" fontId="31" fillId="0" borderId="10" xfId="16" applyFont="1" applyBorder="1" applyAlignment="1">
      <alignment horizontal="center" vertical="center"/>
    </xf>
    <xf numFmtId="0" fontId="32" fillId="15" borderId="31" xfId="16" applyFont="1" applyFill="1" applyBorder="1" applyAlignment="1">
      <alignment horizontal="centerContinuous" vertical="center"/>
    </xf>
    <xf numFmtId="0" fontId="32" fillId="15" borderId="32" xfId="16" applyFont="1" applyFill="1" applyBorder="1" applyAlignment="1">
      <alignment horizontal="centerContinuous" vertical="center"/>
    </xf>
    <xf numFmtId="0" fontId="32" fillId="15" borderId="33" xfId="16" applyFont="1" applyFill="1" applyBorder="1" applyAlignment="1">
      <alignment horizontal="centerContinuous" vertical="center"/>
    </xf>
    <xf numFmtId="0" fontId="32" fillId="16" borderId="31" xfId="16" applyFont="1" applyFill="1" applyBorder="1" applyAlignment="1">
      <alignment horizontal="centerContinuous" vertical="center"/>
    </xf>
    <xf numFmtId="0" fontId="32" fillId="16" borderId="32" xfId="16" applyFont="1" applyFill="1" applyBorder="1" applyAlignment="1">
      <alignment horizontal="centerContinuous" vertical="center"/>
    </xf>
    <xf numFmtId="0" fontId="32" fillId="16" borderId="33" xfId="16" applyFont="1" applyFill="1" applyBorder="1" applyAlignment="1">
      <alignment horizontal="centerContinuous" vertical="center"/>
    </xf>
    <xf numFmtId="0" fontId="31" fillId="0" borderId="21" xfId="16" applyFont="1" applyBorder="1" applyAlignment="1">
      <alignment horizontal="center"/>
    </xf>
    <xf numFmtId="0" fontId="31" fillId="0" borderId="34" xfId="16" applyFont="1" applyBorder="1" applyAlignment="1">
      <alignment horizontal="center"/>
    </xf>
    <xf numFmtId="0" fontId="31" fillId="0" borderId="24" xfId="16" applyFont="1" applyBorder="1" applyAlignment="1">
      <alignment horizontal="center"/>
    </xf>
    <xf numFmtId="0" fontId="31" fillId="0" borderId="37" xfId="16" applyFont="1" applyBorder="1" applyAlignment="1">
      <alignment horizontal="center"/>
    </xf>
    <xf numFmtId="0" fontId="37" fillId="0" borderId="30" xfId="16" applyFont="1" applyBorder="1" applyAlignment="1">
      <alignment horizontal="left" vertical="center" indent="1"/>
    </xf>
    <xf numFmtId="0" fontId="31" fillId="0" borderId="10" xfId="16" applyFont="1" applyBorder="1" applyAlignment="1">
      <alignment horizontal="center"/>
    </xf>
    <xf numFmtId="169" fontId="37" fillId="17" borderId="36" xfId="2" applyNumberFormat="1" applyFont="1" applyFill="1" applyBorder="1" applyAlignment="1">
      <alignment horizontal="right"/>
    </xf>
    <xf numFmtId="169" fontId="37" fillId="17" borderId="13" xfId="2" applyNumberFormat="1" applyFont="1" applyFill="1" applyBorder="1" applyAlignment="1">
      <alignment horizontal="right"/>
    </xf>
    <xf numFmtId="169" fontId="37" fillId="17" borderId="37" xfId="2" applyNumberFormat="1" applyFont="1" applyFill="1" applyBorder="1" applyAlignment="1">
      <alignment horizontal="right"/>
    </xf>
    <xf numFmtId="169" fontId="31" fillId="5" borderId="36" xfId="2" applyNumberFormat="1" applyFont="1" applyFill="1" applyBorder="1" applyAlignment="1">
      <alignment horizontal="right"/>
    </xf>
    <xf numFmtId="169" fontId="31" fillId="5" borderId="13" xfId="2" applyNumberFormat="1" applyFont="1" applyFill="1" applyBorder="1" applyAlignment="1">
      <alignment horizontal="right"/>
    </xf>
    <xf numFmtId="169" fontId="31" fillId="5" borderId="37" xfId="2" applyNumberFormat="1" applyFont="1" applyFill="1" applyBorder="1" applyAlignment="1">
      <alignment horizontal="right"/>
    </xf>
    <xf numFmtId="0" fontId="31" fillId="0" borderId="1" xfId="16" applyFont="1" applyBorder="1" applyAlignment="1">
      <alignment horizontal="right"/>
    </xf>
    <xf numFmtId="0" fontId="31" fillId="0" borderId="45" xfId="16" applyFont="1" applyBorder="1" applyAlignment="1">
      <alignment horizontal="center"/>
    </xf>
    <xf numFmtId="0" fontId="30" fillId="11" borderId="25" xfId="18" applyFont="1" applyFill="1" applyBorder="1" applyAlignment="1">
      <alignment vertical="center"/>
    </xf>
    <xf numFmtId="0" fontId="31" fillId="11" borderId="26" xfId="18" applyFont="1" applyFill="1" applyBorder="1"/>
    <xf numFmtId="0" fontId="31" fillId="11" borderId="30" xfId="18" applyFont="1" applyFill="1" applyBorder="1" applyAlignment="1">
      <alignment vertical="center"/>
    </xf>
    <xf numFmtId="0" fontId="31" fillId="11" borderId="0" xfId="18" applyFont="1" applyFill="1" applyBorder="1"/>
    <xf numFmtId="0" fontId="37" fillId="11" borderId="30" xfId="18" applyFont="1" applyFill="1" applyBorder="1" applyAlignment="1">
      <alignment vertical="center"/>
    </xf>
    <xf numFmtId="0" fontId="31" fillId="11" borderId="21" xfId="18" applyFont="1" applyFill="1" applyBorder="1" applyAlignment="1">
      <alignment horizontal="center" vertical="center"/>
    </xf>
    <xf numFmtId="0" fontId="31" fillId="11" borderId="0" xfId="18" applyFont="1" applyFill="1" applyBorder="1" applyAlignment="1">
      <alignment vertical="center"/>
    </xf>
    <xf numFmtId="171" fontId="23" fillId="18" borderId="13" xfId="2" applyNumberFormat="1" applyFont="1" applyFill="1" applyBorder="1" applyAlignment="1">
      <alignment horizontal="left" vertical="center"/>
    </xf>
    <xf numFmtId="0" fontId="23" fillId="0" borderId="26" xfId="2" applyFont="1" applyFill="1" applyBorder="1" applyProtection="1"/>
    <xf numFmtId="0" fontId="23" fillId="0" borderId="30" xfId="2" applyFont="1" applyFill="1" applyBorder="1" applyProtection="1"/>
    <xf numFmtId="0" fontId="23" fillId="0" borderId="44" xfId="2" applyFont="1" applyFill="1" applyBorder="1" applyProtection="1"/>
    <xf numFmtId="169" fontId="23" fillId="18" borderId="36" xfId="2" applyNumberFormat="1" applyFont="1" applyFill="1" applyBorder="1" applyAlignment="1">
      <alignment horizontal="right"/>
    </xf>
    <xf numFmtId="169" fontId="23" fillId="18" borderId="13" xfId="2" applyNumberFormat="1" applyFont="1" applyFill="1" applyBorder="1" applyAlignment="1">
      <alignment horizontal="right"/>
    </xf>
    <xf numFmtId="169" fontId="23" fillId="18" borderId="37" xfId="2" applyNumberFormat="1" applyFont="1" applyFill="1" applyBorder="1" applyAlignment="1">
      <alignment horizontal="right"/>
    </xf>
    <xf numFmtId="0" fontId="23" fillId="0" borderId="1" xfId="2" applyFont="1" applyFill="1" applyBorder="1" applyProtection="1"/>
    <xf numFmtId="0" fontId="23" fillId="0" borderId="0" xfId="5" applyFont="1" applyBorder="1"/>
    <xf numFmtId="169" fontId="23" fillId="5" borderId="36" xfId="2" applyNumberFormat="1" applyFont="1" applyFill="1" applyBorder="1" applyAlignment="1">
      <alignment horizontal="right"/>
    </xf>
    <xf numFmtId="169" fontId="23" fillId="5" borderId="13" xfId="2" applyNumberFormat="1" applyFont="1" applyFill="1" applyBorder="1" applyAlignment="1">
      <alignment horizontal="right"/>
    </xf>
    <xf numFmtId="169" fontId="23" fillId="5" borderId="37" xfId="2" applyNumberFormat="1" applyFont="1" applyFill="1" applyBorder="1" applyAlignment="1">
      <alignment horizontal="right"/>
    </xf>
    <xf numFmtId="169" fontId="37" fillId="17" borderId="40" xfId="2" applyNumberFormat="1" applyFont="1" applyFill="1" applyBorder="1" applyAlignment="1">
      <alignment horizontal="right"/>
    </xf>
    <xf numFmtId="169" fontId="37" fillId="17" borderId="41" xfId="2" applyNumberFormat="1" applyFont="1" applyFill="1" applyBorder="1" applyAlignment="1">
      <alignment horizontal="right"/>
    </xf>
    <xf numFmtId="0" fontId="23" fillId="0" borderId="1" xfId="5" applyFont="1" applyBorder="1"/>
    <xf numFmtId="0" fontId="30" fillId="0" borderId="0" xfId="18" applyFont="1" applyAlignment="1">
      <alignment vertical="center"/>
    </xf>
    <xf numFmtId="0" fontId="31" fillId="0" borderId="0" xfId="18" applyFont="1"/>
    <xf numFmtId="0" fontId="31" fillId="0" borderId="0" xfId="18" applyFont="1" applyAlignment="1">
      <alignment horizontal="center" vertical="center"/>
    </xf>
    <xf numFmtId="0" fontId="31" fillId="0" borderId="0" xfId="18" applyFont="1" applyBorder="1" applyAlignment="1">
      <alignment horizontal="center"/>
    </xf>
    <xf numFmtId="0" fontId="31" fillId="0" borderId="0" xfId="18" applyFont="1" applyFill="1" applyBorder="1"/>
    <xf numFmtId="0" fontId="30" fillId="0" borderId="25" xfId="18" applyFont="1" applyBorder="1" applyAlignment="1">
      <alignment vertical="center"/>
    </xf>
    <xf numFmtId="0" fontId="31" fillId="0" borderId="26" xfId="18" applyFont="1" applyBorder="1"/>
    <xf numFmtId="0" fontId="31" fillId="0" borderId="0" xfId="18" applyFont="1" applyBorder="1"/>
    <xf numFmtId="0" fontId="31" fillId="0" borderId="10" xfId="18" applyFont="1" applyBorder="1" applyAlignment="1">
      <alignment horizontal="center" vertical="center"/>
    </xf>
    <xf numFmtId="0" fontId="37" fillId="0" borderId="30" xfId="18" applyFont="1" applyBorder="1" applyAlignment="1">
      <alignment vertical="center"/>
    </xf>
    <xf numFmtId="0" fontId="31" fillId="0" borderId="21" xfId="18" applyFont="1" applyBorder="1" applyAlignment="1">
      <alignment horizontal="center" vertical="center"/>
    </xf>
    <xf numFmtId="0" fontId="31" fillId="0" borderId="0" xfId="18" applyFont="1" applyBorder="1" applyAlignment="1">
      <alignment horizontal="center" vertical="center"/>
    </xf>
    <xf numFmtId="0" fontId="31" fillId="0" borderId="0" xfId="18" applyFont="1" applyBorder="1" applyAlignment="1">
      <alignment vertical="center"/>
    </xf>
    <xf numFmtId="0" fontId="31" fillId="0" borderId="34" xfId="18" applyFont="1" applyBorder="1" applyAlignment="1">
      <alignment horizontal="center" vertical="center"/>
    </xf>
    <xf numFmtId="0" fontId="31" fillId="0" borderId="24" xfId="18" applyFont="1" applyBorder="1" applyAlignment="1">
      <alignment horizontal="center" vertical="center"/>
    </xf>
    <xf numFmtId="0" fontId="31" fillId="0" borderId="37" xfId="18" applyFont="1" applyBorder="1" applyAlignment="1">
      <alignment horizontal="center" vertical="center"/>
    </xf>
    <xf numFmtId="0" fontId="31" fillId="0" borderId="11" xfId="18" applyFont="1" applyBorder="1" applyAlignment="1">
      <alignment horizontal="center" vertical="center"/>
    </xf>
    <xf numFmtId="0" fontId="37" fillId="0" borderId="1" xfId="18" applyFont="1" applyBorder="1" applyAlignment="1">
      <alignment horizontal="right" vertical="center"/>
    </xf>
    <xf numFmtId="0" fontId="31" fillId="0" borderId="45" xfId="18" applyFont="1" applyBorder="1" applyAlignment="1">
      <alignment horizontal="center" vertical="center"/>
    </xf>
    <xf numFmtId="0" fontId="31" fillId="0" borderId="1" xfId="18" applyFont="1" applyBorder="1"/>
    <xf numFmtId="171" fontId="23" fillId="18" borderId="10" xfId="2" applyNumberFormat="1" applyFont="1" applyFill="1" applyBorder="1" applyAlignment="1">
      <alignment horizontal="center" vertical="center"/>
    </xf>
    <xf numFmtId="165" fontId="41" fillId="0" borderId="0" xfId="13" applyNumberFormat="1" applyFont="1" applyAlignment="1" applyProtection="1"/>
    <xf numFmtId="0" fontId="28" fillId="0" borderId="0" xfId="18" applyFont="1"/>
    <xf numFmtId="0" fontId="16" fillId="0" borderId="0" xfId="14" applyFont="1" applyFill="1"/>
    <xf numFmtId="0" fontId="31" fillId="0" borderId="30" xfId="18" applyFont="1" applyBorder="1" applyAlignment="1">
      <alignment vertical="center"/>
    </xf>
    <xf numFmtId="0" fontId="37" fillId="0" borderId="30" xfId="18" applyFont="1" applyBorder="1" applyAlignment="1">
      <alignment horizontal="left" vertical="center"/>
    </xf>
    <xf numFmtId="0" fontId="31" fillId="0" borderId="30" xfId="18" applyFont="1" applyBorder="1" applyAlignment="1">
      <alignment horizontal="center" vertical="center"/>
    </xf>
    <xf numFmtId="0" fontId="31" fillId="0" borderId="44" xfId="18" applyFont="1" applyBorder="1" applyAlignment="1">
      <alignment horizontal="center" vertical="center"/>
    </xf>
    <xf numFmtId="0" fontId="31" fillId="0" borderId="44" xfId="18" applyFont="1" applyBorder="1" applyAlignment="1">
      <alignment vertical="center"/>
    </xf>
    <xf numFmtId="0" fontId="31" fillId="0" borderId="22" xfId="18" applyFont="1" applyBorder="1" applyAlignment="1">
      <alignment horizontal="center" vertical="center"/>
    </xf>
    <xf numFmtId="0" fontId="23" fillId="0" borderId="0" xfId="2" applyFont="1"/>
    <xf numFmtId="0" fontId="23" fillId="0" borderId="0" xfId="2" applyFont="1" applyBorder="1"/>
    <xf numFmtId="0" fontId="23" fillId="0" borderId="0" xfId="2" applyFont="1" applyBorder="1" applyAlignment="1">
      <alignment horizontal="center" vertical="center"/>
    </xf>
    <xf numFmtId="0" fontId="16" fillId="0" borderId="0" xfId="2" applyFont="1"/>
    <xf numFmtId="0" fontId="28" fillId="0" borderId="26" xfId="18" applyFont="1" applyBorder="1"/>
    <xf numFmtId="0" fontId="28" fillId="0" borderId="0" xfId="18" applyFont="1" applyBorder="1"/>
    <xf numFmtId="0" fontId="28" fillId="0" borderId="44" xfId="18" applyFont="1" applyBorder="1"/>
    <xf numFmtId="169" fontId="23" fillId="18" borderId="12" xfId="2" applyNumberFormat="1" applyFont="1" applyFill="1" applyBorder="1" applyAlignment="1">
      <alignment horizontal="right" vertical="center"/>
    </xf>
    <xf numFmtId="0" fontId="28" fillId="0" borderId="1" xfId="18" applyFont="1" applyBorder="1"/>
    <xf numFmtId="0" fontId="31" fillId="0" borderId="1" xfId="18" applyFont="1" applyBorder="1" applyAlignment="1">
      <alignment vertical="center"/>
    </xf>
    <xf numFmtId="0" fontId="28" fillId="0" borderId="49" xfId="18" applyFont="1" applyBorder="1"/>
    <xf numFmtId="0" fontId="23" fillId="0" borderId="30" xfId="2" applyFont="1" applyBorder="1"/>
    <xf numFmtId="0" fontId="16" fillId="0" borderId="0" xfId="2" applyFont="1" applyBorder="1"/>
    <xf numFmtId="0" fontId="31" fillId="0" borderId="13" xfId="18" applyFont="1" applyBorder="1" applyAlignment="1">
      <alignment horizontal="center" vertical="center"/>
    </xf>
    <xf numFmtId="0" fontId="23" fillId="0" borderId="0" xfId="2" applyFont="1" applyBorder="1" applyAlignment="1">
      <alignment horizontal="center"/>
    </xf>
    <xf numFmtId="0" fontId="23" fillId="0" borderId="44" xfId="2" applyFont="1" applyBorder="1"/>
    <xf numFmtId="171" fontId="23" fillId="18" borderId="13" xfId="2" applyNumberFormat="1" applyFont="1" applyFill="1" applyBorder="1" applyAlignment="1">
      <alignment vertical="center"/>
    </xf>
    <xf numFmtId="169" fontId="23" fillId="18" borderId="10" xfId="2" applyNumberFormat="1" applyFont="1" applyFill="1" applyBorder="1" applyAlignment="1">
      <alignment vertical="center"/>
    </xf>
    <xf numFmtId="171" fontId="23" fillId="18" borderId="37" xfId="2" applyNumberFormat="1" applyFont="1" applyFill="1" applyBorder="1" applyAlignment="1">
      <alignment vertical="center"/>
    </xf>
    <xf numFmtId="0" fontId="23" fillId="0" borderId="38" xfId="2" applyFont="1" applyBorder="1"/>
    <xf numFmtId="0" fontId="23" fillId="0" borderId="1" xfId="2" applyFont="1" applyBorder="1"/>
    <xf numFmtId="0" fontId="23" fillId="0" borderId="0" xfId="2" applyFont="1" applyAlignment="1">
      <alignment horizontal="center" vertical="center"/>
    </xf>
    <xf numFmtId="0" fontId="31" fillId="0" borderId="0" xfId="18" applyFont="1" applyAlignment="1">
      <alignment horizontal="center"/>
    </xf>
    <xf numFmtId="0" fontId="28" fillId="0" borderId="0" xfId="18" applyFont="1" applyAlignment="1">
      <alignment horizontal="center"/>
    </xf>
    <xf numFmtId="0" fontId="28" fillId="11" borderId="0" xfId="19" applyFont="1" applyFill="1"/>
    <xf numFmtId="0" fontId="30" fillId="11" borderId="0" xfId="19" applyFont="1" applyFill="1" applyAlignment="1">
      <alignment vertical="center"/>
    </xf>
    <xf numFmtId="165" fontId="29" fillId="11" borderId="0" xfId="13" applyNumberFormat="1" applyFont="1" applyFill="1" applyAlignment="1" applyProtection="1"/>
    <xf numFmtId="0" fontId="31" fillId="11" borderId="0" xfId="19" applyFont="1" applyFill="1" applyBorder="1" applyAlignment="1">
      <alignment horizontal="center"/>
    </xf>
    <xf numFmtId="0" fontId="31" fillId="11" borderId="0" xfId="19" applyFont="1" applyFill="1" applyAlignment="1">
      <alignment horizontal="center"/>
    </xf>
    <xf numFmtId="0" fontId="31" fillId="11" borderId="0" xfId="19" applyFont="1" applyFill="1"/>
    <xf numFmtId="0" fontId="28" fillId="0" borderId="0" xfId="19" applyFont="1" applyAlignment="1">
      <alignment vertical="center"/>
    </xf>
    <xf numFmtId="0" fontId="31" fillId="0" borderId="0" xfId="19" applyFont="1" applyAlignment="1">
      <alignment vertical="center"/>
    </xf>
    <xf numFmtId="0" fontId="31" fillId="0" borderId="0" xfId="19" applyFont="1" applyBorder="1" applyAlignment="1">
      <alignment horizontal="center" vertical="center"/>
    </xf>
    <xf numFmtId="0" fontId="16" fillId="11" borderId="0" xfId="14" applyFont="1" applyFill="1"/>
    <xf numFmtId="0" fontId="23" fillId="11" borderId="0" xfId="2" applyFont="1" applyFill="1" applyBorder="1" applyProtection="1"/>
    <xf numFmtId="0" fontId="23" fillId="11" borderId="0" xfId="2" applyFont="1" applyFill="1" applyBorder="1" applyAlignment="1" applyProtection="1">
      <alignment horizontal="center"/>
    </xf>
    <xf numFmtId="0" fontId="23" fillId="11" borderId="0" xfId="14" applyFont="1" applyFill="1"/>
    <xf numFmtId="0" fontId="32" fillId="15" borderId="31" xfId="19" applyFont="1" applyFill="1" applyBorder="1" applyAlignment="1">
      <alignment horizontal="centerContinuous" vertical="center"/>
    </xf>
    <xf numFmtId="0" fontId="32" fillId="15" borderId="32" xfId="19" applyFont="1" applyFill="1" applyBorder="1" applyAlignment="1">
      <alignment horizontal="centerContinuous" vertical="center"/>
    </xf>
    <xf numFmtId="0" fontId="32" fillId="15" borderId="33" xfId="19" applyFont="1" applyFill="1" applyBorder="1" applyAlignment="1">
      <alignment horizontal="centerContinuous" vertical="center"/>
    </xf>
    <xf numFmtId="0" fontId="32" fillId="16" borderId="31" xfId="19" applyFont="1" applyFill="1" applyBorder="1" applyAlignment="1">
      <alignment horizontal="centerContinuous" vertical="center"/>
    </xf>
    <xf numFmtId="0" fontId="32" fillId="16" borderId="32" xfId="19" applyFont="1" applyFill="1" applyBorder="1" applyAlignment="1">
      <alignment horizontal="centerContinuous" vertical="center"/>
    </xf>
    <xf numFmtId="0" fontId="32" fillId="16" borderId="33" xfId="19" applyFont="1" applyFill="1" applyBorder="1" applyAlignment="1">
      <alignment horizontal="centerContinuous" vertical="center"/>
    </xf>
    <xf numFmtId="0" fontId="31" fillId="11" borderId="34" xfId="19" applyFont="1" applyFill="1" applyBorder="1" applyAlignment="1">
      <alignment horizontal="center"/>
    </xf>
    <xf numFmtId="0" fontId="31" fillId="11" borderId="24" xfId="19" applyFont="1" applyFill="1" applyBorder="1" applyAlignment="1">
      <alignment horizontal="center"/>
    </xf>
    <xf numFmtId="0" fontId="31" fillId="11" borderId="37" xfId="19" applyFont="1" applyFill="1" applyBorder="1" applyAlignment="1">
      <alignment horizontal="center"/>
    </xf>
    <xf numFmtId="0" fontId="37" fillId="11" borderId="30" xfId="18" applyFont="1" applyFill="1" applyBorder="1" applyAlignment="1">
      <alignment horizontal="left" vertical="center"/>
    </xf>
    <xf numFmtId="0" fontId="31" fillId="11" borderId="0" xfId="18" applyFont="1" applyFill="1" applyBorder="1" applyAlignment="1">
      <alignment horizontal="center" vertical="center"/>
    </xf>
    <xf numFmtId="0" fontId="31" fillId="11" borderId="30" xfId="18" applyFont="1" applyFill="1" applyBorder="1" applyAlignment="1">
      <alignment horizontal="center" vertical="center"/>
    </xf>
    <xf numFmtId="0" fontId="31" fillId="11" borderId="44" xfId="18" applyFont="1" applyFill="1" applyBorder="1" applyAlignment="1">
      <alignment horizontal="center" vertical="center"/>
    </xf>
    <xf numFmtId="0" fontId="31" fillId="11" borderId="0" xfId="20" applyFont="1" applyFill="1" applyBorder="1"/>
    <xf numFmtId="0" fontId="31" fillId="11" borderId="10" xfId="20" applyFont="1" applyFill="1" applyBorder="1" applyAlignment="1">
      <alignment horizontal="center"/>
    </xf>
    <xf numFmtId="0" fontId="31" fillId="11" borderId="1" xfId="19" applyFont="1" applyFill="1" applyBorder="1" applyAlignment="1">
      <alignment horizontal="right"/>
    </xf>
    <xf numFmtId="0" fontId="16" fillId="13" borderId="1" xfId="14" applyFont="1" applyFill="1" applyBorder="1" applyAlignment="1"/>
    <xf numFmtId="0" fontId="35" fillId="11" borderId="0" xfId="19" applyFont="1" applyFill="1" applyBorder="1" applyAlignment="1">
      <alignment horizontal="center"/>
    </xf>
    <xf numFmtId="0" fontId="30" fillId="11" borderId="25" xfId="19" applyFont="1" applyFill="1" applyBorder="1" applyAlignment="1">
      <alignment vertical="center"/>
    </xf>
    <xf numFmtId="0" fontId="28" fillId="11" borderId="26" xfId="19" applyFont="1" applyFill="1" applyBorder="1"/>
    <xf numFmtId="0" fontId="16" fillId="13" borderId="26" xfId="14" applyFont="1" applyFill="1" applyBorder="1" applyAlignment="1"/>
    <xf numFmtId="0" fontId="16" fillId="11" borderId="26" xfId="14" applyFont="1" applyFill="1" applyBorder="1"/>
    <xf numFmtId="0" fontId="28" fillId="11" borderId="30" xfId="19" applyFont="1" applyFill="1" applyBorder="1"/>
    <xf numFmtId="0" fontId="28" fillId="11" borderId="0" xfId="19" applyFont="1" applyFill="1" applyBorder="1"/>
    <xf numFmtId="0" fontId="16" fillId="13" borderId="0" xfId="14" applyFont="1" applyFill="1" applyBorder="1" applyAlignment="1"/>
    <xf numFmtId="0" fontId="31" fillId="11" borderId="10" xfId="21" applyFont="1" applyFill="1" applyBorder="1" applyAlignment="1">
      <alignment horizontal="center" vertical="center"/>
    </xf>
    <xf numFmtId="0" fontId="16" fillId="11" borderId="0" xfId="14" applyFont="1" applyFill="1" applyBorder="1"/>
    <xf numFmtId="0" fontId="30" fillId="11" borderId="30" xfId="19" applyFont="1" applyFill="1" applyBorder="1" applyAlignment="1">
      <alignment horizontal="left" vertical="center" indent="1"/>
    </xf>
    <xf numFmtId="0" fontId="31" fillId="11" borderId="21" xfId="21" applyFont="1" applyFill="1" applyBorder="1" applyAlignment="1">
      <alignment horizontal="center"/>
    </xf>
    <xf numFmtId="0" fontId="37" fillId="11" borderId="30" xfId="19" applyFont="1" applyFill="1" applyBorder="1" applyAlignment="1">
      <alignment horizontal="left" vertical="center" indent="1"/>
    </xf>
    <xf numFmtId="0" fontId="23" fillId="13" borderId="30" xfId="14" applyFont="1" applyFill="1" applyBorder="1" applyAlignment="1"/>
    <xf numFmtId="0" fontId="23" fillId="11" borderId="10" xfId="2" applyFont="1" applyFill="1" applyBorder="1" applyAlignment="1" applyProtection="1">
      <alignment horizontal="center"/>
    </xf>
    <xf numFmtId="171" fontId="23" fillId="18" borderId="36" xfId="2" applyNumberFormat="1" applyFont="1" applyFill="1" applyBorder="1" applyAlignment="1">
      <alignment horizontal="right"/>
    </xf>
    <xf numFmtId="171" fontId="23" fillId="18" borderId="13" xfId="2" applyNumberFormat="1" applyFont="1" applyFill="1" applyBorder="1" applyAlignment="1">
      <alignment horizontal="right"/>
    </xf>
    <xf numFmtId="171" fontId="23" fillId="18" borderId="37" xfId="2" applyNumberFormat="1" applyFont="1" applyFill="1" applyBorder="1" applyAlignment="1">
      <alignment horizontal="right"/>
    </xf>
    <xf numFmtId="0" fontId="31" fillId="11" borderId="45" xfId="21" applyFont="1" applyFill="1" applyBorder="1" applyAlignment="1">
      <alignment horizontal="center"/>
    </xf>
    <xf numFmtId="0" fontId="16" fillId="11" borderId="1" xfId="14" applyFont="1" applyFill="1" applyBorder="1"/>
    <xf numFmtId="0" fontId="23" fillId="11" borderId="45" xfId="2" applyFont="1" applyFill="1" applyBorder="1" applyAlignment="1" applyProtection="1">
      <alignment horizontal="center"/>
    </xf>
    <xf numFmtId="0" fontId="16" fillId="11" borderId="0" xfId="2" applyFont="1" applyFill="1"/>
    <xf numFmtId="0" fontId="16" fillId="11" borderId="0" xfId="2" applyFont="1" applyFill="1" applyAlignment="1">
      <alignment horizontal="center"/>
    </xf>
    <xf numFmtId="0" fontId="31" fillId="11" borderId="0" xfId="20" applyFont="1" applyFill="1"/>
    <xf numFmtId="0" fontId="30" fillId="11" borderId="0" xfId="20" applyFont="1" applyFill="1" applyAlignment="1">
      <alignment vertical="center"/>
    </xf>
    <xf numFmtId="165" fontId="38" fillId="11" borderId="0" xfId="13" applyNumberFormat="1" applyFont="1" applyFill="1" applyAlignment="1" applyProtection="1"/>
    <xf numFmtId="0" fontId="31" fillId="11" borderId="0" xfId="20" applyFont="1" applyFill="1" applyBorder="1" applyAlignment="1">
      <alignment horizontal="center"/>
    </xf>
    <xf numFmtId="0" fontId="31" fillId="11" borderId="0" xfId="20" applyFont="1" applyFill="1" applyAlignment="1">
      <alignment horizontal="center"/>
    </xf>
    <xf numFmtId="0" fontId="28" fillId="0" borderId="0" xfId="20" applyFont="1" applyAlignment="1">
      <alignment vertical="center"/>
    </xf>
    <xf numFmtId="0" fontId="31" fillId="0" borderId="0" xfId="20" applyFont="1" applyAlignment="1">
      <alignment horizontal="center" vertical="center"/>
    </xf>
    <xf numFmtId="0" fontId="31" fillId="0" borderId="0" xfId="20" applyFont="1" applyAlignment="1">
      <alignment vertical="center"/>
    </xf>
    <xf numFmtId="0" fontId="31" fillId="0" borderId="0" xfId="20" applyFont="1" applyBorder="1" applyAlignment="1">
      <alignment horizontal="center" vertical="center"/>
    </xf>
    <xf numFmtId="0" fontId="32" fillId="15" borderId="31" xfId="20" applyFont="1" applyFill="1" applyBorder="1" applyAlignment="1">
      <alignment horizontal="centerContinuous" vertical="center"/>
    </xf>
    <xf numFmtId="0" fontId="32" fillId="15" borderId="32" xfId="20" applyFont="1" applyFill="1" applyBorder="1" applyAlignment="1">
      <alignment horizontal="centerContinuous" vertical="center"/>
    </xf>
    <xf numFmtId="0" fontId="32" fillId="15" borderId="33" xfId="20" applyFont="1" applyFill="1" applyBorder="1" applyAlignment="1">
      <alignment horizontal="centerContinuous" vertical="center"/>
    </xf>
    <xf numFmtId="0" fontId="32" fillId="16" borderId="31" xfId="20" applyFont="1" applyFill="1" applyBorder="1" applyAlignment="1">
      <alignment horizontal="centerContinuous" vertical="center"/>
    </xf>
    <xf numFmtId="0" fontId="32" fillId="16" borderId="32" xfId="20" applyFont="1" applyFill="1" applyBorder="1" applyAlignment="1">
      <alignment horizontal="centerContinuous" vertical="center"/>
    </xf>
    <xf numFmtId="0" fontId="32" fillId="16" borderId="33" xfId="20" applyFont="1" applyFill="1" applyBorder="1" applyAlignment="1">
      <alignment horizontal="centerContinuous" vertical="center"/>
    </xf>
    <xf numFmtId="0" fontId="31" fillId="11" borderId="34" xfId="20" applyFont="1" applyFill="1" applyBorder="1" applyAlignment="1">
      <alignment horizontal="center"/>
    </xf>
    <xf numFmtId="0" fontId="31" fillId="11" borderId="24" xfId="20" applyFont="1" applyFill="1" applyBorder="1" applyAlignment="1">
      <alignment horizontal="center"/>
    </xf>
    <xf numFmtId="0" fontId="31" fillId="11" borderId="37" xfId="20" applyFont="1" applyFill="1" applyBorder="1" applyAlignment="1">
      <alignment horizontal="center"/>
    </xf>
    <xf numFmtId="0" fontId="31" fillId="11" borderId="1" xfId="20" applyFont="1" applyFill="1" applyBorder="1" applyAlignment="1">
      <alignment horizontal="right"/>
    </xf>
    <xf numFmtId="0" fontId="23" fillId="13" borderId="1" xfId="14" applyFont="1" applyFill="1" applyBorder="1" applyAlignment="1"/>
    <xf numFmtId="0" fontId="31" fillId="11" borderId="30" xfId="20" applyFont="1" applyFill="1" applyBorder="1" applyAlignment="1">
      <alignment horizontal="left" indent="2"/>
    </xf>
    <xf numFmtId="0" fontId="30" fillId="11" borderId="25" xfId="20" applyFont="1" applyFill="1" applyBorder="1" applyAlignment="1">
      <alignment vertical="center"/>
    </xf>
    <xf numFmtId="0" fontId="31" fillId="11" borderId="26" xfId="20" applyFont="1" applyFill="1" applyBorder="1"/>
    <xf numFmtId="0" fontId="23" fillId="13" borderId="26" xfId="14" applyFont="1" applyFill="1" applyBorder="1" applyAlignment="1"/>
    <xf numFmtId="0" fontId="23" fillId="11" borderId="26" xfId="14" applyFont="1" applyFill="1" applyBorder="1"/>
    <xf numFmtId="0" fontId="31" fillId="11" borderId="30" xfId="20" applyFont="1" applyFill="1" applyBorder="1"/>
    <xf numFmtId="0" fontId="23" fillId="11" borderId="0" xfId="14" applyFont="1" applyFill="1" applyBorder="1"/>
    <xf numFmtId="0" fontId="23" fillId="11" borderId="37" xfId="14" applyFont="1" applyFill="1" applyBorder="1" applyAlignment="1">
      <alignment horizontal="center" vertical="center" wrapText="1"/>
    </xf>
    <xf numFmtId="0" fontId="37" fillId="11" borderId="30" xfId="20" applyFont="1" applyFill="1" applyBorder="1" applyAlignment="1">
      <alignment horizontal="left" vertical="center" indent="1"/>
    </xf>
    <xf numFmtId="0" fontId="23" fillId="11" borderId="13" xfId="2" applyFont="1" applyFill="1" applyBorder="1" applyAlignment="1">
      <alignment horizontal="center" vertical="center"/>
    </xf>
    <xf numFmtId="0" fontId="23" fillId="11" borderId="13" xfId="14" applyFont="1" applyFill="1" applyBorder="1" applyAlignment="1">
      <alignment horizontal="center" vertical="center"/>
    </xf>
    <xf numFmtId="0" fontId="23" fillId="11" borderId="37" xfId="14" applyFont="1" applyFill="1" applyBorder="1" applyAlignment="1">
      <alignment horizontal="center" vertical="center"/>
    </xf>
    <xf numFmtId="171" fontId="23" fillId="18" borderId="13" xfId="2" applyNumberFormat="1" applyFont="1" applyFill="1" applyBorder="1" applyAlignment="1">
      <alignment horizontal="left" vertical="top"/>
    </xf>
    <xf numFmtId="0" fontId="37" fillId="11" borderId="1" xfId="20" applyFont="1" applyFill="1" applyBorder="1" applyAlignment="1">
      <alignment horizontal="right"/>
    </xf>
    <xf numFmtId="0" fontId="31" fillId="11" borderId="45" xfId="20" applyFont="1" applyFill="1" applyBorder="1" applyAlignment="1">
      <alignment horizontal="center"/>
    </xf>
    <xf numFmtId="0" fontId="23" fillId="11" borderId="1" xfId="14" applyFont="1" applyFill="1" applyBorder="1"/>
    <xf numFmtId="0" fontId="23" fillId="11" borderId="37" xfId="14" applyFont="1" applyFill="1" applyBorder="1" applyAlignment="1"/>
    <xf numFmtId="0" fontId="31" fillId="11" borderId="37" xfId="18" applyFont="1" applyFill="1" applyBorder="1" applyAlignment="1">
      <alignment horizontal="center" vertical="center" wrapText="1"/>
    </xf>
    <xf numFmtId="0" fontId="23" fillId="11" borderId="36" xfId="14" applyFont="1" applyFill="1" applyBorder="1" applyAlignment="1">
      <alignment horizontal="center"/>
    </xf>
    <xf numFmtId="0" fontId="31" fillId="11" borderId="13" xfId="20" applyFont="1" applyFill="1" applyBorder="1" applyAlignment="1">
      <alignment horizontal="center"/>
    </xf>
    <xf numFmtId="171" fontId="23" fillId="18" borderId="10" xfId="2" applyNumberFormat="1" applyFont="1" applyFill="1" applyBorder="1" applyAlignment="1">
      <alignment horizontal="center"/>
    </xf>
    <xf numFmtId="169" fontId="23" fillId="18" borderId="13" xfId="2" applyNumberFormat="1" applyFont="1" applyFill="1" applyBorder="1" applyAlignment="1"/>
    <xf numFmtId="169" fontId="23" fillId="18" borderId="37" xfId="2" applyNumberFormat="1" applyFont="1" applyFill="1" applyBorder="1" applyAlignment="1"/>
    <xf numFmtId="0" fontId="23" fillId="11" borderId="0" xfId="2" applyFont="1" applyFill="1"/>
    <xf numFmtId="0" fontId="31" fillId="11" borderId="23" xfId="20" applyFont="1" applyFill="1" applyBorder="1" applyAlignment="1">
      <alignment horizontal="center"/>
    </xf>
    <xf numFmtId="169" fontId="23" fillId="18" borderId="12" xfId="2" applyNumberFormat="1" applyFont="1" applyFill="1" applyBorder="1" applyAlignment="1">
      <alignment horizontal="right"/>
    </xf>
    <xf numFmtId="0" fontId="23" fillId="11" borderId="0" xfId="2" applyFont="1" applyFill="1" applyAlignment="1">
      <alignment horizontal="center"/>
    </xf>
    <xf numFmtId="0" fontId="23" fillId="13" borderId="44" xfId="14" applyFont="1" applyFill="1" applyBorder="1" applyAlignment="1">
      <alignment horizontal="center"/>
    </xf>
    <xf numFmtId="0" fontId="31" fillId="11" borderId="0" xfId="21" applyFont="1" applyFill="1"/>
    <xf numFmtId="0" fontId="30" fillId="11" borderId="0" xfId="21" applyFont="1" applyFill="1" applyAlignment="1">
      <alignment vertical="center"/>
    </xf>
    <xf numFmtId="0" fontId="31" fillId="11" borderId="0" xfId="21" applyFont="1" applyFill="1" applyBorder="1" applyAlignment="1">
      <alignment horizontal="center"/>
    </xf>
    <xf numFmtId="0" fontId="31" fillId="11" borderId="0" xfId="21" applyFont="1" applyFill="1" applyAlignment="1">
      <alignment horizontal="center"/>
    </xf>
    <xf numFmtId="0" fontId="30" fillId="11" borderId="25" xfId="21" applyFont="1" applyFill="1" applyBorder="1" applyAlignment="1">
      <alignment vertical="center"/>
    </xf>
    <xf numFmtId="0" fontId="31" fillId="11" borderId="26" xfId="21" applyFont="1" applyFill="1" applyBorder="1"/>
    <xf numFmtId="0" fontId="31" fillId="11" borderId="30" xfId="21" applyFont="1" applyFill="1" applyBorder="1"/>
    <xf numFmtId="0" fontId="31" fillId="11" borderId="0" xfId="21" applyFont="1" applyFill="1" applyBorder="1"/>
    <xf numFmtId="0" fontId="37" fillId="11" borderId="30" xfId="21" applyFont="1" applyFill="1" applyBorder="1" applyAlignment="1">
      <alignment horizontal="left" vertical="center" indent="1"/>
    </xf>
    <xf numFmtId="0" fontId="31" fillId="11" borderId="10" xfId="21" applyFont="1" applyFill="1" applyBorder="1" applyAlignment="1">
      <alignment horizontal="center"/>
    </xf>
    <xf numFmtId="0" fontId="31" fillId="11" borderId="30" xfId="23" applyFont="1" applyFill="1" applyBorder="1" applyAlignment="1">
      <alignment horizontal="left" indent="2"/>
    </xf>
    <xf numFmtId="0" fontId="31" fillId="11" borderId="0" xfId="23" applyFont="1" applyFill="1" applyBorder="1" applyAlignment="1">
      <alignment horizontal="left" wrapText="1"/>
    </xf>
    <xf numFmtId="0" fontId="31" fillId="11" borderId="30" xfId="21" applyFont="1" applyFill="1" applyBorder="1" applyAlignment="1">
      <alignment horizontal="left" indent="2"/>
    </xf>
    <xf numFmtId="0" fontId="31" fillId="11" borderId="0" xfId="23" applyFont="1" applyFill="1" applyBorder="1" applyAlignment="1">
      <alignment horizontal="right" wrapText="1"/>
    </xf>
    <xf numFmtId="0" fontId="37" fillId="11" borderId="0" xfId="21" applyFont="1" applyFill="1" applyBorder="1" applyAlignment="1">
      <alignment horizontal="left" vertical="center" indent="1"/>
    </xf>
    <xf numFmtId="0" fontId="23" fillId="11" borderId="44" xfId="14" applyFont="1" applyFill="1" applyBorder="1"/>
    <xf numFmtId="0" fontId="37" fillId="11" borderId="1" xfId="21" applyFont="1" applyFill="1" applyBorder="1" applyAlignment="1">
      <alignment horizontal="right"/>
    </xf>
    <xf numFmtId="0" fontId="23" fillId="11" borderId="49" xfId="14" applyFont="1" applyFill="1" applyBorder="1"/>
    <xf numFmtId="0" fontId="23" fillId="11" borderId="13" xfId="14" applyFont="1" applyFill="1" applyBorder="1" applyAlignment="1">
      <alignment horizontal="center" vertical="center" wrapText="1"/>
    </xf>
    <xf numFmtId="0" fontId="23" fillId="11" borderId="13" xfId="14" applyFont="1" applyFill="1" applyBorder="1" applyAlignment="1">
      <alignment horizontal="centerContinuous" vertical="center" wrapText="1"/>
    </xf>
    <xf numFmtId="0" fontId="23" fillId="11" borderId="37" xfId="14" applyFont="1" applyFill="1" applyBorder="1" applyAlignment="1">
      <alignment horizontal="centerContinuous" vertical="center" wrapText="1"/>
    </xf>
    <xf numFmtId="169" fontId="23" fillId="18" borderId="40" xfId="2" applyNumberFormat="1" applyFont="1" applyFill="1" applyBorder="1" applyAlignment="1">
      <alignment horizontal="right"/>
    </xf>
    <xf numFmtId="0" fontId="31" fillId="11" borderId="0" xfId="22" applyFont="1" applyFill="1" applyBorder="1" applyAlignment="1">
      <alignment horizontal="left" wrapText="1"/>
    </xf>
    <xf numFmtId="0" fontId="30" fillId="0" borderId="0" xfId="16" applyFont="1" applyAlignment="1">
      <alignment horizontal="left" vertical="center"/>
    </xf>
    <xf numFmtId="0" fontId="32" fillId="0" borderId="0" xfId="16" applyFont="1" applyAlignment="1">
      <alignment vertical="center"/>
    </xf>
    <xf numFmtId="0" fontId="33" fillId="0" borderId="26" xfId="16" applyFont="1" applyBorder="1" applyAlignment="1">
      <alignment horizontal="left" vertical="center"/>
    </xf>
    <xf numFmtId="0" fontId="32" fillId="0" borderId="26" xfId="16" applyFont="1" applyBorder="1" applyAlignment="1">
      <alignment vertical="center"/>
    </xf>
    <xf numFmtId="0" fontId="32" fillId="14" borderId="27" xfId="16" applyFont="1" applyFill="1" applyBorder="1" applyAlignment="1">
      <alignment horizontal="centerContinuous" vertical="center"/>
    </xf>
    <xf numFmtId="0" fontId="32" fillId="14" borderId="28" xfId="16" applyFont="1" applyFill="1" applyBorder="1" applyAlignment="1">
      <alignment horizontal="centerContinuous" vertical="center"/>
    </xf>
    <xf numFmtId="0" fontId="32" fillId="14" borderId="29" xfId="16" applyFont="1" applyFill="1" applyBorder="1" applyAlignment="1">
      <alignment horizontal="centerContinuous" vertical="center"/>
    </xf>
    <xf numFmtId="0" fontId="32" fillId="0" borderId="0" xfId="16" applyFont="1" applyBorder="1" applyAlignment="1">
      <alignment horizontal="center" vertical="center"/>
    </xf>
    <xf numFmtId="0" fontId="35" fillId="0" borderId="30" xfId="16" applyFont="1" applyBorder="1" applyAlignment="1">
      <alignment horizontal="left" vertical="center"/>
    </xf>
    <xf numFmtId="0" fontId="35" fillId="0" borderId="0" xfId="16" applyFont="1" applyBorder="1" applyAlignment="1">
      <alignment horizontal="left" vertical="center"/>
    </xf>
    <xf numFmtId="0" fontId="35" fillId="0" borderId="0" xfId="16" applyFont="1" applyBorder="1" applyAlignment="1">
      <alignment vertical="center"/>
    </xf>
    <xf numFmtId="0" fontId="35" fillId="15" borderId="42" xfId="16" applyFont="1" applyFill="1" applyBorder="1" applyAlignment="1">
      <alignment horizontal="centerContinuous" vertical="center"/>
    </xf>
    <xf numFmtId="0" fontId="35" fillId="15" borderId="27" xfId="16" applyFont="1" applyFill="1" applyBorder="1" applyAlignment="1">
      <alignment horizontal="centerContinuous" vertical="center"/>
    </xf>
    <xf numFmtId="0" fontId="35" fillId="15" borderId="43" xfId="16" applyFont="1" applyFill="1" applyBorder="1" applyAlignment="1">
      <alignment horizontal="centerContinuous" vertical="center"/>
    </xf>
    <xf numFmtId="0" fontId="35" fillId="16" borderId="42" xfId="16" applyFont="1" applyFill="1" applyBorder="1" applyAlignment="1">
      <alignment horizontal="centerContinuous" vertical="center"/>
    </xf>
    <xf numFmtId="0" fontId="35" fillId="16" borderId="27" xfId="16" applyFont="1" applyFill="1" applyBorder="1" applyAlignment="1">
      <alignment horizontal="centerContinuous" vertical="center"/>
    </xf>
    <xf numFmtId="0" fontId="35" fillId="16" borderId="43" xfId="16" applyFont="1" applyFill="1" applyBorder="1" applyAlignment="1">
      <alignment horizontal="centerContinuous" vertical="center"/>
    </xf>
    <xf numFmtId="0" fontId="35" fillId="0" borderId="0" xfId="16" applyFont="1" applyAlignment="1">
      <alignment vertical="center"/>
    </xf>
    <xf numFmtId="0" fontId="35" fillId="0" borderId="0" xfId="16" applyFont="1" applyBorder="1" applyAlignment="1">
      <alignment horizontal="center" vertical="center"/>
    </xf>
    <xf numFmtId="0" fontId="37" fillId="0" borderId="30" xfId="16" applyFont="1" applyBorder="1" applyAlignment="1">
      <alignment horizontal="left" vertical="center"/>
    </xf>
    <xf numFmtId="0" fontId="37" fillId="0" borderId="0" xfId="16" applyFont="1" applyBorder="1" applyAlignment="1">
      <alignment horizontal="left" vertical="center"/>
    </xf>
    <xf numFmtId="0" fontId="31" fillId="0" borderId="0" xfId="16" applyFont="1" applyBorder="1" applyAlignment="1">
      <alignment vertical="center"/>
    </xf>
    <xf numFmtId="0" fontId="31" fillId="0" borderId="34" xfId="16" applyFont="1" applyBorder="1" applyAlignment="1">
      <alignment horizontal="center" vertical="center"/>
    </xf>
    <xf numFmtId="0" fontId="31" fillId="0" borderId="24" xfId="16" applyFont="1" applyBorder="1" applyAlignment="1">
      <alignment horizontal="center" vertical="center"/>
    </xf>
    <xf numFmtId="0" fontId="31" fillId="0" borderId="35" xfId="16" applyFont="1" applyBorder="1" applyAlignment="1">
      <alignment horizontal="center" vertical="center"/>
    </xf>
    <xf numFmtId="0" fontId="31" fillId="0" borderId="38" xfId="16" applyFont="1" applyBorder="1" applyAlignment="1">
      <alignment vertical="center"/>
    </xf>
    <xf numFmtId="0" fontId="31" fillId="0" borderId="1" xfId="16" applyFont="1" applyBorder="1" applyAlignment="1">
      <alignment horizontal="left" vertical="center"/>
    </xf>
    <xf numFmtId="0" fontId="31" fillId="0" borderId="1" xfId="16" applyFont="1" applyBorder="1" applyAlignment="1">
      <alignment vertical="center"/>
    </xf>
    <xf numFmtId="0" fontId="28" fillId="0" borderId="0" xfId="16" applyFont="1" applyAlignment="1">
      <alignment horizontal="left" vertical="center"/>
    </xf>
    <xf numFmtId="0" fontId="31" fillId="0" borderId="13" xfId="16" applyFont="1" applyBorder="1" applyAlignment="1">
      <alignment horizontal="center" vertical="center"/>
    </xf>
    <xf numFmtId="0" fontId="31" fillId="0" borderId="37" xfId="16" applyFont="1" applyBorder="1" applyAlignment="1">
      <alignment horizontal="center" vertical="center"/>
    </xf>
    <xf numFmtId="0" fontId="31" fillId="0" borderId="45" xfId="16" applyFont="1" applyBorder="1" applyAlignment="1">
      <alignment horizontal="center" vertical="center"/>
    </xf>
    <xf numFmtId="0" fontId="31" fillId="0" borderId="36" xfId="16" applyFont="1" applyBorder="1" applyAlignment="1">
      <alignment horizontal="center" vertical="center"/>
    </xf>
    <xf numFmtId="0" fontId="31" fillId="0" borderId="30" xfId="16" applyFont="1" applyBorder="1" applyAlignment="1">
      <alignment vertical="center"/>
    </xf>
    <xf numFmtId="0" fontId="31" fillId="0" borderId="44" xfId="16" applyFont="1" applyBorder="1" applyAlignment="1">
      <alignment vertical="center"/>
    </xf>
    <xf numFmtId="0" fontId="31" fillId="0" borderId="0" xfId="17" applyFont="1" applyBorder="1" applyAlignment="1">
      <alignment horizontal="left" vertical="center" wrapText="1"/>
    </xf>
    <xf numFmtId="0" fontId="23" fillId="0" borderId="13" xfId="2" applyFont="1" applyFill="1" applyBorder="1" applyAlignment="1" applyProtection="1">
      <alignment horizontal="center" vertical="center"/>
    </xf>
    <xf numFmtId="0" fontId="37" fillId="0" borderId="1" xfId="16" applyFont="1" applyBorder="1" applyAlignment="1">
      <alignment horizontal="right" vertical="center"/>
    </xf>
    <xf numFmtId="0" fontId="32" fillId="14" borderId="43" xfId="16" applyFont="1" applyFill="1" applyBorder="1" applyAlignment="1">
      <alignment horizontal="centerContinuous" vertical="center"/>
    </xf>
    <xf numFmtId="0" fontId="35" fillId="15" borderId="47" xfId="16" applyFont="1" applyFill="1" applyBorder="1" applyAlignment="1">
      <alignment horizontal="centerContinuous" vertical="center"/>
    </xf>
    <xf numFmtId="0" fontId="23" fillId="0" borderId="0" xfId="2" applyFont="1" applyBorder="1" applyAlignment="1">
      <alignment vertical="center" wrapText="1"/>
    </xf>
    <xf numFmtId="0" fontId="10" fillId="0" borderId="10" xfId="14" applyFont="1" applyFill="1" applyBorder="1" applyAlignment="1">
      <alignment horizontal="centerContinuous" vertical="center" wrapText="1"/>
    </xf>
    <xf numFmtId="0" fontId="10" fillId="0" borderId="12" xfId="14" applyFont="1" applyFill="1" applyBorder="1" applyAlignment="1">
      <alignment horizontal="centerContinuous" vertical="center" wrapText="1"/>
    </xf>
    <xf numFmtId="0" fontId="10" fillId="0" borderId="53" xfId="14" applyFont="1" applyFill="1" applyBorder="1" applyAlignment="1">
      <alignment horizontal="centerContinuous" vertical="center" wrapText="1"/>
    </xf>
    <xf numFmtId="0" fontId="23" fillId="0" borderId="0" xfId="2" applyFont="1" applyBorder="1" applyAlignment="1">
      <alignment vertical="center"/>
    </xf>
    <xf numFmtId="0" fontId="10" fillId="0" borderId="13" xfId="14" applyFont="1" applyFill="1" applyBorder="1" applyAlignment="1">
      <alignment horizontal="center"/>
    </xf>
    <xf numFmtId="0" fontId="10" fillId="0" borderId="37" xfId="14" applyFont="1" applyFill="1" applyBorder="1" applyAlignment="1">
      <alignment horizontal="center"/>
    </xf>
    <xf numFmtId="0" fontId="31" fillId="0" borderId="23" xfId="16" applyFont="1" applyBorder="1" applyAlignment="1">
      <alignment horizontal="center" vertical="center"/>
    </xf>
    <xf numFmtId="0" fontId="37" fillId="0" borderId="1" xfId="16" applyFont="1" applyBorder="1" applyAlignment="1">
      <alignment horizontal="left" vertical="center"/>
    </xf>
    <xf numFmtId="0" fontId="31" fillId="0" borderId="1" xfId="17" applyFont="1" applyBorder="1" applyAlignment="1">
      <alignment horizontal="left" vertical="center" wrapText="1"/>
    </xf>
    <xf numFmtId="0" fontId="16" fillId="0" borderId="0" xfId="2" applyFont="1" applyAlignment="1">
      <alignment vertical="center" wrapText="1"/>
    </xf>
    <xf numFmtId="0" fontId="23" fillId="0" borderId="30" xfId="2" applyFont="1" applyBorder="1" applyAlignment="1">
      <alignment horizontal="left" vertical="center" wrapText="1"/>
    </xf>
    <xf numFmtId="0" fontId="23" fillId="0" borderId="0" xfId="2" applyFont="1" applyBorder="1" applyAlignment="1">
      <alignment horizontal="left" vertical="center" wrapText="1"/>
    </xf>
    <xf numFmtId="0" fontId="23" fillId="0" borderId="0" xfId="2" applyFont="1" applyAlignment="1">
      <alignment vertical="center" wrapText="1"/>
    </xf>
    <xf numFmtId="0" fontId="23" fillId="0" borderId="30" xfId="2" applyFont="1" applyBorder="1" applyAlignment="1">
      <alignment horizontal="left" vertical="center"/>
    </xf>
    <xf numFmtId="0" fontId="23" fillId="0" borderId="0" xfId="2" applyFont="1" applyBorder="1" applyAlignment="1">
      <alignment horizontal="left" vertical="center"/>
    </xf>
    <xf numFmtId="0" fontId="23" fillId="0" borderId="0" xfId="2" applyFont="1" applyAlignment="1">
      <alignment vertical="center"/>
    </xf>
    <xf numFmtId="0" fontId="23" fillId="0" borderId="30" xfId="2" applyFont="1" applyBorder="1" applyAlignment="1">
      <alignment vertical="center"/>
    </xf>
    <xf numFmtId="0" fontId="23" fillId="0" borderId="44" xfId="2" applyFont="1" applyBorder="1" applyAlignment="1">
      <alignment vertical="center"/>
    </xf>
    <xf numFmtId="0" fontId="23" fillId="0" borderId="13" xfId="2" applyFont="1" applyBorder="1" applyAlignment="1">
      <alignment horizontal="center" vertical="center"/>
    </xf>
    <xf numFmtId="0" fontId="38" fillId="0" borderId="1" xfId="2" applyFont="1" applyBorder="1" applyAlignment="1">
      <alignment horizontal="left" vertical="center"/>
    </xf>
    <xf numFmtId="0" fontId="23" fillId="0" borderId="1" xfId="2" applyFont="1" applyBorder="1" applyAlignment="1">
      <alignment horizontal="left" vertical="center"/>
    </xf>
    <xf numFmtId="0" fontId="23" fillId="0" borderId="1" xfId="2" applyFont="1" applyBorder="1" applyAlignment="1">
      <alignment vertical="center"/>
    </xf>
    <xf numFmtId="0" fontId="31" fillId="0" borderId="0" xfId="24" applyFont="1"/>
    <xf numFmtId="0" fontId="30" fillId="0" borderId="0" xfId="24" applyFont="1" applyAlignment="1">
      <alignment vertical="center"/>
    </xf>
    <xf numFmtId="0" fontId="31" fillId="0" borderId="0" xfId="24" applyFont="1" applyBorder="1" applyAlignment="1">
      <alignment horizontal="center"/>
    </xf>
    <xf numFmtId="0" fontId="31" fillId="0" borderId="0" xfId="24" applyFont="1" applyAlignment="1">
      <alignment horizontal="center"/>
    </xf>
    <xf numFmtId="0" fontId="28" fillId="0" borderId="0" xfId="24" applyFont="1" applyAlignment="1">
      <alignment vertical="center"/>
    </xf>
    <xf numFmtId="0" fontId="31" fillId="0" borderId="0" xfId="24" applyFont="1" applyAlignment="1">
      <alignment horizontal="center" vertical="center"/>
    </xf>
    <xf numFmtId="0" fontId="31" fillId="0" borderId="0" xfId="24" applyFont="1" applyAlignment="1">
      <alignment vertical="center"/>
    </xf>
    <xf numFmtId="0" fontId="31" fillId="0" borderId="0" xfId="24" applyFont="1" applyBorder="1" applyAlignment="1">
      <alignment horizontal="center" vertical="center"/>
    </xf>
    <xf numFmtId="0" fontId="37" fillId="0" borderId="25" xfId="24" applyFont="1" applyBorder="1" applyAlignment="1">
      <alignment vertical="center"/>
    </xf>
    <xf numFmtId="0" fontId="37" fillId="0" borderId="26" xfId="24" applyFont="1" applyBorder="1" applyAlignment="1">
      <alignment vertical="center"/>
    </xf>
    <xf numFmtId="0" fontId="31" fillId="0" borderId="26" xfId="24" applyFont="1" applyBorder="1"/>
    <xf numFmtId="0" fontId="31" fillId="0" borderId="30" xfId="24" applyFont="1" applyBorder="1"/>
    <xf numFmtId="0" fontId="31" fillId="0" borderId="0" xfId="24" applyFont="1" applyBorder="1"/>
    <xf numFmtId="0" fontId="31" fillId="0" borderId="10" xfId="24" applyFont="1" applyBorder="1" applyAlignment="1">
      <alignment horizontal="center" vertical="center"/>
    </xf>
    <xf numFmtId="0" fontId="32" fillId="15" borderId="31" xfId="24" applyFont="1" applyFill="1" applyBorder="1" applyAlignment="1">
      <alignment horizontal="centerContinuous" vertical="center"/>
    </xf>
    <xf numFmtId="0" fontId="32" fillId="15" borderId="32" xfId="24" applyFont="1" applyFill="1" applyBorder="1" applyAlignment="1">
      <alignment horizontal="centerContinuous" vertical="center"/>
    </xf>
    <xf numFmtId="0" fontId="32" fillId="15" borderId="33" xfId="24" applyFont="1" applyFill="1" applyBorder="1" applyAlignment="1">
      <alignment horizontal="centerContinuous" vertical="center"/>
    </xf>
    <xf numFmtId="0" fontId="32" fillId="16" borderId="31" xfId="24" applyFont="1" applyFill="1" applyBorder="1" applyAlignment="1">
      <alignment horizontal="centerContinuous" vertical="center"/>
    </xf>
    <xf numFmtId="0" fontId="32" fillId="16" borderId="32" xfId="24" applyFont="1" applyFill="1" applyBorder="1" applyAlignment="1">
      <alignment horizontal="centerContinuous" vertical="center"/>
    </xf>
    <xf numFmtId="0" fontId="32" fillId="16" borderId="33" xfId="24" applyFont="1" applyFill="1" applyBorder="1" applyAlignment="1">
      <alignment horizontal="centerContinuous" vertical="center"/>
    </xf>
    <xf numFmtId="0" fontId="37" fillId="0" borderId="30" xfId="24" applyFont="1" applyBorder="1" applyAlignment="1">
      <alignment vertical="center"/>
    </xf>
    <xf numFmtId="0" fontId="37" fillId="0" borderId="0" xfId="24" applyFont="1" applyBorder="1" applyAlignment="1">
      <alignment vertical="center"/>
    </xf>
    <xf numFmtId="0" fontId="31" fillId="0" borderId="21" xfId="24" applyFont="1" applyBorder="1" applyAlignment="1">
      <alignment horizontal="center"/>
    </xf>
    <xf numFmtId="0" fontId="37" fillId="0" borderId="30" xfId="24" applyFont="1" applyBorder="1" applyAlignment="1">
      <alignment horizontal="left" vertical="center" indent="1"/>
    </xf>
    <xf numFmtId="0" fontId="37" fillId="0" borderId="0" xfId="24" applyFont="1" applyBorder="1" applyAlignment="1">
      <alignment horizontal="left" vertical="center" indent="1"/>
    </xf>
    <xf numFmtId="0" fontId="31" fillId="0" borderId="30" xfId="24" applyFont="1" applyBorder="1" applyAlignment="1">
      <alignment horizontal="center"/>
    </xf>
    <xf numFmtId="0" fontId="31" fillId="0" borderId="44" xfId="24" applyFont="1" applyBorder="1" applyAlignment="1">
      <alignment horizontal="center"/>
    </xf>
    <xf numFmtId="0" fontId="31" fillId="0" borderId="10" xfId="24" applyFont="1" applyBorder="1" applyAlignment="1">
      <alignment horizontal="center"/>
    </xf>
    <xf numFmtId="0" fontId="31" fillId="0" borderId="30" xfId="24" applyFont="1" applyBorder="1" applyAlignment="1">
      <alignment horizontal="left" vertical="center" indent="2"/>
    </xf>
    <xf numFmtId="0" fontId="31" fillId="0" borderId="0" xfId="24" applyFont="1" applyBorder="1" applyAlignment="1">
      <alignment horizontal="left" vertical="center" indent="2"/>
    </xf>
    <xf numFmtId="0" fontId="31" fillId="0" borderId="1" xfId="24" applyFont="1" applyBorder="1" applyAlignment="1">
      <alignment horizontal="right"/>
    </xf>
    <xf numFmtId="0" fontId="31" fillId="0" borderId="1" xfId="24" applyFont="1" applyBorder="1"/>
    <xf numFmtId="0" fontId="31" fillId="0" borderId="45" xfId="24" applyFont="1" applyBorder="1" applyAlignment="1">
      <alignment horizontal="center"/>
    </xf>
    <xf numFmtId="0" fontId="30" fillId="11" borderId="25" xfId="25" applyFont="1" applyFill="1" applyBorder="1" applyAlignment="1">
      <alignment vertical="center"/>
    </xf>
    <xf numFmtId="0" fontId="31" fillId="11" borderId="0" xfId="25" applyFont="1" applyFill="1" applyBorder="1"/>
    <xf numFmtId="0" fontId="31" fillId="11" borderId="34" xfId="24" applyFont="1" applyFill="1" applyBorder="1" applyAlignment="1">
      <alignment horizontal="center"/>
    </xf>
    <xf numFmtId="0" fontId="31" fillId="11" borderId="24" xfId="24" applyFont="1" applyFill="1" applyBorder="1" applyAlignment="1">
      <alignment horizontal="center"/>
    </xf>
    <xf numFmtId="0" fontId="31" fillId="11" borderId="37" xfId="24" applyFont="1" applyFill="1" applyBorder="1" applyAlignment="1">
      <alignment horizontal="center"/>
    </xf>
    <xf numFmtId="0" fontId="23" fillId="0" borderId="26" xfId="2" applyFont="1" applyBorder="1"/>
    <xf numFmtId="0" fontId="32" fillId="14" borderId="47" xfId="25" applyFont="1" applyFill="1" applyBorder="1" applyAlignment="1">
      <alignment horizontal="centerContinuous" vertical="center"/>
    </xf>
    <xf numFmtId="0" fontId="32" fillId="14" borderId="43" xfId="25" applyFont="1" applyFill="1" applyBorder="1" applyAlignment="1">
      <alignment horizontal="centerContinuous" vertical="center"/>
    </xf>
    <xf numFmtId="0" fontId="31" fillId="11" borderId="13" xfId="26" applyFont="1" applyFill="1" applyBorder="1" applyAlignment="1">
      <alignment horizontal="center" vertical="center" wrapText="1"/>
    </xf>
    <xf numFmtId="0" fontId="37" fillId="0" borderId="0" xfId="27" applyFont="1" applyBorder="1" applyAlignment="1">
      <alignment horizontal="left" vertical="center"/>
    </xf>
    <xf numFmtId="0" fontId="31" fillId="0" borderId="30" xfId="24" applyFont="1" applyBorder="1" applyAlignment="1">
      <alignment horizontal="left" indent="1"/>
    </xf>
    <xf numFmtId="0" fontId="31" fillId="0" borderId="0" xfId="28" applyFont="1" applyBorder="1" applyAlignment="1">
      <alignment horizontal="left" vertical="center"/>
    </xf>
    <xf numFmtId="0" fontId="31" fillId="0" borderId="0" xfId="24" applyFont="1" applyBorder="1" applyAlignment="1">
      <alignment horizontal="left" indent="1"/>
    </xf>
    <xf numFmtId="0" fontId="31" fillId="0" borderId="1" xfId="24" applyFont="1" applyBorder="1" applyAlignment="1">
      <alignment horizontal="left" indent="1"/>
    </xf>
    <xf numFmtId="0" fontId="37" fillId="0" borderId="1" xfId="24" applyFont="1" applyBorder="1" applyAlignment="1">
      <alignment horizontal="right"/>
    </xf>
    <xf numFmtId="0" fontId="32" fillId="14" borderId="27" xfId="25" applyFont="1" applyFill="1" applyBorder="1" applyAlignment="1">
      <alignment horizontal="centerContinuous" vertical="center"/>
    </xf>
    <xf numFmtId="0" fontId="31" fillId="11" borderId="10" xfId="26" applyFont="1" applyFill="1" applyBorder="1" applyAlignment="1">
      <alignment horizontal="center" vertical="center" wrapText="1"/>
    </xf>
    <xf numFmtId="0" fontId="31" fillId="11" borderId="37" xfId="26" applyFont="1" applyFill="1" applyBorder="1" applyAlignment="1">
      <alignment horizontal="center" vertical="center" wrapText="1"/>
    </xf>
    <xf numFmtId="0" fontId="23" fillId="11" borderId="10" xfId="14" applyFont="1" applyFill="1" applyBorder="1" applyAlignment="1">
      <alignment horizontal="center" vertical="center"/>
    </xf>
    <xf numFmtId="169" fontId="23" fillId="18" borderId="10" xfId="2" applyNumberFormat="1" applyFont="1" applyFill="1" applyBorder="1" applyAlignment="1">
      <alignment horizontal="right"/>
    </xf>
    <xf numFmtId="0" fontId="23" fillId="0" borderId="49" xfId="2" applyFont="1" applyBorder="1"/>
    <xf numFmtId="0" fontId="32" fillId="14" borderId="47" xfId="12" applyFont="1" applyFill="1" applyBorder="1" applyAlignment="1">
      <alignment horizontal="centerContinuous" vertical="center"/>
    </xf>
    <xf numFmtId="0" fontId="10" fillId="0" borderId="13" xfId="14" applyFont="1" applyFill="1" applyBorder="1" applyAlignment="1">
      <alignment horizontal="centerContinuous" vertical="center" wrapText="1"/>
    </xf>
    <xf numFmtId="0" fontId="10" fillId="0" borderId="37" xfId="14" applyFont="1" applyFill="1" applyBorder="1" applyAlignment="1">
      <alignment horizontal="centerContinuous" vertical="center" wrapText="1"/>
    </xf>
    <xf numFmtId="0" fontId="10" fillId="0" borderId="10" xfId="14" applyFont="1" applyFill="1" applyBorder="1" applyAlignment="1">
      <alignment horizontal="center"/>
    </xf>
    <xf numFmtId="0" fontId="23" fillId="0" borderId="10" xfId="2" applyFont="1" applyBorder="1" applyAlignment="1">
      <alignment horizontal="center" vertical="center"/>
    </xf>
    <xf numFmtId="0" fontId="23" fillId="0" borderId="40" xfId="2" applyFont="1" applyFill="1" applyBorder="1" applyAlignment="1" applyProtection="1">
      <alignment horizontal="center" vertical="center"/>
    </xf>
    <xf numFmtId="0" fontId="35" fillId="15" borderId="27" xfId="12" applyFont="1" applyFill="1" applyBorder="1" applyAlignment="1">
      <alignment horizontal="centerContinuous" vertical="center"/>
    </xf>
    <xf numFmtId="0" fontId="35" fillId="15" borderId="43" xfId="12" applyFont="1" applyFill="1" applyBorder="1" applyAlignment="1">
      <alignment horizontal="centerContinuous" vertical="center"/>
    </xf>
    <xf numFmtId="0" fontId="32" fillId="14" borderId="42" xfId="12" applyFont="1" applyFill="1" applyBorder="1" applyAlignment="1">
      <alignment horizontal="centerContinuous" vertical="center"/>
    </xf>
    <xf numFmtId="0" fontId="41" fillId="0" borderId="0" xfId="5" applyFont="1"/>
    <xf numFmtId="0" fontId="38" fillId="0" borderId="0" xfId="2" applyFont="1"/>
    <xf numFmtId="0" fontId="0" fillId="0" borderId="0" xfId="4" applyFont="1" applyAlignment="1">
      <alignment horizontal="center"/>
    </xf>
    <xf numFmtId="0" fontId="41" fillId="0" borderId="0" xfId="14" applyFont="1" applyFill="1" applyBorder="1" applyAlignment="1">
      <alignment vertical="center"/>
    </xf>
    <xf numFmtId="0" fontId="38" fillId="0" borderId="0" xfId="14" applyFont="1" applyFill="1" applyBorder="1" applyAlignment="1">
      <alignment vertical="center"/>
    </xf>
    <xf numFmtId="0" fontId="35" fillId="0" borderId="0" xfId="15" applyFont="1" applyBorder="1" applyAlignment="1">
      <alignment horizontal="left" vertical="center"/>
    </xf>
    <xf numFmtId="0" fontId="31" fillId="0" borderId="44" xfId="12" applyFont="1" applyBorder="1" applyAlignment="1">
      <alignment horizontal="center" vertical="center"/>
    </xf>
    <xf numFmtId="0" fontId="31" fillId="0" borderId="30" xfId="12" applyFont="1" applyBorder="1" applyAlignment="1">
      <alignment horizontal="center" vertical="center"/>
    </xf>
    <xf numFmtId="0" fontId="30" fillId="0" borderId="0" xfId="12" applyFont="1" applyBorder="1" applyAlignment="1">
      <alignment horizontal="left" vertical="center"/>
    </xf>
    <xf numFmtId="0" fontId="30" fillId="0" borderId="25" xfId="12" applyFont="1" applyBorder="1" applyAlignment="1">
      <alignment horizontal="left" vertical="center"/>
    </xf>
    <xf numFmtId="0" fontId="31" fillId="0" borderId="0" xfId="24" applyFont="1" applyBorder="1" applyAlignment="1">
      <alignment horizontal="left" vertical="center"/>
    </xf>
    <xf numFmtId="0" fontId="38" fillId="0" borderId="0" xfId="2" applyFont="1" applyBorder="1"/>
    <xf numFmtId="0" fontId="23" fillId="0" borderId="0" xfId="2" applyFont="1" applyBorder="1" applyAlignment="1">
      <alignment horizontal="left"/>
    </xf>
    <xf numFmtId="0" fontId="23" fillId="0" borderId="0" xfId="2" applyFont="1" applyBorder="1" applyAlignment="1">
      <alignment horizontal="right"/>
    </xf>
    <xf numFmtId="0" fontId="38" fillId="0" borderId="1" xfId="2" applyFont="1" applyBorder="1" applyAlignment="1">
      <alignment horizontal="right"/>
    </xf>
    <xf numFmtId="169" fontId="23" fillId="17" borderId="39" xfId="2" applyNumberFormat="1" applyFont="1" applyFill="1" applyBorder="1" applyAlignment="1">
      <alignment horizontal="right"/>
    </xf>
    <xf numFmtId="169" fontId="23" fillId="17" borderId="40" xfId="2" applyNumberFormat="1" applyFont="1" applyFill="1" applyBorder="1" applyAlignment="1">
      <alignment horizontal="right"/>
    </xf>
    <xf numFmtId="169" fontId="23" fillId="17" borderId="41" xfId="2" applyNumberFormat="1" applyFont="1" applyFill="1" applyBorder="1" applyAlignment="1">
      <alignment horizontal="right"/>
    </xf>
    <xf numFmtId="0" fontId="38" fillId="0" borderId="0" xfId="2" applyFont="1" applyBorder="1" applyAlignment="1">
      <alignment horizontal="right"/>
    </xf>
    <xf numFmtId="169" fontId="23" fillId="5" borderId="36" xfId="2" applyNumberFormat="1" applyFont="1" applyFill="1" applyBorder="1"/>
    <xf numFmtId="169" fontId="23" fillId="5" borderId="13" xfId="2" applyNumberFormat="1" applyFont="1" applyFill="1" applyBorder="1"/>
    <xf numFmtId="169" fontId="23" fillId="5" borderId="37" xfId="2" applyNumberFormat="1" applyFont="1" applyFill="1" applyBorder="1"/>
    <xf numFmtId="169" fontId="23" fillId="5" borderId="39" xfId="2" applyNumberFormat="1" applyFont="1" applyFill="1" applyBorder="1"/>
    <xf numFmtId="169" fontId="23" fillId="5" borderId="40" xfId="2" applyNumberFormat="1" applyFont="1" applyFill="1" applyBorder="1"/>
    <xf numFmtId="169" fontId="23" fillId="5" borderId="41" xfId="2" applyNumberFormat="1" applyFont="1" applyFill="1" applyBorder="1"/>
    <xf numFmtId="169" fontId="23" fillId="17" borderId="39" xfId="2" applyNumberFormat="1" applyFont="1" applyFill="1" applyBorder="1"/>
    <xf numFmtId="169" fontId="23" fillId="17" borderId="40" xfId="2" applyNumberFormat="1" applyFont="1" applyFill="1" applyBorder="1"/>
    <xf numFmtId="169" fontId="23" fillId="17" borderId="41" xfId="2" applyNumberFormat="1" applyFont="1" applyFill="1" applyBorder="1"/>
    <xf numFmtId="0" fontId="30" fillId="0" borderId="25" xfId="24" applyFont="1" applyBorder="1" applyAlignment="1">
      <alignment vertical="center"/>
    </xf>
    <xf numFmtId="169" fontId="23" fillId="5" borderId="36" xfId="2" applyNumberFormat="1" applyFont="1" applyFill="1" applyBorder="1" applyAlignment="1">
      <alignment horizontal="right" vertical="center"/>
    </xf>
    <xf numFmtId="169" fontId="23" fillId="5" borderId="13" xfId="2" applyNumberFormat="1" applyFont="1" applyFill="1" applyBorder="1" applyAlignment="1">
      <alignment horizontal="right" vertical="center"/>
    </xf>
    <xf numFmtId="169" fontId="23" fillId="5" borderId="37" xfId="2" applyNumberFormat="1" applyFont="1" applyFill="1" applyBorder="1" applyAlignment="1">
      <alignment horizontal="right" vertical="center"/>
    </xf>
    <xf numFmtId="0" fontId="38" fillId="0" borderId="1" xfId="2" applyFont="1" applyBorder="1"/>
    <xf numFmtId="169" fontId="23" fillId="18" borderId="39" xfId="2" applyNumberFormat="1" applyFont="1" applyFill="1" applyBorder="1" applyAlignment="1">
      <alignment horizontal="right"/>
    </xf>
    <xf numFmtId="169" fontId="23" fillId="18" borderId="41" xfId="2" applyNumberFormat="1" applyFont="1" applyFill="1" applyBorder="1" applyAlignment="1">
      <alignment horizontal="right"/>
    </xf>
    <xf numFmtId="0" fontId="31" fillId="0" borderId="10" xfId="24" applyFont="1" applyFill="1" applyBorder="1" applyAlignment="1">
      <alignment horizontal="center"/>
    </xf>
    <xf numFmtId="0" fontId="38" fillId="0" borderId="0" xfId="2" applyFont="1" applyBorder="1" applyAlignment="1">
      <alignment horizontal="right" indent="1"/>
    </xf>
    <xf numFmtId="0" fontId="35" fillId="0" borderId="26" xfId="24" applyFont="1" applyBorder="1"/>
    <xf numFmtId="0" fontId="30" fillId="0" borderId="26" xfId="24" applyFont="1" applyBorder="1" applyAlignment="1">
      <alignment vertical="center"/>
    </xf>
    <xf numFmtId="0" fontId="36" fillId="0" borderId="0" xfId="14" applyFont="1" applyFill="1"/>
    <xf numFmtId="0" fontId="31" fillId="0" borderId="1" xfId="15" applyFont="1" applyFill="1" applyBorder="1" applyAlignment="1">
      <alignment horizontal="left" vertical="center" wrapText="1"/>
    </xf>
    <xf numFmtId="0" fontId="31" fillId="0" borderId="1" xfId="15" applyFont="1" applyFill="1" applyBorder="1" applyAlignment="1">
      <alignment horizontal="left" vertical="center"/>
    </xf>
    <xf numFmtId="0" fontId="38" fillId="0" borderId="1" xfId="14" applyFont="1" applyFill="1" applyBorder="1" applyAlignment="1">
      <alignment vertical="center"/>
    </xf>
    <xf numFmtId="0" fontId="23" fillId="0" borderId="14" xfId="2" applyFont="1" applyFill="1" applyBorder="1" applyAlignment="1" applyProtection="1">
      <alignment horizontal="center" vertical="center"/>
    </xf>
    <xf numFmtId="0" fontId="31" fillId="0" borderId="38" xfId="15" applyFont="1" applyBorder="1" applyAlignment="1">
      <alignment horizontal="left" vertical="center" wrapText="1"/>
    </xf>
    <xf numFmtId="0" fontId="16" fillId="0" borderId="1" xfId="2" applyFont="1" applyBorder="1" applyAlignment="1">
      <alignment vertical="center"/>
    </xf>
    <xf numFmtId="0" fontId="16" fillId="0" borderId="1" xfId="2" applyFont="1" applyBorder="1" applyAlignment="1">
      <alignment horizontal="left" vertical="center"/>
    </xf>
    <xf numFmtId="0" fontId="16" fillId="0" borderId="44" xfId="2" applyFont="1" applyBorder="1" applyAlignment="1">
      <alignment vertical="center"/>
    </xf>
    <xf numFmtId="0" fontId="16" fillId="0" borderId="0" xfId="2" applyFont="1" applyBorder="1" applyAlignment="1">
      <alignment vertical="center"/>
    </xf>
    <xf numFmtId="0" fontId="16" fillId="0" borderId="0" xfId="2" applyFont="1" applyBorder="1" applyAlignment="1">
      <alignment horizontal="center" vertical="center"/>
    </xf>
    <xf numFmtId="0" fontId="16" fillId="0" borderId="0" xfId="2" applyFont="1" applyBorder="1" applyAlignment="1">
      <alignment horizontal="left" vertical="center"/>
    </xf>
    <xf numFmtId="0" fontId="42" fillId="0" borderId="1" xfId="2" applyFont="1" applyBorder="1" applyAlignment="1">
      <alignment horizontal="left" vertical="center"/>
    </xf>
    <xf numFmtId="0" fontId="16" fillId="0" borderId="30" xfId="2" applyFont="1" applyBorder="1" applyAlignment="1">
      <alignment vertical="center"/>
    </xf>
    <xf numFmtId="0" fontId="42" fillId="0" borderId="0" xfId="2" applyFont="1" applyBorder="1" applyAlignment="1">
      <alignment horizontal="left" vertical="center"/>
    </xf>
    <xf numFmtId="0" fontId="38" fillId="0" borderId="0" xfId="2" applyFont="1" applyBorder="1" applyAlignment="1">
      <alignment horizontal="left" vertical="center"/>
    </xf>
    <xf numFmtId="0" fontId="38" fillId="0" borderId="0" xfId="2" applyFont="1" applyBorder="1" applyAlignment="1">
      <alignment vertical="center"/>
    </xf>
    <xf numFmtId="0" fontId="23" fillId="0" borderId="44" xfId="2" applyFont="1" applyFill="1" applyBorder="1" applyAlignment="1" applyProtection="1">
      <alignment vertical="center"/>
    </xf>
    <xf numFmtId="0" fontId="23" fillId="0" borderId="30" xfId="2" applyFont="1" applyFill="1" applyBorder="1" applyAlignment="1" applyProtection="1">
      <alignment vertical="center"/>
    </xf>
    <xf numFmtId="0" fontId="41" fillId="0" borderId="30" xfId="2" applyFont="1" applyBorder="1" applyAlignment="1">
      <alignment horizontal="left" vertical="center"/>
    </xf>
    <xf numFmtId="0" fontId="32" fillId="14" borderId="59" xfId="12" applyFont="1" applyFill="1" applyBorder="1" applyAlignment="1">
      <alignment horizontal="centerContinuous" vertical="center"/>
    </xf>
    <xf numFmtId="0" fontId="16" fillId="0" borderId="26" xfId="2" applyFont="1" applyBorder="1" applyAlignment="1">
      <alignment vertical="center"/>
    </xf>
    <xf numFmtId="0" fontId="23" fillId="0" borderId="26" xfId="2" applyFont="1" applyBorder="1" applyAlignment="1">
      <alignment horizontal="left" vertical="center"/>
    </xf>
    <xf numFmtId="0" fontId="38" fillId="0" borderId="26" xfId="2" applyFont="1" applyBorder="1" applyAlignment="1">
      <alignment vertical="center"/>
    </xf>
    <xf numFmtId="0" fontId="41" fillId="0" borderId="25" xfId="2" applyFont="1" applyBorder="1" applyAlignment="1">
      <alignment horizontal="left" vertical="center"/>
    </xf>
    <xf numFmtId="0" fontId="16" fillId="0" borderId="49" xfId="2" applyFont="1" applyBorder="1" applyAlignment="1">
      <alignment vertical="center"/>
    </xf>
    <xf numFmtId="0" fontId="16" fillId="0" borderId="1" xfId="2" applyFont="1" applyBorder="1" applyAlignment="1">
      <alignment horizontal="center" vertical="center"/>
    </xf>
    <xf numFmtId="0" fontId="23" fillId="19" borderId="10" xfId="2" applyFont="1" applyFill="1" applyBorder="1" applyAlignment="1" applyProtection="1">
      <alignment horizontal="center" vertical="center"/>
    </xf>
    <xf numFmtId="0" fontId="43" fillId="0" borderId="0" xfId="5" applyFont="1"/>
    <xf numFmtId="0" fontId="41" fillId="0" borderId="25" xfId="12" applyFont="1" applyBorder="1" applyAlignment="1">
      <alignment horizontal="left" vertical="center"/>
    </xf>
    <xf numFmtId="0" fontId="44" fillId="0" borderId="26" xfId="12" applyFont="1" applyBorder="1" applyAlignment="1">
      <alignment horizontal="left" vertical="center"/>
    </xf>
    <xf numFmtId="0" fontId="34" fillId="0" borderId="26" xfId="12" applyFont="1" applyBorder="1" applyAlignment="1">
      <alignment vertical="center"/>
    </xf>
    <xf numFmtId="0" fontId="38" fillId="0" borderId="30" xfId="12" applyFont="1" applyBorder="1" applyAlignment="1">
      <alignment horizontal="left" vertical="center"/>
    </xf>
    <xf numFmtId="0" fontId="38" fillId="0" borderId="0" xfId="12" applyFont="1" applyBorder="1" applyAlignment="1">
      <alignment horizontal="left" vertical="center"/>
    </xf>
    <xf numFmtId="0" fontId="23" fillId="0" borderId="0" xfId="12" applyFont="1" applyBorder="1" applyAlignment="1">
      <alignment vertical="center"/>
    </xf>
    <xf numFmtId="0" fontId="38" fillId="0" borderId="0" xfId="15" applyFont="1" applyBorder="1" applyAlignment="1">
      <alignment horizontal="left" vertical="center"/>
    </xf>
    <xf numFmtId="0" fontId="23" fillId="0" borderId="0" xfId="15" applyFont="1" applyBorder="1" applyAlignment="1">
      <alignment horizontal="left" vertical="center"/>
    </xf>
    <xf numFmtId="0" fontId="23" fillId="0" borderId="30" xfId="16" applyFont="1" applyBorder="1" applyAlignment="1">
      <alignment horizontal="left" vertical="center"/>
    </xf>
    <xf numFmtId="0" fontId="23" fillId="0" borderId="0" xfId="17" applyFont="1" applyBorder="1" applyAlignment="1">
      <alignment horizontal="left" vertical="center"/>
    </xf>
    <xf numFmtId="0" fontId="23" fillId="0" borderId="0" xfId="17" applyFont="1" applyBorder="1" applyAlignment="1">
      <alignment horizontal="right" vertical="center" wrapText="1"/>
    </xf>
    <xf numFmtId="0" fontId="23" fillId="0" borderId="0" xfId="15" applyFont="1" applyBorder="1" applyAlignment="1">
      <alignment horizontal="left" vertical="center" wrapText="1"/>
    </xf>
    <xf numFmtId="0" fontId="23" fillId="0" borderId="1" xfId="15" applyFont="1" applyBorder="1" applyAlignment="1">
      <alignment horizontal="left" vertical="center"/>
    </xf>
    <xf numFmtId="0" fontId="38" fillId="0" borderId="0" xfId="5" applyFont="1" applyBorder="1"/>
    <xf numFmtId="0" fontId="37" fillId="11" borderId="1" xfId="25" applyFont="1" applyFill="1" applyBorder="1" applyAlignment="1">
      <alignment horizontal="right"/>
    </xf>
    <xf numFmtId="0" fontId="32" fillId="15" borderId="31" xfId="12" applyFont="1" applyFill="1" applyBorder="1" applyAlignment="1">
      <alignment horizontal="centerContinuous" vertical="center"/>
    </xf>
    <xf numFmtId="0" fontId="32" fillId="16" borderId="31" xfId="12" applyFont="1" applyFill="1" applyBorder="1" applyAlignment="1">
      <alignment horizontal="centerContinuous" vertical="center"/>
    </xf>
    <xf numFmtId="169" fontId="23" fillId="17" borderId="36" xfId="2" applyNumberFormat="1" applyFont="1" applyFill="1" applyBorder="1" applyAlignment="1">
      <alignment horizontal="right" vertical="center"/>
    </xf>
    <xf numFmtId="169" fontId="23" fillId="17" borderId="13" xfId="2" applyNumberFormat="1" applyFont="1" applyFill="1" applyBorder="1" applyAlignment="1">
      <alignment horizontal="right" vertical="center"/>
    </xf>
    <xf numFmtId="169" fontId="23" fillId="17" borderId="37" xfId="2" applyNumberFormat="1" applyFont="1" applyFill="1" applyBorder="1" applyAlignment="1">
      <alignment horizontal="right" vertical="center"/>
    </xf>
    <xf numFmtId="169" fontId="23" fillId="0" borderId="0" xfId="2" applyNumberFormat="1" applyFont="1" applyBorder="1" applyAlignment="1">
      <alignment vertical="center"/>
    </xf>
    <xf numFmtId="169" fontId="23" fillId="17" borderId="39" xfId="2" applyNumberFormat="1" applyFont="1" applyFill="1" applyBorder="1" applyAlignment="1">
      <alignment horizontal="right" vertical="center"/>
    </xf>
    <xf numFmtId="169" fontId="23" fillId="17" borderId="40" xfId="2" applyNumberFormat="1" applyFont="1" applyFill="1" applyBorder="1" applyAlignment="1">
      <alignment horizontal="right" vertical="center"/>
    </xf>
    <xf numFmtId="169" fontId="23" fillId="17" borderId="41" xfId="2" applyNumberFormat="1" applyFont="1" applyFill="1" applyBorder="1" applyAlignment="1">
      <alignment horizontal="right" vertical="center"/>
    </xf>
    <xf numFmtId="0" fontId="23" fillId="0" borderId="30" xfId="12" applyFont="1" applyBorder="1" applyAlignment="1">
      <alignment horizontal="left" vertical="center"/>
    </xf>
    <xf numFmtId="0" fontId="23" fillId="0" borderId="0" xfId="12" applyFont="1" applyBorder="1" applyAlignment="1">
      <alignment horizontal="left" vertical="center"/>
    </xf>
    <xf numFmtId="0" fontId="31" fillId="15" borderId="32" xfId="12" applyFont="1" applyFill="1" applyBorder="1" applyAlignment="1">
      <alignment horizontal="centerContinuous" vertical="center"/>
    </xf>
    <xf numFmtId="0" fontId="31" fillId="15" borderId="33" xfId="12" applyFont="1" applyFill="1" applyBorder="1" applyAlignment="1">
      <alignment horizontal="centerContinuous" vertical="center"/>
    </xf>
    <xf numFmtId="0" fontId="31" fillId="16" borderId="32" xfId="12" applyFont="1" applyFill="1" applyBorder="1" applyAlignment="1">
      <alignment horizontal="centerContinuous" vertical="center"/>
    </xf>
    <xf numFmtId="0" fontId="31" fillId="16" borderId="33" xfId="12" applyFont="1" applyFill="1" applyBorder="1" applyAlignment="1">
      <alignment horizontal="centerContinuous" vertical="center"/>
    </xf>
    <xf numFmtId="169" fontId="31" fillId="17" borderId="36" xfId="2" applyNumberFormat="1" applyFont="1" applyFill="1" applyBorder="1" applyAlignment="1">
      <alignment horizontal="right" vertical="center"/>
    </xf>
    <xf numFmtId="169" fontId="31" fillId="17" borderId="13" xfId="2" applyNumberFormat="1" applyFont="1" applyFill="1" applyBorder="1" applyAlignment="1">
      <alignment horizontal="right" vertical="center"/>
    </xf>
    <xf numFmtId="169" fontId="31" fillId="17" borderId="37" xfId="2" applyNumberFormat="1" applyFont="1" applyFill="1" applyBorder="1" applyAlignment="1">
      <alignment horizontal="right" vertical="center"/>
    </xf>
    <xf numFmtId="169" fontId="31" fillId="0" borderId="30" xfId="12" applyNumberFormat="1" applyFont="1" applyBorder="1" applyAlignment="1">
      <alignment vertical="center"/>
    </xf>
    <xf numFmtId="169" fontId="31" fillId="0" borderId="0" xfId="15" applyNumberFormat="1" applyFont="1" applyBorder="1" applyAlignment="1">
      <alignment horizontal="left" vertical="center" wrapText="1"/>
    </xf>
    <xf numFmtId="169" fontId="31" fillId="0" borderId="44" xfId="12" applyNumberFormat="1" applyFont="1" applyBorder="1" applyAlignment="1">
      <alignment vertical="center"/>
    </xf>
    <xf numFmtId="169" fontId="31" fillId="0" borderId="30" xfId="15" applyNumberFormat="1" applyFont="1" applyBorder="1" applyAlignment="1">
      <alignment horizontal="left" vertical="center" wrapText="1"/>
    </xf>
    <xf numFmtId="169" fontId="31" fillId="17" borderId="39" xfId="2" applyNumberFormat="1" applyFont="1" applyFill="1" applyBorder="1" applyAlignment="1">
      <alignment horizontal="right" vertical="center"/>
    </xf>
    <xf numFmtId="169" fontId="31" fillId="17" borderId="40" xfId="2" applyNumberFormat="1" applyFont="1" applyFill="1" applyBorder="1" applyAlignment="1">
      <alignment horizontal="right" vertical="center"/>
    </xf>
    <xf numFmtId="169" fontId="31" fillId="17" borderId="41" xfId="2" applyNumberFormat="1" applyFont="1" applyFill="1" applyBorder="1" applyAlignment="1">
      <alignment horizontal="right" vertical="center"/>
    </xf>
    <xf numFmtId="171" fontId="31" fillId="18" borderId="13" xfId="2" applyNumberFormat="1" applyFont="1" applyFill="1" applyBorder="1" applyAlignment="1">
      <alignment horizontal="left" vertical="top"/>
    </xf>
    <xf numFmtId="169" fontId="31" fillId="0" borderId="0" xfId="12" applyNumberFormat="1" applyFont="1" applyBorder="1" applyAlignment="1">
      <alignment vertical="center"/>
    </xf>
    <xf numFmtId="169" fontId="23" fillId="0" borderId="0" xfId="14" applyNumberFormat="1" applyFont="1" applyFill="1" applyAlignment="1">
      <alignment vertical="center"/>
    </xf>
    <xf numFmtId="169" fontId="32" fillId="14" borderId="28" xfId="12" applyNumberFormat="1" applyFont="1" applyFill="1" applyBorder="1" applyAlignment="1">
      <alignment horizontal="centerContinuous" vertical="center"/>
    </xf>
    <xf numFmtId="169" fontId="32" fillId="14" borderId="27" xfId="12" applyNumberFormat="1" applyFont="1" applyFill="1" applyBorder="1" applyAlignment="1">
      <alignment horizontal="centerContinuous" vertical="center"/>
    </xf>
    <xf numFmtId="169" fontId="32" fillId="15" borderId="31" xfId="12" applyNumberFormat="1" applyFont="1" applyFill="1" applyBorder="1" applyAlignment="1">
      <alignment horizontal="centerContinuous" vertical="center"/>
    </xf>
    <xf numFmtId="169" fontId="35" fillId="15" borderId="32" xfId="12" applyNumberFormat="1" applyFont="1" applyFill="1" applyBorder="1" applyAlignment="1">
      <alignment horizontal="centerContinuous" vertical="center"/>
    </xf>
    <xf numFmtId="169" fontId="35" fillId="15" borderId="33" xfId="12" applyNumberFormat="1" applyFont="1" applyFill="1" applyBorder="1" applyAlignment="1">
      <alignment horizontal="centerContinuous" vertical="center"/>
    </xf>
    <xf numFmtId="169" fontId="32" fillId="16" borderId="31" xfId="12" applyNumberFormat="1" applyFont="1" applyFill="1" applyBorder="1" applyAlignment="1">
      <alignment horizontal="centerContinuous" vertical="center"/>
    </xf>
    <xf numFmtId="169" fontId="35" fillId="16" borderId="32" xfId="12" applyNumberFormat="1" applyFont="1" applyFill="1" applyBorder="1" applyAlignment="1">
      <alignment horizontal="centerContinuous" vertical="center"/>
    </xf>
    <xf numFmtId="169" fontId="35" fillId="16" borderId="33" xfId="12" applyNumberFormat="1" applyFont="1" applyFill="1" applyBorder="1" applyAlignment="1">
      <alignment horizontal="centerContinuous" vertical="center"/>
    </xf>
    <xf numFmtId="169" fontId="31" fillId="0" borderId="36" xfId="12" applyNumberFormat="1" applyFont="1" applyBorder="1" applyAlignment="1">
      <alignment horizontal="center" vertical="center"/>
    </xf>
    <xf numFmtId="169" fontId="31" fillId="0" borderId="13" xfId="12" applyNumberFormat="1" applyFont="1" applyBorder="1" applyAlignment="1">
      <alignment horizontal="center" vertical="center"/>
    </xf>
    <xf numFmtId="169" fontId="31" fillId="0" borderId="37" xfId="12" applyNumberFormat="1" applyFont="1" applyBorder="1" applyAlignment="1">
      <alignment horizontal="center" vertical="center"/>
    </xf>
    <xf numFmtId="169" fontId="31" fillId="0" borderId="34" xfId="12" applyNumberFormat="1" applyFont="1" applyBorder="1" applyAlignment="1">
      <alignment horizontal="center" vertical="center"/>
    </xf>
    <xf numFmtId="169" fontId="31" fillId="0" borderId="24" xfId="12" applyNumberFormat="1" applyFont="1" applyBorder="1" applyAlignment="1">
      <alignment horizontal="center" vertical="center"/>
    </xf>
    <xf numFmtId="169" fontId="31" fillId="0" borderId="35" xfId="12" applyNumberFormat="1" applyFont="1" applyBorder="1" applyAlignment="1">
      <alignment horizontal="center" vertical="center"/>
    </xf>
    <xf numFmtId="169" fontId="35" fillId="15" borderId="31" xfId="12" applyNumberFormat="1" applyFont="1" applyFill="1" applyBorder="1" applyAlignment="1">
      <alignment horizontal="centerContinuous" vertical="center"/>
    </xf>
    <xf numFmtId="0" fontId="37" fillId="0" borderId="26" xfId="16" applyFont="1" applyBorder="1" applyAlignment="1">
      <alignment vertical="center"/>
    </xf>
    <xf numFmtId="0" fontId="37" fillId="0" borderId="0" xfId="16" applyFont="1" applyBorder="1" applyAlignment="1">
      <alignment horizontal="left" vertical="center" indent="1"/>
    </xf>
    <xf numFmtId="0" fontId="30" fillId="11" borderId="26" xfId="18" applyFont="1" applyFill="1" applyBorder="1" applyAlignment="1">
      <alignment vertical="center"/>
    </xf>
    <xf numFmtId="0" fontId="37" fillId="11" borderId="0" xfId="18" applyFont="1" applyFill="1" applyBorder="1" applyAlignment="1">
      <alignment vertical="center"/>
    </xf>
    <xf numFmtId="0" fontId="37" fillId="11" borderId="0" xfId="18" applyFont="1" applyFill="1" applyBorder="1" applyAlignment="1">
      <alignment horizontal="left" vertical="center" indent="1"/>
    </xf>
    <xf numFmtId="0" fontId="31" fillId="0" borderId="0" xfId="16" applyFont="1" applyBorder="1" applyAlignment="1">
      <alignment horizontal="left" indent="1"/>
    </xf>
    <xf numFmtId="0" fontId="31" fillId="0" borderId="1" xfId="16" applyFont="1" applyBorder="1" applyAlignment="1">
      <alignment horizontal="left" indent="1"/>
    </xf>
    <xf numFmtId="0" fontId="23" fillId="0" borderId="30" xfId="5" applyFont="1" applyBorder="1"/>
    <xf numFmtId="0" fontId="31" fillId="0" borderId="38" xfId="16" applyFont="1" applyBorder="1" applyAlignment="1"/>
    <xf numFmtId="0" fontId="31" fillId="0" borderId="1" xfId="16" applyFont="1" applyFill="1" applyBorder="1" applyAlignment="1">
      <alignment horizontal="left" indent="1"/>
    </xf>
    <xf numFmtId="0" fontId="31" fillId="0" borderId="1" xfId="16" applyFont="1" applyFill="1" applyBorder="1" applyAlignment="1">
      <alignment horizontal="right"/>
    </xf>
    <xf numFmtId="169" fontId="31" fillId="17" borderId="39" xfId="2" applyNumberFormat="1" applyFont="1" applyFill="1" applyBorder="1" applyAlignment="1">
      <alignment horizontal="right"/>
    </xf>
    <xf numFmtId="169" fontId="31" fillId="17" borderId="40" xfId="2" applyNumberFormat="1" applyFont="1" applyFill="1" applyBorder="1" applyAlignment="1">
      <alignment horizontal="right"/>
    </xf>
    <xf numFmtId="169" fontId="31" fillId="17" borderId="41" xfId="2" applyNumberFormat="1" applyFont="1" applyFill="1" applyBorder="1" applyAlignment="1">
      <alignment horizontal="right"/>
    </xf>
    <xf numFmtId="169" fontId="31" fillId="0" borderId="44" xfId="15" applyNumberFormat="1" applyFont="1" applyBorder="1" applyAlignment="1">
      <alignment horizontal="left" vertical="center" wrapText="1"/>
    </xf>
    <xf numFmtId="0" fontId="37" fillId="0" borderId="1" xfId="24" applyFont="1" applyBorder="1" applyAlignment="1">
      <alignment horizontal="left"/>
    </xf>
    <xf numFmtId="0" fontId="31" fillId="0" borderId="38" xfId="24" applyFont="1" applyBorder="1" applyAlignment="1">
      <alignment horizontal="left"/>
    </xf>
    <xf numFmtId="169" fontId="31" fillId="17" borderId="36" xfId="2" applyNumberFormat="1" applyFont="1" applyFill="1" applyBorder="1" applyAlignment="1">
      <alignment horizontal="right"/>
    </xf>
    <xf numFmtId="169" fontId="31" fillId="17" borderId="13" xfId="2" applyNumberFormat="1" applyFont="1" applyFill="1" applyBorder="1" applyAlignment="1">
      <alignment horizontal="right"/>
    </xf>
    <xf numFmtId="169" fontId="31" fillId="17" borderId="37" xfId="2" applyNumberFormat="1" applyFont="1" applyFill="1" applyBorder="1" applyAlignment="1">
      <alignment horizontal="right"/>
    </xf>
    <xf numFmtId="169" fontId="31" fillId="0" borderId="30" xfId="2" applyNumberFormat="1" applyFont="1" applyFill="1" applyBorder="1" applyAlignment="1">
      <alignment horizontal="right" vertical="center"/>
    </xf>
    <xf numFmtId="169" fontId="31" fillId="0" borderId="44" xfId="2" applyNumberFormat="1" applyFont="1" applyFill="1" applyBorder="1" applyAlignment="1">
      <alignment horizontal="right" vertical="center"/>
    </xf>
    <xf numFmtId="169" fontId="31" fillId="0" borderId="30" xfId="12" applyNumberFormat="1" applyFont="1" applyFill="1" applyBorder="1" applyAlignment="1">
      <alignment vertical="center"/>
    </xf>
    <xf numFmtId="169" fontId="31" fillId="0" borderId="44" xfId="12" applyNumberFormat="1" applyFont="1" applyFill="1" applyBorder="1" applyAlignment="1">
      <alignment vertical="center"/>
    </xf>
    <xf numFmtId="0" fontId="37" fillId="0" borderId="26" xfId="12" applyFont="1" applyBorder="1" applyAlignment="1">
      <alignment horizontal="left" vertical="center"/>
    </xf>
    <xf numFmtId="0" fontId="31" fillId="0" borderId="26" xfId="12" applyFont="1" applyBorder="1" applyAlignment="1">
      <alignment vertical="center"/>
    </xf>
    <xf numFmtId="170" fontId="23" fillId="18" borderId="36" xfId="2" applyNumberFormat="1" applyFont="1" applyFill="1" applyBorder="1" applyAlignment="1">
      <alignment horizontal="right" vertical="center"/>
    </xf>
    <xf numFmtId="170" fontId="23" fillId="18" borderId="13" xfId="2" applyNumberFormat="1" applyFont="1" applyFill="1" applyBorder="1" applyAlignment="1">
      <alignment horizontal="right" vertical="center"/>
    </xf>
    <xf numFmtId="170" fontId="23" fillId="18" borderId="37" xfId="2" applyNumberFormat="1" applyFont="1" applyFill="1" applyBorder="1" applyAlignment="1">
      <alignment horizontal="right" vertical="center"/>
    </xf>
    <xf numFmtId="171" fontId="28" fillId="18" borderId="13" xfId="2" applyNumberFormat="1" applyFont="1" applyFill="1" applyBorder="1" applyAlignment="1">
      <alignment horizontal="left" vertical="top"/>
    </xf>
    <xf numFmtId="171" fontId="39" fillId="18" borderId="13" xfId="2" applyNumberFormat="1" applyFont="1" applyFill="1" applyBorder="1" applyAlignment="1">
      <alignment horizontal="left" vertical="top"/>
    </xf>
    <xf numFmtId="169" fontId="31" fillId="0" borderId="19" xfId="12" applyNumberFormat="1" applyFont="1" applyBorder="1" applyAlignment="1">
      <alignment vertical="center"/>
    </xf>
    <xf numFmtId="169" fontId="23" fillId="17" borderId="50" xfId="2" applyNumberFormat="1" applyFont="1" applyFill="1" applyBorder="1" applyAlignment="1">
      <alignment horizontal="right"/>
    </xf>
    <xf numFmtId="169" fontId="23" fillId="5" borderId="12" xfId="2" applyNumberFormat="1" applyFont="1" applyFill="1" applyBorder="1" applyAlignment="1">
      <alignment horizontal="right"/>
    </xf>
    <xf numFmtId="0" fontId="31" fillId="0" borderId="0" xfId="12" applyFont="1" applyFill="1" applyBorder="1" applyAlignment="1">
      <alignment horizontal="center" vertical="center"/>
    </xf>
    <xf numFmtId="0" fontId="32" fillId="0" borderId="0" xfId="12" applyFont="1" applyFill="1" applyBorder="1" applyAlignment="1">
      <alignment horizontal="center" vertical="center"/>
    </xf>
    <xf numFmtId="0" fontId="35" fillId="0" borderId="0" xfId="12" applyFont="1" applyFill="1" applyBorder="1" applyAlignment="1">
      <alignment horizontal="center" vertical="center"/>
    </xf>
    <xf numFmtId="0" fontId="37" fillId="0" borderId="0" xfId="18" applyFont="1" applyBorder="1" applyAlignment="1">
      <alignment horizontal="left" vertical="center"/>
    </xf>
    <xf numFmtId="0" fontId="31" fillId="0" borderId="0" xfId="18" applyFont="1" applyBorder="1" applyAlignment="1">
      <alignment horizontal="left" vertical="center"/>
    </xf>
    <xf numFmtId="171" fontId="31" fillId="5" borderId="36" xfId="2" applyNumberFormat="1" applyFont="1" applyFill="1" applyBorder="1" applyAlignment="1">
      <alignment horizontal="right" vertical="center"/>
    </xf>
    <xf numFmtId="171" fontId="31" fillId="5" borderId="13" xfId="2" applyNumberFormat="1" applyFont="1" applyFill="1" applyBorder="1" applyAlignment="1">
      <alignment horizontal="right" vertical="center"/>
    </xf>
    <xf numFmtId="171" fontId="31" fillId="5" borderId="37" xfId="2" applyNumberFormat="1" applyFont="1" applyFill="1" applyBorder="1" applyAlignment="1">
      <alignment horizontal="right" vertical="center"/>
    </xf>
    <xf numFmtId="0" fontId="37" fillId="0" borderId="0" xfId="18" applyFont="1" applyBorder="1" applyAlignment="1">
      <alignment horizontal="left" vertical="center" indent="1"/>
    </xf>
    <xf numFmtId="171" fontId="31" fillId="17" borderId="40" xfId="2" applyNumberFormat="1" applyFont="1" applyFill="1" applyBorder="1" applyAlignment="1">
      <alignment horizontal="right" vertical="center"/>
    </xf>
    <xf numFmtId="0" fontId="30" fillId="0" borderId="26" xfId="18" applyFont="1" applyBorder="1" applyAlignment="1">
      <alignment vertical="center"/>
    </xf>
    <xf numFmtId="0" fontId="37" fillId="0" borderId="0" xfId="18" applyFont="1" applyBorder="1" applyAlignment="1">
      <alignment vertical="center"/>
    </xf>
    <xf numFmtId="0" fontId="31" fillId="0" borderId="0" xfId="18" applyFont="1" applyBorder="1" applyAlignment="1">
      <alignment horizontal="left" vertical="center" indent="2"/>
    </xf>
    <xf numFmtId="0" fontId="31" fillId="0" borderId="1" xfId="18" applyFont="1" applyBorder="1" applyAlignment="1">
      <alignment horizontal="left" vertical="center" indent="2"/>
    </xf>
    <xf numFmtId="173" fontId="23" fillId="18" borderId="37" xfId="2" applyNumberFormat="1" applyFont="1" applyFill="1" applyBorder="1" applyAlignment="1">
      <alignment horizontal="right"/>
    </xf>
    <xf numFmtId="0" fontId="45" fillId="15" borderId="31" xfId="12" applyFont="1" applyFill="1" applyBorder="1" applyAlignment="1">
      <alignment horizontal="centerContinuous" vertical="center"/>
    </xf>
    <xf numFmtId="0" fontId="30" fillId="0" borderId="26" xfId="12" applyFont="1" applyBorder="1" applyAlignment="1">
      <alignment horizontal="left" vertical="center"/>
    </xf>
    <xf numFmtId="0" fontId="32" fillId="14" borderId="47" xfId="18" applyFont="1" applyFill="1" applyBorder="1" applyAlignment="1">
      <alignment horizontal="centerContinuous" vertical="center"/>
    </xf>
    <xf numFmtId="0" fontId="31" fillId="14" borderId="26" xfId="18" applyFont="1" applyFill="1" applyBorder="1" applyAlignment="1">
      <alignment horizontal="centerContinuous" vertical="center"/>
    </xf>
    <xf numFmtId="0" fontId="31" fillId="14" borderId="48" xfId="18" applyFont="1" applyFill="1" applyBorder="1" applyAlignment="1">
      <alignment horizontal="centerContinuous" vertical="center"/>
    </xf>
    <xf numFmtId="0" fontId="31" fillId="0" borderId="35" xfId="18" applyFont="1" applyBorder="1" applyAlignment="1">
      <alignment horizontal="center" vertical="center"/>
    </xf>
    <xf numFmtId="0" fontId="28" fillId="0" borderId="30" xfId="18" applyFont="1" applyBorder="1"/>
    <xf numFmtId="0" fontId="31" fillId="0" borderId="38" xfId="18" applyFont="1" applyBorder="1" applyAlignment="1">
      <alignment horizontal="left" vertical="center"/>
    </xf>
    <xf numFmtId="169" fontId="31" fillId="5" borderId="10" xfId="2" applyNumberFormat="1" applyFont="1" applyFill="1" applyBorder="1" applyAlignment="1">
      <alignment horizontal="right" vertical="center"/>
    </xf>
    <xf numFmtId="169" fontId="31" fillId="17" borderId="45" xfId="2" applyNumberFormat="1" applyFont="1" applyFill="1" applyBorder="1" applyAlignment="1">
      <alignment horizontal="right" vertical="center"/>
    </xf>
    <xf numFmtId="169" fontId="31" fillId="17" borderId="50" xfId="2" applyNumberFormat="1" applyFont="1" applyFill="1" applyBorder="1" applyAlignment="1">
      <alignment horizontal="right" vertical="center"/>
    </xf>
    <xf numFmtId="0" fontId="31" fillId="0" borderId="1" xfId="18" applyFont="1" applyBorder="1" applyAlignment="1">
      <alignment horizontal="left" vertical="center"/>
    </xf>
    <xf numFmtId="169" fontId="23" fillId="18" borderId="39" xfId="2" applyNumberFormat="1" applyFont="1" applyFill="1" applyBorder="1" applyAlignment="1">
      <alignment horizontal="right" vertical="center"/>
    </xf>
    <xf numFmtId="169" fontId="23" fillId="18" borderId="41" xfId="2" applyNumberFormat="1" applyFont="1" applyFill="1" applyBorder="1" applyAlignment="1">
      <alignment horizontal="right" vertical="center"/>
    </xf>
    <xf numFmtId="0" fontId="31" fillId="14" borderId="27" xfId="18" applyFont="1" applyFill="1" applyBorder="1" applyAlignment="1">
      <alignment horizontal="centerContinuous" vertical="center"/>
    </xf>
    <xf numFmtId="0" fontId="31" fillId="14" borderId="43" xfId="18" applyFont="1" applyFill="1" applyBorder="1" applyAlignment="1">
      <alignment horizontal="centerContinuous" vertical="center"/>
    </xf>
    <xf numFmtId="0" fontId="37" fillId="11" borderId="0" xfId="18" applyFont="1" applyFill="1" applyBorder="1" applyAlignment="1">
      <alignment horizontal="left" vertical="center"/>
    </xf>
    <xf numFmtId="0" fontId="31" fillId="11" borderId="0" xfId="20" applyFont="1" applyFill="1" applyBorder="1" applyAlignment="1">
      <alignment horizontal="left" vertical="center" indent="3"/>
    </xf>
    <xf numFmtId="0" fontId="30" fillId="11" borderId="26" xfId="19" applyFont="1" applyFill="1" applyBorder="1" applyAlignment="1">
      <alignment vertical="center"/>
    </xf>
    <xf numFmtId="0" fontId="30" fillId="11" borderId="0" xfId="19" applyFont="1" applyFill="1" applyBorder="1" applyAlignment="1">
      <alignment horizontal="left" vertical="center" indent="1"/>
    </xf>
    <xf numFmtId="0" fontId="37" fillId="11" borderId="0" xfId="19" applyFont="1" applyFill="1" applyBorder="1" applyAlignment="1">
      <alignment horizontal="left" vertical="center" indent="1"/>
    </xf>
    <xf numFmtId="0" fontId="37" fillId="11" borderId="0" xfId="19" applyFont="1" applyFill="1" applyBorder="1" applyAlignment="1">
      <alignment horizontal="left" indent="1"/>
    </xf>
    <xf numFmtId="0" fontId="31" fillId="11" borderId="0" xfId="22" applyFont="1" applyFill="1" applyBorder="1" applyAlignment="1">
      <alignment horizontal="left" indent="2"/>
    </xf>
    <xf numFmtId="0" fontId="31" fillId="11" borderId="1" xfId="19" applyFont="1" applyFill="1" applyBorder="1" applyAlignment="1">
      <alignment horizontal="left" indent="2"/>
    </xf>
    <xf numFmtId="0" fontId="23" fillId="0" borderId="0" xfId="14" applyFont="1" applyFill="1" applyAlignment="1">
      <alignment horizontal="left"/>
    </xf>
    <xf numFmtId="0" fontId="31" fillId="11" borderId="0" xfId="20" applyFont="1" applyFill="1" applyBorder="1" applyAlignment="1">
      <alignment horizontal="left" vertical="center"/>
    </xf>
    <xf numFmtId="0" fontId="31" fillId="11" borderId="0" xfId="22" applyFont="1" applyFill="1" applyBorder="1" applyAlignment="1">
      <alignment horizontal="left"/>
    </xf>
    <xf numFmtId="0" fontId="31" fillId="11" borderId="0" xfId="22" applyFont="1" applyFill="1" applyBorder="1" applyAlignment="1">
      <alignment horizontal="left" indent="1"/>
    </xf>
    <xf numFmtId="0" fontId="31" fillId="11" borderId="38" xfId="19" applyFont="1" applyFill="1" applyBorder="1" applyAlignment="1">
      <alignment horizontal="left"/>
    </xf>
    <xf numFmtId="171" fontId="23" fillId="13" borderId="30" xfId="14" applyNumberFormat="1" applyFont="1" applyFill="1" applyBorder="1" applyAlignment="1"/>
    <xf numFmtId="171" fontId="23" fillId="13" borderId="0" xfId="14" applyNumberFormat="1" applyFont="1" applyFill="1" applyBorder="1" applyAlignment="1"/>
    <xf numFmtId="171" fontId="23" fillId="13" borderId="44" xfId="14" applyNumberFormat="1" applyFont="1" applyFill="1" applyBorder="1" applyAlignment="1"/>
    <xf numFmtId="171" fontId="31" fillId="17" borderId="39" xfId="2" applyNumberFormat="1" applyFont="1" applyFill="1" applyBorder="1" applyAlignment="1">
      <alignment horizontal="right"/>
    </xf>
    <xf numFmtId="171" fontId="31" fillId="17" borderId="40" xfId="2" applyNumberFormat="1" applyFont="1" applyFill="1" applyBorder="1" applyAlignment="1">
      <alignment horizontal="right"/>
    </xf>
    <xf numFmtId="171" fontId="31" fillId="17" borderId="41" xfId="2" applyNumberFormat="1" applyFont="1" applyFill="1" applyBorder="1" applyAlignment="1">
      <alignment horizontal="right"/>
    </xf>
    <xf numFmtId="0" fontId="31" fillId="11" borderId="0" xfId="20" applyFont="1" applyFill="1" applyBorder="1" applyAlignment="1">
      <alignment horizontal="left" vertical="center" indent="2"/>
    </xf>
    <xf numFmtId="0" fontId="31" fillId="11" borderId="0" xfId="20" applyFont="1" applyFill="1" applyBorder="1" applyAlignment="1">
      <alignment horizontal="left" indent="2"/>
    </xf>
    <xf numFmtId="0" fontId="30" fillId="11" borderId="26" xfId="21" applyFont="1" applyFill="1" applyBorder="1" applyAlignment="1">
      <alignment vertical="center"/>
    </xf>
    <xf numFmtId="0" fontId="31" fillId="11" borderId="0" xfId="23" applyFont="1" applyFill="1" applyBorder="1" applyAlignment="1">
      <alignment horizontal="left" indent="2"/>
    </xf>
    <xf numFmtId="0" fontId="31" fillId="11" borderId="0" xfId="21" applyFont="1" applyFill="1" applyBorder="1" applyAlignment="1">
      <alignment horizontal="left" indent="2"/>
    </xf>
    <xf numFmtId="0" fontId="31" fillId="11" borderId="1" xfId="21" applyFont="1" applyFill="1" applyBorder="1" applyAlignment="1">
      <alignment horizontal="left" indent="2"/>
    </xf>
    <xf numFmtId="0" fontId="31" fillId="11" borderId="1" xfId="23" applyFont="1" applyFill="1" applyBorder="1" applyAlignment="1">
      <alignment horizontal="left" indent="2"/>
    </xf>
    <xf numFmtId="169" fontId="31" fillId="5" borderId="17" xfId="2" applyNumberFormat="1" applyFont="1" applyFill="1" applyBorder="1" applyAlignment="1">
      <alignment horizontal="right" vertical="center"/>
    </xf>
    <xf numFmtId="169" fontId="31" fillId="5" borderId="56" xfId="2" applyNumberFormat="1" applyFont="1" applyFill="1" applyBorder="1" applyAlignment="1">
      <alignment horizontal="right" vertical="center"/>
    </xf>
    <xf numFmtId="169" fontId="31" fillId="5" borderId="57" xfId="2" applyNumberFormat="1" applyFont="1" applyFill="1" applyBorder="1" applyAlignment="1">
      <alignment horizontal="right" vertical="center"/>
    </xf>
    <xf numFmtId="0" fontId="37" fillId="11" borderId="0" xfId="21" applyFont="1" applyFill="1" applyBorder="1" applyAlignment="1">
      <alignment horizontal="left" vertical="center"/>
    </xf>
    <xf numFmtId="0" fontId="31" fillId="11" borderId="0" xfId="23" applyFont="1" applyFill="1" applyBorder="1" applyAlignment="1">
      <alignment horizontal="left"/>
    </xf>
    <xf numFmtId="0" fontId="31" fillId="11" borderId="38" xfId="21" applyFont="1" applyFill="1" applyBorder="1" applyAlignment="1">
      <alignment horizontal="left"/>
    </xf>
    <xf numFmtId="0" fontId="31" fillId="11" borderId="0" xfId="21" applyFont="1" applyFill="1" applyBorder="1" applyAlignment="1">
      <alignment horizontal="left"/>
    </xf>
    <xf numFmtId="0" fontId="31" fillId="11" borderId="1" xfId="21" applyFont="1" applyFill="1" applyBorder="1" applyAlignment="1">
      <alignment horizontal="right"/>
    </xf>
    <xf numFmtId="0" fontId="31" fillId="11" borderId="38" xfId="23" applyFont="1" applyFill="1" applyBorder="1" applyAlignment="1">
      <alignment horizontal="left"/>
    </xf>
    <xf numFmtId="169" fontId="23" fillId="0" borderId="0" xfId="14" applyNumberFormat="1" applyFont="1" applyFill="1" applyBorder="1" applyAlignment="1">
      <alignment vertical="center"/>
    </xf>
    <xf numFmtId="169" fontId="23" fillId="0" borderId="44" xfId="14" applyNumberFormat="1" applyFont="1" applyFill="1" applyBorder="1" applyAlignment="1">
      <alignment vertical="center"/>
    </xf>
    <xf numFmtId="0" fontId="37" fillId="11" borderId="30" xfId="19" applyFont="1" applyFill="1" applyBorder="1" applyAlignment="1">
      <alignment horizontal="left" vertical="center"/>
    </xf>
    <xf numFmtId="0" fontId="37" fillId="11" borderId="0" xfId="19" applyFont="1" applyFill="1" applyBorder="1" applyAlignment="1">
      <alignment horizontal="left" vertical="center"/>
    </xf>
    <xf numFmtId="0" fontId="30" fillId="0" borderId="25" xfId="16" applyFont="1" applyBorder="1" applyAlignment="1">
      <alignment horizontal="left" vertical="center"/>
    </xf>
    <xf numFmtId="0" fontId="32" fillId="15" borderId="42" xfId="16" applyFont="1" applyFill="1" applyBorder="1" applyAlignment="1">
      <alignment horizontal="centerContinuous" vertical="center"/>
    </xf>
    <xf numFmtId="0" fontId="32" fillId="16" borderId="42" xfId="16" applyFont="1" applyFill="1" applyBorder="1" applyAlignment="1">
      <alignment horizontal="centerContinuous" vertical="center"/>
    </xf>
    <xf numFmtId="169" fontId="31" fillId="0" borderId="30" xfId="16" applyNumberFormat="1" applyFont="1" applyBorder="1" applyAlignment="1">
      <alignment vertical="center"/>
    </xf>
    <xf numFmtId="169" fontId="31" fillId="0" borderId="0" xfId="16" applyNumberFormat="1" applyFont="1" applyBorder="1" applyAlignment="1">
      <alignment vertical="center"/>
    </xf>
    <xf numFmtId="169" fontId="31" fillId="0" borderId="44" xfId="16" applyNumberFormat="1" applyFont="1" applyBorder="1" applyAlignment="1">
      <alignment vertical="center"/>
    </xf>
    <xf numFmtId="169" fontId="31" fillId="0" borderId="30" xfId="17" applyNumberFormat="1" applyFont="1" applyBorder="1" applyAlignment="1">
      <alignment horizontal="left" vertical="center" wrapText="1"/>
    </xf>
    <xf numFmtId="169" fontId="31" fillId="0" borderId="0" xfId="17" applyNumberFormat="1" applyFont="1" applyBorder="1" applyAlignment="1">
      <alignment horizontal="left" vertical="center" wrapText="1"/>
    </xf>
    <xf numFmtId="169" fontId="31" fillId="0" borderId="44" xfId="17" applyNumberFormat="1" applyFont="1" applyBorder="1" applyAlignment="1">
      <alignment horizontal="left" vertical="center" wrapText="1"/>
    </xf>
    <xf numFmtId="171" fontId="31" fillId="0" borderId="30" xfId="16" applyNumberFormat="1" applyFont="1" applyBorder="1" applyAlignment="1">
      <alignment vertical="center"/>
    </xf>
    <xf numFmtId="171" fontId="31" fillId="0" borderId="0" xfId="16" applyNumberFormat="1" applyFont="1" applyBorder="1" applyAlignment="1">
      <alignment vertical="center"/>
    </xf>
    <xf numFmtId="171" fontId="31" fillId="0" borderId="44" xfId="16" applyNumberFormat="1" applyFont="1" applyBorder="1" applyAlignment="1">
      <alignment vertical="center"/>
    </xf>
    <xf numFmtId="170" fontId="23" fillId="18" borderId="39" xfId="2" applyNumberFormat="1" applyFont="1" applyFill="1" applyBorder="1" applyAlignment="1">
      <alignment horizontal="right" vertical="center"/>
    </xf>
    <xf numFmtId="170" fontId="23" fillId="18" borderId="40" xfId="2" applyNumberFormat="1" applyFont="1" applyFill="1" applyBorder="1" applyAlignment="1">
      <alignment horizontal="right" vertical="center"/>
    </xf>
    <xf numFmtId="170" fontId="23" fillId="18" borderId="41" xfId="2" applyNumberFormat="1" applyFont="1" applyFill="1" applyBorder="1" applyAlignment="1">
      <alignment horizontal="right" vertical="center"/>
    </xf>
    <xf numFmtId="0" fontId="31" fillId="0" borderId="1" xfId="16" applyFont="1" applyBorder="1" applyAlignment="1">
      <alignment horizontal="right" vertical="center"/>
    </xf>
    <xf numFmtId="169" fontId="31" fillId="0" borderId="38" xfId="16" applyNumberFormat="1" applyFont="1" applyBorder="1" applyAlignment="1">
      <alignment vertical="center"/>
    </xf>
    <xf numFmtId="169" fontId="31" fillId="0" borderId="1" xfId="16" applyNumberFormat="1" applyFont="1" applyBorder="1" applyAlignment="1">
      <alignment vertical="center"/>
    </xf>
    <xf numFmtId="170" fontId="23" fillId="0" borderId="13" xfId="2" applyNumberFormat="1" applyFont="1" applyFill="1" applyBorder="1" applyAlignment="1" applyProtection="1">
      <alignment horizontal="center" vertical="center"/>
    </xf>
    <xf numFmtId="169" fontId="23" fillId="0" borderId="13" xfId="2" applyNumberFormat="1" applyFont="1" applyFill="1" applyBorder="1" applyAlignment="1" applyProtection="1">
      <alignment horizontal="center" vertical="center"/>
    </xf>
    <xf numFmtId="0" fontId="31" fillId="0" borderId="49" xfId="16" applyFont="1" applyBorder="1" applyAlignment="1">
      <alignment vertical="center"/>
    </xf>
    <xf numFmtId="0" fontId="32" fillId="16" borderId="46" xfId="16" applyFont="1" applyFill="1" applyBorder="1" applyAlignment="1">
      <alignment horizontal="centerContinuous" vertical="center"/>
    </xf>
    <xf numFmtId="170" fontId="23" fillId="18" borderId="50" xfId="2" applyNumberFormat="1" applyFont="1" applyFill="1" applyBorder="1" applyAlignment="1">
      <alignment horizontal="right" vertical="center"/>
    </xf>
    <xf numFmtId="169" fontId="23" fillId="0" borderId="13" xfId="2" applyNumberFormat="1" applyFont="1" applyBorder="1" applyAlignment="1">
      <alignment horizontal="center" vertical="center"/>
    </xf>
    <xf numFmtId="171" fontId="23" fillId="0" borderId="40" xfId="2" applyNumberFormat="1" applyFont="1" applyFill="1" applyBorder="1" applyAlignment="1" applyProtection="1">
      <alignment horizontal="center" vertical="center"/>
    </xf>
    <xf numFmtId="0" fontId="37" fillId="0" borderId="0" xfId="24" applyFont="1" applyBorder="1" applyAlignment="1">
      <alignment horizontal="left" vertical="center"/>
    </xf>
    <xf numFmtId="10" fontId="23" fillId="18" borderId="13" xfId="1" applyNumberFormat="1" applyFont="1" applyFill="1" applyBorder="1" applyAlignment="1">
      <alignment horizontal="right" vertical="center"/>
    </xf>
    <xf numFmtId="0" fontId="32" fillId="15" borderId="42" xfId="12" applyFont="1" applyFill="1" applyBorder="1" applyAlignment="1">
      <alignment horizontal="centerContinuous" vertical="center"/>
    </xf>
    <xf numFmtId="0" fontId="32" fillId="16" borderId="42" xfId="12" applyFont="1" applyFill="1" applyBorder="1" applyAlignment="1">
      <alignment horizontal="centerContinuous" vertical="center"/>
    </xf>
    <xf numFmtId="0" fontId="32" fillId="16" borderId="32" xfId="12" applyFont="1" applyFill="1" applyBorder="1" applyAlignment="1">
      <alignment horizontal="centerContinuous" vertical="center"/>
    </xf>
    <xf numFmtId="10" fontId="23" fillId="18" borderId="37" xfId="1" applyNumberFormat="1" applyFont="1" applyFill="1" applyBorder="1" applyAlignment="1">
      <alignment horizontal="right" vertical="center"/>
    </xf>
    <xf numFmtId="171" fontId="31" fillId="17" borderId="39" xfId="2" applyNumberFormat="1" applyFont="1" applyFill="1" applyBorder="1" applyAlignment="1">
      <alignment horizontal="right" vertical="center"/>
    </xf>
    <xf numFmtId="171" fontId="31" fillId="17" borderId="41" xfId="2" applyNumberFormat="1" applyFont="1" applyFill="1" applyBorder="1" applyAlignment="1">
      <alignment horizontal="right" vertical="center"/>
    </xf>
    <xf numFmtId="172" fontId="31" fillId="5" borderId="36" xfId="2" applyNumberFormat="1" applyFont="1" applyFill="1" applyBorder="1" applyAlignment="1">
      <alignment horizontal="right" vertical="center"/>
    </xf>
    <xf numFmtId="172" fontId="31" fillId="5" borderId="13" xfId="2" applyNumberFormat="1" applyFont="1" applyFill="1" applyBorder="1" applyAlignment="1">
      <alignment horizontal="right" vertical="center"/>
    </xf>
    <xf numFmtId="0" fontId="31" fillId="0" borderId="51" xfId="12" applyFont="1" applyBorder="1" applyAlignment="1">
      <alignment horizontal="center" vertical="center"/>
    </xf>
    <xf numFmtId="171" fontId="31" fillId="0" borderId="30" xfId="12" applyNumberFormat="1" applyFont="1" applyBorder="1" applyAlignment="1">
      <alignment vertical="center"/>
    </xf>
    <xf numFmtId="171" fontId="31" fillId="0" borderId="0" xfId="15" applyNumberFormat="1" applyFont="1" applyBorder="1" applyAlignment="1">
      <alignment horizontal="left" vertical="center" wrapText="1"/>
    </xf>
    <xf numFmtId="171" fontId="31" fillId="0" borderId="44" xfId="12" applyNumberFormat="1" applyFont="1" applyBorder="1" applyAlignment="1">
      <alignment vertical="center"/>
    </xf>
    <xf numFmtId="171" fontId="31" fillId="0" borderId="0" xfId="12" applyNumberFormat="1" applyFont="1" applyBorder="1" applyAlignment="1">
      <alignment vertical="center"/>
    </xf>
    <xf numFmtId="0" fontId="31" fillId="0" borderId="50" xfId="12" applyFont="1" applyBorder="1" applyAlignment="1">
      <alignment horizontal="center" vertical="center"/>
    </xf>
    <xf numFmtId="0" fontId="31" fillId="0" borderId="11" xfId="18" applyFont="1" applyFill="1" applyBorder="1" applyAlignment="1">
      <alignment horizontal="centerContinuous" vertical="center" wrapText="1"/>
    </xf>
    <xf numFmtId="0" fontId="31" fillId="0" borderId="37" xfId="18" applyFont="1" applyFill="1" applyBorder="1" applyAlignment="1">
      <alignment horizontal="centerContinuous" vertical="center" wrapText="1"/>
    </xf>
    <xf numFmtId="171" fontId="31" fillId="0" borderId="44" xfId="15" applyNumberFormat="1" applyFont="1" applyBorder="1" applyAlignment="1">
      <alignment horizontal="left" vertical="center" wrapText="1"/>
    </xf>
    <xf numFmtId="171" fontId="23" fillId="0" borderId="0" xfId="14" applyNumberFormat="1" applyFont="1" applyFill="1" applyBorder="1" applyAlignment="1">
      <alignment vertical="center"/>
    </xf>
    <xf numFmtId="171" fontId="23" fillId="0" borderId="44" xfId="14" applyNumberFormat="1" applyFont="1" applyFill="1" applyBorder="1" applyAlignment="1">
      <alignment vertical="center"/>
    </xf>
    <xf numFmtId="171" fontId="23" fillId="0" borderId="11" xfId="2" applyNumberFormat="1" applyFont="1" applyFill="1" applyBorder="1" applyAlignment="1" applyProtection="1">
      <alignment horizontal="center" vertical="center"/>
    </xf>
    <xf numFmtId="171" fontId="23" fillId="0" borderId="51" xfId="2" applyNumberFormat="1" applyFont="1" applyFill="1" applyBorder="1" applyAlignment="1" applyProtection="1">
      <alignment horizontal="center" vertical="center"/>
    </xf>
    <xf numFmtId="171" fontId="31" fillId="5" borderId="41" xfId="2" applyNumberFormat="1" applyFont="1" applyFill="1" applyBorder="1" applyAlignment="1">
      <alignment horizontal="right" vertical="center"/>
    </xf>
    <xf numFmtId="171" fontId="31" fillId="0" borderId="30" xfId="15" applyNumberFormat="1" applyFont="1" applyBorder="1" applyAlignment="1">
      <alignment horizontal="left" vertical="center" wrapText="1"/>
    </xf>
    <xf numFmtId="171" fontId="31" fillId="5" borderId="39" xfId="2" applyNumberFormat="1" applyFont="1" applyFill="1" applyBorder="1" applyAlignment="1">
      <alignment horizontal="right" vertical="center"/>
    </xf>
    <xf numFmtId="171" fontId="31" fillId="5" borderId="40" xfId="2" applyNumberFormat="1" applyFont="1" applyFill="1" applyBorder="1" applyAlignment="1">
      <alignment horizontal="right" vertical="center"/>
    </xf>
    <xf numFmtId="0" fontId="36" fillId="0" borderId="0" xfId="14" applyFont="1" applyFill="1" applyAlignment="1">
      <alignment horizontal="left" vertical="center"/>
    </xf>
    <xf numFmtId="0" fontId="35" fillId="0" borderId="0" xfId="17" applyFont="1" applyBorder="1" applyAlignment="1">
      <alignment horizontal="left" vertical="center"/>
    </xf>
    <xf numFmtId="0" fontId="35" fillId="0" borderId="1" xfId="17" applyFont="1" applyBorder="1" applyAlignment="1">
      <alignment horizontal="left" vertical="center"/>
    </xf>
    <xf numFmtId="0" fontId="36" fillId="0" borderId="1" xfId="14" applyFont="1" applyFill="1" applyBorder="1" applyAlignment="1">
      <alignment vertical="center"/>
    </xf>
    <xf numFmtId="0" fontId="36" fillId="0" borderId="0" xfId="2" applyFont="1" applyAlignment="1">
      <alignment vertical="center"/>
    </xf>
    <xf numFmtId="0" fontId="36" fillId="0" borderId="0" xfId="2" applyFont="1" applyAlignment="1">
      <alignment horizontal="left" vertical="center"/>
    </xf>
    <xf numFmtId="0" fontId="30" fillId="0" borderId="30" xfId="12" applyFont="1" applyBorder="1" applyAlignment="1">
      <alignment horizontal="left" vertical="center"/>
    </xf>
    <xf numFmtId="0" fontId="36" fillId="0" borderId="30" xfId="14" applyFont="1" applyFill="1" applyBorder="1" applyAlignment="1">
      <alignment vertical="center"/>
    </xf>
    <xf numFmtId="0" fontId="35" fillId="0" borderId="38" xfId="16" applyFont="1" applyBorder="1" applyAlignment="1">
      <alignment horizontal="left" vertical="center"/>
    </xf>
    <xf numFmtId="0" fontId="36" fillId="0" borderId="38" xfId="14" applyFont="1" applyFill="1" applyBorder="1" applyAlignment="1">
      <alignment vertical="center"/>
    </xf>
    <xf numFmtId="171" fontId="31" fillId="5" borderId="12" xfId="2" applyNumberFormat="1" applyFont="1" applyFill="1" applyBorder="1" applyAlignment="1">
      <alignment horizontal="right" vertical="center"/>
    </xf>
    <xf numFmtId="0" fontId="36" fillId="0" borderId="38" xfId="2" applyFont="1" applyBorder="1" applyAlignment="1">
      <alignment horizontal="left" vertical="center"/>
    </xf>
    <xf numFmtId="0" fontId="36" fillId="0" borderId="30" xfId="2" applyFont="1" applyBorder="1" applyAlignment="1">
      <alignment horizontal="left" vertical="center"/>
    </xf>
    <xf numFmtId="169" fontId="23" fillId="19" borderId="36" xfId="2" applyNumberFormat="1" applyFont="1" applyFill="1" applyBorder="1" applyAlignment="1">
      <alignment horizontal="right" vertical="center"/>
    </xf>
    <xf numFmtId="169" fontId="23" fillId="19" borderId="13" xfId="2" applyNumberFormat="1" applyFont="1" applyFill="1" applyBorder="1" applyAlignment="1">
      <alignment horizontal="right" vertical="center"/>
    </xf>
    <xf numFmtId="169" fontId="23" fillId="19" borderId="37" xfId="2" applyNumberFormat="1" applyFont="1" applyFill="1" applyBorder="1" applyAlignment="1">
      <alignment horizontal="right" vertical="center"/>
    </xf>
    <xf numFmtId="169" fontId="16" fillId="0" borderId="30" xfId="2" applyNumberFormat="1" applyFont="1" applyBorder="1" applyAlignment="1">
      <alignment vertical="center"/>
    </xf>
    <xf numFmtId="169" fontId="16" fillId="0" borderId="0" xfId="2" applyNumberFormat="1" applyFont="1" applyBorder="1" applyAlignment="1">
      <alignment vertical="center"/>
    </xf>
    <xf numFmtId="169" fontId="16" fillId="0" borderId="44" xfId="2" applyNumberFormat="1" applyFont="1" applyBorder="1" applyAlignment="1">
      <alignment vertical="center"/>
    </xf>
    <xf numFmtId="169" fontId="16" fillId="0" borderId="0" xfId="2" applyNumberFormat="1" applyFont="1" applyBorder="1" applyAlignment="1">
      <alignment horizontal="center" vertical="center"/>
    </xf>
    <xf numFmtId="169" fontId="23" fillId="19" borderId="39" xfId="2" applyNumberFormat="1" applyFont="1" applyFill="1" applyBorder="1" applyAlignment="1">
      <alignment horizontal="right" vertical="center"/>
    </xf>
    <xf numFmtId="169" fontId="23" fillId="19" borderId="40" xfId="2" applyNumberFormat="1" applyFont="1" applyFill="1" applyBorder="1" applyAlignment="1">
      <alignment horizontal="right" vertical="center"/>
    </xf>
    <xf numFmtId="169" fontId="23" fillId="19" borderId="41" xfId="2" applyNumberFormat="1" applyFont="1" applyFill="1" applyBorder="1" applyAlignment="1">
      <alignment horizontal="right" vertical="center"/>
    </xf>
    <xf numFmtId="0" fontId="32" fillId="15" borderId="32" xfId="12" applyFont="1" applyFill="1" applyBorder="1" applyAlignment="1">
      <alignment horizontal="centerContinuous" vertical="center"/>
    </xf>
    <xf numFmtId="0" fontId="32" fillId="15" borderId="33" xfId="12" applyFont="1" applyFill="1" applyBorder="1" applyAlignment="1">
      <alignment horizontal="centerContinuous" vertical="center"/>
    </xf>
    <xf numFmtId="0" fontId="32" fillId="16" borderId="33" xfId="12" applyFont="1" applyFill="1" applyBorder="1" applyAlignment="1">
      <alignment horizontal="centerContinuous" vertical="center"/>
    </xf>
    <xf numFmtId="0" fontId="30" fillId="11" borderId="26" xfId="20" applyFont="1" applyFill="1" applyBorder="1" applyAlignment="1">
      <alignment vertical="center"/>
    </xf>
    <xf numFmtId="0" fontId="37" fillId="11" borderId="0" xfId="20" applyFont="1" applyFill="1" applyBorder="1" applyAlignment="1">
      <alignment horizontal="left" vertical="center" indent="1"/>
    </xf>
    <xf numFmtId="0" fontId="31" fillId="11" borderId="1" xfId="20" applyFont="1" applyFill="1" applyBorder="1" applyAlignment="1">
      <alignment horizontal="left" indent="2"/>
    </xf>
    <xf numFmtId="0" fontId="37" fillId="11" borderId="30" xfId="20" applyFont="1" applyFill="1" applyBorder="1" applyAlignment="1">
      <alignment horizontal="left" vertical="center"/>
    </xf>
    <xf numFmtId="0" fontId="37" fillId="11" borderId="0" xfId="20" applyFont="1" applyFill="1" applyBorder="1" applyAlignment="1">
      <alignment horizontal="left" vertical="center"/>
    </xf>
    <xf numFmtId="0" fontId="31" fillId="11" borderId="38" xfId="20" applyFont="1" applyFill="1" applyBorder="1" applyAlignment="1">
      <alignment horizontal="left"/>
    </xf>
    <xf numFmtId="0" fontId="31" fillId="11" borderId="0" xfId="20" applyFont="1" applyFill="1" applyBorder="1" applyAlignment="1">
      <alignment horizontal="left"/>
    </xf>
    <xf numFmtId="0" fontId="31" fillId="11" borderId="0" xfId="20" applyFont="1" applyFill="1" applyBorder="1" applyAlignment="1">
      <alignment horizontal="right"/>
    </xf>
    <xf numFmtId="0" fontId="23" fillId="19" borderId="13" xfId="2" applyFont="1" applyFill="1" applyBorder="1" applyAlignment="1">
      <alignment vertical="center"/>
    </xf>
    <xf numFmtId="169" fontId="23" fillId="13" borderId="30" xfId="14" applyNumberFormat="1" applyFont="1" applyFill="1" applyBorder="1" applyAlignment="1"/>
    <xf numFmtId="169" fontId="23" fillId="13" borderId="0" xfId="14" applyNumberFormat="1" applyFont="1" applyFill="1" applyBorder="1" applyAlignment="1"/>
    <xf numFmtId="0" fontId="23" fillId="11" borderId="1" xfId="2" applyFont="1" applyFill="1" applyBorder="1"/>
    <xf numFmtId="169" fontId="31" fillId="17" borderId="50" xfId="2" applyNumberFormat="1" applyFont="1" applyFill="1" applyBorder="1" applyAlignment="1">
      <alignment horizontal="right"/>
    </xf>
    <xf numFmtId="0" fontId="23" fillId="11" borderId="30" xfId="14" applyFont="1" applyFill="1" applyBorder="1"/>
    <xf numFmtId="0" fontId="35" fillId="0" borderId="30" xfId="24" applyFont="1" applyBorder="1"/>
    <xf numFmtId="0" fontId="30" fillId="0" borderId="30" xfId="24" applyFont="1" applyBorder="1" applyAlignment="1">
      <alignment vertical="center"/>
    </xf>
    <xf numFmtId="0" fontId="30" fillId="0" borderId="30" xfId="24" applyFont="1" applyBorder="1" applyAlignment="1">
      <alignment horizontal="left" vertical="center" indent="1"/>
    </xf>
    <xf numFmtId="0" fontId="35" fillId="0" borderId="0" xfId="24" applyFont="1"/>
    <xf numFmtId="0" fontId="36" fillId="0" borderId="0" xfId="2" applyFont="1"/>
    <xf numFmtId="0" fontId="35" fillId="0" borderId="30" xfId="24" applyFont="1" applyBorder="1" applyAlignment="1">
      <alignment horizontal="left" indent="1"/>
    </xf>
    <xf numFmtId="0" fontId="35" fillId="0" borderId="38" xfId="24" applyFont="1" applyBorder="1" applyAlignment="1">
      <alignment horizontal="left"/>
    </xf>
    <xf numFmtId="0" fontId="32" fillId="14" borderId="47" xfId="17" applyFont="1" applyFill="1" applyBorder="1" applyAlignment="1">
      <alignment horizontal="centerContinuous" vertical="center"/>
    </xf>
    <xf numFmtId="0" fontId="31" fillId="14" borderId="26" xfId="17" applyFont="1" applyFill="1" applyBorder="1" applyAlignment="1">
      <alignment horizontal="centerContinuous" vertical="center"/>
    </xf>
    <xf numFmtId="0" fontId="31" fillId="14" borderId="48" xfId="17" applyFont="1" applyFill="1" applyBorder="1" applyAlignment="1">
      <alignment horizontal="centerContinuous" vertical="center"/>
    </xf>
    <xf numFmtId="169" fontId="23" fillId="19" borderId="36" xfId="2" applyNumberFormat="1" applyFont="1" applyFill="1" applyBorder="1" applyAlignment="1">
      <alignment horizontal="right"/>
    </xf>
    <xf numFmtId="0" fontId="31" fillId="11" borderId="38" xfId="20" applyFont="1" applyFill="1" applyBorder="1" applyAlignment="1">
      <alignment horizontal="left" vertical="center"/>
    </xf>
    <xf numFmtId="171" fontId="31" fillId="5" borderId="36" xfId="2" applyNumberFormat="1" applyFont="1" applyFill="1" applyBorder="1" applyAlignment="1">
      <alignment horizontal="right"/>
    </xf>
    <xf numFmtId="171" fontId="31" fillId="5" borderId="13" xfId="2" applyNumberFormat="1" applyFont="1" applyFill="1" applyBorder="1" applyAlignment="1">
      <alignment horizontal="right"/>
    </xf>
    <xf numFmtId="171" fontId="31" fillId="5" borderId="37" xfId="2" applyNumberFormat="1" applyFont="1" applyFill="1" applyBorder="1" applyAlignment="1">
      <alignment horizontal="right"/>
    </xf>
    <xf numFmtId="171" fontId="23" fillId="18" borderId="40" xfId="2" applyNumberFormat="1" applyFont="1" applyFill="1" applyBorder="1" applyAlignment="1">
      <alignment horizontal="left" vertical="center"/>
    </xf>
    <xf numFmtId="10" fontId="23" fillId="5" borderId="13" xfId="1" applyNumberFormat="1" applyFont="1" applyFill="1" applyBorder="1" applyAlignment="1">
      <alignment horizontal="right" vertical="center"/>
    </xf>
    <xf numFmtId="0" fontId="42" fillId="0" borderId="0" xfId="14" applyFont="1" applyFill="1" applyAlignment="1">
      <alignment vertical="center"/>
    </xf>
    <xf numFmtId="0" fontId="37" fillId="0" borderId="1" xfId="15" applyFont="1" applyBorder="1" applyAlignment="1">
      <alignment horizontal="left" vertical="center"/>
    </xf>
    <xf numFmtId="0" fontId="37" fillId="0" borderId="1" xfId="15" applyFont="1" applyBorder="1" applyAlignment="1">
      <alignment horizontal="left" vertical="center" wrapText="1"/>
    </xf>
    <xf numFmtId="0" fontId="38" fillId="0" borderId="0" xfId="14" applyFont="1" applyFill="1" applyAlignment="1">
      <alignment vertical="center"/>
    </xf>
    <xf numFmtId="0" fontId="31" fillId="0" borderId="14" xfId="12" applyFont="1" applyBorder="1" applyAlignment="1">
      <alignment horizontal="center" vertical="center"/>
    </xf>
    <xf numFmtId="0" fontId="32" fillId="13" borderId="26" xfId="12" applyFont="1" applyFill="1" applyBorder="1" applyAlignment="1">
      <alignment vertical="center"/>
    </xf>
    <xf numFmtId="0" fontId="30" fillId="0" borderId="0" xfId="24" applyFont="1" applyBorder="1" applyAlignment="1">
      <alignment horizontal="left" vertical="center"/>
    </xf>
    <xf numFmtId="0" fontId="35" fillId="0" borderId="0" xfId="24" applyFont="1" applyBorder="1" applyAlignment="1">
      <alignment horizontal="left" vertical="center"/>
    </xf>
    <xf numFmtId="0" fontId="35" fillId="0" borderId="1" xfId="24" applyFont="1" applyBorder="1" applyAlignment="1">
      <alignment horizontal="left" vertical="center"/>
    </xf>
    <xf numFmtId="0" fontId="30" fillId="0" borderId="1" xfId="24" applyFont="1" applyBorder="1" applyAlignment="1">
      <alignment horizontal="left" vertical="center"/>
    </xf>
    <xf numFmtId="0" fontId="37" fillId="0" borderId="1" xfId="24" applyFont="1" applyBorder="1" applyAlignment="1">
      <alignment horizontal="left" vertical="center" indent="1"/>
    </xf>
    <xf numFmtId="169" fontId="31" fillId="5" borderId="39" xfId="2" applyNumberFormat="1" applyFont="1" applyFill="1" applyBorder="1" applyAlignment="1">
      <alignment horizontal="right"/>
    </xf>
    <xf numFmtId="169" fontId="31" fillId="5" borderId="40" xfId="2" applyNumberFormat="1" applyFont="1" applyFill="1" applyBorder="1" applyAlignment="1">
      <alignment horizontal="right"/>
    </xf>
    <xf numFmtId="169" fontId="31" fillId="5" borderId="41" xfId="2" applyNumberFormat="1" applyFont="1" applyFill="1" applyBorder="1" applyAlignment="1">
      <alignment horizontal="right"/>
    </xf>
    <xf numFmtId="0" fontId="31" fillId="0" borderId="38" xfId="16" applyFont="1" applyBorder="1" applyAlignment="1">
      <alignment horizontal="left"/>
    </xf>
    <xf numFmtId="0" fontId="31" fillId="0" borderId="1" xfId="24" applyFont="1" applyBorder="1" applyAlignment="1">
      <alignment horizontal="left" vertical="center" indent="2"/>
    </xf>
    <xf numFmtId="0" fontId="31" fillId="0" borderId="1" xfId="24" applyFont="1" applyBorder="1" applyAlignment="1">
      <alignment horizontal="left" vertical="center"/>
    </xf>
    <xf numFmtId="169" fontId="31" fillId="0" borderId="38" xfId="12" applyNumberFormat="1" applyFont="1" applyBorder="1" applyAlignment="1">
      <alignment vertical="center"/>
    </xf>
    <xf numFmtId="169" fontId="31" fillId="0" borderId="1" xfId="15" applyNumberFormat="1" applyFont="1" applyBorder="1" applyAlignment="1">
      <alignment horizontal="left" vertical="center" wrapText="1"/>
    </xf>
    <xf numFmtId="169" fontId="31" fillId="0" borderId="49" xfId="12" applyNumberFormat="1" applyFont="1" applyBorder="1" applyAlignment="1">
      <alignment vertical="center"/>
    </xf>
    <xf numFmtId="169" fontId="31" fillId="0" borderId="38" xfId="15" applyNumberFormat="1" applyFont="1" applyBorder="1" applyAlignment="1">
      <alignment horizontal="left" vertical="center" wrapText="1"/>
    </xf>
    <xf numFmtId="0" fontId="31" fillId="0" borderId="49" xfId="15" applyFont="1" applyBorder="1" applyAlignment="1">
      <alignment horizontal="left" vertical="center" wrapText="1"/>
    </xf>
    <xf numFmtId="0" fontId="31" fillId="0" borderId="14" xfId="24" applyFont="1" applyBorder="1" applyAlignment="1">
      <alignment horizontal="center"/>
    </xf>
    <xf numFmtId="169" fontId="23" fillId="18" borderId="57" xfId="2" applyNumberFormat="1" applyFont="1" applyFill="1" applyBorder="1" applyAlignment="1">
      <alignment horizontal="right"/>
    </xf>
    <xf numFmtId="169" fontId="23" fillId="18" borderId="17" xfId="2" applyNumberFormat="1" applyFont="1" applyFill="1" applyBorder="1" applyAlignment="1">
      <alignment horizontal="right"/>
    </xf>
    <xf numFmtId="169" fontId="23" fillId="18" borderId="56" xfId="2" applyNumberFormat="1" applyFont="1" applyFill="1" applyBorder="1" applyAlignment="1">
      <alignment horizontal="right"/>
    </xf>
    <xf numFmtId="169" fontId="23" fillId="18" borderId="57" xfId="2" applyNumberFormat="1" applyFont="1" applyFill="1" applyBorder="1" applyAlignment="1">
      <alignment horizontal="right" vertical="center"/>
    </xf>
    <xf numFmtId="169" fontId="23" fillId="18" borderId="17" xfId="2" applyNumberFormat="1" applyFont="1" applyFill="1" applyBorder="1" applyAlignment="1">
      <alignment horizontal="right" vertical="center"/>
    </xf>
    <xf numFmtId="169" fontId="23" fillId="18" borderId="56" xfId="2" applyNumberFormat="1" applyFont="1" applyFill="1" applyBorder="1" applyAlignment="1">
      <alignment horizontal="right" vertical="center"/>
    </xf>
    <xf numFmtId="169" fontId="23" fillId="18" borderId="34" xfId="2" applyNumberFormat="1" applyFont="1" applyFill="1" applyBorder="1" applyAlignment="1">
      <alignment horizontal="right"/>
    </xf>
    <xf numFmtId="169" fontId="23" fillId="18" borderId="24" xfId="2" applyNumberFormat="1" applyFont="1" applyFill="1" applyBorder="1" applyAlignment="1">
      <alignment horizontal="right"/>
    </xf>
    <xf numFmtId="169" fontId="23" fillId="18" borderId="35" xfId="2" applyNumberFormat="1" applyFont="1" applyFill="1" applyBorder="1" applyAlignment="1">
      <alignment horizontal="right"/>
    </xf>
    <xf numFmtId="169" fontId="31" fillId="0" borderId="23" xfId="12" applyNumberFormat="1" applyFont="1" applyBorder="1" applyAlignment="1">
      <alignment horizontal="center" vertical="center"/>
    </xf>
    <xf numFmtId="169" fontId="23" fillId="18" borderId="15" xfId="2" applyNumberFormat="1" applyFont="1" applyFill="1" applyBorder="1" applyAlignment="1">
      <alignment horizontal="right" vertical="center"/>
    </xf>
    <xf numFmtId="169" fontId="31" fillId="17" borderId="12" xfId="2" applyNumberFormat="1" applyFont="1" applyFill="1" applyBorder="1" applyAlignment="1">
      <alignment horizontal="right" vertical="center"/>
    </xf>
    <xf numFmtId="169" fontId="23" fillId="18" borderId="23" xfId="2" applyNumberFormat="1" applyFont="1" applyFill="1" applyBorder="1" applyAlignment="1">
      <alignment horizontal="right"/>
    </xf>
    <xf numFmtId="169" fontId="23" fillId="18" borderId="15" xfId="2" applyNumberFormat="1" applyFont="1" applyFill="1" applyBorder="1" applyAlignment="1">
      <alignment horizontal="right"/>
    </xf>
    <xf numFmtId="169" fontId="32" fillId="14" borderId="46" xfId="12" applyNumberFormat="1" applyFont="1" applyFill="1" applyBorder="1" applyAlignment="1">
      <alignment horizontal="centerContinuous" vertical="center"/>
    </xf>
    <xf numFmtId="169" fontId="23" fillId="5" borderId="12" xfId="2" applyNumberFormat="1" applyFont="1" applyFill="1" applyBorder="1"/>
    <xf numFmtId="169" fontId="23" fillId="0" borderId="30" xfId="14" applyNumberFormat="1" applyFont="1" applyFill="1" applyBorder="1" applyAlignment="1">
      <alignment vertical="center"/>
    </xf>
    <xf numFmtId="169" fontId="32" fillId="14" borderId="59" xfId="12" applyNumberFormat="1" applyFont="1" applyFill="1" applyBorder="1" applyAlignment="1">
      <alignment horizontal="centerContinuous" vertical="center"/>
    </xf>
    <xf numFmtId="169" fontId="32" fillId="14" borderId="29" xfId="12" applyNumberFormat="1" applyFont="1" applyFill="1" applyBorder="1" applyAlignment="1">
      <alignment horizontal="centerContinuous" vertical="center"/>
    </xf>
    <xf numFmtId="169" fontId="32" fillId="14" borderId="43" xfId="12" applyNumberFormat="1" applyFont="1" applyFill="1" applyBorder="1" applyAlignment="1">
      <alignment horizontal="centerContinuous" vertical="center"/>
    </xf>
    <xf numFmtId="169" fontId="23" fillId="19" borderId="13" xfId="2" applyNumberFormat="1" applyFont="1" applyFill="1" applyBorder="1" applyAlignment="1">
      <alignment horizontal="right"/>
    </xf>
    <xf numFmtId="169" fontId="23" fillId="19" borderId="37" xfId="2" applyNumberFormat="1" applyFont="1" applyFill="1" applyBorder="1" applyAlignment="1">
      <alignment horizontal="right"/>
    </xf>
    <xf numFmtId="169" fontId="37" fillId="17" borderId="39" xfId="2" applyNumberFormat="1" applyFont="1" applyFill="1" applyBorder="1" applyAlignment="1">
      <alignment horizontal="right"/>
    </xf>
    <xf numFmtId="0" fontId="37" fillId="0" borderId="30" xfId="24" applyFont="1" applyBorder="1" applyAlignment="1">
      <alignment horizontal="left" vertical="center"/>
    </xf>
    <xf numFmtId="169" fontId="23" fillId="5" borderId="12" xfId="2" applyNumberFormat="1" applyFont="1" applyFill="1" applyBorder="1" applyAlignment="1">
      <alignment horizontal="right" vertical="center"/>
    </xf>
    <xf numFmtId="169" fontId="23" fillId="5" borderId="50" xfId="2" applyNumberFormat="1" applyFont="1" applyFill="1" applyBorder="1"/>
    <xf numFmtId="172" fontId="31" fillId="17" borderId="40" xfId="2" applyNumberFormat="1" applyFont="1" applyFill="1" applyBorder="1" applyAlignment="1">
      <alignment horizontal="right" vertical="center"/>
    </xf>
    <xf numFmtId="172" fontId="31" fillId="17" borderId="41" xfId="2" applyNumberFormat="1" applyFont="1" applyFill="1" applyBorder="1" applyAlignment="1">
      <alignment horizontal="right" vertical="center"/>
    </xf>
    <xf numFmtId="172" fontId="31" fillId="17" borderId="39" xfId="2" applyNumberFormat="1" applyFont="1" applyFill="1" applyBorder="1" applyAlignment="1">
      <alignment horizontal="right" vertical="center"/>
    </xf>
    <xf numFmtId="172" fontId="31" fillId="0" borderId="0" xfId="12" applyNumberFormat="1" applyFont="1" applyBorder="1" applyAlignment="1">
      <alignment vertical="center"/>
    </xf>
    <xf numFmtId="172" fontId="31" fillId="0" borderId="44" xfId="12" applyNumberFormat="1" applyFont="1" applyBorder="1" applyAlignment="1">
      <alignment vertical="center"/>
    </xf>
    <xf numFmtId="172" fontId="31" fillId="0" borderId="30" xfId="12" applyNumberFormat="1" applyFont="1" applyBorder="1" applyAlignment="1">
      <alignment vertical="center"/>
    </xf>
    <xf numFmtId="172" fontId="23" fillId="0" borderId="0" xfId="14" applyNumberFormat="1" applyFont="1" applyFill="1" applyAlignment="1">
      <alignment vertical="center"/>
    </xf>
    <xf numFmtId="172" fontId="32" fillId="14" borderId="28" xfId="12" applyNumberFormat="1" applyFont="1" applyFill="1" applyBorder="1" applyAlignment="1">
      <alignment horizontal="centerContinuous" vertical="center"/>
    </xf>
    <xf numFmtId="172" fontId="32" fillId="14" borderId="27" xfId="12" applyNumberFormat="1" applyFont="1" applyFill="1" applyBorder="1" applyAlignment="1">
      <alignment horizontal="centerContinuous" vertical="center"/>
    </xf>
    <xf numFmtId="172" fontId="32" fillId="15" borderId="31" xfId="12" applyNumberFormat="1" applyFont="1" applyFill="1" applyBorder="1" applyAlignment="1">
      <alignment horizontal="centerContinuous" vertical="center"/>
    </xf>
    <xf numFmtId="172" fontId="35" fillId="15" borderId="32" xfId="12" applyNumberFormat="1" applyFont="1" applyFill="1" applyBorder="1" applyAlignment="1">
      <alignment horizontal="centerContinuous" vertical="center"/>
    </xf>
    <xf numFmtId="172" fontId="35" fillId="15" borderId="33" xfId="12" applyNumberFormat="1" applyFont="1" applyFill="1" applyBorder="1" applyAlignment="1">
      <alignment horizontal="centerContinuous" vertical="center"/>
    </xf>
    <xf numFmtId="172" fontId="32" fillId="16" borderId="31" xfId="12" applyNumberFormat="1" applyFont="1" applyFill="1" applyBorder="1" applyAlignment="1">
      <alignment horizontal="centerContinuous" vertical="center"/>
    </xf>
    <xf numFmtId="172" fontId="35" fillId="16" borderId="32" xfId="12" applyNumberFormat="1" applyFont="1" applyFill="1" applyBorder="1" applyAlignment="1">
      <alignment horizontal="centerContinuous" vertical="center"/>
    </xf>
    <xf numFmtId="172" fontId="35" fillId="16" borderId="33" xfId="12" applyNumberFormat="1" applyFont="1" applyFill="1" applyBorder="1" applyAlignment="1">
      <alignment horizontal="centerContinuous" vertical="center"/>
    </xf>
    <xf numFmtId="172" fontId="31" fillId="0" borderId="36" xfId="12" applyNumberFormat="1" applyFont="1" applyBorder="1" applyAlignment="1">
      <alignment horizontal="center" vertical="center"/>
    </xf>
    <xf numFmtId="172" fontId="31" fillId="0" borderId="13" xfId="12" applyNumberFormat="1" applyFont="1" applyBorder="1" applyAlignment="1">
      <alignment horizontal="center" vertical="center"/>
    </xf>
    <xf numFmtId="172" fontId="31" fillId="0" borderId="37" xfId="12" applyNumberFormat="1" applyFont="1" applyBorder="1" applyAlignment="1">
      <alignment horizontal="center" vertical="center"/>
    </xf>
    <xf numFmtId="172" fontId="31" fillId="0" borderId="34" xfId="12" applyNumberFormat="1" applyFont="1" applyBorder="1" applyAlignment="1">
      <alignment horizontal="center" vertical="center"/>
    </xf>
    <xf numFmtId="172" fontId="31" fillId="0" borderId="24" xfId="12" applyNumberFormat="1" applyFont="1" applyBorder="1" applyAlignment="1">
      <alignment horizontal="center" vertical="center"/>
    </xf>
    <xf numFmtId="172" fontId="31" fillId="0" borderId="35" xfId="12" applyNumberFormat="1" applyFont="1" applyBorder="1" applyAlignment="1">
      <alignment horizontal="center" vertical="center"/>
    </xf>
    <xf numFmtId="0" fontId="5" fillId="0" borderId="0" xfId="3" applyFont="1" applyFill="1" applyBorder="1" applyAlignment="1">
      <alignment horizontal="left"/>
    </xf>
    <xf numFmtId="0" fontId="0" fillId="0" borderId="0" xfId="3" applyFont="1" applyFill="1" applyBorder="1"/>
    <xf numFmtId="0" fontId="7" fillId="0" borderId="0" xfId="3" applyFont="1" applyFill="1" applyBorder="1" applyAlignment="1">
      <alignment horizontal="right"/>
    </xf>
    <xf numFmtId="0" fontId="50" fillId="2" borderId="0" xfId="2" applyFont="1" applyFill="1" applyBorder="1" applyProtection="1"/>
    <xf numFmtId="0" fontId="28" fillId="2" borderId="0" xfId="3" applyFont="1" applyFill="1"/>
    <xf numFmtId="0" fontId="50" fillId="2" borderId="0" xfId="3" applyFont="1" applyFill="1"/>
    <xf numFmtId="0" fontId="50" fillId="2" borderId="0" xfId="3" applyFont="1" applyFill="1" applyBorder="1" applyAlignment="1">
      <alignment horizontal="left"/>
    </xf>
    <xf numFmtId="0" fontId="28" fillId="2" borderId="0" xfId="3" applyFont="1" applyFill="1" applyBorder="1"/>
    <xf numFmtId="0" fontId="51" fillId="2" borderId="0" xfId="3" applyFont="1" applyFill="1"/>
    <xf numFmtId="0" fontId="50" fillId="2" borderId="1" xfId="3" applyFont="1" applyFill="1" applyBorder="1" applyAlignment="1">
      <alignment horizontal="left"/>
    </xf>
    <xf numFmtId="0" fontId="28" fillId="2" borderId="1" xfId="3" applyFont="1" applyFill="1" applyBorder="1"/>
    <xf numFmtId="0" fontId="34" fillId="2" borderId="1" xfId="3" applyFont="1" applyFill="1" applyBorder="1" applyAlignment="1">
      <alignment horizontal="right"/>
    </xf>
    <xf numFmtId="0" fontId="50" fillId="2" borderId="1" xfId="3" applyFont="1" applyFill="1" applyBorder="1"/>
    <xf numFmtId="0" fontId="50" fillId="0" borderId="0" xfId="4" applyFont="1" applyFill="1" applyBorder="1" applyAlignment="1">
      <alignment horizontal="left"/>
    </xf>
    <xf numFmtId="0" fontId="28" fillId="0" borderId="0" xfId="4" applyFont="1" applyFill="1" applyBorder="1"/>
    <xf numFmtId="0" fontId="28" fillId="0" borderId="0" xfId="4" applyFont="1" applyFill="1"/>
    <xf numFmtId="0" fontId="51" fillId="0" borderId="0" xfId="4" applyFont="1" applyFill="1"/>
    <xf numFmtId="0" fontId="50" fillId="0" borderId="0" xfId="4" applyFont="1" applyFill="1"/>
    <xf numFmtId="0" fontId="29" fillId="0" borderId="0" xfId="4" applyFont="1"/>
    <xf numFmtId="0" fontId="38" fillId="0" borderId="0" xfId="4" applyFont="1" applyBorder="1" applyAlignment="1">
      <alignment horizontal="center"/>
    </xf>
    <xf numFmtId="0" fontId="42" fillId="0" borderId="0" xfId="4" applyFont="1"/>
    <xf numFmtId="0" fontId="44" fillId="0" borderId="0" xfId="4" applyFont="1" applyAlignment="1">
      <alignment horizontal="center"/>
    </xf>
    <xf numFmtId="0" fontId="44" fillId="0" borderId="0" xfId="4" applyFont="1"/>
    <xf numFmtId="0" fontId="34" fillId="0" borderId="0" xfId="4" applyFont="1" applyAlignment="1">
      <alignment horizontal="center"/>
    </xf>
    <xf numFmtId="0" fontId="34" fillId="0" borderId="0" xfId="4" applyFont="1"/>
    <xf numFmtId="166" fontId="16" fillId="5" borderId="13" xfId="5" applyNumberFormat="1" applyFont="1" applyFill="1" applyBorder="1"/>
    <xf numFmtId="0" fontId="53" fillId="0" borderId="0" xfId="5" applyFont="1"/>
    <xf numFmtId="0" fontId="23" fillId="17" borderId="13" xfId="5" applyFont="1" applyFill="1" applyBorder="1"/>
    <xf numFmtId="0" fontId="23" fillId="0" borderId="0" xfId="5" applyFont="1" applyFill="1" applyBorder="1"/>
    <xf numFmtId="0" fontId="54" fillId="0" borderId="0" xfId="5" applyFont="1"/>
    <xf numFmtId="0" fontId="56" fillId="0" borderId="0" xfId="10" applyFont="1" applyAlignment="1" applyProtection="1"/>
    <xf numFmtId="0" fontId="36" fillId="0" borderId="0" xfId="5" applyFont="1"/>
    <xf numFmtId="0" fontId="31" fillId="6" borderId="0" xfId="7" applyFont="1" applyFill="1"/>
    <xf numFmtId="0" fontId="23" fillId="0" borderId="0" xfId="4" applyFont="1" applyAlignment="1">
      <alignment horizontal="left"/>
    </xf>
    <xf numFmtId="0" fontId="31" fillId="3" borderId="0" xfId="7" applyFont="1" applyFill="1"/>
    <xf numFmtId="0" fontId="31" fillId="0" borderId="0" xfId="9" applyFont="1" applyAlignment="1">
      <alignment horizontal="left"/>
    </xf>
    <xf numFmtId="2" fontId="23" fillId="0" borderId="0" xfId="4" applyNumberFormat="1" applyFont="1" applyAlignment="1">
      <alignment horizontal="left"/>
    </xf>
    <xf numFmtId="0" fontId="31" fillId="7" borderId="0" xfId="7" applyFont="1" applyFill="1"/>
    <xf numFmtId="0" fontId="31" fillId="8" borderId="0" xfId="7" applyFont="1" applyFill="1"/>
    <xf numFmtId="0" fontId="31" fillId="9" borderId="0" xfId="7" applyFont="1" applyFill="1"/>
    <xf numFmtId="0" fontId="19" fillId="0" borderId="0" xfId="10" quotePrefix="1" applyAlignment="1" applyProtection="1"/>
    <xf numFmtId="2" fontId="23" fillId="0" borderId="60" xfId="2" applyNumberFormat="1" applyFont="1" applyFill="1" applyBorder="1" applyAlignment="1" applyProtection="1">
      <alignment horizontal="center" vertical="center"/>
    </xf>
    <xf numFmtId="2" fontId="23" fillId="0" borderId="58" xfId="2" applyNumberFormat="1" applyFont="1" applyFill="1" applyBorder="1" applyAlignment="1" applyProtection="1">
      <alignment horizontal="center" vertical="center"/>
    </xf>
    <xf numFmtId="0" fontId="32" fillId="0" borderId="36" xfId="12" applyFont="1" applyBorder="1" applyAlignment="1">
      <alignment horizontal="center" vertical="center"/>
    </xf>
    <xf numFmtId="0" fontId="28" fillId="0" borderId="38" xfId="18" applyFont="1" applyBorder="1"/>
    <xf numFmtId="0" fontId="31" fillId="11" borderId="38" xfId="18" applyFont="1" applyFill="1" applyBorder="1" applyAlignment="1">
      <alignment vertical="center"/>
    </xf>
    <xf numFmtId="0" fontId="28" fillId="11" borderId="1" xfId="19" applyFont="1" applyFill="1" applyBorder="1"/>
    <xf numFmtId="0" fontId="31" fillId="11" borderId="1" xfId="20" applyFont="1" applyFill="1" applyBorder="1" applyAlignment="1">
      <alignment horizontal="left" vertical="center"/>
    </xf>
    <xf numFmtId="0" fontId="31" fillId="11" borderId="1" xfId="20" applyFont="1" applyFill="1" applyBorder="1" applyAlignment="1">
      <alignment horizontal="left" vertical="center" indent="3"/>
    </xf>
    <xf numFmtId="0" fontId="31" fillId="11" borderId="1" xfId="20" applyFont="1" applyFill="1" applyBorder="1"/>
    <xf numFmtId="0" fontId="31" fillId="11" borderId="38" xfId="20" applyFont="1" applyFill="1" applyBorder="1"/>
    <xf numFmtId="0" fontId="31" fillId="11" borderId="1" xfId="20" applyFont="1" applyFill="1" applyBorder="1" applyAlignment="1">
      <alignment horizontal="left" vertical="center" indent="2"/>
    </xf>
    <xf numFmtId="169" fontId="23" fillId="18" borderId="40" xfId="2" applyNumberFormat="1" applyFont="1" applyFill="1" applyBorder="1" applyAlignment="1">
      <alignment horizontal="center"/>
    </xf>
    <xf numFmtId="0" fontId="31" fillId="11" borderId="30" xfId="20" applyFont="1" applyFill="1" applyBorder="1" applyAlignment="1">
      <alignment horizontal="left" vertical="center"/>
    </xf>
    <xf numFmtId="0" fontId="31" fillId="11" borderId="38" xfId="21" applyFont="1" applyFill="1" applyBorder="1"/>
    <xf numFmtId="0" fontId="32" fillId="15" borderId="10" xfId="24" applyFont="1" applyFill="1" applyBorder="1" applyAlignment="1">
      <alignment horizontal="centerContinuous" vertical="center"/>
    </xf>
    <xf numFmtId="0" fontId="32" fillId="15" borderId="11" xfId="24" applyFont="1" applyFill="1" applyBorder="1" applyAlignment="1">
      <alignment horizontal="centerContinuous" vertical="center"/>
    </xf>
    <xf numFmtId="0" fontId="31" fillId="0" borderId="18" xfId="24" applyFont="1" applyBorder="1" applyAlignment="1">
      <alignment horizontal="center"/>
    </xf>
    <xf numFmtId="169" fontId="31" fillId="17" borderId="10" xfId="2" applyNumberFormat="1" applyFont="1" applyFill="1" applyBorder="1" applyAlignment="1">
      <alignment horizontal="right"/>
    </xf>
    <xf numFmtId="169" fontId="31" fillId="5" borderId="10" xfId="2" applyNumberFormat="1" applyFont="1" applyFill="1" applyBorder="1" applyAlignment="1">
      <alignment horizontal="right"/>
    </xf>
    <xf numFmtId="0" fontId="23" fillId="0" borderId="40" xfId="2" applyFont="1" applyBorder="1" applyAlignment="1">
      <alignment horizontal="center" vertical="center"/>
    </xf>
    <xf numFmtId="172" fontId="23" fillId="17" borderId="40" xfId="2" applyNumberFormat="1" applyFont="1" applyFill="1" applyBorder="1" applyAlignment="1">
      <alignment horizontal="right" vertical="center"/>
    </xf>
    <xf numFmtId="0" fontId="23" fillId="0" borderId="45" xfId="2" applyFont="1" applyBorder="1" applyAlignment="1">
      <alignment horizontal="center" vertical="center"/>
    </xf>
    <xf numFmtId="171" fontId="23" fillId="5" borderId="36" xfId="2" applyNumberFormat="1" applyFont="1" applyFill="1" applyBorder="1" applyAlignment="1">
      <alignment horizontal="right" vertical="center"/>
    </xf>
    <xf numFmtId="171" fontId="23" fillId="5" borderId="13" xfId="2" applyNumberFormat="1" applyFont="1" applyFill="1" applyBorder="1" applyAlignment="1">
      <alignment horizontal="right" vertical="center"/>
    </xf>
    <xf numFmtId="171" fontId="23" fillId="5" borderId="37" xfId="2" applyNumberFormat="1" applyFont="1" applyFill="1" applyBorder="1" applyAlignment="1">
      <alignment horizontal="right" vertical="center"/>
    </xf>
    <xf numFmtId="169" fontId="23" fillId="13" borderId="30" xfId="14" applyNumberFormat="1" applyFont="1" applyFill="1" applyBorder="1" applyAlignment="1">
      <alignment vertical="center"/>
    </xf>
    <xf numFmtId="169" fontId="23" fillId="13" borderId="0" xfId="14" applyNumberFormat="1" applyFont="1" applyFill="1" applyBorder="1" applyAlignment="1">
      <alignment vertical="center"/>
    </xf>
    <xf numFmtId="169" fontId="23" fillId="13" borderId="44" xfId="14" applyNumberFormat="1" applyFont="1" applyFill="1" applyBorder="1" applyAlignment="1">
      <alignment vertical="center"/>
    </xf>
    <xf numFmtId="169" fontId="16" fillId="0" borderId="0" xfId="14" applyNumberFormat="1" applyFont="1" applyFill="1" applyAlignment="1">
      <alignment vertical="center"/>
    </xf>
    <xf numFmtId="169" fontId="23" fillId="0" borderId="0" xfId="2" applyNumberFormat="1" applyFont="1" applyFill="1" applyBorder="1" applyAlignment="1" applyProtection="1">
      <alignment vertical="center"/>
    </xf>
    <xf numFmtId="169" fontId="23" fillId="5" borderId="39" xfId="2" applyNumberFormat="1" applyFont="1" applyFill="1" applyBorder="1" applyAlignment="1">
      <alignment horizontal="right" vertical="center"/>
    </xf>
    <xf numFmtId="169" fontId="23" fillId="5" borderId="40" xfId="2" applyNumberFormat="1" applyFont="1" applyFill="1" applyBorder="1" applyAlignment="1">
      <alignment horizontal="right" vertical="center"/>
    </xf>
    <xf numFmtId="169" fontId="23" fillId="5" borderId="41" xfId="2" applyNumberFormat="1" applyFont="1" applyFill="1" applyBorder="1" applyAlignment="1">
      <alignment horizontal="right" vertical="center"/>
    </xf>
    <xf numFmtId="171" fontId="31" fillId="17" borderId="37" xfId="2" applyNumberFormat="1" applyFont="1" applyFill="1" applyBorder="1" applyAlignment="1">
      <alignment horizontal="right" vertical="center"/>
    </xf>
    <xf numFmtId="171" fontId="31" fillId="0" borderId="51" xfId="12" applyNumberFormat="1" applyFont="1" applyBorder="1" applyAlignment="1">
      <alignment horizontal="center" vertical="center"/>
    </xf>
    <xf numFmtId="171" fontId="23" fillId="0" borderId="10" xfId="2" applyNumberFormat="1" applyFont="1" applyFill="1" applyBorder="1" applyAlignment="1" applyProtection="1">
      <alignment horizontal="center" vertical="center"/>
    </xf>
    <xf numFmtId="171" fontId="23" fillId="0" borderId="1" xfId="14" applyNumberFormat="1" applyFont="1" applyFill="1" applyBorder="1" applyAlignment="1">
      <alignment vertical="center"/>
    </xf>
    <xf numFmtId="171" fontId="31" fillId="0" borderId="45" xfId="12" applyNumberFormat="1" applyFont="1" applyBorder="1" applyAlignment="1">
      <alignment horizontal="center" vertical="center"/>
    </xf>
    <xf numFmtId="169" fontId="23" fillId="0" borderId="10" xfId="2" applyNumberFormat="1" applyFont="1" applyFill="1" applyBorder="1" applyAlignment="1" applyProtection="1">
      <alignment horizontal="center" vertical="center"/>
    </xf>
    <xf numFmtId="169" fontId="23" fillId="0" borderId="11" xfId="2" applyNumberFormat="1" applyFont="1" applyFill="1" applyBorder="1" applyAlignment="1" applyProtection="1">
      <alignment horizontal="center" vertical="center"/>
    </xf>
    <xf numFmtId="171" fontId="23" fillId="0" borderId="45" xfId="2" applyNumberFormat="1" applyFont="1" applyFill="1" applyBorder="1" applyAlignment="1" applyProtection="1">
      <alignment horizontal="center" vertical="center"/>
    </xf>
    <xf numFmtId="9" fontId="31" fillId="5" borderId="36" xfId="1" applyFont="1" applyFill="1" applyBorder="1" applyAlignment="1">
      <alignment horizontal="right" vertical="center"/>
    </xf>
    <xf numFmtId="171" fontId="23" fillId="18" borderId="57" xfId="2" applyNumberFormat="1" applyFont="1" applyFill="1" applyBorder="1" applyAlignment="1">
      <alignment horizontal="right" vertical="center"/>
    </xf>
    <xf numFmtId="171" fontId="23" fillId="18" borderId="56" xfId="2" applyNumberFormat="1" applyFont="1" applyFill="1" applyBorder="1" applyAlignment="1">
      <alignment horizontal="right" vertical="center"/>
    </xf>
    <xf numFmtId="171" fontId="23" fillId="0" borderId="16" xfId="2" applyNumberFormat="1" applyFont="1" applyFill="1" applyBorder="1" applyAlignment="1" applyProtection="1">
      <alignment horizontal="center" vertical="center"/>
    </xf>
    <xf numFmtId="171" fontId="31" fillId="17" borderId="13" xfId="2" applyNumberFormat="1" applyFont="1" applyFill="1" applyBorder="1" applyAlignment="1">
      <alignment horizontal="right" vertical="center"/>
    </xf>
    <xf numFmtId="171" fontId="31" fillId="0" borderId="19" xfId="12" applyNumberFormat="1" applyFont="1" applyBorder="1" applyAlignment="1">
      <alignment vertical="center"/>
    </xf>
    <xf numFmtId="171" fontId="31" fillId="17" borderId="36" xfId="2" applyNumberFormat="1" applyFont="1" applyFill="1" applyBorder="1" applyAlignment="1">
      <alignment horizontal="right" vertical="center"/>
    </xf>
    <xf numFmtId="169" fontId="23" fillId="5" borderId="39" xfId="2" applyNumberFormat="1" applyFont="1" applyFill="1" applyBorder="1" applyAlignment="1">
      <alignment horizontal="right"/>
    </xf>
    <xf numFmtId="169" fontId="23" fillId="5" borderId="40" xfId="2" applyNumberFormat="1" applyFont="1" applyFill="1" applyBorder="1" applyAlignment="1">
      <alignment horizontal="right"/>
    </xf>
    <xf numFmtId="169" fontId="23" fillId="5" borderId="41" xfId="2" applyNumberFormat="1" applyFont="1" applyFill="1" applyBorder="1" applyAlignment="1">
      <alignment horizontal="right"/>
    </xf>
    <xf numFmtId="0" fontId="31" fillId="0" borderId="1" xfId="28" applyFont="1" applyBorder="1" applyAlignment="1">
      <alignment horizontal="left" vertical="center"/>
    </xf>
    <xf numFmtId="169" fontId="31" fillId="19" borderId="34" xfId="2" applyNumberFormat="1" applyFont="1" applyFill="1" applyBorder="1" applyAlignment="1">
      <alignment horizontal="right"/>
    </xf>
    <xf numFmtId="169" fontId="31" fillId="19" borderId="24" xfId="2" applyNumberFormat="1" applyFont="1" applyFill="1" applyBorder="1" applyAlignment="1">
      <alignment horizontal="right"/>
    </xf>
    <xf numFmtId="169" fontId="31" fillId="19" borderId="35" xfId="2" applyNumberFormat="1" applyFont="1" applyFill="1" applyBorder="1" applyAlignment="1">
      <alignment horizontal="right"/>
    </xf>
    <xf numFmtId="169" fontId="31" fillId="19" borderId="36" xfId="2" applyNumberFormat="1" applyFont="1" applyFill="1" applyBorder="1" applyAlignment="1">
      <alignment horizontal="right"/>
    </xf>
    <xf numFmtId="169" fontId="31" fillId="19" borderId="13" xfId="2" applyNumberFormat="1" applyFont="1" applyFill="1" applyBorder="1" applyAlignment="1">
      <alignment horizontal="right"/>
    </xf>
    <xf numFmtId="169" fontId="31" fillId="19" borderId="37" xfId="2" applyNumberFormat="1" applyFont="1" applyFill="1" applyBorder="1" applyAlignment="1">
      <alignment horizontal="right"/>
    </xf>
    <xf numFmtId="0" fontId="38" fillId="0" borderId="40" xfId="2" applyFont="1" applyFill="1" applyBorder="1" applyAlignment="1" applyProtection="1">
      <alignment horizontal="center" vertical="center"/>
    </xf>
    <xf numFmtId="0" fontId="31" fillId="0" borderId="1" xfId="12" applyFont="1" applyBorder="1" applyAlignment="1">
      <alignment horizontal="center" vertical="center"/>
    </xf>
    <xf numFmtId="0" fontId="31" fillId="0" borderId="38" xfId="12" applyFont="1" applyBorder="1" applyAlignment="1">
      <alignment horizontal="center" vertical="center"/>
    </xf>
    <xf numFmtId="0" fontId="31" fillId="0" borderId="49" xfId="12" applyFont="1" applyBorder="1" applyAlignment="1">
      <alignment horizontal="center" vertical="center"/>
    </xf>
    <xf numFmtId="0" fontId="4" fillId="0" borderId="0" xfId="2" applyBorder="1"/>
    <xf numFmtId="10" fontId="23" fillId="0" borderId="0" xfId="1" applyNumberFormat="1" applyFont="1" applyFill="1" applyBorder="1" applyAlignment="1">
      <alignment vertical="center"/>
    </xf>
    <xf numFmtId="10" fontId="23" fillId="0" borderId="44" xfId="1" applyNumberFormat="1" applyFont="1" applyFill="1" applyBorder="1" applyAlignment="1">
      <alignment vertical="center"/>
    </xf>
    <xf numFmtId="0" fontId="23" fillId="0" borderId="44" xfId="2" applyFont="1" applyBorder="1" applyAlignment="1">
      <alignment horizontal="center" vertical="center"/>
    </xf>
    <xf numFmtId="0" fontId="23" fillId="0" borderId="37" xfId="2" applyNumberFormat="1" applyFont="1" applyFill="1" applyBorder="1" applyAlignment="1">
      <alignment horizontal="right"/>
    </xf>
    <xf numFmtId="0" fontId="50" fillId="2" borderId="0" xfId="3" applyFont="1" applyFill="1" applyAlignment="1">
      <alignment horizontal="left"/>
    </xf>
    <xf numFmtId="0" fontId="31" fillId="2" borderId="0" xfId="3" applyFont="1" applyFill="1"/>
    <xf numFmtId="0" fontId="31" fillId="2" borderId="1" xfId="3" applyFont="1" applyFill="1" applyBorder="1"/>
    <xf numFmtId="165" fontId="38" fillId="0" borderId="0" xfId="13" applyNumberFormat="1" applyFont="1" applyAlignment="1" applyProtection="1">
      <alignment vertical="center"/>
    </xf>
    <xf numFmtId="0" fontId="23" fillId="0" borderId="0" xfId="2" applyFont="1" applyAlignment="1">
      <alignment horizontal="left" vertical="center" indent="1"/>
    </xf>
    <xf numFmtId="9" fontId="31" fillId="5" borderId="39" xfId="1" applyFont="1" applyFill="1" applyBorder="1" applyAlignment="1">
      <alignment horizontal="right" vertical="center"/>
    </xf>
    <xf numFmtId="0" fontId="23" fillId="0" borderId="49" xfId="2" applyFont="1" applyBorder="1" applyAlignment="1">
      <alignment vertical="center"/>
    </xf>
    <xf numFmtId="0" fontId="23" fillId="0" borderId="26" xfId="14" applyFont="1" applyFill="1" applyBorder="1"/>
    <xf numFmtId="0" fontId="23" fillId="0" borderId="0" xfId="14" applyFont="1" applyFill="1" applyBorder="1"/>
    <xf numFmtId="0" fontId="23" fillId="0" borderId="1" xfId="14" applyFont="1" applyFill="1" applyBorder="1"/>
    <xf numFmtId="0" fontId="31" fillId="0" borderId="30" xfId="17" applyFont="1" applyBorder="1" applyAlignment="1">
      <alignment horizontal="right" vertical="center" wrapText="1"/>
    </xf>
    <xf numFmtId="0" fontId="31" fillId="0" borderId="44" xfId="17" applyFont="1" applyBorder="1" applyAlignment="1">
      <alignment horizontal="right" vertical="center" wrapText="1"/>
    </xf>
    <xf numFmtId="169" fontId="23" fillId="17" borderId="50" xfId="2" applyNumberFormat="1" applyFont="1" applyFill="1" applyBorder="1"/>
    <xf numFmtId="0" fontId="22" fillId="19" borderId="10" xfId="3" applyFont="1" applyFill="1" applyBorder="1" applyProtection="1">
      <protection locked="0"/>
    </xf>
    <xf numFmtId="0" fontId="0" fillId="19" borderId="11" xfId="3" applyFont="1" applyFill="1" applyBorder="1"/>
    <xf numFmtId="0" fontId="0" fillId="19" borderId="12" xfId="3" applyFont="1" applyFill="1" applyBorder="1"/>
    <xf numFmtId="37" fontId="22" fillId="19" borderId="13" xfId="3" applyNumberFormat="1" applyFont="1" applyFill="1" applyBorder="1" applyAlignment="1" applyProtection="1">
      <alignment horizontal="center"/>
      <protection locked="0"/>
    </xf>
    <xf numFmtId="0" fontId="22" fillId="19" borderId="13" xfId="3" applyFont="1" applyFill="1" applyBorder="1" applyProtection="1">
      <protection locked="0"/>
    </xf>
    <xf numFmtId="168" fontId="7" fillId="5" borderId="13" xfId="3" applyNumberFormat="1" applyFont="1" applyFill="1" applyBorder="1" applyProtection="1">
      <protection locked="0"/>
    </xf>
    <xf numFmtId="0" fontId="7" fillId="5" borderId="10" xfId="3" applyFont="1" applyFill="1" applyBorder="1" applyProtection="1">
      <protection locked="0"/>
    </xf>
    <xf numFmtId="0" fontId="24" fillId="5" borderId="11" xfId="3" applyFont="1" applyFill="1" applyBorder="1"/>
    <xf numFmtId="0" fontId="24" fillId="5" borderId="12" xfId="3" applyFont="1" applyFill="1" applyBorder="1"/>
    <xf numFmtId="0" fontId="55" fillId="19" borderId="13" xfId="4" applyFont="1" applyFill="1" applyBorder="1" applyAlignment="1" applyProtection="1">
      <alignment horizontal="center"/>
      <protection locked="0"/>
    </xf>
    <xf numFmtId="14" fontId="23" fillId="19" borderId="13" xfId="4" applyNumberFormat="1" applyFont="1" applyFill="1" applyBorder="1" applyAlignment="1" applyProtection="1">
      <alignment horizontal="center"/>
      <protection locked="0"/>
    </xf>
    <xf numFmtId="0" fontId="23" fillId="19" borderId="13" xfId="4" applyFont="1" applyFill="1" applyBorder="1" applyAlignment="1" applyProtection="1">
      <alignment horizontal="center"/>
      <protection locked="0"/>
    </xf>
    <xf numFmtId="165" fontId="52" fillId="19" borderId="13" xfId="6" applyNumberFormat="1" applyFont="1" applyFill="1" applyBorder="1" applyAlignment="1" applyProtection="1">
      <alignment horizontal="right"/>
      <protection locked="0"/>
    </xf>
    <xf numFmtId="0" fontId="58" fillId="20" borderId="13" xfId="0" applyFont="1" applyFill="1" applyBorder="1"/>
    <xf numFmtId="0" fontId="0" fillId="20" borderId="13" xfId="0" applyFont="1" applyFill="1" applyBorder="1"/>
    <xf numFmtId="0" fontId="3" fillId="21" borderId="0" xfId="31" applyFill="1"/>
    <xf numFmtId="0" fontId="3" fillId="0" borderId="0" xfId="31"/>
    <xf numFmtId="0" fontId="59" fillId="12" borderId="0" xfId="32" applyNumberFormat="1" applyFont="1" applyFill="1"/>
    <xf numFmtId="174" fontId="60" fillId="0" borderId="0" xfId="33" applyFont="1" applyProtection="1">
      <protection locked="0"/>
    </xf>
    <xf numFmtId="0" fontId="17" fillId="0" borderId="13" xfId="34" applyFont="1" applyBorder="1"/>
    <xf numFmtId="0" fontId="17" fillId="19" borderId="13" xfId="34" applyFont="1" applyFill="1" applyBorder="1" applyAlignment="1" applyProtection="1">
      <alignment horizontal="center"/>
      <protection locked="0"/>
    </xf>
    <xf numFmtId="165" fontId="17" fillId="19" borderId="13" xfId="34" applyNumberFormat="1" applyFont="1" applyFill="1" applyBorder="1" applyAlignment="1" applyProtection="1">
      <alignment horizontal="center"/>
      <protection locked="0"/>
    </xf>
    <xf numFmtId="175" fontId="17" fillId="19" borderId="13" xfId="34" applyNumberFormat="1" applyFont="1" applyFill="1" applyBorder="1" applyAlignment="1" applyProtection="1">
      <alignment horizontal="center"/>
      <protection locked="0"/>
    </xf>
    <xf numFmtId="0" fontId="17" fillId="10" borderId="13" xfId="34" applyFont="1" applyFill="1" applyBorder="1" applyAlignment="1">
      <alignment horizontal="center"/>
    </xf>
    <xf numFmtId="0" fontId="17" fillId="0" borderId="13" xfId="34" applyFont="1" applyBorder="1" applyAlignment="1">
      <alignment horizontal="right"/>
    </xf>
    <xf numFmtId="0" fontId="25" fillId="0" borderId="13" xfId="34" applyFont="1" applyBorder="1"/>
    <xf numFmtId="0" fontId="17" fillId="0" borderId="13" xfId="34" applyFont="1" applyFill="1" applyBorder="1" applyAlignment="1">
      <alignment horizontal="center"/>
    </xf>
    <xf numFmtId="0" fontId="17" fillId="0" borderId="10" xfId="34" applyFont="1" applyFill="1" applyBorder="1" applyAlignment="1">
      <alignment horizontal="center"/>
    </xf>
    <xf numFmtId="0" fontId="17" fillId="0" borderId="0" xfId="34" applyFont="1" applyFill="1" applyBorder="1" applyAlignment="1">
      <alignment horizontal="center"/>
    </xf>
    <xf numFmtId="0" fontId="17" fillId="0" borderId="20" xfId="34" applyFont="1" applyFill="1" applyBorder="1" applyAlignment="1">
      <alignment horizontal="center"/>
    </xf>
    <xf numFmtId="9" fontId="17" fillId="0" borderId="13" xfId="1" applyFont="1" applyFill="1" applyBorder="1" applyAlignment="1">
      <alignment horizontal="center"/>
    </xf>
    <xf numFmtId="176" fontId="17" fillId="0" borderId="13" xfId="34" applyNumberFormat="1" applyFont="1" applyFill="1" applyBorder="1"/>
    <xf numFmtId="177" fontId="17" fillId="0" borderId="13" xfId="34" applyNumberFormat="1" applyFont="1" applyFill="1" applyBorder="1"/>
    <xf numFmtId="178" fontId="3" fillId="0" borderId="0" xfId="31" applyNumberFormat="1"/>
    <xf numFmtId="179" fontId="17" fillId="0" borderId="13" xfId="34" applyNumberFormat="1" applyFont="1" applyFill="1" applyBorder="1"/>
    <xf numFmtId="176" fontId="17" fillId="0" borderId="20" xfId="34" applyNumberFormat="1" applyFont="1" applyFill="1" applyBorder="1"/>
    <xf numFmtId="180" fontId="17" fillId="7" borderId="13" xfId="33" applyNumberFormat="1" applyFont="1" applyFill="1" applyBorder="1" applyAlignment="1" applyProtection="1">
      <alignment vertical="center"/>
      <protection locked="0"/>
    </xf>
    <xf numFmtId="10" fontId="3" fillId="7" borderId="13" xfId="31" applyNumberFormat="1" applyFill="1" applyBorder="1"/>
    <xf numFmtId="178" fontId="17" fillId="0" borderId="13" xfId="34" applyNumberFormat="1" applyFont="1" applyFill="1" applyBorder="1"/>
    <xf numFmtId="176" fontId="17" fillId="0" borderId="13" xfId="35" applyNumberFormat="1" applyFont="1" applyFill="1" applyBorder="1"/>
    <xf numFmtId="176" fontId="17" fillId="0" borderId="20" xfId="35" applyNumberFormat="1" applyFont="1" applyFill="1" applyBorder="1"/>
    <xf numFmtId="10" fontId="17" fillId="3" borderId="13" xfId="1" applyNumberFormat="1" applyFont="1" applyFill="1" applyBorder="1" applyAlignment="1" applyProtection="1">
      <alignment horizontal="right"/>
      <protection locked="0"/>
    </xf>
    <xf numFmtId="10" fontId="17" fillId="3" borderId="13" xfId="34" applyNumberFormat="1" applyFont="1" applyFill="1" applyBorder="1"/>
    <xf numFmtId="0" fontId="17" fillId="0" borderId="13" xfId="34" applyFont="1" applyFill="1" applyBorder="1"/>
    <xf numFmtId="176" fontId="17" fillId="0" borderId="0" xfId="34" applyNumberFormat="1" applyFont="1" applyFill="1" applyBorder="1"/>
    <xf numFmtId="0" fontId="10" fillId="0" borderId="0" xfId="34" applyFont="1"/>
    <xf numFmtId="0" fontId="3" fillId="0" borderId="0" xfId="31" applyFill="1" applyBorder="1"/>
    <xf numFmtId="174" fontId="17" fillId="0" borderId="13" xfId="35" applyFont="1" applyBorder="1"/>
    <xf numFmtId="176" fontId="17" fillId="10" borderId="13" xfId="35" applyNumberFormat="1" applyFont="1" applyFill="1" applyBorder="1" applyAlignment="1">
      <alignment horizontal="center"/>
    </xf>
    <xf numFmtId="174" fontId="10" fillId="0" borderId="0" xfId="35" applyFont="1"/>
    <xf numFmtId="174" fontId="17" fillId="0" borderId="0" xfId="35" applyFont="1" applyBorder="1"/>
    <xf numFmtId="0" fontId="58" fillId="20" borderId="13" xfId="0" applyFont="1" applyFill="1" applyBorder="1" applyAlignment="1">
      <alignment wrapText="1"/>
    </xf>
    <xf numFmtId="174" fontId="3" fillId="0" borderId="0" xfId="33" applyProtection="1">
      <protection locked="0"/>
    </xf>
    <xf numFmtId="0" fontId="0" fillId="20" borderId="13" xfId="0" applyFont="1" applyFill="1" applyBorder="1" applyAlignment="1">
      <alignment wrapText="1"/>
    </xf>
    <xf numFmtId="174" fontId="5" fillId="2" borderId="0" xfId="36" applyFont="1" applyFill="1" applyBorder="1" applyProtection="1">
      <protection locked="0"/>
    </xf>
    <xf numFmtId="174" fontId="61" fillId="2" borderId="0" xfId="36" applyFont="1" applyFill="1" applyBorder="1" applyProtection="1">
      <protection locked="0"/>
    </xf>
    <xf numFmtId="0" fontId="3" fillId="21" borderId="0" xfId="37" applyFill="1" applyProtection="1">
      <protection locked="0"/>
    </xf>
    <xf numFmtId="0" fontId="5" fillId="21" borderId="0" xfId="38" applyNumberFormat="1" applyFont="1" applyFill="1" applyBorder="1" applyAlignment="1" applyProtection="1">
      <alignment horizontal="left"/>
      <protection locked="0"/>
    </xf>
    <xf numFmtId="174" fontId="14" fillId="2" borderId="0" xfId="36" applyFont="1" applyFill="1" applyBorder="1" applyProtection="1">
      <protection locked="0"/>
    </xf>
    <xf numFmtId="174" fontId="63" fillId="0" borderId="0" xfId="33" applyFont="1" applyProtection="1">
      <protection locked="0"/>
    </xf>
    <xf numFmtId="174" fontId="25" fillId="0" borderId="0" xfId="33" applyFont="1" applyProtection="1">
      <protection locked="0"/>
    </xf>
    <xf numFmtId="0" fontId="3" fillId="0" borderId="13" xfId="39" applyNumberFormat="1" applyFont="1" applyFill="1" applyBorder="1" applyAlignment="1" applyProtection="1">
      <alignment horizontal="center"/>
      <protection locked="0"/>
    </xf>
    <xf numFmtId="174" fontId="65" fillId="0" borderId="0" xfId="33" applyFont="1" applyFill="1" applyProtection="1">
      <protection locked="0"/>
    </xf>
    <xf numFmtId="174" fontId="62" fillId="0" borderId="0" xfId="33" applyFont="1" applyFill="1" applyProtection="1">
      <protection locked="0"/>
    </xf>
    <xf numFmtId="174" fontId="63" fillId="0" borderId="0" xfId="33" applyFont="1" applyAlignment="1" applyProtection="1">
      <alignment horizontal="left"/>
      <protection locked="0"/>
    </xf>
    <xf numFmtId="174" fontId="25" fillId="0" borderId="0" xfId="40" applyFont="1" applyProtection="1">
      <protection locked="0"/>
    </xf>
    <xf numFmtId="174" fontId="17" fillId="0" borderId="0" xfId="40" applyFont="1" applyProtection="1">
      <protection locked="0"/>
    </xf>
    <xf numFmtId="174" fontId="13" fillId="0" borderId="0" xfId="33" applyFont="1" applyFill="1" applyAlignment="1" applyProtection="1">
      <alignment horizontal="left"/>
      <protection locked="0"/>
    </xf>
    <xf numFmtId="174" fontId="58" fillId="0" borderId="0" xfId="33" applyFont="1" applyProtection="1">
      <protection locked="0"/>
    </xf>
    <xf numFmtId="0" fontId="3" fillId="0" borderId="0" xfId="33" applyNumberFormat="1" applyProtection="1">
      <protection locked="0"/>
    </xf>
    <xf numFmtId="174" fontId="17" fillId="0" borderId="0" xfId="33" applyFont="1" applyProtection="1">
      <protection locked="0"/>
    </xf>
    <xf numFmtId="181" fontId="66" fillId="19" borderId="13" xfId="0" applyNumberFormat="1" applyFont="1" applyFill="1" applyBorder="1" applyAlignment="1" applyProtection="1">
      <alignment vertical="center"/>
      <protection locked="0"/>
    </xf>
    <xf numFmtId="181" fontId="17" fillId="7" borderId="13" xfId="33" applyNumberFormat="1" applyFont="1" applyFill="1" applyBorder="1" applyAlignment="1" applyProtection="1">
      <alignment vertical="center"/>
      <protection locked="0"/>
    </xf>
    <xf numFmtId="174" fontId="0" fillId="0" borderId="0" xfId="33" applyFont="1" applyProtection="1">
      <protection locked="0"/>
    </xf>
    <xf numFmtId="174" fontId="67" fillId="0" borderId="0" xfId="33" applyFont="1" applyFill="1" applyProtection="1">
      <protection locked="0"/>
    </xf>
    <xf numFmtId="182" fontId="66" fillId="19" borderId="13" xfId="5" applyNumberFormat="1" applyFont="1" applyFill="1" applyBorder="1" applyAlignment="1" applyProtection="1">
      <alignment vertical="center"/>
      <protection locked="0"/>
    </xf>
    <xf numFmtId="174" fontId="57" fillId="0" borderId="0" xfId="33" applyFont="1" applyProtection="1">
      <protection locked="0"/>
    </xf>
    <xf numFmtId="0" fontId="68" fillId="0" borderId="0" xfId="5" applyFont="1"/>
    <xf numFmtId="0" fontId="3" fillId="4" borderId="61" xfId="41" applyFill="1" applyBorder="1"/>
    <xf numFmtId="181" fontId="17" fillId="22" borderId="13" xfId="33" applyNumberFormat="1" applyFont="1" applyFill="1" applyBorder="1" applyAlignment="1" applyProtection="1">
      <alignment vertical="center"/>
      <protection locked="0"/>
    </xf>
    <xf numFmtId="0" fontId="3" fillId="4" borderId="62" xfId="41" applyFill="1" applyBorder="1"/>
    <xf numFmtId="0" fontId="69" fillId="20" borderId="13" xfId="0" applyFont="1" applyFill="1" applyBorder="1"/>
    <xf numFmtId="0" fontId="20" fillId="0" borderId="27" xfId="34" applyFont="1" applyBorder="1" applyAlignment="1">
      <alignment horizontal="center" vertical="center" wrapText="1"/>
    </xf>
    <xf numFmtId="0" fontId="20" fillId="0" borderId="47" xfId="34" applyFont="1" applyBorder="1" applyAlignment="1">
      <alignment horizontal="center" vertical="center" wrapText="1"/>
    </xf>
    <xf numFmtId="174" fontId="20" fillId="12" borderId="46" xfId="43" applyFont="1" applyFill="1" applyBorder="1" applyAlignment="1">
      <alignment horizontal="center" vertical="center" wrapText="1"/>
    </xf>
    <xf numFmtId="174" fontId="20" fillId="0" borderId="33" xfId="43" applyFont="1" applyFill="1" applyBorder="1" applyAlignment="1">
      <alignment horizontal="center" vertical="center" wrapText="1"/>
    </xf>
    <xf numFmtId="184" fontId="25" fillId="0" borderId="13" xfId="34" applyNumberFormat="1" applyFont="1" applyBorder="1" applyAlignment="1">
      <alignment horizontal="center"/>
    </xf>
    <xf numFmtId="174" fontId="10" fillId="12" borderId="19" xfId="43" applyFont="1" applyFill="1" applyBorder="1"/>
    <xf numFmtId="174" fontId="10" fillId="12" borderId="44" xfId="43" applyFont="1" applyFill="1" applyBorder="1"/>
    <xf numFmtId="181" fontId="66" fillId="19" borderId="13" xfId="5" applyNumberFormat="1" applyFont="1" applyFill="1" applyBorder="1" applyAlignment="1" applyProtection="1">
      <alignment vertical="center"/>
      <protection locked="0"/>
    </xf>
    <xf numFmtId="174" fontId="25" fillId="23" borderId="65" xfId="43" applyFont="1" applyFill="1" applyBorder="1"/>
    <xf numFmtId="174" fontId="10" fillId="12" borderId="0" xfId="43" applyFont="1" applyFill="1" applyBorder="1"/>
    <xf numFmtId="174" fontId="10" fillId="0" borderId="0" xfId="43" applyFont="1" applyBorder="1"/>
    <xf numFmtId="174" fontId="10" fillId="0" borderId="0" xfId="43" applyFont="1" applyFill="1" applyBorder="1"/>
    <xf numFmtId="174" fontId="10" fillId="0" borderId="44" xfId="43" applyFont="1" applyFill="1" applyBorder="1"/>
    <xf numFmtId="174" fontId="10" fillId="0" borderId="66" xfId="43" applyFont="1" applyBorder="1"/>
    <xf numFmtId="174" fontId="10" fillId="0" borderId="1" xfId="43" applyFont="1" applyBorder="1"/>
    <xf numFmtId="174" fontId="10" fillId="0" borderId="1" xfId="43" applyFont="1" applyFill="1" applyBorder="1"/>
    <xf numFmtId="174" fontId="10" fillId="0" borderId="49" xfId="43" applyFont="1" applyFill="1" applyBorder="1"/>
    <xf numFmtId="174" fontId="3" fillId="0" borderId="0" xfId="33" applyFill="1" applyProtection="1">
      <protection locked="0"/>
    </xf>
    <xf numFmtId="174" fontId="60" fillId="0" borderId="0" xfId="33" applyFont="1" applyFill="1" applyProtection="1">
      <protection locked="0"/>
    </xf>
    <xf numFmtId="0" fontId="3" fillId="0" borderId="0" xfId="37" applyFill="1" applyProtection="1">
      <protection locked="0"/>
    </xf>
    <xf numFmtId="0" fontId="3" fillId="0" borderId="0" xfId="39" applyNumberFormat="1" applyFont="1" applyFill="1" applyBorder="1" applyAlignment="1" applyProtection="1">
      <alignment horizontal="center"/>
      <protection locked="0"/>
    </xf>
    <xf numFmtId="174" fontId="72" fillId="0" borderId="0" xfId="33" applyFont="1" applyFill="1" applyProtection="1">
      <protection locked="0"/>
    </xf>
    <xf numFmtId="0" fontId="58" fillId="0" borderId="0" xfId="31" applyFont="1" applyFill="1" applyProtection="1">
      <protection locked="0"/>
    </xf>
    <xf numFmtId="174" fontId="3" fillId="0" borderId="0" xfId="33" applyAlignment="1" applyProtection="1">
      <alignment horizontal="center"/>
      <protection locked="0"/>
    </xf>
    <xf numFmtId="182" fontId="66" fillId="19" borderId="13" xfId="1" applyNumberFormat="1" applyFont="1" applyFill="1" applyBorder="1" applyAlignment="1" applyProtection="1">
      <alignment vertical="center"/>
      <protection locked="0"/>
    </xf>
    <xf numFmtId="182" fontId="66" fillId="0" borderId="0" xfId="5" applyNumberFormat="1" applyFont="1" applyFill="1" applyBorder="1" applyAlignment="1" applyProtection="1">
      <alignment vertical="center"/>
      <protection locked="0"/>
    </xf>
    <xf numFmtId="181" fontId="17" fillId="24" borderId="13" xfId="33" applyNumberFormat="1" applyFont="1" applyFill="1" applyBorder="1" applyAlignment="1" applyProtection="1">
      <alignment vertical="center"/>
      <protection locked="0"/>
    </xf>
    <xf numFmtId="181" fontId="17" fillId="0" borderId="0" xfId="33" applyNumberFormat="1" applyFont="1" applyFill="1" applyBorder="1" applyAlignment="1" applyProtection="1">
      <alignment vertical="center"/>
      <protection locked="0"/>
    </xf>
    <xf numFmtId="181" fontId="66" fillId="0" borderId="0" xfId="5" applyNumberFormat="1" applyFont="1" applyFill="1" applyBorder="1" applyAlignment="1" applyProtection="1">
      <alignment vertical="center"/>
      <protection locked="0"/>
    </xf>
    <xf numFmtId="185" fontId="66" fillId="19" borderId="13" xfId="5" applyNumberFormat="1" applyFont="1" applyFill="1" applyBorder="1" applyAlignment="1" applyProtection="1">
      <alignment vertical="center"/>
      <protection locked="0"/>
    </xf>
    <xf numFmtId="174" fontId="3" fillId="0" borderId="0" xfId="33" applyFont="1" applyProtection="1">
      <protection locked="0"/>
    </xf>
    <xf numFmtId="181" fontId="17" fillId="0" borderId="0" xfId="5" applyNumberFormat="1" applyFont="1" applyFill="1" applyBorder="1" applyAlignment="1" applyProtection="1">
      <alignment vertical="center"/>
      <protection locked="0"/>
    </xf>
    <xf numFmtId="181" fontId="3" fillId="0" borderId="0" xfId="5" applyNumberFormat="1" applyFont="1" applyFill="1" applyBorder="1" applyAlignment="1">
      <alignment vertical="center"/>
    </xf>
    <xf numFmtId="182" fontId="66" fillId="0" borderId="0" xfId="1" applyNumberFormat="1" applyFont="1" applyFill="1" applyBorder="1" applyAlignment="1" applyProtection="1">
      <alignment vertical="center"/>
      <protection locked="0"/>
    </xf>
    <xf numFmtId="182" fontId="66" fillId="7" borderId="13" xfId="1" applyNumberFormat="1" applyFont="1" applyFill="1" applyBorder="1" applyAlignment="1">
      <alignment vertical="center"/>
    </xf>
    <xf numFmtId="182" fontId="66" fillId="0" borderId="0" xfId="1" applyNumberFormat="1" applyFont="1" applyFill="1" applyBorder="1" applyAlignment="1">
      <alignment vertical="center"/>
    </xf>
    <xf numFmtId="164" fontId="66" fillId="19" borderId="13" xfId="44" applyFont="1" applyFill="1" applyBorder="1" applyAlignment="1" applyProtection="1">
      <alignment vertical="center"/>
      <protection locked="0"/>
    </xf>
    <xf numFmtId="164" fontId="66" fillId="0" borderId="0" xfId="44" applyFont="1" applyFill="1" applyBorder="1" applyAlignment="1" applyProtection="1">
      <alignment vertical="center"/>
      <protection locked="0"/>
    </xf>
    <xf numFmtId="0" fontId="73" fillId="20" borderId="13" xfId="0" applyFont="1" applyFill="1" applyBorder="1"/>
    <xf numFmtId="0" fontId="73" fillId="20" borderId="13" xfId="0" applyFont="1" applyFill="1" applyBorder="1" applyAlignment="1">
      <alignment wrapText="1"/>
    </xf>
    <xf numFmtId="0" fontId="4" fillId="0" borderId="0" xfId="5" applyFill="1"/>
    <xf numFmtId="174" fontId="13" fillId="0" borderId="0" xfId="36" applyFont="1" applyFill="1" applyBorder="1" applyProtection="1">
      <protection locked="0"/>
    </xf>
    <xf numFmtId="174" fontId="62" fillId="0" borderId="0" xfId="36" applyFont="1" applyFill="1" applyBorder="1" applyProtection="1">
      <protection locked="0"/>
    </xf>
    <xf numFmtId="0" fontId="74" fillId="0" borderId="0" xfId="32" applyFont="1" applyFill="1" applyAlignment="1">
      <alignment horizontal="centerContinuous" vertical="center" wrapText="1"/>
    </xf>
    <xf numFmtId="0" fontId="25" fillId="0" borderId="0" xfId="45" applyFont="1"/>
    <xf numFmtId="0" fontId="3" fillId="0" borderId="0" xfId="45"/>
    <xf numFmtId="182" fontId="66" fillId="22" borderId="13" xfId="33" applyNumberFormat="1" applyFont="1" applyFill="1" applyBorder="1" applyAlignment="1" applyProtection="1">
      <alignment vertical="center"/>
      <protection locked="0"/>
    </xf>
    <xf numFmtId="182" fontId="66" fillId="0" borderId="0" xfId="33" applyNumberFormat="1" applyFont="1" applyFill="1" applyBorder="1" applyAlignment="1" applyProtection="1">
      <alignment vertical="center"/>
      <protection locked="0"/>
    </xf>
    <xf numFmtId="174" fontId="3" fillId="0" borderId="0" xfId="33" applyFill="1" applyBorder="1" applyProtection="1">
      <protection locked="0"/>
    </xf>
    <xf numFmtId="174" fontId="3" fillId="0" borderId="0" xfId="33" applyFill="1" applyAlignment="1" applyProtection="1">
      <alignment horizontal="center"/>
      <protection locked="0"/>
    </xf>
    <xf numFmtId="174" fontId="25" fillId="0" borderId="0" xfId="33" applyFont="1" applyFill="1" applyProtection="1">
      <protection locked="0"/>
    </xf>
    <xf numFmtId="174" fontId="17" fillId="0" borderId="0" xfId="33" applyFont="1" applyFill="1" applyBorder="1" applyProtection="1">
      <protection locked="0"/>
    </xf>
    <xf numFmtId="181" fontId="66" fillId="7" borderId="13" xfId="33" applyNumberFormat="1" applyFont="1" applyFill="1" applyBorder="1" applyAlignment="1" applyProtection="1">
      <alignment vertical="center"/>
      <protection locked="0"/>
    </xf>
    <xf numFmtId="181" fontId="66" fillId="0" borderId="0" xfId="33" applyNumberFormat="1" applyFont="1" applyFill="1" applyBorder="1" applyAlignment="1" applyProtection="1">
      <alignment vertical="center"/>
      <protection locked="0"/>
    </xf>
    <xf numFmtId="174" fontId="67" fillId="0" borderId="0" xfId="33" applyFont="1" applyProtection="1">
      <protection locked="0"/>
    </xf>
    <xf numFmtId="0" fontId="58" fillId="0" borderId="0" xfId="45" applyFont="1"/>
    <xf numFmtId="181" fontId="17" fillId="0" borderId="13" xfId="33" applyNumberFormat="1" applyFont="1" applyFill="1" applyBorder="1" applyAlignment="1" applyProtection="1">
      <alignment vertical="center"/>
      <protection locked="0"/>
    </xf>
    <xf numFmtId="0" fontId="66" fillId="0" borderId="13" xfId="1" applyNumberFormat="1" applyFont="1" applyFill="1" applyBorder="1" applyAlignment="1" applyProtection="1">
      <alignment vertical="center"/>
      <protection locked="0"/>
    </xf>
    <xf numFmtId="0" fontId="66" fillId="0" borderId="13" xfId="5" applyFont="1" applyFill="1" applyBorder="1" applyAlignment="1" applyProtection="1">
      <alignment vertical="center"/>
      <protection locked="0"/>
    </xf>
    <xf numFmtId="0" fontId="66" fillId="0" borderId="0" xfId="5" applyFont="1" applyFill="1" applyBorder="1" applyAlignment="1" applyProtection="1">
      <alignment vertical="center"/>
      <protection locked="0"/>
    </xf>
    <xf numFmtId="0" fontId="3" fillId="0" borderId="0" xfId="45" applyFont="1"/>
    <xf numFmtId="0" fontId="3" fillId="0" borderId="0" xfId="45" applyFont="1" applyFill="1"/>
    <xf numFmtId="0" fontId="3" fillId="0" borderId="0" xfId="45" applyFill="1"/>
    <xf numFmtId="0" fontId="75" fillId="0" borderId="13" xfId="45" applyFont="1" applyFill="1" applyBorder="1"/>
    <xf numFmtId="0" fontId="75" fillId="0" borderId="0" xfId="45" applyFont="1" applyFill="1" applyBorder="1"/>
    <xf numFmtId="0" fontId="0" fillId="0" borderId="0" xfId="45" applyFont="1"/>
    <xf numFmtId="182" fontId="66" fillId="7" borderId="13" xfId="5" applyNumberFormat="1" applyFont="1" applyFill="1" applyBorder="1" applyAlignment="1" applyProtection="1">
      <alignment vertical="center"/>
      <protection locked="0"/>
    </xf>
    <xf numFmtId="182" fontId="66" fillId="7" borderId="10" xfId="5" applyNumberFormat="1" applyFont="1" applyFill="1" applyBorder="1" applyAlignment="1" applyProtection="1">
      <alignment vertical="center"/>
      <protection locked="0"/>
    </xf>
    <xf numFmtId="10" fontId="3" fillId="0" borderId="0" xfId="1" applyNumberFormat="1" applyFont="1" applyProtection="1">
      <protection locked="0"/>
    </xf>
    <xf numFmtId="181" fontId="66" fillId="24" borderId="13" xfId="33" applyNumberFormat="1" applyFont="1" applyFill="1" applyBorder="1" applyAlignment="1" applyProtection="1">
      <alignment vertical="center"/>
      <protection locked="0"/>
    </xf>
    <xf numFmtId="182" fontId="66" fillId="0" borderId="13" xfId="1" applyNumberFormat="1" applyFont="1" applyFill="1" applyBorder="1" applyAlignment="1">
      <alignment vertical="center"/>
    </xf>
    <xf numFmtId="0" fontId="3" fillId="0" borderId="13" xfId="45" applyFont="1" applyFill="1" applyBorder="1"/>
    <xf numFmtId="0" fontId="3" fillId="0" borderId="0" xfId="45" applyFont="1" applyFill="1" applyBorder="1"/>
    <xf numFmtId="10" fontId="3" fillId="0" borderId="13" xfId="45" applyNumberFormat="1" applyFont="1" applyFill="1" applyBorder="1"/>
    <xf numFmtId="10" fontId="3" fillId="0" borderId="0" xfId="45" applyNumberFormat="1" applyFont="1" applyFill="1" applyBorder="1"/>
    <xf numFmtId="0" fontId="76" fillId="0" borderId="0" xfId="45" applyFont="1"/>
    <xf numFmtId="181" fontId="66" fillId="24" borderId="13" xfId="5" applyNumberFormat="1" applyFont="1" applyFill="1" applyBorder="1" applyAlignment="1" applyProtection="1">
      <alignment vertical="center"/>
      <protection locked="0"/>
    </xf>
    <xf numFmtId="10" fontId="66" fillId="0" borderId="0" xfId="1" applyNumberFormat="1" applyFont="1" applyFill="1" applyBorder="1" applyAlignment="1">
      <alignment vertical="center"/>
    </xf>
    <xf numFmtId="0" fontId="73" fillId="0" borderId="0" xfId="0" applyFont="1"/>
    <xf numFmtId="0" fontId="77" fillId="20" borderId="13" xfId="0" applyFont="1" applyFill="1" applyBorder="1" applyAlignment="1">
      <alignment wrapText="1"/>
    </xf>
    <xf numFmtId="174" fontId="3" fillId="0" borderId="0" xfId="33" applyFont="1" applyAlignment="1" applyProtection="1">
      <alignment horizontal="center"/>
      <protection locked="0"/>
    </xf>
    <xf numFmtId="174" fontId="25" fillId="0" borderId="0" xfId="40" applyFont="1" applyFill="1" applyProtection="1">
      <protection locked="0"/>
    </xf>
    <xf numFmtId="186" fontId="66" fillId="0" borderId="0" xfId="33" applyNumberFormat="1" applyFont="1" applyFill="1" applyBorder="1" applyAlignment="1" applyProtection="1">
      <alignment vertical="center"/>
      <protection locked="0"/>
    </xf>
    <xf numFmtId="174" fontId="17" fillId="0" borderId="0" xfId="40" applyFont="1" applyFill="1" applyProtection="1">
      <protection locked="0"/>
    </xf>
    <xf numFmtId="0" fontId="3" fillId="0" borderId="0" xfId="37" applyProtection="1">
      <protection locked="0"/>
    </xf>
    <xf numFmtId="174" fontId="25" fillId="0" borderId="0" xfId="33" applyFont="1" applyBorder="1" applyProtection="1">
      <protection locked="0"/>
    </xf>
    <xf numFmtId="0" fontId="0" fillId="20" borderId="24" xfId="0" applyFont="1" applyFill="1" applyBorder="1"/>
    <xf numFmtId="0" fontId="0" fillId="20" borderId="67" xfId="0" applyFont="1" applyFill="1" applyBorder="1"/>
    <xf numFmtId="0" fontId="5" fillId="2" borderId="68" xfId="3" applyFont="1" applyFill="1" applyBorder="1" applyAlignment="1">
      <alignment horizontal="left"/>
    </xf>
    <xf numFmtId="0" fontId="3" fillId="21" borderId="68" xfId="31" applyFill="1" applyBorder="1"/>
    <xf numFmtId="0" fontId="0" fillId="0" borderId="68" xfId="0" applyBorder="1"/>
    <xf numFmtId="0" fontId="73" fillId="20" borderId="24" xfId="0" applyFont="1" applyFill="1" applyBorder="1"/>
    <xf numFmtId="0" fontId="73" fillId="20" borderId="67" xfId="0" applyFont="1" applyFill="1" applyBorder="1"/>
    <xf numFmtId="174" fontId="13" fillId="2" borderId="68" xfId="36" applyFont="1" applyFill="1" applyBorder="1" applyProtection="1">
      <protection locked="0"/>
    </xf>
    <xf numFmtId="174" fontId="62" fillId="2" borderId="68" xfId="36" applyFont="1" applyFill="1" applyBorder="1" applyProtection="1">
      <protection locked="0"/>
    </xf>
    <xf numFmtId="0" fontId="3" fillId="21" borderId="68" xfId="37" applyFill="1" applyBorder="1" applyProtection="1">
      <protection locked="0"/>
    </xf>
    <xf numFmtId="0" fontId="3" fillId="0" borderId="68" xfId="37" applyFill="1" applyBorder="1" applyProtection="1">
      <protection locked="0"/>
    </xf>
    <xf numFmtId="174" fontId="63" fillId="0" borderId="68" xfId="33" applyFont="1" applyBorder="1" applyProtection="1">
      <protection locked="0"/>
    </xf>
    <xf numFmtId="0" fontId="0" fillId="20" borderId="21" xfId="0" applyFont="1" applyFill="1" applyBorder="1"/>
    <xf numFmtId="0" fontId="69" fillId="20" borderId="24" xfId="0" applyFont="1" applyFill="1" applyBorder="1"/>
    <xf numFmtId="0" fontId="69" fillId="20" borderId="67" xfId="0" applyFont="1" applyFill="1" applyBorder="1"/>
    <xf numFmtId="14" fontId="17" fillId="19" borderId="13" xfId="34" applyNumberFormat="1" applyFont="1" applyFill="1" applyBorder="1" applyAlignment="1" applyProtection="1">
      <alignment horizontal="center"/>
      <protection locked="0"/>
    </xf>
    <xf numFmtId="181" fontId="66" fillId="24" borderId="13" xfId="5" quotePrefix="1" applyNumberFormat="1" applyFont="1" applyFill="1" applyBorder="1" applyAlignment="1" applyProtection="1">
      <alignment vertical="center"/>
      <protection locked="0"/>
    </xf>
    <xf numFmtId="169" fontId="23" fillId="0" borderId="30" xfId="2" applyNumberFormat="1" applyFont="1" applyFill="1" applyBorder="1" applyAlignment="1">
      <alignment horizontal="right" vertical="center"/>
    </xf>
    <xf numFmtId="169" fontId="23" fillId="0" borderId="0" xfId="2" applyNumberFormat="1" applyFont="1" applyFill="1" applyBorder="1" applyAlignment="1">
      <alignment horizontal="right" vertical="center"/>
    </xf>
    <xf numFmtId="169" fontId="23" fillId="0" borderId="44" xfId="2" applyNumberFormat="1" applyFont="1" applyFill="1" applyBorder="1" applyAlignment="1">
      <alignment horizontal="right" vertical="center"/>
    </xf>
    <xf numFmtId="0" fontId="23" fillId="0" borderId="50" xfId="2" applyFont="1" applyFill="1" applyBorder="1" applyAlignment="1" applyProtection="1">
      <alignment horizontal="center" vertical="center"/>
    </xf>
    <xf numFmtId="9" fontId="31" fillId="5" borderId="13" xfId="1" applyFont="1" applyFill="1" applyBorder="1" applyAlignment="1">
      <alignment horizontal="right" vertical="center"/>
    </xf>
    <xf numFmtId="9" fontId="31" fillId="5" borderId="37" xfId="1" applyFont="1" applyFill="1" applyBorder="1" applyAlignment="1">
      <alignment horizontal="right" vertical="center"/>
    </xf>
    <xf numFmtId="9" fontId="31" fillId="5" borderId="40" xfId="1" applyFont="1" applyFill="1" applyBorder="1" applyAlignment="1">
      <alignment horizontal="right" vertical="center"/>
    </xf>
    <xf numFmtId="9" fontId="31" fillId="5" borderId="41" xfId="1" applyFont="1" applyFill="1" applyBorder="1" applyAlignment="1">
      <alignment horizontal="right" vertical="center"/>
    </xf>
    <xf numFmtId="171" fontId="31" fillId="17" borderId="50" xfId="2" applyNumberFormat="1" applyFont="1" applyFill="1" applyBorder="1" applyAlignment="1">
      <alignment horizontal="right" vertical="center"/>
    </xf>
    <xf numFmtId="172" fontId="23" fillId="17" borderId="41" xfId="2" applyNumberFormat="1" applyFont="1" applyFill="1" applyBorder="1" applyAlignment="1">
      <alignment horizontal="right" vertical="center"/>
    </xf>
    <xf numFmtId="0" fontId="0" fillId="0" borderId="13" xfId="4" applyFont="1" applyBorder="1" applyAlignment="1">
      <alignment horizontal="left" vertical="top" wrapText="1"/>
    </xf>
    <xf numFmtId="0" fontId="0" fillId="0" borderId="13" xfId="4" applyFont="1" applyBorder="1" applyAlignment="1">
      <alignment horizontal="left" vertical="top"/>
    </xf>
    <xf numFmtId="0" fontId="38" fillId="0" borderId="0" xfId="14" applyFont="1" applyFill="1" applyAlignment="1">
      <alignment horizontal="left" vertical="center"/>
    </xf>
    <xf numFmtId="0" fontId="16" fillId="0" borderId="30" xfId="14" applyFont="1" applyFill="1" applyBorder="1" applyAlignment="1">
      <alignment vertical="center"/>
    </xf>
    <xf numFmtId="0" fontId="16" fillId="0" borderId="44" xfId="14" applyFont="1" applyFill="1" applyBorder="1" applyAlignment="1">
      <alignment vertical="center"/>
    </xf>
    <xf numFmtId="169" fontId="23" fillId="17" borderId="12" xfId="2" applyNumberFormat="1" applyFont="1" applyFill="1" applyBorder="1" applyAlignment="1">
      <alignment horizontal="right" vertical="center"/>
    </xf>
    <xf numFmtId="0" fontId="31" fillId="0" borderId="48" xfId="12" applyFont="1" applyBorder="1" applyAlignment="1">
      <alignment vertical="center"/>
    </xf>
    <xf numFmtId="0" fontId="23" fillId="0" borderId="37" xfId="2" applyFont="1" applyFill="1" applyBorder="1" applyAlignment="1" applyProtection="1">
      <alignment horizontal="center" vertical="center"/>
    </xf>
    <xf numFmtId="169" fontId="23" fillId="17" borderId="50" xfId="2" applyNumberFormat="1" applyFont="1" applyFill="1" applyBorder="1" applyAlignment="1">
      <alignment horizontal="right" vertical="center"/>
    </xf>
    <xf numFmtId="0" fontId="23" fillId="0" borderId="41" xfId="2" applyFont="1" applyFill="1" applyBorder="1" applyAlignment="1" applyProtection="1">
      <alignment horizontal="center" vertical="center"/>
    </xf>
    <xf numFmtId="0" fontId="23" fillId="0" borderId="44" xfId="2" applyFont="1" applyFill="1" applyBorder="1" applyAlignment="1" applyProtection="1">
      <alignment horizontal="center" vertical="center"/>
    </xf>
    <xf numFmtId="169" fontId="23" fillId="5" borderId="11" xfId="2" applyNumberFormat="1" applyFont="1" applyFill="1" applyBorder="1" applyAlignment="1">
      <alignment horizontal="right" vertical="center"/>
    </xf>
    <xf numFmtId="169" fontId="23" fillId="17" borderId="11" xfId="2" applyNumberFormat="1" applyFont="1" applyFill="1" applyBorder="1" applyAlignment="1">
      <alignment horizontal="right" vertical="center"/>
    </xf>
    <xf numFmtId="169" fontId="23" fillId="17" borderId="51" xfId="2" applyNumberFormat="1" applyFont="1" applyFill="1" applyBorder="1" applyAlignment="1">
      <alignment horizontal="right" vertical="center"/>
    </xf>
    <xf numFmtId="169" fontId="23" fillId="5" borderId="53" xfId="2" applyNumberFormat="1" applyFont="1" applyFill="1" applyBorder="1" applyAlignment="1">
      <alignment horizontal="right" vertical="center"/>
    </xf>
    <xf numFmtId="169" fontId="23" fillId="17" borderId="53" xfId="2" applyNumberFormat="1" applyFont="1" applyFill="1" applyBorder="1" applyAlignment="1">
      <alignment horizontal="right" vertical="center"/>
    </xf>
    <xf numFmtId="169" fontId="23" fillId="17" borderId="69" xfId="2" applyNumberFormat="1" applyFont="1" applyFill="1" applyBorder="1" applyAlignment="1">
      <alignment horizontal="right" vertical="center"/>
    </xf>
    <xf numFmtId="0" fontId="32" fillId="0" borderId="70" xfId="12" applyFont="1" applyBorder="1" applyAlignment="1">
      <alignment vertical="center"/>
    </xf>
    <xf numFmtId="0" fontId="16" fillId="0" borderId="71" xfId="2" applyFont="1" applyBorder="1" applyAlignment="1">
      <alignment vertical="center"/>
    </xf>
    <xf numFmtId="0" fontId="23" fillId="0" borderId="71" xfId="14" applyFont="1" applyFill="1" applyBorder="1" applyAlignment="1">
      <alignment vertical="center"/>
    </xf>
    <xf numFmtId="0" fontId="23" fillId="0" borderId="54" xfId="14" applyFont="1" applyFill="1" applyBorder="1" applyAlignment="1">
      <alignment vertical="center"/>
    </xf>
    <xf numFmtId="0" fontId="32" fillId="0" borderId="72" xfId="12" applyFont="1" applyBorder="1" applyAlignment="1">
      <alignment vertical="center"/>
    </xf>
    <xf numFmtId="0" fontId="23" fillId="0" borderId="73" xfId="2" applyFont="1" applyBorder="1" applyAlignment="1">
      <alignment vertical="center"/>
    </xf>
    <xf numFmtId="0" fontId="16" fillId="0" borderId="74" xfId="2" applyFont="1" applyBorder="1" applyAlignment="1">
      <alignment vertical="center"/>
    </xf>
    <xf numFmtId="0" fontId="32" fillId="0" borderId="0" xfId="12" applyFont="1" applyBorder="1" applyAlignment="1">
      <alignment vertical="center"/>
    </xf>
    <xf numFmtId="0" fontId="16" fillId="0" borderId="74" xfId="14" applyFont="1" applyFill="1" applyBorder="1" applyAlignment="1">
      <alignment vertical="center"/>
    </xf>
    <xf numFmtId="0" fontId="31" fillId="0" borderId="74" xfId="15" applyFont="1" applyBorder="1" applyAlignment="1">
      <alignment horizontal="left" vertical="center" wrapText="1"/>
    </xf>
    <xf numFmtId="0" fontId="16" fillId="0" borderId="74" xfId="2" applyFont="1" applyBorder="1" applyAlignment="1">
      <alignment horizontal="center" vertical="center"/>
    </xf>
    <xf numFmtId="0" fontId="16" fillId="0" borderId="26" xfId="14" applyFont="1" applyFill="1" applyBorder="1" applyAlignment="1">
      <alignment vertical="center"/>
    </xf>
    <xf numFmtId="0" fontId="16" fillId="0" borderId="26" xfId="2" applyFont="1" applyBorder="1" applyAlignment="1">
      <alignment horizontal="center" vertical="center"/>
    </xf>
    <xf numFmtId="0" fontId="16" fillId="0" borderId="70" xfId="2" applyFont="1" applyBorder="1" applyAlignment="1">
      <alignment vertical="center"/>
    </xf>
    <xf numFmtId="0" fontId="16" fillId="0" borderId="26" xfId="2" applyFont="1" applyBorder="1" applyAlignment="1">
      <alignment horizontal="left" vertical="center"/>
    </xf>
    <xf numFmtId="0" fontId="16" fillId="0" borderId="74" xfId="2" applyFont="1" applyBorder="1" applyAlignment="1">
      <alignment horizontal="left" vertical="center"/>
    </xf>
    <xf numFmtId="0" fontId="78" fillId="0" borderId="0" xfId="14" applyFont="1" applyFill="1" applyAlignment="1">
      <alignment vertical="center"/>
    </xf>
    <xf numFmtId="169" fontId="23" fillId="5" borderId="57" xfId="2" applyNumberFormat="1" applyFont="1" applyFill="1" applyBorder="1" applyAlignment="1">
      <alignment horizontal="right" vertical="center"/>
    </xf>
    <xf numFmtId="172" fontId="23" fillId="18" borderId="10" xfId="2" applyNumberFormat="1" applyFont="1" applyFill="1" applyBorder="1" applyAlignment="1">
      <alignment horizontal="right" vertical="center"/>
    </xf>
    <xf numFmtId="169" fontId="31" fillId="0" borderId="1" xfId="12" applyNumberFormat="1" applyFont="1" applyBorder="1" applyAlignment="1">
      <alignment vertical="center"/>
    </xf>
    <xf numFmtId="0" fontId="36" fillId="0" borderId="44" xfId="14" applyFont="1" applyFill="1" applyBorder="1" applyAlignment="1">
      <alignment vertical="center"/>
    </xf>
    <xf numFmtId="171" fontId="0" fillId="18" borderId="37" xfId="2" applyNumberFormat="1" applyFont="1" applyFill="1" applyBorder="1" applyAlignment="1">
      <alignment horizontal="left" vertical="top"/>
    </xf>
    <xf numFmtId="0" fontId="32" fillId="14" borderId="76" xfId="12" applyFont="1" applyFill="1" applyBorder="1" applyAlignment="1">
      <alignment horizontal="centerContinuous" vertical="center"/>
    </xf>
    <xf numFmtId="0" fontId="23" fillId="0" borderId="77" xfId="2" applyFont="1" applyBorder="1"/>
    <xf numFmtId="2" fontId="3" fillId="0" borderId="13" xfId="4" applyNumberFormat="1" applyFont="1" applyBorder="1" applyAlignment="1">
      <alignment horizontal="left" vertical="top"/>
    </xf>
    <xf numFmtId="2" fontId="0" fillId="0" borderId="13" xfId="4" applyNumberFormat="1" applyFont="1" applyBorder="1" applyAlignment="1">
      <alignment horizontal="left" vertical="top"/>
    </xf>
    <xf numFmtId="0" fontId="16" fillId="0" borderId="30" xfId="2" applyFont="1" applyBorder="1" applyAlignment="1">
      <alignment horizontal="left" vertical="center"/>
    </xf>
    <xf numFmtId="0" fontId="16" fillId="0" borderId="38" xfId="2" applyFont="1" applyBorder="1" applyAlignment="1">
      <alignment horizontal="left" vertical="center"/>
    </xf>
    <xf numFmtId="0" fontId="31" fillId="0" borderId="60" xfId="24" applyFont="1" applyBorder="1" applyAlignment="1">
      <alignment horizontal="center"/>
    </xf>
    <xf numFmtId="0" fontId="31" fillId="0" borderId="58" xfId="24" applyFont="1" applyBorder="1" applyAlignment="1">
      <alignment horizontal="center"/>
    </xf>
    <xf numFmtId="0" fontId="31" fillId="0" borderId="0" xfId="27" applyFont="1" applyBorder="1" applyAlignment="1">
      <alignment horizontal="left" vertical="center"/>
    </xf>
    <xf numFmtId="0" fontId="31" fillId="0" borderId="1" xfId="27" applyFont="1" applyBorder="1" applyAlignment="1">
      <alignment horizontal="left" vertical="center"/>
    </xf>
    <xf numFmtId="0" fontId="37" fillId="0" borderId="1" xfId="27" applyFont="1" applyBorder="1" applyAlignment="1">
      <alignment horizontal="left" vertical="center"/>
    </xf>
    <xf numFmtId="169" fontId="23" fillId="5" borderId="50" xfId="2" applyNumberFormat="1" applyFont="1" applyFill="1" applyBorder="1" applyAlignment="1">
      <alignment horizontal="right"/>
    </xf>
    <xf numFmtId="169" fontId="31" fillId="19" borderId="57" xfId="2" applyNumberFormat="1" applyFont="1" applyFill="1" applyBorder="1" applyAlignment="1">
      <alignment horizontal="right"/>
    </xf>
    <xf numFmtId="169" fontId="31" fillId="19" borderId="17" xfId="2" applyNumberFormat="1" applyFont="1" applyFill="1" applyBorder="1" applyAlignment="1">
      <alignment horizontal="right"/>
    </xf>
    <xf numFmtId="169" fontId="31" fillId="19" borderId="56" xfId="2" applyNumberFormat="1" applyFont="1" applyFill="1" applyBorder="1" applyAlignment="1">
      <alignment horizontal="right"/>
    </xf>
    <xf numFmtId="0" fontId="31" fillId="0" borderId="0" xfId="24" applyFont="1" applyFill="1" applyBorder="1" applyAlignment="1">
      <alignment horizontal="center"/>
    </xf>
    <xf numFmtId="169" fontId="37" fillId="0" borderId="0" xfId="2" applyNumberFormat="1" applyFont="1" applyFill="1" applyBorder="1" applyAlignment="1">
      <alignment horizontal="right"/>
    </xf>
    <xf numFmtId="0" fontId="23" fillId="0" borderId="0" xfId="2" applyFont="1" applyFill="1" applyBorder="1"/>
    <xf numFmtId="169" fontId="37" fillId="0" borderId="30" xfId="2" applyNumberFormat="1" applyFont="1" applyFill="1" applyBorder="1" applyAlignment="1">
      <alignment horizontal="right"/>
    </xf>
    <xf numFmtId="169" fontId="37" fillId="0" borderId="44" xfId="2" applyNumberFormat="1" applyFont="1" applyFill="1" applyBorder="1" applyAlignment="1">
      <alignment horizontal="right"/>
    </xf>
    <xf numFmtId="0" fontId="37" fillId="0" borderId="1" xfId="24" applyFont="1" applyBorder="1" applyAlignment="1">
      <alignment horizontal="left" vertical="center"/>
    </xf>
    <xf numFmtId="169" fontId="23" fillId="17" borderId="36" xfId="2" applyNumberFormat="1" applyFont="1" applyFill="1" applyBorder="1" applyAlignment="1">
      <alignment horizontal="right"/>
    </xf>
    <xf numFmtId="169" fontId="23" fillId="17" borderId="13" xfId="2" applyNumberFormat="1" applyFont="1" applyFill="1" applyBorder="1" applyAlignment="1">
      <alignment horizontal="right"/>
    </xf>
    <xf numFmtId="169" fontId="23" fillId="17" borderId="37" xfId="2" applyNumberFormat="1" applyFont="1" applyFill="1" applyBorder="1" applyAlignment="1">
      <alignment horizontal="right"/>
    </xf>
    <xf numFmtId="169" fontId="23" fillId="17" borderId="12" xfId="2" applyNumberFormat="1" applyFont="1" applyFill="1" applyBorder="1" applyAlignment="1">
      <alignment horizontal="right"/>
    </xf>
    <xf numFmtId="169" fontId="23" fillId="0" borderId="0" xfId="2" applyNumberFormat="1" applyFont="1" applyFill="1" applyBorder="1" applyAlignment="1">
      <alignment horizontal="right"/>
    </xf>
    <xf numFmtId="0" fontId="36" fillId="0" borderId="13" xfId="2" applyFont="1" applyBorder="1" applyAlignment="1">
      <alignment horizontal="center" vertical="center"/>
    </xf>
    <xf numFmtId="0" fontId="36" fillId="0" borderId="37" xfId="2" applyFont="1" applyBorder="1" applyAlignment="1">
      <alignment horizontal="center" vertical="center" wrapText="1"/>
    </xf>
    <xf numFmtId="0" fontId="36" fillId="0" borderId="13" xfId="2" applyFont="1" applyBorder="1" applyAlignment="1">
      <alignment horizontal="center" vertical="center" wrapText="1"/>
    </xf>
    <xf numFmtId="0" fontId="0" fillId="0" borderId="0" xfId="0" applyBorder="1"/>
    <xf numFmtId="0" fontId="0" fillId="0" borderId="1" xfId="0" applyBorder="1"/>
    <xf numFmtId="0" fontId="23" fillId="0" borderId="1" xfId="2" applyFont="1" applyBorder="1" applyAlignment="1">
      <alignment horizontal="right"/>
    </xf>
    <xf numFmtId="0" fontId="58" fillId="0" borderId="0" xfId="0" applyFont="1" applyBorder="1"/>
    <xf numFmtId="0" fontId="0" fillId="0" borderId="30" xfId="0" applyBorder="1"/>
    <xf numFmtId="0" fontId="0" fillId="0" borderId="38" xfId="0" applyBorder="1"/>
    <xf numFmtId="0" fontId="48" fillId="0" borderId="30" xfId="24" applyFont="1" applyBorder="1" applyAlignment="1">
      <alignment horizontal="left" vertical="center"/>
    </xf>
    <xf numFmtId="0" fontId="0" fillId="0" borderId="44" xfId="0" applyBorder="1"/>
    <xf numFmtId="0" fontId="0" fillId="0" borderId="26" xfId="0" applyBorder="1"/>
    <xf numFmtId="171" fontId="23" fillId="18" borderId="12" xfId="2" applyNumberFormat="1" applyFont="1" applyFill="1" applyBorder="1" applyAlignment="1">
      <alignment horizontal="right"/>
    </xf>
    <xf numFmtId="171" fontId="23" fillId="18" borderId="39" xfId="2" applyNumberFormat="1" applyFont="1" applyFill="1" applyBorder="1" applyAlignment="1">
      <alignment horizontal="right"/>
    </xf>
    <xf numFmtId="171" fontId="23" fillId="18" borderId="40" xfId="2" applyNumberFormat="1" applyFont="1" applyFill="1" applyBorder="1" applyAlignment="1">
      <alignment horizontal="right"/>
    </xf>
    <xf numFmtId="171" fontId="23" fillId="18" borderId="41" xfId="2" applyNumberFormat="1" applyFont="1" applyFill="1" applyBorder="1" applyAlignment="1">
      <alignment horizontal="right"/>
    </xf>
    <xf numFmtId="171" fontId="23" fillId="18" borderId="50" xfId="2" applyNumberFormat="1" applyFont="1" applyFill="1" applyBorder="1" applyAlignment="1">
      <alignment horizontal="right"/>
    </xf>
    <xf numFmtId="0" fontId="28" fillId="0" borderId="0" xfId="0" applyFont="1"/>
    <xf numFmtId="0" fontId="30" fillId="0" borderId="25" xfId="0" applyFont="1" applyBorder="1"/>
    <xf numFmtId="0" fontId="28" fillId="0" borderId="26" xfId="0" applyFont="1" applyBorder="1"/>
    <xf numFmtId="0" fontId="81" fillId="0" borderId="30" xfId="0" applyFont="1" applyBorder="1"/>
    <xf numFmtId="0" fontId="28" fillId="0" borderId="0" xfId="0" applyFont="1" applyBorder="1"/>
    <xf numFmtId="0" fontId="28" fillId="0" borderId="30" xfId="0" applyFont="1" applyBorder="1"/>
    <xf numFmtId="0" fontId="81" fillId="0" borderId="0" xfId="0" applyFont="1" applyBorder="1"/>
    <xf numFmtId="0" fontId="28" fillId="0" borderId="38" xfId="0" applyFont="1" applyBorder="1"/>
    <xf numFmtId="0" fontId="28" fillId="0" borderId="1" xfId="0" applyFont="1" applyBorder="1"/>
    <xf numFmtId="0" fontId="31" fillId="0" borderId="0" xfId="0" applyFont="1"/>
    <xf numFmtId="0" fontId="31" fillId="0" borderId="30" xfId="0" applyFont="1" applyBorder="1"/>
    <xf numFmtId="0" fontId="37" fillId="0" borderId="0" xfId="0" applyFont="1" applyBorder="1"/>
    <xf numFmtId="0" fontId="31" fillId="0" borderId="0" xfId="0" applyFont="1" applyBorder="1"/>
    <xf numFmtId="0" fontId="31" fillId="0" borderId="44" xfId="0" applyFont="1" applyBorder="1"/>
    <xf numFmtId="183" fontId="23" fillId="0" borderId="0" xfId="30" applyNumberFormat="1" applyFont="1" applyBorder="1" applyAlignment="1">
      <alignment horizontal="left" indent="1"/>
    </xf>
    <xf numFmtId="0" fontId="31" fillId="0" borderId="38" xfId="0" applyFont="1" applyBorder="1"/>
    <xf numFmtId="183" fontId="23" fillId="0" borderId="1" xfId="30" applyNumberFormat="1" applyFont="1" applyBorder="1" applyAlignment="1">
      <alignment horizontal="left" indent="1"/>
    </xf>
    <xf numFmtId="0" fontId="31" fillId="0" borderId="1" xfId="0" applyFont="1" applyBorder="1"/>
    <xf numFmtId="183" fontId="38" fillId="0" borderId="17" xfId="30" applyNumberFormat="1" applyFont="1" applyBorder="1" applyAlignment="1">
      <alignment horizontal="left" indent="1"/>
    </xf>
    <xf numFmtId="183" fontId="23" fillId="0" borderId="17" xfId="30" applyNumberFormat="1" applyFont="1" applyBorder="1" applyAlignment="1">
      <alignment horizontal="left" indent="1"/>
    </xf>
    <xf numFmtId="183" fontId="23" fillId="0" borderId="13" xfId="30" applyNumberFormat="1" applyFont="1" applyBorder="1" applyAlignment="1">
      <alignment horizontal="left" indent="1"/>
    </xf>
    <xf numFmtId="49" fontId="38" fillId="12" borderId="20" xfId="47" applyNumberFormat="1" applyFont="1" applyFill="1" applyBorder="1" applyAlignment="1" applyProtection="1">
      <alignment horizontal="center" vertical="top"/>
    </xf>
    <xf numFmtId="49" fontId="23" fillId="12" borderId="20" xfId="47" applyNumberFormat="1" applyFont="1" applyFill="1" applyBorder="1" applyAlignment="1" applyProtection="1">
      <alignment horizontal="center" vertical="top"/>
    </xf>
    <xf numFmtId="49" fontId="23" fillId="12" borderId="24" xfId="47" applyNumberFormat="1" applyFont="1" applyFill="1" applyBorder="1" applyAlignment="1" applyProtection="1">
      <alignment horizontal="center" vertical="top"/>
    </xf>
    <xf numFmtId="183" fontId="23" fillId="0" borderId="13" xfId="48" applyNumberFormat="1" applyFont="1" applyBorder="1" applyAlignment="1">
      <alignment horizontal="left" indent="1"/>
    </xf>
    <xf numFmtId="0" fontId="31" fillId="0" borderId="13" xfId="0" applyFont="1" applyBorder="1" applyAlignment="1">
      <alignment horizontal="center" vertical="center"/>
    </xf>
    <xf numFmtId="14" fontId="23" fillId="18" borderId="13" xfId="2" applyNumberFormat="1" applyFont="1" applyFill="1" applyBorder="1" applyAlignment="1">
      <alignment horizontal="right" vertical="center"/>
    </xf>
    <xf numFmtId="0" fontId="31" fillId="0" borderId="37" xfId="0" applyFont="1" applyBorder="1" applyAlignment="1">
      <alignment horizontal="center" vertical="center"/>
    </xf>
    <xf numFmtId="0" fontId="0" fillId="0" borderId="49" xfId="0" applyBorder="1"/>
    <xf numFmtId="0" fontId="0" fillId="0" borderId="0" xfId="0" applyFill="1" applyBorder="1"/>
    <xf numFmtId="0" fontId="31" fillId="0" borderId="0" xfId="12" applyFont="1" applyFill="1" applyBorder="1" applyAlignment="1">
      <alignment vertical="center"/>
    </xf>
    <xf numFmtId="171" fontId="23" fillId="0" borderId="0" xfId="2" applyNumberFormat="1" applyFont="1" applyFill="1" applyBorder="1" applyAlignment="1">
      <alignment horizontal="right" vertical="center"/>
    </xf>
    <xf numFmtId="14" fontId="23" fillId="0" borderId="0" xfId="2" applyNumberFormat="1" applyFont="1" applyFill="1" applyBorder="1" applyAlignment="1">
      <alignment horizontal="right" vertical="center"/>
    </xf>
    <xf numFmtId="171" fontId="31" fillId="0" borderId="0" xfId="2" applyNumberFormat="1" applyFont="1" applyFill="1" applyBorder="1" applyAlignment="1">
      <alignment horizontal="right" vertical="center"/>
    </xf>
    <xf numFmtId="0" fontId="0" fillId="0" borderId="38" xfId="0" applyFill="1" applyBorder="1"/>
    <xf numFmtId="0" fontId="0" fillId="0" borderId="1" xfId="0" applyFill="1" applyBorder="1"/>
    <xf numFmtId="0" fontId="31" fillId="0" borderId="1" xfId="12" applyFont="1" applyFill="1" applyBorder="1" applyAlignment="1">
      <alignment vertical="center"/>
    </xf>
    <xf numFmtId="171" fontId="23" fillId="0" borderId="10" xfId="2" applyNumberFormat="1" applyFont="1" applyFill="1" applyBorder="1" applyAlignment="1">
      <alignment horizontal="center" vertical="center"/>
    </xf>
    <xf numFmtId="0" fontId="0" fillId="0" borderId="0" xfId="0" applyBorder="1" applyAlignment="1">
      <alignment horizontal="center"/>
    </xf>
    <xf numFmtId="169" fontId="23" fillId="18" borderId="42" xfId="2" applyNumberFormat="1" applyFont="1" applyFill="1" applyBorder="1" applyAlignment="1">
      <alignment horizontal="right"/>
    </xf>
    <xf numFmtId="169" fontId="23" fillId="18" borderId="27" xfId="2" applyNumberFormat="1" applyFont="1" applyFill="1" applyBorder="1" applyAlignment="1">
      <alignment horizontal="right"/>
    </xf>
    <xf numFmtId="169" fontId="23" fillId="18" borderId="43" xfId="2" applyNumberFormat="1" applyFont="1" applyFill="1" applyBorder="1" applyAlignment="1">
      <alignment horizontal="right"/>
    </xf>
    <xf numFmtId="49" fontId="23" fillId="18" borderId="13" xfId="2" applyNumberFormat="1" applyFont="1" applyFill="1" applyBorder="1" applyAlignment="1"/>
    <xf numFmtId="9" fontId="23" fillId="18" borderId="13" xfId="2" applyNumberFormat="1" applyFont="1" applyFill="1" applyBorder="1" applyAlignment="1"/>
    <xf numFmtId="0" fontId="82" fillId="0" borderId="66" xfId="0" applyFont="1" applyBorder="1" applyAlignment="1">
      <alignment vertical="center" wrapText="1"/>
    </xf>
    <xf numFmtId="0" fontId="83" fillId="0" borderId="66" xfId="0" applyFont="1" applyBorder="1" applyAlignment="1">
      <alignment vertical="center" wrapText="1"/>
    </xf>
    <xf numFmtId="0" fontId="0" fillId="0" borderId="41" xfId="0" applyBorder="1"/>
    <xf numFmtId="0" fontId="0" fillId="0" borderId="37" xfId="0" applyBorder="1"/>
    <xf numFmtId="0" fontId="84" fillId="0" borderId="13" xfId="0" applyFont="1" applyBorder="1" applyAlignment="1">
      <alignment horizontal="left" vertical="center" wrapText="1" indent="2"/>
    </xf>
    <xf numFmtId="0" fontId="84" fillId="0" borderId="36" xfId="0" applyFont="1" applyBorder="1" applyAlignment="1">
      <alignment horizontal="left" vertical="center" wrapText="1" indent="2"/>
    </xf>
    <xf numFmtId="0" fontId="0" fillId="0" borderId="80" xfId="0" applyBorder="1"/>
    <xf numFmtId="0" fontId="83" fillId="0" borderId="55" xfId="0" applyFont="1" applyBorder="1" applyAlignment="1">
      <alignment vertical="center" wrapText="1"/>
    </xf>
    <xf numFmtId="0" fontId="83" fillId="0" borderId="52" xfId="0" applyFont="1" applyBorder="1" applyAlignment="1">
      <alignment vertical="center" wrapText="1"/>
    </xf>
    <xf numFmtId="0" fontId="83" fillId="0" borderId="82" xfId="0" applyFont="1" applyBorder="1" applyAlignment="1">
      <alignment vertical="center" wrapText="1"/>
    </xf>
    <xf numFmtId="0" fontId="84" fillId="0" borderId="55" xfId="0" applyFont="1" applyBorder="1" applyAlignment="1">
      <alignment horizontal="left" vertical="center" wrapText="1" indent="2"/>
    </xf>
    <xf numFmtId="0" fontId="0" fillId="0" borderId="55" xfId="0" applyBorder="1"/>
    <xf numFmtId="0" fontId="0" fillId="0" borderId="83" xfId="0" applyBorder="1"/>
    <xf numFmtId="0" fontId="0" fillId="0" borderId="84" xfId="0" applyBorder="1"/>
    <xf numFmtId="0" fontId="18" fillId="0" borderId="0" xfId="49" applyAlignment="1" applyProtection="1">
      <alignment vertical="center"/>
    </xf>
    <xf numFmtId="0" fontId="82" fillId="0" borderId="80" xfId="0" applyFont="1" applyBorder="1" applyAlignment="1">
      <alignment vertical="center" wrapText="1"/>
    </xf>
    <xf numFmtId="0" fontId="30" fillId="0" borderId="0" xfId="12" applyFont="1" applyFill="1" applyAlignment="1">
      <alignment horizontal="left" vertical="center"/>
    </xf>
    <xf numFmtId="0" fontId="16" fillId="0" borderId="38" xfId="2" applyFont="1" applyBorder="1" applyAlignment="1">
      <alignment vertical="center"/>
    </xf>
    <xf numFmtId="0" fontId="23" fillId="11" borderId="10" xfId="14" applyFont="1" applyFill="1" applyBorder="1" applyAlignment="1">
      <alignment horizontal="center" vertical="center" wrapText="1"/>
    </xf>
    <xf numFmtId="169" fontId="23" fillId="5" borderId="10" xfId="2" applyNumberFormat="1" applyFont="1" applyFill="1" applyBorder="1" applyAlignment="1">
      <alignment horizontal="right"/>
    </xf>
    <xf numFmtId="169" fontId="23" fillId="17" borderId="45" xfId="2" applyNumberFormat="1" applyFont="1" applyFill="1" applyBorder="1" applyAlignment="1">
      <alignment horizontal="right"/>
    </xf>
    <xf numFmtId="0" fontId="32" fillId="14" borderId="29" xfId="25" applyFont="1" applyFill="1" applyBorder="1" applyAlignment="1">
      <alignment horizontal="centerContinuous" vertical="center"/>
    </xf>
    <xf numFmtId="169" fontId="23" fillId="18" borderId="13" xfId="2" applyNumberFormat="1" applyFont="1" applyFill="1" applyBorder="1" applyAlignment="1">
      <alignment horizontal="left"/>
    </xf>
    <xf numFmtId="49" fontId="23" fillId="18" borderId="37" xfId="2" applyNumberFormat="1" applyFont="1" applyFill="1" applyBorder="1" applyAlignment="1">
      <alignment horizontal="left"/>
    </xf>
    <xf numFmtId="0" fontId="23" fillId="0" borderId="73" xfId="2" applyFont="1" applyBorder="1"/>
    <xf numFmtId="0" fontId="23" fillId="0" borderId="16" xfId="2" applyFont="1" applyBorder="1"/>
    <xf numFmtId="0" fontId="16" fillId="0" borderId="49" xfId="2" applyFont="1" applyBorder="1" applyAlignment="1">
      <alignment horizontal="left" vertical="center"/>
    </xf>
    <xf numFmtId="0" fontId="32" fillId="14" borderId="43" xfId="18" applyFont="1" applyFill="1" applyBorder="1" applyAlignment="1">
      <alignment horizontal="centerContinuous" vertical="center"/>
    </xf>
    <xf numFmtId="0" fontId="16" fillId="0" borderId="0" xfId="14" applyFont="1" applyFill="1" applyBorder="1" applyAlignment="1">
      <alignment vertical="center"/>
    </xf>
    <xf numFmtId="49" fontId="23" fillId="18" borderId="37" xfId="2" applyNumberFormat="1" applyFont="1" applyFill="1" applyBorder="1" applyAlignment="1"/>
    <xf numFmtId="0" fontId="32" fillId="14" borderId="31" xfId="18" applyFont="1" applyFill="1" applyBorder="1" applyAlignment="1">
      <alignment horizontal="centerContinuous" vertical="center"/>
    </xf>
    <xf numFmtId="0" fontId="31" fillId="11" borderId="36" xfId="18" applyFont="1" applyFill="1" applyBorder="1" applyAlignment="1">
      <alignment horizontal="center" vertical="center" wrapText="1"/>
    </xf>
    <xf numFmtId="0" fontId="23" fillId="13" borderId="30" xfId="14" applyFont="1" applyFill="1" applyBorder="1" applyAlignment="1">
      <alignment horizontal="center"/>
    </xf>
    <xf numFmtId="49" fontId="23" fillId="18" borderId="36" xfId="2" applyNumberFormat="1" applyFont="1" applyFill="1" applyBorder="1" applyAlignment="1"/>
    <xf numFmtId="0" fontId="83" fillId="19" borderId="34" xfId="0" applyFont="1" applyFill="1" applyBorder="1" applyAlignment="1">
      <alignment vertical="center" wrapText="1"/>
    </xf>
    <xf numFmtId="0" fontId="83" fillId="19" borderId="24" xfId="0" applyFont="1" applyFill="1" applyBorder="1" applyAlignment="1">
      <alignment vertical="center" wrapText="1"/>
    </xf>
    <xf numFmtId="0" fontId="83" fillId="19" borderId="21" xfId="0" applyFont="1" applyFill="1" applyBorder="1" applyAlignment="1">
      <alignment vertical="center" wrapText="1"/>
    </xf>
    <xf numFmtId="0" fontId="83" fillId="19" borderId="36" xfId="0" applyFont="1" applyFill="1" applyBorder="1" applyAlignment="1">
      <alignment vertical="center" wrapText="1"/>
    </xf>
    <xf numFmtId="0" fontId="83" fillId="19" borderId="13" xfId="0" applyFont="1" applyFill="1" applyBorder="1" applyAlignment="1">
      <alignment vertical="center" wrapText="1"/>
    </xf>
    <xf numFmtId="0" fontId="83" fillId="19" borderId="10" xfId="0" applyFont="1" applyFill="1" applyBorder="1" applyAlignment="1">
      <alignment vertical="center" wrapText="1"/>
    </xf>
    <xf numFmtId="171" fontId="23" fillId="5" borderId="40" xfId="2" applyNumberFormat="1" applyFont="1" applyFill="1" applyBorder="1" applyAlignment="1">
      <alignment horizontal="right" vertical="center"/>
    </xf>
    <xf numFmtId="0" fontId="0" fillId="19" borderId="24" xfId="0" applyFill="1" applyBorder="1"/>
    <xf numFmtId="0" fontId="0" fillId="19" borderId="21" xfId="0" applyFill="1" applyBorder="1"/>
    <xf numFmtId="0" fontId="0" fillId="19" borderId="13" xfId="0" applyFill="1" applyBorder="1"/>
    <xf numFmtId="0" fontId="0" fillId="19" borderId="10" xfId="0" applyFill="1" applyBorder="1"/>
    <xf numFmtId="0" fontId="0" fillId="19" borderId="17" xfId="0" applyFill="1" applyBorder="1"/>
    <xf numFmtId="0" fontId="0" fillId="19" borderId="14" xfId="0" applyFill="1" applyBorder="1"/>
    <xf numFmtId="0" fontId="0" fillId="19" borderId="40" xfId="0" applyFill="1" applyBorder="1"/>
    <xf numFmtId="0" fontId="0" fillId="19" borderId="45" xfId="0" applyFill="1" applyBorder="1"/>
    <xf numFmtId="0" fontId="82" fillId="19" borderId="39" xfId="0" applyFont="1" applyFill="1" applyBorder="1" applyAlignment="1">
      <alignment vertical="center" wrapText="1"/>
    </xf>
    <xf numFmtId="0" fontId="82" fillId="19" borderId="40" xfId="0" applyFont="1" applyFill="1" applyBorder="1" applyAlignment="1">
      <alignment vertical="center" wrapText="1"/>
    </xf>
    <xf numFmtId="0" fontId="0" fillId="19" borderId="35" xfId="0" applyFill="1" applyBorder="1"/>
    <xf numFmtId="0" fontId="0" fillId="19" borderId="37" xfId="0" applyFill="1" applyBorder="1"/>
    <xf numFmtId="0" fontId="0" fillId="19" borderId="56" xfId="0" applyFill="1" applyBorder="1"/>
    <xf numFmtId="0" fontId="0" fillId="19" borderId="41" xfId="0" applyFill="1" applyBorder="1"/>
    <xf numFmtId="0" fontId="82" fillId="19" borderId="35" xfId="0" applyFont="1" applyFill="1" applyBorder="1" applyAlignment="1">
      <alignment vertical="center" wrapText="1"/>
    </xf>
    <xf numFmtId="0" fontId="82" fillId="19" borderId="56" xfId="0" applyFont="1" applyFill="1" applyBorder="1" applyAlignment="1">
      <alignment vertical="center" wrapText="1"/>
    </xf>
    <xf numFmtId="0" fontId="82" fillId="19" borderId="41" xfId="0" applyFont="1" applyFill="1" applyBorder="1" applyAlignment="1">
      <alignment vertical="center" wrapText="1"/>
    </xf>
    <xf numFmtId="0" fontId="82" fillId="19" borderId="37" xfId="0" applyFont="1" applyFill="1" applyBorder="1" applyAlignment="1">
      <alignment vertical="center" wrapText="1"/>
    </xf>
    <xf numFmtId="0" fontId="0" fillId="0" borderId="52" xfId="0" applyBorder="1"/>
    <xf numFmtId="171" fontId="23" fillId="0" borderId="40" xfId="2" applyNumberFormat="1" applyFont="1" applyFill="1" applyBorder="1" applyAlignment="1">
      <alignment horizontal="right" vertical="center"/>
    </xf>
    <xf numFmtId="0" fontId="84" fillId="0" borderId="82" xfId="0" applyFont="1" applyBorder="1" applyAlignment="1">
      <alignment horizontal="left" vertical="center" wrapText="1" indent="2"/>
    </xf>
    <xf numFmtId="0" fontId="84" fillId="0" borderId="52" xfId="0" applyFont="1" applyBorder="1" applyAlignment="1">
      <alignment horizontal="left" vertical="center" wrapText="1" indent="2"/>
    </xf>
    <xf numFmtId="0" fontId="83" fillId="0" borderId="80" xfId="0" applyFont="1" applyBorder="1" applyAlignment="1">
      <alignment vertical="center" wrapText="1"/>
    </xf>
    <xf numFmtId="0" fontId="0" fillId="0" borderId="82" xfId="0" applyBorder="1"/>
    <xf numFmtId="0" fontId="82" fillId="19" borderId="13" xfId="0" applyFont="1" applyFill="1" applyBorder="1" applyAlignment="1">
      <alignment vertical="center" wrapText="1"/>
    </xf>
    <xf numFmtId="0" fontId="82" fillId="19" borderId="36" xfId="0" applyFont="1" applyFill="1" applyBorder="1" applyAlignment="1">
      <alignment vertical="center" wrapText="1"/>
    </xf>
    <xf numFmtId="0" fontId="82" fillId="19" borderId="61" xfId="0" applyFont="1" applyFill="1" applyBorder="1" applyAlignment="1">
      <alignment vertical="center" wrapText="1"/>
    </xf>
    <xf numFmtId="0" fontId="82" fillId="19" borderId="62" xfId="0" applyFont="1" applyFill="1" applyBorder="1" applyAlignment="1">
      <alignment vertical="center" wrapText="1"/>
    </xf>
    <xf numFmtId="0" fontId="82" fillId="19" borderId="64" xfId="0" applyFont="1" applyFill="1" applyBorder="1" applyAlignment="1">
      <alignment vertical="center" wrapText="1"/>
    </xf>
    <xf numFmtId="0" fontId="82" fillId="19" borderId="34" xfId="0" applyFont="1" applyFill="1" applyBorder="1" applyAlignment="1">
      <alignment vertical="center" wrapText="1"/>
    </xf>
    <xf numFmtId="0" fontId="82" fillId="19" borderId="24" xfId="0" applyFont="1" applyFill="1" applyBorder="1" applyAlignment="1">
      <alignment vertical="center" wrapText="1"/>
    </xf>
    <xf numFmtId="10" fontId="23" fillId="18" borderId="40" xfId="1" applyNumberFormat="1" applyFont="1" applyFill="1" applyBorder="1" applyAlignment="1">
      <alignment horizontal="right" vertical="center"/>
    </xf>
    <xf numFmtId="10" fontId="23" fillId="18" borderId="41" xfId="1" applyNumberFormat="1" applyFont="1" applyFill="1" applyBorder="1" applyAlignment="1">
      <alignment horizontal="right" vertical="center"/>
    </xf>
    <xf numFmtId="0" fontId="23" fillId="0" borderId="71" xfId="2" applyFont="1" applyBorder="1" applyAlignment="1">
      <alignment vertical="center"/>
    </xf>
    <xf numFmtId="169" fontId="23" fillId="18" borderId="14" xfId="2" applyNumberFormat="1" applyFont="1" applyFill="1" applyBorder="1" applyAlignment="1">
      <alignment horizontal="right"/>
    </xf>
    <xf numFmtId="169" fontId="23" fillId="5" borderId="10" xfId="2" applyNumberFormat="1" applyFont="1" applyFill="1" applyBorder="1"/>
    <xf numFmtId="169" fontId="32" fillId="14" borderId="72" xfId="12" applyNumberFormat="1" applyFont="1" applyFill="1" applyBorder="1" applyAlignment="1">
      <alignment horizontal="centerContinuous" vertical="center"/>
    </xf>
    <xf numFmtId="169" fontId="32" fillId="14" borderId="42" xfId="12" applyNumberFormat="1" applyFont="1" applyFill="1" applyBorder="1" applyAlignment="1">
      <alignment horizontal="centerContinuous" vertical="center"/>
    </xf>
    <xf numFmtId="0" fontId="23" fillId="19" borderId="13" xfId="2" applyFont="1" applyFill="1" applyBorder="1"/>
    <xf numFmtId="0" fontId="23" fillId="19" borderId="37" xfId="2" applyFont="1" applyFill="1" applyBorder="1"/>
    <xf numFmtId="0" fontId="23" fillId="19" borderId="40" xfId="2" applyFont="1" applyFill="1" applyBorder="1"/>
    <xf numFmtId="0" fontId="23" fillId="19" borderId="41" xfId="2" applyFont="1" applyFill="1" applyBorder="1"/>
    <xf numFmtId="0" fontId="31" fillId="11" borderId="0" xfId="19" applyFont="1" applyFill="1" applyBorder="1" applyAlignment="1">
      <alignment horizontal="left"/>
    </xf>
    <xf numFmtId="0" fontId="31" fillId="11" borderId="38" xfId="22" applyFont="1" applyFill="1" applyBorder="1" applyAlignment="1">
      <alignment horizontal="left"/>
    </xf>
    <xf numFmtId="0" fontId="31" fillId="11" borderId="1" xfId="22" applyFont="1" applyFill="1" applyBorder="1" applyAlignment="1">
      <alignment horizontal="left"/>
    </xf>
    <xf numFmtId="0" fontId="31" fillId="11" borderId="1" xfId="22" applyFont="1" applyFill="1" applyBorder="1" applyAlignment="1">
      <alignment horizontal="left" indent="2"/>
    </xf>
    <xf numFmtId="0" fontId="42" fillId="11" borderId="1" xfId="14" applyFont="1" applyFill="1" applyBorder="1" applyAlignment="1">
      <alignment horizontal="right"/>
    </xf>
    <xf numFmtId="169" fontId="23" fillId="25" borderId="36" xfId="14" applyNumberFormat="1" applyFont="1" applyFill="1" applyBorder="1" applyAlignment="1"/>
    <xf numFmtId="171" fontId="23" fillId="0" borderId="0" xfId="2" applyNumberFormat="1" applyFont="1" applyFill="1" applyBorder="1" applyAlignment="1">
      <alignment horizontal="left" vertical="top"/>
    </xf>
    <xf numFmtId="0" fontId="37" fillId="11" borderId="30" xfId="21" applyFont="1" applyFill="1" applyBorder="1" applyAlignment="1">
      <alignment horizontal="left" vertical="center"/>
    </xf>
    <xf numFmtId="171" fontId="23" fillId="0" borderId="0" xfId="2" applyNumberFormat="1" applyFont="1" applyFill="1" applyBorder="1" applyAlignment="1"/>
    <xf numFmtId="0" fontId="23" fillId="0" borderId="0" xfId="2" applyFont="1" applyFill="1" applyBorder="1" applyAlignment="1">
      <alignment vertical="center"/>
    </xf>
    <xf numFmtId="172" fontId="32" fillId="14" borderId="43" xfId="12" applyNumberFormat="1" applyFont="1" applyFill="1" applyBorder="1" applyAlignment="1">
      <alignment horizontal="centerContinuous" vertical="center"/>
    </xf>
    <xf numFmtId="169" fontId="32" fillId="16" borderId="32" xfId="12" applyNumberFormat="1" applyFont="1" applyFill="1" applyBorder="1" applyAlignment="1">
      <alignment horizontal="centerContinuous" vertical="center"/>
    </xf>
    <xf numFmtId="171" fontId="23" fillId="0" borderId="30" xfId="14" applyNumberFormat="1" applyFont="1" applyFill="1" applyBorder="1" applyAlignment="1">
      <alignment vertical="center"/>
    </xf>
    <xf numFmtId="171" fontId="23" fillId="0" borderId="0" xfId="14" applyNumberFormat="1" applyFont="1" applyFill="1" applyAlignment="1">
      <alignment vertical="center"/>
    </xf>
    <xf numFmtId="171" fontId="32" fillId="14" borderId="28" xfId="12" applyNumberFormat="1" applyFont="1" applyFill="1" applyBorder="1" applyAlignment="1">
      <alignment horizontal="centerContinuous" vertical="center"/>
    </xf>
    <xf numFmtId="171" fontId="32" fillId="14" borderId="27" xfId="12" applyNumberFormat="1" applyFont="1" applyFill="1" applyBorder="1" applyAlignment="1">
      <alignment horizontal="centerContinuous" vertical="center"/>
    </xf>
    <xf numFmtId="171" fontId="32" fillId="14" borderId="43" xfId="12" applyNumberFormat="1" applyFont="1" applyFill="1" applyBorder="1" applyAlignment="1">
      <alignment horizontal="centerContinuous" vertical="center"/>
    </xf>
    <xf numFmtId="171" fontId="32" fillId="15" borderId="31" xfId="12" applyNumberFormat="1" applyFont="1" applyFill="1" applyBorder="1" applyAlignment="1">
      <alignment horizontal="centerContinuous" vertical="center"/>
    </xf>
    <xf numFmtId="171" fontId="35" fillId="15" borderId="32" xfId="12" applyNumberFormat="1" applyFont="1" applyFill="1" applyBorder="1" applyAlignment="1">
      <alignment horizontal="centerContinuous" vertical="center"/>
    </xf>
    <xf numFmtId="171" fontId="35" fillId="15" borderId="33" xfId="12" applyNumberFormat="1" applyFont="1" applyFill="1" applyBorder="1" applyAlignment="1">
      <alignment horizontal="centerContinuous" vertical="center"/>
    </xf>
    <xf numFmtId="171" fontId="35" fillId="16" borderId="32" xfId="12" applyNumberFormat="1" applyFont="1" applyFill="1" applyBorder="1" applyAlignment="1">
      <alignment horizontal="centerContinuous" vertical="center"/>
    </xf>
    <xf numFmtId="171" fontId="35" fillId="16" borderId="33" xfId="12" applyNumberFormat="1" applyFont="1" applyFill="1" applyBorder="1" applyAlignment="1">
      <alignment horizontal="centerContinuous" vertical="center"/>
    </xf>
    <xf numFmtId="171" fontId="31" fillId="0" borderId="36" xfId="12" applyNumberFormat="1" applyFont="1" applyBorder="1" applyAlignment="1">
      <alignment horizontal="center" vertical="center"/>
    </xf>
    <xf numFmtId="171" fontId="31" fillId="0" borderId="13" xfId="12" applyNumberFormat="1" applyFont="1" applyBorder="1" applyAlignment="1">
      <alignment horizontal="center" vertical="center"/>
    </xf>
    <xf numFmtId="171" fontId="31" fillId="0" borderId="37" xfId="12" applyNumberFormat="1" applyFont="1" applyBorder="1" applyAlignment="1">
      <alignment horizontal="center" vertical="center"/>
    </xf>
    <xf numFmtId="171" fontId="31" fillId="0" borderId="24" xfId="12" applyNumberFormat="1" applyFont="1" applyBorder="1" applyAlignment="1">
      <alignment horizontal="center" vertical="center"/>
    </xf>
    <xf numFmtId="171" fontId="31" fillId="0" borderId="35" xfId="12" applyNumberFormat="1" applyFont="1" applyBorder="1" applyAlignment="1">
      <alignment horizontal="center" vertical="center"/>
    </xf>
    <xf numFmtId="171" fontId="23" fillId="0" borderId="45" xfId="2" applyNumberFormat="1" applyFont="1" applyFill="1" applyBorder="1" applyAlignment="1">
      <alignment horizontal="center" vertical="center"/>
    </xf>
    <xf numFmtId="0" fontId="37" fillId="0" borderId="66" xfId="0" applyFont="1" applyBorder="1" applyAlignment="1">
      <alignment horizontal="center" vertical="center" wrapText="1"/>
    </xf>
    <xf numFmtId="0" fontId="85" fillId="0" borderId="34" xfId="46" applyFont="1" applyFill="1" applyBorder="1"/>
    <xf numFmtId="0" fontId="85" fillId="0" borderId="60" xfId="46" applyFont="1" applyFill="1" applyBorder="1"/>
    <xf numFmtId="0" fontId="85" fillId="0" borderId="58" xfId="46" applyFont="1" applyFill="1" applyBorder="1"/>
    <xf numFmtId="0" fontId="86" fillId="0" borderId="64" xfId="46" applyFont="1" applyFill="1" applyBorder="1" applyAlignment="1">
      <alignment horizontal="left" vertical="center"/>
    </xf>
    <xf numFmtId="0" fontId="87" fillId="0" borderId="61" xfId="46" applyFont="1" applyFill="1" applyBorder="1" applyAlignment="1">
      <alignment horizontal="left" vertical="top"/>
    </xf>
    <xf numFmtId="0" fontId="31" fillId="0" borderId="77" xfId="0" applyFont="1" applyFill="1" applyBorder="1" applyAlignment="1">
      <alignment vertical="center" wrapText="1"/>
    </xf>
    <xf numFmtId="0" fontId="31" fillId="19" borderId="77" xfId="0" applyFont="1" applyFill="1" applyBorder="1" applyAlignment="1">
      <alignment vertical="center" wrapText="1"/>
    </xf>
    <xf numFmtId="0" fontId="85" fillId="0" borderId="61" xfId="46" applyFont="1" applyFill="1" applyBorder="1" applyAlignment="1">
      <alignment horizontal="left" vertical="center"/>
    </xf>
    <xf numFmtId="0" fontId="85" fillId="0" borderId="77" xfId="46" applyFont="1" applyFill="1" applyBorder="1" applyAlignment="1">
      <alignment horizontal="left" vertical="center"/>
    </xf>
    <xf numFmtId="0" fontId="85" fillId="0" borderId="66" xfId="46" applyFont="1" applyFill="1" applyBorder="1" applyAlignment="1">
      <alignment horizontal="left" vertical="center"/>
    </xf>
    <xf numFmtId="0" fontId="85" fillId="0" borderId="82" xfId="46" applyFont="1" applyFill="1" applyBorder="1" applyAlignment="1">
      <alignment horizontal="center" vertical="center"/>
    </xf>
    <xf numFmtId="0" fontId="86" fillId="0" borderId="34" xfId="46" applyFont="1" applyFill="1" applyBorder="1" applyAlignment="1">
      <alignment horizontal="left" vertical="center"/>
    </xf>
    <xf numFmtId="0" fontId="23" fillId="0" borderId="36" xfId="46" applyFont="1" applyFill="1" applyBorder="1" applyAlignment="1">
      <alignment horizontal="left" vertical="top"/>
    </xf>
    <xf numFmtId="0" fontId="85" fillId="0" borderId="36" xfId="46" applyFont="1" applyFill="1" applyBorder="1" applyAlignment="1">
      <alignment horizontal="left" vertical="center"/>
    </xf>
    <xf numFmtId="0" fontId="85" fillId="0" borderId="39" xfId="46" applyFont="1" applyFill="1" applyBorder="1" applyAlignment="1">
      <alignment horizontal="left" vertical="center"/>
    </xf>
    <xf numFmtId="0" fontId="85" fillId="0" borderId="65" xfId="46" applyFont="1" applyFill="1" applyBorder="1" applyAlignment="1">
      <alignment horizontal="center" vertical="center"/>
    </xf>
    <xf numFmtId="0" fontId="86" fillId="0" borderId="75" xfId="46" applyFont="1" applyFill="1" applyBorder="1" applyAlignment="1">
      <alignment horizontal="left" vertical="center"/>
    </xf>
    <xf numFmtId="0" fontId="23" fillId="0" borderId="60" xfId="46" applyFont="1" applyFill="1" applyBorder="1" applyAlignment="1">
      <alignment horizontal="left" vertical="top"/>
    </xf>
    <xf numFmtId="0" fontId="85" fillId="0" borderId="79" xfId="46" applyFont="1" applyFill="1" applyBorder="1" applyAlignment="1">
      <alignment horizontal="left" vertical="center"/>
    </xf>
    <xf numFmtId="0" fontId="23" fillId="0" borderId="75" xfId="46" applyFont="1" applyFill="1" applyBorder="1"/>
    <xf numFmtId="0" fontId="23" fillId="0" borderId="60" xfId="46" applyFont="1" applyFill="1" applyBorder="1"/>
    <xf numFmtId="0" fontId="23" fillId="0" borderId="58" xfId="46" applyFont="1" applyFill="1" applyBorder="1"/>
    <xf numFmtId="0" fontId="37" fillId="0" borderId="65" xfId="0" applyFont="1" applyBorder="1" applyAlignment="1">
      <alignment horizontal="center" vertical="center" wrapText="1"/>
    </xf>
    <xf numFmtId="0" fontId="23" fillId="0" borderId="34" xfId="46" applyFont="1" applyBorder="1"/>
    <xf numFmtId="0" fontId="23" fillId="0" borderId="36" xfId="46" applyFont="1" applyBorder="1"/>
    <xf numFmtId="0" fontId="31" fillId="0" borderId="30" xfId="0" applyFont="1" applyBorder="1" applyAlignment="1">
      <alignment horizontal="left" vertical="top" wrapText="1" indent="1"/>
    </xf>
    <xf numFmtId="0" fontId="31" fillId="0" borderId="38" xfId="0" applyFont="1" applyBorder="1" applyAlignment="1">
      <alignment horizontal="left" vertical="top" wrapText="1" indent="1"/>
    </xf>
    <xf numFmtId="0" fontId="31" fillId="0" borderId="65" xfId="0" applyFont="1" applyFill="1" applyBorder="1" applyAlignment="1">
      <alignment horizontal="left" vertical="center" wrapText="1"/>
    </xf>
    <xf numFmtId="0" fontId="31" fillId="19" borderId="77" xfId="0" applyFont="1" applyFill="1" applyBorder="1" applyAlignment="1">
      <alignment horizontal="left" vertical="center" wrapText="1"/>
    </xf>
    <xf numFmtId="0" fontId="31" fillId="19" borderId="66" xfId="0" applyFont="1" applyFill="1" applyBorder="1" applyAlignment="1">
      <alignment horizontal="left" vertical="center" wrapText="1"/>
    </xf>
    <xf numFmtId="0" fontId="31" fillId="0" borderId="77" xfId="0" applyFont="1" applyBorder="1" applyAlignment="1">
      <alignment vertical="center" wrapText="1"/>
    </xf>
    <xf numFmtId="0" fontId="31" fillId="0" borderId="30" xfId="0" applyFont="1" applyBorder="1" applyAlignment="1">
      <alignment vertical="center" wrapText="1"/>
    </xf>
    <xf numFmtId="0" fontId="37" fillId="0" borderId="82" xfId="0" applyFont="1" applyBorder="1" applyAlignment="1">
      <alignment horizontal="center" vertical="center" wrapText="1"/>
    </xf>
    <xf numFmtId="0" fontId="31" fillId="0" borderId="77" xfId="0" applyFont="1" applyBorder="1" applyAlignment="1">
      <alignment horizontal="left" vertical="top" wrapText="1"/>
    </xf>
    <xf numFmtId="0" fontId="31" fillId="0" borderId="77" xfId="0" applyFont="1" applyBorder="1" applyAlignment="1">
      <alignment horizontal="left" vertical="center" wrapText="1" indent="1"/>
    </xf>
    <xf numFmtId="0" fontId="31" fillId="0" borderId="34" xfId="0" applyFont="1" applyBorder="1" applyAlignment="1">
      <alignment vertical="center" wrapText="1"/>
    </xf>
    <xf numFmtId="0" fontId="31" fillId="0" borderId="36" xfId="0" applyFont="1" applyBorder="1" applyAlignment="1">
      <alignment vertical="center" wrapText="1"/>
    </xf>
    <xf numFmtId="0" fontId="31" fillId="0" borderId="39" xfId="0" applyFont="1" applyBorder="1" applyAlignment="1">
      <alignment vertical="center" wrapText="1"/>
    </xf>
    <xf numFmtId="0" fontId="37" fillId="0" borderId="38" xfId="0" applyFont="1" applyBorder="1" applyAlignment="1">
      <alignment horizontal="center" vertical="center" wrapText="1"/>
    </xf>
    <xf numFmtId="0" fontId="31" fillId="0" borderId="61" xfId="46" applyFont="1" applyFill="1" applyBorder="1" applyAlignment="1">
      <alignment horizontal="left" vertical="top"/>
    </xf>
    <xf numFmtId="0" fontId="85" fillId="0" borderId="64" xfId="46" applyFont="1" applyFill="1" applyBorder="1" applyAlignment="1">
      <alignment horizontal="left" vertical="center"/>
    </xf>
    <xf numFmtId="0" fontId="85" fillId="0" borderId="79" xfId="46" applyFont="1" applyFill="1" applyBorder="1" applyAlignment="1">
      <alignment horizontal="center" vertical="center"/>
    </xf>
    <xf numFmtId="0" fontId="23" fillId="0" borderId="61" xfId="46" applyFont="1" applyFill="1" applyBorder="1" applyAlignment="1">
      <alignment horizontal="left" vertical="top"/>
    </xf>
    <xf numFmtId="0" fontId="85" fillId="0" borderId="65" xfId="46" applyFont="1" applyFill="1" applyBorder="1" applyAlignment="1">
      <alignment horizontal="left" vertical="center"/>
    </xf>
    <xf numFmtId="0" fontId="37" fillId="0" borderId="79" xfId="0" applyFont="1" applyBorder="1" applyAlignment="1">
      <alignment horizontal="center" vertical="center" wrapText="1"/>
    </xf>
    <xf numFmtId="0" fontId="23" fillId="0" borderId="30" xfId="46" applyFont="1" applyBorder="1"/>
    <xf numFmtId="0" fontId="23" fillId="0" borderId="79" xfId="46" applyFont="1" applyBorder="1"/>
    <xf numFmtId="0" fontId="31" fillId="0" borderId="30" xfId="0" applyFont="1" applyBorder="1" applyAlignment="1">
      <alignment horizontal="left" vertical="top" wrapText="1"/>
    </xf>
    <xf numFmtId="0" fontId="31" fillId="0" borderId="30" xfId="0" applyFont="1" applyBorder="1" applyAlignment="1">
      <alignment horizontal="left" vertical="center" wrapText="1" indent="1"/>
    </xf>
    <xf numFmtId="0" fontId="31" fillId="0" borderId="38" xfId="0" applyFont="1" applyBorder="1" applyAlignment="1">
      <alignment horizontal="left" vertical="center" wrapText="1" indent="1"/>
    </xf>
    <xf numFmtId="0" fontId="37" fillId="0" borderId="25" xfId="0" applyFont="1" applyBorder="1" applyAlignment="1">
      <alignment horizontal="center" vertical="center" wrapText="1"/>
    </xf>
    <xf numFmtId="0" fontId="33" fillId="0" borderId="65" xfId="0" applyFont="1" applyBorder="1" applyAlignment="1">
      <alignment vertical="center"/>
    </xf>
    <xf numFmtId="0" fontId="37" fillId="0" borderId="65" xfId="0" applyFont="1" applyBorder="1" applyAlignment="1">
      <alignment vertical="center" wrapText="1"/>
    </xf>
    <xf numFmtId="0" fontId="31" fillId="0" borderId="66" xfId="0" applyFont="1" applyBorder="1" applyAlignment="1">
      <alignment vertical="center" wrapText="1"/>
    </xf>
    <xf numFmtId="0" fontId="31" fillId="19" borderId="64" xfId="0" applyFont="1" applyFill="1" applyBorder="1" applyAlignment="1">
      <alignment vertical="center" wrapText="1"/>
    </xf>
    <xf numFmtId="0" fontId="31" fillId="19" borderId="61" xfId="0" applyFont="1" applyFill="1" applyBorder="1" applyAlignment="1">
      <alignment vertical="center" wrapText="1"/>
    </xf>
    <xf numFmtId="0" fontId="31" fillId="19" borderId="62" xfId="0" applyFont="1" applyFill="1" applyBorder="1" applyAlignment="1">
      <alignment vertical="center" wrapText="1"/>
    </xf>
    <xf numFmtId="0" fontId="37" fillId="0" borderId="55" xfId="0" applyFont="1" applyBorder="1" applyAlignment="1">
      <alignment vertical="center" wrapText="1"/>
    </xf>
    <xf numFmtId="0" fontId="37" fillId="0" borderId="55" xfId="0" applyFont="1" applyBorder="1" applyAlignment="1">
      <alignment horizontal="center" vertical="center" wrapText="1"/>
    </xf>
    <xf numFmtId="0" fontId="37" fillId="0" borderId="80" xfId="0" applyFont="1" applyBorder="1" applyAlignment="1">
      <alignment vertical="center" wrapText="1"/>
    </xf>
    <xf numFmtId="0" fontId="31" fillId="0" borderId="66" xfId="0" applyFont="1" applyBorder="1" applyAlignment="1">
      <alignment horizontal="center" vertical="center" wrapText="1"/>
    </xf>
    <xf numFmtId="0" fontId="23" fillId="0" borderId="21" xfId="46" applyFont="1" applyBorder="1" applyAlignment="1" applyProtection="1">
      <alignment horizontal="center" vertical="center"/>
    </xf>
    <xf numFmtId="0" fontId="23" fillId="0" borderId="10" xfId="46" applyFont="1" applyBorder="1" applyAlignment="1" applyProtection="1">
      <alignment horizontal="center" vertical="center"/>
    </xf>
    <xf numFmtId="0" fontId="23" fillId="0" borderId="45" xfId="46" applyFont="1" applyBorder="1" applyAlignment="1" applyProtection="1">
      <alignment horizontal="center" vertical="center"/>
    </xf>
    <xf numFmtId="0" fontId="23" fillId="19" borderId="14" xfId="46" applyFont="1" applyFill="1" applyBorder="1" applyAlignment="1" applyProtection="1">
      <alignment horizontal="center" vertical="center"/>
    </xf>
    <xf numFmtId="0" fontId="23" fillId="0" borderId="13" xfId="46" applyFont="1" applyFill="1" applyBorder="1" applyAlignment="1" applyProtection="1">
      <alignment horizontal="center" vertical="center"/>
    </xf>
    <xf numFmtId="0" fontId="23" fillId="19" borderId="45" xfId="46" applyFont="1" applyFill="1" applyBorder="1" applyAlignment="1" applyProtection="1">
      <alignment horizontal="center" vertical="center"/>
    </xf>
    <xf numFmtId="0" fontId="23" fillId="0" borderId="24" xfId="46" applyFont="1" applyBorder="1" applyAlignment="1" applyProtection="1">
      <alignment horizontal="center" vertical="center"/>
    </xf>
    <xf numFmtId="0" fontId="23" fillId="0" borderId="13" xfId="46" applyFont="1" applyBorder="1" applyAlignment="1" applyProtection="1">
      <alignment horizontal="center" vertical="center"/>
    </xf>
    <xf numFmtId="0" fontId="23" fillId="0" borderId="40" xfId="46" applyFont="1" applyBorder="1" applyAlignment="1" applyProtection="1">
      <alignment horizontal="center" vertical="center"/>
    </xf>
    <xf numFmtId="0" fontId="23" fillId="0" borderId="55" xfId="46" applyFont="1" applyBorder="1" applyAlignment="1" applyProtection="1">
      <alignment horizontal="center" vertical="center"/>
    </xf>
    <xf numFmtId="0" fontId="31" fillId="0" borderId="13"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55" xfId="0" applyFont="1" applyBorder="1" applyAlignment="1">
      <alignment horizontal="center" vertical="center" wrapText="1"/>
    </xf>
    <xf numFmtId="0" fontId="23" fillId="19" borderId="18" xfId="46" applyFont="1" applyFill="1" applyBorder="1" applyAlignment="1" applyProtection="1">
      <alignment horizontal="center" vertical="center"/>
    </xf>
    <xf numFmtId="0" fontId="31" fillId="0" borderId="20"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4" xfId="0" applyFont="1" applyBorder="1" applyAlignment="1">
      <alignment horizontal="center" vertical="center" wrapText="1"/>
    </xf>
    <xf numFmtId="0" fontId="31" fillId="19" borderId="13" xfId="0" applyFont="1" applyFill="1" applyBorder="1" applyAlignment="1">
      <alignment horizontal="center" vertical="center" wrapText="1"/>
    </xf>
    <xf numFmtId="0" fontId="31" fillId="19" borderId="40" xfId="0" applyFont="1" applyFill="1" applyBorder="1" applyAlignment="1">
      <alignment horizontal="center" vertical="center" wrapText="1"/>
    </xf>
    <xf numFmtId="0" fontId="85" fillId="0" borderId="82" xfId="46" applyFont="1" applyFill="1" applyBorder="1" applyAlignment="1">
      <alignment horizontal="center" vertical="center" wrapText="1"/>
    </xf>
    <xf numFmtId="0" fontId="30" fillId="0" borderId="82" xfId="0" applyFont="1" applyBorder="1" applyAlignment="1">
      <alignment vertical="center" wrapText="1"/>
    </xf>
    <xf numFmtId="0" fontId="85" fillId="0" borderId="65" xfId="46" applyFont="1" applyFill="1" applyBorder="1" applyAlignment="1">
      <alignment horizontal="center" wrapText="1"/>
    </xf>
    <xf numFmtId="0" fontId="37" fillId="0" borderId="66" xfId="0" applyFont="1" applyBorder="1" applyAlignment="1">
      <alignment vertical="center" wrapText="1"/>
    </xf>
    <xf numFmtId="0" fontId="31" fillId="19" borderId="13" xfId="0" applyFont="1" applyFill="1" applyBorder="1" applyAlignment="1">
      <alignment vertical="center" wrapText="1"/>
    </xf>
    <xf numFmtId="0" fontId="28" fillId="0" borderId="13" xfId="0" applyFont="1" applyBorder="1"/>
    <xf numFmtId="0" fontId="28" fillId="0" borderId="18" xfId="0" applyFont="1" applyBorder="1"/>
    <xf numFmtId="0" fontId="28" fillId="0" borderId="54" xfId="0" applyFont="1" applyBorder="1"/>
    <xf numFmtId="0" fontId="31" fillId="0" borderId="13" xfId="46" applyFont="1" applyBorder="1"/>
    <xf numFmtId="0" fontId="31" fillId="0" borderId="40" xfId="46" applyFont="1" applyBorder="1"/>
    <xf numFmtId="0" fontId="31" fillId="0" borderId="74" xfId="46" applyFont="1" applyBorder="1"/>
    <xf numFmtId="0" fontId="31" fillId="19" borderId="40" xfId="0" applyFont="1" applyFill="1" applyBorder="1" applyAlignment="1">
      <alignment vertical="center" wrapText="1"/>
    </xf>
    <xf numFmtId="0" fontId="31" fillId="0" borderId="81" xfId="0" applyFont="1" applyBorder="1" applyAlignment="1">
      <alignment horizontal="left" vertical="center" wrapText="1" indent="2"/>
    </xf>
    <xf numFmtId="0" fontId="37" fillId="0" borderId="81" xfId="0" applyFont="1" applyBorder="1" applyAlignment="1">
      <alignment vertical="center" wrapText="1"/>
    </xf>
    <xf numFmtId="0" fontId="28" fillId="0" borderId="81" xfId="0" applyFont="1" applyBorder="1"/>
    <xf numFmtId="0" fontId="23" fillId="0" borderId="14" xfId="46" applyFont="1" applyBorder="1" applyAlignment="1" applyProtection="1">
      <alignment horizontal="center" vertical="center"/>
    </xf>
    <xf numFmtId="0" fontId="23" fillId="0" borderId="81" xfId="46" applyFont="1" applyBorder="1" applyAlignment="1" applyProtection="1">
      <alignment horizontal="center" vertical="center"/>
    </xf>
    <xf numFmtId="0" fontId="23" fillId="0" borderId="18" xfId="46" applyFont="1" applyBorder="1" applyAlignment="1" applyProtection="1">
      <alignment horizontal="center" vertical="center"/>
    </xf>
    <xf numFmtId="0" fontId="31" fillId="0" borderId="81"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4" xfId="0" applyFont="1" applyBorder="1" applyAlignment="1">
      <alignment horizontal="center" vertical="center" wrapText="1"/>
    </xf>
    <xf numFmtId="0" fontId="28" fillId="0" borderId="74" xfId="0" applyFont="1" applyBorder="1"/>
    <xf numFmtId="0" fontId="28" fillId="0" borderId="78" xfId="0" applyFont="1" applyBorder="1"/>
    <xf numFmtId="0" fontId="31" fillId="0" borderId="65" xfId="0" applyFont="1" applyBorder="1" applyAlignment="1">
      <alignment vertical="center" wrapText="1"/>
    </xf>
    <xf numFmtId="0" fontId="31" fillId="0" borderId="44" xfId="0" applyFont="1" applyBorder="1" applyAlignment="1">
      <alignment horizontal="center" vertical="center" wrapText="1"/>
    </xf>
    <xf numFmtId="0" fontId="31" fillId="0" borderId="44" xfId="0" applyFont="1" applyBorder="1" applyAlignment="1">
      <alignment vertical="center" wrapText="1"/>
    </xf>
    <xf numFmtId="0" fontId="31" fillId="0" borderId="38" xfId="0" applyFont="1" applyBorder="1" applyAlignment="1">
      <alignment vertical="center" wrapText="1"/>
    </xf>
    <xf numFmtId="0" fontId="31" fillId="0" borderId="79" xfId="0" applyFont="1" applyBorder="1" applyAlignment="1">
      <alignment vertical="center" wrapText="1"/>
    </xf>
    <xf numFmtId="0" fontId="31" fillId="0" borderId="74" xfId="0" applyFont="1" applyBorder="1" applyAlignment="1">
      <alignment horizontal="center" vertical="center" wrapText="1"/>
    </xf>
    <xf numFmtId="0" fontId="31" fillId="0" borderId="74" xfId="0" applyFont="1" applyBorder="1" applyAlignment="1">
      <alignment vertical="center" wrapText="1"/>
    </xf>
    <xf numFmtId="0" fontId="31" fillId="0" borderId="78" xfId="0" applyFont="1" applyBorder="1" applyAlignment="1">
      <alignment vertical="center" wrapText="1"/>
    </xf>
    <xf numFmtId="0" fontId="32" fillId="26" borderId="26" xfId="12" applyFont="1" applyFill="1" applyBorder="1" applyAlignment="1">
      <alignment vertical="center"/>
    </xf>
    <xf numFmtId="0" fontId="36" fillId="26" borderId="0" xfId="14" applyFont="1" applyFill="1" applyBorder="1" applyAlignment="1">
      <alignment vertical="center"/>
    </xf>
    <xf numFmtId="0" fontId="23" fillId="26" borderId="0" xfId="14" applyFont="1" applyFill="1" applyBorder="1" applyAlignment="1">
      <alignment vertical="center"/>
    </xf>
    <xf numFmtId="0" fontId="23" fillId="26" borderId="1" xfId="14" applyFont="1" applyFill="1" applyBorder="1" applyAlignment="1">
      <alignment vertical="center"/>
    </xf>
    <xf numFmtId="169" fontId="37" fillId="17" borderId="50" xfId="2" applyNumberFormat="1" applyFont="1" applyFill="1" applyBorder="1" applyAlignment="1">
      <alignment horizontal="right" vertical="center"/>
    </xf>
    <xf numFmtId="0" fontId="23" fillId="0" borderId="1" xfId="2" applyFont="1" applyFill="1" applyBorder="1" applyAlignment="1" applyProtection="1">
      <alignment horizontal="center" vertical="center"/>
    </xf>
    <xf numFmtId="171" fontId="23" fillId="0" borderId="1" xfId="2" applyNumberFormat="1" applyFont="1" applyFill="1" applyBorder="1" applyAlignment="1">
      <alignment horizontal="right" vertical="center"/>
    </xf>
    <xf numFmtId="171" fontId="23" fillId="0" borderId="49" xfId="2" applyNumberFormat="1" applyFont="1" applyFill="1" applyBorder="1" applyAlignment="1">
      <alignment horizontal="right" vertical="center"/>
    </xf>
    <xf numFmtId="0" fontId="23" fillId="0" borderId="65" xfId="14" applyFont="1" applyFill="1" applyBorder="1" applyAlignment="1">
      <alignment vertical="center"/>
    </xf>
    <xf numFmtId="171" fontId="23" fillId="0" borderId="38" xfId="2" applyNumberFormat="1" applyFont="1" applyFill="1" applyBorder="1" applyAlignment="1">
      <alignment horizontal="right" vertical="center"/>
    </xf>
    <xf numFmtId="172" fontId="32" fillId="16" borderId="32" xfId="12" applyNumberFormat="1" applyFont="1" applyFill="1" applyBorder="1" applyAlignment="1">
      <alignment horizontal="centerContinuous" vertical="center"/>
    </xf>
    <xf numFmtId="172" fontId="31" fillId="0" borderId="23" xfId="12" applyNumberFormat="1" applyFont="1" applyBorder="1" applyAlignment="1">
      <alignment horizontal="center" vertical="center"/>
    </xf>
    <xf numFmtId="172" fontId="23" fillId="18" borderId="12" xfId="2" applyNumberFormat="1" applyFont="1" applyFill="1" applyBorder="1" applyAlignment="1">
      <alignment horizontal="right" vertical="center"/>
    </xf>
    <xf numFmtId="172" fontId="31" fillId="0" borderId="10" xfId="12" applyNumberFormat="1" applyFont="1" applyBorder="1" applyAlignment="1">
      <alignment horizontal="center" vertical="center"/>
    </xf>
    <xf numFmtId="171" fontId="32" fillId="16" borderId="32" xfId="12" applyNumberFormat="1" applyFont="1" applyFill="1" applyBorder="1" applyAlignment="1">
      <alignment horizontal="centerContinuous" vertical="center"/>
    </xf>
    <xf numFmtId="171" fontId="31" fillId="0" borderId="23" xfId="12" applyNumberFormat="1" applyFont="1" applyBorder="1" applyAlignment="1">
      <alignment horizontal="center" vertical="center"/>
    </xf>
    <xf numFmtId="0" fontId="38" fillId="0" borderId="0" xfId="2" applyFont="1" applyBorder="1" applyAlignment="1">
      <alignment horizontal="left"/>
    </xf>
    <xf numFmtId="0" fontId="38" fillId="0" borderId="30" xfId="2" applyFont="1" applyBorder="1"/>
    <xf numFmtId="169" fontId="23" fillId="0" borderId="30" xfId="2" applyNumberFormat="1" applyFont="1" applyFill="1" applyBorder="1" applyAlignment="1">
      <alignment horizontal="right"/>
    </xf>
    <xf numFmtId="169" fontId="23" fillId="0" borderId="44" xfId="2" applyNumberFormat="1" applyFont="1" applyFill="1" applyBorder="1" applyAlignment="1">
      <alignment horizontal="right"/>
    </xf>
    <xf numFmtId="0" fontId="30" fillId="0" borderId="25" xfId="16" applyFont="1" applyBorder="1" applyAlignment="1">
      <alignment vertical="center"/>
    </xf>
    <xf numFmtId="0" fontId="23" fillId="19" borderId="13" xfId="5" applyFont="1" applyFill="1" applyBorder="1"/>
    <xf numFmtId="0" fontId="23" fillId="0" borderId="44" xfId="5" applyFont="1" applyBorder="1"/>
    <xf numFmtId="0" fontId="23" fillId="0" borderId="38" xfId="5" applyFont="1" applyBorder="1"/>
    <xf numFmtId="0" fontId="23" fillId="0" borderId="10" xfId="5" applyFont="1" applyBorder="1" applyAlignment="1">
      <alignment horizontal="center" vertical="center"/>
    </xf>
    <xf numFmtId="0" fontId="23" fillId="0" borderId="0" xfId="5" applyFont="1" applyBorder="1" applyAlignment="1">
      <alignment horizontal="center" vertical="center"/>
    </xf>
    <xf numFmtId="0" fontId="23" fillId="0" borderId="45" xfId="5" applyFont="1" applyBorder="1" applyAlignment="1">
      <alignment horizontal="center" vertical="center"/>
    </xf>
    <xf numFmtId="0" fontId="23" fillId="0" borderId="30" xfId="5" applyFont="1" applyBorder="1" applyAlignment="1">
      <alignment horizontal="right"/>
    </xf>
    <xf numFmtId="0" fontId="23" fillId="0" borderId="0" xfId="5" applyFont="1" applyBorder="1" applyAlignment="1">
      <alignment horizontal="right"/>
    </xf>
    <xf numFmtId="0" fontId="23" fillId="0" borderId="44" xfId="5" applyFont="1" applyBorder="1" applyAlignment="1">
      <alignment horizontal="right"/>
    </xf>
    <xf numFmtId="0" fontId="32" fillId="0" borderId="26" xfId="12" applyFont="1" applyFill="1" applyBorder="1" applyAlignment="1">
      <alignment vertical="center"/>
    </xf>
    <xf numFmtId="171" fontId="31" fillId="0" borderId="44" xfId="2" applyNumberFormat="1" applyFont="1" applyFill="1" applyBorder="1" applyAlignment="1">
      <alignment horizontal="right" vertical="center"/>
    </xf>
    <xf numFmtId="170" fontId="23" fillId="18" borderId="57" xfId="2" applyNumberFormat="1" applyFont="1" applyFill="1" applyBorder="1" applyAlignment="1">
      <alignment horizontal="right" vertical="center"/>
    </xf>
    <xf numFmtId="170" fontId="23" fillId="18" borderId="17" xfId="2" applyNumberFormat="1" applyFont="1" applyFill="1" applyBorder="1" applyAlignment="1">
      <alignment horizontal="right" vertical="center"/>
    </xf>
    <xf numFmtId="170" fontId="23" fillId="18" borderId="56" xfId="2" applyNumberFormat="1" applyFont="1" applyFill="1" applyBorder="1" applyAlignment="1">
      <alignment horizontal="right" vertical="center"/>
    </xf>
    <xf numFmtId="171" fontId="31" fillId="0" borderId="30" xfId="2" applyNumberFormat="1" applyFont="1" applyFill="1" applyBorder="1" applyAlignment="1">
      <alignment horizontal="right" vertical="center"/>
    </xf>
    <xf numFmtId="0" fontId="35" fillId="0" borderId="0" xfId="12" applyFont="1" applyFill="1" applyBorder="1" applyAlignment="1">
      <alignment vertical="center"/>
    </xf>
    <xf numFmtId="0" fontId="31" fillId="0" borderId="0" xfId="17" applyFont="1" applyFill="1" applyBorder="1" applyAlignment="1">
      <alignment horizontal="right" vertical="center" wrapText="1"/>
    </xf>
    <xf numFmtId="0" fontId="31" fillId="0" borderId="1" xfId="17" applyFont="1" applyFill="1" applyBorder="1" applyAlignment="1">
      <alignment horizontal="right" vertical="center" wrapText="1"/>
    </xf>
    <xf numFmtId="9" fontId="23" fillId="18" borderId="36" xfId="1" applyFont="1" applyFill="1" applyBorder="1" applyAlignment="1">
      <alignment horizontal="right" vertical="center"/>
    </xf>
    <xf numFmtId="9" fontId="23" fillId="18" borderId="13" xfId="1" applyFont="1" applyFill="1" applyBorder="1" applyAlignment="1">
      <alignment horizontal="right" vertical="center"/>
    </xf>
    <xf numFmtId="9" fontId="23" fillId="18" borderId="37" xfId="1" applyFont="1" applyFill="1" applyBorder="1" applyAlignment="1">
      <alignment horizontal="right" vertical="center"/>
    </xf>
    <xf numFmtId="9" fontId="23" fillId="5" borderId="36" xfId="1" applyFont="1" applyFill="1" applyBorder="1" applyAlignment="1">
      <alignment horizontal="right" vertical="center"/>
    </xf>
    <xf numFmtId="9" fontId="23" fillId="5" borderId="13" xfId="1" applyFont="1" applyFill="1" applyBorder="1" applyAlignment="1">
      <alignment horizontal="right" vertical="center"/>
    </xf>
    <xf numFmtId="9" fontId="23" fillId="5" borderId="37" xfId="1" applyFont="1" applyFill="1" applyBorder="1" applyAlignment="1">
      <alignment horizontal="right" vertical="center"/>
    </xf>
    <xf numFmtId="9" fontId="23" fillId="5" borderId="39" xfId="1" applyFont="1" applyFill="1" applyBorder="1" applyAlignment="1">
      <alignment horizontal="right" vertical="center"/>
    </xf>
    <xf numFmtId="9" fontId="23" fillId="5" borderId="40" xfId="1" applyFont="1" applyFill="1" applyBorder="1" applyAlignment="1">
      <alignment horizontal="right" vertical="center"/>
    </xf>
    <xf numFmtId="9" fontId="23" fillId="5" borderId="41" xfId="1" applyFont="1" applyFill="1" applyBorder="1" applyAlignment="1">
      <alignment horizontal="right" vertical="center"/>
    </xf>
    <xf numFmtId="169" fontId="31" fillId="5" borderId="45" xfId="2" applyNumberFormat="1" applyFont="1" applyFill="1" applyBorder="1" applyAlignment="1">
      <alignment horizontal="right"/>
    </xf>
    <xf numFmtId="169" fontId="0" fillId="0" borderId="30" xfId="0" applyNumberFormat="1" applyBorder="1"/>
    <xf numFmtId="169" fontId="0" fillId="0" borderId="0" xfId="0" applyNumberFormat="1" applyBorder="1"/>
    <xf numFmtId="169" fontId="0" fillId="0" borderId="44" xfId="0" applyNumberFormat="1" applyBorder="1"/>
    <xf numFmtId="171" fontId="23" fillId="5" borderId="39" xfId="2" applyNumberFormat="1" applyFont="1" applyFill="1" applyBorder="1"/>
    <xf numFmtId="171" fontId="23" fillId="5" borderId="40" xfId="2" applyNumberFormat="1" applyFont="1" applyFill="1" applyBorder="1"/>
    <xf numFmtId="171" fontId="23" fillId="5" borderId="41" xfId="2" applyNumberFormat="1" applyFont="1" applyFill="1" applyBorder="1"/>
    <xf numFmtId="187" fontId="23" fillId="19" borderId="10" xfId="2" applyNumberFormat="1" applyFont="1" applyFill="1" applyBorder="1" applyAlignment="1" applyProtection="1">
      <alignment horizontal="center" vertical="center"/>
    </xf>
    <xf numFmtId="187" fontId="16" fillId="0" borderId="0" xfId="2" applyNumberFormat="1" applyFont="1" applyBorder="1" applyAlignment="1">
      <alignment vertical="center"/>
    </xf>
    <xf numFmtId="171" fontId="31" fillId="18" borderId="40" xfId="2" applyNumberFormat="1" applyFont="1" applyFill="1" applyBorder="1" applyAlignment="1">
      <alignment horizontal="left" vertical="top"/>
    </xf>
    <xf numFmtId="2" fontId="0" fillId="0" borderId="13" xfId="4" applyNumberFormat="1" applyFont="1" applyBorder="1" applyAlignment="1">
      <alignment horizontal="left" vertical="top" wrapText="1"/>
    </xf>
    <xf numFmtId="0" fontId="31" fillId="0" borderId="21" xfId="12" applyFont="1" applyBorder="1" applyAlignment="1">
      <alignment horizontal="center" vertical="center"/>
    </xf>
    <xf numFmtId="169" fontId="23" fillId="5" borderId="10" xfId="2" applyNumberFormat="1" applyFont="1" applyFill="1" applyBorder="1" applyAlignment="1">
      <alignment horizontal="right" vertical="center"/>
    </xf>
    <xf numFmtId="169" fontId="23" fillId="17" borderId="10" xfId="2" applyNumberFormat="1" applyFont="1" applyFill="1" applyBorder="1" applyAlignment="1">
      <alignment horizontal="right" vertical="center"/>
    </xf>
    <xf numFmtId="169" fontId="23" fillId="19" borderId="10" xfId="2" applyNumberFormat="1" applyFont="1" applyFill="1" applyBorder="1" applyAlignment="1">
      <alignment horizontal="right" vertical="center"/>
    </xf>
    <xf numFmtId="169" fontId="23" fillId="17" borderId="45" xfId="2" applyNumberFormat="1" applyFont="1" applyFill="1" applyBorder="1" applyAlignment="1">
      <alignment horizontal="right" vertical="center"/>
    </xf>
    <xf numFmtId="0" fontId="16" fillId="0" borderId="0" xfId="2" applyFont="1" applyFill="1" applyBorder="1" applyAlignment="1">
      <alignment vertical="center"/>
    </xf>
    <xf numFmtId="187" fontId="23" fillId="0" borderId="0" xfId="2" applyNumberFormat="1" applyFont="1" applyFill="1" applyBorder="1" applyAlignment="1" applyProtection="1">
      <alignment horizontal="center" vertical="center"/>
    </xf>
    <xf numFmtId="0" fontId="31" fillId="0" borderId="75" xfId="24" applyFont="1" applyBorder="1" applyAlignment="1">
      <alignment horizontal="center" vertical="center"/>
    </xf>
    <xf numFmtId="0" fontId="32" fillId="15" borderId="42" xfId="24" applyFont="1" applyFill="1" applyBorder="1" applyAlignment="1">
      <alignment horizontal="centerContinuous" vertical="center"/>
    </xf>
    <xf numFmtId="0" fontId="32" fillId="15" borderId="43" xfId="24" applyFont="1" applyFill="1" applyBorder="1" applyAlignment="1">
      <alignment horizontal="centerContinuous" vertical="center"/>
    </xf>
    <xf numFmtId="0" fontId="32" fillId="16" borderId="42" xfId="24" applyFont="1" applyFill="1" applyBorder="1" applyAlignment="1">
      <alignment horizontal="centerContinuous" vertical="center"/>
    </xf>
    <xf numFmtId="0" fontId="32" fillId="16" borderId="27" xfId="24" applyFont="1" applyFill="1" applyBorder="1" applyAlignment="1">
      <alignment horizontal="centerContinuous" vertical="center"/>
    </xf>
    <xf numFmtId="0" fontId="32" fillId="16" borderId="43" xfId="24" applyFont="1" applyFill="1" applyBorder="1" applyAlignment="1">
      <alignment horizontal="centerContinuous" vertical="center"/>
    </xf>
    <xf numFmtId="0" fontId="0" fillId="0" borderId="0" xfId="0" applyAlignment="1">
      <alignment vertical="center"/>
    </xf>
    <xf numFmtId="0" fontId="31" fillId="0" borderId="37" xfId="24" applyFont="1" applyBorder="1" applyAlignment="1">
      <alignment horizontal="left" vertical="center"/>
    </xf>
    <xf numFmtId="0" fontId="23" fillId="0" borderId="30" xfId="2" applyFont="1" applyFill="1" applyBorder="1" applyAlignment="1" applyProtection="1">
      <alignment horizontal="center"/>
    </xf>
    <xf numFmtId="0" fontId="23" fillId="0" borderId="0" xfId="2" applyFont="1" applyFill="1" applyBorder="1" applyAlignment="1" applyProtection="1">
      <alignment horizontal="left"/>
    </xf>
    <xf numFmtId="0" fontId="23" fillId="0" borderId="44" xfId="2" applyFont="1" applyFill="1" applyBorder="1" applyAlignment="1" applyProtection="1">
      <alignment horizontal="left"/>
    </xf>
    <xf numFmtId="169" fontId="23" fillId="18" borderId="12" xfId="2" applyNumberFormat="1" applyFont="1" applyFill="1" applyBorder="1" applyAlignment="1">
      <alignment horizontal="left"/>
    </xf>
    <xf numFmtId="169" fontId="23" fillId="18" borderId="53" xfId="2" applyNumberFormat="1" applyFont="1" applyFill="1" applyBorder="1" applyAlignment="1">
      <alignment horizontal="left"/>
    </xf>
    <xf numFmtId="0" fontId="23" fillId="13" borderId="38" xfId="14" applyFont="1" applyFill="1" applyBorder="1" applyAlignment="1">
      <alignment vertical="center"/>
    </xf>
    <xf numFmtId="0" fontId="23" fillId="13" borderId="49" xfId="14" applyFont="1" applyFill="1" applyBorder="1" applyAlignment="1">
      <alignment vertical="center"/>
    </xf>
    <xf numFmtId="0" fontId="0" fillId="0" borderId="77" xfId="0" applyBorder="1"/>
    <xf numFmtId="0" fontId="31" fillId="0" borderId="61" xfId="24" applyFont="1" applyBorder="1" applyAlignment="1">
      <alignment horizontal="left" vertical="center"/>
    </xf>
    <xf numFmtId="0" fontId="23" fillId="0" borderId="77" xfId="2" applyFont="1" applyFill="1" applyBorder="1" applyAlignment="1" applyProtection="1">
      <alignment horizontal="left"/>
    </xf>
    <xf numFmtId="169" fontId="23" fillId="18" borderId="61" xfId="2" applyNumberFormat="1" applyFont="1" applyFill="1" applyBorder="1" applyAlignment="1">
      <alignment horizontal="left"/>
    </xf>
    <xf numFmtId="0" fontId="23" fillId="13" borderId="77" xfId="14" applyFont="1" applyFill="1" applyBorder="1" applyAlignment="1">
      <alignment vertical="center"/>
    </xf>
    <xf numFmtId="0" fontId="23" fillId="13" borderId="66" xfId="14" applyFont="1" applyFill="1" applyBorder="1" applyAlignment="1">
      <alignment vertical="center"/>
    </xf>
    <xf numFmtId="0" fontId="32" fillId="16" borderId="22" xfId="24" applyFont="1" applyFill="1" applyBorder="1" applyAlignment="1">
      <alignment horizontal="centerContinuous" vertical="center"/>
    </xf>
    <xf numFmtId="0" fontId="32" fillId="16" borderId="86" xfId="24" applyFont="1" applyFill="1" applyBorder="1" applyAlignment="1">
      <alignment horizontal="centerContinuous" vertical="center"/>
    </xf>
    <xf numFmtId="0" fontId="36" fillId="13" borderId="30" xfId="14" applyFont="1" applyFill="1" applyBorder="1" applyAlignment="1">
      <alignment vertical="center"/>
    </xf>
    <xf numFmtId="0" fontId="32" fillId="16" borderId="0" xfId="24" applyFont="1" applyFill="1" applyBorder="1" applyAlignment="1">
      <alignment horizontal="centerContinuous" vertical="center"/>
    </xf>
    <xf numFmtId="0" fontId="32" fillId="16" borderId="44" xfId="24" applyFont="1" applyFill="1" applyBorder="1" applyAlignment="1">
      <alignment horizontal="centerContinuous" vertical="center"/>
    </xf>
    <xf numFmtId="0" fontId="31" fillId="0" borderId="36" xfId="24" applyFont="1" applyBorder="1" applyAlignment="1">
      <alignment horizontal="center" vertical="center"/>
    </xf>
    <xf numFmtId="0" fontId="31" fillId="0" borderId="13" xfId="24" applyFont="1" applyBorder="1" applyAlignment="1">
      <alignment horizontal="center" vertical="center" wrapText="1"/>
    </xf>
    <xf numFmtId="169" fontId="23" fillId="18" borderId="37" xfId="2" applyNumberFormat="1" applyFont="1" applyFill="1" applyBorder="1" applyAlignment="1">
      <alignment horizontal="left"/>
    </xf>
    <xf numFmtId="0" fontId="31" fillId="0" borderId="44" xfId="12" applyFont="1" applyBorder="1" applyAlignment="1">
      <alignment horizontal="left" vertical="center"/>
    </xf>
    <xf numFmtId="169" fontId="23" fillId="17" borderId="62" xfId="2" applyNumberFormat="1" applyFont="1" applyFill="1" applyBorder="1" applyAlignment="1">
      <alignment horizontal="right"/>
    </xf>
    <xf numFmtId="0" fontId="31" fillId="11" borderId="10" xfId="18" applyFont="1" applyFill="1" applyBorder="1" applyAlignment="1">
      <alignment horizontal="center" vertical="center" wrapText="1"/>
    </xf>
    <xf numFmtId="169" fontId="23" fillId="18" borderId="10" xfId="2" applyNumberFormat="1" applyFont="1" applyFill="1" applyBorder="1" applyAlignment="1"/>
    <xf numFmtId="0" fontId="31" fillId="11" borderId="36" xfId="18" applyFont="1" applyFill="1" applyBorder="1" applyAlignment="1">
      <alignment horizontal="center" vertical="center"/>
    </xf>
    <xf numFmtId="9" fontId="23" fillId="18" borderId="36" xfId="2" applyNumberFormat="1" applyFont="1" applyFill="1" applyBorder="1" applyAlignment="1"/>
    <xf numFmtId="0" fontId="23" fillId="13" borderId="38" xfId="14" applyFont="1" applyFill="1" applyBorder="1" applyAlignment="1"/>
    <xf numFmtId="181" fontId="89" fillId="22" borderId="0" xfId="0" applyNumberFormat="1" applyFont="1" applyFill="1" applyAlignment="1">
      <alignment vertical="center"/>
    </xf>
    <xf numFmtId="181" fontId="89" fillId="22" borderId="87" xfId="0" applyNumberFormat="1" applyFont="1" applyFill="1" applyBorder="1" applyAlignment="1">
      <alignment vertical="center"/>
    </xf>
    <xf numFmtId="181" fontId="89" fillId="0" borderId="0" xfId="0" applyNumberFormat="1" applyFont="1" applyAlignment="1">
      <alignment vertical="center"/>
    </xf>
    <xf numFmtId="181" fontId="89" fillId="0" borderId="87" xfId="0" applyNumberFormat="1" applyFont="1" applyBorder="1" applyAlignment="1">
      <alignment vertical="center"/>
    </xf>
    <xf numFmtId="181" fontId="89" fillId="22" borderId="88" xfId="0" applyNumberFormat="1" applyFont="1" applyFill="1" applyBorder="1" applyAlignment="1">
      <alignment vertical="center"/>
    </xf>
    <xf numFmtId="181" fontId="66" fillId="17" borderId="13" xfId="5" applyNumberFormat="1" applyFont="1" applyFill="1" applyBorder="1" applyAlignment="1" applyProtection="1">
      <alignment vertical="center"/>
      <protection locked="0"/>
    </xf>
    <xf numFmtId="0" fontId="17" fillId="0" borderId="0" xfId="34" applyFont="1" applyBorder="1"/>
    <xf numFmtId="0" fontId="25" fillId="0" borderId="0" xfId="34" applyFont="1" applyBorder="1"/>
    <xf numFmtId="17" fontId="17" fillId="0" borderId="0" xfId="34" applyNumberFormat="1" applyFont="1" applyFill="1" applyBorder="1" applyAlignment="1">
      <alignment horizontal="center"/>
    </xf>
    <xf numFmtId="0" fontId="0" fillId="0" borderId="0" xfId="31" applyFont="1" applyBorder="1"/>
    <xf numFmtId="0" fontId="3" fillId="0" borderId="0" xfId="31" applyBorder="1"/>
    <xf numFmtId="0" fontId="0" fillId="0" borderId="13" xfId="31" applyFont="1" applyBorder="1"/>
    <xf numFmtId="10" fontId="17" fillId="0" borderId="13" xfId="1" applyNumberFormat="1" applyFont="1" applyFill="1" applyBorder="1" applyAlignment="1">
      <alignment horizontal="center"/>
    </xf>
    <xf numFmtId="10" fontId="3" fillId="0" borderId="13" xfId="1" applyNumberFormat="1" applyFont="1" applyBorder="1"/>
    <xf numFmtId="2" fontId="3" fillId="0" borderId="0" xfId="31" applyNumberFormat="1" applyBorder="1"/>
    <xf numFmtId="180" fontId="17" fillId="0" borderId="13" xfId="33" applyNumberFormat="1" applyFont="1" applyFill="1" applyBorder="1" applyAlignment="1" applyProtection="1">
      <alignment vertical="center"/>
      <protection locked="0"/>
    </xf>
    <xf numFmtId="174" fontId="25" fillId="0" borderId="13" xfId="35" applyFont="1" applyBorder="1"/>
    <xf numFmtId="0" fontId="0" fillId="0" borderId="13" xfId="0" applyBorder="1"/>
    <xf numFmtId="0" fontId="3" fillId="0" borderId="13" xfId="31" applyBorder="1"/>
    <xf numFmtId="14" fontId="17" fillId="0" borderId="13" xfId="35" applyNumberFormat="1" applyFont="1" applyBorder="1"/>
    <xf numFmtId="165" fontId="0" fillId="0" borderId="13" xfId="0" applyNumberFormat="1" applyBorder="1" applyAlignment="1">
      <alignment horizontal="right"/>
    </xf>
    <xf numFmtId="165" fontId="0" fillId="0" borderId="13" xfId="0" applyNumberFormat="1" applyBorder="1"/>
    <xf numFmtId="9" fontId="3" fillId="0" borderId="0" xfId="31" applyNumberFormat="1"/>
    <xf numFmtId="165" fontId="17" fillId="7" borderId="13" xfId="33" applyNumberFormat="1" applyFont="1" applyFill="1" applyBorder="1" applyAlignment="1" applyProtection="1">
      <alignment vertical="center"/>
      <protection locked="0"/>
    </xf>
    <xf numFmtId="14" fontId="17" fillId="0" borderId="0" xfId="35" applyNumberFormat="1" applyFont="1" applyBorder="1"/>
    <xf numFmtId="181" fontId="89" fillId="7" borderId="13" xfId="5" applyNumberFormat="1" applyFont="1" applyFill="1" applyBorder="1" applyAlignment="1" applyProtection="1">
      <alignment vertical="center"/>
      <protection locked="0"/>
    </xf>
    <xf numFmtId="181" fontId="66" fillId="27" borderId="13" xfId="5" applyNumberFormat="1" applyFont="1" applyFill="1" applyBorder="1" applyAlignment="1" applyProtection="1">
      <alignment vertical="center"/>
      <protection locked="0"/>
    </xf>
    <xf numFmtId="181" fontId="66" fillId="7" borderId="13" xfId="5" applyNumberFormat="1" applyFont="1" applyFill="1" applyBorder="1" applyAlignment="1" applyProtection="1">
      <alignment vertical="center"/>
      <protection locked="0"/>
    </xf>
    <xf numFmtId="174" fontId="0" fillId="0" borderId="0" xfId="33" applyFont="1" applyFill="1" applyProtection="1">
      <protection locked="0"/>
    </xf>
    <xf numFmtId="165" fontId="66" fillId="7" borderId="13" xfId="5" applyNumberFormat="1" applyFont="1" applyFill="1" applyBorder="1" applyAlignment="1" applyProtection="1">
      <alignment vertical="center"/>
      <protection locked="0"/>
    </xf>
    <xf numFmtId="165" fontId="66" fillId="27" borderId="13" xfId="5" applyNumberFormat="1" applyFont="1" applyFill="1" applyBorder="1" applyAlignment="1" applyProtection="1">
      <alignment vertical="center"/>
      <protection locked="0"/>
    </xf>
    <xf numFmtId="188" fontId="66" fillId="19" borderId="13" xfId="5" applyNumberFormat="1" applyFont="1" applyFill="1" applyBorder="1" applyAlignment="1" applyProtection="1">
      <alignment vertical="center"/>
      <protection locked="0"/>
    </xf>
    <xf numFmtId="181" fontId="66" fillId="27" borderId="13" xfId="33" applyNumberFormat="1" applyFont="1" applyFill="1" applyBorder="1" applyAlignment="1" applyProtection="1">
      <alignment vertical="center"/>
      <protection locked="0"/>
    </xf>
    <xf numFmtId="181" fontId="66" fillId="7" borderId="17" xfId="33" applyNumberFormat="1" applyFont="1" applyFill="1" applyBorder="1" applyAlignment="1" applyProtection="1">
      <alignment vertical="center"/>
      <protection locked="0"/>
    </xf>
    <xf numFmtId="182" fontId="66" fillId="27" borderId="13" xfId="5" applyNumberFormat="1" applyFont="1" applyFill="1" applyBorder="1" applyAlignment="1" applyProtection="1">
      <alignment vertical="center"/>
      <protection locked="0"/>
    </xf>
    <xf numFmtId="182" fontId="66" fillId="27" borderId="10" xfId="5" applyNumberFormat="1" applyFont="1" applyFill="1" applyBorder="1" applyAlignment="1" applyProtection="1">
      <alignment vertical="center"/>
      <protection locked="0"/>
    </xf>
    <xf numFmtId="182" fontId="66" fillId="7" borderId="65" xfId="5" applyNumberFormat="1" applyFont="1" applyFill="1" applyBorder="1" applyAlignment="1" applyProtection="1">
      <alignment vertical="center"/>
      <protection locked="0"/>
    </xf>
    <xf numFmtId="181" fontId="66" fillId="19" borderId="24" xfId="5" applyNumberFormat="1" applyFont="1" applyFill="1" applyBorder="1" applyAlignment="1" applyProtection="1">
      <alignment vertical="center"/>
      <protection locked="0"/>
    </xf>
    <xf numFmtId="182" fontId="66" fillId="28" borderId="13" xfId="5" applyNumberFormat="1" applyFont="1" applyFill="1" applyBorder="1" applyAlignment="1" applyProtection="1">
      <alignment vertical="center"/>
      <protection locked="0"/>
    </xf>
    <xf numFmtId="180" fontId="66" fillId="7" borderId="13" xfId="33" applyNumberFormat="1" applyFont="1" applyFill="1" applyBorder="1" applyAlignment="1" applyProtection="1">
      <alignment vertical="center"/>
      <protection locked="0"/>
    </xf>
    <xf numFmtId="180" fontId="66" fillId="7" borderId="17" xfId="33" applyNumberFormat="1" applyFont="1" applyFill="1" applyBorder="1" applyAlignment="1" applyProtection="1">
      <alignment vertical="center"/>
      <protection locked="0"/>
    </xf>
    <xf numFmtId="0" fontId="0" fillId="0" borderId="0" xfId="45" applyFont="1" applyFill="1"/>
    <xf numFmtId="0" fontId="25" fillId="0" borderId="0" xfId="50" applyFont="1" applyFill="1" applyBorder="1" applyAlignment="1">
      <alignment vertical="center"/>
    </xf>
    <xf numFmtId="0" fontId="17" fillId="19" borderId="0" xfId="50" applyFont="1" applyFill="1" applyBorder="1" applyAlignment="1">
      <alignment vertical="center" wrapText="1"/>
    </xf>
    <xf numFmtId="0" fontId="58" fillId="0" borderId="0" xfId="45" applyFont="1" applyFill="1"/>
    <xf numFmtId="174" fontId="17" fillId="0" borderId="0" xfId="33" applyFont="1" applyFill="1" applyProtection="1">
      <protection locked="0"/>
    </xf>
    <xf numFmtId="0" fontId="17" fillId="0" borderId="89" xfId="50" applyFont="1" applyFill="1" applyBorder="1" applyAlignment="1">
      <alignment horizontal="left" vertical="center"/>
    </xf>
    <xf numFmtId="10" fontId="66" fillId="7" borderId="13" xfId="5" applyNumberFormat="1" applyFont="1" applyFill="1" applyBorder="1" applyAlignment="1" applyProtection="1">
      <alignment vertical="center"/>
      <protection locked="0"/>
    </xf>
    <xf numFmtId="0" fontId="25" fillId="19" borderId="0" xfId="50" applyFont="1" applyFill="1" applyBorder="1" applyAlignment="1">
      <alignment vertical="center" wrapText="1"/>
    </xf>
    <xf numFmtId="0" fontId="17" fillId="0" borderId="0" xfId="50" applyFont="1" applyFill="1" applyBorder="1" applyAlignment="1">
      <alignment vertical="center" wrapText="1"/>
    </xf>
    <xf numFmtId="0" fontId="25" fillId="0" borderId="0" xfId="50" applyFont="1" applyFill="1" applyBorder="1" applyAlignment="1">
      <alignment vertical="center" wrapText="1"/>
    </xf>
    <xf numFmtId="0" fontId="73" fillId="20" borderId="13" xfId="46" applyFont="1" applyFill="1" applyBorder="1"/>
    <xf numFmtId="0" fontId="90" fillId="0" borderId="0" xfId="51" applyFont="1"/>
    <xf numFmtId="181" fontId="66" fillId="19" borderId="13" xfId="51" applyNumberFormat="1" applyFont="1" applyFill="1" applyBorder="1" applyAlignment="1" applyProtection="1">
      <alignment vertical="center"/>
      <protection locked="0"/>
    </xf>
    <xf numFmtId="181" fontId="66" fillId="0" borderId="0" xfId="51" applyNumberFormat="1" applyFont="1" applyFill="1" applyBorder="1" applyAlignment="1" applyProtection="1">
      <alignment vertical="center"/>
      <protection locked="0"/>
    </xf>
    <xf numFmtId="0" fontId="4" fillId="0" borderId="0" xfId="51" applyFill="1"/>
    <xf numFmtId="0" fontId="4" fillId="0" borderId="0" xfId="51"/>
    <xf numFmtId="10" fontId="66" fillId="7" borderId="13" xfId="51" applyNumberFormat="1" applyFont="1" applyFill="1" applyBorder="1" applyAlignment="1" applyProtection="1">
      <alignment vertical="center"/>
      <protection locked="0"/>
    </xf>
    <xf numFmtId="0" fontId="0" fillId="0" borderId="0" xfId="0" applyFill="1"/>
    <xf numFmtId="0" fontId="5" fillId="2" borderId="68" xfId="3" applyFont="1" applyFill="1" applyBorder="1" applyAlignment="1">
      <alignment horizontal="left" vertical="center"/>
    </xf>
    <xf numFmtId="174" fontId="13" fillId="2" borderId="68" xfId="36" applyFont="1" applyFill="1" applyBorder="1" applyAlignment="1" applyProtection="1">
      <alignment horizontal="left" vertical="center"/>
      <protection locked="0"/>
    </xf>
    <xf numFmtId="174" fontId="62" fillId="2" borderId="68" xfId="36" applyFont="1" applyFill="1" applyBorder="1" applyAlignment="1" applyProtection="1">
      <alignment horizontal="left" vertical="center"/>
      <protection locked="0"/>
    </xf>
    <xf numFmtId="0" fontId="46" fillId="12" borderId="0" xfId="52" applyFont="1" applyFill="1" applyBorder="1" applyAlignment="1" applyProtection="1">
      <alignment horizontal="left"/>
    </xf>
    <xf numFmtId="0" fontId="46" fillId="12" borderId="0" xfId="52" applyFont="1" applyFill="1" applyBorder="1" applyAlignment="1" applyProtection="1">
      <alignment horizontal="left" indent="1"/>
      <protection locked="0"/>
    </xf>
    <xf numFmtId="0" fontId="91" fillId="12" borderId="0" xfId="53" applyFont="1" applyFill="1" applyAlignment="1" applyProtection="1">
      <protection locked="0"/>
    </xf>
    <xf numFmtId="0" fontId="92" fillId="12" borderId="0" xfId="53" applyFont="1" applyFill="1" applyAlignment="1" applyProtection="1">
      <protection locked="0"/>
    </xf>
    <xf numFmtId="0" fontId="46" fillId="12" borderId="0" xfId="53" applyFont="1" applyFill="1" applyBorder="1" applyAlignment="1" applyProtection="1">
      <alignment horizontal="left"/>
      <protection locked="0"/>
    </xf>
    <xf numFmtId="0" fontId="91" fillId="12" borderId="0" xfId="53" applyFont="1" applyFill="1" applyBorder="1" applyAlignment="1" applyProtection="1">
      <protection locked="0"/>
    </xf>
    <xf numFmtId="0" fontId="91" fillId="0" borderId="0" xfId="53" applyFont="1" applyFill="1" applyBorder="1" applyAlignment="1" applyProtection="1">
      <protection locked="0"/>
    </xf>
    <xf numFmtId="0" fontId="91" fillId="12" borderId="0" xfId="53" applyFont="1" applyFill="1" applyProtection="1">
      <protection locked="0"/>
    </xf>
    <xf numFmtId="181" fontId="66" fillId="0" borderId="0" xfId="0" applyNumberFormat="1" applyFont="1" applyAlignment="1">
      <alignment vertical="center"/>
    </xf>
    <xf numFmtId="181" fontId="66" fillId="29" borderId="0" xfId="54" applyFont="1" applyAlignment="1">
      <alignment horizontal="left" vertical="center" indent="1"/>
    </xf>
    <xf numFmtId="181" fontId="66" fillId="29" borderId="0" xfId="54" applyFont="1">
      <alignment vertical="center"/>
    </xf>
    <xf numFmtId="181" fontId="66" fillId="12" borderId="0" xfId="54" applyFont="1" applyFill="1">
      <alignment vertical="center"/>
    </xf>
    <xf numFmtId="181" fontId="66" fillId="12" borderId="0" xfId="0" applyNumberFormat="1" applyFont="1" applyFill="1" applyAlignment="1">
      <alignment vertical="center"/>
    </xf>
    <xf numFmtId="181" fontId="66" fillId="0" borderId="0" xfId="0" applyNumberFormat="1" applyFont="1" applyFill="1" applyAlignment="1">
      <alignment vertical="center"/>
    </xf>
    <xf numFmtId="181" fontId="66" fillId="0" borderId="0" xfId="54" applyFont="1" applyFill="1" applyAlignment="1">
      <alignment horizontal="left" vertical="center" indent="1"/>
    </xf>
    <xf numFmtId="181" fontId="66" fillId="0" borderId="0" xfId="54" applyFont="1" applyFill="1">
      <alignment vertical="center"/>
    </xf>
    <xf numFmtId="0" fontId="46" fillId="12" borderId="0" xfId="52" applyFont="1" applyFill="1" applyBorder="1" applyAlignment="1" applyProtection="1">
      <alignment horizontal="left"/>
      <protection locked="0"/>
    </xf>
    <xf numFmtId="0" fontId="17" fillId="0" borderId="0" xfId="50" applyFont="1"/>
    <xf numFmtId="0" fontId="94" fillId="0" borderId="0" xfId="50" applyFont="1" applyAlignment="1">
      <alignment horizontal="left" indent="1"/>
    </xf>
    <xf numFmtId="0" fontId="25" fillId="0" borderId="0" xfId="50" applyFont="1" applyBorder="1"/>
    <xf numFmtId="0" fontId="0" fillId="0" borderId="10" xfId="0" applyFont="1" applyBorder="1" applyAlignment="1">
      <alignment horizontal="center" vertical="top"/>
    </xf>
    <xf numFmtId="0" fontId="0" fillId="0" borderId="11" xfId="0" applyFont="1" applyBorder="1" applyAlignment="1">
      <alignment horizontal="center" vertical="top"/>
    </xf>
    <xf numFmtId="0" fontId="0" fillId="0" borderId="91" xfId="0" applyFont="1" applyBorder="1" applyAlignment="1">
      <alignment horizontal="center" vertical="top"/>
    </xf>
    <xf numFmtId="0" fontId="0" fillId="0" borderId="12" xfId="0" applyFont="1" applyBorder="1" applyAlignment="1">
      <alignment horizontal="center" vertical="top"/>
    </xf>
    <xf numFmtId="0" fontId="17" fillId="0" borderId="0" xfId="50" applyFont="1" applyBorder="1"/>
    <xf numFmtId="0" fontId="17" fillId="0" borderId="0" xfId="50" applyFont="1" applyBorder="1" applyAlignment="1">
      <alignment horizontal="left" indent="1"/>
    </xf>
    <xf numFmtId="0" fontId="17" fillId="0" borderId="0" xfId="55" applyFont="1" applyBorder="1" applyAlignment="1" applyProtection="1">
      <alignment horizontal="right" indent="1"/>
    </xf>
    <xf numFmtId="1" fontId="58" fillId="22" borderId="92" xfId="0" applyNumberFormat="1" applyFont="1" applyFill="1" applyBorder="1" applyAlignment="1">
      <alignment horizontal="center" vertical="center"/>
    </xf>
    <xf numFmtId="1" fontId="58" fillId="22" borderId="93" xfId="0" applyNumberFormat="1" applyFont="1" applyFill="1" applyBorder="1" applyAlignment="1">
      <alignment horizontal="center" vertical="center"/>
    </xf>
    <xf numFmtId="1" fontId="58" fillId="22" borderId="94" xfId="0" applyNumberFormat="1" applyFont="1" applyFill="1" applyBorder="1" applyAlignment="1">
      <alignment horizontal="center" vertical="center"/>
    </xf>
    <xf numFmtId="1" fontId="58" fillId="22" borderId="91" xfId="0" applyNumberFormat="1" applyFont="1" applyFill="1" applyBorder="1" applyAlignment="1">
      <alignment horizontal="center" vertical="center"/>
    </xf>
    <xf numFmtId="1" fontId="58" fillId="22" borderId="95" xfId="0" applyNumberFormat="1" applyFont="1" applyFill="1" applyBorder="1" applyAlignment="1">
      <alignment horizontal="center" vertical="center"/>
    </xf>
    <xf numFmtId="0" fontId="17" fillId="0" borderId="0" xfId="50" applyFont="1" applyProtection="1"/>
    <xf numFmtId="0" fontId="17" fillId="0" borderId="96" xfId="50" applyFont="1" applyBorder="1"/>
    <xf numFmtId="0" fontId="25" fillId="0" borderId="0" xfId="50" applyFont="1" applyBorder="1" applyAlignment="1" applyProtection="1">
      <alignment horizontal="left" indent="1"/>
    </xf>
    <xf numFmtId="0" fontId="25" fillId="0" borderId="0" xfId="50" applyFont="1" applyFill="1" applyBorder="1" applyProtection="1"/>
    <xf numFmtId="0" fontId="17" fillId="0" borderId="0" xfId="50" applyFont="1" applyFill="1"/>
    <xf numFmtId="0" fontId="17" fillId="0" borderId="0" xfId="50" applyFont="1" applyFill="1" applyBorder="1" applyAlignment="1" applyProtection="1">
      <alignment horizontal="center"/>
    </xf>
    <xf numFmtId="0" fontId="17" fillId="0" borderId="96" xfId="50" applyFont="1" applyFill="1" applyBorder="1" applyAlignment="1" applyProtection="1">
      <alignment horizontal="center"/>
    </xf>
    <xf numFmtId="0" fontId="17" fillId="0" borderId="0" xfId="50" applyFont="1" applyBorder="1" applyProtection="1"/>
    <xf numFmtId="0" fontId="17" fillId="0" borderId="0" xfId="50" applyFont="1" applyFill="1" applyBorder="1" applyProtection="1"/>
    <xf numFmtId="0" fontId="17" fillId="0" borderId="0" xfId="38" applyFont="1" applyFill="1" applyBorder="1"/>
    <xf numFmtId="0" fontId="17" fillId="0" borderId="0" xfId="50" applyFont="1" applyFill="1" applyBorder="1"/>
    <xf numFmtId="0" fontId="17" fillId="0" borderId="97" xfId="50" applyFont="1" applyFill="1" applyBorder="1" applyAlignment="1" applyProtection="1">
      <alignment horizontal="center"/>
    </xf>
    <xf numFmtId="0" fontId="17" fillId="0" borderId="98" xfId="50" applyFont="1" applyFill="1" applyBorder="1" applyAlignment="1" applyProtection="1">
      <alignment horizontal="center"/>
    </xf>
    <xf numFmtId="0" fontId="17" fillId="0" borderId="99" xfId="50" applyFont="1" applyFill="1" applyBorder="1" applyAlignment="1" applyProtection="1">
      <alignment horizontal="center"/>
    </xf>
    <xf numFmtId="0" fontId="17" fillId="0" borderId="100" xfId="50" applyFont="1" applyFill="1" applyBorder="1" applyAlignment="1" applyProtection="1">
      <alignment horizontal="center"/>
    </xf>
    <xf numFmtId="0" fontId="17" fillId="0" borderId="101" xfId="50" applyFont="1" applyFill="1" applyBorder="1" applyAlignment="1" applyProtection="1">
      <alignment horizontal="center"/>
    </xf>
    <xf numFmtId="0" fontId="17" fillId="0" borderId="0" xfId="50" applyFont="1" applyAlignment="1">
      <alignment horizontal="left" indent="1"/>
    </xf>
    <xf numFmtId="189" fontId="3" fillId="19" borderId="102" xfId="56" applyNumberFormat="1" applyFill="1" applyBorder="1" applyAlignment="1" applyProtection="1">
      <alignment vertical="center"/>
      <protection locked="0"/>
    </xf>
    <xf numFmtId="189" fontId="3" fillId="19" borderId="103" xfId="56" applyNumberFormat="1" applyFill="1" applyBorder="1" applyAlignment="1" applyProtection="1">
      <alignment vertical="center"/>
      <protection locked="0"/>
    </xf>
    <xf numFmtId="189" fontId="3" fillId="19" borderId="104" xfId="56" applyNumberFormat="1" applyFill="1" applyBorder="1" applyAlignment="1" applyProtection="1">
      <alignment vertical="center"/>
      <protection locked="0"/>
    </xf>
    <xf numFmtId="189" fontId="3" fillId="19" borderId="105" xfId="56" applyNumberFormat="1" applyFill="1" applyBorder="1" applyAlignment="1" applyProtection="1">
      <alignment vertical="center"/>
      <protection locked="0"/>
    </xf>
    <xf numFmtId="189" fontId="3" fillId="19" borderId="106" xfId="56" applyNumberFormat="1" applyFill="1" applyBorder="1" applyAlignment="1" applyProtection="1">
      <alignment vertical="center"/>
      <protection locked="0"/>
    </xf>
    <xf numFmtId="181" fontId="17" fillId="19" borderId="0" xfId="0" applyNumberFormat="1" applyFont="1" applyFill="1" applyBorder="1" applyAlignment="1">
      <alignment vertical="center"/>
    </xf>
    <xf numFmtId="181" fontId="17" fillId="19" borderId="0" xfId="0" applyNumberFormat="1" applyFont="1" applyFill="1" applyBorder="1" applyAlignment="1">
      <alignment vertical="center" wrapText="1"/>
    </xf>
    <xf numFmtId="181" fontId="17" fillId="0" borderId="0" xfId="0" applyNumberFormat="1" applyFont="1" applyFill="1" applyBorder="1" applyAlignment="1">
      <alignment horizontal="left" vertical="center" wrapText="1"/>
    </xf>
    <xf numFmtId="0" fontId="17" fillId="0" borderId="13" xfId="50" applyFont="1" applyFill="1" applyBorder="1"/>
    <xf numFmtId="189" fontId="3" fillId="30" borderId="107" xfId="57" applyNumberFormat="1" applyBorder="1" applyProtection="1">
      <alignment vertical="center"/>
    </xf>
    <xf numFmtId="189" fontId="3" fillId="30" borderId="108" xfId="57" applyNumberFormat="1" applyBorder="1" applyProtection="1">
      <alignment vertical="center"/>
    </xf>
    <xf numFmtId="189" fontId="3" fillId="30" borderId="109" xfId="57" applyNumberFormat="1" applyBorder="1" applyProtection="1">
      <alignment vertical="center"/>
    </xf>
    <xf numFmtId="189" fontId="3" fillId="30" borderId="110" xfId="57" applyNumberFormat="1" applyBorder="1" applyProtection="1">
      <alignment vertical="center"/>
    </xf>
    <xf numFmtId="189" fontId="3" fillId="30" borderId="111" xfId="57" applyNumberFormat="1" applyBorder="1" applyProtection="1">
      <alignment vertical="center"/>
    </xf>
    <xf numFmtId="0" fontId="17" fillId="0" borderId="96" xfId="50" applyFont="1" applyBorder="1" applyProtection="1"/>
    <xf numFmtId="0" fontId="17" fillId="0" borderId="112" xfId="50" applyFont="1" applyBorder="1" applyAlignment="1">
      <alignment horizontal="center" vertical="center"/>
    </xf>
    <xf numFmtId="0" fontId="17" fillId="0" borderId="113" xfId="50" applyFont="1" applyBorder="1" applyAlignment="1">
      <alignment horizontal="center" vertical="center"/>
    </xf>
    <xf numFmtId="0" fontId="17" fillId="0" borderId="114" xfId="50" applyFont="1" applyFill="1" applyBorder="1" applyAlignment="1">
      <alignment horizontal="center"/>
    </xf>
    <xf numFmtId="0" fontId="17" fillId="0" borderId="114" xfId="50" applyFont="1" applyFill="1" applyBorder="1" applyAlignment="1">
      <alignment horizontal="center" wrapText="1"/>
    </xf>
    <xf numFmtId="0" fontId="17" fillId="0" borderId="115" xfId="50" applyFont="1" applyFill="1" applyBorder="1" applyAlignment="1">
      <alignment horizontal="center" wrapText="1"/>
    </xf>
    <xf numFmtId="0" fontId="17" fillId="0" borderId="0" xfId="50" applyFont="1" applyBorder="1" applyAlignment="1" applyProtection="1">
      <alignment horizontal="center" vertical="center"/>
    </xf>
    <xf numFmtId="0" fontId="17" fillId="0" borderId="96" xfId="50" applyFont="1" applyBorder="1" applyAlignment="1" applyProtection="1">
      <alignment horizontal="center" vertical="center"/>
    </xf>
    <xf numFmtId="0" fontId="17" fillId="0" borderId="0" xfId="50" applyFont="1" applyAlignment="1">
      <alignment horizontal="center" vertical="center"/>
    </xf>
    <xf numFmtId="0" fontId="17" fillId="0" borderId="116" xfId="50" applyFont="1" applyBorder="1" applyAlignment="1">
      <alignment horizontal="left" indent="1"/>
    </xf>
    <xf numFmtId="0" fontId="17" fillId="0" borderId="117" xfId="50" applyFont="1" applyBorder="1" applyAlignment="1">
      <alignment horizontal="left" indent="1"/>
    </xf>
    <xf numFmtId="0" fontId="17" fillId="0" borderId="118" xfId="50" applyFont="1" applyFill="1" applyBorder="1" applyAlignment="1">
      <alignment horizontal="center" vertical="top"/>
    </xf>
    <xf numFmtId="0" fontId="17" fillId="0" borderId="118" xfId="50" applyFont="1" applyFill="1" applyBorder="1" applyAlignment="1">
      <alignment vertical="top"/>
    </xf>
    <xf numFmtId="0" fontId="17" fillId="0" borderId="118" xfId="50" applyFont="1" applyBorder="1" applyAlignment="1">
      <alignment horizontal="center" vertical="top"/>
    </xf>
    <xf numFmtId="0" fontId="17" fillId="0" borderId="118" xfId="50" applyFont="1" applyFill="1" applyBorder="1" applyAlignment="1">
      <alignment vertical="top" wrapText="1"/>
    </xf>
    <xf numFmtId="0" fontId="17" fillId="0" borderId="118" xfId="50" applyFont="1" applyFill="1" applyBorder="1" applyAlignment="1">
      <alignment horizontal="center" vertical="top" wrapText="1"/>
    </xf>
    <xf numFmtId="0" fontId="17" fillId="0" borderId="119" xfId="50" applyFont="1" applyFill="1" applyBorder="1" applyAlignment="1">
      <alignment horizontal="center" vertical="top" wrapText="1"/>
    </xf>
    <xf numFmtId="190" fontId="17" fillId="0" borderId="102" xfId="58" applyNumberFormat="1" applyFont="1" applyBorder="1" applyAlignment="1">
      <alignment horizontal="left" indent="1"/>
    </xf>
    <xf numFmtId="14" fontId="17" fillId="19" borderId="103" xfId="50" applyNumberFormat="1" applyFont="1" applyFill="1" applyBorder="1" applyAlignment="1" applyProtection="1">
      <alignment horizontal="center"/>
      <protection locked="0"/>
    </xf>
    <xf numFmtId="0" fontId="17" fillId="19" borderId="103" xfId="50" applyFont="1" applyFill="1" applyBorder="1" applyAlignment="1" applyProtection="1">
      <protection locked="0"/>
    </xf>
    <xf numFmtId="178" fontId="17" fillId="19" borderId="103" xfId="59" applyNumberFormat="1" applyFont="1" applyFill="1" applyBorder="1" applyAlignment="1" applyProtection="1">
      <alignment horizontal="center"/>
      <protection locked="0"/>
    </xf>
    <xf numFmtId="0" fontId="17" fillId="19" borderId="103" xfId="59" applyNumberFormat="1" applyFont="1" applyFill="1" applyBorder="1" applyProtection="1">
      <protection locked="0"/>
    </xf>
    <xf numFmtId="165" fontId="17" fillId="19" borderId="103" xfId="59" applyNumberFormat="1" applyFont="1" applyFill="1" applyBorder="1" applyProtection="1">
      <protection locked="0"/>
    </xf>
    <xf numFmtId="178" fontId="17" fillId="19" borderId="106" xfId="59" applyNumberFormat="1" applyFont="1" applyFill="1" applyBorder="1" applyAlignment="1" applyProtection="1">
      <alignment horizontal="left" indent="1"/>
      <protection locked="0"/>
    </xf>
    <xf numFmtId="190" fontId="17" fillId="0" borderId="120" xfId="58" applyNumberFormat="1" applyFont="1" applyBorder="1" applyAlignment="1">
      <alignment horizontal="left" indent="1"/>
    </xf>
    <xf numFmtId="189" fontId="3" fillId="19" borderId="107" xfId="56" applyNumberFormat="1" applyFill="1" applyBorder="1" applyAlignment="1" applyProtection="1">
      <alignment vertical="center"/>
      <protection locked="0"/>
    </xf>
    <xf numFmtId="189" fontId="3" fillId="19" borderId="108" xfId="56" applyNumberFormat="1" applyFill="1" applyBorder="1" applyAlignment="1" applyProtection="1">
      <alignment vertical="center"/>
      <protection locked="0"/>
    </xf>
    <xf numFmtId="189" fontId="3" fillId="19" borderId="109" xfId="56" applyNumberFormat="1" applyFill="1" applyBorder="1" applyAlignment="1" applyProtection="1">
      <alignment vertical="center"/>
      <protection locked="0"/>
    </xf>
    <xf numFmtId="189" fontId="3" fillId="19" borderId="110" xfId="56" applyNumberFormat="1" applyFill="1" applyBorder="1" applyAlignment="1" applyProtection="1">
      <alignment vertical="center"/>
      <protection locked="0"/>
    </xf>
    <xf numFmtId="189" fontId="3" fillId="19" borderId="111" xfId="56" applyNumberFormat="1" applyFill="1" applyBorder="1" applyAlignment="1" applyProtection="1">
      <alignment vertical="center"/>
      <protection locked="0"/>
    </xf>
    <xf numFmtId="0" fontId="17" fillId="12" borderId="0" xfId="50" applyFont="1" applyFill="1" applyBorder="1"/>
    <xf numFmtId="0" fontId="17" fillId="0" borderId="0" xfId="50" applyFont="1" applyBorder="1" applyAlignment="1">
      <alignment horizontal="center" vertical="center"/>
    </xf>
    <xf numFmtId="178" fontId="17" fillId="19" borderId="106" xfId="59" applyNumberFormat="1" applyFont="1" applyFill="1" applyBorder="1" applyProtection="1">
      <protection locked="0"/>
    </xf>
    <xf numFmtId="164" fontId="17" fillId="19" borderId="106" xfId="56" applyFont="1" applyFill="1" applyBorder="1" applyProtection="1">
      <protection locked="0"/>
    </xf>
    <xf numFmtId="0" fontId="17" fillId="0" borderId="0" xfId="50" applyFont="1" applyFill="1" applyBorder="1" applyAlignment="1">
      <alignment horizontal="left" indent="1"/>
    </xf>
    <xf numFmtId="0" fontId="17" fillId="0" borderId="24" xfId="50" applyFont="1" applyFill="1" applyBorder="1"/>
    <xf numFmtId="0" fontId="25" fillId="0" borderId="0" xfId="50" applyFont="1" applyBorder="1" applyProtection="1"/>
    <xf numFmtId="0" fontId="25" fillId="0" borderId="96" xfId="50" applyFont="1" applyBorder="1" applyProtection="1"/>
    <xf numFmtId="190" fontId="17" fillId="0" borderId="102" xfId="61" applyNumberFormat="1" applyFont="1" applyFill="1" applyBorder="1" applyAlignment="1" applyProtection="1">
      <alignment horizontal="left" indent="1"/>
    </xf>
    <xf numFmtId="0" fontId="17" fillId="0" borderId="112" xfId="50" applyFont="1" applyBorder="1" applyAlignment="1">
      <alignment horizontal="left" indent="1"/>
    </xf>
    <xf numFmtId="164" fontId="17" fillId="0" borderId="0" xfId="56" applyFont="1" applyBorder="1" applyProtection="1"/>
    <xf numFmtId="165" fontId="17" fillId="19" borderId="106" xfId="59" applyNumberFormat="1" applyFont="1" applyFill="1" applyBorder="1" applyProtection="1">
      <protection locked="0"/>
    </xf>
    <xf numFmtId="190" fontId="17" fillId="0" borderId="107" xfId="58" applyNumberFormat="1" applyFont="1" applyBorder="1" applyAlignment="1">
      <alignment horizontal="left" indent="1"/>
    </xf>
    <xf numFmtId="0" fontId="17" fillId="0" borderId="123" xfId="50" applyFont="1" applyBorder="1" applyProtection="1"/>
    <xf numFmtId="0" fontId="17" fillId="0" borderId="16" xfId="50" applyFont="1" applyFill="1" applyBorder="1" applyAlignment="1">
      <alignment horizontal="center"/>
    </xf>
    <xf numFmtId="0" fontId="17" fillId="0" borderId="16" xfId="50" applyFont="1" applyFill="1" applyBorder="1"/>
    <xf numFmtId="0" fontId="17" fillId="0" borderId="113" xfId="50" applyFont="1" applyFill="1" applyBorder="1"/>
    <xf numFmtId="0" fontId="17" fillId="0" borderId="114" xfId="50" applyFont="1" applyBorder="1" applyAlignment="1">
      <alignment horizontal="center" wrapText="1"/>
    </xf>
    <xf numFmtId="0" fontId="95" fillId="0" borderId="97" xfId="50" applyFont="1" applyBorder="1" applyAlignment="1" applyProtection="1">
      <alignment horizontal="center" wrapText="1"/>
    </xf>
    <xf numFmtId="0" fontId="95" fillId="0" borderId="98" xfId="50" applyFont="1" applyBorder="1" applyAlignment="1" applyProtection="1">
      <alignment horizontal="center" wrapText="1"/>
    </xf>
    <xf numFmtId="0" fontId="95" fillId="0" borderId="99" xfId="50" applyFont="1" applyBorder="1" applyAlignment="1" applyProtection="1">
      <alignment horizontal="center" wrapText="1"/>
    </xf>
    <xf numFmtId="0" fontId="95" fillId="0" borderId="100" xfId="50" applyFont="1" applyBorder="1" applyAlignment="1" applyProtection="1">
      <alignment horizontal="center" wrapText="1"/>
    </xf>
    <xf numFmtId="0" fontId="95" fillId="0" borderId="101" xfId="50" applyFont="1" applyBorder="1" applyAlignment="1" applyProtection="1">
      <alignment horizontal="center" wrapText="1"/>
    </xf>
    <xf numFmtId="0" fontId="17" fillId="12" borderId="124" xfId="50" applyFont="1" applyFill="1" applyBorder="1" applyAlignment="1">
      <alignment horizontal="left" indent="1"/>
    </xf>
    <xf numFmtId="0" fontId="17" fillId="12" borderId="22" xfId="50" applyFont="1" applyFill="1" applyBorder="1" applyAlignment="1">
      <alignment horizontal="left" indent="1"/>
    </xf>
    <xf numFmtId="0" fontId="17" fillId="0" borderId="125" xfId="50" applyFont="1" applyFill="1" applyBorder="1" applyAlignment="1" applyProtection="1">
      <alignment horizontal="left" indent="1"/>
    </xf>
    <xf numFmtId="0" fontId="17" fillId="0" borderId="22" xfId="50" applyFont="1" applyFill="1" applyBorder="1" applyAlignment="1">
      <alignment horizontal="center"/>
    </xf>
    <xf numFmtId="0" fontId="17" fillId="0" borderId="22" xfId="50" applyFont="1" applyFill="1" applyBorder="1"/>
    <xf numFmtId="0" fontId="17" fillId="0" borderId="126" xfId="50" applyFont="1" applyFill="1" applyBorder="1"/>
    <xf numFmtId="0" fontId="17" fillId="0" borderId="127" xfId="50" applyFont="1" applyFill="1" applyBorder="1" applyAlignment="1">
      <alignment horizontal="center"/>
    </xf>
    <xf numFmtId="0" fontId="17" fillId="0" borderId="128" xfId="50" applyFont="1" applyBorder="1"/>
    <xf numFmtId="0" fontId="17" fillId="0" borderId="102" xfId="50" quotePrefix="1" applyFont="1" applyBorder="1" applyAlignment="1" applyProtection="1">
      <alignment horizontal="center"/>
    </xf>
    <xf numFmtId="0" fontId="17" fillId="0" borderId="103" xfId="50" quotePrefix="1" applyFont="1" applyBorder="1" applyAlignment="1" applyProtection="1">
      <alignment horizontal="center"/>
    </xf>
    <xf numFmtId="0" fontId="17" fillId="0" borderId="104" xfId="50" quotePrefix="1" applyFont="1" applyBorder="1" applyAlignment="1" applyProtection="1">
      <alignment horizontal="center"/>
    </xf>
    <xf numFmtId="0" fontId="17" fillId="0" borderId="105" xfId="50" quotePrefix="1" applyFont="1" applyBorder="1" applyAlignment="1" applyProtection="1">
      <alignment horizontal="center"/>
    </xf>
    <xf numFmtId="0" fontId="17" fillId="0" borderId="106" xfId="50" quotePrefix="1" applyFont="1" applyBorder="1" applyAlignment="1" applyProtection="1">
      <alignment horizontal="center"/>
    </xf>
    <xf numFmtId="190" fontId="17" fillId="0" borderId="116" xfId="61" applyNumberFormat="1" applyFont="1" applyFill="1" applyBorder="1" applyAlignment="1" applyProtection="1">
      <alignment horizontal="left" indent="1"/>
    </xf>
    <xf numFmtId="14" fontId="17" fillId="19" borderId="118" xfId="50" applyNumberFormat="1" applyFont="1" applyFill="1" applyBorder="1" applyAlignment="1" applyProtection="1">
      <alignment horizontal="center"/>
      <protection locked="0"/>
    </xf>
    <xf numFmtId="0" fontId="17" fillId="0" borderId="10" xfId="50" applyFont="1" applyFill="1" applyBorder="1"/>
    <xf numFmtId="0" fontId="17" fillId="0" borderId="14" xfId="50" applyFont="1" applyBorder="1" applyAlignment="1">
      <alignment horizontal="left" indent="1"/>
    </xf>
    <xf numFmtId="0" fontId="17" fillId="0" borderId="123" xfId="50" applyFont="1" applyFill="1" applyBorder="1" applyAlignment="1" applyProtection="1"/>
    <xf numFmtId="0" fontId="17" fillId="0" borderId="16" xfId="50" applyFont="1" applyFill="1" applyBorder="1" applyAlignment="1" applyProtection="1"/>
    <xf numFmtId="0" fontId="17" fillId="0" borderId="115" xfId="50" applyFont="1" applyFill="1" applyBorder="1" applyAlignment="1">
      <alignment horizontal="center"/>
    </xf>
    <xf numFmtId="0" fontId="17" fillId="0" borderId="97" xfId="50" applyFont="1" applyBorder="1" applyAlignment="1">
      <alignment horizontal="centerContinuous"/>
    </xf>
    <xf numFmtId="0" fontId="17" fillId="0" borderId="98" xfId="50" applyFont="1" applyBorder="1" applyAlignment="1">
      <alignment horizontal="centerContinuous"/>
    </xf>
    <xf numFmtId="0" fontId="17" fillId="0" borderId="99" xfId="50" applyFont="1" applyBorder="1" applyAlignment="1">
      <alignment horizontal="centerContinuous"/>
    </xf>
    <xf numFmtId="0" fontId="17" fillId="0" borderId="100" xfId="50" applyFont="1" applyBorder="1" applyAlignment="1">
      <alignment horizontal="centerContinuous"/>
    </xf>
    <xf numFmtId="0" fontId="17" fillId="0" borderId="101" xfId="50" applyFont="1" applyBorder="1" applyAlignment="1">
      <alignment horizontal="centerContinuous"/>
    </xf>
    <xf numFmtId="0" fontId="17" fillId="0" borderId="18" xfId="50" applyFont="1" applyBorder="1" applyAlignment="1">
      <alignment horizontal="left" indent="1"/>
    </xf>
    <xf numFmtId="0" fontId="17" fillId="0" borderId="129" xfId="50" applyFont="1" applyBorder="1" applyAlignment="1">
      <alignment horizontal="center"/>
    </xf>
    <xf numFmtId="0" fontId="17" fillId="0" borderId="0" xfId="50" applyFont="1" applyFill="1" applyBorder="1" applyAlignment="1" applyProtection="1"/>
    <xf numFmtId="0" fontId="17" fillId="0" borderId="130" xfId="50" applyFont="1" applyFill="1" applyBorder="1" applyAlignment="1">
      <alignment horizontal="center"/>
    </xf>
    <xf numFmtId="0" fontId="96" fillId="0" borderId="102" xfId="50" applyFont="1" applyBorder="1" applyAlignment="1">
      <alignment horizontal="center"/>
    </xf>
    <xf numFmtId="0" fontId="96" fillId="0" borderId="103" xfId="50" applyFont="1" applyBorder="1" applyAlignment="1">
      <alignment horizontal="center"/>
    </xf>
    <xf numFmtId="0" fontId="96" fillId="0" borderId="104" xfId="50" applyFont="1" applyBorder="1" applyAlignment="1">
      <alignment horizontal="center"/>
    </xf>
    <xf numFmtId="0" fontId="96" fillId="0" borderId="105" xfId="50" applyFont="1" applyBorder="1" applyAlignment="1">
      <alignment horizontal="center"/>
    </xf>
    <xf numFmtId="0" fontId="96" fillId="0" borderId="106" xfId="50" applyFont="1" applyBorder="1" applyAlignment="1">
      <alignment horizontal="center"/>
    </xf>
    <xf numFmtId="0" fontId="17" fillId="0" borderId="124" xfId="50" applyFont="1" applyBorder="1" applyAlignment="1">
      <alignment horizontal="left" indent="1"/>
    </xf>
    <xf numFmtId="0" fontId="17" fillId="0" borderId="22" xfId="50" applyFont="1" applyBorder="1" applyAlignment="1">
      <alignment horizontal="left" indent="1"/>
    </xf>
    <xf numFmtId="0" fontId="17" fillId="0" borderId="125" xfId="50" applyFont="1" applyFill="1" applyBorder="1" applyAlignment="1">
      <alignment horizontal="center"/>
    </xf>
    <xf numFmtId="0" fontId="17" fillId="0" borderId="102" xfId="50" quotePrefix="1" applyFont="1" applyBorder="1" applyAlignment="1">
      <alignment horizontal="center"/>
    </xf>
    <xf numFmtId="0" fontId="17" fillId="0" borderId="103" xfId="50" quotePrefix="1" applyFont="1" applyBorder="1" applyAlignment="1">
      <alignment horizontal="center"/>
    </xf>
    <xf numFmtId="0" fontId="17" fillId="0" borderId="104" xfId="50" quotePrefix="1" applyFont="1" applyBorder="1" applyAlignment="1">
      <alignment horizontal="center"/>
    </xf>
    <xf numFmtId="0" fontId="17" fillId="0" borderId="105" xfId="50" quotePrefix="1" applyFont="1" applyBorder="1" applyAlignment="1">
      <alignment horizontal="center"/>
    </xf>
    <xf numFmtId="0" fontId="17" fillId="0" borderId="106" xfId="50" quotePrefix="1" applyFont="1" applyBorder="1" applyAlignment="1">
      <alignment horizontal="center"/>
    </xf>
    <xf numFmtId="0" fontId="17" fillId="0" borderId="102" xfId="50" applyFont="1" applyBorder="1" applyAlignment="1" applyProtection="1">
      <alignment horizontal="left" indent="1"/>
    </xf>
    <xf numFmtId="0" fontId="76" fillId="0" borderId="0" xfId="50" applyFont="1" applyFill="1" applyBorder="1" applyProtection="1"/>
    <xf numFmtId="0" fontId="25" fillId="0" borderId="14" xfId="61" applyFont="1" applyBorder="1" applyAlignment="1">
      <alignment horizontal="left"/>
    </xf>
    <xf numFmtId="0" fontId="17" fillId="0" borderId="15" xfId="50" applyFont="1" applyFill="1" applyBorder="1" applyAlignment="1">
      <alignment horizontal="center"/>
    </xf>
    <xf numFmtId="0" fontId="17" fillId="0" borderId="0" xfId="50" applyFont="1" applyFill="1" applyAlignment="1"/>
    <xf numFmtId="0" fontId="17" fillId="0" borderId="0" xfId="50" applyFont="1" applyAlignment="1"/>
    <xf numFmtId="0" fontId="17" fillId="0" borderId="96" xfId="50" applyFont="1" applyBorder="1" applyAlignment="1"/>
    <xf numFmtId="0" fontId="17" fillId="0" borderId="21" xfId="61" applyFont="1" applyBorder="1" applyAlignment="1">
      <alignment horizontal="center" vertical="top"/>
    </xf>
    <xf numFmtId="0" fontId="17" fillId="0" borderId="127" xfId="50" applyFont="1" applyFill="1" applyBorder="1" applyAlignment="1">
      <alignment horizontal="center" vertical="top"/>
    </xf>
    <xf numFmtId="0" fontId="17" fillId="0" borderId="22" xfId="50" applyFont="1" applyFill="1" applyBorder="1" applyAlignment="1">
      <alignment horizontal="center" vertical="top"/>
    </xf>
    <xf numFmtId="0" fontId="17" fillId="0" borderId="22" xfId="50" applyFont="1" applyFill="1" applyBorder="1" applyAlignment="1" applyProtection="1">
      <alignment horizontal="center" vertical="top"/>
      <protection locked="0"/>
    </xf>
    <xf numFmtId="0" fontId="17" fillId="0" borderId="127" xfId="50" applyFont="1" applyFill="1" applyBorder="1" applyAlignment="1" applyProtection="1">
      <alignment horizontal="center" vertical="top"/>
      <protection locked="0"/>
    </xf>
    <xf numFmtId="0" fontId="17" fillId="0" borderId="22" xfId="50" applyFont="1" applyFill="1" applyBorder="1" applyAlignment="1">
      <alignment horizontal="center" vertical="top" wrapText="1"/>
    </xf>
    <xf numFmtId="0" fontId="17" fillId="0" borderId="127" xfId="50" applyFont="1" applyFill="1" applyBorder="1" applyAlignment="1" applyProtection="1">
      <alignment horizontal="center" vertical="top" wrapText="1"/>
      <protection locked="0"/>
    </xf>
    <xf numFmtId="0" fontId="17" fillId="0" borderId="22" xfId="50" applyFont="1" applyFill="1" applyBorder="1" applyAlignment="1" applyProtection="1">
      <alignment horizontal="center" vertical="top" wrapText="1"/>
      <protection locked="0"/>
    </xf>
    <xf numFmtId="0" fontId="17" fillId="0" borderId="23" xfId="50" applyFont="1" applyFill="1" applyBorder="1" applyAlignment="1">
      <alignment horizontal="center" vertical="top"/>
    </xf>
    <xf numFmtId="0" fontId="17" fillId="0" borderId="0" xfId="50" applyFont="1" applyFill="1" applyAlignment="1">
      <alignment horizontal="center" vertical="top"/>
    </xf>
    <xf numFmtId="0" fontId="17" fillId="0" borderId="97" xfId="50" quotePrefix="1" applyFont="1" applyBorder="1" applyAlignment="1">
      <alignment horizontal="center" vertical="top"/>
    </xf>
    <xf numFmtId="0" fontId="17" fillId="0" borderId="98" xfId="50" quotePrefix="1" applyFont="1" applyBorder="1" applyAlignment="1">
      <alignment horizontal="center" vertical="top"/>
    </xf>
    <xf numFmtId="0" fontId="17" fillId="0" borderId="99" xfId="50" quotePrefix="1" applyFont="1" applyBorder="1" applyAlignment="1">
      <alignment horizontal="center" vertical="top"/>
    </xf>
    <xf numFmtId="0" fontId="17" fillId="0" borderId="100" xfId="50" quotePrefix="1" applyFont="1" applyBorder="1" applyAlignment="1">
      <alignment horizontal="center" vertical="top"/>
    </xf>
    <xf numFmtId="0" fontId="17" fillId="0" borderId="101" xfId="50" quotePrefix="1" applyFont="1" applyBorder="1" applyAlignment="1">
      <alignment horizontal="center" vertical="top"/>
    </xf>
    <xf numFmtId="0" fontId="17" fillId="0" borderId="0" xfId="50" applyFont="1" applyAlignment="1">
      <alignment horizontal="center" vertical="top"/>
    </xf>
    <xf numFmtId="0" fontId="17" fillId="0" borderId="116" xfId="50" applyFont="1" applyBorder="1" applyAlignment="1" applyProtection="1">
      <alignment horizontal="left" indent="1"/>
    </xf>
    <xf numFmtId="0" fontId="17" fillId="19" borderId="118" xfId="50" applyFont="1" applyFill="1" applyBorder="1" applyAlignment="1" applyProtection="1">
      <protection locked="0"/>
    </xf>
    <xf numFmtId="165" fontId="17" fillId="19" borderId="118" xfId="50" applyNumberFormat="1" applyFont="1" applyFill="1" applyBorder="1" applyAlignment="1" applyProtection="1">
      <alignment horizontal="left" indent="1"/>
      <protection locked="0"/>
    </xf>
    <xf numFmtId="178" fontId="17" fillId="19" borderId="118" xfId="59" applyNumberFormat="1" applyFont="1" applyFill="1" applyBorder="1" applyProtection="1">
      <protection locked="0"/>
    </xf>
    <xf numFmtId="0" fontId="17" fillId="19" borderId="118" xfId="59" applyNumberFormat="1" applyFont="1" applyFill="1" applyBorder="1" applyAlignment="1" applyProtection="1">
      <alignment horizontal="left" indent="1"/>
      <protection locked="0"/>
    </xf>
    <xf numFmtId="165" fontId="17" fillId="19" borderId="118" xfId="59" applyNumberFormat="1" applyFont="1" applyFill="1" applyBorder="1" applyProtection="1">
      <protection locked="0"/>
    </xf>
    <xf numFmtId="178" fontId="17" fillId="19" borderId="118" xfId="59" applyNumberFormat="1" applyFont="1" applyFill="1" applyBorder="1" applyAlignment="1" applyProtection="1">
      <alignment horizontal="center"/>
      <protection locked="0"/>
    </xf>
    <xf numFmtId="178" fontId="17" fillId="19" borderId="118" xfId="59" applyNumberFormat="1" applyFont="1" applyFill="1" applyBorder="1" applyAlignment="1" applyProtection="1">
      <alignment horizontal="right" indent="1"/>
      <protection locked="0"/>
    </xf>
    <xf numFmtId="178" fontId="17" fillId="19" borderId="118" xfId="59" applyNumberFormat="1" applyFont="1" applyFill="1" applyBorder="1" applyAlignment="1" applyProtection="1">
      <alignment horizontal="left" indent="1"/>
      <protection locked="0"/>
    </xf>
    <xf numFmtId="165" fontId="17" fillId="19" borderId="103" xfId="50" applyNumberFormat="1" applyFont="1" applyFill="1" applyBorder="1" applyAlignment="1" applyProtection="1">
      <alignment horizontal="left" indent="1"/>
      <protection locked="0"/>
    </xf>
    <xf numFmtId="178" fontId="17" fillId="19" borderId="103" xfId="59" applyNumberFormat="1" applyFont="1" applyFill="1" applyBorder="1" applyProtection="1">
      <protection locked="0"/>
    </xf>
    <xf numFmtId="0" fontId="17" fillId="19" borderId="103" xfId="59" applyNumberFormat="1" applyFont="1" applyFill="1" applyBorder="1" applyAlignment="1" applyProtection="1">
      <alignment horizontal="left" indent="1"/>
      <protection locked="0"/>
    </xf>
    <xf numFmtId="178" fontId="17" fillId="19" borderId="103" xfId="59" applyNumberFormat="1" applyFont="1" applyFill="1" applyBorder="1" applyAlignment="1" applyProtection="1">
      <alignment horizontal="right" indent="1"/>
      <protection locked="0"/>
    </xf>
    <xf numFmtId="178" fontId="17" fillId="19" borderId="103" xfId="59" applyNumberFormat="1" applyFont="1" applyFill="1" applyBorder="1" applyAlignment="1" applyProtection="1">
      <alignment horizontal="left" indent="1"/>
      <protection locked="0"/>
    </xf>
    <xf numFmtId="0" fontId="17" fillId="0" borderId="97" xfId="61" applyFont="1" applyBorder="1" applyAlignment="1">
      <alignment horizontal="left" indent="1"/>
    </xf>
    <xf numFmtId="0" fontId="25" fillId="0" borderId="0" xfId="50" applyFont="1" applyFill="1" applyBorder="1" applyAlignment="1" applyProtection="1">
      <alignment horizontal="center"/>
    </xf>
    <xf numFmtId="0" fontId="17" fillId="0" borderId="0" xfId="50" applyFont="1" applyFill="1" applyBorder="1" applyAlignment="1" applyProtection="1">
      <alignment horizontal="center"/>
      <protection locked="0"/>
    </xf>
    <xf numFmtId="0" fontId="17" fillId="0" borderId="0" xfId="50" applyFont="1" applyFill="1" applyProtection="1"/>
    <xf numFmtId="0" fontId="17" fillId="0" borderId="96" xfId="50" applyFont="1" applyFill="1" applyBorder="1" applyProtection="1"/>
    <xf numFmtId="0" fontId="17" fillId="0" borderId="0" xfId="50" applyFont="1" applyBorder="1" applyAlignment="1" applyProtection="1">
      <alignment horizontal="left" indent="1"/>
    </xf>
    <xf numFmtId="0" fontId="25" fillId="0" borderId="112" xfId="61" applyFont="1" applyBorder="1" applyAlignment="1">
      <alignment horizontal="left"/>
    </xf>
    <xf numFmtId="0" fontId="17" fillId="0" borderId="116" xfId="50" applyFont="1" applyBorder="1" applyAlignment="1">
      <alignment horizontal="left" vertical="top"/>
    </xf>
    <xf numFmtId="0" fontId="17" fillId="0" borderId="0" xfId="61" applyFont="1" applyFill="1" applyBorder="1" applyAlignment="1">
      <alignment vertical="top"/>
    </xf>
    <xf numFmtId="0" fontId="17" fillId="0" borderId="97" xfId="50" applyFont="1" applyBorder="1" applyAlignment="1">
      <alignment horizontal="center" vertical="top"/>
    </xf>
    <xf numFmtId="0" fontId="17" fillId="0" borderId="98" xfId="50" applyFont="1" applyBorder="1" applyAlignment="1">
      <alignment horizontal="center" vertical="top"/>
    </xf>
    <xf numFmtId="0" fontId="17" fillId="0" borderId="99" xfId="50" applyFont="1" applyBorder="1" applyAlignment="1">
      <alignment horizontal="center" vertical="top"/>
    </xf>
    <xf numFmtId="0" fontId="17" fillId="0" borderId="100" xfId="50" applyFont="1" applyBorder="1" applyAlignment="1">
      <alignment horizontal="center" vertical="top"/>
    </xf>
    <xf numFmtId="0" fontId="17" fillId="0" borderId="101" xfId="50" applyFont="1" applyBorder="1" applyAlignment="1">
      <alignment horizontal="center" vertical="top"/>
    </xf>
    <xf numFmtId="0" fontId="17" fillId="0" borderId="0" xfId="50" applyFont="1" applyAlignment="1">
      <alignment vertical="top"/>
    </xf>
    <xf numFmtId="189" fontId="17" fillId="19" borderId="102" xfId="56" applyNumberFormat="1" applyFont="1" applyFill="1" applyBorder="1" applyAlignment="1" applyProtection="1">
      <alignment horizontal="right"/>
      <protection locked="0"/>
    </xf>
    <xf numFmtId="189" fontId="17" fillId="19" borderId="103" xfId="56" applyNumberFormat="1" applyFont="1" applyFill="1" applyBorder="1" applyAlignment="1" applyProtection="1">
      <alignment horizontal="right"/>
      <protection locked="0"/>
    </xf>
    <xf numFmtId="189" fontId="17" fillId="19" borderId="104" xfId="56" applyNumberFormat="1" applyFont="1" applyFill="1" applyBorder="1" applyAlignment="1" applyProtection="1">
      <alignment horizontal="right"/>
      <protection locked="0"/>
    </xf>
    <xf numFmtId="189" fontId="17" fillId="19" borderId="105" xfId="56" applyNumberFormat="1" applyFont="1" applyFill="1" applyBorder="1" applyAlignment="1" applyProtection="1">
      <alignment horizontal="right"/>
      <protection locked="0"/>
    </xf>
    <xf numFmtId="189" fontId="17" fillId="19" borderId="106" xfId="56" applyNumberFormat="1" applyFont="1" applyFill="1" applyBorder="1" applyAlignment="1" applyProtection="1">
      <alignment horizontal="right"/>
      <protection locked="0"/>
    </xf>
    <xf numFmtId="0" fontId="17" fillId="0" borderId="107" xfId="50" applyFont="1" applyBorder="1" applyAlignment="1" applyProtection="1">
      <alignment horizontal="left" indent="1"/>
    </xf>
    <xf numFmtId="189" fontId="17" fillId="19" borderId="107" xfId="56" applyNumberFormat="1" applyFont="1" applyFill="1" applyBorder="1" applyAlignment="1" applyProtection="1">
      <alignment horizontal="right"/>
      <protection locked="0"/>
    </xf>
    <xf numFmtId="189" fontId="17" fillId="19" borderId="108" xfId="56" applyNumberFormat="1" applyFont="1" applyFill="1" applyBorder="1" applyAlignment="1" applyProtection="1">
      <alignment horizontal="right"/>
      <protection locked="0"/>
    </xf>
    <xf numFmtId="189" fontId="17" fillId="19" borderId="109" xfId="56" applyNumberFormat="1" applyFont="1" applyFill="1" applyBorder="1" applyAlignment="1" applyProtection="1">
      <alignment horizontal="right"/>
      <protection locked="0"/>
    </xf>
    <xf numFmtId="189" fontId="17" fillId="19" borderId="110" xfId="56" applyNumberFormat="1" applyFont="1" applyFill="1" applyBorder="1" applyAlignment="1" applyProtection="1">
      <alignment horizontal="right"/>
      <protection locked="0"/>
    </xf>
    <xf numFmtId="189" fontId="17" fillId="19" borderId="111" xfId="56" applyNumberFormat="1" applyFont="1" applyFill="1" applyBorder="1" applyAlignment="1" applyProtection="1">
      <alignment horizontal="right"/>
      <protection locked="0"/>
    </xf>
    <xf numFmtId="189" fontId="3" fillId="30" borderId="92" xfId="57" applyNumberFormat="1" applyBorder="1" applyProtection="1">
      <alignment vertical="center"/>
    </xf>
    <xf numFmtId="189" fontId="3" fillId="30" borderId="93" xfId="57" applyNumberFormat="1" applyBorder="1" applyProtection="1">
      <alignment vertical="center"/>
    </xf>
    <xf numFmtId="189" fontId="3" fillId="30" borderId="94" xfId="57" applyNumberFormat="1" applyBorder="1" applyProtection="1">
      <alignment vertical="center"/>
    </xf>
    <xf numFmtId="189" fontId="3" fillId="30" borderId="135" xfId="57" applyNumberFormat="1" applyBorder="1" applyProtection="1">
      <alignment vertical="center"/>
    </xf>
    <xf numFmtId="189" fontId="3" fillId="30" borderId="95" xfId="57" applyNumberFormat="1" applyBorder="1" applyProtection="1">
      <alignment vertical="center"/>
    </xf>
    <xf numFmtId="0" fontId="76" fillId="0" borderId="0" xfId="50" applyFont="1"/>
    <xf numFmtId="0" fontId="25" fillId="0" borderId="0" xfId="50" applyFont="1" applyFill="1" applyBorder="1"/>
    <xf numFmtId="0" fontId="17" fillId="0" borderId="112" xfId="61" applyFont="1" applyBorder="1" applyAlignment="1">
      <alignment horizontal="left"/>
    </xf>
    <xf numFmtId="0" fontId="17" fillId="0" borderId="0" xfId="50" applyFont="1" applyFill="1" applyAlignment="1">
      <alignment vertical="top"/>
    </xf>
    <xf numFmtId="0" fontId="17" fillId="0" borderId="112" xfId="61" applyFont="1" applyBorder="1" applyAlignment="1">
      <alignment horizontal="left" indent="1"/>
    </xf>
    <xf numFmtId="0" fontId="17" fillId="0" borderId="126" xfId="50" applyFont="1" applyBorder="1" applyAlignment="1">
      <alignment horizontal="left" indent="1"/>
    </xf>
    <xf numFmtId="0" fontId="17" fillId="0" borderId="127" xfId="50" applyFont="1" applyFill="1" applyBorder="1" applyAlignment="1">
      <alignment horizontal="center" wrapText="1"/>
    </xf>
    <xf numFmtId="0" fontId="17" fillId="0" borderId="127" xfId="50" applyFont="1" applyFill="1" applyBorder="1" applyAlignment="1" applyProtection="1">
      <alignment horizontal="center" wrapText="1"/>
      <protection locked="0"/>
    </xf>
    <xf numFmtId="0" fontId="17" fillId="0" borderId="128" xfId="50" applyFont="1" applyFill="1" applyBorder="1" applyAlignment="1">
      <alignment horizontal="center" vertical="top"/>
    </xf>
    <xf numFmtId="0" fontId="17" fillId="0" borderId="97" xfId="50" applyFont="1" applyBorder="1" applyAlignment="1">
      <alignment horizontal="center"/>
    </xf>
    <xf numFmtId="0" fontId="17" fillId="0" borderId="98" xfId="50" applyFont="1" applyBorder="1" applyAlignment="1">
      <alignment horizontal="center"/>
    </xf>
    <xf numFmtId="0" fontId="17" fillId="0" borderId="99" xfId="50" applyFont="1" applyBorder="1" applyAlignment="1">
      <alignment horizontal="center"/>
    </xf>
    <xf numFmtId="0" fontId="17" fillId="0" borderId="100" xfId="50" applyFont="1" applyBorder="1" applyAlignment="1">
      <alignment horizontal="center"/>
    </xf>
    <xf numFmtId="0" fontId="17" fillId="0" borderId="101" xfId="50" applyFont="1" applyBorder="1" applyAlignment="1">
      <alignment horizontal="center"/>
    </xf>
    <xf numFmtId="188" fontId="17" fillId="19" borderId="118" xfId="59" applyNumberFormat="1" applyFont="1" applyFill="1" applyBorder="1" applyAlignment="1" applyProtection="1">
      <alignment horizontal="right" indent="1"/>
      <protection locked="0"/>
    </xf>
    <xf numFmtId="0" fontId="17" fillId="0" borderId="13" xfId="50" applyFont="1" applyBorder="1"/>
    <xf numFmtId="0" fontId="76" fillId="0" borderId="0" xfId="50" applyFont="1" applyBorder="1" applyProtection="1"/>
    <xf numFmtId="0" fontId="25" fillId="0" borderId="0" xfId="50" applyFont="1" applyBorder="1" applyAlignment="1">
      <alignment horizontal="right"/>
    </xf>
    <xf numFmtId="0" fontId="3" fillId="0" borderId="0" xfId="0" applyFont="1"/>
    <xf numFmtId="189" fontId="3" fillId="30" borderId="102" xfId="57" applyNumberFormat="1" applyBorder="1" applyProtection="1">
      <alignment vertical="center"/>
    </xf>
    <xf numFmtId="189" fontId="3" fillId="30" borderId="103" xfId="57" applyNumberFormat="1" applyBorder="1" applyProtection="1">
      <alignment vertical="center"/>
    </xf>
    <xf numFmtId="189" fontId="3" fillId="30" borderId="104" xfId="57" applyNumberFormat="1" applyBorder="1" applyProtection="1">
      <alignment vertical="center"/>
    </xf>
    <xf numFmtId="189" fontId="3" fillId="30" borderId="105" xfId="57" applyNumberFormat="1" applyBorder="1" applyProtection="1">
      <alignment vertical="center"/>
    </xf>
    <xf numFmtId="189" fontId="3" fillId="30" borderId="106" xfId="57" applyNumberFormat="1" applyBorder="1" applyProtection="1">
      <alignment vertical="center"/>
    </xf>
    <xf numFmtId="9" fontId="3" fillId="19" borderId="97" xfId="56" applyNumberFormat="1" applyFill="1" applyBorder="1" applyAlignment="1" applyProtection="1">
      <alignment vertical="center"/>
      <protection locked="0"/>
    </xf>
    <xf numFmtId="9" fontId="3" fillId="19" borderId="98" xfId="56" applyNumberFormat="1" applyFill="1" applyBorder="1" applyAlignment="1" applyProtection="1">
      <alignment vertical="center"/>
      <protection locked="0"/>
    </xf>
    <xf numFmtId="9" fontId="3" fillId="19" borderId="99" xfId="56" applyNumberFormat="1" applyFill="1" applyBorder="1" applyAlignment="1" applyProtection="1">
      <alignment vertical="center"/>
      <protection locked="0"/>
    </xf>
    <xf numFmtId="9" fontId="3" fillId="19" borderId="100" xfId="56" applyNumberFormat="1" applyFill="1" applyBorder="1" applyAlignment="1" applyProtection="1">
      <alignment vertical="center"/>
      <protection locked="0"/>
    </xf>
    <xf numFmtId="9" fontId="3" fillId="19" borderId="101" xfId="56" applyNumberFormat="1" applyFill="1" applyBorder="1" applyAlignment="1" applyProtection="1">
      <alignment vertical="center"/>
      <protection locked="0"/>
    </xf>
    <xf numFmtId="9" fontId="3" fillId="30" borderId="107" xfId="62" applyFill="1" applyBorder="1" applyAlignment="1" applyProtection="1">
      <alignment vertical="center"/>
    </xf>
    <xf numFmtId="9" fontId="3" fillId="30" borderId="108" xfId="62" applyFill="1" applyBorder="1" applyAlignment="1" applyProtection="1">
      <alignment vertical="center"/>
    </xf>
    <xf numFmtId="9" fontId="3" fillId="30" borderId="109" xfId="62" applyFill="1" applyBorder="1" applyAlignment="1" applyProtection="1">
      <alignment vertical="center"/>
    </xf>
    <xf numFmtId="9" fontId="3" fillId="30" borderId="110" xfId="62" applyFill="1" applyBorder="1" applyAlignment="1" applyProtection="1">
      <alignment vertical="center"/>
    </xf>
    <xf numFmtId="9" fontId="3" fillId="30" borderId="111" xfId="62" applyFill="1" applyBorder="1" applyAlignment="1" applyProtection="1">
      <alignment vertical="center"/>
    </xf>
    <xf numFmtId="9" fontId="3" fillId="19" borderId="102" xfId="62" applyNumberFormat="1" applyFill="1" applyBorder="1" applyAlignment="1" applyProtection="1">
      <alignment vertical="center"/>
      <protection locked="0"/>
    </xf>
    <xf numFmtId="9" fontId="3" fillId="19" borderId="103" xfId="62" applyNumberFormat="1" applyFill="1" applyBorder="1" applyAlignment="1" applyProtection="1">
      <alignment vertical="center"/>
      <protection locked="0"/>
    </xf>
    <xf numFmtId="9" fontId="3" fillId="19" borderId="104" xfId="62" applyNumberFormat="1" applyFill="1" applyBorder="1" applyAlignment="1" applyProtection="1">
      <alignment vertical="center"/>
      <protection locked="0"/>
    </xf>
    <xf numFmtId="9" fontId="3" fillId="19" borderId="105" xfId="62" applyNumberFormat="1" applyFill="1" applyBorder="1" applyAlignment="1" applyProtection="1">
      <alignment vertical="center"/>
      <protection locked="0"/>
    </xf>
    <xf numFmtId="9" fontId="3" fillId="19" borderId="106" xfId="62" applyNumberFormat="1" applyFill="1" applyBorder="1" applyAlignment="1" applyProtection="1">
      <alignment vertical="center"/>
      <protection locked="0"/>
    </xf>
    <xf numFmtId="9" fontId="3" fillId="30" borderId="107" xfId="62" applyNumberFormat="1" applyFill="1" applyBorder="1" applyAlignment="1" applyProtection="1">
      <alignment vertical="center"/>
    </xf>
    <xf numFmtId="9" fontId="3" fillId="30" borderId="108" xfId="62" applyNumberFormat="1" applyFill="1" applyBorder="1" applyAlignment="1" applyProtection="1">
      <alignment vertical="center"/>
    </xf>
    <xf numFmtId="9" fontId="3" fillId="30" borderId="109" xfId="62" applyNumberFormat="1" applyFill="1" applyBorder="1" applyAlignment="1" applyProtection="1">
      <alignment vertical="center"/>
    </xf>
    <xf numFmtId="9" fontId="3" fillId="30" borderId="110" xfId="62" applyNumberFormat="1" applyFill="1" applyBorder="1" applyAlignment="1" applyProtection="1">
      <alignment vertical="center"/>
    </xf>
    <xf numFmtId="9" fontId="3" fillId="30" borderId="111" xfId="62" applyNumberFormat="1" applyFill="1" applyBorder="1" applyAlignment="1" applyProtection="1">
      <alignment vertical="center"/>
    </xf>
    <xf numFmtId="0" fontId="97" fillId="0" borderId="0" xfId="50" applyFont="1" applyProtection="1"/>
    <xf numFmtId="9" fontId="3" fillId="19" borderId="97" xfId="62" applyNumberFormat="1" applyFill="1" applyBorder="1" applyAlignment="1" applyProtection="1">
      <alignment vertical="center"/>
      <protection locked="0"/>
    </xf>
    <xf numFmtId="9" fontId="3" fillId="19" borderId="99" xfId="62" applyNumberFormat="1" applyFill="1" applyBorder="1" applyAlignment="1" applyProtection="1">
      <alignment vertical="center"/>
      <protection locked="0"/>
    </xf>
    <xf numFmtId="0" fontId="17" fillId="6" borderId="0" xfId="50" applyFont="1" applyFill="1"/>
    <xf numFmtId="181" fontId="98" fillId="31" borderId="0" xfId="63" applyFont="1" applyAlignment="1">
      <alignment horizontal="left" vertical="center" indent="1"/>
    </xf>
    <xf numFmtId="181" fontId="98" fillId="31" borderId="0" xfId="63" applyFont="1" applyAlignment="1">
      <alignment vertical="center"/>
    </xf>
    <xf numFmtId="181" fontId="98" fillId="12" borderId="0" xfId="63" applyFont="1" applyFill="1" applyAlignment="1">
      <alignment vertical="center"/>
    </xf>
    <xf numFmtId="181" fontId="89" fillId="12" borderId="0" xfId="0" applyNumberFormat="1" applyFont="1" applyFill="1" applyAlignment="1">
      <alignment vertical="center"/>
    </xf>
    <xf numFmtId="0" fontId="91" fillId="12" borderId="0" xfId="53" applyFont="1" applyFill="1" applyBorder="1" applyProtection="1">
      <protection locked="0"/>
    </xf>
    <xf numFmtId="0" fontId="94" fillId="0" borderId="0" xfId="50" applyFont="1"/>
    <xf numFmtId="0" fontId="0" fillId="0" borderId="92" xfId="0" applyFont="1" applyBorder="1" applyAlignment="1">
      <alignment horizontal="center" vertical="top"/>
    </xf>
    <xf numFmtId="0" fontId="0" fillId="0" borderId="93" xfId="0" applyFont="1" applyBorder="1" applyAlignment="1">
      <alignment horizontal="center" vertical="top"/>
    </xf>
    <xf numFmtId="0" fontId="0" fillId="0" borderId="94" xfId="0" applyFont="1" applyBorder="1" applyAlignment="1">
      <alignment horizontal="center" vertical="top"/>
    </xf>
    <xf numFmtId="0" fontId="0" fillId="0" borderId="135" xfId="0" applyFont="1" applyBorder="1" applyAlignment="1">
      <alignment horizontal="center" vertical="top"/>
    </xf>
    <xf numFmtId="0" fontId="0" fillId="0" borderId="95" xfId="0" applyFont="1" applyBorder="1" applyAlignment="1">
      <alignment horizontal="center" vertical="top"/>
    </xf>
    <xf numFmtId="1" fontId="58" fillId="22" borderId="124" xfId="0" applyNumberFormat="1" applyFont="1" applyFill="1" applyBorder="1" applyAlignment="1">
      <alignment horizontal="center" vertical="center"/>
    </xf>
    <xf numFmtId="1" fontId="58" fillId="22" borderId="127" xfId="0" applyNumberFormat="1" applyFont="1" applyFill="1" applyBorder="1" applyAlignment="1">
      <alignment horizontal="center" vertical="center"/>
    </xf>
    <xf numFmtId="1" fontId="58" fillId="22" borderId="125" xfId="0" applyNumberFormat="1" applyFont="1" applyFill="1" applyBorder="1" applyAlignment="1">
      <alignment horizontal="center" vertical="center"/>
    </xf>
    <xf numFmtId="1" fontId="58" fillId="22" borderId="140" xfId="0" applyNumberFormat="1" applyFont="1" applyFill="1" applyBorder="1" applyAlignment="1">
      <alignment horizontal="center" vertical="center"/>
    </xf>
    <xf numFmtId="1" fontId="58" fillId="22" borderId="128" xfId="0" applyNumberFormat="1" applyFont="1" applyFill="1" applyBorder="1" applyAlignment="1">
      <alignment horizontal="center" vertical="center"/>
    </xf>
    <xf numFmtId="0" fontId="17" fillId="0" borderId="0" xfId="64" applyFont="1" applyFill="1" applyBorder="1" applyAlignment="1" applyProtection="1">
      <alignment horizontal="center" vertical="center"/>
    </xf>
    <xf numFmtId="0" fontId="17" fillId="0" borderId="141" xfId="64" applyFont="1" applyFill="1" applyBorder="1" applyAlignment="1" applyProtection="1">
      <alignment horizontal="center" vertical="center"/>
    </xf>
    <xf numFmtId="0" fontId="20" fillId="5" borderId="0" xfId="50" applyFont="1" applyFill="1" applyBorder="1" applyAlignment="1" applyProtection="1">
      <alignment horizontal="center"/>
    </xf>
    <xf numFmtId="0" fontId="20" fillId="5" borderId="0" xfId="50" applyFont="1" applyFill="1" applyBorder="1" applyProtection="1"/>
    <xf numFmtId="0" fontId="10" fillId="5" borderId="0" xfId="50" applyFont="1" applyFill="1"/>
    <xf numFmtId="0" fontId="10" fillId="5" borderId="0" xfId="50" applyFont="1" applyFill="1" applyBorder="1" applyProtection="1"/>
    <xf numFmtId="0" fontId="10" fillId="5" borderId="0" xfId="50" applyFont="1" applyFill="1" applyProtection="1"/>
    <xf numFmtId="0" fontId="10" fillId="5" borderId="96" xfId="50" applyFont="1" applyFill="1" applyBorder="1" applyProtection="1"/>
    <xf numFmtId="0" fontId="10" fillId="5" borderId="0" xfId="50" applyFont="1" applyFill="1" applyBorder="1"/>
    <xf numFmtId="0" fontId="20" fillId="0" borderId="0" xfId="50" applyFont="1" applyFill="1" applyBorder="1" applyAlignment="1" applyProtection="1">
      <alignment horizontal="center"/>
    </xf>
    <xf numFmtId="0" fontId="20" fillId="0" borderId="0" xfId="50" applyFont="1" applyFill="1" applyBorder="1" applyProtection="1"/>
    <xf numFmtId="0" fontId="10" fillId="0" borderId="0" xfId="50" applyFont="1" applyFill="1"/>
    <xf numFmtId="0" fontId="10" fillId="0" borderId="0" xfId="50" applyFont="1" applyFill="1" applyBorder="1" applyProtection="1"/>
    <xf numFmtId="0" fontId="10" fillId="0" borderId="0" xfId="50" applyFont="1" applyFill="1" applyProtection="1"/>
    <xf numFmtId="0" fontId="10" fillId="0" borderId="96" xfId="50" applyFont="1" applyFill="1" applyBorder="1" applyProtection="1"/>
    <xf numFmtId="0" fontId="10" fillId="0" borderId="0" xfId="50" applyFont="1" applyFill="1" applyBorder="1"/>
    <xf numFmtId="0" fontId="25" fillId="0" borderId="0" xfId="50" applyFont="1" applyBorder="1" applyAlignment="1" applyProtection="1">
      <alignment horizontal="center"/>
    </xf>
    <xf numFmtId="0" fontId="99" fillId="32" borderId="0" xfId="50" applyFont="1" applyFill="1" applyBorder="1" applyProtection="1"/>
    <xf numFmtId="0" fontId="17" fillId="32" borderId="0" xfId="50" applyFont="1" applyFill="1"/>
    <xf numFmtId="0" fontId="17" fillId="32" borderId="0" xfId="50" applyFont="1" applyFill="1" applyBorder="1" applyProtection="1"/>
    <xf numFmtId="0" fontId="17" fillId="32" borderId="0" xfId="50" applyFont="1" applyFill="1" applyProtection="1"/>
    <xf numFmtId="0" fontId="17" fillId="32" borderId="96" xfId="50" applyFont="1" applyFill="1" applyBorder="1" applyProtection="1"/>
    <xf numFmtId="0" fontId="17" fillId="32" borderId="0" xfId="50" applyFont="1" applyFill="1" applyBorder="1"/>
    <xf numFmtId="0" fontId="99" fillId="0" borderId="0" xfId="50" applyFont="1" applyFill="1" applyBorder="1" applyProtection="1"/>
    <xf numFmtId="0" fontId="99" fillId="33" borderId="0" xfId="50" applyFont="1" applyFill="1"/>
    <xf numFmtId="0" fontId="17" fillId="33" borderId="0" xfId="50" applyFont="1" applyFill="1"/>
    <xf numFmtId="0" fontId="17" fillId="33" borderId="0" xfId="50" applyFont="1" applyFill="1" applyBorder="1" applyProtection="1"/>
    <xf numFmtId="0" fontId="17" fillId="33" borderId="0" xfId="50" applyFont="1" applyFill="1" applyProtection="1"/>
    <xf numFmtId="0" fontId="17" fillId="33" borderId="96" xfId="50" applyFont="1" applyFill="1" applyBorder="1" applyProtection="1"/>
    <xf numFmtId="0" fontId="17" fillId="33" borderId="0" xfId="50" applyFont="1" applyFill="1" applyBorder="1"/>
    <xf numFmtId="0" fontId="99" fillId="0" borderId="0" xfId="50" applyFont="1" applyFill="1"/>
    <xf numFmtId="0" fontId="17" fillId="12" borderId="112" xfId="50" applyNumberFormat="1" applyFont="1" applyFill="1" applyBorder="1" applyAlignment="1" applyProtection="1">
      <alignment horizontal="center"/>
    </xf>
    <xf numFmtId="0" fontId="17" fillId="12" borderId="114" xfId="50" applyNumberFormat="1" applyFont="1" applyFill="1" applyBorder="1" applyAlignment="1" applyProtection="1">
      <alignment horizontal="center"/>
    </xf>
    <xf numFmtId="0" fontId="17" fillId="12" borderId="114" xfId="50" applyNumberFormat="1" applyFont="1" applyFill="1" applyBorder="1" applyAlignment="1" applyProtection="1">
      <alignment horizontal="center" wrapText="1"/>
    </xf>
    <xf numFmtId="0" fontId="17" fillId="12" borderId="115" xfId="50" applyNumberFormat="1" applyFont="1" applyFill="1" applyBorder="1" applyAlignment="1" applyProtection="1">
      <alignment horizontal="center" wrapText="1"/>
    </xf>
    <xf numFmtId="0" fontId="17" fillId="0" borderId="24" xfId="50" applyFont="1" applyBorder="1"/>
    <xf numFmtId="191" fontId="17" fillId="12" borderId="124" xfId="50" applyNumberFormat="1" applyFont="1" applyFill="1" applyBorder="1" applyAlignment="1" applyProtection="1">
      <alignment horizontal="center"/>
    </xf>
    <xf numFmtId="191" fontId="17" fillId="12" borderId="127" xfId="50" applyNumberFormat="1" applyFont="1" applyFill="1" applyBorder="1" applyAlignment="1" applyProtection="1">
      <alignment horizontal="center"/>
    </xf>
    <xf numFmtId="0" fontId="17" fillId="12" borderId="128" xfId="50" applyNumberFormat="1" applyFont="1" applyFill="1" applyBorder="1" applyAlignment="1" applyProtection="1">
      <alignment horizontal="center"/>
    </xf>
    <xf numFmtId="0" fontId="17" fillId="0" borderId="112" xfId="50" quotePrefix="1" applyFont="1" applyBorder="1" applyAlignment="1">
      <alignment horizontal="center"/>
    </xf>
    <xf numFmtId="0" fontId="17" fillId="0" borderId="114" xfId="50" quotePrefix="1" applyFont="1" applyBorder="1" applyAlignment="1">
      <alignment horizontal="center"/>
    </xf>
    <xf numFmtId="0" fontId="17" fillId="0" borderId="123" xfId="50" quotePrefix="1" applyFont="1" applyBorder="1" applyAlignment="1">
      <alignment horizontal="center"/>
    </xf>
    <xf numFmtId="0" fontId="17" fillId="0" borderId="142" xfId="50" quotePrefix="1" applyFont="1" applyBorder="1" applyAlignment="1">
      <alignment horizontal="center"/>
    </xf>
    <xf numFmtId="0" fontId="17" fillId="0" borderId="115" xfId="50" quotePrefix="1" applyFont="1" applyBorder="1" applyAlignment="1">
      <alignment horizontal="center"/>
    </xf>
    <xf numFmtId="190" fontId="17" fillId="0" borderId="143" xfId="58" applyNumberFormat="1" applyFont="1" applyBorder="1" applyAlignment="1">
      <alignment horizontal="center"/>
    </xf>
    <xf numFmtId="191" fontId="17" fillId="34" borderId="98" xfId="50" applyNumberFormat="1" applyFont="1" applyFill="1" applyBorder="1" applyAlignment="1" applyProtection="1">
      <alignment horizontal="center"/>
    </xf>
    <xf numFmtId="0" fontId="17" fillId="34" borderId="98" xfId="50" applyNumberFormat="1" applyFont="1" applyFill="1" applyBorder="1" applyAlignment="1" applyProtection="1"/>
    <xf numFmtId="0" fontId="17" fillId="34" borderId="98" xfId="50" applyNumberFormat="1" applyFont="1" applyFill="1" applyBorder="1" applyAlignment="1" applyProtection="1">
      <alignment horizontal="left" indent="1"/>
    </xf>
    <xf numFmtId="0" fontId="17" fillId="34" borderId="98" xfId="50" applyNumberFormat="1" applyFont="1" applyFill="1" applyBorder="1" applyAlignment="1" applyProtection="1">
      <alignment horizontal="right" indent="1"/>
    </xf>
    <xf numFmtId="10" fontId="17" fillId="34" borderId="101" xfId="62" applyNumberFormat="1" applyFont="1" applyFill="1" applyBorder="1" applyAlignment="1" applyProtection="1">
      <alignment horizontal="right" indent="1"/>
    </xf>
    <xf numFmtId="0" fontId="17" fillId="0" borderId="144" xfId="50" applyFont="1" applyBorder="1"/>
    <xf numFmtId="0" fontId="17" fillId="0" borderId="89" xfId="50" applyFont="1" applyBorder="1"/>
    <xf numFmtId="0" fontId="17" fillId="0" borderId="145" xfId="50" applyFont="1" applyBorder="1" applyAlignment="1">
      <alignment horizontal="center"/>
    </xf>
    <xf numFmtId="189" fontId="17" fillId="19" borderId="97" xfId="50" applyNumberFormat="1" applyFont="1" applyFill="1" applyBorder="1" applyAlignment="1" applyProtection="1">
      <protection locked="0"/>
    </xf>
    <xf numFmtId="189" fontId="17" fillId="19" borderId="98" xfId="50" applyNumberFormat="1" applyFont="1" applyFill="1" applyBorder="1" applyAlignment="1" applyProtection="1">
      <protection locked="0"/>
    </xf>
    <xf numFmtId="189" fontId="17" fillId="19" borderId="99" xfId="50" applyNumberFormat="1" applyFont="1" applyFill="1" applyBorder="1" applyAlignment="1" applyProtection="1">
      <protection locked="0"/>
    </xf>
    <xf numFmtId="189" fontId="17" fillId="19" borderId="100" xfId="50" applyNumberFormat="1" applyFont="1" applyFill="1" applyBorder="1" applyAlignment="1" applyProtection="1">
      <protection locked="0"/>
    </xf>
    <xf numFmtId="189" fontId="17" fillId="19" borderId="101" xfId="50" applyNumberFormat="1" applyFont="1" applyFill="1" applyBorder="1" applyAlignment="1" applyProtection="1">
      <protection locked="0"/>
    </xf>
    <xf numFmtId="190" fontId="17" fillId="0" borderId="146" xfId="58" applyNumberFormat="1" applyFont="1" applyBorder="1" applyAlignment="1">
      <alignment horizontal="center"/>
    </xf>
    <xf numFmtId="191" fontId="17" fillId="34" borderId="103" xfId="50" applyNumberFormat="1" applyFont="1" applyFill="1" applyBorder="1" applyAlignment="1" applyProtection="1">
      <alignment horizontal="center"/>
    </xf>
    <xf numFmtId="0" fontId="17" fillId="34" borderId="103" xfId="50" applyNumberFormat="1" applyFont="1" applyFill="1" applyBorder="1" applyAlignment="1" applyProtection="1"/>
    <xf numFmtId="0" fontId="17" fillId="34" borderId="103" xfId="50" applyNumberFormat="1" applyFont="1" applyFill="1" applyBorder="1" applyAlignment="1" applyProtection="1">
      <alignment horizontal="left" indent="1"/>
    </xf>
    <xf numFmtId="0" fontId="17" fillId="34" borderId="103" xfId="50" applyNumberFormat="1" applyFont="1" applyFill="1" applyBorder="1" applyAlignment="1" applyProtection="1">
      <alignment horizontal="right" indent="1"/>
    </xf>
    <xf numFmtId="10" fontId="17" fillId="34" borderId="106" xfId="62" applyNumberFormat="1" applyFont="1" applyFill="1" applyBorder="1" applyAlignment="1" applyProtection="1">
      <alignment horizontal="right" indent="1"/>
    </xf>
    <xf numFmtId="189" fontId="17" fillId="19" borderId="102" xfId="50" applyNumberFormat="1" applyFont="1" applyFill="1" applyBorder="1" applyAlignment="1" applyProtection="1">
      <protection locked="0"/>
    </xf>
    <xf numFmtId="189" fontId="17" fillId="19" borderId="103" xfId="50" applyNumberFormat="1" applyFont="1" applyFill="1" applyBorder="1" applyAlignment="1" applyProtection="1">
      <protection locked="0"/>
    </xf>
    <xf numFmtId="189" fontId="17" fillId="19" borderId="104" xfId="50" applyNumberFormat="1" applyFont="1" applyFill="1" applyBorder="1" applyAlignment="1" applyProtection="1">
      <protection locked="0"/>
    </xf>
    <xf numFmtId="189" fontId="17" fillId="19" borderId="105" xfId="50" applyNumberFormat="1" applyFont="1" applyFill="1" applyBorder="1" applyAlignment="1" applyProtection="1">
      <protection locked="0"/>
    </xf>
    <xf numFmtId="189" fontId="17" fillId="19" borderId="106" xfId="50" applyNumberFormat="1" applyFont="1" applyFill="1" applyBorder="1" applyAlignment="1" applyProtection="1">
      <protection locked="0"/>
    </xf>
    <xf numFmtId="190" fontId="17" fillId="0" borderId="147" xfId="58" applyNumberFormat="1" applyFont="1" applyBorder="1" applyAlignment="1">
      <alignment horizontal="center"/>
    </xf>
    <xf numFmtId="191" fontId="17" fillId="34" borderId="108" xfId="50" applyNumberFormat="1" applyFont="1" applyFill="1" applyBorder="1" applyAlignment="1" applyProtection="1">
      <alignment horizontal="center"/>
    </xf>
    <xf numFmtId="10" fontId="17" fillId="34" borderId="111" xfId="62" applyNumberFormat="1" applyFont="1" applyFill="1" applyBorder="1" applyAlignment="1" applyProtection="1">
      <alignment horizontal="right" indent="1"/>
    </xf>
    <xf numFmtId="189" fontId="17" fillId="19" borderId="107" xfId="50" applyNumberFormat="1" applyFont="1" applyFill="1" applyBorder="1" applyAlignment="1" applyProtection="1">
      <protection locked="0"/>
    </xf>
    <xf numFmtId="189" fontId="17" fillId="19" borderId="108" xfId="50" applyNumberFormat="1" applyFont="1" applyFill="1" applyBorder="1" applyAlignment="1" applyProtection="1">
      <protection locked="0"/>
    </xf>
    <xf numFmtId="189" fontId="17" fillId="19" borderId="109" xfId="50" applyNumberFormat="1" applyFont="1" applyFill="1" applyBorder="1" applyAlignment="1" applyProtection="1">
      <protection locked="0"/>
    </xf>
    <xf numFmtId="189" fontId="17" fillId="19" borderId="110" xfId="50" applyNumberFormat="1" applyFont="1" applyFill="1" applyBorder="1" applyAlignment="1" applyProtection="1">
      <protection locked="0"/>
    </xf>
    <xf numFmtId="189" fontId="17" fillId="19" borderId="111" xfId="50" applyNumberFormat="1" applyFont="1" applyFill="1" applyBorder="1" applyAlignment="1" applyProtection="1">
      <protection locked="0"/>
    </xf>
    <xf numFmtId="0" fontId="17" fillId="0" borderId="13" xfId="50" applyFont="1" applyBorder="1" applyAlignment="1">
      <alignment horizontal="center"/>
    </xf>
    <xf numFmtId="189" fontId="3" fillId="30" borderId="124" xfId="57" applyNumberFormat="1" applyBorder="1" applyProtection="1">
      <alignment vertical="center"/>
    </xf>
    <xf numFmtId="189" fontId="3" fillId="30" borderId="127" xfId="57" applyNumberFormat="1" applyBorder="1" applyProtection="1">
      <alignment vertical="center"/>
    </xf>
    <xf numFmtId="189" fontId="3" fillId="30" borderId="125" xfId="57" applyNumberFormat="1" applyBorder="1" applyProtection="1">
      <alignment vertical="center"/>
    </xf>
    <xf numFmtId="189" fontId="3" fillId="30" borderId="140" xfId="57" applyNumberFormat="1" applyBorder="1" applyProtection="1">
      <alignment vertical="center"/>
    </xf>
    <xf numFmtId="189" fontId="3" fillId="30" borderId="128" xfId="57" applyNumberFormat="1" applyBorder="1" applyProtection="1">
      <alignment vertical="center"/>
    </xf>
    <xf numFmtId="0" fontId="100" fillId="0" borderId="0" xfId="50" applyFont="1" applyFill="1" applyBorder="1" applyProtection="1">
      <protection locked="0"/>
    </xf>
    <xf numFmtId="0" fontId="100" fillId="0" borderId="0" xfId="50" applyFont="1" applyFill="1" applyBorder="1" applyAlignment="1" applyProtection="1">
      <alignment horizontal="center"/>
      <protection locked="0"/>
    </xf>
    <xf numFmtId="0" fontId="100" fillId="0" borderId="96" xfId="50" applyFont="1" applyFill="1" applyBorder="1" applyProtection="1">
      <protection locked="0"/>
    </xf>
    <xf numFmtId="0" fontId="17" fillId="33" borderId="0" xfId="50" applyFont="1" applyFill="1" applyAlignment="1">
      <alignment horizontal="center"/>
    </xf>
    <xf numFmtId="0" fontId="17" fillId="33" borderId="96" xfId="50" applyFont="1" applyFill="1" applyBorder="1"/>
    <xf numFmtId="0" fontId="17" fillId="0" borderId="0" xfId="50" applyFont="1" applyFill="1" applyAlignment="1">
      <alignment horizontal="center"/>
    </xf>
    <xf numFmtId="0" fontId="17" fillId="0" borderId="96" xfId="50" applyFont="1" applyFill="1" applyBorder="1"/>
    <xf numFmtId="0" fontId="17" fillId="0" borderId="0" xfId="50" applyFont="1" applyAlignment="1">
      <alignment horizontal="center"/>
    </xf>
    <xf numFmtId="0" fontId="17" fillId="0" borderId="20" xfId="50" applyFont="1" applyBorder="1"/>
    <xf numFmtId="0" fontId="17" fillId="12" borderId="124" xfId="50" applyNumberFormat="1" applyFont="1" applyFill="1" applyBorder="1" applyAlignment="1" applyProtection="1">
      <alignment horizontal="center"/>
    </xf>
    <xf numFmtId="0" fontId="17" fillId="32" borderId="127" xfId="50" applyNumberFormat="1" applyFont="1" applyFill="1" applyBorder="1" applyAlignment="1" applyProtection="1">
      <alignment horizontal="center"/>
    </xf>
    <xf numFmtId="0" fontId="17" fillId="12" borderId="127" xfId="50" applyNumberFormat="1" applyFont="1" applyFill="1" applyBorder="1" applyAlignment="1" applyProtection="1">
      <alignment horizontal="center"/>
    </xf>
    <xf numFmtId="0" fontId="17" fillId="0" borderId="97" xfId="50" quotePrefix="1" applyFont="1" applyBorder="1" applyAlignment="1">
      <alignment horizontal="center"/>
    </xf>
    <xf numFmtId="0" fontId="17" fillId="0" borderId="98" xfId="50" quotePrefix="1" applyFont="1" applyBorder="1" applyAlignment="1">
      <alignment horizontal="center"/>
    </xf>
    <xf numFmtId="0" fontId="17" fillId="0" borderId="99" xfId="50" quotePrefix="1" applyFont="1" applyBorder="1" applyAlignment="1">
      <alignment horizontal="center"/>
    </xf>
    <xf numFmtId="0" fontId="17" fillId="0" borderId="100" xfId="50" quotePrefix="1" applyFont="1" applyBorder="1" applyAlignment="1">
      <alignment horizontal="center"/>
    </xf>
    <xf numFmtId="0" fontId="17" fillId="0" borderId="101" xfId="50" quotePrefix="1" applyFont="1" applyBorder="1" applyAlignment="1">
      <alignment horizontal="center"/>
    </xf>
    <xf numFmtId="191" fontId="17" fillId="7" borderId="98" xfId="50" applyNumberFormat="1" applyFont="1" applyFill="1" applyBorder="1" applyAlignment="1" applyProtection="1">
      <alignment horizontal="center"/>
    </xf>
    <xf numFmtId="0" fontId="17" fillId="7" borderId="98" xfId="50" applyNumberFormat="1" applyFont="1" applyFill="1" applyBorder="1" applyAlignment="1" applyProtection="1"/>
    <xf numFmtId="0" fontId="17" fillId="7" borderId="98" xfId="50" applyNumberFormat="1" applyFont="1" applyFill="1" applyBorder="1" applyAlignment="1" applyProtection="1">
      <alignment horizontal="left" indent="1"/>
    </xf>
    <xf numFmtId="0" fontId="17" fillId="7" borderId="98" xfId="50" applyNumberFormat="1" applyFont="1" applyFill="1" applyBorder="1" applyAlignment="1" applyProtection="1">
      <alignment horizontal="right" indent="1"/>
    </xf>
    <xf numFmtId="10" fontId="17" fillId="7" borderId="101" xfId="62" applyNumberFormat="1" applyFont="1" applyFill="1" applyBorder="1" applyAlignment="1" applyProtection="1">
      <alignment horizontal="right" indent="1"/>
    </xf>
    <xf numFmtId="191" fontId="17" fillId="7" borderId="103" xfId="50" applyNumberFormat="1" applyFont="1" applyFill="1" applyBorder="1" applyAlignment="1" applyProtection="1">
      <alignment horizontal="center"/>
    </xf>
    <xf numFmtId="0" fontId="17" fillId="7" borderId="103" xfId="50" applyNumberFormat="1" applyFont="1" applyFill="1" applyBorder="1" applyAlignment="1" applyProtection="1"/>
    <xf numFmtId="0" fontId="17" fillId="7" borderId="103" xfId="50" applyNumberFormat="1" applyFont="1" applyFill="1" applyBorder="1" applyAlignment="1" applyProtection="1">
      <alignment horizontal="left" indent="1"/>
    </xf>
    <xf numFmtId="0" fontId="17" fillId="7" borderId="103" xfId="50" applyNumberFormat="1" applyFont="1" applyFill="1" applyBorder="1" applyAlignment="1" applyProtection="1">
      <alignment horizontal="right" indent="1"/>
    </xf>
    <xf numFmtId="10" fontId="17" fillId="7" borderId="106" xfId="62" applyNumberFormat="1" applyFont="1" applyFill="1" applyBorder="1" applyAlignment="1" applyProtection="1">
      <alignment horizontal="right" indent="1"/>
    </xf>
    <xf numFmtId="191" fontId="17" fillId="7" borderId="108" xfId="50" applyNumberFormat="1" applyFont="1" applyFill="1" applyBorder="1" applyAlignment="1" applyProtection="1">
      <alignment horizontal="center"/>
    </xf>
    <xf numFmtId="0" fontId="17" fillId="7" borderId="108" xfId="50" applyNumberFormat="1" applyFont="1" applyFill="1" applyBorder="1" applyAlignment="1" applyProtection="1"/>
    <xf numFmtId="0" fontId="17" fillId="7" borderId="108" xfId="50" applyNumberFormat="1" applyFont="1" applyFill="1" applyBorder="1" applyAlignment="1" applyProtection="1">
      <alignment horizontal="left" indent="1"/>
    </xf>
    <xf numFmtId="0" fontId="17" fillId="7" borderId="108" xfId="50" applyNumberFormat="1" applyFont="1" applyFill="1" applyBorder="1" applyAlignment="1" applyProtection="1">
      <alignment horizontal="right" indent="1"/>
    </xf>
    <xf numFmtId="10" fontId="17" fillId="7" borderId="111" xfId="62" applyNumberFormat="1" applyFont="1" applyFill="1" applyBorder="1" applyAlignment="1" applyProtection="1">
      <alignment horizontal="right" indent="1"/>
    </xf>
    <xf numFmtId="0" fontId="99" fillId="32" borderId="0" xfId="50" applyFont="1" applyFill="1"/>
    <xf numFmtId="0" fontId="17" fillId="32" borderId="0" xfId="50" applyFont="1" applyFill="1" applyAlignment="1">
      <alignment horizontal="center"/>
    </xf>
    <xf numFmtId="0" fontId="99" fillId="0" borderId="0" xfId="50" applyFont="1"/>
    <xf numFmtId="191" fontId="17" fillId="12" borderId="112" xfId="50" applyNumberFormat="1" applyFont="1" applyFill="1" applyBorder="1" applyAlignment="1" applyProtection="1">
      <alignment horizontal="center"/>
    </xf>
    <xf numFmtId="191" fontId="17" fillId="12" borderId="114" xfId="50" applyNumberFormat="1" applyFont="1" applyFill="1" applyBorder="1" applyAlignment="1" applyProtection="1">
      <alignment horizontal="center"/>
    </xf>
    <xf numFmtId="191" fontId="17" fillId="12" borderId="114" xfId="50" applyNumberFormat="1" applyFont="1" applyFill="1" applyBorder="1" applyAlignment="1" applyProtection="1">
      <alignment horizontal="center" wrapText="1"/>
    </xf>
    <xf numFmtId="191" fontId="17" fillId="12" borderId="115" xfId="50" applyNumberFormat="1" applyFont="1" applyFill="1" applyBorder="1" applyAlignment="1" applyProtection="1">
      <alignment horizontal="center" wrapText="1"/>
    </xf>
    <xf numFmtId="191" fontId="17" fillId="12" borderId="128" xfId="50" applyNumberFormat="1" applyFont="1" applyFill="1" applyBorder="1" applyAlignment="1" applyProtection="1">
      <alignment horizontal="center"/>
    </xf>
    <xf numFmtId="191" fontId="17" fillId="34" borderId="98" xfId="50" applyNumberFormat="1" applyFont="1" applyFill="1" applyBorder="1" applyAlignment="1" applyProtection="1"/>
    <xf numFmtId="191" fontId="17" fillId="34" borderId="98" xfId="50" applyNumberFormat="1" applyFont="1" applyFill="1" applyBorder="1" applyAlignment="1" applyProtection="1">
      <alignment horizontal="left" indent="1"/>
    </xf>
    <xf numFmtId="191" fontId="17" fillId="34" borderId="98" xfId="50" applyNumberFormat="1" applyFont="1" applyFill="1" applyBorder="1" applyAlignment="1" applyProtection="1">
      <alignment horizontal="right" indent="1"/>
    </xf>
    <xf numFmtId="191" fontId="17" fillId="34" borderId="103" xfId="50" applyNumberFormat="1" applyFont="1" applyFill="1" applyBorder="1" applyAlignment="1" applyProtection="1"/>
    <xf numFmtId="191" fontId="17" fillId="34" borderId="103" xfId="50" applyNumberFormat="1" applyFont="1" applyFill="1" applyBorder="1" applyAlignment="1" applyProtection="1">
      <alignment horizontal="left" indent="1"/>
    </xf>
    <xf numFmtId="191" fontId="17" fillId="34" borderId="103" xfId="50" applyNumberFormat="1" applyFont="1" applyFill="1" applyBorder="1" applyAlignment="1" applyProtection="1">
      <alignment horizontal="right" indent="1"/>
    </xf>
    <xf numFmtId="191" fontId="17" fillId="34" borderId="108" xfId="50" applyNumberFormat="1" applyFont="1" applyFill="1" applyBorder="1" applyAlignment="1" applyProtection="1"/>
    <xf numFmtId="191" fontId="17" fillId="34" borderId="108" xfId="50" applyNumberFormat="1" applyFont="1" applyFill="1" applyBorder="1" applyAlignment="1" applyProtection="1">
      <alignment horizontal="left" indent="1"/>
    </xf>
    <xf numFmtId="191" fontId="17" fillId="7" borderId="97" xfId="50" applyNumberFormat="1" applyFont="1" applyFill="1" applyBorder="1" applyAlignment="1" applyProtection="1">
      <alignment horizontal="center"/>
    </xf>
    <xf numFmtId="191" fontId="17" fillId="7" borderId="98" xfId="50" applyNumberFormat="1" applyFont="1" applyFill="1" applyBorder="1" applyAlignment="1" applyProtection="1"/>
    <xf numFmtId="191" fontId="17" fillId="7" borderId="98" xfId="50" applyNumberFormat="1" applyFont="1" applyFill="1" applyBorder="1" applyAlignment="1" applyProtection="1">
      <alignment horizontal="left" indent="1"/>
    </xf>
    <xf numFmtId="191" fontId="17" fillId="7" borderId="98" xfId="50" applyNumberFormat="1" applyFont="1" applyFill="1" applyBorder="1" applyAlignment="1" applyProtection="1">
      <alignment horizontal="right" indent="1"/>
    </xf>
    <xf numFmtId="191" fontId="17" fillId="7" borderId="118" xfId="50" applyNumberFormat="1" applyFont="1" applyFill="1" applyBorder="1" applyAlignment="1" applyProtection="1">
      <alignment horizontal="center"/>
    </xf>
    <xf numFmtId="191" fontId="17" fillId="7" borderId="118" xfId="50" applyNumberFormat="1" applyFont="1" applyFill="1" applyBorder="1" applyAlignment="1" applyProtection="1"/>
    <xf numFmtId="191" fontId="17" fillId="7" borderId="118" xfId="50" applyNumberFormat="1" applyFont="1" applyFill="1" applyBorder="1" applyAlignment="1" applyProtection="1">
      <alignment horizontal="left" indent="1"/>
    </xf>
    <xf numFmtId="191" fontId="17" fillId="7" borderId="118" xfId="50" applyNumberFormat="1" applyFont="1" applyFill="1" applyBorder="1" applyAlignment="1" applyProtection="1">
      <alignment horizontal="right" indent="1"/>
    </xf>
    <xf numFmtId="191" fontId="17" fillId="7" borderId="103" xfId="50" applyNumberFormat="1" applyFont="1" applyFill="1" applyBorder="1" applyAlignment="1" applyProtection="1"/>
    <xf numFmtId="191" fontId="17" fillId="7" borderId="103" xfId="50" applyNumberFormat="1" applyFont="1" applyFill="1" applyBorder="1" applyAlignment="1" applyProtection="1">
      <alignment horizontal="left" indent="1"/>
    </xf>
    <xf numFmtId="191" fontId="17" fillId="7" borderId="103" xfId="50" applyNumberFormat="1" applyFont="1" applyFill="1" applyBorder="1" applyAlignment="1" applyProtection="1">
      <alignment horizontal="right" indent="1"/>
    </xf>
    <xf numFmtId="191" fontId="17" fillId="7" borderId="108" xfId="50" applyNumberFormat="1" applyFont="1" applyFill="1" applyBorder="1" applyAlignment="1" applyProtection="1"/>
    <xf numFmtId="191" fontId="17" fillId="7" borderId="108" xfId="50" applyNumberFormat="1" applyFont="1" applyFill="1" applyBorder="1" applyAlignment="1" applyProtection="1">
      <alignment horizontal="left" indent="1"/>
    </xf>
    <xf numFmtId="0" fontId="20" fillId="5" borderId="96" xfId="50" applyFont="1" applyFill="1" applyBorder="1" applyProtection="1"/>
    <xf numFmtId="0" fontId="20" fillId="0" borderId="96" xfId="50" applyFont="1" applyFill="1" applyBorder="1" applyProtection="1"/>
    <xf numFmtId="0" fontId="25" fillId="33" borderId="0" xfId="50" applyFont="1" applyFill="1" applyBorder="1" applyAlignment="1" applyProtection="1">
      <alignment horizontal="center"/>
    </xf>
    <xf numFmtId="0" fontId="25" fillId="33" borderId="0" xfId="50" applyFont="1" applyFill="1" applyBorder="1" applyProtection="1"/>
    <xf numFmtId="0" fontId="25" fillId="33" borderId="96" xfId="50" applyFont="1" applyFill="1" applyBorder="1" applyProtection="1"/>
    <xf numFmtId="191" fontId="17" fillId="0" borderId="0" xfId="50" applyNumberFormat="1" applyFont="1" applyFill="1" applyBorder="1" applyAlignment="1" applyProtection="1">
      <alignment horizontal="left"/>
    </xf>
    <xf numFmtId="0" fontId="25" fillId="0" borderId="96" xfId="50" applyFont="1" applyFill="1" applyBorder="1" applyProtection="1"/>
    <xf numFmtId="191" fontId="17" fillId="34" borderId="98" xfId="50" applyNumberFormat="1" applyFont="1" applyFill="1" applyBorder="1" applyAlignment="1" applyProtection="1">
      <alignment horizontal="right"/>
    </xf>
    <xf numFmtId="190" fontId="17" fillId="0" borderId="146" xfId="61" applyNumberFormat="1" applyFont="1" applyFill="1" applyBorder="1" applyAlignment="1" applyProtection="1">
      <alignment horizontal="center"/>
    </xf>
    <xf numFmtId="191" fontId="17" fillId="34" borderId="103" xfId="50" applyNumberFormat="1" applyFont="1" applyFill="1" applyBorder="1" applyAlignment="1" applyProtection="1">
      <alignment horizontal="right"/>
    </xf>
    <xf numFmtId="191" fontId="17" fillId="34" borderId="108" xfId="50" applyNumberFormat="1" applyFont="1" applyFill="1" applyBorder="1" applyAlignment="1" applyProtection="1">
      <alignment horizontal="right"/>
    </xf>
    <xf numFmtId="0" fontId="17" fillId="0" borderId="20" xfId="50" applyFont="1" applyBorder="1" applyAlignment="1">
      <alignment horizontal="center" vertical="center"/>
    </xf>
    <xf numFmtId="0" fontId="10" fillId="5" borderId="0" xfId="50" applyFont="1" applyFill="1" applyAlignment="1">
      <alignment horizontal="center"/>
    </xf>
    <xf numFmtId="0" fontId="10" fillId="0" borderId="0" xfId="50" applyFont="1" applyFill="1" applyAlignment="1">
      <alignment horizontal="center"/>
    </xf>
    <xf numFmtId="191" fontId="17" fillId="12" borderId="112" xfId="50" applyNumberFormat="1" applyFont="1" applyFill="1" applyBorder="1" applyAlignment="1" applyProtection="1">
      <alignment horizontal="center" wrapText="1"/>
    </xf>
    <xf numFmtId="191" fontId="17" fillId="12" borderId="124" xfId="50" applyNumberFormat="1" applyFont="1" applyFill="1" applyBorder="1" applyAlignment="1" applyProtection="1">
      <alignment horizontal="center" wrapText="1"/>
    </xf>
    <xf numFmtId="191" fontId="17" fillId="12" borderId="127" xfId="50" applyNumberFormat="1" applyFont="1" applyFill="1" applyBorder="1" applyAlignment="1" applyProtection="1">
      <alignment horizontal="center" wrapText="1"/>
    </xf>
    <xf numFmtId="191" fontId="17" fillId="12" borderId="128" xfId="50" applyNumberFormat="1" applyFont="1" applyFill="1" applyBorder="1" applyAlignment="1" applyProtection="1">
      <alignment horizontal="center" wrapText="1"/>
    </xf>
    <xf numFmtId="172" fontId="3" fillId="0" borderId="0" xfId="57" applyFill="1" applyBorder="1" applyProtection="1">
      <alignment vertical="center"/>
    </xf>
    <xf numFmtId="172" fontId="3" fillId="0" borderId="96" xfId="57" applyFill="1" applyBorder="1" applyProtection="1">
      <alignment vertical="center"/>
    </xf>
    <xf numFmtId="0" fontId="101" fillId="0" borderId="0" xfId="61" applyFont="1" applyBorder="1" applyAlignment="1" applyProtection="1">
      <alignment horizontal="center"/>
    </xf>
    <xf numFmtId="0" fontId="101" fillId="0" borderId="96" xfId="61" applyFont="1" applyBorder="1" applyAlignment="1" applyProtection="1">
      <alignment horizontal="center"/>
    </xf>
    <xf numFmtId="0" fontId="17" fillId="0" borderId="97" xfId="50" applyFont="1" applyBorder="1" applyAlignment="1" applyProtection="1">
      <alignment horizontal="center" wrapText="1"/>
    </xf>
    <xf numFmtId="0" fontId="17" fillId="0" borderId="98" xfId="50" applyFont="1" applyBorder="1" applyAlignment="1" applyProtection="1">
      <alignment horizontal="center" wrapText="1"/>
    </xf>
    <xf numFmtId="0" fontId="17" fillId="0" borderId="99" xfId="50" applyFont="1" applyBorder="1" applyAlignment="1" applyProtection="1">
      <alignment horizontal="center" wrapText="1"/>
    </xf>
    <xf numFmtId="0" fontId="17" fillId="0" borderId="100" xfId="50" applyFont="1" applyBorder="1" applyAlignment="1" applyProtection="1">
      <alignment horizontal="center" wrapText="1"/>
    </xf>
    <xf numFmtId="0" fontId="17" fillId="0" borderId="101" xfId="50" applyFont="1" applyBorder="1" applyAlignment="1" applyProtection="1">
      <alignment horizontal="center" wrapText="1"/>
    </xf>
    <xf numFmtId="190" fontId="17" fillId="0" borderId="143" xfId="61" applyNumberFormat="1" applyFont="1" applyFill="1" applyBorder="1" applyAlignment="1" applyProtection="1">
      <alignment horizontal="center"/>
    </xf>
    <xf numFmtId="190" fontId="17" fillId="0" borderId="147" xfId="61" applyNumberFormat="1" applyFont="1" applyFill="1" applyBorder="1" applyAlignment="1" applyProtection="1">
      <alignment horizontal="center"/>
    </xf>
    <xf numFmtId="0" fontId="17" fillId="0" borderId="97" xfId="50" applyFont="1" applyBorder="1" applyAlignment="1" applyProtection="1">
      <alignment horizontal="left" indent="1"/>
    </xf>
    <xf numFmtId="14" fontId="17" fillId="35" borderId="103" xfId="50" applyNumberFormat="1" applyFont="1" applyFill="1" applyBorder="1" applyAlignment="1" applyProtection="1">
      <alignment horizontal="center"/>
      <protection locked="0"/>
    </xf>
    <xf numFmtId="14" fontId="17" fillId="35" borderId="118" xfId="50" applyNumberFormat="1" applyFont="1" applyFill="1" applyBorder="1" applyAlignment="1" applyProtection="1">
      <alignment horizontal="center"/>
      <protection locked="0"/>
    </xf>
    <xf numFmtId="14" fontId="17" fillId="35" borderId="149" xfId="50" applyNumberFormat="1" applyFont="1" applyFill="1" applyBorder="1" applyAlignment="1" applyProtection="1">
      <alignment horizontal="center"/>
      <protection locked="0"/>
    </xf>
    <xf numFmtId="0" fontId="17" fillId="35" borderId="131" xfId="50" applyFont="1" applyFill="1" applyBorder="1" applyAlignment="1" applyProtection="1">
      <protection locked="0"/>
    </xf>
    <xf numFmtId="0" fontId="17" fillId="35" borderId="132" xfId="50" applyFont="1" applyFill="1" applyBorder="1" applyAlignment="1" applyProtection="1">
      <protection locked="0"/>
    </xf>
    <xf numFmtId="0" fontId="17" fillId="35" borderId="133" xfId="50" applyFont="1" applyFill="1" applyBorder="1" applyAlignment="1" applyProtection="1">
      <protection locked="0"/>
    </xf>
    <xf numFmtId="0" fontId="17" fillId="35" borderId="139" xfId="50" applyFont="1" applyFill="1" applyBorder="1" applyAlignment="1" applyProtection="1">
      <protection locked="0"/>
    </xf>
    <xf numFmtId="0" fontId="17" fillId="35" borderId="99" xfId="50" applyFont="1" applyFill="1" applyBorder="1" applyAlignment="1" applyProtection="1">
      <protection locked="0"/>
    </xf>
    <xf numFmtId="172" fontId="3" fillId="35" borderId="108" xfId="60" applyNumberFormat="1" applyFill="1" applyBorder="1" applyAlignment="1">
      <alignment horizontal="left"/>
      <protection locked="0"/>
    </xf>
    <xf numFmtId="172" fontId="3" fillId="35" borderId="109" xfId="60" applyNumberFormat="1" applyFill="1" applyBorder="1" applyAlignment="1">
      <protection locked="0"/>
    </xf>
    <xf numFmtId="172" fontId="3" fillId="35" borderId="121" xfId="60" applyNumberFormat="1" applyFill="1" applyBorder="1" applyAlignment="1">
      <protection locked="0"/>
    </xf>
    <xf numFmtId="172" fontId="3" fillId="35" borderId="122" xfId="60" applyNumberFormat="1" applyFill="1" applyBorder="1" applyAlignment="1">
      <protection locked="0"/>
    </xf>
    <xf numFmtId="0" fontId="17" fillId="0" borderId="99" xfId="50" applyFont="1" applyBorder="1" applyAlignment="1" applyProtection="1">
      <alignment horizontal="left" indent="1"/>
    </xf>
    <xf numFmtId="0" fontId="70" fillId="5" borderId="0" xfId="38" applyFont="1" applyFill="1" applyBorder="1" applyAlignment="1">
      <alignment horizontal="left"/>
    </xf>
    <xf numFmtId="0" fontId="17" fillId="5" borderId="0" xfId="50" applyFont="1" applyFill="1" applyProtection="1"/>
    <xf numFmtId="0" fontId="17" fillId="5" borderId="0" xfId="50" applyFont="1" applyFill="1" applyBorder="1"/>
    <xf numFmtId="0" fontId="17" fillId="5" borderId="0" xfId="38" applyFont="1" applyFill="1" applyBorder="1"/>
    <xf numFmtId="0" fontId="17" fillId="5" borderId="0" xfId="50" applyFont="1" applyFill="1"/>
    <xf numFmtId="0" fontId="17" fillId="5" borderId="96" xfId="50" applyFont="1" applyFill="1" applyBorder="1" applyProtection="1"/>
    <xf numFmtId="0" fontId="70" fillId="0" borderId="0" xfId="38" applyFont="1" applyFill="1" applyBorder="1" applyAlignment="1">
      <alignment horizontal="left"/>
    </xf>
    <xf numFmtId="0" fontId="97" fillId="0" borderId="0" xfId="38" applyFont="1" applyBorder="1"/>
    <xf numFmtId="0" fontId="17" fillId="0" borderId="0" xfId="38" applyFont="1" applyBorder="1"/>
    <xf numFmtId="0" fontId="17" fillId="0" borderId="89" xfId="38" applyFont="1" applyBorder="1" applyAlignment="1">
      <alignment horizontal="left"/>
    </xf>
    <xf numFmtId="0" fontId="17" fillId="0" borderId="89" xfId="50" applyFont="1" applyBorder="1" applyProtection="1"/>
    <xf numFmtId="0" fontId="17" fillId="0" borderId="89" xfId="38" applyFont="1" applyBorder="1"/>
    <xf numFmtId="172" fontId="17" fillId="19" borderId="13" xfId="50" applyNumberFormat="1" applyFont="1" applyFill="1" applyBorder="1" applyAlignment="1" applyProtection="1">
      <protection locked="0"/>
    </xf>
    <xf numFmtId="0" fontId="25" fillId="0" borderId="0" xfId="50" applyFont="1"/>
    <xf numFmtId="189" fontId="17" fillId="7" borderId="102" xfId="50" applyNumberFormat="1" applyFont="1" applyFill="1" applyBorder="1" applyAlignment="1" applyProtection="1"/>
    <xf numFmtId="189" fontId="17" fillId="7" borderId="103" xfId="50" applyNumberFormat="1" applyFont="1" applyFill="1" applyBorder="1" applyAlignment="1" applyProtection="1"/>
    <xf numFmtId="189" fontId="17" fillId="7" borderId="104" xfId="50" applyNumberFormat="1" applyFont="1" applyFill="1" applyBorder="1" applyAlignment="1" applyProtection="1"/>
    <xf numFmtId="189" fontId="17" fillId="7" borderId="105" xfId="50" applyNumberFormat="1" applyFont="1" applyFill="1" applyBorder="1" applyAlignment="1" applyProtection="1"/>
    <xf numFmtId="189" fontId="17" fillId="7" borderId="106" xfId="50" applyNumberFormat="1" applyFont="1" applyFill="1" applyBorder="1" applyAlignment="1" applyProtection="1"/>
    <xf numFmtId="172" fontId="17" fillId="34" borderId="13" xfId="50" applyNumberFormat="1" applyFont="1" applyFill="1" applyBorder="1" applyAlignment="1" applyProtection="1"/>
    <xf numFmtId="0" fontId="17" fillId="19" borderId="89" xfId="38" applyFont="1" applyFill="1" applyBorder="1" applyAlignment="1">
      <alignment horizontal="left"/>
    </xf>
    <xf numFmtId="0" fontId="17" fillId="19" borderId="89" xfId="50" applyFont="1" applyFill="1" applyBorder="1" applyProtection="1"/>
    <xf numFmtId="0" fontId="17" fillId="19" borderId="89" xfId="61" applyFont="1" applyFill="1" applyBorder="1" applyAlignment="1">
      <alignment wrapText="1"/>
    </xf>
    <xf numFmtId="189" fontId="17" fillId="19" borderId="116" xfId="50" applyNumberFormat="1" applyFont="1" applyFill="1" applyBorder="1" applyAlignment="1" applyProtection="1">
      <protection locked="0"/>
    </xf>
    <xf numFmtId="189" fontId="17" fillId="19" borderId="118" xfId="50" applyNumberFormat="1" applyFont="1" applyFill="1" applyBorder="1" applyAlignment="1" applyProtection="1">
      <protection locked="0"/>
    </xf>
    <xf numFmtId="189" fontId="17" fillId="19" borderId="149" xfId="50" applyNumberFormat="1" applyFont="1" applyFill="1" applyBorder="1" applyAlignment="1" applyProtection="1">
      <protection locked="0"/>
    </xf>
    <xf numFmtId="189" fontId="17" fillId="19" borderId="150" xfId="50" applyNumberFormat="1" applyFont="1" applyFill="1" applyBorder="1" applyAlignment="1" applyProtection="1">
      <protection locked="0"/>
    </xf>
    <xf numFmtId="189" fontId="17" fillId="19" borderId="119" xfId="50" applyNumberFormat="1" applyFont="1" applyFill="1" applyBorder="1" applyAlignment="1" applyProtection="1">
      <protection locked="0"/>
    </xf>
    <xf numFmtId="0" fontId="25" fillId="0" borderId="89" xfId="38" applyFont="1" applyBorder="1" applyAlignment="1">
      <alignment horizontal="left"/>
    </xf>
    <xf numFmtId="189" fontId="3" fillId="30" borderId="97" xfId="57" applyNumberFormat="1" applyBorder="1" applyProtection="1">
      <alignment vertical="center"/>
    </xf>
    <xf numFmtId="189" fontId="3" fillId="30" borderId="98" xfId="57" applyNumberFormat="1" applyBorder="1" applyProtection="1">
      <alignment vertical="center"/>
    </xf>
    <xf numFmtId="189" fontId="3" fillId="30" borderId="99" xfId="57" applyNumberFormat="1" applyBorder="1" applyProtection="1">
      <alignment vertical="center"/>
    </xf>
    <xf numFmtId="189" fontId="3" fillId="30" borderId="100" xfId="57" applyNumberFormat="1" applyBorder="1" applyProtection="1">
      <alignment vertical="center"/>
    </xf>
    <xf numFmtId="189" fontId="3" fillId="30" borderId="101" xfId="57" applyNumberFormat="1" applyBorder="1" applyProtection="1">
      <alignment vertical="center"/>
    </xf>
    <xf numFmtId="172" fontId="3" fillId="30" borderId="13" xfId="57" applyBorder="1" applyProtection="1">
      <alignment vertical="center"/>
    </xf>
    <xf numFmtId="0" fontId="17" fillId="0" borderId="89" xfId="61" applyFont="1" applyBorder="1" applyAlignment="1">
      <alignment wrapText="1"/>
    </xf>
    <xf numFmtId="0" fontId="17" fillId="0" borderId="89" xfId="61" applyFont="1" applyBorder="1" applyAlignment="1">
      <alignment horizontal="left" wrapText="1"/>
    </xf>
    <xf numFmtId="0" fontId="17" fillId="0" borderId="151" xfId="38" applyFont="1" applyBorder="1" applyAlignment="1">
      <alignment horizontal="center"/>
    </xf>
    <xf numFmtId="0" fontId="17" fillId="0" borderId="151" xfId="50" applyFont="1" applyBorder="1" applyProtection="1"/>
    <xf numFmtId="0" fontId="17" fillId="0" borderId="151" xfId="38" applyFont="1" applyBorder="1"/>
    <xf numFmtId="0" fontId="17" fillId="0" borderId="151" xfId="50" applyFont="1" applyBorder="1"/>
    <xf numFmtId="166" fontId="17" fillId="0" borderId="0" xfId="38" applyNumberFormat="1" applyFont="1" applyFill="1" applyBorder="1"/>
    <xf numFmtId="166" fontId="17" fillId="0" borderId="96" xfId="38" applyNumberFormat="1" applyFont="1" applyFill="1" applyBorder="1"/>
    <xf numFmtId="0" fontId="25" fillId="0" borderId="152" xfId="38" applyFont="1" applyBorder="1" applyAlignment="1">
      <alignment horizontal="left"/>
    </xf>
    <xf numFmtId="0" fontId="17" fillId="0" borderId="152" xfId="50" applyFont="1" applyBorder="1" applyProtection="1"/>
    <xf numFmtId="0" fontId="17" fillId="0" borderId="152" xfId="50" applyFont="1" applyBorder="1"/>
    <xf numFmtId="0" fontId="17" fillId="0" borderId="152" xfId="38" applyFont="1" applyBorder="1"/>
    <xf numFmtId="189" fontId="17" fillId="7" borderId="153" xfId="50" applyNumberFormat="1" applyFont="1" applyFill="1" applyBorder="1" applyAlignment="1" applyProtection="1"/>
    <xf numFmtId="189" fontId="17" fillId="7" borderId="154" xfId="50" applyNumberFormat="1" applyFont="1" applyFill="1" applyBorder="1" applyAlignment="1" applyProtection="1"/>
    <xf numFmtId="189" fontId="17" fillId="7" borderId="155" xfId="50" applyNumberFormat="1" applyFont="1" applyFill="1" applyBorder="1" applyAlignment="1" applyProtection="1"/>
    <xf numFmtId="189" fontId="17" fillId="7" borderId="156" xfId="50" applyNumberFormat="1" applyFont="1" applyFill="1" applyBorder="1" applyAlignment="1" applyProtection="1"/>
    <xf numFmtId="189" fontId="17" fillId="7" borderId="157" xfId="50" applyNumberFormat="1" applyFont="1" applyFill="1" applyBorder="1" applyAlignment="1" applyProtection="1"/>
    <xf numFmtId="172" fontId="17" fillId="34" borderId="10" xfId="50" applyNumberFormat="1" applyFont="1" applyFill="1" applyBorder="1" applyAlignment="1" applyProtection="1"/>
    <xf numFmtId="189" fontId="17" fillId="19" borderId="153" xfId="50" applyNumberFormat="1" applyFont="1" applyFill="1" applyBorder="1" applyAlignment="1" applyProtection="1">
      <protection locked="0"/>
    </xf>
    <xf numFmtId="189" fontId="17" fillId="19" borderId="154" xfId="50" applyNumberFormat="1" applyFont="1" applyFill="1" applyBorder="1" applyAlignment="1" applyProtection="1">
      <protection locked="0"/>
    </xf>
    <xf numFmtId="189" fontId="17" fillId="19" borderId="155" xfId="50" applyNumberFormat="1" applyFont="1" applyFill="1" applyBorder="1" applyAlignment="1" applyProtection="1">
      <protection locked="0"/>
    </xf>
    <xf numFmtId="189" fontId="17" fillId="19" borderId="156" xfId="50" applyNumberFormat="1" applyFont="1" applyFill="1" applyBorder="1" applyAlignment="1" applyProtection="1">
      <protection locked="0"/>
    </xf>
    <xf numFmtId="189" fontId="17" fillId="19" borderId="157" xfId="50" applyNumberFormat="1" applyFont="1" applyFill="1" applyBorder="1" applyAlignment="1" applyProtection="1">
      <protection locked="0"/>
    </xf>
    <xf numFmtId="0" fontId="17" fillId="0" borderId="151" xfId="38" applyFont="1" applyBorder="1" applyAlignment="1">
      <alignment horizontal="left"/>
    </xf>
    <xf numFmtId="166" fontId="17" fillId="0" borderId="0" xfId="38" applyNumberFormat="1" applyFont="1" applyBorder="1"/>
    <xf numFmtId="166" fontId="17" fillId="0" borderId="96" xfId="38" applyNumberFormat="1" applyFont="1" applyBorder="1"/>
    <xf numFmtId="0" fontId="25" fillId="0" borderId="152" xfId="50" applyFont="1" applyFill="1" applyBorder="1" applyAlignment="1">
      <alignment vertical="center"/>
    </xf>
    <xf numFmtId="0" fontId="3" fillId="0" borderId="152" xfId="0" applyFont="1" applyBorder="1"/>
    <xf numFmtId="189" fontId="17" fillId="7" borderId="97" xfId="50" applyNumberFormat="1" applyFont="1" applyFill="1" applyBorder="1" applyAlignment="1" applyProtection="1"/>
    <xf numFmtId="189" fontId="17" fillId="7" borderId="98" xfId="50" applyNumberFormat="1" applyFont="1" applyFill="1" applyBorder="1" applyAlignment="1" applyProtection="1"/>
    <xf numFmtId="189" fontId="17" fillId="7" borderId="99" xfId="50" applyNumberFormat="1" applyFont="1" applyFill="1" applyBorder="1" applyAlignment="1" applyProtection="1"/>
    <xf numFmtId="189" fontId="17" fillId="7" borderId="100" xfId="50" applyNumberFormat="1" applyFont="1" applyFill="1" applyBorder="1" applyAlignment="1" applyProtection="1"/>
    <xf numFmtId="189" fontId="17" fillId="7" borderId="101" xfId="50" applyNumberFormat="1" applyFont="1" applyFill="1" applyBorder="1" applyAlignment="1" applyProtection="1"/>
    <xf numFmtId="0" fontId="17" fillId="0" borderId="89" xfId="50" applyFont="1" applyFill="1" applyBorder="1" applyAlignment="1">
      <alignment horizontal="left" vertical="center" wrapText="1"/>
    </xf>
    <xf numFmtId="0" fontId="17" fillId="0" borderId="0" xfId="50" applyFont="1" applyBorder="1" applyAlignment="1" applyProtection="1">
      <alignment horizontal="left"/>
    </xf>
    <xf numFmtId="0" fontId="25" fillId="0" borderId="152" xfId="50" applyFont="1" applyBorder="1" applyProtection="1"/>
    <xf numFmtId="10" fontId="3" fillId="19" borderId="97" xfId="56" applyNumberFormat="1" applyFill="1" applyBorder="1" applyAlignment="1" applyProtection="1">
      <alignment vertical="center"/>
      <protection locked="0"/>
    </xf>
    <xf numFmtId="10" fontId="3" fillId="19" borderId="98" xfId="56" applyNumberFormat="1" applyFill="1" applyBorder="1" applyAlignment="1" applyProtection="1">
      <alignment vertical="center"/>
      <protection locked="0"/>
    </xf>
    <xf numFmtId="10" fontId="3" fillId="19" borderId="99" xfId="56" applyNumberFormat="1" applyFill="1" applyBorder="1" applyAlignment="1" applyProtection="1">
      <alignment vertical="center"/>
      <protection locked="0"/>
    </xf>
    <xf numFmtId="10" fontId="3" fillId="19" borderId="100" xfId="56" applyNumberFormat="1" applyFill="1" applyBorder="1" applyAlignment="1" applyProtection="1">
      <alignment vertical="center"/>
      <protection locked="0"/>
    </xf>
    <xf numFmtId="10" fontId="3" fillId="19" borderId="101" xfId="56" applyNumberFormat="1" applyFill="1" applyBorder="1" applyAlignment="1" applyProtection="1">
      <alignment vertical="center"/>
      <protection locked="0"/>
    </xf>
    <xf numFmtId="172" fontId="17" fillId="19" borderId="89" xfId="50" applyNumberFormat="1" applyFont="1" applyFill="1" applyBorder="1" applyAlignment="1" applyProtection="1">
      <protection locked="0"/>
    </xf>
    <xf numFmtId="0" fontId="25" fillId="0" borderId="89" xfId="50" applyFont="1" applyFill="1" applyBorder="1" applyAlignment="1">
      <alignment horizontal="left" vertical="center"/>
    </xf>
    <xf numFmtId="0" fontId="25" fillId="0" borderId="89" xfId="50" applyFont="1" applyFill="1" applyBorder="1" applyAlignment="1">
      <alignment horizontal="left" vertical="center" wrapText="1"/>
    </xf>
    <xf numFmtId="0" fontId="74" fillId="0" borderId="151" xfId="32" applyFont="1" applyFill="1" applyBorder="1"/>
    <xf numFmtId="0" fontId="3" fillId="0" borderId="151" xfId="0" applyFont="1" applyBorder="1"/>
    <xf numFmtId="172" fontId="17" fillId="19" borderId="0" xfId="50" applyNumberFormat="1" applyFont="1" applyFill="1" applyBorder="1" applyAlignment="1" applyProtection="1">
      <protection locked="0"/>
    </xf>
    <xf numFmtId="0" fontId="17" fillId="19" borderId="0" xfId="50" applyFont="1" applyFill="1" applyBorder="1" applyAlignment="1">
      <alignment horizontal="left" vertical="center"/>
    </xf>
    <xf numFmtId="0" fontId="17" fillId="12" borderId="0" xfId="50" applyFont="1" applyFill="1"/>
    <xf numFmtId="0" fontId="58" fillId="12" borderId="0" xfId="0" applyFont="1" applyFill="1" applyAlignment="1">
      <alignment horizontal="left" indent="1"/>
    </xf>
    <xf numFmtId="172" fontId="17" fillId="12" borderId="0" xfId="50" applyNumberFormat="1" applyFont="1" applyFill="1" applyBorder="1" applyAlignment="1" applyProtection="1">
      <protection locked="0"/>
    </xf>
    <xf numFmtId="189" fontId="3" fillId="12" borderId="0" xfId="57" applyNumberFormat="1" applyFill="1" applyBorder="1" applyProtection="1">
      <alignment vertical="center"/>
    </xf>
    <xf numFmtId="10" fontId="3" fillId="19" borderId="97" xfId="60" applyNumberFormat="1" applyBorder="1">
      <alignment vertical="center"/>
      <protection locked="0"/>
    </xf>
    <xf numFmtId="10" fontId="3" fillId="19" borderId="98" xfId="60" applyNumberFormat="1" applyBorder="1">
      <alignment vertical="center"/>
      <protection locked="0"/>
    </xf>
    <xf numFmtId="10" fontId="3" fillId="19" borderId="99" xfId="60" applyNumberFormat="1" applyBorder="1">
      <alignment vertical="center"/>
      <protection locked="0"/>
    </xf>
    <xf numFmtId="10" fontId="3" fillId="19" borderId="100" xfId="60" applyNumberFormat="1" applyBorder="1">
      <alignment vertical="center"/>
      <protection locked="0"/>
    </xf>
    <xf numFmtId="10" fontId="3" fillId="19" borderId="101" xfId="60" applyNumberFormat="1" applyBorder="1">
      <alignment vertical="center"/>
      <protection locked="0"/>
    </xf>
    <xf numFmtId="189" fontId="17" fillId="34" borderId="97" xfId="50" applyNumberFormat="1" applyFont="1" applyFill="1" applyBorder="1" applyAlignment="1" applyProtection="1"/>
    <xf numFmtId="189" fontId="17" fillId="34" borderId="98" xfId="50" applyNumberFormat="1" applyFont="1" applyFill="1" applyBorder="1" applyAlignment="1" applyProtection="1"/>
    <xf numFmtId="189" fontId="17" fillId="34" borderId="99" xfId="50" applyNumberFormat="1" applyFont="1" applyFill="1" applyBorder="1" applyAlignment="1" applyProtection="1"/>
    <xf numFmtId="189" fontId="17" fillId="34" borderId="100" xfId="50" applyNumberFormat="1" applyFont="1" applyFill="1" applyBorder="1" applyAlignment="1" applyProtection="1"/>
    <xf numFmtId="189" fontId="17" fillId="34" borderId="101" xfId="50" applyNumberFormat="1" applyFont="1" applyFill="1" applyBorder="1" applyAlignment="1" applyProtection="1"/>
    <xf numFmtId="189" fontId="17" fillId="7" borderId="107" xfId="50" applyNumberFormat="1" applyFont="1" applyFill="1" applyBorder="1" applyAlignment="1" applyProtection="1"/>
    <xf numFmtId="189" fontId="17" fillId="7" borderId="108" xfId="50" applyNumberFormat="1" applyFont="1" applyFill="1" applyBorder="1" applyAlignment="1" applyProtection="1"/>
    <xf numFmtId="189" fontId="17" fillId="7" borderId="109" xfId="50" applyNumberFormat="1" applyFont="1" applyFill="1" applyBorder="1" applyAlignment="1" applyProtection="1"/>
    <xf numFmtId="189" fontId="17" fillId="7" borderId="110" xfId="50" applyNumberFormat="1" applyFont="1" applyFill="1" applyBorder="1" applyAlignment="1" applyProtection="1"/>
    <xf numFmtId="189" fontId="17" fillId="7" borderId="111" xfId="50" applyNumberFormat="1" applyFont="1" applyFill="1" applyBorder="1" applyAlignment="1" applyProtection="1"/>
    <xf numFmtId="0" fontId="17" fillId="5" borderId="0" xfId="50" applyFont="1" applyFill="1" applyBorder="1" applyProtection="1"/>
    <xf numFmtId="0" fontId="17" fillId="0" borderId="89" xfId="50" applyFont="1" applyBorder="1" applyAlignment="1"/>
    <xf numFmtId="170" fontId="17" fillId="0" borderId="0" xfId="50" applyNumberFormat="1" applyFont="1" applyBorder="1" applyProtection="1"/>
    <xf numFmtId="170" fontId="17" fillId="0" borderId="0" xfId="50" applyNumberFormat="1" applyFont="1" applyProtection="1"/>
    <xf numFmtId="170" fontId="17" fillId="0" borderId="96" xfId="50" applyNumberFormat="1" applyFont="1" applyBorder="1" applyProtection="1"/>
    <xf numFmtId="170" fontId="17" fillId="0" borderId="0" xfId="38" applyNumberFormat="1" applyFont="1" applyBorder="1"/>
    <xf numFmtId="170" fontId="17" fillId="0" borderId="96" xfId="38" applyNumberFormat="1" applyFont="1" applyBorder="1"/>
    <xf numFmtId="0" fontId="17" fillId="0" borderId="151" xfId="50" applyFont="1" applyFill="1" applyBorder="1" applyAlignment="1">
      <alignment horizontal="left" vertical="center"/>
    </xf>
    <xf numFmtId="170" fontId="17" fillId="0" borderId="0" xfId="50" applyNumberFormat="1" applyFont="1" applyBorder="1"/>
    <xf numFmtId="170" fontId="17" fillId="0" borderId="96" xfId="50" applyNumberFormat="1" applyFont="1" applyBorder="1"/>
    <xf numFmtId="9" fontId="3" fillId="19" borderId="97" xfId="62" applyFill="1" applyBorder="1" applyAlignment="1" applyProtection="1">
      <alignment vertical="center"/>
      <protection locked="0"/>
    </xf>
    <xf numFmtId="9" fontId="3" fillId="19" borderId="98" xfId="62" applyFill="1" applyBorder="1" applyAlignment="1" applyProtection="1">
      <alignment vertical="center"/>
      <protection locked="0"/>
    </xf>
    <xf numFmtId="9" fontId="3" fillId="19" borderId="100" xfId="62" applyFill="1" applyBorder="1" applyAlignment="1" applyProtection="1">
      <alignment vertical="center"/>
      <protection locked="0"/>
    </xf>
    <xf numFmtId="9" fontId="3" fillId="19" borderId="101" xfId="62" applyFill="1" applyBorder="1" applyAlignment="1" applyProtection="1">
      <alignment vertical="center"/>
      <protection locked="0"/>
    </xf>
    <xf numFmtId="37" fontId="5" fillId="2" borderId="0" xfId="3" applyNumberFormat="1" applyFont="1" applyFill="1" applyBorder="1" applyAlignment="1">
      <alignment horizontal="left"/>
    </xf>
    <xf numFmtId="169" fontId="23" fillId="0" borderId="36" xfId="2" applyNumberFormat="1" applyFont="1" applyFill="1" applyBorder="1" applyAlignment="1">
      <alignment horizontal="right" vertical="center"/>
    </xf>
    <xf numFmtId="169" fontId="23" fillId="0" borderId="13" xfId="2" applyNumberFormat="1" applyFont="1" applyFill="1" applyBorder="1" applyAlignment="1">
      <alignment horizontal="right" vertical="center"/>
    </xf>
    <xf numFmtId="169" fontId="23" fillId="0" borderId="37" xfId="2" applyNumberFormat="1" applyFont="1" applyFill="1" applyBorder="1" applyAlignment="1">
      <alignment horizontal="right" vertical="center"/>
    </xf>
    <xf numFmtId="0" fontId="35" fillId="26" borderId="0" xfId="12" applyFont="1" applyFill="1" applyBorder="1" applyAlignment="1">
      <alignment vertical="center"/>
    </xf>
    <xf numFmtId="0" fontId="31" fillId="26" borderId="0" xfId="12" applyFont="1" applyFill="1" applyBorder="1" applyAlignment="1">
      <alignment vertical="center"/>
    </xf>
    <xf numFmtId="0" fontId="31" fillId="26" borderId="0" xfId="15" applyFont="1" applyFill="1" applyBorder="1" applyAlignment="1">
      <alignment horizontal="left" vertical="center" wrapText="1"/>
    </xf>
    <xf numFmtId="0" fontId="16" fillId="26" borderId="0" xfId="2" applyFont="1" applyFill="1" applyBorder="1" applyAlignment="1">
      <alignment vertical="center"/>
    </xf>
    <xf numFmtId="0" fontId="31" fillId="26" borderId="1" xfId="15" applyFont="1" applyFill="1" applyBorder="1" applyAlignment="1">
      <alignment horizontal="left" vertical="center" wrapText="1"/>
    </xf>
    <xf numFmtId="0" fontId="0" fillId="0" borderId="118" xfId="0" applyBorder="1" applyAlignment="1">
      <alignment vertical="center" wrapText="1"/>
    </xf>
    <xf numFmtId="0" fontId="0" fillId="0" borderId="13" xfId="0" applyFill="1" applyBorder="1" applyAlignment="1">
      <alignment horizontal="left" vertical="center" wrapText="1"/>
    </xf>
    <xf numFmtId="0" fontId="0" fillId="12" borderId="103" xfId="0" applyFill="1" applyBorder="1" applyAlignment="1">
      <alignment horizontal="left" vertical="center" wrapText="1"/>
    </xf>
    <xf numFmtId="172" fontId="31" fillId="5" borderId="40" xfId="2" applyNumberFormat="1" applyFont="1" applyFill="1" applyBorder="1" applyAlignment="1">
      <alignment horizontal="right" vertical="center"/>
    </xf>
    <xf numFmtId="172" fontId="31" fillId="5" borderId="41" xfId="2" applyNumberFormat="1" applyFont="1" applyFill="1" applyBorder="1" applyAlignment="1">
      <alignment horizontal="right" vertical="center"/>
    </xf>
    <xf numFmtId="172" fontId="31" fillId="5" borderId="39" xfId="2" applyNumberFormat="1" applyFont="1" applyFill="1" applyBorder="1" applyAlignment="1">
      <alignment horizontal="right" vertical="center"/>
    </xf>
    <xf numFmtId="0" fontId="31" fillId="19" borderId="63" xfId="0" applyFont="1" applyFill="1" applyBorder="1" applyAlignment="1">
      <alignment horizontal="left" vertical="center" wrapText="1"/>
    </xf>
    <xf numFmtId="176" fontId="46" fillId="0" borderId="158" xfId="66" applyNumberFormat="1" applyFont="1" applyBorder="1"/>
    <xf numFmtId="192" fontId="37" fillId="0" borderId="61" xfId="66" applyNumberFormat="1" applyFont="1" applyBorder="1"/>
    <xf numFmtId="192" fontId="23" fillId="5" borderId="61" xfId="67" applyNumberFormat="1" applyFont="1" applyFill="1" applyBorder="1" applyAlignment="1">
      <alignment horizontal="right"/>
    </xf>
    <xf numFmtId="192" fontId="31" fillId="0" borderId="77" xfId="66" applyNumberFormat="1" applyFont="1" applyBorder="1"/>
    <xf numFmtId="192" fontId="38" fillId="0" borderId="61" xfId="0" applyNumberFormat="1" applyFont="1" applyBorder="1"/>
    <xf numFmtId="192" fontId="23" fillId="5" borderId="62" xfId="67" applyNumberFormat="1" applyFont="1" applyFill="1" applyBorder="1" applyAlignment="1">
      <alignment horizontal="right"/>
    </xf>
    <xf numFmtId="169" fontId="23" fillId="0" borderId="30" xfId="2" applyNumberFormat="1" applyFont="1" applyFill="1" applyBorder="1" applyProtection="1"/>
    <xf numFmtId="169" fontId="23" fillId="0" borderId="0" xfId="2" applyNumberFormat="1" applyFont="1" applyFill="1" applyBorder="1" applyProtection="1"/>
    <xf numFmtId="169" fontId="23" fillId="0" borderId="44" xfId="2" applyNumberFormat="1" applyFont="1" applyFill="1" applyBorder="1" applyProtection="1"/>
    <xf numFmtId="0" fontId="31" fillId="0" borderId="49" xfId="12" applyFont="1" applyBorder="1" applyAlignment="1">
      <alignment vertical="center"/>
    </xf>
    <xf numFmtId="169" fontId="23" fillId="0" borderId="1" xfId="2" applyNumberFormat="1" applyFont="1" applyFill="1" applyBorder="1" applyAlignment="1">
      <alignment horizontal="right" vertical="center"/>
    </xf>
    <xf numFmtId="169" fontId="23" fillId="0" borderId="49" xfId="2" applyNumberFormat="1" applyFont="1" applyFill="1" applyBorder="1" applyAlignment="1">
      <alignment horizontal="right" vertical="center"/>
    </xf>
    <xf numFmtId="0" fontId="31" fillId="0" borderId="66" xfId="0" applyFont="1" applyBorder="1" applyAlignment="1">
      <alignment horizontal="left" vertical="center" wrapText="1" indent="1"/>
    </xf>
    <xf numFmtId="0" fontId="32" fillId="14" borderId="26" xfId="12" applyFont="1" applyFill="1" applyBorder="1" applyAlignment="1">
      <alignment horizontal="centerContinuous" vertical="center"/>
    </xf>
    <xf numFmtId="0" fontId="23" fillId="0" borderId="77" xfId="2" applyFont="1" applyFill="1" applyBorder="1" applyProtection="1"/>
    <xf numFmtId="169" fontId="23" fillId="18" borderId="61" xfId="2" applyNumberFormat="1" applyFont="1" applyFill="1" applyBorder="1" applyAlignment="1">
      <alignment horizontal="right"/>
    </xf>
    <xf numFmtId="0" fontId="32" fillId="14" borderId="48" xfId="12" applyFont="1" applyFill="1" applyBorder="1" applyAlignment="1">
      <alignment horizontal="centerContinuous" vertical="center"/>
    </xf>
    <xf numFmtId="0" fontId="23" fillId="0" borderId="61" xfId="2" applyFont="1" applyBorder="1" applyAlignment="1">
      <alignment horizontal="center"/>
    </xf>
    <xf numFmtId="169" fontId="23" fillId="0" borderId="77" xfId="2" applyNumberFormat="1" applyFont="1" applyFill="1" applyBorder="1" applyAlignment="1">
      <alignment horizontal="right"/>
    </xf>
    <xf numFmtId="0" fontId="34" fillId="3" borderId="63" xfId="2" applyFont="1" applyFill="1" applyBorder="1" applyAlignment="1">
      <alignment horizontal="center" vertical="center"/>
    </xf>
    <xf numFmtId="0" fontId="32" fillId="3" borderId="32" xfId="24" applyFont="1" applyFill="1" applyBorder="1" applyAlignment="1">
      <alignment horizontal="centerContinuous" vertical="center"/>
    </xf>
    <xf numFmtId="0" fontId="32" fillId="3" borderId="33" xfId="24" applyFont="1" applyFill="1" applyBorder="1" applyAlignment="1">
      <alignment horizontal="centerContinuous" vertical="center"/>
    </xf>
    <xf numFmtId="0" fontId="32" fillId="3" borderId="31" xfId="24" applyFont="1" applyFill="1" applyBorder="1" applyAlignment="1">
      <alignment horizontal="centerContinuous" vertical="center"/>
    </xf>
    <xf numFmtId="0" fontId="31" fillId="0" borderId="86" xfId="12" applyFont="1" applyBorder="1" applyAlignment="1">
      <alignment horizontal="center" vertical="center"/>
    </xf>
    <xf numFmtId="193" fontId="23" fillId="0" borderId="0" xfId="2" applyNumberFormat="1" applyFont="1"/>
    <xf numFmtId="194" fontId="23" fillId="0" borderId="0" xfId="2" applyNumberFormat="1" applyFont="1"/>
    <xf numFmtId="169" fontId="23" fillId="17" borderId="10" xfId="2" applyNumberFormat="1" applyFont="1" applyFill="1" applyBorder="1" applyAlignment="1">
      <alignment horizontal="right"/>
    </xf>
    <xf numFmtId="0" fontId="0" fillId="0" borderId="13" xfId="4" applyFont="1" applyFill="1" applyBorder="1" applyAlignment="1">
      <alignment horizontal="left" vertical="top" wrapText="1"/>
    </xf>
    <xf numFmtId="0" fontId="31" fillId="36" borderId="0" xfId="7" applyFont="1" applyFill="1"/>
    <xf numFmtId="169" fontId="23" fillId="0" borderId="12" xfId="2" applyNumberFormat="1" applyFont="1" applyFill="1" applyBorder="1" applyAlignment="1">
      <alignment horizontal="left"/>
    </xf>
    <xf numFmtId="0" fontId="31" fillId="0" borderId="0" xfId="17" applyFont="1" applyFill="1" applyBorder="1" applyAlignment="1">
      <alignment horizontal="left" vertical="center"/>
    </xf>
    <xf numFmtId="0" fontId="31" fillId="0" borderId="0" xfId="16" applyFont="1" applyFill="1" applyBorder="1" applyAlignment="1">
      <alignment horizontal="left" vertical="center"/>
    </xf>
    <xf numFmtId="0" fontId="23" fillId="0" borderId="0" xfId="2" applyFont="1" applyFill="1" applyBorder="1" applyAlignment="1">
      <alignment horizontal="left"/>
    </xf>
    <xf numFmtId="0" fontId="23" fillId="0" borderId="0" xfId="2" applyFont="1" applyFill="1" applyBorder="1" applyAlignment="1">
      <alignment horizontal="right"/>
    </xf>
    <xf numFmtId="0" fontId="37" fillId="0" borderId="1" xfId="12" applyFont="1" applyBorder="1" applyAlignment="1">
      <alignment horizontal="left" vertical="center"/>
    </xf>
    <xf numFmtId="169" fontId="37" fillId="17" borderId="12" xfId="2" applyNumberFormat="1" applyFont="1" applyFill="1" applyBorder="1" applyAlignment="1">
      <alignment horizontal="right" vertical="center"/>
    </xf>
    <xf numFmtId="0" fontId="39" fillId="0" borderId="1" xfId="15" applyFont="1" applyBorder="1" applyAlignment="1">
      <alignment horizontal="left" vertical="center"/>
    </xf>
    <xf numFmtId="171" fontId="31" fillId="17" borderId="159" xfId="2" applyNumberFormat="1" applyFont="1" applyFill="1" applyBorder="1" applyAlignment="1">
      <alignment horizontal="right" vertical="center"/>
    </xf>
    <xf numFmtId="171" fontId="31" fillId="17" borderId="160" xfId="2" applyNumberFormat="1" applyFont="1" applyFill="1" applyBorder="1" applyAlignment="1">
      <alignment horizontal="right" vertical="center"/>
    </xf>
    <xf numFmtId="171" fontId="31" fillId="17" borderId="84" xfId="2" applyNumberFormat="1" applyFont="1" applyFill="1" applyBorder="1" applyAlignment="1">
      <alignment horizontal="right" vertical="center"/>
    </xf>
    <xf numFmtId="0" fontId="36" fillId="26" borderId="0" xfId="14" applyFont="1" applyFill="1" applyAlignment="1">
      <alignment vertical="center"/>
    </xf>
    <xf numFmtId="0" fontId="23" fillId="26" borderId="0" xfId="14" applyFont="1" applyFill="1" applyAlignment="1">
      <alignment vertical="center"/>
    </xf>
    <xf numFmtId="0" fontId="33" fillId="26" borderId="26" xfId="12" applyFont="1" applyFill="1" applyBorder="1" applyAlignment="1">
      <alignment horizontal="left" vertical="center"/>
    </xf>
    <xf numFmtId="0" fontId="31" fillId="26" borderId="1" xfId="15" applyFont="1" applyFill="1" applyBorder="1" applyAlignment="1">
      <alignment horizontal="left" vertical="center"/>
    </xf>
    <xf numFmtId="0" fontId="32" fillId="26" borderId="0" xfId="12" applyFont="1" applyFill="1" applyAlignment="1">
      <alignment vertical="center"/>
    </xf>
    <xf numFmtId="0" fontId="23" fillId="0" borderId="13" xfId="2" applyFont="1" applyBorder="1" applyAlignment="1">
      <alignment vertical="center"/>
    </xf>
    <xf numFmtId="10" fontId="23" fillId="18" borderId="53" xfId="1" applyNumberFormat="1" applyFont="1" applyFill="1" applyBorder="1" applyAlignment="1">
      <alignment horizontal="right" vertical="center"/>
    </xf>
    <xf numFmtId="0" fontId="23" fillId="0" borderId="66" xfId="2" applyFont="1" applyBorder="1"/>
    <xf numFmtId="0" fontId="16" fillId="26" borderId="26" xfId="2" applyFont="1" applyFill="1" applyBorder="1" applyAlignment="1">
      <alignment horizontal="center" vertical="center"/>
    </xf>
    <xf numFmtId="0" fontId="16" fillId="26" borderId="26" xfId="2" applyFont="1" applyFill="1" applyBorder="1" applyAlignment="1">
      <alignment vertical="center"/>
    </xf>
    <xf numFmtId="0" fontId="16" fillId="26" borderId="0" xfId="2" applyFont="1" applyFill="1" applyAlignment="1">
      <alignment horizontal="center" vertical="center"/>
    </xf>
    <xf numFmtId="0" fontId="16" fillId="26" borderId="0" xfId="2" applyFont="1" applyFill="1" applyAlignment="1">
      <alignment vertical="center"/>
    </xf>
    <xf numFmtId="0" fontId="16" fillId="0" borderId="0" xfId="2" applyFont="1" applyFill="1" applyAlignment="1">
      <alignment vertical="center"/>
    </xf>
    <xf numFmtId="0" fontId="16" fillId="26" borderId="1" xfId="2" applyFont="1" applyFill="1" applyBorder="1" applyAlignment="1">
      <alignment horizontal="center" vertical="center"/>
    </xf>
    <xf numFmtId="0" fontId="16" fillId="26" borderId="1" xfId="2" applyFont="1" applyFill="1" applyBorder="1" applyAlignment="1">
      <alignment vertical="center"/>
    </xf>
    <xf numFmtId="0" fontId="32" fillId="26" borderId="26" xfId="12" applyFont="1" applyFill="1" applyBorder="1" applyAlignment="1">
      <alignment horizontal="centerContinuous" vertical="center"/>
    </xf>
    <xf numFmtId="0" fontId="32" fillId="26" borderId="0" xfId="12" applyFont="1" applyFill="1" applyBorder="1" applyAlignment="1">
      <alignment horizontal="centerContinuous" vertical="center"/>
    </xf>
    <xf numFmtId="0" fontId="35" fillId="26" borderId="0" xfId="12" applyFont="1" applyFill="1" applyBorder="1" applyAlignment="1">
      <alignment horizontal="centerContinuous" vertical="center"/>
    </xf>
    <xf numFmtId="0" fontId="31" fillId="26" borderId="0" xfId="12" applyFont="1" applyFill="1" applyBorder="1" applyAlignment="1">
      <alignment horizontal="center" vertical="center"/>
    </xf>
    <xf numFmtId="0" fontId="23" fillId="26" borderId="0" xfId="2" applyFont="1" applyFill="1" applyBorder="1" applyAlignment="1" applyProtection="1">
      <alignment horizontal="center" vertical="center"/>
    </xf>
    <xf numFmtId="171" fontId="23" fillId="26" borderId="0" xfId="2" applyNumberFormat="1" applyFont="1" applyFill="1" applyBorder="1" applyAlignment="1">
      <alignment horizontal="right" vertical="center"/>
    </xf>
    <xf numFmtId="171" fontId="31" fillId="26" borderId="0" xfId="2" applyNumberFormat="1" applyFont="1" applyFill="1" applyBorder="1" applyAlignment="1">
      <alignment horizontal="right" vertical="center"/>
    </xf>
    <xf numFmtId="0" fontId="32" fillId="26" borderId="1" xfId="12" applyFont="1" applyFill="1" applyBorder="1" applyAlignment="1">
      <alignment horizontal="centerContinuous" vertical="center"/>
    </xf>
    <xf numFmtId="0" fontId="23" fillId="26" borderId="1" xfId="2" applyFont="1" applyFill="1" applyBorder="1" applyAlignment="1" applyProtection="1">
      <alignment horizontal="center" vertical="center"/>
    </xf>
    <xf numFmtId="171" fontId="31" fillId="26" borderId="1" xfId="2" applyNumberFormat="1" applyFont="1" applyFill="1" applyBorder="1" applyAlignment="1">
      <alignment horizontal="right" vertical="center"/>
    </xf>
    <xf numFmtId="172" fontId="23" fillId="26" borderId="0" xfId="2" applyNumberFormat="1" applyFont="1" applyFill="1" applyBorder="1" applyAlignment="1">
      <alignment horizontal="right" vertical="center"/>
    </xf>
    <xf numFmtId="170" fontId="23" fillId="26" borderId="0" xfId="2" applyNumberFormat="1" applyFont="1" applyFill="1" applyBorder="1" applyAlignment="1">
      <alignment horizontal="right" vertical="center"/>
    </xf>
    <xf numFmtId="0" fontId="23" fillId="26" borderId="26" xfId="14" applyFont="1" applyFill="1" applyBorder="1" applyAlignment="1">
      <alignment vertical="center"/>
    </xf>
    <xf numFmtId="0" fontId="16" fillId="26" borderId="0" xfId="2" applyFont="1" applyFill="1" applyBorder="1" applyAlignment="1">
      <alignment horizontal="center" vertical="center"/>
    </xf>
    <xf numFmtId="0" fontId="16" fillId="26" borderId="26" xfId="14" applyFont="1" applyFill="1" applyBorder="1" applyAlignment="1">
      <alignment vertical="center"/>
    </xf>
    <xf numFmtId="0" fontId="32" fillId="26" borderId="26" xfId="16" applyFont="1" applyFill="1" applyBorder="1" applyAlignment="1">
      <alignment vertical="center"/>
    </xf>
    <xf numFmtId="0" fontId="23" fillId="26" borderId="0" xfId="2" applyFont="1" applyFill="1" applyBorder="1"/>
    <xf numFmtId="0" fontId="23" fillId="26" borderId="1" xfId="2" applyFont="1" applyFill="1" applyBorder="1"/>
    <xf numFmtId="0" fontId="23" fillId="26" borderId="0" xfId="2" applyFont="1" applyFill="1" applyBorder="1" applyProtection="1"/>
    <xf numFmtId="0" fontId="23" fillId="26" borderId="1" xfId="2" applyFont="1" applyFill="1" applyBorder="1" applyProtection="1"/>
    <xf numFmtId="0" fontId="23" fillId="26" borderId="44" xfId="2" applyFont="1" applyFill="1" applyBorder="1"/>
    <xf numFmtId="0" fontId="23" fillId="26" borderId="44" xfId="2" applyFont="1" applyFill="1" applyBorder="1" applyProtection="1"/>
    <xf numFmtId="0" fontId="23" fillId="26" borderId="49" xfId="2" applyFont="1" applyFill="1" applyBorder="1" applyProtection="1"/>
    <xf numFmtId="169" fontId="23" fillId="5" borderId="61" xfId="2" applyNumberFormat="1" applyFont="1" applyFill="1" applyBorder="1" applyAlignment="1">
      <alignment horizontal="right" vertical="center"/>
    </xf>
    <xf numFmtId="0" fontId="58" fillId="0" borderId="0" xfId="0" applyFont="1"/>
    <xf numFmtId="0" fontId="104" fillId="0" borderId="0" xfId="0" applyFont="1"/>
    <xf numFmtId="169" fontId="23" fillId="0" borderId="36" xfId="2" applyNumberFormat="1" applyFont="1" applyFill="1" applyBorder="1" applyAlignment="1">
      <alignment horizontal="right"/>
    </xf>
    <xf numFmtId="169" fontId="23" fillId="0" borderId="13" xfId="2" applyNumberFormat="1" applyFont="1" applyFill="1" applyBorder="1" applyAlignment="1">
      <alignment horizontal="right"/>
    </xf>
    <xf numFmtId="169" fontId="23" fillId="0" borderId="37" xfId="2" applyNumberFormat="1" applyFont="1" applyFill="1" applyBorder="1" applyAlignment="1">
      <alignment horizontal="right"/>
    </xf>
    <xf numFmtId="176" fontId="87" fillId="0" borderId="0" xfId="24" applyNumberFormat="1" applyFont="1" applyBorder="1" applyAlignment="1">
      <alignment horizontal="right"/>
    </xf>
    <xf numFmtId="176" fontId="23" fillId="0" borderId="0" xfId="2" applyNumberFormat="1" applyFont="1"/>
    <xf numFmtId="176" fontId="23" fillId="0" borderId="0" xfId="14" applyNumberFormat="1" applyFont="1" applyFill="1" applyAlignment="1">
      <alignment horizontal="left" vertical="center"/>
    </xf>
    <xf numFmtId="3" fontId="23" fillId="19" borderId="37" xfId="2" applyNumberFormat="1" applyFont="1" applyFill="1" applyBorder="1"/>
    <xf numFmtId="3" fontId="0" fillId="0" borderId="0" xfId="0" applyNumberFormat="1"/>
    <xf numFmtId="0" fontId="0" fillId="0" borderId="13" xfId="0" applyFont="1" applyBorder="1" applyAlignment="1">
      <alignment horizontal="left" vertical="center" wrapText="1"/>
    </xf>
    <xf numFmtId="0" fontId="36" fillId="0" borderId="13" xfId="0" applyFont="1" applyBorder="1" applyAlignment="1">
      <alignment horizontal="left" vertical="center" wrapText="1"/>
    </xf>
    <xf numFmtId="0" fontId="0" fillId="12" borderId="13" xfId="0" applyFont="1" applyFill="1" applyBorder="1" applyAlignment="1">
      <alignment horizontal="left" vertical="center" wrapText="1"/>
    </xf>
    <xf numFmtId="176" fontId="31" fillId="0" borderId="0" xfId="12" applyNumberFormat="1" applyFont="1" applyBorder="1" applyAlignment="1">
      <alignment horizontal="center" vertical="center"/>
    </xf>
    <xf numFmtId="193" fontId="31" fillId="0" borderId="0" xfId="12" applyNumberFormat="1" applyFont="1" applyBorder="1" applyAlignment="1">
      <alignment horizontal="center" vertical="center"/>
    </xf>
    <xf numFmtId="193" fontId="28" fillId="0" borderId="0" xfId="12" applyNumberFormat="1" applyFont="1" applyAlignment="1">
      <alignment vertical="center"/>
    </xf>
    <xf numFmtId="181" fontId="0" fillId="0" borderId="0" xfId="0" applyNumberFormat="1"/>
    <xf numFmtId="165" fontId="0" fillId="0" borderId="0" xfId="0" applyNumberFormat="1"/>
    <xf numFmtId="176" fontId="31" fillId="0" borderId="0" xfId="24" applyNumberFormat="1" applyFont="1" applyBorder="1" applyAlignment="1">
      <alignment horizontal="center"/>
    </xf>
    <xf numFmtId="181" fontId="105" fillId="0" borderId="0" xfId="5" applyNumberFormat="1" applyFont="1" applyFill="1" applyBorder="1" applyAlignment="1" applyProtection="1">
      <alignment vertical="center"/>
      <protection locked="0"/>
    </xf>
    <xf numFmtId="0" fontId="48" fillId="0" borderId="0" xfId="12" applyFont="1" applyAlignment="1">
      <alignment vertical="center"/>
    </xf>
    <xf numFmtId="43" fontId="16" fillId="0" borderId="0" xfId="69" applyFont="1" applyAlignment="1">
      <alignment vertical="center"/>
    </xf>
    <xf numFmtId="0" fontId="48" fillId="0" borderId="1" xfId="2" applyFont="1" applyFill="1" applyBorder="1" applyAlignment="1" applyProtection="1">
      <alignment horizontal="right"/>
    </xf>
    <xf numFmtId="44" fontId="16" fillId="0" borderId="0" xfId="2" applyNumberFormat="1" applyFont="1" applyAlignment="1">
      <alignment vertical="center"/>
    </xf>
    <xf numFmtId="174" fontId="3" fillId="0" borderId="0" xfId="39" applyNumberFormat="1" applyFont="1" applyFill="1" applyBorder="1" applyAlignment="1" applyProtection="1">
      <alignment horizontal="center"/>
      <protection locked="0"/>
    </xf>
    <xf numFmtId="169" fontId="31" fillId="0" borderId="0" xfId="16" applyNumberFormat="1" applyFont="1" applyBorder="1" applyAlignment="1">
      <alignment horizontal="center" vertical="center"/>
    </xf>
    <xf numFmtId="0" fontId="48" fillId="0" borderId="0" xfId="16" applyFont="1" applyAlignment="1">
      <alignment vertical="center"/>
    </xf>
    <xf numFmtId="181" fontId="66" fillId="19" borderId="10" xfId="5" applyNumberFormat="1" applyFont="1" applyFill="1" applyBorder="1" applyAlignment="1" applyProtection="1">
      <alignment vertical="center"/>
      <protection locked="0"/>
    </xf>
    <xf numFmtId="182" fontId="66" fillId="19" borderId="10" xfId="5" applyNumberFormat="1" applyFont="1" applyFill="1" applyBorder="1" applyAlignment="1" applyProtection="1">
      <alignment vertical="center"/>
      <protection locked="0"/>
    </xf>
    <xf numFmtId="182" fontId="66" fillId="19" borderId="10" xfId="1" applyNumberFormat="1" applyFont="1" applyFill="1" applyBorder="1" applyAlignment="1" applyProtection="1">
      <alignment vertical="center"/>
      <protection locked="0"/>
    </xf>
    <xf numFmtId="0" fontId="17" fillId="19" borderId="103" xfId="50" applyFont="1" applyFill="1" applyBorder="1" applyAlignment="1" applyProtection="1">
      <alignment wrapText="1"/>
      <protection locked="0"/>
    </xf>
    <xf numFmtId="0" fontId="17" fillId="19" borderId="103" xfId="50" applyFont="1" applyFill="1" applyBorder="1" applyProtection="1">
      <protection locked="0"/>
    </xf>
    <xf numFmtId="10" fontId="17" fillId="19" borderId="106" xfId="62" applyNumberFormat="1" applyFont="1" applyFill="1" applyBorder="1" applyAlignment="1" applyProtection="1">
      <alignment horizontal="center"/>
      <protection locked="0"/>
    </xf>
    <xf numFmtId="189" fontId="3" fillId="19" borderId="134" xfId="56" applyNumberFormat="1" applyFill="1" applyBorder="1" applyAlignment="1" applyProtection="1">
      <alignment vertical="center"/>
      <protection locked="0"/>
    </xf>
    <xf numFmtId="189" fontId="17" fillId="19" borderId="153" xfId="56" applyNumberFormat="1" applyFont="1" applyFill="1" applyBorder="1" applyAlignment="1" applyProtection="1">
      <alignment horizontal="right"/>
      <protection locked="0"/>
    </xf>
    <xf numFmtId="189" fontId="17" fillId="19" borderId="154" xfId="56" applyNumberFormat="1" applyFont="1" applyFill="1" applyBorder="1" applyAlignment="1" applyProtection="1">
      <alignment horizontal="right"/>
      <protection locked="0"/>
    </xf>
    <xf numFmtId="189" fontId="17" fillId="19" borderId="155" xfId="56" applyNumberFormat="1" applyFont="1" applyFill="1" applyBorder="1" applyAlignment="1" applyProtection="1">
      <alignment horizontal="right"/>
      <protection locked="0"/>
    </xf>
    <xf numFmtId="189" fontId="17" fillId="19" borderId="156" xfId="56" applyNumberFormat="1" applyFont="1" applyFill="1" applyBorder="1" applyAlignment="1" applyProtection="1">
      <alignment horizontal="right"/>
      <protection locked="0"/>
    </xf>
    <xf numFmtId="189" fontId="17" fillId="19" borderId="157" xfId="56" applyNumberFormat="1" applyFont="1" applyFill="1" applyBorder="1" applyAlignment="1" applyProtection="1">
      <alignment horizontal="right"/>
      <protection locked="0"/>
    </xf>
    <xf numFmtId="0" fontId="17" fillId="19" borderId="118" xfId="50" applyFont="1" applyFill="1" applyBorder="1" applyAlignment="1" applyProtection="1">
      <alignment wrapText="1"/>
      <protection locked="0"/>
    </xf>
    <xf numFmtId="178" fontId="17" fillId="19" borderId="118" xfId="59" applyNumberFormat="1" applyFont="1" applyFill="1" applyBorder="1" applyAlignment="1" applyProtection="1">
      <alignment wrapText="1"/>
      <protection locked="0"/>
    </xf>
    <xf numFmtId="165" fontId="17" fillId="19" borderId="118" xfId="59" quotePrefix="1" applyNumberFormat="1" applyFont="1" applyFill="1" applyBorder="1" applyAlignment="1" applyProtection="1">
      <alignment horizontal="center"/>
      <protection locked="0"/>
    </xf>
    <xf numFmtId="165" fontId="17" fillId="19" borderId="103" xfId="59" quotePrefix="1" applyNumberFormat="1" applyFont="1" applyFill="1" applyBorder="1" applyAlignment="1" applyProtection="1">
      <alignment horizontal="center"/>
      <protection locked="0"/>
    </xf>
    <xf numFmtId="1" fontId="17" fillId="19" borderId="103" xfId="50" applyNumberFormat="1" applyFont="1" applyFill="1" applyBorder="1" applyAlignment="1" applyProtection="1">
      <alignment horizontal="center"/>
      <protection locked="0"/>
    </xf>
    <xf numFmtId="9" fontId="3" fillId="19" borderId="103" xfId="62" applyFill="1" applyBorder="1" applyAlignment="1" applyProtection="1">
      <alignment vertical="center"/>
      <protection locked="0"/>
    </xf>
    <xf numFmtId="189" fontId="17" fillId="19" borderId="97" xfId="50" applyNumberFormat="1" applyFont="1" applyFill="1" applyBorder="1" applyProtection="1">
      <protection locked="0"/>
    </xf>
    <xf numFmtId="189" fontId="17" fillId="19" borderId="98" xfId="50" applyNumberFormat="1" applyFont="1" applyFill="1" applyBorder="1" applyProtection="1">
      <protection locked="0"/>
    </xf>
    <xf numFmtId="189" fontId="17" fillId="19" borderId="102" xfId="50" applyNumberFormat="1" applyFont="1" applyFill="1" applyBorder="1" applyProtection="1">
      <protection locked="0"/>
    </xf>
    <xf numFmtId="189" fontId="17" fillId="19" borderId="103" xfId="50" applyNumberFormat="1" applyFont="1" applyFill="1" applyBorder="1" applyProtection="1">
      <protection locked="0"/>
    </xf>
    <xf numFmtId="189" fontId="17" fillId="19" borderId="153" xfId="50" applyNumberFormat="1" applyFont="1" applyFill="1" applyBorder="1" applyProtection="1">
      <protection locked="0"/>
    </xf>
    <xf numFmtId="189" fontId="17" fillId="19" borderId="154" xfId="50" applyNumberFormat="1" applyFont="1" applyFill="1" applyBorder="1" applyProtection="1">
      <protection locked="0"/>
    </xf>
    <xf numFmtId="189" fontId="17" fillId="19" borderId="107" xfId="50" applyNumberFormat="1" applyFont="1" applyFill="1" applyBorder="1" applyProtection="1">
      <protection locked="0"/>
    </xf>
    <xf numFmtId="189" fontId="17" fillId="19" borderId="108" xfId="50" applyNumberFormat="1" applyFont="1" applyFill="1" applyBorder="1" applyProtection="1">
      <protection locked="0"/>
    </xf>
    <xf numFmtId="0" fontId="17" fillId="35" borderId="161" xfId="50" applyFont="1" applyFill="1" applyBorder="1" applyAlignment="1" applyProtection="1">
      <alignment horizontal="left"/>
      <protection locked="0"/>
    </xf>
    <xf numFmtId="0" fontId="17" fillId="35" borderId="162" xfId="50" applyFont="1" applyFill="1" applyBorder="1" applyAlignment="1" applyProtection="1">
      <alignment horizontal="left"/>
      <protection locked="0"/>
    </xf>
    <xf numFmtId="0" fontId="17" fillId="35" borderId="161" xfId="50" applyFont="1" applyFill="1" applyBorder="1" applyAlignment="1" applyProtection="1">
      <protection locked="0"/>
    </xf>
    <xf numFmtId="0" fontId="17" fillId="35" borderId="162" xfId="50" applyFont="1" applyFill="1" applyBorder="1" applyAlignment="1" applyProtection="1">
      <protection locked="0"/>
    </xf>
    <xf numFmtId="0" fontId="17" fillId="19" borderId="89" xfId="38" applyFill="1" applyBorder="1" applyAlignment="1">
      <alignment horizontal="left"/>
    </xf>
    <xf numFmtId="172" fontId="17" fillId="19" borderId="89" xfId="50" applyNumberFormat="1" applyFont="1" applyFill="1" applyBorder="1" applyProtection="1">
      <protection locked="0"/>
    </xf>
    <xf numFmtId="0" fontId="106" fillId="37" borderId="0" xfId="68" applyFont="1" applyFill="1" applyProtection="1">
      <protection locked="0"/>
    </xf>
    <xf numFmtId="14" fontId="0" fillId="12" borderId="13" xfId="0" applyNumberFormat="1" applyFont="1" applyFill="1" applyBorder="1" applyAlignment="1">
      <alignment horizontal="left" vertical="center" wrapText="1"/>
    </xf>
    <xf numFmtId="195" fontId="36" fillId="0" borderId="13" xfId="68" applyNumberFormat="1" applyFont="1" applyFill="1" applyBorder="1" applyAlignment="1" applyProtection="1">
      <alignment horizontal="left" vertical="center" wrapText="1"/>
      <protection locked="0"/>
    </xf>
    <xf numFmtId="2" fontId="36" fillId="0" borderId="10" xfId="68" applyNumberFormat="1" applyFont="1" applyFill="1" applyBorder="1" applyAlignment="1" applyProtection="1">
      <alignment horizontal="left" vertical="center" wrapText="1"/>
      <protection locked="0"/>
    </xf>
    <xf numFmtId="169" fontId="23" fillId="18" borderId="37" xfId="2" applyNumberFormat="1" applyFont="1" applyFill="1" applyBorder="1" applyAlignment="1">
      <alignment horizontal="center" vertical="center"/>
    </xf>
    <xf numFmtId="0" fontId="23" fillId="0" borderId="0" xfId="14" applyFont="1" applyFill="1" applyAlignment="1">
      <alignment horizontal="right" vertical="center"/>
    </xf>
    <xf numFmtId="0" fontId="48" fillId="0" borderId="0" xfId="14" applyFont="1" applyFill="1" applyAlignment="1">
      <alignment vertical="center"/>
    </xf>
    <xf numFmtId="0" fontId="107" fillId="0" borderId="0" xfId="14" applyFont="1" applyFill="1" applyAlignment="1">
      <alignment horizontal="center" vertical="center"/>
    </xf>
    <xf numFmtId="0" fontId="28" fillId="0" borderId="0" xfId="12" applyFont="1" applyBorder="1" applyAlignment="1">
      <alignment horizontal="left" vertical="center"/>
    </xf>
    <xf numFmtId="0" fontId="3" fillId="2" borderId="0" xfId="3" applyFont="1" applyFill="1" applyAlignment="1">
      <alignment wrapText="1"/>
    </xf>
    <xf numFmtId="0" fontId="3" fillId="2" borderId="1" xfId="3" applyFont="1" applyFill="1" applyBorder="1" applyAlignment="1">
      <alignment wrapText="1"/>
    </xf>
    <xf numFmtId="165" fontId="42" fillId="0" borderId="0" xfId="13" applyNumberFormat="1" applyFont="1" applyAlignment="1" applyProtection="1">
      <alignment vertical="center" wrapText="1"/>
    </xf>
    <xf numFmtId="0" fontId="16" fillId="0" borderId="0" xfId="14" applyFont="1" applyFill="1" applyAlignment="1">
      <alignment horizontal="left" vertical="center" wrapText="1"/>
    </xf>
    <xf numFmtId="0" fontId="28" fillId="0" borderId="26" xfId="12" applyFont="1" applyBorder="1" applyAlignment="1">
      <alignment vertical="center" wrapText="1"/>
    </xf>
    <xf numFmtId="0" fontId="28" fillId="0" borderId="0" xfId="12" applyFont="1" applyBorder="1" applyAlignment="1">
      <alignment vertical="center" wrapText="1"/>
    </xf>
    <xf numFmtId="171" fontId="16" fillId="18" borderId="13" xfId="2" applyNumberFormat="1" applyFont="1" applyFill="1" applyBorder="1" applyAlignment="1">
      <alignment horizontal="left" vertical="center" wrapText="1"/>
    </xf>
    <xf numFmtId="0" fontId="28" fillId="0" borderId="0" xfId="12" applyFont="1" applyBorder="1" applyAlignment="1">
      <alignment horizontal="left" vertical="center" wrapText="1"/>
    </xf>
    <xf numFmtId="0" fontId="28" fillId="0" borderId="1" xfId="12" applyFont="1" applyBorder="1" applyAlignment="1">
      <alignment horizontal="left" vertical="center" wrapText="1"/>
    </xf>
    <xf numFmtId="0" fontId="3" fillId="0" borderId="0" xfId="0" applyFont="1" applyAlignment="1">
      <alignment wrapText="1"/>
    </xf>
    <xf numFmtId="0" fontId="28" fillId="0" borderId="0" xfId="15" applyFont="1" applyBorder="1" applyAlignment="1">
      <alignment horizontal="left" vertical="center" wrapText="1"/>
    </xf>
    <xf numFmtId="169" fontId="16" fillId="18" borderId="12" xfId="2" applyNumberFormat="1" applyFont="1" applyFill="1" applyBorder="1" applyAlignment="1">
      <alignment horizontal="left"/>
    </xf>
    <xf numFmtId="0" fontId="0" fillId="0" borderId="0" xfId="0" applyFont="1"/>
    <xf numFmtId="0" fontId="28" fillId="0" borderId="30" xfId="12" applyFont="1" applyBorder="1" applyAlignment="1">
      <alignment horizontal="left" vertical="center"/>
    </xf>
    <xf numFmtId="0" fontId="16" fillId="13" borderId="0" xfId="14" applyFont="1" applyFill="1" applyBorder="1" applyAlignment="1">
      <alignment vertical="center"/>
    </xf>
    <xf numFmtId="169" fontId="16" fillId="18" borderId="13" xfId="2" applyNumberFormat="1" applyFont="1" applyFill="1" applyBorder="1" applyAlignment="1">
      <alignment horizontal="right"/>
    </xf>
    <xf numFmtId="169" fontId="16" fillId="18" borderId="37" xfId="2" applyNumberFormat="1" applyFont="1" applyFill="1" applyBorder="1" applyAlignment="1">
      <alignment horizontal="right"/>
    </xf>
    <xf numFmtId="169" fontId="16" fillId="18" borderId="36" xfId="2" applyNumberFormat="1" applyFont="1" applyFill="1" applyBorder="1" applyAlignment="1">
      <alignment horizontal="right"/>
    </xf>
    <xf numFmtId="169" fontId="16" fillId="18" borderId="12" xfId="2" applyNumberFormat="1" applyFont="1" applyFill="1" applyBorder="1" applyAlignment="1">
      <alignment horizontal="right"/>
    </xf>
    <xf numFmtId="169" fontId="16" fillId="18" borderId="37" xfId="2" applyNumberFormat="1" applyFont="1" applyFill="1" applyBorder="1" applyAlignment="1">
      <alignment horizontal="left"/>
    </xf>
    <xf numFmtId="0" fontId="23" fillId="0" borderId="0" xfId="14" applyFont="1" applyAlignment="1">
      <alignment vertical="center"/>
    </xf>
    <xf numFmtId="0" fontId="23" fillId="0" borderId="1" xfId="14" applyFont="1" applyBorder="1" applyAlignment="1">
      <alignment vertical="center"/>
    </xf>
    <xf numFmtId="0" fontId="16" fillId="0" borderId="0" xfId="14" applyAlignment="1">
      <alignment vertical="center"/>
    </xf>
    <xf numFmtId="0" fontId="36" fillId="0" borderId="0" xfId="14" applyFont="1" applyAlignment="1">
      <alignment vertical="center"/>
    </xf>
    <xf numFmtId="0" fontId="10" fillId="0" borderId="10" xfId="14" applyFont="1" applyBorder="1" applyAlignment="1">
      <alignment horizontal="centerContinuous" vertical="center" wrapText="1"/>
    </xf>
    <xf numFmtId="0" fontId="10" fillId="0" borderId="37" xfId="14" applyFont="1" applyBorder="1" applyAlignment="1">
      <alignment horizontal="centerContinuous" vertical="center" wrapText="1"/>
    </xf>
    <xf numFmtId="0" fontId="10" fillId="0" borderId="13" xfId="14" applyFont="1" applyBorder="1" applyAlignment="1">
      <alignment horizontal="center"/>
    </xf>
    <xf numFmtId="0" fontId="10" fillId="0" borderId="37" xfId="14" applyFont="1" applyBorder="1" applyAlignment="1">
      <alignment horizontal="center"/>
    </xf>
    <xf numFmtId="0" fontId="35" fillId="26" borderId="0" xfId="12" applyFont="1" applyFill="1" applyAlignment="1">
      <alignment horizontal="left" vertical="center"/>
    </xf>
    <xf numFmtId="0" fontId="35" fillId="26" borderId="0" xfId="12" applyFont="1" applyFill="1" applyAlignment="1">
      <alignment vertical="center"/>
    </xf>
    <xf numFmtId="0" fontId="10" fillId="0" borderId="13" xfId="14" applyFont="1" applyBorder="1" applyAlignment="1">
      <alignment horizontal="centerContinuous" vertical="center" wrapText="1"/>
    </xf>
    <xf numFmtId="0" fontId="37" fillId="26" borderId="0" xfId="12" applyFont="1" applyFill="1" applyAlignment="1">
      <alignment horizontal="left" vertical="center"/>
    </xf>
    <xf numFmtId="0" fontId="31" fillId="26" borderId="0" xfId="12" applyFont="1" applyFill="1" applyAlignment="1">
      <alignment vertical="center"/>
    </xf>
    <xf numFmtId="0" fontId="10" fillId="0" borderId="10" xfId="14" applyFont="1" applyBorder="1" applyAlignment="1">
      <alignment horizontal="center"/>
    </xf>
    <xf numFmtId="0" fontId="31" fillId="26" borderId="0" xfId="15" applyFont="1" applyFill="1" applyAlignment="1">
      <alignment horizontal="left" vertical="center"/>
    </xf>
    <xf numFmtId="0" fontId="31" fillId="26" borderId="0" xfId="15" applyFont="1" applyFill="1" applyAlignment="1">
      <alignment horizontal="left" vertical="center" wrapText="1"/>
    </xf>
    <xf numFmtId="0" fontId="31" fillId="0" borderId="0" xfId="15" applyFont="1" applyAlignment="1">
      <alignment horizontal="left" vertical="center" wrapText="1"/>
    </xf>
    <xf numFmtId="0" fontId="31" fillId="26" borderId="0" xfId="12" applyFont="1" applyFill="1" applyAlignment="1">
      <alignment horizontal="left" vertical="center"/>
    </xf>
    <xf numFmtId="169" fontId="23" fillId="0" borderId="0" xfId="2" applyNumberFormat="1" applyFont="1" applyAlignment="1">
      <alignment vertical="center"/>
    </xf>
    <xf numFmtId="0" fontId="16" fillId="0" borderId="0" xfId="14" applyAlignment="1">
      <alignment horizontal="left" vertical="center"/>
    </xf>
    <xf numFmtId="169" fontId="31" fillId="0" borderId="0" xfId="12" applyNumberFormat="1" applyFont="1" applyAlignment="1">
      <alignment vertical="center"/>
    </xf>
    <xf numFmtId="0" fontId="23" fillId="0" borderId="54" xfId="14" applyFont="1" applyBorder="1" applyAlignment="1">
      <alignment vertical="center"/>
    </xf>
    <xf numFmtId="0" fontId="23" fillId="0" borderId="49" xfId="14" applyFont="1" applyBorder="1" applyAlignment="1">
      <alignment vertical="center"/>
    </xf>
    <xf numFmtId="0" fontId="16" fillId="0" borderId="74" xfId="14" applyBorder="1" applyAlignment="1">
      <alignment vertical="center"/>
    </xf>
    <xf numFmtId="0" fontId="23" fillId="0" borderId="44" xfId="14" applyFont="1" applyBorder="1" applyAlignment="1">
      <alignment vertical="center"/>
    </xf>
    <xf numFmtId="0" fontId="23" fillId="0" borderId="71" xfId="14" applyFont="1" applyBorder="1" applyAlignment="1">
      <alignment vertical="center"/>
    </xf>
    <xf numFmtId="0" fontId="23" fillId="0" borderId="26" xfId="14" applyFont="1" applyBorder="1" applyAlignment="1">
      <alignment vertical="center"/>
    </xf>
    <xf numFmtId="0" fontId="16" fillId="0" borderId="26" xfId="14" applyBorder="1" applyAlignment="1">
      <alignment vertical="center"/>
    </xf>
    <xf numFmtId="0" fontId="23" fillId="0" borderId="26" xfId="2" applyFont="1" applyBorder="1" applyAlignment="1">
      <alignment horizontal="center" vertical="center"/>
    </xf>
    <xf numFmtId="0" fontId="23" fillId="0" borderId="26" xfId="2" applyFont="1" applyBorder="1" applyAlignment="1">
      <alignment vertical="center"/>
    </xf>
    <xf numFmtId="0" fontId="38" fillId="0" borderId="1" xfId="14" applyFont="1" applyBorder="1" applyAlignment="1">
      <alignment vertical="center"/>
    </xf>
    <xf numFmtId="0" fontId="38" fillId="0" borderId="0" xfId="14" applyFont="1" applyAlignment="1">
      <alignment vertical="center"/>
    </xf>
    <xf numFmtId="0" fontId="16" fillId="0" borderId="70" xfId="14" applyBorder="1" applyAlignment="1">
      <alignment vertical="center"/>
    </xf>
    <xf numFmtId="171" fontId="31" fillId="0" borderId="0" xfId="12" applyNumberFormat="1" applyFont="1" applyAlignment="1">
      <alignment vertical="center"/>
    </xf>
    <xf numFmtId="0" fontId="36" fillId="13" borderId="0" xfId="14" applyFont="1" applyFill="1" applyAlignment="1">
      <alignment vertical="center"/>
    </xf>
    <xf numFmtId="0" fontId="23" fillId="13" borderId="0" xfId="14" applyFont="1" applyFill="1" applyAlignment="1">
      <alignment vertical="center"/>
    </xf>
    <xf numFmtId="0" fontId="10" fillId="0" borderId="0" xfId="14" applyFont="1" applyAlignment="1">
      <alignment horizontal="center"/>
    </xf>
    <xf numFmtId="0" fontId="10" fillId="0" borderId="44" xfId="14" applyFont="1" applyBorder="1" applyAlignment="1">
      <alignment horizontal="center"/>
    </xf>
    <xf numFmtId="0" fontId="23" fillId="0" borderId="41" xfId="2" applyFont="1" applyBorder="1" applyAlignment="1">
      <alignment horizontal="center" vertical="center"/>
    </xf>
    <xf numFmtId="172" fontId="23" fillId="0" borderId="0" xfId="14" applyNumberFormat="1" applyFont="1" applyAlignment="1">
      <alignment vertical="center"/>
    </xf>
    <xf numFmtId="0" fontId="4" fillId="9" borderId="0" xfId="2" applyFill="1"/>
    <xf numFmtId="0" fontId="31" fillId="9" borderId="0" xfId="15" applyFont="1" applyFill="1" applyAlignment="1">
      <alignment horizontal="left" vertical="center" wrapText="1"/>
    </xf>
    <xf numFmtId="171" fontId="31" fillId="0" borderId="0" xfId="15" applyNumberFormat="1" applyFont="1" applyAlignment="1">
      <alignment horizontal="left" vertical="center" wrapText="1"/>
    </xf>
    <xf numFmtId="15" fontId="17" fillId="19" borderId="13" xfId="34" applyNumberFormat="1" applyFont="1" applyFill="1" applyBorder="1" applyAlignment="1" applyProtection="1">
      <alignment horizontal="center"/>
      <protection locked="0"/>
    </xf>
    <xf numFmtId="9" fontId="31" fillId="5" borderId="13" xfId="1" applyNumberFormat="1" applyFont="1" applyFill="1" applyBorder="1" applyAlignment="1">
      <alignment horizontal="right" vertical="center"/>
    </xf>
    <xf numFmtId="9" fontId="31" fillId="5" borderId="37" xfId="1" applyNumberFormat="1" applyFont="1" applyFill="1" applyBorder="1" applyAlignment="1">
      <alignment horizontal="right" vertical="center"/>
    </xf>
    <xf numFmtId="9" fontId="31" fillId="5" borderId="36" xfId="1" applyNumberFormat="1" applyFont="1" applyFill="1" applyBorder="1" applyAlignment="1">
      <alignment horizontal="right" vertical="center"/>
    </xf>
    <xf numFmtId="196" fontId="31" fillId="0" borderId="0" xfId="15" applyNumberFormat="1" applyFont="1" applyBorder="1" applyAlignment="1">
      <alignment horizontal="left" vertical="center" wrapText="1"/>
    </xf>
    <xf numFmtId="197" fontId="31" fillId="0" borderId="0" xfId="15" applyNumberFormat="1" applyFont="1" applyBorder="1" applyAlignment="1">
      <alignment horizontal="left" vertical="center" wrapText="1"/>
    </xf>
    <xf numFmtId="197" fontId="31" fillId="0" borderId="44" xfId="12" applyNumberFormat="1" applyFont="1" applyBorder="1" applyAlignment="1">
      <alignment vertical="center"/>
    </xf>
    <xf numFmtId="0" fontId="31" fillId="0" borderId="60" xfId="24" applyFont="1" applyBorder="1" applyAlignment="1">
      <alignment horizontal="center" vertical="center"/>
    </xf>
    <xf numFmtId="169" fontId="23" fillId="18" borderId="12" xfId="2" applyNumberFormat="1" applyFont="1" applyFill="1" applyBorder="1" applyAlignment="1">
      <alignment horizontal="left" vertical="center"/>
    </xf>
    <xf numFmtId="169" fontId="23" fillId="18" borderId="37" xfId="2" applyNumberFormat="1" applyFont="1" applyFill="1" applyBorder="1" applyAlignment="1">
      <alignment horizontal="left" vertical="center"/>
    </xf>
    <xf numFmtId="0" fontId="32" fillId="0" borderId="0" xfId="12" applyFont="1" applyAlignment="1">
      <alignment horizontal="center" vertical="center"/>
    </xf>
    <xf numFmtId="0" fontId="35" fillId="0" borderId="0" xfId="12" applyFont="1" applyAlignment="1">
      <alignment horizontal="left" vertical="center"/>
    </xf>
    <xf numFmtId="0" fontId="35" fillId="0" borderId="0" xfId="12" applyFont="1" applyAlignment="1">
      <alignment horizontal="center" vertical="center"/>
    </xf>
    <xf numFmtId="0" fontId="37" fillId="0" borderId="0" xfId="12" applyFont="1" applyAlignment="1">
      <alignment horizontal="left" vertical="center"/>
    </xf>
    <xf numFmtId="0" fontId="31" fillId="0" borderId="0" xfId="12" applyFont="1" applyAlignment="1">
      <alignment horizontal="left" vertical="center"/>
    </xf>
    <xf numFmtId="0" fontId="23" fillId="0" borderId="30" xfId="14" applyFont="1" applyBorder="1" applyAlignment="1">
      <alignment vertical="center"/>
    </xf>
    <xf numFmtId="0" fontId="31" fillId="0" borderId="0" xfId="15" applyFont="1" applyAlignment="1">
      <alignment horizontal="left" vertical="center"/>
    </xf>
    <xf numFmtId="0" fontId="23" fillId="0" borderId="38" xfId="14" applyFont="1" applyBorder="1" applyAlignment="1">
      <alignment vertical="center"/>
    </xf>
    <xf numFmtId="169" fontId="31" fillId="0" borderId="0" xfId="15" applyNumberFormat="1" applyFont="1" applyAlignment="1">
      <alignment horizontal="left" vertical="center" wrapText="1"/>
    </xf>
    <xf numFmtId="171" fontId="23" fillId="0" borderId="0" xfId="14" applyNumberFormat="1" applyFont="1" applyAlignment="1">
      <alignment vertical="center"/>
    </xf>
    <xf numFmtId="171" fontId="23" fillId="0" borderId="10" xfId="2" applyNumberFormat="1" applyFont="1" applyBorder="1" applyAlignment="1">
      <alignment horizontal="center" vertical="center"/>
    </xf>
    <xf numFmtId="171" fontId="23" fillId="0" borderId="1" xfId="14" applyNumberFormat="1" applyFont="1" applyBorder="1" applyAlignment="1">
      <alignment vertical="center"/>
    </xf>
    <xf numFmtId="0" fontId="23" fillId="0" borderId="14" xfId="2" applyFont="1" applyBorder="1" applyAlignment="1">
      <alignment horizontal="center" vertical="center"/>
    </xf>
    <xf numFmtId="171" fontId="23" fillId="0" borderId="14" xfId="2" applyNumberFormat="1" applyFont="1" applyBorder="1" applyAlignment="1">
      <alignment horizontal="center" vertical="center"/>
    </xf>
    <xf numFmtId="0" fontId="23" fillId="19" borderId="13" xfId="2" applyFont="1" applyFill="1" applyBorder="1" applyAlignment="1">
      <alignment vertical="center" wrapText="1"/>
    </xf>
    <xf numFmtId="169" fontId="23" fillId="19" borderId="36" xfId="2" applyNumberFormat="1" applyFont="1" applyFill="1" applyBorder="1" applyAlignment="1">
      <alignment horizontal="left" vertical="center"/>
    </xf>
    <xf numFmtId="169" fontId="23" fillId="19" borderId="13" xfId="2" applyNumberFormat="1" applyFont="1" applyFill="1" applyBorder="1" applyAlignment="1">
      <alignment horizontal="left" vertical="center"/>
    </xf>
    <xf numFmtId="169" fontId="23" fillId="19" borderId="37" xfId="2" applyNumberFormat="1" applyFont="1" applyFill="1" applyBorder="1" applyAlignment="1">
      <alignment horizontal="left" vertical="center"/>
    </xf>
    <xf numFmtId="187" fontId="23" fillId="19" borderId="10" xfId="2" applyNumberFormat="1" applyFont="1" applyFill="1" applyBorder="1" applyAlignment="1" applyProtection="1">
      <alignment horizontal="left" vertical="center"/>
    </xf>
    <xf numFmtId="187" fontId="23" fillId="19" borderId="10" xfId="2" applyNumberFormat="1" applyFont="1" applyFill="1" applyBorder="1" applyAlignment="1" applyProtection="1">
      <alignment horizontal="left" vertical="center" wrapText="1"/>
    </xf>
    <xf numFmtId="187" fontId="23" fillId="19" borderId="10" xfId="2" applyNumberFormat="1" applyFont="1" applyFill="1" applyBorder="1" applyAlignment="1" applyProtection="1">
      <alignment horizontal="center" vertical="center" wrapText="1"/>
    </xf>
    <xf numFmtId="3" fontId="83" fillId="19" borderId="34" xfId="0" applyNumberFormat="1" applyFont="1" applyFill="1" applyBorder="1" applyAlignment="1">
      <alignment vertical="center" wrapText="1"/>
    </xf>
    <xf numFmtId="3" fontId="83" fillId="19" borderId="24" xfId="0" applyNumberFormat="1" applyFont="1" applyFill="1" applyBorder="1" applyAlignment="1">
      <alignment vertical="center" wrapText="1"/>
    </xf>
    <xf numFmtId="3" fontId="83" fillId="19" borderId="21" xfId="0" applyNumberFormat="1" applyFont="1" applyFill="1" applyBorder="1" applyAlignment="1">
      <alignment vertical="center" wrapText="1"/>
    </xf>
    <xf numFmtId="3" fontId="83" fillId="19" borderId="13" xfId="0" applyNumberFormat="1" applyFont="1" applyFill="1" applyBorder="1" applyAlignment="1">
      <alignment vertical="center" wrapText="1"/>
    </xf>
    <xf numFmtId="0" fontId="0" fillId="19" borderId="35" xfId="0" applyFill="1" applyBorder="1" applyAlignment="1">
      <alignment wrapText="1"/>
    </xf>
    <xf numFmtId="0" fontId="0" fillId="19" borderId="37" xfId="0" applyFill="1" applyBorder="1" applyAlignment="1">
      <alignment wrapText="1"/>
    </xf>
    <xf numFmtId="3" fontId="0" fillId="19" borderId="24" xfId="0" applyNumberFormat="1" applyFill="1" applyBorder="1"/>
    <xf numFmtId="3" fontId="0" fillId="19" borderId="13" xfId="0" applyNumberFormat="1" applyFill="1" applyBorder="1"/>
    <xf numFmtId="3" fontId="0" fillId="19" borderId="21" xfId="0" applyNumberFormat="1" applyFill="1" applyBorder="1"/>
    <xf numFmtId="3" fontId="0" fillId="19" borderId="10" xfId="0" applyNumberFormat="1" applyFill="1" applyBorder="1"/>
    <xf numFmtId="0" fontId="0" fillId="19" borderId="41" xfId="0" applyFill="1" applyBorder="1" applyAlignment="1">
      <alignment wrapText="1"/>
    </xf>
    <xf numFmtId="3" fontId="108" fillId="19" borderId="34" xfId="0" applyNumberFormat="1" applyFont="1" applyFill="1" applyBorder="1" applyAlignment="1">
      <alignment horizontal="right"/>
    </xf>
    <xf numFmtId="3" fontId="108" fillId="19" borderId="57" xfId="0" applyNumberFormat="1" applyFont="1" applyFill="1" applyBorder="1" applyAlignment="1">
      <alignment horizontal="right"/>
    </xf>
    <xf numFmtId="3" fontId="82" fillId="19" borderId="34" xfId="0" applyNumberFormat="1" applyFont="1" applyFill="1" applyBorder="1" applyAlignment="1">
      <alignment vertical="center" wrapText="1"/>
    </xf>
    <xf numFmtId="3" fontId="82" fillId="19" borderId="24" xfId="0" applyNumberFormat="1" applyFont="1" applyFill="1" applyBorder="1" applyAlignment="1">
      <alignment vertical="center" wrapText="1"/>
    </xf>
    <xf numFmtId="3" fontId="82" fillId="19" borderId="21" xfId="0" applyNumberFormat="1" applyFont="1" applyFill="1" applyBorder="1" applyAlignment="1">
      <alignment vertical="center" wrapText="1"/>
    </xf>
    <xf numFmtId="3" fontId="82" fillId="19" borderId="36" xfId="0" applyNumberFormat="1" applyFont="1" applyFill="1" applyBorder="1" applyAlignment="1">
      <alignment vertical="center" wrapText="1"/>
    </xf>
    <xf numFmtId="3" fontId="82" fillId="19" borderId="13" xfId="0" applyNumberFormat="1" applyFont="1" applyFill="1" applyBorder="1" applyAlignment="1">
      <alignment vertical="center" wrapText="1"/>
    </xf>
    <xf numFmtId="3" fontId="82" fillId="19" borderId="10" xfId="0" applyNumberFormat="1" applyFont="1" applyFill="1" applyBorder="1" applyAlignment="1">
      <alignment vertical="center" wrapText="1"/>
    </xf>
    <xf numFmtId="3" fontId="31" fillId="19" borderId="13" xfId="0" applyNumberFormat="1" applyFont="1" applyFill="1" applyBorder="1" applyAlignment="1">
      <alignment vertical="center" wrapText="1"/>
    </xf>
    <xf numFmtId="0" fontId="0" fillId="19" borderId="83" xfId="0" applyFill="1" applyBorder="1" applyAlignment="1">
      <alignment wrapText="1"/>
    </xf>
    <xf numFmtId="176" fontId="16" fillId="11" borderId="0" xfId="14" applyNumberFormat="1" applyFont="1" applyFill="1"/>
    <xf numFmtId="172" fontId="16" fillId="0" borderId="0" xfId="2" applyNumberFormat="1" applyFont="1" applyAlignment="1">
      <alignment vertical="center"/>
    </xf>
    <xf numFmtId="169" fontId="31" fillId="0" borderId="0" xfId="15" applyNumberFormat="1" applyFont="1" applyBorder="1" applyAlignment="1">
      <alignment horizontal="center" vertical="center"/>
    </xf>
    <xf numFmtId="172" fontId="31" fillId="0" borderId="0" xfId="15" applyNumberFormat="1" applyFont="1" applyBorder="1" applyAlignment="1">
      <alignment horizontal="left" vertical="center"/>
    </xf>
    <xf numFmtId="172" fontId="31" fillId="0" borderId="0" xfId="15" applyNumberFormat="1" applyFont="1" applyBorder="1" applyAlignment="1">
      <alignment horizontal="center" vertical="center"/>
    </xf>
    <xf numFmtId="172" fontId="31" fillId="0" borderId="0" xfId="16" applyNumberFormat="1" applyFont="1" applyBorder="1" applyAlignment="1">
      <alignment horizontal="center" vertical="center"/>
    </xf>
    <xf numFmtId="0" fontId="0" fillId="2" borderId="0" xfId="3" applyFont="1" applyFill="1" applyAlignment="1">
      <alignment horizontal="left" indent="1"/>
    </xf>
    <xf numFmtId="0" fontId="0" fillId="2" borderId="1" xfId="3" applyFont="1" applyFill="1" applyBorder="1" applyAlignment="1">
      <alignment horizontal="left" indent="1"/>
    </xf>
    <xf numFmtId="0" fontId="31" fillId="0" borderId="0" xfId="12" applyFont="1" applyAlignment="1">
      <alignment horizontal="left" vertical="center" indent="1"/>
    </xf>
    <xf numFmtId="0" fontId="0" fillId="0" borderId="0" xfId="0" applyAlignment="1">
      <alignment horizontal="left" indent="1"/>
    </xf>
    <xf numFmtId="0" fontId="32" fillId="14" borderId="42" xfId="12" applyFont="1" applyFill="1" applyBorder="1" applyAlignment="1">
      <alignment horizontal="left" vertical="center" indent="1"/>
    </xf>
    <xf numFmtId="0" fontId="0" fillId="0" borderId="30" xfId="0" applyBorder="1" applyAlignment="1">
      <alignment horizontal="left" indent="1"/>
    </xf>
    <xf numFmtId="0" fontId="31" fillId="0" borderId="36" xfId="24" applyFont="1" applyBorder="1" applyAlignment="1">
      <alignment horizontal="left" vertical="center" indent="1"/>
    </xf>
    <xf numFmtId="0" fontId="23" fillId="0" borderId="30" xfId="2" applyFont="1" applyFill="1" applyBorder="1" applyAlignment="1" applyProtection="1">
      <alignment horizontal="left" indent="1"/>
    </xf>
    <xf numFmtId="169" fontId="16" fillId="18" borderId="36" xfId="2" applyNumberFormat="1" applyFont="1" applyFill="1" applyBorder="1" applyAlignment="1">
      <alignment horizontal="left" vertical="center" indent="1"/>
    </xf>
    <xf numFmtId="169" fontId="23" fillId="18" borderId="36" xfId="2" applyNumberFormat="1" applyFont="1" applyFill="1" applyBorder="1" applyAlignment="1">
      <alignment horizontal="left" vertical="center" indent="1"/>
    </xf>
    <xf numFmtId="169" fontId="23" fillId="18" borderId="36" xfId="2" applyNumberFormat="1" applyFont="1" applyFill="1" applyBorder="1" applyAlignment="1">
      <alignment horizontal="left" indent="1"/>
    </xf>
    <xf numFmtId="0" fontId="31" fillId="0" borderId="30" xfId="12" applyFont="1" applyBorder="1" applyAlignment="1">
      <alignment horizontal="left" vertical="center" indent="1"/>
    </xf>
    <xf numFmtId="0" fontId="23" fillId="13" borderId="38" xfId="14" applyFont="1" applyFill="1" applyBorder="1" applyAlignment="1">
      <alignment horizontal="left" vertical="center" indent="1"/>
    </xf>
    <xf numFmtId="169" fontId="23" fillId="0" borderId="36" xfId="2" applyNumberFormat="1" applyFont="1" applyFill="1" applyBorder="1" applyAlignment="1">
      <alignment horizontal="left" indent="1"/>
    </xf>
    <xf numFmtId="0" fontId="0" fillId="2" borderId="0" xfId="3" applyFont="1" applyFill="1" applyAlignment="1">
      <alignment horizontal="left" wrapText="1" indent="1"/>
    </xf>
    <xf numFmtId="0" fontId="0" fillId="2" borderId="1" xfId="3" applyFont="1" applyFill="1" applyBorder="1" applyAlignment="1">
      <alignment horizontal="left" wrapText="1" indent="1"/>
    </xf>
    <xf numFmtId="0" fontId="31" fillId="0" borderId="0" xfId="12" applyFont="1" applyAlignment="1">
      <alignment horizontal="left" vertical="center" wrapText="1" indent="1"/>
    </xf>
    <xf numFmtId="0" fontId="0" fillId="0" borderId="0" xfId="0" applyAlignment="1">
      <alignment horizontal="left" wrapText="1" indent="1"/>
    </xf>
    <xf numFmtId="0" fontId="32" fillId="14" borderId="27" xfId="12" applyFont="1" applyFill="1" applyBorder="1" applyAlignment="1">
      <alignment horizontal="left" vertical="center" wrapText="1" indent="1"/>
    </xf>
    <xf numFmtId="0" fontId="0" fillId="0" borderId="0" xfId="0" applyBorder="1" applyAlignment="1">
      <alignment horizontal="left" wrapText="1" indent="1"/>
    </xf>
    <xf numFmtId="0" fontId="31" fillId="0" borderId="13" xfId="24" applyFont="1" applyBorder="1" applyAlignment="1">
      <alignment horizontal="left" vertical="center" wrapText="1" indent="1"/>
    </xf>
    <xf numFmtId="0" fontId="23" fillId="0" borderId="0" xfId="2" applyFont="1" applyFill="1" applyBorder="1" applyAlignment="1" applyProtection="1">
      <alignment horizontal="left" wrapText="1" indent="1"/>
    </xf>
    <xf numFmtId="169" fontId="16" fillId="18" borderId="12" xfId="2" applyNumberFormat="1" applyFont="1" applyFill="1" applyBorder="1" applyAlignment="1">
      <alignment horizontal="left" vertical="center" wrapText="1" indent="1"/>
    </xf>
    <xf numFmtId="169" fontId="23" fillId="18" borderId="12" xfId="2" applyNumberFormat="1" applyFont="1" applyFill="1" applyBorder="1" applyAlignment="1">
      <alignment horizontal="left" vertical="center" wrapText="1" indent="1"/>
    </xf>
    <xf numFmtId="169" fontId="23" fillId="18" borderId="12" xfId="2" applyNumberFormat="1" applyFont="1" applyFill="1" applyBorder="1" applyAlignment="1">
      <alignment horizontal="left" wrapText="1" indent="1"/>
    </xf>
    <xf numFmtId="0" fontId="31" fillId="0" borderId="0" xfId="12" applyFont="1" applyBorder="1" applyAlignment="1">
      <alignment horizontal="left" vertical="center" wrapText="1" indent="1"/>
    </xf>
    <xf numFmtId="0" fontId="23" fillId="13" borderId="1" xfId="14" applyFont="1" applyFill="1" applyBorder="1" applyAlignment="1">
      <alignment horizontal="left" vertical="center" wrapText="1" indent="1"/>
    </xf>
    <xf numFmtId="169" fontId="23" fillId="0" borderId="12" xfId="2" applyNumberFormat="1" applyFont="1" applyFill="1" applyBorder="1" applyAlignment="1">
      <alignment horizontal="left" wrapText="1" indent="1"/>
    </xf>
    <xf numFmtId="0" fontId="31" fillId="0" borderId="0" xfId="12" applyFont="1" applyBorder="1" applyAlignment="1">
      <alignment horizontal="left" vertical="center" indent="1"/>
    </xf>
    <xf numFmtId="171" fontId="16" fillId="18" borderId="13" xfId="2" applyNumberFormat="1" applyFont="1" applyFill="1" applyBorder="1" applyAlignment="1">
      <alignment horizontal="left" vertical="center" wrapText="1" indent="1"/>
    </xf>
    <xf numFmtId="0" fontId="23" fillId="13" borderId="0" xfId="14" applyFont="1" applyFill="1" applyBorder="1" applyAlignment="1">
      <alignment horizontal="left" vertical="center" indent="1"/>
    </xf>
    <xf numFmtId="0" fontId="31" fillId="0" borderId="60" xfId="24" applyFont="1" applyBorder="1" applyAlignment="1">
      <alignment horizontal="left" vertical="center" indent="1"/>
    </xf>
    <xf numFmtId="172" fontId="23" fillId="18" borderId="13" xfId="2" applyNumberFormat="1" applyFont="1" applyFill="1" applyBorder="1" applyAlignment="1">
      <alignment horizontal="left" vertical="center" indent="1"/>
    </xf>
    <xf numFmtId="172" fontId="23" fillId="18" borderId="37" xfId="2" applyNumberFormat="1" applyFont="1" applyFill="1" applyBorder="1" applyAlignment="1">
      <alignment horizontal="left" vertical="center" indent="1"/>
    </xf>
    <xf numFmtId="169" fontId="23" fillId="18" borderId="12" xfId="2" applyNumberFormat="1" applyFont="1" applyFill="1" applyBorder="1" applyAlignment="1">
      <alignment horizontal="left" vertical="center" indent="1"/>
    </xf>
    <xf numFmtId="169" fontId="23" fillId="18" borderId="13" xfId="2" applyNumberFormat="1" applyFont="1" applyFill="1" applyBorder="1" applyAlignment="1">
      <alignment horizontal="left" vertical="center" indent="1"/>
    </xf>
    <xf numFmtId="169" fontId="23" fillId="18" borderId="37" xfId="2" applyNumberFormat="1" applyFont="1" applyFill="1" applyBorder="1" applyAlignment="1">
      <alignment horizontal="left" vertical="center" indent="1"/>
    </xf>
    <xf numFmtId="0" fontId="0" fillId="0" borderId="0" xfId="0" applyAlignment="1">
      <alignment horizontal="left" vertical="center" indent="1"/>
    </xf>
    <xf numFmtId="171" fontId="16" fillId="18" borderId="13" xfId="2" applyNumberFormat="1" applyFont="1" applyFill="1" applyBorder="1" applyAlignment="1">
      <alignment horizontal="left" vertical="center" wrapText="1" indent="2"/>
    </xf>
    <xf numFmtId="0" fontId="28" fillId="0" borderId="0" xfId="12" applyFont="1" applyBorder="1" applyAlignment="1">
      <alignment horizontal="left" vertical="center" wrapText="1" indent="1"/>
    </xf>
    <xf numFmtId="172" fontId="23" fillId="18" borderId="12" xfId="2" applyNumberFormat="1" applyFont="1" applyFill="1" applyBorder="1" applyAlignment="1">
      <alignment horizontal="left" vertical="center" wrapText="1" indent="1"/>
    </xf>
    <xf numFmtId="3" fontId="1" fillId="19" borderId="24" xfId="46" applyNumberFormat="1" applyFont="1" applyFill="1" applyBorder="1"/>
    <xf numFmtId="3" fontId="39" fillId="19" borderId="24" xfId="0" applyNumberFormat="1" applyFont="1" applyFill="1" applyBorder="1"/>
    <xf numFmtId="3" fontId="1" fillId="19" borderId="12" xfId="46" applyNumberFormat="1" applyFont="1" applyFill="1" applyBorder="1"/>
    <xf numFmtId="3" fontId="39" fillId="19" borderId="13" xfId="0" applyNumberFormat="1" applyFont="1" applyFill="1" applyBorder="1"/>
    <xf numFmtId="176" fontId="39" fillId="19" borderId="10" xfId="0" applyNumberFormat="1" applyFont="1" applyFill="1" applyBorder="1"/>
    <xf numFmtId="0" fontId="1" fillId="19" borderId="12" xfId="46" applyFont="1" applyFill="1" applyBorder="1"/>
    <xf numFmtId="0" fontId="39" fillId="19" borderId="13" xfId="0" applyFont="1" applyFill="1" applyBorder="1"/>
    <xf numFmtId="0" fontId="39" fillId="19" borderId="10" xfId="0" applyFont="1" applyFill="1" applyBorder="1"/>
    <xf numFmtId="0" fontId="1" fillId="19" borderId="15" xfId="46" applyFont="1" applyFill="1" applyBorder="1"/>
    <xf numFmtId="0" fontId="39" fillId="19" borderId="17" xfId="0" applyFont="1" applyFill="1" applyBorder="1"/>
    <xf numFmtId="0" fontId="39" fillId="19" borderId="14" xfId="0" applyFont="1" applyFill="1" applyBorder="1"/>
    <xf numFmtId="1" fontId="1" fillId="19" borderId="12" xfId="46" applyNumberFormat="1" applyFont="1" applyFill="1" applyBorder="1"/>
    <xf numFmtId="1" fontId="39" fillId="19" borderId="13" xfId="0" applyNumberFormat="1" applyFont="1" applyFill="1" applyBorder="1"/>
    <xf numFmtId="1" fontId="39" fillId="19" borderId="10" xfId="0" applyNumberFormat="1" applyFont="1" applyFill="1" applyBorder="1"/>
    <xf numFmtId="3" fontId="108" fillId="19" borderId="24" xfId="0" applyNumberFormat="1" applyFont="1" applyFill="1" applyBorder="1" applyAlignment="1">
      <alignment horizontal="right" wrapText="1" indent="2"/>
    </xf>
    <xf numFmtId="3" fontId="108" fillId="19" borderId="17" xfId="0" applyNumberFormat="1" applyFont="1" applyFill="1" applyBorder="1" applyAlignment="1">
      <alignment horizontal="right" wrapText="1" indent="2"/>
    </xf>
    <xf numFmtId="2" fontId="108" fillId="19" borderId="34" xfId="0" applyNumberFormat="1" applyFont="1" applyFill="1" applyBorder="1" applyAlignment="1"/>
    <xf numFmtId="2" fontId="1" fillId="19" borderId="24" xfId="0" applyNumberFormat="1" applyFont="1" applyFill="1" applyBorder="1" applyAlignment="1">
      <alignment wrapText="1"/>
    </xf>
    <xf numFmtId="2" fontId="108" fillId="19" borderId="36" xfId="0" applyNumberFormat="1" applyFont="1" applyFill="1" applyBorder="1" applyAlignment="1"/>
    <xf numFmtId="2" fontId="1" fillId="19" borderId="13" xfId="0" applyNumberFormat="1" applyFont="1" applyFill="1" applyBorder="1" applyAlignment="1">
      <alignment wrapText="1"/>
    </xf>
    <xf numFmtId="0" fontId="108" fillId="19" borderId="36" xfId="0" applyFont="1" applyFill="1" applyBorder="1"/>
    <xf numFmtId="0" fontId="1" fillId="19" borderId="13" xfId="0" applyFont="1" applyFill="1" applyBorder="1" applyAlignment="1">
      <alignment horizontal="left" vertical="center" wrapText="1" indent="2"/>
    </xf>
    <xf numFmtId="0" fontId="108" fillId="19" borderId="57" xfId="0" applyFont="1" applyFill="1" applyBorder="1"/>
    <xf numFmtId="0" fontId="1" fillId="19" borderId="17" xfId="0" applyFont="1" applyFill="1" applyBorder="1" applyAlignment="1">
      <alignment horizontal="left" vertical="center" wrapText="1" indent="2"/>
    </xf>
    <xf numFmtId="2" fontId="108" fillId="19" borderId="24" xfId="0" applyNumberFormat="1" applyFont="1" applyFill="1" applyBorder="1" applyAlignment="1">
      <alignment wrapText="1"/>
    </xf>
    <xf numFmtId="2" fontId="108" fillId="19" borderId="13" xfId="0" applyNumberFormat="1" applyFont="1" applyFill="1" applyBorder="1" applyAlignment="1">
      <alignment wrapText="1"/>
    </xf>
    <xf numFmtId="0" fontId="108" fillId="19" borderId="36" xfId="0" applyFont="1" applyFill="1" applyBorder="1" applyAlignment="1">
      <alignment vertical="center" wrapText="1"/>
    </xf>
    <xf numFmtId="0" fontId="108" fillId="19" borderId="13" xfId="0" applyFont="1" applyFill="1" applyBorder="1" applyAlignment="1">
      <alignment vertical="center" wrapText="1"/>
    </xf>
    <xf numFmtId="0" fontId="108" fillId="19" borderId="39" xfId="0" applyFont="1" applyFill="1" applyBorder="1" applyAlignment="1">
      <alignment vertical="center" wrapText="1"/>
    </xf>
    <xf numFmtId="0" fontId="108" fillId="19" borderId="40" xfId="0" applyFont="1" applyFill="1" applyBorder="1" applyAlignment="1">
      <alignment vertical="center" wrapText="1"/>
    </xf>
    <xf numFmtId="170" fontId="23" fillId="18" borderId="13" xfId="2" applyNumberFormat="1" applyFont="1" applyFill="1" applyBorder="1" applyAlignment="1">
      <alignment horizontal="right" vertical="center" indent="1"/>
    </xf>
    <xf numFmtId="0" fontId="0" fillId="2" borderId="0" xfId="3" applyFont="1" applyFill="1" applyAlignment="1">
      <alignment horizontal="left" vertical="center" indent="1"/>
    </xf>
    <xf numFmtId="0" fontId="0" fillId="2" borderId="1" xfId="3" applyFont="1" applyFill="1" applyBorder="1" applyAlignment="1">
      <alignment horizontal="left" vertical="center" indent="1"/>
    </xf>
    <xf numFmtId="0" fontId="31" fillId="0" borderId="75" xfId="24" applyFont="1" applyBorder="1" applyAlignment="1">
      <alignment horizontal="left" vertical="center" indent="1"/>
    </xf>
    <xf numFmtId="0" fontId="23" fillId="0" borderId="30" xfId="2" applyFont="1" applyFill="1" applyBorder="1" applyAlignment="1" applyProtection="1">
      <alignment horizontal="left" vertical="center" indent="1"/>
    </xf>
    <xf numFmtId="0" fontId="31" fillId="0" borderId="58" xfId="24" applyFont="1" applyBorder="1" applyAlignment="1">
      <alignment horizontal="left" vertical="center" indent="1"/>
    </xf>
    <xf numFmtId="3" fontId="1" fillId="19" borderId="34" xfId="46" applyNumberFormat="1" applyFont="1" applyFill="1" applyBorder="1"/>
    <xf numFmtId="3" fontId="39" fillId="19" borderId="21" xfId="0" applyNumberFormat="1" applyFont="1" applyFill="1" applyBorder="1"/>
    <xf numFmtId="3" fontId="1" fillId="19" borderId="36" xfId="46" applyNumberFormat="1" applyFont="1" applyFill="1" applyBorder="1"/>
    <xf numFmtId="3" fontId="39" fillId="19" borderId="10" xfId="0" applyNumberFormat="1" applyFont="1" applyFill="1" applyBorder="1"/>
    <xf numFmtId="3" fontId="1" fillId="19" borderId="15" xfId="46" applyNumberFormat="1" applyFont="1" applyFill="1" applyBorder="1"/>
    <xf numFmtId="3" fontId="39" fillId="19" borderId="17" xfId="0" applyNumberFormat="1" applyFont="1" applyFill="1" applyBorder="1"/>
    <xf numFmtId="3" fontId="39" fillId="19" borderId="14" xfId="0" applyNumberFormat="1" applyFont="1" applyFill="1" applyBorder="1"/>
    <xf numFmtId="3" fontId="39" fillId="19" borderId="57" xfId="0" applyNumberFormat="1" applyFont="1" applyFill="1" applyBorder="1"/>
    <xf numFmtId="2" fontId="1" fillId="19" borderId="34" xfId="0" applyNumberFormat="1" applyFont="1" applyFill="1" applyBorder="1" applyAlignment="1"/>
    <xf numFmtId="2" fontId="1" fillId="19" borderId="23" xfId="0" applyNumberFormat="1" applyFont="1" applyFill="1" applyBorder="1" applyAlignment="1"/>
    <xf numFmtId="2" fontId="1" fillId="19" borderId="36" xfId="0" applyNumberFormat="1" applyFont="1" applyFill="1" applyBorder="1" applyAlignment="1"/>
    <xf numFmtId="2" fontId="1" fillId="19" borderId="12" xfId="0" applyNumberFormat="1" applyFont="1" applyFill="1" applyBorder="1" applyAlignment="1"/>
    <xf numFmtId="0" fontId="1" fillId="19" borderId="36" xfId="0" applyFont="1" applyFill="1" applyBorder="1"/>
    <xf numFmtId="0" fontId="1" fillId="19" borderId="12" xfId="0" applyFont="1" applyFill="1" applyBorder="1"/>
    <xf numFmtId="0" fontId="1" fillId="19" borderId="57" xfId="0" applyFont="1" applyFill="1" applyBorder="1"/>
    <xf numFmtId="0" fontId="1" fillId="19" borderId="15" xfId="0" applyFont="1" applyFill="1" applyBorder="1"/>
    <xf numFmtId="2" fontId="1" fillId="19" borderId="34" xfId="0" applyNumberFormat="1" applyFont="1" applyFill="1" applyBorder="1" applyAlignment="1">
      <alignment horizontal="right" wrapText="1"/>
    </xf>
    <xf numFmtId="2" fontId="1" fillId="19" borderId="23" xfId="0" applyNumberFormat="1" applyFont="1" applyFill="1" applyBorder="1" applyAlignment="1">
      <alignment horizontal="right" wrapText="1"/>
    </xf>
    <xf numFmtId="2" fontId="1" fillId="19" borderId="24" xfId="0" applyNumberFormat="1" applyFont="1" applyFill="1" applyBorder="1" applyAlignment="1">
      <alignment horizontal="right" wrapText="1"/>
    </xf>
    <xf numFmtId="2" fontId="1" fillId="19" borderId="36" xfId="0" applyNumberFormat="1" applyFont="1" applyFill="1" applyBorder="1" applyAlignment="1">
      <alignment horizontal="right" wrapText="1"/>
    </xf>
    <xf numFmtId="2" fontId="1" fillId="19" borderId="12" xfId="0" applyNumberFormat="1" applyFont="1" applyFill="1" applyBorder="1" applyAlignment="1">
      <alignment horizontal="right" wrapText="1"/>
    </xf>
    <xf numFmtId="2" fontId="1" fillId="19" borderId="13" xfId="0" applyNumberFormat="1" applyFont="1" applyFill="1" applyBorder="1" applyAlignment="1">
      <alignment horizontal="right" wrapText="1"/>
    </xf>
    <xf numFmtId="2" fontId="1" fillId="19" borderId="39" xfId="0" applyNumberFormat="1" applyFont="1" applyFill="1" applyBorder="1" applyAlignment="1">
      <alignment horizontal="right" wrapText="1"/>
    </xf>
    <xf numFmtId="2" fontId="1" fillId="19" borderId="50" xfId="0" applyNumberFormat="1" applyFont="1" applyFill="1" applyBorder="1" applyAlignment="1">
      <alignment horizontal="right" wrapText="1"/>
    </xf>
    <xf numFmtId="2" fontId="1" fillId="19" borderId="40" xfId="0" applyNumberFormat="1" applyFont="1" applyFill="1" applyBorder="1" applyAlignment="1">
      <alignment horizontal="right" wrapText="1"/>
    </xf>
    <xf numFmtId="171" fontId="23" fillId="19" borderId="36" xfId="2" applyNumberFormat="1" applyFont="1" applyFill="1" applyBorder="1" applyAlignment="1">
      <alignment horizontal="right" vertical="center"/>
    </xf>
    <xf numFmtId="171" fontId="23" fillId="19" borderId="13" xfId="2" applyNumberFormat="1" applyFont="1" applyFill="1" applyBorder="1" applyAlignment="1">
      <alignment horizontal="right" vertical="center"/>
    </xf>
    <xf numFmtId="171" fontId="23" fillId="19" borderId="37" xfId="2" applyNumberFormat="1" applyFont="1" applyFill="1" applyBorder="1" applyAlignment="1">
      <alignment horizontal="right" vertical="center"/>
    </xf>
    <xf numFmtId="44" fontId="31" fillId="0" borderId="0" xfId="18" applyNumberFormat="1" applyFont="1" applyBorder="1" applyAlignment="1">
      <alignment horizontal="center"/>
    </xf>
    <xf numFmtId="44" fontId="31" fillId="0" borderId="0" xfId="12" applyNumberFormat="1" applyFont="1" applyAlignment="1">
      <alignment vertical="center"/>
    </xf>
    <xf numFmtId="0" fontId="17" fillId="0" borderId="0" xfId="50" applyFont="1" applyFill="1" applyBorder="1" applyAlignment="1">
      <alignment horizontal="center"/>
    </xf>
    <xf numFmtId="0" fontId="17" fillId="0" borderId="0" xfId="61" applyFont="1" applyFill="1" applyBorder="1" applyAlignment="1"/>
    <xf numFmtId="0" fontId="25" fillId="0" borderId="131" xfId="50" applyFont="1" applyBorder="1" applyAlignment="1" applyProtection="1">
      <alignment horizontal="left" indent="1"/>
    </xf>
    <xf numFmtId="0" fontId="25" fillId="0" borderId="132" xfId="50" applyFont="1" applyBorder="1" applyAlignment="1" applyProtection="1">
      <alignment horizontal="left" indent="1"/>
    </xf>
    <xf numFmtId="0" fontId="17" fillId="19" borderId="103" xfId="50" applyFont="1" applyFill="1" applyBorder="1" applyAlignment="1" applyProtection="1">
      <alignment horizontal="left" indent="1"/>
      <protection locked="0"/>
    </xf>
    <xf numFmtId="191" fontId="17" fillId="34" borderId="137" xfId="50" applyNumberFormat="1" applyFont="1" applyFill="1" applyBorder="1" applyAlignment="1" applyProtection="1">
      <alignment horizontal="left" indent="1"/>
    </xf>
    <xf numFmtId="191" fontId="17" fillId="34" borderId="131" xfId="50" applyNumberFormat="1" applyFont="1" applyFill="1" applyBorder="1" applyAlignment="1" applyProtection="1">
      <alignment horizontal="left" indent="1"/>
    </xf>
    <xf numFmtId="191" fontId="17" fillId="34" borderId="132" xfId="50" applyNumberFormat="1" applyFont="1" applyFill="1" applyBorder="1" applyAlignment="1" applyProtection="1">
      <alignment horizontal="left" indent="1"/>
    </xf>
    <xf numFmtId="0" fontId="17" fillId="0" borderId="17" xfId="50" applyFont="1" applyBorder="1" applyAlignment="1">
      <alignment horizontal="center" vertical="center"/>
    </xf>
    <xf numFmtId="0" fontId="17" fillId="35" borderId="133" xfId="50" applyFont="1" applyFill="1" applyBorder="1" applyAlignment="1" applyProtection="1">
      <alignment horizontal="left"/>
      <protection locked="0"/>
    </xf>
    <xf numFmtId="0" fontId="17" fillId="35" borderId="139" xfId="50" applyFont="1" applyFill="1" applyBorder="1" applyAlignment="1" applyProtection="1">
      <alignment horizontal="left"/>
      <protection locked="0"/>
    </xf>
    <xf numFmtId="0" fontId="17" fillId="35" borderId="99" xfId="50" applyFont="1" applyFill="1" applyBorder="1" applyAlignment="1" applyProtection="1">
      <alignment horizontal="left" indent="1"/>
      <protection locked="0"/>
    </xf>
    <xf numFmtId="0" fontId="17" fillId="35" borderId="131" xfId="50" applyFont="1" applyFill="1" applyBorder="1" applyAlignment="1" applyProtection="1">
      <alignment horizontal="left" indent="1"/>
      <protection locked="0"/>
    </xf>
    <xf numFmtId="0" fontId="17" fillId="35" borderId="132" xfId="50" applyFont="1" applyFill="1" applyBorder="1" applyAlignment="1" applyProtection="1">
      <alignment horizontal="left" indent="1"/>
      <protection locked="0"/>
    </xf>
    <xf numFmtId="171" fontId="23" fillId="18" borderId="17" xfId="2" applyNumberFormat="1" applyFont="1" applyFill="1" applyBorder="1" applyAlignment="1">
      <alignment horizontal="right" vertical="center"/>
    </xf>
    <xf numFmtId="0" fontId="1" fillId="5" borderId="12" xfId="46" applyNumberFormat="1" applyFont="1" applyFill="1" applyBorder="1"/>
    <xf numFmtId="0" fontId="1" fillId="5" borderId="50" xfId="46" applyNumberFormat="1" applyFont="1" applyFill="1" applyBorder="1"/>
    <xf numFmtId="3" fontId="1" fillId="19" borderId="13" xfId="46" applyNumberFormat="1" applyFont="1" applyFill="1" applyBorder="1"/>
    <xf numFmtId="0" fontId="1" fillId="5" borderId="13" xfId="46" applyNumberFormat="1" applyFont="1" applyFill="1" applyBorder="1"/>
    <xf numFmtId="0" fontId="1" fillId="5" borderId="40" xfId="46" applyNumberFormat="1" applyFont="1" applyFill="1" applyBorder="1"/>
    <xf numFmtId="0" fontId="1" fillId="5" borderId="82" xfId="46" applyFont="1" applyFill="1" applyBorder="1"/>
    <xf numFmtId="0" fontId="1" fillId="19" borderId="34" xfId="46" applyFont="1" applyFill="1" applyBorder="1"/>
    <xf numFmtId="0" fontId="1" fillId="19" borderId="36" xfId="46" applyFont="1" applyFill="1" applyBorder="1"/>
    <xf numFmtId="0" fontId="1" fillId="19" borderId="39" xfId="46" applyFont="1" applyFill="1" applyBorder="1"/>
    <xf numFmtId="0" fontId="1" fillId="19" borderId="34" xfId="0" applyFont="1" applyFill="1" applyBorder="1" applyAlignment="1">
      <alignment horizontal="left" vertical="center" wrapText="1" indent="2"/>
    </xf>
    <xf numFmtId="0" fontId="1" fillId="19" borderId="24" xfId="0" applyFont="1" applyFill="1" applyBorder="1" applyAlignment="1">
      <alignment horizontal="left" vertical="center" wrapText="1" indent="2"/>
    </xf>
    <xf numFmtId="0" fontId="1" fillId="19" borderId="36" xfId="0" applyFont="1" applyFill="1" applyBorder="1" applyAlignment="1">
      <alignment vertical="center" wrapText="1"/>
    </xf>
    <xf numFmtId="0" fontId="1" fillId="19" borderId="13" xfId="0" applyFont="1" applyFill="1" applyBorder="1" applyAlignment="1">
      <alignment vertical="center" wrapText="1"/>
    </xf>
    <xf numFmtId="0" fontId="1" fillId="19" borderId="39" xfId="0" applyFont="1" applyFill="1" applyBorder="1" applyAlignment="1">
      <alignment vertical="center" wrapText="1"/>
    </xf>
    <xf numFmtId="0" fontId="1" fillId="19" borderId="40" xfId="0" applyFont="1" applyFill="1" applyBorder="1" applyAlignment="1">
      <alignment vertical="center" wrapText="1"/>
    </xf>
    <xf numFmtId="0" fontId="1" fillId="19" borderId="85" xfId="0" applyFont="1" applyFill="1" applyBorder="1" applyAlignment="1">
      <alignment vertical="center" wrapText="1"/>
    </xf>
    <xf numFmtId="0" fontId="1" fillId="19" borderId="20" xfId="0" applyFont="1" applyFill="1" applyBorder="1" applyAlignment="1">
      <alignment vertical="center" wrapText="1"/>
    </xf>
    <xf numFmtId="0" fontId="1" fillId="19" borderId="57" xfId="0" applyFont="1" applyFill="1" applyBorder="1" applyAlignment="1">
      <alignment vertical="center" wrapText="1"/>
    </xf>
    <xf numFmtId="0" fontId="1" fillId="19" borderId="17" xfId="0" applyFont="1" applyFill="1" applyBorder="1" applyAlignment="1">
      <alignment vertical="center" wrapText="1"/>
    </xf>
    <xf numFmtId="0" fontId="1" fillId="19" borderId="34" xfId="0" applyFont="1" applyFill="1" applyBorder="1" applyAlignment="1">
      <alignment horizontal="left" vertical="center" wrapText="1" indent="4"/>
    </xf>
    <xf numFmtId="0" fontId="1" fillId="19" borderId="24" xfId="0" applyFont="1" applyFill="1" applyBorder="1" applyAlignment="1">
      <alignment horizontal="left" vertical="center" wrapText="1" indent="4"/>
    </xf>
    <xf numFmtId="0" fontId="1" fillId="19" borderId="23" xfId="0" applyFont="1" applyFill="1" applyBorder="1" applyAlignment="1">
      <alignment vertical="center" wrapText="1"/>
    </xf>
    <xf numFmtId="0" fontId="1" fillId="19" borderId="24" xfId="0" applyFont="1" applyFill="1" applyBorder="1" applyAlignment="1">
      <alignment vertical="center" wrapText="1"/>
    </xf>
    <xf numFmtId="0" fontId="1" fillId="19" borderId="12" xfId="0" applyFont="1" applyFill="1" applyBorder="1" applyAlignment="1">
      <alignment vertical="center" wrapText="1"/>
    </xf>
    <xf numFmtId="0" fontId="1" fillId="19" borderId="50" xfId="0" applyFont="1" applyFill="1" applyBorder="1" applyAlignment="1">
      <alignment vertical="center" wrapText="1"/>
    </xf>
    <xf numFmtId="0" fontId="1" fillId="19" borderId="85" xfId="0" applyFont="1" applyFill="1" applyBorder="1" applyAlignment="1">
      <alignment horizontal="left" vertical="center" wrapText="1"/>
    </xf>
    <xf numFmtId="0" fontId="1" fillId="19" borderId="19" xfId="0" applyFont="1" applyFill="1" applyBorder="1" applyAlignment="1">
      <alignment horizontal="left" vertical="center" wrapText="1"/>
    </xf>
    <xf numFmtId="0" fontId="1" fillId="19" borderId="20" xfId="0" applyFont="1" applyFill="1" applyBorder="1" applyAlignment="1">
      <alignment horizontal="left" vertical="center" wrapText="1"/>
    </xf>
    <xf numFmtId="0" fontId="1" fillId="19" borderId="13" xfId="0" applyFont="1" applyFill="1" applyBorder="1" applyAlignment="1">
      <alignment horizontal="left" vertical="center" wrapText="1"/>
    </xf>
    <xf numFmtId="0" fontId="1" fillId="19" borderId="34" xfId="0" applyFont="1" applyFill="1" applyBorder="1" applyAlignment="1">
      <alignment horizontal="left" vertical="center" wrapText="1"/>
    </xf>
    <xf numFmtId="0" fontId="1" fillId="19" borderId="23" xfId="0" applyFont="1" applyFill="1" applyBorder="1" applyAlignment="1">
      <alignment horizontal="left" vertical="center" wrapText="1"/>
    </xf>
    <xf numFmtId="0" fontId="1" fillId="19" borderId="24" xfId="0" applyFont="1" applyFill="1" applyBorder="1" applyAlignment="1">
      <alignment horizontal="left" vertical="center" wrapText="1"/>
    </xf>
    <xf numFmtId="0" fontId="1" fillId="19" borderId="36" xfId="0" applyFont="1" applyFill="1" applyBorder="1" applyAlignment="1">
      <alignment horizontal="left" vertical="center" wrapText="1"/>
    </xf>
    <xf numFmtId="0" fontId="1" fillId="19" borderId="12" xfId="0" applyFont="1" applyFill="1" applyBorder="1" applyAlignment="1">
      <alignment horizontal="left" vertical="center" wrapText="1"/>
    </xf>
    <xf numFmtId="0" fontId="1" fillId="19" borderId="39" xfId="0" applyFont="1" applyFill="1" applyBorder="1" applyAlignment="1">
      <alignment horizontal="left" vertical="center" wrapText="1"/>
    </xf>
    <xf numFmtId="0" fontId="1" fillId="19" borderId="50" xfId="0" applyFont="1" applyFill="1" applyBorder="1" applyAlignment="1">
      <alignment horizontal="left" vertical="center" wrapText="1"/>
    </xf>
    <xf numFmtId="0" fontId="1" fillId="19" borderId="40" xfId="0" applyFont="1" applyFill="1" applyBorder="1" applyAlignment="1">
      <alignment horizontal="left" vertical="center" wrapText="1"/>
    </xf>
    <xf numFmtId="0" fontId="1" fillId="19" borderId="34" xfId="0" applyFont="1" applyFill="1" applyBorder="1" applyAlignment="1">
      <alignment vertical="center" wrapText="1"/>
    </xf>
    <xf numFmtId="0" fontId="1" fillId="19" borderId="15" xfId="0" applyFont="1" applyFill="1" applyBorder="1" applyAlignment="1">
      <alignment vertical="center" wrapText="1"/>
    </xf>
    <xf numFmtId="0" fontId="1" fillId="19" borderId="85" xfId="0" applyFont="1" applyFill="1" applyBorder="1" applyAlignment="1">
      <alignment vertical="top" wrapText="1"/>
    </xf>
    <xf numFmtId="0" fontId="1" fillId="19" borderId="19" xfId="0" applyFont="1" applyFill="1" applyBorder="1" applyAlignment="1">
      <alignment vertical="top" wrapText="1"/>
    </xf>
    <xf numFmtId="0" fontId="1" fillId="19" borderId="20" xfId="0" applyFont="1" applyFill="1" applyBorder="1" applyAlignment="1">
      <alignment vertical="top" wrapText="1"/>
    </xf>
    <xf numFmtId="0" fontId="1" fillId="19" borderId="57" xfId="0" applyFont="1" applyFill="1" applyBorder="1" applyAlignment="1">
      <alignment vertical="top" wrapText="1"/>
    </xf>
    <xf numFmtId="0" fontId="1" fillId="19" borderId="15" xfId="0" applyFont="1" applyFill="1" applyBorder="1" applyAlignment="1">
      <alignment vertical="top" wrapText="1"/>
    </xf>
    <xf numFmtId="0" fontId="1" fillId="19" borderId="17" xfId="0" applyFont="1" applyFill="1" applyBorder="1" applyAlignment="1">
      <alignment vertical="top" wrapText="1"/>
    </xf>
    <xf numFmtId="0" fontId="1" fillId="19" borderId="39" xfId="0" applyFont="1" applyFill="1" applyBorder="1" applyAlignment="1">
      <alignment vertical="top" wrapText="1"/>
    </xf>
    <xf numFmtId="0" fontId="1" fillId="19" borderId="50" xfId="0" applyFont="1" applyFill="1" applyBorder="1" applyAlignment="1">
      <alignment vertical="top" wrapText="1"/>
    </xf>
    <xf numFmtId="0" fontId="1" fillId="19" borderId="40" xfId="0" applyFont="1" applyFill="1" applyBorder="1" applyAlignment="1">
      <alignment vertical="top" wrapText="1"/>
    </xf>
    <xf numFmtId="0" fontId="1" fillId="19" borderId="23" xfId="0" applyFont="1" applyFill="1" applyBorder="1" applyAlignment="1">
      <alignment horizontal="center" vertical="center" wrapText="1"/>
    </xf>
    <xf numFmtId="0" fontId="1" fillId="19" borderId="24" xfId="0" applyFont="1" applyFill="1" applyBorder="1" applyAlignment="1">
      <alignment horizontal="center" vertical="center" wrapText="1"/>
    </xf>
    <xf numFmtId="0" fontId="1" fillId="19" borderId="18" xfId="0" applyFont="1" applyFill="1" applyBorder="1" applyAlignment="1">
      <alignment vertical="center" wrapText="1"/>
    </xf>
    <xf numFmtId="0" fontId="1" fillId="19" borderId="10" xfId="0" applyFont="1" applyFill="1" applyBorder="1" applyAlignment="1">
      <alignment vertical="center" wrapText="1"/>
    </xf>
    <xf numFmtId="0" fontId="1" fillId="19" borderId="45" xfId="0" applyFont="1" applyFill="1" applyBorder="1" applyAlignment="1">
      <alignment vertical="center" wrapText="1"/>
    </xf>
    <xf numFmtId="0" fontId="0" fillId="2" borderId="0" xfId="3" applyFont="1" applyFill="1" applyAlignment="1">
      <alignment horizontal="left" vertical="top" wrapText="1" indent="1"/>
    </xf>
    <xf numFmtId="0" fontId="0" fillId="2" borderId="1" xfId="3" applyFont="1" applyFill="1" applyBorder="1" applyAlignment="1">
      <alignment horizontal="left" vertical="top" wrapText="1" indent="1"/>
    </xf>
    <xf numFmtId="0" fontId="31" fillId="0" borderId="0" xfId="12" applyFont="1" applyAlignment="1">
      <alignment horizontal="left" vertical="top" wrapText="1" indent="1"/>
    </xf>
    <xf numFmtId="0" fontId="0" fillId="0" borderId="0" xfId="0" applyAlignment="1">
      <alignment horizontal="left" vertical="top" wrapText="1" indent="1"/>
    </xf>
    <xf numFmtId="0" fontId="32" fillId="14" borderId="27" xfId="12" applyFont="1" applyFill="1" applyBorder="1" applyAlignment="1">
      <alignment horizontal="left" vertical="top" wrapText="1" indent="1"/>
    </xf>
    <xf numFmtId="0" fontId="0" fillId="0" borderId="0" xfId="0" applyBorder="1" applyAlignment="1">
      <alignment horizontal="left" vertical="top" wrapText="1" indent="1"/>
    </xf>
    <xf numFmtId="0" fontId="31" fillId="0" borderId="13" xfId="24" applyFont="1" applyBorder="1" applyAlignment="1">
      <alignment horizontal="left" vertical="top" wrapText="1" indent="1"/>
    </xf>
    <xf numFmtId="0" fontId="23" fillId="0" borderId="0" xfId="2" applyFont="1" applyFill="1" applyBorder="1" applyAlignment="1" applyProtection="1">
      <alignment horizontal="left" vertical="top" wrapText="1" indent="1"/>
    </xf>
    <xf numFmtId="169" fontId="23" fillId="18" borderId="12" xfId="2" applyNumberFormat="1" applyFont="1" applyFill="1" applyBorder="1" applyAlignment="1">
      <alignment horizontal="left" vertical="top" wrapText="1" indent="1"/>
    </xf>
    <xf numFmtId="0" fontId="31" fillId="0" borderId="0" xfId="12" applyFont="1" applyBorder="1" applyAlignment="1">
      <alignment horizontal="left" vertical="top" wrapText="1" indent="1"/>
    </xf>
    <xf numFmtId="0" fontId="23" fillId="13" borderId="1" xfId="14" applyFont="1" applyFill="1" applyBorder="1" applyAlignment="1">
      <alignment horizontal="left" vertical="top" wrapText="1" indent="1"/>
    </xf>
    <xf numFmtId="169" fontId="16" fillId="18" borderId="12" xfId="2" applyNumberFormat="1" applyFont="1" applyFill="1" applyBorder="1" applyAlignment="1">
      <alignment vertical="top" wrapText="1"/>
    </xf>
    <xf numFmtId="0" fontId="4" fillId="0" borderId="13" xfId="5" applyBorder="1"/>
    <xf numFmtId="0" fontId="3" fillId="0" borderId="13" xfId="4" applyFont="1" applyBorder="1" applyAlignment="1">
      <alignment horizontal="left"/>
    </xf>
    <xf numFmtId="0" fontId="0" fillId="0" borderId="13" xfId="4" applyFont="1" applyBorder="1" applyAlignment="1">
      <alignment horizontal="left"/>
    </xf>
    <xf numFmtId="0" fontId="0" fillId="0" borderId="13" xfId="0" applyBorder="1" applyAlignment="1">
      <alignment wrapText="1"/>
    </xf>
    <xf numFmtId="193" fontId="23" fillId="0" borderId="0" xfId="14" applyNumberFormat="1" applyFont="1" applyFill="1" applyAlignment="1">
      <alignment vertical="center"/>
    </xf>
    <xf numFmtId="0" fontId="17" fillId="0" borderId="0" xfId="50" applyFont="1" applyFill="1" applyBorder="1" applyAlignment="1">
      <alignment horizontal="left" vertical="center" wrapText="1"/>
    </xf>
    <xf numFmtId="0" fontId="25" fillId="0" borderId="0" xfId="50" applyFont="1" applyFill="1" applyBorder="1" applyAlignment="1">
      <alignment horizontal="left" vertical="center" wrapText="1"/>
    </xf>
    <xf numFmtId="181" fontId="17" fillId="19" borderId="107" xfId="0" applyNumberFormat="1" applyFont="1" applyFill="1" applyBorder="1" applyAlignment="1">
      <alignment horizontal="left" vertical="center" indent="1"/>
    </xf>
    <xf numFmtId="181" fontId="17" fillId="19" borderId="108" xfId="0" applyNumberFormat="1" applyFont="1" applyFill="1" applyBorder="1" applyAlignment="1">
      <alignment horizontal="left" vertical="center" indent="1"/>
    </xf>
    <xf numFmtId="181" fontId="17" fillId="19" borderId="111" xfId="0" applyNumberFormat="1" applyFont="1" applyFill="1" applyBorder="1" applyAlignment="1">
      <alignment horizontal="left" vertical="center" indent="1"/>
    </xf>
    <xf numFmtId="181" fontId="17" fillId="19" borderId="138" xfId="0" applyNumberFormat="1" applyFont="1" applyFill="1" applyBorder="1" applyAlignment="1">
      <alignment horizontal="left" vertical="center" indent="1"/>
    </xf>
    <xf numFmtId="181" fontId="17" fillId="19" borderId="133" xfId="0" applyNumberFormat="1" applyFont="1" applyFill="1" applyBorder="1" applyAlignment="1">
      <alignment horizontal="left" vertical="center" indent="1"/>
    </xf>
    <xf numFmtId="181" fontId="17" fillId="19" borderId="139" xfId="0" applyNumberFormat="1" applyFont="1" applyFill="1" applyBorder="1" applyAlignment="1">
      <alignment horizontal="left" vertical="center" indent="1"/>
    </xf>
    <xf numFmtId="181" fontId="17" fillId="19" borderId="102" xfId="0" applyNumberFormat="1" applyFont="1" applyFill="1" applyBorder="1" applyAlignment="1">
      <alignment horizontal="left" vertical="center" indent="1"/>
    </xf>
    <xf numFmtId="181" fontId="17" fillId="19" borderId="103" xfId="0" applyNumberFormat="1" applyFont="1" applyFill="1" applyBorder="1" applyAlignment="1">
      <alignment horizontal="left" vertical="center" indent="1"/>
    </xf>
    <xf numFmtId="181" fontId="17" fillId="19" borderId="106" xfId="0" applyNumberFormat="1" applyFont="1" applyFill="1" applyBorder="1" applyAlignment="1">
      <alignment horizontal="left" vertical="center" indent="1"/>
    </xf>
    <xf numFmtId="0" fontId="17" fillId="0" borderId="22" xfId="50" applyFont="1" applyFill="1" applyBorder="1" applyAlignment="1">
      <alignment horizontal="left" vertical="center" wrapText="1"/>
    </xf>
    <xf numFmtId="181" fontId="17" fillId="19" borderId="137" xfId="0" applyNumberFormat="1" applyFont="1" applyFill="1" applyBorder="1" applyAlignment="1">
      <alignment horizontal="left" vertical="center" indent="1"/>
    </xf>
    <xf numFmtId="181" fontId="17" fillId="19" borderId="131" xfId="0" applyNumberFormat="1" applyFont="1" applyFill="1" applyBorder="1" applyAlignment="1">
      <alignment horizontal="left" vertical="center" indent="1"/>
    </xf>
    <xf numFmtId="181" fontId="17" fillId="19" borderId="132" xfId="0" applyNumberFormat="1" applyFont="1" applyFill="1" applyBorder="1" applyAlignment="1">
      <alignment horizontal="left" vertical="center" indent="1"/>
    </xf>
    <xf numFmtId="0" fontId="17" fillId="19" borderId="97" xfId="50" applyFont="1" applyFill="1" applyBorder="1" applyAlignment="1" applyProtection="1">
      <alignment horizontal="left" vertical="top" wrapText="1" indent="1"/>
      <protection locked="0"/>
    </xf>
    <xf numFmtId="0" fontId="17" fillId="19" borderId="98" xfId="50" applyFont="1" applyFill="1" applyBorder="1" applyAlignment="1" applyProtection="1">
      <alignment horizontal="left" vertical="top" wrapText="1" indent="1"/>
      <protection locked="0"/>
    </xf>
    <xf numFmtId="0" fontId="17" fillId="19" borderId="101" xfId="50" applyFont="1" applyFill="1" applyBorder="1" applyAlignment="1" applyProtection="1">
      <alignment horizontal="left" vertical="top" wrapText="1" indent="1"/>
      <protection locked="0"/>
    </xf>
    <xf numFmtId="0" fontId="25" fillId="0" borderId="94" xfId="50" applyFont="1" applyFill="1" applyBorder="1" applyAlignment="1" applyProtection="1">
      <alignment horizontal="left"/>
    </xf>
    <xf numFmtId="0" fontId="25" fillId="0" borderId="11" xfId="50" applyFont="1" applyFill="1" applyBorder="1" applyAlignment="1" applyProtection="1">
      <alignment horizontal="left"/>
    </xf>
    <xf numFmtId="0" fontId="25" fillId="0" borderId="12" xfId="50" applyFont="1" applyFill="1" applyBorder="1" applyAlignment="1" applyProtection="1">
      <alignment horizontal="left"/>
    </xf>
    <xf numFmtId="0" fontId="25" fillId="0" borderId="99" xfId="50" applyFont="1" applyFill="1" applyBorder="1" applyAlignment="1" applyProtection="1">
      <alignment horizontal="left"/>
    </xf>
    <xf numFmtId="0" fontId="25" fillId="0" borderId="131" xfId="50" applyFont="1" applyFill="1" applyBorder="1" applyAlignment="1" applyProtection="1">
      <alignment horizontal="left"/>
    </xf>
    <xf numFmtId="0" fontId="25" fillId="0" borderId="132" xfId="50" applyFont="1" applyFill="1" applyBorder="1" applyAlignment="1" applyProtection="1">
      <alignment horizontal="left"/>
    </xf>
    <xf numFmtId="0" fontId="17" fillId="19" borderId="104" xfId="50" applyFont="1" applyFill="1" applyBorder="1" applyAlignment="1" applyProtection="1">
      <alignment horizontal="left"/>
      <protection locked="0"/>
    </xf>
    <xf numFmtId="0" fontId="17" fillId="19" borderId="133" xfId="50" applyFont="1" applyFill="1" applyBorder="1" applyAlignment="1" applyProtection="1">
      <alignment horizontal="left"/>
      <protection locked="0"/>
    </xf>
    <xf numFmtId="0" fontId="17" fillId="19" borderId="134" xfId="50" applyFont="1" applyFill="1" applyBorder="1" applyAlignment="1" applyProtection="1">
      <alignment horizontal="left"/>
      <protection locked="0"/>
    </xf>
    <xf numFmtId="0" fontId="25" fillId="0" borderId="99" xfId="50" applyFont="1" applyBorder="1" applyAlignment="1" applyProtection="1">
      <alignment horizontal="left" indent="1"/>
    </xf>
    <xf numFmtId="0" fontId="25" fillId="0" borderId="131" xfId="50" applyFont="1" applyBorder="1" applyAlignment="1" applyProtection="1">
      <alignment horizontal="left" indent="1"/>
    </xf>
    <xf numFmtId="0" fontId="25" fillId="0" borderId="132" xfId="50" applyFont="1" applyBorder="1" applyAlignment="1" applyProtection="1">
      <alignment horizontal="left" indent="1"/>
    </xf>
    <xf numFmtId="0" fontId="17" fillId="19" borderId="103" xfId="50" applyFont="1" applyFill="1" applyBorder="1" applyAlignment="1" applyProtection="1">
      <alignment horizontal="left" indent="1"/>
      <protection locked="0"/>
    </xf>
    <xf numFmtId="0" fontId="17" fillId="19" borderId="106" xfId="50" applyFont="1" applyFill="1" applyBorder="1" applyAlignment="1" applyProtection="1">
      <alignment horizontal="left" indent="1"/>
      <protection locked="0"/>
    </xf>
    <xf numFmtId="172" fontId="3" fillId="19" borderId="109" xfId="60" applyNumberFormat="1" applyBorder="1" applyAlignment="1">
      <alignment horizontal="left" vertical="center"/>
      <protection locked="0"/>
    </xf>
    <xf numFmtId="172" fontId="3" fillId="19" borderId="121" xfId="60" applyNumberFormat="1" applyBorder="1" applyAlignment="1">
      <alignment horizontal="left" vertical="center"/>
      <protection locked="0"/>
    </xf>
    <xf numFmtId="172" fontId="3" fillId="19" borderId="122" xfId="60" applyNumberFormat="1" applyBorder="1" applyAlignment="1">
      <alignment horizontal="left" vertical="center"/>
      <protection locked="0"/>
    </xf>
    <xf numFmtId="0" fontId="17" fillId="0" borderId="123" xfId="50" applyFont="1" applyFill="1" applyBorder="1" applyAlignment="1">
      <alignment horizontal="left" vertical="center" wrapText="1" indent="1"/>
    </xf>
    <xf numFmtId="0" fontId="17" fillId="0" borderId="16" xfId="50" applyFont="1" applyFill="1" applyBorder="1" applyAlignment="1">
      <alignment horizontal="left" vertical="center" wrapText="1" indent="1"/>
    </xf>
    <xf numFmtId="0" fontId="17" fillId="0" borderId="113" xfId="50" applyFont="1" applyFill="1" applyBorder="1" applyAlignment="1">
      <alignment horizontal="left" vertical="center" wrapText="1" indent="1"/>
    </xf>
    <xf numFmtId="0" fontId="17" fillId="0" borderId="125" xfId="50" applyFont="1" applyFill="1" applyBorder="1" applyAlignment="1">
      <alignment horizontal="left" vertical="center" wrapText="1" indent="1"/>
    </xf>
    <xf numFmtId="0" fontId="17" fillId="0" borderId="22" xfId="50" applyFont="1" applyFill="1" applyBorder="1" applyAlignment="1">
      <alignment horizontal="left" vertical="center" wrapText="1" indent="1"/>
    </xf>
    <xf numFmtId="0" fontId="17" fillId="0" borderId="126" xfId="50" applyFont="1" applyFill="1" applyBorder="1" applyAlignment="1">
      <alignment horizontal="left" vertical="center" wrapText="1" indent="1"/>
    </xf>
    <xf numFmtId="0" fontId="17" fillId="19" borderId="99" xfId="50" applyFont="1" applyFill="1" applyBorder="1" applyAlignment="1" applyProtection="1">
      <alignment horizontal="left" indent="1"/>
      <protection locked="0"/>
    </xf>
    <xf numFmtId="0" fontId="17" fillId="19" borderId="131" xfId="50" applyFont="1" applyFill="1" applyBorder="1" applyAlignment="1" applyProtection="1">
      <alignment horizontal="left" indent="1"/>
      <protection locked="0"/>
    </xf>
    <xf numFmtId="0" fontId="17" fillId="19" borderId="136" xfId="50" applyFont="1" applyFill="1" applyBorder="1" applyAlignment="1" applyProtection="1">
      <alignment horizontal="left" indent="1"/>
      <protection locked="0"/>
    </xf>
    <xf numFmtId="0" fontId="17" fillId="19" borderId="104" xfId="50" applyFont="1" applyFill="1" applyBorder="1" applyAlignment="1" applyProtection="1">
      <alignment horizontal="left" indent="1"/>
      <protection locked="0"/>
    </xf>
    <xf numFmtId="0" fontId="17" fillId="19" borderId="133" xfId="50" applyFont="1" applyFill="1" applyBorder="1" applyAlignment="1" applyProtection="1">
      <alignment horizontal="left" indent="1"/>
      <protection locked="0"/>
    </xf>
    <xf numFmtId="0" fontId="17" fillId="19" borderId="134" xfId="50" applyFont="1" applyFill="1" applyBorder="1" applyAlignment="1" applyProtection="1">
      <alignment horizontal="left" indent="1"/>
      <protection locked="0"/>
    </xf>
    <xf numFmtId="0" fontId="17" fillId="0" borderId="114" xfId="50" applyFont="1" applyFill="1" applyBorder="1" applyAlignment="1">
      <alignment horizontal="center" vertical="center" wrapText="1"/>
    </xf>
    <xf numFmtId="0" fontId="17" fillId="0" borderId="127" xfId="50" applyFont="1" applyFill="1" applyBorder="1" applyAlignment="1">
      <alignment horizontal="center" vertical="center" wrapText="1"/>
    </xf>
    <xf numFmtId="0" fontId="17" fillId="0" borderId="0" xfId="50" applyFont="1" applyFill="1" applyBorder="1" applyAlignment="1">
      <alignment horizontal="center"/>
    </xf>
    <xf numFmtId="0" fontId="17" fillId="0" borderId="0" xfId="61" applyFont="1" applyFill="1" applyBorder="1" applyAlignment="1"/>
    <xf numFmtId="14" fontId="17" fillId="19" borderId="103" xfId="50" applyNumberFormat="1" applyFont="1" applyFill="1" applyBorder="1" applyAlignment="1" applyProtection="1">
      <alignment horizontal="left" indent="1"/>
      <protection locked="0"/>
    </xf>
    <xf numFmtId="0" fontId="3" fillId="12" borderId="10" xfId="53" applyFont="1" applyFill="1" applyBorder="1" applyAlignment="1" applyProtection="1">
      <alignment horizontal="center" vertical="center"/>
      <protection locked="0"/>
    </xf>
    <xf numFmtId="0" fontId="3" fillId="12" borderId="11" xfId="53" applyFont="1" applyFill="1" applyBorder="1" applyAlignment="1" applyProtection="1">
      <alignment horizontal="center" vertical="center"/>
      <protection locked="0"/>
    </xf>
    <xf numFmtId="0" fontId="3" fillId="0" borderId="90" xfId="53" applyFont="1" applyFill="1" applyBorder="1" applyAlignment="1" applyProtection="1">
      <alignment horizontal="center" vertical="center"/>
      <protection locked="0"/>
    </xf>
    <xf numFmtId="0" fontId="3" fillId="0" borderId="11" xfId="53" applyFont="1" applyFill="1" applyBorder="1" applyAlignment="1" applyProtection="1">
      <alignment horizontal="center" vertical="center"/>
      <protection locked="0"/>
    </xf>
    <xf numFmtId="0" fontId="3" fillId="0" borderId="12" xfId="53" applyFont="1" applyFill="1" applyBorder="1" applyAlignment="1" applyProtection="1">
      <alignment horizontal="center" vertical="center"/>
      <protection locked="0"/>
    </xf>
    <xf numFmtId="172" fontId="3" fillId="19" borderId="120" xfId="60" applyNumberFormat="1" applyBorder="1" applyAlignment="1">
      <alignment horizontal="left" vertical="center"/>
      <protection locked="0"/>
    </xf>
    <xf numFmtId="14" fontId="17" fillId="19" borderId="118" xfId="50" applyNumberFormat="1" applyFont="1" applyFill="1" applyBorder="1" applyAlignment="1" applyProtection="1">
      <alignment horizontal="left" indent="1"/>
      <protection locked="0"/>
    </xf>
    <xf numFmtId="0" fontId="17" fillId="35" borderId="104" xfId="50" applyFont="1" applyFill="1" applyBorder="1" applyAlignment="1" applyProtection="1">
      <alignment horizontal="left"/>
      <protection locked="0"/>
    </xf>
    <xf numFmtId="0" fontId="0" fillId="0" borderId="133" xfId="0" applyBorder="1" applyAlignment="1">
      <alignment horizontal="left"/>
    </xf>
    <xf numFmtId="0" fontId="0" fillId="0" borderId="139" xfId="0" applyBorder="1" applyAlignment="1">
      <alignment horizontal="left"/>
    </xf>
    <xf numFmtId="0" fontId="17" fillId="35" borderId="99" xfId="50" applyFont="1" applyFill="1" applyBorder="1" applyAlignment="1" applyProtection="1">
      <alignment horizontal="left" indent="1"/>
      <protection locked="0"/>
    </xf>
    <xf numFmtId="0" fontId="17" fillId="35" borderId="131" xfId="50" applyFont="1" applyFill="1" applyBorder="1" applyAlignment="1" applyProtection="1">
      <alignment horizontal="left" indent="1"/>
      <protection locked="0"/>
    </xf>
    <xf numFmtId="0" fontId="17" fillId="35" borderId="132" xfId="50" applyFont="1" applyFill="1" applyBorder="1" applyAlignment="1" applyProtection="1">
      <alignment horizontal="left" indent="1"/>
      <protection locked="0"/>
    </xf>
    <xf numFmtId="0" fontId="17" fillId="35" borderId="133" xfId="50" applyFont="1" applyFill="1" applyBorder="1" applyAlignment="1" applyProtection="1">
      <alignment horizontal="left"/>
      <protection locked="0"/>
    </xf>
    <xf numFmtId="0" fontId="17" fillId="35" borderId="139" xfId="50" applyFont="1" applyFill="1" applyBorder="1" applyAlignment="1" applyProtection="1">
      <alignment horizontal="left"/>
      <protection locked="0"/>
    </xf>
    <xf numFmtId="0" fontId="17" fillId="0" borderId="123" xfId="50" applyFont="1" applyFill="1" applyBorder="1" applyAlignment="1">
      <alignment horizontal="left" vertical="center" wrapText="1"/>
    </xf>
    <xf numFmtId="0" fontId="17" fillId="0" borderId="16" xfId="50" applyFont="1" applyFill="1" applyBorder="1" applyAlignment="1">
      <alignment horizontal="left" vertical="center" wrapText="1"/>
    </xf>
    <xf numFmtId="0" fontId="17" fillId="0" borderId="15" xfId="50" applyFont="1" applyFill="1" applyBorder="1" applyAlignment="1">
      <alignment horizontal="left" vertical="center" wrapText="1"/>
    </xf>
    <xf numFmtId="0" fontId="17" fillId="0" borderId="125" xfId="50" applyFont="1" applyFill="1" applyBorder="1" applyAlignment="1">
      <alignment horizontal="left" vertical="center" wrapText="1"/>
    </xf>
    <xf numFmtId="0" fontId="17" fillId="0" borderId="23" xfId="50" applyFont="1" applyFill="1" applyBorder="1" applyAlignment="1">
      <alignment horizontal="left" vertical="center" wrapText="1"/>
    </xf>
    <xf numFmtId="172" fontId="3" fillId="35" borderId="109" xfId="60" applyNumberFormat="1" applyFill="1" applyBorder="1" applyAlignment="1">
      <alignment horizontal="left"/>
      <protection locked="0"/>
    </xf>
    <xf numFmtId="172" fontId="3" fillId="35" borderId="121" xfId="60" applyNumberFormat="1" applyFill="1" applyBorder="1" applyAlignment="1">
      <alignment horizontal="left"/>
      <protection locked="0"/>
    </xf>
    <xf numFmtId="172" fontId="3" fillId="35" borderId="122" xfId="60" applyNumberFormat="1" applyFill="1" applyBorder="1" applyAlignment="1">
      <alignment horizontal="left"/>
      <protection locked="0"/>
    </xf>
    <xf numFmtId="0" fontId="17" fillId="0" borderId="148" xfId="50" applyFont="1" applyFill="1" applyBorder="1" applyAlignment="1">
      <alignment horizontal="left" vertical="center" wrapText="1"/>
    </xf>
    <xf numFmtId="172" fontId="3" fillId="35" borderId="22" xfId="60" applyNumberFormat="1" applyFill="1" applyBorder="1" applyAlignment="1">
      <alignment horizontal="left"/>
      <protection locked="0"/>
    </xf>
    <xf numFmtId="191" fontId="17" fillId="34" borderId="137" xfId="50" applyNumberFormat="1" applyFont="1" applyFill="1" applyBorder="1" applyAlignment="1" applyProtection="1">
      <alignment horizontal="left" indent="1"/>
    </xf>
    <xf numFmtId="191" fontId="17" fillId="34" borderId="131" xfId="50" applyNumberFormat="1" applyFont="1" applyFill="1" applyBorder="1" applyAlignment="1" applyProtection="1">
      <alignment horizontal="left" indent="1"/>
    </xf>
    <xf numFmtId="191" fontId="17" fillId="34" borderId="132" xfId="50" applyNumberFormat="1" applyFont="1" applyFill="1" applyBorder="1" applyAlignment="1" applyProtection="1">
      <alignment horizontal="left" indent="1"/>
    </xf>
    <xf numFmtId="0" fontId="17" fillId="0" borderId="17" xfId="50" applyFont="1" applyBorder="1" applyAlignment="1">
      <alignment horizontal="center" vertical="center"/>
    </xf>
    <xf numFmtId="0" fontId="17" fillId="0" borderId="24" xfId="50" applyFont="1" applyBorder="1" applyAlignment="1">
      <alignment horizontal="center" vertical="center"/>
    </xf>
    <xf numFmtId="0" fontId="17" fillId="0" borderId="14" xfId="50" applyFont="1" applyBorder="1" applyAlignment="1" applyProtection="1">
      <alignment horizontal="left" vertical="center" indent="1"/>
    </xf>
    <xf numFmtId="0" fontId="17" fillId="0" borderId="16" xfId="50" applyFont="1" applyBorder="1" applyAlignment="1" applyProtection="1">
      <alignment horizontal="left" vertical="center" indent="1"/>
    </xf>
    <xf numFmtId="0" fontId="17" fillId="0" borderId="15" xfId="50" applyFont="1" applyBorder="1" applyAlignment="1" applyProtection="1">
      <alignment horizontal="left" vertical="center" indent="1"/>
    </xf>
    <xf numFmtId="0" fontId="17" fillId="0" borderId="21" xfId="50" applyFont="1" applyBorder="1" applyAlignment="1" applyProtection="1">
      <alignment horizontal="left" vertical="center" indent="1"/>
    </xf>
    <xf numFmtId="0" fontId="17" fillId="0" borderId="22" xfId="50" applyFont="1" applyBorder="1" applyAlignment="1" applyProtection="1">
      <alignment horizontal="left" vertical="center" indent="1"/>
    </xf>
    <xf numFmtId="0" fontId="17" fillId="0" borderId="23" xfId="50" applyFont="1" applyBorder="1" applyAlignment="1" applyProtection="1">
      <alignment horizontal="left" vertical="center" indent="1"/>
    </xf>
    <xf numFmtId="183" fontId="70" fillId="12" borderId="63" xfId="42" applyNumberFormat="1" applyFont="1" applyFill="1" applyBorder="1" applyAlignment="1">
      <alignment horizontal="left" vertical="center" wrapText="1"/>
    </xf>
    <xf numFmtId="183" fontId="70" fillId="12" borderId="64" xfId="42" applyNumberFormat="1" applyFont="1" applyFill="1" applyBorder="1" applyAlignment="1">
      <alignment horizontal="left" vertical="center" wrapText="1"/>
    </xf>
    <xf numFmtId="0" fontId="32" fillId="15" borderId="31" xfId="12" applyFont="1" applyFill="1" applyBorder="1" applyAlignment="1">
      <alignment horizontal="center" vertical="center"/>
    </xf>
    <xf numFmtId="0" fontId="32" fillId="15" borderId="32" xfId="12" applyFont="1" applyFill="1" applyBorder="1" applyAlignment="1">
      <alignment horizontal="center" vertical="center"/>
    </xf>
    <xf numFmtId="0" fontId="32" fillId="15" borderId="33" xfId="12" applyFont="1" applyFill="1" applyBorder="1" applyAlignment="1">
      <alignment horizontal="center" vertical="center"/>
    </xf>
    <xf numFmtId="0" fontId="32" fillId="16" borderId="31" xfId="12" applyFont="1" applyFill="1" applyBorder="1" applyAlignment="1">
      <alignment horizontal="center" vertical="center"/>
    </xf>
    <xf numFmtId="0" fontId="32" fillId="16" borderId="32" xfId="12" applyFont="1" applyFill="1" applyBorder="1" applyAlignment="1">
      <alignment horizontal="center" vertical="center"/>
    </xf>
    <xf numFmtId="0" fontId="32" fillId="16" borderId="33" xfId="12" applyFont="1" applyFill="1" applyBorder="1" applyAlignment="1">
      <alignment horizontal="center" vertical="center"/>
    </xf>
    <xf numFmtId="171" fontId="23" fillId="18" borderId="17" xfId="2" applyNumberFormat="1" applyFont="1" applyFill="1" applyBorder="1" applyAlignment="1">
      <alignment horizontal="right" vertical="center"/>
    </xf>
    <xf numFmtId="171" fontId="23" fillId="18" borderId="20" xfId="2" applyNumberFormat="1" applyFont="1" applyFill="1" applyBorder="1" applyAlignment="1">
      <alignment horizontal="right" vertical="center"/>
    </xf>
    <xf numFmtId="171" fontId="23" fillId="18" borderId="24" xfId="2" applyNumberFormat="1" applyFont="1" applyFill="1" applyBorder="1" applyAlignment="1">
      <alignment horizontal="right" vertical="center"/>
    </xf>
    <xf numFmtId="0" fontId="16" fillId="0" borderId="44" xfId="2" applyFont="1" applyBorder="1" applyAlignment="1">
      <alignment horizontal="center" vertical="center" wrapText="1"/>
    </xf>
    <xf numFmtId="0" fontId="37" fillId="0" borderId="38" xfId="0" applyFont="1" applyBorder="1" applyAlignment="1">
      <alignment vertical="center" wrapText="1"/>
    </xf>
    <xf numFmtId="0" fontId="37" fillId="0" borderId="1" xfId="0" applyFont="1" applyBorder="1" applyAlignment="1">
      <alignment vertical="center" wrapText="1"/>
    </xf>
    <xf numFmtId="0" fontId="37" fillId="0" borderId="79" xfId="0" applyFont="1" applyBorder="1" applyAlignment="1">
      <alignment vertical="center" wrapText="1"/>
    </xf>
    <xf numFmtId="0" fontId="37" fillId="0" borderId="74" xfId="0" applyFont="1" applyBorder="1" applyAlignment="1">
      <alignment vertical="center" wrapText="1"/>
    </xf>
    <xf numFmtId="0" fontId="37" fillId="0" borderId="78" xfId="0" applyFont="1" applyBorder="1" applyAlignment="1">
      <alignment vertical="center" wrapText="1"/>
    </xf>
    <xf numFmtId="0" fontId="82" fillId="19" borderId="29" xfId="0" applyFont="1" applyFill="1" applyBorder="1" applyAlignment="1">
      <alignment horizontal="left" vertical="center" wrapText="1"/>
    </xf>
    <xf numFmtId="0" fontId="82" fillId="19" borderId="83" xfId="0" applyFont="1" applyFill="1" applyBorder="1" applyAlignment="1">
      <alignment horizontal="left" vertical="center" wrapText="1"/>
    </xf>
    <xf numFmtId="0" fontId="82" fillId="19" borderId="84" xfId="0" applyFont="1" applyFill="1" applyBorder="1" applyAlignment="1">
      <alignment horizontal="left" vertical="center" wrapText="1"/>
    </xf>
    <xf numFmtId="0" fontId="0" fillId="19" borderId="29" xfId="0" applyFill="1" applyBorder="1" applyAlignment="1">
      <alignment wrapText="1"/>
    </xf>
    <xf numFmtId="0" fontId="0" fillId="0" borderId="35" xfId="0" applyBorder="1" applyAlignment="1"/>
    <xf numFmtId="0" fontId="0" fillId="19" borderId="29" xfId="0" applyFill="1" applyBorder="1" applyAlignment="1">
      <alignment horizontal="left" wrapText="1"/>
    </xf>
    <xf numFmtId="0" fontId="0" fillId="19" borderId="84" xfId="0" applyFill="1" applyBorder="1" applyAlignment="1">
      <alignment horizontal="left" wrapText="1"/>
    </xf>
    <xf numFmtId="0" fontId="0" fillId="19" borderId="35" xfId="0" applyFill="1" applyBorder="1" applyAlignment="1">
      <alignment horizontal="left" wrapText="1"/>
    </xf>
    <xf numFmtId="0" fontId="31" fillId="19" borderId="28" xfId="0" applyFont="1" applyFill="1" applyBorder="1" applyAlignment="1">
      <alignment horizontal="left" vertical="center" wrapText="1"/>
    </xf>
    <xf numFmtId="0" fontId="31" fillId="19" borderId="20" xfId="0" applyFont="1" applyFill="1" applyBorder="1" applyAlignment="1">
      <alignment horizontal="left" vertical="center" wrapText="1"/>
    </xf>
    <xf numFmtId="0" fontId="31" fillId="19" borderId="160" xfId="0" applyFont="1" applyFill="1" applyBorder="1" applyAlignment="1">
      <alignment horizontal="left" vertical="center" wrapText="1"/>
    </xf>
    <xf numFmtId="0" fontId="82" fillId="19" borderId="158" xfId="0" applyFont="1" applyFill="1" applyBorder="1" applyAlignment="1">
      <alignment horizontal="left" vertical="center" wrapText="1"/>
    </xf>
    <xf numFmtId="0" fontId="82" fillId="19" borderId="64" xfId="0" applyFont="1" applyFill="1" applyBorder="1" applyAlignment="1">
      <alignment horizontal="left" vertical="center" wrapText="1"/>
    </xf>
    <xf numFmtId="0" fontId="82" fillId="19" borderId="63" xfId="0" applyFont="1" applyFill="1" applyBorder="1" applyAlignment="1">
      <alignment horizontal="left" vertical="center" wrapText="1"/>
    </xf>
    <xf numFmtId="0" fontId="82" fillId="19" borderId="77" xfId="0" applyFont="1" applyFill="1" applyBorder="1" applyAlignment="1">
      <alignment horizontal="left" vertical="center" wrapText="1"/>
    </xf>
    <xf numFmtId="0" fontId="82" fillId="19" borderId="63" xfId="0" applyFont="1" applyFill="1" applyBorder="1" applyAlignment="1">
      <alignment horizontal="center" vertical="center" wrapText="1"/>
    </xf>
    <xf numFmtId="0" fontId="82" fillId="19" borderId="77" xfId="0" applyFont="1" applyFill="1" applyBorder="1" applyAlignment="1">
      <alignment horizontal="center" vertical="center" wrapText="1"/>
    </xf>
    <xf numFmtId="0" fontId="82" fillId="19" borderId="64" xfId="0" applyFont="1" applyFill="1" applyBorder="1" applyAlignment="1">
      <alignment horizontal="center" vertical="center" wrapText="1"/>
    </xf>
  </cellXfs>
  <cellStyles count="70">
    <cellStyle name="% 10 2 3" xfId="35" xr:uid="{00000000-0005-0000-0000-000000000000}"/>
    <cellStyle name="% 114" xfId="34" xr:uid="{00000000-0005-0000-0000-000001000000}"/>
    <cellStyle name="% 2 2 2" xfId="30" xr:uid="{00000000-0005-0000-0000-000002000000}"/>
    <cellStyle name="% 2 2 2 2 2" xfId="43" xr:uid="{00000000-0005-0000-0000-000003000000}"/>
    <cellStyle name="%_NGG Opex PCRRP Tables 31 Mar 2009 2 2" xfId="42" xr:uid="{00000000-0005-0000-0000-000004000000}"/>
    <cellStyle name="=C:\WINNT\SYSTEM32\COMMAND.COM" xfId="3" xr:uid="{00000000-0005-0000-0000-000005000000}"/>
    <cellStyle name="=C:\WINNT\SYSTEM32\COMMAND.COM 2 2 2" xfId="4" xr:uid="{00000000-0005-0000-0000-000006000000}"/>
    <cellStyle name="=C:\WINNT\SYSTEM32\COMMAND.COM 3" xfId="55" xr:uid="{00000000-0005-0000-0000-000007000000}"/>
    <cellStyle name="Comma" xfId="69" builtinId="3"/>
    <cellStyle name="Comma 2" xfId="44" xr:uid="{00000000-0005-0000-0000-000009000000}"/>
    <cellStyle name="Comma 3" xfId="56" xr:uid="{00000000-0005-0000-0000-00000A000000}"/>
    <cellStyle name="Comment" xfId="54" xr:uid="{00000000-0005-0000-0000-00000B000000}"/>
    <cellStyle name="Hyperlink" xfId="10" builtinId="8"/>
    <cellStyle name="Hyperlink 2" xfId="8" xr:uid="{00000000-0005-0000-0000-00000D000000}"/>
    <cellStyle name="Hyperlink 3" xfId="49" xr:uid="{00000000-0005-0000-0000-00000E000000}"/>
    <cellStyle name="Hyperlink 6 3" xfId="47" xr:uid="{00000000-0005-0000-0000-00000F000000}"/>
    <cellStyle name="Level 1" xfId="63" xr:uid="{00000000-0005-0000-0000-000010000000}"/>
    <cellStyle name="Normal" xfId="0" builtinId="0"/>
    <cellStyle name="Normal - Style1 2" xfId="65" xr:uid="{00000000-0005-0000-0000-000012000000}"/>
    <cellStyle name="Normal - Style1 2 2" xfId="40" xr:uid="{00000000-0005-0000-0000-000013000000}"/>
    <cellStyle name="Normal 10 2 2 2" xfId="33" xr:uid="{00000000-0005-0000-0000-000014000000}"/>
    <cellStyle name="Normal 11 2" xfId="52" xr:uid="{00000000-0005-0000-0000-000015000000}"/>
    <cellStyle name="Normal 14 2_List of table gaps 2" xfId="32" xr:uid="{00000000-0005-0000-0000-000016000000}"/>
    <cellStyle name="Normal 17" xfId="7" xr:uid="{00000000-0005-0000-0000-000017000000}"/>
    <cellStyle name="Normal 18" xfId="29" xr:uid="{00000000-0005-0000-0000-000018000000}"/>
    <cellStyle name="Normal 2" xfId="46" xr:uid="{00000000-0005-0000-0000-000019000000}"/>
    <cellStyle name="Normal 2 5 2 4 15 2 3 2 2" xfId="41" xr:uid="{00000000-0005-0000-0000-00001A000000}"/>
    <cellStyle name="Normal 3" xfId="68" xr:uid="{00000000-0005-0000-0000-00001B000000}"/>
    <cellStyle name="Normal 3 11" xfId="53" xr:uid="{00000000-0005-0000-0000-00001C000000}"/>
    <cellStyle name="Normal 3 2" xfId="67" xr:uid="{00000000-0005-0000-0000-00001D000000}"/>
    <cellStyle name="Normal 3 3 2 5 10 2" xfId="39" xr:uid="{00000000-0005-0000-0000-00001E000000}"/>
    <cellStyle name="Normal 4 2" xfId="5" xr:uid="{00000000-0005-0000-0000-00001F000000}"/>
    <cellStyle name="Normal 4 2 24" xfId="51" xr:uid="{00000000-0005-0000-0000-000020000000}"/>
    <cellStyle name="Normal 58 4 2 2" xfId="18" xr:uid="{00000000-0005-0000-0000-000021000000}"/>
    <cellStyle name="Normal 58 4 2 2 2" xfId="26" xr:uid="{00000000-0005-0000-0000-000022000000}"/>
    <cellStyle name="Normal 58 4 2 3" xfId="23" xr:uid="{00000000-0005-0000-0000-000023000000}"/>
    <cellStyle name="Normal 58 4 2 4" xfId="22" xr:uid="{00000000-0005-0000-0000-000024000000}"/>
    <cellStyle name="Normal 58 4 2 5" xfId="17" xr:uid="{00000000-0005-0000-0000-000025000000}"/>
    <cellStyle name="Normal 58 4 2 5 2" xfId="28" xr:uid="{00000000-0005-0000-0000-000026000000}"/>
    <cellStyle name="Normal 58 4 2 6" xfId="15" xr:uid="{00000000-0005-0000-0000-000027000000}"/>
    <cellStyle name="Normal 58 4 2 7" xfId="25" xr:uid="{00000000-0005-0000-0000-000028000000}"/>
    <cellStyle name="Normal 58 4 3 2" xfId="20" xr:uid="{00000000-0005-0000-0000-000029000000}"/>
    <cellStyle name="Normal 58 4 3 3" xfId="21" xr:uid="{00000000-0005-0000-0000-00002A000000}"/>
    <cellStyle name="Normal 58 4 3 4" xfId="19" xr:uid="{00000000-0005-0000-0000-00002B000000}"/>
    <cellStyle name="Normal 58 4 3 5" xfId="16" xr:uid="{00000000-0005-0000-0000-00002C000000}"/>
    <cellStyle name="Normal 58 4 3 5 2" xfId="27" xr:uid="{00000000-0005-0000-0000-00002D000000}"/>
    <cellStyle name="Normal 58 4 3 6" xfId="12" xr:uid="{00000000-0005-0000-0000-00002E000000}"/>
    <cellStyle name="Normal 58 4 3 7" xfId="24" xr:uid="{00000000-0005-0000-0000-00002F000000}"/>
    <cellStyle name="Normal 60 2 2" xfId="37" xr:uid="{00000000-0005-0000-0000-000030000000}"/>
    <cellStyle name="Normal 61 3 2" xfId="31" xr:uid="{00000000-0005-0000-0000-000031000000}"/>
    <cellStyle name="Normal 62 2 2 2" xfId="45" xr:uid="{00000000-0005-0000-0000-000032000000}"/>
    <cellStyle name="Normal 63 3 3 2" xfId="66" xr:uid="{00000000-0005-0000-0000-000033000000}"/>
    <cellStyle name="Normal 7" xfId="2" xr:uid="{00000000-0005-0000-0000-000034000000}"/>
    <cellStyle name="Normal 7 79" xfId="36" xr:uid="{00000000-0005-0000-0000-000035000000}"/>
    <cellStyle name="Normal 9 125" xfId="61" xr:uid="{00000000-0005-0000-0000-000036000000}"/>
    <cellStyle name="Normal_070323 - 5yr capex and repex BPQ" xfId="6" xr:uid="{00000000-0005-0000-0000-000037000000}"/>
    <cellStyle name="Normal_amended tax tables 2" xfId="58" xr:uid="{00000000-0005-0000-0000-000038000000}"/>
    <cellStyle name="Normal_BPQ template v1 from NGT 22 June" xfId="13" xr:uid="{00000000-0005-0000-0000-000039000000}"/>
    <cellStyle name="Normal_Financial tables_NG 2" xfId="38" xr:uid="{00000000-0005-0000-0000-00003A000000}"/>
    <cellStyle name="Normal_KE2067  Engineering Opex BPQ" xfId="14" xr:uid="{00000000-0005-0000-0000-00003B000000}"/>
    <cellStyle name="Normal_Opex Tables 2 2 2" xfId="50" xr:uid="{00000000-0005-0000-0000-00003C000000}"/>
    <cellStyle name="Normal_RAV tables" xfId="11" xr:uid="{00000000-0005-0000-0000-00003D000000}"/>
    <cellStyle name="Normal_risk table" xfId="64" xr:uid="{00000000-0005-0000-0000-00003E000000}"/>
    <cellStyle name="Normal_TPCR Electricity Capex Questionnaire Historical v2 050711 3 3" xfId="48" xr:uid="{00000000-0005-0000-0000-00003F000000}"/>
    <cellStyle name="Percent" xfId="1" builtinId="5"/>
    <cellStyle name="Percent 2" xfId="62" xr:uid="{00000000-0005-0000-0000-000041000000}"/>
    <cellStyle name="Percent 2 10" xfId="59" xr:uid="{00000000-0005-0000-0000-000042000000}"/>
    <cellStyle name="RIGs input cells 47 2" xfId="60" xr:uid="{00000000-0005-0000-0000-000043000000}"/>
    <cellStyle name="RIGs input totals 47 2" xfId="57" xr:uid="{00000000-0005-0000-0000-000044000000}"/>
    <cellStyle name="Style 1" xfId="9" xr:uid="{00000000-0005-0000-0000-000045000000}"/>
  </cellStyles>
  <dxfs count="52">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border>
        <right style="thin">
          <color auto="1"/>
        </right>
        <vertical/>
        <horizontal/>
      </border>
    </dxf>
    <dxf>
      <border>
        <right style="thin">
          <color auto="1"/>
        </right>
        <vertical/>
        <horizontal/>
      </border>
    </dxf>
    <dxf>
      <font>
        <color auto="1"/>
      </font>
      <fill>
        <patternFill>
          <bgColor theme="5" tint="0.59996337778862885"/>
        </patternFill>
      </fill>
    </dxf>
    <dxf>
      <fill>
        <patternFill>
          <bgColor rgb="FFFFFFCC"/>
        </patternFill>
      </fill>
    </dxf>
    <dxf>
      <fill>
        <patternFill>
          <bgColor rgb="FFFFFFCC"/>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s>
  <tableStyles count="0" defaultTableStyle="TableStyleMedium2" defaultPivotStyle="PivotStyleLight16"/>
  <colors>
    <mruColors>
      <color rgb="FFFFFFCC"/>
      <color rgb="FF99CCFF"/>
      <color rgb="FFFF6600"/>
      <color rgb="FFCCFFCC"/>
      <color rgb="FF7F7F7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6.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sharedStrings" Target="sharedStrings.xml"/><Relationship Id="rId95" Type="http://schemas.openxmlformats.org/officeDocument/2006/relationships/customXml" Target="../customXml/item4.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2.xml"/><Relationship Id="rId85" Type="http://schemas.openxmlformats.org/officeDocument/2006/relationships/externalLink" Target="externalLinks/externalLink7.xml"/><Relationship Id="rId9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5.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3.xml"/><Relationship Id="rId86" Type="http://schemas.openxmlformats.org/officeDocument/2006/relationships/externalLink" Target="externalLinks/externalLink8.xml"/><Relationship Id="rId9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9.xml"/><Relationship Id="rId61" Type="http://schemas.openxmlformats.org/officeDocument/2006/relationships/worksheet" Target="worksheets/sheet61.xml"/><Relationship Id="rId82" Type="http://schemas.openxmlformats.org/officeDocument/2006/relationships/externalLink" Target="externalLinks/externalLink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10</xdr:col>
      <xdr:colOff>123826</xdr:colOff>
      <xdr:row>19</xdr:row>
      <xdr:rowOff>20411</xdr:rowOff>
    </xdr:to>
    <xdr:sp macro="" textlink="">
      <xdr:nvSpPr>
        <xdr:cNvPr id="4" name="TextBox 3">
          <a:extLst>
            <a:ext uri="{FF2B5EF4-FFF2-40B4-BE49-F238E27FC236}">
              <a16:creationId xmlns:a16="http://schemas.microsoft.com/office/drawing/2014/main" id="{00000000-0008-0000-3800-000004000000}"/>
            </a:ext>
          </a:extLst>
        </xdr:cNvPr>
        <xdr:cNvSpPr txBox="1"/>
      </xdr:nvSpPr>
      <xdr:spPr>
        <a:xfrm>
          <a:off x="959304" y="1660071"/>
          <a:ext cx="8478612" cy="1979840"/>
        </a:xfrm>
        <a:prstGeom prst="rect">
          <a:avLst/>
        </a:prstGeom>
        <a:solidFill>
          <a:srgbClr val="000000">
            <a:alpha val="50196"/>
          </a:srgbClr>
        </a:solidFill>
        <a:ln w="63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2000" b="1">
              <a:solidFill>
                <a:schemeClr val="bg1"/>
              </a:solidFill>
            </a:rPr>
            <a:t>MRPS extract</a:t>
          </a:r>
        </a:p>
        <a:p>
          <a:pPr algn="ctr"/>
          <a:r>
            <a:rPr lang="en-GB" sz="1600">
              <a:solidFill>
                <a:schemeClr val="bg1"/>
              </a:solidFill>
              <a:latin typeface="+mn-lt"/>
              <a:ea typeface="+mn-ea"/>
              <a:cs typeface="+mn-cs"/>
            </a:rPr>
            <a:t> </a:t>
          </a:r>
        </a:p>
        <a:p>
          <a:pPr algn="ctr"/>
          <a:r>
            <a:rPr lang="en-GB" sz="1600">
              <a:solidFill>
                <a:schemeClr val="bg1"/>
              </a:solidFill>
              <a:latin typeface="+mn-lt"/>
              <a:ea typeface="+mn-ea"/>
              <a:cs typeface="+mn-cs"/>
            </a:rPr>
            <a:t>MRPS data must be provided separately by</a:t>
          </a:r>
          <a:r>
            <a:rPr lang="en-GB" sz="1600" baseline="0">
              <a:solidFill>
                <a:schemeClr val="bg1"/>
              </a:solidFill>
              <a:latin typeface="+mn-lt"/>
              <a:ea typeface="+mn-ea"/>
              <a:cs typeface="+mn-cs"/>
            </a:rPr>
            <a:t> way of an MRPS extract, current as of 1</a:t>
          </a:r>
          <a:r>
            <a:rPr lang="en-GB" sz="1600" baseline="30000">
              <a:solidFill>
                <a:schemeClr val="bg1"/>
              </a:solidFill>
              <a:latin typeface="+mn-lt"/>
              <a:ea typeface="+mn-ea"/>
              <a:cs typeface="+mn-cs"/>
            </a:rPr>
            <a:t>st</a:t>
          </a:r>
          <a:r>
            <a:rPr lang="en-GB" sz="1600" baseline="0">
              <a:solidFill>
                <a:schemeClr val="bg1"/>
              </a:solidFill>
              <a:latin typeface="+mn-lt"/>
              <a:ea typeface="+mn-ea"/>
              <a:cs typeface="+mn-cs"/>
            </a:rPr>
            <a:t> April 2019.</a:t>
          </a:r>
          <a:endParaRPr lang="en-GB" sz="1600">
            <a:solidFill>
              <a:schemeClr val="bg1"/>
            </a:solidFill>
            <a:latin typeface="+mn-lt"/>
            <a:ea typeface="+mn-ea"/>
            <a:cs typeface="+mn-cs"/>
          </a:endParaRPr>
        </a:p>
        <a:p>
          <a:pPr algn="ctr"/>
          <a:r>
            <a:rPr lang="en-GB" sz="1600">
              <a:solidFill>
                <a:schemeClr val="bg1"/>
              </a:solidFill>
              <a:latin typeface="+mn-lt"/>
              <a:ea typeface="+mn-ea"/>
              <a:cs typeface="+mn-cs"/>
            </a:rPr>
            <a:t> </a:t>
          </a:r>
        </a:p>
        <a:p>
          <a:pPr algn="ctr"/>
          <a:r>
            <a:rPr lang="en-GB" sz="1600">
              <a:solidFill>
                <a:schemeClr val="bg1"/>
              </a:solidFill>
              <a:latin typeface="+mn-lt"/>
              <a:ea typeface="+mn-ea"/>
              <a:cs typeface="+mn-cs"/>
            </a:rPr>
            <a:t>In addition, the local authority associated with each pipe object must be shown to enable an assessment to be made of the property density in the proximity.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in\RFPR%20trial\RFPR%202018_19%20submission%20docu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arepoint2013/sgg/FIHWG/Networks_Fin_Issues_Lib/RIIO%20Accounts/RFPR/RIGs%20MOD%202019/Decision/RFPR%20Template-Decisio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fin\RFPR%20trial\Copy%20of%20RFPR%20RFI%20Post%20Issuance%20version%2017102018%20I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ites\gd2businessplanteam\CAPEX%20Document%20Library\4.%20BPDT's\4.%20December%20Submission\NGN%20RIIO-GD2%20BPDT%20(N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s>
    <sheetDataSet>
      <sheetData sheetId="0" refreshError="1"/>
      <sheetData sheetId="1" refreshError="1"/>
      <sheetData sheetId="2" refreshError="1"/>
      <sheetData sheetId="3" refreshError="1"/>
      <sheetData sheetId="4">
        <row r="5">
          <cell r="D5">
            <v>-20</v>
          </cell>
        </row>
      </sheetData>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Change log"/>
      <sheetName val="R1 - RoRE"/>
      <sheetName val="R2 - Revenue"/>
      <sheetName val="R3 - Rec to totex"/>
      <sheetName val="R4 - Totex"/>
      <sheetName val="R5 - Output Incentives"/>
      <sheetName val="R6 - Innovation"/>
      <sheetName val="R7 - Financing"/>
      <sheetName val="R7a - Financing input"/>
      <sheetName val="R8 - Net Debt"/>
      <sheetName val="R8a - Net Debt input"/>
      <sheetName val="R9 - RAV"/>
      <sheetName val="R10 - Tax"/>
      <sheetName val="R11 - Dividends"/>
      <sheetName val="R12 - Pensions"/>
      <sheetName val="R13 - Other Activiti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4"/>
  <sheetViews>
    <sheetView topLeftCell="A16" zoomScale="80" zoomScaleNormal="80" workbookViewId="0">
      <selection activeCell="A4" sqref="A4"/>
    </sheetView>
  </sheetViews>
  <sheetFormatPr defaultColWidth="9" defaultRowHeight="14.25"/>
  <cols>
    <col min="1" max="1" width="9" style="12"/>
    <col min="2" max="2" width="8.5" style="12" customWidth="1"/>
    <col min="3" max="9" width="9.375" style="12" customWidth="1"/>
    <col min="10" max="16384" width="9" style="12"/>
  </cols>
  <sheetData>
    <row r="1" spans="1:10" s="2" customFormat="1" ht="26.25">
      <c r="A1" s="1" t="s">
        <v>0</v>
      </c>
      <c r="E1" s="3"/>
      <c r="H1" s="4" t="s">
        <v>1</v>
      </c>
      <c r="J1" s="3"/>
    </row>
    <row r="2" spans="1:10" s="2" customFormat="1" ht="26.25">
      <c r="A2" s="5" t="str">
        <f>Fixed_Data!I12</f>
        <v>MASTER</v>
      </c>
      <c r="B2" s="6"/>
      <c r="D2" s="7"/>
      <c r="E2" s="3"/>
    </row>
    <row r="3" spans="1:10" s="9" customFormat="1" ht="27" thickBot="1">
      <c r="A3" s="8" t="str">
        <f>Fixed_Data!A3</f>
        <v>RIIO-GD2</v>
      </c>
      <c r="D3" s="10"/>
      <c r="E3" s="11"/>
    </row>
    <row r="9" spans="1:10" ht="15" thickBot="1"/>
    <row r="10" spans="1:10" ht="15" thickTop="1">
      <c r="C10" s="13"/>
      <c r="D10" s="14"/>
      <c r="E10" s="14"/>
      <c r="F10" s="14"/>
      <c r="G10" s="14"/>
      <c r="H10" s="14"/>
      <c r="I10" s="15"/>
    </row>
    <row r="11" spans="1:10">
      <c r="C11" s="16"/>
      <c r="D11" s="17"/>
      <c r="E11" s="17"/>
      <c r="F11" s="17"/>
      <c r="G11" s="17"/>
      <c r="H11" s="17"/>
      <c r="I11" s="18"/>
    </row>
    <row r="12" spans="1:10" ht="22.5">
      <c r="C12" s="16"/>
      <c r="D12" s="17"/>
      <c r="E12" s="17"/>
      <c r="F12" s="19" t="s">
        <v>2</v>
      </c>
      <c r="G12" s="17"/>
      <c r="H12" s="17"/>
      <c r="I12" s="18"/>
    </row>
    <row r="13" spans="1:10" ht="22.5">
      <c r="C13" s="16"/>
      <c r="D13" s="17"/>
      <c r="E13" s="17"/>
      <c r="F13" s="19" t="s">
        <v>3</v>
      </c>
      <c r="G13" s="17"/>
      <c r="H13" s="17"/>
      <c r="I13" s="18"/>
    </row>
    <row r="14" spans="1:10">
      <c r="C14" s="16"/>
      <c r="D14" s="17"/>
      <c r="E14" s="17"/>
      <c r="F14" s="20"/>
      <c r="G14" s="17"/>
      <c r="H14" s="17"/>
      <c r="I14" s="18"/>
    </row>
    <row r="15" spans="1:10">
      <c r="C15" s="16"/>
      <c r="D15" s="17"/>
      <c r="E15" s="17"/>
      <c r="F15" s="614" t="s">
        <v>4</v>
      </c>
      <c r="G15" s="17"/>
      <c r="H15" s="17"/>
      <c r="I15" s="18"/>
    </row>
    <row r="16" spans="1:10" ht="24.75">
      <c r="C16" s="16"/>
      <c r="D16" s="17"/>
      <c r="E16" s="17"/>
      <c r="F16" s="22"/>
      <c r="G16" s="17"/>
      <c r="H16" s="17"/>
      <c r="I16" s="18"/>
    </row>
    <row r="17" spans="3:9">
      <c r="C17" s="16"/>
      <c r="D17" s="17"/>
      <c r="E17" s="17"/>
      <c r="F17" s="20"/>
      <c r="G17" s="17"/>
      <c r="H17" s="17"/>
      <c r="I17" s="18"/>
    </row>
    <row r="18" spans="3:9">
      <c r="C18" s="16"/>
      <c r="D18" s="17"/>
      <c r="E18" s="17"/>
      <c r="F18" s="20"/>
      <c r="G18" s="17"/>
      <c r="H18" s="17"/>
      <c r="I18" s="18"/>
    </row>
    <row r="19" spans="3:9">
      <c r="C19" s="16"/>
      <c r="D19" s="17"/>
      <c r="E19" s="17"/>
      <c r="F19" s="23"/>
      <c r="G19" s="17"/>
      <c r="H19" s="17"/>
      <c r="I19" s="18"/>
    </row>
    <row r="20" spans="3:9" ht="19.5">
      <c r="C20" s="16"/>
      <c r="D20" s="24" t="s">
        <v>5</v>
      </c>
      <c r="E20" s="25" t="s">
        <v>6</v>
      </c>
      <c r="F20" s="26"/>
      <c r="G20" s="25"/>
      <c r="H20" s="17"/>
      <c r="I20" s="18"/>
    </row>
    <row r="21" spans="3:9">
      <c r="C21" s="16"/>
      <c r="D21" s="24"/>
      <c r="E21" s="17"/>
      <c r="F21" s="23"/>
      <c r="G21" s="17"/>
      <c r="H21" s="17"/>
      <c r="I21" s="18"/>
    </row>
    <row r="22" spans="3:9">
      <c r="C22" s="16"/>
      <c r="D22" s="24" t="s">
        <v>7</v>
      </c>
      <c r="E22" s="27"/>
      <c r="F22" s="28"/>
      <c r="G22" s="27"/>
      <c r="H22" s="17"/>
      <c r="I22" s="18"/>
    </row>
    <row r="23" spans="3:9" ht="15" thickBot="1">
      <c r="C23" s="29"/>
      <c r="D23" s="30"/>
      <c r="E23" s="30"/>
      <c r="F23" s="30"/>
      <c r="G23" s="30"/>
      <c r="H23" s="30"/>
      <c r="I23" s="31"/>
    </row>
    <row r="24" spans="3:9" ht="15" thickTop="1"/>
  </sheetData>
  <pageMargins left="0.70866141732283472" right="0.70866141732283472" top="0.74803149606299213" bottom="0.74803149606299213"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Z104"/>
  <sheetViews>
    <sheetView zoomScale="80" zoomScaleNormal="80" workbookViewId="0">
      <pane xSplit="6" ySplit="4" topLeftCell="G74" activePane="bottomRight" state="frozen"/>
      <selection pane="topRight" activeCell="I137" sqref="I137"/>
      <selection pane="bottomLeft" activeCell="I137" sqref="I137"/>
      <selection pane="bottomRight" activeCell="U88" sqref="U88:Y91"/>
    </sheetView>
  </sheetViews>
  <sheetFormatPr defaultColWidth="0" defaultRowHeight="12.75" zeroHeight="1"/>
  <cols>
    <col min="1" max="1" width="18.625" hidden="1" customWidth="1"/>
    <col min="2" max="2" width="23.375" hidden="1" customWidth="1"/>
    <col min="3" max="3" width="12" hidden="1" customWidth="1"/>
    <col min="4" max="5" width="36" hidden="1" customWidth="1"/>
    <col min="6" max="6" width="16.125" hidden="1" customWidth="1"/>
    <col min="7" max="7" width="2" customWidth="1"/>
    <col min="8" max="8" width="2.125" customWidth="1"/>
    <col min="9" max="9" width="1.75" customWidth="1"/>
    <col min="10" max="10" width="70.375" customWidth="1"/>
    <col min="11" max="11" width="18.75" customWidth="1"/>
    <col min="12" max="12" width="8.5" customWidth="1"/>
    <col min="13" max="25" width="10.5" customWidth="1"/>
    <col min="26" max="26" width="3.125" customWidth="1"/>
    <col min="27" max="16384" width="9" hidden="1"/>
  </cols>
  <sheetData>
    <row r="1" spans="1:26" hidden="1">
      <c r="A1" s="1155" t="s">
        <v>362</v>
      </c>
      <c r="B1" s="1155" t="s">
        <v>363</v>
      </c>
      <c r="C1" s="1155" t="s">
        <v>364</v>
      </c>
      <c r="D1" s="1193" t="s">
        <v>365</v>
      </c>
      <c r="E1" s="1193" t="s">
        <v>487</v>
      </c>
      <c r="F1" s="1193" t="s">
        <v>488</v>
      </c>
      <c r="G1" s="1194"/>
      <c r="H1" s="1194"/>
      <c r="I1" s="1194"/>
      <c r="J1" s="1194"/>
      <c r="K1" s="1194"/>
      <c r="L1" s="1194"/>
      <c r="M1" s="1194"/>
      <c r="N1" s="1194"/>
      <c r="O1" s="1194"/>
      <c r="P1" s="1194"/>
      <c r="Q1" s="1194"/>
      <c r="R1" s="1194"/>
      <c r="S1" s="1194"/>
      <c r="T1" s="1194"/>
      <c r="U1" s="1194"/>
      <c r="V1" s="1194"/>
      <c r="W1" s="1194"/>
      <c r="X1" s="1194"/>
      <c r="Y1" s="1194"/>
      <c r="Z1" s="1241"/>
    </row>
    <row r="2" spans="1:26" ht="26.25">
      <c r="A2" s="1156" t="s">
        <v>1530</v>
      </c>
      <c r="B2" s="1156" t="s">
        <v>1531</v>
      </c>
      <c r="C2" s="1156" t="s">
        <v>367</v>
      </c>
      <c r="D2" s="1195"/>
      <c r="E2" s="1195"/>
      <c r="F2" s="1195"/>
      <c r="G2" s="1" t="s">
        <v>0</v>
      </c>
      <c r="H2" s="1196"/>
      <c r="I2" s="1197"/>
      <c r="J2" s="1198"/>
      <c r="K2" s="1198"/>
      <c r="L2" s="1198"/>
      <c r="M2" s="1198"/>
      <c r="N2" s="1198"/>
      <c r="O2" s="1198"/>
      <c r="P2" s="1198"/>
      <c r="Q2" s="1198"/>
      <c r="R2" s="1198"/>
      <c r="S2" s="1198"/>
      <c r="T2" s="1198"/>
      <c r="U2" s="1198"/>
      <c r="V2" s="1198"/>
      <c r="W2" s="1198"/>
      <c r="X2" s="1198"/>
      <c r="Y2" s="1198"/>
      <c r="Z2" s="1198"/>
    </row>
    <row r="3" spans="1:26" ht="26.25">
      <c r="A3" s="1156" t="s">
        <v>1530</v>
      </c>
      <c r="B3" s="1156" t="s">
        <v>1531</v>
      </c>
      <c r="C3" s="1156" t="s">
        <v>367</v>
      </c>
      <c r="D3" s="1156"/>
      <c r="E3" s="1156"/>
      <c r="F3" s="1156"/>
      <c r="G3" s="2446" t="s">
        <v>6</v>
      </c>
      <c r="H3" s="1199"/>
      <c r="I3" s="1200"/>
      <c r="J3" s="1198"/>
      <c r="K3" s="1198"/>
      <c r="L3" s="1198"/>
      <c r="M3" s="1198"/>
      <c r="N3" s="1198"/>
      <c r="O3" s="1198"/>
      <c r="P3" s="1198"/>
      <c r="Q3" s="1198"/>
      <c r="R3" s="1198"/>
      <c r="S3" s="1198"/>
      <c r="T3" s="1198"/>
      <c r="U3" s="1198"/>
      <c r="V3" s="1198"/>
      <c r="W3" s="1198"/>
      <c r="X3" s="1198"/>
      <c r="Y3" s="1198"/>
      <c r="Z3" s="1198"/>
    </row>
    <row r="4" spans="1:26" ht="27" thickBot="1">
      <c r="A4" s="1156" t="s">
        <v>1530</v>
      </c>
      <c r="B4" s="1311" t="s">
        <v>1531</v>
      </c>
      <c r="C4" s="1311" t="s">
        <v>367</v>
      </c>
      <c r="D4" s="1311"/>
      <c r="E4" s="1311"/>
      <c r="F4" s="1311"/>
      <c r="G4" s="1312" t="s">
        <v>2</v>
      </c>
      <c r="H4" s="1317"/>
      <c r="I4" s="1318"/>
      <c r="J4" s="1319"/>
      <c r="K4" s="1319"/>
      <c r="L4" s="1319"/>
      <c r="M4" s="1319"/>
      <c r="N4" s="1319"/>
      <c r="O4" s="1319"/>
      <c r="P4" s="1319"/>
      <c r="Q4" s="1319"/>
      <c r="R4" s="1319"/>
      <c r="S4" s="1319"/>
      <c r="T4" s="1319"/>
      <c r="U4" s="1319"/>
      <c r="V4" s="1319"/>
      <c r="W4" s="1319"/>
      <c r="X4" s="1319"/>
      <c r="Y4" s="1319"/>
      <c r="Z4" s="1319"/>
    </row>
    <row r="5" spans="1:26" ht="13.5" thickTop="1">
      <c r="A5" s="1156" t="s">
        <v>1530</v>
      </c>
      <c r="B5" s="1310" t="s">
        <v>1531</v>
      </c>
      <c r="C5" s="1310" t="s">
        <v>367</v>
      </c>
      <c r="D5" s="1310"/>
      <c r="E5" s="1310"/>
      <c r="F5" s="1310"/>
      <c r="G5" s="1202" t="s">
        <v>490</v>
      </c>
      <c r="H5" s="1204"/>
      <c r="I5" s="1204"/>
      <c r="K5" s="1205"/>
      <c r="L5" s="1205"/>
      <c r="M5" s="1205"/>
      <c r="N5" s="1160"/>
      <c r="O5" s="1160"/>
      <c r="P5" s="1160"/>
      <c r="Q5" s="1160"/>
      <c r="R5" s="1160"/>
      <c r="S5" s="1160"/>
      <c r="T5" s="1160"/>
      <c r="U5" s="1160"/>
      <c r="V5" s="1160"/>
      <c r="W5" s="1160"/>
      <c r="X5" s="1160"/>
      <c r="Y5" s="1160"/>
      <c r="Z5" s="1160"/>
    </row>
    <row r="6" spans="1:26" hidden="1">
      <c r="A6" s="1156" t="s">
        <v>1530</v>
      </c>
      <c r="B6" s="1156" t="s">
        <v>1531</v>
      </c>
      <c r="C6" s="1156" t="s">
        <v>370</v>
      </c>
      <c r="D6" s="1156"/>
      <c r="E6" s="1156"/>
      <c r="F6" s="1156"/>
      <c r="G6" s="1156" t="s">
        <v>367</v>
      </c>
      <c r="H6" s="1156" t="s">
        <v>367</v>
      </c>
      <c r="I6" s="1156" t="s">
        <v>367</v>
      </c>
      <c r="J6" s="1156" t="s">
        <v>367</v>
      </c>
      <c r="K6" s="1156" t="s">
        <v>492</v>
      </c>
      <c r="L6" s="1156" t="s">
        <v>367</v>
      </c>
      <c r="M6" s="1156" t="s">
        <v>371</v>
      </c>
      <c r="N6" s="1156" t="s">
        <v>371</v>
      </c>
      <c r="O6" s="1156" t="s">
        <v>371</v>
      </c>
      <c r="P6" s="1156" t="s">
        <v>371</v>
      </c>
      <c r="Q6" s="1156" t="s">
        <v>371</v>
      </c>
      <c r="R6" s="1156" t="s">
        <v>371</v>
      </c>
      <c r="S6" s="1156" t="s">
        <v>371</v>
      </c>
      <c r="T6" s="1156" t="s">
        <v>371</v>
      </c>
      <c r="U6" s="1156" t="s">
        <v>371</v>
      </c>
      <c r="V6" s="1156" t="s">
        <v>371</v>
      </c>
      <c r="W6" s="1156" t="s">
        <v>371</v>
      </c>
      <c r="X6" s="1156" t="s">
        <v>371</v>
      </c>
      <c r="Y6" s="1156" t="s">
        <v>371</v>
      </c>
      <c r="Z6" s="1242"/>
    </row>
    <row r="7" spans="1:26">
      <c r="A7" s="1156" t="s">
        <v>1530</v>
      </c>
      <c r="B7" s="1156" t="s">
        <v>1531</v>
      </c>
      <c r="C7" s="1156" t="s">
        <v>367</v>
      </c>
      <c r="D7" s="1156"/>
      <c r="E7" s="1156"/>
      <c r="F7" s="1156"/>
      <c r="G7" s="1245" t="s">
        <v>1532</v>
      </c>
      <c r="H7" s="1204"/>
      <c r="I7" s="1204"/>
      <c r="J7" s="1246"/>
      <c r="K7" s="1205"/>
      <c r="L7" s="1205"/>
      <c r="M7" s="1205"/>
      <c r="N7" s="1160"/>
      <c r="O7" s="1160"/>
      <c r="P7" s="1160"/>
      <c r="Q7" s="1160"/>
      <c r="R7" s="1160"/>
      <c r="S7" s="1160"/>
      <c r="T7" s="1160"/>
      <c r="U7" s="1160"/>
      <c r="V7" s="1160"/>
      <c r="W7" s="1160"/>
      <c r="X7" s="1160"/>
      <c r="Y7" s="1160"/>
      <c r="Z7" s="1160"/>
    </row>
    <row r="8" spans="1:26">
      <c r="A8" s="1156" t="s">
        <v>1530</v>
      </c>
      <c r="B8" s="1156" t="s">
        <v>1531</v>
      </c>
      <c r="C8" s="1156" t="s">
        <v>367</v>
      </c>
      <c r="D8" s="1156"/>
      <c r="E8" s="1156"/>
      <c r="F8" s="1156"/>
      <c r="G8" s="1204"/>
      <c r="H8" s="1204"/>
      <c r="I8" s="1204"/>
      <c r="J8" s="1246"/>
      <c r="K8" s="1205"/>
      <c r="L8" s="1205"/>
      <c r="M8" s="1205"/>
      <c r="N8" s="1160"/>
      <c r="O8" s="1160"/>
      <c r="P8" s="1160"/>
      <c r="Q8" s="1160"/>
      <c r="R8" s="1160"/>
      <c r="S8" s="1160"/>
      <c r="T8" s="1160"/>
      <c r="U8" s="1160"/>
      <c r="V8" s="1160"/>
      <c r="W8" s="1160"/>
      <c r="X8" s="1160"/>
      <c r="Y8" s="1160"/>
      <c r="Z8" s="1242"/>
    </row>
    <row r="9" spans="1:26">
      <c r="A9" s="1156" t="s">
        <v>1530</v>
      </c>
      <c r="B9" s="1156" t="s">
        <v>1531</v>
      </c>
      <c r="C9" s="1156" t="s">
        <v>415</v>
      </c>
      <c r="D9" s="1156"/>
      <c r="E9" s="1156"/>
      <c r="F9" s="1156"/>
      <c r="G9" s="1204"/>
      <c r="H9" s="1204"/>
      <c r="I9" s="1210" t="s">
        <v>1533</v>
      </c>
      <c r="J9" s="1160"/>
      <c r="K9" s="1194"/>
      <c r="L9" s="1247"/>
      <c r="M9" s="1203" t="s">
        <v>453</v>
      </c>
      <c r="N9" s="1203" t="s">
        <v>455</v>
      </c>
      <c r="O9" s="1203" t="s">
        <v>457</v>
      </c>
      <c r="P9" s="1203" t="s">
        <v>459</v>
      </c>
      <c r="Q9" s="1203" t="s">
        <v>461</v>
      </c>
      <c r="R9" s="1203" t="s">
        <v>463</v>
      </c>
      <c r="S9" s="1203" t="s">
        <v>465</v>
      </c>
      <c r="T9" s="1203" t="s">
        <v>467</v>
      </c>
      <c r="U9" s="1203" t="s">
        <v>469</v>
      </c>
      <c r="V9" s="1203" t="s">
        <v>471</v>
      </c>
      <c r="W9" s="1203" t="s">
        <v>473</v>
      </c>
      <c r="X9" s="1203" t="s">
        <v>475</v>
      </c>
      <c r="Y9" s="1203" t="s">
        <v>477</v>
      </c>
      <c r="Z9" s="1244"/>
    </row>
    <row r="10" spans="1:26" ht="15">
      <c r="A10" s="1156" t="s">
        <v>1530</v>
      </c>
      <c r="B10" s="1156" t="s">
        <v>1531</v>
      </c>
      <c r="C10" s="1156"/>
      <c r="D10" s="1156" t="s">
        <v>1534</v>
      </c>
      <c r="E10" s="1156" t="s">
        <v>1535</v>
      </c>
      <c r="F10" s="1156"/>
      <c r="G10" s="1204"/>
      <c r="H10" s="1204"/>
      <c r="I10" s="1204"/>
      <c r="J10" s="1194" t="s">
        <v>1536</v>
      </c>
      <c r="K10" s="1194" t="s">
        <v>627</v>
      </c>
      <c r="L10" s="1194"/>
      <c r="M10" s="1248">
        <v>0.18</v>
      </c>
      <c r="N10" s="1248">
        <v>0.18</v>
      </c>
      <c r="O10" s="1248">
        <v>0.18</v>
      </c>
      <c r="P10" s="1217">
        <v>0.18</v>
      </c>
      <c r="Q10" s="1217">
        <v>0.18</v>
      </c>
      <c r="R10" s="1248">
        <v>0.18</v>
      </c>
      <c r="S10" s="1248">
        <v>0.18</v>
      </c>
      <c r="T10" s="2570">
        <v>0.18</v>
      </c>
      <c r="U10" s="1217">
        <v>0.18</v>
      </c>
      <c r="V10" s="1217">
        <v>0.18</v>
      </c>
      <c r="W10" s="1217">
        <v>0.18</v>
      </c>
      <c r="X10" s="1217">
        <v>0.18</v>
      </c>
      <c r="Y10" s="1217">
        <v>0.18</v>
      </c>
      <c r="Z10" s="1249"/>
    </row>
    <row r="11" spans="1:26" ht="15">
      <c r="A11" s="1156" t="s">
        <v>1530</v>
      </c>
      <c r="B11" s="1156" t="s">
        <v>1531</v>
      </c>
      <c r="C11" s="1156"/>
      <c r="D11" s="1156" t="s">
        <v>1534</v>
      </c>
      <c r="E11" s="1156" t="s">
        <v>1537</v>
      </c>
      <c r="F11" s="1156" t="s">
        <v>496</v>
      </c>
      <c r="G11" s="1204"/>
      <c r="H11" s="1204"/>
      <c r="I11" s="1204"/>
      <c r="J11" s="1194" t="s">
        <v>1538</v>
      </c>
      <c r="K11" s="1212" t="s">
        <v>498</v>
      </c>
      <c r="L11" s="1194"/>
      <c r="M11" s="1231">
        <v>57.622033898305091</v>
      </c>
      <c r="N11" s="1250">
        <f>M16</f>
        <v>61.273044200392448</v>
      </c>
      <c r="O11" s="1250">
        <f t="shared" ref="O11:Y11" si="0">N16</f>
        <v>69.076410980168475</v>
      </c>
      <c r="P11" s="1250">
        <f t="shared" si="0"/>
        <v>76.425622365474567</v>
      </c>
      <c r="Q11" s="1250">
        <f t="shared" si="0"/>
        <v>83.551364771221543</v>
      </c>
      <c r="R11" s="1250">
        <f t="shared" si="0"/>
        <v>91.148947692336421</v>
      </c>
      <c r="S11" s="1250">
        <f t="shared" si="0"/>
        <v>98.12127242085252</v>
      </c>
      <c r="T11" s="1250">
        <f t="shared" si="0"/>
        <v>102.92602226882065</v>
      </c>
      <c r="U11" s="1250">
        <f t="shared" si="0"/>
        <v>104.82976465009753</v>
      </c>
      <c r="V11" s="1250">
        <f t="shared" si="0"/>
        <v>85.960407013079973</v>
      </c>
      <c r="W11" s="1250">
        <f t="shared" si="0"/>
        <v>70.487533750725575</v>
      </c>
      <c r="X11" s="1250">
        <f t="shared" si="0"/>
        <v>57.799777675594974</v>
      </c>
      <c r="Y11" s="1250">
        <f t="shared" si="0"/>
        <v>47.39581769398788</v>
      </c>
      <c r="Z11" s="1251"/>
    </row>
    <row r="12" spans="1:26" ht="15">
      <c r="A12" s="1156" t="s">
        <v>1530</v>
      </c>
      <c r="B12" s="1156" t="s">
        <v>1531</v>
      </c>
      <c r="C12" s="1156"/>
      <c r="D12" s="1156" t="s">
        <v>1534</v>
      </c>
      <c r="E12" s="1156" t="s">
        <v>1539</v>
      </c>
      <c r="F12" s="1156" t="s">
        <v>496</v>
      </c>
      <c r="G12" s="1204"/>
      <c r="H12" s="1204"/>
      <c r="I12" s="1204"/>
      <c r="J12" s="1194" t="s">
        <v>1540</v>
      </c>
      <c r="K12" s="1212" t="s">
        <v>498</v>
      </c>
      <c r="L12" s="1194"/>
      <c r="M12" s="1231">
        <v>-1.4859037210424391</v>
      </c>
      <c r="N12" s="1231">
        <v>-0.31062689127435061</v>
      </c>
      <c r="O12" s="1231">
        <v>-0.56262021004111518</v>
      </c>
      <c r="P12" s="1231">
        <v>-3.9603474040064146E-2</v>
      </c>
      <c r="Q12" s="1231">
        <v>-8.4456095789505595E-2</v>
      </c>
      <c r="R12" s="1231">
        <v>0</v>
      </c>
      <c r="S12" s="1231">
        <v>0</v>
      </c>
      <c r="T12" s="1231">
        <v>0</v>
      </c>
      <c r="U12" s="1796"/>
      <c r="V12" s="1796"/>
      <c r="W12" s="1796"/>
      <c r="X12" s="1796"/>
      <c r="Y12" s="1796"/>
      <c r="Z12" s="1252"/>
    </row>
    <row r="13" spans="1:26" ht="15">
      <c r="A13" s="1156" t="s">
        <v>1530</v>
      </c>
      <c r="B13" s="1156" t="s">
        <v>1531</v>
      </c>
      <c r="C13" s="1156"/>
      <c r="D13" s="1156" t="s">
        <v>1534</v>
      </c>
      <c r="E13" s="1156" t="s">
        <v>1541</v>
      </c>
      <c r="F13" s="1156" t="s">
        <v>496</v>
      </c>
      <c r="G13" s="1204"/>
      <c r="H13" s="1204"/>
      <c r="I13" s="1204"/>
      <c r="J13" s="1194" t="s">
        <v>1542</v>
      </c>
      <c r="K13" s="1212" t="s">
        <v>498</v>
      </c>
      <c r="L13" s="1194"/>
      <c r="M13" s="1231">
        <v>18.587094457362287</v>
      </c>
      <c r="N13" s="1231">
        <v>23.27710827645322</v>
      </c>
      <c r="O13" s="1231">
        <v>24.688187724353806</v>
      </c>
      <c r="P13" s="1231">
        <v>25.50588936615274</v>
      </c>
      <c r="Q13" s="1231">
        <v>27.690344607905057</v>
      </c>
      <c r="R13" s="1231">
        <v>28.511140625776399</v>
      </c>
      <c r="S13" s="1231">
        <v>27.398266931367775</v>
      </c>
      <c r="T13" s="1231">
        <v>24.915154133737321</v>
      </c>
      <c r="U13" s="1796"/>
      <c r="V13" s="1796"/>
      <c r="W13" s="1796"/>
      <c r="X13" s="1796"/>
      <c r="Y13" s="1796"/>
      <c r="Z13" s="1252"/>
    </row>
    <row r="14" spans="1:26">
      <c r="A14" s="1156" t="s">
        <v>1530</v>
      </c>
      <c r="B14" s="1156" t="s">
        <v>1531</v>
      </c>
      <c r="C14" s="1156"/>
      <c r="D14" s="1156" t="s">
        <v>1534</v>
      </c>
      <c r="E14" s="1156" t="s">
        <v>1543</v>
      </c>
      <c r="F14" s="1156" t="s">
        <v>496</v>
      </c>
      <c r="G14" s="1204"/>
      <c r="H14" s="1204"/>
      <c r="I14" s="1204"/>
      <c r="J14" s="1194" t="s">
        <v>1544</v>
      </c>
      <c r="K14" s="1212" t="s">
        <v>498</v>
      </c>
      <c r="L14" s="1194"/>
      <c r="M14" s="1214">
        <f t="shared" ref="M14:Y14" si="1">SUM(M11:M13)</f>
        <v>74.723224634624941</v>
      </c>
      <c r="N14" s="1214">
        <f t="shared" si="1"/>
        <v>84.239525585571315</v>
      </c>
      <c r="O14" s="1214">
        <f t="shared" si="1"/>
        <v>93.201978494481168</v>
      </c>
      <c r="P14" s="1214">
        <f t="shared" si="1"/>
        <v>101.89190825758725</v>
      </c>
      <c r="Q14" s="1214">
        <f t="shared" si="1"/>
        <v>111.1572532833371</v>
      </c>
      <c r="R14" s="1214">
        <f t="shared" si="1"/>
        <v>119.66008831811283</v>
      </c>
      <c r="S14" s="1214">
        <f t="shared" si="1"/>
        <v>125.51953935222029</v>
      </c>
      <c r="T14" s="1214">
        <f t="shared" si="1"/>
        <v>127.84117640255796</v>
      </c>
      <c r="U14" s="1214">
        <f t="shared" si="1"/>
        <v>104.82976465009753</v>
      </c>
      <c r="V14" s="1214">
        <f t="shared" si="1"/>
        <v>85.960407013079973</v>
      </c>
      <c r="W14" s="1214">
        <f t="shared" si="1"/>
        <v>70.487533750725575</v>
      </c>
      <c r="X14" s="1214">
        <f t="shared" si="1"/>
        <v>57.799777675594974</v>
      </c>
      <c r="Y14" s="1214">
        <f t="shared" si="1"/>
        <v>47.39581769398788</v>
      </c>
      <c r="Z14" s="1251"/>
    </row>
    <row r="15" spans="1:26">
      <c r="A15" s="1156" t="s">
        <v>1530</v>
      </c>
      <c r="B15" s="1156" t="s">
        <v>1531</v>
      </c>
      <c r="C15" s="1156"/>
      <c r="D15" s="1156" t="s">
        <v>1534</v>
      </c>
      <c r="E15" s="1156" t="s">
        <v>1545</v>
      </c>
      <c r="F15" s="1156" t="s">
        <v>496</v>
      </c>
      <c r="G15" s="1204"/>
      <c r="H15" s="1204"/>
      <c r="I15" s="1204"/>
      <c r="J15" s="1194" t="s">
        <v>1546</v>
      </c>
      <c r="K15" s="1212" t="s">
        <v>498</v>
      </c>
      <c r="L15" s="1194"/>
      <c r="M15" s="1214">
        <f t="shared" ref="M15:Y15" si="2">-M14*M10</f>
        <v>-13.45018043423249</v>
      </c>
      <c r="N15" s="1214">
        <f t="shared" si="2"/>
        <v>-15.163114605402836</v>
      </c>
      <c r="O15" s="1214">
        <f t="shared" si="2"/>
        <v>-16.776356129006608</v>
      </c>
      <c r="P15" s="1214">
        <f t="shared" si="2"/>
        <v>-18.340543486365704</v>
      </c>
      <c r="Q15" s="1214">
        <f t="shared" si="2"/>
        <v>-20.008305591000678</v>
      </c>
      <c r="R15" s="1214">
        <f t="shared" si="2"/>
        <v>-21.538815897260307</v>
      </c>
      <c r="S15" s="1214">
        <f t="shared" si="2"/>
        <v>-22.59351708339965</v>
      </c>
      <c r="T15" s="1214">
        <f t="shared" si="2"/>
        <v>-23.011411752460432</v>
      </c>
      <c r="U15" s="1214">
        <f t="shared" si="2"/>
        <v>-18.869357637017554</v>
      </c>
      <c r="V15" s="1214">
        <f t="shared" si="2"/>
        <v>-15.472873262354394</v>
      </c>
      <c r="W15" s="1214">
        <f t="shared" si="2"/>
        <v>-12.687756075130602</v>
      </c>
      <c r="X15" s="1214">
        <f t="shared" si="2"/>
        <v>-10.403959981607095</v>
      </c>
      <c r="Y15" s="1214">
        <f t="shared" si="2"/>
        <v>-8.5312471849178184</v>
      </c>
      <c r="Z15" s="1251"/>
    </row>
    <row r="16" spans="1:26">
      <c r="A16" s="1156" t="s">
        <v>1530</v>
      </c>
      <c r="B16" s="1156" t="s">
        <v>1531</v>
      </c>
      <c r="C16" s="1156"/>
      <c r="D16" s="1156" t="s">
        <v>1534</v>
      </c>
      <c r="E16" s="1156" t="s">
        <v>1547</v>
      </c>
      <c r="F16" s="1156" t="s">
        <v>496</v>
      </c>
      <c r="G16" s="1204"/>
      <c r="H16" s="1204"/>
      <c r="I16" s="1204"/>
      <c r="J16" s="1194" t="s">
        <v>1548</v>
      </c>
      <c r="K16" s="1212" t="s">
        <v>498</v>
      </c>
      <c r="L16" s="1194"/>
      <c r="M16" s="1214">
        <f>SUM(M14:M15)</f>
        <v>61.273044200392448</v>
      </c>
      <c r="N16" s="1214">
        <f t="shared" ref="N16:Y16" si="3">SUM(N14:N15)</f>
        <v>69.076410980168475</v>
      </c>
      <c r="O16" s="1214">
        <f t="shared" si="3"/>
        <v>76.425622365474567</v>
      </c>
      <c r="P16" s="1214">
        <f t="shared" si="3"/>
        <v>83.551364771221543</v>
      </c>
      <c r="Q16" s="1214">
        <f t="shared" si="3"/>
        <v>91.148947692336421</v>
      </c>
      <c r="R16" s="1214">
        <f t="shared" si="3"/>
        <v>98.12127242085252</v>
      </c>
      <c r="S16" s="1214">
        <f t="shared" si="3"/>
        <v>102.92602226882065</v>
      </c>
      <c r="T16" s="1214">
        <f t="shared" si="3"/>
        <v>104.82976465009753</v>
      </c>
      <c r="U16" s="1214">
        <f t="shared" si="3"/>
        <v>85.960407013079973</v>
      </c>
      <c r="V16" s="1214">
        <f t="shared" si="3"/>
        <v>70.487533750725575</v>
      </c>
      <c r="W16" s="1214">
        <f t="shared" si="3"/>
        <v>57.799777675594974</v>
      </c>
      <c r="X16" s="1214">
        <f t="shared" si="3"/>
        <v>47.39581769398788</v>
      </c>
      <c r="Y16" s="1214">
        <f t="shared" si="3"/>
        <v>38.864570509070063</v>
      </c>
      <c r="Z16" s="1251"/>
    </row>
    <row r="17" spans="1:26">
      <c r="A17" s="1156" t="s">
        <v>1530</v>
      </c>
      <c r="B17" s="1156" t="s">
        <v>1531</v>
      </c>
      <c r="C17" s="1156" t="s">
        <v>367</v>
      </c>
      <c r="D17" s="1156"/>
      <c r="E17" s="1156"/>
      <c r="F17" s="1156"/>
      <c r="G17" s="1204"/>
      <c r="H17" s="1204"/>
      <c r="I17" s="1204"/>
      <c r="J17" s="1194"/>
      <c r="K17" s="1194"/>
      <c r="L17" s="1194"/>
      <c r="M17" s="1194"/>
      <c r="N17" s="1194"/>
      <c r="O17" s="1194"/>
      <c r="P17" s="1194"/>
      <c r="Q17" s="1194"/>
      <c r="R17" s="1194"/>
      <c r="S17" s="1194"/>
      <c r="T17" s="1194"/>
      <c r="U17" s="1194"/>
      <c r="V17" s="1194"/>
      <c r="W17" s="1194"/>
      <c r="X17" s="1194"/>
      <c r="Y17" s="1194"/>
      <c r="Z17" s="1241"/>
    </row>
    <row r="18" spans="1:26">
      <c r="A18" s="1156" t="s">
        <v>1530</v>
      </c>
      <c r="B18" s="1156" t="s">
        <v>1531</v>
      </c>
      <c r="C18" s="1156" t="s">
        <v>367</v>
      </c>
      <c r="D18" s="1156"/>
      <c r="E18" s="1156"/>
      <c r="F18" s="1156"/>
      <c r="G18" s="1204"/>
      <c r="H18" s="1204"/>
      <c r="I18" s="1210" t="s">
        <v>1549</v>
      </c>
      <c r="J18" s="1160"/>
      <c r="K18" s="1194"/>
      <c r="L18" s="1194"/>
      <c r="M18" s="1203" t="s">
        <v>453</v>
      </c>
      <c r="N18" s="1203" t="s">
        <v>455</v>
      </c>
      <c r="O18" s="1203" t="s">
        <v>457</v>
      </c>
      <c r="P18" s="1203" t="s">
        <v>459</v>
      </c>
      <c r="Q18" s="1203" t="s">
        <v>461</v>
      </c>
      <c r="R18" s="1203" t="s">
        <v>463</v>
      </c>
      <c r="S18" s="1203" t="s">
        <v>465</v>
      </c>
      <c r="T18" s="1203" t="s">
        <v>467</v>
      </c>
      <c r="U18" s="1203" t="s">
        <v>469</v>
      </c>
      <c r="V18" s="1203" t="s">
        <v>471</v>
      </c>
      <c r="W18" s="1203" t="s">
        <v>473</v>
      </c>
      <c r="X18" s="1203" t="s">
        <v>475</v>
      </c>
      <c r="Y18" s="1203" t="s">
        <v>477</v>
      </c>
      <c r="Z18" s="1244"/>
    </row>
    <row r="19" spans="1:26" ht="15">
      <c r="A19" s="1156" t="s">
        <v>1530</v>
      </c>
      <c r="B19" s="1156" t="s">
        <v>1531</v>
      </c>
      <c r="C19" s="1156"/>
      <c r="D19" s="1156" t="s">
        <v>1550</v>
      </c>
      <c r="E19" s="1156" t="s">
        <v>1535</v>
      </c>
      <c r="F19" s="1156"/>
      <c r="G19" s="1204"/>
      <c r="H19" s="1204"/>
      <c r="I19" s="1204"/>
      <c r="J19" s="1194" t="s">
        <v>1536</v>
      </c>
      <c r="K19" s="1194" t="s">
        <v>627</v>
      </c>
      <c r="L19" s="1194"/>
      <c r="M19" s="1248">
        <v>0.08</v>
      </c>
      <c r="N19" s="1248">
        <v>0.08</v>
      </c>
      <c r="O19" s="1248">
        <v>0.08</v>
      </c>
      <c r="P19" s="1217">
        <v>0.08</v>
      </c>
      <c r="Q19" s="1217">
        <v>0.08</v>
      </c>
      <c r="R19" s="1248">
        <v>0.08</v>
      </c>
      <c r="S19" s="1248">
        <v>0.06</v>
      </c>
      <c r="T19" s="2570">
        <v>0.06</v>
      </c>
      <c r="U19" s="1248">
        <v>0.06</v>
      </c>
      <c r="V19" s="1248">
        <v>0.06</v>
      </c>
      <c r="W19" s="1248">
        <v>0.06</v>
      </c>
      <c r="X19" s="1248">
        <v>0.06</v>
      </c>
      <c r="Y19" s="1248">
        <v>0.06</v>
      </c>
      <c r="Z19" s="1249"/>
    </row>
    <row r="20" spans="1:26" ht="15">
      <c r="A20" s="1156" t="s">
        <v>1530</v>
      </c>
      <c r="B20" s="1156" t="s">
        <v>1531</v>
      </c>
      <c r="C20" s="1156"/>
      <c r="D20" s="1156" t="s">
        <v>1550</v>
      </c>
      <c r="E20" s="1156" t="s">
        <v>1537</v>
      </c>
      <c r="F20" s="1156" t="s">
        <v>496</v>
      </c>
      <c r="G20" s="1204"/>
      <c r="H20" s="1204"/>
      <c r="I20" s="1204"/>
      <c r="J20" s="1194" t="s">
        <v>1538</v>
      </c>
      <c r="K20" s="1212" t="s">
        <v>498</v>
      </c>
      <c r="L20" s="1194"/>
      <c r="M20" s="1231">
        <v>237.46580376059322</v>
      </c>
      <c r="N20" s="1250">
        <f>M25</f>
        <v>233.04756167616591</v>
      </c>
      <c r="O20" s="1250">
        <f t="shared" ref="O20:Y20" si="4">N25</f>
        <v>234.58329934470547</v>
      </c>
      <c r="P20" s="1250">
        <f t="shared" si="4"/>
        <v>247.10907696850754</v>
      </c>
      <c r="Q20" s="1250">
        <f t="shared" si="4"/>
        <v>256.68963768205839</v>
      </c>
      <c r="R20" s="1250">
        <f t="shared" si="4"/>
        <v>262.66751855167195</v>
      </c>
      <c r="S20" s="1250">
        <f t="shared" si="4"/>
        <v>273.12150404883738</v>
      </c>
      <c r="T20" s="1250">
        <f t="shared" si="4"/>
        <v>287.4689376223335</v>
      </c>
      <c r="U20" s="1250">
        <f t="shared" si="4"/>
        <v>298.26629588676298</v>
      </c>
      <c r="V20" s="1250">
        <f t="shared" si="4"/>
        <v>280.37031813355719</v>
      </c>
      <c r="W20" s="1250">
        <f t="shared" si="4"/>
        <v>263.54809904554378</v>
      </c>
      <c r="X20" s="1250">
        <f t="shared" si="4"/>
        <v>247.73521310281114</v>
      </c>
      <c r="Y20" s="1250">
        <f t="shared" si="4"/>
        <v>232.87110031664247</v>
      </c>
      <c r="Z20" s="1251"/>
    </row>
    <row r="21" spans="1:26" ht="15">
      <c r="A21" s="1156" t="s">
        <v>1530</v>
      </c>
      <c r="B21" s="1156" t="s">
        <v>1531</v>
      </c>
      <c r="C21" s="1156"/>
      <c r="D21" s="1156" t="s">
        <v>1550</v>
      </c>
      <c r="E21" s="1156" t="s">
        <v>1539</v>
      </c>
      <c r="F21" s="1156" t="s">
        <v>496</v>
      </c>
      <c r="G21" s="1204"/>
      <c r="H21" s="1204"/>
      <c r="I21" s="1204"/>
      <c r="J21" s="1194" t="s">
        <v>1540</v>
      </c>
      <c r="K21" s="1212" t="s">
        <v>498</v>
      </c>
      <c r="L21" s="1194"/>
      <c r="M21" s="1231">
        <v>-9.9042783266187762</v>
      </c>
      <c r="N21" s="1231">
        <v>-5.0843426893425319</v>
      </c>
      <c r="O21" s="1231">
        <v>-5.4644673681421043</v>
      </c>
      <c r="P21" s="1231">
        <v>-3.1979107685461798</v>
      </c>
      <c r="Q21" s="1231">
        <v>-2.0787708809603198</v>
      </c>
      <c r="R21" s="1231">
        <v>0</v>
      </c>
      <c r="S21" s="1231">
        <v>0</v>
      </c>
      <c r="T21" s="1231">
        <v>0</v>
      </c>
      <c r="U21" s="1796"/>
      <c r="V21" s="1796"/>
      <c r="W21" s="1796"/>
      <c r="X21" s="1796"/>
      <c r="Y21" s="1796"/>
      <c r="Z21" s="1252"/>
    </row>
    <row r="22" spans="1:26" ht="15">
      <c r="A22" s="1156" t="s">
        <v>1530</v>
      </c>
      <c r="B22" s="1156" t="s">
        <v>1531</v>
      </c>
      <c r="C22" s="1156"/>
      <c r="D22" s="1156" t="s">
        <v>1550</v>
      </c>
      <c r="E22" s="1156" t="s">
        <v>1541</v>
      </c>
      <c r="F22" s="1156" t="s">
        <v>496</v>
      </c>
      <c r="G22" s="1204"/>
      <c r="H22" s="1204"/>
      <c r="I22" s="1204"/>
      <c r="J22" s="1194" t="s">
        <v>1542</v>
      </c>
      <c r="K22" s="1212" t="s">
        <v>498</v>
      </c>
      <c r="L22" s="1194"/>
      <c r="M22" s="1231">
        <v>25.751041605336336</v>
      </c>
      <c r="N22" s="1231">
        <v>27.018628126986886</v>
      </c>
      <c r="O22" s="1231">
        <v>39.477990815292678</v>
      </c>
      <c r="P22" s="1231">
        <v>35.099309541406434</v>
      </c>
      <c r="Q22" s="1231">
        <v>30.897305537675784</v>
      </c>
      <c r="R22" s="1231">
        <v>34.203681501412198</v>
      </c>
      <c r="S22" s="1231">
        <v>32.696514698325934</v>
      </c>
      <c r="T22" s="1231">
        <v>29.835632469967564</v>
      </c>
      <c r="U22" s="1796"/>
      <c r="V22" s="1796"/>
      <c r="W22" s="1796"/>
      <c r="X22" s="1796"/>
      <c r="Y22" s="1796"/>
      <c r="Z22" s="1252"/>
    </row>
    <row r="23" spans="1:26">
      <c r="A23" s="1156" t="s">
        <v>1530</v>
      </c>
      <c r="B23" s="1156" t="s">
        <v>1531</v>
      </c>
      <c r="C23" s="1156"/>
      <c r="D23" s="1156" t="s">
        <v>1550</v>
      </c>
      <c r="E23" s="1156" t="s">
        <v>1543</v>
      </c>
      <c r="F23" s="1156" t="s">
        <v>496</v>
      </c>
      <c r="G23" s="1204"/>
      <c r="H23" s="1204"/>
      <c r="I23" s="1204"/>
      <c r="J23" s="1194" t="s">
        <v>1544</v>
      </c>
      <c r="K23" s="1212" t="s">
        <v>498</v>
      </c>
      <c r="L23" s="1194"/>
      <c r="M23" s="1214">
        <f t="shared" ref="M23:Y23" si="5">SUM(M20:M22)</f>
        <v>253.31256703931078</v>
      </c>
      <c r="N23" s="1214">
        <f t="shared" si="5"/>
        <v>254.98184711381029</v>
      </c>
      <c r="O23" s="1214">
        <f t="shared" si="5"/>
        <v>268.59682279185603</v>
      </c>
      <c r="P23" s="1214">
        <f t="shared" si="5"/>
        <v>279.01047574136783</v>
      </c>
      <c r="Q23" s="1214">
        <f t="shared" si="5"/>
        <v>285.50817233877387</v>
      </c>
      <c r="R23" s="1214">
        <f t="shared" si="5"/>
        <v>296.87120005308412</v>
      </c>
      <c r="S23" s="1214">
        <f t="shared" si="5"/>
        <v>305.81801874716331</v>
      </c>
      <c r="T23" s="1214">
        <f t="shared" si="5"/>
        <v>317.30457009230105</v>
      </c>
      <c r="U23" s="1214">
        <f t="shared" si="5"/>
        <v>298.26629588676298</v>
      </c>
      <c r="V23" s="1214">
        <f t="shared" si="5"/>
        <v>280.37031813355719</v>
      </c>
      <c r="W23" s="1214">
        <f t="shared" si="5"/>
        <v>263.54809904554378</v>
      </c>
      <c r="X23" s="1214">
        <f t="shared" si="5"/>
        <v>247.73521310281114</v>
      </c>
      <c r="Y23" s="1214">
        <f t="shared" si="5"/>
        <v>232.87110031664247</v>
      </c>
      <c r="Z23" s="1251"/>
    </row>
    <row r="24" spans="1:26">
      <c r="A24" s="1156" t="s">
        <v>1530</v>
      </c>
      <c r="B24" s="1156" t="s">
        <v>1531</v>
      </c>
      <c r="C24" s="1156"/>
      <c r="D24" s="1156" t="s">
        <v>1550</v>
      </c>
      <c r="E24" s="1156" t="s">
        <v>1545</v>
      </c>
      <c r="F24" s="1156" t="s">
        <v>496</v>
      </c>
      <c r="G24" s="1204"/>
      <c r="H24" s="1204"/>
      <c r="I24" s="1204"/>
      <c r="J24" s="1194" t="s">
        <v>1551</v>
      </c>
      <c r="K24" s="1212" t="s">
        <v>498</v>
      </c>
      <c r="L24" s="1194"/>
      <c r="M24" s="1214">
        <f t="shared" ref="M24:Y24" si="6">-M23*M19</f>
        <v>-20.265005363144862</v>
      </c>
      <c r="N24" s="1214">
        <f t="shared" si="6"/>
        <v>-20.398547769104823</v>
      </c>
      <c r="O24" s="1214">
        <f t="shared" si="6"/>
        <v>-21.487745823348483</v>
      </c>
      <c r="P24" s="1214">
        <f t="shared" si="6"/>
        <v>-22.320838059309427</v>
      </c>
      <c r="Q24" s="1214">
        <f t="shared" si="6"/>
        <v>-22.84065378710191</v>
      </c>
      <c r="R24" s="1214">
        <f t="shared" si="6"/>
        <v>-23.749696004246729</v>
      </c>
      <c r="S24" s="1214">
        <f t="shared" si="6"/>
        <v>-18.349081124829798</v>
      </c>
      <c r="T24" s="1214">
        <f t="shared" si="6"/>
        <v>-19.038274205538062</v>
      </c>
      <c r="U24" s="1214">
        <f t="shared" si="6"/>
        <v>-17.895977753205777</v>
      </c>
      <c r="V24" s="1214">
        <f t="shared" si="6"/>
        <v>-16.82221908801343</v>
      </c>
      <c r="W24" s="1214">
        <f t="shared" si="6"/>
        <v>-15.812885942732626</v>
      </c>
      <c r="X24" s="1214">
        <f t="shared" si="6"/>
        <v>-14.864112786168668</v>
      </c>
      <c r="Y24" s="1214">
        <f t="shared" si="6"/>
        <v>-13.972266018998548</v>
      </c>
      <c r="Z24" s="1251"/>
    </row>
    <row r="25" spans="1:26">
      <c r="A25" s="1156" t="s">
        <v>1530</v>
      </c>
      <c r="B25" s="1156" t="s">
        <v>1531</v>
      </c>
      <c r="C25" s="1156"/>
      <c r="D25" s="1156" t="s">
        <v>1550</v>
      </c>
      <c r="E25" s="1156" t="s">
        <v>1547</v>
      </c>
      <c r="F25" s="1156" t="s">
        <v>496</v>
      </c>
      <c r="G25" s="1204"/>
      <c r="H25" s="1204"/>
      <c r="I25" s="1204"/>
      <c r="J25" s="1194" t="s">
        <v>1548</v>
      </c>
      <c r="K25" s="1212" t="s">
        <v>498</v>
      </c>
      <c r="L25" s="1194"/>
      <c r="M25" s="1214">
        <f>SUM(M23:M24)</f>
        <v>233.04756167616591</v>
      </c>
      <c r="N25" s="1214">
        <f t="shared" ref="N25:Y25" si="7">SUM(N23:N24)</f>
        <v>234.58329934470547</v>
      </c>
      <c r="O25" s="1214">
        <f t="shared" si="7"/>
        <v>247.10907696850754</v>
      </c>
      <c r="P25" s="1214">
        <f t="shared" si="7"/>
        <v>256.68963768205839</v>
      </c>
      <c r="Q25" s="1214">
        <f t="shared" si="7"/>
        <v>262.66751855167195</v>
      </c>
      <c r="R25" s="1214">
        <f t="shared" si="7"/>
        <v>273.12150404883738</v>
      </c>
      <c r="S25" s="1214">
        <f t="shared" si="7"/>
        <v>287.4689376223335</v>
      </c>
      <c r="T25" s="1214">
        <f t="shared" si="7"/>
        <v>298.26629588676298</v>
      </c>
      <c r="U25" s="1214">
        <f t="shared" si="7"/>
        <v>280.37031813355719</v>
      </c>
      <c r="V25" s="1214">
        <f t="shared" si="7"/>
        <v>263.54809904554378</v>
      </c>
      <c r="W25" s="1214">
        <f t="shared" si="7"/>
        <v>247.73521310281114</v>
      </c>
      <c r="X25" s="1214">
        <f t="shared" si="7"/>
        <v>232.87110031664247</v>
      </c>
      <c r="Y25" s="1214">
        <f t="shared" si="7"/>
        <v>218.89883429764393</v>
      </c>
      <c r="Z25" s="1251"/>
    </row>
    <row r="26" spans="1:26">
      <c r="A26" s="1156" t="s">
        <v>1530</v>
      </c>
      <c r="B26" s="1156" t="s">
        <v>1531</v>
      </c>
      <c r="C26" s="1156" t="s">
        <v>367</v>
      </c>
      <c r="D26" s="1156"/>
      <c r="E26" s="1156"/>
      <c r="F26" s="1156"/>
      <c r="G26" s="1204"/>
      <c r="H26" s="1204"/>
      <c r="I26" s="1204"/>
      <c r="J26" s="1194"/>
      <c r="K26" s="1194"/>
      <c r="L26" s="1194"/>
      <c r="M26" s="1194"/>
      <c r="N26" s="1194"/>
      <c r="O26" s="1194"/>
      <c r="P26" s="1194"/>
      <c r="Q26" s="1194"/>
      <c r="R26" s="1194"/>
      <c r="S26" s="1194"/>
      <c r="T26" s="1194"/>
      <c r="U26" s="1194"/>
      <c r="V26" s="1194"/>
      <c r="W26" s="1194"/>
      <c r="X26" s="1194"/>
      <c r="Y26" s="1194"/>
      <c r="Z26" s="1241"/>
    </row>
    <row r="27" spans="1:26">
      <c r="A27" s="1156" t="s">
        <v>1530</v>
      </c>
      <c r="B27" s="1156" t="s">
        <v>1531</v>
      </c>
      <c r="C27" s="1156" t="s">
        <v>367</v>
      </c>
      <c r="D27" s="1156"/>
      <c r="E27" s="1156"/>
      <c r="F27" s="1156"/>
      <c r="G27" s="1204"/>
      <c r="H27" s="1204"/>
      <c r="I27" s="1210" t="s">
        <v>1552</v>
      </c>
      <c r="J27" s="1160"/>
      <c r="K27" s="1194"/>
      <c r="L27" s="1194"/>
      <c r="M27" s="1203" t="s">
        <v>453</v>
      </c>
      <c r="N27" s="1203" t="s">
        <v>455</v>
      </c>
      <c r="O27" s="1203" t="s">
        <v>457</v>
      </c>
      <c r="P27" s="1203" t="s">
        <v>459</v>
      </c>
      <c r="Q27" s="1203" t="s">
        <v>461</v>
      </c>
      <c r="R27" s="1203" t="s">
        <v>463</v>
      </c>
      <c r="S27" s="1203" t="s">
        <v>465</v>
      </c>
      <c r="T27" s="1203" t="s">
        <v>467</v>
      </c>
      <c r="U27" s="1203" t="s">
        <v>469</v>
      </c>
      <c r="V27" s="1203" t="s">
        <v>471</v>
      </c>
      <c r="W27" s="1203" t="s">
        <v>473</v>
      </c>
      <c r="X27" s="1203" t="s">
        <v>475</v>
      </c>
      <c r="Y27" s="1203" t="s">
        <v>477</v>
      </c>
      <c r="Z27" s="1244"/>
    </row>
    <row r="28" spans="1:26" ht="15">
      <c r="A28" s="1156" t="s">
        <v>1530</v>
      </c>
      <c r="B28" s="1156" t="s">
        <v>1531</v>
      </c>
      <c r="C28" s="1156"/>
      <c r="D28" s="1156" t="s">
        <v>1553</v>
      </c>
      <c r="E28" s="1156" t="s">
        <v>1535</v>
      </c>
      <c r="F28" s="1156"/>
      <c r="G28" s="1204"/>
      <c r="H28" s="1204"/>
      <c r="I28" s="1204"/>
      <c r="J28" s="1194" t="s">
        <v>1536</v>
      </c>
      <c r="K28" s="1194" t="s">
        <v>627</v>
      </c>
      <c r="L28" s="1194"/>
      <c r="M28" s="1248">
        <v>1.6666666666666666E-2</v>
      </c>
      <c r="N28" s="1248">
        <v>1.6666666666666666E-2</v>
      </c>
      <c r="O28" s="1248">
        <v>1.6666666666666666E-2</v>
      </c>
      <c r="P28" s="1217">
        <v>1.6666666666666666E-2</v>
      </c>
      <c r="Q28" s="1217">
        <v>1.6666666666666666E-2</v>
      </c>
      <c r="R28" s="1217">
        <v>1.6666666666666666E-2</v>
      </c>
      <c r="S28" s="1217">
        <v>1.6666666666666666E-2</v>
      </c>
      <c r="T28" s="2569">
        <v>1.6666666666666666E-2</v>
      </c>
      <c r="U28" s="1217"/>
      <c r="V28" s="1217"/>
      <c r="W28" s="1217"/>
      <c r="X28" s="1217"/>
      <c r="Y28" s="1217"/>
      <c r="Z28" s="1249"/>
    </row>
    <row r="29" spans="1:26" ht="15">
      <c r="A29" s="1156" t="s">
        <v>1530</v>
      </c>
      <c r="B29" s="1156" t="s">
        <v>1531</v>
      </c>
      <c r="C29" s="1156"/>
      <c r="D29" s="1156" t="s">
        <v>1553</v>
      </c>
      <c r="E29" s="1156" t="s">
        <v>1537</v>
      </c>
      <c r="F29" s="1156" t="s">
        <v>496</v>
      </c>
      <c r="G29" s="1204"/>
      <c r="H29" s="1204"/>
      <c r="I29" s="1204"/>
      <c r="J29" s="1194" t="s">
        <v>1538</v>
      </c>
      <c r="K29" s="1212" t="s">
        <v>498</v>
      </c>
      <c r="L29" s="1194"/>
      <c r="M29" s="1253">
        <v>0</v>
      </c>
      <c r="N29" s="1250">
        <f>M35</f>
        <v>0.15218519359110172</v>
      </c>
      <c r="O29" s="1250">
        <f t="shared" ref="O29:Y29" si="8">N35</f>
        <v>0.31038290576975108</v>
      </c>
      <c r="P29" s="1250">
        <f t="shared" si="8"/>
        <v>96.850063345852874</v>
      </c>
      <c r="Q29" s="1250">
        <f t="shared" si="8"/>
        <v>188.49749437452164</v>
      </c>
      <c r="R29" s="1250">
        <f t="shared" si="8"/>
        <v>282.97774703755613</v>
      </c>
      <c r="S29" s="1250">
        <f t="shared" si="8"/>
        <v>374.54632254938133</v>
      </c>
      <c r="T29" s="1250">
        <f t="shared" si="8"/>
        <v>454.14247914174086</v>
      </c>
      <c r="U29" s="1250">
        <f t="shared" si="8"/>
        <v>531.25777775352367</v>
      </c>
      <c r="V29" s="1250">
        <f t="shared" si="8"/>
        <v>531.25777775352367</v>
      </c>
      <c r="W29" s="1250">
        <f t="shared" si="8"/>
        <v>531.25777775352367</v>
      </c>
      <c r="X29" s="1250">
        <f t="shared" si="8"/>
        <v>531.25777775352367</v>
      </c>
      <c r="Y29" s="1250">
        <f t="shared" si="8"/>
        <v>531.25777775352367</v>
      </c>
      <c r="Z29" s="1251"/>
    </row>
    <row r="30" spans="1:26" ht="15">
      <c r="A30" s="1156" t="s">
        <v>1530</v>
      </c>
      <c r="B30" s="1156" t="s">
        <v>1531</v>
      </c>
      <c r="C30" s="1156"/>
      <c r="D30" s="1156" t="s">
        <v>1553</v>
      </c>
      <c r="E30" s="1156" t="s">
        <v>1554</v>
      </c>
      <c r="F30" s="1156" t="s">
        <v>496</v>
      </c>
      <c r="G30" s="1204"/>
      <c r="H30" s="1204"/>
      <c r="I30" s="1204"/>
      <c r="J30" s="1194" t="s">
        <v>1555</v>
      </c>
      <c r="K30" s="1212" t="s">
        <v>498</v>
      </c>
      <c r="L30" s="1194"/>
      <c r="M30" s="1231">
        <v>0</v>
      </c>
      <c r="N30" s="1231">
        <v>0</v>
      </c>
      <c r="O30" s="1231">
        <v>0</v>
      </c>
      <c r="P30" s="1231">
        <v>0</v>
      </c>
      <c r="Q30" s="1231">
        <v>0</v>
      </c>
      <c r="R30" s="1231">
        <v>0</v>
      </c>
      <c r="S30" s="1231">
        <v>0</v>
      </c>
      <c r="T30" s="1231">
        <v>0</v>
      </c>
      <c r="U30" s="1796"/>
      <c r="V30" s="1796"/>
      <c r="W30" s="1796"/>
      <c r="X30" s="1796"/>
      <c r="Y30" s="1796"/>
      <c r="Z30" s="1252"/>
    </row>
    <row r="31" spans="1:26" ht="15">
      <c r="A31" s="1156" t="s">
        <v>1530</v>
      </c>
      <c r="B31" s="1156" t="s">
        <v>1531</v>
      </c>
      <c r="C31" s="1156"/>
      <c r="D31" s="1156" t="s">
        <v>1553</v>
      </c>
      <c r="E31" s="1156" t="s">
        <v>1539</v>
      </c>
      <c r="F31" s="1156" t="s">
        <v>496</v>
      </c>
      <c r="G31" s="1204"/>
      <c r="H31" s="1204"/>
      <c r="I31" s="1204"/>
      <c r="J31" s="1194" t="s">
        <v>1540</v>
      </c>
      <c r="K31" s="1212" t="s">
        <v>498</v>
      </c>
      <c r="L31" s="1194"/>
      <c r="M31" s="1231">
        <v>0</v>
      </c>
      <c r="N31" s="1231">
        <v>0</v>
      </c>
      <c r="O31" s="1231">
        <v>0</v>
      </c>
      <c r="P31" s="1231">
        <v>0</v>
      </c>
      <c r="Q31" s="1231">
        <v>0</v>
      </c>
      <c r="R31" s="1231">
        <v>0</v>
      </c>
      <c r="S31" s="1231">
        <v>0</v>
      </c>
      <c r="T31" s="1231">
        <v>0</v>
      </c>
      <c r="U31" s="1796"/>
      <c r="V31" s="1796"/>
      <c r="W31" s="1796"/>
      <c r="X31" s="1796"/>
      <c r="Y31" s="1796"/>
      <c r="Z31" s="1252"/>
    </row>
    <row r="32" spans="1:26" ht="15">
      <c r="A32" s="1156" t="s">
        <v>1530</v>
      </c>
      <c r="B32" s="1156" t="s">
        <v>1531</v>
      </c>
      <c r="C32" s="1156"/>
      <c r="D32" s="1156" t="s">
        <v>1553</v>
      </c>
      <c r="E32" s="1156" t="s">
        <v>1541</v>
      </c>
      <c r="F32" s="1156" t="s">
        <v>496</v>
      </c>
      <c r="G32" s="1204"/>
      <c r="H32" s="1204"/>
      <c r="I32" s="1204"/>
      <c r="J32" s="1194" t="s">
        <v>1542</v>
      </c>
      <c r="K32" s="1212" t="s">
        <v>498</v>
      </c>
      <c r="L32" s="1194"/>
      <c r="M32" s="1231">
        <v>0.15218519359110172</v>
      </c>
      <c r="N32" s="1231">
        <v>0.1607341320718344</v>
      </c>
      <c r="O32" s="1231">
        <v>96.544895762177504</v>
      </c>
      <c r="P32" s="1231">
        <v>93.261727946799425</v>
      </c>
      <c r="Q32" s="1231">
        <v>97.64891171361181</v>
      </c>
      <c r="R32" s="1231">
        <v>96.364716424296105</v>
      </c>
      <c r="S32" s="1231">
        <v>85.998376111902033</v>
      </c>
      <c r="T32" s="1231">
        <v>84.950824399857012</v>
      </c>
      <c r="U32" s="1796"/>
      <c r="V32" s="1796"/>
      <c r="W32" s="1796"/>
      <c r="X32" s="1796"/>
      <c r="Y32" s="1796"/>
      <c r="Z32" s="1252"/>
    </row>
    <row r="33" spans="1:26">
      <c r="A33" s="1156" t="s">
        <v>1530</v>
      </c>
      <c r="B33" s="1156" t="s">
        <v>1531</v>
      </c>
      <c r="C33" s="1156"/>
      <c r="D33" s="1156" t="s">
        <v>1553</v>
      </c>
      <c r="E33" s="1156" t="s">
        <v>1543</v>
      </c>
      <c r="F33" s="1156" t="s">
        <v>496</v>
      </c>
      <c r="G33" s="1204"/>
      <c r="H33" s="1204"/>
      <c r="I33" s="1204"/>
      <c r="J33" s="1194" t="s">
        <v>1544</v>
      </c>
      <c r="K33" s="1212" t="s">
        <v>498</v>
      </c>
      <c r="L33" s="1194"/>
      <c r="M33" s="1214">
        <f>SUM(M29:M32)</f>
        <v>0.15218519359110172</v>
      </c>
      <c r="N33" s="1214">
        <f t="shared" ref="N33:Y33" si="9">SUM(N29:N32)</f>
        <v>0.31291932566293612</v>
      </c>
      <c r="O33" s="1214">
        <f t="shared" si="9"/>
        <v>96.85527866794726</v>
      </c>
      <c r="P33" s="1214">
        <f t="shared" si="9"/>
        <v>190.1117912926523</v>
      </c>
      <c r="Q33" s="1214">
        <f t="shared" si="9"/>
        <v>286.14640608813346</v>
      </c>
      <c r="R33" s="1214">
        <f t="shared" si="9"/>
        <v>379.34246346185222</v>
      </c>
      <c r="S33" s="1214">
        <f t="shared" si="9"/>
        <v>460.54469866128335</v>
      </c>
      <c r="T33" s="1214">
        <f t="shared" si="9"/>
        <v>539.09330354159783</v>
      </c>
      <c r="U33" s="1214">
        <f t="shared" si="9"/>
        <v>531.25777775352367</v>
      </c>
      <c r="V33" s="1214">
        <f t="shared" si="9"/>
        <v>531.25777775352367</v>
      </c>
      <c r="W33" s="1214">
        <f t="shared" si="9"/>
        <v>531.25777775352367</v>
      </c>
      <c r="X33" s="1214">
        <f t="shared" si="9"/>
        <v>531.25777775352367</v>
      </c>
      <c r="Y33" s="1214">
        <f t="shared" si="9"/>
        <v>531.25777775352367</v>
      </c>
      <c r="Z33" s="1251"/>
    </row>
    <row r="34" spans="1:26">
      <c r="A34" s="1156" t="s">
        <v>1530</v>
      </c>
      <c r="B34" s="1156" t="s">
        <v>1531</v>
      </c>
      <c r="C34" s="1156"/>
      <c r="D34" s="1156" t="s">
        <v>1553</v>
      </c>
      <c r="E34" s="1156" t="s">
        <v>1556</v>
      </c>
      <c r="F34" s="1156" t="s">
        <v>496</v>
      </c>
      <c r="G34" s="1204"/>
      <c r="H34" s="1204"/>
      <c r="I34" s="1204"/>
      <c r="J34" s="1215" t="s">
        <v>1557</v>
      </c>
      <c r="K34" s="1212" t="s">
        <v>498</v>
      </c>
      <c r="L34" s="1194"/>
      <c r="M34" s="1214">
        <f>-($M$29+SUM($L30:L32))*M28</f>
        <v>0</v>
      </c>
      <c r="N34" s="1214">
        <f>-($M$29+SUM($L30:M32))*N28</f>
        <v>-2.5364198931850288E-3</v>
      </c>
      <c r="O34" s="1214">
        <f>-($M$29+SUM($L30:N32))*O28</f>
        <v>-5.215322094382269E-3</v>
      </c>
      <c r="P34" s="1214">
        <f>-($M$29+SUM($L30:O32))*P28</f>
        <v>-1.6142969181306739</v>
      </c>
      <c r="Q34" s="1214">
        <f>-($M$29+SUM($L30:P32))*Q28</f>
        <v>-3.1686590505773311</v>
      </c>
      <c r="R34" s="1214">
        <f>-($M$29+SUM($L30:Q32))*R28</f>
        <v>-4.7961409124708609</v>
      </c>
      <c r="S34" s="1214">
        <f>-($M$29+SUM($L30:R32))*S28</f>
        <v>-6.402219519542462</v>
      </c>
      <c r="T34" s="1214">
        <f>-($M$29+SUM($L30:S32))*T28</f>
        <v>-7.8355257880741629</v>
      </c>
      <c r="U34" s="1214">
        <f>-($M$29+SUM($L30:T32))*U28</f>
        <v>0</v>
      </c>
      <c r="V34" s="1214">
        <f>-($M$29+SUM($L30:U32))*V28</f>
        <v>0</v>
      </c>
      <c r="W34" s="1214">
        <f>-($M$29+SUM($L30:V32))*W28</f>
        <v>0</v>
      </c>
      <c r="X34" s="1214">
        <f>-($M$29+SUM($L30:W32))*X28</f>
        <v>0</v>
      </c>
      <c r="Y34" s="1214">
        <f>-($M$29+SUM($L30:X32))*Y28</f>
        <v>0</v>
      </c>
      <c r="Z34" s="1251"/>
    </row>
    <row r="35" spans="1:26">
      <c r="A35" s="1156" t="s">
        <v>1530</v>
      </c>
      <c r="B35" s="1156" t="s">
        <v>1531</v>
      </c>
      <c r="C35" s="1156"/>
      <c r="D35" s="1156" t="s">
        <v>1553</v>
      </c>
      <c r="E35" s="1156" t="s">
        <v>1547</v>
      </c>
      <c r="F35" s="1156" t="s">
        <v>496</v>
      </c>
      <c r="G35" s="1204"/>
      <c r="H35" s="1204"/>
      <c r="I35" s="1204"/>
      <c r="J35" s="1194" t="s">
        <v>1548</v>
      </c>
      <c r="K35" s="1212" t="s">
        <v>498</v>
      </c>
      <c r="L35" s="1194"/>
      <c r="M35" s="1214">
        <f>SUM(M33:M34)</f>
        <v>0.15218519359110172</v>
      </c>
      <c r="N35" s="1214">
        <f t="shared" ref="N35:Y35" si="10">SUM(N33:N34)</f>
        <v>0.31038290576975108</v>
      </c>
      <c r="O35" s="1214">
        <f t="shared" si="10"/>
        <v>96.850063345852874</v>
      </c>
      <c r="P35" s="1214">
        <f t="shared" si="10"/>
        <v>188.49749437452164</v>
      </c>
      <c r="Q35" s="1214">
        <f t="shared" si="10"/>
        <v>282.97774703755613</v>
      </c>
      <c r="R35" s="1214">
        <f t="shared" si="10"/>
        <v>374.54632254938133</v>
      </c>
      <c r="S35" s="1214">
        <f t="shared" si="10"/>
        <v>454.14247914174086</v>
      </c>
      <c r="T35" s="1214">
        <f t="shared" si="10"/>
        <v>531.25777775352367</v>
      </c>
      <c r="U35" s="1214">
        <f t="shared" si="10"/>
        <v>531.25777775352367</v>
      </c>
      <c r="V35" s="1214">
        <f t="shared" si="10"/>
        <v>531.25777775352367</v>
      </c>
      <c r="W35" s="1214">
        <f t="shared" si="10"/>
        <v>531.25777775352367</v>
      </c>
      <c r="X35" s="1214">
        <f t="shared" si="10"/>
        <v>531.25777775352367</v>
      </c>
      <c r="Y35" s="1214">
        <f t="shared" si="10"/>
        <v>531.25777775352367</v>
      </c>
      <c r="Z35" s="1251"/>
    </row>
    <row r="36" spans="1:26">
      <c r="A36" s="1156"/>
      <c r="B36" s="1156"/>
      <c r="C36" s="1156"/>
      <c r="D36" s="1156"/>
      <c r="E36" s="1156"/>
      <c r="F36" s="1156"/>
      <c r="G36" s="1204"/>
      <c r="H36" s="1204"/>
      <c r="I36" s="1204"/>
      <c r="J36" s="1194"/>
      <c r="K36" s="1194"/>
      <c r="L36" s="1194"/>
      <c r="M36" s="1194"/>
      <c r="N36" s="1194"/>
      <c r="O36" s="1194"/>
      <c r="P36" s="1194"/>
      <c r="Q36" s="1194"/>
      <c r="R36" s="1194"/>
      <c r="S36" s="1194"/>
      <c r="T36" s="1194"/>
      <c r="U36" s="1194"/>
      <c r="V36" s="1194"/>
      <c r="W36" s="1194"/>
      <c r="X36" s="1194"/>
      <c r="Y36" s="1194"/>
      <c r="Z36" s="1241"/>
    </row>
    <row r="37" spans="1:26">
      <c r="A37" s="1156" t="s">
        <v>1530</v>
      </c>
      <c r="B37" s="1156" t="s">
        <v>1531</v>
      </c>
      <c r="C37" s="1156" t="s">
        <v>367</v>
      </c>
      <c r="D37" s="1156"/>
      <c r="E37" s="1156"/>
      <c r="F37" s="1156"/>
      <c r="G37" s="1204"/>
      <c r="H37" s="1204"/>
      <c r="I37" s="1210" t="s">
        <v>1558</v>
      </c>
      <c r="J37" s="1160"/>
      <c r="K37" s="1194"/>
      <c r="L37" s="1194"/>
      <c r="M37" s="1203" t="s">
        <v>453</v>
      </c>
      <c r="N37" s="1203" t="s">
        <v>455</v>
      </c>
      <c r="O37" s="1203" t="s">
        <v>457</v>
      </c>
      <c r="P37" s="1203" t="s">
        <v>459</v>
      </c>
      <c r="Q37" s="1203" t="s">
        <v>461</v>
      </c>
      <c r="R37" s="1203" t="s">
        <v>463</v>
      </c>
      <c r="S37" s="1203" t="s">
        <v>465</v>
      </c>
      <c r="T37" s="1203" t="s">
        <v>467</v>
      </c>
      <c r="U37" s="1203" t="s">
        <v>469</v>
      </c>
      <c r="V37" s="1203" t="s">
        <v>471</v>
      </c>
      <c r="W37" s="1203" t="s">
        <v>473</v>
      </c>
      <c r="X37" s="1203" t="s">
        <v>475</v>
      </c>
      <c r="Y37" s="1203" t="s">
        <v>477</v>
      </c>
      <c r="Z37" s="1244"/>
    </row>
    <row r="38" spans="1:26" ht="15">
      <c r="A38" s="1156" t="s">
        <v>1530</v>
      </c>
      <c r="B38" s="1156" t="s">
        <v>1531</v>
      </c>
      <c r="C38" s="1156"/>
      <c r="D38" s="1156" t="s">
        <v>1553</v>
      </c>
      <c r="E38" s="1156" t="s">
        <v>1535</v>
      </c>
      <c r="F38" s="1156"/>
      <c r="G38" s="1204"/>
      <c r="H38" s="1204"/>
      <c r="I38" s="1204"/>
      <c r="J38" s="1194" t="s">
        <v>1536</v>
      </c>
      <c r="K38" s="1194" t="s">
        <v>627</v>
      </c>
      <c r="L38" s="1194"/>
      <c r="M38" s="1248"/>
      <c r="N38" s="1248"/>
      <c r="O38" s="1248"/>
      <c r="P38" s="1217"/>
      <c r="Q38" s="1217"/>
      <c r="R38" s="1217"/>
      <c r="S38" s="1217"/>
      <c r="T38" s="1217"/>
      <c r="U38" s="1217"/>
      <c r="V38" s="1217"/>
      <c r="W38" s="1217"/>
      <c r="X38" s="1217"/>
      <c r="Y38" s="1217"/>
      <c r="Z38" s="1249"/>
    </row>
    <row r="39" spans="1:26" ht="15">
      <c r="A39" s="1156" t="s">
        <v>1530</v>
      </c>
      <c r="B39" s="1156" t="s">
        <v>1531</v>
      </c>
      <c r="C39" s="1156"/>
      <c r="D39" s="1156" t="s">
        <v>1553</v>
      </c>
      <c r="E39" s="1156" t="s">
        <v>1537</v>
      </c>
      <c r="F39" s="1156" t="s">
        <v>496</v>
      </c>
      <c r="G39" s="1204"/>
      <c r="H39" s="1204"/>
      <c r="I39" s="1204"/>
      <c r="J39" s="1194" t="s">
        <v>1538</v>
      </c>
      <c r="K39" s="1212" t="s">
        <v>498</v>
      </c>
      <c r="L39" s="1194"/>
      <c r="M39" s="1253"/>
      <c r="N39" s="1250">
        <f>M45</f>
        <v>0</v>
      </c>
      <c r="O39" s="1250">
        <f t="shared" ref="O39:Y39" si="11">N45</f>
        <v>0</v>
      </c>
      <c r="P39" s="1250">
        <f t="shared" si="11"/>
        <v>0</v>
      </c>
      <c r="Q39" s="1250">
        <f t="shared" si="11"/>
        <v>0</v>
      </c>
      <c r="R39" s="1250">
        <f t="shared" si="11"/>
        <v>0</v>
      </c>
      <c r="S39" s="1250">
        <f t="shared" si="11"/>
        <v>0</v>
      </c>
      <c r="T39" s="1250">
        <f t="shared" si="11"/>
        <v>0</v>
      </c>
      <c r="U39" s="1250">
        <f t="shared" si="11"/>
        <v>0</v>
      </c>
      <c r="V39" s="1250">
        <f t="shared" si="11"/>
        <v>0</v>
      </c>
      <c r="W39" s="1250">
        <f t="shared" si="11"/>
        <v>0</v>
      </c>
      <c r="X39" s="1250">
        <f t="shared" si="11"/>
        <v>0</v>
      </c>
      <c r="Y39" s="1250">
        <f t="shared" si="11"/>
        <v>0</v>
      </c>
      <c r="Z39" s="1251"/>
    </row>
    <row r="40" spans="1:26" ht="15">
      <c r="A40" s="1156" t="s">
        <v>1530</v>
      </c>
      <c r="B40" s="1156" t="s">
        <v>1531</v>
      </c>
      <c r="C40" s="1156"/>
      <c r="D40" s="1156" t="s">
        <v>1553</v>
      </c>
      <c r="E40" s="1156" t="s">
        <v>1554</v>
      </c>
      <c r="F40" s="1156" t="s">
        <v>496</v>
      </c>
      <c r="G40" s="1204"/>
      <c r="H40" s="1204"/>
      <c r="I40" s="1204"/>
      <c r="J40" s="1194" t="s">
        <v>1555</v>
      </c>
      <c r="K40" s="1212" t="s">
        <v>498</v>
      </c>
      <c r="L40" s="1194"/>
      <c r="M40" s="1231"/>
      <c r="N40" s="1231"/>
      <c r="O40" s="1231"/>
      <c r="P40" s="1231"/>
      <c r="Q40" s="1231"/>
      <c r="R40" s="1231"/>
      <c r="S40" s="1231"/>
      <c r="T40" s="1231"/>
      <c r="U40" s="1796"/>
      <c r="V40" s="1796"/>
      <c r="W40" s="1796"/>
      <c r="X40" s="1796"/>
      <c r="Y40" s="1796"/>
      <c r="Z40" s="1252"/>
    </row>
    <row r="41" spans="1:26" ht="15">
      <c r="A41" s="1156" t="s">
        <v>1530</v>
      </c>
      <c r="B41" s="1156" t="s">
        <v>1531</v>
      </c>
      <c r="C41" s="1156"/>
      <c r="D41" s="1156" t="s">
        <v>1553</v>
      </c>
      <c r="E41" s="1156" t="s">
        <v>1539</v>
      </c>
      <c r="F41" s="1156" t="s">
        <v>496</v>
      </c>
      <c r="G41" s="1204"/>
      <c r="H41" s="1204"/>
      <c r="I41" s="1204"/>
      <c r="J41" s="1194" t="s">
        <v>1540</v>
      </c>
      <c r="K41" s="1212" t="s">
        <v>498</v>
      </c>
      <c r="L41" s="1194"/>
      <c r="M41" s="1231"/>
      <c r="N41" s="1231"/>
      <c r="O41" s="1231"/>
      <c r="P41" s="1231"/>
      <c r="Q41" s="1231"/>
      <c r="R41" s="1231"/>
      <c r="S41" s="1231"/>
      <c r="T41" s="1231"/>
      <c r="U41" s="1796"/>
      <c r="V41" s="1796"/>
      <c r="W41" s="1796"/>
      <c r="X41" s="1796"/>
      <c r="Y41" s="1796"/>
      <c r="Z41" s="1252"/>
    </row>
    <row r="42" spans="1:26" ht="15">
      <c r="A42" s="1156" t="s">
        <v>1530</v>
      </c>
      <c r="B42" s="1156" t="s">
        <v>1531</v>
      </c>
      <c r="C42" s="1156"/>
      <c r="D42" s="1156" t="s">
        <v>1553</v>
      </c>
      <c r="E42" s="1156" t="s">
        <v>1541</v>
      </c>
      <c r="F42" s="1156" t="s">
        <v>496</v>
      </c>
      <c r="G42" s="1204"/>
      <c r="H42" s="1204"/>
      <c r="I42" s="1204"/>
      <c r="J42" s="1194" t="s">
        <v>1542</v>
      </c>
      <c r="K42" s="1212" t="s">
        <v>498</v>
      </c>
      <c r="L42" s="1194"/>
      <c r="M42" s="1231"/>
      <c r="N42" s="1231"/>
      <c r="O42" s="1231"/>
      <c r="P42" s="1231"/>
      <c r="Q42" s="1231"/>
      <c r="R42" s="1231"/>
      <c r="S42" s="1231"/>
      <c r="T42" s="1231"/>
      <c r="U42" s="1796"/>
      <c r="V42" s="1796"/>
      <c r="W42" s="1796"/>
      <c r="X42" s="1796"/>
      <c r="Y42" s="1796"/>
      <c r="Z42" s="1252"/>
    </row>
    <row r="43" spans="1:26">
      <c r="A43" s="1156" t="s">
        <v>1530</v>
      </c>
      <c r="B43" s="1156" t="s">
        <v>1531</v>
      </c>
      <c r="C43" s="1156"/>
      <c r="D43" s="1156" t="s">
        <v>1553</v>
      </c>
      <c r="E43" s="1156" t="s">
        <v>1543</v>
      </c>
      <c r="F43" s="1156" t="s">
        <v>496</v>
      </c>
      <c r="G43" s="1204"/>
      <c r="H43" s="1204"/>
      <c r="I43" s="1204"/>
      <c r="J43" s="1194" t="s">
        <v>1544</v>
      </c>
      <c r="K43" s="1212" t="s">
        <v>498</v>
      </c>
      <c r="L43" s="1194"/>
      <c r="M43" s="1214">
        <f>SUM(M39:M42)</f>
        <v>0</v>
      </c>
      <c r="N43" s="1214">
        <f t="shared" ref="N43:Y43" si="12">SUM(N39:N42)</f>
        <v>0</v>
      </c>
      <c r="O43" s="1214">
        <f t="shared" si="12"/>
        <v>0</v>
      </c>
      <c r="P43" s="1214">
        <f t="shared" si="12"/>
        <v>0</v>
      </c>
      <c r="Q43" s="1214">
        <f t="shared" si="12"/>
        <v>0</v>
      </c>
      <c r="R43" s="1214">
        <f t="shared" si="12"/>
        <v>0</v>
      </c>
      <c r="S43" s="1214">
        <f t="shared" si="12"/>
        <v>0</v>
      </c>
      <c r="T43" s="1214">
        <f t="shared" si="12"/>
        <v>0</v>
      </c>
      <c r="U43" s="1214">
        <f t="shared" si="12"/>
        <v>0</v>
      </c>
      <c r="V43" s="1214">
        <f t="shared" si="12"/>
        <v>0</v>
      </c>
      <c r="W43" s="1214">
        <f t="shared" si="12"/>
        <v>0</v>
      </c>
      <c r="X43" s="1214">
        <f t="shared" si="12"/>
        <v>0</v>
      </c>
      <c r="Y43" s="1214">
        <f t="shared" si="12"/>
        <v>0</v>
      </c>
      <c r="Z43" s="1251"/>
    </row>
    <row r="44" spans="1:26">
      <c r="A44" s="1156" t="s">
        <v>1530</v>
      </c>
      <c r="B44" s="1156" t="s">
        <v>1531</v>
      </c>
      <c r="C44" s="1156"/>
      <c r="D44" s="1156" t="s">
        <v>1553</v>
      </c>
      <c r="E44" s="1156" t="s">
        <v>1556</v>
      </c>
      <c r="F44" s="1156" t="s">
        <v>496</v>
      </c>
      <c r="G44" s="1204"/>
      <c r="H44" s="1204"/>
      <c r="I44" s="1204"/>
      <c r="J44" s="1215" t="s">
        <v>1559</v>
      </c>
      <c r="K44" s="1212" t="s">
        <v>498</v>
      </c>
      <c r="L44" s="1194"/>
      <c r="M44" s="1214">
        <f>-($M$39+SUM($L40:L42))*M38</f>
        <v>0</v>
      </c>
      <c r="N44" s="1214">
        <f>-($M$39+SUM($L40:M42))*N38</f>
        <v>0</v>
      </c>
      <c r="O44" s="1214">
        <f>-($M$39+SUM($L40:N42))*O38</f>
        <v>0</v>
      </c>
      <c r="P44" s="1214">
        <f>-($M$39+SUM($L40:O42))*P38</f>
        <v>0</v>
      </c>
      <c r="Q44" s="1214">
        <f>-($M$39+SUM($L40:P42))*Q38</f>
        <v>0</v>
      </c>
      <c r="R44" s="1214">
        <f>-($M$39+SUM($L40:Q42))*R38</f>
        <v>0</v>
      </c>
      <c r="S44" s="1214">
        <f>-($M$39+SUM($L40:R42))*S38</f>
        <v>0</v>
      </c>
      <c r="T44" s="1214">
        <f>-($M$39+SUM($L40:S42))*T38</f>
        <v>0</v>
      </c>
      <c r="U44" s="1214">
        <f>-($M$39+SUM($L40:T42))*U38</f>
        <v>0</v>
      </c>
      <c r="V44" s="1214">
        <f>-($M$39+SUM($L40:U42))*V38</f>
        <v>0</v>
      </c>
      <c r="W44" s="1214">
        <f>-($M$39+SUM($L40:V42))*W38</f>
        <v>0</v>
      </c>
      <c r="X44" s="1214">
        <f>-($M$39+SUM($L40:W42))*X38</f>
        <v>0</v>
      </c>
      <c r="Y44" s="1214">
        <f>-($M$39+SUM($L40:X42))*Y38</f>
        <v>0</v>
      </c>
      <c r="Z44" s="1251"/>
    </row>
    <row r="45" spans="1:26">
      <c r="A45" s="1156" t="s">
        <v>1530</v>
      </c>
      <c r="B45" s="1156" t="s">
        <v>1531</v>
      </c>
      <c r="C45" s="1156"/>
      <c r="D45" s="1156" t="s">
        <v>1553</v>
      </c>
      <c r="E45" s="1156" t="s">
        <v>1547</v>
      </c>
      <c r="F45" s="1156" t="s">
        <v>496</v>
      </c>
      <c r="G45" s="1204"/>
      <c r="H45" s="1204"/>
      <c r="I45" s="1204"/>
      <c r="J45" s="1194" t="s">
        <v>1548</v>
      </c>
      <c r="K45" s="1212" t="s">
        <v>498</v>
      </c>
      <c r="L45" s="1194"/>
      <c r="M45" s="1214">
        <f>SUM(M43:M44)</f>
        <v>0</v>
      </c>
      <c r="N45" s="1214">
        <f t="shared" ref="N45:Y45" si="13">SUM(N43:N44)</f>
        <v>0</v>
      </c>
      <c r="O45" s="1214">
        <f t="shared" si="13"/>
        <v>0</v>
      </c>
      <c r="P45" s="1214">
        <f t="shared" si="13"/>
        <v>0</v>
      </c>
      <c r="Q45" s="1214">
        <f t="shared" si="13"/>
        <v>0</v>
      </c>
      <c r="R45" s="1214">
        <f t="shared" si="13"/>
        <v>0</v>
      </c>
      <c r="S45" s="1214">
        <f t="shared" si="13"/>
        <v>0</v>
      </c>
      <c r="T45" s="1214">
        <f t="shared" si="13"/>
        <v>0</v>
      </c>
      <c r="U45" s="1214">
        <f t="shared" si="13"/>
        <v>0</v>
      </c>
      <c r="V45" s="1214">
        <f t="shared" si="13"/>
        <v>0</v>
      </c>
      <c r="W45" s="1214">
        <f t="shared" si="13"/>
        <v>0</v>
      </c>
      <c r="X45" s="1214">
        <f t="shared" si="13"/>
        <v>0</v>
      </c>
      <c r="Y45" s="1214">
        <f t="shared" si="13"/>
        <v>0</v>
      </c>
      <c r="Z45" s="1251"/>
    </row>
    <row r="46" spans="1:26">
      <c r="A46" s="1156" t="s">
        <v>1530</v>
      </c>
      <c r="B46" s="1156" t="s">
        <v>1531</v>
      </c>
      <c r="C46" s="1156" t="s">
        <v>367</v>
      </c>
      <c r="D46" s="1156"/>
      <c r="E46" s="1156"/>
      <c r="F46" s="1156"/>
      <c r="G46" s="1204"/>
      <c r="H46" s="1204"/>
      <c r="I46" s="1204"/>
      <c r="J46" s="1194"/>
      <c r="K46" s="1194"/>
      <c r="L46" s="1194"/>
      <c r="M46" s="1194"/>
      <c r="N46" s="1194"/>
      <c r="O46" s="1194"/>
      <c r="P46" s="1194"/>
      <c r="Q46" s="1194"/>
      <c r="R46" s="1194"/>
      <c r="S46" s="1194"/>
      <c r="T46" s="1194"/>
      <c r="U46" s="1194"/>
      <c r="V46" s="1194"/>
      <c r="W46" s="1194"/>
      <c r="X46" s="1194"/>
      <c r="Y46" s="1194"/>
      <c r="Z46" s="1241"/>
    </row>
    <row r="47" spans="1:26">
      <c r="A47" s="1156" t="s">
        <v>1530</v>
      </c>
      <c r="B47" s="1156" t="s">
        <v>1531</v>
      </c>
      <c r="C47" s="1156" t="s">
        <v>367</v>
      </c>
      <c r="D47" s="1156" t="s">
        <v>1560</v>
      </c>
      <c r="E47" s="1156"/>
      <c r="F47" s="1156"/>
      <c r="G47" s="1204"/>
      <c r="H47" s="1204"/>
      <c r="I47" s="1204"/>
      <c r="J47" s="1210" t="s">
        <v>1561</v>
      </c>
      <c r="K47" s="1194"/>
      <c r="L47" s="1194"/>
      <c r="M47" s="1203" t="s">
        <v>453</v>
      </c>
      <c r="N47" s="1203" t="s">
        <v>455</v>
      </c>
      <c r="O47" s="1203" t="s">
        <v>457</v>
      </c>
      <c r="P47" s="1203" t="s">
        <v>459</v>
      </c>
      <c r="Q47" s="1203" t="s">
        <v>461</v>
      </c>
      <c r="R47" s="1203" t="s">
        <v>463</v>
      </c>
      <c r="S47" s="1203" t="s">
        <v>465</v>
      </c>
      <c r="T47" s="1203" t="s">
        <v>467</v>
      </c>
      <c r="U47" s="1203" t="s">
        <v>469</v>
      </c>
      <c r="V47" s="1203" t="s">
        <v>471</v>
      </c>
      <c r="W47" s="1203" t="s">
        <v>473</v>
      </c>
      <c r="X47" s="1203" t="s">
        <v>475</v>
      </c>
      <c r="Y47" s="1203" t="s">
        <v>477</v>
      </c>
      <c r="Z47" s="1244"/>
    </row>
    <row r="48" spans="1:26">
      <c r="A48" s="1156" t="s">
        <v>1530</v>
      </c>
      <c r="B48" s="1156" t="s">
        <v>1531</v>
      </c>
      <c r="C48" s="1156"/>
      <c r="D48" s="1156" t="s">
        <v>1560</v>
      </c>
      <c r="E48" s="1156" t="s">
        <v>1550</v>
      </c>
      <c r="F48" s="1156" t="s">
        <v>496</v>
      </c>
      <c r="G48" s="1204"/>
      <c r="H48" s="1204"/>
      <c r="I48" s="1204"/>
      <c r="J48" s="1194" t="s">
        <v>1549</v>
      </c>
      <c r="K48" s="1212" t="s">
        <v>498</v>
      </c>
      <c r="L48" s="1194"/>
      <c r="M48" s="1250">
        <f>-M24</f>
        <v>20.265005363144862</v>
      </c>
      <c r="N48" s="1250">
        <f t="shared" ref="N48:Y48" si="14">-N24</f>
        <v>20.398547769104823</v>
      </c>
      <c r="O48" s="1250">
        <f t="shared" si="14"/>
        <v>21.487745823348483</v>
      </c>
      <c r="P48" s="1250">
        <f t="shared" si="14"/>
        <v>22.320838059309427</v>
      </c>
      <c r="Q48" s="1250">
        <f t="shared" si="14"/>
        <v>22.84065378710191</v>
      </c>
      <c r="R48" s="1250">
        <f t="shared" si="14"/>
        <v>23.749696004246729</v>
      </c>
      <c r="S48" s="1250">
        <f t="shared" si="14"/>
        <v>18.349081124829798</v>
      </c>
      <c r="T48" s="1250">
        <f t="shared" si="14"/>
        <v>19.038274205538062</v>
      </c>
      <c r="U48" s="1250">
        <f t="shared" si="14"/>
        <v>17.895977753205777</v>
      </c>
      <c r="V48" s="1250">
        <f t="shared" si="14"/>
        <v>16.82221908801343</v>
      </c>
      <c r="W48" s="1250">
        <f t="shared" si="14"/>
        <v>15.812885942732626</v>
      </c>
      <c r="X48" s="1250">
        <f t="shared" si="14"/>
        <v>14.864112786168668</v>
      </c>
      <c r="Y48" s="1250">
        <f t="shared" si="14"/>
        <v>13.972266018998548</v>
      </c>
      <c r="Z48" s="1251"/>
    </row>
    <row r="49" spans="1:26">
      <c r="A49" s="1156" t="s">
        <v>1530</v>
      </c>
      <c r="B49" s="1156" t="s">
        <v>1531</v>
      </c>
      <c r="C49" s="1156"/>
      <c r="D49" s="1156" t="s">
        <v>1560</v>
      </c>
      <c r="E49" s="1156" t="s">
        <v>1534</v>
      </c>
      <c r="F49" s="1156" t="s">
        <v>496</v>
      </c>
      <c r="G49" s="1204"/>
      <c r="H49" s="1204"/>
      <c r="I49" s="1204"/>
      <c r="J49" s="1194" t="s">
        <v>1533</v>
      </c>
      <c r="K49" s="1212" t="s">
        <v>498</v>
      </c>
      <c r="L49" s="1194"/>
      <c r="M49" s="1250">
        <f t="shared" ref="M49:Y49" si="15">-M15</f>
        <v>13.45018043423249</v>
      </c>
      <c r="N49" s="1250">
        <f t="shared" si="15"/>
        <v>15.163114605402836</v>
      </c>
      <c r="O49" s="1250">
        <f t="shared" si="15"/>
        <v>16.776356129006608</v>
      </c>
      <c r="P49" s="1250">
        <f t="shared" si="15"/>
        <v>18.340543486365704</v>
      </c>
      <c r="Q49" s="1250">
        <f t="shared" si="15"/>
        <v>20.008305591000678</v>
      </c>
      <c r="R49" s="1250">
        <f t="shared" si="15"/>
        <v>21.538815897260307</v>
      </c>
      <c r="S49" s="1250">
        <f t="shared" si="15"/>
        <v>22.59351708339965</v>
      </c>
      <c r="T49" s="1250">
        <f t="shared" si="15"/>
        <v>23.011411752460432</v>
      </c>
      <c r="U49" s="1250">
        <f t="shared" si="15"/>
        <v>18.869357637017554</v>
      </c>
      <c r="V49" s="1250">
        <f t="shared" si="15"/>
        <v>15.472873262354394</v>
      </c>
      <c r="W49" s="1250">
        <f t="shared" si="15"/>
        <v>12.687756075130602</v>
      </c>
      <c r="X49" s="1250">
        <f t="shared" si="15"/>
        <v>10.403959981607095</v>
      </c>
      <c r="Y49" s="1250">
        <f t="shared" si="15"/>
        <v>8.5312471849178184</v>
      </c>
      <c r="Z49" s="1251"/>
    </row>
    <row r="50" spans="1:26">
      <c r="A50" s="1156" t="s">
        <v>1530</v>
      </c>
      <c r="B50" s="1156" t="s">
        <v>1531</v>
      </c>
      <c r="C50" s="1156"/>
      <c r="D50" s="1156" t="s">
        <v>1560</v>
      </c>
      <c r="E50" s="1156" t="s">
        <v>1553</v>
      </c>
      <c r="F50" s="1156" t="s">
        <v>496</v>
      </c>
      <c r="G50" s="1204"/>
      <c r="H50" s="1204"/>
      <c r="I50" s="1204"/>
      <c r="J50" s="1194" t="s">
        <v>1552</v>
      </c>
      <c r="K50" s="1212" t="s">
        <v>498</v>
      </c>
      <c r="L50" s="1194"/>
      <c r="M50" s="1250">
        <f>-M34</f>
        <v>0</v>
      </c>
      <c r="N50" s="1250">
        <f>-N34</f>
        <v>2.5364198931850288E-3</v>
      </c>
      <c r="O50" s="1250">
        <f>-O34</f>
        <v>5.215322094382269E-3</v>
      </c>
      <c r="P50" s="1250">
        <f t="shared" ref="P50:Y50" si="16">-P34</f>
        <v>1.6142969181306739</v>
      </c>
      <c r="Q50" s="1250">
        <f t="shared" si="16"/>
        <v>3.1686590505773311</v>
      </c>
      <c r="R50" s="1250">
        <f t="shared" si="16"/>
        <v>4.7961409124708609</v>
      </c>
      <c r="S50" s="1250">
        <f t="shared" si="16"/>
        <v>6.402219519542462</v>
      </c>
      <c r="T50" s="1250">
        <f t="shared" si="16"/>
        <v>7.8355257880741629</v>
      </c>
      <c r="U50" s="1250">
        <f t="shared" si="16"/>
        <v>0</v>
      </c>
      <c r="V50" s="1250">
        <f t="shared" si="16"/>
        <v>0</v>
      </c>
      <c r="W50" s="1250">
        <f t="shared" si="16"/>
        <v>0</v>
      </c>
      <c r="X50" s="1250">
        <f t="shared" si="16"/>
        <v>0</v>
      </c>
      <c r="Y50" s="1250">
        <f t="shared" si="16"/>
        <v>0</v>
      </c>
      <c r="Z50" s="1251"/>
    </row>
    <row r="51" spans="1:26">
      <c r="A51" s="1156"/>
      <c r="B51" s="1156"/>
      <c r="C51" s="1156"/>
      <c r="D51" s="1156"/>
      <c r="E51" s="1156"/>
      <c r="F51" s="1156"/>
      <c r="G51" s="1204"/>
      <c r="H51" s="1204"/>
      <c r="I51" s="1204"/>
      <c r="J51" s="1215" t="s">
        <v>1558</v>
      </c>
      <c r="K51" s="1212" t="s">
        <v>498</v>
      </c>
      <c r="L51" s="1194"/>
      <c r="M51" s="1250">
        <f>-M44</f>
        <v>0</v>
      </c>
      <c r="N51" s="1250">
        <f t="shared" ref="N51:Y51" si="17">-N44</f>
        <v>0</v>
      </c>
      <c r="O51" s="1250">
        <f t="shared" si="17"/>
        <v>0</v>
      </c>
      <c r="P51" s="1250">
        <f t="shared" si="17"/>
        <v>0</v>
      </c>
      <c r="Q51" s="1250">
        <f t="shared" si="17"/>
        <v>0</v>
      </c>
      <c r="R51" s="1250">
        <f t="shared" si="17"/>
        <v>0</v>
      </c>
      <c r="S51" s="1250">
        <f t="shared" si="17"/>
        <v>0</v>
      </c>
      <c r="T51" s="1250">
        <f t="shared" si="17"/>
        <v>0</v>
      </c>
      <c r="U51" s="1250">
        <f t="shared" si="17"/>
        <v>0</v>
      </c>
      <c r="V51" s="1250">
        <f t="shared" si="17"/>
        <v>0</v>
      </c>
      <c r="W51" s="1250">
        <f t="shared" si="17"/>
        <v>0</v>
      </c>
      <c r="X51" s="1250">
        <f t="shared" si="17"/>
        <v>0</v>
      </c>
      <c r="Y51" s="1250">
        <f t="shared" si="17"/>
        <v>0</v>
      </c>
      <c r="Z51" s="1251"/>
    </row>
    <row r="52" spans="1:26">
      <c r="A52" s="1156" t="s">
        <v>1530</v>
      </c>
      <c r="B52" s="1156" t="s">
        <v>1531</v>
      </c>
      <c r="C52" s="1156"/>
      <c r="D52" s="1156" t="s">
        <v>1560</v>
      </c>
      <c r="E52" s="1156" t="s">
        <v>1531</v>
      </c>
      <c r="F52" s="1156" t="s">
        <v>496</v>
      </c>
      <c r="G52" s="1204"/>
      <c r="H52" s="1204"/>
      <c r="I52" s="1204"/>
      <c r="J52" s="1194" t="s">
        <v>1532</v>
      </c>
      <c r="K52" s="1212" t="s">
        <v>498</v>
      </c>
      <c r="L52" s="1194"/>
      <c r="M52" s="1214">
        <f>SUM(M48:M51)</f>
        <v>33.715185797377352</v>
      </c>
      <c r="N52" s="1214">
        <f t="shared" ref="N52:Y52" si="18">SUM(N48:N51)</f>
        <v>35.564198794400845</v>
      </c>
      <c r="O52" s="1214">
        <f t="shared" si="18"/>
        <v>38.26931727444947</v>
      </c>
      <c r="P52" s="1214">
        <f t="shared" si="18"/>
        <v>42.275678463805804</v>
      </c>
      <c r="Q52" s="1214">
        <f t="shared" si="18"/>
        <v>46.017618428679924</v>
      </c>
      <c r="R52" s="1214">
        <f t="shared" si="18"/>
        <v>50.084652813977897</v>
      </c>
      <c r="S52" s="1214">
        <f t="shared" si="18"/>
        <v>47.344817727771911</v>
      </c>
      <c r="T52" s="1214">
        <f t="shared" si="18"/>
        <v>49.885211746072656</v>
      </c>
      <c r="U52" s="1214">
        <f t="shared" si="18"/>
        <v>36.765335390223328</v>
      </c>
      <c r="V52" s="1214">
        <f t="shared" si="18"/>
        <v>32.295092350367824</v>
      </c>
      <c r="W52" s="1214">
        <f t="shared" si="18"/>
        <v>28.500642017863228</v>
      </c>
      <c r="X52" s="1214">
        <f t="shared" si="18"/>
        <v>25.268072767775763</v>
      </c>
      <c r="Y52" s="1214">
        <f t="shared" si="18"/>
        <v>22.503513203916366</v>
      </c>
      <c r="Z52" s="1251"/>
    </row>
    <row r="53" spans="1:26">
      <c r="A53" s="1156" t="s">
        <v>1530</v>
      </c>
      <c r="B53" s="1156" t="s">
        <v>1531</v>
      </c>
      <c r="C53" s="1156" t="s">
        <v>367</v>
      </c>
      <c r="D53" s="1156"/>
      <c r="E53" s="1156"/>
      <c r="F53" s="1156"/>
      <c r="G53" s="1204"/>
      <c r="H53" s="1204"/>
      <c r="I53" s="1204"/>
      <c r="J53" s="1205"/>
      <c r="K53" s="1212"/>
      <c r="L53" s="1205"/>
      <c r="M53" s="1160"/>
      <c r="N53" s="1160"/>
      <c r="O53" s="1160"/>
      <c r="P53" s="1160"/>
      <c r="Q53" s="1160"/>
      <c r="R53" s="1160"/>
      <c r="S53" s="1160"/>
      <c r="T53" s="1160"/>
      <c r="U53" s="1160"/>
      <c r="V53" s="1160"/>
      <c r="W53" s="1160"/>
      <c r="X53" s="1160"/>
      <c r="Y53" s="1160"/>
      <c r="Z53" s="1242"/>
    </row>
    <row r="54" spans="1:26" hidden="1">
      <c r="A54" s="1156" t="s">
        <v>1530</v>
      </c>
      <c r="B54" s="1156" t="s">
        <v>1562</v>
      </c>
      <c r="C54" s="1156" t="s">
        <v>370</v>
      </c>
      <c r="D54" s="1156"/>
      <c r="E54" s="1156"/>
      <c r="F54" s="1156"/>
      <c r="G54" s="1156" t="s">
        <v>367</v>
      </c>
      <c r="H54" s="1156" t="s">
        <v>367</v>
      </c>
      <c r="I54" s="1156" t="s">
        <v>367</v>
      </c>
      <c r="J54" s="1156" t="s">
        <v>367</v>
      </c>
      <c r="K54" s="1156" t="s">
        <v>492</v>
      </c>
      <c r="L54" s="1156" t="s">
        <v>367</v>
      </c>
      <c r="M54" s="1156" t="s">
        <v>371</v>
      </c>
      <c r="N54" s="1156" t="s">
        <v>371</v>
      </c>
      <c r="O54" s="1156" t="s">
        <v>371</v>
      </c>
      <c r="P54" s="1156" t="s">
        <v>371</v>
      </c>
      <c r="Q54" s="1156" t="s">
        <v>371</v>
      </c>
      <c r="R54" s="1156" t="s">
        <v>371</v>
      </c>
      <c r="S54" s="1156" t="s">
        <v>371</v>
      </c>
      <c r="T54" s="1156" t="s">
        <v>371</v>
      </c>
      <c r="U54" s="1156" t="s">
        <v>371</v>
      </c>
      <c r="V54" s="1156" t="s">
        <v>371</v>
      </c>
      <c r="W54" s="1156" t="s">
        <v>371</v>
      </c>
      <c r="X54" s="1156" t="s">
        <v>371</v>
      </c>
      <c r="Y54" s="1156" t="s">
        <v>371</v>
      </c>
      <c r="Z54" s="1156" t="s">
        <v>367</v>
      </c>
    </row>
    <row r="55" spans="1:26">
      <c r="A55" s="1156" t="s">
        <v>1530</v>
      </c>
      <c r="B55" s="1156" t="s">
        <v>1562</v>
      </c>
      <c r="C55" s="1156" t="s">
        <v>367</v>
      </c>
      <c r="D55" s="1156"/>
      <c r="E55" s="1156"/>
      <c r="F55" s="1156"/>
      <c r="G55" s="1210" t="s">
        <v>1563</v>
      </c>
      <c r="H55" s="1194"/>
      <c r="I55" s="1194"/>
      <c r="J55" s="1194"/>
      <c r="K55" s="1212"/>
      <c r="L55" s="1194"/>
      <c r="M55" s="1194"/>
      <c r="N55" s="1194"/>
      <c r="O55" s="1194"/>
      <c r="P55" s="1194"/>
      <c r="Q55" s="1194"/>
      <c r="R55" s="1194"/>
      <c r="S55" s="1194"/>
      <c r="T55" s="1194"/>
      <c r="U55" s="1194"/>
      <c r="V55" s="1194"/>
      <c r="W55" s="1194"/>
      <c r="X55" s="1194"/>
      <c r="Y55" s="1194"/>
      <c r="Z55" s="1241"/>
    </row>
    <row r="56" spans="1:26">
      <c r="A56" s="1156" t="s">
        <v>1530</v>
      </c>
      <c r="B56" s="1156" t="s">
        <v>1562</v>
      </c>
      <c r="C56" s="1156" t="s">
        <v>367</v>
      </c>
      <c r="D56" s="1156"/>
      <c r="E56" s="1156"/>
      <c r="F56" s="1156"/>
      <c r="G56" s="1254"/>
      <c r="H56" s="1194"/>
      <c r="I56" s="1194"/>
      <c r="J56" s="1194"/>
      <c r="K56" s="1194"/>
      <c r="L56" s="1194"/>
      <c r="M56" s="1194"/>
      <c r="N56" s="1194"/>
      <c r="O56" s="1194"/>
      <c r="P56" s="1194"/>
      <c r="Q56" s="1194"/>
      <c r="R56" s="1194"/>
      <c r="S56" s="1194"/>
      <c r="T56" s="1194"/>
      <c r="U56" s="1194"/>
      <c r="V56" s="1194"/>
      <c r="W56" s="1194"/>
      <c r="X56" s="1194"/>
      <c r="Y56" s="1194"/>
      <c r="Z56" s="1241"/>
    </row>
    <row r="57" spans="1:26">
      <c r="A57" s="1156" t="s">
        <v>1530</v>
      </c>
      <c r="B57" s="1156" t="s">
        <v>1562</v>
      </c>
      <c r="C57" s="1156" t="s">
        <v>415</v>
      </c>
      <c r="D57" s="1156"/>
      <c r="E57" s="1156"/>
      <c r="F57" s="1156"/>
      <c r="G57" s="1241"/>
      <c r="H57" s="1241"/>
      <c r="I57" s="1210" t="s">
        <v>1564</v>
      </c>
      <c r="J57" s="1194"/>
      <c r="K57" s="1194"/>
      <c r="L57" s="1194"/>
      <c r="M57" s="1203" t="s">
        <v>453</v>
      </c>
      <c r="N57" s="1203" t="s">
        <v>455</v>
      </c>
      <c r="O57" s="1203" t="s">
        <v>457</v>
      </c>
      <c r="P57" s="1203" t="s">
        <v>459</v>
      </c>
      <c r="Q57" s="1203" t="s">
        <v>461</v>
      </c>
      <c r="R57" s="1203" t="s">
        <v>463</v>
      </c>
      <c r="S57" s="1203" t="s">
        <v>465</v>
      </c>
      <c r="T57" s="1203" t="s">
        <v>467</v>
      </c>
      <c r="U57" s="1203" t="s">
        <v>469</v>
      </c>
      <c r="V57" s="1203" t="s">
        <v>471</v>
      </c>
      <c r="W57" s="1203" t="s">
        <v>473</v>
      </c>
      <c r="X57" s="1203" t="s">
        <v>475</v>
      </c>
      <c r="Y57" s="1203" t="s">
        <v>477</v>
      </c>
      <c r="Z57" s="1244"/>
    </row>
    <row r="58" spans="1:26" ht="15">
      <c r="A58" s="1156" t="s">
        <v>1530</v>
      </c>
      <c r="B58" s="1156" t="s">
        <v>1562</v>
      </c>
      <c r="C58" s="1156"/>
      <c r="D58" s="1156" t="s">
        <v>1565</v>
      </c>
      <c r="E58" s="1156" t="s">
        <v>1566</v>
      </c>
      <c r="F58" s="1156"/>
      <c r="G58" s="1241"/>
      <c r="H58" s="1241"/>
      <c r="I58" s="1194"/>
      <c r="J58" s="1194" t="s">
        <v>1567</v>
      </c>
      <c r="K58" s="1194" t="s">
        <v>627</v>
      </c>
      <c r="L58" s="1194"/>
      <c r="M58" s="1796"/>
      <c r="N58" s="1796"/>
      <c r="O58" s="1796"/>
      <c r="P58" s="1796"/>
      <c r="Q58" s="1796"/>
      <c r="R58" s="1796"/>
      <c r="S58" s="1796"/>
      <c r="T58" s="1796"/>
      <c r="U58" s="1217">
        <v>3.7129993696558693E-2</v>
      </c>
      <c r="V58" s="1217">
        <v>3.8321745256177528E-2</v>
      </c>
      <c r="W58" s="1217">
        <v>3.7145329690657772E-2</v>
      </c>
      <c r="X58" s="1217">
        <v>3.75656172711211E-2</v>
      </c>
      <c r="Y58" s="1217">
        <v>3.7411342457655025E-2</v>
      </c>
      <c r="Z58" s="1249"/>
    </row>
    <row r="59" spans="1:26" ht="15">
      <c r="A59" s="1156" t="s">
        <v>1530</v>
      </c>
      <c r="B59" s="1156" t="s">
        <v>1562</v>
      </c>
      <c r="C59" s="1156"/>
      <c r="D59" s="1156" t="s">
        <v>1565</v>
      </c>
      <c r="E59" s="1156" t="s">
        <v>1568</v>
      </c>
      <c r="F59" s="1156"/>
      <c r="G59" s="1241"/>
      <c r="H59" s="1241"/>
      <c r="I59" s="1194"/>
      <c r="J59" s="1194" t="s">
        <v>1569</v>
      </c>
      <c r="K59" s="1194" t="s">
        <v>627</v>
      </c>
      <c r="L59" s="1194"/>
      <c r="M59" s="1796"/>
      <c r="N59" s="1796"/>
      <c r="O59" s="1796"/>
      <c r="P59" s="1796"/>
      <c r="Q59" s="1796"/>
      <c r="R59" s="1796"/>
      <c r="S59" s="1796"/>
      <c r="T59" s="1796"/>
      <c r="U59" s="1217">
        <v>0.93532371087170674</v>
      </c>
      <c r="V59" s="1217">
        <v>0.94598007836408393</v>
      </c>
      <c r="W59" s="1217">
        <v>0.94152828038935055</v>
      </c>
      <c r="X59" s="1217">
        <v>0.9424556472108041</v>
      </c>
      <c r="Y59" s="1217">
        <v>0.94185738738114555</v>
      </c>
      <c r="Z59" s="1249"/>
    </row>
    <row r="60" spans="1:26" ht="15">
      <c r="A60" s="1156" t="s">
        <v>1530</v>
      </c>
      <c r="B60" s="1156" t="s">
        <v>1562</v>
      </c>
      <c r="C60" s="1156"/>
      <c r="D60" s="1156" t="s">
        <v>1565</v>
      </c>
      <c r="E60" s="1156" t="s">
        <v>1570</v>
      </c>
      <c r="F60" s="1156"/>
      <c r="G60" s="1241"/>
      <c r="H60" s="1241"/>
      <c r="I60" s="1194"/>
      <c r="J60" s="1194" t="s">
        <v>36</v>
      </c>
      <c r="K60" s="1194" t="s">
        <v>627</v>
      </c>
      <c r="L60" s="1194"/>
      <c r="M60" s="1796"/>
      <c r="N60" s="1796"/>
      <c r="O60" s="1796"/>
      <c r="P60" s="1796"/>
      <c r="Q60" s="1796"/>
      <c r="R60" s="1796"/>
      <c r="S60" s="1796"/>
      <c r="T60" s="1796"/>
      <c r="U60" s="1217">
        <v>0</v>
      </c>
      <c r="V60" s="1217">
        <v>0</v>
      </c>
      <c r="W60" s="1217">
        <v>0</v>
      </c>
      <c r="X60" s="1217">
        <v>0</v>
      </c>
      <c r="Y60" s="1217">
        <v>0</v>
      </c>
      <c r="Z60" s="1249"/>
    </row>
    <row r="61" spans="1:26" ht="15">
      <c r="A61" s="1156" t="s">
        <v>1530</v>
      </c>
      <c r="B61" s="1156" t="s">
        <v>1562</v>
      </c>
      <c r="C61" s="1156"/>
      <c r="D61" s="1156" t="s">
        <v>1565</v>
      </c>
      <c r="E61" s="1156" t="s">
        <v>615</v>
      </c>
      <c r="F61" s="1156"/>
      <c r="G61" s="1241"/>
      <c r="H61" s="1241"/>
      <c r="I61" s="1194"/>
      <c r="J61" s="1194" t="s">
        <v>71</v>
      </c>
      <c r="K61" s="1194" t="s">
        <v>627</v>
      </c>
      <c r="L61" s="1194"/>
      <c r="M61" s="1796"/>
      <c r="N61" s="1796"/>
      <c r="O61" s="1796"/>
      <c r="P61" s="1796"/>
      <c r="Q61" s="1796"/>
      <c r="R61" s="1796"/>
      <c r="S61" s="1796"/>
      <c r="T61" s="1796"/>
      <c r="U61" s="1217">
        <v>0</v>
      </c>
      <c r="V61" s="1217">
        <v>0</v>
      </c>
      <c r="W61" s="1217">
        <v>0</v>
      </c>
      <c r="X61" s="1217">
        <v>0</v>
      </c>
      <c r="Y61" s="1217">
        <v>0</v>
      </c>
      <c r="Z61" s="1249"/>
    </row>
    <row r="62" spans="1:26">
      <c r="A62" s="1156" t="s">
        <v>1530</v>
      </c>
      <c r="B62" s="1156" t="s">
        <v>1562</v>
      </c>
      <c r="C62" s="1156" t="s">
        <v>367</v>
      </c>
      <c r="D62" s="1156"/>
      <c r="E62" s="1156"/>
      <c r="F62" s="1156"/>
      <c r="G62" s="1241"/>
      <c r="H62" s="1241"/>
      <c r="I62" s="1194"/>
      <c r="J62" s="1194"/>
      <c r="K62" s="1194"/>
      <c r="L62" s="1194"/>
      <c r="M62" s="1194"/>
      <c r="N62" s="1194"/>
      <c r="O62" s="1194"/>
      <c r="P62" s="1194"/>
      <c r="Q62" s="1194"/>
      <c r="R62" s="1194"/>
      <c r="S62" s="1194"/>
      <c r="T62" s="1194"/>
      <c r="U62" s="1194"/>
      <c r="V62" s="1194"/>
      <c r="W62" s="1194"/>
      <c r="X62" s="1194"/>
      <c r="Y62" s="1194"/>
      <c r="Z62" s="1241"/>
    </row>
    <row r="63" spans="1:26">
      <c r="A63" s="1156" t="s">
        <v>1530</v>
      </c>
      <c r="B63" s="1156" t="s">
        <v>1562</v>
      </c>
      <c r="C63" s="1156" t="s">
        <v>367</v>
      </c>
      <c r="D63" s="1156" t="s">
        <v>1571</v>
      </c>
      <c r="E63" s="1156"/>
      <c r="F63" s="1156"/>
      <c r="G63" s="1241"/>
      <c r="H63" s="1241"/>
      <c r="I63" s="1210" t="s">
        <v>1572</v>
      </c>
      <c r="J63" s="1194"/>
      <c r="K63" s="1194"/>
      <c r="L63" s="1194"/>
      <c r="M63" s="1203" t="s">
        <v>453</v>
      </c>
      <c r="N63" s="1203" t="s">
        <v>455</v>
      </c>
      <c r="O63" s="1203" t="s">
        <v>457</v>
      </c>
      <c r="P63" s="1203" t="s">
        <v>459</v>
      </c>
      <c r="Q63" s="1203" t="s">
        <v>461</v>
      </c>
      <c r="R63" s="1203" t="s">
        <v>463</v>
      </c>
      <c r="S63" s="1203" t="s">
        <v>465</v>
      </c>
      <c r="T63" s="1203" t="s">
        <v>467</v>
      </c>
      <c r="U63" s="1203" t="s">
        <v>469</v>
      </c>
      <c r="V63" s="1203" t="s">
        <v>471</v>
      </c>
      <c r="W63" s="1203" t="s">
        <v>473</v>
      </c>
      <c r="X63" s="1203" t="s">
        <v>475</v>
      </c>
      <c r="Y63" s="1203" t="s">
        <v>477</v>
      </c>
      <c r="Z63" s="1244"/>
    </row>
    <row r="64" spans="1:26" ht="15">
      <c r="A64" s="1156" t="s">
        <v>1530</v>
      </c>
      <c r="B64" s="1156" t="s">
        <v>1562</v>
      </c>
      <c r="C64" s="1156"/>
      <c r="D64" s="1156" t="s">
        <v>1571</v>
      </c>
      <c r="E64" s="1156" t="s">
        <v>1566</v>
      </c>
      <c r="F64" s="1156"/>
      <c r="G64" s="1241"/>
      <c r="H64" s="1241"/>
      <c r="I64" s="1194"/>
      <c r="J64" s="1255" t="s">
        <v>1567</v>
      </c>
      <c r="K64" s="1194" t="s">
        <v>627</v>
      </c>
      <c r="L64" s="1194"/>
      <c r="M64" s="1796"/>
      <c r="N64" s="1796"/>
      <c r="O64" s="1796"/>
      <c r="P64" s="1796"/>
      <c r="Q64" s="1796"/>
      <c r="R64" s="1796"/>
      <c r="S64" s="1796"/>
      <c r="T64" s="1796"/>
      <c r="U64" s="1217">
        <v>0.85748742298614178</v>
      </c>
      <c r="V64" s="1217">
        <v>0.86241167094802829</v>
      </c>
      <c r="W64" s="1217">
        <v>0.85176945666541859</v>
      </c>
      <c r="X64" s="1217">
        <v>0.85046704286080499</v>
      </c>
      <c r="Y64" s="1217">
        <v>0.85286665627660574</v>
      </c>
      <c r="Z64" s="1249"/>
    </row>
    <row r="65" spans="1:26" ht="15">
      <c r="A65" s="1156" t="s">
        <v>1530</v>
      </c>
      <c r="B65" s="1156" t="s">
        <v>1562</v>
      </c>
      <c r="C65" s="1156"/>
      <c r="D65" s="1156" t="s">
        <v>1571</v>
      </c>
      <c r="E65" s="1156" t="s">
        <v>1568</v>
      </c>
      <c r="F65" s="1156"/>
      <c r="G65" s="1241"/>
      <c r="H65" s="1241"/>
      <c r="I65" s="1194"/>
      <c r="J65" s="1255" t="s">
        <v>1569</v>
      </c>
      <c r="K65" s="1194" t="s">
        <v>627</v>
      </c>
      <c r="L65" s="1194"/>
      <c r="M65" s="1796"/>
      <c r="N65" s="1796"/>
      <c r="O65" s="1796"/>
      <c r="P65" s="1796"/>
      <c r="Q65" s="1796"/>
      <c r="R65" s="1796"/>
      <c r="S65" s="1796"/>
      <c r="T65" s="1796"/>
      <c r="U65" s="1217">
        <v>2.5655190964824843E-2</v>
      </c>
      <c r="V65" s="1217">
        <v>1.9946642567679994E-2</v>
      </c>
      <c r="W65" s="1217">
        <v>1.9591042799309875E-2</v>
      </c>
      <c r="X65" s="1217">
        <v>2.0062757678303258E-2</v>
      </c>
      <c r="Y65" s="1217">
        <v>2.1433516659737951E-2</v>
      </c>
      <c r="Z65" s="1249"/>
    </row>
    <row r="66" spans="1:26" ht="15">
      <c r="A66" s="1156" t="s">
        <v>1530</v>
      </c>
      <c r="B66" s="1156" t="s">
        <v>1562</v>
      </c>
      <c r="C66" s="1156"/>
      <c r="D66" s="1156" t="s">
        <v>1571</v>
      </c>
      <c r="E66" s="1156" t="s">
        <v>1570</v>
      </c>
      <c r="F66" s="1156"/>
      <c r="G66" s="1241"/>
      <c r="H66" s="1241"/>
      <c r="I66" s="1194"/>
      <c r="J66" s="1256" t="s">
        <v>36</v>
      </c>
      <c r="K66" s="1194" t="s">
        <v>627</v>
      </c>
      <c r="L66" s="1194"/>
      <c r="M66" s="1796"/>
      <c r="N66" s="1796"/>
      <c r="O66" s="1796"/>
      <c r="P66" s="1796"/>
      <c r="Q66" s="1796"/>
      <c r="R66" s="1796"/>
      <c r="S66" s="1796"/>
      <c r="T66" s="1796"/>
      <c r="U66" s="1217">
        <v>0</v>
      </c>
      <c r="V66" s="1217">
        <v>0</v>
      </c>
      <c r="W66" s="1217">
        <v>0</v>
      </c>
      <c r="X66" s="1217">
        <v>0</v>
      </c>
      <c r="Y66" s="1217">
        <v>0</v>
      </c>
      <c r="Z66" s="1249"/>
    </row>
    <row r="67" spans="1:26" ht="15">
      <c r="A67" s="1156" t="s">
        <v>1530</v>
      </c>
      <c r="B67" s="1156" t="s">
        <v>1562</v>
      </c>
      <c r="C67" s="1156"/>
      <c r="D67" s="1156" t="s">
        <v>1571</v>
      </c>
      <c r="E67" s="1156" t="s">
        <v>615</v>
      </c>
      <c r="F67" s="1156"/>
      <c r="G67" s="1241"/>
      <c r="H67" s="1241"/>
      <c r="I67" s="1194"/>
      <c r="J67" s="1256" t="s">
        <v>71</v>
      </c>
      <c r="K67" s="1194" t="s">
        <v>627</v>
      </c>
      <c r="L67" s="1194"/>
      <c r="M67" s="1796"/>
      <c r="N67" s="1796"/>
      <c r="O67" s="1796"/>
      <c r="P67" s="1796"/>
      <c r="Q67" s="1796"/>
      <c r="R67" s="1796"/>
      <c r="S67" s="1796"/>
      <c r="T67" s="1796"/>
      <c r="U67" s="1217">
        <v>0</v>
      </c>
      <c r="V67" s="1217">
        <v>0</v>
      </c>
      <c r="W67" s="1217">
        <v>0</v>
      </c>
      <c r="X67" s="1217">
        <v>0</v>
      </c>
      <c r="Y67" s="1217">
        <v>0</v>
      </c>
      <c r="Z67" s="1249"/>
    </row>
    <row r="68" spans="1:26">
      <c r="A68" s="1156" t="s">
        <v>1530</v>
      </c>
      <c r="B68" s="1156" t="s">
        <v>1562</v>
      </c>
      <c r="C68" s="1156" t="s">
        <v>367</v>
      </c>
      <c r="D68" s="1156"/>
      <c r="E68" s="1156"/>
      <c r="F68" s="1156"/>
      <c r="G68" s="1241"/>
      <c r="H68" s="1241"/>
      <c r="I68" s="1194"/>
      <c r="J68" s="1194"/>
      <c r="K68" s="1194"/>
      <c r="L68" s="1194"/>
      <c r="M68" s="1194"/>
      <c r="N68" s="1194"/>
      <c r="O68" s="1194"/>
      <c r="P68" s="1194"/>
      <c r="Q68" s="1194"/>
      <c r="R68" s="1194"/>
      <c r="S68" s="1194"/>
      <c r="T68" s="1194"/>
      <c r="U68" s="1194"/>
      <c r="V68" s="1194"/>
      <c r="W68" s="1194"/>
      <c r="X68" s="1194"/>
      <c r="Y68" s="1194"/>
      <c r="Z68" s="1241"/>
    </row>
    <row r="69" spans="1:26">
      <c r="A69" s="1156" t="s">
        <v>1530</v>
      </c>
      <c r="B69" s="1156" t="s">
        <v>1562</v>
      </c>
      <c r="C69" s="1156" t="s">
        <v>367</v>
      </c>
      <c r="D69" s="1156" t="s">
        <v>1573</v>
      </c>
      <c r="E69" s="1156"/>
      <c r="F69" s="1156"/>
      <c r="G69" s="1241"/>
      <c r="H69" s="1241"/>
      <c r="I69" s="1210" t="s">
        <v>1574</v>
      </c>
      <c r="J69" s="1194"/>
      <c r="K69" s="1194"/>
      <c r="L69" s="1194"/>
      <c r="M69" s="1203" t="s">
        <v>453</v>
      </c>
      <c r="N69" s="1203" t="s">
        <v>455</v>
      </c>
      <c r="O69" s="1203" t="s">
        <v>457</v>
      </c>
      <c r="P69" s="1203" t="s">
        <v>459</v>
      </c>
      <c r="Q69" s="1203" t="s">
        <v>461</v>
      </c>
      <c r="R69" s="1203" t="s">
        <v>463</v>
      </c>
      <c r="S69" s="1203" t="s">
        <v>465</v>
      </c>
      <c r="T69" s="1203" t="s">
        <v>467</v>
      </c>
      <c r="U69" s="1203" t="s">
        <v>469</v>
      </c>
      <c r="V69" s="1203" t="s">
        <v>471</v>
      </c>
      <c r="W69" s="1203" t="s">
        <v>473</v>
      </c>
      <c r="X69" s="1203" t="s">
        <v>475</v>
      </c>
      <c r="Y69" s="1203" t="s">
        <v>477</v>
      </c>
      <c r="Z69" s="1244"/>
    </row>
    <row r="70" spans="1:26" ht="15">
      <c r="A70" s="1156" t="s">
        <v>1530</v>
      </c>
      <c r="B70" s="1156" t="s">
        <v>1562</v>
      </c>
      <c r="C70" s="1156"/>
      <c r="D70" s="1156" t="s">
        <v>1573</v>
      </c>
      <c r="E70" s="1156" t="s">
        <v>1566</v>
      </c>
      <c r="F70" s="1156"/>
      <c r="G70" s="1241"/>
      <c r="H70" s="1241"/>
      <c r="I70" s="1194"/>
      <c r="J70" s="1194" t="s">
        <v>1567</v>
      </c>
      <c r="K70" s="1194" t="s">
        <v>627</v>
      </c>
      <c r="L70" s="1194"/>
      <c r="M70" s="1796"/>
      <c r="N70" s="1796"/>
      <c r="O70" s="1796"/>
      <c r="P70" s="1796"/>
      <c r="Q70" s="1796"/>
      <c r="R70" s="1796"/>
      <c r="S70" s="1796"/>
      <c r="T70" s="1796"/>
      <c r="U70" s="1248">
        <v>1.6559293309194822E-2</v>
      </c>
      <c r="V70" s="1248">
        <v>1.8261390270207963E-2</v>
      </c>
      <c r="W70" s="1248">
        <v>2.1913668324249552E-2</v>
      </c>
      <c r="X70" s="1248">
        <v>2.1313224786309797E-2</v>
      </c>
      <c r="Y70" s="1248">
        <v>2.0592692540782092E-2</v>
      </c>
      <c r="Z70" s="1257"/>
    </row>
    <row r="71" spans="1:26" ht="15">
      <c r="A71" s="1156" t="s">
        <v>1530</v>
      </c>
      <c r="B71" s="1156" t="s">
        <v>1562</v>
      </c>
      <c r="C71" s="1156"/>
      <c r="D71" s="1156" t="s">
        <v>1573</v>
      </c>
      <c r="E71" s="1156" t="s">
        <v>1568</v>
      </c>
      <c r="F71" s="1156"/>
      <c r="G71" s="1241"/>
      <c r="H71" s="1241"/>
      <c r="I71" s="1194"/>
      <c r="J71" s="1194" t="s">
        <v>1569</v>
      </c>
      <c r="K71" s="1194" t="s">
        <v>627</v>
      </c>
      <c r="L71" s="1194"/>
      <c r="M71" s="1796"/>
      <c r="N71" s="1796"/>
      <c r="O71" s="1796"/>
      <c r="P71" s="1796"/>
      <c r="Q71" s="1796"/>
      <c r="R71" s="1796"/>
      <c r="S71" s="1796"/>
      <c r="T71" s="1796"/>
      <c r="U71" s="1248">
        <v>4.3763713282241263E-4</v>
      </c>
      <c r="V71" s="1248">
        <v>3.7928551511275761E-4</v>
      </c>
      <c r="W71" s="1248">
        <v>4.5514261813530912E-4</v>
      </c>
      <c r="X71" s="1248">
        <v>4.0029209748823348E-4</v>
      </c>
      <c r="Y71" s="1248">
        <v>3.3447147271174256E-4</v>
      </c>
      <c r="Z71" s="1257"/>
    </row>
    <row r="72" spans="1:26" ht="15">
      <c r="A72" s="1156" t="s">
        <v>1530</v>
      </c>
      <c r="B72" s="1156" t="s">
        <v>1562</v>
      </c>
      <c r="C72" s="1156"/>
      <c r="D72" s="1156" t="s">
        <v>1573</v>
      </c>
      <c r="E72" s="1156" t="s">
        <v>1570</v>
      </c>
      <c r="F72" s="1156"/>
      <c r="G72" s="1241"/>
      <c r="H72" s="1241"/>
      <c r="I72" s="1194"/>
      <c r="J72" s="1194" t="s">
        <v>36</v>
      </c>
      <c r="K72" s="1194" t="s">
        <v>627</v>
      </c>
      <c r="L72" s="1194"/>
      <c r="M72" s="1796"/>
      <c r="N72" s="1796"/>
      <c r="O72" s="1796"/>
      <c r="P72" s="1796"/>
      <c r="Q72" s="1796"/>
      <c r="R72" s="1796"/>
      <c r="S72" s="1796"/>
      <c r="T72" s="1796"/>
      <c r="U72" s="1248">
        <v>0</v>
      </c>
      <c r="V72" s="1248">
        <v>0</v>
      </c>
      <c r="W72" s="1248">
        <v>0</v>
      </c>
      <c r="X72" s="1248">
        <v>0</v>
      </c>
      <c r="Y72" s="1248">
        <v>0</v>
      </c>
      <c r="Z72" s="1257"/>
    </row>
    <row r="73" spans="1:26" ht="15">
      <c r="A73" s="1156" t="s">
        <v>1530</v>
      </c>
      <c r="B73" s="1156" t="s">
        <v>1562</v>
      </c>
      <c r="C73" s="1156"/>
      <c r="D73" s="1156" t="s">
        <v>1573</v>
      </c>
      <c r="E73" s="1156" t="s">
        <v>615</v>
      </c>
      <c r="F73" s="1156"/>
      <c r="G73" s="1241"/>
      <c r="H73" s="1241"/>
      <c r="I73" s="1194"/>
      <c r="J73" s="1194" t="s">
        <v>71</v>
      </c>
      <c r="K73" s="1194" t="s">
        <v>627</v>
      </c>
      <c r="L73" s="1194"/>
      <c r="M73" s="1796"/>
      <c r="N73" s="1796"/>
      <c r="O73" s="1796"/>
      <c r="P73" s="1796"/>
      <c r="Q73" s="1796"/>
      <c r="R73" s="1796"/>
      <c r="S73" s="1796"/>
      <c r="T73" s="1796"/>
      <c r="U73" s="1248">
        <v>0.99909041899998896</v>
      </c>
      <c r="V73" s="1248">
        <v>0.99927233519999115</v>
      </c>
      <c r="W73" s="1248">
        <v>0.99912680223998951</v>
      </c>
      <c r="X73" s="1248">
        <v>0.99913407888798955</v>
      </c>
      <c r="Y73" s="1248">
        <v>0.99914281086558976</v>
      </c>
      <c r="Z73" s="1257"/>
    </row>
    <row r="74" spans="1:26">
      <c r="A74" s="1156" t="s">
        <v>1530</v>
      </c>
      <c r="B74" s="1156" t="s">
        <v>1562</v>
      </c>
      <c r="C74" s="1156" t="s">
        <v>367</v>
      </c>
      <c r="D74" s="1156"/>
      <c r="E74" s="1156"/>
      <c r="F74" s="1156"/>
      <c r="G74" s="1241"/>
      <c r="H74" s="1241"/>
      <c r="I74" s="1194"/>
      <c r="J74" s="1194"/>
      <c r="K74" s="1194"/>
      <c r="L74" s="1194"/>
      <c r="M74" s="1194"/>
      <c r="N74" s="1194"/>
      <c r="O74" s="1194"/>
      <c r="P74" s="1194"/>
      <c r="Q74" s="1194"/>
      <c r="R74" s="1194"/>
      <c r="S74" s="1194"/>
      <c r="T74" s="1194"/>
      <c r="U74" s="1194"/>
      <c r="V74" s="1194"/>
      <c r="W74" s="1194"/>
      <c r="X74" s="1194"/>
      <c r="Y74" s="1194"/>
      <c r="Z74" s="1241"/>
    </row>
    <row r="75" spans="1:26">
      <c r="A75" s="1156" t="s">
        <v>1530</v>
      </c>
      <c r="B75" s="1156" t="s">
        <v>1562</v>
      </c>
      <c r="C75" s="1156" t="s">
        <v>367</v>
      </c>
      <c r="D75" s="1156" t="s">
        <v>1573</v>
      </c>
      <c r="E75" s="1156"/>
      <c r="F75" s="1156"/>
      <c r="G75" s="1241"/>
      <c r="H75" s="1241"/>
      <c r="I75" s="1210" t="s">
        <v>1575</v>
      </c>
      <c r="J75" s="1194"/>
      <c r="K75" s="1194"/>
      <c r="L75" s="1194"/>
      <c r="M75" s="1203" t="s">
        <v>453</v>
      </c>
      <c r="N75" s="1203" t="s">
        <v>455</v>
      </c>
      <c r="O75" s="1203" t="s">
        <v>457</v>
      </c>
      <c r="P75" s="1203" t="s">
        <v>459</v>
      </c>
      <c r="Q75" s="1203" t="s">
        <v>461</v>
      </c>
      <c r="R75" s="1203" t="s">
        <v>463</v>
      </c>
      <c r="S75" s="1203" t="s">
        <v>465</v>
      </c>
      <c r="T75" s="1203" t="s">
        <v>467</v>
      </c>
      <c r="U75" s="1203" t="s">
        <v>469</v>
      </c>
      <c r="V75" s="1203" t="s">
        <v>471</v>
      </c>
      <c r="W75" s="1203" t="s">
        <v>473</v>
      </c>
      <c r="X75" s="1203" t="s">
        <v>475</v>
      </c>
      <c r="Y75" s="1203" t="s">
        <v>477</v>
      </c>
      <c r="Z75" s="1244"/>
    </row>
    <row r="76" spans="1:26" ht="15">
      <c r="A76" s="1156" t="s">
        <v>1530</v>
      </c>
      <c r="B76" s="1156" t="s">
        <v>1562</v>
      </c>
      <c r="C76" s="1156"/>
      <c r="D76" s="1156" t="s">
        <v>1573</v>
      </c>
      <c r="E76" s="1156" t="s">
        <v>1566</v>
      </c>
      <c r="F76" s="1156"/>
      <c r="G76" s="1241"/>
      <c r="H76" s="1241"/>
      <c r="I76" s="1194"/>
      <c r="J76" s="1194" t="s">
        <v>1567</v>
      </c>
      <c r="K76" s="1194" t="s">
        <v>627</v>
      </c>
      <c r="L76" s="1194"/>
      <c r="M76" s="1796"/>
      <c r="N76" s="1796"/>
      <c r="O76" s="1796"/>
      <c r="P76" s="1796"/>
      <c r="Q76" s="1796"/>
      <c r="R76" s="1796"/>
      <c r="S76" s="1796"/>
      <c r="T76" s="1796"/>
      <c r="U76" s="1248"/>
      <c r="V76" s="1248"/>
      <c r="W76" s="1248"/>
      <c r="X76" s="1248"/>
      <c r="Y76" s="1248"/>
      <c r="Z76" s="1257"/>
    </row>
    <row r="77" spans="1:26" ht="15">
      <c r="A77" s="1156" t="s">
        <v>1530</v>
      </c>
      <c r="B77" s="1156" t="s">
        <v>1562</v>
      </c>
      <c r="C77" s="1156"/>
      <c r="D77" s="1156" t="s">
        <v>1573</v>
      </c>
      <c r="E77" s="1156" t="s">
        <v>1568</v>
      </c>
      <c r="F77" s="1156"/>
      <c r="G77" s="1241"/>
      <c r="H77" s="1241"/>
      <c r="I77" s="1194"/>
      <c r="J77" s="1194" t="s">
        <v>1569</v>
      </c>
      <c r="K77" s="1194" t="s">
        <v>627</v>
      </c>
      <c r="L77" s="1194"/>
      <c r="M77" s="1796"/>
      <c r="N77" s="1796"/>
      <c r="O77" s="1796"/>
      <c r="P77" s="1796"/>
      <c r="Q77" s="1796"/>
      <c r="R77" s="1796"/>
      <c r="S77" s="1796"/>
      <c r="T77" s="1796"/>
      <c r="U77" s="1248"/>
      <c r="V77" s="1248"/>
      <c r="W77" s="1248"/>
      <c r="X77" s="1248"/>
      <c r="Y77" s="1248"/>
      <c r="Z77" s="1257"/>
    </row>
    <row r="78" spans="1:26" ht="15">
      <c r="A78" s="1156" t="s">
        <v>1530</v>
      </c>
      <c r="B78" s="1156" t="s">
        <v>1562</v>
      </c>
      <c r="C78" s="1156"/>
      <c r="D78" s="1156" t="s">
        <v>1573</v>
      </c>
      <c r="E78" s="1156" t="s">
        <v>1570</v>
      </c>
      <c r="F78" s="1156"/>
      <c r="G78" s="1241"/>
      <c r="H78" s="1241"/>
      <c r="I78" s="1194"/>
      <c r="J78" s="1194" t="s">
        <v>36</v>
      </c>
      <c r="K78" s="1194" t="s">
        <v>627</v>
      </c>
      <c r="L78" s="1194"/>
      <c r="M78" s="1796"/>
      <c r="N78" s="1796"/>
      <c r="O78" s="1796"/>
      <c r="P78" s="1796"/>
      <c r="Q78" s="1796"/>
      <c r="R78" s="1796"/>
      <c r="S78" s="1796"/>
      <c r="T78" s="1796"/>
      <c r="U78" s="1248"/>
      <c r="V78" s="1248"/>
      <c r="W78" s="1248"/>
      <c r="X78" s="1248"/>
      <c r="Y78" s="1248"/>
      <c r="Z78" s="1257"/>
    </row>
    <row r="79" spans="1:26" ht="15">
      <c r="A79" s="1156" t="s">
        <v>1530</v>
      </c>
      <c r="B79" s="1156" t="s">
        <v>1562</v>
      </c>
      <c r="C79" s="1156"/>
      <c r="D79" s="1156" t="s">
        <v>1573</v>
      </c>
      <c r="E79" s="1156" t="s">
        <v>615</v>
      </c>
      <c r="F79" s="1156"/>
      <c r="G79" s="1241"/>
      <c r="H79" s="1241"/>
      <c r="I79" s="1194"/>
      <c r="J79" s="1194" t="s">
        <v>71</v>
      </c>
      <c r="K79" s="1194" t="s">
        <v>627</v>
      </c>
      <c r="L79" s="1194"/>
      <c r="M79" s="1796"/>
      <c r="N79" s="1796"/>
      <c r="O79" s="1796"/>
      <c r="P79" s="1796"/>
      <c r="Q79" s="1796"/>
      <c r="R79" s="1796"/>
      <c r="S79" s="1796"/>
      <c r="T79" s="1796"/>
      <c r="U79" s="1248"/>
      <c r="V79" s="1248"/>
      <c r="W79" s="1248"/>
      <c r="X79" s="1248"/>
      <c r="Y79" s="1248"/>
      <c r="Z79" s="1257"/>
    </row>
    <row r="80" spans="1:26">
      <c r="A80" s="1156"/>
      <c r="B80" s="1156"/>
      <c r="C80" s="1156"/>
      <c r="D80" s="1156"/>
      <c r="E80" s="1156"/>
      <c r="F80" s="1156"/>
      <c r="G80" s="1241"/>
      <c r="H80" s="1241"/>
      <c r="I80" s="1194"/>
      <c r="J80" s="1194"/>
      <c r="K80" s="1194"/>
      <c r="L80" s="1194"/>
      <c r="M80" s="1194"/>
      <c r="N80" s="1194"/>
      <c r="O80" s="1194"/>
      <c r="P80" s="1194"/>
      <c r="Q80" s="1194"/>
      <c r="R80" s="1194"/>
      <c r="S80" s="1194"/>
      <c r="T80" s="1194"/>
      <c r="U80" s="1194"/>
      <c r="V80" s="1194"/>
      <c r="W80" s="1194"/>
      <c r="X80" s="1194"/>
      <c r="Y80" s="1194"/>
      <c r="Z80" s="1241"/>
    </row>
    <row r="81" spans="1:26">
      <c r="A81" s="1156" t="s">
        <v>1530</v>
      </c>
      <c r="B81" s="1156" t="s">
        <v>1562</v>
      </c>
      <c r="C81" s="1156" t="s">
        <v>367</v>
      </c>
      <c r="D81" s="1156" t="s">
        <v>1576</v>
      </c>
      <c r="E81" s="1156"/>
      <c r="F81" s="1156"/>
      <c r="G81" s="1241"/>
      <c r="H81" s="1241"/>
      <c r="I81" s="1210" t="s">
        <v>1577</v>
      </c>
      <c r="J81" s="1194"/>
      <c r="K81" s="1194"/>
      <c r="L81" s="1194"/>
      <c r="M81" s="1203" t="s">
        <v>453</v>
      </c>
      <c r="N81" s="1203" t="s">
        <v>455</v>
      </c>
      <c r="O81" s="1203" t="s">
        <v>457</v>
      </c>
      <c r="P81" s="1203" t="s">
        <v>459</v>
      </c>
      <c r="Q81" s="1203" t="s">
        <v>461</v>
      </c>
      <c r="R81" s="1203" t="s">
        <v>463</v>
      </c>
      <c r="S81" s="1203" t="s">
        <v>465</v>
      </c>
      <c r="T81" s="1203" t="s">
        <v>467</v>
      </c>
      <c r="U81" s="1203" t="s">
        <v>469</v>
      </c>
      <c r="V81" s="1203" t="s">
        <v>471</v>
      </c>
      <c r="W81" s="1203" t="s">
        <v>473</v>
      </c>
      <c r="X81" s="1203" t="s">
        <v>475</v>
      </c>
      <c r="Y81" s="1203" t="s">
        <v>477</v>
      </c>
      <c r="Z81" s="1244"/>
    </row>
    <row r="82" spans="1:26" ht="15">
      <c r="A82" s="1156" t="s">
        <v>1530</v>
      </c>
      <c r="B82" s="1156" t="s">
        <v>1562</v>
      </c>
      <c r="C82" s="1156"/>
      <c r="D82" s="1156" t="s">
        <v>1576</v>
      </c>
      <c r="E82" s="1156" t="s">
        <v>1566</v>
      </c>
      <c r="F82" s="1156"/>
      <c r="G82" s="1241"/>
      <c r="H82" s="1241"/>
      <c r="I82" s="1194"/>
      <c r="J82" s="1194" t="s">
        <v>1567</v>
      </c>
      <c r="K82" s="1194" t="s">
        <v>627</v>
      </c>
      <c r="L82" s="1194"/>
      <c r="M82" s="1796"/>
      <c r="N82" s="1796"/>
      <c r="O82" s="1796"/>
      <c r="P82" s="1796"/>
      <c r="Q82" s="1796"/>
      <c r="R82" s="1796"/>
      <c r="S82" s="1796"/>
      <c r="T82" s="1796"/>
      <c r="U82" s="1217">
        <v>0</v>
      </c>
      <c r="V82" s="1217">
        <v>0</v>
      </c>
      <c r="W82" s="1217">
        <v>0</v>
      </c>
      <c r="X82" s="1217">
        <v>0</v>
      </c>
      <c r="Y82" s="1217">
        <v>0</v>
      </c>
      <c r="Z82" s="1249"/>
    </row>
    <row r="83" spans="1:26" ht="15">
      <c r="A83" s="1156" t="s">
        <v>1530</v>
      </c>
      <c r="B83" s="1156" t="s">
        <v>1562</v>
      </c>
      <c r="C83" s="1156"/>
      <c r="D83" s="1156" t="s">
        <v>1576</v>
      </c>
      <c r="E83" s="1156" t="s">
        <v>1568</v>
      </c>
      <c r="F83" s="1156"/>
      <c r="G83" s="1241"/>
      <c r="H83" s="1241"/>
      <c r="I83" s="1194"/>
      <c r="J83" s="1194" t="s">
        <v>1569</v>
      </c>
      <c r="K83" s="1194" t="s">
        <v>627</v>
      </c>
      <c r="L83" s="1194"/>
      <c r="M83" s="1796"/>
      <c r="N83" s="1796"/>
      <c r="O83" s="1796"/>
      <c r="P83" s="1796"/>
      <c r="Q83" s="1796"/>
      <c r="R83" s="1796"/>
      <c r="S83" s="1796"/>
      <c r="T83" s="1796"/>
      <c r="U83" s="1217">
        <v>0</v>
      </c>
      <c r="V83" s="1217">
        <v>0</v>
      </c>
      <c r="W83" s="1217">
        <v>0</v>
      </c>
      <c r="X83" s="1217">
        <v>0</v>
      </c>
      <c r="Y83" s="1217">
        <v>0</v>
      </c>
      <c r="Z83" s="1249"/>
    </row>
    <row r="84" spans="1:26" ht="15">
      <c r="A84" s="1156" t="s">
        <v>1530</v>
      </c>
      <c r="B84" s="1156" t="s">
        <v>1562</v>
      </c>
      <c r="C84" s="1156"/>
      <c r="D84" s="1156" t="s">
        <v>1576</v>
      </c>
      <c r="E84" s="1156" t="s">
        <v>1570</v>
      </c>
      <c r="F84" s="1156"/>
      <c r="G84" s="1241"/>
      <c r="H84" s="1241"/>
      <c r="I84" s="1194"/>
      <c r="J84" s="1194" t="s">
        <v>36</v>
      </c>
      <c r="K84" s="1194" t="s">
        <v>627</v>
      </c>
      <c r="L84" s="1194"/>
      <c r="M84" s="1796"/>
      <c r="N84" s="1796"/>
      <c r="O84" s="1796"/>
      <c r="P84" s="1796"/>
      <c r="Q84" s="1796"/>
      <c r="R84" s="1796"/>
      <c r="S84" s="1796"/>
      <c r="T84" s="1796"/>
      <c r="U84" s="1217">
        <v>1</v>
      </c>
      <c r="V84" s="1217">
        <v>1</v>
      </c>
      <c r="W84" s="1217">
        <v>1</v>
      </c>
      <c r="X84" s="1217">
        <v>1</v>
      </c>
      <c r="Y84" s="1217">
        <v>1</v>
      </c>
      <c r="Z84" s="1249"/>
    </row>
    <row r="85" spans="1:26" ht="15">
      <c r="A85" s="1156" t="s">
        <v>1530</v>
      </c>
      <c r="B85" s="1156" t="s">
        <v>1562</v>
      </c>
      <c r="C85" s="1156"/>
      <c r="D85" s="1156" t="s">
        <v>1576</v>
      </c>
      <c r="E85" s="1156" t="s">
        <v>615</v>
      </c>
      <c r="F85" s="1156"/>
      <c r="G85" s="1241"/>
      <c r="H85" s="1241"/>
      <c r="I85" s="1194"/>
      <c r="J85" s="1194" t="s">
        <v>71</v>
      </c>
      <c r="K85" s="1194" t="s">
        <v>627</v>
      </c>
      <c r="L85" s="1194"/>
      <c r="M85" s="1796"/>
      <c r="N85" s="1796"/>
      <c r="O85" s="1796"/>
      <c r="P85" s="1796"/>
      <c r="Q85" s="1796"/>
      <c r="R85" s="1796"/>
      <c r="S85" s="1796"/>
      <c r="T85" s="1796"/>
      <c r="U85" s="1217">
        <v>0</v>
      </c>
      <c r="V85" s="1217">
        <v>0</v>
      </c>
      <c r="W85" s="1217">
        <v>0</v>
      </c>
      <c r="X85" s="1217">
        <v>0</v>
      </c>
      <c r="Y85" s="1217">
        <v>0</v>
      </c>
      <c r="Z85" s="1249"/>
    </row>
    <row r="86" spans="1:26">
      <c r="A86" s="1156" t="s">
        <v>1530</v>
      </c>
      <c r="B86" s="1156" t="s">
        <v>1562</v>
      </c>
      <c r="C86" s="1156" t="s">
        <v>367</v>
      </c>
      <c r="D86" s="1156"/>
      <c r="E86" s="1156"/>
      <c r="F86" s="1156"/>
      <c r="G86" s="1241"/>
      <c r="H86" s="1241"/>
      <c r="I86" s="1194"/>
      <c r="J86" s="1194"/>
      <c r="K86" s="1194"/>
      <c r="L86" s="1194"/>
      <c r="M86" s="1194"/>
      <c r="N86" s="1194"/>
      <c r="O86" s="1194"/>
      <c r="P86" s="1194"/>
      <c r="Q86" s="1194"/>
      <c r="R86" s="1194"/>
      <c r="S86" s="1194"/>
      <c r="T86" s="1194"/>
      <c r="U86" s="1194"/>
      <c r="V86" s="1194"/>
      <c r="W86" s="1194"/>
      <c r="X86" s="1194"/>
      <c r="Y86" s="1194"/>
      <c r="Z86" s="1241"/>
    </row>
    <row r="87" spans="1:26">
      <c r="A87" s="1156" t="s">
        <v>1530</v>
      </c>
      <c r="B87" s="1156" t="s">
        <v>1562</v>
      </c>
      <c r="C87" s="1156" t="s">
        <v>367</v>
      </c>
      <c r="D87" s="1156" t="s">
        <v>1578</v>
      </c>
      <c r="E87" s="1156"/>
      <c r="F87" s="1156"/>
      <c r="G87" s="1241"/>
      <c r="H87" s="1241"/>
      <c r="I87" s="1210" t="s">
        <v>1579</v>
      </c>
      <c r="J87" s="1194"/>
      <c r="K87" s="1194"/>
      <c r="L87" s="1194"/>
      <c r="M87" s="1203" t="s">
        <v>453</v>
      </c>
      <c r="N87" s="1203" t="s">
        <v>455</v>
      </c>
      <c r="O87" s="1203" t="s">
        <v>457</v>
      </c>
      <c r="P87" s="1203" t="s">
        <v>459</v>
      </c>
      <c r="Q87" s="1203" t="s">
        <v>461</v>
      </c>
      <c r="R87" s="1203" t="s">
        <v>463</v>
      </c>
      <c r="S87" s="1203" t="s">
        <v>465</v>
      </c>
      <c r="T87" s="1203" t="s">
        <v>467</v>
      </c>
      <c r="U87" s="1203" t="s">
        <v>469</v>
      </c>
      <c r="V87" s="1203" t="s">
        <v>471</v>
      </c>
      <c r="W87" s="1203" t="s">
        <v>473</v>
      </c>
      <c r="X87" s="1203" t="s">
        <v>475</v>
      </c>
      <c r="Y87" s="1203" t="s">
        <v>477</v>
      </c>
      <c r="Z87" s="1244"/>
    </row>
    <row r="88" spans="1:26" ht="15">
      <c r="A88" s="1156" t="s">
        <v>1530</v>
      </c>
      <c r="B88" s="1156" t="s">
        <v>1562</v>
      </c>
      <c r="C88" s="1156"/>
      <c r="D88" s="1156" t="s">
        <v>1578</v>
      </c>
      <c r="E88" s="1156" t="s">
        <v>1566</v>
      </c>
      <c r="F88" s="1156"/>
      <c r="G88" s="1241"/>
      <c r="H88" s="1241"/>
      <c r="I88" s="1194"/>
      <c r="J88" s="1194" t="s">
        <v>1567</v>
      </c>
      <c r="K88" s="1194" t="s">
        <v>627</v>
      </c>
      <c r="L88" s="1194"/>
      <c r="M88" s="1796"/>
      <c r="N88" s="1796"/>
      <c r="O88" s="1796"/>
      <c r="P88" s="1796"/>
      <c r="Q88" s="1796"/>
      <c r="R88" s="1796"/>
      <c r="S88" s="1796"/>
      <c r="T88" s="1796"/>
      <c r="U88" s="1217">
        <v>8.8837087171592527E-2</v>
      </c>
      <c r="V88" s="1217">
        <v>8.1012715260816506E-2</v>
      </c>
      <c r="W88" s="1217">
        <v>8.9180008560345664E-2</v>
      </c>
      <c r="X88" s="1217">
        <v>9.066409710498935E-2</v>
      </c>
      <c r="Y88" s="1217">
        <v>8.9133713954688665E-2</v>
      </c>
      <c r="Z88" s="1249"/>
    </row>
    <row r="89" spans="1:26" ht="15">
      <c r="A89" s="1156" t="s">
        <v>1530</v>
      </c>
      <c r="B89" s="1156" t="s">
        <v>1562</v>
      </c>
      <c r="C89" s="1156"/>
      <c r="D89" s="1156" t="s">
        <v>1578</v>
      </c>
      <c r="E89" s="1156" t="s">
        <v>1568</v>
      </c>
      <c r="F89" s="1156"/>
      <c r="G89" s="1241"/>
      <c r="H89" s="1241"/>
      <c r="I89" s="1194"/>
      <c r="J89" s="1194" t="s">
        <v>1569</v>
      </c>
      <c r="K89" s="1194" t="s">
        <v>627</v>
      </c>
      <c r="L89" s="1194"/>
      <c r="M89" s="1796"/>
      <c r="N89" s="1796"/>
      <c r="O89" s="1796"/>
      <c r="P89" s="1796"/>
      <c r="Q89" s="1796"/>
      <c r="R89" s="1796"/>
      <c r="S89" s="1796"/>
      <c r="T89" s="1796"/>
      <c r="U89" s="1217">
        <v>3.8577179663681946E-2</v>
      </c>
      <c r="V89" s="1217">
        <v>3.3695490773721588E-2</v>
      </c>
      <c r="W89" s="1217">
        <v>3.8418164634573225E-2</v>
      </c>
      <c r="X89" s="1217">
        <v>3.7080786032116071E-2</v>
      </c>
      <c r="Y89" s="1217">
        <v>3.6374988642510743E-2</v>
      </c>
      <c r="Z89" s="1249"/>
    </row>
    <row r="90" spans="1:26" ht="15">
      <c r="A90" s="1156" t="s">
        <v>1530</v>
      </c>
      <c r="B90" s="1156" t="s">
        <v>1562</v>
      </c>
      <c r="C90" s="1156"/>
      <c r="D90" s="1156" t="s">
        <v>1578</v>
      </c>
      <c r="E90" s="1156" t="s">
        <v>1570</v>
      </c>
      <c r="F90" s="1156"/>
      <c r="G90" s="1241"/>
      <c r="H90" s="1241"/>
      <c r="I90" s="1194"/>
      <c r="J90" s="1194" t="s">
        <v>36</v>
      </c>
      <c r="K90" s="1194" t="s">
        <v>627</v>
      </c>
      <c r="L90" s="1194"/>
      <c r="M90" s="1796"/>
      <c r="N90" s="1796"/>
      <c r="O90" s="1796"/>
      <c r="P90" s="1796"/>
      <c r="Q90" s="1796"/>
      <c r="R90" s="1796"/>
      <c r="S90" s="1796"/>
      <c r="T90" s="1796"/>
      <c r="U90" s="1217">
        <v>0</v>
      </c>
      <c r="V90" s="1217"/>
      <c r="W90" s="1217"/>
      <c r="X90" s="1217"/>
      <c r="Y90" s="1217"/>
      <c r="Z90" s="1249"/>
    </row>
    <row r="91" spans="1:26" ht="15">
      <c r="A91" s="1156" t="s">
        <v>1530</v>
      </c>
      <c r="B91" s="1156" t="s">
        <v>1562</v>
      </c>
      <c r="C91" s="1156"/>
      <c r="D91" s="1156" t="s">
        <v>1578</v>
      </c>
      <c r="E91" s="1156" t="s">
        <v>615</v>
      </c>
      <c r="F91" s="1156"/>
      <c r="G91" s="1241"/>
      <c r="H91" s="1241"/>
      <c r="I91" s="1194"/>
      <c r="J91" s="1194" t="s">
        <v>71</v>
      </c>
      <c r="K91" s="1194" t="s">
        <v>627</v>
      </c>
      <c r="L91" s="1194"/>
      <c r="M91" s="1796"/>
      <c r="N91" s="1796"/>
      <c r="O91" s="1796"/>
      <c r="P91" s="1796"/>
      <c r="Q91" s="1796"/>
      <c r="R91" s="1796"/>
      <c r="S91" s="1796"/>
      <c r="T91" s="1796"/>
      <c r="U91" s="1217">
        <v>9.1532960001749575E-4</v>
      </c>
      <c r="V91" s="1217">
        <v>7.3456312001662113E-4</v>
      </c>
      <c r="W91" s="1217">
        <v>8.8147574401994542E-4</v>
      </c>
      <c r="X91" s="1217">
        <v>8.7393849281956044E-4</v>
      </c>
      <c r="Y91" s="1217">
        <v>8.6489379137909858E-4</v>
      </c>
      <c r="Z91" s="1249"/>
    </row>
    <row r="92" spans="1:26">
      <c r="A92" s="1156" t="s">
        <v>1530</v>
      </c>
      <c r="B92" s="1156" t="s">
        <v>1562</v>
      </c>
      <c r="C92" s="1156" t="s">
        <v>367</v>
      </c>
      <c r="D92" s="1156"/>
      <c r="E92" s="1156"/>
      <c r="F92" s="1156"/>
      <c r="G92" s="1241"/>
      <c r="H92" s="1241"/>
      <c r="I92" s="1194"/>
      <c r="J92" s="1194"/>
      <c r="K92" s="1194"/>
      <c r="L92" s="1194"/>
      <c r="M92" s="1194"/>
      <c r="N92" s="1194"/>
      <c r="O92" s="1194"/>
      <c r="P92" s="1194"/>
      <c r="Q92" s="1194"/>
      <c r="R92" s="1194"/>
      <c r="S92" s="1194"/>
      <c r="T92" s="1194"/>
      <c r="U92" s="1194"/>
      <c r="V92" s="1194"/>
      <c r="W92" s="1194"/>
      <c r="X92" s="1194"/>
      <c r="Y92" s="1194"/>
      <c r="Z92" s="1241"/>
    </row>
    <row r="93" spans="1:26">
      <c r="A93" s="1156" t="s">
        <v>1530</v>
      </c>
      <c r="B93" s="1156" t="s">
        <v>1562</v>
      </c>
      <c r="C93" s="1156" t="s">
        <v>367</v>
      </c>
      <c r="D93" s="1156" t="s">
        <v>1580</v>
      </c>
      <c r="E93" s="1156"/>
      <c r="F93" s="1156"/>
      <c r="G93" s="1241"/>
      <c r="H93" s="1241"/>
      <c r="I93" s="1210" t="s">
        <v>1581</v>
      </c>
      <c r="J93" s="1194"/>
      <c r="K93" s="1194"/>
      <c r="L93" s="1194"/>
      <c r="M93" s="1203" t="s">
        <v>453</v>
      </c>
      <c r="N93" s="1203" t="s">
        <v>455</v>
      </c>
      <c r="O93" s="1203" t="s">
        <v>457</v>
      </c>
      <c r="P93" s="1203" t="s">
        <v>459</v>
      </c>
      <c r="Q93" s="1203" t="s">
        <v>461</v>
      </c>
      <c r="R93" s="1203" t="s">
        <v>463</v>
      </c>
      <c r="S93" s="1203" t="s">
        <v>465</v>
      </c>
      <c r="T93" s="1203" t="s">
        <v>467</v>
      </c>
      <c r="U93" s="1203" t="s">
        <v>469</v>
      </c>
      <c r="V93" s="1203" t="s">
        <v>471</v>
      </c>
      <c r="W93" s="1203" t="s">
        <v>473</v>
      </c>
      <c r="X93" s="1203" t="s">
        <v>475</v>
      </c>
      <c r="Y93" s="1203" t="s">
        <v>477</v>
      </c>
      <c r="Z93" s="1244"/>
    </row>
    <row r="94" spans="1:26" ht="15">
      <c r="A94" s="1156" t="s">
        <v>1530</v>
      </c>
      <c r="B94" s="1156" t="s">
        <v>1562</v>
      </c>
      <c r="C94" s="1156"/>
      <c r="D94" s="1156" t="s">
        <v>1580</v>
      </c>
      <c r="E94" s="1156" t="s">
        <v>1582</v>
      </c>
      <c r="F94" s="1156"/>
      <c r="G94" s="1241"/>
      <c r="H94" s="1241"/>
      <c r="I94" s="1194"/>
      <c r="J94" s="1215" t="s">
        <v>1583</v>
      </c>
      <c r="K94" s="1194" t="s">
        <v>627</v>
      </c>
      <c r="L94" s="1194"/>
      <c r="M94" s="1258">
        <f>M58+M64+M70+M76+M82+M88</f>
        <v>0</v>
      </c>
      <c r="N94" s="1258">
        <f t="shared" ref="N94:Y94" si="19">N58+N64+N70+N76+N82+N88</f>
        <v>0</v>
      </c>
      <c r="O94" s="1258">
        <f t="shared" si="19"/>
        <v>0</v>
      </c>
      <c r="P94" s="1258">
        <f t="shared" si="19"/>
        <v>0</v>
      </c>
      <c r="Q94" s="1258">
        <f t="shared" si="19"/>
        <v>0</v>
      </c>
      <c r="R94" s="1258">
        <f t="shared" si="19"/>
        <v>0</v>
      </c>
      <c r="S94" s="1258">
        <f t="shared" si="19"/>
        <v>0</v>
      </c>
      <c r="T94" s="1258">
        <f t="shared" si="19"/>
        <v>0</v>
      </c>
      <c r="U94" s="1258">
        <f t="shared" si="19"/>
        <v>1.0000137971634877</v>
      </c>
      <c r="V94" s="1258">
        <f t="shared" si="19"/>
        <v>1.0000075217352302</v>
      </c>
      <c r="W94" s="1258">
        <f t="shared" si="19"/>
        <v>1.0000084632406716</v>
      </c>
      <c r="X94" s="1258">
        <f t="shared" si="19"/>
        <v>1.0000099820232253</v>
      </c>
      <c r="Y94" s="1258">
        <f t="shared" si="19"/>
        <v>1.0000044052297314</v>
      </c>
      <c r="Z94" s="1259"/>
    </row>
    <row r="95" spans="1:26" ht="15">
      <c r="A95" s="1156" t="s">
        <v>1530</v>
      </c>
      <c r="B95" s="1156" t="s">
        <v>1562</v>
      </c>
      <c r="C95" s="1156"/>
      <c r="D95" s="1156" t="s">
        <v>1580</v>
      </c>
      <c r="E95" s="1156" t="s">
        <v>1584</v>
      </c>
      <c r="F95" s="1156"/>
      <c r="G95" s="1241"/>
      <c r="H95" s="1241"/>
      <c r="I95" s="1194"/>
      <c r="J95" s="1194" t="s">
        <v>1585</v>
      </c>
      <c r="K95" s="1194" t="s">
        <v>627</v>
      </c>
      <c r="L95" s="1194"/>
      <c r="M95" s="1258">
        <f t="shared" ref="M95:Y97" si="20">M59+M65+M71+M77+M83+M89</f>
        <v>0</v>
      </c>
      <c r="N95" s="1258">
        <f t="shared" si="20"/>
        <v>0</v>
      </c>
      <c r="O95" s="1258">
        <f t="shared" si="20"/>
        <v>0</v>
      </c>
      <c r="P95" s="1258">
        <f t="shared" si="20"/>
        <v>0</v>
      </c>
      <c r="Q95" s="1258">
        <f t="shared" si="20"/>
        <v>0</v>
      </c>
      <c r="R95" s="1258">
        <f t="shared" si="20"/>
        <v>0</v>
      </c>
      <c r="S95" s="1258">
        <f t="shared" si="20"/>
        <v>0</v>
      </c>
      <c r="T95" s="1258">
        <f t="shared" si="20"/>
        <v>0</v>
      </c>
      <c r="U95" s="1258">
        <f t="shared" si="20"/>
        <v>0.99999371863303588</v>
      </c>
      <c r="V95" s="1258">
        <f t="shared" si="20"/>
        <v>1.0000014972205984</v>
      </c>
      <c r="W95" s="1258">
        <f t="shared" si="20"/>
        <v>0.99999263044136899</v>
      </c>
      <c r="X95" s="1258">
        <f t="shared" si="20"/>
        <v>0.99999948301871167</v>
      </c>
      <c r="Y95" s="1258">
        <f t="shared" si="20"/>
        <v>1.0000003641561059</v>
      </c>
      <c r="Z95" s="1259"/>
    </row>
    <row r="96" spans="1:26" ht="15">
      <c r="A96" s="1156" t="s">
        <v>1530</v>
      </c>
      <c r="B96" s="1156" t="s">
        <v>1562</v>
      </c>
      <c r="C96" s="1156"/>
      <c r="D96" s="1156" t="s">
        <v>1580</v>
      </c>
      <c r="E96" s="1156" t="s">
        <v>1586</v>
      </c>
      <c r="F96" s="1156"/>
      <c r="G96" s="1241"/>
      <c r="H96" s="1241"/>
      <c r="I96" s="1194"/>
      <c r="J96" s="1194" t="s">
        <v>1587</v>
      </c>
      <c r="K96" s="1194" t="s">
        <v>627</v>
      </c>
      <c r="L96" s="1194"/>
      <c r="M96" s="1258">
        <f t="shared" si="20"/>
        <v>0</v>
      </c>
      <c r="N96" s="1258">
        <f t="shared" si="20"/>
        <v>0</v>
      </c>
      <c r="O96" s="1258">
        <f t="shared" si="20"/>
        <v>0</v>
      </c>
      <c r="P96" s="1258">
        <f t="shared" si="20"/>
        <v>0</v>
      </c>
      <c r="Q96" s="1258">
        <f t="shared" si="20"/>
        <v>0</v>
      </c>
      <c r="R96" s="1258">
        <f t="shared" si="20"/>
        <v>0</v>
      </c>
      <c r="S96" s="1258">
        <f t="shared" si="20"/>
        <v>0</v>
      </c>
      <c r="T96" s="1258">
        <f t="shared" si="20"/>
        <v>0</v>
      </c>
      <c r="U96" s="1258">
        <f t="shared" si="20"/>
        <v>1</v>
      </c>
      <c r="V96" s="1258">
        <f t="shared" si="20"/>
        <v>1</v>
      </c>
      <c r="W96" s="1258">
        <f t="shared" si="20"/>
        <v>1</v>
      </c>
      <c r="X96" s="1258">
        <f t="shared" si="20"/>
        <v>1</v>
      </c>
      <c r="Y96" s="1258">
        <f t="shared" si="20"/>
        <v>1</v>
      </c>
      <c r="Z96" s="1259"/>
    </row>
    <row r="97" spans="1:26" ht="15">
      <c r="A97" s="1156" t="s">
        <v>1530</v>
      </c>
      <c r="B97" s="1156" t="s">
        <v>1562</v>
      </c>
      <c r="C97" s="1156"/>
      <c r="D97" s="1156" t="s">
        <v>1580</v>
      </c>
      <c r="E97" s="1156" t="s">
        <v>1570</v>
      </c>
      <c r="F97" s="1156"/>
      <c r="G97" s="1241"/>
      <c r="H97" s="1241"/>
      <c r="I97" s="1194"/>
      <c r="J97" s="1194" t="s">
        <v>36</v>
      </c>
      <c r="K97" s="1194" t="s">
        <v>627</v>
      </c>
      <c r="L97" s="1194"/>
      <c r="M97" s="1258">
        <f t="shared" si="20"/>
        <v>0</v>
      </c>
      <c r="N97" s="1258">
        <f t="shared" si="20"/>
        <v>0</v>
      </c>
      <c r="O97" s="1258">
        <f t="shared" si="20"/>
        <v>0</v>
      </c>
      <c r="P97" s="1258">
        <f t="shared" si="20"/>
        <v>0</v>
      </c>
      <c r="Q97" s="1258">
        <f t="shared" si="20"/>
        <v>0</v>
      </c>
      <c r="R97" s="1258">
        <f t="shared" si="20"/>
        <v>0</v>
      </c>
      <c r="S97" s="1258">
        <f t="shared" si="20"/>
        <v>0</v>
      </c>
      <c r="T97" s="1258">
        <f t="shared" si="20"/>
        <v>0</v>
      </c>
      <c r="U97" s="1258">
        <f t="shared" si="20"/>
        <v>1.0000057486000065</v>
      </c>
      <c r="V97" s="1258">
        <f t="shared" si="20"/>
        <v>1.0000068983200077</v>
      </c>
      <c r="W97" s="1258">
        <f t="shared" si="20"/>
        <v>1.0000082779840094</v>
      </c>
      <c r="X97" s="1258">
        <f t="shared" si="20"/>
        <v>1.000008017380809</v>
      </c>
      <c r="Y97" s="1258">
        <f t="shared" si="20"/>
        <v>1.0000077046569689</v>
      </c>
      <c r="Z97" s="1259"/>
    </row>
    <row r="98" spans="1:26">
      <c r="A98" s="1156" t="s">
        <v>1530</v>
      </c>
      <c r="B98" s="1156" t="s">
        <v>1562</v>
      </c>
      <c r="C98" s="1156" t="s">
        <v>367</v>
      </c>
      <c r="D98" s="1156"/>
      <c r="E98" s="1156"/>
      <c r="F98" s="1156"/>
      <c r="G98" s="1194"/>
      <c r="H98" s="1194"/>
      <c r="I98" s="1194"/>
      <c r="J98" s="1194"/>
      <c r="K98" s="1194"/>
      <c r="L98" s="1194"/>
      <c r="M98" s="1194"/>
      <c r="N98" s="1194"/>
      <c r="O98" s="1194"/>
      <c r="P98" s="1194"/>
      <c r="Q98" s="1194"/>
      <c r="R98" s="1194"/>
      <c r="S98" s="1194"/>
      <c r="T98" s="1194"/>
      <c r="U98" s="1194"/>
      <c r="V98" s="1194"/>
      <c r="W98" s="1194"/>
      <c r="X98" s="1194"/>
      <c r="Y98" s="1194"/>
      <c r="Z98" s="1241"/>
    </row>
    <row r="99" spans="1:26">
      <c r="A99" s="1156" t="s">
        <v>1530</v>
      </c>
      <c r="B99" s="1156" t="s">
        <v>1562</v>
      </c>
      <c r="C99" s="1156" t="s">
        <v>367</v>
      </c>
      <c r="D99" s="1156"/>
      <c r="E99" s="1156"/>
      <c r="F99" s="1156"/>
      <c r="G99" s="1194"/>
      <c r="H99" s="1194"/>
      <c r="I99" s="1194"/>
      <c r="J99" s="1194"/>
      <c r="K99" s="1194"/>
      <c r="L99" s="1194"/>
      <c r="M99" s="1194"/>
      <c r="N99" s="1194"/>
      <c r="O99" s="1194"/>
      <c r="P99" s="1194"/>
      <c r="Q99" s="1194"/>
      <c r="R99" s="1194"/>
      <c r="S99" s="1194"/>
      <c r="T99" s="1194"/>
      <c r="U99" s="1194"/>
      <c r="V99" s="1194"/>
      <c r="W99" s="1194"/>
      <c r="X99" s="1194"/>
      <c r="Y99" s="1194"/>
      <c r="Z99" s="1241"/>
    </row>
    <row r="100" spans="1:26">
      <c r="A100" s="1156" t="s">
        <v>1530</v>
      </c>
      <c r="B100" s="1156" t="s">
        <v>1562</v>
      </c>
      <c r="C100" s="1156" t="s">
        <v>367</v>
      </c>
      <c r="D100" s="1156"/>
      <c r="E100" s="1156"/>
      <c r="F100" s="1156"/>
      <c r="G100" s="1194"/>
      <c r="H100" s="1210"/>
      <c r="I100" s="1194"/>
      <c r="J100" s="1194"/>
      <c r="K100" s="1194"/>
      <c r="L100" s="1194"/>
      <c r="M100" s="1203" t="s">
        <v>453</v>
      </c>
      <c r="N100" s="1203" t="s">
        <v>455</v>
      </c>
      <c r="O100" s="1203" t="s">
        <v>457</v>
      </c>
      <c r="P100" s="1203" t="s">
        <v>459</v>
      </c>
      <c r="Q100" s="1203" t="s">
        <v>461</v>
      </c>
      <c r="R100" s="1203" t="s">
        <v>463</v>
      </c>
      <c r="S100" s="1203" t="s">
        <v>465</v>
      </c>
      <c r="T100" s="1203" t="s">
        <v>467</v>
      </c>
      <c r="U100" s="1203" t="s">
        <v>469</v>
      </c>
      <c r="V100" s="1203" t="s">
        <v>471</v>
      </c>
      <c r="W100" s="1203" t="s">
        <v>473</v>
      </c>
      <c r="X100" s="1203" t="s">
        <v>475</v>
      </c>
      <c r="Y100" s="1203" t="s">
        <v>477</v>
      </c>
      <c r="Z100" s="1244"/>
    </row>
    <row r="101" spans="1:26" ht="15">
      <c r="A101" s="1156" t="s">
        <v>1530</v>
      </c>
      <c r="B101" s="1156" t="s">
        <v>1562</v>
      </c>
      <c r="C101" s="1156"/>
      <c r="D101" s="1156" t="s">
        <v>1588</v>
      </c>
      <c r="E101" s="1156"/>
      <c r="F101" s="1156" t="s">
        <v>496</v>
      </c>
      <c r="G101" s="1194"/>
      <c r="H101" s="1194"/>
      <c r="I101" s="1194"/>
      <c r="J101" s="1254" t="s">
        <v>1589</v>
      </c>
      <c r="K101" s="1212" t="s">
        <v>498</v>
      </c>
      <c r="L101" s="1194"/>
      <c r="M101" s="1260"/>
      <c r="N101" s="1260"/>
      <c r="O101" s="1260"/>
      <c r="P101" s="1260"/>
      <c r="Q101" s="1260"/>
      <c r="R101" s="1260"/>
      <c r="S101" s="1260"/>
      <c r="T101" s="1260"/>
      <c r="U101" s="1260"/>
      <c r="V101" s="1260"/>
      <c r="W101" s="1260"/>
      <c r="X101" s="1260"/>
      <c r="Y101" s="1260"/>
      <c r="Z101" s="1261"/>
    </row>
    <row r="102" spans="1:26">
      <c r="G102" s="1194"/>
      <c r="H102" s="1194"/>
      <c r="I102" s="1194"/>
      <c r="J102" s="1194"/>
      <c r="K102" s="1194"/>
      <c r="L102" s="1194"/>
      <c r="M102" s="1194"/>
      <c r="N102" s="1194"/>
      <c r="O102" s="1194"/>
      <c r="P102" s="1194"/>
      <c r="Q102" s="1194"/>
      <c r="R102" s="1194"/>
      <c r="S102" s="1194"/>
      <c r="T102" s="1194"/>
      <c r="U102" s="1194"/>
      <c r="V102" s="1194"/>
      <c r="W102" s="1194"/>
      <c r="X102" s="1194"/>
      <c r="Y102" s="1194"/>
      <c r="Z102" s="1241"/>
    </row>
    <row r="103" spans="1:26">
      <c r="G103" s="1194"/>
      <c r="H103" s="1194"/>
      <c r="I103" s="1194"/>
      <c r="J103" s="1194"/>
      <c r="K103" s="1194"/>
      <c r="L103" s="1194"/>
      <c r="M103" s="1194"/>
      <c r="N103" s="1194"/>
      <c r="O103" s="1194"/>
      <c r="P103" s="1194"/>
      <c r="Q103" s="1194"/>
      <c r="R103" s="1194"/>
      <c r="S103" s="1194"/>
      <c r="T103" s="1194"/>
      <c r="U103" s="1194"/>
      <c r="V103" s="1194"/>
      <c r="W103" s="1194"/>
      <c r="X103" s="1194"/>
      <c r="Y103" s="1194"/>
      <c r="Z103" s="1241"/>
    </row>
    <row r="104" spans="1:26"/>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1:XFD390"/>
  <sheetViews>
    <sheetView topLeftCell="G1" zoomScale="80" zoomScaleNormal="80" workbookViewId="0">
      <pane ySplit="4" topLeftCell="A108" activePane="bottomLeft" state="frozen"/>
      <selection activeCell="I137" sqref="I137"/>
      <selection pane="bottomLeft" activeCell="L126" sqref="L126:X131"/>
    </sheetView>
  </sheetViews>
  <sheetFormatPr defaultColWidth="0" defaultRowHeight="0" customHeight="1" zeroHeight="1"/>
  <cols>
    <col min="1" max="1" width="18.625" hidden="1" customWidth="1"/>
    <col min="2" max="2" width="23.375" hidden="1" customWidth="1"/>
    <col min="3" max="3" width="12" hidden="1" customWidth="1"/>
    <col min="4" max="4" width="39.25" hidden="1" customWidth="1"/>
    <col min="5" max="5" width="22.25" hidden="1" customWidth="1"/>
    <col min="6" max="6" width="14.5" hidden="1" customWidth="1"/>
    <col min="7" max="7" width="1.875" style="1194" customWidth="1"/>
    <col min="8" max="9" width="1.5" style="1194" customWidth="1"/>
    <col min="10" max="10" width="54.25" style="1194" customWidth="1"/>
    <col min="11" max="11" width="18.75" style="1194" customWidth="1"/>
    <col min="12" max="12" width="9" style="1194" customWidth="1"/>
    <col min="13" max="24" width="10.375" style="1194" customWidth="1"/>
    <col min="25" max="25" width="3.375" style="1194" customWidth="1"/>
    <col min="26" max="16384" width="9" hidden="1"/>
  </cols>
  <sheetData>
    <row r="1" spans="1:16384" ht="30" hidden="1" customHeight="1">
      <c r="A1" s="1155" t="s">
        <v>362</v>
      </c>
      <c r="B1" s="1155" t="s">
        <v>363</v>
      </c>
      <c r="C1" s="1155" t="s">
        <v>364</v>
      </c>
      <c r="D1" s="1193" t="s">
        <v>365</v>
      </c>
      <c r="E1" s="1193" t="s">
        <v>487</v>
      </c>
      <c r="F1" s="1193" t="s">
        <v>488</v>
      </c>
    </row>
    <row r="2" spans="1:16384" s="1160" customFormat="1" ht="26.25">
      <c r="A2" s="1156" t="s">
        <v>1590</v>
      </c>
      <c r="B2" s="1156" t="s">
        <v>1591</v>
      </c>
      <c r="C2" s="1156" t="s">
        <v>367</v>
      </c>
      <c r="D2" s="1195"/>
      <c r="E2" s="1195"/>
      <c r="F2" s="1195"/>
      <c r="G2" s="1" t="s">
        <v>0</v>
      </c>
      <c r="H2" s="1196"/>
      <c r="I2" s="1197"/>
      <c r="J2" s="1198"/>
      <c r="K2" s="1198"/>
      <c r="L2" s="1198"/>
      <c r="M2" s="1198"/>
      <c r="N2" s="1198"/>
      <c r="O2" s="1198"/>
      <c r="P2" s="1198"/>
      <c r="Q2" s="1198"/>
      <c r="R2" s="1198"/>
      <c r="S2" s="1198"/>
      <c r="T2" s="1198"/>
      <c r="U2" s="1198"/>
      <c r="V2" s="1198"/>
      <c r="W2" s="1198"/>
      <c r="X2" s="1198"/>
      <c r="Y2" s="1198"/>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s="1160" customFormat="1" ht="26.25">
      <c r="A3" s="1156" t="s">
        <v>1590</v>
      </c>
      <c r="B3" s="1156" t="s">
        <v>1591</v>
      </c>
      <c r="C3" s="1156" t="s">
        <v>367</v>
      </c>
      <c r="D3" s="1156"/>
      <c r="E3" s="1156"/>
      <c r="F3" s="1156"/>
      <c r="G3" s="5" t="s">
        <v>6</v>
      </c>
      <c r="H3" s="1199"/>
      <c r="I3" s="1200"/>
      <c r="J3" s="1198"/>
      <c r="K3" s="1198"/>
      <c r="L3" s="1198"/>
      <c r="M3" s="1198"/>
      <c r="N3" s="1198"/>
      <c r="O3" s="1198"/>
      <c r="P3" s="1198"/>
      <c r="Q3" s="1198"/>
      <c r="R3" s="1198"/>
      <c r="S3" s="1198"/>
      <c r="T3" s="1198"/>
      <c r="U3" s="1198"/>
      <c r="V3" s="1198"/>
      <c r="W3" s="1198"/>
      <c r="X3" s="1198"/>
      <c r="Y3" s="1198"/>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spans="1:16384" s="1321" customFormat="1" ht="27" thickBot="1">
      <c r="A4" s="1156" t="s">
        <v>1590</v>
      </c>
      <c r="B4" s="1311" t="s">
        <v>1591</v>
      </c>
      <c r="C4" s="1311" t="s">
        <v>367</v>
      </c>
      <c r="D4" s="1311"/>
      <c r="E4" s="1311"/>
      <c r="F4" s="1311"/>
      <c r="G4" s="1312" t="s">
        <v>2</v>
      </c>
      <c r="H4" s="1317"/>
      <c r="I4" s="1318"/>
      <c r="J4" s="1319"/>
      <c r="K4" s="1319"/>
      <c r="L4" s="1319"/>
      <c r="M4" s="1319"/>
      <c r="N4" s="1319"/>
      <c r="O4" s="1319"/>
      <c r="P4" s="1319"/>
      <c r="Q4" s="1319"/>
      <c r="R4" s="1319"/>
      <c r="S4" s="1319"/>
      <c r="T4" s="1319"/>
      <c r="U4" s="1319"/>
      <c r="V4" s="1319"/>
      <c r="W4" s="1319"/>
      <c r="X4" s="1319"/>
      <c r="Y4" s="1319"/>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spans="1:16384" s="1201" customFormat="1" ht="21" thickTop="1">
      <c r="A5" s="1156" t="s">
        <v>1590</v>
      </c>
      <c r="B5" s="1310" t="s">
        <v>1591</v>
      </c>
      <c r="C5" s="1310" t="s">
        <v>367</v>
      </c>
      <c r="D5" s="1310"/>
      <c r="E5" s="1310"/>
      <c r="F5" s="1322"/>
      <c r="G5" s="1309" t="s">
        <v>490</v>
      </c>
      <c r="H5" s="1244"/>
      <c r="I5" s="1244"/>
      <c r="J5" s="1244"/>
      <c r="K5" s="1244"/>
      <c r="L5" s="1244"/>
      <c r="M5" s="1244"/>
      <c r="N5" s="1244"/>
      <c r="O5" s="1244"/>
      <c r="P5" s="1244"/>
      <c r="Q5" s="1244"/>
      <c r="R5" s="1244"/>
      <c r="S5" s="1244"/>
      <c r="T5" s="1244"/>
      <c r="U5" s="1244"/>
      <c r="V5" s="1244"/>
      <c r="W5" s="1244"/>
      <c r="X5" s="1244"/>
      <c r="Y5" s="1244"/>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spans="1:16384" s="1160" customFormat="1" ht="12.75">
      <c r="A6" s="1156" t="s">
        <v>1590</v>
      </c>
      <c r="B6" s="1156" t="s">
        <v>1591</v>
      </c>
      <c r="C6" s="1156" t="s">
        <v>367</v>
      </c>
      <c r="D6" s="1156"/>
      <c r="E6" s="1156"/>
      <c r="F6" s="1156"/>
      <c r="G6" s="1204"/>
      <c r="H6" s="1204"/>
      <c r="I6" s="1204"/>
      <c r="J6"/>
      <c r="K6" s="1205"/>
      <c r="L6" s="1205"/>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spans="1:16384" s="1160" customFormat="1" ht="20.25" hidden="1">
      <c r="A7" s="1156" t="s">
        <v>1590</v>
      </c>
      <c r="B7" s="1156" t="s">
        <v>1591</v>
      </c>
      <c r="C7" s="1156" t="s">
        <v>370</v>
      </c>
      <c r="D7" s="1156"/>
      <c r="E7" s="1156"/>
      <c r="F7" s="1156"/>
      <c r="G7" s="1156" t="s">
        <v>367</v>
      </c>
      <c r="H7" s="1156" t="s">
        <v>367</v>
      </c>
      <c r="I7" s="1156" t="s">
        <v>367</v>
      </c>
      <c r="J7" s="1156" t="s">
        <v>367</v>
      </c>
      <c r="K7" s="1156" t="s">
        <v>492</v>
      </c>
      <c r="L7" s="1156" t="s">
        <v>371</v>
      </c>
      <c r="M7" s="1156" t="s">
        <v>371</v>
      </c>
      <c r="N7" s="1156" t="s">
        <v>371</v>
      </c>
      <c r="O7" s="1156" t="s">
        <v>371</v>
      </c>
      <c r="P7" s="1156" t="s">
        <v>371</v>
      </c>
      <c r="Q7" s="1156" t="s">
        <v>371</v>
      </c>
      <c r="R7" s="1156" t="s">
        <v>371</v>
      </c>
      <c r="S7" s="1156" t="s">
        <v>371</v>
      </c>
      <c r="T7" s="1156" t="s">
        <v>371</v>
      </c>
      <c r="U7" s="1156" t="s">
        <v>371</v>
      </c>
      <c r="V7" s="1156" t="s">
        <v>371</v>
      </c>
      <c r="W7" s="1156" t="s">
        <v>371</v>
      </c>
      <c r="X7" s="1156" t="s">
        <v>371</v>
      </c>
      <c r="Y7" s="1206"/>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spans="1:16384" s="1206" customFormat="1" ht="15" customHeight="1">
      <c r="A8" s="1156" t="s">
        <v>1590</v>
      </c>
      <c r="B8" s="1156" t="s">
        <v>1591</v>
      </c>
      <c r="C8" s="1156" t="s">
        <v>367</v>
      </c>
      <c r="D8" s="1156"/>
      <c r="E8" s="1156"/>
      <c r="F8" s="1156"/>
      <c r="G8" s="1207" t="s">
        <v>1592</v>
      </c>
      <c r="H8" s="1208"/>
      <c r="I8" s="1208"/>
      <c r="J8" s="1209"/>
      <c r="K8" s="1209"/>
      <c r="L8" s="1209"/>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spans="1:16384" ht="20.25">
      <c r="A9" s="1156" t="s">
        <v>1590</v>
      </c>
      <c r="B9" s="1156" t="s">
        <v>1591</v>
      </c>
      <c r="C9" s="1156" t="s">
        <v>415</v>
      </c>
      <c r="D9" s="1156"/>
      <c r="E9" s="1156"/>
      <c r="F9" s="1156"/>
      <c r="I9" s="1210" t="s">
        <v>1593</v>
      </c>
      <c r="K9" s="1209"/>
      <c r="L9" s="1203" t="s">
        <v>453</v>
      </c>
      <c r="M9" s="1203" t="s">
        <v>455</v>
      </c>
      <c r="N9" s="1203" t="s">
        <v>457</v>
      </c>
      <c r="O9" s="1203" t="s">
        <v>459</v>
      </c>
      <c r="P9" s="1203" t="s">
        <v>461</v>
      </c>
      <c r="Q9" s="1203" t="s">
        <v>463</v>
      </c>
      <c r="R9" s="1203" t="s">
        <v>465</v>
      </c>
      <c r="S9" s="1203" t="s">
        <v>467</v>
      </c>
      <c r="T9" s="1203" t="s">
        <v>469</v>
      </c>
      <c r="U9" s="1203" t="s">
        <v>471</v>
      </c>
      <c r="V9" s="1203" t="s">
        <v>473</v>
      </c>
      <c r="W9" s="1203" t="s">
        <v>475</v>
      </c>
      <c r="X9" s="1203" t="s">
        <v>477</v>
      </c>
    </row>
    <row r="10" spans="1:16384" ht="15">
      <c r="A10" s="1156" t="s">
        <v>1590</v>
      </c>
      <c r="B10" s="1156" t="s">
        <v>1591</v>
      </c>
      <c r="C10" s="1156"/>
      <c r="D10" s="1156" t="s">
        <v>1594</v>
      </c>
      <c r="E10" s="1156" t="s">
        <v>1595</v>
      </c>
      <c r="F10" s="1156" t="s">
        <v>496</v>
      </c>
      <c r="J10" s="1194" t="s">
        <v>1596</v>
      </c>
      <c r="K10" s="1212" t="s">
        <v>498</v>
      </c>
      <c r="L10" s="1213"/>
      <c r="M10" s="1213"/>
      <c r="N10" s="1213"/>
      <c r="O10" s="1213"/>
      <c r="P10" s="1213"/>
      <c r="Q10" s="1213"/>
      <c r="R10" s="1213"/>
      <c r="S10" s="1213"/>
      <c r="T10" s="1213"/>
      <c r="U10" s="1213"/>
      <c r="V10" s="1213"/>
      <c r="W10" s="1213"/>
      <c r="X10" s="1213"/>
    </row>
    <row r="11" spans="1:16384" ht="15">
      <c r="A11" s="1156" t="s">
        <v>1590</v>
      </c>
      <c r="B11" s="1156" t="s">
        <v>1591</v>
      </c>
      <c r="C11" s="1156"/>
      <c r="D11" s="1156" t="s">
        <v>1594</v>
      </c>
      <c r="E11" s="1156" t="s">
        <v>1597</v>
      </c>
      <c r="F11" s="1156" t="s">
        <v>496</v>
      </c>
      <c r="J11" s="1194" t="s">
        <v>1598</v>
      </c>
      <c r="K11" s="1212" t="s">
        <v>498</v>
      </c>
      <c r="L11" s="1213"/>
      <c r="M11" s="1213"/>
      <c r="N11" s="1213"/>
      <c r="O11" s="1213"/>
      <c r="P11" s="1213"/>
      <c r="Q11" s="1213"/>
      <c r="R11" s="1213"/>
      <c r="S11" s="1213"/>
      <c r="T11" s="1213"/>
      <c r="U11" s="1213"/>
      <c r="V11" s="1213"/>
      <c r="W11" s="1213"/>
      <c r="X11" s="1213"/>
    </row>
    <row r="12" spans="1:16384" ht="12.75">
      <c r="A12" s="1156" t="s">
        <v>1590</v>
      </c>
      <c r="B12" s="1156" t="s">
        <v>1591</v>
      </c>
      <c r="C12" s="1156"/>
      <c r="D12" s="1156" t="s">
        <v>1594</v>
      </c>
      <c r="E12" s="1156" t="s">
        <v>1599</v>
      </c>
      <c r="F12" s="1156" t="s">
        <v>496</v>
      </c>
      <c r="J12" s="1194" t="s">
        <v>1600</v>
      </c>
      <c r="K12" s="1212" t="s">
        <v>498</v>
      </c>
      <c r="L12" s="1214">
        <f>+L10-L11</f>
        <v>0</v>
      </c>
      <c r="M12" s="1214">
        <f t="shared" ref="M12:P12" si="0">+M10-M11</f>
        <v>0</v>
      </c>
      <c r="N12" s="1214">
        <f t="shared" si="0"/>
        <v>0</v>
      </c>
      <c r="O12" s="1214">
        <f t="shared" si="0"/>
        <v>0</v>
      </c>
      <c r="P12" s="1214">
        <f t="shared" si="0"/>
        <v>0</v>
      </c>
      <c r="Q12" s="1214">
        <f>+Q10-Q11</f>
        <v>0</v>
      </c>
      <c r="R12" s="1214">
        <f t="shared" ref="R12:X12" si="1">+R10-R11</f>
        <v>0</v>
      </c>
      <c r="S12" s="1214">
        <f t="shared" si="1"/>
        <v>0</v>
      </c>
      <c r="T12" s="1214">
        <f t="shared" si="1"/>
        <v>0</v>
      </c>
      <c r="U12" s="1214">
        <f t="shared" si="1"/>
        <v>0</v>
      </c>
      <c r="V12" s="1214">
        <f t="shared" si="1"/>
        <v>0</v>
      </c>
      <c r="W12" s="1214">
        <f t="shared" si="1"/>
        <v>0</v>
      </c>
      <c r="X12" s="1214">
        <f t="shared" si="1"/>
        <v>0</v>
      </c>
    </row>
    <row r="13" spans="1:16384" ht="15">
      <c r="A13" s="1156" t="s">
        <v>1590</v>
      </c>
      <c r="B13" s="1156" t="s">
        <v>1591</v>
      </c>
      <c r="C13" s="1156"/>
      <c r="D13" s="1156" t="s">
        <v>1594</v>
      </c>
      <c r="E13" s="1156" t="s">
        <v>1601</v>
      </c>
      <c r="F13" s="1156" t="s">
        <v>496</v>
      </c>
      <c r="J13" s="1194" t="s">
        <v>1602</v>
      </c>
      <c r="K13" s="1212" t="s">
        <v>498</v>
      </c>
      <c r="L13" s="1213"/>
      <c r="M13" s="1213"/>
      <c r="N13" s="1213"/>
      <c r="O13" s="1213"/>
      <c r="P13" s="1213"/>
      <c r="Q13" s="1213"/>
      <c r="R13" s="1213"/>
      <c r="S13" s="1213"/>
      <c r="T13" s="1213"/>
      <c r="U13" s="1213"/>
      <c r="V13" s="1213"/>
      <c r="W13" s="1213"/>
      <c r="X13" s="1213"/>
    </row>
    <row r="14" spans="1:16384" ht="15">
      <c r="A14" s="1156" t="s">
        <v>1590</v>
      </c>
      <c r="B14" s="1156" t="s">
        <v>1591</v>
      </c>
      <c r="C14" s="1156"/>
      <c r="D14" s="1156" t="s">
        <v>1594</v>
      </c>
      <c r="E14" s="1156" t="s">
        <v>1603</v>
      </c>
      <c r="F14" s="1156" t="s">
        <v>496</v>
      </c>
      <c r="J14" s="1215" t="s">
        <v>1604</v>
      </c>
      <c r="K14" s="1212" t="s">
        <v>498</v>
      </c>
      <c r="L14" s="1213"/>
      <c r="M14" s="1213"/>
      <c r="N14" s="1213"/>
      <c r="O14" s="1213"/>
      <c r="P14" s="1213"/>
      <c r="Q14" s="1213"/>
      <c r="R14" s="1213"/>
      <c r="S14" s="1213"/>
      <c r="T14" s="1213"/>
      <c r="U14" s="1213"/>
      <c r="V14" s="1213"/>
      <c r="W14" s="1213"/>
      <c r="X14" s="1213"/>
    </row>
    <row r="15" spans="1:16384" ht="12.75">
      <c r="A15" s="1156" t="s">
        <v>1590</v>
      </c>
      <c r="B15" s="1156" t="s">
        <v>1591</v>
      </c>
      <c r="C15" s="1156"/>
      <c r="D15" s="1156" t="s">
        <v>1594</v>
      </c>
      <c r="E15" s="1156" t="s">
        <v>1605</v>
      </c>
      <c r="F15" s="1156" t="s">
        <v>496</v>
      </c>
      <c r="J15" s="1215" t="s">
        <v>1606</v>
      </c>
      <c r="K15" s="1212" t="s">
        <v>498</v>
      </c>
      <c r="L15" s="1214">
        <f>+L13-L12</f>
        <v>0</v>
      </c>
      <c r="M15" s="1214">
        <f t="shared" ref="M15:P15" si="2">+M13-M12</f>
        <v>0</v>
      </c>
      <c r="N15" s="1214">
        <f t="shared" si="2"/>
        <v>0</v>
      </c>
      <c r="O15" s="1214">
        <f t="shared" si="2"/>
        <v>0</v>
      </c>
      <c r="P15" s="1214">
        <f t="shared" si="2"/>
        <v>0</v>
      </c>
      <c r="Q15" s="1214">
        <f>+Q13-Q12</f>
        <v>0</v>
      </c>
      <c r="R15" s="1214">
        <f t="shared" ref="R15:X15" si="3">+R13-R12</f>
        <v>0</v>
      </c>
      <c r="S15" s="1214">
        <f t="shared" si="3"/>
        <v>0</v>
      </c>
      <c r="T15" s="1214">
        <f t="shared" si="3"/>
        <v>0</v>
      </c>
      <c r="U15" s="1214">
        <f t="shared" si="3"/>
        <v>0</v>
      </c>
      <c r="V15" s="1214">
        <f t="shared" si="3"/>
        <v>0</v>
      </c>
      <c r="W15" s="1214">
        <f t="shared" si="3"/>
        <v>0</v>
      </c>
      <c r="X15" s="1214">
        <f t="shared" si="3"/>
        <v>0</v>
      </c>
    </row>
    <row r="16" spans="1:16384" s="20" customFormat="1" ht="14.25">
      <c r="A16" s="1156" t="s">
        <v>1590</v>
      </c>
      <c r="B16" s="1156" t="s">
        <v>1591</v>
      </c>
      <c r="C16" s="1156" t="s">
        <v>367</v>
      </c>
      <c r="D16" s="1156"/>
      <c r="E16" s="1156"/>
      <c r="F16" s="1156"/>
      <c r="I16" s="1194"/>
      <c r="L16"/>
      <c r="M16"/>
      <c r="N16"/>
      <c r="O16"/>
      <c r="P16"/>
      <c r="Q16"/>
      <c r="R16"/>
      <c r="S16"/>
      <c r="T16"/>
      <c r="U16"/>
      <c r="V16"/>
      <c r="W16"/>
      <c r="X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row>
    <row r="17" spans="1:29" s="1194" customFormat="1" ht="12.75">
      <c r="A17" s="1156" t="s">
        <v>1590</v>
      </c>
      <c r="B17" s="1156" t="s">
        <v>1591</v>
      </c>
      <c r="C17" s="1156" t="s">
        <v>367</v>
      </c>
      <c r="D17" s="1156"/>
      <c r="E17" s="1156"/>
      <c r="F17" s="1156"/>
      <c r="I17" s="1210" t="s">
        <v>1607</v>
      </c>
      <c r="K17" s="1216"/>
      <c r="L17" s="1203" t="s">
        <v>453</v>
      </c>
      <c r="M17" s="1203" t="s">
        <v>455</v>
      </c>
      <c r="N17" s="1203" t="s">
        <v>457</v>
      </c>
      <c r="O17" s="1203" t="s">
        <v>459</v>
      </c>
      <c r="P17" s="1203" t="s">
        <v>461</v>
      </c>
      <c r="Q17" s="1203" t="s">
        <v>463</v>
      </c>
      <c r="R17" s="1203" t="s">
        <v>465</v>
      </c>
      <c r="S17" s="1203" t="s">
        <v>467</v>
      </c>
      <c r="T17" s="1203" t="s">
        <v>469</v>
      </c>
      <c r="U17" s="1203" t="s">
        <v>471</v>
      </c>
      <c r="V17" s="1203" t="s">
        <v>473</v>
      </c>
      <c r="W17" s="1203" t="s">
        <v>475</v>
      </c>
      <c r="X17" s="1203" t="s">
        <v>477</v>
      </c>
      <c r="Z17"/>
      <c r="AA17"/>
      <c r="AB17"/>
      <c r="AC17"/>
    </row>
    <row r="18" spans="1:29" s="1194" customFormat="1" ht="15">
      <c r="A18" s="1156" t="s">
        <v>1590</v>
      </c>
      <c r="B18" s="1156" t="s">
        <v>1591</v>
      </c>
      <c r="C18" s="1156"/>
      <c r="D18" s="1156" t="s">
        <v>1608</v>
      </c>
      <c r="E18" s="1156" t="s">
        <v>1595</v>
      </c>
      <c r="F18" s="1156" t="s">
        <v>496</v>
      </c>
      <c r="J18" s="1194" t="s">
        <v>1596</v>
      </c>
      <c r="K18" s="1212" t="s">
        <v>498</v>
      </c>
      <c r="L18" s="1213"/>
      <c r="M18" s="1213"/>
      <c r="N18" s="1213"/>
      <c r="O18" s="1213"/>
      <c r="P18" s="1213"/>
      <c r="Q18" s="1213"/>
      <c r="R18" s="1213"/>
      <c r="S18" s="1213"/>
      <c r="T18" s="1213"/>
      <c r="U18" s="1213"/>
      <c r="V18" s="1213"/>
      <c r="W18" s="1213"/>
      <c r="X18" s="1213"/>
      <c r="Z18"/>
      <c r="AA18"/>
      <c r="AB18"/>
      <c r="AC18"/>
    </row>
    <row r="19" spans="1:29" s="1194" customFormat="1" ht="15">
      <c r="A19" s="1156" t="s">
        <v>1590</v>
      </c>
      <c r="B19" s="1156" t="s">
        <v>1591</v>
      </c>
      <c r="C19" s="1156"/>
      <c r="D19" s="1156" t="s">
        <v>1608</v>
      </c>
      <c r="E19" s="1156" t="s">
        <v>1597</v>
      </c>
      <c r="F19" s="1156" t="s">
        <v>496</v>
      </c>
      <c r="J19" s="1194" t="s">
        <v>1598</v>
      </c>
      <c r="K19" s="1212" t="s">
        <v>498</v>
      </c>
      <c r="L19" s="1213"/>
      <c r="M19" s="1213"/>
      <c r="N19" s="1213"/>
      <c r="O19" s="1213"/>
      <c r="P19" s="1213"/>
      <c r="Q19" s="1213"/>
      <c r="R19" s="1213"/>
      <c r="S19" s="1213"/>
      <c r="T19" s="1213"/>
      <c r="U19" s="1213"/>
      <c r="V19" s="1213"/>
      <c r="W19" s="1213"/>
      <c r="X19" s="1213"/>
      <c r="Z19"/>
      <c r="AA19"/>
      <c r="AB19"/>
      <c r="AC19"/>
    </row>
    <row r="20" spans="1:29" s="1194" customFormat="1" ht="12.75">
      <c r="A20" s="1156" t="s">
        <v>1590</v>
      </c>
      <c r="B20" s="1156" t="s">
        <v>1591</v>
      </c>
      <c r="C20" s="1156"/>
      <c r="D20" s="1156" t="s">
        <v>1608</v>
      </c>
      <c r="E20" s="1156" t="s">
        <v>1599</v>
      </c>
      <c r="F20" s="1156" t="s">
        <v>496</v>
      </c>
      <c r="J20" s="1194" t="s">
        <v>1600</v>
      </c>
      <c r="K20" s="1212" t="s">
        <v>498</v>
      </c>
      <c r="L20" s="1214">
        <f>+L18-L19</f>
        <v>0</v>
      </c>
      <c r="M20" s="1214">
        <f t="shared" ref="M20:P20" si="4">+M18-M19</f>
        <v>0</v>
      </c>
      <c r="N20" s="1214">
        <f t="shared" si="4"/>
        <v>0</v>
      </c>
      <c r="O20" s="1214">
        <f t="shared" si="4"/>
        <v>0</v>
      </c>
      <c r="P20" s="1214">
        <f t="shared" si="4"/>
        <v>0</v>
      </c>
      <c r="Q20" s="1214">
        <f>+Q18-Q19</f>
        <v>0</v>
      </c>
      <c r="R20" s="1214">
        <f t="shared" ref="R20:X20" si="5">+R18-R19</f>
        <v>0</v>
      </c>
      <c r="S20" s="1214">
        <f t="shared" si="5"/>
        <v>0</v>
      </c>
      <c r="T20" s="1214">
        <f t="shared" si="5"/>
        <v>0</v>
      </c>
      <c r="U20" s="1214">
        <f t="shared" si="5"/>
        <v>0</v>
      </c>
      <c r="V20" s="1214">
        <f t="shared" si="5"/>
        <v>0</v>
      </c>
      <c r="W20" s="1214">
        <f t="shared" si="5"/>
        <v>0</v>
      </c>
      <c r="X20" s="1214">
        <f t="shared" si="5"/>
        <v>0</v>
      </c>
      <c r="Z20"/>
      <c r="AA20"/>
      <c r="AB20"/>
      <c r="AC20"/>
    </row>
    <row r="21" spans="1:29" s="1194" customFormat="1" ht="15">
      <c r="A21" s="1156" t="s">
        <v>1590</v>
      </c>
      <c r="B21" s="1156" t="s">
        <v>1591</v>
      </c>
      <c r="C21" s="1156"/>
      <c r="D21" s="1156" t="s">
        <v>1608</v>
      </c>
      <c r="E21" s="1156" t="s">
        <v>1601</v>
      </c>
      <c r="F21" s="1156" t="s">
        <v>496</v>
      </c>
      <c r="J21" s="1194" t="s">
        <v>1602</v>
      </c>
      <c r="K21" s="1212" t="s">
        <v>498</v>
      </c>
      <c r="L21" s="1213"/>
      <c r="M21" s="1213"/>
      <c r="N21" s="1213"/>
      <c r="O21" s="1213"/>
      <c r="P21" s="1213"/>
      <c r="Q21" s="1213"/>
      <c r="R21" s="1213"/>
      <c r="S21" s="1213"/>
      <c r="T21" s="1213"/>
      <c r="U21" s="1213"/>
      <c r="V21" s="1213"/>
      <c r="W21" s="1213"/>
      <c r="X21" s="1213"/>
      <c r="Z21"/>
      <c r="AA21"/>
      <c r="AB21"/>
      <c r="AC21"/>
    </row>
    <row r="22" spans="1:29" s="1194" customFormat="1" ht="15">
      <c r="A22" s="1156" t="s">
        <v>1590</v>
      </c>
      <c r="B22" s="1156" t="s">
        <v>1591</v>
      </c>
      <c r="C22" s="1156"/>
      <c r="D22" s="1156" t="s">
        <v>1608</v>
      </c>
      <c r="E22" s="1156" t="s">
        <v>1603</v>
      </c>
      <c r="F22" s="1156" t="s">
        <v>496</v>
      </c>
      <c r="J22" s="1194" t="s">
        <v>1604</v>
      </c>
      <c r="K22" s="1212" t="s">
        <v>498</v>
      </c>
      <c r="L22" s="1213"/>
      <c r="M22" s="1213"/>
      <c r="N22" s="1213"/>
      <c r="O22" s="1213"/>
      <c r="P22" s="1213"/>
      <c r="Q22" s="1213"/>
      <c r="R22" s="1213"/>
      <c r="S22" s="1213"/>
      <c r="T22" s="1213"/>
      <c r="U22" s="1213"/>
      <c r="V22" s="1213"/>
      <c r="W22" s="1213"/>
      <c r="X22" s="1213"/>
      <c r="Z22"/>
      <c r="AA22"/>
      <c r="AB22"/>
      <c r="AC22"/>
    </row>
    <row r="23" spans="1:29" s="1194" customFormat="1" ht="12.75">
      <c r="A23" s="1156" t="s">
        <v>1590</v>
      </c>
      <c r="B23" s="1156" t="s">
        <v>1591</v>
      </c>
      <c r="C23" s="1156"/>
      <c r="D23" s="1156" t="s">
        <v>1608</v>
      </c>
      <c r="E23" s="1156" t="s">
        <v>1605</v>
      </c>
      <c r="F23" s="1156" t="s">
        <v>496</v>
      </c>
      <c r="J23" s="1194" t="s">
        <v>1606</v>
      </c>
      <c r="K23" s="1212" t="s">
        <v>498</v>
      </c>
      <c r="L23" s="1214">
        <f>+L21-L20</f>
        <v>0</v>
      </c>
      <c r="M23" s="1214">
        <f t="shared" ref="M23:P23" si="6">+M21-M20</f>
        <v>0</v>
      </c>
      <c r="N23" s="1214">
        <f t="shared" si="6"/>
        <v>0</v>
      </c>
      <c r="O23" s="1214">
        <f t="shared" si="6"/>
        <v>0</v>
      </c>
      <c r="P23" s="1214">
        <f t="shared" si="6"/>
        <v>0</v>
      </c>
      <c r="Q23" s="1214">
        <f>+Q21-Q20</f>
        <v>0</v>
      </c>
      <c r="R23" s="1214">
        <f t="shared" ref="R23:X23" si="7">+R21-R20</f>
        <v>0</v>
      </c>
      <c r="S23" s="1214">
        <f t="shared" si="7"/>
        <v>0</v>
      </c>
      <c r="T23" s="1214">
        <f t="shared" si="7"/>
        <v>0</v>
      </c>
      <c r="U23" s="1214">
        <f t="shared" si="7"/>
        <v>0</v>
      </c>
      <c r="V23" s="1214">
        <f t="shared" si="7"/>
        <v>0</v>
      </c>
      <c r="W23" s="1214">
        <f t="shared" si="7"/>
        <v>0</v>
      </c>
      <c r="X23" s="1214">
        <f t="shared" si="7"/>
        <v>0</v>
      </c>
      <c r="Z23"/>
      <c r="AA23"/>
      <c r="AB23"/>
      <c r="AC23"/>
    </row>
    <row r="24" spans="1:29" s="20" customFormat="1" ht="14.25">
      <c r="A24" s="1156" t="s">
        <v>1590</v>
      </c>
      <c r="B24" s="1156" t="s">
        <v>1591</v>
      </c>
      <c r="C24" s="1156" t="s">
        <v>367</v>
      </c>
      <c r="D24" s="1156"/>
      <c r="E24" s="1156"/>
      <c r="F24" s="1156"/>
      <c r="L24"/>
      <c r="M24"/>
      <c r="N24"/>
      <c r="O24"/>
      <c r="P24"/>
      <c r="Q24"/>
      <c r="R24"/>
      <c r="S24"/>
      <c r="T24"/>
      <c r="U24"/>
      <c r="V24"/>
      <c r="W24"/>
      <c r="X24"/>
      <c r="Z24"/>
      <c r="AA24"/>
      <c r="AB24"/>
      <c r="AC24"/>
    </row>
    <row r="25" spans="1:29" s="1194" customFormat="1" ht="12.75">
      <c r="A25" s="1156" t="s">
        <v>1590</v>
      </c>
      <c r="B25" s="1156" t="s">
        <v>1591</v>
      </c>
      <c r="C25" s="1156" t="s">
        <v>367</v>
      </c>
      <c r="D25" s="1156" t="s">
        <v>1609</v>
      </c>
      <c r="E25" s="1156"/>
      <c r="F25" s="1156"/>
      <c r="I25" s="1210" t="s">
        <v>1610</v>
      </c>
      <c r="K25" s="1216"/>
      <c r="L25" s="1203" t="s">
        <v>453</v>
      </c>
      <c r="M25" s="1203" t="s">
        <v>455</v>
      </c>
      <c r="N25" s="1203" t="s">
        <v>457</v>
      </c>
      <c r="O25" s="1203" t="s">
        <v>459</v>
      </c>
      <c r="P25" s="1203" t="s">
        <v>461</v>
      </c>
      <c r="Q25" s="1203" t="s">
        <v>463</v>
      </c>
      <c r="R25" s="1203" t="s">
        <v>465</v>
      </c>
      <c r="S25" s="1203" t="s">
        <v>467</v>
      </c>
      <c r="T25" s="1203" t="s">
        <v>469</v>
      </c>
      <c r="U25" s="1203" t="s">
        <v>471</v>
      </c>
      <c r="V25" s="1203" t="s">
        <v>473</v>
      </c>
      <c r="W25" s="1203" t="s">
        <v>475</v>
      </c>
      <c r="X25" s="1203" t="s">
        <v>477</v>
      </c>
      <c r="Z25"/>
      <c r="AA25"/>
      <c r="AB25"/>
      <c r="AC25"/>
    </row>
    <row r="26" spans="1:29" s="1194" customFormat="1" ht="15">
      <c r="A26" s="1156" t="s">
        <v>1590</v>
      </c>
      <c r="B26" s="1156" t="s">
        <v>1591</v>
      </c>
      <c r="C26" s="1156"/>
      <c r="D26" s="1156" t="s">
        <v>1609</v>
      </c>
      <c r="E26" s="1156" t="s">
        <v>1595</v>
      </c>
      <c r="F26" s="1156" t="s">
        <v>496</v>
      </c>
      <c r="J26" s="1194" t="s">
        <v>1596</v>
      </c>
      <c r="K26" s="1212" t="s">
        <v>498</v>
      </c>
      <c r="L26" s="1213">
        <v>0.11254303495762713</v>
      </c>
      <c r="M26" s="1213">
        <v>11.810646103896103</v>
      </c>
      <c r="N26" s="1213">
        <v>4.8049209816266218</v>
      </c>
      <c r="O26" s="1213">
        <v>2.2451555080348435</v>
      </c>
      <c r="P26" s="1213">
        <v>0.10305556397587075</v>
      </c>
      <c r="Q26" s="1213">
        <v>0.4</v>
      </c>
      <c r="R26" s="1213">
        <v>0.97179190283568295</v>
      </c>
      <c r="S26" s="1213">
        <v>0.94501746111718155</v>
      </c>
      <c r="T26" s="1213">
        <v>0.92659217688205142</v>
      </c>
      <c r="U26" s="1213">
        <v>0.90842644628745906</v>
      </c>
      <c r="V26" s="1213">
        <v>0.89061416474208355</v>
      </c>
      <c r="W26" s="1213">
        <v>0.87315114358553592</v>
      </c>
      <c r="X26" s="1213">
        <v>0.856030534575557</v>
      </c>
      <c r="Z26"/>
      <c r="AA26"/>
      <c r="AB26"/>
      <c r="AC26"/>
    </row>
    <row r="27" spans="1:29" s="1194" customFormat="1" ht="15">
      <c r="A27" s="1156" t="s">
        <v>1590</v>
      </c>
      <c r="B27" s="1156" t="s">
        <v>1591</v>
      </c>
      <c r="C27" s="1156"/>
      <c r="D27" s="1156" t="s">
        <v>1609</v>
      </c>
      <c r="E27" s="1156" t="s">
        <v>1597</v>
      </c>
      <c r="F27" s="1156" t="s">
        <v>496</v>
      </c>
      <c r="J27" s="1194" t="s">
        <v>1598</v>
      </c>
      <c r="K27" s="1212" t="s">
        <v>498</v>
      </c>
      <c r="L27" s="1213"/>
      <c r="M27" s="1213">
        <v>10.706847402597401</v>
      </c>
      <c r="N27" s="1213">
        <v>4.6957182320441984</v>
      </c>
      <c r="O27" s="1213">
        <v>2.2451555080348435</v>
      </c>
      <c r="P27" s="1213">
        <v>0.10305556397587075</v>
      </c>
      <c r="Q27" s="1213">
        <v>0.3</v>
      </c>
      <c r="R27" s="1213">
        <v>0.8746127125521147</v>
      </c>
      <c r="S27" s="1213">
        <v>0.85051571500546341</v>
      </c>
      <c r="T27" s="1213">
        <v>0.83393295919384625</v>
      </c>
      <c r="U27" s="1213">
        <v>0.81758380165871314</v>
      </c>
      <c r="V27" s="1213">
        <v>0.80155274826787526</v>
      </c>
      <c r="W27" s="1213">
        <v>0.78583602922698237</v>
      </c>
      <c r="X27" s="1213">
        <v>0.7704274811180013</v>
      </c>
      <c r="Z27"/>
      <c r="AA27"/>
      <c r="AB27"/>
      <c r="AC27"/>
    </row>
    <row r="28" spans="1:29" s="1194" customFormat="1" ht="12.75">
      <c r="A28" s="1156" t="s">
        <v>1590</v>
      </c>
      <c r="B28" s="1156" t="s">
        <v>1591</v>
      </c>
      <c r="C28" s="1156"/>
      <c r="D28" s="1156" t="s">
        <v>1609</v>
      </c>
      <c r="E28" s="1156" t="s">
        <v>1599</v>
      </c>
      <c r="F28" s="1156" t="s">
        <v>496</v>
      </c>
      <c r="J28" s="1194" t="s">
        <v>1600</v>
      </c>
      <c r="K28" s="1212" t="s">
        <v>498</v>
      </c>
      <c r="L28" s="1214">
        <f>+L26-L27</f>
        <v>0.11254303495762713</v>
      </c>
      <c r="M28" s="1214">
        <f t="shared" ref="M28:P28" si="8">+M26-M27</f>
        <v>1.1037987012987021</v>
      </c>
      <c r="N28" s="1214">
        <f t="shared" si="8"/>
        <v>0.10920274958242349</v>
      </c>
      <c r="O28" s="1214">
        <f t="shared" si="8"/>
        <v>0</v>
      </c>
      <c r="P28" s="1214">
        <f t="shared" si="8"/>
        <v>0</v>
      </c>
      <c r="Q28" s="1214">
        <f>+Q26-Q27</f>
        <v>0.10000000000000003</v>
      </c>
      <c r="R28" s="1214">
        <f t="shared" ref="R28:X28" si="9">+R26-R27</f>
        <v>9.7179190283568251E-2</v>
      </c>
      <c r="S28" s="1214">
        <f t="shared" si="9"/>
        <v>9.4501746111718132E-2</v>
      </c>
      <c r="T28" s="1214">
        <f t="shared" si="9"/>
        <v>9.2659217688205175E-2</v>
      </c>
      <c r="U28" s="1214">
        <f t="shared" si="9"/>
        <v>9.0842644628745917E-2</v>
      </c>
      <c r="V28" s="1214">
        <f t="shared" si="9"/>
        <v>8.9061416474208288E-2</v>
      </c>
      <c r="W28" s="1214">
        <f t="shared" si="9"/>
        <v>8.7315114358553547E-2</v>
      </c>
      <c r="X28" s="1214">
        <f t="shared" si="9"/>
        <v>8.56030534575557E-2</v>
      </c>
      <c r="Z28"/>
      <c r="AA28"/>
      <c r="AB28"/>
      <c r="AC28"/>
    </row>
    <row r="29" spans="1:29" s="1194" customFormat="1" ht="15">
      <c r="A29" s="1156" t="s">
        <v>1590</v>
      </c>
      <c r="B29" s="1156" t="s">
        <v>1591</v>
      </c>
      <c r="C29" s="1156"/>
      <c r="D29" s="1156" t="s">
        <v>1609</v>
      </c>
      <c r="E29" s="1156" t="s">
        <v>1601</v>
      </c>
      <c r="F29" s="1156" t="s">
        <v>496</v>
      </c>
      <c r="J29" s="1194" t="s">
        <v>1602</v>
      </c>
      <c r="K29" s="1212" t="s">
        <v>498</v>
      </c>
      <c r="L29" s="1213">
        <v>0.90034427966101704</v>
      </c>
      <c r="M29" s="1213">
        <v>1.5453181818181816</v>
      </c>
      <c r="N29" s="1213"/>
      <c r="O29" s="1213"/>
      <c r="P29" s="1213"/>
      <c r="Q29" s="1213"/>
      <c r="R29" s="1213"/>
      <c r="S29" s="1213"/>
      <c r="T29" s="1213"/>
      <c r="U29" s="1213"/>
      <c r="V29" s="1213"/>
      <c r="W29" s="1213"/>
      <c r="X29" s="1213"/>
      <c r="Z29"/>
      <c r="AA29"/>
      <c r="AB29"/>
      <c r="AC29"/>
    </row>
    <row r="30" spans="1:29" s="1194" customFormat="1" ht="15">
      <c r="A30" s="1156" t="s">
        <v>1590</v>
      </c>
      <c r="B30" s="1156" t="s">
        <v>1591</v>
      </c>
      <c r="C30" s="1156"/>
      <c r="D30" s="1156" t="s">
        <v>1609</v>
      </c>
      <c r="E30" s="1156" t="s">
        <v>1603</v>
      </c>
      <c r="F30" s="1156" t="s">
        <v>496</v>
      </c>
      <c r="J30" s="1194" t="s">
        <v>1604</v>
      </c>
      <c r="K30" s="1212" t="s">
        <v>498</v>
      </c>
      <c r="L30" s="1213"/>
      <c r="M30" s="1213"/>
      <c r="N30" s="1213"/>
      <c r="O30" s="1213"/>
      <c r="P30" s="1213"/>
      <c r="Q30" s="1213"/>
      <c r="R30" s="1213"/>
      <c r="S30" s="1213"/>
      <c r="T30" s="1213"/>
      <c r="U30" s="1213"/>
      <c r="V30" s="1213"/>
      <c r="W30" s="1213"/>
      <c r="X30" s="1213"/>
      <c r="Z30"/>
      <c r="AA30"/>
      <c r="AB30"/>
      <c r="AC30"/>
    </row>
    <row r="31" spans="1:29" s="1194" customFormat="1" ht="12.75">
      <c r="A31" s="1156" t="s">
        <v>1590</v>
      </c>
      <c r="B31" s="1156" t="s">
        <v>1591</v>
      </c>
      <c r="C31" s="1156"/>
      <c r="D31" s="1156" t="s">
        <v>1609</v>
      </c>
      <c r="E31" s="1156" t="s">
        <v>1605</v>
      </c>
      <c r="F31" s="1156" t="s">
        <v>496</v>
      </c>
      <c r="J31" s="1194" t="s">
        <v>1606</v>
      </c>
      <c r="K31" s="1212" t="s">
        <v>498</v>
      </c>
      <c r="L31" s="1214">
        <f>+L29-L28</f>
        <v>0.78780124470338997</v>
      </c>
      <c r="M31" s="1214">
        <f t="shared" ref="M31:P31" si="10">+M29-M28</f>
        <v>0.44151948051947953</v>
      </c>
      <c r="N31" s="1214">
        <f t="shared" si="10"/>
        <v>-0.10920274958242349</v>
      </c>
      <c r="O31" s="1214">
        <f t="shared" si="10"/>
        <v>0</v>
      </c>
      <c r="P31" s="1214">
        <f t="shared" si="10"/>
        <v>0</v>
      </c>
      <c r="Q31" s="1214">
        <f>+Q29-Q28</f>
        <v>-0.10000000000000003</v>
      </c>
      <c r="R31" s="1214">
        <f t="shared" ref="R31:X31" si="11">+R29-R28</f>
        <v>-9.7179190283568251E-2</v>
      </c>
      <c r="S31" s="1214">
        <f t="shared" si="11"/>
        <v>-9.4501746111718132E-2</v>
      </c>
      <c r="T31" s="1214">
        <f t="shared" si="11"/>
        <v>-9.2659217688205175E-2</v>
      </c>
      <c r="U31" s="1214">
        <f t="shared" si="11"/>
        <v>-9.0842644628745917E-2</v>
      </c>
      <c r="V31" s="1214">
        <f t="shared" si="11"/>
        <v>-8.9061416474208288E-2</v>
      </c>
      <c r="W31" s="1214">
        <f t="shared" si="11"/>
        <v>-8.7315114358553547E-2</v>
      </c>
      <c r="X31" s="1214">
        <f t="shared" si="11"/>
        <v>-8.56030534575557E-2</v>
      </c>
      <c r="Z31"/>
      <c r="AA31"/>
      <c r="AB31"/>
      <c r="AC31"/>
    </row>
    <row r="32" spans="1:29" s="20" customFormat="1" ht="14.25">
      <c r="A32" s="1156" t="s">
        <v>1590</v>
      </c>
      <c r="B32" s="1156" t="s">
        <v>1591</v>
      </c>
      <c r="C32" s="1156" t="s">
        <v>367</v>
      </c>
      <c r="D32" s="1156"/>
      <c r="E32" s="1156"/>
      <c r="F32" s="1156"/>
      <c r="L32"/>
      <c r="M32"/>
      <c r="N32"/>
      <c r="O32"/>
      <c r="P32"/>
      <c r="Q32"/>
      <c r="R32"/>
      <c r="S32"/>
      <c r="T32"/>
      <c r="U32"/>
      <c r="V32"/>
      <c r="W32"/>
      <c r="X32"/>
      <c r="Z32"/>
      <c r="AA32"/>
      <c r="AB32"/>
      <c r="AC32"/>
    </row>
    <row r="33" spans="1:29" s="1194" customFormat="1" ht="12.75">
      <c r="A33" s="1156" t="s">
        <v>1590</v>
      </c>
      <c r="B33" s="1156" t="s">
        <v>1591</v>
      </c>
      <c r="C33" s="1156" t="s">
        <v>367</v>
      </c>
      <c r="D33" s="1156" t="s">
        <v>1611</v>
      </c>
      <c r="E33" s="1156"/>
      <c r="F33" s="1156"/>
      <c r="I33" s="1210" t="s">
        <v>1612</v>
      </c>
      <c r="K33" s="1216"/>
      <c r="L33" s="1203" t="s">
        <v>453</v>
      </c>
      <c r="M33" s="1203" t="s">
        <v>455</v>
      </c>
      <c r="N33" s="1203" t="s">
        <v>457</v>
      </c>
      <c r="O33" s="1203" t="s">
        <v>459</v>
      </c>
      <c r="P33" s="1203" t="s">
        <v>461</v>
      </c>
      <c r="Q33" s="1203" t="s">
        <v>463</v>
      </c>
      <c r="R33" s="1203" t="s">
        <v>465</v>
      </c>
      <c r="S33" s="1203" t="s">
        <v>467</v>
      </c>
      <c r="T33" s="1203" t="s">
        <v>469</v>
      </c>
      <c r="U33" s="1203" t="s">
        <v>471</v>
      </c>
      <c r="V33" s="1203" t="s">
        <v>473</v>
      </c>
      <c r="W33" s="1203" t="s">
        <v>475</v>
      </c>
      <c r="X33" s="1203" t="s">
        <v>477</v>
      </c>
      <c r="Z33"/>
      <c r="AA33"/>
      <c r="AB33"/>
      <c r="AC33"/>
    </row>
    <row r="34" spans="1:29" s="1194" customFormat="1" ht="15">
      <c r="A34" s="1156" t="s">
        <v>1590</v>
      </c>
      <c r="B34" s="1156" t="s">
        <v>1591</v>
      </c>
      <c r="C34" s="1156"/>
      <c r="D34" s="1156" t="s">
        <v>1611</v>
      </c>
      <c r="E34" s="1156" t="s">
        <v>1595</v>
      </c>
      <c r="F34" s="1156" t="s">
        <v>496</v>
      </c>
      <c r="J34" s="1194" t="s">
        <v>1596</v>
      </c>
      <c r="K34" s="1212" t="s">
        <v>498</v>
      </c>
      <c r="L34" s="1213">
        <v>2.1383176641949153</v>
      </c>
      <c r="M34" s="1213">
        <v>1.7660779220779219</v>
      </c>
      <c r="N34" s="1213">
        <v>4.4773127328793514</v>
      </c>
      <c r="O34" s="1213">
        <v>0.96220950344350442</v>
      </c>
      <c r="P34" s="1213">
        <v>1.1336112037345782</v>
      </c>
      <c r="Q34" s="1213">
        <v>1.9</v>
      </c>
      <c r="R34" s="1213">
        <v>1.8464046153877975</v>
      </c>
      <c r="S34" s="1213">
        <v>1.795533176122645</v>
      </c>
      <c r="T34" s="1213">
        <v>1.7605251360758976</v>
      </c>
      <c r="U34" s="1213">
        <v>1.7260102479461721</v>
      </c>
      <c r="V34" s="1213">
        <v>1.6921669130099586</v>
      </c>
      <c r="W34" s="1213">
        <v>1.6589871728125181</v>
      </c>
      <c r="X34" s="1213">
        <v>1.6264580156935582</v>
      </c>
      <c r="Z34"/>
      <c r="AA34"/>
      <c r="AB34"/>
      <c r="AC34"/>
    </row>
    <row r="35" spans="1:29" s="1194" customFormat="1" ht="15">
      <c r="A35" s="1156" t="s">
        <v>1590</v>
      </c>
      <c r="B35" s="1156" t="s">
        <v>1591</v>
      </c>
      <c r="C35" s="1156"/>
      <c r="D35" s="1156" t="s">
        <v>1611</v>
      </c>
      <c r="E35" s="1156" t="s">
        <v>1597</v>
      </c>
      <c r="F35" s="1156" t="s">
        <v>496</v>
      </c>
      <c r="J35" s="1194" t="s">
        <v>1598</v>
      </c>
      <c r="K35" s="1212" t="s">
        <v>498</v>
      </c>
      <c r="L35" s="1213">
        <v>0</v>
      </c>
      <c r="M35" s="1213">
        <v>1.7660779220779219</v>
      </c>
      <c r="N35" s="1213">
        <v>4.4773127328793514</v>
      </c>
      <c r="O35" s="1213">
        <v>0.96220950344350442</v>
      </c>
      <c r="P35" s="1213">
        <v>1.1336112037345782</v>
      </c>
      <c r="Q35" s="1213">
        <v>1.8</v>
      </c>
      <c r="R35" s="1213">
        <v>1.7492254251042294</v>
      </c>
      <c r="S35" s="1213">
        <v>1.7010314300109268</v>
      </c>
      <c r="T35" s="1213">
        <v>1.6678659183876925</v>
      </c>
      <c r="U35" s="1213">
        <v>1.6351676033174263</v>
      </c>
      <c r="V35" s="1213">
        <v>1.6031054965357505</v>
      </c>
      <c r="W35" s="1213">
        <v>1.5716720584539647</v>
      </c>
      <c r="X35" s="1213">
        <v>1.5408549622360026</v>
      </c>
      <c r="Z35"/>
      <c r="AA35"/>
      <c r="AB35"/>
      <c r="AC35"/>
    </row>
    <row r="36" spans="1:29" s="1194" customFormat="1" ht="12.75">
      <c r="A36" s="1156" t="s">
        <v>1590</v>
      </c>
      <c r="B36" s="1156" t="s">
        <v>1591</v>
      </c>
      <c r="C36" s="1156"/>
      <c r="D36" s="1156" t="s">
        <v>1611</v>
      </c>
      <c r="E36" s="1156" t="s">
        <v>1599</v>
      </c>
      <c r="F36" s="1156" t="s">
        <v>496</v>
      </c>
      <c r="J36" s="1194" t="s">
        <v>1600</v>
      </c>
      <c r="K36" s="1212" t="s">
        <v>498</v>
      </c>
      <c r="L36" s="1214">
        <f>+L34-L35</f>
        <v>2.1383176641949153</v>
      </c>
      <c r="M36" s="1214">
        <f t="shared" ref="M36:P36" si="12">+M34-M35</f>
        <v>0</v>
      </c>
      <c r="N36" s="1214">
        <f t="shared" si="12"/>
        <v>0</v>
      </c>
      <c r="O36" s="1214">
        <f t="shared" si="12"/>
        <v>0</v>
      </c>
      <c r="P36" s="1214">
        <f t="shared" si="12"/>
        <v>0</v>
      </c>
      <c r="Q36" s="1214">
        <f>+Q34-Q35</f>
        <v>9.9999999999999867E-2</v>
      </c>
      <c r="R36" s="1214">
        <f t="shared" ref="R36:X36" si="13">+R34-R35</f>
        <v>9.717919028356814E-2</v>
      </c>
      <c r="S36" s="1214">
        <f t="shared" si="13"/>
        <v>9.4501746111718132E-2</v>
      </c>
      <c r="T36" s="1214">
        <f t="shared" si="13"/>
        <v>9.2659217688205064E-2</v>
      </c>
      <c r="U36" s="1214">
        <f t="shared" si="13"/>
        <v>9.0842644628745806E-2</v>
      </c>
      <c r="V36" s="1214">
        <f t="shared" si="13"/>
        <v>8.9061416474208066E-2</v>
      </c>
      <c r="W36" s="1214">
        <f t="shared" si="13"/>
        <v>8.7315114358553325E-2</v>
      </c>
      <c r="X36" s="1214">
        <f t="shared" si="13"/>
        <v>8.5603053457555589E-2</v>
      </c>
      <c r="Z36"/>
      <c r="AA36"/>
      <c r="AB36"/>
      <c r="AC36"/>
    </row>
    <row r="37" spans="1:29" s="1194" customFormat="1" ht="15">
      <c r="A37" s="1156" t="s">
        <v>1590</v>
      </c>
      <c r="B37" s="1156" t="s">
        <v>1591</v>
      </c>
      <c r="C37" s="1156"/>
      <c r="D37" s="1156" t="s">
        <v>1611</v>
      </c>
      <c r="E37" s="1156" t="s">
        <v>1601</v>
      </c>
      <c r="F37" s="1156" t="s">
        <v>496</v>
      </c>
      <c r="J37" s="1194" t="s">
        <v>1602</v>
      </c>
      <c r="K37" s="1212" t="s">
        <v>498</v>
      </c>
      <c r="L37" s="1213">
        <v>0.11254303495762713</v>
      </c>
      <c r="M37" s="1213">
        <v>0.35321558441558437</v>
      </c>
      <c r="N37" s="1213">
        <v>0.5460137479121161</v>
      </c>
      <c r="O37" s="1213"/>
      <c r="P37" s="1213">
        <v>0.10305556397587075</v>
      </c>
      <c r="Q37" s="1213"/>
      <c r="R37" s="1213">
        <v>0.1</v>
      </c>
      <c r="S37" s="1213">
        <v>0.1</v>
      </c>
      <c r="T37" s="1213">
        <v>0.1</v>
      </c>
      <c r="U37" s="1213">
        <v>0.1</v>
      </c>
      <c r="V37" s="1213">
        <v>0.1</v>
      </c>
      <c r="W37" s="1213">
        <v>0.1</v>
      </c>
      <c r="X37" s="1213">
        <v>0.1</v>
      </c>
      <c r="Z37"/>
      <c r="AA37"/>
      <c r="AB37"/>
      <c r="AC37"/>
    </row>
    <row r="38" spans="1:29" s="1194" customFormat="1" ht="15">
      <c r="A38" s="1156" t="s">
        <v>1590</v>
      </c>
      <c r="B38" s="1156" t="s">
        <v>1591</v>
      </c>
      <c r="C38" s="1156"/>
      <c r="D38" s="1156" t="s">
        <v>1611</v>
      </c>
      <c r="E38" s="1156" t="s">
        <v>1603</v>
      </c>
      <c r="F38" s="1156" t="s">
        <v>496</v>
      </c>
      <c r="J38" s="1194" t="s">
        <v>1604</v>
      </c>
      <c r="K38" s="1212" t="s">
        <v>498</v>
      </c>
      <c r="L38" s="1213"/>
      <c r="M38" s="1213"/>
      <c r="N38" s="1213"/>
      <c r="O38" s="1213"/>
      <c r="P38" s="1213"/>
      <c r="Q38" s="1213"/>
      <c r="R38" s="1213"/>
      <c r="S38" s="1213"/>
      <c r="T38" s="1213"/>
      <c r="U38" s="1213"/>
      <c r="V38" s="1213"/>
      <c r="W38" s="1213"/>
      <c r="X38" s="1213"/>
      <c r="Z38"/>
      <c r="AA38"/>
      <c r="AB38"/>
      <c r="AC38"/>
    </row>
    <row r="39" spans="1:29" s="1194" customFormat="1" ht="12.75">
      <c r="A39" s="1156" t="s">
        <v>1590</v>
      </c>
      <c r="B39" s="1156" t="s">
        <v>1591</v>
      </c>
      <c r="C39" s="1156"/>
      <c r="D39" s="1156" t="s">
        <v>1611</v>
      </c>
      <c r="E39" s="1156" t="s">
        <v>1605</v>
      </c>
      <c r="F39" s="1156" t="s">
        <v>496</v>
      </c>
      <c r="J39" s="1194" t="s">
        <v>1606</v>
      </c>
      <c r="K39" s="1212" t="s">
        <v>498</v>
      </c>
      <c r="L39" s="1214">
        <f>+L37-L36</f>
        <v>-2.0257746292372882</v>
      </c>
      <c r="M39" s="1214">
        <f t="shared" ref="M39:P39" si="14">+M37-M36</f>
        <v>0.35321558441558437</v>
      </c>
      <c r="N39" s="1214">
        <f t="shared" si="14"/>
        <v>0.5460137479121161</v>
      </c>
      <c r="O39" s="1214">
        <f t="shared" si="14"/>
        <v>0</v>
      </c>
      <c r="P39" s="1214">
        <f t="shared" si="14"/>
        <v>0.10305556397587075</v>
      </c>
      <c r="Q39" s="1214">
        <f>+Q37-Q36</f>
        <v>-9.9999999999999867E-2</v>
      </c>
      <c r="R39" s="1214">
        <f t="shared" ref="R39:X39" si="15">+R37-R36</f>
        <v>2.8208097164318657E-3</v>
      </c>
      <c r="S39" s="1214">
        <f t="shared" si="15"/>
        <v>5.4982538882818732E-3</v>
      </c>
      <c r="T39" s="1214">
        <f t="shared" si="15"/>
        <v>7.3407823117949411E-3</v>
      </c>
      <c r="U39" s="1214">
        <f t="shared" si="15"/>
        <v>9.1573553712542E-3</v>
      </c>
      <c r="V39" s="1214">
        <f t="shared" si="15"/>
        <v>1.0938583525791939E-2</v>
      </c>
      <c r="W39" s="1214">
        <f t="shared" si="15"/>
        <v>1.268488564144668E-2</v>
      </c>
      <c r="X39" s="1214">
        <f t="shared" si="15"/>
        <v>1.4396946542444417E-2</v>
      </c>
      <c r="Z39"/>
      <c r="AA39"/>
      <c r="AB39"/>
      <c r="AC39"/>
    </row>
    <row r="40" spans="1:29" s="20" customFormat="1" ht="14.25">
      <c r="A40" s="1156" t="s">
        <v>1590</v>
      </c>
      <c r="B40" s="1156" t="s">
        <v>1591</v>
      </c>
      <c r="C40" s="1156" t="s">
        <v>367</v>
      </c>
      <c r="D40" s="1156"/>
      <c r="E40" s="1156"/>
      <c r="F40" s="1156"/>
      <c r="L40"/>
      <c r="M40"/>
      <c r="N40"/>
      <c r="O40"/>
      <c r="P40"/>
      <c r="Q40"/>
      <c r="R40"/>
      <c r="S40"/>
      <c r="T40"/>
      <c r="U40"/>
      <c r="V40"/>
      <c r="W40"/>
      <c r="X40"/>
      <c r="Z40"/>
      <c r="AA40"/>
      <c r="AB40"/>
      <c r="AC40"/>
    </row>
    <row r="41" spans="1:29" s="1194" customFormat="1" ht="12.75">
      <c r="A41" s="1156" t="s">
        <v>1590</v>
      </c>
      <c r="B41" s="1156" t="s">
        <v>1591</v>
      </c>
      <c r="C41" s="1156" t="s">
        <v>367</v>
      </c>
      <c r="D41" s="1156" t="s">
        <v>1613</v>
      </c>
      <c r="E41" s="1156"/>
      <c r="F41" s="1156"/>
      <c r="I41" s="1210" t="s">
        <v>1614</v>
      </c>
      <c r="K41" s="1216"/>
      <c r="L41" s="1203" t="s">
        <v>453</v>
      </c>
      <c r="M41" s="1203" t="s">
        <v>455</v>
      </c>
      <c r="N41" s="1203" t="s">
        <v>457</v>
      </c>
      <c r="O41" s="1203" t="s">
        <v>459</v>
      </c>
      <c r="P41" s="1203" t="s">
        <v>461</v>
      </c>
      <c r="Q41" s="1203" t="s">
        <v>463</v>
      </c>
      <c r="R41" s="1203" t="s">
        <v>465</v>
      </c>
      <c r="S41" s="1203" t="s">
        <v>467</v>
      </c>
      <c r="T41" s="1203" t="s">
        <v>469</v>
      </c>
      <c r="U41" s="1203" t="s">
        <v>471</v>
      </c>
      <c r="V41" s="1203" t="s">
        <v>473</v>
      </c>
      <c r="W41" s="1203" t="s">
        <v>475</v>
      </c>
      <c r="X41" s="1203" t="s">
        <v>477</v>
      </c>
      <c r="Z41"/>
      <c r="AA41"/>
      <c r="AB41"/>
      <c r="AC41"/>
    </row>
    <row r="42" spans="1:29" s="1194" customFormat="1" ht="15">
      <c r="A42" s="1156" t="s">
        <v>1590</v>
      </c>
      <c r="B42" s="1156" t="s">
        <v>1591</v>
      </c>
      <c r="C42" s="1156"/>
      <c r="D42" s="1156" t="s">
        <v>1613</v>
      </c>
      <c r="E42" s="1156" t="s">
        <v>1595</v>
      </c>
      <c r="F42" s="1156" t="s">
        <v>496</v>
      </c>
      <c r="J42" s="1194" t="s">
        <v>1596</v>
      </c>
      <c r="K42" s="1212" t="s">
        <v>498</v>
      </c>
      <c r="L42" s="1213"/>
      <c r="M42" s="1213"/>
      <c r="N42" s="1213"/>
      <c r="O42" s="1213"/>
      <c r="P42" s="1213"/>
      <c r="Q42" s="1213"/>
      <c r="R42" s="1213"/>
      <c r="S42" s="1213"/>
      <c r="T42" s="1213"/>
      <c r="U42" s="1213"/>
      <c r="V42" s="1213"/>
      <c r="W42" s="1213"/>
      <c r="X42" s="1213"/>
      <c r="Z42"/>
      <c r="AA42"/>
      <c r="AB42"/>
      <c r="AC42"/>
    </row>
    <row r="43" spans="1:29" s="1194" customFormat="1" ht="15">
      <c r="A43" s="1156" t="s">
        <v>1590</v>
      </c>
      <c r="B43" s="1156" t="s">
        <v>1591</v>
      </c>
      <c r="C43" s="1156"/>
      <c r="D43" s="1156" t="s">
        <v>1613</v>
      </c>
      <c r="E43" s="1156" t="s">
        <v>1597</v>
      </c>
      <c r="F43" s="1156" t="s">
        <v>496</v>
      </c>
      <c r="J43" s="1194" t="s">
        <v>1598</v>
      </c>
      <c r="K43" s="1212" t="s">
        <v>498</v>
      </c>
      <c r="L43" s="1213"/>
      <c r="M43" s="1213"/>
      <c r="N43" s="1213"/>
      <c r="O43" s="1213"/>
      <c r="P43" s="1213"/>
      <c r="Q43" s="1213"/>
      <c r="R43" s="1213"/>
      <c r="S43" s="1213"/>
      <c r="T43" s="1213"/>
      <c r="U43" s="1213"/>
      <c r="V43" s="1213"/>
      <c r="W43" s="1213"/>
      <c r="X43" s="1213"/>
      <c r="Z43"/>
      <c r="AA43"/>
      <c r="AB43"/>
      <c r="AC43"/>
    </row>
    <row r="44" spans="1:29" s="1194" customFormat="1" ht="12.75">
      <c r="A44" s="1156" t="s">
        <v>1590</v>
      </c>
      <c r="B44" s="1156" t="s">
        <v>1591</v>
      </c>
      <c r="C44" s="1156"/>
      <c r="D44" s="1156" t="s">
        <v>1613</v>
      </c>
      <c r="E44" s="1156" t="s">
        <v>1599</v>
      </c>
      <c r="F44" s="1156" t="s">
        <v>496</v>
      </c>
      <c r="J44" s="1194" t="s">
        <v>1600</v>
      </c>
      <c r="K44" s="1212" t="s">
        <v>498</v>
      </c>
      <c r="L44" s="1214">
        <f>+L42-L43</f>
        <v>0</v>
      </c>
      <c r="M44" s="1214">
        <f t="shared" ref="M44:P44" si="16">+M42-M43</f>
        <v>0</v>
      </c>
      <c r="N44" s="1214">
        <f t="shared" si="16"/>
        <v>0</v>
      </c>
      <c r="O44" s="1214">
        <f t="shared" si="16"/>
        <v>0</v>
      </c>
      <c r="P44" s="1214">
        <f t="shared" si="16"/>
        <v>0</v>
      </c>
      <c r="Q44" s="1214">
        <f>+Q42-Q43</f>
        <v>0</v>
      </c>
      <c r="R44" s="1214">
        <f t="shared" ref="R44:X44" si="17">+R42-R43</f>
        <v>0</v>
      </c>
      <c r="S44" s="1214">
        <f t="shared" si="17"/>
        <v>0</v>
      </c>
      <c r="T44" s="1214">
        <f t="shared" si="17"/>
        <v>0</v>
      </c>
      <c r="U44" s="1214">
        <f t="shared" si="17"/>
        <v>0</v>
      </c>
      <c r="V44" s="1214">
        <f t="shared" si="17"/>
        <v>0</v>
      </c>
      <c r="W44" s="1214">
        <f t="shared" si="17"/>
        <v>0</v>
      </c>
      <c r="X44" s="1214">
        <f t="shared" si="17"/>
        <v>0</v>
      </c>
      <c r="Z44"/>
      <c r="AA44"/>
      <c r="AB44"/>
      <c r="AC44"/>
    </row>
    <row r="45" spans="1:29" s="1194" customFormat="1" ht="15">
      <c r="A45" s="1156" t="s">
        <v>1590</v>
      </c>
      <c r="B45" s="1156" t="s">
        <v>1591</v>
      </c>
      <c r="C45" s="1156"/>
      <c r="D45" s="1156" t="s">
        <v>1613</v>
      </c>
      <c r="E45" s="1156" t="s">
        <v>1601</v>
      </c>
      <c r="F45" s="1156" t="s">
        <v>496</v>
      </c>
      <c r="J45" s="1194" t="s">
        <v>1602</v>
      </c>
      <c r="K45" s="1212" t="s">
        <v>498</v>
      </c>
      <c r="L45" s="1213"/>
      <c r="M45" s="1213"/>
      <c r="N45" s="1213">
        <v>0.21840549916484644</v>
      </c>
      <c r="O45" s="1213"/>
      <c r="P45" s="1213">
        <v>0.10305556397587075</v>
      </c>
      <c r="Q45" s="1213"/>
      <c r="R45" s="1213"/>
      <c r="S45" s="1213"/>
      <c r="T45" s="1213"/>
      <c r="U45" s="1213"/>
      <c r="V45" s="1213"/>
      <c r="W45" s="1213"/>
      <c r="X45" s="1213"/>
      <c r="Z45"/>
      <c r="AA45"/>
      <c r="AB45"/>
      <c r="AC45"/>
    </row>
    <row r="46" spans="1:29" s="1194" customFormat="1" ht="15">
      <c r="A46" s="1156" t="s">
        <v>1590</v>
      </c>
      <c r="B46" s="1156" t="s">
        <v>1591</v>
      </c>
      <c r="C46" s="1156"/>
      <c r="D46" s="1156" t="s">
        <v>1613</v>
      </c>
      <c r="E46" s="1156" t="s">
        <v>1603</v>
      </c>
      <c r="F46" s="1156" t="s">
        <v>496</v>
      </c>
      <c r="J46" s="1194" t="s">
        <v>1604</v>
      </c>
      <c r="K46" s="1212" t="s">
        <v>498</v>
      </c>
      <c r="L46" s="1213"/>
      <c r="M46" s="1213"/>
      <c r="N46" s="1213"/>
      <c r="O46" s="1213"/>
      <c r="P46" s="1213"/>
      <c r="Q46" s="1213"/>
      <c r="R46" s="1213"/>
      <c r="S46" s="1213"/>
      <c r="T46" s="1213"/>
      <c r="U46" s="1213"/>
      <c r="V46" s="1213"/>
      <c r="W46" s="1213"/>
      <c r="X46" s="1213"/>
      <c r="Z46"/>
      <c r="AA46"/>
      <c r="AB46"/>
      <c r="AC46"/>
    </row>
    <row r="47" spans="1:29" s="1194" customFormat="1" ht="12.75">
      <c r="A47" s="1156" t="s">
        <v>1590</v>
      </c>
      <c r="B47" s="1156" t="s">
        <v>1591</v>
      </c>
      <c r="C47" s="1156"/>
      <c r="D47" s="1156" t="s">
        <v>1613</v>
      </c>
      <c r="E47" s="1156" t="s">
        <v>1605</v>
      </c>
      <c r="F47" s="1156" t="s">
        <v>496</v>
      </c>
      <c r="J47" s="1194" t="s">
        <v>1606</v>
      </c>
      <c r="K47" s="1212" t="s">
        <v>498</v>
      </c>
      <c r="L47" s="1214">
        <f>+L45-L44</f>
        <v>0</v>
      </c>
      <c r="M47" s="1214">
        <f t="shared" ref="M47:P47" si="18">+M45-M44</f>
        <v>0</v>
      </c>
      <c r="N47" s="1214">
        <f t="shared" si="18"/>
        <v>0.21840549916484644</v>
      </c>
      <c r="O47" s="1214">
        <f t="shared" si="18"/>
        <v>0</v>
      </c>
      <c r="P47" s="1214">
        <f t="shared" si="18"/>
        <v>0.10305556397587075</v>
      </c>
      <c r="Q47" s="1214">
        <f>+Q45-Q44</f>
        <v>0</v>
      </c>
      <c r="R47" s="1214">
        <f t="shared" ref="R47:X47" si="19">+R45-R44</f>
        <v>0</v>
      </c>
      <c r="S47" s="1214">
        <f t="shared" si="19"/>
        <v>0</v>
      </c>
      <c r="T47" s="1214">
        <f t="shared" si="19"/>
        <v>0</v>
      </c>
      <c r="U47" s="1214">
        <f t="shared" si="19"/>
        <v>0</v>
      </c>
      <c r="V47" s="1214">
        <f t="shared" si="19"/>
        <v>0</v>
      </c>
      <c r="W47" s="1214">
        <f t="shared" si="19"/>
        <v>0</v>
      </c>
      <c r="X47" s="1214">
        <f t="shared" si="19"/>
        <v>0</v>
      </c>
      <c r="Z47"/>
      <c r="AA47"/>
      <c r="AB47"/>
      <c r="AC47"/>
    </row>
    <row r="48" spans="1:29" s="20" customFormat="1" ht="14.25">
      <c r="A48" s="1156" t="s">
        <v>1590</v>
      </c>
      <c r="B48" s="1156" t="s">
        <v>1591</v>
      </c>
      <c r="C48" s="1156" t="s">
        <v>367</v>
      </c>
      <c r="D48" s="1156"/>
      <c r="E48" s="1156"/>
      <c r="F48" s="1156"/>
      <c r="L48"/>
      <c r="M48"/>
      <c r="N48"/>
      <c r="O48"/>
      <c r="P48"/>
      <c r="Q48"/>
      <c r="R48"/>
      <c r="S48"/>
      <c r="T48"/>
      <c r="U48"/>
      <c r="V48"/>
      <c r="W48"/>
      <c r="X48"/>
      <c r="Z48"/>
      <c r="AA48"/>
      <c r="AB48"/>
      <c r="AC48"/>
    </row>
    <row r="49" spans="1:29" s="20" customFormat="1" ht="14.25">
      <c r="A49" s="1156" t="s">
        <v>1590</v>
      </c>
      <c r="B49" s="1156" t="s">
        <v>1591</v>
      </c>
      <c r="C49" s="1156" t="s">
        <v>367</v>
      </c>
      <c r="D49" s="1156"/>
      <c r="E49" s="1156"/>
      <c r="F49" s="1156"/>
      <c r="I49" s="1210" t="s">
        <v>1615</v>
      </c>
      <c r="L49" s="1203" t="s">
        <v>453</v>
      </c>
      <c r="M49" s="1203" t="s">
        <v>455</v>
      </c>
      <c r="N49" s="1203" t="s">
        <v>457</v>
      </c>
      <c r="O49" s="1203" t="s">
        <v>459</v>
      </c>
      <c r="P49" s="1203" t="s">
        <v>461</v>
      </c>
      <c r="Q49" s="1203" t="s">
        <v>463</v>
      </c>
      <c r="R49" s="1203" t="s">
        <v>465</v>
      </c>
      <c r="S49" s="1203" t="s">
        <v>467</v>
      </c>
      <c r="T49" s="1203" t="s">
        <v>469</v>
      </c>
      <c r="U49" s="1203" t="s">
        <v>471</v>
      </c>
      <c r="V49" s="1203" t="s">
        <v>473</v>
      </c>
      <c r="W49" s="1203" t="s">
        <v>475</v>
      </c>
      <c r="X49" s="1203" t="s">
        <v>477</v>
      </c>
      <c r="Z49"/>
      <c r="AA49"/>
      <c r="AB49"/>
      <c r="AC49"/>
    </row>
    <row r="50" spans="1:29" s="20" customFormat="1" ht="14.25">
      <c r="A50" s="1156" t="s">
        <v>1590</v>
      </c>
      <c r="B50" s="1156" t="s">
        <v>1591</v>
      </c>
      <c r="C50" s="1156"/>
      <c r="D50" s="1156" t="s">
        <v>1616</v>
      </c>
      <c r="E50" s="1156" t="s">
        <v>1595</v>
      </c>
      <c r="F50" s="1156" t="s">
        <v>496</v>
      </c>
      <c r="I50" s="1210"/>
      <c r="J50" s="1194" t="s">
        <v>1596</v>
      </c>
      <c r="K50" s="1212" t="s">
        <v>498</v>
      </c>
      <c r="L50" s="1214">
        <f>L10+L18+L26+L34+L42</f>
        <v>2.2508606991525424</v>
      </c>
      <c r="M50" s="1214">
        <f t="shared" ref="M50:X50" si="20">M10+M18+M26+M34+M42</f>
        <v>13.576724025974025</v>
      </c>
      <c r="N50" s="1214">
        <f t="shared" si="20"/>
        <v>9.2822337145059741</v>
      </c>
      <c r="O50" s="1214">
        <f t="shared" si="20"/>
        <v>3.2073650114783478</v>
      </c>
      <c r="P50" s="1214">
        <f t="shared" si="20"/>
        <v>1.236666767710449</v>
      </c>
      <c r="Q50" s="1214">
        <f t="shared" si="20"/>
        <v>2.2999999999999998</v>
      </c>
      <c r="R50" s="1214">
        <f t="shared" si="20"/>
        <v>2.8181965182234805</v>
      </c>
      <c r="S50" s="1214">
        <f t="shared" si="20"/>
        <v>2.7405506372398265</v>
      </c>
      <c r="T50" s="1214">
        <f t="shared" si="20"/>
        <v>2.6871173129579491</v>
      </c>
      <c r="U50" s="1214">
        <f t="shared" si="20"/>
        <v>2.634436694233631</v>
      </c>
      <c r="V50" s="1214">
        <f t="shared" si="20"/>
        <v>2.5827810777520419</v>
      </c>
      <c r="W50" s="1214">
        <f t="shared" si="20"/>
        <v>2.5321383163980542</v>
      </c>
      <c r="X50" s="1214">
        <f t="shared" si="20"/>
        <v>2.4824885502691152</v>
      </c>
      <c r="Z50"/>
      <c r="AA50"/>
      <c r="AB50"/>
      <c r="AC50"/>
    </row>
    <row r="51" spans="1:29" s="20" customFormat="1" ht="14.25">
      <c r="A51" s="1156" t="s">
        <v>1590</v>
      </c>
      <c r="B51" s="1156" t="s">
        <v>1591</v>
      </c>
      <c r="C51" s="1156"/>
      <c r="D51" s="1156" t="s">
        <v>1616</v>
      </c>
      <c r="E51" s="1156" t="s">
        <v>1597</v>
      </c>
      <c r="F51" s="1156" t="s">
        <v>496</v>
      </c>
      <c r="I51" s="1210"/>
      <c r="J51" s="1194" t="s">
        <v>1598</v>
      </c>
      <c r="K51" s="1212" t="s">
        <v>498</v>
      </c>
      <c r="L51" s="1214">
        <f t="shared" ref="L51:X55" si="21">L11+L19+L27+L35+L43</f>
        <v>0</v>
      </c>
      <c r="M51" s="1214">
        <f t="shared" si="21"/>
        <v>12.472925324675323</v>
      </c>
      <c r="N51" s="1214">
        <f t="shared" si="21"/>
        <v>9.1730309649235497</v>
      </c>
      <c r="O51" s="1214">
        <f t="shared" si="21"/>
        <v>3.2073650114783478</v>
      </c>
      <c r="P51" s="1214">
        <f t="shared" si="21"/>
        <v>1.236666767710449</v>
      </c>
      <c r="Q51" s="1214">
        <f t="shared" si="21"/>
        <v>2.1</v>
      </c>
      <c r="R51" s="1214">
        <f t="shared" si="21"/>
        <v>2.6238381376563442</v>
      </c>
      <c r="S51" s="1214">
        <f t="shared" si="21"/>
        <v>2.5515471450163902</v>
      </c>
      <c r="T51" s="1214">
        <f t="shared" si="21"/>
        <v>2.501798877581539</v>
      </c>
      <c r="U51" s="1214">
        <f t="shared" si="21"/>
        <v>2.4527514049761394</v>
      </c>
      <c r="V51" s="1214">
        <f t="shared" si="21"/>
        <v>2.4046582448036258</v>
      </c>
      <c r="W51" s="1214">
        <f t="shared" si="21"/>
        <v>2.3575080876809471</v>
      </c>
      <c r="X51" s="1214">
        <f t="shared" si="21"/>
        <v>2.311282443354004</v>
      </c>
      <c r="Z51"/>
      <c r="AA51"/>
      <c r="AB51"/>
      <c r="AC51"/>
    </row>
    <row r="52" spans="1:29" s="20" customFormat="1" ht="14.25">
      <c r="A52" s="1156" t="s">
        <v>1590</v>
      </c>
      <c r="B52" s="1156" t="s">
        <v>1591</v>
      </c>
      <c r="C52" s="1156"/>
      <c r="D52" s="1156" t="s">
        <v>1616</v>
      </c>
      <c r="E52" s="1156" t="s">
        <v>1599</v>
      </c>
      <c r="F52" s="1156" t="s">
        <v>496</v>
      </c>
      <c r="I52" s="1210"/>
      <c r="J52" s="1194" t="s">
        <v>1600</v>
      </c>
      <c r="K52" s="1212" t="s">
        <v>498</v>
      </c>
      <c r="L52" s="1214">
        <f t="shared" si="21"/>
        <v>2.2508606991525424</v>
      </c>
      <c r="M52" s="1214">
        <f t="shared" si="21"/>
        <v>1.1037987012987021</v>
      </c>
      <c r="N52" s="1214">
        <f t="shared" si="21"/>
        <v>0.10920274958242349</v>
      </c>
      <c r="O52" s="1214">
        <f t="shared" si="21"/>
        <v>0</v>
      </c>
      <c r="P52" s="1214">
        <f t="shared" si="21"/>
        <v>0</v>
      </c>
      <c r="Q52" s="1214">
        <f t="shared" si="21"/>
        <v>0.1999999999999999</v>
      </c>
      <c r="R52" s="1214">
        <f t="shared" si="21"/>
        <v>0.19435838056713639</v>
      </c>
      <c r="S52" s="1214">
        <f t="shared" si="21"/>
        <v>0.18900349222343626</v>
      </c>
      <c r="T52" s="1214">
        <f t="shared" si="21"/>
        <v>0.18531843537641024</v>
      </c>
      <c r="U52" s="1214">
        <f t="shared" si="21"/>
        <v>0.18168528925749172</v>
      </c>
      <c r="V52" s="1214">
        <f t="shared" si="21"/>
        <v>0.17812283294841635</v>
      </c>
      <c r="W52" s="1214">
        <f t="shared" si="21"/>
        <v>0.17463022871710687</v>
      </c>
      <c r="X52" s="1214">
        <f t="shared" si="21"/>
        <v>0.17120610691511129</v>
      </c>
      <c r="Z52"/>
      <c r="AA52"/>
      <c r="AB52"/>
      <c r="AC52"/>
    </row>
    <row r="53" spans="1:29" s="20" customFormat="1" ht="14.25">
      <c r="A53" s="1156" t="s">
        <v>1590</v>
      </c>
      <c r="B53" s="1156" t="s">
        <v>1591</v>
      </c>
      <c r="C53" s="1156"/>
      <c r="D53" s="1156" t="s">
        <v>1616</v>
      </c>
      <c r="E53" s="1156" t="s">
        <v>1601</v>
      </c>
      <c r="F53" s="1156" t="s">
        <v>496</v>
      </c>
      <c r="I53" s="1210"/>
      <c r="J53" s="1194" t="s">
        <v>1602</v>
      </c>
      <c r="K53" s="1212" t="s">
        <v>498</v>
      </c>
      <c r="L53" s="1214">
        <f t="shared" si="21"/>
        <v>1.0128873146186441</v>
      </c>
      <c r="M53" s="1214">
        <f t="shared" si="21"/>
        <v>1.898533766233766</v>
      </c>
      <c r="N53" s="1214">
        <f t="shared" si="21"/>
        <v>0.76441924707696252</v>
      </c>
      <c r="O53" s="1214">
        <f t="shared" si="21"/>
        <v>0</v>
      </c>
      <c r="P53" s="1214">
        <f t="shared" si="21"/>
        <v>0.2061111279517415</v>
      </c>
      <c r="Q53" s="1214">
        <f t="shared" si="21"/>
        <v>0</v>
      </c>
      <c r="R53" s="1214">
        <f t="shared" si="21"/>
        <v>0.1</v>
      </c>
      <c r="S53" s="1214">
        <f t="shared" si="21"/>
        <v>0.1</v>
      </c>
      <c r="T53" s="1214">
        <f t="shared" si="21"/>
        <v>0.1</v>
      </c>
      <c r="U53" s="1214">
        <f t="shared" si="21"/>
        <v>0.1</v>
      </c>
      <c r="V53" s="1214">
        <f t="shared" si="21"/>
        <v>0.1</v>
      </c>
      <c r="W53" s="1214">
        <f t="shared" si="21"/>
        <v>0.1</v>
      </c>
      <c r="X53" s="1214">
        <f t="shared" si="21"/>
        <v>0.1</v>
      </c>
      <c r="Z53"/>
      <c r="AA53"/>
      <c r="AB53"/>
      <c r="AC53"/>
    </row>
    <row r="54" spans="1:29" s="20" customFormat="1" ht="14.25">
      <c r="A54" s="1156" t="s">
        <v>1590</v>
      </c>
      <c r="B54" s="1156" t="s">
        <v>1591</v>
      </c>
      <c r="C54" s="1156"/>
      <c r="D54" s="1156" t="s">
        <v>1616</v>
      </c>
      <c r="E54" s="1156" t="s">
        <v>1603</v>
      </c>
      <c r="F54" s="1156" t="s">
        <v>496</v>
      </c>
      <c r="I54" s="1210"/>
      <c r="J54" s="1194" t="s">
        <v>1604</v>
      </c>
      <c r="K54" s="1212" t="s">
        <v>498</v>
      </c>
      <c r="L54" s="1214">
        <f t="shared" si="21"/>
        <v>0</v>
      </c>
      <c r="M54" s="1214">
        <f t="shared" si="21"/>
        <v>0</v>
      </c>
      <c r="N54" s="1214">
        <f t="shared" si="21"/>
        <v>0</v>
      </c>
      <c r="O54" s="1214">
        <f t="shared" si="21"/>
        <v>0</v>
      </c>
      <c r="P54" s="1214">
        <f t="shared" si="21"/>
        <v>0</v>
      </c>
      <c r="Q54" s="1214">
        <f t="shared" si="21"/>
        <v>0</v>
      </c>
      <c r="R54" s="1214">
        <f t="shared" si="21"/>
        <v>0</v>
      </c>
      <c r="S54" s="1214">
        <f t="shared" si="21"/>
        <v>0</v>
      </c>
      <c r="T54" s="1214">
        <f t="shared" si="21"/>
        <v>0</v>
      </c>
      <c r="U54" s="1214">
        <f t="shared" si="21"/>
        <v>0</v>
      </c>
      <c r="V54" s="1214">
        <f t="shared" si="21"/>
        <v>0</v>
      </c>
      <c r="W54" s="1214">
        <f t="shared" si="21"/>
        <v>0</v>
      </c>
      <c r="X54" s="1214">
        <f t="shared" si="21"/>
        <v>0</v>
      </c>
      <c r="Z54"/>
      <c r="AA54"/>
      <c r="AB54"/>
      <c r="AC54"/>
    </row>
    <row r="55" spans="1:29" s="20" customFormat="1" ht="14.25">
      <c r="A55" s="1156" t="s">
        <v>1590</v>
      </c>
      <c r="B55" s="1156" t="s">
        <v>1591</v>
      </c>
      <c r="C55" s="1156"/>
      <c r="D55" s="1156" t="s">
        <v>1616</v>
      </c>
      <c r="E55" s="1156" t="s">
        <v>1605</v>
      </c>
      <c r="F55" s="1156" t="s">
        <v>496</v>
      </c>
      <c r="I55" s="1210"/>
      <c r="J55" s="1194" t="s">
        <v>1606</v>
      </c>
      <c r="K55" s="1212" t="s">
        <v>498</v>
      </c>
      <c r="L55" s="1214">
        <f t="shared" si="21"/>
        <v>-1.2379733845338983</v>
      </c>
      <c r="M55" s="1214">
        <f t="shared" si="21"/>
        <v>0.79473506493506396</v>
      </c>
      <c r="N55" s="1214">
        <f t="shared" si="21"/>
        <v>0.65521649749453903</v>
      </c>
      <c r="O55" s="1214">
        <f t="shared" si="21"/>
        <v>0</v>
      </c>
      <c r="P55" s="1214">
        <f t="shared" si="21"/>
        <v>0.2061111279517415</v>
      </c>
      <c r="Q55" s="1214">
        <f t="shared" si="21"/>
        <v>-0.1999999999999999</v>
      </c>
      <c r="R55" s="1214">
        <f t="shared" si="21"/>
        <v>-9.4358380567136385E-2</v>
      </c>
      <c r="S55" s="1214">
        <f t="shared" si="21"/>
        <v>-8.9003492223436259E-2</v>
      </c>
      <c r="T55" s="1214">
        <f t="shared" si="21"/>
        <v>-8.5318435376410234E-2</v>
      </c>
      <c r="U55" s="1214">
        <f t="shared" si="21"/>
        <v>-8.1685289257491717E-2</v>
      </c>
      <c r="V55" s="1214">
        <f t="shared" si="21"/>
        <v>-7.8122832948416349E-2</v>
      </c>
      <c r="W55" s="1214">
        <f t="shared" si="21"/>
        <v>-7.4630228717106867E-2</v>
      </c>
      <c r="X55" s="1214">
        <f t="shared" si="21"/>
        <v>-7.1206106915111284E-2</v>
      </c>
      <c r="Z55"/>
      <c r="AA55"/>
      <c r="AB55"/>
      <c r="AC55"/>
    </row>
    <row r="56" spans="1:29" s="1160" customFormat="1" ht="12.75" hidden="1">
      <c r="A56" s="1156" t="s">
        <v>1590</v>
      </c>
      <c r="B56" s="1156" t="s">
        <v>1617</v>
      </c>
      <c r="C56" s="1156" t="s">
        <v>370</v>
      </c>
      <c r="D56" s="1156"/>
      <c r="E56" s="1156"/>
      <c r="F56" s="1156"/>
      <c r="G56" s="1156" t="s">
        <v>367</v>
      </c>
      <c r="H56" s="1156" t="s">
        <v>367</v>
      </c>
      <c r="I56" s="1156" t="s">
        <v>367</v>
      </c>
      <c r="J56" s="1156" t="s">
        <v>367</v>
      </c>
      <c r="K56" s="1156" t="s">
        <v>492</v>
      </c>
      <c r="L56" s="1156" t="s">
        <v>371</v>
      </c>
      <c r="M56" s="1156" t="s">
        <v>371</v>
      </c>
      <c r="N56" s="1156" t="s">
        <v>371</v>
      </c>
      <c r="O56" s="1156" t="s">
        <v>371</v>
      </c>
      <c r="P56" s="1156" t="s">
        <v>371</v>
      </c>
      <c r="Q56" s="1156" t="s">
        <v>371</v>
      </c>
      <c r="R56" s="1156" t="s">
        <v>371</v>
      </c>
      <c r="S56" s="1156" t="s">
        <v>371</v>
      </c>
      <c r="T56" s="1156" t="s">
        <v>371</v>
      </c>
      <c r="U56" s="1156" t="s">
        <v>371</v>
      </c>
      <c r="V56" s="1156" t="s">
        <v>371</v>
      </c>
      <c r="W56" s="1156" t="s">
        <v>371</v>
      </c>
      <c r="X56" s="1156" t="s">
        <v>371</v>
      </c>
      <c r="Y56" s="1156" t="s">
        <v>367</v>
      </c>
      <c r="Z56"/>
      <c r="AA56"/>
      <c r="AB56"/>
      <c r="AC56"/>
    </row>
    <row r="57" spans="1:29" s="1194" customFormat="1" ht="12.75">
      <c r="A57" s="1156" t="s">
        <v>1590</v>
      </c>
      <c r="B57" s="1156" t="s">
        <v>1617</v>
      </c>
      <c r="C57" s="1156" t="s">
        <v>367</v>
      </c>
      <c r="D57" s="1156"/>
      <c r="E57" s="1156"/>
      <c r="F57" s="1156"/>
      <c r="G57"/>
      <c r="H57"/>
      <c r="I57"/>
      <c r="J57"/>
      <c r="K57"/>
      <c r="L57"/>
      <c r="M57"/>
      <c r="N57"/>
      <c r="O57"/>
      <c r="P57"/>
      <c r="Q57"/>
      <c r="R57"/>
      <c r="S57"/>
      <c r="T57"/>
      <c r="U57"/>
      <c r="V57"/>
      <c r="W57"/>
      <c r="X57"/>
      <c r="Y57"/>
      <c r="Z57"/>
      <c r="AA57"/>
      <c r="AB57"/>
      <c r="AC57"/>
    </row>
    <row r="58" spans="1:29" s="1194" customFormat="1" ht="12.75">
      <c r="A58" s="1156" t="s">
        <v>1590</v>
      </c>
      <c r="B58" s="1156" t="s">
        <v>1617</v>
      </c>
      <c r="C58" s="1156" t="s">
        <v>367</v>
      </c>
      <c r="D58" s="1156"/>
      <c r="E58" s="1156"/>
      <c r="F58" s="1156"/>
      <c r="G58" s="1210" t="s">
        <v>1618</v>
      </c>
      <c r="K58" s="1216"/>
      <c r="L58" s="1216"/>
      <c r="M58" s="1216"/>
      <c r="N58" s="1216"/>
      <c r="O58" s="1216"/>
      <c r="P58" s="1216"/>
      <c r="Q58" s="1216"/>
      <c r="R58" s="1216"/>
      <c r="S58" s="1216"/>
      <c r="T58" s="1216"/>
      <c r="U58" s="1216"/>
      <c r="V58" s="1216"/>
      <c r="W58" s="1216"/>
      <c r="X58" s="1216"/>
      <c r="Y58" s="1216"/>
      <c r="Z58"/>
      <c r="AA58"/>
      <c r="AB58"/>
      <c r="AC58"/>
    </row>
    <row r="59" spans="1:29" s="1194" customFormat="1" ht="12.75">
      <c r="A59" s="1156" t="s">
        <v>1590</v>
      </c>
      <c r="B59" s="1156" t="s">
        <v>1617</v>
      </c>
      <c r="C59" s="1156" t="s">
        <v>367</v>
      </c>
      <c r="D59" s="1156"/>
      <c r="E59" s="1156"/>
      <c r="F59" s="1156"/>
      <c r="H59" s="1210"/>
      <c r="K59" s="1216"/>
      <c r="L59" s="1216"/>
      <c r="M59" s="1216"/>
      <c r="N59" s="1216"/>
      <c r="O59" s="1216"/>
      <c r="P59" s="1216"/>
      <c r="Q59" s="1216"/>
      <c r="R59" s="1216"/>
      <c r="S59" s="1216"/>
      <c r="T59" s="1216"/>
      <c r="U59" s="1216"/>
      <c r="V59" s="1216"/>
      <c r="W59" s="1216"/>
      <c r="X59" s="1216"/>
      <c r="Y59" s="1216"/>
      <c r="Z59"/>
      <c r="AA59"/>
      <c r="AB59"/>
      <c r="AC59"/>
    </row>
    <row r="60" spans="1:29" s="1194" customFormat="1" ht="15">
      <c r="A60" s="1156" t="s">
        <v>1590</v>
      </c>
      <c r="B60" s="1156" t="s">
        <v>1617</v>
      </c>
      <c r="C60" s="1156" t="s">
        <v>415</v>
      </c>
      <c r="D60" s="1156"/>
      <c r="E60" s="1156"/>
      <c r="F60" s="1156"/>
      <c r="I60" s="1217" t="s">
        <v>1619</v>
      </c>
      <c r="J60" s="1217"/>
      <c r="K60" s="1218"/>
      <c r="L60" s="1203" t="s">
        <v>453</v>
      </c>
      <c r="M60" s="1203" t="s">
        <v>455</v>
      </c>
      <c r="N60" s="1203" t="s">
        <v>457</v>
      </c>
      <c r="O60" s="1203" t="s">
        <v>459</v>
      </c>
      <c r="P60" s="1203" t="s">
        <v>461</v>
      </c>
      <c r="Q60" s="1203" t="s">
        <v>463</v>
      </c>
      <c r="R60" s="1203" t="s">
        <v>465</v>
      </c>
      <c r="S60" s="1203" t="s">
        <v>467</v>
      </c>
      <c r="T60" s="1203" t="s">
        <v>469</v>
      </c>
      <c r="U60" s="1203" t="s">
        <v>471</v>
      </c>
      <c r="V60" s="1203" t="s">
        <v>473</v>
      </c>
      <c r="W60" s="1203" t="s">
        <v>475</v>
      </c>
      <c r="X60" s="1203" t="s">
        <v>477</v>
      </c>
      <c r="Z60"/>
      <c r="AA60"/>
      <c r="AB60"/>
      <c r="AC60"/>
    </row>
    <row r="61" spans="1:29" s="1194" customFormat="1" ht="15">
      <c r="A61" s="1156" t="s">
        <v>1590</v>
      </c>
      <c r="B61" s="1156" t="s">
        <v>1617</v>
      </c>
      <c r="C61" s="1156"/>
      <c r="D61" s="1156" t="s">
        <v>1620</v>
      </c>
      <c r="E61" s="1156" t="s">
        <v>1595</v>
      </c>
      <c r="F61" s="1156" t="s">
        <v>496</v>
      </c>
      <c r="J61" s="1194" t="s">
        <v>1596</v>
      </c>
      <c r="K61" s="1212" t="s">
        <v>498</v>
      </c>
      <c r="L61" s="1213"/>
      <c r="M61" s="1213"/>
      <c r="N61" s="1213"/>
      <c r="O61" s="1213"/>
      <c r="P61" s="1213"/>
      <c r="Q61" s="1213"/>
      <c r="R61" s="1213"/>
      <c r="S61" s="1213"/>
      <c r="T61" s="1213"/>
      <c r="U61" s="1213"/>
      <c r="V61" s="1213"/>
      <c r="W61" s="1213"/>
      <c r="X61" s="1213"/>
      <c r="Z61"/>
      <c r="AA61"/>
      <c r="AB61"/>
      <c r="AC61"/>
    </row>
    <row r="62" spans="1:29" s="1194" customFormat="1" ht="15">
      <c r="A62" s="1156" t="s">
        <v>1590</v>
      </c>
      <c r="B62" s="1156" t="s">
        <v>1617</v>
      </c>
      <c r="C62" s="1156"/>
      <c r="D62" s="1156" t="s">
        <v>1620</v>
      </c>
      <c r="E62" s="1156" t="s">
        <v>1597</v>
      </c>
      <c r="F62" s="1156" t="s">
        <v>496</v>
      </c>
      <c r="J62" s="1194" t="s">
        <v>1598</v>
      </c>
      <c r="K62" s="1212" t="s">
        <v>498</v>
      </c>
      <c r="L62" s="1213"/>
      <c r="M62" s="1213"/>
      <c r="N62" s="1213"/>
      <c r="O62" s="1213"/>
      <c r="P62" s="1213"/>
      <c r="Q62" s="1213"/>
      <c r="R62" s="1213"/>
      <c r="S62" s="1213"/>
      <c r="T62" s="1213"/>
      <c r="U62" s="1213"/>
      <c r="V62" s="1213"/>
      <c r="W62" s="1213"/>
      <c r="X62" s="1213"/>
      <c r="Z62"/>
      <c r="AA62"/>
      <c r="AB62"/>
      <c r="AC62"/>
    </row>
    <row r="63" spans="1:29" s="1194" customFormat="1" ht="12.75">
      <c r="A63" s="1156" t="s">
        <v>1590</v>
      </c>
      <c r="B63" s="1156" t="s">
        <v>1617</v>
      </c>
      <c r="C63" s="1156"/>
      <c r="D63" s="1156" t="s">
        <v>1620</v>
      </c>
      <c r="E63" s="1156" t="s">
        <v>1599</v>
      </c>
      <c r="F63" s="1156" t="s">
        <v>496</v>
      </c>
      <c r="J63" s="1194" t="s">
        <v>1600</v>
      </c>
      <c r="K63" s="1212" t="s">
        <v>498</v>
      </c>
      <c r="L63" s="1214">
        <f>+L61-L62</f>
        <v>0</v>
      </c>
      <c r="M63" s="1214">
        <f t="shared" ref="M63:P63" si="22">+M61-M62</f>
        <v>0</v>
      </c>
      <c r="N63" s="1214">
        <f t="shared" si="22"/>
        <v>0</v>
      </c>
      <c r="O63" s="1214">
        <f t="shared" si="22"/>
        <v>0</v>
      </c>
      <c r="P63" s="1214">
        <f t="shared" si="22"/>
        <v>0</v>
      </c>
      <c r="Q63" s="1214">
        <f>+Q61-Q62</f>
        <v>0</v>
      </c>
      <c r="R63" s="1214">
        <f t="shared" ref="R63:X63" si="23">+R61-R62</f>
        <v>0</v>
      </c>
      <c r="S63" s="1214">
        <f t="shared" si="23"/>
        <v>0</v>
      </c>
      <c r="T63" s="1214">
        <f t="shared" si="23"/>
        <v>0</v>
      </c>
      <c r="U63" s="1214">
        <f t="shared" si="23"/>
        <v>0</v>
      </c>
      <c r="V63" s="1214">
        <f t="shared" si="23"/>
        <v>0</v>
      </c>
      <c r="W63" s="1214">
        <f t="shared" si="23"/>
        <v>0</v>
      </c>
      <c r="X63" s="1214">
        <f t="shared" si="23"/>
        <v>0</v>
      </c>
      <c r="Z63"/>
      <c r="AA63"/>
      <c r="AB63"/>
      <c r="AC63"/>
    </row>
    <row r="64" spans="1:29" s="1194" customFormat="1" ht="15">
      <c r="A64" s="1156" t="s">
        <v>1590</v>
      </c>
      <c r="B64" s="1156" t="s">
        <v>1617</v>
      </c>
      <c r="C64" s="1156"/>
      <c r="D64" s="1156" t="s">
        <v>1620</v>
      </c>
      <c r="E64" s="1156" t="s">
        <v>1601</v>
      </c>
      <c r="F64" s="1156" t="s">
        <v>496</v>
      </c>
      <c r="J64" s="1194" t="s">
        <v>1602</v>
      </c>
      <c r="K64" s="1212" t="s">
        <v>498</v>
      </c>
      <c r="L64" s="1213"/>
      <c r="M64" s="1213"/>
      <c r="N64" s="1213"/>
      <c r="O64" s="1213"/>
      <c r="P64" s="1213"/>
      <c r="Q64" s="1213"/>
      <c r="R64" s="1213"/>
      <c r="S64" s="1213"/>
      <c r="T64" s="1213"/>
      <c r="U64" s="1213"/>
      <c r="V64" s="1213"/>
      <c r="W64" s="1213"/>
      <c r="X64" s="1213"/>
      <c r="Z64"/>
      <c r="AA64"/>
      <c r="AB64"/>
      <c r="AC64"/>
    </row>
    <row r="65" spans="1:24" s="1194" customFormat="1" ht="15">
      <c r="A65" s="1156" t="s">
        <v>1590</v>
      </c>
      <c r="B65" s="1156" t="s">
        <v>1617</v>
      </c>
      <c r="C65" s="1156"/>
      <c r="D65" s="1156" t="s">
        <v>1620</v>
      </c>
      <c r="E65" s="1156" t="s">
        <v>1603</v>
      </c>
      <c r="F65" s="1156" t="s">
        <v>496</v>
      </c>
      <c r="J65" s="1194" t="s">
        <v>1604</v>
      </c>
      <c r="K65" s="1212" t="s">
        <v>498</v>
      </c>
      <c r="L65" s="1213"/>
      <c r="M65" s="1213"/>
      <c r="N65" s="1213"/>
      <c r="O65" s="1213"/>
      <c r="P65" s="1213"/>
      <c r="Q65" s="1213"/>
      <c r="R65" s="1213"/>
      <c r="S65" s="1213"/>
      <c r="T65" s="1213"/>
      <c r="U65" s="1213"/>
      <c r="V65" s="1213"/>
      <c r="W65" s="1213"/>
      <c r="X65" s="1213"/>
    </row>
    <row r="66" spans="1:24" s="1194" customFormat="1" ht="12.75">
      <c r="A66" s="1156" t="s">
        <v>1590</v>
      </c>
      <c r="B66" s="1156" t="s">
        <v>1617</v>
      </c>
      <c r="C66" s="1156"/>
      <c r="D66" s="1156" t="s">
        <v>1620</v>
      </c>
      <c r="E66" s="1156" t="s">
        <v>1605</v>
      </c>
      <c r="F66" s="1156" t="s">
        <v>496</v>
      </c>
      <c r="J66" s="1194" t="s">
        <v>1606</v>
      </c>
      <c r="K66" s="1212" t="s">
        <v>498</v>
      </c>
      <c r="L66" s="1214">
        <f>+L64-L63</f>
        <v>0</v>
      </c>
      <c r="M66" s="1214">
        <f t="shared" ref="M66:P66" si="24">+M64-M63</f>
        <v>0</v>
      </c>
      <c r="N66" s="1214">
        <f t="shared" si="24"/>
        <v>0</v>
      </c>
      <c r="O66" s="1214">
        <f t="shared" si="24"/>
        <v>0</v>
      </c>
      <c r="P66" s="1214">
        <f t="shared" si="24"/>
        <v>0</v>
      </c>
      <c r="Q66" s="1214">
        <f>+Q64-Q63</f>
        <v>0</v>
      </c>
      <c r="R66" s="1214">
        <f t="shared" ref="R66:X66" si="25">+R64-R63</f>
        <v>0</v>
      </c>
      <c r="S66" s="1214">
        <f t="shared" si="25"/>
        <v>0</v>
      </c>
      <c r="T66" s="1214">
        <f t="shared" si="25"/>
        <v>0</v>
      </c>
      <c r="U66" s="1214">
        <f t="shared" si="25"/>
        <v>0</v>
      </c>
      <c r="V66" s="1214">
        <f t="shared" si="25"/>
        <v>0</v>
      </c>
      <c r="W66" s="1214">
        <f t="shared" si="25"/>
        <v>0</v>
      </c>
      <c r="X66" s="1214">
        <f t="shared" si="25"/>
        <v>0</v>
      </c>
    </row>
    <row r="67" spans="1:24" s="20" customFormat="1" ht="14.25">
      <c r="A67" s="1156" t="s">
        <v>1590</v>
      </c>
      <c r="B67" s="1156" t="s">
        <v>1617</v>
      </c>
      <c r="C67" s="1156" t="s">
        <v>367</v>
      </c>
      <c r="D67" s="1156"/>
      <c r="E67" s="1156"/>
      <c r="F67" s="1156"/>
    </row>
    <row r="68" spans="1:24" s="1194" customFormat="1" ht="15">
      <c r="A68" s="1156" t="s">
        <v>1590</v>
      </c>
      <c r="B68" s="1156" t="s">
        <v>1617</v>
      </c>
      <c r="C68" s="1156" t="s">
        <v>367</v>
      </c>
      <c r="D68" s="1156"/>
      <c r="E68" s="1156"/>
      <c r="F68" s="1156"/>
      <c r="I68" s="1217" t="s">
        <v>1621</v>
      </c>
      <c r="J68" s="1217"/>
      <c r="L68" s="1203" t="s">
        <v>453</v>
      </c>
      <c r="M68" s="1203" t="s">
        <v>455</v>
      </c>
      <c r="N68" s="1203" t="s">
        <v>457</v>
      </c>
      <c r="O68" s="1203" t="s">
        <v>459</v>
      </c>
      <c r="P68" s="1203" t="s">
        <v>461</v>
      </c>
      <c r="Q68" s="1203" t="s">
        <v>463</v>
      </c>
      <c r="R68" s="1203" t="s">
        <v>465</v>
      </c>
      <c r="S68" s="1203" t="s">
        <v>467</v>
      </c>
      <c r="T68" s="1203" t="s">
        <v>469</v>
      </c>
      <c r="U68" s="1203" t="s">
        <v>471</v>
      </c>
      <c r="V68" s="1203" t="s">
        <v>473</v>
      </c>
      <c r="W68" s="1203" t="s">
        <v>475</v>
      </c>
      <c r="X68" s="1203" t="s">
        <v>477</v>
      </c>
    </row>
    <row r="69" spans="1:24" s="1194" customFormat="1" ht="15">
      <c r="A69" s="1156" t="s">
        <v>1590</v>
      </c>
      <c r="B69" s="1156" t="s">
        <v>1617</v>
      </c>
      <c r="C69" s="1156"/>
      <c r="D69" s="1156" t="s">
        <v>1622</v>
      </c>
      <c r="E69" s="1156" t="s">
        <v>1595</v>
      </c>
      <c r="F69" s="1156" t="s">
        <v>496</v>
      </c>
      <c r="J69" s="1194" t="s">
        <v>1596</v>
      </c>
      <c r="K69" s="1212" t="s">
        <v>498</v>
      </c>
      <c r="L69" s="1213"/>
      <c r="M69" s="1213"/>
      <c r="N69" s="1213"/>
      <c r="O69" s="1213"/>
      <c r="P69" s="1213"/>
      <c r="Q69" s="1213"/>
      <c r="R69" s="1213"/>
      <c r="S69" s="1213"/>
      <c r="T69" s="1213"/>
      <c r="U69" s="1213"/>
      <c r="V69" s="1213"/>
      <c r="W69" s="1213"/>
      <c r="X69" s="1213"/>
    </row>
    <row r="70" spans="1:24" s="1194" customFormat="1" ht="15">
      <c r="A70" s="1156" t="s">
        <v>1590</v>
      </c>
      <c r="B70" s="1156" t="s">
        <v>1617</v>
      </c>
      <c r="C70" s="1156"/>
      <c r="D70" s="1156" t="s">
        <v>1622</v>
      </c>
      <c r="E70" s="1156" t="s">
        <v>1597</v>
      </c>
      <c r="F70" s="1156" t="s">
        <v>496</v>
      </c>
      <c r="J70" s="1194" t="s">
        <v>1598</v>
      </c>
      <c r="K70" s="1212" t="s">
        <v>498</v>
      </c>
      <c r="L70" s="1213"/>
      <c r="M70" s="1213"/>
      <c r="N70" s="1213"/>
      <c r="O70" s="1213"/>
      <c r="P70" s="1213"/>
      <c r="Q70" s="1213"/>
      <c r="R70" s="1213"/>
      <c r="S70" s="1213"/>
      <c r="T70" s="1213"/>
      <c r="U70" s="1213"/>
      <c r="V70" s="1213"/>
      <c r="W70" s="1213"/>
      <c r="X70" s="1213"/>
    </row>
    <row r="71" spans="1:24" s="1194" customFormat="1" ht="12.75">
      <c r="A71" s="1156" t="s">
        <v>1590</v>
      </c>
      <c r="B71" s="1156" t="s">
        <v>1617</v>
      </c>
      <c r="C71" s="1156"/>
      <c r="D71" s="1156" t="s">
        <v>1622</v>
      </c>
      <c r="E71" s="1156" t="s">
        <v>1599</v>
      </c>
      <c r="F71" s="1156" t="s">
        <v>496</v>
      </c>
      <c r="J71" s="1194" t="s">
        <v>1600</v>
      </c>
      <c r="K71" s="1212" t="s">
        <v>498</v>
      </c>
      <c r="L71" s="1214">
        <f>+L69-L70</f>
        <v>0</v>
      </c>
      <c r="M71" s="1214">
        <f t="shared" ref="M71:P71" si="26">+M69-M70</f>
        <v>0</v>
      </c>
      <c r="N71" s="1214">
        <f t="shared" si="26"/>
        <v>0</v>
      </c>
      <c r="O71" s="1214">
        <f t="shared" si="26"/>
        <v>0</v>
      </c>
      <c r="P71" s="1214">
        <f t="shared" si="26"/>
        <v>0</v>
      </c>
      <c r="Q71" s="1214">
        <f>+Q69-Q70</f>
        <v>0</v>
      </c>
      <c r="R71" s="1214">
        <f t="shared" ref="R71:X71" si="27">+R69-R70</f>
        <v>0</v>
      </c>
      <c r="S71" s="1214">
        <f t="shared" si="27"/>
        <v>0</v>
      </c>
      <c r="T71" s="1214">
        <f t="shared" si="27"/>
        <v>0</v>
      </c>
      <c r="U71" s="1214">
        <f t="shared" si="27"/>
        <v>0</v>
      </c>
      <c r="V71" s="1214">
        <f t="shared" si="27"/>
        <v>0</v>
      </c>
      <c r="W71" s="1214">
        <f t="shared" si="27"/>
        <v>0</v>
      </c>
      <c r="X71" s="1214">
        <f t="shared" si="27"/>
        <v>0</v>
      </c>
    </row>
    <row r="72" spans="1:24" s="1194" customFormat="1" ht="15">
      <c r="A72" s="1156" t="s">
        <v>1590</v>
      </c>
      <c r="B72" s="1156" t="s">
        <v>1617</v>
      </c>
      <c r="C72" s="1156"/>
      <c r="D72" s="1156" t="s">
        <v>1622</v>
      </c>
      <c r="E72" s="1156" t="s">
        <v>1601</v>
      </c>
      <c r="F72" s="1156" t="s">
        <v>496</v>
      </c>
      <c r="J72" s="1194" t="s">
        <v>1602</v>
      </c>
      <c r="K72" s="1212" t="s">
        <v>498</v>
      </c>
      <c r="L72" s="1213"/>
      <c r="M72" s="1213"/>
      <c r="N72" s="1213"/>
      <c r="O72" s="1213"/>
      <c r="P72" s="1213"/>
      <c r="Q72" s="1213"/>
      <c r="R72" s="1213"/>
      <c r="S72" s="1213"/>
      <c r="T72" s="1213"/>
      <c r="U72" s="1213"/>
      <c r="V72" s="1213"/>
      <c r="W72" s="1213"/>
      <c r="X72" s="1213"/>
    </row>
    <row r="73" spans="1:24" s="1194" customFormat="1" ht="15">
      <c r="A73" s="1156" t="s">
        <v>1590</v>
      </c>
      <c r="B73" s="1156" t="s">
        <v>1617</v>
      </c>
      <c r="C73" s="1156"/>
      <c r="D73" s="1156" t="s">
        <v>1622</v>
      </c>
      <c r="E73" s="1156" t="s">
        <v>1603</v>
      </c>
      <c r="F73" s="1156" t="s">
        <v>496</v>
      </c>
      <c r="J73" s="1194" t="s">
        <v>1604</v>
      </c>
      <c r="K73" s="1212" t="s">
        <v>498</v>
      </c>
      <c r="L73" s="1213"/>
      <c r="M73" s="1213"/>
      <c r="N73" s="1213"/>
      <c r="O73" s="1213"/>
      <c r="P73" s="1213"/>
      <c r="Q73" s="1213"/>
      <c r="R73" s="1213"/>
      <c r="S73" s="1213"/>
      <c r="T73" s="1213"/>
      <c r="U73" s="1213"/>
      <c r="V73" s="1213"/>
      <c r="W73" s="1213"/>
      <c r="X73" s="1213"/>
    </row>
    <row r="74" spans="1:24" s="1194" customFormat="1" ht="12.75">
      <c r="A74" s="1156" t="s">
        <v>1590</v>
      </c>
      <c r="B74" s="1156" t="s">
        <v>1617</v>
      </c>
      <c r="C74" s="1156"/>
      <c r="D74" s="1156" t="s">
        <v>1622</v>
      </c>
      <c r="E74" s="1156" t="s">
        <v>1605</v>
      </c>
      <c r="F74" s="1156" t="s">
        <v>496</v>
      </c>
      <c r="J74" s="1194" t="s">
        <v>1606</v>
      </c>
      <c r="K74" s="1212" t="s">
        <v>498</v>
      </c>
      <c r="L74" s="1214">
        <f>+L72-L71</f>
        <v>0</v>
      </c>
      <c r="M74" s="1214">
        <f t="shared" ref="M74:P74" si="28">+M72-M71</f>
        <v>0</v>
      </c>
      <c r="N74" s="1214">
        <f t="shared" si="28"/>
        <v>0</v>
      </c>
      <c r="O74" s="1214">
        <f t="shared" si="28"/>
        <v>0</v>
      </c>
      <c r="P74" s="1214">
        <f t="shared" si="28"/>
        <v>0</v>
      </c>
      <c r="Q74" s="1214">
        <f>+Q72-Q71</f>
        <v>0</v>
      </c>
      <c r="R74" s="1214">
        <f t="shared" ref="R74:X74" si="29">+R72-R71</f>
        <v>0</v>
      </c>
      <c r="S74" s="1214">
        <f t="shared" si="29"/>
        <v>0</v>
      </c>
      <c r="T74" s="1214">
        <f t="shared" si="29"/>
        <v>0</v>
      </c>
      <c r="U74" s="1214">
        <f t="shared" si="29"/>
        <v>0</v>
      </c>
      <c r="V74" s="1214">
        <f t="shared" si="29"/>
        <v>0</v>
      </c>
      <c r="W74" s="1214">
        <f t="shared" si="29"/>
        <v>0</v>
      </c>
      <c r="X74" s="1214">
        <f t="shared" si="29"/>
        <v>0</v>
      </c>
    </row>
    <row r="75" spans="1:24" s="20" customFormat="1" ht="14.25">
      <c r="A75" s="1156" t="s">
        <v>1590</v>
      </c>
      <c r="B75" s="1156" t="s">
        <v>1617</v>
      </c>
      <c r="C75" s="1156" t="s">
        <v>367</v>
      </c>
      <c r="D75" s="1156"/>
      <c r="E75" s="1156"/>
      <c r="F75" s="1156"/>
    </row>
    <row r="76" spans="1:24" s="1194" customFormat="1" ht="15">
      <c r="A76" s="1156" t="s">
        <v>1590</v>
      </c>
      <c r="B76" s="1156" t="s">
        <v>1617</v>
      </c>
      <c r="C76" s="1156" t="s">
        <v>367</v>
      </c>
      <c r="D76" s="1156" t="s">
        <v>1623</v>
      </c>
      <c r="E76" s="1156"/>
      <c r="F76" s="1156"/>
      <c r="I76" s="1217" t="s">
        <v>1624</v>
      </c>
      <c r="J76" s="1217"/>
      <c r="K76" s="1218"/>
      <c r="L76" s="1203" t="s">
        <v>453</v>
      </c>
      <c r="M76" s="1203" t="s">
        <v>455</v>
      </c>
      <c r="N76" s="1203" t="s">
        <v>457</v>
      </c>
      <c r="O76" s="1203" t="s">
        <v>459</v>
      </c>
      <c r="P76" s="1203" t="s">
        <v>461</v>
      </c>
      <c r="Q76" s="1203" t="s">
        <v>463</v>
      </c>
      <c r="R76" s="1203" t="s">
        <v>465</v>
      </c>
      <c r="S76" s="1203" t="s">
        <v>467</v>
      </c>
      <c r="T76" s="1203" t="s">
        <v>469</v>
      </c>
      <c r="U76" s="1203" t="s">
        <v>471</v>
      </c>
      <c r="V76" s="1203" t="s">
        <v>473</v>
      </c>
      <c r="W76" s="1203" t="s">
        <v>475</v>
      </c>
      <c r="X76" s="1203" t="s">
        <v>477</v>
      </c>
    </row>
    <row r="77" spans="1:24" s="1194" customFormat="1" ht="15">
      <c r="A77" s="1156" t="s">
        <v>1590</v>
      </c>
      <c r="B77" s="1156" t="s">
        <v>1617</v>
      </c>
      <c r="C77" s="1156"/>
      <c r="D77" s="1156" t="s">
        <v>1623</v>
      </c>
      <c r="E77" s="1156" t="s">
        <v>1595</v>
      </c>
      <c r="F77" s="1156" t="s">
        <v>496</v>
      </c>
      <c r="J77" s="1194" t="s">
        <v>1596</v>
      </c>
      <c r="K77" s="1212" t="s">
        <v>498</v>
      </c>
      <c r="L77" s="1213"/>
      <c r="M77" s="1213"/>
      <c r="N77" s="1213"/>
      <c r="O77" s="1213"/>
      <c r="P77" s="1213"/>
      <c r="Q77" s="1213"/>
      <c r="R77" s="1213"/>
      <c r="S77" s="1213"/>
      <c r="T77" s="1213"/>
      <c r="U77" s="1213"/>
      <c r="V77" s="1213"/>
      <c r="W77" s="1213"/>
      <c r="X77" s="1213"/>
    </row>
    <row r="78" spans="1:24" s="1194" customFormat="1" ht="15">
      <c r="A78" s="1156" t="s">
        <v>1590</v>
      </c>
      <c r="B78" s="1156" t="s">
        <v>1617</v>
      </c>
      <c r="C78" s="1156"/>
      <c r="D78" s="1156" t="s">
        <v>1623</v>
      </c>
      <c r="E78" s="1156" t="s">
        <v>1597</v>
      </c>
      <c r="F78" s="1156" t="s">
        <v>496</v>
      </c>
      <c r="J78" s="1194" t="s">
        <v>1598</v>
      </c>
      <c r="K78" s="1212" t="s">
        <v>498</v>
      </c>
      <c r="L78" s="1213"/>
      <c r="M78" s="1213"/>
      <c r="N78" s="1213"/>
      <c r="O78" s="1213"/>
      <c r="P78" s="1213"/>
      <c r="Q78" s="1213"/>
      <c r="R78" s="1213"/>
      <c r="S78" s="1213"/>
      <c r="T78" s="1213"/>
      <c r="U78" s="1213"/>
      <c r="V78" s="1213"/>
      <c r="W78" s="1213"/>
      <c r="X78" s="1213"/>
    </row>
    <row r="79" spans="1:24" s="1194" customFormat="1" ht="12.75">
      <c r="A79" s="1156" t="s">
        <v>1590</v>
      </c>
      <c r="B79" s="1156" t="s">
        <v>1617</v>
      </c>
      <c r="C79" s="1156"/>
      <c r="D79" s="1156" t="s">
        <v>1623</v>
      </c>
      <c r="E79" s="1156" t="s">
        <v>1599</v>
      </c>
      <c r="F79" s="1156" t="s">
        <v>496</v>
      </c>
      <c r="J79" s="1194" t="s">
        <v>1600</v>
      </c>
      <c r="K79" s="1212" t="s">
        <v>498</v>
      </c>
      <c r="L79" s="1214">
        <f>+L77-L78</f>
        <v>0</v>
      </c>
      <c r="M79" s="1214">
        <f t="shared" ref="M79:P79" si="30">+M77-M78</f>
        <v>0</v>
      </c>
      <c r="N79" s="1214">
        <f t="shared" si="30"/>
        <v>0</v>
      </c>
      <c r="O79" s="1214">
        <f t="shared" si="30"/>
        <v>0</v>
      </c>
      <c r="P79" s="1214">
        <f t="shared" si="30"/>
        <v>0</v>
      </c>
      <c r="Q79" s="1214">
        <f>+Q77-Q78</f>
        <v>0</v>
      </c>
      <c r="R79" s="1214">
        <f t="shared" ref="R79:X79" si="31">+R77-R78</f>
        <v>0</v>
      </c>
      <c r="S79" s="1214">
        <f t="shared" si="31"/>
        <v>0</v>
      </c>
      <c r="T79" s="1214">
        <f t="shared" si="31"/>
        <v>0</v>
      </c>
      <c r="U79" s="1214">
        <f t="shared" si="31"/>
        <v>0</v>
      </c>
      <c r="V79" s="1214">
        <f t="shared" si="31"/>
        <v>0</v>
      </c>
      <c r="W79" s="1214">
        <f t="shared" si="31"/>
        <v>0</v>
      </c>
      <c r="X79" s="1214">
        <f t="shared" si="31"/>
        <v>0</v>
      </c>
    </row>
    <row r="80" spans="1:24" s="1194" customFormat="1" ht="15">
      <c r="A80" s="1156" t="s">
        <v>1590</v>
      </c>
      <c r="B80" s="1156" t="s">
        <v>1617</v>
      </c>
      <c r="C80" s="1156"/>
      <c r="D80" s="1156" t="s">
        <v>1623</v>
      </c>
      <c r="E80" s="1156" t="s">
        <v>1601</v>
      </c>
      <c r="F80" s="1156" t="s">
        <v>496</v>
      </c>
      <c r="J80" s="1194" t="s">
        <v>1602</v>
      </c>
      <c r="K80" s="1212" t="s">
        <v>498</v>
      </c>
      <c r="L80" s="1213"/>
      <c r="M80" s="1213"/>
      <c r="N80" s="1213"/>
      <c r="O80" s="1213"/>
      <c r="P80" s="1213"/>
      <c r="Q80" s="1213"/>
      <c r="R80" s="1213"/>
      <c r="S80" s="1213"/>
      <c r="T80" s="1213"/>
      <c r="U80" s="1213"/>
      <c r="V80" s="1213"/>
      <c r="W80" s="1213"/>
      <c r="X80" s="1213"/>
    </row>
    <row r="81" spans="1:24" s="1194" customFormat="1" ht="15">
      <c r="A81" s="1156" t="s">
        <v>1590</v>
      </c>
      <c r="B81" s="1156" t="s">
        <v>1617</v>
      </c>
      <c r="C81" s="1156"/>
      <c r="D81" s="1156" t="s">
        <v>1623</v>
      </c>
      <c r="E81" s="1156" t="s">
        <v>1603</v>
      </c>
      <c r="F81" s="1156" t="s">
        <v>496</v>
      </c>
      <c r="J81" s="1194" t="s">
        <v>1604</v>
      </c>
      <c r="K81" s="1212" t="s">
        <v>498</v>
      </c>
      <c r="L81" s="1213"/>
      <c r="M81" s="1213"/>
      <c r="N81" s="1213"/>
      <c r="O81" s="1213"/>
      <c r="P81" s="1213"/>
      <c r="Q81" s="1213"/>
      <c r="R81" s="1213"/>
      <c r="S81" s="1213"/>
      <c r="T81" s="1213"/>
      <c r="U81" s="1213"/>
      <c r="V81" s="1213"/>
      <c r="W81" s="1213"/>
      <c r="X81" s="1213"/>
    </row>
    <row r="82" spans="1:24" s="1194" customFormat="1" ht="12.75">
      <c r="A82" s="1156" t="s">
        <v>1590</v>
      </c>
      <c r="B82" s="1156" t="s">
        <v>1617</v>
      </c>
      <c r="C82" s="1156"/>
      <c r="D82" s="1156" t="s">
        <v>1623</v>
      </c>
      <c r="E82" s="1156" t="s">
        <v>1605</v>
      </c>
      <c r="F82" s="1156" t="s">
        <v>496</v>
      </c>
      <c r="J82" s="1194" t="s">
        <v>1606</v>
      </c>
      <c r="K82" s="1212" t="s">
        <v>498</v>
      </c>
      <c r="L82" s="1214">
        <f>+L80-L79</f>
        <v>0</v>
      </c>
      <c r="M82" s="1214">
        <f t="shared" ref="M82:P82" si="32">+M80-M79</f>
        <v>0</v>
      </c>
      <c r="N82" s="1214">
        <f t="shared" si="32"/>
        <v>0</v>
      </c>
      <c r="O82" s="1214">
        <f t="shared" si="32"/>
        <v>0</v>
      </c>
      <c r="P82" s="1214">
        <f t="shared" si="32"/>
        <v>0</v>
      </c>
      <c r="Q82" s="1214">
        <f>+Q80-Q79</f>
        <v>0</v>
      </c>
      <c r="R82" s="1214">
        <f t="shared" ref="R82:X82" si="33">+R80-R79</f>
        <v>0</v>
      </c>
      <c r="S82" s="1214">
        <f t="shared" si="33"/>
        <v>0</v>
      </c>
      <c r="T82" s="1214">
        <f t="shared" si="33"/>
        <v>0</v>
      </c>
      <c r="U82" s="1214">
        <f t="shared" si="33"/>
        <v>0</v>
      </c>
      <c r="V82" s="1214">
        <f t="shared" si="33"/>
        <v>0</v>
      </c>
      <c r="W82" s="1214">
        <f t="shared" si="33"/>
        <v>0</v>
      </c>
      <c r="X82" s="1214">
        <f t="shared" si="33"/>
        <v>0</v>
      </c>
    </row>
    <row r="83" spans="1:24" s="20" customFormat="1" ht="14.25">
      <c r="A83" s="1156" t="s">
        <v>1590</v>
      </c>
      <c r="B83" s="1156" t="s">
        <v>1617</v>
      </c>
      <c r="C83" s="1156" t="s">
        <v>367</v>
      </c>
      <c r="D83" s="1156"/>
      <c r="E83" s="1156"/>
      <c r="F83" s="1156"/>
    </row>
    <row r="84" spans="1:24" s="1194" customFormat="1" ht="15">
      <c r="A84" s="1156" t="s">
        <v>1590</v>
      </c>
      <c r="B84" s="1156" t="s">
        <v>1617</v>
      </c>
      <c r="C84" s="1156" t="s">
        <v>367</v>
      </c>
      <c r="D84" s="1156" t="s">
        <v>1625</v>
      </c>
      <c r="E84" s="1156"/>
      <c r="F84" s="1156"/>
      <c r="I84" s="1217" t="s">
        <v>1626</v>
      </c>
      <c r="J84" s="1217"/>
      <c r="L84" s="1203" t="s">
        <v>453</v>
      </c>
      <c r="M84" s="1203" t="s">
        <v>455</v>
      </c>
      <c r="N84" s="1203" t="s">
        <v>457</v>
      </c>
      <c r="O84" s="1203" t="s">
        <v>459</v>
      </c>
      <c r="P84" s="1203" t="s">
        <v>461</v>
      </c>
      <c r="Q84" s="1203" t="s">
        <v>463</v>
      </c>
      <c r="R84" s="1203" t="s">
        <v>465</v>
      </c>
      <c r="S84" s="1203" t="s">
        <v>467</v>
      </c>
      <c r="T84" s="1203" t="s">
        <v>469</v>
      </c>
      <c r="U84" s="1203" t="s">
        <v>471</v>
      </c>
      <c r="V84" s="1203" t="s">
        <v>473</v>
      </c>
      <c r="W84" s="1203" t="s">
        <v>475</v>
      </c>
      <c r="X84" s="1203" t="s">
        <v>477</v>
      </c>
    </row>
    <row r="85" spans="1:24" s="1194" customFormat="1" ht="15">
      <c r="A85" s="1156" t="s">
        <v>1590</v>
      </c>
      <c r="B85" s="1156" t="s">
        <v>1617</v>
      </c>
      <c r="C85" s="1156"/>
      <c r="D85" s="1156" t="s">
        <v>1625</v>
      </c>
      <c r="E85" s="1156" t="s">
        <v>1595</v>
      </c>
      <c r="F85" s="1156" t="s">
        <v>496</v>
      </c>
      <c r="J85" s="1194" t="s">
        <v>1596</v>
      </c>
      <c r="K85" s="1212" t="s">
        <v>498</v>
      </c>
      <c r="L85" s="1213"/>
      <c r="M85" s="1213"/>
      <c r="N85" s="1213"/>
      <c r="O85" s="1213"/>
      <c r="P85" s="1213"/>
      <c r="Q85" s="1213"/>
      <c r="R85" s="1213"/>
      <c r="S85" s="1213"/>
      <c r="T85" s="1213"/>
      <c r="U85" s="1213"/>
      <c r="V85" s="1213"/>
      <c r="W85" s="1213"/>
      <c r="X85" s="1213"/>
    </row>
    <row r="86" spans="1:24" s="1194" customFormat="1" ht="15">
      <c r="A86" s="1156" t="s">
        <v>1590</v>
      </c>
      <c r="B86" s="1156" t="s">
        <v>1617</v>
      </c>
      <c r="C86" s="1156"/>
      <c r="D86" s="1156" t="s">
        <v>1625</v>
      </c>
      <c r="E86" s="1156" t="s">
        <v>1597</v>
      </c>
      <c r="F86" s="1156" t="s">
        <v>496</v>
      </c>
      <c r="J86" s="1194" t="s">
        <v>1598</v>
      </c>
      <c r="K86" s="1212" t="s">
        <v>498</v>
      </c>
      <c r="L86" s="1213"/>
      <c r="M86" s="1213"/>
      <c r="N86" s="1213"/>
      <c r="O86" s="1213"/>
      <c r="P86" s="1213"/>
      <c r="Q86" s="1213"/>
      <c r="R86" s="1213"/>
      <c r="S86" s="1213"/>
      <c r="T86" s="1213"/>
      <c r="U86" s="1213"/>
      <c r="V86" s="1213"/>
      <c r="W86" s="1213"/>
      <c r="X86" s="1213"/>
    </row>
    <row r="87" spans="1:24" s="1194" customFormat="1" ht="12.75">
      <c r="A87" s="1156" t="s">
        <v>1590</v>
      </c>
      <c r="B87" s="1156" t="s">
        <v>1617</v>
      </c>
      <c r="C87" s="1156"/>
      <c r="D87" s="1156" t="s">
        <v>1625</v>
      </c>
      <c r="E87" s="1156" t="s">
        <v>1599</v>
      </c>
      <c r="F87" s="1156" t="s">
        <v>496</v>
      </c>
      <c r="J87" s="1194" t="s">
        <v>1600</v>
      </c>
      <c r="K87" s="1212" t="s">
        <v>498</v>
      </c>
      <c r="L87" s="1214">
        <f>+L85-L86</f>
        <v>0</v>
      </c>
      <c r="M87" s="1214">
        <f t="shared" ref="M87:P87" si="34">+M85-M86</f>
        <v>0</v>
      </c>
      <c r="N87" s="1214">
        <f t="shared" si="34"/>
        <v>0</v>
      </c>
      <c r="O87" s="1214">
        <f t="shared" si="34"/>
        <v>0</v>
      </c>
      <c r="P87" s="1214">
        <f t="shared" si="34"/>
        <v>0</v>
      </c>
      <c r="Q87" s="1214">
        <f>+Q85-Q86</f>
        <v>0</v>
      </c>
      <c r="R87" s="1214">
        <f t="shared" ref="R87:X87" si="35">+R85-R86</f>
        <v>0</v>
      </c>
      <c r="S87" s="1214">
        <f t="shared" si="35"/>
        <v>0</v>
      </c>
      <c r="T87" s="1214">
        <f t="shared" si="35"/>
        <v>0</v>
      </c>
      <c r="U87" s="1214">
        <f t="shared" si="35"/>
        <v>0</v>
      </c>
      <c r="V87" s="1214">
        <f t="shared" si="35"/>
        <v>0</v>
      </c>
      <c r="W87" s="1214">
        <f t="shared" si="35"/>
        <v>0</v>
      </c>
      <c r="X87" s="1214">
        <f t="shared" si="35"/>
        <v>0</v>
      </c>
    </row>
    <row r="88" spans="1:24" s="1194" customFormat="1" ht="15">
      <c r="A88" s="1156" t="s">
        <v>1590</v>
      </c>
      <c r="B88" s="1156" t="s">
        <v>1617</v>
      </c>
      <c r="C88" s="1156"/>
      <c r="D88" s="1156" t="s">
        <v>1625</v>
      </c>
      <c r="E88" s="1156" t="s">
        <v>1601</v>
      </c>
      <c r="F88" s="1156" t="s">
        <v>496</v>
      </c>
      <c r="J88" s="1194" t="s">
        <v>1602</v>
      </c>
      <c r="K88" s="1212" t="s">
        <v>498</v>
      </c>
      <c r="L88" s="1213"/>
      <c r="M88" s="1213"/>
      <c r="N88" s="1213"/>
      <c r="O88" s="1213"/>
      <c r="P88" s="1213"/>
      <c r="Q88" s="1213"/>
      <c r="R88" s="1213"/>
      <c r="S88" s="1213"/>
      <c r="T88" s="1213"/>
      <c r="U88" s="1213"/>
      <c r="V88" s="1213"/>
      <c r="W88" s="1213"/>
      <c r="X88" s="1213"/>
    </row>
    <row r="89" spans="1:24" s="1194" customFormat="1" ht="15">
      <c r="A89" s="1156" t="s">
        <v>1590</v>
      </c>
      <c r="B89" s="1156" t="s">
        <v>1617</v>
      </c>
      <c r="C89" s="1156"/>
      <c r="D89" s="1156" t="s">
        <v>1625</v>
      </c>
      <c r="E89" s="1156" t="s">
        <v>1603</v>
      </c>
      <c r="F89" s="1156" t="s">
        <v>496</v>
      </c>
      <c r="J89" s="1194" t="s">
        <v>1604</v>
      </c>
      <c r="K89" s="1212" t="s">
        <v>498</v>
      </c>
      <c r="L89" s="1213"/>
      <c r="M89" s="1213"/>
      <c r="N89" s="1213"/>
      <c r="O89" s="1213"/>
      <c r="P89" s="1213"/>
      <c r="Q89" s="1213"/>
      <c r="R89" s="1213"/>
      <c r="S89" s="1213"/>
      <c r="T89" s="1213"/>
      <c r="U89" s="1213"/>
      <c r="V89" s="1213"/>
      <c r="W89" s="1213"/>
      <c r="X89" s="1213"/>
    </row>
    <row r="90" spans="1:24" s="1194" customFormat="1" ht="12.75">
      <c r="A90" s="1156" t="s">
        <v>1590</v>
      </c>
      <c r="B90" s="1156" t="s">
        <v>1617</v>
      </c>
      <c r="C90" s="1156"/>
      <c r="D90" s="1156" t="s">
        <v>1625</v>
      </c>
      <c r="E90" s="1156" t="s">
        <v>1605</v>
      </c>
      <c r="F90" s="1156" t="s">
        <v>496</v>
      </c>
      <c r="J90" s="1194" t="s">
        <v>1606</v>
      </c>
      <c r="K90" s="1212" t="s">
        <v>498</v>
      </c>
      <c r="L90" s="1214">
        <f>+L88-L87</f>
        <v>0</v>
      </c>
      <c r="M90" s="1214">
        <f t="shared" ref="M90:P90" si="36">+M88-M87</f>
        <v>0</v>
      </c>
      <c r="N90" s="1214">
        <f t="shared" si="36"/>
        <v>0</v>
      </c>
      <c r="O90" s="1214">
        <f t="shared" si="36"/>
        <v>0</v>
      </c>
      <c r="P90" s="1214">
        <f t="shared" si="36"/>
        <v>0</v>
      </c>
      <c r="Q90" s="1214">
        <f>+Q88-Q87</f>
        <v>0</v>
      </c>
      <c r="R90" s="1214">
        <f t="shared" ref="R90:X90" si="37">+R88-R87</f>
        <v>0</v>
      </c>
      <c r="S90" s="1214">
        <f t="shared" si="37"/>
        <v>0</v>
      </c>
      <c r="T90" s="1214">
        <f t="shared" si="37"/>
        <v>0</v>
      </c>
      <c r="U90" s="1214">
        <f t="shared" si="37"/>
        <v>0</v>
      </c>
      <c r="V90" s="1214">
        <f t="shared" si="37"/>
        <v>0</v>
      </c>
      <c r="W90" s="1214">
        <f t="shared" si="37"/>
        <v>0</v>
      </c>
      <c r="X90" s="1214">
        <f t="shared" si="37"/>
        <v>0</v>
      </c>
    </row>
    <row r="91" spans="1:24" s="20" customFormat="1" ht="14.25">
      <c r="A91" s="1156" t="s">
        <v>1590</v>
      </c>
      <c r="B91" s="1156" t="s">
        <v>1617</v>
      </c>
      <c r="C91" s="1156" t="s">
        <v>367</v>
      </c>
      <c r="D91" s="1156"/>
      <c r="E91" s="1156"/>
      <c r="F91" s="1156"/>
    </row>
    <row r="92" spans="1:24" s="1194" customFormat="1" ht="15">
      <c r="A92" s="1156" t="s">
        <v>1590</v>
      </c>
      <c r="B92" s="1156" t="s">
        <v>1617</v>
      </c>
      <c r="C92" s="1156" t="s">
        <v>367</v>
      </c>
      <c r="D92" s="1156" t="s">
        <v>1627</v>
      </c>
      <c r="E92" s="1156"/>
      <c r="F92" s="1156"/>
      <c r="I92" s="1217" t="s">
        <v>1628</v>
      </c>
      <c r="J92" s="1217"/>
      <c r="L92" s="1203" t="s">
        <v>453</v>
      </c>
      <c r="M92" s="1203" t="s">
        <v>455</v>
      </c>
      <c r="N92" s="1203" t="s">
        <v>457</v>
      </c>
      <c r="O92" s="1203" t="s">
        <v>459</v>
      </c>
      <c r="P92" s="1203" t="s">
        <v>461</v>
      </c>
      <c r="Q92" s="1203" t="s">
        <v>463</v>
      </c>
      <c r="R92" s="1203" t="s">
        <v>465</v>
      </c>
      <c r="S92" s="1203" t="s">
        <v>467</v>
      </c>
      <c r="T92" s="1203" t="s">
        <v>469</v>
      </c>
      <c r="U92" s="1203" t="s">
        <v>471</v>
      </c>
      <c r="V92" s="1203" t="s">
        <v>473</v>
      </c>
      <c r="W92" s="1203" t="s">
        <v>475</v>
      </c>
      <c r="X92" s="1203" t="s">
        <v>477</v>
      </c>
    </row>
    <row r="93" spans="1:24" s="1194" customFormat="1" ht="15">
      <c r="A93" s="1156" t="s">
        <v>1590</v>
      </c>
      <c r="B93" s="1156" t="s">
        <v>1617</v>
      </c>
      <c r="C93" s="1156"/>
      <c r="D93" s="1156" t="s">
        <v>1627</v>
      </c>
      <c r="E93" s="1156" t="s">
        <v>1595</v>
      </c>
      <c r="F93" s="1156" t="s">
        <v>496</v>
      </c>
      <c r="J93" s="1194" t="s">
        <v>1596</v>
      </c>
      <c r="K93" s="1212" t="s">
        <v>498</v>
      </c>
      <c r="L93" s="1213"/>
      <c r="M93" s="1213"/>
      <c r="N93" s="1213"/>
      <c r="O93" s="1213"/>
      <c r="P93" s="1213"/>
      <c r="Q93" s="1213"/>
      <c r="R93" s="1213"/>
      <c r="S93" s="1213"/>
      <c r="T93" s="1213"/>
      <c r="U93" s="1213"/>
      <c r="V93" s="1213"/>
      <c r="W93" s="1213"/>
      <c r="X93" s="1213"/>
    </row>
    <row r="94" spans="1:24" s="1194" customFormat="1" ht="15">
      <c r="A94" s="1156" t="s">
        <v>1590</v>
      </c>
      <c r="B94" s="1156" t="s">
        <v>1617</v>
      </c>
      <c r="C94" s="1156"/>
      <c r="D94" s="1156" t="s">
        <v>1627</v>
      </c>
      <c r="E94" s="1156" t="s">
        <v>1597</v>
      </c>
      <c r="F94" s="1156" t="s">
        <v>496</v>
      </c>
      <c r="J94" s="1194" t="s">
        <v>1598</v>
      </c>
      <c r="K94" s="1212" t="s">
        <v>498</v>
      </c>
      <c r="L94" s="1213"/>
      <c r="M94" s="1213"/>
      <c r="N94" s="1213"/>
      <c r="O94" s="1213"/>
      <c r="P94" s="1213"/>
      <c r="Q94" s="1213"/>
      <c r="R94" s="1213"/>
      <c r="S94" s="1213"/>
      <c r="T94" s="1213"/>
      <c r="U94" s="1213"/>
      <c r="V94" s="1213"/>
      <c r="W94" s="1213"/>
      <c r="X94" s="1213"/>
    </row>
    <row r="95" spans="1:24" s="1194" customFormat="1" ht="12.75">
      <c r="A95" s="1156" t="s">
        <v>1590</v>
      </c>
      <c r="B95" s="1156" t="s">
        <v>1617</v>
      </c>
      <c r="C95" s="1156"/>
      <c r="D95" s="1156" t="s">
        <v>1627</v>
      </c>
      <c r="E95" s="1156" t="s">
        <v>1599</v>
      </c>
      <c r="F95" s="1156" t="s">
        <v>496</v>
      </c>
      <c r="J95" s="1194" t="s">
        <v>1600</v>
      </c>
      <c r="K95" s="1212" t="s">
        <v>498</v>
      </c>
      <c r="L95" s="1214">
        <f>+L93-L94</f>
        <v>0</v>
      </c>
      <c r="M95" s="1214">
        <f t="shared" ref="M95:P95" si="38">+M93-M94</f>
        <v>0</v>
      </c>
      <c r="N95" s="1214">
        <f t="shared" si="38"/>
        <v>0</v>
      </c>
      <c r="O95" s="1214">
        <f t="shared" si="38"/>
        <v>0</v>
      </c>
      <c r="P95" s="1214">
        <f t="shared" si="38"/>
        <v>0</v>
      </c>
      <c r="Q95" s="1214">
        <f>+Q93-Q94</f>
        <v>0</v>
      </c>
      <c r="R95" s="1214">
        <f t="shared" ref="R95:X95" si="39">+R93-R94</f>
        <v>0</v>
      </c>
      <c r="S95" s="1214">
        <f t="shared" si="39"/>
        <v>0</v>
      </c>
      <c r="T95" s="1214">
        <f t="shared" si="39"/>
        <v>0</v>
      </c>
      <c r="U95" s="1214">
        <f t="shared" si="39"/>
        <v>0</v>
      </c>
      <c r="V95" s="1214">
        <f t="shared" si="39"/>
        <v>0</v>
      </c>
      <c r="W95" s="1214">
        <f t="shared" si="39"/>
        <v>0</v>
      </c>
      <c r="X95" s="1214">
        <f t="shared" si="39"/>
        <v>0</v>
      </c>
    </row>
    <row r="96" spans="1:24" s="1194" customFormat="1" ht="15">
      <c r="A96" s="1156" t="s">
        <v>1590</v>
      </c>
      <c r="B96" s="1156" t="s">
        <v>1617</v>
      </c>
      <c r="C96" s="1156"/>
      <c r="D96" s="1156" t="s">
        <v>1627</v>
      </c>
      <c r="E96" s="1156" t="s">
        <v>1601</v>
      </c>
      <c r="F96" s="1156" t="s">
        <v>496</v>
      </c>
      <c r="J96" s="1194" t="s">
        <v>1602</v>
      </c>
      <c r="K96" s="1212" t="s">
        <v>498</v>
      </c>
      <c r="L96" s="1213"/>
      <c r="M96" s="1213"/>
      <c r="N96" s="1213"/>
      <c r="O96" s="1213"/>
      <c r="P96" s="1213"/>
      <c r="Q96" s="1213"/>
      <c r="R96" s="1213"/>
      <c r="S96" s="1213"/>
      <c r="T96" s="1213"/>
      <c r="U96" s="1213"/>
      <c r="V96" s="1213"/>
      <c r="W96" s="1213"/>
      <c r="X96" s="1213"/>
    </row>
    <row r="97" spans="1:24" s="1194" customFormat="1" ht="15">
      <c r="A97" s="1156" t="s">
        <v>1590</v>
      </c>
      <c r="B97" s="1156" t="s">
        <v>1617</v>
      </c>
      <c r="C97" s="1156"/>
      <c r="D97" s="1156" t="s">
        <v>1627</v>
      </c>
      <c r="E97" s="1156" t="s">
        <v>1603</v>
      </c>
      <c r="F97" s="1156" t="s">
        <v>496</v>
      </c>
      <c r="J97" s="1194" t="s">
        <v>1604</v>
      </c>
      <c r="K97" s="1212" t="s">
        <v>498</v>
      </c>
      <c r="L97" s="1213"/>
      <c r="M97" s="1213"/>
      <c r="N97" s="1213"/>
      <c r="O97" s="1213"/>
      <c r="P97" s="1213"/>
      <c r="Q97" s="1213"/>
      <c r="R97" s="1213"/>
      <c r="S97" s="1213"/>
      <c r="T97" s="1213"/>
      <c r="U97" s="1213"/>
      <c r="V97" s="1213"/>
      <c r="W97" s="1213"/>
      <c r="X97" s="1213"/>
    </row>
    <row r="98" spans="1:24" s="1194" customFormat="1" ht="12.75">
      <c r="A98" s="1156" t="s">
        <v>1590</v>
      </c>
      <c r="B98" s="1156" t="s">
        <v>1617</v>
      </c>
      <c r="C98" s="1156"/>
      <c r="D98" s="1156" t="s">
        <v>1627</v>
      </c>
      <c r="E98" s="1156" t="s">
        <v>1605</v>
      </c>
      <c r="F98" s="1156" t="s">
        <v>496</v>
      </c>
      <c r="J98" s="1194" t="s">
        <v>1606</v>
      </c>
      <c r="K98" s="1212" t="s">
        <v>498</v>
      </c>
      <c r="L98" s="1214">
        <f>+L96-L95</f>
        <v>0</v>
      </c>
      <c r="M98" s="1214">
        <f t="shared" ref="M98:P98" si="40">+M96-M95</f>
        <v>0</v>
      </c>
      <c r="N98" s="1214">
        <f t="shared" si="40"/>
        <v>0</v>
      </c>
      <c r="O98" s="1214">
        <f t="shared" si="40"/>
        <v>0</v>
      </c>
      <c r="P98" s="1214">
        <f t="shared" si="40"/>
        <v>0</v>
      </c>
      <c r="Q98" s="1214">
        <f>+Q96-Q95</f>
        <v>0</v>
      </c>
      <c r="R98" s="1214">
        <f t="shared" ref="R98:X98" si="41">+R96-R95</f>
        <v>0</v>
      </c>
      <c r="S98" s="1214">
        <f t="shared" si="41"/>
        <v>0</v>
      </c>
      <c r="T98" s="1214">
        <f t="shared" si="41"/>
        <v>0</v>
      </c>
      <c r="U98" s="1214">
        <f t="shared" si="41"/>
        <v>0</v>
      </c>
      <c r="V98" s="1214">
        <f t="shared" si="41"/>
        <v>0</v>
      </c>
      <c r="W98" s="1214">
        <f t="shared" si="41"/>
        <v>0</v>
      </c>
      <c r="X98" s="1214">
        <f t="shared" si="41"/>
        <v>0</v>
      </c>
    </row>
    <row r="99" spans="1:24" s="20" customFormat="1" ht="14.25">
      <c r="A99" s="1156" t="s">
        <v>1590</v>
      </c>
      <c r="B99" s="1156" t="s">
        <v>1617</v>
      </c>
      <c r="C99" s="1156" t="s">
        <v>367</v>
      </c>
      <c r="D99" s="1156"/>
      <c r="E99" s="1156"/>
      <c r="F99" s="1156"/>
      <c r="K99" s="1212"/>
    </row>
    <row r="100" spans="1:24" s="1194" customFormat="1" ht="15">
      <c r="A100" s="1156" t="s">
        <v>1590</v>
      </c>
      <c r="B100" s="1156" t="s">
        <v>1617</v>
      </c>
      <c r="C100" s="1156" t="s">
        <v>367</v>
      </c>
      <c r="D100" s="1156" t="s">
        <v>1629</v>
      </c>
      <c r="E100" s="1156"/>
      <c r="F100" s="1156"/>
      <c r="I100" s="1217" t="s">
        <v>1630</v>
      </c>
      <c r="J100" s="1217"/>
      <c r="K100" s="1212"/>
      <c r="L100" s="1203" t="s">
        <v>453</v>
      </c>
      <c r="M100" s="1203" t="s">
        <v>455</v>
      </c>
      <c r="N100" s="1203" t="s">
        <v>457</v>
      </c>
      <c r="O100" s="1203" t="s">
        <v>459</v>
      </c>
      <c r="P100" s="1203" t="s">
        <v>461</v>
      </c>
      <c r="Q100" s="1203" t="s">
        <v>463</v>
      </c>
      <c r="R100" s="1203" t="s">
        <v>465</v>
      </c>
      <c r="S100" s="1203" t="s">
        <v>467</v>
      </c>
      <c r="T100" s="1203" t="s">
        <v>469</v>
      </c>
      <c r="U100" s="1203" t="s">
        <v>471</v>
      </c>
      <c r="V100" s="1203" t="s">
        <v>473</v>
      </c>
      <c r="W100" s="1203" t="s">
        <v>475</v>
      </c>
      <c r="X100" s="1203" t="s">
        <v>477</v>
      </c>
    </row>
    <row r="101" spans="1:24" s="1194" customFormat="1" ht="15">
      <c r="A101" s="1156" t="s">
        <v>1590</v>
      </c>
      <c r="B101" s="1156" t="s">
        <v>1617</v>
      </c>
      <c r="C101" s="1156"/>
      <c r="D101" s="1156" t="s">
        <v>1629</v>
      </c>
      <c r="E101" s="1156" t="s">
        <v>1595</v>
      </c>
      <c r="F101" s="1156" t="s">
        <v>496</v>
      </c>
      <c r="J101" s="1194" t="s">
        <v>1596</v>
      </c>
      <c r="K101" s="1212" t="s">
        <v>498</v>
      </c>
      <c r="L101" s="1213"/>
      <c r="M101" s="1213"/>
      <c r="N101" s="1213"/>
      <c r="O101" s="1213"/>
      <c r="P101" s="1213"/>
      <c r="Q101" s="1213"/>
      <c r="R101" s="1213"/>
      <c r="S101" s="1213"/>
      <c r="T101" s="1213"/>
      <c r="U101" s="1213"/>
      <c r="V101" s="1213"/>
      <c r="W101" s="1213"/>
      <c r="X101" s="1213"/>
    </row>
    <row r="102" spans="1:24" s="1194" customFormat="1" ht="15">
      <c r="A102" s="1156" t="s">
        <v>1590</v>
      </c>
      <c r="B102" s="1156" t="s">
        <v>1617</v>
      </c>
      <c r="C102" s="1156"/>
      <c r="D102" s="1156" t="s">
        <v>1629</v>
      </c>
      <c r="E102" s="1156" t="s">
        <v>1597</v>
      </c>
      <c r="F102" s="1156" t="s">
        <v>496</v>
      </c>
      <c r="J102" s="1194" t="s">
        <v>1598</v>
      </c>
      <c r="K102" s="1212" t="s">
        <v>498</v>
      </c>
      <c r="L102" s="1213"/>
      <c r="M102" s="1213"/>
      <c r="N102" s="1213"/>
      <c r="O102" s="1213"/>
      <c r="P102" s="1213"/>
      <c r="Q102" s="1213"/>
      <c r="R102" s="1213"/>
      <c r="S102" s="1213"/>
      <c r="T102" s="1213"/>
      <c r="U102" s="1213"/>
      <c r="V102" s="1213"/>
      <c r="W102" s="1213"/>
      <c r="X102" s="1213"/>
    </row>
    <row r="103" spans="1:24" s="1194" customFormat="1" ht="12.75">
      <c r="A103" s="1156" t="s">
        <v>1590</v>
      </c>
      <c r="B103" s="1156" t="s">
        <v>1617</v>
      </c>
      <c r="C103" s="1156"/>
      <c r="D103" s="1156" t="s">
        <v>1629</v>
      </c>
      <c r="E103" s="1156" t="s">
        <v>1599</v>
      </c>
      <c r="F103" s="1156" t="s">
        <v>496</v>
      </c>
      <c r="J103" s="1194" t="s">
        <v>1600</v>
      </c>
      <c r="K103" s="1212" t="s">
        <v>498</v>
      </c>
      <c r="L103" s="1214">
        <f>+L101-L102</f>
        <v>0</v>
      </c>
      <c r="M103" s="1214">
        <f t="shared" ref="M103:P103" si="42">+M101-M102</f>
        <v>0</v>
      </c>
      <c r="N103" s="1214">
        <f t="shared" si="42"/>
        <v>0</v>
      </c>
      <c r="O103" s="1214">
        <f t="shared" si="42"/>
        <v>0</v>
      </c>
      <c r="P103" s="1214">
        <f t="shared" si="42"/>
        <v>0</v>
      </c>
      <c r="Q103" s="1214">
        <f>+Q101-Q102</f>
        <v>0</v>
      </c>
      <c r="R103" s="1214">
        <f t="shared" ref="R103:X103" si="43">+R101-R102</f>
        <v>0</v>
      </c>
      <c r="S103" s="1214">
        <f t="shared" si="43"/>
        <v>0</v>
      </c>
      <c r="T103" s="1214">
        <f t="shared" si="43"/>
        <v>0</v>
      </c>
      <c r="U103" s="1214">
        <f t="shared" si="43"/>
        <v>0</v>
      </c>
      <c r="V103" s="1214">
        <f t="shared" si="43"/>
        <v>0</v>
      </c>
      <c r="W103" s="1214">
        <f t="shared" si="43"/>
        <v>0</v>
      </c>
      <c r="X103" s="1214">
        <f t="shared" si="43"/>
        <v>0</v>
      </c>
    </row>
    <row r="104" spans="1:24" s="1194" customFormat="1" ht="15">
      <c r="A104" s="1156" t="s">
        <v>1590</v>
      </c>
      <c r="B104" s="1156" t="s">
        <v>1617</v>
      </c>
      <c r="C104" s="1156"/>
      <c r="D104" s="1156" t="s">
        <v>1629</v>
      </c>
      <c r="E104" s="1156" t="s">
        <v>1601</v>
      </c>
      <c r="F104" s="1156" t="s">
        <v>496</v>
      </c>
      <c r="J104" s="1194" t="s">
        <v>1602</v>
      </c>
      <c r="K104" s="1212" t="s">
        <v>498</v>
      </c>
      <c r="L104" s="1213"/>
      <c r="M104" s="1213"/>
      <c r="N104" s="1213"/>
      <c r="O104" s="1213"/>
      <c r="P104" s="1213"/>
      <c r="Q104" s="1213"/>
      <c r="R104" s="1213"/>
      <c r="S104" s="1213"/>
      <c r="T104" s="1213"/>
      <c r="U104" s="1213"/>
      <c r="V104" s="1213"/>
      <c r="W104" s="1213"/>
      <c r="X104" s="1213"/>
    </row>
    <row r="105" spans="1:24" s="1194" customFormat="1" ht="15">
      <c r="A105" s="1156" t="s">
        <v>1590</v>
      </c>
      <c r="B105" s="1156" t="s">
        <v>1617</v>
      </c>
      <c r="C105" s="1156"/>
      <c r="D105" s="1156" t="s">
        <v>1629</v>
      </c>
      <c r="E105" s="1156" t="s">
        <v>1603</v>
      </c>
      <c r="F105" s="1156" t="s">
        <v>496</v>
      </c>
      <c r="J105" s="1194" t="s">
        <v>1604</v>
      </c>
      <c r="K105" s="1212" t="s">
        <v>498</v>
      </c>
      <c r="L105" s="1213"/>
      <c r="M105" s="1213"/>
      <c r="N105" s="1213"/>
      <c r="O105" s="1213"/>
      <c r="P105" s="1213"/>
      <c r="Q105" s="1213"/>
      <c r="R105" s="1213"/>
      <c r="S105" s="1213"/>
      <c r="T105" s="1213"/>
      <c r="U105" s="1213"/>
      <c r="V105" s="1213"/>
      <c r="W105" s="1213"/>
      <c r="X105" s="1213"/>
    </row>
    <row r="106" spans="1:24" s="1194" customFormat="1" ht="12.75">
      <c r="A106" s="1156" t="s">
        <v>1590</v>
      </c>
      <c r="B106" s="1156" t="s">
        <v>1617</v>
      </c>
      <c r="C106" s="1156"/>
      <c r="D106" s="1156" t="s">
        <v>1629</v>
      </c>
      <c r="E106" s="1156" t="s">
        <v>1605</v>
      </c>
      <c r="F106" s="1156" t="s">
        <v>496</v>
      </c>
      <c r="J106" s="1194" t="s">
        <v>1606</v>
      </c>
      <c r="K106" s="1212" t="s">
        <v>498</v>
      </c>
      <c r="L106" s="1214">
        <f>+L104-L103</f>
        <v>0</v>
      </c>
      <c r="M106" s="1214">
        <f t="shared" ref="M106:P106" si="44">+M104-M103</f>
        <v>0</v>
      </c>
      <c r="N106" s="1214">
        <f t="shared" si="44"/>
        <v>0</v>
      </c>
      <c r="O106" s="1214">
        <f t="shared" si="44"/>
        <v>0</v>
      </c>
      <c r="P106" s="1214">
        <f t="shared" si="44"/>
        <v>0</v>
      </c>
      <c r="Q106" s="1214">
        <f>+Q104-Q103</f>
        <v>0</v>
      </c>
      <c r="R106" s="1214">
        <f t="shared" ref="R106:X106" si="45">+R104-R103</f>
        <v>0</v>
      </c>
      <c r="S106" s="1214">
        <f t="shared" si="45"/>
        <v>0</v>
      </c>
      <c r="T106" s="1214">
        <f t="shared" si="45"/>
        <v>0</v>
      </c>
      <c r="U106" s="1214">
        <f t="shared" si="45"/>
        <v>0</v>
      </c>
      <c r="V106" s="1214">
        <f t="shared" si="45"/>
        <v>0</v>
      </c>
      <c r="W106" s="1214">
        <f t="shared" si="45"/>
        <v>0</v>
      </c>
      <c r="X106" s="1214">
        <f t="shared" si="45"/>
        <v>0</v>
      </c>
    </row>
    <row r="107" spans="1:24" s="20" customFormat="1" ht="14.25">
      <c r="A107" s="1156" t="s">
        <v>1590</v>
      </c>
      <c r="B107" s="1156" t="s">
        <v>1617</v>
      </c>
      <c r="C107" s="1156" t="s">
        <v>367</v>
      </c>
      <c r="D107" s="1156"/>
      <c r="E107" s="1156"/>
      <c r="F107" s="1156"/>
    </row>
    <row r="108" spans="1:24" s="1194" customFormat="1" ht="15">
      <c r="A108" s="1156" t="s">
        <v>1590</v>
      </c>
      <c r="B108" s="1156" t="s">
        <v>1617</v>
      </c>
      <c r="C108" s="1156" t="s">
        <v>367</v>
      </c>
      <c r="D108" s="1156" t="s">
        <v>1631</v>
      </c>
      <c r="E108" s="1156"/>
      <c r="F108" s="1156"/>
      <c r="I108" s="1217" t="s">
        <v>1632</v>
      </c>
      <c r="J108" s="1217"/>
      <c r="L108" s="1203" t="s">
        <v>453</v>
      </c>
      <c r="M108" s="1203" t="s">
        <v>455</v>
      </c>
      <c r="N108" s="1203" t="s">
        <v>457</v>
      </c>
      <c r="O108" s="1203" t="s">
        <v>459</v>
      </c>
      <c r="P108" s="1203" t="s">
        <v>461</v>
      </c>
      <c r="Q108" s="1203" t="s">
        <v>463</v>
      </c>
      <c r="R108" s="1203" t="s">
        <v>465</v>
      </c>
      <c r="S108" s="1203" t="s">
        <v>467</v>
      </c>
      <c r="T108" s="1203" t="s">
        <v>469</v>
      </c>
      <c r="U108" s="1203" t="s">
        <v>471</v>
      </c>
      <c r="V108" s="1203" t="s">
        <v>473</v>
      </c>
      <c r="W108" s="1203" t="s">
        <v>475</v>
      </c>
      <c r="X108" s="1203" t="s">
        <v>477</v>
      </c>
    </row>
    <row r="109" spans="1:24" s="1194" customFormat="1" ht="15">
      <c r="A109" s="1156" t="s">
        <v>1590</v>
      </c>
      <c r="B109" s="1156" t="s">
        <v>1617</v>
      </c>
      <c r="C109" s="1156"/>
      <c r="D109" s="1156" t="s">
        <v>1631</v>
      </c>
      <c r="E109" s="1156" t="s">
        <v>1595</v>
      </c>
      <c r="F109" s="1156" t="s">
        <v>496</v>
      </c>
      <c r="J109" s="1194" t="s">
        <v>1596</v>
      </c>
      <c r="K109" s="1212" t="s">
        <v>498</v>
      </c>
      <c r="L109" s="1213"/>
      <c r="M109" s="1213"/>
      <c r="N109" s="1213"/>
      <c r="O109" s="1213"/>
      <c r="P109" s="1213"/>
      <c r="Q109" s="1213"/>
      <c r="R109" s="1213"/>
      <c r="S109" s="1213"/>
      <c r="T109" s="1213"/>
      <c r="U109" s="1213"/>
      <c r="V109" s="1213"/>
      <c r="W109" s="1213"/>
      <c r="X109" s="1213"/>
    </row>
    <row r="110" spans="1:24" s="1194" customFormat="1" ht="15">
      <c r="A110" s="1156" t="s">
        <v>1590</v>
      </c>
      <c r="B110" s="1156" t="s">
        <v>1617</v>
      </c>
      <c r="C110" s="1156"/>
      <c r="D110" s="1156" t="s">
        <v>1631</v>
      </c>
      <c r="E110" s="1156" t="s">
        <v>1597</v>
      </c>
      <c r="F110" s="1156" t="s">
        <v>496</v>
      </c>
      <c r="J110" s="1194" t="s">
        <v>1598</v>
      </c>
      <c r="K110" s="1212" t="s">
        <v>498</v>
      </c>
      <c r="L110" s="1213"/>
      <c r="M110" s="1213"/>
      <c r="N110" s="1213"/>
      <c r="O110" s="1213"/>
      <c r="P110" s="1213"/>
      <c r="Q110" s="1213"/>
      <c r="R110" s="1213"/>
      <c r="S110" s="1213"/>
      <c r="T110" s="1213"/>
      <c r="U110" s="1213"/>
      <c r="V110" s="1213"/>
      <c r="W110" s="1213"/>
      <c r="X110" s="1213"/>
    </row>
    <row r="111" spans="1:24" s="1194" customFormat="1" ht="12.75">
      <c r="A111" s="1156" t="s">
        <v>1590</v>
      </c>
      <c r="B111" s="1156" t="s">
        <v>1617</v>
      </c>
      <c r="C111" s="1156"/>
      <c r="D111" s="1156" t="s">
        <v>1631</v>
      </c>
      <c r="E111" s="1156" t="s">
        <v>1599</v>
      </c>
      <c r="F111" s="1156" t="s">
        <v>496</v>
      </c>
      <c r="J111" s="1194" t="s">
        <v>1600</v>
      </c>
      <c r="K111" s="1212" t="s">
        <v>498</v>
      </c>
      <c r="L111" s="1214">
        <f>+L109-L110</f>
        <v>0</v>
      </c>
      <c r="M111" s="1214">
        <f t="shared" ref="M111:P111" si="46">+M109-M110</f>
        <v>0</v>
      </c>
      <c r="N111" s="1214">
        <f t="shared" si="46"/>
        <v>0</v>
      </c>
      <c r="O111" s="1214">
        <f t="shared" si="46"/>
        <v>0</v>
      </c>
      <c r="P111" s="1214">
        <f t="shared" si="46"/>
        <v>0</v>
      </c>
      <c r="Q111" s="1214">
        <f>+Q109-Q110</f>
        <v>0</v>
      </c>
      <c r="R111" s="1214">
        <f t="shared" ref="R111:X111" si="47">+R109-R110</f>
        <v>0</v>
      </c>
      <c r="S111" s="1214">
        <f t="shared" si="47"/>
        <v>0</v>
      </c>
      <c r="T111" s="1214">
        <f t="shared" si="47"/>
        <v>0</v>
      </c>
      <c r="U111" s="1214">
        <f t="shared" si="47"/>
        <v>0</v>
      </c>
      <c r="V111" s="1214">
        <f t="shared" si="47"/>
        <v>0</v>
      </c>
      <c r="W111" s="1214">
        <f t="shared" si="47"/>
        <v>0</v>
      </c>
      <c r="X111" s="1214">
        <f t="shared" si="47"/>
        <v>0</v>
      </c>
    </row>
    <row r="112" spans="1:24" s="1194" customFormat="1" ht="15">
      <c r="A112" s="1156" t="s">
        <v>1590</v>
      </c>
      <c r="B112" s="1156" t="s">
        <v>1617</v>
      </c>
      <c r="C112" s="1156"/>
      <c r="D112" s="1156" t="s">
        <v>1631</v>
      </c>
      <c r="E112" s="1156" t="s">
        <v>1601</v>
      </c>
      <c r="F112" s="1156" t="s">
        <v>496</v>
      </c>
      <c r="J112" s="1194" t="s">
        <v>1602</v>
      </c>
      <c r="K112" s="1212" t="s">
        <v>498</v>
      </c>
      <c r="L112" s="1213"/>
      <c r="M112" s="1213"/>
      <c r="N112" s="1213"/>
      <c r="O112" s="1213"/>
      <c r="P112" s="1213"/>
      <c r="Q112" s="1213"/>
      <c r="R112" s="1213"/>
      <c r="S112" s="1213"/>
      <c r="T112" s="1213"/>
      <c r="U112" s="1213"/>
      <c r="V112" s="1213"/>
      <c r="W112" s="1213"/>
      <c r="X112" s="1213"/>
    </row>
    <row r="113" spans="1:25" s="1194" customFormat="1" ht="15">
      <c r="A113" s="1156" t="s">
        <v>1590</v>
      </c>
      <c r="B113" s="1156" t="s">
        <v>1617</v>
      </c>
      <c r="C113" s="1156"/>
      <c r="D113" s="1156" t="s">
        <v>1631</v>
      </c>
      <c r="E113" s="1156" t="s">
        <v>1603</v>
      </c>
      <c r="F113" s="1156" t="s">
        <v>496</v>
      </c>
      <c r="J113" s="1194" t="s">
        <v>1604</v>
      </c>
      <c r="K113" s="1212" t="s">
        <v>498</v>
      </c>
      <c r="L113" s="1213"/>
      <c r="M113" s="1213"/>
      <c r="N113" s="1213"/>
      <c r="O113" s="1213"/>
      <c r="P113" s="1213"/>
      <c r="Q113" s="1213"/>
      <c r="R113" s="1213"/>
      <c r="S113" s="1213"/>
      <c r="T113" s="1213"/>
      <c r="U113" s="1213"/>
      <c r="V113" s="1213"/>
      <c r="W113" s="1213"/>
      <c r="X113" s="1213"/>
    </row>
    <row r="114" spans="1:25" s="1194" customFormat="1" ht="12.75">
      <c r="A114" s="1156" t="s">
        <v>1590</v>
      </c>
      <c r="B114" s="1156" t="s">
        <v>1617</v>
      </c>
      <c r="C114" s="1156"/>
      <c r="D114" s="1156" t="s">
        <v>1631</v>
      </c>
      <c r="E114" s="1156" t="s">
        <v>1605</v>
      </c>
      <c r="F114" s="1156" t="s">
        <v>496</v>
      </c>
      <c r="J114" s="1194" t="s">
        <v>1606</v>
      </c>
      <c r="K114" s="1212" t="s">
        <v>498</v>
      </c>
      <c r="L114" s="1214">
        <f>+L112-L111</f>
        <v>0</v>
      </c>
      <c r="M114" s="1214">
        <f t="shared" ref="M114:P114" si="48">+M112-M111</f>
        <v>0</v>
      </c>
      <c r="N114" s="1214">
        <f t="shared" si="48"/>
        <v>0</v>
      </c>
      <c r="O114" s="1214">
        <f t="shared" si="48"/>
        <v>0</v>
      </c>
      <c r="P114" s="1214">
        <f t="shared" si="48"/>
        <v>0</v>
      </c>
      <c r="Q114" s="1214">
        <f>+Q112-Q111</f>
        <v>0</v>
      </c>
      <c r="R114" s="1214">
        <f t="shared" ref="R114:X114" si="49">+R112-R111</f>
        <v>0</v>
      </c>
      <c r="S114" s="1214">
        <f t="shared" si="49"/>
        <v>0</v>
      </c>
      <c r="T114" s="1214">
        <f t="shared" si="49"/>
        <v>0</v>
      </c>
      <c r="U114" s="1214">
        <f t="shared" si="49"/>
        <v>0</v>
      </c>
      <c r="V114" s="1214">
        <f t="shared" si="49"/>
        <v>0</v>
      </c>
      <c r="W114" s="1214">
        <f t="shared" si="49"/>
        <v>0</v>
      </c>
      <c r="X114" s="1214">
        <f t="shared" si="49"/>
        <v>0</v>
      </c>
    </row>
    <row r="115" spans="1:25" s="1194" customFormat="1" ht="12.75">
      <c r="A115" s="1156" t="s">
        <v>1590</v>
      </c>
      <c r="B115" s="1156" t="s">
        <v>1617</v>
      </c>
      <c r="C115" s="1156" t="s">
        <v>367</v>
      </c>
      <c r="D115" s="1156"/>
      <c r="E115" s="1156"/>
      <c r="F115" s="1156"/>
      <c r="K115" s="1218"/>
      <c r="L115" s="1218"/>
      <c r="M115" s="1218"/>
      <c r="N115" s="1218"/>
      <c r="O115" s="1218"/>
      <c r="P115" s="1218"/>
      <c r="Q115" s="1218"/>
      <c r="R115" s="1218"/>
      <c r="S115" s="1218"/>
      <c r="T115" s="1218"/>
      <c r="U115" s="1218"/>
      <c r="V115" s="1218"/>
      <c r="W115" s="1218"/>
      <c r="X115" s="1218"/>
      <c r="Y115" s="1218"/>
    </row>
    <row r="116" spans="1:25" s="1194" customFormat="1" ht="12.75">
      <c r="A116" s="1156" t="s">
        <v>1590</v>
      </c>
      <c r="B116" s="1156" t="s">
        <v>1617</v>
      </c>
      <c r="C116" s="1156" t="s">
        <v>367</v>
      </c>
      <c r="D116" s="1156" t="s">
        <v>1616</v>
      </c>
      <c r="E116" s="1156"/>
      <c r="F116" s="1156"/>
      <c r="I116" s="1210" t="s">
        <v>1615</v>
      </c>
      <c r="L116" s="1203" t="s">
        <v>453</v>
      </c>
      <c r="M116" s="1203" t="s">
        <v>455</v>
      </c>
      <c r="N116" s="1203" t="s">
        <v>457</v>
      </c>
      <c r="O116" s="1203" t="s">
        <v>459</v>
      </c>
      <c r="P116" s="1203" t="s">
        <v>461</v>
      </c>
      <c r="Q116" s="1203" t="s">
        <v>463</v>
      </c>
      <c r="R116" s="1203" t="s">
        <v>465</v>
      </c>
      <c r="S116" s="1203" t="s">
        <v>467</v>
      </c>
      <c r="T116" s="1203" t="s">
        <v>469</v>
      </c>
      <c r="U116" s="1203" t="s">
        <v>471</v>
      </c>
      <c r="V116" s="1203" t="s">
        <v>473</v>
      </c>
      <c r="W116" s="1203" t="s">
        <v>475</v>
      </c>
      <c r="X116" s="1203" t="s">
        <v>477</v>
      </c>
      <c r="Y116" s="1218"/>
    </row>
    <row r="117" spans="1:25" s="1194" customFormat="1" ht="12.75">
      <c r="A117" s="1156" t="s">
        <v>1590</v>
      </c>
      <c r="B117" s="1156" t="s">
        <v>1617</v>
      </c>
      <c r="C117" s="1156"/>
      <c r="D117" s="1156" t="s">
        <v>1616</v>
      </c>
      <c r="E117" s="1156" t="s">
        <v>1595</v>
      </c>
      <c r="F117" s="1156" t="s">
        <v>496</v>
      </c>
      <c r="I117" s="1210"/>
      <c r="J117" s="1194" t="s">
        <v>1596</v>
      </c>
      <c r="K117" s="1212" t="s">
        <v>498</v>
      </c>
      <c r="L117" s="1214">
        <f>L61+L69+L77+L85+L93+L101+L109</f>
        <v>0</v>
      </c>
      <c r="M117" s="1214">
        <f t="shared" ref="M117:X118" si="50">M61+M69+M77+M85+M93+M101+M109</f>
        <v>0</v>
      </c>
      <c r="N117" s="1214">
        <f t="shared" si="50"/>
        <v>0</v>
      </c>
      <c r="O117" s="1214">
        <f t="shared" si="50"/>
        <v>0</v>
      </c>
      <c r="P117" s="1214">
        <f t="shared" si="50"/>
        <v>0</v>
      </c>
      <c r="Q117" s="1214">
        <f t="shared" si="50"/>
        <v>0</v>
      </c>
      <c r="R117" s="1214">
        <f t="shared" si="50"/>
        <v>0</v>
      </c>
      <c r="S117" s="1214">
        <f t="shared" si="50"/>
        <v>0</v>
      </c>
      <c r="T117" s="1214">
        <f t="shared" si="50"/>
        <v>0</v>
      </c>
      <c r="U117" s="1214">
        <f t="shared" si="50"/>
        <v>0</v>
      </c>
      <c r="V117" s="1214">
        <f t="shared" si="50"/>
        <v>0</v>
      </c>
      <c r="W117" s="1214">
        <f t="shared" si="50"/>
        <v>0</v>
      </c>
      <c r="X117" s="1214">
        <f t="shared" si="50"/>
        <v>0</v>
      </c>
      <c r="Y117" s="1218"/>
    </row>
    <row r="118" spans="1:25" s="1194" customFormat="1" ht="12.75">
      <c r="A118" s="1156" t="s">
        <v>1590</v>
      </c>
      <c r="B118" s="1156" t="s">
        <v>1617</v>
      </c>
      <c r="C118" s="1156"/>
      <c r="D118" s="1156" t="s">
        <v>1616</v>
      </c>
      <c r="E118" s="1156" t="s">
        <v>1597</v>
      </c>
      <c r="F118" s="1156" t="s">
        <v>496</v>
      </c>
      <c r="I118" s="1210"/>
      <c r="J118" s="1194" t="s">
        <v>1598</v>
      </c>
      <c r="K118" s="1212" t="s">
        <v>498</v>
      </c>
      <c r="L118" s="1214">
        <f>L62+L70+L78+L86+L94+L102+L110</f>
        <v>0</v>
      </c>
      <c r="M118" s="1214">
        <f t="shared" si="50"/>
        <v>0</v>
      </c>
      <c r="N118" s="1214">
        <f t="shared" si="50"/>
        <v>0</v>
      </c>
      <c r="O118" s="1214">
        <f t="shared" si="50"/>
        <v>0</v>
      </c>
      <c r="P118" s="1214">
        <f t="shared" si="50"/>
        <v>0</v>
      </c>
      <c r="Q118" s="1214">
        <f t="shared" si="50"/>
        <v>0</v>
      </c>
      <c r="R118" s="1214">
        <f t="shared" si="50"/>
        <v>0</v>
      </c>
      <c r="S118" s="1214">
        <f t="shared" si="50"/>
        <v>0</v>
      </c>
      <c r="T118" s="1214">
        <f t="shared" si="50"/>
        <v>0</v>
      </c>
      <c r="U118" s="1214">
        <f t="shared" si="50"/>
        <v>0</v>
      </c>
      <c r="V118" s="1214">
        <f t="shared" si="50"/>
        <v>0</v>
      </c>
      <c r="W118" s="1214">
        <f t="shared" si="50"/>
        <v>0</v>
      </c>
      <c r="X118" s="1214">
        <f t="shared" si="50"/>
        <v>0</v>
      </c>
      <c r="Y118" s="1218"/>
    </row>
    <row r="119" spans="1:25" s="1194" customFormat="1" ht="12.75">
      <c r="A119" s="1156" t="s">
        <v>1590</v>
      </c>
      <c r="B119" s="1156" t="s">
        <v>1617</v>
      </c>
      <c r="C119" s="1156"/>
      <c r="D119" s="1156" t="s">
        <v>1616</v>
      </c>
      <c r="E119" s="1156" t="s">
        <v>1599</v>
      </c>
      <c r="F119" s="1156" t="s">
        <v>496</v>
      </c>
      <c r="I119" s="1210"/>
      <c r="J119" s="1194" t="s">
        <v>1600</v>
      </c>
      <c r="K119" s="1212" t="s">
        <v>498</v>
      </c>
      <c r="L119" s="1214">
        <f t="shared" ref="L119:X122" si="51">L63+L71+L79+L87+L95+L103+L111</f>
        <v>0</v>
      </c>
      <c r="M119" s="1214">
        <f t="shared" si="51"/>
        <v>0</v>
      </c>
      <c r="N119" s="1214">
        <f t="shared" si="51"/>
        <v>0</v>
      </c>
      <c r="O119" s="1214">
        <f t="shared" si="51"/>
        <v>0</v>
      </c>
      <c r="P119" s="1214">
        <f t="shared" si="51"/>
        <v>0</v>
      </c>
      <c r="Q119" s="1214">
        <f t="shared" si="51"/>
        <v>0</v>
      </c>
      <c r="R119" s="1214">
        <f t="shared" si="51"/>
        <v>0</v>
      </c>
      <c r="S119" s="1214">
        <f t="shared" si="51"/>
        <v>0</v>
      </c>
      <c r="T119" s="1214">
        <f t="shared" si="51"/>
        <v>0</v>
      </c>
      <c r="U119" s="1214">
        <f t="shared" si="51"/>
        <v>0</v>
      </c>
      <c r="V119" s="1214">
        <f t="shared" si="51"/>
        <v>0</v>
      </c>
      <c r="W119" s="1214">
        <f t="shared" si="51"/>
        <v>0</v>
      </c>
      <c r="X119" s="1214">
        <f t="shared" si="51"/>
        <v>0</v>
      </c>
      <c r="Y119" s="1218"/>
    </row>
    <row r="120" spans="1:25" s="1194" customFormat="1" ht="12.75">
      <c r="A120" s="1156" t="s">
        <v>1590</v>
      </c>
      <c r="B120" s="1156" t="s">
        <v>1617</v>
      </c>
      <c r="C120" s="1156"/>
      <c r="D120" s="1156" t="s">
        <v>1616</v>
      </c>
      <c r="E120" s="1156" t="s">
        <v>1601</v>
      </c>
      <c r="F120" s="1156" t="s">
        <v>496</v>
      </c>
      <c r="I120" s="1210"/>
      <c r="J120" s="1194" t="s">
        <v>1602</v>
      </c>
      <c r="K120" s="1212" t="s">
        <v>498</v>
      </c>
      <c r="L120" s="1214">
        <f t="shared" si="51"/>
        <v>0</v>
      </c>
      <c r="M120" s="1214">
        <f t="shared" si="51"/>
        <v>0</v>
      </c>
      <c r="N120" s="1214">
        <f t="shared" si="51"/>
        <v>0</v>
      </c>
      <c r="O120" s="1214">
        <f t="shared" si="51"/>
        <v>0</v>
      </c>
      <c r="P120" s="1214">
        <f t="shared" si="51"/>
        <v>0</v>
      </c>
      <c r="Q120" s="1214">
        <f t="shared" si="51"/>
        <v>0</v>
      </c>
      <c r="R120" s="1214">
        <f t="shared" si="51"/>
        <v>0</v>
      </c>
      <c r="S120" s="1214">
        <f t="shared" si="51"/>
        <v>0</v>
      </c>
      <c r="T120" s="1214">
        <f t="shared" si="51"/>
        <v>0</v>
      </c>
      <c r="U120" s="1214">
        <f t="shared" si="51"/>
        <v>0</v>
      </c>
      <c r="V120" s="1214">
        <f t="shared" si="51"/>
        <v>0</v>
      </c>
      <c r="W120" s="1214">
        <f t="shared" si="51"/>
        <v>0</v>
      </c>
      <c r="X120" s="1214">
        <f t="shared" si="51"/>
        <v>0</v>
      </c>
      <c r="Y120" s="1218"/>
    </row>
    <row r="121" spans="1:25" s="1194" customFormat="1" ht="12.75">
      <c r="A121" s="1156" t="s">
        <v>1590</v>
      </c>
      <c r="B121" s="1156" t="s">
        <v>1617</v>
      </c>
      <c r="C121" s="1156"/>
      <c r="D121" s="1156" t="s">
        <v>1616</v>
      </c>
      <c r="E121" s="1156" t="s">
        <v>1603</v>
      </c>
      <c r="F121" s="1156" t="s">
        <v>496</v>
      </c>
      <c r="I121" s="1210"/>
      <c r="J121" s="1194" t="s">
        <v>1604</v>
      </c>
      <c r="K121" s="1212" t="s">
        <v>498</v>
      </c>
      <c r="L121" s="1214">
        <f t="shared" si="51"/>
        <v>0</v>
      </c>
      <c r="M121" s="1214">
        <f t="shared" si="51"/>
        <v>0</v>
      </c>
      <c r="N121" s="1214">
        <f t="shared" si="51"/>
        <v>0</v>
      </c>
      <c r="O121" s="1214">
        <f t="shared" si="51"/>
        <v>0</v>
      </c>
      <c r="P121" s="1214">
        <f t="shared" si="51"/>
        <v>0</v>
      </c>
      <c r="Q121" s="1214">
        <f t="shared" si="51"/>
        <v>0</v>
      </c>
      <c r="R121" s="1214">
        <f t="shared" si="51"/>
        <v>0</v>
      </c>
      <c r="S121" s="1214">
        <f t="shared" si="51"/>
        <v>0</v>
      </c>
      <c r="T121" s="1214">
        <f t="shared" si="51"/>
        <v>0</v>
      </c>
      <c r="U121" s="1214">
        <f t="shared" si="51"/>
        <v>0</v>
      </c>
      <c r="V121" s="1214">
        <f t="shared" si="51"/>
        <v>0</v>
      </c>
      <c r="W121" s="1214">
        <f t="shared" si="51"/>
        <v>0</v>
      </c>
      <c r="X121" s="1214">
        <f t="shared" si="51"/>
        <v>0</v>
      </c>
      <c r="Y121" s="1218"/>
    </row>
    <row r="122" spans="1:25" s="1194" customFormat="1" ht="12.75">
      <c r="A122" s="1156" t="s">
        <v>1590</v>
      </c>
      <c r="B122" s="1156" t="s">
        <v>1617</v>
      </c>
      <c r="C122" s="1156"/>
      <c r="D122" s="1156" t="s">
        <v>1616</v>
      </c>
      <c r="E122" s="1156" t="s">
        <v>1605</v>
      </c>
      <c r="F122" s="1156" t="s">
        <v>496</v>
      </c>
      <c r="I122" s="1210"/>
      <c r="J122" s="1194" t="s">
        <v>1606</v>
      </c>
      <c r="K122" s="1212" t="s">
        <v>498</v>
      </c>
      <c r="L122" s="1214">
        <f t="shared" si="51"/>
        <v>0</v>
      </c>
      <c r="M122" s="1214">
        <f t="shared" si="51"/>
        <v>0</v>
      </c>
      <c r="N122" s="1214">
        <f t="shared" si="51"/>
        <v>0</v>
      </c>
      <c r="O122" s="1214">
        <f t="shared" si="51"/>
        <v>0</v>
      </c>
      <c r="P122" s="1214">
        <f t="shared" si="51"/>
        <v>0</v>
      </c>
      <c r="Q122" s="1214">
        <f t="shared" si="51"/>
        <v>0</v>
      </c>
      <c r="R122" s="1214">
        <f t="shared" si="51"/>
        <v>0</v>
      </c>
      <c r="S122" s="1214">
        <f t="shared" si="51"/>
        <v>0</v>
      </c>
      <c r="T122" s="1214">
        <f t="shared" si="51"/>
        <v>0</v>
      </c>
      <c r="U122" s="1214">
        <f t="shared" si="51"/>
        <v>0</v>
      </c>
      <c r="V122" s="1214">
        <f t="shared" si="51"/>
        <v>0</v>
      </c>
      <c r="W122" s="1214">
        <f t="shared" si="51"/>
        <v>0</v>
      </c>
      <c r="X122" s="1214">
        <f t="shared" si="51"/>
        <v>0</v>
      </c>
      <c r="Y122" s="1218"/>
    </row>
    <row r="123" spans="1:25" s="1194" customFormat="1" ht="12.75">
      <c r="A123" s="1156" t="s">
        <v>1590</v>
      </c>
      <c r="B123" s="1156" t="s">
        <v>1617</v>
      </c>
      <c r="C123" s="1156"/>
      <c r="D123" s="1156"/>
      <c r="E123" s="1156"/>
      <c r="F123" s="1156"/>
      <c r="K123" s="1218"/>
      <c r="Y123" s="1218"/>
    </row>
    <row r="124" spans="1:25" s="1194" customFormat="1" ht="12.75">
      <c r="A124" s="1156" t="s">
        <v>1590</v>
      </c>
      <c r="B124" s="1156" t="s">
        <v>1617</v>
      </c>
      <c r="C124" s="1156" t="s">
        <v>367</v>
      </c>
      <c r="D124" s="1156"/>
      <c r="E124" s="1156"/>
      <c r="F124" s="1156"/>
    </row>
    <row r="125" spans="1:25" s="1194" customFormat="1" ht="15">
      <c r="A125" s="1156" t="s">
        <v>1590</v>
      </c>
      <c r="B125" s="1156" t="s">
        <v>1617</v>
      </c>
      <c r="C125" s="1156" t="s">
        <v>367</v>
      </c>
      <c r="D125" s="1156" t="s">
        <v>1633</v>
      </c>
      <c r="E125" s="1156"/>
      <c r="F125" s="1156"/>
      <c r="I125" s="1219" t="s">
        <v>1634</v>
      </c>
      <c r="J125" s="20"/>
      <c r="K125" s="20"/>
      <c r="L125" s="1203" t="s">
        <v>453</v>
      </c>
      <c r="M125" s="1203" t="s">
        <v>455</v>
      </c>
      <c r="N125" s="1203" t="s">
        <v>457</v>
      </c>
      <c r="O125" s="1203" t="s">
        <v>459</v>
      </c>
      <c r="P125" s="1203" t="s">
        <v>461</v>
      </c>
      <c r="Q125" s="1203" t="s">
        <v>463</v>
      </c>
      <c r="R125" s="1203" t="s">
        <v>465</v>
      </c>
      <c r="S125" s="1203" t="s">
        <v>467</v>
      </c>
      <c r="T125" s="1203" t="s">
        <v>469</v>
      </c>
      <c r="U125" s="1203" t="s">
        <v>471</v>
      </c>
      <c r="V125" s="1203" t="s">
        <v>473</v>
      </c>
      <c r="W125" s="1203" t="s">
        <v>475</v>
      </c>
      <c r="X125" s="1203" t="s">
        <v>477</v>
      </c>
    </row>
    <row r="126" spans="1:25" s="1194" customFormat="1" ht="14.25">
      <c r="A126" s="1156" t="s">
        <v>1590</v>
      </c>
      <c r="B126" s="1156" t="s">
        <v>1617</v>
      </c>
      <c r="C126" s="1156"/>
      <c r="D126" s="1156" t="s">
        <v>1633</v>
      </c>
      <c r="E126" s="1156" t="s">
        <v>1595</v>
      </c>
      <c r="F126" s="1156" t="s">
        <v>496</v>
      </c>
      <c r="I126" s="20"/>
      <c r="J126" s="1194" t="s">
        <v>1596</v>
      </c>
      <c r="K126" s="1212" t="s">
        <v>498</v>
      </c>
      <c r="L126" s="1214">
        <f>L50+L117</f>
        <v>2.2508606991525424</v>
      </c>
      <c r="M126" s="1214">
        <f t="shared" ref="L126:X131" si="52">M50+M117</f>
        <v>13.576724025974025</v>
      </c>
      <c r="N126" s="1214">
        <f t="shared" si="52"/>
        <v>9.2822337145059741</v>
      </c>
      <c r="O126" s="1214">
        <f t="shared" si="52"/>
        <v>3.2073650114783478</v>
      </c>
      <c r="P126" s="1214">
        <f t="shared" si="52"/>
        <v>1.236666767710449</v>
      </c>
      <c r="Q126" s="1214">
        <f t="shared" si="52"/>
        <v>2.2999999999999998</v>
      </c>
      <c r="R126" s="1214">
        <f t="shared" si="52"/>
        <v>2.8181965182234805</v>
      </c>
      <c r="S126" s="1214">
        <f t="shared" si="52"/>
        <v>2.7405506372398265</v>
      </c>
      <c r="T126" s="1214">
        <f t="shared" si="52"/>
        <v>2.6871173129579491</v>
      </c>
      <c r="U126" s="1214">
        <f t="shared" si="52"/>
        <v>2.634436694233631</v>
      </c>
      <c r="V126" s="1214">
        <f t="shared" si="52"/>
        <v>2.5827810777520419</v>
      </c>
      <c r="W126" s="1214">
        <f t="shared" si="52"/>
        <v>2.5321383163980542</v>
      </c>
      <c r="X126" s="1214">
        <f t="shared" si="52"/>
        <v>2.4824885502691152</v>
      </c>
    </row>
    <row r="127" spans="1:25" s="1194" customFormat="1" ht="14.25">
      <c r="A127" s="1156" t="s">
        <v>1590</v>
      </c>
      <c r="B127" s="1156" t="s">
        <v>1617</v>
      </c>
      <c r="C127" s="1156"/>
      <c r="D127" s="1156" t="s">
        <v>1633</v>
      </c>
      <c r="E127" s="1156" t="s">
        <v>1597</v>
      </c>
      <c r="F127" s="1156" t="s">
        <v>496</v>
      </c>
      <c r="I127" s="20"/>
      <c r="J127" s="1194" t="s">
        <v>1598</v>
      </c>
      <c r="K127" s="1212" t="s">
        <v>498</v>
      </c>
      <c r="L127" s="1214">
        <f t="shared" si="52"/>
        <v>0</v>
      </c>
      <c r="M127" s="1214">
        <f t="shared" si="52"/>
        <v>12.472925324675323</v>
      </c>
      <c r="N127" s="1214">
        <f t="shared" si="52"/>
        <v>9.1730309649235497</v>
      </c>
      <c r="O127" s="1214">
        <f t="shared" si="52"/>
        <v>3.2073650114783478</v>
      </c>
      <c r="P127" s="1214">
        <f t="shared" si="52"/>
        <v>1.236666767710449</v>
      </c>
      <c r="Q127" s="1214">
        <f t="shared" si="52"/>
        <v>2.1</v>
      </c>
      <c r="R127" s="1214">
        <f t="shared" si="52"/>
        <v>2.6238381376563442</v>
      </c>
      <c r="S127" s="1214">
        <f t="shared" si="52"/>
        <v>2.5515471450163902</v>
      </c>
      <c r="T127" s="1214">
        <f t="shared" si="52"/>
        <v>2.501798877581539</v>
      </c>
      <c r="U127" s="1214">
        <f t="shared" si="52"/>
        <v>2.4527514049761394</v>
      </c>
      <c r="V127" s="1214">
        <f t="shared" si="52"/>
        <v>2.4046582448036258</v>
      </c>
      <c r="W127" s="1214">
        <f t="shared" si="52"/>
        <v>2.3575080876809471</v>
      </c>
      <c r="X127" s="1214">
        <f t="shared" si="52"/>
        <v>2.311282443354004</v>
      </c>
    </row>
    <row r="128" spans="1:25" s="1194" customFormat="1" ht="14.25">
      <c r="A128" s="1156" t="s">
        <v>1590</v>
      </c>
      <c r="B128" s="1156" t="s">
        <v>1617</v>
      </c>
      <c r="C128" s="1156"/>
      <c r="D128" s="1156" t="s">
        <v>1633</v>
      </c>
      <c r="E128" s="1156" t="s">
        <v>1599</v>
      </c>
      <c r="F128" s="1156" t="s">
        <v>496</v>
      </c>
      <c r="I128" s="20"/>
      <c r="J128" s="1194" t="s">
        <v>1600</v>
      </c>
      <c r="K128" s="1212" t="s">
        <v>498</v>
      </c>
      <c r="L128" s="1214">
        <f t="shared" si="52"/>
        <v>2.2508606991525424</v>
      </c>
      <c r="M128" s="1214">
        <f t="shared" si="52"/>
        <v>1.1037987012987021</v>
      </c>
      <c r="N128" s="1214">
        <f t="shared" si="52"/>
        <v>0.10920274958242349</v>
      </c>
      <c r="O128" s="1214">
        <f t="shared" si="52"/>
        <v>0</v>
      </c>
      <c r="P128" s="1214">
        <f t="shared" si="52"/>
        <v>0</v>
      </c>
      <c r="Q128" s="1214">
        <f t="shared" si="52"/>
        <v>0.1999999999999999</v>
      </c>
      <c r="R128" s="1214">
        <f t="shared" si="52"/>
        <v>0.19435838056713639</v>
      </c>
      <c r="S128" s="1214">
        <f t="shared" si="52"/>
        <v>0.18900349222343626</v>
      </c>
      <c r="T128" s="1214">
        <f t="shared" si="52"/>
        <v>0.18531843537641024</v>
      </c>
      <c r="U128" s="1214">
        <f t="shared" si="52"/>
        <v>0.18168528925749172</v>
      </c>
      <c r="V128" s="1214">
        <f t="shared" si="52"/>
        <v>0.17812283294841635</v>
      </c>
      <c r="W128" s="1214">
        <f t="shared" si="52"/>
        <v>0.17463022871710687</v>
      </c>
      <c r="X128" s="1214">
        <f t="shared" si="52"/>
        <v>0.17120610691511129</v>
      </c>
    </row>
    <row r="129" spans="1:29" s="1194" customFormat="1" ht="14.25">
      <c r="A129" s="1156" t="s">
        <v>1590</v>
      </c>
      <c r="B129" s="1156" t="s">
        <v>1617</v>
      </c>
      <c r="C129" s="1156"/>
      <c r="D129" s="1156" t="s">
        <v>1633</v>
      </c>
      <c r="E129" s="1156" t="s">
        <v>1601</v>
      </c>
      <c r="F129" s="1156" t="s">
        <v>496</v>
      </c>
      <c r="I129" s="20"/>
      <c r="J129" s="1194" t="s">
        <v>1602</v>
      </c>
      <c r="K129" s="1212" t="s">
        <v>498</v>
      </c>
      <c r="L129" s="1214">
        <f t="shared" si="52"/>
        <v>1.0128873146186441</v>
      </c>
      <c r="M129" s="1214">
        <f t="shared" si="52"/>
        <v>1.898533766233766</v>
      </c>
      <c r="N129" s="1214">
        <f t="shared" si="52"/>
        <v>0.76441924707696252</v>
      </c>
      <c r="O129" s="1214">
        <f t="shared" si="52"/>
        <v>0</v>
      </c>
      <c r="P129" s="1214">
        <f t="shared" si="52"/>
        <v>0.2061111279517415</v>
      </c>
      <c r="Q129" s="1214">
        <f t="shared" si="52"/>
        <v>0</v>
      </c>
      <c r="R129" s="1214">
        <f t="shared" si="52"/>
        <v>0.1</v>
      </c>
      <c r="S129" s="1214">
        <f t="shared" si="52"/>
        <v>0.1</v>
      </c>
      <c r="T129" s="1214">
        <f t="shared" si="52"/>
        <v>0.1</v>
      </c>
      <c r="U129" s="1214">
        <f t="shared" si="52"/>
        <v>0.1</v>
      </c>
      <c r="V129" s="1214">
        <f t="shared" si="52"/>
        <v>0.1</v>
      </c>
      <c r="W129" s="1214">
        <f t="shared" si="52"/>
        <v>0.1</v>
      </c>
      <c r="X129" s="1214">
        <f t="shared" si="52"/>
        <v>0.1</v>
      </c>
      <c r="Z129"/>
      <c r="AA129"/>
      <c r="AB129"/>
      <c r="AC129"/>
    </row>
    <row r="130" spans="1:29" s="1194" customFormat="1" ht="14.25">
      <c r="A130" s="1156" t="s">
        <v>1590</v>
      </c>
      <c r="B130" s="1156" t="s">
        <v>1617</v>
      </c>
      <c r="C130" s="1156"/>
      <c r="D130" s="1156" t="s">
        <v>1633</v>
      </c>
      <c r="E130" s="1156" t="s">
        <v>1603</v>
      </c>
      <c r="F130" s="1156" t="s">
        <v>496</v>
      </c>
      <c r="I130" s="20"/>
      <c r="J130" s="1194" t="s">
        <v>1604</v>
      </c>
      <c r="K130" s="1212" t="s">
        <v>498</v>
      </c>
      <c r="L130" s="1214">
        <f t="shared" si="52"/>
        <v>0</v>
      </c>
      <c r="M130" s="1214">
        <f t="shared" si="52"/>
        <v>0</v>
      </c>
      <c r="N130" s="1214">
        <f t="shared" si="52"/>
        <v>0</v>
      </c>
      <c r="O130" s="1214">
        <f t="shared" si="52"/>
        <v>0</v>
      </c>
      <c r="P130" s="1214">
        <f t="shared" si="52"/>
        <v>0</v>
      </c>
      <c r="Q130" s="1214">
        <f t="shared" si="52"/>
        <v>0</v>
      </c>
      <c r="R130" s="1214">
        <f t="shared" si="52"/>
        <v>0</v>
      </c>
      <c r="S130" s="1214">
        <f t="shared" si="52"/>
        <v>0</v>
      </c>
      <c r="T130" s="1214">
        <f t="shared" si="52"/>
        <v>0</v>
      </c>
      <c r="U130" s="1214">
        <f t="shared" si="52"/>
        <v>0</v>
      </c>
      <c r="V130" s="1214">
        <f t="shared" si="52"/>
        <v>0</v>
      </c>
      <c r="W130" s="1214">
        <f t="shared" si="52"/>
        <v>0</v>
      </c>
      <c r="X130" s="1214">
        <f t="shared" si="52"/>
        <v>0</v>
      </c>
      <c r="Z130"/>
      <c r="AA130"/>
      <c r="AB130"/>
      <c r="AC130"/>
    </row>
    <row r="131" spans="1:29" s="1194" customFormat="1" ht="14.25">
      <c r="A131" s="1156" t="s">
        <v>1590</v>
      </c>
      <c r="B131" s="1156" t="s">
        <v>1617</v>
      </c>
      <c r="C131" s="1156"/>
      <c r="D131" s="1156" t="s">
        <v>1633</v>
      </c>
      <c r="E131" s="1156" t="s">
        <v>1605</v>
      </c>
      <c r="F131" s="1156" t="s">
        <v>496</v>
      </c>
      <c r="I131" s="20"/>
      <c r="J131" s="1194" t="s">
        <v>1606</v>
      </c>
      <c r="K131" s="1212" t="s">
        <v>498</v>
      </c>
      <c r="L131" s="1214">
        <f t="shared" si="52"/>
        <v>-1.2379733845338983</v>
      </c>
      <c r="M131" s="1214">
        <f t="shared" si="52"/>
        <v>0.79473506493506396</v>
      </c>
      <c r="N131" s="1214">
        <f t="shared" si="52"/>
        <v>0.65521649749453903</v>
      </c>
      <c r="O131" s="1214">
        <f t="shared" si="52"/>
        <v>0</v>
      </c>
      <c r="P131" s="1214">
        <f t="shared" si="52"/>
        <v>0.2061111279517415</v>
      </c>
      <c r="Q131" s="1214">
        <f t="shared" si="52"/>
        <v>-0.1999999999999999</v>
      </c>
      <c r="R131" s="1214">
        <f t="shared" si="52"/>
        <v>-9.4358380567136385E-2</v>
      </c>
      <c r="S131" s="1214">
        <f t="shared" si="52"/>
        <v>-8.9003492223436259E-2</v>
      </c>
      <c r="T131" s="1214">
        <f t="shared" si="52"/>
        <v>-8.5318435376410234E-2</v>
      </c>
      <c r="U131" s="1214">
        <f t="shared" si="52"/>
        <v>-8.1685289257491717E-2</v>
      </c>
      <c r="V131" s="1214">
        <f t="shared" si="52"/>
        <v>-7.8122832948416349E-2</v>
      </c>
      <c r="W131" s="1214">
        <f t="shared" si="52"/>
        <v>-7.4630228717106867E-2</v>
      </c>
      <c r="X131" s="1214">
        <f t="shared" si="52"/>
        <v>-7.1206106915111284E-2</v>
      </c>
      <c r="Z131"/>
      <c r="AA131"/>
      <c r="AB131"/>
      <c r="AC131"/>
    </row>
    <row r="132" spans="1:29" s="1194" customFormat="1" ht="12.75">
      <c r="A132"/>
      <c r="B132"/>
      <c r="C132"/>
      <c r="D132"/>
      <c r="E132"/>
      <c r="F132"/>
      <c r="I132" s="1210"/>
      <c r="Z132"/>
      <c r="AA132"/>
      <c r="AB132"/>
      <c r="AC132"/>
    </row>
    <row r="133" spans="1:29" s="20" customFormat="1" ht="14.65" customHeight="1">
      <c r="A133"/>
      <c r="B133"/>
      <c r="C133"/>
      <c r="D133"/>
      <c r="E133"/>
      <c r="F133"/>
      <c r="Z133"/>
      <c r="AA133"/>
      <c r="AB133"/>
      <c r="AC133"/>
    </row>
    <row r="134" spans="1:29" s="1194" customFormat="1" ht="0" hidden="1" customHeight="1">
      <c r="A134"/>
      <c r="B134"/>
      <c r="C134"/>
      <c r="D134"/>
      <c r="E134"/>
      <c r="F134"/>
      <c r="G134" s="20"/>
      <c r="H134" s="20"/>
      <c r="I134" s="20"/>
      <c r="J134" s="1220" t="s">
        <v>1635</v>
      </c>
      <c r="K134" s="20"/>
      <c r="L134" s="1221"/>
      <c r="M134" s="1221"/>
      <c r="N134" s="1221"/>
      <c r="O134" s="1221"/>
      <c r="P134" s="1221"/>
      <c r="Q134" s="1213"/>
      <c r="R134" s="1213"/>
      <c r="S134" s="1213"/>
      <c r="T134" s="1213"/>
      <c r="U134" s="1213"/>
      <c r="V134" s="1213" t="s">
        <v>1636</v>
      </c>
      <c r="W134" s="1213" t="s">
        <v>1637</v>
      </c>
      <c r="X134" s="1213"/>
      <c r="Y134" s="20"/>
      <c r="Z134"/>
      <c r="AA134"/>
      <c r="AB134"/>
      <c r="AC134"/>
    </row>
    <row r="135" spans="1:29" s="1194" customFormat="1" ht="0" hidden="1" customHeight="1">
      <c r="A135"/>
      <c r="B135"/>
      <c r="C135"/>
      <c r="D135"/>
      <c r="E135"/>
      <c r="F135"/>
      <c r="G135" s="20"/>
      <c r="H135" s="20"/>
      <c r="I135" s="20"/>
      <c r="J135" s="1220" t="s">
        <v>1635</v>
      </c>
      <c r="K135" s="20"/>
      <c r="L135" s="1221"/>
      <c r="M135" s="1221"/>
      <c r="N135" s="1221"/>
      <c r="O135" s="1221"/>
      <c r="P135" s="1221"/>
      <c r="Q135" s="1214"/>
      <c r="R135" s="1214"/>
      <c r="S135" s="1214"/>
      <c r="T135" s="1214"/>
      <c r="U135" s="1214"/>
      <c r="V135" s="1214" t="s">
        <v>1636</v>
      </c>
      <c r="W135" s="1214" t="s">
        <v>1637</v>
      </c>
      <c r="X135" s="1214"/>
      <c r="Y135" s="20"/>
      <c r="Z135"/>
      <c r="AA135"/>
      <c r="AB135"/>
      <c r="AC135"/>
    </row>
    <row r="136" spans="1:29" s="1194" customFormat="1" ht="0" hidden="1" customHeight="1">
      <c r="A136"/>
      <c r="B136"/>
      <c r="C136"/>
      <c r="D136"/>
      <c r="E136"/>
      <c r="F136"/>
      <c r="G136" s="20"/>
      <c r="H136" s="20"/>
      <c r="I136" s="20"/>
      <c r="J136" s="1220" t="s">
        <v>1635</v>
      </c>
      <c r="K136" s="20"/>
      <c r="L136" s="1221"/>
      <c r="M136" s="1221"/>
      <c r="N136" s="1221"/>
      <c r="O136" s="1221"/>
      <c r="P136" s="1221"/>
      <c r="Q136" s="1213"/>
      <c r="R136" s="1213"/>
      <c r="S136" s="1213"/>
      <c r="T136" s="1213"/>
      <c r="U136" s="1213"/>
      <c r="V136" s="1213" t="s">
        <v>1636</v>
      </c>
      <c r="W136" s="1213" t="s">
        <v>1637</v>
      </c>
      <c r="X136" s="1213"/>
      <c r="Y136" s="20"/>
      <c r="Z136"/>
      <c r="AA136"/>
      <c r="AB136"/>
      <c r="AC136"/>
    </row>
    <row r="137" spans="1:29" s="1194" customFormat="1" ht="0" hidden="1" customHeight="1">
      <c r="A137"/>
      <c r="B137"/>
      <c r="C137"/>
      <c r="D137"/>
      <c r="E137"/>
      <c r="F137"/>
      <c r="G137" s="20"/>
      <c r="H137" s="20"/>
      <c r="I137" s="20"/>
      <c r="J137" s="1220" t="s">
        <v>1635</v>
      </c>
      <c r="K137" s="20"/>
      <c r="L137" s="1221"/>
      <c r="M137" s="1221"/>
      <c r="N137" s="1221"/>
      <c r="O137" s="1221"/>
      <c r="P137" s="1221"/>
      <c r="Q137" s="1213"/>
      <c r="R137" s="1213"/>
      <c r="S137" s="1213"/>
      <c r="T137" s="1213"/>
      <c r="U137" s="1213"/>
      <c r="V137" s="1213" t="s">
        <v>1636</v>
      </c>
      <c r="W137" s="1213" t="s">
        <v>1637</v>
      </c>
      <c r="X137" s="1213"/>
      <c r="Y137" s="20"/>
      <c r="Z137"/>
      <c r="AA137"/>
      <c r="AB137"/>
      <c r="AC137"/>
    </row>
    <row r="138" spans="1:29" s="1194" customFormat="1" ht="0" hidden="1" customHeight="1">
      <c r="A138"/>
      <c r="B138"/>
      <c r="C138"/>
      <c r="D138"/>
      <c r="E138"/>
      <c r="F138"/>
      <c r="G138" s="20"/>
      <c r="H138" s="20"/>
      <c r="I138" s="20"/>
      <c r="J138" s="1220" t="s">
        <v>1635</v>
      </c>
      <c r="K138" s="20"/>
      <c r="L138" s="1221"/>
      <c r="M138" s="1221"/>
      <c r="N138" s="1221"/>
      <c r="O138" s="1221"/>
      <c r="P138" s="1221"/>
      <c r="Q138" s="1214"/>
      <c r="R138" s="1214"/>
      <c r="S138" s="1214"/>
      <c r="T138" s="1214"/>
      <c r="U138" s="1214"/>
      <c r="V138" s="1214" t="s">
        <v>1636</v>
      </c>
      <c r="W138" s="1214" t="s">
        <v>1637</v>
      </c>
      <c r="X138" s="1214"/>
      <c r="Y138" s="20"/>
      <c r="Z138"/>
      <c r="AA138"/>
      <c r="AB138"/>
      <c r="AC138"/>
    </row>
    <row r="139" spans="1:29" s="1194" customFormat="1" ht="0" hidden="1" customHeight="1">
      <c r="A139"/>
      <c r="B139"/>
      <c r="C139"/>
      <c r="D139"/>
      <c r="E139"/>
      <c r="F139"/>
      <c r="G139" s="20"/>
      <c r="H139" s="20"/>
      <c r="I139" s="20"/>
      <c r="J139" s="1220" t="s">
        <v>1635</v>
      </c>
      <c r="K139" s="20"/>
      <c r="L139"/>
      <c r="M139"/>
      <c r="N139"/>
      <c r="O139"/>
      <c r="P139"/>
      <c r="Q139"/>
      <c r="R139"/>
      <c r="S139"/>
      <c r="T139"/>
      <c r="U139"/>
      <c r="V139" t="s">
        <v>1636</v>
      </c>
      <c r="W139" t="s">
        <v>1637</v>
      </c>
      <c r="X139"/>
      <c r="Y139" s="20"/>
      <c r="Z139"/>
      <c r="AA139"/>
      <c r="AB139"/>
      <c r="AC139"/>
    </row>
    <row r="140" spans="1:29" s="1194" customFormat="1" ht="0" hidden="1" customHeight="1">
      <c r="A140"/>
      <c r="B140"/>
      <c r="C140"/>
      <c r="D140"/>
      <c r="E140"/>
      <c r="F140"/>
      <c r="G140" s="20"/>
      <c r="H140" s="20"/>
      <c r="I140" s="20"/>
      <c r="J140" s="1220" t="s">
        <v>1635</v>
      </c>
      <c r="K140" s="20"/>
      <c r="L140" s="1203"/>
      <c r="M140" s="1203"/>
      <c r="N140" s="1203"/>
      <c r="O140" s="1203"/>
      <c r="P140" s="1203"/>
      <c r="Q140" s="1203"/>
      <c r="R140" s="1203"/>
      <c r="S140" s="1203"/>
      <c r="T140" s="1203"/>
      <c r="U140" s="1203"/>
      <c r="V140" s="1203" t="s">
        <v>1636</v>
      </c>
      <c r="W140" s="1203" t="s">
        <v>1637</v>
      </c>
      <c r="X140" s="1203"/>
      <c r="Y140" s="20"/>
      <c r="Z140"/>
      <c r="AA140"/>
      <c r="AB140"/>
      <c r="AC140"/>
    </row>
    <row r="141" spans="1:29" s="1194" customFormat="1" ht="0" hidden="1" customHeight="1">
      <c r="A141"/>
      <c r="B141"/>
      <c r="C141"/>
      <c r="D141"/>
      <c r="E141"/>
      <c r="F141"/>
      <c r="G141" s="20"/>
      <c r="H141" s="20"/>
      <c r="I141" s="20"/>
      <c r="J141" s="1220" t="s">
        <v>1635</v>
      </c>
      <c r="K141" s="20"/>
      <c r="L141" s="1221"/>
      <c r="M141" s="1221"/>
      <c r="N141" s="1221"/>
      <c r="O141" s="1221"/>
      <c r="P141" s="1221"/>
      <c r="Q141" s="1213"/>
      <c r="R141" s="1213"/>
      <c r="S141" s="1213"/>
      <c r="T141" s="1213"/>
      <c r="U141" s="1213"/>
      <c r="V141" s="1213" t="s">
        <v>1636</v>
      </c>
      <c r="W141" s="1213" t="s">
        <v>1637</v>
      </c>
      <c r="X141" s="1213"/>
      <c r="Y141" s="20"/>
      <c r="Z141"/>
      <c r="AA141"/>
      <c r="AB141"/>
      <c r="AC141"/>
    </row>
    <row r="142" spans="1:29" s="1194" customFormat="1" ht="0" hidden="1" customHeight="1">
      <c r="A142"/>
      <c r="B142"/>
      <c r="C142"/>
      <c r="D142"/>
      <c r="E142"/>
      <c r="F142"/>
      <c r="G142" s="20"/>
      <c r="H142" s="20"/>
      <c r="I142" s="20"/>
      <c r="J142" s="1220" t="s">
        <v>1635</v>
      </c>
      <c r="K142" s="20"/>
      <c r="L142" s="1221"/>
      <c r="M142" s="1221"/>
      <c r="N142" s="1221"/>
      <c r="O142" s="1221"/>
      <c r="P142" s="1221"/>
      <c r="Q142" s="1213"/>
      <c r="R142" s="1213"/>
      <c r="S142" s="1213"/>
      <c r="T142" s="1213"/>
      <c r="U142" s="1213"/>
      <c r="V142" s="1213" t="s">
        <v>1636</v>
      </c>
      <c r="W142" s="1213" t="s">
        <v>1637</v>
      </c>
      <c r="X142" s="1213"/>
      <c r="Y142" s="20"/>
      <c r="Z142"/>
      <c r="AA142"/>
      <c r="AB142"/>
      <c r="AC142"/>
    </row>
    <row r="143" spans="1:29" s="1194" customFormat="1" ht="0" hidden="1" customHeight="1">
      <c r="A143"/>
      <c r="B143"/>
      <c r="C143"/>
      <c r="D143"/>
      <c r="E143"/>
      <c r="F143"/>
      <c r="G143" s="20"/>
      <c r="H143" s="20"/>
      <c r="I143" s="20"/>
      <c r="J143" s="1220" t="s">
        <v>1635</v>
      </c>
      <c r="K143" s="20"/>
      <c r="L143" s="1221"/>
      <c r="M143" s="1221"/>
      <c r="N143" s="1221"/>
      <c r="O143" s="1221"/>
      <c r="P143" s="1221"/>
      <c r="Q143" s="1214"/>
      <c r="R143" s="1214"/>
      <c r="S143" s="1214"/>
      <c r="T143" s="1214"/>
      <c r="U143" s="1214"/>
      <c r="V143" s="1214" t="s">
        <v>1636</v>
      </c>
      <c r="W143" s="1214" t="s">
        <v>1637</v>
      </c>
      <c r="X143" s="1214"/>
      <c r="Y143" s="20"/>
      <c r="Z143"/>
      <c r="AA143"/>
      <c r="AB143"/>
      <c r="AC143"/>
    </row>
    <row r="144" spans="1:29" s="1194" customFormat="1" ht="0" hidden="1" customHeight="1">
      <c r="A144"/>
      <c r="B144"/>
      <c r="C144"/>
      <c r="D144"/>
      <c r="E144"/>
      <c r="F144"/>
      <c r="G144" s="20"/>
      <c r="H144" s="20"/>
      <c r="I144" s="20"/>
      <c r="J144" s="1220" t="s">
        <v>1635</v>
      </c>
      <c r="K144" s="20"/>
      <c r="L144" s="1221"/>
      <c r="M144" s="1221"/>
      <c r="N144" s="1221"/>
      <c r="O144" s="1221"/>
      <c r="P144" s="1221"/>
      <c r="Q144" s="1213"/>
      <c r="R144" s="1213"/>
      <c r="S144" s="1213"/>
      <c r="T144" s="1213"/>
      <c r="U144" s="1213"/>
      <c r="V144" s="1213" t="s">
        <v>1636</v>
      </c>
      <c r="W144" s="1213" t="s">
        <v>1637</v>
      </c>
      <c r="X144" s="1213"/>
      <c r="Y144" s="20"/>
      <c r="Z144"/>
      <c r="AA144"/>
      <c r="AB144"/>
      <c r="AC144"/>
    </row>
    <row r="145" spans="1:29" s="1194" customFormat="1" ht="0" hidden="1" customHeight="1">
      <c r="A145"/>
      <c r="B145"/>
      <c r="C145"/>
      <c r="D145"/>
      <c r="E145"/>
      <c r="F145"/>
      <c r="G145" s="20"/>
      <c r="H145" s="20"/>
      <c r="I145" s="20"/>
      <c r="J145" s="1220" t="s">
        <v>1635</v>
      </c>
      <c r="K145" s="20"/>
      <c r="L145" s="1221"/>
      <c r="M145" s="1221"/>
      <c r="N145" s="1221"/>
      <c r="O145" s="1221"/>
      <c r="P145" s="1221"/>
      <c r="Q145" s="1213"/>
      <c r="R145" s="1213"/>
      <c r="S145" s="1213"/>
      <c r="T145" s="1213"/>
      <c r="U145" s="1213"/>
      <c r="V145" s="1213" t="s">
        <v>1636</v>
      </c>
      <c r="W145" s="1213" t="s">
        <v>1637</v>
      </c>
      <c r="X145" s="1213"/>
      <c r="Y145" s="20"/>
      <c r="Z145"/>
      <c r="AA145"/>
      <c r="AB145"/>
      <c r="AC145"/>
    </row>
    <row r="146" spans="1:29" s="1194" customFormat="1" ht="0" hidden="1" customHeight="1">
      <c r="A146"/>
      <c r="B146"/>
      <c r="C146"/>
      <c r="D146"/>
      <c r="E146"/>
      <c r="F146"/>
      <c r="G146" s="20"/>
      <c r="H146" s="20"/>
      <c r="I146" s="20"/>
      <c r="J146" s="1220" t="s">
        <v>1635</v>
      </c>
      <c r="K146" s="20"/>
      <c r="L146" s="1221"/>
      <c r="M146" s="1221"/>
      <c r="N146" s="1221"/>
      <c r="O146" s="1221"/>
      <c r="P146" s="1221"/>
      <c r="Q146" s="1214"/>
      <c r="R146" s="1214"/>
      <c r="S146" s="1214"/>
      <c r="T146" s="1214"/>
      <c r="U146" s="1214"/>
      <c r="V146" s="1214" t="s">
        <v>1636</v>
      </c>
      <c r="W146" s="1214" t="s">
        <v>1637</v>
      </c>
      <c r="X146" s="1214"/>
      <c r="Y146" s="20"/>
      <c r="Z146"/>
      <c r="AA146"/>
      <c r="AB146"/>
      <c r="AC146"/>
    </row>
    <row r="147" spans="1:29" s="1194" customFormat="1" ht="0" hidden="1" customHeight="1">
      <c r="A147"/>
      <c r="B147"/>
      <c r="C147"/>
      <c r="D147"/>
      <c r="E147"/>
      <c r="F147"/>
      <c r="G147" s="20"/>
      <c r="H147" s="20"/>
      <c r="I147" s="20"/>
      <c r="J147" s="1220" t="s">
        <v>1635</v>
      </c>
      <c r="K147" s="20"/>
      <c r="L147"/>
      <c r="M147"/>
      <c r="N147"/>
      <c r="O147"/>
      <c r="P147"/>
      <c r="Q147"/>
      <c r="R147"/>
      <c r="S147"/>
      <c r="T147"/>
      <c r="U147"/>
      <c r="V147" t="s">
        <v>1636</v>
      </c>
      <c r="W147" t="s">
        <v>1637</v>
      </c>
      <c r="X147"/>
      <c r="Y147" s="20"/>
      <c r="Z147"/>
      <c r="AA147"/>
      <c r="AB147"/>
      <c r="AC147"/>
    </row>
    <row r="148" spans="1:29" s="1194" customFormat="1" ht="0" hidden="1" customHeight="1">
      <c r="A148"/>
      <c r="B148"/>
      <c r="C148"/>
      <c r="D148"/>
      <c r="E148"/>
      <c r="F148"/>
      <c r="G148" s="20"/>
      <c r="H148" s="20"/>
      <c r="I148" s="20"/>
      <c r="J148" s="1220" t="s">
        <v>1635</v>
      </c>
      <c r="K148" s="20"/>
      <c r="L148" s="1203"/>
      <c r="M148" s="1203"/>
      <c r="N148" s="1203"/>
      <c r="O148" s="1203"/>
      <c r="P148" s="1203"/>
      <c r="Q148" s="1203"/>
      <c r="R148" s="1203"/>
      <c r="S148" s="1203"/>
      <c r="T148" s="1203"/>
      <c r="U148" s="1203"/>
      <c r="V148" s="1203" t="s">
        <v>1636</v>
      </c>
      <c r="W148" s="1203" t="s">
        <v>1637</v>
      </c>
      <c r="X148" s="1203"/>
      <c r="Y148" s="20"/>
      <c r="Z148"/>
      <c r="AA148"/>
      <c r="AB148"/>
      <c r="AC148"/>
    </row>
    <row r="149" spans="1:29" s="1194" customFormat="1" ht="0" hidden="1" customHeight="1">
      <c r="A149"/>
      <c r="B149"/>
      <c r="C149"/>
      <c r="D149"/>
      <c r="E149"/>
      <c r="F149"/>
      <c r="G149" s="20"/>
      <c r="H149" s="20"/>
      <c r="I149" s="20"/>
      <c r="J149" s="1220" t="s">
        <v>1635</v>
      </c>
      <c r="K149" s="20"/>
      <c r="L149" s="1221"/>
      <c r="M149" s="1221"/>
      <c r="N149" s="1221"/>
      <c r="O149" s="1221"/>
      <c r="P149" s="1221"/>
      <c r="Q149" s="1213"/>
      <c r="R149" s="1213"/>
      <c r="S149" s="1213"/>
      <c r="T149" s="1213"/>
      <c r="U149" s="1213"/>
      <c r="V149" s="1213" t="s">
        <v>1636</v>
      </c>
      <c r="W149" s="1213" t="s">
        <v>1637</v>
      </c>
      <c r="X149" s="1213"/>
      <c r="Y149" s="20"/>
      <c r="Z149"/>
      <c r="AA149"/>
      <c r="AB149"/>
      <c r="AC149"/>
    </row>
    <row r="150" spans="1:29" s="1194" customFormat="1" ht="0" hidden="1" customHeight="1">
      <c r="A150"/>
      <c r="B150"/>
      <c r="C150"/>
      <c r="D150"/>
      <c r="E150"/>
      <c r="F150"/>
      <c r="G150" s="20"/>
      <c r="H150" s="20"/>
      <c r="I150" s="20"/>
      <c r="J150" s="1220" t="s">
        <v>1635</v>
      </c>
      <c r="K150" s="20"/>
      <c r="L150" s="1221"/>
      <c r="M150" s="1221"/>
      <c r="N150" s="1221"/>
      <c r="O150" s="1221"/>
      <c r="P150" s="1221"/>
      <c r="Q150" s="1213"/>
      <c r="R150" s="1213"/>
      <c r="S150" s="1213"/>
      <c r="T150" s="1213"/>
      <c r="U150" s="1213"/>
      <c r="V150" s="1213" t="s">
        <v>1636</v>
      </c>
      <c r="W150" s="1213" t="s">
        <v>1637</v>
      </c>
      <c r="X150" s="1213"/>
      <c r="Y150" s="20"/>
      <c r="Z150"/>
      <c r="AA150"/>
      <c r="AB150"/>
      <c r="AC150"/>
    </row>
    <row r="151" spans="1:29" s="1194" customFormat="1" ht="0" hidden="1" customHeight="1">
      <c r="A151"/>
      <c r="B151"/>
      <c r="C151"/>
      <c r="D151"/>
      <c r="E151"/>
      <c r="F151"/>
      <c r="G151" s="20"/>
      <c r="H151" s="20"/>
      <c r="I151" s="20"/>
      <c r="J151" s="1220" t="s">
        <v>1635</v>
      </c>
      <c r="K151" s="20"/>
      <c r="L151" s="1221"/>
      <c r="M151" s="1221"/>
      <c r="N151" s="1221"/>
      <c r="O151" s="1221"/>
      <c r="P151" s="1221"/>
      <c r="Q151" s="1214"/>
      <c r="R151" s="1214"/>
      <c r="S151" s="1214"/>
      <c r="T151" s="1214"/>
      <c r="U151" s="1214"/>
      <c r="V151" s="1214" t="s">
        <v>1636</v>
      </c>
      <c r="W151" s="1214" t="s">
        <v>1637</v>
      </c>
      <c r="X151" s="1214"/>
      <c r="Y151" s="20"/>
      <c r="Z151"/>
      <c r="AA151"/>
      <c r="AB151"/>
      <c r="AC151"/>
    </row>
    <row r="152" spans="1:29" s="1194" customFormat="1" ht="0" hidden="1" customHeight="1">
      <c r="A152"/>
      <c r="B152"/>
      <c r="C152"/>
      <c r="D152"/>
      <c r="E152"/>
      <c r="F152"/>
      <c r="G152" s="20"/>
      <c r="H152" s="20"/>
      <c r="I152" s="20"/>
      <c r="J152" s="1220" t="s">
        <v>1635</v>
      </c>
      <c r="K152" s="20"/>
      <c r="L152" s="1221"/>
      <c r="M152" s="1221"/>
      <c r="N152" s="1221"/>
      <c r="O152" s="1221"/>
      <c r="P152" s="1221"/>
      <c r="Q152" s="1213"/>
      <c r="R152" s="1213"/>
      <c r="S152" s="1213"/>
      <c r="T152" s="1213"/>
      <c r="U152" s="1213"/>
      <c r="V152" s="1213" t="s">
        <v>1636</v>
      </c>
      <c r="W152" s="1213" t="s">
        <v>1637</v>
      </c>
      <c r="X152" s="1213"/>
      <c r="Y152" s="20"/>
      <c r="Z152"/>
      <c r="AA152"/>
      <c r="AB152"/>
      <c r="AC152"/>
    </row>
    <row r="153" spans="1:29" s="1194" customFormat="1" ht="0" hidden="1" customHeight="1">
      <c r="A153"/>
      <c r="B153"/>
      <c r="C153"/>
      <c r="D153"/>
      <c r="E153"/>
      <c r="F153"/>
      <c r="G153" s="20"/>
      <c r="H153" s="20"/>
      <c r="I153" s="20"/>
      <c r="J153" s="1220" t="s">
        <v>1635</v>
      </c>
      <c r="K153" s="20"/>
      <c r="L153" s="1221"/>
      <c r="M153" s="1221"/>
      <c r="N153" s="1221"/>
      <c r="O153" s="1221"/>
      <c r="P153" s="1221"/>
      <c r="Q153" s="1213"/>
      <c r="R153" s="1213"/>
      <c r="S153" s="1213"/>
      <c r="T153" s="1213"/>
      <c r="U153" s="1213"/>
      <c r="V153" s="1213" t="s">
        <v>1636</v>
      </c>
      <c r="W153" s="1213" t="s">
        <v>1637</v>
      </c>
      <c r="X153" s="1213"/>
      <c r="Y153" s="20"/>
      <c r="Z153"/>
      <c r="AA153"/>
      <c r="AB153"/>
      <c r="AC153"/>
    </row>
    <row r="154" spans="1:29" s="1194" customFormat="1" ht="0" hidden="1" customHeight="1">
      <c r="A154"/>
      <c r="B154"/>
      <c r="C154"/>
      <c r="D154"/>
      <c r="E154"/>
      <c r="F154"/>
      <c r="G154" s="20"/>
      <c r="H154" s="20"/>
      <c r="I154" s="20"/>
      <c r="J154" s="1220" t="s">
        <v>1635</v>
      </c>
      <c r="K154" s="20"/>
      <c r="L154" s="1221"/>
      <c r="M154" s="1221"/>
      <c r="N154" s="1221"/>
      <c r="O154" s="1221"/>
      <c r="P154" s="1221"/>
      <c r="Q154" s="1214"/>
      <c r="R154" s="1214"/>
      <c r="S154" s="1214"/>
      <c r="T154" s="1214"/>
      <c r="U154" s="1214"/>
      <c r="V154" s="1214" t="s">
        <v>1636</v>
      </c>
      <c r="W154" s="1214" t="s">
        <v>1637</v>
      </c>
      <c r="X154" s="1214"/>
      <c r="Y154" s="20"/>
      <c r="Z154"/>
      <c r="AA154"/>
      <c r="AB154"/>
      <c r="AC154"/>
    </row>
    <row r="155" spans="1:29" s="1194" customFormat="1" ht="0" hidden="1" customHeight="1">
      <c r="A155"/>
      <c r="B155"/>
      <c r="C155"/>
      <c r="D155"/>
      <c r="E155"/>
      <c r="F155"/>
      <c r="G155" s="20"/>
      <c r="H155" s="20"/>
      <c r="I155" s="20"/>
      <c r="J155" s="1220" t="s">
        <v>1635</v>
      </c>
      <c r="K155" s="20"/>
      <c r="L155"/>
      <c r="M155"/>
      <c r="N155"/>
      <c r="O155"/>
      <c r="P155"/>
      <c r="Q155"/>
      <c r="R155"/>
      <c r="S155"/>
      <c r="T155"/>
      <c r="U155"/>
      <c r="V155" t="s">
        <v>1636</v>
      </c>
      <c r="W155" t="s">
        <v>1637</v>
      </c>
      <c r="X155"/>
      <c r="Y155" s="20"/>
      <c r="Z155"/>
      <c r="AA155"/>
      <c r="AB155"/>
      <c r="AC155"/>
    </row>
    <row r="156" spans="1:29" s="1194" customFormat="1" ht="0" hidden="1" customHeight="1">
      <c r="A156"/>
      <c r="B156"/>
      <c r="C156"/>
      <c r="D156"/>
      <c r="E156"/>
      <c r="F156"/>
      <c r="G156" s="20"/>
      <c r="H156" s="20"/>
      <c r="I156" s="20"/>
      <c r="J156" s="1222" t="s">
        <v>1635</v>
      </c>
      <c r="K156" s="20"/>
      <c r="L156" s="1203"/>
      <c r="M156" s="1203"/>
      <c r="N156" s="1203"/>
      <c r="O156" s="1203"/>
      <c r="P156" s="1203"/>
      <c r="Q156" s="1203"/>
      <c r="R156" s="1203"/>
      <c r="S156" s="1203"/>
      <c r="T156" s="1203"/>
      <c r="U156" s="1203"/>
      <c r="V156" s="1203" t="s">
        <v>1636</v>
      </c>
      <c r="W156" s="1203" t="s">
        <v>1637</v>
      </c>
      <c r="X156" s="1203"/>
      <c r="Y156" s="20"/>
      <c r="Z156"/>
      <c r="AA156"/>
      <c r="AB156"/>
      <c r="AC156"/>
    </row>
    <row r="157" spans="1:29" s="1194" customFormat="1" ht="0" hidden="1" customHeight="1">
      <c r="A157"/>
      <c r="B157"/>
      <c r="C157"/>
      <c r="D157"/>
      <c r="E157"/>
      <c r="F157"/>
      <c r="G157" s="20"/>
      <c r="H157" s="20"/>
      <c r="I157" s="20"/>
      <c r="J157" s="20"/>
      <c r="K157" s="20"/>
      <c r="L157" s="1221"/>
      <c r="M157" s="1221"/>
      <c r="N157" s="1221"/>
      <c r="O157" s="1221"/>
      <c r="P157" s="1221"/>
      <c r="Q157" s="1213"/>
      <c r="R157" s="1213"/>
      <c r="S157" s="1213"/>
      <c r="T157" s="1213"/>
      <c r="U157" s="1213"/>
      <c r="V157" s="1213"/>
      <c r="W157" s="1213"/>
      <c r="X157" s="1213"/>
      <c r="Y157" s="20"/>
      <c r="Z157"/>
      <c r="AA157"/>
      <c r="AB157"/>
      <c r="AC157"/>
    </row>
    <row r="158" spans="1:29" s="1194" customFormat="1" ht="0" hidden="1" customHeight="1">
      <c r="A158"/>
      <c r="B158"/>
      <c r="C158"/>
      <c r="D158"/>
      <c r="E158"/>
      <c r="F158"/>
      <c r="G158" s="20"/>
      <c r="H158" s="20"/>
      <c r="I158" s="20"/>
      <c r="J158" s="20"/>
      <c r="K158" s="20"/>
      <c r="L158" s="1221"/>
      <c r="M158" s="1221"/>
      <c r="N158" s="1221"/>
      <c r="O158" s="1221"/>
      <c r="P158" s="1221"/>
      <c r="Q158" s="1213"/>
      <c r="R158" s="1213"/>
      <c r="S158" s="1213"/>
      <c r="T158" s="1213"/>
      <c r="U158" s="1213"/>
      <c r="V158" s="1213"/>
      <c r="W158" s="1213"/>
      <c r="X158" s="1213"/>
      <c r="Y158" s="20"/>
      <c r="Z158"/>
      <c r="AA158"/>
      <c r="AB158"/>
      <c r="AC158"/>
    </row>
    <row r="159" spans="1:29" s="1194" customFormat="1" ht="0" hidden="1" customHeight="1">
      <c r="A159"/>
      <c r="B159"/>
      <c r="C159"/>
      <c r="D159"/>
      <c r="E159"/>
      <c r="F159"/>
      <c r="G159" s="20"/>
      <c r="H159" s="20"/>
      <c r="I159" s="20"/>
      <c r="J159" s="20"/>
      <c r="K159" s="20"/>
      <c r="L159" s="1221"/>
      <c r="M159" s="1221"/>
      <c r="N159" s="1221"/>
      <c r="O159" s="1221"/>
      <c r="P159" s="1221"/>
      <c r="Q159" s="1214"/>
      <c r="R159" s="1214"/>
      <c r="S159" s="1214"/>
      <c r="T159" s="1214"/>
      <c r="U159" s="1214"/>
      <c r="V159" s="1214"/>
      <c r="W159" s="1214"/>
      <c r="X159" s="1214"/>
      <c r="Y159" s="20"/>
      <c r="Z159"/>
      <c r="AA159"/>
      <c r="AB159"/>
      <c r="AC159"/>
    </row>
    <row r="160" spans="1:29" s="1194" customFormat="1" ht="0" hidden="1" customHeight="1">
      <c r="A160"/>
      <c r="B160"/>
      <c r="C160"/>
      <c r="D160"/>
      <c r="E160"/>
      <c r="F160"/>
      <c r="G160" s="20"/>
      <c r="H160" s="20"/>
      <c r="I160" s="20"/>
      <c r="J160" s="20"/>
      <c r="K160" s="20"/>
      <c r="L160" s="1221"/>
      <c r="M160" s="1221"/>
      <c r="N160" s="1221"/>
      <c r="O160" s="1221"/>
      <c r="P160" s="1221"/>
      <c r="Q160" s="1213"/>
      <c r="R160" s="1213"/>
      <c r="S160" s="1213"/>
      <c r="T160" s="1213"/>
      <c r="U160" s="1213"/>
      <c r="V160" s="1213"/>
      <c r="W160" s="1213"/>
      <c r="X160" s="1213"/>
      <c r="Y160" s="20"/>
      <c r="Z160"/>
      <c r="AA160"/>
      <c r="AB160"/>
      <c r="AC160"/>
    </row>
    <row r="161" spans="1:29" s="1194" customFormat="1" ht="0" hidden="1" customHeight="1">
      <c r="A161"/>
      <c r="B161"/>
      <c r="C161"/>
      <c r="D161"/>
      <c r="E161"/>
      <c r="F161"/>
      <c r="G161" s="20"/>
      <c r="H161" s="20"/>
      <c r="I161" s="20"/>
      <c r="J161" s="20"/>
      <c r="K161" s="20"/>
      <c r="L161" s="1221"/>
      <c r="M161" s="1221"/>
      <c r="N161" s="1221"/>
      <c r="O161" s="1221"/>
      <c r="P161" s="1221"/>
      <c r="Q161" s="1213"/>
      <c r="R161" s="1213"/>
      <c r="S161" s="1213"/>
      <c r="T161" s="1213"/>
      <c r="U161" s="1213"/>
      <c r="V161" s="1213"/>
      <c r="W161" s="1213"/>
      <c r="X161" s="1213"/>
      <c r="Y161" s="20"/>
      <c r="Z161"/>
      <c r="AA161"/>
      <c r="AB161"/>
      <c r="AC161"/>
    </row>
    <row r="162" spans="1:29" s="1194" customFormat="1" ht="0" hidden="1" customHeight="1">
      <c r="A162"/>
      <c r="B162"/>
      <c r="C162"/>
      <c r="D162"/>
      <c r="E162"/>
      <c r="F162"/>
      <c r="G162" s="20"/>
      <c r="H162" s="20"/>
      <c r="I162" s="20"/>
      <c r="J162" s="20"/>
      <c r="K162" s="20"/>
      <c r="L162" s="1221"/>
      <c r="M162" s="1221"/>
      <c r="N162" s="1221"/>
      <c r="O162" s="1221"/>
      <c r="P162" s="1221"/>
      <c r="Q162" s="1214"/>
      <c r="R162" s="1214"/>
      <c r="S162" s="1214"/>
      <c r="T162" s="1214"/>
      <c r="U162" s="1214"/>
      <c r="V162" s="1214"/>
      <c r="W162" s="1214"/>
      <c r="X162" s="1214"/>
      <c r="Y162" s="20"/>
      <c r="Z162"/>
      <c r="AA162"/>
      <c r="AB162"/>
      <c r="AC162"/>
    </row>
    <row r="163" spans="1:29" s="1194" customFormat="1" ht="0" hidden="1" customHeight="1">
      <c r="A163"/>
      <c r="B163"/>
      <c r="C163"/>
      <c r="D163"/>
      <c r="E163"/>
      <c r="F163"/>
      <c r="G163" s="20"/>
      <c r="H163" s="20"/>
      <c r="I163" s="20"/>
      <c r="J163" s="20"/>
      <c r="K163" s="20"/>
      <c r="L163"/>
      <c r="M163"/>
      <c r="N163"/>
      <c r="O163"/>
      <c r="P163"/>
      <c r="Q163"/>
      <c r="R163"/>
      <c r="S163"/>
      <c r="T163"/>
      <c r="U163"/>
      <c r="V163"/>
      <c r="W163"/>
      <c r="X163"/>
      <c r="Y163" s="20"/>
      <c r="Z163"/>
      <c r="AA163"/>
      <c r="AB163"/>
      <c r="AC163"/>
    </row>
    <row r="164" spans="1:29" s="1194" customFormat="1" ht="0" hidden="1" customHeight="1">
      <c r="A164"/>
      <c r="B164"/>
      <c r="C164"/>
      <c r="D164"/>
      <c r="E164"/>
      <c r="F164"/>
      <c r="G164" s="20"/>
      <c r="H164" s="20"/>
      <c r="I164" s="20"/>
      <c r="J164" s="20"/>
      <c r="K164" s="20"/>
      <c r="L164" s="1203"/>
      <c r="M164" s="1203"/>
      <c r="N164" s="1203"/>
      <c r="O164" s="1203"/>
      <c r="P164" s="1203"/>
      <c r="Q164" s="1203"/>
      <c r="R164" s="1203"/>
      <c r="S164" s="1203"/>
      <c r="T164" s="1203"/>
      <c r="U164" s="1203"/>
      <c r="V164" s="1203"/>
      <c r="W164" s="1203"/>
      <c r="X164" s="1203"/>
      <c r="Y164" s="20"/>
      <c r="Z164"/>
      <c r="AA164"/>
      <c r="AB164"/>
      <c r="AC164"/>
    </row>
    <row r="165" spans="1:29" s="1194" customFormat="1" ht="0" hidden="1" customHeight="1">
      <c r="A165"/>
      <c r="B165"/>
      <c r="C165"/>
      <c r="D165"/>
      <c r="E165"/>
      <c r="F165"/>
      <c r="G165" s="20"/>
      <c r="H165" s="20"/>
      <c r="I165" s="20"/>
      <c r="J165" s="20"/>
      <c r="K165" s="20"/>
      <c r="L165" s="1221"/>
      <c r="M165" s="1221"/>
      <c r="N165" s="1221"/>
      <c r="O165" s="1221"/>
      <c r="P165" s="1221"/>
      <c r="Q165" s="1213"/>
      <c r="R165" s="1213"/>
      <c r="S165" s="1213"/>
      <c r="T165" s="1213"/>
      <c r="U165" s="1213"/>
      <c r="V165" s="1213"/>
      <c r="W165" s="1213"/>
      <c r="X165" s="1213"/>
      <c r="Y165" s="20"/>
      <c r="Z165"/>
      <c r="AA165"/>
      <c r="AB165"/>
      <c r="AC165"/>
    </row>
    <row r="166" spans="1:29" s="1194" customFormat="1" ht="0" hidden="1" customHeight="1">
      <c r="A166"/>
      <c r="B166"/>
      <c r="C166"/>
      <c r="D166"/>
      <c r="E166"/>
      <c r="F166"/>
      <c r="G166" s="20"/>
      <c r="H166" s="20"/>
      <c r="I166" s="20"/>
      <c r="J166" s="20"/>
      <c r="K166" s="20"/>
      <c r="L166" s="1221"/>
      <c r="M166" s="1221"/>
      <c r="N166" s="1221"/>
      <c r="O166" s="1221"/>
      <c r="P166" s="1221"/>
      <c r="Q166" s="1213"/>
      <c r="R166" s="1213"/>
      <c r="S166" s="1213"/>
      <c r="T166" s="1213"/>
      <c r="U166" s="1213"/>
      <c r="V166" s="1213"/>
      <c r="W166" s="1213"/>
      <c r="X166" s="1213"/>
      <c r="Y166" s="20"/>
      <c r="Z166"/>
      <c r="AA166"/>
      <c r="AB166"/>
      <c r="AC166"/>
    </row>
    <row r="167" spans="1:29" s="1194" customFormat="1" ht="0" hidden="1" customHeight="1">
      <c r="A167"/>
      <c r="B167"/>
      <c r="C167"/>
      <c r="D167"/>
      <c r="E167"/>
      <c r="F167"/>
      <c r="G167" s="20"/>
      <c r="H167" s="20"/>
      <c r="I167" s="20"/>
      <c r="J167" s="20"/>
      <c r="K167" s="20"/>
      <c r="L167" s="1221"/>
      <c r="M167" s="1221"/>
      <c r="N167" s="1221"/>
      <c r="O167" s="1221"/>
      <c r="P167" s="1221"/>
      <c r="Q167" s="1214"/>
      <c r="R167" s="1214"/>
      <c r="S167" s="1214"/>
      <c r="T167" s="1214"/>
      <c r="U167" s="1214"/>
      <c r="V167" s="1214"/>
      <c r="W167" s="1214"/>
      <c r="X167" s="1214"/>
      <c r="Y167" s="20"/>
      <c r="Z167"/>
      <c r="AA167"/>
      <c r="AB167"/>
      <c r="AC167"/>
    </row>
    <row r="168" spans="1:29" s="1194" customFormat="1" ht="0" hidden="1" customHeight="1">
      <c r="A168"/>
      <c r="B168"/>
      <c r="C168"/>
      <c r="D168"/>
      <c r="E168"/>
      <c r="F168"/>
      <c r="G168" s="20"/>
      <c r="H168" s="20"/>
      <c r="I168" s="20"/>
      <c r="J168" s="20"/>
      <c r="K168" s="20"/>
      <c r="L168" s="1221"/>
      <c r="M168" s="1221"/>
      <c r="N168" s="1221"/>
      <c r="O168" s="1221"/>
      <c r="P168" s="1221"/>
      <c r="Q168" s="1213"/>
      <c r="R168" s="1213"/>
      <c r="S168" s="1213"/>
      <c r="T168" s="1213"/>
      <c r="U168" s="1213"/>
      <c r="V168" s="1213"/>
      <c r="W168" s="1213"/>
      <c r="X168" s="1213"/>
      <c r="Y168" s="20"/>
      <c r="Z168"/>
      <c r="AA168"/>
      <c r="AB168"/>
      <c r="AC168"/>
    </row>
    <row r="169" spans="1:29" s="1194" customFormat="1" ht="0" hidden="1" customHeight="1">
      <c r="A169"/>
      <c r="B169"/>
      <c r="C169"/>
      <c r="D169"/>
      <c r="E169"/>
      <c r="F169"/>
      <c r="G169" s="20"/>
      <c r="H169" s="20"/>
      <c r="I169" s="20"/>
      <c r="J169" s="20"/>
      <c r="K169" s="20"/>
      <c r="L169" s="1221"/>
      <c r="M169" s="1221"/>
      <c r="N169" s="1221"/>
      <c r="O169" s="1221"/>
      <c r="P169" s="1221"/>
      <c r="Q169" s="1213"/>
      <c r="R169" s="1213"/>
      <c r="S169" s="1213"/>
      <c r="T169" s="1213"/>
      <c r="U169" s="1213"/>
      <c r="V169" s="1213"/>
      <c r="W169" s="1213"/>
      <c r="X169" s="1213"/>
      <c r="Y169" s="20"/>
      <c r="Z169"/>
      <c r="AA169"/>
      <c r="AB169"/>
      <c r="AC169"/>
    </row>
    <row r="170" spans="1:29" s="1194" customFormat="1" ht="0" hidden="1" customHeight="1">
      <c r="A170"/>
      <c r="B170"/>
      <c r="C170"/>
      <c r="D170"/>
      <c r="E170"/>
      <c r="F170"/>
      <c r="G170" s="20"/>
      <c r="H170" s="20"/>
      <c r="I170" s="20"/>
      <c r="J170" s="20"/>
      <c r="K170" s="20"/>
      <c r="L170" s="1221"/>
      <c r="M170" s="1221"/>
      <c r="N170" s="1221"/>
      <c r="O170" s="1221"/>
      <c r="P170" s="1221"/>
      <c r="Q170" s="1214"/>
      <c r="R170" s="1214"/>
      <c r="S170" s="1214"/>
      <c r="T170" s="1214"/>
      <c r="U170" s="1214"/>
      <c r="V170" s="1214"/>
      <c r="W170" s="1214"/>
      <c r="X170" s="1214"/>
      <c r="Y170" s="20"/>
      <c r="Z170"/>
      <c r="AA170"/>
      <c r="AB170"/>
      <c r="AC170"/>
    </row>
    <row r="171" spans="1:29" s="1194" customFormat="1" ht="0" hidden="1" customHeight="1">
      <c r="A171"/>
      <c r="B171"/>
      <c r="C171"/>
      <c r="D171"/>
      <c r="E171"/>
      <c r="F171"/>
      <c r="G171" s="20"/>
      <c r="H171" s="20"/>
      <c r="I171" s="20"/>
      <c r="J171" s="20"/>
      <c r="K171" s="20"/>
      <c r="L171"/>
      <c r="M171"/>
      <c r="N171"/>
      <c r="O171"/>
      <c r="P171"/>
      <c r="Q171"/>
      <c r="R171"/>
      <c r="S171"/>
      <c r="T171"/>
      <c r="U171"/>
      <c r="V171"/>
      <c r="W171"/>
      <c r="X171"/>
      <c r="Y171" s="20"/>
      <c r="Z171"/>
      <c r="AA171"/>
      <c r="AB171"/>
      <c r="AC171"/>
    </row>
    <row r="172" spans="1:29" s="1194" customFormat="1" ht="0" hidden="1" customHeight="1">
      <c r="A172"/>
      <c r="B172"/>
      <c r="C172"/>
      <c r="D172"/>
      <c r="E172"/>
      <c r="F172"/>
      <c r="G172" s="20"/>
      <c r="H172" s="20"/>
      <c r="I172" s="20"/>
      <c r="J172" s="20"/>
      <c r="K172" s="20"/>
      <c r="L172" s="1203"/>
      <c r="M172" s="1203"/>
      <c r="N172" s="1203"/>
      <c r="O172" s="1203"/>
      <c r="P172" s="1203"/>
      <c r="Q172" s="1203"/>
      <c r="R172" s="1203"/>
      <c r="S172" s="1203"/>
      <c r="T172" s="1203"/>
      <c r="U172" s="1203"/>
      <c r="V172" s="1203"/>
      <c r="W172" s="1203"/>
      <c r="X172" s="1203"/>
      <c r="Y172" s="20"/>
      <c r="Z172"/>
      <c r="AA172"/>
      <c r="AB172"/>
      <c r="AC172"/>
    </row>
    <row r="173" spans="1:29" s="1194" customFormat="1" ht="0" hidden="1" customHeight="1">
      <c r="A173"/>
      <c r="B173"/>
      <c r="C173"/>
      <c r="D173"/>
      <c r="E173"/>
      <c r="F173"/>
      <c r="G173" s="20"/>
      <c r="H173" s="20"/>
      <c r="I173" s="20"/>
      <c r="J173" s="20"/>
      <c r="K173" s="20"/>
      <c r="L173" s="1221"/>
      <c r="M173" s="1221"/>
      <c r="N173" s="1221"/>
      <c r="O173" s="1221"/>
      <c r="P173" s="1221"/>
      <c r="Q173" s="1214"/>
      <c r="R173" s="1214"/>
      <c r="S173" s="1214"/>
      <c r="T173" s="1214"/>
      <c r="U173" s="1214"/>
      <c r="V173" s="1214"/>
      <c r="W173" s="1214"/>
      <c r="X173" s="1214"/>
      <c r="Y173" s="20"/>
      <c r="Z173"/>
      <c r="AA173"/>
      <c r="AB173"/>
      <c r="AC173"/>
    </row>
    <row r="174" spans="1:29" s="1194" customFormat="1" ht="0" hidden="1" customHeight="1">
      <c r="A174"/>
      <c r="B174"/>
      <c r="C174"/>
      <c r="D174"/>
      <c r="E174"/>
      <c r="F174"/>
      <c r="G174" s="20"/>
      <c r="H174" s="20"/>
      <c r="I174" s="20"/>
      <c r="J174" s="20"/>
      <c r="K174" s="20"/>
      <c r="L174" s="1221"/>
      <c r="M174" s="1221"/>
      <c r="N174" s="1221"/>
      <c r="O174" s="1221"/>
      <c r="P174" s="1221"/>
      <c r="Q174" s="1214"/>
      <c r="R174" s="1214"/>
      <c r="S174" s="1214"/>
      <c r="T174" s="1214"/>
      <c r="U174" s="1214"/>
      <c r="V174" s="1214"/>
      <c r="W174" s="1214"/>
      <c r="X174" s="1214"/>
      <c r="Y174" s="20"/>
      <c r="Z174"/>
      <c r="AA174"/>
      <c r="AB174"/>
      <c r="AC174"/>
    </row>
    <row r="175" spans="1:29" s="1194" customFormat="1" ht="0" hidden="1" customHeight="1">
      <c r="A175"/>
      <c r="B175"/>
      <c r="C175"/>
      <c r="D175"/>
      <c r="E175"/>
      <c r="F175"/>
      <c r="G175" s="20"/>
      <c r="H175" s="20"/>
      <c r="I175" s="20"/>
      <c r="J175" s="20"/>
      <c r="K175" s="20"/>
      <c r="L175" s="1221"/>
      <c r="M175" s="1221"/>
      <c r="N175" s="1221"/>
      <c r="O175" s="1221"/>
      <c r="P175" s="1221"/>
      <c r="Q175" s="1214"/>
      <c r="R175" s="1214"/>
      <c r="S175" s="1214"/>
      <c r="T175" s="1214"/>
      <c r="U175" s="1214"/>
      <c r="V175" s="1214"/>
      <c r="W175" s="1214"/>
      <c r="X175" s="1214"/>
      <c r="Y175" s="20"/>
      <c r="Z175"/>
      <c r="AA175"/>
      <c r="AB175"/>
      <c r="AC175"/>
    </row>
    <row r="176" spans="1:29" s="1194" customFormat="1" ht="0" hidden="1" customHeight="1">
      <c r="A176"/>
      <c r="B176"/>
      <c r="C176"/>
      <c r="D176"/>
      <c r="E176"/>
      <c r="F176"/>
      <c r="G176" s="20"/>
      <c r="H176" s="20"/>
      <c r="I176" s="20"/>
      <c r="J176" s="20"/>
      <c r="K176" s="20"/>
      <c r="L176" s="1221"/>
      <c r="M176" s="1221"/>
      <c r="N176" s="1221"/>
      <c r="O176" s="1221"/>
      <c r="P176" s="1221"/>
      <c r="Q176" s="1214"/>
      <c r="R176" s="1214"/>
      <c r="S176" s="1214"/>
      <c r="T176" s="1214"/>
      <c r="U176" s="1214"/>
      <c r="V176" s="1214"/>
      <c r="W176" s="1214"/>
      <c r="X176" s="1214"/>
      <c r="Y176" s="20"/>
      <c r="Z176"/>
      <c r="AA176"/>
      <c r="AB176"/>
      <c r="AC176"/>
    </row>
    <row r="177" spans="1:29" s="1194" customFormat="1" ht="0" hidden="1" customHeight="1">
      <c r="A177"/>
      <c r="B177"/>
      <c r="C177"/>
      <c r="D177"/>
      <c r="E177"/>
      <c r="F177"/>
      <c r="G177" s="20"/>
      <c r="H177" s="20"/>
      <c r="I177" s="20"/>
      <c r="J177" s="20"/>
      <c r="K177" s="20"/>
      <c r="L177" s="1221"/>
      <c r="M177" s="1221"/>
      <c r="N177" s="1221"/>
      <c r="O177" s="1221"/>
      <c r="P177" s="1221"/>
      <c r="Q177" s="1214"/>
      <c r="R177" s="1214"/>
      <c r="S177" s="1214"/>
      <c r="T177" s="1214"/>
      <c r="U177" s="1214"/>
      <c r="V177" s="1214"/>
      <c r="W177" s="1214"/>
      <c r="X177" s="1214"/>
      <c r="Y177" s="20"/>
      <c r="Z177"/>
      <c r="AA177"/>
      <c r="AB177"/>
      <c r="AC177"/>
    </row>
    <row r="178" spans="1:29" s="1194" customFormat="1" ht="0" hidden="1" customHeight="1">
      <c r="A178"/>
      <c r="B178"/>
      <c r="C178"/>
      <c r="D178"/>
      <c r="E178"/>
      <c r="F178"/>
      <c r="G178" s="20"/>
      <c r="H178" s="20"/>
      <c r="I178" s="20"/>
      <c r="J178" s="20"/>
      <c r="K178" s="20"/>
      <c r="L178" s="1221"/>
      <c r="M178" s="1221"/>
      <c r="N178" s="1221"/>
      <c r="O178" s="1221"/>
      <c r="P178" s="1221"/>
      <c r="Q178" s="1214"/>
      <c r="R178" s="1214"/>
      <c r="S178" s="1214"/>
      <c r="T178" s="1214"/>
      <c r="U178" s="1214"/>
      <c r="V178" s="1214"/>
      <c r="W178" s="1214"/>
      <c r="X178" s="1214"/>
      <c r="Y178" s="20"/>
      <c r="Z178"/>
      <c r="AA178"/>
      <c r="AB178"/>
      <c r="AC178"/>
    </row>
    <row r="179" spans="1:29" s="1194" customFormat="1" ht="0" hidden="1" customHeight="1">
      <c r="A179"/>
      <c r="B179"/>
      <c r="C179"/>
      <c r="D179"/>
      <c r="E179"/>
      <c r="F179"/>
      <c r="G179" s="20"/>
      <c r="H179" s="20"/>
      <c r="I179" s="20"/>
      <c r="J179" s="20"/>
      <c r="K179" s="20"/>
      <c r="L179"/>
      <c r="M179"/>
      <c r="N179"/>
      <c r="O179"/>
      <c r="P179"/>
      <c r="Q179"/>
      <c r="R179"/>
      <c r="S179"/>
      <c r="T179"/>
      <c r="U179"/>
      <c r="V179"/>
      <c r="W179"/>
      <c r="X179"/>
      <c r="Y179" s="20"/>
      <c r="Z179"/>
      <c r="AA179"/>
      <c r="AB179"/>
      <c r="AC179"/>
    </row>
    <row r="180" spans="1:29" s="1194" customFormat="1" ht="0" hidden="1" customHeight="1">
      <c r="A180"/>
      <c r="B180"/>
      <c r="C180"/>
      <c r="D180"/>
      <c r="E180"/>
      <c r="F180"/>
      <c r="G180" s="20"/>
      <c r="H180" s="20"/>
      <c r="I180" s="20"/>
      <c r="J180" s="20"/>
      <c r="K180" s="20"/>
      <c r="L180" s="1203"/>
      <c r="M180" s="1203"/>
      <c r="N180" s="1203"/>
      <c r="O180" s="1203"/>
      <c r="P180" s="1203"/>
      <c r="Q180" s="1203"/>
      <c r="R180" s="1203"/>
      <c r="S180" s="1203"/>
      <c r="T180" s="1203"/>
      <c r="U180" s="1203"/>
      <c r="V180" s="1203"/>
      <c r="W180" s="1203"/>
      <c r="X180" s="1203"/>
      <c r="Y180" s="20"/>
      <c r="Z180"/>
      <c r="AA180"/>
      <c r="AB180"/>
      <c r="AC180"/>
    </row>
    <row r="181" spans="1:29" s="1194" customFormat="1" ht="0" hidden="1" customHeight="1">
      <c r="A181"/>
      <c r="B181"/>
      <c r="C181"/>
      <c r="D181"/>
      <c r="E181"/>
      <c r="F181"/>
      <c r="G181" s="20"/>
      <c r="H181" s="20"/>
      <c r="I181" s="20"/>
      <c r="J181" s="20"/>
      <c r="K181" s="20"/>
      <c r="L181" s="1221"/>
      <c r="M181" s="1221"/>
      <c r="N181" s="1221"/>
      <c r="O181" s="1221"/>
      <c r="P181" s="1221"/>
      <c r="Q181" s="1214"/>
      <c r="R181" s="1214"/>
      <c r="S181" s="1214"/>
      <c r="T181" s="1214"/>
      <c r="U181" s="1214"/>
      <c r="V181" s="1214"/>
      <c r="W181" s="1214"/>
      <c r="X181" s="1214"/>
      <c r="Y181" s="20"/>
      <c r="Z181"/>
      <c r="AA181"/>
      <c r="AB181"/>
      <c r="AC181"/>
    </row>
    <row r="182" spans="1:29" s="1194" customFormat="1" ht="0" hidden="1" customHeight="1">
      <c r="A182"/>
      <c r="B182"/>
      <c r="C182"/>
      <c r="D182"/>
      <c r="E182"/>
      <c r="F182"/>
      <c r="G182" s="20"/>
      <c r="H182" s="20"/>
      <c r="I182" s="20"/>
      <c r="J182" s="20"/>
      <c r="K182" s="20"/>
      <c r="L182" s="1221"/>
      <c r="M182" s="1221"/>
      <c r="N182" s="1221"/>
      <c r="O182" s="1221"/>
      <c r="P182" s="1221"/>
      <c r="Q182" s="1214"/>
      <c r="R182" s="1214"/>
      <c r="S182" s="1214"/>
      <c r="T182" s="1214"/>
      <c r="U182" s="1214"/>
      <c r="V182" s="1214"/>
      <c r="W182" s="1214"/>
      <c r="X182" s="1214"/>
      <c r="Y182" s="20"/>
      <c r="Z182"/>
      <c r="AA182"/>
      <c r="AB182"/>
      <c r="AC182"/>
    </row>
    <row r="183" spans="1:29" s="1194" customFormat="1" ht="0" hidden="1" customHeight="1">
      <c r="A183"/>
      <c r="B183"/>
      <c r="C183"/>
      <c r="D183"/>
      <c r="E183"/>
      <c r="F183"/>
      <c r="G183" s="20"/>
      <c r="H183" s="20"/>
      <c r="I183" s="20"/>
      <c r="J183" s="20"/>
      <c r="K183" s="20"/>
      <c r="L183" s="1221"/>
      <c r="M183" s="1221"/>
      <c r="N183" s="1221"/>
      <c r="O183" s="1221"/>
      <c r="P183" s="1221"/>
      <c r="Q183" s="1214"/>
      <c r="R183" s="1214"/>
      <c r="S183" s="1214"/>
      <c r="T183" s="1214"/>
      <c r="U183" s="1214"/>
      <c r="V183" s="1214"/>
      <c r="W183" s="1214"/>
      <c r="X183" s="1214"/>
      <c r="Y183" s="20"/>
      <c r="Z183"/>
      <c r="AA183"/>
      <c r="AB183"/>
      <c r="AC183"/>
    </row>
    <row r="184" spans="1:29" s="1194" customFormat="1" ht="0" hidden="1" customHeight="1">
      <c r="A184"/>
      <c r="B184"/>
      <c r="C184"/>
      <c r="D184"/>
      <c r="E184"/>
      <c r="F184"/>
      <c r="G184" s="20"/>
      <c r="H184" s="20"/>
      <c r="I184" s="20"/>
      <c r="J184" s="20"/>
      <c r="K184" s="20"/>
      <c r="L184" s="1221"/>
      <c r="M184" s="1221"/>
      <c r="N184" s="1221"/>
      <c r="O184" s="1221"/>
      <c r="P184" s="1221"/>
      <c r="Q184" s="1214"/>
      <c r="R184" s="1214"/>
      <c r="S184" s="1214"/>
      <c r="T184" s="1214"/>
      <c r="U184" s="1214"/>
      <c r="V184" s="1214"/>
      <c r="W184" s="1214"/>
      <c r="X184" s="1214"/>
      <c r="Y184" s="20"/>
      <c r="Z184"/>
      <c r="AA184"/>
      <c r="AB184"/>
      <c r="AC184"/>
    </row>
    <row r="185" spans="1:29" s="1194" customFormat="1" ht="0" hidden="1" customHeight="1">
      <c r="A185"/>
      <c r="B185"/>
      <c r="C185"/>
      <c r="D185"/>
      <c r="E185"/>
      <c r="F185"/>
      <c r="G185" s="20"/>
      <c r="H185" s="20"/>
      <c r="I185" s="20"/>
      <c r="J185" s="20"/>
      <c r="K185" s="20"/>
      <c r="L185" s="1221"/>
      <c r="M185" s="1221"/>
      <c r="N185" s="1221"/>
      <c r="O185" s="1221"/>
      <c r="P185" s="1221"/>
      <c r="Q185" s="1214"/>
      <c r="R185" s="1214"/>
      <c r="S185" s="1214"/>
      <c r="T185" s="1214"/>
      <c r="U185" s="1214"/>
      <c r="V185" s="1214"/>
      <c r="W185" s="1214"/>
      <c r="X185" s="1214"/>
      <c r="Y185" s="20"/>
      <c r="Z185"/>
      <c r="AA185"/>
      <c r="AB185"/>
      <c r="AC185"/>
    </row>
    <row r="186" spans="1:29" s="1194" customFormat="1" ht="0" hidden="1" customHeight="1">
      <c r="A186"/>
      <c r="B186"/>
      <c r="C186"/>
      <c r="D186"/>
      <c r="E186"/>
      <c r="F186"/>
      <c r="G186" s="20"/>
      <c r="H186" s="20"/>
      <c r="I186" s="20"/>
      <c r="J186" s="20"/>
      <c r="K186" s="20"/>
      <c r="L186" s="1221"/>
      <c r="M186" s="1221"/>
      <c r="N186" s="1221"/>
      <c r="O186" s="1221"/>
      <c r="P186" s="1221"/>
      <c r="Q186" s="1214"/>
      <c r="R186" s="1214"/>
      <c r="S186" s="1214"/>
      <c r="T186" s="1214"/>
      <c r="U186" s="1214"/>
      <c r="V186" s="1214"/>
      <c r="W186" s="1214"/>
      <c r="X186" s="1214"/>
      <c r="Y186" s="20"/>
      <c r="Z186"/>
      <c r="AA186"/>
      <c r="AB186"/>
      <c r="AC186"/>
    </row>
    <row r="187" spans="1:29" s="1194" customFormat="1" ht="0" hidden="1" customHeight="1">
      <c r="A187"/>
      <c r="B187"/>
      <c r="C187"/>
      <c r="D187"/>
      <c r="E187"/>
      <c r="F187"/>
      <c r="G187" s="20"/>
      <c r="H187" s="20"/>
      <c r="I187" s="20"/>
      <c r="J187" s="20"/>
      <c r="K187" s="20"/>
      <c r="L187"/>
      <c r="M187"/>
      <c r="N187"/>
      <c r="O187"/>
      <c r="P187"/>
      <c r="Q187"/>
      <c r="R187"/>
      <c r="S187"/>
      <c r="T187"/>
      <c r="U187"/>
      <c r="V187"/>
      <c r="W187"/>
      <c r="X187"/>
      <c r="Y187" s="20"/>
      <c r="Z187"/>
      <c r="AA187"/>
      <c r="AB187"/>
      <c r="AC187"/>
    </row>
    <row r="188" spans="1:29" s="1194" customFormat="1" ht="0" hidden="1" customHeight="1">
      <c r="A188"/>
      <c r="B188"/>
      <c r="C188"/>
      <c r="D188"/>
      <c r="E188"/>
      <c r="F188"/>
      <c r="G188" s="20"/>
      <c r="H188" s="20"/>
      <c r="I188" s="20"/>
      <c r="J188" s="20"/>
      <c r="K188" s="20"/>
      <c r="L188" s="1216"/>
      <c r="M188" s="1216"/>
      <c r="N188" s="1216"/>
      <c r="O188" s="1216"/>
      <c r="P188" s="1216"/>
      <c r="Q188" s="1216"/>
      <c r="R188" s="1216"/>
      <c r="S188" s="1216"/>
      <c r="T188" s="1216"/>
      <c r="U188" s="1216"/>
      <c r="V188" s="1216"/>
      <c r="W188" s="1216"/>
      <c r="X188" s="1216"/>
      <c r="Y188" s="20"/>
      <c r="Z188"/>
      <c r="AA188"/>
      <c r="AB188"/>
      <c r="AC188"/>
    </row>
    <row r="189" spans="1:29" s="1194" customFormat="1" ht="0" hidden="1" customHeight="1">
      <c r="A189"/>
      <c r="B189"/>
      <c r="C189"/>
      <c r="D189"/>
      <c r="E189"/>
      <c r="F189"/>
      <c r="G189" s="20"/>
      <c r="H189" s="20"/>
      <c r="I189" s="20"/>
      <c r="J189" s="20"/>
      <c r="K189" s="20"/>
      <c r="L189" s="1216"/>
      <c r="M189" s="1216"/>
      <c r="N189" s="1216"/>
      <c r="O189" s="1216"/>
      <c r="P189" s="1216"/>
      <c r="Q189" s="1216"/>
      <c r="R189" s="1216"/>
      <c r="S189" s="1216"/>
      <c r="T189" s="1216"/>
      <c r="U189" s="1216"/>
      <c r="V189" s="1216"/>
      <c r="W189" s="1216"/>
      <c r="X189" s="1216"/>
      <c r="Y189" s="20"/>
      <c r="Z189"/>
      <c r="AA189"/>
      <c r="AB189"/>
      <c r="AC189"/>
    </row>
    <row r="190" spans="1:29" s="1194" customFormat="1" ht="0" hidden="1" customHeight="1">
      <c r="A190"/>
      <c r="B190"/>
      <c r="C190"/>
      <c r="D190"/>
      <c r="E190"/>
      <c r="F190"/>
      <c r="G190" s="20"/>
      <c r="H190" s="20"/>
      <c r="I190" s="20"/>
      <c r="J190" s="20"/>
      <c r="K190" s="20"/>
      <c r="L190" s="1203"/>
      <c r="M190" s="1203"/>
      <c r="N190" s="1203"/>
      <c r="O190" s="1203"/>
      <c r="P190" s="1203"/>
      <c r="Q190" s="1203"/>
      <c r="R190" s="1203"/>
      <c r="S190" s="1203"/>
      <c r="T190" s="1203"/>
      <c r="U190" s="1203"/>
      <c r="V190" s="1203"/>
      <c r="W190" s="1203"/>
      <c r="X190" s="1203"/>
      <c r="Y190" s="20"/>
      <c r="Z190"/>
      <c r="AA190"/>
      <c r="AB190"/>
      <c r="AC190"/>
    </row>
    <row r="191" spans="1:29" s="1194" customFormat="1" ht="0" hidden="1" customHeight="1">
      <c r="A191"/>
      <c r="B191"/>
      <c r="C191"/>
      <c r="D191"/>
      <c r="E191"/>
      <c r="F191"/>
      <c r="G191" s="20"/>
      <c r="H191" s="20"/>
      <c r="I191" s="20"/>
      <c r="J191" s="20"/>
      <c r="K191" s="20"/>
      <c r="L191" s="1221"/>
      <c r="M191" s="1221"/>
      <c r="N191" s="1221"/>
      <c r="O191" s="1221"/>
      <c r="P191" s="1221"/>
      <c r="Q191" s="1213"/>
      <c r="R191" s="1213"/>
      <c r="S191" s="1213"/>
      <c r="T191" s="1213"/>
      <c r="U191" s="1213"/>
      <c r="V191" s="1213"/>
      <c r="W191" s="1213"/>
      <c r="X191" s="1213"/>
      <c r="Y191" s="20"/>
      <c r="Z191"/>
      <c r="AA191"/>
      <c r="AB191"/>
      <c r="AC191"/>
    </row>
    <row r="192" spans="1:29" s="1194" customFormat="1" ht="0" hidden="1" customHeight="1">
      <c r="A192"/>
      <c r="B192"/>
      <c r="C192"/>
      <c r="D192"/>
      <c r="E192"/>
      <c r="F192"/>
      <c r="L192" s="1221"/>
      <c r="M192" s="1221"/>
      <c r="N192" s="1221"/>
      <c r="O192" s="1221"/>
      <c r="P192" s="1221"/>
      <c r="Q192" s="1213"/>
      <c r="R192" s="1213"/>
      <c r="S192" s="1213"/>
      <c r="T192" s="1213"/>
      <c r="U192" s="1213"/>
      <c r="V192" s="1213"/>
      <c r="W192" s="1213"/>
      <c r="X192" s="1213"/>
      <c r="Z192"/>
      <c r="AA192"/>
      <c r="AB192"/>
      <c r="AC192"/>
    </row>
    <row r="193" spans="1:24" s="1194" customFormat="1" ht="0" hidden="1" customHeight="1">
      <c r="A193"/>
      <c r="B193"/>
      <c r="C193"/>
      <c r="D193"/>
      <c r="E193"/>
      <c r="F193"/>
      <c r="L193" s="1221"/>
      <c r="M193" s="1221"/>
      <c r="N193" s="1221"/>
      <c r="O193" s="1221"/>
      <c r="P193" s="1221"/>
      <c r="Q193" s="1214"/>
      <c r="R193" s="1214"/>
      <c r="S193" s="1214"/>
      <c r="T193" s="1214"/>
      <c r="U193" s="1214"/>
      <c r="V193" s="1214"/>
      <c r="W193" s="1214"/>
      <c r="X193" s="1214"/>
    </row>
    <row r="194" spans="1:24" s="1194" customFormat="1" ht="0" hidden="1" customHeight="1">
      <c r="A194"/>
      <c r="B194"/>
      <c r="C194"/>
      <c r="D194"/>
      <c r="E194"/>
      <c r="F194"/>
      <c r="L194" s="1221"/>
      <c r="M194" s="1221"/>
      <c r="N194" s="1221"/>
      <c r="O194" s="1221"/>
      <c r="P194" s="1221"/>
      <c r="Q194" s="1213"/>
      <c r="R194" s="1213"/>
      <c r="S194" s="1213"/>
      <c r="T194" s="1213"/>
      <c r="U194" s="1213"/>
      <c r="V194" s="1213"/>
      <c r="W194" s="1213"/>
      <c r="X194" s="1213"/>
    </row>
    <row r="195" spans="1:24" s="1194" customFormat="1" ht="0" hidden="1" customHeight="1">
      <c r="A195"/>
      <c r="B195"/>
      <c r="C195"/>
      <c r="D195"/>
      <c r="E195"/>
      <c r="F195"/>
      <c r="L195" s="1221"/>
      <c r="M195" s="1221"/>
      <c r="N195" s="1221"/>
      <c r="O195" s="1221"/>
      <c r="P195" s="1221"/>
      <c r="Q195" s="1213"/>
      <c r="R195" s="1213"/>
      <c r="S195" s="1213"/>
      <c r="T195" s="1213"/>
      <c r="U195" s="1213"/>
      <c r="V195" s="1213"/>
      <c r="W195" s="1213"/>
      <c r="X195" s="1213"/>
    </row>
    <row r="196" spans="1:24" s="1194" customFormat="1" ht="0" hidden="1" customHeight="1">
      <c r="A196"/>
      <c r="B196"/>
      <c r="C196"/>
      <c r="D196"/>
      <c r="E196"/>
      <c r="F196"/>
      <c r="L196" s="1221"/>
      <c r="M196" s="1221"/>
      <c r="N196" s="1221"/>
      <c r="O196" s="1221"/>
      <c r="P196" s="1221"/>
      <c r="Q196" s="1214"/>
      <c r="R196" s="1214"/>
      <c r="S196" s="1214"/>
      <c r="T196" s="1214"/>
      <c r="U196" s="1214"/>
      <c r="V196" s="1214"/>
      <c r="W196" s="1214"/>
      <c r="X196" s="1214"/>
    </row>
    <row r="197" spans="1:24" s="1194" customFormat="1" ht="0" hidden="1" customHeight="1">
      <c r="A197"/>
      <c r="B197"/>
      <c r="C197"/>
      <c r="D197"/>
      <c r="E197"/>
      <c r="F197"/>
      <c r="L197"/>
      <c r="M197"/>
      <c r="N197"/>
      <c r="O197"/>
      <c r="P197"/>
      <c r="Q197"/>
      <c r="R197"/>
      <c r="S197"/>
      <c r="T197"/>
      <c r="U197"/>
      <c r="V197"/>
      <c r="W197"/>
      <c r="X197"/>
    </row>
    <row r="198" spans="1:24" s="1194" customFormat="1" ht="0" hidden="1" customHeight="1">
      <c r="A198"/>
      <c r="B198"/>
      <c r="C198"/>
      <c r="D198"/>
      <c r="E198"/>
      <c r="F198"/>
      <c r="L198" s="1203"/>
      <c r="M198" s="1203"/>
      <c r="N198" s="1203"/>
      <c r="O198" s="1203"/>
      <c r="P198" s="1203"/>
      <c r="Q198" s="1203"/>
      <c r="R198" s="1203"/>
      <c r="S198" s="1203"/>
      <c r="T198" s="1203"/>
      <c r="U198" s="1203"/>
      <c r="V198" s="1203"/>
      <c r="W198" s="1203"/>
      <c r="X198" s="1203"/>
    </row>
    <row r="199" spans="1:24" s="1194" customFormat="1" ht="0" hidden="1" customHeight="1">
      <c r="A199"/>
      <c r="B199"/>
      <c r="C199"/>
      <c r="D199"/>
      <c r="E199"/>
      <c r="F199"/>
      <c r="L199" s="1221"/>
      <c r="M199" s="1221"/>
      <c r="N199" s="1221"/>
      <c r="O199" s="1221"/>
      <c r="P199" s="1221"/>
      <c r="Q199" s="1213"/>
      <c r="R199" s="1213"/>
      <c r="S199" s="1213"/>
      <c r="T199" s="1213"/>
      <c r="U199" s="1213"/>
      <c r="V199" s="1213"/>
      <c r="W199" s="1213"/>
      <c r="X199" s="1213"/>
    </row>
    <row r="200" spans="1:24" s="1194" customFormat="1" ht="0" hidden="1" customHeight="1">
      <c r="A200"/>
      <c r="B200"/>
      <c r="C200"/>
      <c r="D200"/>
      <c r="E200"/>
      <c r="F200"/>
      <c r="L200" s="1221"/>
      <c r="M200" s="1221"/>
      <c r="N200" s="1221"/>
      <c r="O200" s="1221"/>
      <c r="P200" s="1221"/>
      <c r="Q200" s="1213"/>
      <c r="R200" s="1213"/>
      <c r="S200" s="1213"/>
      <c r="T200" s="1213"/>
      <c r="U200" s="1213"/>
      <c r="V200" s="1213"/>
      <c r="W200" s="1213"/>
      <c r="X200" s="1213"/>
    </row>
    <row r="201" spans="1:24" s="1194" customFormat="1" ht="0" hidden="1" customHeight="1">
      <c r="A201"/>
      <c r="B201"/>
      <c r="C201"/>
      <c r="D201"/>
      <c r="E201"/>
      <c r="F201"/>
      <c r="L201" s="1221"/>
      <c r="M201" s="1221"/>
      <c r="N201" s="1221"/>
      <c r="O201" s="1221"/>
      <c r="P201" s="1221"/>
      <c r="Q201" s="1214"/>
      <c r="R201" s="1214"/>
      <c r="S201" s="1214"/>
      <c r="T201" s="1214"/>
      <c r="U201" s="1214"/>
      <c r="V201" s="1214"/>
      <c r="W201" s="1214"/>
      <c r="X201" s="1214"/>
    </row>
    <row r="202" spans="1:24" s="1194" customFormat="1" ht="0" hidden="1" customHeight="1">
      <c r="A202"/>
      <c r="B202"/>
      <c r="C202"/>
      <c r="D202"/>
      <c r="E202"/>
      <c r="F202"/>
      <c r="L202" s="1221"/>
      <c r="M202" s="1221"/>
      <c r="N202" s="1221"/>
      <c r="O202" s="1221"/>
      <c r="P202" s="1221"/>
      <c r="Q202" s="1213"/>
      <c r="R202" s="1213"/>
      <c r="S202" s="1213"/>
      <c r="T202" s="1213"/>
      <c r="U202" s="1213"/>
      <c r="V202" s="1213"/>
      <c r="W202" s="1213"/>
      <c r="X202" s="1213"/>
    </row>
    <row r="203" spans="1:24" s="1194" customFormat="1" ht="0" hidden="1" customHeight="1">
      <c r="A203"/>
      <c r="B203"/>
      <c r="C203"/>
      <c r="D203"/>
      <c r="E203"/>
      <c r="F203"/>
      <c r="L203" s="1221"/>
      <c r="M203" s="1221"/>
      <c r="N203" s="1221"/>
      <c r="O203" s="1221"/>
      <c r="P203" s="1221"/>
      <c r="Q203" s="1213"/>
      <c r="R203" s="1213"/>
      <c r="S203" s="1213"/>
      <c r="T203" s="1213"/>
      <c r="U203" s="1213"/>
      <c r="V203" s="1213"/>
      <c r="W203" s="1213"/>
      <c r="X203" s="1213"/>
    </row>
    <row r="204" spans="1:24" s="1194" customFormat="1" ht="0" hidden="1" customHeight="1">
      <c r="A204"/>
      <c r="B204"/>
      <c r="C204"/>
      <c r="D204"/>
      <c r="E204"/>
      <c r="F204"/>
      <c r="L204" s="1221"/>
      <c r="M204" s="1221"/>
      <c r="N204" s="1221"/>
      <c r="O204" s="1221"/>
      <c r="P204" s="1221"/>
      <c r="Q204" s="1214"/>
      <c r="R204" s="1214"/>
      <c r="S204" s="1214"/>
      <c r="T204" s="1214"/>
      <c r="U204" s="1214"/>
      <c r="V204" s="1214"/>
      <c r="W204" s="1214"/>
      <c r="X204" s="1214"/>
    </row>
    <row r="205" spans="1:24" s="1194" customFormat="1" ht="0" hidden="1" customHeight="1">
      <c r="A205"/>
      <c r="B205"/>
      <c r="C205"/>
      <c r="D205"/>
      <c r="E205"/>
      <c r="F205"/>
      <c r="L205"/>
      <c r="M205"/>
      <c r="N205"/>
      <c r="O205"/>
      <c r="P205"/>
      <c r="Q205"/>
      <c r="R205"/>
      <c r="S205"/>
      <c r="T205"/>
      <c r="U205"/>
      <c r="V205"/>
      <c r="W205"/>
      <c r="X205"/>
    </row>
    <row r="206" spans="1:24" s="1194" customFormat="1" ht="0" hidden="1" customHeight="1">
      <c r="A206"/>
      <c r="B206"/>
      <c r="C206"/>
      <c r="D206"/>
      <c r="E206"/>
      <c r="F206"/>
      <c r="L206" s="1203"/>
      <c r="M206" s="1203"/>
      <c r="N206" s="1203"/>
      <c r="O206" s="1203"/>
      <c r="P206" s="1203"/>
      <c r="Q206" s="1203"/>
      <c r="R206" s="1203"/>
      <c r="S206" s="1203"/>
      <c r="T206" s="1203"/>
      <c r="U206" s="1203"/>
      <c r="V206" s="1203"/>
      <c r="W206" s="1203"/>
      <c r="X206" s="1203"/>
    </row>
    <row r="207" spans="1:24" s="1194" customFormat="1" ht="0" hidden="1" customHeight="1">
      <c r="A207"/>
      <c r="B207"/>
      <c r="C207"/>
      <c r="D207"/>
      <c r="E207"/>
      <c r="F207"/>
      <c r="L207" s="1221"/>
      <c r="M207" s="1221"/>
      <c r="N207" s="1221"/>
      <c r="O207" s="1221"/>
      <c r="P207" s="1221"/>
      <c r="Q207" s="1213"/>
      <c r="R207" s="1213"/>
      <c r="S207" s="1213"/>
      <c r="T207" s="1213"/>
      <c r="U207" s="1213"/>
      <c r="V207" s="1213"/>
      <c r="W207" s="1213"/>
      <c r="X207" s="1213"/>
    </row>
    <row r="208" spans="1:24" s="1194" customFormat="1" ht="0" hidden="1" customHeight="1">
      <c r="A208"/>
      <c r="B208"/>
      <c r="C208"/>
      <c r="D208"/>
      <c r="E208"/>
      <c r="F208"/>
      <c r="L208" s="1221"/>
      <c r="M208" s="1221"/>
      <c r="N208" s="1221"/>
      <c r="O208" s="1221"/>
      <c r="P208" s="1221"/>
      <c r="Q208" s="1213"/>
      <c r="R208" s="1213"/>
      <c r="S208" s="1213"/>
      <c r="T208" s="1213"/>
      <c r="U208" s="1213"/>
      <c r="V208" s="1213"/>
      <c r="W208" s="1213"/>
      <c r="X208" s="1213"/>
    </row>
    <row r="209" spans="1:24" s="1194" customFormat="1" ht="0" hidden="1" customHeight="1">
      <c r="A209"/>
      <c r="B209"/>
      <c r="C209"/>
      <c r="D209"/>
      <c r="E209"/>
      <c r="F209"/>
      <c r="L209" s="1221"/>
      <c r="M209" s="1221"/>
      <c r="N209" s="1221"/>
      <c r="O209" s="1221"/>
      <c r="P209" s="1221"/>
      <c r="Q209" s="1214"/>
      <c r="R209" s="1214"/>
      <c r="S209" s="1214"/>
      <c r="T209" s="1214"/>
      <c r="U209" s="1214"/>
      <c r="V209" s="1214"/>
      <c r="W209" s="1214"/>
      <c r="X209" s="1214"/>
    </row>
    <row r="210" spans="1:24" s="1194" customFormat="1" ht="0" hidden="1" customHeight="1">
      <c r="A210"/>
      <c r="B210"/>
      <c r="C210"/>
      <c r="D210"/>
      <c r="E210"/>
      <c r="F210"/>
      <c r="L210" s="1221"/>
      <c r="M210" s="1221"/>
      <c r="N210" s="1221"/>
      <c r="O210" s="1221"/>
      <c r="P210" s="1221"/>
      <c r="Q210" s="1213"/>
      <c r="R210" s="1213"/>
      <c r="S210" s="1213"/>
      <c r="T210" s="1213"/>
      <c r="U210" s="1213"/>
      <c r="V210" s="1213"/>
      <c r="W210" s="1213"/>
      <c r="X210" s="1213"/>
    </row>
    <row r="211" spans="1:24" s="1194" customFormat="1" ht="0" hidden="1" customHeight="1">
      <c r="A211"/>
      <c r="B211"/>
      <c r="C211"/>
      <c r="D211"/>
      <c r="E211"/>
      <c r="F211"/>
      <c r="L211" s="1221"/>
      <c r="M211" s="1221"/>
      <c r="N211" s="1221"/>
      <c r="O211" s="1221"/>
      <c r="P211" s="1221"/>
      <c r="Q211" s="1213"/>
      <c r="R211" s="1213"/>
      <c r="S211" s="1213"/>
      <c r="T211" s="1213"/>
      <c r="U211" s="1213"/>
      <c r="V211" s="1213"/>
      <c r="W211" s="1213"/>
      <c r="X211" s="1213"/>
    </row>
    <row r="212" spans="1:24" s="1194" customFormat="1" ht="0" hidden="1" customHeight="1">
      <c r="A212"/>
      <c r="B212"/>
      <c r="C212"/>
      <c r="D212"/>
      <c r="E212"/>
      <c r="F212"/>
      <c r="L212" s="1221"/>
      <c r="M212" s="1221"/>
      <c r="N212" s="1221"/>
      <c r="O212" s="1221"/>
      <c r="P212" s="1221"/>
      <c r="Q212" s="1214"/>
      <c r="R212" s="1214"/>
      <c r="S212" s="1214"/>
      <c r="T212" s="1214"/>
      <c r="U212" s="1214"/>
      <c r="V212" s="1214"/>
      <c r="W212" s="1214"/>
      <c r="X212" s="1214"/>
    </row>
    <row r="213" spans="1:24" s="1194" customFormat="1" ht="0" hidden="1" customHeight="1">
      <c r="A213"/>
      <c r="B213"/>
      <c r="C213"/>
      <c r="D213"/>
      <c r="E213"/>
      <c r="F213"/>
      <c r="L213"/>
      <c r="M213"/>
      <c r="N213"/>
      <c r="O213"/>
      <c r="P213"/>
      <c r="Q213"/>
      <c r="R213"/>
      <c r="S213"/>
      <c r="T213"/>
      <c r="U213"/>
      <c r="V213"/>
      <c r="W213"/>
      <c r="X213"/>
    </row>
    <row r="214" spans="1:24" s="1194" customFormat="1" ht="0" hidden="1" customHeight="1">
      <c r="A214"/>
      <c r="B214"/>
      <c r="C214"/>
      <c r="D214"/>
      <c r="E214"/>
      <c r="F214"/>
      <c r="L214" s="1203"/>
      <c r="M214" s="1203"/>
      <c r="N214" s="1203"/>
      <c r="O214" s="1203"/>
      <c r="P214" s="1203"/>
      <c r="Q214" s="1203"/>
      <c r="R214" s="1203"/>
      <c r="S214" s="1203"/>
      <c r="T214" s="1203"/>
      <c r="U214" s="1203"/>
      <c r="V214" s="1203"/>
      <c r="W214" s="1203"/>
      <c r="X214" s="1203"/>
    </row>
    <row r="215" spans="1:24" s="1194" customFormat="1" ht="0" hidden="1" customHeight="1">
      <c r="A215"/>
      <c r="B215"/>
      <c r="C215"/>
      <c r="D215"/>
      <c r="E215"/>
      <c r="F215"/>
      <c r="L215" s="1221"/>
      <c r="M215" s="1221"/>
      <c r="N215" s="1221"/>
      <c r="O215" s="1221"/>
      <c r="P215" s="1221"/>
      <c r="Q215" s="1213"/>
      <c r="R215" s="1213"/>
      <c r="S215" s="1213"/>
      <c r="T215" s="1213"/>
      <c r="U215" s="1213"/>
      <c r="V215" s="1213"/>
      <c r="W215" s="1213"/>
      <c r="X215" s="1213"/>
    </row>
    <row r="216" spans="1:24" s="1194" customFormat="1" ht="0" hidden="1" customHeight="1">
      <c r="A216"/>
      <c r="B216"/>
      <c r="C216"/>
      <c r="D216"/>
      <c r="E216"/>
      <c r="F216"/>
      <c r="L216" s="1221"/>
      <c r="M216" s="1221"/>
      <c r="N216" s="1221"/>
      <c r="O216" s="1221"/>
      <c r="P216" s="1221"/>
      <c r="Q216" s="1213"/>
      <c r="R216" s="1213"/>
      <c r="S216" s="1213"/>
      <c r="T216" s="1213"/>
      <c r="U216" s="1213"/>
      <c r="V216" s="1213"/>
      <c r="W216" s="1213"/>
      <c r="X216" s="1213"/>
    </row>
    <row r="217" spans="1:24" s="1194" customFormat="1" ht="0" hidden="1" customHeight="1">
      <c r="A217"/>
      <c r="B217"/>
      <c r="C217"/>
      <c r="D217"/>
      <c r="E217"/>
      <c r="F217"/>
      <c r="L217" s="1221"/>
      <c r="M217" s="1221"/>
      <c r="N217" s="1221"/>
      <c r="O217" s="1221"/>
      <c r="P217" s="1221"/>
      <c r="Q217" s="1214"/>
      <c r="R217" s="1214"/>
      <c r="S217" s="1214"/>
      <c r="T217" s="1214"/>
      <c r="U217" s="1214"/>
      <c r="V217" s="1214"/>
      <c r="W217" s="1214"/>
      <c r="X217" s="1214"/>
    </row>
    <row r="218" spans="1:24" s="1194" customFormat="1" ht="0" hidden="1" customHeight="1">
      <c r="A218"/>
      <c r="B218"/>
      <c r="C218"/>
      <c r="D218"/>
      <c r="E218"/>
      <c r="F218"/>
      <c r="L218" s="1221"/>
      <c r="M218" s="1221"/>
      <c r="N218" s="1221"/>
      <c r="O218" s="1221"/>
      <c r="P218" s="1221"/>
      <c r="Q218" s="1213"/>
      <c r="R218" s="1213"/>
      <c r="S218" s="1213"/>
      <c r="T218" s="1213"/>
      <c r="U218" s="1213"/>
      <c r="V218" s="1213"/>
      <c r="W218" s="1213"/>
      <c r="X218" s="1213"/>
    </row>
    <row r="219" spans="1:24" s="1194" customFormat="1" ht="0" hidden="1" customHeight="1">
      <c r="A219"/>
      <c r="B219"/>
      <c r="C219"/>
      <c r="D219"/>
      <c r="E219"/>
      <c r="F219"/>
      <c r="L219" s="1221"/>
      <c r="M219" s="1221"/>
      <c r="N219" s="1221"/>
      <c r="O219" s="1221"/>
      <c r="P219" s="1221"/>
      <c r="Q219" s="1213"/>
      <c r="R219" s="1213"/>
      <c r="S219" s="1213"/>
      <c r="T219" s="1213"/>
      <c r="U219" s="1213"/>
      <c r="V219" s="1213"/>
      <c r="W219" s="1213"/>
      <c r="X219" s="1213"/>
    </row>
    <row r="220" spans="1:24" s="1194" customFormat="1" ht="0" hidden="1" customHeight="1">
      <c r="A220"/>
      <c r="B220"/>
      <c r="C220"/>
      <c r="D220"/>
      <c r="E220"/>
      <c r="F220"/>
      <c r="L220" s="1221"/>
      <c r="M220" s="1221"/>
      <c r="N220" s="1221"/>
      <c r="O220" s="1221"/>
      <c r="P220" s="1221"/>
      <c r="Q220" s="1214"/>
      <c r="R220" s="1214"/>
      <c r="S220" s="1214"/>
      <c r="T220" s="1214"/>
      <c r="U220" s="1214"/>
      <c r="V220" s="1214"/>
      <c r="W220" s="1214"/>
      <c r="X220" s="1214"/>
    </row>
    <row r="221" spans="1:24" s="1194" customFormat="1" ht="0" hidden="1" customHeight="1">
      <c r="A221"/>
      <c r="B221"/>
      <c r="C221"/>
      <c r="D221"/>
      <c r="E221"/>
      <c r="F221"/>
      <c r="L221"/>
      <c r="M221"/>
      <c r="N221"/>
      <c r="O221"/>
      <c r="P221"/>
      <c r="Q221"/>
      <c r="R221"/>
      <c r="S221"/>
      <c r="T221"/>
      <c r="U221"/>
      <c r="V221"/>
      <c r="W221"/>
      <c r="X221"/>
    </row>
    <row r="222" spans="1:24" s="1194" customFormat="1" ht="0" hidden="1" customHeight="1">
      <c r="A222"/>
      <c r="B222"/>
      <c r="C222"/>
      <c r="D222"/>
      <c r="E222"/>
      <c r="F222"/>
      <c r="L222" s="1203"/>
      <c r="M222" s="1203"/>
      <c r="N222" s="1203"/>
      <c r="O222" s="1203"/>
      <c r="P222" s="1203"/>
      <c r="Q222" s="1203"/>
      <c r="R222" s="1203"/>
      <c r="S222" s="1203"/>
      <c r="T222" s="1203"/>
      <c r="U222" s="1203"/>
      <c r="V222" s="1203"/>
      <c r="W222" s="1203"/>
      <c r="X222" s="1203"/>
    </row>
    <row r="223" spans="1:24" s="1194" customFormat="1" ht="0" hidden="1" customHeight="1">
      <c r="A223"/>
      <c r="B223"/>
      <c r="C223"/>
      <c r="D223"/>
      <c r="E223"/>
      <c r="F223"/>
      <c r="L223" s="1221"/>
      <c r="M223" s="1221"/>
      <c r="N223" s="1221"/>
      <c r="O223" s="1221"/>
      <c r="P223" s="1221"/>
      <c r="Q223" s="1213"/>
      <c r="R223" s="1213"/>
      <c r="S223" s="1213"/>
      <c r="T223" s="1213"/>
      <c r="U223" s="1213"/>
      <c r="V223" s="1213"/>
      <c r="W223" s="1213"/>
      <c r="X223" s="1213"/>
    </row>
    <row r="224" spans="1:24" s="1194" customFormat="1" ht="0" hidden="1" customHeight="1">
      <c r="A224"/>
      <c r="B224"/>
      <c r="C224"/>
      <c r="D224"/>
      <c r="E224"/>
      <c r="F224"/>
      <c r="L224" s="1221"/>
      <c r="M224" s="1221"/>
      <c r="N224" s="1221"/>
      <c r="O224" s="1221"/>
      <c r="P224" s="1221"/>
      <c r="Q224" s="1213"/>
      <c r="R224" s="1213"/>
      <c r="S224" s="1213"/>
      <c r="T224" s="1213"/>
      <c r="U224" s="1213"/>
      <c r="V224" s="1213"/>
      <c r="W224" s="1213"/>
      <c r="X224" s="1213"/>
    </row>
    <row r="225" spans="1:24" s="1194" customFormat="1" ht="0" hidden="1" customHeight="1">
      <c r="A225"/>
      <c r="B225"/>
      <c r="C225"/>
      <c r="D225"/>
      <c r="E225"/>
      <c r="F225"/>
      <c r="L225" s="1221"/>
      <c r="M225" s="1221"/>
      <c r="N225" s="1221"/>
      <c r="O225" s="1221"/>
      <c r="P225" s="1221"/>
      <c r="Q225" s="1214"/>
      <c r="R225" s="1214"/>
      <c r="S225" s="1214"/>
      <c r="T225" s="1214"/>
      <c r="U225" s="1214"/>
      <c r="V225" s="1214"/>
      <c r="W225" s="1214"/>
      <c r="X225" s="1214"/>
    </row>
    <row r="226" spans="1:24" s="1194" customFormat="1" ht="0" hidden="1" customHeight="1">
      <c r="A226"/>
      <c r="B226"/>
      <c r="C226"/>
      <c r="D226"/>
      <c r="E226"/>
      <c r="F226"/>
      <c r="L226" s="1221"/>
      <c r="M226" s="1221"/>
      <c r="N226" s="1221"/>
      <c r="O226" s="1221"/>
      <c r="P226" s="1221"/>
      <c r="Q226" s="1213"/>
      <c r="R226" s="1213"/>
      <c r="S226" s="1213"/>
      <c r="T226" s="1213"/>
      <c r="U226" s="1213"/>
      <c r="V226" s="1213"/>
      <c r="W226" s="1213"/>
      <c r="X226" s="1213"/>
    </row>
    <row r="227" spans="1:24" s="1194" customFormat="1" ht="0" hidden="1" customHeight="1">
      <c r="A227"/>
      <c r="B227"/>
      <c r="C227"/>
      <c r="D227"/>
      <c r="E227"/>
      <c r="F227"/>
      <c r="L227" s="1221"/>
      <c r="M227" s="1221"/>
      <c r="N227" s="1221"/>
      <c r="O227" s="1221"/>
      <c r="P227" s="1221"/>
      <c r="Q227" s="1213"/>
      <c r="R227" s="1213"/>
      <c r="S227" s="1213"/>
      <c r="T227" s="1213"/>
      <c r="U227" s="1213"/>
      <c r="V227" s="1213"/>
      <c r="W227" s="1213"/>
      <c r="X227" s="1213"/>
    </row>
    <row r="228" spans="1:24" s="1194" customFormat="1" ht="0" hidden="1" customHeight="1">
      <c r="A228"/>
      <c r="B228"/>
      <c r="C228"/>
      <c r="D228"/>
      <c r="E228"/>
      <c r="F228"/>
      <c r="L228" s="1221"/>
      <c r="M228" s="1221"/>
      <c r="N228" s="1221"/>
      <c r="O228" s="1221"/>
      <c r="P228" s="1221"/>
      <c r="Q228" s="1214"/>
      <c r="R228" s="1214"/>
      <c r="S228" s="1214"/>
      <c r="T228" s="1214"/>
      <c r="U228" s="1214"/>
      <c r="V228" s="1214"/>
      <c r="W228" s="1214"/>
      <c r="X228" s="1214"/>
    </row>
    <row r="229" spans="1:24" s="1194" customFormat="1" ht="0" hidden="1" customHeight="1">
      <c r="A229"/>
      <c r="B229"/>
      <c r="C229"/>
      <c r="D229"/>
      <c r="E229"/>
      <c r="F229"/>
      <c r="L229"/>
      <c r="M229"/>
      <c r="N229"/>
      <c r="O229"/>
      <c r="P229"/>
      <c r="Q229"/>
      <c r="R229"/>
      <c r="S229"/>
      <c r="T229"/>
      <c r="U229"/>
      <c r="V229"/>
      <c r="W229"/>
      <c r="X229"/>
    </row>
    <row r="230" spans="1:24" s="1194" customFormat="1" ht="0" hidden="1" customHeight="1">
      <c r="A230"/>
      <c r="B230"/>
      <c r="C230"/>
      <c r="D230"/>
      <c r="E230"/>
      <c r="F230"/>
      <c r="L230" s="1203"/>
      <c r="M230" s="1203"/>
      <c r="N230" s="1203"/>
      <c r="O230" s="1203"/>
      <c r="P230" s="1203"/>
      <c r="Q230" s="1203"/>
      <c r="R230" s="1203"/>
      <c r="S230" s="1203"/>
      <c r="T230" s="1203"/>
      <c r="U230" s="1203"/>
      <c r="V230" s="1203"/>
      <c r="W230" s="1203"/>
      <c r="X230" s="1203"/>
    </row>
    <row r="231" spans="1:24" s="1194" customFormat="1" ht="0" hidden="1" customHeight="1">
      <c r="A231"/>
      <c r="B231"/>
      <c r="C231"/>
      <c r="D231"/>
      <c r="E231"/>
      <c r="F231"/>
      <c r="L231" s="1221"/>
      <c r="M231" s="1221"/>
      <c r="N231" s="1221"/>
      <c r="O231" s="1221"/>
      <c r="P231" s="1221"/>
      <c r="Q231" s="1213"/>
      <c r="R231" s="1213"/>
      <c r="S231" s="1213"/>
      <c r="T231" s="1213"/>
      <c r="U231" s="1213"/>
      <c r="V231" s="1213"/>
      <c r="W231" s="1213"/>
      <c r="X231" s="1213"/>
    </row>
    <row r="232" spans="1:24" s="1194" customFormat="1" ht="0" hidden="1" customHeight="1">
      <c r="A232"/>
      <c r="B232"/>
      <c r="C232"/>
      <c r="D232"/>
      <c r="E232"/>
      <c r="F232"/>
      <c r="L232" s="1221"/>
      <c r="M232" s="1221"/>
      <c r="N232" s="1221"/>
      <c r="O232" s="1221"/>
      <c r="P232" s="1221"/>
      <c r="Q232" s="1213"/>
      <c r="R232" s="1213"/>
      <c r="S232" s="1213"/>
      <c r="T232" s="1213"/>
      <c r="U232" s="1213"/>
      <c r="V232" s="1213"/>
      <c r="W232" s="1213"/>
      <c r="X232" s="1213"/>
    </row>
    <row r="233" spans="1:24" s="1194" customFormat="1" ht="0" hidden="1" customHeight="1">
      <c r="A233"/>
      <c r="B233"/>
      <c r="C233"/>
      <c r="D233"/>
      <c r="E233"/>
      <c r="F233"/>
      <c r="L233" s="1221"/>
      <c r="M233" s="1221"/>
      <c r="N233" s="1221"/>
      <c r="O233" s="1221"/>
      <c r="P233" s="1221"/>
      <c r="Q233" s="1214"/>
      <c r="R233" s="1214"/>
      <c r="S233" s="1214"/>
      <c r="T233" s="1214"/>
      <c r="U233" s="1214"/>
      <c r="V233" s="1214"/>
      <c r="W233" s="1214"/>
      <c r="X233" s="1214"/>
    </row>
    <row r="234" spans="1:24" s="1194" customFormat="1" ht="0" hidden="1" customHeight="1">
      <c r="A234"/>
      <c r="B234"/>
      <c r="C234"/>
      <c r="D234"/>
      <c r="E234"/>
      <c r="F234"/>
      <c r="L234" s="1221"/>
      <c r="M234" s="1221"/>
      <c r="N234" s="1221"/>
      <c r="O234" s="1221"/>
      <c r="P234" s="1221"/>
      <c r="Q234" s="1213"/>
      <c r="R234" s="1213"/>
      <c r="S234" s="1213"/>
      <c r="T234" s="1213"/>
      <c r="U234" s="1213"/>
      <c r="V234" s="1213"/>
      <c r="W234" s="1213"/>
      <c r="X234" s="1213"/>
    </row>
    <row r="235" spans="1:24" s="1194" customFormat="1" ht="0" hidden="1" customHeight="1">
      <c r="A235"/>
      <c r="B235"/>
      <c r="C235"/>
      <c r="D235"/>
      <c r="E235"/>
      <c r="F235"/>
      <c r="L235" s="1221"/>
      <c r="M235" s="1221"/>
      <c r="N235" s="1221"/>
      <c r="O235" s="1221"/>
      <c r="P235" s="1221"/>
      <c r="Q235" s="1213"/>
      <c r="R235" s="1213"/>
      <c r="S235" s="1213"/>
      <c r="T235" s="1213"/>
      <c r="U235" s="1213"/>
      <c r="V235" s="1213"/>
      <c r="W235" s="1213"/>
      <c r="X235" s="1213"/>
    </row>
    <row r="236" spans="1:24" s="1194" customFormat="1" ht="0" hidden="1" customHeight="1">
      <c r="A236"/>
      <c r="B236"/>
      <c r="C236"/>
      <c r="D236"/>
      <c r="E236"/>
      <c r="F236"/>
      <c r="L236" s="1221"/>
      <c r="M236" s="1221"/>
      <c r="N236" s="1221"/>
      <c r="O236" s="1221"/>
      <c r="P236" s="1221"/>
      <c r="Q236" s="1214"/>
      <c r="R236" s="1214"/>
      <c r="S236" s="1214"/>
      <c r="T236" s="1214"/>
      <c r="U236" s="1214"/>
      <c r="V236" s="1214"/>
      <c r="W236" s="1214"/>
      <c r="X236" s="1214"/>
    </row>
    <row r="237" spans="1:24" s="1194" customFormat="1" ht="0" hidden="1" customHeight="1">
      <c r="A237"/>
      <c r="B237"/>
      <c r="C237"/>
      <c r="D237"/>
      <c r="E237"/>
      <c r="F237"/>
      <c r="L237"/>
      <c r="M237"/>
      <c r="N237"/>
      <c r="O237"/>
      <c r="P237"/>
      <c r="Q237"/>
      <c r="R237"/>
      <c r="S237"/>
      <c r="T237"/>
      <c r="U237"/>
      <c r="V237"/>
      <c r="W237"/>
      <c r="X237"/>
    </row>
    <row r="238" spans="1:24" s="1194" customFormat="1" ht="0" hidden="1" customHeight="1">
      <c r="A238"/>
      <c r="B238"/>
      <c r="C238"/>
      <c r="D238"/>
      <c r="E238"/>
      <c r="F238"/>
      <c r="L238" s="1203"/>
      <c r="M238" s="1203"/>
      <c r="N238" s="1203"/>
      <c r="O238" s="1203"/>
      <c r="P238" s="1203"/>
      <c r="Q238" s="1203"/>
      <c r="R238" s="1203"/>
      <c r="S238" s="1203"/>
      <c r="T238" s="1203"/>
      <c r="U238" s="1203"/>
      <c r="V238" s="1203"/>
      <c r="W238" s="1203"/>
      <c r="X238" s="1203"/>
    </row>
    <row r="239" spans="1:24" s="1194" customFormat="1" ht="0" hidden="1" customHeight="1">
      <c r="A239"/>
      <c r="B239"/>
      <c r="C239"/>
      <c r="D239"/>
      <c r="E239"/>
      <c r="F239"/>
      <c r="L239" s="1221"/>
      <c r="M239" s="1221"/>
      <c r="N239" s="1221"/>
      <c r="O239" s="1221"/>
      <c r="P239" s="1221"/>
      <c r="Q239" s="1213"/>
      <c r="R239" s="1213"/>
      <c r="S239" s="1213"/>
      <c r="T239" s="1213"/>
      <c r="U239" s="1213"/>
      <c r="V239" s="1213"/>
      <c r="W239" s="1213"/>
      <c r="X239" s="1213"/>
    </row>
    <row r="240" spans="1:24" s="1194" customFormat="1" ht="0" hidden="1" customHeight="1">
      <c r="A240"/>
      <c r="B240"/>
      <c r="C240"/>
      <c r="D240"/>
      <c r="E240"/>
      <c r="F240"/>
      <c r="L240" s="1221"/>
      <c r="M240" s="1221"/>
      <c r="N240" s="1221"/>
      <c r="O240" s="1221"/>
      <c r="P240" s="1221"/>
      <c r="Q240" s="1213"/>
      <c r="R240" s="1213"/>
      <c r="S240" s="1213"/>
      <c r="T240" s="1213"/>
      <c r="U240" s="1213"/>
      <c r="V240" s="1213"/>
      <c r="W240" s="1213"/>
      <c r="X240" s="1213"/>
    </row>
    <row r="241" spans="1:24" s="1194" customFormat="1" ht="0" hidden="1" customHeight="1">
      <c r="A241"/>
      <c r="B241"/>
      <c r="C241"/>
      <c r="D241"/>
      <c r="E241"/>
      <c r="F241"/>
      <c r="L241" s="1221"/>
      <c r="M241" s="1221"/>
      <c r="N241" s="1221"/>
      <c r="O241" s="1221"/>
      <c r="P241" s="1221"/>
      <c r="Q241" s="1214"/>
      <c r="R241" s="1214"/>
      <c r="S241" s="1214"/>
      <c r="T241" s="1214"/>
      <c r="U241" s="1214"/>
      <c r="V241" s="1214"/>
      <c r="W241" s="1214"/>
      <c r="X241" s="1214"/>
    </row>
    <row r="242" spans="1:24" s="1194" customFormat="1" ht="0" hidden="1" customHeight="1">
      <c r="A242"/>
      <c r="B242"/>
      <c r="C242"/>
      <c r="D242"/>
      <c r="E242"/>
      <c r="F242"/>
      <c r="L242" s="1221"/>
      <c r="M242" s="1221"/>
      <c r="N242" s="1221"/>
      <c r="O242" s="1221"/>
      <c r="P242" s="1221"/>
      <c r="Q242" s="1213"/>
      <c r="R242" s="1213"/>
      <c r="S242" s="1213"/>
      <c r="T242" s="1213"/>
      <c r="U242" s="1213"/>
      <c r="V242" s="1213"/>
      <c r="W242" s="1213"/>
      <c r="X242" s="1213"/>
    </row>
    <row r="243" spans="1:24" s="1194" customFormat="1" ht="0" hidden="1" customHeight="1">
      <c r="A243"/>
      <c r="B243"/>
      <c r="C243"/>
      <c r="D243"/>
      <c r="E243"/>
      <c r="F243"/>
      <c r="L243" s="1221"/>
      <c r="M243" s="1221"/>
      <c r="N243" s="1221"/>
      <c r="O243" s="1221"/>
      <c r="P243" s="1221"/>
      <c r="Q243" s="1213"/>
      <c r="R243" s="1213"/>
      <c r="S243" s="1213"/>
      <c r="T243" s="1213"/>
      <c r="U243" s="1213"/>
      <c r="V243" s="1213"/>
      <c r="W243" s="1213"/>
      <c r="X243" s="1213"/>
    </row>
    <row r="244" spans="1:24" s="1194" customFormat="1" ht="0" hidden="1" customHeight="1">
      <c r="A244"/>
      <c r="B244"/>
      <c r="C244"/>
      <c r="D244"/>
      <c r="E244"/>
      <c r="F244"/>
      <c r="L244" s="1221"/>
      <c r="M244" s="1221"/>
      <c r="N244" s="1221"/>
      <c r="O244" s="1221"/>
      <c r="P244" s="1221"/>
      <c r="Q244" s="1214"/>
      <c r="R244" s="1214"/>
      <c r="S244" s="1214"/>
      <c r="T244" s="1214"/>
      <c r="U244" s="1214"/>
      <c r="V244" s="1214"/>
      <c r="W244" s="1214"/>
      <c r="X244" s="1214"/>
    </row>
    <row r="245" spans="1:24" s="1194" customFormat="1" ht="0" hidden="1" customHeight="1">
      <c r="A245"/>
      <c r="B245"/>
      <c r="C245"/>
      <c r="D245"/>
      <c r="E245"/>
      <c r="F245"/>
      <c r="L245" s="1218"/>
      <c r="M245" s="1218"/>
      <c r="N245" s="1218"/>
      <c r="O245" s="1218"/>
      <c r="P245" s="1218"/>
      <c r="Q245" s="1218"/>
      <c r="R245" s="1218"/>
      <c r="S245" s="1218"/>
      <c r="T245" s="1218"/>
      <c r="U245" s="1218"/>
      <c r="V245" s="1218"/>
      <c r="W245" s="1218"/>
      <c r="X245" s="1218"/>
    </row>
    <row r="246" spans="1:24" s="1194" customFormat="1" ht="0" hidden="1" customHeight="1">
      <c r="A246"/>
      <c r="B246"/>
      <c r="C246"/>
      <c r="D246"/>
      <c r="E246"/>
      <c r="F246"/>
      <c r="L246" s="1203"/>
      <c r="M246" s="1203"/>
      <c r="N246" s="1203"/>
      <c r="O246" s="1203"/>
      <c r="P246" s="1203"/>
      <c r="Q246" s="1203"/>
      <c r="R246" s="1203"/>
      <c r="S246" s="1203"/>
      <c r="T246" s="1203"/>
      <c r="U246" s="1203"/>
      <c r="V246" s="1203"/>
      <c r="W246" s="1203"/>
      <c r="X246" s="1203"/>
    </row>
    <row r="247" spans="1:24" s="1194" customFormat="1" ht="0" hidden="1" customHeight="1">
      <c r="A247"/>
      <c r="B247"/>
      <c r="C247"/>
      <c r="D247"/>
      <c r="E247"/>
      <c r="F247"/>
      <c r="L247" s="1221"/>
      <c r="M247" s="1221"/>
      <c r="N247" s="1221"/>
      <c r="O247" s="1221"/>
      <c r="P247" s="1221"/>
      <c r="Q247" s="1214"/>
      <c r="R247" s="1214"/>
      <c r="S247" s="1214"/>
      <c r="T247" s="1214"/>
      <c r="U247" s="1214"/>
      <c r="V247" s="1214"/>
      <c r="W247" s="1214"/>
      <c r="X247" s="1214"/>
    </row>
    <row r="248" spans="1:24" s="1194" customFormat="1" ht="0" hidden="1" customHeight="1">
      <c r="A248"/>
      <c r="B248"/>
      <c r="C248"/>
      <c r="D248"/>
      <c r="E248"/>
      <c r="F248"/>
      <c r="L248" s="1221"/>
      <c r="M248" s="1221"/>
      <c r="N248" s="1221"/>
      <c r="O248" s="1221"/>
      <c r="P248" s="1221"/>
      <c r="Q248" s="1214"/>
      <c r="R248" s="1214"/>
      <c r="S248" s="1214"/>
      <c r="T248" s="1214"/>
      <c r="U248" s="1214"/>
      <c r="V248" s="1214"/>
      <c r="W248" s="1214"/>
      <c r="X248" s="1214"/>
    </row>
    <row r="249" spans="1:24" s="1194" customFormat="1" ht="0" hidden="1" customHeight="1">
      <c r="A249"/>
      <c r="B249"/>
      <c r="C249"/>
      <c r="D249"/>
      <c r="E249"/>
      <c r="F249"/>
      <c r="L249" s="1221"/>
      <c r="M249" s="1221"/>
      <c r="N249" s="1221"/>
      <c r="O249" s="1221"/>
      <c r="P249" s="1221"/>
      <c r="Q249" s="1214"/>
      <c r="R249" s="1214"/>
      <c r="S249" s="1214"/>
      <c r="T249" s="1214"/>
      <c r="U249" s="1214"/>
      <c r="V249" s="1214"/>
      <c r="W249" s="1214"/>
      <c r="X249" s="1214"/>
    </row>
    <row r="250" spans="1:24" s="1194" customFormat="1" ht="0" hidden="1" customHeight="1">
      <c r="A250"/>
      <c r="B250"/>
      <c r="C250"/>
      <c r="D250"/>
      <c r="E250"/>
      <c r="F250"/>
      <c r="L250" s="1221"/>
      <c r="M250" s="1221"/>
      <c r="N250" s="1221"/>
      <c r="O250" s="1221"/>
      <c r="P250" s="1221"/>
      <c r="Q250" s="1214"/>
      <c r="R250" s="1214"/>
      <c r="S250" s="1214"/>
      <c r="T250" s="1214"/>
      <c r="U250" s="1214"/>
      <c r="V250" s="1214"/>
      <c r="W250" s="1214"/>
      <c r="X250" s="1214"/>
    </row>
    <row r="251" spans="1:24" s="1194" customFormat="1" ht="0" hidden="1" customHeight="1">
      <c r="A251"/>
      <c r="B251"/>
      <c r="C251"/>
      <c r="D251"/>
      <c r="E251"/>
      <c r="F251"/>
      <c r="L251" s="1221"/>
      <c r="M251" s="1221"/>
      <c r="N251" s="1221"/>
      <c r="O251" s="1221"/>
      <c r="P251" s="1221"/>
      <c r="Q251" s="1214"/>
      <c r="R251" s="1214"/>
      <c r="S251" s="1214"/>
      <c r="T251" s="1214"/>
      <c r="U251" s="1214"/>
      <c r="V251" s="1214"/>
      <c r="W251" s="1214"/>
      <c r="X251" s="1214"/>
    </row>
    <row r="252" spans="1:24" s="1194" customFormat="1" ht="0" hidden="1" customHeight="1">
      <c r="A252"/>
      <c r="B252"/>
      <c r="C252"/>
      <c r="D252"/>
      <c r="E252"/>
      <c r="F252"/>
      <c r="L252" s="1221"/>
      <c r="M252" s="1221"/>
      <c r="N252" s="1221"/>
      <c r="O252" s="1221"/>
      <c r="P252" s="1221"/>
      <c r="Q252" s="1214"/>
      <c r="R252" s="1214"/>
      <c r="S252" s="1214"/>
      <c r="T252" s="1214"/>
      <c r="U252" s="1214"/>
      <c r="V252" s="1214"/>
      <c r="W252" s="1214"/>
      <c r="X252" s="1214"/>
    </row>
    <row r="253" spans="1:24" s="1194" customFormat="1" ht="0" hidden="1" customHeight="1">
      <c r="A253"/>
      <c r="B253"/>
      <c r="C253"/>
      <c r="D253"/>
      <c r="E253"/>
      <c r="F253"/>
      <c r="L253" s="1218"/>
      <c r="M253" s="1218"/>
      <c r="N253" s="1218"/>
      <c r="O253" s="1218"/>
      <c r="P253" s="1218"/>
      <c r="Q253" s="1218"/>
      <c r="R253" s="1218"/>
      <c r="S253" s="1218"/>
      <c r="T253" s="1218"/>
      <c r="U253" s="1218"/>
      <c r="V253" s="1218"/>
      <c r="W253" s="1218"/>
      <c r="X253" s="1218"/>
    </row>
    <row r="254" spans="1:24" s="1194" customFormat="1" ht="0" hidden="1" customHeight="1">
      <c r="A254"/>
      <c r="B254"/>
      <c r="C254"/>
      <c r="D254"/>
      <c r="E254"/>
      <c r="F254"/>
      <c r="L254" s="1216"/>
      <c r="M254" s="1216"/>
      <c r="N254" s="1216"/>
      <c r="O254" s="1216"/>
      <c r="P254" s="1216"/>
      <c r="Q254" s="1216"/>
      <c r="R254" s="1216"/>
      <c r="S254" s="1216"/>
      <c r="T254" s="1216"/>
      <c r="U254" s="1216"/>
      <c r="V254" s="1216"/>
      <c r="W254" s="1216"/>
      <c r="X254" s="1216"/>
    </row>
    <row r="255" spans="1:24" s="1194" customFormat="1" ht="0" hidden="1" customHeight="1">
      <c r="A255"/>
      <c r="B255"/>
      <c r="C255"/>
      <c r="D255"/>
      <c r="E255"/>
      <c r="F255"/>
      <c r="L255" s="1203"/>
      <c r="M255" s="1203"/>
      <c r="N255" s="1203"/>
      <c r="O255" s="1203"/>
      <c r="P255" s="1203"/>
      <c r="Q255" s="1203"/>
      <c r="R255" s="1203"/>
      <c r="S255" s="1203"/>
      <c r="T255" s="1203"/>
      <c r="U255" s="1203"/>
      <c r="V255" s="1203"/>
      <c r="W255" s="1203"/>
      <c r="X255" s="1203"/>
    </row>
    <row r="256" spans="1:24" s="1194" customFormat="1" ht="0" hidden="1" customHeight="1">
      <c r="A256"/>
      <c r="B256"/>
      <c r="C256"/>
      <c r="D256"/>
      <c r="E256"/>
      <c r="F256"/>
      <c r="L256" s="1221"/>
      <c r="M256" s="1221"/>
      <c r="N256" s="1221"/>
      <c r="O256" s="1221"/>
      <c r="P256" s="1221"/>
      <c r="Q256" s="1213"/>
      <c r="R256" s="1213"/>
      <c r="S256" s="1213"/>
      <c r="T256" s="1213"/>
      <c r="U256" s="1213"/>
      <c r="V256" s="1213"/>
      <c r="W256" s="1213"/>
      <c r="X256" s="1213"/>
    </row>
    <row r="257" spans="1:24" s="1194" customFormat="1" ht="0" hidden="1" customHeight="1">
      <c r="A257"/>
      <c r="B257"/>
      <c r="C257"/>
      <c r="D257"/>
      <c r="E257"/>
      <c r="F257"/>
      <c r="L257" s="1221"/>
      <c r="M257" s="1221"/>
      <c r="N257" s="1221"/>
      <c r="O257" s="1221"/>
      <c r="P257" s="1221"/>
      <c r="Q257" s="1213"/>
      <c r="R257" s="1213"/>
      <c r="S257" s="1213"/>
      <c r="T257" s="1213"/>
      <c r="U257" s="1213"/>
      <c r="V257" s="1213"/>
      <c r="W257" s="1213"/>
      <c r="X257" s="1213"/>
    </row>
    <row r="258" spans="1:24" s="1194" customFormat="1" ht="0" hidden="1" customHeight="1">
      <c r="A258"/>
      <c r="B258"/>
      <c r="C258"/>
      <c r="D258"/>
      <c r="E258"/>
      <c r="F258"/>
      <c r="L258" s="1221"/>
      <c r="M258" s="1221"/>
      <c r="N258" s="1221"/>
      <c r="O258" s="1221"/>
      <c r="P258" s="1221"/>
      <c r="Q258" s="1214"/>
      <c r="R258" s="1214"/>
      <c r="S258" s="1214"/>
      <c r="T258" s="1214"/>
      <c r="U258" s="1214"/>
      <c r="V258" s="1214"/>
      <c r="W258" s="1214"/>
      <c r="X258" s="1214"/>
    </row>
    <row r="259" spans="1:24" s="1194" customFormat="1" ht="0" hidden="1" customHeight="1">
      <c r="A259"/>
      <c r="B259"/>
      <c r="C259"/>
      <c r="D259"/>
      <c r="E259"/>
      <c r="F259"/>
      <c r="L259" s="1221"/>
      <c r="M259" s="1221"/>
      <c r="N259" s="1221"/>
      <c r="O259" s="1221"/>
      <c r="P259" s="1221"/>
      <c r="Q259" s="1213"/>
      <c r="R259" s="1213"/>
      <c r="S259" s="1213"/>
      <c r="T259" s="1213"/>
      <c r="U259" s="1213"/>
      <c r="V259" s="1213"/>
      <c r="W259" s="1213"/>
      <c r="X259" s="1213"/>
    </row>
    <row r="260" spans="1:24" s="1194" customFormat="1" ht="0" hidden="1" customHeight="1">
      <c r="A260"/>
      <c r="B260"/>
      <c r="C260"/>
      <c r="D260"/>
      <c r="E260"/>
      <c r="F260"/>
      <c r="L260" s="1221"/>
      <c r="M260" s="1221"/>
      <c r="N260" s="1221"/>
      <c r="O260" s="1221"/>
      <c r="P260" s="1221"/>
      <c r="Q260" s="1213"/>
      <c r="R260" s="1213"/>
      <c r="S260" s="1213"/>
      <c r="T260" s="1213"/>
      <c r="U260" s="1213"/>
      <c r="V260" s="1213"/>
      <c r="W260" s="1213"/>
      <c r="X260" s="1213"/>
    </row>
    <row r="261" spans="1:24" s="1194" customFormat="1" ht="0" hidden="1" customHeight="1">
      <c r="A261"/>
      <c r="B261"/>
      <c r="C261"/>
      <c r="D261"/>
      <c r="E261"/>
      <c r="F261"/>
      <c r="L261" s="1221"/>
      <c r="M261" s="1221"/>
      <c r="N261" s="1221"/>
      <c r="O261" s="1221"/>
      <c r="P261" s="1221"/>
      <c r="Q261" s="1214"/>
      <c r="R261" s="1214"/>
      <c r="S261" s="1214"/>
      <c r="T261" s="1214"/>
      <c r="U261" s="1214"/>
      <c r="V261" s="1214"/>
      <c r="W261" s="1214"/>
      <c r="X261" s="1214"/>
    </row>
    <row r="262" spans="1:24" s="1194" customFormat="1" ht="0" hidden="1" customHeight="1">
      <c r="A262"/>
      <c r="B262"/>
      <c r="C262"/>
      <c r="D262"/>
      <c r="E262"/>
      <c r="F262"/>
      <c r="L262"/>
      <c r="M262"/>
      <c r="N262"/>
      <c r="O262"/>
      <c r="P262"/>
      <c r="Q262"/>
      <c r="R262"/>
      <c r="S262"/>
      <c r="T262"/>
      <c r="U262"/>
      <c r="V262"/>
      <c r="W262"/>
      <c r="X262"/>
    </row>
    <row r="263" spans="1:24" s="1194" customFormat="1" ht="0" hidden="1" customHeight="1">
      <c r="A263"/>
      <c r="B263"/>
      <c r="C263"/>
      <c r="D263"/>
      <c r="E263"/>
      <c r="F263"/>
      <c r="L263" s="1203"/>
      <c r="M263" s="1203"/>
      <c r="N263" s="1203"/>
      <c r="O263" s="1203"/>
      <c r="P263" s="1203"/>
      <c r="Q263" s="1203"/>
      <c r="R263" s="1203"/>
      <c r="S263" s="1203"/>
      <c r="T263" s="1203"/>
      <c r="U263" s="1203"/>
      <c r="V263" s="1203"/>
      <c r="W263" s="1203"/>
      <c r="X263" s="1203"/>
    </row>
    <row r="264" spans="1:24" s="1194" customFormat="1" ht="0" hidden="1" customHeight="1">
      <c r="A264"/>
      <c r="B264"/>
      <c r="C264"/>
      <c r="D264"/>
      <c r="E264"/>
      <c r="F264"/>
      <c r="L264" s="1221"/>
      <c r="M264" s="1221"/>
      <c r="N264" s="1221"/>
      <c r="O264" s="1221"/>
      <c r="P264" s="1221"/>
      <c r="Q264" s="1213"/>
      <c r="R264" s="1213"/>
      <c r="S264" s="1213"/>
      <c r="T264" s="1213"/>
      <c r="U264" s="1213"/>
      <c r="V264" s="1213"/>
      <c r="W264" s="1213"/>
      <c r="X264" s="1213"/>
    </row>
    <row r="265" spans="1:24" s="1194" customFormat="1" ht="0" hidden="1" customHeight="1">
      <c r="A265"/>
      <c r="B265"/>
      <c r="C265"/>
      <c r="D265"/>
      <c r="E265"/>
      <c r="F265"/>
      <c r="L265" s="1221"/>
      <c r="M265" s="1221"/>
      <c r="N265" s="1221"/>
      <c r="O265" s="1221"/>
      <c r="P265" s="1221"/>
      <c r="Q265" s="1213"/>
      <c r="R265" s="1213"/>
      <c r="S265" s="1213"/>
      <c r="T265" s="1213"/>
      <c r="U265" s="1213"/>
      <c r="V265" s="1213"/>
      <c r="W265" s="1213"/>
      <c r="X265" s="1213"/>
    </row>
    <row r="266" spans="1:24" s="1194" customFormat="1" ht="0" hidden="1" customHeight="1">
      <c r="A266"/>
      <c r="B266"/>
      <c r="C266"/>
      <c r="D266"/>
      <c r="E266"/>
      <c r="F266"/>
      <c r="L266" s="1221"/>
      <c r="M266" s="1221"/>
      <c r="N266" s="1221"/>
      <c r="O266" s="1221"/>
      <c r="P266" s="1221"/>
      <c r="Q266" s="1214"/>
      <c r="R266" s="1214"/>
      <c r="S266" s="1214"/>
      <c r="T266" s="1214"/>
      <c r="U266" s="1214"/>
      <c r="V266" s="1214"/>
      <c r="W266" s="1214"/>
      <c r="X266" s="1214"/>
    </row>
    <row r="267" spans="1:24" s="1194" customFormat="1" ht="0" hidden="1" customHeight="1">
      <c r="A267"/>
      <c r="B267"/>
      <c r="C267"/>
      <c r="D267"/>
      <c r="E267"/>
      <c r="F267"/>
      <c r="L267" s="1221"/>
      <c r="M267" s="1221"/>
      <c r="N267" s="1221"/>
      <c r="O267" s="1221"/>
      <c r="P267" s="1221"/>
      <c r="Q267" s="1213"/>
      <c r="R267" s="1213"/>
      <c r="S267" s="1213"/>
      <c r="T267" s="1213"/>
      <c r="U267" s="1213"/>
      <c r="V267" s="1213"/>
      <c r="W267" s="1213"/>
      <c r="X267" s="1213"/>
    </row>
    <row r="268" spans="1:24" s="1194" customFormat="1" ht="0" hidden="1" customHeight="1">
      <c r="A268"/>
      <c r="B268"/>
      <c r="C268"/>
      <c r="D268"/>
      <c r="E268"/>
      <c r="F268"/>
      <c r="L268" s="1221"/>
      <c r="M268" s="1221"/>
      <c r="N268" s="1221"/>
      <c r="O268" s="1221"/>
      <c r="P268" s="1221"/>
      <c r="Q268" s="1213"/>
      <c r="R268" s="1213"/>
      <c r="S268" s="1213"/>
      <c r="T268" s="1213"/>
      <c r="U268" s="1213"/>
      <c r="V268" s="1213"/>
      <c r="W268" s="1213"/>
      <c r="X268" s="1213"/>
    </row>
    <row r="269" spans="1:24" s="1194" customFormat="1" ht="0" hidden="1" customHeight="1">
      <c r="A269"/>
      <c r="B269"/>
      <c r="C269"/>
      <c r="D269"/>
      <c r="E269"/>
      <c r="F269"/>
      <c r="L269" s="1221"/>
      <c r="M269" s="1221"/>
      <c r="N269" s="1221"/>
      <c r="O269" s="1221"/>
      <c r="P269" s="1221"/>
      <c r="Q269" s="1214"/>
      <c r="R269" s="1214"/>
      <c r="S269" s="1214"/>
      <c r="T269" s="1214"/>
      <c r="U269" s="1214"/>
      <c r="V269" s="1214"/>
      <c r="W269" s="1214"/>
      <c r="X269" s="1214"/>
    </row>
    <row r="270" spans="1:24" s="1194" customFormat="1" ht="0" hidden="1" customHeight="1">
      <c r="A270"/>
      <c r="B270"/>
      <c r="C270"/>
      <c r="D270"/>
      <c r="E270"/>
      <c r="F270"/>
      <c r="L270"/>
      <c r="M270"/>
      <c r="N270"/>
      <c r="O270"/>
      <c r="P270"/>
      <c r="Q270"/>
      <c r="R270"/>
      <c r="S270"/>
      <c r="T270"/>
      <c r="U270"/>
      <c r="V270"/>
      <c r="W270"/>
      <c r="X270"/>
    </row>
    <row r="271" spans="1:24" s="1194" customFormat="1" ht="0" hidden="1" customHeight="1">
      <c r="A271"/>
      <c r="B271"/>
      <c r="C271"/>
      <c r="D271"/>
      <c r="E271"/>
      <c r="F271"/>
      <c r="L271" s="1203"/>
      <c r="M271" s="1203"/>
      <c r="N271" s="1203"/>
      <c r="O271" s="1203"/>
      <c r="P271" s="1203"/>
      <c r="Q271" s="1203"/>
      <c r="R271" s="1203"/>
      <c r="S271" s="1203"/>
      <c r="T271" s="1203"/>
      <c r="U271" s="1203"/>
      <c r="V271" s="1203"/>
      <c r="W271" s="1203"/>
      <c r="X271" s="1203"/>
    </row>
    <row r="272" spans="1:24" s="1194" customFormat="1" ht="0" hidden="1" customHeight="1">
      <c r="A272"/>
      <c r="B272"/>
      <c r="C272"/>
      <c r="D272"/>
      <c r="E272"/>
      <c r="F272"/>
      <c r="L272" s="1221"/>
      <c r="M272" s="1221"/>
      <c r="N272" s="1221"/>
      <c r="O272" s="1221"/>
      <c r="P272" s="1221"/>
      <c r="Q272" s="1213"/>
      <c r="R272" s="1213"/>
      <c r="S272" s="1213"/>
      <c r="T272" s="1213"/>
      <c r="U272" s="1213"/>
      <c r="V272" s="1213"/>
      <c r="W272" s="1213"/>
      <c r="X272" s="1213"/>
    </row>
    <row r="273" spans="1:24" s="1194" customFormat="1" ht="0" hidden="1" customHeight="1">
      <c r="A273"/>
      <c r="B273"/>
      <c r="C273"/>
      <c r="D273"/>
      <c r="E273"/>
      <c r="F273"/>
      <c r="L273" s="1221"/>
      <c r="M273" s="1221"/>
      <c r="N273" s="1221"/>
      <c r="O273" s="1221"/>
      <c r="P273" s="1221"/>
      <c r="Q273" s="1213"/>
      <c r="R273" s="1213"/>
      <c r="S273" s="1213"/>
      <c r="T273" s="1213"/>
      <c r="U273" s="1213"/>
      <c r="V273" s="1213"/>
      <c r="W273" s="1213"/>
      <c r="X273" s="1213"/>
    </row>
    <row r="274" spans="1:24" s="1194" customFormat="1" ht="0" hidden="1" customHeight="1">
      <c r="A274"/>
      <c r="B274"/>
      <c r="C274"/>
      <c r="D274"/>
      <c r="E274"/>
      <c r="F274"/>
      <c r="L274" s="1221"/>
      <c r="M274" s="1221"/>
      <c r="N274" s="1221"/>
      <c r="O274" s="1221"/>
      <c r="P274" s="1221"/>
      <c r="Q274" s="1214"/>
      <c r="R274" s="1214"/>
      <c r="S274" s="1214"/>
      <c r="T274" s="1214"/>
      <c r="U274" s="1214"/>
      <c r="V274" s="1214"/>
      <c r="W274" s="1214"/>
      <c r="X274" s="1214"/>
    </row>
    <row r="275" spans="1:24" s="1194" customFormat="1" ht="0" hidden="1" customHeight="1">
      <c r="A275"/>
      <c r="B275"/>
      <c r="C275"/>
      <c r="D275"/>
      <c r="E275"/>
      <c r="F275"/>
      <c r="L275" s="1221"/>
      <c r="M275" s="1221"/>
      <c r="N275" s="1221"/>
      <c r="O275" s="1221"/>
      <c r="P275" s="1221"/>
      <c r="Q275" s="1213"/>
      <c r="R275" s="1213"/>
      <c r="S275" s="1213"/>
      <c r="T275" s="1213"/>
      <c r="U275" s="1213"/>
      <c r="V275" s="1213"/>
      <c r="W275" s="1213"/>
      <c r="X275" s="1213"/>
    </row>
    <row r="276" spans="1:24" s="1194" customFormat="1" ht="0" hidden="1" customHeight="1">
      <c r="A276"/>
      <c r="B276"/>
      <c r="C276"/>
      <c r="D276"/>
      <c r="E276"/>
      <c r="F276"/>
      <c r="L276" s="1221"/>
      <c r="M276" s="1221"/>
      <c r="N276" s="1221"/>
      <c r="O276" s="1221"/>
      <c r="P276" s="1221"/>
      <c r="Q276" s="1213"/>
      <c r="R276" s="1213"/>
      <c r="S276" s="1213"/>
      <c r="T276" s="1213"/>
      <c r="U276" s="1213"/>
      <c r="V276" s="1213"/>
      <c r="W276" s="1213"/>
      <c r="X276" s="1213"/>
    </row>
    <row r="277" spans="1:24" s="1194" customFormat="1" ht="0" hidden="1" customHeight="1">
      <c r="A277"/>
      <c r="B277"/>
      <c r="C277"/>
      <c r="D277"/>
      <c r="E277"/>
      <c r="F277"/>
      <c r="L277" s="1221"/>
      <c r="M277" s="1221"/>
      <c r="N277" s="1221"/>
      <c r="O277" s="1221"/>
      <c r="P277" s="1221"/>
      <c r="Q277" s="1214"/>
      <c r="R277" s="1214"/>
      <c r="S277" s="1214"/>
      <c r="T277" s="1214"/>
      <c r="U277" s="1214"/>
      <c r="V277" s="1214"/>
      <c r="W277" s="1214"/>
      <c r="X277" s="1214"/>
    </row>
    <row r="278" spans="1:24" s="1194" customFormat="1" ht="0" hidden="1" customHeight="1">
      <c r="A278"/>
      <c r="B278"/>
      <c r="C278"/>
      <c r="D278"/>
      <c r="E278"/>
      <c r="F278"/>
      <c r="L278"/>
      <c r="M278"/>
      <c r="N278"/>
      <c r="O278"/>
      <c r="P278"/>
      <c r="Q278"/>
      <c r="R278"/>
      <c r="S278"/>
      <c r="T278"/>
      <c r="U278"/>
      <c r="V278"/>
      <c r="W278"/>
      <c r="X278"/>
    </row>
    <row r="279" spans="1:24" s="1194" customFormat="1" ht="0" hidden="1" customHeight="1">
      <c r="A279"/>
      <c r="B279"/>
      <c r="C279"/>
      <c r="D279"/>
      <c r="E279"/>
      <c r="F279"/>
      <c r="L279" s="1203"/>
      <c r="M279" s="1203"/>
      <c r="N279" s="1203"/>
      <c r="O279" s="1203"/>
      <c r="P279" s="1203"/>
      <c r="Q279" s="1203"/>
      <c r="R279" s="1203"/>
      <c r="S279" s="1203"/>
      <c r="T279" s="1203"/>
      <c r="U279" s="1203"/>
      <c r="V279" s="1203"/>
      <c r="W279" s="1203"/>
      <c r="X279" s="1203"/>
    </row>
    <row r="280" spans="1:24" s="1194" customFormat="1" ht="0" hidden="1" customHeight="1">
      <c r="A280"/>
      <c r="B280"/>
      <c r="C280"/>
      <c r="D280"/>
      <c r="E280"/>
      <c r="F280"/>
      <c r="L280" s="1221"/>
      <c r="M280" s="1221"/>
      <c r="N280" s="1221"/>
      <c r="O280" s="1221"/>
      <c r="P280" s="1221"/>
      <c r="Q280" s="1213"/>
      <c r="R280" s="1213"/>
      <c r="S280" s="1213"/>
      <c r="T280" s="1213"/>
      <c r="U280" s="1213"/>
      <c r="V280" s="1213"/>
      <c r="W280" s="1213"/>
      <c r="X280" s="1213"/>
    </row>
    <row r="281" spans="1:24" s="1194" customFormat="1" ht="0" hidden="1" customHeight="1">
      <c r="A281"/>
      <c r="B281"/>
      <c r="C281"/>
      <c r="D281"/>
      <c r="E281"/>
      <c r="F281"/>
      <c r="L281" s="1221"/>
      <c r="M281" s="1221"/>
      <c r="N281" s="1221"/>
      <c r="O281" s="1221"/>
      <c r="P281" s="1221"/>
      <c r="Q281" s="1213"/>
      <c r="R281" s="1213"/>
      <c r="S281" s="1213"/>
      <c r="T281" s="1213"/>
      <c r="U281" s="1213"/>
      <c r="V281" s="1213"/>
      <c r="W281" s="1213"/>
      <c r="X281" s="1213"/>
    </row>
    <row r="282" spans="1:24" s="1194" customFormat="1" ht="0" hidden="1" customHeight="1">
      <c r="A282"/>
      <c r="B282"/>
      <c r="C282"/>
      <c r="D282"/>
      <c r="E282"/>
      <c r="F282"/>
      <c r="L282" s="1221"/>
      <c r="M282" s="1221"/>
      <c r="N282" s="1221"/>
      <c r="O282" s="1221"/>
      <c r="P282" s="1221"/>
      <c r="Q282" s="1214"/>
      <c r="R282" s="1214"/>
      <c r="S282" s="1214"/>
      <c r="T282" s="1214"/>
      <c r="U282" s="1214"/>
      <c r="V282" s="1214"/>
      <c r="W282" s="1214"/>
      <c r="X282" s="1214"/>
    </row>
    <row r="283" spans="1:24" s="1194" customFormat="1" ht="0" hidden="1" customHeight="1">
      <c r="A283"/>
      <c r="B283"/>
      <c r="C283"/>
      <c r="D283"/>
      <c r="E283"/>
      <c r="F283"/>
      <c r="L283" s="1221"/>
      <c r="M283" s="1221"/>
      <c r="N283" s="1221"/>
      <c r="O283" s="1221"/>
      <c r="P283" s="1221"/>
      <c r="Q283" s="1213"/>
      <c r="R283" s="1213"/>
      <c r="S283" s="1213"/>
      <c r="T283" s="1213"/>
      <c r="U283" s="1213"/>
      <c r="V283" s="1213"/>
      <c r="W283" s="1213"/>
      <c r="X283" s="1213"/>
    </row>
    <row r="284" spans="1:24" s="1194" customFormat="1" ht="0" hidden="1" customHeight="1">
      <c r="A284"/>
      <c r="B284"/>
      <c r="C284"/>
      <c r="D284"/>
      <c r="E284"/>
      <c r="F284"/>
      <c r="L284" s="1221"/>
      <c r="M284" s="1221"/>
      <c r="N284" s="1221"/>
      <c r="O284" s="1221"/>
      <c r="P284" s="1221"/>
      <c r="Q284" s="1213"/>
      <c r="R284" s="1213"/>
      <c r="S284" s="1213"/>
      <c r="T284" s="1213"/>
      <c r="U284" s="1213"/>
      <c r="V284" s="1213"/>
      <c r="W284" s="1213"/>
      <c r="X284" s="1213"/>
    </row>
    <row r="285" spans="1:24" s="1194" customFormat="1" ht="0" hidden="1" customHeight="1">
      <c r="A285"/>
      <c r="B285"/>
      <c r="C285"/>
      <c r="D285"/>
      <c r="E285"/>
      <c r="F285"/>
      <c r="L285" s="1221"/>
      <c r="M285" s="1221"/>
      <c r="N285" s="1221"/>
      <c r="O285" s="1221"/>
      <c r="P285" s="1221"/>
      <c r="Q285" s="1214"/>
      <c r="R285" s="1214"/>
      <c r="S285" s="1214"/>
      <c r="T285" s="1214"/>
      <c r="U285" s="1214"/>
      <c r="V285" s="1214"/>
      <c r="W285" s="1214"/>
      <c r="X285" s="1214"/>
    </row>
    <row r="286" spans="1:24" s="1194" customFormat="1" ht="0" hidden="1" customHeight="1">
      <c r="A286"/>
      <c r="B286"/>
      <c r="C286"/>
      <c r="D286"/>
      <c r="E286"/>
      <c r="F286"/>
      <c r="L286"/>
      <c r="M286"/>
      <c r="N286"/>
      <c r="O286"/>
      <c r="P286"/>
      <c r="Q286"/>
      <c r="R286"/>
      <c r="S286"/>
      <c r="T286"/>
      <c r="U286"/>
      <c r="V286"/>
      <c r="W286"/>
      <c r="X286"/>
    </row>
    <row r="287" spans="1:24" s="1194" customFormat="1" ht="0" hidden="1" customHeight="1">
      <c r="A287"/>
      <c r="B287"/>
      <c r="C287"/>
      <c r="D287"/>
      <c r="E287"/>
      <c r="F287"/>
      <c r="L287" s="1203"/>
      <c r="M287" s="1203"/>
      <c r="N287" s="1203"/>
      <c r="O287" s="1203"/>
      <c r="P287" s="1203"/>
      <c r="Q287" s="1203"/>
      <c r="R287" s="1203"/>
      <c r="S287" s="1203"/>
      <c r="T287" s="1203"/>
      <c r="U287" s="1203"/>
      <c r="V287" s="1203"/>
      <c r="W287" s="1203"/>
      <c r="X287" s="1203"/>
    </row>
    <row r="288" spans="1:24" s="1194" customFormat="1" ht="0" hidden="1" customHeight="1">
      <c r="A288"/>
      <c r="B288"/>
      <c r="C288"/>
      <c r="D288"/>
      <c r="E288"/>
      <c r="F288"/>
      <c r="L288" s="1221"/>
      <c r="M288" s="1221"/>
      <c r="N288" s="1221"/>
      <c r="O288" s="1221"/>
      <c r="P288" s="1221"/>
      <c r="Q288" s="1213"/>
      <c r="R288" s="1213"/>
      <c r="S288" s="1213"/>
      <c r="T288" s="1213"/>
      <c r="U288" s="1213"/>
      <c r="V288" s="1213"/>
      <c r="W288" s="1213"/>
      <c r="X288" s="1213"/>
    </row>
    <row r="289" spans="1:24" s="1194" customFormat="1" ht="0" hidden="1" customHeight="1">
      <c r="A289"/>
      <c r="B289"/>
      <c r="C289"/>
      <c r="D289"/>
      <c r="E289"/>
      <c r="F289"/>
      <c r="L289" s="1221"/>
      <c r="M289" s="1221"/>
      <c r="N289" s="1221"/>
      <c r="O289" s="1221"/>
      <c r="P289" s="1221"/>
      <c r="Q289" s="1213"/>
      <c r="R289" s="1213"/>
      <c r="S289" s="1213"/>
      <c r="T289" s="1213"/>
      <c r="U289" s="1213"/>
      <c r="V289" s="1213"/>
      <c r="W289" s="1213"/>
      <c r="X289" s="1213"/>
    </row>
    <row r="290" spans="1:24" s="1194" customFormat="1" ht="0" hidden="1" customHeight="1">
      <c r="A290"/>
      <c r="B290"/>
      <c r="C290"/>
      <c r="D290"/>
      <c r="E290"/>
      <c r="F290"/>
      <c r="L290" s="1221"/>
      <c r="M290" s="1221"/>
      <c r="N290" s="1221"/>
      <c r="O290" s="1221"/>
      <c r="P290" s="1221"/>
      <c r="Q290" s="1214"/>
      <c r="R290" s="1214"/>
      <c r="S290" s="1214"/>
      <c r="T290" s="1214"/>
      <c r="U290" s="1214"/>
      <c r="V290" s="1214"/>
      <c r="W290" s="1214"/>
      <c r="X290" s="1214"/>
    </row>
    <row r="291" spans="1:24" s="1194" customFormat="1" ht="0" hidden="1" customHeight="1">
      <c r="A291"/>
      <c r="B291"/>
      <c r="C291"/>
      <c r="D291"/>
      <c r="E291"/>
      <c r="F291"/>
      <c r="L291" s="1221"/>
      <c r="M291" s="1221"/>
      <c r="N291" s="1221"/>
      <c r="O291" s="1221"/>
      <c r="P291" s="1221"/>
      <c r="Q291" s="1213"/>
      <c r="R291" s="1213"/>
      <c r="S291" s="1213"/>
      <c r="T291" s="1213"/>
      <c r="U291" s="1213"/>
      <c r="V291" s="1213"/>
      <c r="W291" s="1213"/>
      <c r="X291" s="1213"/>
    </row>
    <row r="292" spans="1:24" s="1194" customFormat="1" ht="0" hidden="1" customHeight="1">
      <c r="A292"/>
      <c r="B292"/>
      <c r="C292"/>
      <c r="D292"/>
      <c r="E292"/>
      <c r="F292"/>
      <c r="L292" s="1221"/>
      <c r="M292" s="1221"/>
      <c r="N292" s="1221"/>
      <c r="O292" s="1221"/>
      <c r="P292" s="1221"/>
      <c r="Q292" s="1213"/>
      <c r="R292" s="1213"/>
      <c r="S292" s="1213"/>
      <c r="T292" s="1213"/>
      <c r="U292" s="1213"/>
      <c r="V292" s="1213"/>
      <c r="W292" s="1213"/>
      <c r="X292" s="1213"/>
    </row>
    <row r="293" spans="1:24" s="1194" customFormat="1" ht="0" hidden="1" customHeight="1">
      <c r="A293"/>
      <c r="B293"/>
      <c r="C293"/>
      <c r="D293"/>
      <c r="E293"/>
      <c r="F293"/>
      <c r="L293" s="1221"/>
      <c r="M293" s="1221"/>
      <c r="N293" s="1221"/>
      <c r="O293" s="1221"/>
      <c r="P293" s="1221"/>
      <c r="Q293" s="1214"/>
      <c r="R293" s="1214"/>
      <c r="S293" s="1214"/>
      <c r="T293" s="1214"/>
      <c r="U293" s="1214"/>
      <c r="V293" s="1214"/>
      <c r="W293" s="1214"/>
      <c r="X293" s="1214"/>
    </row>
    <row r="294" spans="1:24" s="1194" customFormat="1" ht="0" hidden="1" customHeight="1">
      <c r="A294"/>
      <c r="B294"/>
      <c r="C294"/>
      <c r="D294"/>
      <c r="E294"/>
      <c r="F294"/>
      <c r="L294"/>
      <c r="M294"/>
      <c r="N294"/>
      <c r="O294"/>
      <c r="P294"/>
      <c r="Q294"/>
      <c r="R294"/>
      <c r="S294"/>
      <c r="T294"/>
      <c r="U294"/>
      <c r="V294"/>
      <c r="W294"/>
      <c r="X294"/>
    </row>
    <row r="295" spans="1:24" s="1194" customFormat="1" ht="0" hidden="1" customHeight="1">
      <c r="A295"/>
      <c r="B295"/>
      <c r="C295"/>
      <c r="D295"/>
      <c r="E295"/>
      <c r="F295"/>
      <c r="L295" s="1203"/>
      <c r="M295" s="1203"/>
      <c r="N295" s="1203"/>
      <c r="O295" s="1203"/>
      <c r="P295" s="1203"/>
      <c r="Q295" s="1203"/>
      <c r="R295" s="1203"/>
      <c r="S295" s="1203"/>
      <c r="T295" s="1203"/>
      <c r="U295" s="1203"/>
      <c r="V295" s="1203"/>
      <c r="W295" s="1203"/>
      <c r="X295" s="1203"/>
    </row>
    <row r="296" spans="1:24" s="1194" customFormat="1" ht="0" hidden="1" customHeight="1">
      <c r="A296"/>
      <c r="B296"/>
      <c r="C296"/>
      <c r="D296"/>
      <c r="E296"/>
      <c r="F296"/>
      <c r="L296" s="1221"/>
      <c r="M296" s="1221"/>
      <c r="N296" s="1221"/>
      <c r="O296" s="1221"/>
      <c r="P296" s="1221"/>
      <c r="Q296" s="1213"/>
      <c r="R296" s="1213"/>
      <c r="S296" s="1213"/>
      <c r="T296" s="1213"/>
      <c r="U296" s="1213"/>
      <c r="V296" s="1213"/>
      <c r="W296" s="1213"/>
      <c r="X296" s="1213"/>
    </row>
    <row r="297" spans="1:24" s="1194" customFormat="1" ht="0" hidden="1" customHeight="1">
      <c r="A297"/>
      <c r="B297"/>
      <c r="C297"/>
      <c r="D297"/>
      <c r="E297"/>
      <c r="F297"/>
      <c r="L297" s="1221"/>
      <c r="M297" s="1221"/>
      <c r="N297" s="1221"/>
      <c r="O297" s="1221"/>
      <c r="P297" s="1221"/>
      <c r="Q297" s="1213"/>
      <c r="R297" s="1213"/>
      <c r="S297" s="1213"/>
      <c r="T297" s="1213"/>
      <c r="U297" s="1213"/>
      <c r="V297" s="1213"/>
      <c r="W297" s="1213"/>
      <c r="X297" s="1213"/>
    </row>
    <row r="298" spans="1:24" s="1194" customFormat="1" ht="0" hidden="1" customHeight="1">
      <c r="A298"/>
      <c r="B298"/>
      <c r="C298"/>
      <c r="D298"/>
      <c r="E298"/>
      <c r="F298"/>
      <c r="L298" s="1221"/>
      <c r="M298" s="1221"/>
      <c r="N298" s="1221"/>
      <c r="O298" s="1221"/>
      <c r="P298" s="1221"/>
      <c r="Q298" s="1214"/>
      <c r="R298" s="1214"/>
      <c r="S298" s="1214"/>
      <c r="T298" s="1214"/>
      <c r="U298" s="1214"/>
      <c r="V298" s="1214"/>
      <c r="W298" s="1214"/>
      <c r="X298" s="1214"/>
    </row>
    <row r="299" spans="1:24" s="1194" customFormat="1" ht="0" hidden="1" customHeight="1">
      <c r="A299"/>
      <c r="B299"/>
      <c r="C299"/>
      <c r="D299"/>
      <c r="E299"/>
      <c r="F299"/>
      <c r="L299" s="1221"/>
      <c r="M299" s="1221"/>
      <c r="N299" s="1221"/>
      <c r="O299" s="1221"/>
      <c r="P299" s="1221"/>
      <c r="Q299" s="1213"/>
      <c r="R299" s="1213"/>
      <c r="S299" s="1213"/>
      <c r="T299" s="1213"/>
      <c r="U299" s="1213"/>
      <c r="V299" s="1213"/>
      <c r="W299" s="1213"/>
      <c r="X299" s="1213"/>
    </row>
    <row r="300" spans="1:24" s="1194" customFormat="1" ht="0" hidden="1" customHeight="1">
      <c r="A300"/>
      <c r="B300"/>
      <c r="C300"/>
      <c r="D300"/>
      <c r="E300"/>
      <c r="F300"/>
      <c r="L300" s="1221"/>
      <c r="M300" s="1221"/>
      <c r="N300" s="1221"/>
      <c r="O300" s="1221"/>
      <c r="P300" s="1221"/>
      <c r="Q300" s="1213"/>
      <c r="R300" s="1213"/>
      <c r="S300" s="1213"/>
      <c r="T300" s="1213"/>
      <c r="U300" s="1213"/>
      <c r="V300" s="1213"/>
      <c r="W300" s="1213"/>
      <c r="X300" s="1213"/>
    </row>
    <row r="301" spans="1:24" s="1194" customFormat="1" ht="0" hidden="1" customHeight="1">
      <c r="A301"/>
      <c r="B301"/>
      <c r="C301"/>
      <c r="D301"/>
      <c r="E301"/>
      <c r="F301"/>
      <c r="L301" s="1221"/>
      <c r="M301" s="1221"/>
      <c r="N301" s="1221"/>
      <c r="O301" s="1221"/>
      <c r="P301" s="1221"/>
      <c r="Q301" s="1214"/>
      <c r="R301" s="1214"/>
      <c r="S301" s="1214"/>
      <c r="T301" s="1214"/>
      <c r="U301" s="1214"/>
      <c r="V301" s="1214"/>
      <c r="W301" s="1214"/>
      <c r="X301" s="1214"/>
    </row>
    <row r="302" spans="1:24" s="1194" customFormat="1" ht="0" hidden="1" customHeight="1">
      <c r="A302"/>
      <c r="B302"/>
      <c r="C302"/>
      <c r="D302"/>
      <c r="E302"/>
      <c r="F302"/>
      <c r="L302"/>
      <c r="M302"/>
      <c r="N302"/>
      <c r="O302"/>
      <c r="P302"/>
      <c r="Q302"/>
      <c r="R302"/>
      <c r="S302"/>
      <c r="T302"/>
      <c r="U302"/>
      <c r="V302"/>
      <c r="W302"/>
      <c r="X302"/>
    </row>
    <row r="303" spans="1:24" s="1194" customFormat="1" ht="0" hidden="1" customHeight="1">
      <c r="A303"/>
      <c r="B303"/>
      <c r="C303"/>
      <c r="D303"/>
      <c r="E303"/>
      <c r="F303"/>
      <c r="L303" s="1203"/>
      <c r="M303" s="1203"/>
      <c r="N303" s="1203"/>
      <c r="O303" s="1203"/>
      <c r="P303" s="1203"/>
      <c r="Q303" s="1203"/>
      <c r="R303" s="1203"/>
      <c r="S303" s="1203"/>
      <c r="T303" s="1203"/>
      <c r="U303" s="1203"/>
      <c r="V303" s="1203"/>
      <c r="W303" s="1203"/>
      <c r="X303" s="1203"/>
    </row>
    <row r="304" spans="1:24" s="1194" customFormat="1" ht="0" hidden="1" customHeight="1">
      <c r="A304"/>
      <c r="B304"/>
      <c r="C304"/>
      <c r="D304"/>
      <c r="E304"/>
      <c r="F304"/>
      <c r="L304" s="1221"/>
      <c r="M304" s="1221"/>
      <c r="N304" s="1221"/>
      <c r="O304" s="1221"/>
      <c r="P304" s="1221"/>
      <c r="Q304" s="1213"/>
      <c r="R304" s="1213"/>
      <c r="S304" s="1213"/>
      <c r="T304" s="1213"/>
      <c r="U304" s="1213"/>
      <c r="V304" s="1213"/>
      <c r="W304" s="1213"/>
      <c r="X304" s="1213"/>
    </row>
    <row r="305" spans="1:24" s="1194" customFormat="1" ht="0" hidden="1" customHeight="1">
      <c r="A305"/>
      <c r="B305"/>
      <c r="C305"/>
      <c r="D305"/>
      <c r="E305"/>
      <c r="F305"/>
      <c r="L305" s="1221"/>
      <c r="M305" s="1221"/>
      <c r="N305" s="1221"/>
      <c r="O305" s="1221"/>
      <c r="P305" s="1221"/>
      <c r="Q305" s="1213"/>
      <c r="R305" s="1213"/>
      <c r="S305" s="1213"/>
      <c r="T305" s="1213"/>
      <c r="U305" s="1213"/>
      <c r="V305" s="1213"/>
      <c r="W305" s="1213"/>
      <c r="X305" s="1213"/>
    </row>
    <row r="306" spans="1:24" s="1194" customFormat="1" ht="0" hidden="1" customHeight="1">
      <c r="A306"/>
      <c r="B306"/>
      <c r="C306"/>
      <c r="D306"/>
      <c r="E306"/>
      <c r="F306"/>
      <c r="L306" s="1221"/>
      <c r="M306" s="1221"/>
      <c r="N306" s="1221"/>
      <c r="O306" s="1221"/>
      <c r="P306" s="1221"/>
      <c r="Q306" s="1214"/>
      <c r="R306" s="1214"/>
      <c r="S306" s="1214"/>
      <c r="T306" s="1214"/>
      <c r="U306" s="1214"/>
      <c r="V306" s="1214"/>
      <c r="W306" s="1214"/>
      <c r="X306" s="1214"/>
    </row>
    <row r="307" spans="1:24" s="1194" customFormat="1" ht="0" hidden="1" customHeight="1">
      <c r="A307"/>
      <c r="B307"/>
      <c r="C307"/>
      <c r="D307"/>
      <c r="E307"/>
      <c r="F307"/>
      <c r="L307" s="1221"/>
      <c r="M307" s="1221"/>
      <c r="N307" s="1221"/>
      <c r="O307" s="1221"/>
      <c r="P307" s="1221"/>
      <c r="Q307" s="1213"/>
      <c r="R307" s="1213"/>
      <c r="S307" s="1213"/>
      <c r="T307" s="1213"/>
      <c r="U307" s="1213"/>
      <c r="V307" s="1213"/>
      <c r="W307" s="1213"/>
      <c r="X307" s="1213"/>
    </row>
    <row r="308" spans="1:24" s="1194" customFormat="1" ht="0" hidden="1" customHeight="1">
      <c r="A308"/>
      <c r="B308"/>
      <c r="C308"/>
      <c r="D308"/>
      <c r="E308"/>
      <c r="F308"/>
      <c r="L308" s="1221"/>
      <c r="M308" s="1221"/>
      <c r="N308" s="1221"/>
      <c r="O308" s="1221"/>
      <c r="P308" s="1221"/>
      <c r="Q308" s="1213"/>
      <c r="R308" s="1213"/>
      <c r="S308" s="1213"/>
      <c r="T308" s="1213"/>
      <c r="U308" s="1213"/>
      <c r="V308" s="1213"/>
      <c r="W308" s="1213"/>
      <c r="X308" s="1213"/>
    </row>
    <row r="309" spans="1:24" s="1194" customFormat="1" ht="0" hidden="1" customHeight="1">
      <c r="A309"/>
      <c r="B309"/>
      <c r="C309"/>
      <c r="D309"/>
      <c r="E309"/>
      <c r="F309"/>
      <c r="L309" s="1221"/>
      <c r="M309" s="1221"/>
      <c r="N309" s="1221"/>
      <c r="O309" s="1221"/>
      <c r="P309" s="1221"/>
      <c r="Q309" s="1214"/>
      <c r="R309" s="1214"/>
      <c r="S309" s="1214"/>
      <c r="T309" s="1214"/>
      <c r="U309" s="1214"/>
      <c r="V309" s="1214"/>
      <c r="W309" s="1214"/>
      <c r="X309" s="1214"/>
    </row>
    <row r="310" spans="1:24" s="1194" customFormat="1" ht="0" hidden="1" customHeight="1">
      <c r="A310"/>
      <c r="B310"/>
      <c r="C310"/>
      <c r="D310"/>
      <c r="E310"/>
      <c r="F310"/>
      <c r="L310" s="1218"/>
      <c r="M310" s="1218"/>
      <c r="N310" s="1218"/>
      <c r="O310" s="1218"/>
      <c r="P310" s="1218"/>
      <c r="Q310" s="1218"/>
      <c r="R310" s="1218"/>
      <c r="S310" s="1218"/>
      <c r="T310" s="1218"/>
      <c r="U310" s="1218"/>
      <c r="V310" s="1218"/>
      <c r="W310" s="1218"/>
      <c r="X310" s="1218"/>
    </row>
    <row r="311" spans="1:24" s="1194" customFormat="1" ht="0" hidden="1" customHeight="1">
      <c r="A311"/>
      <c r="B311"/>
      <c r="C311"/>
      <c r="D311"/>
      <c r="E311"/>
      <c r="F311"/>
      <c r="L311" s="1203"/>
      <c r="M311" s="1203"/>
      <c r="N311" s="1203"/>
      <c r="O311" s="1203"/>
      <c r="P311" s="1203"/>
      <c r="Q311" s="1203"/>
      <c r="R311" s="1203"/>
      <c r="S311" s="1203"/>
      <c r="T311" s="1203"/>
      <c r="U311" s="1203"/>
      <c r="V311" s="1203"/>
      <c r="W311" s="1203"/>
      <c r="X311" s="1203"/>
    </row>
    <row r="312" spans="1:24" s="1194" customFormat="1" ht="0" hidden="1" customHeight="1">
      <c r="A312"/>
      <c r="B312"/>
      <c r="C312"/>
      <c r="D312"/>
      <c r="E312"/>
      <c r="F312"/>
      <c r="L312" s="1221"/>
      <c r="M312" s="1221"/>
      <c r="N312" s="1221"/>
      <c r="O312" s="1221"/>
      <c r="P312" s="1221"/>
      <c r="Q312" s="1214"/>
      <c r="R312" s="1214"/>
      <c r="S312" s="1214"/>
      <c r="T312" s="1214"/>
      <c r="U312" s="1214"/>
      <c r="V312" s="1214"/>
      <c r="W312" s="1214"/>
      <c r="X312" s="1214"/>
    </row>
    <row r="313" spans="1:24" s="1194" customFormat="1" ht="0" hidden="1" customHeight="1">
      <c r="A313"/>
      <c r="B313"/>
      <c r="C313"/>
      <c r="D313"/>
      <c r="E313"/>
      <c r="F313"/>
      <c r="L313" s="1221"/>
      <c r="M313" s="1221"/>
      <c r="N313" s="1221"/>
      <c r="O313" s="1221"/>
      <c r="P313" s="1221"/>
      <c r="Q313" s="1214"/>
      <c r="R313" s="1214"/>
      <c r="S313" s="1214"/>
      <c r="T313" s="1214"/>
      <c r="U313" s="1214"/>
      <c r="V313" s="1214"/>
      <c r="W313" s="1214"/>
      <c r="X313" s="1214"/>
    </row>
    <row r="314" spans="1:24" s="1194" customFormat="1" ht="0" hidden="1" customHeight="1">
      <c r="A314"/>
      <c r="B314"/>
      <c r="C314"/>
      <c r="D314"/>
      <c r="E314"/>
      <c r="F314"/>
      <c r="L314" s="1221"/>
      <c r="M314" s="1221"/>
      <c r="N314" s="1221"/>
      <c r="O314" s="1221"/>
      <c r="P314" s="1221"/>
      <c r="Q314" s="1214"/>
      <c r="R314" s="1214"/>
      <c r="S314" s="1214"/>
      <c r="T314" s="1214"/>
      <c r="U314" s="1214"/>
      <c r="V314" s="1214"/>
      <c r="W314" s="1214"/>
      <c r="X314" s="1214"/>
    </row>
    <row r="315" spans="1:24" s="1194" customFormat="1" ht="0" hidden="1" customHeight="1">
      <c r="A315"/>
      <c r="B315"/>
      <c r="C315"/>
      <c r="D315"/>
      <c r="E315"/>
      <c r="F315"/>
      <c r="L315" s="1221"/>
      <c r="M315" s="1221"/>
      <c r="N315" s="1221"/>
      <c r="O315" s="1221"/>
      <c r="P315" s="1221"/>
      <c r="Q315" s="1214"/>
      <c r="R315" s="1214"/>
      <c r="S315" s="1214"/>
      <c r="T315" s="1214"/>
      <c r="U315" s="1214"/>
      <c r="V315" s="1214"/>
      <c r="W315" s="1214"/>
      <c r="X315" s="1214"/>
    </row>
    <row r="316" spans="1:24" s="1194" customFormat="1" ht="0" hidden="1" customHeight="1">
      <c r="A316"/>
      <c r="B316"/>
      <c r="C316"/>
      <c r="D316"/>
      <c r="E316"/>
      <c r="F316"/>
      <c r="L316" s="1221"/>
      <c r="M316" s="1221"/>
      <c r="N316" s="1221"/>
      <c r="O316" s="1221"/>
      <c r="P316" s="1221"/>
      <c r="Q316" s="1214"/>
      <c r="R316" s="1214"/>
      <c r="S316" s="1214"/>
      <c r="T316" s="1214"/>
      <c r="U316" s="1214"/>
      <c r="V316" s="1214"/>
      <c r="W316" s="1214"/>
      <c r="X316" s="1214"/>
    </row>
    <row r="317" spans="1:24" s="1194" customFormat="1" ht="0" hidden="1" customHeight="1">
      <c r="A317"/>
      <c r="B317"/>
      <c r="C317"/>
      <c r="D317"/>
      <c r="E317"/>
      <c r="F317"/>
      <c r="L317" s="1221"/>
      <c r="M317" s="1221"/>
      <c r="N317" s="1221"/>
      <c r="O317" s="1221"/>
      <c r="P317" s="1221"/>
      <c r="Q317" s="1214"/>
      <c r="R317" s="1214"/>
      <c r="S317" s="1214"/>
      <c r="T317" s="1214"/>
      <c r="U317" s="1214"/>
      <c r="V317" s="1214"/>
      <c r="W317" s="1214"/>
      <c r="X317" s="1214"/>
    </row>
    <row r="318" spans="1:24" s="1194" customFormat="1" ht="0" hidden="1" customHeight="1">
      <c r="A318"/>
      <c r="B318"/>
      <c r="C318"/>
      <c r="D318"/>
      <c r="E318"/>
      <c r="F318"/>
      <c r="L318" s="1218"/>
      <c r="M318" s="1218"/>
      <c r="N318" s="1218"/>
      <c r="O318" s="1218"/>
      <c r="P318" s="1218"/>
      <c r="Q318" s="1218"/>
      <c r="R318" s="1218"/>
      <c r="S318" s="1218"/>
      <c r="T318" s="1218"/>
      <c r="U318" s="1218"/>
      <c r="V318" s="1218"/>
      <c r="W318" s="1218"/>
      <c r="X318" s="1218"/>
    </row>
    <row r="319" spans="1:24" s="1194" customFormat="1" ht="0" hidden="1" customHeight="1">
      <c r="A319"/>
      <c r="B319"/>
      <c r="C319"/>
      <c r="D319"/>
      <c r="E319"/>
      <c r="F319"/>
      <c r="L319" s="1216"/>
      <c r="M319" s="1216"/>
      <c r="N319" s="1216"/>
      <c r="O319" s="1216"/>
      <c r="P319" s="1216"/>
      <c r="Q319" s="1216"/>
      <c r="R319" s="1216"/>
      <c r="S319" s="1216"/>
      <c r="T319" s="1216"/>
      <c r="U319" s="1216"/>
      <c r="V319" s="1216"/>
      <c r="W319" s="1216"/>
      <c r="X319" s="1216"/>
    </row>
    <row r="320" spans="1:24" s="1194" customFormat="1" ht="0" hidden="1" customHeight="1">
      <c r="A320"/>
      <c r="B320"/>
      <c r="C320"/>
      <c r="D320"/>
      <c r="E320"/>
      <c r="F320"/>
      <c r="L320" s="1203"/>
      <c r="M320" s="1203"/>
      <c r="N320" s="1203"/>
      <c r="O320" s="1203"/>
      <c r="P320" s="1203"/>
      <c r="Q320" s="1203"/>
      <c r="R320" s="1203"/>
      <c r="S320" s="1203"/>
      <c r="T320" s="1203"/>
      <c r="U320" s="1203"/>
      <c r="V320" s="1203"/>
      <c r="W320" s="1203"/>
      <c r="X320" s="1203"/>
    </row>
    <row r="321" spans="1:24" s="1194" customFormat="1" ht="0" hidden="1" customHeight="1">
      <c r="A321"/>
      <c r="B321"/>
      <c r="C321"/>
      <c r="D321"/>
      <c r="E321"/>
      <c r="F321"/>
      <c r="L321" s="1221"/>
      <c r="M321" s="1221"/>
      <c r="N321" s="1221"/>
      <c r="O321" s="1221"/>
      <c r="P321" s="1221"/>
      <c r="Q321" s="1213"/>
      <c r="R321" s="1213"/>
      <c r="S321" s="1213"/>
      <c r="T321" s="1213"/>
      <c r="U321" s="1213"/>
      <c r="V321" s="1213"/>
      <c r="W321" s="1213"/>
      <c r="X321" s="1213"/>
    </row>
    <row r="322" spans="1:24" s="1194" customFormat="1" ht="0" hidden="1" customHeight="1">
      <c r="A322"/>
      <c r="B322"/>
      <c r="C322"/>
      <c r="D322"/>
      <c r="E322"/>
      <c r="F322"/>
      <c r="L322" s="1221"/>
      <c r="M322" s="1221"/>
      <c r="N322" s="1221"/>
      <c r="O322" s="1221"/>
      <c r="P322" s="1221"/>
      <c r="Q322" s="1213"/>
      <c r="R322" s="1213"/>
      <c r="S322" s="1213"/>
      <c r="T322" s="1213"/>
      <c r="U322" s="1213"/>
      <c r="V322" s="1213"/>
      <c r="W322" s="1213"/>
      <c r="X322" s="1213"/>
    </row>
    <row r="323" spans="1:24" s="1194" customFormat="1" ht="0" hidden="1" customHeight="1">
      <c r="A323"/>
      <c r="B323"/>
      <c r="C323"/>
      <c r="D323"/>
      <c r="E323"/>
      <c r="F323"/>
      <c r="L323" s="1221"/>
      <c r="M323" s="1221"/>
      <c r="N323" s="1221"/>
      <c r="O323" s="1221"/>
      <c r="P323" s="1221"/>
      <c r="Q323" s="1214"/>
      <c r="R323" s="1214"/>
      <c r="S323" s="1214"/>
      <c r="T323" s="1214"/>
      <c r="U323" s="1214"/>
      <c r="V323" s="1214"/>
      <c r="W323" s="1214"/>
      <c r="X323" s="1214"/>
    </row>
    <row r="324" spans="1:24" s="1194" customFormat="1" ht="0" hidden="1" customHeight="1">
      <c r="A324"/>
      <c r="B324"/>
      <c r="C324"/>
      <c r="D324"/>
      <c r="E324"/>
      <c r="F324"/>
      <c r="L324" s="1221"/>
      <c r="M324" s="1221"/>
      <c r="N324" s="1221"/>
      <c r="O324" s="1221"/>
      <c r="P324" s="1221"/>
      <c r="Q324" s="1213"/>
      <c r="R324" s="1213"/>
      <c r="S324" s="1213"/>
      <c r="T324" s="1213"/>
      <c r="U324" s="1213"/>
      <c r="V324" s="1213"/>
      <c r="W324" s="1213"/>
      <c r="X324" s="1213"/>
    </row>
    <row r="325" spans="1:24" s="1194" customFormat="1" ht="0" hidden="1" customHeight="1">
      <c r="A325"/>
      <c r="B325"/>
      <c r="C325"/>
      <c r="D325"/>
      <c r="E325"/>
      <c r="F325"/>
      <c r="L325" s="1221"/>
      <c r="M325" s="1221"/>
      <c r="N325" s="1221"/>
      <c r="O325" s="1221"/>
      <c r="P325" s="1221"/>
      <c r="Q325" s="1213"/>
      <c r="R325" s="1213"/>
      <c r="S325" s="1213"/>
      <c r="T325" s="1213"/>
      <c r="U325" s="1213"/>
      <c r="V325" s="1213"/>
      <c r="W325" s="1213"/>
      <c r="X325" s="1213"/>
    </row>
    <row r="326" spans="1:24" s="1194" customFormat="1" ht="0" hidden="1" customHeight="1">
      <c r="A326"/>
      <c r="B326"/>
      <c r="C326"/>
      <c r="D326"/>
      <c r="E326"/>
      <c r="F326"/>
      <c r="L326" s="1221"/>
      <c r="M326" s="1221"/>
      <c r="N326" s="1221"/>
      <c r="O326" s="1221"/>
      <c r="P326" s="1221"/>
      <c r="Q326" s="1214"/>
      <c r="R326" s="1214"/>
      <c r="S326" s="1214"/>
      <c r="T326" s="1214"/>
      <c r="U326" s="1214"/>
      <c r="V326" s="1214"/>
      <c r="W326" s="1214"/>
      <c r="X326" s="1214"/>
    </row>
    <row r="327" spans="1:24" s="1194" customFormat="1" ht="0" hidden="1" customHeight="1">
      <c r="A327"/>
      <c r="B327"/>
      <c r="C327"/>
      <c r="D327"/>
      <c r="E327"/>
      <c r="F327"/>
      <c r="L327"/>
      <c r="M327"/>
      <c r="N327"/>
      <c r="O327"/>
      <c r="P327"/>
      <c r="Q327"/>
      <c r="R327"/>
      <c r="S327"/>
      <c r="T327"/>
      <c r="U327"/>
      <c r="V327"/>
      <c r="W327"/>
      <c r="X327"/>
    </row>
    <row r="328" spans="1:24" s="1194" customFormat="1" ht="0" hidden="1" customHeight="1">
      <c r="A328"/>
      <c r="B328"/>
      <c r="C328"/>
      <c r="D328"/>
      <c r="E328"/>
      <c r="F328"/>
      <c r="L328" s="1203"/>
      <c r="M328" s="1203"/>
      <c r="N328" s="1203"/>
      <c r="O328" s="1203"/>
      <c r="P328" s="1203"/>
      <c r="Q328" s="1203"/>
      <c r="R328" s="1203"/>
      <c r="S328" s="1203"/>
      <c r="T328" s="1203"/>
      <c r="U328" s="1203"/>
      <c r="V328" s="1203"/>
      <c r="W328" s="1203"/>
      <c r="X328" s="1203"/>
    </row>
    <row r="329" spans="1:24" s="1194" customFormat="1" ht="0" hidden="1" customHeight="1">
      <c r="A329"/>
      <c r="B329"/>
      <c r="C329"/>
      <c r="D329"/>
      <c r="E329"/>
      <c r="F329"/>
      <c r="L329" s="1221"/>
      <c r="M329" s="1221"/>
      <c r="N329" s="1221"/>
      <c r="O329" s="1221"/>
      <c r="P329" s="1221"/>
      <c r="Q329" s="1213"/>
      <c r="R329" s="1213"/>
      <c r="S329" s="1213"/>
      <c r="T329" s="1213"/>
      <c r="U329" s="1213"/>
      <c r="V329" s="1213"/>
      <c r="W329" s="1213"/>
      <c r="X329" s="1213"/>
    </row>
    <row r="330" spans="1:24" s="1194" customFormat="1" ht="0" hidden="1" customHeight="1">
      <c r="A330"/>
      <c r="B330"/>
      <c r="C330"/>
      <c r="D330"/>
      <c r="E330"/>
      <c r="F330"/>
      <c r="L330" s="1221"/>
      <c r="M330" s="1221"/>
      <c r="N330" s="1221"/>
      <c r="O330" s="1221"/>
      <c r="P330" s="1221"/>
      <c r="Q330" s="1213"/>
      <c r="R330" s="1213"/>
      <c r="S330" s="1213"/>
      <c r="T330" s="1213"/>
      <c r="U330" s="1213"/>
      <c r="V330" s="1213"/>
      <c r="W330" s="1213"/>
      <c r="X330" s="1213"/>
    </row>
    <row r="331" spans="1:24" s="1194" customFormat="1" ht="0" hidden="1" customHeight="1">
      <c r="A331"/>
      <c r="B331"/>
      <c r="C331"/>
      <c r="D331"/>
      <c r="E331"/>
      <c r="F331"/>
      <c r="L331" s="1221"/>
      <c r="M331" s="1221"/>
      <c r="N331" s="1221"/>
      <c r="O331" s="1221"/>
      <c r="P331" s="1221"/>
      <c r="Q331" s="1214"/>
      <c r="R331" s="1214"/>
      <c r="S331" s="1214"/>
      <c r="T331" s="1214"/>
      <c r="U331" s="1214"/>
      <c r="V331" s="1214"/>
      <c r="W331" s="1214"/>
      <c r="X331" s="1214"/>
    </row>
    <row r="332" spans="1:24" s="1194" customFormat="1" ht="0" hidden="1" customHeight="1">
      <c r="A332"/>
      <c r="B332"/>
      <c r="C332"/>
      <c r="D332"/>
      <c r="E332"/>
      <c r="F332"/>
      <c r="L332" s="1221"/>
      <c r="M332" s="1221"/>
      <c r="N332" s="1221"/>
      <c r="O332" s="1221"/>
      <c r="P332" s="1221"/>
      <c r="Q332" s="1213"/>
      <c r="R332" s="1213"/>
      <c r="S332" s="1213"/>
      <c r="T332" s="1213"/>
      <c r="U332" s="1213"/>
      <c r="V332" s="1213"/>
      <c r="W332" s="1213"/>
      <c r="X332" s="1213"/>
    </row>
    <row r="333" spans="1:24" s="1194" customFormat="1" ht="0" hidden="1" customHeight="1">
      <c r="A333"/>
      <c r="B333"/>
      <c r="C333"/>
      <c r="D333"/>
      <c r="E333"/>
      <c r="F333"/>
      <c r="L333" s="1221"/>
      <c r="M333" s="1221"/>
      <c r="N333" s="1221"/>
      <c r="O333" s="1221"/>
      <c r="P333" s="1221"/>
      <c r="Q333" s="1213"/>
      <c r="R333" s="1213"/>
      <c r="S333" s="1213"/>
      <c r="T333" s="1213"/>
      <c r="U333" s="1213"/>
      <c r="V333" s="1213"/>
      <c r="W333" s="1213"/>
      <c r="X333" s="1213"/>
    </row>
    <row r="334" spans="1:24" s="1194" customFormat="1" ht="0" hidden="1" customHeight="1">
      <c r="A334"/>
      <c r="B334"/>
      <c r="C334"/>
      <c r="D334"/>
      <c r="E334"/>
      <c r="F334"/>
      <c r="L334" s="1221"/>
      <c r="M334" s="1221"/>
      <c r="N334" s="1221"/>
      <c r="O334" s="1221"/>
      <c r="P334" s="1221"/>
      <c r="Q334" s="1214"/>
      <c r="R334" s="1214"/>
      <c r="S334" s="1214"/>
      <c r="T334" s="1214"/>
      <c r="U334" s="1214"/>
      <c r="V334" s="1214"/>
      <c r="W334" s="1214"/>
      <c r="X334" s="1214"/>
    </row>
    <row r="335" spans="1:24" s="1194" customFormat="1" ht="0" hidden="1" customHeight="1">
      <c r="A335"/>
      <c r="B335"/>
      <c r="C335"/>
      <c r="D335"/>
      <c r="E335"/>
      <c r="F335"/>
      <c r="L335"/>
      <c r="M335"/>
      <c r="N335"/>
      <c r="O335"/>
      <c r="P335"/>
      <c r="Q335"/>
      <c r="R335"/>
      <c r="S335"/>
      <c r="T335"/>
      <c r="U335"/>
      <c r="V335"/>
      <c r="W335"/>
      <c r="X335"/>
    </row>
    <row r="336" spans="1:24" s="1194" customFormat="1" ht="0" hidden="1" customHeight="1">
      <c r="A336"/>
      <c r="B336"/>
      <c r="C336"/>
      <c r="D336"/>
      <c r="E336"/>
      <c r="F336"/>
      <c r="L336" s="1203"/>
      <c r="M336" s="1203"/>
      <c r="N336" s="1203"/>
      <c r="O336" s="1203"/>
      <c r="P336" s="1203"/>
      <c r="Q336" s="1203"/>
      <c r="R336" s="1203"/>
      <c r="S336" s="1203"/>
      <c r="T336" s="1203"/>
      <c r="U336" s="1203"/>
      <c r="V336" s="1203"/>
      <c r="W336" s="1203"/>
      <c r="X336" s="1203"/>
    </row>
    <row r="337" spans="1:24" s="1194" customFormat="1" ht="0" hidden="1" customHeight="1">
      <c r="A337"/>
      <c r="B337"/>
      <c r="C337"/>
      <c r="D337"/>
      <c r="E337"/>
      <c r="F337"/>
      <c r="L337" s="1221"/>
      <c r="M337" s="1221"/>
      <c r="N337" s="1221"/>
      <c r="O337" s="1221"/>
      <c r="P337" s="1221"/>
      <c r="Q337" s="1213"/>
      <c r="R337" s="1213"/>
      <c r="S337" s="1213"/>
      <c r="T337" s="1213"/>
      <c r="U337" s="1213"/>
      <c r="V337" s="1213"/>
      <c r="W337" s="1213"/>
      <c r="X337" s="1213"/>
    </row>
    <row r="338" spans="1:24" s="1194" customFormat="1" ht="0" hidden="1" customHeight="1">
      <c r="A338"/>
      <c r="B338"/>
      <c r="C338"/>
      <c r="D338"/>
      <c r="E338"/>
      <c r="F338"/>
      <c r="L338" s="1221"/>
      <c r="M338" s="1221"/>
      <c r="N338" s="1221"/>
      <c r="O338" s="1221"/>
      <c r="P338" s="1221"/>
      <c r="Q338" s="1213"/>
      <c r="R338" s="1213"/>
      <c r="S338" s="1213"/>
      <c r="T338" s="1213"/>
      <c r="U338" s="1213"/>
      <c r="V338" s="1213"/>
      <c r="W338" s="1213"/>
      <c r="X338" s="1213"/>
    </row>
    <row r="339" spans="1:24" s="1194" customFormat="1" ht="0" hidden="1" customHeight="1">
      <c r="A339"/>
      <c r="B339"/>
      <c r="C339"/>
      <c r="D339"/>
      <c r="E339"/>
      <c r="F339"/>
      <c r="L339" s="1221"/>
      <c r="M339" s="1221"/>
      <c r="N339" s="1221"/>
      <c r="O339" s="1221"/>
      <c r="P339" s="1221"/>
      <c r="Q339" s="1214"/>
      <c r="R339" s="1214"/>
      <c r="S339" s="1214"/>
      <c r="T339" s="1214"/>
      <c r="U339" s="1214"/>
      <c r="V339" s="1214"/>
      <c r="W339" s="1214"/>
      <c r="X339" s="1214"/>
    </row>
    <row r="340" spans="1:24" s="1194" customFormat="1" ht="0" hidden="1" customHeight="1">
      <c r="A340"/>
      <c r="B340"/>
      <c r="C340"/>
      <c r="D340"/>
      <c r="E340"/>
      <c r="F340"/>
      <c r="L340" s="1221"/>
      <c r="M340" s="1221"/>
      <c r="N340" s="1221"/>
      <c r="O340" s="1221"/>
      <c r="P340" s="1221"/>
      <c r="Q340" s="1213"/>
      <c r="R340" s="1213"/>
      <c r="S340" s="1213"/>
      <c r="T340" s="1213"/>
      <c r="U340" s="1213"/>
      <c r="V340" s="1213"/>
      <c r="W340" s="1213"/>
      <c r="X340" s="1213"/>
    </row>
    <row r="341" spans="1:24" s="1194" customFormat="1" ht="0" hidden="1" customHeight="1">
      <c r="A341"/>
      <c r="B341"/>
      <c r="C341"/>
      <c r="D341"/>
      <c r="E341"/>
      <c r="F341"/>
      <c r="L341" s="1221"/>
      <c r="M341" s="1221"/>
      <c r="N341" s="1221"/>
      <c r="O341" s="1221"/>
      <c r="P341" s="1221"/>
      <c r="Q341" s="1213"/>
      <c r="R341" s="1213"/>
      <c r="S341" s="1213"/>
      <c r="T341" s="1213"/>
      <c r="U341" s="1213"/>
      <c r="V341" s="1213"/>
      <c r="W341" s="1213"/>
      <c r="X341" s="1213"/>
    </row>
    <row r="342" spans="1:24" s="1194" customFormat="1" ht="0" hidden="1" customHeight="1">
      <c r="A342"/>
      <c r="B342"/>
      <c r="C342"/>
      <c r="D342"/>
      <c r="E342"/>
      <c r="F342"/>
      <c r="L342" s="1221"/>
      <c r="M342" s="1221"/>
      <c r="N342" s="1221"/>
      <c r="O342" s="1221"/>
      <c r="P342" s="1221"/>
      <c r="Q342" s="1214"/>
      <c r="R342" s="1214"/>
      <c r="S342" s="1214"/>
      <c r="T342" s="1214"/>
      <c r="U342" s="1214"/>
      <c r="V342" s="1214"/>
      <c r="W342" s="1214"/>
      <c r="X342" s="1214"/>
    </row>
    <row r="343" spans="1:24" s="1194" customFormat="1" ht="0" hidden="1" customHeight="1">
      <c r="A343"/>
      <c r="B343"/>
      <c r="C343"/>
      <c r="D343"/>
      <c r="E343"/>
      <c r="F343"/>
      <c r="L343"/>
      <c r="M343"/>
      <c r="N343"/>
      <c r="O343"/>
      <c r="P343"/>
      <c r="Q343"/>
      <c r="R343"/>
      <c r="S343"/>
      <c r="T343"/>
      <c r="U343"/>
      <c r="V343"/>
      <c r="W343"/>
      <c r="X343"/>
    </row>
    <row r="344" spans="1:24" s="1194" customFormat="1" ht="0" hidden="1" customHeight="1">
      <c r="A344"/>
      <c r="B344"/>
      <c r="C344"/>
      <c r="D344"/>
      <c r="E344"/>
      <c r="F344"/>
      <c r="L344" s="1203"/>
      <c r="M344" s="1203"/>
      <c r="N344" s="1203"/>
      <c r="O344" s="1203"/>
      <c r="P344" s="1203"/>
      <c r="Q344" s="1203"/>
      <c r="R344" s="1203"/>
      <c r="S344" s="1203"/>
      <c r="T344" s="1203"/>
      <c r="U344" s="1203"/>
      <c r="V344" s="1203"/>
      <c r="W344" s="1203"/>
      <c r="X344" s="1203"/>
    </row>
    <row r="345" spans="1:24" s="1194" customFormat="1" ht="0" hidden="1" customHeight="1">
      <c r="A345"/>
      <c r="B345"/>
      <c r="C345"/>
      <c r="D345"/>
      <c r="E345"/>
      <c r="F345"/>
      <c r="L345" s="1221"/>
      <c r="M345" s="1221"/>
      <c r="N345" s="1221"/>
      <c r="O345" s="1221"/>
      <c r="P345" s="1221"/>
      <c r="Q345" s="1213"/>
      <c r="R345" s="1213"/>
      <c r="S345" s="1213"/>
      <c r="T345" s="1213"/>
      <c r="U345" s="1213"/>
      <c r="V345" s="1213"/>
      <c r="W345" s="1213"/>
      <c r="X345" s="1213"/>
    </row>
    <row r="346" spans="1:24" s="1194" customFormat="1" ht="0" hidden="1" customHeight="1">
      <c r="A346"/>
      <c r="B346"/>
      <c r="C346"/>
      <c r="D346"/>
      <c r="E346"/>
      <c r="F346"/>
      <c r="L346" s="1221"/>
      <c r="M346" s="1221"/>
      <c r="N346" s="1221"/>
      <c r="O346" s="1221"/>
      <c r="P346" s="1221"/>
      <c r="Q346" s="1213"/>
      <c r="R346" s="1213"/>
      <c r="S346" s="1213"/>
      <c r="T346" s="1213"/>
      <c r="U346" s="1213"/>
      <c r="V346" s="1213"/>
      <c r="W346" s="1213"/>
      <c r="X346" s="1213"/>
    </row>
    <row r="347" spans="1:24" s="1194" customFormat="1" ht="0" hidden="1" customHeight="1">
      <c r="A347"/>
      <c r="B347"/>
      <c r="C347"/>
      <c r="D347"/>
      <c r="E347"/>
      <c r="F347"/>
      <c r="L347" s="1221"/>
      <c r="M347" s="1221"/>
      <c r="N347" s="1221"/>
      <c r="O347" s="1221"/>
      <c r="P347" s="1221"/>
      <c r="Q347" s="1214"/>
      <c r="R347" s="1214"/>
      <c r="S347" s="1214"/>
      <c r="T347" s="1214"/>
      <c r="U347" s="1214"/>
      <c r="V347" s="1214"/>
      <c r="W347" s="1214"/>
      <c r="X347" s="1214"/>
    </row>
    <row r="348" spans="1:24" s="1194" customFormat="1" ht="0" hidden="1" customHeight="1">
      <c r="A348"/>
      <c r="B348"/>
      <c r="C348"/>
      <c r="D348"/>
      <c r="E348"/>
      <c r="F348"/>
      <c r="L348" s="1221"/>
      <c r="M348" s="1221"/>
      <c r="N348" s="1221"/>
      <c r="O348" s="1221"/>
      <c r="P348" s="1221"/>
      <c r="Q348" s="1213"/>
      <c r="R348" s="1213"/>
      <c r="S348" s="1213"/>
      <c r="T348" s="1213"/>
      <c r="U348" s="1213"/>
      <c r="V348" s="1213"/>
      <c r="W348" s="1213"/>
      <c r="X348" s="1213"/>
    </row>
    <row r="349" spans="1:24" s="1194" customFormat="1" ht="0" hidden="1" customHeight="1">
      <c r="A349"/>
      <c r="B349"/>
      <c r="C349"/>
      <c r="D349"/>
      <c r="E349"/>
      <c r="F349"/>
      <c r="L349" s="1221"/>
      <c r="M349" s="1221"/>
      <c r="N349" s="1221"/>
      <c r="O349" s="1221"/>
      <c r="P349" s="1221"/>
      <c r="Q349" s="1213"/>
      <c r="R349" s="1213"/>
      <c r="S349" s="1213"/>
      <c r="T349" s="1213"/>
      <c r="U349" s="1213"/>
      <c r="V349" s="1213"/>
      <c r="W349" s="1213"/>
      <c r="X349" s="1213"/>
    </row>
    <row r="350" spans="1:24" s="1194" customFormat="1" ht="0" hidden="1" customHeight="1">
      <c r="A350"/>
      <c r="B350"/>
      <c r="C350"/>
      <c r="D350"/>
      <c r="E350"/>
      <c r="F350"/>
      <c r="L350" s="1221"/>
      <c r="M350" s="1221"/>
      <c r="N350" s="1221"/>
      <c r="O350" s="1221"/>
      <c r="P350" s="1221"/>
      <c r="Q350" s="1214"/>
      <c r="R350" s="1214"/>
      <c r="S350" s="1214"/>
      <c r="T350" s="1214"/>
      <c r="U350" s="1214"/>
      <c r="V350" s="1214"/>
      <c r="W350" s="1214"/>
      <c r="X350" s="1214"/>
    </row>
    <row r="351" spans="1:24" s="1194" customFormat="1" ht="0" hidden="1" customHeight="1">
      <c r="A351"/>
      <c r="B351"/>
      <c r="C351"/>
      <c r="D351"/>
      <c r="E351"/>
      <c r="F351"/>
      <c r="L351"/>
      <c r="M351"/>
      <c r="N351"/>
      <c r="O351"/>
      <c r="P351"/>
      <c r="Q351"/>
      <c r="R351"/>
      <c r="S351"/>
      <c r="T351"/>
      <c r="U351"/>
      <c r="V351"/>
      <c r="W351"/>
      <c r="X351"/>
    </row>
    <row r="352" spans="1:24" s="1194" customFormat="1" ht="0" hidden="1" customHeight="1">
      <c r="A352"/>
      <c r="B352"/>
      <c r="C352"/>
      <c r="D352"/>
      <c r="E352"/>
      <c r="F352"/>
      <c r="L352" s="1203"/>
      <c r="M352" s="1203"/>
      <c r="N352" s="1203"/>
      <c r="O352" s="1203"/>
      <c r="P352" s="1203"/>
      <c r="Q352" s="1203"/>
      <c r="R352" s="1203"/>
      <c r="S352" s="1203"/>
      <c r="T352" s="1203"/>
      <c r="U352" s="1203"/>
      <c r="V352" s="1203"/>
      <c r="W352" s="1203"/>
      <c r="X352" s="1203"/>
    </row>
    <row r="353" spans="1:24" s="1194" customFormat="1" ht="0" hidden="1" customHeight="1">
      <c r="A353"/>
      <c r="B353"/>
      <c r="C353"/>
      <c r="D353"/>
      <c r="E353"/>
      <c r="F353"/>
      <c r="L353" s="1221"/>
      <c r="M353" s="1221"/>
      <c r="N353" s="1221"/>
      <c r="O353" s="1221"/>
      <c r="P353" s="1221"/>
      <c r="Q353" s="1213"/>
      <c r="R353" s="1213"/>
      <c r="S353" s="1213"/>
      <c r="T353" s="1213"/>
      <c r="U353" s="1213"/>
      <c r="V353" s="1213"/>
      <c r="W353" s="1213"/>
      <c r="X353" s="1213"/>
    </row>
    <row r="354" spans="1:24" s="1194" customFormat="1" ht="0" hidden="1" customHeight="1">
      <c r="A354"/>
      <c r="B354"/>
      <c r="C354"/>
      <c r="D354"/>
      <c r="E354"/>
      <c r="F354"/>
      <c r="L354" s="1221"/>
      <c r="M354" s="1221"/>
      <c r="N354" s="1221"/>
      <c r="O354" s="1221"/>
      <c r="P354" s="1221"/>
      <c r="Q354" s="1213"/>
      <c r="R354" s="1213"/>
      <c r="S354" s="1213"/>
      <c r="T354" s="1213"/>
      <c r="U354" s="1213"/>
      <c r="V354" s="1213"/>
      <c r="W354" s="1213"/>
      <c r="X354" s="1213"/>
    </row>
    <row r="355" spans="1:24" s="1194" customFormat="1" ht="0" hidden="1" customHeight="1">
      <c r="A355"/>
      <c r="B355"/>
      <c r="C355"/>
      <c r="D355"/>
      <c r="E355"/>
      <c r="F355"/>
      <c r="L355" s="1221"/>
      <c r="M355" s="1221"/>
      <c r="N355" s="1221"/>
      <c r="O355" s="1221"/>
      <c r="P355" s="1221"/>
      <c r="Q355" s="1214"/>
      <c r="R355" s="1214"/>
      <c r="S355" s="1214"/>
      <c r="T355" s="1214"/>
      <c r="U355" s="1214"/>
      <c r="V355" s="1214"/>
      <c r="W355" s="1214"/>
      <c r="X355" s="1214"/>
    </row>
    <row r="356" spans="1:24" s="1194" customFormat="1" ht="0" hidden="1" customHeight="1">
      <c r="A356"/>
      <c r="B356"/>
      <c r="C356"/>
      <c r="D356"/>
      <c r="E356"/>
      <c r="F356"/>
      <c r="L356" s="1221"/>
      <c r="M356" s="1221"/>
      <c r="N356" s="1221"/>
      <c r="O356" s="1221"/>
      <c r="P356" s="1221"/>
      <c r="Q356" s="1213"/>
      <c r="R356" s="1213"/>
      <c r="S356" s="1213"/>
      <c r="T356" s="1213"/>
      <c r="U356" s="1213"/>
      <c r="V356" s="1213"/>
      <c r="W356" s="1213"/>
      <c r="X356" s="1213"/>
    </row>
    <row r="357" spans="1:24" s="1194" customFormat="1" ht="0" hidden="1" customHeight="1">
      <c r="A357"/>
      <c r="B357"/>
      <c r="C357"/>
      <c r="D357"/>
      <c r="E357"/>
      <c r="F357"/>
      <c r="L357" s="1221"/>
      <c r="M357" s="1221"/>
      <c r="N357" s="1221"/>
      <c r="O357" s="1221"/>
      <c r="P357" s="1221"/>
      <c r="Q357" s="1213"/>
      <c r="R357" s="1213"/>
      <c r="S357" s="1213"/>
      <c r="T357" s="1213"/>
      <c r="U357" s="1213"/>
      <c r="V357" s="1213"/>
      <c r="W357" s="1213"/>
      <c r="X357" s="1213"/>
    </row>
    <row r="358" spans="1:24" s="1194" customFormat="1" ht="0" hidden="1" customHeight="1">
      <c r="A358"/>
      <c r="B358"/>
      <c r="C358"/>
      <c r="D358"/>
      <c r="E358"/>
      <c r="F358"/>
      <c r="L358" s="1221"/>
      <c r="M358" s="1221"/>
      <c r="N358" s="1221"/>
      <c r="O358" s="1221"/>
      <c r="P358" s="1221"/>
      <c r="Q358" s="1214"/>
      <c r="R358" s="1214"/>
      <c r="S358" s="1214"/>
      <c r="T358" s="1214"/>
      <c r="U358" s="1214"/>
      <c r="V358" s="1214"/>
      <c r="W358" s="1214"/>
      <c r="X358" s="1214"/>
    </row>
    <row r="359" spans="1:24" s="1194" customFormat="1" ht="0" hidden="1" customHeight="1">
      <c r="A359"/>
      <c r="B359"/>
      <c r="C359"/>
      <c r="D359"/>
      <c r="E359"/>
      <c r="F359"/>
      <c r="L359"/>
      <c r="M359"/>
      <c r="N359"/>
      <c r="O359"/>
      <c r="P359"/>
      <c r="Q359"/>
      <c r="R359"/>
      <c r="S359"/>
      <c r="T359"/>
      <c r="U359"/>
      <c r="V359"/>
      <c r="W359"/>
      <c r="X359"/>
    </row>
    <row r="360" spans="1:24" s="1194" customFormat="1" ht="0" hidden="1" customHeight="1">
      <c r="A360"/>
      <c r="B360"/>
      <c r="C360"/>
      <c r="D360"/>
      <c r="E360"/>
      <c r="F360"/>
      <c r="L360" s="1203"/>
      <c r="M360" s="1203"/>
      <c r="N360" s="1203"/>
      <c r="O360" s="1203"/>
      <c r="P360" s="1203"/>
      <c r="Q360" s="1203"/>
      <c r="R360" s="1203"/>
      <c r="S360" s="1203"/>
      <c r="T360" s="1203"/>
      <c r="U360" s="1203"/>
      <c r="V360" s="1203"/>
      <c r="W360" s="1203"/>
      <c r="X360" s="1203"/>
    </row>
    <row r="361" spans="1:24" s="1194" customFormat="1" ht="0" hidden="1" customHeight="1">
      <c r="A361"/>
      <c r="B361"/>
      <c r="C361"/>
      <c r="D361"/>
      <c r="E361"/>
      <c r="F361"/>
      <c r="L361" s="1221"/>
      <c r="M361" s="1221"/>
      <c r="N361" s="1221"/>
      <c r="O361" s="1221"/>
      <c r="P361" s="1221"/>
      <c r="Q361" s="1213"/>
      <c r="R361" s="1213"/>
      <c r="S361" s="1213"/>
      <c r="T361" s="1213"/>
      <c r="U361" s="1213"/>
      <c r="V361" s="1213"/>
      <c r="W361" s="1213"/>
      <c r="X361" s="1213"/>
    </row>
    <row r="362" spans="1:24" s="1194" customFormat="1" ht="0" hidden="1" customHeight="1">
      <c r="A362"/>
      <c r="B362"/>
      <c r="C362"/>
      <c r="D362"/>
      <c r="E362"/>
      <c r="F362"/>
      <c r="L362" s="1221"/>
      <c r="M362" s="1221"/>
      <c r="N362" s="1221"/>
      <c r="O362" s="1221"/>
      <c r="P362" s="1221"/>
      <c r="Q362" s="1213"/>
      <c r="R362" s="1213"/>
      <c r="S362" s="1213"/>
      <c r="T362" s="1213"/>
      <c r="U362" s="1213"/>
      <c r="V362" s="1213"/>
      <c r="W362" s="1213"/>
      <c r="X362" s="1213"/>
    </row>
    <row r="363" spans="1:24" s="1194" customFormat="1" ht="0" hidden="1" customHeight="1">
      <c r="A363"/>
      <c r="B363"/>
      <c r="C363"/>
      <c r="D363"/>
      <c r="E363"/>
      <c r="F363"/>
      <c r="L363" s="1221"/>
      <c r="M363" s="1221"/>
      <c r="N363" s="1221"/>
      <c r="O363" s="1221"/>
      <c r="P363" s="1221"/>
      <c r="Q363" s="1214"/>
      <c r="R363" s="1214"/>
      <c r="S363" s="1214"/>
      <c r="T363" s="1214"/>
      <c r="U363" s="1214"/>
      <c r="V363" s="1214"/>
      <c r="W363" s="1214"/>
      <c r="X363" s="1214"/>
    </row>
    <row r="364" spans="1:24" s="1194" customFormat="1" ht="0" hidden="1" customHeight="1">
      <c r="A364"/>
      <c r="B364"/>
      <c r="C364"/>
      <c r="D364"/>
      <c r="E364"/>
      <c r="F364"/>
      <c r="L364" s="1221"/>
      <c r="M364" s="1221"/>
      <c r="N364" s="1221"/>
      <c r="O364" s="1221"/>
      <c r="P364" s="1221"/>
      <c r="Q364" s="1213"/>
      <c r="R364" s="1213"/>
      <c r="S364" s="1213"/>
      <c r="T364" s="1213"/>
      <c r="U364" s="1213"/>
      <c r="V364" s="1213"/>
      <c r="W364" s="1213"/>
      <c r="X364" s="1213"/>
    </row>
    <row r="365" spans="1:24" s="1194" customFormat="1" ht="0" hidden="1" customHeight="1">
      <c r="A365"/>
      <c r="B365"/>
      <c r="C365"/>
      <c r="D365"/>
      <c r="E365"/>
      <c r="F365"/>
      <c r="L365" s="1221"/>
      <c r="M365" s="1221"/>
      <c r="N365" s="1221"/>
      <c r="O365" s="1221"/>
      <c r="P365" s="1221"/>
      <c r="Q365" s="1213"/>
      <c r="R365" s="1213"/>
      <c r="S365" s="1213"/>
      <c r="T365" s="1213"/>
      <c r="U365" s="1213"/>
      <c r="V365" s="1213"/>
      <c r="W365" s="1213"/>
      <c r="X365" s="1213"/>
    </row>
    <row r="366" spans="1:24" s="1194" customFormat="1" ht="0" hidden="1" customHeight="1">
      <c r="A366"/>
      <c r="B366"/>
      <c r="C366"/>
      <c r="D366"/>
      <c r="E366"/>
      <c r="F366"/>
      <c r="L366" s="1221"/>
      <c r="M366" s="1221"/>
      <c r="N366" s="1221"/>
      <c r="O366" s="1221"/>
      <c r="P366" s="1221"/>
      <c r="Q366" s="1214"/>
      <c r="R366" s="1214"/>
      <c r="S366" s="1214"/>
      <c r="T366" s="1214"/>
      <c r="U366" s="1214"/>
      <c r="V366" s="1214"/>
      <c r="W366" s="1214"/>
      <c r="X366" s="1214"/>
    </row>
    <row r="367" spans="1:24" s="1194" customFormat="1" ht="0" hidden="1" customHeight="1">
      <c r="A367"/>
      <c r="B367"/>
      <c r="C367"/>
      <c r="D367"/>
      <c r="E367"/>
      <c r="F367"/>
      <c r="L367"/>
      <c r="M367"/>
      <c r="N367"/>
      <c r="O367"/>
      <c r="P367"/>
      <c r="Q367"/>
      <c r="R367"/>
      <c r="S367"/>
      <c r="T367"/>
      <c r="U367"/>
      <c r="V367"/>
      <c r="W367"/>
      <c r="X367"/>
    </row>
    <row r="368" spans="1:24" s="1194" customFormat="1" ht="0" hidden="1" customHeight="1">
      <c r="A368"/>
      <c r="B368"/>
      <c r="C368"/>
      <c r="D368"/>
      <c r="E368"/>
      <c r="F368"/>
      <c r="L368" s="1203"/>
      <c r="M368" s="1203"/>
      <c r="N368" s="1203"/>
      <c r="O368" s="1203"/>
      <c r="P368" s="1203"/>
      <c r="Q368" s="1203"/>
      <c r="R368" s="1203"/>
      <c r="S368" s="1203"/>
      <c r="T368" s="1203"/>
      <c r="U368" s="1203"/>
      <c r="V368" s="1203"/>
      <c r="W368" s="1203"/>
      <c r="X368" s="1203"/>
    </row>
    <row r="369" spans="1:24" s="1194" customFormat="1" ht="0" hidden="1" customHeight="1">
      <c r="A369"/>
      <c r="B369"/>
      <c r="C369"/>
      <c r="D369"/>
      <c r="E369"/>
      <c r="F369"/>
      <c r="L369" s="1221"/>
      <c r="M369" s="1221"/>
      <c r="N369" s="1221"/>
      <c r="O369" s="1221"/>
      <c r="P369" s="1221"/>
      <c r="Q369" s="1213"/>
      <c r="R369" s="1213"/>
      <c r="S369" s="1213"/>
      <c r="T369" s="1213"/>
      <c r="U369" s="1213"/>
      <c r="V369" s="1213"/>
      <c r="W369" s="1213"/>
      <c r="X369" s="1213"/>
    </row>
    <row r="370" spans="1:24" s="1194" customFormat="1" ht="0" hidden="1" customHeight="1">
      <c r="A370"/>
      <c r="B370"/>
      <c r="C370"/>
      <c r="D370"/>
      <c r="E370"/>
      <c r="F370"/>
      <c r="L370" s="1221"/>
      <c r="M370" s="1221"/>
      <c r="N370" s="1221"/>
      <c r="O370" s="1221"/>
      <c r="P370" s="1221"/>
      <c r="Q370" s="1213"/>
      <c r="R370" s="1213"/>
      <c r="S370" s="1213"/>
      <c r="T370" s="1213"/>
      <c r="U370" s="1213"/>
      <c r="V370" s="1213"/>
      <c r="W370" s="1213"/>
      <c r="X370" s="1213"/>
    </row>
    <row r="371" spans="1:24" s="1194" customFormat="1" ht="0" hidden="1" customHeight="1">
      <c r="A371"/>
      <c r="B371"/>
      <c r="C371"/>
      <c r="D371"/>
      <c r="E371"/>
      <c r="F371"/>
      <c r="L371" s="1221"/>
      <c r="M371" s="1221"/>
      <c r="N371" s="1221"/>
      <c r="O371" s="1221"/>
      <c r="P371" s="1221"/>
      <c r="Q371" s="1214"/>
      <c r="R371" s="1214"/>
      <c r="S371" s="1214"/>
      <c r="T371" s="1214"/>
      <c r="U371" s="1214"/>
      <c r="V371" s="1214"/>
      <c r="W371" s="1214"/>
      <c r="X371" s="1214"/>
    </row>
    <row r="372" spans="1:24" s="1194" customFormat="1" ht="0" hidden="1" customHeight="1">
      <c r="A372"/>
      <c r="B372"/>
      <c r="C372"/>
      <c r="D372"/>
      <c r="E372"/>
      <c r="F372"/>
      <c r="L372" s="1221"/>
      <c r="M372" s="1221"/>
      <c r="N372" s="1221"/>
      <c r="O372" s="1221"/>
      <c r="P372" s="1221"/>
      <c r="Q372" s="1213"/>
      <c r="R372" s="1213"/>
      <c r="S372" s="1213"/>
      <c r="T372" s="1213"/>
      <c r="U372" s="1213"/>
      <c r="V372" s="1213"/>
      <c r="W372" s="1213"/>
      <c r="X372" s="1213"/>
    </row>
    <row r="373" spans="1:24" s="1194" customFormat="1" ht="0" hidden="1" customHeight="1">
      <c r="A373"/>
      <c r="B373"/>
      <c r="C373"/>
      <c r="D373"/>
      <c r="E373"/>
      <c r="F373"/>
      <c r="L373" s="1221"/>
      <c r="M373" s="1221"/>
      <c r="N373" s="1221"/>
      <c r="O373" s="1221"/>
      <c r="P373" s="1221"/>
      <c r="Q373" s="1213"/>
      <c r="R373" s="1213"/>
      <c r="S373" s="1213"/>
      <c r="T373" s="1213"/>
      <c r="U373" s="1213"/>
      <c r="V373" s="1213"/>
      <c r="W373" s="1213"/>
      <c r="X373" s="1213"/>
    </row>
    <row r="374" spans="1:24" s="1194" customFormat="1" ht="0" hidden="1" customHeight="1">
      <c r="A374"/>
      <c r="B374"/>
      <c r="C374"/>
      <c r="D374"/>
      <c r="E374"/>
      <c r="F374"/>
      <c r="L374" s="1221"/>
      <c r="M374" s="1221"/>
      <c r="N374" s="1221"/>
      <c r="O374" s="1221"/>
      <c r="P374" s="1221"/>
      <c r="Q374" s="1214"/>
      <c r="R374" s="1214"/>
      <c r="S374" s="1214"/>
      <c r="T374" s="1214"/>
      <c r="U374" s="1214"/>
      <c r="V374" s="1214"/>
      <c r="W374" s="1214"/>
      <c r="X374" s="1214"/>
    </row>
    <row r="375" spans="1:24" s="1194" customFormat="1" ht="0" hidden="1" customHeight="1">
      <c r="A375"/>
      <c r="B375"/>
      <c r="C375"/>
      <c r="D375"/>
      <c r="E375"/>
      <c r="F375"/>
      <c r="L375"/>
      <c r="M375"/>
      <c r="N375"/>
      <c r="O375"/>
      <c r="P375"/>
      <c r="Q375"/>
      <c r="R375"/>
      <c r="S375"/>
      <c r="T375"/>
      <c r="U375"/>
      <c r="V375"/>
      <c r="W375"/>
      <c r="X375"/>
    </row>
    <row r="376" spans="1:24" s="1194" customFormat="1" ht="0" hidden="1" customHeight="1">
      <c r="A376"/>
      <c r="B376"/>
      <c r="C376"/>
      <c r="D376"/>
      <c r="E376"/>
      <c r="F376"/>
      <c r="L376" s="1203"/>
      <c r="M376" s="1203"/>
      <c r="N376" s="1203"/>
      <c r="O376" s="1203"/>
      <c r="P376" s="1203"/>
      <c r="Q376" s="1203"/>
      <c r="R376" s="1203"/>
      <c r="S376" s="1203"/>
      <c r="T376" s="1203"/>
      <c r="U376" s="1203"/>
      <c r="V376" s="1203"/>
      <c r="W376" s="1203"/>
      <c r="X376" s="1203"/>
    </row>
    <row r="377" spans="1:24" s="1194" customFormat="1" ht="0" hidden="1" customHeight="1">
      <c r="A377"/>
      <c r="B377"/>
      <c r="C377"/>
      <c r="D377"/>
      <c r="E377"/>
      <c r="F377"/>
      <c r="L377" s="1221"/>
      <c r="M377" s="1221"/>
      <c r="N377" s="1221"/>
      <c r="O377" s="1221"/>
      <c r="P377" s="1221"/>
      <c r="Q377" s="1214"/>
      <c r="R377" s="1214"/>
      <c r="S377" s="1214"/>
      <c r="T377" s="1214"/>
      <c r="U377" s="1214"/>
      <c r="V377" s="1214"/>
      <c r="W377" s="1214"/>
      <c r="X377" s="1214"/>
    </row>
    <row r="378" spans="1:24" s="1194" customFormat="1" ht="0" hidden="1" customHeight="1">
      <c r="A378"/>
      <c r="B378"/>
      <c r="C378"/>
      <c r="D378"/>
      <c r="E378"/>
      <c r="F378"/>
      <c r="L378" s="1221"/>
      <c r="M378" s="1221"/>
      <c r="N378" s="1221"/>
      <c r="O378" s="1221"/>
      <c r="P378" s="1221"/>
      <c r="Q378" s="1214"/>
      <c r="R378" s="1214"/>
      <c r="S378" s="1214"/>
      <c r="T378" s="1214"/>
      <c r="U378" s="1214"/>
      <c r="V378" s="1214"/>
      <c r="W378" s="1214"/>
      <c r="X378" s="1214"/>
    </row>
    <row r="379" spans="1:24" s="1194" customFormat="1" ht="0" hidden="1" customHeight="1">
      <c r="A379"/>
      <c r="B379"/>
      <c r="C379"/>
      <c r="D379"/>
      <c r="E379"/>
      <c r="F379"/>
      <c r="L379" s="1221"/>
      <c r="M379" s="1221"/>
      <c r="N379" s="1221"/>
      <c r="O379" s="1221"/>
      <c r="P379" s="1221"/>
      <c r="Q379" s="1214"/>
      <c r="R379" s="1214"/>
      <c r="S379" s="1214"/>
      <c r="T379" s="1214"/>
      <c r="U379" s="1214"/>
      <c r="V379" s="1214"/>
      <c r="W379" s="1214"/>
      <c r="X379" s="1214"/>
    </row>
    <row r="380" spans="1:24" s="1194" customFormat="1" ht="0" hidden="1" customHeight="1">
      <c r="A380"/>
      <c r="B380"/>
      <c r="C380"/>
      <c r="D380"/>
      <c r="E380"/>
      <c r="F380"/>
      <c r="L380" s="1221"/>
      <c r="M380" s="1221"/>
      <c r="N380" s="1221"/>
      <c r="O380" s="1221"/>
      <c r="P380" s="1221"/>
      <c r="Q380" s="1214"/>
      <c r="R380" s="1214"/>
      <c r="S380" s="1214"/>
      <c r="T380" s="1214"/>
      <c r="U380" s="1214"/>
      <c r="V380" s="1214"/>
      <c r="W380" s="1214"/>
      <c r="X380" s="1214"/>
    </row>
    <row r="381" spans="1:24" s="1194" customFormat="1" ht="0" hidden="1" customHeight="1">
      <c r="A381"/>
      <c r="B381"/>
      <c r="C381"/>
      <c r="D381"/>
      <c r="E381"/>
      <c r="F381"/>
      <c r="L381" s="1221"/>
      <c r="M381" s="1221"/>
      <c r="N381" s="1221"/>
      <c r="O381" s="1221"/>
      <c r="P381" s="1221"/>
      <c r="Q381" s="1214"/>
      <c r="R381" s="1214"/>
      <c r="S381" s="1214"/>
      <c r="T381" s="1214"/>
      <c r="U381" s="1214"/>
      <c r="V381" s="1214"/>
      <c r="W381" s="1214"/>
      <c r="X381" s="1214"/>
    </row>
    <row r="382" spans="1:24" s="1194" customFormat="1" ht="0" hidden="1" customHeight="1">
      <c r="A382"/>
      <c r="B382"/>
      <c r="C382"/>
      <c r="D382"/>
      <c r="E382"/>
      <c r="F382"/>
      <c r="L382" s="1221"/>
      <c r="M382" s="1221"/>
      <c r="N382" s="1221"/>
      <c r="O382" s="1221"/>
      <c r="P382" s="1221"/>
      <c r="Q382" s="1214"/>
      <c r="R382" s="1214"/>
      <c r="S382" s="1214"/>
      <c r="T382" s="1214"/>
      <c r="U382" s="1214"/>
      <c r="V382" s="1214"/>
      <c r="W382" s="1214"/>
      <c r="X382" s="1214"/>
    </row>
    <row r="383" spans="1:24" s="1194" customFormat="1" ht="0" hidden="1" customHeight="1">
      <c r="A383"/>
      <c r="B383"/>
      <c r="C383"/>
      <c r="D383"/>
      <c r="E383"/>
      <c r="F383"/>
    </row>
    <row r="384" spans="1:24" s="1194" customFormat="1" ht="0" hidden="1" customHeight="1">
      <c r="A384"/>
      <c r="B384"/>
      <c r="C384"/>
      <c r="D384"/>
      <c r="E384"/>
      <c r="F384"/>
      <c r="L384" s="1203"/>
      <c r="M384" s="1203"/>
      <c r="N384" s="1203"/>
      <c r="O384" s="1203"/>
      <c r="P384" s="1203"/>
      <c r="Q384" s="1203"/>
      <c r="R384" s="1203"/>
      <c r="S384" s="1203"/>
      <c r="T384" s="1203"/>
      <c r="U384" s="1203"/>
      <c r="V384" s="1203"/>
      <c r="W384" s="1203"/>
      <c r="X384" s="1203"/>
    </row>
    <row r="385" spans="1:24" s="1194" customFormat="1" ht="0" hidden="1" customHeight="1">
      <c r="A385"/>
      <c r="B385"/>
      <c r="C385"/>
      <c r="D385"/>
      <c r="E385"/>
      <c r="F385"/>
      <c r="L385" s="1221"/>
      <c r="M385" s="1221"/>
      <c r="N385" s="1221"/>
      <c r="O385" s="1221"/>
      <c r="P385" s="1221"/>
      <c r="Q385" s="1214"/>
      <c r="R385" s="1214"/>
      <c r="S385" s="1214"/>
      <c r="T385" s="1214"/>
      <c r="U385" s="1214"/>
      <c r="V385" s="1214"/>
      <c r="W385" s="1214"/>
      <c r="X385" s="1214"/>
    </row>
    <row r="386" spans="1:24" s="1194" customFormat="1" ht="0" hidden="1" customHeight="1">
      <c r="A386"/>
      <c r="B386"/>
      <c r="C386"/>
      <c r="D386"/>
      <c r="E386"/>
      <c r="F386"/>
      <c r="L386" s="1221"/>
      <c r="M386" s="1221"/>
      <c r="N386" s="1221"/>
      <c r="O386" s="1221"/>
      <c r="P386" s="1221"/>
      <c r="Q386" s="1214"/>
      <c r="R386" s="1214"/>
      <c r="S386" s="1214"/>
      <c r="T386" s="1214"/>
      <c r="U386" s="1214"/>
      <c r="V386" s="1214"/>
      <c r="W386" s="1214"/>
      <c r="X386" s="1214"/>
    </row>
    <row r="387" spans="1:24" s="1194" customFormat="1" ht="0" hidden="1" customHeight="1">
      <c r="A387"/>
      <c r="B387"/>
      <c r="C387"/>
      <c r="D387"/>
      <c r="E387"/>
      <c r="F387"/>
      <c r="L387" s="1221"/>
      <c r="M387" s="1221"/>
      <c r="N387" s="1221"/>
      <c r="O387" s="1221"/>
      <c r="P387" s="1221"/>
      <c r="Q387" s="1214"/>
      <c r="R387" s="1214"/>
      <c r="S387" s="1214"/>
      <c r="T387" s="1214"/>
      <c r="U387" s="1214"/>
      <c r="V387" s="1214"/>
      <c r="W387" s="1214"/>
      <c r="X387" s="1214"/>
    </row>
    <row r="388" spans="1:24" s="1194" customFormat="1" ht="0" hidden="1" customHeight="1">
      <c r="A388"/>
      <c r="B388"/>
      <c r="C388"/>
      <c r="D388"/>
      <c r="E388"/>
      <c r="F388"/>
      <c r="L388" s="1221"/>
      <c r="M388" s="1221"/>
      <c r="N388" s="1221"/>
      <c r="O388" s="1221"/>
      <c r="P388" s="1221"/>
      <c r="Q388" s="1214"/>
      <c r="R388" s="1214"/>
      <c r="S388" s="1214"/>
      <c r="T388" s="1214"/>
      <c r="U388" s="1214"/>
      <c r="V388" s="1214"/>
      <c r="W388" s="1214"/>
      <c r="X388" s="1214"/>
    </row>
    <row r="389" spans="1:24" s="1194" customFormat="1" ht="0" hidden="1" customHeight="1">
      <c r="A389"/>
      <c r="B389"/>
      <c r="C389"/>
      <c r="D389"/>
      <c r="E389"/>
      <c r="F389"/>
      <c r="L389" s="1221"/>
      <c r="M389" s="1221"/>
      <c r="N389" s="1221"/>
      <c r="O389" s="1221"/>
      <c r="P389" s="1221"/>
      <c r="Q389" s="1214"/>
      <c r="R389" s="1214"/>
      <c r="S389" s="1214"/>
      <c r="T389" s="1214"/>
      <c r="U389" s="1214"/>
      <c r="V389" s="1214"/>
      <c r="W389" s="1214"/>
      <c r="X389" s="1214"/>
    </row>
    <row r="390" spans="1:24" s="1194" customFormat="1" ht="0" hidden="1" customHeight="1">
      <c r="A390"/>
      <c r="B390"/>
      <c r="C390"/>
      <c r="D390"/>
      <c r="E390"/>
      <c r="F390"/>
      <c r="L390" s="1221"/>
      <c r="M390" s="1221"/>
      <c r="N390" s="1221"/>
      <c r="O390" s="1221"/>
      <c r="P390" s="1221"/>
      <c r="Q390" s="1214"/>
      <c r="R390" s="1214"/>
      <c r="S390" s="1214"/>
      <c r="T390" s="1214"/>
      <c r="U390" s="1214"/>
      <c r="V390" s="1214"/>
      <c r="W390" s="1214"/>
      <c r="X390" s="1214"/>
    </row>
  </sheetData>
  <pageMargins left="0.70866141732283472" right="0.70866141732283472" top="0.74803149606299213" bottom="0.74803149606299213" header="0.31496062992125984" footer="0.31496062992125984"/>
  <pageSetup paperSize="9" scale="25" orientation="landscape" r:id="rId1"/>
  <headerFooter>
    <oddFooter>&amp;L&amp;D&amp;R&amp;F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X95"/>
  <sheetViews>
    <sheetView topLeftCell="F2" zoomScale="80" zoomScaleNormal="80" workbookViewId="0">
      <selection activeCell="I137" sqref="I137"/>
    </sheetView>
  </sheetViews>
  <sheetFormatPr defaultColWidth="0" defaultRowHeight="12.75" zeroHeight="1"/>
  <cols>
    <col min="1" max="1" width="20" hidden="1" customWidth="1"/>
    <col min="2" max="2" width="26.5" hidden="1" customWidth="1"/>
    <col min="3" max="3" width="9" hidden="1" customWidth="1"/>
    <col min="4" max="4" width="12" hidden="1" customWidth="1"/>
    <col min="5" max="5" width="16.375" hidden="1" customWidth="1"/>
    <col min="6" max="7" width="2" customWidth="1"/>
    <col min="8" max="8" width="1.75" customWidth="1"/>
    <col min="9" max="9" width="80.75" customWidth="1"/>
    <col min="10" max="10" width="10.875" customWidth="1"/>
    <col min="11" max="13" width="9" customWidth="1"/>
    <col min="14" max="14" width="10.5" customWidth="1"/>
    <col min="15" max="16" width="9" customWidth="1"/>
    <col min="17" max="17" width="13" customWidth="1"/>
    <col min="18" max="18" width="9" customWidth="1"/>
    <col min="19" max="19" width="19.25" customWidth="1"/>
    <col min="20" max="20" width="10.125" bestFit="1" customWidth="1"/>
    <col min="21" max="21" width="23.25" customWidth="1"/>
    <col min="22" max="22" width="18.75" customWidth="1"/>
    <col min="23" max="23" width="13.75" customWidth="1"/>
    <col min="24" max="24" width="2.625" customWidth="1"/>
    <col min="25" max="16384" width="9" hidden="1"/>
  </cols>
  <sheetData>
    <row r="1" spans="1:24" hidden="1">
      <c r="A1" s="1155" t="s">
        <v>362</v>
      </c>
      <c r="B1" s="1155" t="s">
        <v>363</v>
      </c>
      <c r="C1" s="1155" t="s">
        <v>364</v>
      </c>
      <c r="D1" s="1193" t="s">
        <v>365</v>
      </c>
      <c r="E1" s="1193" t="s">
        <v>487</v>
      </c>
      <c r="F1" s="1194"/>
      <c r="G1" s="1194"/>
      <c r="H1" s="1194"/>
      <c r="I1" s="1194"/>
      <c r="J1" s="1194"/>
      <c r="K1" s="1194"/>
      <c r="L1" s="1194"/>
      <c r="M1" s="1194"/>
      <c r="N1" s="1194"/>
      <c r="O1" s="1194"/>
      <c r="P1" s="1194"/>
      <c r="Q1" s="1194"/>
      <c r="R1" s="1194"/>
      <c r="S1" s="1194"/>
      <c r="T1" s="1194"/>
      <c r="U1" s="1194"/>
      <c r="V1" s="1194"/>
      <c r="W1" s="1194"/>
    </row>
    <row r="2" spans="1:24" ht="26.25">
      <c r="A2" s="1156" t="s">
        <v>1638</v>
      </c>
      <c r="B2" s="1223" t="s">
        <v>1639</v>
      </c>
      <c r="C2" s="1156" t="s">
        <v>367</v>
      </c>
      <c r="D2" s="1195"/>
      <c r="E2" s="1195"/>
      <c r="F2" s="1" t="s">
        <v>0</v>
      </c>
      <c r="G2" s="1196"/>
      <c r="H2" s="1197"/>
      <c r="I2" s="1198"/>
      <c r="J2" s="1198"/>
      <c r="K2" s="1198"/>
      <c r="L2" s="1198"/>
      <c r="M2" s="1198"/>
      <c r="N2" s="1198"/>
      <c r="O2" s="1198"/>
      <c r="P2" s="1198"/>
      <c r="Q2" s="1198"/>
      <c r="R2" s="1198"/>
      <c r="S2" s="1198"/>
      <c r="T2" s="1198"/>
      <c r="U2" s="1198"/>
      <c r="V2" s="1198"/>
      <c r="W2" s="1198"/>
      <c r="X2" s="1198"/>
    </row>
    <row r="3" spans="1:24" ht="26.25">
      <c r="A3" s="1156" t="s">
        <v>1638</v>
      </c>
      <c r="B3" s="1223" t="s">
        <v>1639</v>
      </c>
      <c r="C3" s="1156" t="s">
        <v>367</v>
      </c>
      <c r="D3" s="1156"/>
      <c r="E3" s="1156"/>
      <c r="F3" s="5" t="s">
        <v>6</v>
      </c>
      <c r="G3" s="1199"/>
      <c r="H3" s="1200"/>
      <c r="I3" s="1198"/>
      <c r="J3" s="1198"/>
      <c r="K3" s="1198"/>
      <c r="L3" s="1198"/>
      <c r="M3" s="1198"/>
      <c r="N3" s="1198"/>
      <c r="O3" s="1198"/>
      <c r="P3" s="1198"/>
      <c r="Q3" s="1198"/>
      <c r="R3" s="1198"/>
      <c r="S3" s="1198"/>
      <c r="T3" s="1198"/>
      <c r="U3" s="1198"/>
      <c r="V3" s="1198"/>
      <c r="W3" s="1198"/>
      <c r="X3" s="1198"/>
    </row>
    <row r="4" spans="1:24" s="1314" customFormat="1" ht="27" thickBot="1">
      <c r="A4" s="1156" t="s">
        <v>1638</v>
      </c>
      <c r="B4" s="1324" t="s">
        <v>1639</v>
      </c>
      <c r="C4" s="1311" t="s">
        <v>367</v>
      </c>
      <c r="D4" s="1311"/>
      <c r="E4" s="1311"/>
      <c r="F4" s="1312" t="s">
        <v>2</v>
      </c>
      <c r="G4" s="1317"/>
      <c r="H4" s="1318"/>
      <c r="I4" s="1319"/>
      <c r="J4" s="1319"/>
      <c r="K4" s="1319"/>
      <c r="L4" s="1319"/>
      <c r="M4" s="1319"/>
      <c r="N4" s="1319"/>
      <c r="O4" s="1319"/>
      <c r="P4" s="1319"/>
      <c r="Q4" s="1319"/>
      <c r="R4" s="1319"/>
      <c r="S4" s="1319"/>
      <c r="T4" s="1319"/>
      <c r="U4" s="1319"/>
      <c r="V4" s="1319"/>
      <c r="W4" s="1319"/>
      <c r="X4" s="1319"/>
    </row>
    <row r="5" spans="1:24" ht="13.5" thickTop="1">
      <c r="A5" s="1156" t="s">
        <v>1638</v>
      </c>
      <c r="B5" s="1323" t="s">
        <v>1639</v>
      </c>
      <c r="C5" s="1310" t="s">
        <v>367</v>
      </c>
      <c r="D5" s="1310"/>
      <c r="E5" s="1310"/>
      <c r="F5" s="1202" t="s">
        <v>490</v>
      </c>
      <c r="G5" s="1204"/>
      <c r="H5" s="1204"/>
      <c r="J5" s="1160"/>
      <c r="K5" s="1160"/>
      <c r="L5" s="1160"/>
      <c r="N5" s="1160"/>
      <c r="O5" s="1160"/>
      <c r="P5" s="1160"/>
      <c r="Q5" s="1160"/>
      <c r="R5" s="1160"/>
      <c r="S5" s="1160"/>
      <c r="T5" s="1160"/>
      <c r="U5" s="1160"/>
      <c r="V5" s="1160"/>
      <c r="W5" s="1160"/>
    </row>
    <row r="6" spans="1:24" hidden="1">
      <c r="A6" s="1156" t="s">
        <v>1638</v>
      </c>
      <c r="B6" s="1223" t="s">
        <v>1639</v>
      </c>
      <c r="C6" s="1156" t="s">
        <v>370</v>
      </c>
      <c r="D6" s="1156"/>
      <c r="E6" s="1156"/>
      <c r="F6" s="1156" t="s">
        <v>367</v>
      </c>
      <c r="G6" s="1156" t="s">
        <v>367</v>
      </c>
      <c r="H6" s="1156" t="s">
        <v>367</v>
      </c>
      <c r="I6" s="1156" t="s">
        <v>371</v>
      </c>
      <c r="J6" s="1156" t="s">
        <v>371</v>
      </c>
      <c r="K6" s="1156" t="s">
        <v>371</v>
      </c>
      <c r="L6" s="1156" t="s">
        <v>371</v>
      </c>
      <c r="M6" s="1156" t="s">
        <v>371</v>
      </c>
      <c r="N6" s="1156" t="s">
        <v>371</v>
      </c>
      <c r="O6" s="1156" t="s">
        <v>371</v>
      </c>
      <c r="P6" s="1156" t="s">
        <v>371</v>
      </c>
      <c r="Q6" s="1156" t="s">
        <v>371</v>
      </c>
      <c r="R6" s="1156" t="s">
        <v>371</v>
      </c>
      <c r="S6" s="1156" t="s">
        <v>371</v>
      </c>
      <c r="T6" s="1156" t="s">
        <v>371</v>
      </c>
      <c r="U6" s="1156" t="s">
        <v>371</v>
      </c>
      <c r="V6" s="1156" t="s">
        <v>371</v>
      </c>
      <c r="W6" s="1156" t="s">
        <v>371</v>
      </c>
    </row>
    <row r="7" spans="1:24" ht="15" thickBot="1">
      <c r="A7" s="1156" t="s">
        <v>1638</v>
      </c>
      <c r="B7" s="1223" t="s">
        <v>1639</v>
      </c>
      <c r="C7" s="1156" t="s">
        <v>367</v>
      </c>
      <c r="D7" s="1156"/>
      <c r="E7" s="1156"/>
      <c r="F7" s="20"/>
      <c r="G7" s="20"/>
      <c r="H7" s="20"/>
      <c r="I7" s="1212"/>
      <c r="J7" s="20"/>
      <c r="K7" s="20"/>
      <c r="L7" s="20"/>
      <c r="M7" s="20"/>
      <c r="N7" s="20"/>
      <c r="O7" s="20"/>
      <c r="P7" s="20"/>
      <c r="Q7" s="20"/>
      <c r="R7" s="20"/>
      <c r="S7" s="20"/>
      <c r="T7" s="20"/>
      <c r="U7" s="20"/>
      <c r="V7" s="20"/>
      <c r="W7" s="20"/>
    </row>
    <row r="8" spans="1:24" ht="71.25">
      <c r="A8" s="1156" t="s">
        <v>1638</v>
      </c>
      <c r="B8" s="1223" t="s">
        <v>1639</v>
      </c>
      <c r="C8" s="1156" t="s">
        <v>1640</v>
      </c>
      <c r="D8" s="1156"/>
      <c r="E8" s="1156"/>
      <c r="F8" s="20"/>
      <c r="G8" s="20"/>
      <c r="H8" s="20"/>
      <c r="I8" s="3010" t="s">
        <v>1641</v>
      </c>
      <c r="J8" s="1224" t="s">
        <v>1642</v>
      </c>
      <c r="K8" s="1224" t="s">
        <v>1596</v>
      </c>
      <c r="L8" s="1224" t="s">
        <v>1598</v>
      </c>
      <c r="M8" s="1224" t="s">
        <v>1600</v>
      </c>
      <c r="N8" s="1224" t="s">
        <v>1602</v>
      </c>
      <c r="O8" s="1224" t="s">
        <v>1643</v>
      </c>
      <c r="P8" s="1224" t="s">
        <v>1644</v>
      </c>
      <c r="Q8" s="1224" t="s">
        <v>1645</v>
      </c>
      <c r="R8" s="1225" t="s">
        <v>1606</v>
      </c>
      <c r="S8" s="1224" t="s">
        <v>1646</v>
      </c>
      <c r="T8" s="1224" t="s">
        <v>1647</v>
      </c>
      <c r="U8" s="1226" t="s">
        <v>1648</v>
      </c>
      <c r="V8" s="1226" t="s">
        <v>1649</v>
      </c>
      <c r="W8" s="1227" t="s">
        <v>1650</v>
      </c>
    </row>
    <row r="9" spans="1:24" ht="14.25">
      <c r="A9" s="1156" t="s">
        <v>1638</v>
      </c>
      <c r="B9" s="1223" t="s">
        <v>1639</v>
      </c>
      <c r="C9" s="1156" t="s">
        <v>492</v>
      </c>
      <c r="D9" s="1156"/>
      <c r="E9" s="1156"/>
      <c r="F9" s="20"/>
      <c r="G9" s="20"/>
      <c r="H9" s="20"/>
      <c r="I9" s="3011"/>
      <c r="J9" s="1228"/>
      <c r="K9" s="1228" t="s">
        <v>498</v>
      </c>
      <c r="L9" s="1228" t="s">
        <v>498</v>
      </c>
      <c r="M9" s="1228" t="s">
        <v>498</v>
      </c>
      <c r="N9" s="1228" t="s">
        <v>498</v>
      </c>
      <c r="O9" s="1228" t="s">
        <v>498</v>
      </c>
      <c r="P9" s="1228" t="s">
        <v>498</v>
      </c>
      <c r="Q9" s="1228" t="s">
        <v>498</v>
      </c>
      <c r="R9" s="1228" t="s">
        <v>498</v>
      </c>
      <c r="S9" s="1229"/>
      <c r="T9" s="1229"/>
      <c r="U9" s="1229"/>
      <c r="V9" s="1229"/>
      <c r="W9" s="1230"/>
    </row>
    <row r="10" spans="1:24" ht="15">
      <c r="A10" s="1156" t="s">
        <v>1638</v>
      </c>
      <c r="B10" s="1223" t="s">
        <v>1639</v>
      </c>
      <c r="C10" s="1156"/>
      <c r="D10" s="1195"/>
      <c r="E10" s="1195" t="s">
        <v>496</v>
      </c>
      <c r="F10" s="20"/>
      <c r="G10" s="20"/>
      <c r="H10" s="20"/>
      <c r="I10" s="1162" t="s">
        <v>1651</v>
      </c>
      <c r="J10" s="1162" t="s">
        <v>459</v>
      </c>
      <c r="K10" s="1231"/>
      <c r="L10" s="1231"/>
      <c r="M10" s="1214" t="s">
        <v>1652</v>
      </c>
      <c r="N10" s="1214" t="s">
        <v>1652</v>
      </c>
      <c r="O10" s="1231"/>
      <c r="P10" s="1231"/>
      <c r="Q10" s="1231"/>
      <c r="R10" s="1214" t="s">
        <v>1652</v>
      </c>
      <c r="S10" s="1162" t="s">
        <v>1653</v>
      </c>
      <c r="T10" s="2672">
        <v>42535</v>
      </c>
      <c r="U10" s="1162" t="s">
        <v>1654</v>
      </c>
      <c r="V10" s="1162" t="s">
        <v>1655</v>
      </c>
      <c r="W10" s="1231" t="s">
        <v>1655</v>
      </c>
    </row>
    <row r="11" spans="1:24" ht="15">
      <c r="A11" s="1156" t="s">
        <v>1638</v>
      </c>
      <c r="B11" s="1223" t="s">
        <v>1639</v>
      </c>
      <c r="C11" s="1156"/>
      <c r="D11" s="1195"/>
      <c r="E11" s="1195" t="s">
        <v>496</v>
      </c>
      <c r="F11" s="20"/>
      <c r="G11" s="20"/>
      <c r="H11" s="20"/>
      <c r="I11" s="1162" t="s">
        <v>1656</v>
      </c>
      <c r="J11" s="1162" t="s">
        <v>461</v>
      </c>
      <c r="K11" s="1231"/>
      <c r="L11" s="1231"/>
      <c r="M11" s="1214" t="s">
        <v>1652</v>
      </c>
      <c r="N11" s="1214">
        <v>0.1</v>
      </c>
      <c r="O11" s="1231"/>
      <c r="P11" s="1231"/>
      <c r="Q11" s="1231"/>
      <c r="R11" s="1214">
        <v>0.1</v>
      </c>
      <c r="S11" s="1162" t="s">
        <v>1657</v>
      </c>
      <c r="T11" s="1325">
        <v>42736</v>
      </c>
      <c r="U11" s="1162" t="s">
        <v>1654</v>
      </c>
      <c r="V11" s="1162" t="s">
        <v>1658</v>
      </c>
      <c r="W11" s="1231" t="s">
        <v>1655</v>
      </c>
    </row>
    <row r="12" spans="1:24" ht="15">
      <c r="A12" s="1156" t="s">
        <v>1638</v>
      </c>
      <c r="B12" s="1223" t="s">
        <v>1639</v>
      </c>
      <c r="C12" s="1156"/>
      <c r="D12" s="1195"/>
      <c r="E12" s="1195" t="s">
        <v>496</v>
      </c>
      <c r="F12" s="20"/>
      <c r="G12" s="20"/>
      <c r="H12" s="20"/>
      <c r="I12" s="1162" t="s">
        <v>1656</v>
      </c>
      <c r="J12" s="1162" t="s">
        <v>463</v>
      </c>
      <c r="K12" s="1231"/>
      <c r="L12" s="1231"/>
      <c r="M12" s="1214" t="s">
        <v>1652</v>
      </c>
      <c r="N12" s="1214">
        <v>0.1</v>
      </c>
      <c r="O12" s="1231"/>
      <c r="P12" s="1231"/>
      <c r="Q12" s="1231"/>
      <c r="R12" s="1214">
        <v>0.1</v>
      </c>
      <c r="S12" s="1162" t="s">
        <v>1657</v>
      </c>
      <c r="T12" s="2672">
        <v>42736</v>
      </c>
      <c r="U12" s="1162" t="s">
        <v>1654</v>
      </c>
      <c r="V12" s="1162" t="s">
        <v>1658</v>
      </c>
      <c r="W12" s="1231" t="s">
        <v>1655</v>
      </c>
    </row>
    <row r="13" spans="1:24" ht="15">
      <c r="A13" s="1156" t="s">
        <v>1638</v>
      </c>
      <c r="B13" s="1223" t="s">
        <v>1639</v>
      </c>
      <c r="C13" s="1156"/>
      <c r="D13" s="1195"/>
      <c r="E13" s="1195" t="s">
        <v>496</v>
      </c>
      <c r="F13" s="20"/>
      <c r="G13" s="20"/>
      <c r="H13" s="20"/>
      <c r="I13" s="1162" t="s">
        <v>1659</v>
      </c>
      <c r="J13" s="1162" t="s">
        <v>457</v>
      </c>
      <c r="K13" s="1231"/>
      <c r="L13" s="1231"/>
      <c r="M13" s="1214" t="s">
        <v>1652</v>
      </c>
      <c r="N13" s="1214">
        <v>0.2</v>
      </c>
      <c r="O13" s="1231">
        <v>0.2</v>
      </c>
      <c r="P13" s="1231"/>
      <c r="Q13" s="1231"/>
      <c r="R13" s="1214">
        <v>0.2</v>
      </c>
      <c r="S13" s="1162"/>
      <c r="T13" s="2672">
        <v>42248</v>
      </c>
      <c r="U13" s="1162" t="s">
        <v>1654</v>
      </c>
      <c r="V13" s="1162" t="s">
        <v>1660</v>
      </c>
      <c r="W13" s="1231" t="s">
        <v>1655</v>
      </c>
    </row>
    <row r="14" spans="1:24" ht="15">
      <c r="A14" s="1156" t="s">
        <v>1638</v>
      </c>
      <c r="B14" s="1223" t="s">
        <v>1639</v>
      </c>
      <c r="C14" s="1156"/>
      <c r="D14" s="1195"/>
      <c r="E14" s="1195" t="s">
        <v>496</v>
      </c>
      <c r="F14" s="20"/>
      <c r="G14" s="20"/>
      <c r="H14" s="20"/>
      <c r="I14" s="1162" t="s">
        <v>1635</v>
      </c>
      <c r="J14" s="1162" t="s">
        <v>1661</v>
      </c>
      <c r="K14" s="1231"/>
      <c r="L14" s="1231"/>
      <c r="M14" s="1214">
        <f t="shared" ref="M14:M73" si="0">K14-L14</f>
        <v>0</v>
      </c>
      <c r="N14" s="1214">
        <f t="shared" ref="N14:N73" si="1">O14-P14-Q14</f>
        <v>0</v>
      </c>
      <c r="O14" s="1231"/>
      <c r="P14" s="1231"/>
      <c r="Q14" s="1231"/>
      <c r="R14" s="1214">
        <f t="shared" ref="R14:R73" si="2">N14-M14</f>
        <v>0</v>
      </c>
      <c r="S14" s="1162"/>
      <c r="T14" s="1162"/>
      <c r="U14" s="1162" t="s">
        <v>1636</v>
      </c>
      <c r="V14" s="1162" t="s">
        <v>1637</v>
      </c>
      <c r="W14" s="1231"/>
    </row>
    <row r="15" spans="1:24" ht="15">
      <c r="A15" s="1156" t="s">
        <v>1638</v>
      </c>
      <c r="B15" s="1223" t="s">
        <v>1639</v>
      </c>
      <c r="C15" s="1156"/>
      <c r="D15" s="1195"/>
      <c r="E15" s="1195" t="s">
        <v>496</v>
      </c>
      <c r="F15" s="20"/>
      <c r="G15" s="20"/>
      <c r="H15" s="20"/>
      <c r="I15" s="1162" t="s">
        <v>1635</v>
      </c>
      <c r="J15" s="1162" t="s">
        <v>1661</v>
      </c>
      <c r="K15" s="1231"/>
      <c r="L15" s="1231"/>
      <c r="M15" s="1214">
        <f t="shared" si="0"/>
        <v>0</v>
      </c>
      <c r="N15" s="1214">
        <f t="shared" si="1"/>
        <v>0</v>
      </c>
      <c r="O15" s="1231"/>
      <c r="P15" s="1231"/>
      <c r="Q15" s="1231"/>
      <c r="R15" s="1214">
        <f t="shared" si="2"/>
        <v>0</v>
      </c>
      <c r="S15" s="1162"/>
      <c r="T15" s="1162"/>
      <c r="U15" s="1162" t="s">
        <v>1636</v>
      </c>
      <c r="V15" s="1162" t="s">
        <v>1637</v>
      </c>
      <c r="W15" s="1231"/>
    </row>
    <row r="16" spans="1:24" ht="15">
      <c r="A16" s="1156" t="s">
        <v>1638</v>
      </c>
      <c r="B16" s="1223" t="s">
        <v>1639</v>
      </c>
      <c r="C16" s="1156"/>
      <c r="D16" s="1195"/>
      <c r="E16" s="1195" t="s">
        <v>496</v>
      </c>
      <c r="F16" s="20"/>
      <c r="G16" s="20"/>
      <c r="H16" s="20"/>
      <c r="I16" s="1162" t="s">
        <v>1635</v>
      </c>
      <c r="J16" s="1162" t="s">
        <v>1661</v>
      </c>
      <c r="K16" s="1231"/>
      <c r="L16" s="1231"/>
      <c r="M16" s="1214">
        <f t="shared" si="0"/>
        <v>0</v>
      </c>
      <c r="N16" s="1214">
        <f t="shared" si="1"/>
        <v>0</v>
      </c>
      <c r="O16" s="1231"/>
      <c r="P16" s="1231"/>
      <c r="Q16" s="1231"/>
      <c r="R16" s="1214">
        <f t="shared" si="2"/>
        <v>0</v>
      </c>
      <c r="S16" s="1162"/>
      <c r="T16" s="1162"/>
      <c r="U16" s="1162" t="s">
        <v>1636</v>
      </c>
      <c r="V16" s="1162" t="s">
        <v>1637</v>
      </c>
      <c r="W16" s="1231"/>
    </row>
    <row r="17" spans="1:23" ht="15">
      <c r="A17" s="1156" t="s">
        <v>1638</v>
      </c>
      <c r="B17" s="1223" t="s">
        <v>1639</v>
      </c>
      <c r="C17" s="1156"/>
      <c r="D17" s="1195"/>
      <c r="E17" s="1195" t="s">
        <v>496</v>
      </c>
      <c r="F17" s="20"/>
      <c r="G17" s="20"/>
      <c r="H17" s="20"/>
      <c r="I17" s="1162" t="s">
        <v>1635</v>
      </c>
      <c r="J17" s="1162" t="s">
        <v>1661</v>
      </c>
      <c r="K17" s="1231"/>
      <c r="L17" s="1231"/>
      <c r="M17" s="1214">
        <f t="shared" si="0"/>
        <v>0</v>
      </c>
      <c r="N17" s="1214">
        <f t="shared" si="1"/>
        <v>0</v>
      </c>
      <c r="O17" s="1231"/>
      <c r="P17" s="1231"/>
      <c r="Q17" s="1231"/>
      <c r="R17" s="1214">
        <f t="shared" si="2"/>
        <v>0</v>
      </c>
      <c r="S17" s="1162"/>
      <c r="T17" s="1162"/>
      <c r="U17" s="1162" t="s">
        <v>1636</v>
      </c>
      <c r="V17" s="1162" t="s">
        <v>1637</v>
      </c>
      <c r="W17" s="1231"/>
    </row>
    <row r="18" spans="1:23" ht="15">
      <c r="A18" s="1156" t="s">
        <v>1638</v>
      </c>
      <c r="B18" s="1223" t="s">
        <v>1639</v>
      </c>
      <c r="C18" s="1156"/>
      <c r="D18" s="1195"/>
      <c r="E18" s="1195" t="s">
        <v>496</v>
      </c>
      <c r="F18" s="20"/>
      <c r="G18" s="20"/>
      <c r="H18" s="20"/>
      <c r="I18" s="1162" t="s">
        <v>1635</v>
      </c>
      <c r="J18" s="1162" t="s">
        <v>1661</v>
      </c>
      <c r="K18" s="1231"/>
      <c r="L18" s="1231"/>
      <c r="M18" s="1214">
        <f t="shared" si="0"/>
        <v>0</v>
      </c>
      <c r="N18" s="1214">
        <f t="shared" si="1"/>
        <v>0</v>
      </c>
      <c r="O18" s="1231"/>
      <c r="P18" s="1231"/>
      <c r="Q18" s="1231"/>
      <c r="R18" s="1214">
        <f t="shared" si="2"/>
        <v>0</v>
      </c>
      <c r="S18" s="1162"/>
      <c r="T18" s="1162"/>
      <c r="U18" s="1162" t="s">
        <v>1636</v>
      </c>
      <c r="V18" s="1162" t="s">
        <v>1637</v>
      </c>
      <c r="W18" s="1231"/>
    </row>
    <row r="19" spans="1:23" ht="15">
      <c r="A19" s="1156" t="s">
        <v>1638</v>
      </c>
      <c r="B19" s="1223" t="s">
        <v>1639</v>
      </c>
      <c r="C19" s="1156"/>
      <c r="D19" s="1195"/>
      <c r="E19" s="1195" t="s">
        <v>496</v>
      </c>
      <c r="F19" s="20"/>
      <c r="G19" s="20"/>
      <c r="H19" s="20"/>
      <c r="I19" s="1162" t="s">
        <v>1635</v>
      </c>
      <c r="J19" s="1162" t="s">
        <v>1661</v>
      </c>
      <c r="K19" s="1231"/>
      <c r="L19" s="1231"/>
      <c r="M19" s="1214">
        <f t="shared" si="0"/>
        <v>0</v>
      </c>
      <c r="N19" s="1214">
        <f t="shared" si="1"/>
        <v>0</v>
      </c>
      <c r="O19" s="1231"/>
      <c r="P19" s="1231"/>
      <c r="Q19" s="1231"/>
      <c r="R19" s="1214">
        <f t="shared" si="2"/>
        <v>0</v>
      </c>
      <c r="S19" s="1162"/>
      <c r="T19" s="1162"/>
      <c r="U19" s="1162" t="s">
        <v>1636</v>
      </c>
      <c r="V19" s="1162" t="s">
        <v>1637</v>
      </c>
      <c r="W19" s="1231"/>
    </row>
    <row r="20" spans="1:23" ht="15">
      <c r="A20" s="1156" t="s">
        <v>1638</v>
      </c>
      <c r="B20" s="1223" t="s">
        <v>1639</v>
      </c>
      <c r="C20" s="1156"/>
      <c r="D20" s="1195"/>
      <c r="E20" s="1195" t="s">
        <v>496</v>
      </c>
      <c r="F20" s="20"/>
      <c r="G20" s="20"/>
      <c r="H20" s="20"/>
      <c r="I20" s="1162" t="s">
        <v>1635</v>
      </c>
      <c r="J20" s="1162" t="s">
        <v>1661</v>
      </c>
      <c r="K20" s="1231"/>
      <c r="L20" s="1231"/>
      <c r="M20" s="1214">
        <f t="shared" si="0"/>
        <v>0</v>
      </c>
      <c r="N20" s="1214">
        <f t="shared" si="1"/>
        <v>0</v>
      </c>
      <c r="O20" s="1231"/>
      <c r="P20" s="1231"/>
      <c r="Q20" s="1231"/>
      <c r="R20" s="1214">
        <f t="shared" si="2"/>
        <v>0</v>
      </c>
      <c r="S20" s="1162"/>
      <c r="T20" s="1162"/>
      <c r="U20" s="1162" t="s">
        <v>1636</v>
      </c>
      <c r="V20" s="1162" t="s">
        <v>1637</v>
      </c>
      <c r="W20" s="1231"/>
    </row>
    <row r="21" spans="1:23" ht="15">
      <c r="A21" s="1156" t="s">
        <v>1638</v>
      </c>
      <c r="B21" s="1223" t="s">
        <v>1639</v>
      </c>
      <c r="C21" s="1156"/>
      <c r="D21" s="1195"/>
      <c r="E21" s="1195" t="s">
        <v>496</v>
      </c>
      <c r="F21" s="20"/>
      <c r="G21" s="20"/>
      <c r="H21" s="20"/>
      <c r="I21" s="1162" t="s">
        <v>1635</v>
      </c>
      <c r="J21" s="1162" t="s">
        <v>1661</v>
      </c>
      <c r="K21" s="1231"/>
      <c r="L21" s="1231"/>
      <c r="M21" s="1214">
        <f t="shared" si="0"/>
        <v>0</v>
      </c>
      <c r="N21" s="1214">
        <f t="shared" si="1"/>
        <v>0</v>
      </c>
      <c r="O21" s="1231"/>
      <c r="P21" s="1231"/>
      <c r="Q21" s="1231"/>
      <c r="R21" s="1214">
        <f t="shared" si="2"/>
        <v>0</v>
      </c>
      <c r="S21" s="1162"/>
      <c r="T21" s="1162"/>
      <c r="U21" s="1162" t="s">
        <v>1636</v>
      </c>
      <c r="V21" s="1162" t="s">
        <v>1637</v>
      </c>
      <c r="W21" s="1231"/>
    </row>
    <row r="22" spans="1:23" ht="15">
      <c r="A22" s="1156" t="s">
        <v>1638</v>
      </c>
      <c r="B22" s="1223" t="s">
        <v>1639</v>
      </c>
      <c r="C22" s="1156"/>
      <c r="D22" s="1195"/>
      <c r="E22" s="1195" t="s">
        <v>496</v>
      </c>
      <c r="F22" s="20"/>
      <c r="G22" s="20"/>
      <c r="H22" s="20"/>
      <c r="I22" s="1162" t="s">
        <v>1635</v>
      </c>
      <c r="J22" s="1162" t="s">
        <v>1661</v>
      </c>
      <c r="K22" s="1231"/>
      <c r="L22" s="1231"/>
      <c r="M22" s="1214">
        <f t="shared" si="0"/>
        <v>0</v>
      </c>
      <c r="N22" s="1214">
        <f t="shared" si="1"/>
        <v>0</v>
      </c>
      <c r="O22" s="1231"/>
      <c r="P22" s="1231"/>
      <c r="Q22" s="1231"/>
      <c r="R22" s="1214">
        <f t="shared" si="2"/>
        <v>0</v>
      </c>
      <c r="S22" s="1162"/>
      <c r="T22" s="1162"/>
      <c r="U22" s="1162" t="s">
        <v>1636</v>
      </c>
      <c r="V22" s="1162" t="s">
        <v>1637</v>
      </c>
      <c r="W22" s="1231"/>
    </row>
    <row r="23" spans="1:23" ht="15">
      <c r="A23" s="1156" t="s">
        <v>1638</v>
      </c>
      <c r="B23" s="1223" t="s">
        <v>1639</v>
      </c>
      <c r="C23" s="1156"/>
      <c r="D23" s="1195"/>
      <c r="E23" s="1195" t="s">
        <v>496</v>
      </c>
      <c r="F23" s="20"/>
      <c r="G23" s="20"/>
      <c r="H23" s="20"/>
      <c r="I23" s="1162" t="s">
        <v>1635</v>
      </c>
      <c r="J23" s="1162" t="s">
        <v>1661</v>
      </c>
      <c r="K23" s="1231"/>
      <c r="L23" s="1231"/>
      <c r="M23" s="1214">
        <f t="shared" si="0"/>
        <v>0</v>
      </c>
      <c r="N23" s="1214">
        <f t="shared" si="1"/>
        <v>0</v>
      </c>
      <c r="O23" s="1231"/>
      <c r="P23" s="1231"/>
      <c r="Q23" s="1231"/>
      <c r="R23" s="1214">
        <f t="shared" si="2"/>
        <v>0</v>
      </c>
      <c r="S23" s="1162"/>
      <c r="T23" s="1162"/>
      <c r="U23" s="1162" t="s">
        <v>1636</v>
      </c>
      <c r="V23" s="1162" t="s">
        <v>1637</v>
      </c>
      <c r="W23" s="1231"/>
    </row>
    <row r="24" spans="1:23" ht="15">
      <c r="A24" s="1156" t="s">
        <v>1638</v>
      </c>
      <c r="B24" s="1223" t="s">
        <v>1639</v>
      </c>
      <c r="C24" s="1156"/>
      <c r="D24" s="1195"/>
      <c r="E24" s="1195" t="s">
        <v>496</v>
      </c>
      <c r="F24" s="20"/>
      <c r="G24" s="20"/>
      <c r="H24" s="20"/>
      <c r="I24" s="1162" t="s">
        <v>1635</v>
      </c>
      <c r="J24" s="1162" t="s">
        <v>1661</v>
      </c>
      <c r="K24" s="1231"/>
      <c r="L24" s="1231"/>
      <c r="M24" s="1214">
        <f t="shared" si="0"/>
        <v>0</v>
      </c>
      <c r="N24" s="1214">
        <f t="shared" si="1"/>
        <v>0</v>
      </c>
      <c r="O24" s="1231"/>
      <c r="P24" s="1231"/>
      <c r="Q24" s="1231"/>
      <c r="R24" s="1214">
        <f t="shared" si="2"/>
        <v>0</v>
      </c>
      <c r="S24" s="1162"/>
      <c r="T24" s="1162"/>
      <c r="U24" s="1162" t="s">
        <v>1636</v>
      </c>
      <c r="V24" s="1162" t="s">
        <v>1637</v>
      </c>
      <c r="W24" s="1231"/>
    </row>
    <row r="25" spans="1:23" ht="15">
      <c r="A25" s="1156" t="s">
        <v>1638</v>
      </c>
      <c r="B25" s="1223" t="s">
        <v>1639</v>
      </c>
      <c r="C25" s="1156"/>
      <c r="D25" s="1195"/>
      <c r="E25" s="1195" t="s">
        <v>496</v>
      </c>
      <c r="F25" s="20"/>
      <c r="G25" s="20"/>
      <c r="H25" s="20"/>
      <c r="I25" s="1162" t="s">
        <v>1635</v>
      </c>
      <c r="J25" s="1162" t="s">
        <v>1661</v>
      </c>
      <c r="K25" s="1231"/>
      <c r="L25" s="1231"/>
      <c r="M25" s="1214">
        <f t="shared" si="0"/>
        <v>0</v>
      </c>
      <c r="N25" s="1214">
        <f t="shared" si="1"/>
        <v>0</v>
      </c>
      <c r="O25" s="1231"/>
      <c r="P25" s="1231"/>
      <c r="Q25" s="1231"/>
      <c r="R25" s="1214">
        <f t="shared" si="2"/>
        <v>0</v>
      </c>
      <c r="S25" s="1162"/>
      <c r="T25" s="1162"/>
      <c r="U25" s="1162" t="s">
        <v>1636</v>
      </c>
      <c r="V25" s="1162" t="s">
        <v>1637</v>
      </c>
      <c r="W25" s="1231"/>
    </row>
    <row r="26" spans="1:23" ht="15">
      <c r="A26" s="1156" t="s">
        <v>1638</v>
      </c>
      <c r="B26" s="1223" t="s">
        <v>1639</v>
      </c>
      <c r="C26" s="1156"/>
      <c r="D26" s="1195"/>
      <c r="E26" s="1195" t="s">
        <v>496</v>
      </c>
      <c r="F26" s="20"/>
      <c r="G26" s="20"/>
      <c r="H26" s="20"/>
      <c r="I26" s="1162" t="s">
        <v>1635</v>
      </c>
      <c r="J26" s="1162" t="s">
        <v>1661</v>
      </c>
      <c r="K26" s="1231"/>
      <c r="L26" s="1231"/>
      <c r="M26" s="1214">
        <f t="shared" si="0"/>
        <v>0</v>
      </c>
      <c r="N26" s="1214">
        <f t="shared" si="1"/>
        <v>0</v>
      </c>
      <c r="O26" s="1231"/>
      <c r="P26" s="1231"/>
      <c r="Q26" s="1231"/>
      <c r="R26" s="1214">
        <f t="shared" si="2"/>
        <v>0</v>
      </c>
      <c r="S26" s="1162"/>
      <c r="T26" s="1162"/>
      <c r="U26" s="1162" t="s">
        <v>1636</v>
      </c>
      <c r="V26" s="1162" t="s">
        <v>1637</v>
      </c>
      <c r="W26" s="1231"/>
    </row>
    <row r="27" spans="1:23" ht="15">
      <c r="A27" s="1156" t="s">
        <v>1638</v>
      </c>
      <c r="B27" s="1223" t="s">
        <v>1639</v>
      </c>
      <c r="C27" s="1156"/>
      <c r="D27" s="1195"/>
      <c r="E27" s="1195" t="s">
        <v>496</v>
      </c>
      <c r="F27" s="20"/>
      <c r="G27" s="20"/>
      <c r="H27" s="20"/>
      <c r="I27" s="1162" t="s">
        <v>1635</v>
      </c>
      <c r="J27" s="1162" t="s">
        <v>1661</v>
      </c>
      <c r="K27" s="1231"/>
      <c r="L27" s="1231"/>
      <c r="M27" s="1214">
        <f t="shared" si="0"/>
        <v>0</v>
      </c>
      <c r="N27" s="1214">
        <f t="shared" si="1"/>
        <v>0</v>
      </c>
      <c r="O27" s="1231"/>
      <c r="P27" s="1231"/>
      <c r="Q27" s="1231"/>
      <c r="R27" s="1214">
        <f t="shared" si="2"/>
        <v>0</v>
      </c>
      <c r="S27" s="1162"/>
      <c r="T27" s="1162"/>
      <c r="U27" s="1162" t="s">
        <v>1636</v>
      </c>
      <c r="V27" s="1162" t="s">
        <v>1637</v>
      </c>
      <c r="W27" s="1231"/>
    </row>
    <row r="28" spans="1:23" ht="15">
      <c r="A28" s="1156" t="s">
        <v>1638</v>
      </c>
      <c r="B28" s="1223" t="s">
        <v>1639</v>
      </c>
      <c r="C28" s="1156"/>
      <c r="D28" s="1195"/>
      <c r="E28" s="1195" t="s">
        <v>496</v>
      </c>
      <c r="F28" s="20"/>
      <c r="G28" s="20"/>
      <c r="H28" s="20"/>
      <c r="I28" s="1162" t="s">
        <v>1635</v>
      </c>
      <c r="J28" s="1162" t="s">
        <v>1661</v>
      </c>
      <c r="K28" s="1231"/>
      <c r="L28" s="1231"/>
      <c r="M28" s="1214">
        <f t="shared" si="0"/>
        <v>0</v>
      </c>
      <c r="N28" s="1214">
        <f t="shared" si="1"/>
        <v>0</v>
      </c>
      <c r="O28" s="1231"/>
      <c r="P28" s="1231"/>
      <c r="Q28" s="1231"/>
      <c r="R28" s="1214">
        <f t="shared" si="2"/>
        <v>0</v>
      </c>
      <c r="S28" s="1162"/>
      <c r="T28" s="1162"/>
      <c r="U28" s="1162" t="s">
        <v>1636</v>
      </c>
      <c r="V28" s="1162" t="s">
        <v>1637</v>
      </c>
      <c r="W28" s="1231"/>
    </row>
    <row r="29" spans="1:23" ht="15">
      <c r="A29" s="1156" t="s">
        <v>1638</v>
      </c>
      <c r="B29" s="1223" t="s">
        <v>1639</v>
      </c>
      <c r="C29" s="1156"/>
      <c r="D29" s="1195"/>
      <c r="E29" s="1195" t="s">
        <v>496</v>
      </c>
      <c r="F29" s="20"/>
      <c r="G29" s="20"/>
      <c r="H29" s="20"/>
      <c r="I29" s="1162" t="s">
        <v>1635</v>
      </c>
      <c r="J29" s="1162" t="s">
        <v>1661</v>
      </c>
      <c r="K29" s="1231"/>
      <c r="L29" s="1231"/>
      <c r="M29" s="1214">
        <f t="shared" si="0"/>
        <v>0</v>
      </c>
      <c r="N29" s="1214">
        <f t="shared" si="1"/>
        <v>0</v>
      </c>
      <c r="O29" s="1231"/>
      <c r="P29" s="1231"/>
      <c r="Q29" s="1231"/>
      <c r="R29" s="1214">
        <f t="shared" si="2"/>
        <v>0</v>
      </c>
      <c r="S29" s="1162"/>
      <c r="T29" s="1162"/>
      <c r="U29" s="1162" t="s">
        <v>1636</v>
      </c>
      <c r="V29" s="1162" t="s">
        <v>1637</v>
      </c>
      <c r="W29" s="1231"/>
    </row>
    <row r="30" spans="1:23" ht="15">
      <c r="A30" s="1156" t="s">
        <v>1638</v>
      </c>
      <c r="B30" s="1223" t="s">
        <v>1639</v>
      </c>
      <c r="C30" s="1156"/>
      <c r="D30" s="1195"/>
      <c r="E30" s="1195" t="s">
        <v>496</v>
      </c>
      <c r="F30" s="20"/>
      <c r="G30" s="20"/>
      <c r="H30" s="20"/>
      <c r="I30" s="1162" t="s">
        <v>1635</v>
      </c>
      <c r="J30" s="1162" t="s">
        <v>1661</v>
      </c>
      <c r="K30" s="1231"/>
      <c r="L30" s="1231"/>
      <c r="M30" s="1214">
        <f t="shared" si="0"/>
        <v>0</v>
      </c>
      <c r="N30" s="1214">
        <f t="shared" si="1"/>
        <v>0</v>
      </c>
      <c r="O30" s="1231"/>
      <c r="P30" s="1231"/>
      <c r="Q30" s="1231"/>
      <c r="R30" s="1214">
        <f t="shared" si="2"/>
        <v>0</v>
      </c>
      <c r="S30" s="1162"/>
      <c r="T30" s="1162"/>
      <c r="U30" s="1162" t="s">
        <v>1636</v>
      </c>
      <c r="V30" s="1162" t="s">
        <v>1637</v>
      </c>
      <c r="W30" s="1231"/>
    </row>
    <row r="31" spans="1:23" ht="15">
      <c r="A31" s="1156" t="s">
        <v>1638</v>
      </c>
      <c r="B31" s="1223" t="s">
        <v>1639</v>
      </c>
      <c r="C31" s="1156"/>
      <c r="D31" s="1195"/>
      <c r="E31" s="1195" t="s">
        <v>496</v>
      </c>
      <c r="F31" s="20"/>
      <c r="G31" s="20"/>
      <c r="H31" s="20"/>
      <c r="I31" s="1162" t="s">
        <v>1635</v>
      </c>
      <c r="J31" s="1162" t="s">
        <v>1661</v>
      </c>
      <c r="K31" s="1231"/>
      <c r="L31" s="1231"/>
      <c r="M31" s="1214">
        <f t="shared" si="0"/>
        <v>0</v>
      </c>
      <c r="N31" s="1214">
        <f t="shared" si="1"/>
        <v>0</v>
      </c>
      <c r="O31" s="1231"/>
      <c r="P31" s="1231"/>
      <c r="Q31" s="1231"/>
      <c r="R31" s="1214">
        <f t="shared" si="2"/>
        <v>0</v>
      </c>
      <c r="S31" s="1162"/>
      <c r="T31" s="1162"/>
      <c r="U31" s="1162" t="s">
        <v>1636</v>
      </c>
      <c r="V31" s="1162" t="s">
        <v>1637</v>
      </c>
      <c r="W31" s="1231"/>
    </row>
    <row r="32" spans="1:23" ht="15">
      <c r="A32" s="1156" t="s">
        <v>1638</v>
      </c>
      <c r="B32" s="1223" t="s">
        <v>1639</v>
      </c>
      <c r="C32" s="1156"/>
      <c r="D32" s="1195"/>
      <c r="E32" s="1195" t="s">
        <v>496</v>
      </c>
      <c r="F32" s="20"/>
      <c r="G32" s="20"/>
      <c r="H32" s="20"/>
      <c r="I32" s="1162" t="s">
        <v>1635</v>
      </c>
      <c r="J32" s="1162" t="s">
        <v>1661</v>
      </c>
      <c r="K32" s="1231"/>
      <c r="L32" s="1231"/>
      <c r="M32" s="1214">
        <f t="shared" si="0"/>
        <v>0</v>
      </c>
      <c r="N32" s="1214">
        <f t="shared" si="1"/>
        <v>0</v>
      </c>
      <c r="O32" s="1231"/>
      <c r="P32" s="1231"/>
      <c r="Q32" s="1231"/>
      <c r="R32" s="1214">
        <f t="shared" si="2"/>
        <v>0</v>
      </c>
      <c r="S32" s="1162"/>
      <c r="T32" s="1162"/>
      <c r="U32" s="1162" t="s">
        <v>1636</v>
      </c>
      <c r="V32" s="1162" t="s">
        <v>1637</v>
      </c>
      <c r="W32" s="1231"/>
    </row>
    <row r="33" spans="1:23" ht="15">
      <c r="A33" s="1156" t="s">
        <v>1638</v>
      </c>
      <c r="B33" s="1223" t="s">
        <v>1639</v>
      </c>
      <c r="C33" s="1156"/>
      <c r="D33" s="1195"/>
      <c r="E33" s="1195" t="s">
        <v>496</v>
      </c>
      <c r="F33" s="20"/>
      <c r="G33" s="20"/>
      <c r="H33" s="20"/>
      <c r="I33" s="1162" t="s">
        <v>1635</v>
      </c>
      <c r="J33" s="1162" t="s">
        <v>1661</v>
      </c>
      <c r="K33" s="1231"/>
      <c r="L33" s="1231"/>
      <c r="M33" s="1214">
        <f t="shared" si="0"/>
        <v>0</v>
      </c>
      <c r="N33" s="1214">
        <f t="shared" si="1"/>
        <v>0</v>
      </c>
      <c r="O33" s="1231"/>
      <c r="P33" s="1231"/>
      <c r="Q33" s="1231"/>
      <c r="R33" s="1214">
        <f t="shared" si="2"/>
        <v>0</v>
      </c>
      <c r="S33" s="1162"/>
      <c r="T33" s="1162"/>
      <c r="U33" s="1162" t="s">
        <v>1636</v>
      </c>
      <c r="V33" s="1162" t="s">
        <v>1637</v>
      </c>
      <c r="W33" s="1231"/>
    </row>
    <row r="34" spans="1:23" ht="15">
      <c r="A34" s="1156" t="s">
        <v>1638</v>
      </c>
      <c r="B34" s="1223" t="s">
        <v>1639</v>
      </c>
      <c r="C34" s="1156"/>
      <c r="D34" s="1195"/>
      <c r="E34" s="1195" t="s">
        <v>496</v>
      </c>
      <c r="F34" s="20"/>
      <c r="G34" s="20"/>
      <c r="H34" s="20"/>
      <c r="I34" s="1162" t="s">
        <v>1635</v>
      </c>
      <c r="J34" s="1162" t="s">
        <v>1661</v>
      </c>
      <c r="K34" s="1231"/>
      <c r="L34" s="1231"/>
      <c r="M34" s="1214">
        <f t="shared" si="0"/>
        <v>0</v>
      </c>
      <c r="N34" s="1214">
        <f t="shared" si="1"/>
        <v>0</v>
      </c>
      <c r="O34" s="1231"/>
      <c r="P34" s="1231"/>
      <c r="Q34" s="1231"/>
      <c r="R34" s="1214">
        <f t="shared" si="2"/>
        <v>0</v>
      </c>
      <c r="S34" s="1162"/>
      <c r="T34" s="1162"/>
      <c r="U34" s="1162" t="s">
        <v>1636</v>
      </c>
      <c r="V34" s="1162" t="s">
        <v>1637</v>
      </c>
      <c r="W34" s="1231"/>
    </row>
    <row r="35" spans="1:23" ht="15">
      <c r="A35" s="1156" t="s">
        <v>1638</v>
      </c>
      <c r="B35" s="1223" t="s">
        <v>1639</v>
      </c>
      <c r="C35" s="1156"/>
      <c r="D35" s="1195"/>
      <c r="E35" s="1195" t="s">
        <v>496</v>
      </c>
      <c r="F35" s="20"/>
      <c r="G35" s="20"/>
      <c r="H35" s="20"/>
      <c r="I35" s="1162" t="s">
        <v>1635</v>
      </c>
      <c r="J35" s="1162" t="s">
        <v>1661</v>
      </c>
      <c r="K35" s="1231"/>
      <c r="L35" s="1231"/>
      <c r="M35" s="1214">
        <f t="shared" si="0"/>
        <v>0</v>
      </c>
      <c r="N35" s="1214">
        <f t="shared" si="1"/>
        <v>0</v>
      </c>
      <c r="O35" s="1231"/>
      <c r="P35" s="1231"/>
      <c r="Q35" s="1231"/>
      <c r="R35" s="1214">
        <f t="shared" si="2"/>
        <v>0</v>
      </c>
      <c r="S35" s="1162"/>
      <c r="T35" s="1162"/>
      <c r="U35" s="1162" t="s">
        <v>1636</v>
      </c>
      <c r="V35" s="1162" t="s">
        <v>1637</v>
      </c>
      <c r="W35" s="1231"/>
    </row>
    <row r="36" spans="1:23" ht="15">
      <c r="A36" s="1156" t="s">
        <v>1638</v>
      </c>
      <c r="B36" s="1223" t="s">
        <v>1639</v>
      </c>
      <c r="C36" s="1156"/>
      <c r="D36" s="1195"/>
      <c r="E36" s="1195" t="s">
        <v>496</v>
      </c>
      <c r="F36" s="20"/>
      <c r="G36" s="20"/>
      <c r="H36" s="20"/>
      <c r="I36" s="1162" t="s">
        <v>1635</v>
      </c>
      <c r="J36" s="1162" t="s">
        <v>1661</v>
      </c>
      <c r="K36" s="1231"/>
      <c r="L36" s="1231"/>
      <c r="M36" s="1214">
        <f t="shared" si="0"/>
        <v>0</v>
      </c>
      <c r="N36" s="1214">
        <f t="shared" si="1"/>
        <v>0</v>
      </c>
      <c r="O36" s="1231"/>
      <c r="P36" s="1231"/>
      <c r="Q36" s="1231"/>
      <c r="R36" s="1214">
        <f t="shared" si="2"/>
        <v>0</v>
      </c>
      <c r="S36" s="1162"/>
      <c r="T36" s="1162"/>
      <c r="U36" s="1162" t="s">
        <v>1636</v>
      </c>
      <c r="V36" s="1162" t="s">
        <v>1637</v>
      </c>
      <c r="W36" s="1231"/>
    </row>
    <row r="37" spans="1:23" ht="15">
      <c r="A37" s="1156" t="s">
        <v>1638</v>
      </c>
      <c r="B37" s="1223" t="s">
        <v>1639</v>
      </c>
      <c r="C37" s="1156"/>
      <c r="D37" s="1195"/>
      <c r="E37" s="1195" t="s">
        <v>496</v>
      </c>
      <c r="F37" s="20"/>
      <c r="G37" s="20"/>
      <c r="H37" s="20"/>
      <c r="I37" s="1162" t="s">
        <v>1635</v>
      </c>
      <c r="J37" s="1162" t="s">
        <v>1661</v>
      </c>
      <c r="K37" s="1231"/>
      <c r="L37" s="1231"/>
      <c r="M37" s="1214">
        <f t="shared" si="0"/>
        <v>0</v>
      </c>
      <c r="N37" s="1214">
        <f t="shared" si="1"/>
        <v>0</v>
      </c>
      <c r="O37" s="1231"/>
      <c r="P37" s="1231"/>
      <c r="Q37" s="1231"/>
      <c r="R37" s="1214">
        <f t="shared" si="2"/>
        <v>0</v>
      </c>
      <c r="S37" s="1162"/>
      <c r="T37" s="1162"/>
      <c r="U37" s="1162" t="s">
        <v>1636</v>
      </c>
      <c r="V37" s="1162" t="s">
        <v>1637</v>
      </c>
      <c r="W37" s="1231"/>
    </row>
    <row r="38" spans="1:23" ht="15">
      <c r="A38" s="1156" t="s">
        <v>1638</v>
      </c>
      <c r="B38" s="1223" t="s">
        <v>1639</v>
      </c>
      <c r="C38" s="1156"/>
      <c r="D38" s="1195"/>
      <c r="E38" s="1195" t="s">
        <v>496</v>
      </c>
      <c r="F38" s="20"/>
      <c r="G38" s="20"/>
      <c r="H38" s="20"/>
      <c r="I38" s="1162" t="s">
        <v>1635</v>
      </c>
      <c r="J38" s="1162" t="s">
        <v>1661</v>
      </c>
      <c r="K38" s="1231"/>
      <c r="L38" s="1231"/>
      <c r="M38" s="1214">
        <f t="shared" si="0"/>
        <v>0</v>
      </c>
      <c r="N38" s="1214">
        <f t="shared" si="1"/>
        <v>0</v>
      </c>
      <c r="O38" s="1231"/>
      <c r="P38" s="1231"/>
      <c r="Q38" s="1231"/>
      <c r="R38" s="1214">
        <f t="shared" si="2"/>
        <v>0</v>
      </c>
      <c r="S38" s="1162"/>
      <c r="T38" s="1162"/>
      <c r="U38" s="1162" t="s">
        <v>1636</v>
      </c>
      <c r="V38" s="1162" t="s">
        <v>1637</v>
      </c>
      <c r="W38" s="1231"/>
    </row>
    <row r="39" spans="1:23" ht="15">
      <c r="A39" s="1156" t="s">
        <v>1638</v>
      </c>
      <c r="B39" s="1223" t="s">
        <v>1639</v>
      </c>
      <c r="C39" s="1156"/>
      <c r="D39" s="1195"/>
      <c r="E39" s="1195" t="s">
        <v>496</v>
      </c>
      <c r="F39" s="20"/>
      <c r="G39" s="20"/>
      <c r="H39" s="20"/>
      <c r="I39" s="1162" t="s">
        <v>1635</v>
      </c>
      <c r="J39" s="1162" t="s">
        <v>1661</v>
      </c>
      <c r="K39" s="1231"/>
      <c r="L39" s="1231"/>
      <c r="M39" s="1214">
        <f t="shared" si="0"/>
        <v>0</v>
      </c>
      <c r="N39" s="1214">
        <f t="shared" si="1"/>
        <v>0</v>
      </c>
      <c r="O39" s="1231"/>
      <c r="P39" s="1231"/>
      <c r="Q39" s="1231"/>
      <c r="R39" s="1214">
        <f t="shared" si="2"/>
        <v>0</v>
      </c>
      <c r="S39" s="1162"/>
      <c r="T39" s="1162"/>
      <c r="U39" s="1162" t="s">
        <v>1636</v>
      </c>
      <c r="V39" s="1162" t="s">
        <v>1637</v>
      </c>
      <c r="W39" s="1231"/>
    </row>
    <row r="40" spans="1:23" ht="15">
      <c r="A40" s="1156" t="s">
        <v>1638</v>
      </c>
      <c r="B40" s="1223" t="s">
        <v>1639</v>
      </c>
      <c r="C40" s="1156"/>
      <c r="D40" s="1195"/>
      <c r="E40" s="1195" t="s">
        <v>496</v>
      </c>
      <c r="F40" s="20"/>
      <c r="G40" s="20"/>
      <c r="H40" s="20"/>
      <c r="I40" s="1162" t="s">
        <v>1635</v>
      </c>
      <c r="J40" s="1162" t="s">
        <v>1661</v>
      </c>
      <c r="K40" s="1231"/>
      <c r="L40" s="1231"/>
      <c r="M40" s="1214">
        <f t="shared" si="0"/>
        <v>0</v>
      </c>
      <c r="N40" s="1214">
        <f t="shared" si="1"/>
        <v>0</v>
      </c>
      <c r="O40" s="1231"/>
      <c r="P40" s="1231"/>
      <c r="Q40" s="1231"/>
      <c r="R40" s="1214">
        <f t="shared" si="2"/>
        <v>0</v>
      </c>
      <c r="S40" s="1162"/>
      <c r="T40" s="1162"/>
      <c r="U40" s="1162" t="s">
        <v>1636</v>
      </c>
      <c r="V40" s="1162" t="s">
        <v>1637</v>
      </c>
      <c r="W40" s="1231"/>
    </row>
    <row r="41" spans="1:23" ht="15">
      <c r="A41" s="1156" t="s">
        <v>1638</v>
      </c>
      <c r="B41" s="1223" t="s">
        <v>1639</v>
      </c>
      <c r="C41" s="1156"/>
      <c r="D41" s="1195"/>
      <c r="E41" s="1195" t="s">
        <v>496</v>
      </c>
      <c r="F41" s="20"/>
      <c r="G41" s="20"/>
      <c r="H41" s="20"/>
      <c r="I41" s="1162" t="s">
        <v>1635</v>
      </c>
      <c r="J41" s="1162" t="s">
        <v>1661</v>
      </c>
      <c r="K41" s="1231"/>
      <c r="L41" s="1231"/>
      <c r="M41" s="1214">
        <f t="shared" si="0"/>
        <v>0</v>
      </c>
      <c r="N41" s="1214">
        <f t="shared" si="1"/>
        <v>0</v>
      </c>
      <c r="O41" s="1231"/>
      <c r="P41" s="1231"/>
      <c r="Q41" s="1231"/>
      <c r="R41" s="1214">
        <f t="shared" si="2"/>
        <v>0</v>
      </c>
      <c r="S41" s="1162"/>
      <c r="T41" s="1162"/>
      <c r="U41" s="1162" t="s">
        <v>1636</v>
      </c>
      <c r="V41" s="1162" t="s">
        <v>1637</v>
      </c>
      <c r="W41" s="1231"/>
    </row>
    <row r="42" spans="1:23" ht="15">
      <c r="A42" s="1156" t="s">
        <v>1638</v>
      </c>
      <c r="B42" s="1223" t="s">
        <v>1639</v>
      </c>
      <c r="C42" s="1156"/>
      <c r="D42" s="1195"/>
      <c r="E42" s="1195" t="s">
        <v>496</v>
      </c>
      <c r="F42" s="20"/>
      <c r="G42" s="20"/>
      <c r="H42" s="20"/>
      <c r="I42" s="1162" t="s">
        <v>1635</v>
      </c>
      <c r="J42" s="1162" t="s">
        <v>1661</v>
      </c>
      <c r="K42" s="1231"/>
      <c r="L42" s="1231"/>
      <c r="M42" s="1214">
        <f t="shared" si="0"/>
        <v>0</v>
      </c>
      <c r="N42" s="1214">
        <f t="shared" si="1"/>
        <v>0</v>
      </c>
      <c r="O42" s="1231"/>
      <c r="P42" s="1231"/>
      <c r="Q42" s="1231"/>
      <c r="R42" s="1214">
        <f t="shared" si="2"/>
        <v>0</v>
      </c>
      <c r="S42" s="1162"/>
      <c r="T42" s="1162"/>
      <c r="U42" s="1162" t="s">
        <v>1636</v>
      </c>
      <c r="V42" s="1162" t="s">
        <v>1637</v>
      </c>
      <c r="W42" s="1231"/>
    </row>
    <row r="43" spans="1:23" ht="15">
      <c r="A43" s="1156" t="s">
        <v>1638</v>
      </c>
      <c r="B43" s="1223" t="s">
        <v>1639</v>
      </c>
      <c r="C43" s="1156"/>
      <c r="D43" s="1195"/>
      <c r="E43" s="1195" t="s">
        <v>496</v>
      </c>
      <c r="F43" s="20"/>
      <c r="G43" s="20"/>
      <c r="H43" s="20"/>
      <c r="I43" s="1162" t="s">
        <v>1635</v>
      </c>
      <c r="J43" s="1162" t="s">
        <v>1661</v>
      </c>
      <c r="K43" s="1231"/>
      <c r="L43" s="1231"/>
      <c r="M43" s="1214">
        <f t="shared" si="0"/>
        <v>0</v>
      </c>
      <c r="N43" s="1214">
        <f t="shared" si="1"/>
        <v>0</v>
      </c>
      <c r="O43" s="1231"/>
      <c r="P43" s="1231"/>
      <c r="Q43" s="1231"/>
      <c r="R43" s="1214">
        <f t="shared" si="2"/>
        <v>0</v>
      </c>
      <c r="S43" s="1162"/>
      <c r="T43" s="1162"/>
      <c r="U43" s="1162" t="s">
        <v>1636</v>
      </c>
      <c r="V43" s="1162" t="s">
        <v>1637</v>
      </c>
      <c r="W43" s="1231"/>
    </row>
    <row r="44" spans="1:23" ht="15">
      <c r="A44" s="1156" t="s">
        <v>1638</v>
      </c>
      <c r="B44" s="1223" t="s">
        <v>1639</v>
      </c>
      <c r="C44" s="1156"/>
      <c r="D44" s="1195"/>
      <c r="E44" s="1195" t="s">
        <v>496</v>
      </c>
      <c r="F44" s="20"/>
      <c r="G44" s="20"/>
      <c r="H44" s="20"/>
      <c r="I44" s="1162" t="s">
        <v>1635</v>
      </c>
      <c r="J44" s="1162" t="s">
        <v>1661</v>
      </c>
      <c r="K44" s="1231"/>
      <c r="L44" s="1231"/>
      <c r="M44" s="1214">
        <f t="shared" si="0"/>
        <v>0</v>
      </c>
      <c r="N44" s="1214">
        <f t="shared" si="1"/>
        <v>0</v>
      </c>
      <c r="O44" s="1231"/>
      <c r="P44" s="1231"/>
      <c r="Q44" s="1231"/>
      <c r="R44" s="1214">
        <f t="shared" si="2"/>
        <v>0</v>
      </c>
      <c r="S44" s="1162"/>
      <c r="T44" s="1162"/>
      <c r="U44" s="1162" t="s">
        <v>1636</v>
      </c>
      <c r="V44" s="1162" t="s">
        <v>1637</v>
      </c>
      <c r="W44" s="1231"/>
    </row>
    <row r="45" spans="1:23" ht="15">
      <c r="A45" s="1156" t="s">
        <v>1638</v>
      </c>
      <c r="B45" s="1223" t="s">
        <v>1639</v>
      </c>
      <c r="C45" s="1156"/>
      <c r="D45" s="1195"/>
      <c r="E45" s="1195" t="s">
        <v>496</v>
      </c>
      <c r="F45" s="20"/>
      <c r="G45" s="20"/>
      <c r="H45" s="20"/>
      <c r="I45" s="1162" t="s">
        <v>1635</v>
      </c>
      <c r="J45" s="1162" t="s">
        <v>1661</v>
      </c>
      <c r="K45" s="1231"/>
      <c r="L45" s="1231"/>
      <c r="M45" s="1214">
        <f t="shared" si="0"/>
        <v>0</v>
      </c>
      <c r="N45" s="1214">
        <f t="shared" si="1"/>
        <v>0</v>
      </c>
      <c r="O45" s="1231"/>
      <c r="P45" s="1231"/>
      <c r="Q45" s="1231"/>
      <c r="R45" s="1214">
        <f t="shared" si="2"/>
        <v>0</v>
      </c>
      <c r="S45" s="1162"/>
      <c r="T45" s="1162"/>
      <c r="U45" s="1162" t="s">
        <v>1636</v>
      </c>
      <c r="V45" s="1162" t="s">
        <v>1637</v>
      </c>
      <c r="W45" s="1231"/>
    </row>
    <row r="46" spans="1:23" ht="15">
      <c r="A46" s="1156" t="s">
        <v>1638</v>
      </c>
      <c r="B46" s="1223" t="s">
        <v>1639</v>
      </c>
      <c r="C46" s="1156"/>
      <c r="D46" s="1195"/>
      <c r="E46" s="1195" t="s">
        <v>496</v>
      </c>
      <c r="F46" s="20"/>
      <c r="G46" s="20"/>
      <c r="H46" s="20"/>
      <c r="I46" s="1162" t="s">
        <v>1635</v>
      </c>
      <c r="J46" s="1162" t="s">
        <v>1661</v>
      </c>
      <c r="K46" s="1231"/>
      <c r="L46" s="1231"/>
      <c r="M46" s="1214">
        <f t="shared" si="0"/>
        <v>0</v>
      </c>
      <c r="N46" s="1214">
        <f t="shared" si="1"/>
        <v>0</v>
      </c>
      <c r="O46" s="1231"/>
      <c r="P46" s="1231"/>
      <c r="Q46" s="1231"/>
      <c r="R46" s="1214">
        <f t="shared" si="2"/>
        <v>0</v>
      </c>
      <c r="S46" s="1162"/>
      <c r="T46" s="1162"/>
      <c r="U46" s="1162" t="s">
        <v>1636</v>
      </c>
      <c r="V46" s="1162" t="s">
        <v>1637</v>
      </c>
      <c r="W46" s="1231"/>
    </row>
    <row r="47" spans="1:23" ht="15">
      <c r="A47" s="1156" t="s">
        <v>1638</v>
      </c>
      <c r="B47" s="1223" t="s">
        <v>1639</v>
      </c>
      <c r="C47" s="1156"/>
      <c r="D47" s="1195"/>
      <c r="E47" s="1195" t="s">
        <v>496</v>
      </c>
      <c r="F47" s="20"/>
      <c r="G47" s="20"/>
      <c r="H47" s="20"/>
      <c r="I47" s="1162" t="s">
        <v>1635</v>
      </c>
      <c r="J47" s="1162" t="s">
        <v>1661</v>
      </c>
      <c r="K47" s="1231"/>
      <c r="L47" s="1231"/>
      <c r="M47" s="1214">
        <f t="shared" si="0"/>
        <v>0</v>
      </c>
      <c r="N47" s="1214">
        <f t="shared" si="1"/>
        <v>0</v>
      </c>
      <c r="O47" s="1231"/>
      <c r="P47" s="1231"/>
      <c r="Q47" s="1231"/>
      <c r="R47" s="1214">
        <f t="shared" si="2"/>
        <v>0</v>
      </c>
      <c r="S47" s="1162"/>
      <c r="T47" s="1162"/>
      <c r="U47" s="1162" t="s">
        <v>1636</v>
      </c>
      <c r="V47" s="1162" t="s">
        <v>1637</v>
      </c>
      <c r="W47" s="1231"/>
    </row>
    <row r="48" spans="1:23" ht="15">
      <c r="A48" s="1156" t="s">
        <v>1638</v>
      </c>
      <c r="B48" s="1223" t="s">
        <v>1639</v>
      </c>
      <c r="C48" s="1156"/>
      <c r="D48" s="1195"/>
      <c r="E48" s="1195" t="s">
        <v>496</v>
      </c>
      <c r="F48" s="20"/>
      <c r="G48" s="20"/>
      <c r="H48" s="20"/>
      <c r="I48" s="1162" t="s">
        <v>1635</v>
      </c>
      <c r="J48" s="1162" t="s">
        <v>1661</v>
      </c>
      <c r="K48" s="1231"/>
      <c r="L48" s="1231"/>
      <c r="M48" s="1214">
        <f t="shared" si="0"/>
        <v>0</v>
      </c>
      <c r="N48" s="1214">
        <f t="shared" si="1"/>
        <v>0</v>
      </c>
      <c r="O48" s="1231"/>
      <c r="P48" s="1231"/>
      <c r="Q48" s="1231"/>
      <c r="R48" s="1214">
        <f t="shared" si="2"/>
        <v>0</v>
      </c>
      <c r="S48" s="1162"/>
      <c r="T48" s="1162"/>
      <c r="U48" s="1162" t="s">
        <v>1636</v>
      </c>
      <c r="V48" s="1162" t="s">
        <v>1637</v>
      </c>
      <c r="W48" s="1231"/>
    </row>
    <row r="49" spans="1:23" ht="15">
      <c r="A49" s="1156" t="s">
        <v>1638</v>
      </c>
      <c r="B49" s="1223" t="s">
        <v>1639</v>
      </c>
      <c r="C49" s="1156"/>
      <c r="D49" s="1195"/>
      <c r="E49" s="1195" t="s">
        <v>496</v>
      </c>
      <c r="F49" s="20"/>
      <c r="G49" s="20"/>
      <c r="H49" s="20"/>
      <c r="I49" s="1162" t="s">
        <v>1635</v>
      </c>
      <c r="J49" s="1162" t="s">
        <v>1661</v>
      </c>
      <c r="K49" s="1231"/>
      <c r="L49" s="1231"/>
      <c r="M49" s="1214">
        <f t="shared" si="0"/>
        <v>0</v>
      </c>
      <c r="N49" s="1214">
        <f t="shared" si="1"/>
        <v>0</v>
      </c>
      <c r="O49" s="1231"/>
      <c r="P49" s="1231"/>
      <c r="Q49" s="1231"/>
      <c r="R49" s="1214">
        <f t="shared" si="2"/>
        <v>0</v>
      </c>
      <c r="S49" s="1162"/>
      <c r="T49" s="1162"/>
      <c r="U49" s="1162" t="s">
        <v>1636</v>
      </c>
      <c r="V49" s="1162" t="s">
        <v>1637</v>
      </c>
      <c r="W49" s="1231"/>
    </row>
    <row r="50" spans="1:23" ht="15">
      <c r="A50" s="1156" t="s">
        <v>1638</v>
      </c>
      <c r="B50" s="1223" t="s">
        <v>1639</v>
      </c>
      <c r="C50" s="1156"/>
      <c r="D50" s="1195"/>
      <c r="E50" s="1195" t="s">
        <v>496</v>
      </c>
      <c r="F50" s="20"/>
      <c r="G50" s="20"/>
      <c r="H50" s="20"/>
      <c r="I50" s="1162" t="s">
        <v>1635</v>
      </c>
      <c r="J50" s="1162" t="s">
        <v>1661</v>
      </c>
      <c r="K50" s="1231"/>
      <c r="L50" s="1231"/>
      <c r="M50" s="1214">
        <f t="shared" si="0"/>
        <v>0</v>
      </c>
      <c r="N50" s="1214">
        <f t="shared" si="1"/>
        <v>0</v>
      </c>
      <c r="O50" s="1231"/>
      <c r="P50" s="1231"/>
      <c r="Q50" s="1231"/>
      <c r="R50" s="1214">
        <f t="shared" si="2"/>
        <v>0</v>
      </c>
      <c r="S50" s="1162"/>
      <c r="T50" s="1162"/>
      <c r="U50" s="1162" t="s">
        <v>1636</v>
      </c>
      <c r="V50" s="1162" t="s">
        <v>1637</v>
      </c>
      <c r="W50" s="1231"/>
    </row>
    <row r="51" spans="1:23" ht="15">
      <c r="A51" s="1156" t="s">
        <v>1638</v>
      </c>
      <c r="B51" s="1223" t="s">
        <v>1639</v>
      </c>
      <c r="C51" s="1156"/>
      <c r="D51" s="1195"/>
      <c r="E51" s="1195" t="s">
        <v>496</v>
      </c>
      <c r="F51" s="20"/>
      <c r="G51" s="20"/>
      <c r="H51" s="20"/>
      <c r="I51" s="1162" t="s">
        <v>1635</v>
      </c>
      <c r="J51" s="1162" t="s">
        <v>1661</v>
      </c>
      <c r="K51" s="1231"/>
      <c r="L51" s="1231"/>
      <c r="M51" s="1214">
        <f t="shared" si="0"/>
        <v>0</v>
      </c>
      <c r="N51" s="1214">
        <f t="shared" si="1"/>
        <v>0</v>
      </c>
      <c r="O51" s="1231"/>
      <c r="P51" s="1231"/>
      <c r="Q51" s="1231"/>
      <c r="R51" s="1214">
        <f t="shared" si="2"/>
        <v>0</v>
      </c>
      <c r="S51" s="1162"/>
      <c r="T51" s="1162"/>
      <c r="U51" s="1162" t="s">
        <v>1636</v>
      </c>
      <c r="V51" s="1162" t="s">
        <v>1637</v>
      </c>
      <c r="W51" s="1231"/>
    </row>
    <row r="52" spans="1:23" ht="15">
      <c r="A52" s="1156" t="s">
        <v>1638</v>
      </c>
      <c r="B52" s="1223" t="s">
        <v>1639</v>
      </c>
      <c r="C52" s="1156"/>
      <c r="D52" s="1195"/>
      <c r="E52" s="1195" t="s">
        <v>496</v>
      </c>
      <c r="F52" s="20"/>
      <c r="G52" s="20"/>
      <c r="H52" s="20"/>
      <c r="I52" s="1162" t="s">
        <v>1635</v>
      </c>
      <c r="J52" s="1162" t="s">
        <v>1661</v>
      </c>
      <c r="K52" s="1231"/>
      <c r="L52" s="1231"/>
      <c r="M52" s="1214">
        <f t="shared" si="0"/>
        <v>0</v>
      </c>
      <c r="N52" s="1214">
        <f t="shared" si="1"/>
        <v>0</v>
      </c>
      <c r="O52" s="1231"/>
      <c r="P52" s="1231"/>
      <c r="Q52" s="1231"/>
      <c r="R52" s="1214">
        <f t="shared" si="2"/>
        <v>0</v>
      </c>
      <c r="S52" s="1162"/>
      <c r="T52" s="1162"/>
      <c r="U52" s="1162" t="s">
        <v>1636</v>
      </c>
      <c r="V52" s="1162" t="s">
        <v>1637</v>
      </c>
      <c r="W52" s="1231"/>
    </row>
    <row r="53" spans="1:23" ht="15">
      <c r="A53" s="1156" t="s">
        <v>1638</v>
      </c>
      <c r="B53" s="1223" t="s">
        <v>1639</v>
      </c>
      <c r="C53" s="1156"/>
      <c r="D53" s="1195"/>
      <c r="E53" s="1195" t="s">
        <v>496</v>
      </c>
      <c r="F53" s="20"/>
      <c r="G53" s="20"/>
      <c r="H53" s="20"/>
      <c r="I53" s="1162" t="s">
        <v>1635</v>
      </c>
      <c r="J53" s="1162" t="s">
        <v>1661</v>
      </c>
      <c r="K53" s="1231"/>
      <c r="L53" s="1231"/>
      <c r="M53" s="1214">
        <f t="shared" si="0"/>
        <v>0</v>
      </c>
      <c r="N53" s="1214">
        <f t="shared" si="1"/>
        <v>0</v>
      </c>
      <c r="O53" s="1231"/>
      <c r="P53" s="1231"/>
      <c r="Q53" s="1231"/>
      <c r="R53" s="1214">
        <f t="shared" si="2"/>
        <v>0</v>
      </c>
      <c r="S53" s="1162"/>
      <c r="T53" s="1162"/>
      <c r="U53" s="1162" t="s">
        <v>1636</v>
      </c>
      <c r="V53" s="1162" t="s">
        <v>1637</v>
      </c>
      <c r="W53" s="1231"/>
    </row>
    <row r="54" spans="1:23" ht="15">
      <c r="A54" s="1156" t="s">
        <v>1638</v>
      </c>
      <c r="B54" s="1223" t="s">
        <v>1639</v>
      </c>
      <c r="C54" s="1156"/>
      <c r="D54" s="1195"/>
      <c r="E54" s="1195" t="s">
        <v>496</v>
      </c>
      <c r="F54" s="20"/>
      <c r="G54" s="20"/>
      <c r="H54" s="20"/>
      <c r="I54" s="1162" t="s">
        <v>1635</v>
      </c>
      <c r="J54" s="1162" t="s">
        <v>1661</v>
      </c>
      <c r="K54" s="1231"/>
      <c r="L54" s="1231"/>
      <c r="M54" s="1214">
        <f t="shared" si="0"/>
        <v>0</v>
      </c>
      <c r="N54" s="1214">
        <f t="shared" si="1"/>
        <v>0</v>
      </c>
      <c r="O54" s="1231"/>
      <c r="P54" s="1231"/>
      <c r="Q54" s="1231"/>
      <c r="R54" s="1214">
        <f t="shared" si="2"/>
        <v>0</v>
      </c>
      <c r="S54" s="1162"/>
      <c r="T54" s="1162"/>
      <c r="U54" s="1162" t="s">
        <v>1636</v>
      </c>
      <c r="V54" s="1162" t="s">
        <v>1637</v>
      </c>
      <c r="W54" s="1231"/>
    </row>
    <row r="55" spans="1:23" ht="15">
      <c r="A55" s="1156" t="s">
        <v>1638</v>
      </c>
      <c r="B55" s="1223" t="s">
        <v>1639</v>
      </c>
      <c r="C55" s="1156"/>
      <c r="D55" s="1195"/>
      <c r="E55" s="1195" t="s">
        <v>496</v>
      </c>
      <c r="F55" s="20"/>
      <c r="G55" s="20"/>
      <c r="H55" s="20"/>
      <c r="I55" s="1162" t="s">
        <v>1635</v>
      </c>
      <c r="J55" s="1162" t="s">
        <v>1661</v>
      </c>
      <c r="K55" s="1231"/>
      <c r="L55" s="1231"/>
      <c r="M55" s="1214">
        <f t="shared" si="0"/>
        <v>0</v>
      </c>
      <c r="N55" s="1214">
        <f t="shared" si="1"/>
        <v>0</v>
      </c>
      <c r="O55" s="1231"/>
      <c r="P55" s="1231"/>
      <c r="Q55" s="1231"/>
      <c r="R55" s="1214">
        <f t="shared" si="2"/>
        <v>0</v>
      </c>
      <c r="S55" s="1162"/>
      <c r="T55" s="1162"/>
      <c r="U55" s="1162" t="s">
        <v>1636</v>
      </c>
      <c r="V55" s="1162" t="s">
        <v>1637</v>
      </c>
      <c r="W55" s="1231"/>
    </row>
    <row r="56" spans="1:23" ht="15">
      <c r="A56" s="1156" t="s">
        <v>1638</v>
      </c>
      <c r="B56" s="1223" t="s">
        <v>1639</v>
      </c>
      <c r="C56" s="1156"/>
      <c r="D56" s="1195"/>
      <c r="E56" s="1195" t="s">
        <v>496</v>
      </c>
      <c r="F56" s="20"/>
      <c r="G56" s="20"/>
      <c r="H56" s="20"/>
      <c r="I56" s="1162" t="s">
        <v>1635</v>
      </c>
      <c r="J56" s="1162" t="s">
        <v>1661</v>
      </c>
      <c r="K56" s="1231"/>
      <c r="L56" s="1231"/>
      <c r="M56" s="1214">
        <f t="shared" si="0"/>
        <v>0</v>
      </c>
      <c r="N56" s="1214">
        <f t="shared" si="1"/>
        <v>0</v>
      </c>
      <c r="O56" s="1231"/>
      <c r="P56" s="1231"/>
      <c r="Q56" s="1231"/>
      <c r="R56" s="1214">
        <f t="shared" si="2"/>
        <v>0</v>
      </c>
      <c r="S56" s="1162"/>
      <c r="T56" s="1162"/>
      <c r="U56" s="1162" t="s">
        <v>1636</v>
      </c>
      <c r="V56" s="1162" t="s">
        <v>1637</v>
      </c>
      <c r="W56" s="1231"/>
    </row>
    <row r="57" spans="1:23" ht="15">
      <c r="A57" s="1156" t="s">
        <v>1638</v>
      </c>
      <c r="B57" s="1223" t="s">
        <v>1639</v>
      </c>
      <c r="C57" s="1156"/>
      <c r="D57" s="1195"/>
      <c r="E57" s="1195" t="s">
        <v>496</v>
      </c>
      <c r="F57" s="20"/>
      <c r="G57" s="20"/>
      <c r="H57" s="20"/>
      <c r="I57" s="1162" t="s">
        <v>1635</v>
      </c>
      <c r="J57" s="1162" t="s">
        <v>1661</v>
      </c>
      <c r="K57" s="1231"/>
      <c r="L57" s="1231"/>
      <c r="M57" s="1214">
        <f t="shared" si="0"/>
        <v>0</v>
      </c>
      <c r="N57" s="1214">
        <f t="shared" si="1"/>
        <v>0</v>
      </c>
      <c r="O57" s="1231"/>
      <c r="P57" s="1231"/>
      <c r="Q57" s="1231"/>
      <c r="R57" s="1214">
        <f t="shared" si="2"/>
        <v>0</v>
      </c>
      <c r="S57" s="1162"/>
      <c r="T57" s="1162"/>
      <c r="U57" s="1162" t="s">
        <v>1636</v>
      </c>
      <c r="V57" s="1162" t="s">
        <v>1637</v>
      </c>
      <c r="W57" s="1231"/>
    </row>
    <row r="58" spans="1:23" ht="15">
      <c r="A58" s="1156" t="s">
        <v>1638</v>
      </c>
      <c r="B58" s="1223" t="s">
        <v>1639</v>
      </c>
      <c r="C58" s="1156"/>
      <c r="D58" s="1195"/>
      <c r="E58" s="1195" t="s">
        <v>496</v>
      </c>
      <c r="F58" s="20"/>
      <c r="G58" s="20"/>
      <c r="H58" s="20"/>
      <c r="I58" s="1162" t="s">
        <v>1635</v>
      </c>
      <c r="J58" s="1162" t="s">
        <v>1661</v>
      </c>
      <c r="K58" s="1231"/>
      <c r="L58" s="1231"/>
      <c r="M58" s="1214">
        <f t="shared" si="0"/>
        <v>0</v>
      </c>
      <c r="N58" s="1214">
        <f t="shared" si="1"/>
        <v>0</v>
      </c>
      <c r="O58" s="1231"/>
      <c r="P58" s="1231"/>
      <c r="Q58" s="1231"/>
      <c r="R58" s="1214">
        <f t="shared" si="2"/>
        <v>0</v>
      </c>
      <c r="S58" s="1162"/>
      <c r="T58" s="1162"/>
      <c r="U58" s="1162" t="s">
        <v>1636</v>
      </c>
      <c r="V58" s="1162" t="s">
        <v>1637</v>
      </c>
      <c r="W58" s="1231"/>
    </row>
    <row r="59" spans="1:23" ht="15">
      <c r="A59" s="1156" t="s">
        <v>1638</v>
      </c>
      <c r="B59" s="1223" t="s">
        <v>1639</v>
      </c>
      <c r="C59" s="1156"/>
      <c r="D59" s="1195"/>
      <c r="E59" s="1195" t="s">
        <v>496</v>
      </c>
      <c r="F59" s="20"/>
      <c r="G59" s="20"/>
      <c r="H59" s="20"/>
      <c r="I59" s="1162" t="s">
        <v>1635</v>
      </c>
      <c r="J59" s="1162" t="s">
        <v>1661</v>
      </c>
      <c r="K59" s="1231"/>
      <c r="L59" s="1231"/>
      <c r="M59" s="1214">
        <f t="shared" si="0"/>
        <v>0</v>
      </c>
      <c r="N59" s="1214">
        <f t="shared" si="1"/>
        <v>0</v>
      </c>
      <c r="O59" s="1231"/>
      <c r="P59" s="1231"/>
      <c r="Q59" s="1231"/>
      <c r="R59" s="1214">
        <f t="shared" si="2"/>
        <v>0</v>
      </c>
      <c r="S59" s="1162"/>
      <c r="T59" s="1162"/>
      <c r="U59" s="1162" t="s">
        <v>1636</v>
      </c>
      <c r="V59" s="1162" t="s">
        <v>1637</v>
      </c>
      <c r="W59" s="1231"/>
    </row>
    <row r="60" spans="1:23" ht="15">
      <c r="A60" s="1156" t="s">
        <v>1638</v>
      </c>
      <c r="B60" s="1223" t="s">
        <v>1639</v>
      </c>
      <c r="C60" s="1156"/>
      <c r="D60" s="1195"/>
      <c r="E60" s="1195" t="s">
        <v>496</v>
      </c>
      <c r="F60" s="20"/>
      <c r="G60" s="20"/>
      <c r="H60" s="20"/>
      <c r="I60" s="1162" t="s">
        <v>1635</v>
      </c>
      <c r="J60" s="1162" t="s">
        <v>1661</v>
      </c>
      <c r="K60" s="1231"/>
      <c r="L60" s="1231"/>
      <c r="M60" s="1214">
        <f t="shared" si="0"/>
        <v>0</v>
      </c>
      <c r="N60" s="1214">
        <f t="shared" si="1"/>
        <v>0</v>
      </c>
      <c r="O60" s="1231"/>
      <c r="P60" s="1231"/>
      <c r="Q60" s="1231"/>
      <c r="R60" s="1214">
        <f t="shared" si="2"/>
        <v>0</v>
      </c>
      <c r="S60" s="1162"/>
      <c r="T60" s="1162"/>
      <c r="U60" s="1162" t="s">
        <v>1636</v>
      </c>
      <c r="V60" s="1162" t="s">
        <v>1637</v>
      </c>
      <c r="W60" s="1231"/>
    </row>
    <row r="61" spans="1:23" ht="15">
      <c r="A61" s="1156" t="s">
        <v>1638</v>
      </c>
      <c r="B61" s="1223" t="s">
        <v>1639</v>
      </c>
      <c r="C61" s="1156"/>
      <c r="D61" s="1195"/>
      <c r="E61" s="1195" t="s">
        <v>496</v>
      </c>
      <c r="F61" s="20"/>
      <c r="G61" s="20"/>
      <c r="H61" s="20"/>
      <c r="I61" s="1162" t="s">
        <v>1635</v>
      </c>
      <c r="J61" s="1162" t="s">
        <v>1661</v>
      </c>
      <c r="K61" s="1231"/>
      <c r="L61" s="1231"/>
      <c r="M61" s="1214">
        <f t="shared" si="0"/>
        <v>0</v>
      </c>
      <c r="N61" s="1214">
        <f t="shared" si="1"/>
        <v>0</v>
      </c>
      <c r="O61" s="1231"/>
      <c r="P61" s="1231"/>
      <c r="Q61" s="1231"/>
      <c r="R61" s="1214">
        <f t="shared" si="2"/>
        <v>0</v>
      </c>
      <c r="S61" s="1162"/>
      <c r="T61" s="1162"/>
      <c r="U61" s="1162" t="s">
        <v>1636</v>
      </c>
      <c r="V61" s="1162" t="s">
        <v>1637</v>
      </c>
      <c r="W61" s="1231"/>
    </row>
    <row r="62" spans="1:23" ht="15">
      <c r="A62" s="1156" t="s">
        <v>1638</v>
      </c>
      <c r="B62" s="1223" t="s">
        <v>1639</v>
      </c>
      <c r="C62" s="1156"/>
      <c r="D62" s="1195"/>
      <c r="E62" s="1195" t="s">
        <v>496</v>
      </c>
      <c r="F62" s="20"/>
      <c r="G62" s="20"/>
      <c r="H62" s="20"/>
      <c r="I62" s="1162" t="s">
        <v>1635</v>
      </c>
      <c r="J62" s="1162" t="s">
        <v>1661</v>
      </c>
      <c r="K62" s="1231"/>
      <c r="L62" s="1231"/>
      <c r="M62" s="1214">
        <f t="shared" si="0"/>
        <v>0</v>
      </c>
      <c r="N62" s="1214">
        <f t="shared" si="1"/>
        <v>0</v>
      </c>
      <c r="O62" s="1231"/>
      <c r="P62" s="1231"/>
      <c r="Q62" s="1231"/>
      <c r="R62" s="1214">
        <f t="shared" si="2"/>
        <v>0</v>
      </c>
      <c r="S62" s="1162"/>
      <c r="T62" s="1162"/>
      <c r="U62" s="1162" t="s">
        <v>1636</v>
      </c>
      <c r="V62" s="1162" t="s">
        <v>1637</v>
      </c>
      <c r="W62" s="1231"/>
    </row>
    <row r="63" spans="1:23" ht="15">
      <c r="A63" s="1156" t="s">
        <v>1638</v>
      </c>
      <c r="B63" s="1223" t="s">
        <v>1639</v>
      </c>
      <c r="C63" s="1156"/>
      <c r="D63" s="1195"/>
      <c r="E63" s="1195" t="s">
        <v>496</v>
      </c>
      <c r="F63" s="20"/>
      <c r="G63" s="20"/>
      <c r="H63" s="20"/>
      <c r="I63" s="1162" t="s">
        <v>1635</v>
      </c>
      <c r="J63" s="1162" t="s">
        <v>1661</v>
      </c>
      <c r="K63" s="1231"/>
      <c r="L63" s="1231"/>
      <c r="M63" s="1214">
        <f t="shared" si="0"/>
        <v>0</v>
      </c>
      <c r="N63" s="1214">
        <f t="shared" si="1"/>
        <v>0</v>
      </c>
      <c r="O63" s="1231"/>
      <c r="P63" s="1231"/>
      <c r="Q63" s="1231"/>
      <c r="R63" s="1214">
        <f t="shared" si="2"/>
        <v>0</v>
      </c>
      <c r="S63" s="1162"/>
      <c r="T63" s="1162"/>
      <c r="U63" s="1162" t="s">
        <v>1636</v>
      </c>
      <c r="V63" s="1162" t="s">
        <v>1637</v>
      </c>
      <c r="W63" s="1231"/>
    </row>
    <row r="64" spans="1:23" ht="15">
      <c r="A64" s="1156" t="s">
        <v>1638</v>
      </c>
      <c r="B64" s="1223" t="s">
        <v>1639</v>
      </c>
      <c r="C64" s="1156"/>
      <c r="D64" s="1195"/>
      <c r="E64" s="1195" t="s">
        <v>496</v>
      </c>
      <c r="F64" s="20"/>
      <c r="G64" s="20"/>
      <c r="H64" s="20"/>
      <c r="I64" s="1162" t="s">
        <v>1635</v>
      </c>
      <c r="J64" s="1162" t="s">
        <v>1661</v>
      </c>
      <c r="K64" s="1231"/>
      <c r="L64" s="1231"/>
      <c r="M64" s="1214">
        <f t="shared" si="0"/>
        <v>0</v>
      </c>
      <c r="N64" s="1214">
        <f t="shared" si="1"/>
        <v>0</v>
      </c>
      <c r="O64" s="1231"/>
      <c r="P64" s="1231"/>
      <c r="Q64" s="1231"/>
      <c r="R64" s="1214">
        <f t="shared" si="2"/>
        <v>0</v>
      </c>
      <c r="S64" s="1162"/>
      <c r="T64" s="1162"/>
      <c r="U64" s="1162" t="s">
        <v>1636</v>
      </c>
      <c r="V64" s="1162" t="s">
        <v>1637</v>
      </c>
      <c r="W64" s="1231"/>
    </row>
    <row r="65" spans="1:23" ht="15">
      <c r="A65" s="1156" t="s">
        <v>1638</v>
      </c>
      <c r="B65" s="1223" t="s">
        <v>1639</v>
      </c>
      <c r="C65" s="1156"/>
      <c r="D65" s="1195"/>
      <c r="E65" s="1195" t="s">
        <v>496</v>
      </c>
      <c r="F65" s="20"/>
      <c r="G65" s="20"/>
      <c r="H65" s="20"/>
      <c r="I65" s="1162" t="s">
        <v>1635</v>
      </c>
      <c r="J65" s="1162" t="s">
        <v>1661</v>
      </c>
      <c r="K65" s="1231"/>
      <c r="L65" s="1231"/>
      <c r="M65" s="1214">
        <f t="shared" si="0"/>
        <v>0</v>
      </c>
      <c r="N65" s="1214">
        <f t="shared" si="1"/>
        <v>0</v>
      </c>
      <c r="O65" s="1231"/>
      <c r="P65" s="1231"/>
      <c r="Q65" s="1231"/>
      <c r="R65" s="1214">
        <f t="shared" si="2"/>
        <v>0</v>
      </c>
      <c r="S65" s="1162"/>
      <c r="T65" s="1162"/>
      <c r="U65" s="1162" t="s">
        <v>1636</v>
      </c>
      <c r="V65" s="1162" t="s">
        <v>1637</v>
      </c>
      <c r="W65" s="1231"/>
    </row>
    <row r="66" spans="1:23" ht="15">
      <c r="A66" s="1156" t="s">
        <v>1638</v>
      </c>
      <c r="B66" s="1223" t="s">
        <v>1639</v>
      </c>
      <c r="C66" s="1156"/>
      <c r="D66" s="1195"/>
      <c r="E66" s="1195" t="s">
        <v>496</v>
      </c>
      <c r="F66" s="20"/>
      <c r="G66" s="20"/>
      <c r="H66" s="20"/>
      <c r="I66" s="1162" t="s">
        <v>1635</v>
      </c>
      <c r="J66" s="1162" t="s">
        <v>1661</v>
      </c>
      <c r="K66" s="1231"/>
      <c r="L66" s="1231"/>
      <c r="M66" s="1214">
        <f t="shared" si="0"/>
        <v>0</v>
      </c>
      <c r="N66" s="1214">
        <f t="shared" si="1"/>
        <v>0</v>
      </c>
      <c r="O66" s="1231"/>
      <c r="P66" s="1231"/>
      <c r="Q66" s="1231"/>
      <c r="R66" s="1214">
        <f t="shared" si="2"/>
        <v>0</v>
      </c>
      <c r="S66" s="1162"/>
      <c r="T66" s="1162"/>
      <c r="U66" s="1162" t="s">
        <v>1636</v>
      </c>
      <c r="V66" s="1162" t="s">
        <v>1637</v>
      </c>
      <c r="W66" s="1231"/>
    </row>
    <row r="67" spans="1:23" ht="15">
      <c r="A67" s="1156" t="s">
        <v>1638</v>
      </c>
      <c r="B67" s="1223" t="s">
        <v>1639</v>
      </c>
      <c r="C67" s="1156"/>
      <c r="D67" s="1195"/>
      <c r="E67" s="1195" t="s">
        <v>496</v>
      </c>
      <c r="F67" s="20"/>
      <c r="G67" s="20"/>
      <c r="H67" s="20"/>
      <c r="I67" s="1162" t="s">
        <v>1635</v>
      </c>
      <c r="J67" s="1162" t="s">
        <v>1661</v>
      </c>
      <c r="K67" s="1231"/>
      <c r="L67" s="1231"/>
      <c r="M67" s="1214">
        <f t="shared" si="0"/>
        <v>0</v>
      </c>
      <c r="N67" s="1214">
        <f t="shared" si="1"/>
        <v>0</v>
      </c>
      <c r="O67" s="1231"/>
      <c r="P67" s="1231"/>
      <c r="Q67" s="1231"/>
      <c r="R67" s="1214">
        <f t="shared" si="2"/>
        <v>0</v>
      </c>
      <c r="S67" s="1162"/>
      <c r="T67" s="1162"/>
      <c r="U67" s="1162" t="s">
        <v>1636</v>
      </c>
      <c r="V67" s="1162" t="s">
        <v>1637</v>
      </c>
      <c r="W67" s="1231"/>
    </row>
    <row r="68" spans="1:23" ht="15">
      <c r="A68" s="1156" t="s">
        <v>1638</v>
      </c>
      <c r="B68" s="1223" t="s">
        <v>1639</v>
      </c>
      <c r="C68" s="1156"/>
      <c r="D68" s="1195"/>
      <c r="E68" s="1195" t="s">
        <v>496</v>
      </c>
      <c r="F68" s="20"/>
      <c r="G68" s="20"/>
      <c r="H68" s="20"/>
      <c r="I68" s="1162" t="s">
        <v>1635</v>
      </c>
      <c r="J68" s="1162" t="s">
        <v>1661</v>
      </c>
      <c r="K68" s="1231"/>
      <c r="L68" s="1231"/>
      <c r="M68" s="1214">
        <f t="shared" si="0"/>
        <v>0</v>
      </c>
      <c r="N68" s="1214">
        <f t="shared" si="1"/>
        <v>0</v>
      </c>
      <c r="O68" s="1231"/>
      <c r="P68" s="1231"/>
      <c r="Q68" s="1231"/>
      <c r="R68" s="1214">
        <f t="shared" si="2"/>
        <v>0</v>
      </c>
      <c r="S68" s="1162"/>
      <c r="T68" s="1162"/>
      <c r="U68" s="1162" t="s">
        <v>1636</v>
      </c>
      <c r="V68" s="1162" t="s">
        <v>1637</v>
      </c>
      <c r="W68" s="1231"/>
    </row>
    <row r="69" spans="1:23" ht="15">
      <c r="A69" s="1156" t="s">
        <v>1638</v>
      </c>
      <c r="B69" s="1223" t="s">
        <v>1639</v>
      </c>
      <c r="C69" s="1156"/>
      <c r="D69" s="1195"/>
      <c r="E69" s="1195" t="s">
        <v>496</v>
      </c>
      <c r="F69" s="20"/>
      <c r="G69" s="20"/>
      <c r="H69" s="20"/>
      <c r="I69" s="1162" t="s">
        <v>1635</v>
      </c>
      <c r="J69" s="1162" t="s">
        <v>1661</v>
      </c>
      <c r="K69" s="1231"/>
      <c r="L69" s="1231"/>
      <c r="M69" s="1214">
        <f t="shared" si="0"/>
        <v>0</v>
      </c>
      <c r="N69" s="1214">
        <f t="shared" si="1"/>
        <v>0</v>
      </c>
      <c r="O69" s="1231"/>
      <c r="P69" s="1231"/>
      <c r="Q69" s="1231"/>
      <c r="R69" s="1214">
        <f t="shared" si="2"/>
        <v>0</v>
      </c>
      <c r="S69" s="1162"/>
      <c r="T69" s="1162"/>
      <c r="U69" s="1162" t="s">
        <v>1636</v>
      </c>
      <c r="V69" s="1162" t="s">
        <v>1637</v>
      </c>
      <c r="W69" s="1231"/>
    </row>
    <row r="70" spans="1:23" ht="15">
      <c r="A70" s="1156" t="s">
        <v>1638</v>
      </c>
      <c r="B70" s="1223" t="s">
        <v>1639</v>
      </c>
      <c r="C70" s="1156"/>
      <c r="D70" s="1195"/>
      <c r="E70" s="1195" t="s">
        <v>496</v>
      </c>
      <c r="F70" s="20"/>
      <c r="G70" s="20"/>
      <c r="H70" s="20"/>
      <c r="I70" s="1162" t="s">
        <v>1635</v>
      </c>
      <c r="J70" s="1162" t="s">
        <v>1661</v>
      </c>
      <c r="K70" s="1231"/>
      <c r="L70" s="1231"/>
      <c r="M70" s="1214">
        <f t="shared" si="0"/>
        <v>0</v>
      </c>
      <c r="N70" s="1214">
        <f t="shared" si="1"/>
        <v>0</v>
      </c>
      <c r="O70" s="1231"/>
      <c r="P70" s="1231"/>
      <c r="Q70" s="1231"/>
      <c r="R70" s="1214">
        <f t="shared" si="2"/>
        <v>0</v>
      </c>
      <c r="S70" s="1162"/>
      <c r="T70" s="1162"/>
      <c r="U70" s="1162" t="s">
        <v>1636</v>
      </c>
      <c r="V70" s="1162" t="s">
        <v>1637</v>
      </c>
      <c r="W70" s="1231"/>
    </row>
    <row r="71" spans="1:23" ht="15">
      <c r="A71" s="1156" t="s">
        <v>1638</v>
      </c>
      <c r="B71" s="1223" t="s">
        <v>1639</v>
      </c>
      <c r="C71" s="1156"/>
      <c r="D71" s="1195"/>
      <c r="E71" s="1195" t="s">
        <v>496</v>
      </c>
      <c r="F71" s="20"/>
      <c r="G71" s="20"/>
      <c r="H71" s="20"/>
      <c r="I71" s="1162" t="s">
        <v>1635</v>
      </c>
      <c r="J71" s="1162" t="s">
        <v>1661</v>
      </c>
      <c r="K71" s="1231"/>
      <c r="L71" s="1231"/>
      <c r="M71" s="1214">
        <f t="shared" si="0"/>
        <v>0</v>
      </c>
      <c r="N71" s="1214">
        <f t="shared" si="1"/>
        <v>0</v>
      </c>
      <c r="O71" s="1231"/>
      <c r="P71" s="1231"/>
      <c r="Q71" s="1231"/>
      <c r="R71" s="1214">
        <f t="shared" si="2"/>
        <v>0</v>
      </c>
      <c r="S71" s="1162"/>
      <c r="T71" s="1162"/>
      <c r="U71" s="1162" t="s">
        <v>1636</v>
      </c>
      <c r="V71" s="1162" t="s">
        <v>1637</v>
      </c>
      <c r="W71" s="1231"/>
    </row>
    <row r="72" spans="1:23" ht="15">
      <c r="A72" s="1156" t="s">
        <v>1638</v>
      </c>
      <c r="B72" s="1223" t="s">
        <v>1639</v>
      </c>
      <c r="C72" s="1156"/>
      <c r="D72" s="1195"/>
      <c r="E72" s="1195" t="s">
        <v>496</v>
      </c>
      <c r="F72" s="20"/>
      <c r="G72" s="20"/>
      <c r="H72" s="20"/>
      <c r="I72" s="1162" t="s">
        <v>1635</v>
      </c>
      <c r="J72" s="1162" t="s">
        <v>1661</v>
      </c>
      <c r="K72" s="1231"/>
      <c r="L72" s="1231"/>
      <c r="M72" s="1214">
        <f t="shared" si="0"/>
        <v>0</v>
      </c>
      <c r="N72" s="1214">
        <f t="shared" si="1"/>
        <v>0</v>
      </c>
      <c r="O72" s="1231"/>
      <c r="P72" s="1231"/>
      <c r="Q72" s="1231"/>
      <c r="R72" s="1214">
        <f t="shared" si="2"/>
        <v>0</v>
      </c>
      <c r="S72" s="1162"/>
      <c r="T72" s="1162"/>
      <c r="U72" s="1162" t="s">
        <v>1636</v>
      </c>
      <c r="V72" s="1162" t="s">
        <v>1637</v>
      </c>
      <c r="W72" s="1231"/>
    </row>
    <row r="73" spans="1:23" ht="15">
      <c r="A73" s="1156" t="s">
        <v>1638</v>
      </c>
      <c r="B73" s="1223" t="s">
        <v>1639</v>
      </c>
      <c r="C73" s="1156"/>
      <c r="D73" s="1195"/>
      <c r="E73" s="1195" t="s">
        <v>496</v>
      </c>
      <c r="F73" s="20"/>
      <c r="G73" s="20"/>
      <c r="H73" s="20"/>
      <c r="I73" s="1162" t="s">
        <v>1635</v>
      </c>
      <c r="J73" s="1162" t="s">
        <v>1661</v>
      </c>
      <c r="K73" s="1231"/>
      <c r="L73" s="1231"/>
      <c r="M73" s="1214">
        <f t="shared" si="0"/>
        <v>0</v>
      </c>
      <c r="N73" s="1214">
        <f t="shared" si="1"/>
        <v>0</v>
      </c>
      <c r="O73" s="1231"/>
      <c r="P73" s="1231"/>
      <c r="Q73" s="1231"/>
      <c r="R73" s="1214">
        <f t="shared" si="2"/>
        <v>0</v>
      </c>
      <c r="S73" s="1162"/>
      <c r="T73" s="1162"/>
      <c r="U73" s="1162" t="s">
        <v>1636</v>
      </c>
      <c r="V73" s="1162" t="s">
        <v>1637</v>
      </c>
      <c r="W73" s="1231"/>
    </row>
    <row r="74" spans="1:23" ht="15">
      <c r="A74" s="1156" t="s">
        <v>1638</v>
      </c>
      <c r="B74" s="1223" t="s">
        <v>1639</v>
      </c>
      <c r="C74" s="1156"/>
      <c r="D74" s="1195"/>
      <c r="E74" s="1195" t="s">
        <v>496</v>
      </c>
      <c r="F74" s="20"/>
      <c r="G74" s="20"/>
      <c r="H74" s="20"/>
      <c r="I74" s="1162" t="s">
        <v>1635</v>
      </c>
      <c r="J74" s="1162" t="s">
        <v>1661</v>
      </c>
      <c r="K74" s="1231"/>
      <c r="L74" s="1231"/>
      <c r="M74" s="1214">
        <f t="shared" ref="M74:M91" si="3">K74-L74</f>
        <v>0</v>
      </c>
      <c r="N74" s="1214">
        <f t="shared" ref="N74:N91" si="4">O74-P74-Q74</f>
        <v>0</v>
      </c>
      <c r="O74" s="1231"/>
      <c r="P74" s="1231"/>
      <c r="Q74" s="1231"/>
      <c r="R74" s="1214">
        <f t="shared" ref="R74:R91" si="5">N74-M74</f>
        <v>0</v>
      </c>
      <c r="S74" s="1162"/>
      <c r="T74" s="1162"/>
      <c r="U74" s="1162" t="s">
        <v>1636</v>
      </c>
      <c r="V74" s="1162" t="s">
        <v>1637</v>
      </c>
      <c r="W74" s="1231"/>
    </row>
    <row r="75" spans="1:23" ht="15">
      <c r="A75" s="1156" t="s">
        <v>1638</v>
      </c>
      <c r="B75" s="1223" t="s">
        <v>1639</v>
      </c>
      <c r="C75" s="1156"/>
      <c r="D75" s="1195"/>
      <c r="E75" s="1195" t="s">
        <v>496</v>
      </c>
      <c r="F75" s="20"/>
      <c r="G75" s="20"/>
      <c r="H75" s="20"/>
      <c r="I75" s="1162" t="s">
        <v>1635</v>
      </c>
      <c r="J75" s="1162" t="s">
        <v>1661</v>
      </c>
      <c r="K75" s="1231"/>
      <c r="L75" s="1231"/>
      <c r="M75" s="1214">
        <f t="shared" si="3"/>
        <v>0</v>
      </c>
      <c r="N75" s="1214">
        <f t="shared" si="4"/>
        <v>0</v>
      </c>
      <c r="O75" s="1231"/>
      <c r="P75" s="1231"/>
      <c r="Q75" s="1231"/>
      <c r="R75" s="1214">
        <f t="shared" si="5"/>
        <v>0</v>
      </c>
      <c r="S75" s="1162"/>
      <c r="T75" s="1162"/>
      <c r="U75" s="1162" t="s">
        <v>1636</v>
      </c>
      <c r="V75" s="1162" t="s">
        <v>1637</v>
      </c>
      <c r="W75" s="1231"/>
    </row>
    <row r="76" spans="1:23" ht="15">
      <c r="A76" s="1156" t="s">
        <v>1638</v>
      </c>
      <c r="B76" s="1223" t="s">
        <v>1639</v>
      </c>
      <c r="C76" s="1156"/>
      <c r="D76" s="1195"/>
      <c r="E76" s="1195" t="s">
        <v>496</v>
      </c>
      <c r="F76" s="20"/>
      <c r="G76" s="20"/>
      <c r="H76" s="20"/>
      <c r="I76" s="1162" t="s">
        <v>1635</v>
      </c>
      <c r="J76" s="1162" t="s">
        <v>1661</v>
      </c>
      <c r="K76" s="1231"/>
      <c r="L76" s="1231"/>
      <c r="M76" s="1214">
        <f t="shared" si="3"/>
        <v>0</v>
      </c>
      <c r="N76" s="1214">
        <f t="shared" si="4"/>
        <v>0</v>
      </c>
      <c r="O76" s="1231"/>
      <c r="P76" s="1231"/>
      <c r="Q76" s="1231"/>
      <c r="R76" s="1214">
        <f t="shared" si="5"/>
        <v>0</v>
      </c>
      <c r="S76" s="1162"/>
      <c r="T76" s="1162"/>
      <c r="U76" s="1162" t="s">
        <v>1636</v>
      </c>
      <c r="V76" s="1162" t="s">
        <v>1637</v>
      </c>
      <c r="W76" s="1231"/>
    </row>
    <row r="77" spans="1:23" ht="15">
      <c r="A77" s="1156" t="s">
        <v>1638</v>
      </c>
      <c r="B77" s="1223" t="s">
        <v>1639</v>
      </c>
      <c r="C77" s="1156"/>
      <c r="D77" s="1195"/>
      <c r="E77" s="1195" t="s">
        <v>496</v>
      </c>
      <c r="F77" s="20"/>
      <c r="G77" s="20"/>
      <c r="H77" s="20"/>
      <c r="I77" s="1162" t="s">
        <v>1635</v>
      </c>
      <c r="J77" s="1162" t="s">
        <v>1661</v>
      </c>
      <c r="K77" s="1231"/>
      <c r="L77" s="1231"/>
      <c r="M77" s="1214">
        <f t="shared" si="3"/>
        <v>0</v>
      </c>
      <c r="N77" s="1214">
        <f t="shared" si="4"/>
        <v>0</v>
      </c>
      <c r="O77" s="1231"/>
      <c r="P77" s="1231"/>
      <c r="Q77" s="1231"/>
      <c r="R77" s="1214">
        <f t="shared" si="5"/>
        <v>0</v>
      </c>
      <c r="S77" s="1162"/>
      <c r="T77" s="1162"/>
      <c r="U77" s="1162" t="s">
        <v>1636</v>
      </c>
      <c r="V77" s="1162" t="s">
        <v>1637</v>
      </c>
      <c r="W77" s="1231"/>
    </row>
    <row r="78" spans="1:23" ht="15">
      <c r="A78" s="1156" t="s">
        <v>1638</v>
      </c>
      <c r="B78" s="1223" t="s">
        <v>1639</v>
      </c>
      <c r="C78" s="1156"/>
      <c r="D78" s="1195"/>
      <c r="E78" s="1195" t="s">
        <v>496</v>
      </c>
      <c r="F78" s="20"/>
      <c r="G78" s="20"/>
      <c r="H78" s="20"/>
      <c r="I78" s="1162" t="s">
        <v>1635</v>
      </c>
      <c r="J78" s="1162" t="s">
        <v>1661</v>
      </c>
      <c r="K78" s="1231"/>
      <c r="L78" s="1231"/>
      <c r="M78" s="1214">
        <f t="shared" si="3"/>
        <v>0</v>
      </c>
      <c r="N78" s="1214">
        <f t="shared" si="4"/>
        <v>0</v>
      </c>
      <c r="O78" s="1231"/>
      <c r="P78" s="1231"/>
      <c r="Q78" s="1231"/>
      <c r="R78" s="1214">
        <f t="shared" si="5"/>
        <v>0</v>
      </c>
      <c r="S78" s="1162"/>
      <c r="T78" s="1162"/>
      <c r="U78" s="1162" t="s">
        <v>1636</v>
      </c>
      <c r="V78" s="1162" t="s">
        <v>1637</v>
      </c>
      <c r="W78" s="1231"/>
    </row>
    <row r="79" spans="1:23" ht="15">
      <c r="A79" s="1156" t="s">
        <v>1638</v>
      </c>
      <c r="B79" s="1223" t="s">
        <v>1639</v>
      </c>
      <c r="C79" s="1156"/>
      <c r="D79" s="1195"/>
      <c r="E79" s="1195" t="s">
        <v>496</v>
      </c>
      <c r="F79" s="20"/>
      <c r="G79" s="20"/>
      <c r="H79" s="20"/>
      <c r="I79" s="1162" t="s">
        <v>1635</v>
      </c>
      <c r="J79" s="1162" t="s">
        <v>1661</v>
      </c>
      <c r="K79" s="1231"/>
      <c r="L79" s="1231"/>
      <c r="M79" s="1214">
        <f t="shared" si="3"/>
        <v>0</v>
      </c>
      <c r="N79" s="1214">
        <f t="shared" si="4"/>
        <v>0</v>
      </c>
      <c r="O79" s="1231"/>
      <c r="P79" s="1231"/>
      <c r="Q79" s="1231"/>
      <c r="R79" s="1214">
        <f t="shared" si="5"/>
        <v>0</v>
      </c>
      <c r="S79" s="1162"/>
      <c r="T79" s="1162"/>
      <c r="U79" s="1162" t="s">
        <v>1636</v>
      </c>
      <c r="V79" s="1162" t="s">
        <v>1637</v>
      </c>
      <c r="W79" s="1231"/>
    </row>
    <row r="80" spans="1:23" ht="15">
      <c r="A80" s="1156" t="s">
        <v>1638</v>
      </c>
      <c r="B80" s="1223" t="s">
        <v>1639</v>
      </c>
      <c r="C80" s="1156"/>
      <c r="D80" s="1195"/>
      <c r="E80" s="1195" t="s">
        <v>496</v>
      </c>
      <c r="F80" s="20"/>
      <c r="G80" s="20"/>
      <c r="H80" s="20"/>
      <c r="I80" s="1162" t="s">
        <v>1635</v>
      </c>
      <c r="J80" s="1162" t="s">
        <v>1661</v>
      </c>
      <c r="K80" s="1231"/>
      <c r="L80" s="1231"/>
      <c r="M80" s="1214">
        <f t="shared" si="3"/>
        <v>0</v>
      </c>
      <c r="N80" s="1214">
        <f t="shared" si="4"/>
        <v>0</v>
      </c>
      <c r="O80" s="1231"/>
      <c r="P80" s="1231"/>
      <c r="Q80" s="1231"/>
      <c r="R80" s="1214">
        <f t="shared" si="5"/>
        <v>0</v>
      </c>
      <c r="S80" s="1162"/>
      <c r="T80" s="1162"/>
      <c r="U80" s="1162" t="s">
        <v>1636</v>
      </c>
      <c r="V80" s="1162" t="s">
        <v>1637</v>
      </c>
      <c r="W80" s="1231"/>
    </row>
    <row r="81" spans="1:23" ht="15">
      <c r="A81" s="1156" t="s">
        <v>1638</v>
      </c>
      <c r="B81" s="1223" t="s">
        <v>1639</v>
      </c>
      <c r="C81" s="1156"/>
      <c r="D81" s="1195"/>
      <c r="E81" s="1195" t="s">
        <v>496</v>
      </c>
      <c r="F81" s="20"/>
      <c r="G81" s="20"/>
      <c r="H81" s="20"/>
      <c r="I81" s="1162" t="s">
        <v>1635</v>
      </c>
      <c r="J81" s="1162" t="s">
        <v>1661</v>
      </c>
      <c r="K81" s="1231"/>
      <c r="L81" s="1231"/>
      <c r="M81" s="1214">
        <f t="shared" si="3"/>
        <v>0</v>
      </c>
      <c r="N81" s="1214">
        <f t="shared" si="4"/>
        <v>0</v>
      </c>
      <c r="O81" s="1231"/>
      <c r="P81" s="1231"/>
      <c r="Q81" s="1231"/>
      <c r="R81" s="1214">
        <f t="shared" si="5"/>
        <v>0</v>
      </c>
      <c r="S81" s="1162"/>
      <c r="T81" s="1162"/>
      <c r="U81" s="1162" t="s">
        <v>1636</v>
      </c>
      <c r="V81" s="1162" t="s">
        <v>1637</v>
      </c>
      <c r="W81" s="1231"/>
    </row>
    <row r="82" spans="1:23" ht="15">
      <c r="A82" s="1156" t="s">
        <v>1638</v>
      </c>
      <c r="B82" s="1223" t="s">
        <v>1639</v>
      </c>
      <c r="C82" s="1156"/>
      <c r="D82" s="1195"/>
      <c r="E82" s="1195" t="s">
        <v>496</v>
      </c>
      <c r="F82" s="20"/>
      <c r="G82" s="20"/>
      <c r="H82" s="20"/>
      <c r="I82" s="1162" t="s">
        <v>1635</v>
      </c>
      <c r="J82" s="1162" t="s">
        <v>1661</v>
      </c>
      <c r="K82" s="1231"/>
      <c r="L82" s="1231"/>
      <c r="M82" s="1214">
        <f t="shared" si="3"/>
        <v>0</v>
      </c>
      <c r="N82" s="1214">
        <f t="shared" si="4"/>
        <v>0</v>
      </c>
      <c r="O82" s="1231"/>
      <c r="P82" s="1231"/>
      <c r="Q82" s="1231"/>
      <c r="R82" s="1214">
        <f t="shared" si="5"/>
        <v>0</v>
      </c>
      <c r="S82" s="1162"/>
      <c r="T82" s="1162"/>
      <c r="U82" s="1162" t="s">
        <v>1636</v>
      </c>
      <c r="V82" s="1162" t="s">
        <v>1637</v>
      </c>
      <c r="W82" s="1231"/>
    </row>
    <row r="83" spans="1:23" ht="15">
      <c r="A83" s="1156" t="s">
        <v>1638</v>
      </c>
      <c r="B83" s="1223" t="s">
        <v>1639</v>
      </c>
      <c r="C83" s="1156"/>
      <c r="D83" s="1195"/>
      <c r="E83" s="1195" t="s">
        <v>496</v>
      </c>
      <c r="F83" s="20"/>
      <c r="G83" s="20"/>
      <c r="H83" s="20"/>
      <c r="I83" s="1162" t="s">
        <v>1635</v>
      </c>
      <c r="J83" s="1162" t="s">
        <v>1661</v>
      </c>
      <c r="K83" s="1231"/>
      <c r="L83" s="1231"/>
      <c r="M83" s="1214">
        <f t="shared" si="3"/>
        <v>0</v>
      </c>
      <c r="N83" s="1214">
        <f t="shared" si="4"/>
        <v>0</v>
      </c>
      <c r="O83" s="1231"/>
      <c r="P83" s="1231"/>
      <c r="Q83" s="1231"/>
      <c r="R83" s="1214">
        <f t="shared" si="5"/>
        <v>0</v>
      </c>
      <c r="S83" s="1162"/>
      <c r="T83" s="1162"/>
      <c r="U83" s="1162" t="s">
        <v>1636</v>
      </c>
      <c r="V83" s="1162" t="s">
        <v>1637</v>
      </c>
      <c r="W83" s="1231"/>
    </row>
    <row r="84" spans="1:23" ht="15">
      <c r="A84" s="1156" t="s">
        <v>1638</v>
      </c>
      <c r="B84" s="1223" t="s">
        <v>1639</v>
      </c>
      <c r="C84" s="1156"/>
      <c r="D84" s="1195"/>
      <c r="E84" s="1195" t="s">
        <v>496</v>
      </c>
      <c r="F84" s="20"/>
      <c r="G84" s="20"/>
      <c r="H84" s="20"/>
      <c r="I84" s="1162" t="s">
        <v>1635</v>
      </c>
      <c r="J84" s="1162" t="s">
        <v>1661</v>
      </c>
      <c r="K84" s="1231"/>
      <c r="L84" s="1231"/>
      <c r="M84" s="1214">
        <f t="shared" si="3"/>
        <v>0</v>
      </c>
      <c r="N84" s="1214">
        <f t="shared" si="4"/>
        <v>0</v>
      </c>
      <c r="O84" s="1231"/>
      <c r="P84" s="1231"/>
      <c r="Q84" s="1231"/>
      <c r="R84" s="1214">
        <f t="shared" si="5"/>
        <v>0</v>
      </c>
      <c r="S84" s="1162"/>
      <c r="T84" s="1162"/>
      <c r="U84" s="1162" t="s">
        <v>1636</v>
      </c>
      <c r="V84" s="1162" t="s">
        <v>1637</v>
      </c>
      <c r="W84" s="1231"/>
    </row>
    <row r="85" spans="1:23" ht="15">
      <c r="A85" s="1156" t="s">
        <v>1638</v>
      </c>
      <c r="B85" s="1223" t="s">
        <v>1639</v>
      </c>
      <c r="C85" s="1156"/>
      <c r="D85" s="1195"/>
      <c r="E85" s="1195" t="s">
        <v>496</v>
      </c>
      <c r="F85" s="20"/>
      <c r="G85" s="20"/>
      <c r="H85" s="20"/>
      <c r="I85" s="1162" t="s">
        <v>1635</v>
      </c>
      <c r="J85" s="1162" t="s">
        <v>1661</v>
      </c>
      <c r="K85" s="1231"/>
      <c r="L85" s="1231"/>
      <c r="M85" s="1214">
        <f t="shared" si="3"/>
        <v>0</v>
      </c>
      <c r="N85" s="1214">
        <f t="shared" si="4"/>
        <v>0</v>
      </c>
      <c r="O85" s="1231"/>
      <c r="P85" s="1231"/>
      <c r="Q85" s="1231"/>
      <c r="R85" s="1214">
        <f t="shared" si="5"/>
        <v>0</v>
      </c>
      <c r="S85" s="1162"/>
      <c r="T85" s="1162"/>
      <c r="U85" s="1162" t="s">
        <v>1636</v>
      </c>
      <c r="V85" s="1162" t="s">
        <v>1637</v>
      </c>
      <c r="W85" s="1231"/>
    </row>
    <row r="86" spans="1:23" ht="15">
      <c r="A86" s="1156" t="s">
        <v>1638</v>
      </c>
      <c r="B86" s="1223" t="s">
        <v>1639</v>
      </c>
      <c r="C86" s="1156"/>
      <c r="D86" s="1195"/>
      <c r="E86" s="1195" t="s">
        <v>496</v>
      </c>
      <c r="F86" s="20"/>
      <c r="G86" s="20"/>
      <c r="H86" s="20"/>
      <c r="I86" s="1162" t="s">
        <v>1635</v>
      </c>
      <c r="J86" s="1162" t="s">
        <v>1661</v>
      </c>
      <c r="K86" s="1231"/>
      <c r="L86" s="1231"/>
      <c r="M86" s="1214">
        <f t="shared" si="3"/>
        <v>0</v>
      </c>
      <c r="N86" s="1214">
        <f t="shared" si="4"/>
        <v>0</v>
      </c>
      <c r="O86" s="1231"/>
      <c r="P86" s="1231"/>
      <c r="Q86" s="1231"/>
      <c r="R86" s="1214">
        <f t="shared" si="5"/>
        <v>0</v>
      </c>
      <c r="S86" s="1162"/>
      <c r="T86" s="1162"/>
      <c r="U86" s="1162" t="s">
        <v>1636</v>
      </c>
      <c r="V86" s="1162" t="s">
        <v>1637</v>
      </c>
      <c r="W86" s="1231"/>
    </row>
    <row r="87" spans="1:23" ht="15">
      <c r="A87" s="1156" t="s">
        <v>1638</v>
      </c>
      <c r="B87" s="1223" t="s">
        <v>1639</v>
      </c>
      <c r="C87" s="1156"/>
      <c r="D87" s="1195"/>
      <c r="E87" s="1195" t="s">
        <v>496</v>
      </c>
      <c r="F87" s="20"/>
      <c r="G87" s="20"/>
      <c r="H87" s="20"/>
      <c r="I87" s="1162" t="s">
        <v>1635</v>
      </c>
      <c r="J87" s="1162" t="s">
        <v>1661</v>
      </c>
      <c r="K87" s="1231"/>
      <c r="L87" s="1231"/>
      <c r="M87" s="1214">
        <f t="shared" si="3"/>
        <v>0</v>
      </c>
      <c r="N87" s="1214">
        <f t="shared" si="4"/>
        <v>0</v>
      </c>
      <c r="O87" s="1231"/>
      <c r="P87" s="1231"/>
      <c r="Q87" s="1231"/>
      <c r="R87" s="1214">
        <f t="shared" si="5"/>
        <v>0</v>
      </c>
      <c r="S87" s="1162"/>
      <c r="T87" s="1162"/>
      <c r="U87" s="1162" t="s">
        <v>1636</v>
      </c>
      <c r="V87" s="1162" t="s">
        <v>1637</v>
      </c>
      <c r="W87" s="1231"/>
    </row>
    <row r="88" spans="1:23" ht="15">
      <c r="A88" s="1156" t="s">
        <v>1638</v>
      </c>
      <c r="B88" s="1223" t="s">
        <v>1639</v>
      </c>
      <c r="C88" s="1156"/>
      <c r="D88" s="1195"/>
      <c r="E88" s="1195" t="s">
        <v>496</v>
      </c>
      <c r="F88" s="20"/>
      <c r="G88" s="20"/>
      <c r="H88" s="20"/>
      <c r="I88" s="1162" t="s">
        <v>1635</v>
      </c>
      <c r="J88" s="1162" t="s">
        <v>1661</v>
      </c>
      <c r="K88" s="1231"/>
      <c r="L88" s="1231"/>
      <c r="M88" s="1214">
        <f t="shared" si="3"/>
        <v>0</v>
      </c>
      <c r="N88" s="1214">
        <f t="shared" si="4"/>
        <v>0</v>
      </c>
      <c r="O88" s="1231"/>
      <c r="P88" s="1231"/>
      <c r="Q88" s="1231"/>
      <c r="R88" s="1214">
        <f t="shared" si="5"/>
        <v>0</v>
      </c>
      <c r="S88" s="1162"/>
      <c r="T88" s="1162"/>
      <c r="U88" s="1162" t="s">
        <v>1636</v>
      </c>
      <c r="V88" s="1162" t="s">
        <v>1637</v>
      </c>
      <c r="W88" s="1231"/>
    </row>
    <row r="89" spans="1:23" ht="15">
      <c r="A89" s="1156" t="s">
        <v>1638</v>
      </c>
      <c r="B89" s="1223" t="s">
        <v>1639</v>
      </c>
      <c r="C89" s="1156"/>
      <c r="D89" s="1195"/>
      <c r="E89" s="1195" t="s">
        <v>496</v>
      </c>
      <c r="F89" s="20"/>
      <c r="G89" s="20"/>
      <c r="H89" s="20"/>
      <c r="I89" s="1162" t="s">
        <v>1635</v>
      </c>
      <c r="J89" s="1162" t="s">
        <v>1661</v>
      </c>
      <c r="K89" s="1231"/>
      <c r="L89" s="1231"/>
      <c r="M89" s="1214">
        <f t="shared" si="3"/>
        <v>0</v>
      </c>
      <c r="N89" s="1214">
        <f t="shared" si="4"/>
        <v>0</v>
      </c>
      <c r="O89" s="1231"/>
      <c r="P89" s="1231"/>
      <c r="Q89" s="1231"/>
      <c r="R89" s="1214">
        <f t="shared" si="5"/>
        <v>0</v>
      </c>
      <c r="S89" s="1162"/>
      <c r="T89" s="1162"/>
      <c r="U89" s="1162" t="s">
        <v>1636</v>
      </c>
      <c r="V89" s="1162" t="s">
        <v>1637</v>
      </c>
      <c r="W89" s="1231"/>
    </row>
    <row r="90" spans="1:23" ht="15">
      <c r="A90" s="1156" t="s">
        <v>1638</v>
      </c>
      <c r="B90" s="1223" t="s">
        <v>1639</v>
      </c>
      <c r="C90" s="1156"/>
      <c r="D90" s="1195"/>
      <c r="E90" s="1195" t="s">
        <v>496</v>
      </c>
      <c r="F90" s="20"/>
      <c r="G90" s="20"/>
      <c r="H90" s="20"/>
      <c r="I90" s="1162" t="s">
        <v>1635</v>
      </c>
      <c r="J90" s="1162" t="s">
        <v>1661</v>
      </c>
      <c r="K90" s="1231"/>
      <c r="L90" s="1231"/>
      <c r="M90" s="1214">
        <f t="shared" si="3"/>
        <v>0</v>
      </c>
      <c r="N90" s="1214">
        <f t="shared" si="4"/>
        <v>0</v>
      </c>
      <c r="O90" s="1231"/>
      <c r="P90" s="1231"/>
      <c r="Q90" s="1231"/>
      <c r="R90" s="1214">
        <f t="shared" si="5"/>
        <v>0</v>
      </c>
      <c r="S90" s="1162"/>
      <c r="T90" s="1162"/>
      <c r="U90" s="1162" t="s">
        <v>1636</v>
      </c>
      <c r="V90" s="1162" t="s">
        <v>1637</v>
      </c>
      <c r="W90" s="1231"/>
    </row>
    <row r="91" spans="1:23" ht="15.75" thickBot="1">
      <c r="A91" s="1156" t="s">
        <v>1638</v>
      </c>
      <c r="B91" s="1223" t="s">
        <v>1639</v>
      </c>
      <c r="C91" s="1156"/>
      <c r="D91" s="1195"/>
      <c r="E91" s="1195" t="s">
        <v>496</v>
      </c>
      <c r="F91" s="20"/>
      <c r="G91" s="20"/>
      <c r="H91" s="20"/>
      <c r="I91" s="1162" t="s">
        <v>1635</v>
      </c>
      <c r="J91" s="1162" t="s">
        <v>1661</v>
      </c>
      <c r="K91" s="1231"/>
      <c r="L91" s="1231"/>
      <c r="M91" s="1214">
        <f t="shared" si="3"/>
        <v>0</v>
      </c>
      <c r="N91" s="1214">
        <f t="shared" si="4"/>
        <v>0</v>
      </c>
      <c r="O91" s="1231"/>
      <c r="P91" s="1231"/>
      <c r="Q91" s="1231"/>
      <c r="R91" s="1214">
        <f t="shared" si="5"/>
        <v>0</v>
      </c>
      <c r="S91" s="1162"/>
      <c r="T91" s="1162"/>
      <c r="U91" s="1162" t="s">
        <v>1636</v>
      </c>
      <c r="V91" s="1162" t="s">
        <v>1637</v>
      </c>
      <c r="W91" s="1231"/>
    </row>
    <row r="92" spans="1:23" ht="15" thickBot="1">
      <c r="A92" s="1156" t="s">
        <v>1638</v>
      </c>
      <c r="B92" s="1223" t="s">
        <v>1639</v>
      </c>
      <c r="C92" s="1156"/>
      <c r="D92" s="1195" t="s">
        <v>1633</v>
      </c>
      <c r="E92" s="1195"/>
      <c r="F92" s="20"/>
      <c r="G92" s="20"/>
      <c r="H92" s="20"/>
      <c r="I92" s="1232" t="s">
        <v>1421</v>
      </c>
      <c r="J92" s="1187"/>
      <c r="K92" s="1214">
        <f t="shared" ref="K92:R92" si="6">SUM(K9:K91)</f>
        <v>0</v>
      </c>
      <c r="L92" s="1214">
        <f t="shared" si="6"/>
        <v>0</v>
      </c>
      <c r="M92" s="1214">
        <f t="shared" si="6"/>
        <v>0</v>
      </c>
      <c r="N92" s="1214">
        <f t="shared" si="6"/>
        <v>0.4</v>
      </c>
      <c r="O92" s="1214">
        <f t="shared" si="6"/>
        <v>0.2</v>
      </c>
      <c r="P92" s="1214">
        <f t="shared" si="6"/>
        <v>0</v>
      </c>
      <c r="Q92" s="1214">
        <f t="shared" si="6"/>
        <v>0</v>
      </c>
      <c r="R92" s="1214">
        <f t="shared" si="6"/>
        <v>0.4</v>
      </c>
      <c r="S92" s="1187"/>
      <c r="T92" s="1233"/>
      <c r="U92" s="1234"/>
      <c r="V92" s="1235"/>
      <c r="W92" s="1236"/>
    </row>
    <row r="93" spans="1:23" ht="16.5" thickBot="1">
      <c r="A93" s="1156" t="s">
        <v>1638</v>
      </c>
      <c r="B93" s="1223" t="s">
        <v>1639</v>
      </c>
      <c r="C93" s="1156" t="s">
        <v>367</v>
      </c>
      <c r="D93" s="1195"/>
      <c r="E93" s="1195"/>
      <c r="F93" s="20"/>
      <c r="G93" s="20"/>
      <c r="H93" s="20"/>
      <c r="I93" s="1237" t="s">
        <v>1662</v>
      </c>
      <c r="J93" s="1238"/>
      <c r="K93" s="1238"/>
      <c r="L93" s="1238"/>
      <c r="M93" s="1238"/>
      <c r="N93" s="1238"/>
      <c r="O93" s="1238"/>
      <c r="P93" s="1238"/>
      <c r="Q93" s="1238"/>
      <c r="R93" s="1238"/>
      <c r="S93" s="1238"/>
      <c r="T93" s="1239"/>
      <c r="U93" s="1239"/>
      <c r="V93" s="1239"/>
      <c r="W93" s="1240"/>
    </row>
    <row r="94" spans="1:23"/>
    <row r="95" spans="1:23"/>
  </sheetData>
  <mergeCells count="1">
    <mergeCell ref="I8:I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sheetPr>
  <dimension ref="A1:BE44"/>
  <sheetViews>
    <sheetView showGridLines="0" topLeftCell="A16" zoomScale="80" zoomScaleNormal="80" workbookViewId="0">
      <pane xSplit="7" topLeftCell="K1" activePane="topRight" state="frozen"/>
      <selection pane="topRight" activeCell="D26" sqref="D26"/>
    </sheetView>
  </sheetViews>
  <sheetFormatPr defaultColWidth="11.875" defaultRowHeight="12.75"/>
  <cols>
    <col min="1" max="1" width="11.875" style="173" customWidth="1"/>
    <col min="2" max="6" width="4.375" style="174" customWidth="1"/>
    <col min="7" max="7" width="38.25" style="173" customWidth="1"/>
    <col min="8" max="8" width="15.625" style="173" customWidth="1"/>
    <col min="9" max="9" width="15.625" style="175" customWidth="1"/>
    <col min="10" max="33" width="15.625" style="173" customWidth="1"/>
    <col min="34" max="34" width="15.625" style="175" customWidth="1"/>
    <col min="35" max="47" width="15.625" style="173" customWidth="1"/>
    <col min="48" max="48" width="11.875" style="175"/>
    <col min="49" max="16384" width="11.875" style="173"/>
  </cols>
  <sheetData>
    <row r="1" spans="1:57" s="2" customFormat="1" ht="25.15" customHeight="1">
      <c r="A1" s="1" t="s">
        <v>0</v>
      </c>
      <c r="E1" s="3"/>
      <c r="H1" s="4" t="s">
        <v>1</v>
      </c>
      <c r="J1" s="3"/>
    </row>
    <row r="2" spans="1:57" s="2" customFormat="1" ht="25.15" customHeight="1">
      <c r="A2" s="5" t="str">
        <f>Fixed_Data!I12</f>
        <v>MASTER</v>
      </c>
      <c r="B2" s="6"/>
      <c r="D2" s="7"/>
      <c r="E2" s="3"/>
    </row>
    <row r="3" spans="1:57" s="9" customFormat="1" ht="25.15" customHeight="1" thickBot="1">
      <c r="A3" s="8" t="str">
        <f>Fixed_Data!A3</f>
        <v>RIIO-GD2</v>
      </c>
      <c r="D3" s="10"/>
      <c r="E3" s="11"/>
    </row>
    <row r="4" spans="1:57" s="89" customFormat="1" ht="25.15" customHeight="1">
      <c r="B4" s="90" t="s">
        <v>34</v>
      </c>
      <c r="C4" s="90"/>
      <c r="D4" s="90"/>
      <c r="E4" s="90"/>
      <c r="F4" s="90"/>
      <c r="G4" s="91"/>
      <c r="H4" s="92"/>
      <c r="I4" s="93"/>
      <c r="J4" s="94"/>
      <c r="K4" s="94"/>
      <c r="L4" s="94"/>
      <c r="M4" s="94"/>
      <c r="N4" s="94"/>
      <c r="O4" s="94"/>
      <c r="P4" s="94"/>
      <c r="Q4" s="94"/>
      <c r="R4" s="92"/>
      <c r="S4" s="92"/>
      <c r="T4" s="92"/>
      <c r="U4" s="92"/>
      <c r="V4" s="92"/>
      <c r="W4" s="94"/>
      <c r="X4" s="94"/>
      <c r="Y4" s="94"/>
      <c r="Z4" s="94"/>
      <c r="AA4" s="94"/>
      <c r="AB4" s="92"/>
      <c r="AC4" s="92"/>
      <c r="AD4" s="92"/>
      <c r="AE4" s="92"/>
      <c r="AF4" s="92"/>
      <c r="AG4" s="92"/>
      <c r="AH4" s="93"/>
      <c r="AI4" s="94"/>
      <c r="AJ4" s="94"/>
      <c r="AK4" s="94"/>
      <c r="AL4" s="94"/>
      <c r="AM4" s="94"/>
      <c r="AN4" s="94"/>
      <c r="AO4" s="92"/>
      <c r="AP4" s="92"/>
      <c r="AQ4" s="92"/>
      <c r="AR4" s="92"/>
      <c r="AS4" s="92"/>
      <c r="AT4" s="92"/>
      <c r="AU4" s="92"/>
      <c r="AV4" s="92"/>
      <c r="AW4" s="92"/>
      <c r="AX4" s="92"/>
      <c r="AY4" s="94"/>
      <c r="AZ4" s="92"/>
      <c r="BA4" s="92"/>
      <c r="BB4" s="92"/>
      <c r="BC4" s="92"/>
      <c r="BD4" s="92"/>
      <c r="BE4" s="92"/>
    </row>
    <row r="5" spans="1:57" s="89" customFormat="1" ht="25.15" customHeight="1">
      <c r="B5" s="95" t="s">
        <v>1663</v>
      </c>
      <c r="C5" s="95"/>
      <c r="E5" s="254"/>
      <c r="F5" s="95" t="s">
        <v>463</v>
      </c>
      <c r="G5" s="95"/>
      <c r="H5" s="95"/>
      <c r="I5" s="93"/>
      <c r="J5" s="94"/>
      <c r="K5" s="94"/>
      <c r="L5" s="94"/>
      <c r="M5" s="94"/>
      <c r="N5" s="94"/>
      <c r="O5" s="94"/>
      <c r="P5" s="94"/>
      <c r="Q5" s="94"/>
      <c r="R5" s="92"/>
      <c r="S5" s="92"/>
      <c r="T5" s="92"/>
      <c r="U5" s="92"/>
      <c r="V5" s="92"/>
      <c r="W5" s="94"/>
      <c r="X5" s="94"/>
      <c r="Y5" s="94"/>
      <c r="Z5" s="94"/>
      <c r="AA5" s="94"/>
      <c r="AB5" s="92"/>
      <c r="AC5" s="92"/>
      <c r="AD5" s="92"/>
      <c r="AE5" s="92"/>
      <c r="AF5" s="92"/>
      <c r="AG5" s="92"/>
      <c r="AH5" s="93"/>
      <c r="AI5" s="94"/>
      <c r="AJ5" s="94"/>
      <c r="AK5" s="94"/>
      <c r="AL5" s="94"/>
      <c r="AM5" s="94"/>
      <c r="AN5" s="94"/>
      <c r="AO5" s="92"/>
      <c r="AP5" s="92"/>
      <c r="AQ5" s="92"/>
      <c r="AR5" s="92"/>
      <c r="AS5" s="92"/>
      <c r="AT5" s="92"/>
      <c r="AU5" s="92"/>
      <c r="AV5" s="92"/>
      <c r="AW5" s="92"/>
      <c r="AX5" s="92"/>
      <c r="AY5" s="94"/>
      <c r="AZ5" s="92"/>
      <c r="BA5" s="92"/>
      <c r="BB5" s="92"/>
      <c r="BC5" s="92"/>
      <c r="BD5" s="92"/>
      <c r="BE5" s="92"/>
    </row>
    <row r="6" spans="1:57" s="89" customFormat="1" ht="15" customHeight="1">
      <c r="B6" s="95"/>
      <c r="C6" s="95"/>
      <c r="D6" s="95"/>
      <c r="E6" s="95"/>
      <c r="F6" s="95"/>
      <c r="G6" s="95"/>
      <c r="H6" s="95"/>
      <c r="I6" s="93"/>
      <c r="J6" s="94"/>
      <c r="K6" s="94"/>
      <c r="L6" s="94"/>
      <c r="M6" s="94"/>
      <c r="N6" s="94"/>
      <c r="O6" s="94"/>
      <c r="P6" s="94"/>
      <c r="Q6" s="94"/>
      <c r="R6" s="92"/>
      <c r="S6" s="92"/>
      <c r="T6" s="92"/>
      <c r="U6" s="92"/>
      <c r="V6" s="92"/>
      <c r="W6" s="94"/>
      <c r="X6" s="94"/>
      <c r="Y6" s="94"/>
      <c r="Z6" s="94"/>
      <c r="AA6" s="94"/>
      <c r="AB6" s="92"/>
      <c r="AC6" s="92"/>
      <c r="AD6" s="92"/>
      <c r="AE6" s="92"/>
      <c r="AF6" s="92"/>
      <c r="AG6" s="92"/>
      <c r="AH6" s="93"/>
      <c r="AI6" s="94"/>
      <c r="AJ6" s="94"/>
      <c r="AK6" s="94"/>
      <c r="AL6" s="94"/>
      <c r="AM6" s="94"/>
      <c r="AN6" s="94"/>
      <c r="AO6" s="92"/>
      <c r="AP6" s="92"/>
      <c r="AQ6" s="92"/>
      <c r="AR6" s="92"/>
      <c r="AS6" s="92"/>
      <c r="AT6" s="92"/>
      <c r="AU6" s="92"/>
      <c r="AV6" s="92"/>
      <c r="AW6" s="92"/>
      <c r="AX6" s="92"/>
      <c r="AY6" s="94"/>
      <c r="AZ6" s="92"/>
      <c r="BA6" s="92"/>
      <c r="BB6" s="92"/>
      <c r="BC6" s="92"/>
      <c r="BD6" s="92"/>
      <c r="BE6" s="92"/>
    </row>
    <row r="7" spans="1:57"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7"/>
      <c r="AD7" s="97"/>
      <c r="AE7" s="97"/>
      <c r="AF7" s="97"/>
      <c r="AG7" s="97"/>
      <c r="AH7" s="96"/>
      <c r="AI7" s="97"/>
      <c r="AJ7" s="97"/>
      <c r="AK7" s="97"/>
      <c r="AL7" s="97"/>
      <c r="AM7" s="97"/>
      <c r="AN7" s="97"/>
      <c r="AO7" s="97"/>
      <c r="AP7" s="97"/>
      <c r="AQ7" s="97"/>
      <c r="AR7" s="97"/>
      <c r="AS7" s="97"/>
      <c r="AT7" s="97"/>
      <c r="AU7" s="97"/>
      <c r="AV7" s="96"/>
      <c r="AW7" s="98"/>
      <c r="AX7" s="98"/>
      <c r="AY7" s="98"/>
      <c r="AZ7" s="98"/>
      <c r="BA7" s="98"/>
      <c r="BB7" s="98"/>
      <c r="BC7" s="98"/>
      <c r="BD7" s="98"/>
      <c r="BE7" s="98"/>
    </row>
    <row r="8" spans="1:57" s="100" customFormat="1" ht="30" customHeight="1" thickBot="1">
      <c r="A8" s="89"/>
      <c r="B8" s="680" t="s">
        <v>1664</v>
      </c>
      <c r="C8" s="681"/>
      <c r="D8" s="681"/>
      <c r="E8" s="681"/>
      <c r="F8" s="681"/>
      <c r="G8" s="682"/>
      <c r="H8" s="103"/>
      <c r="I8" s="105" t="s">
        <v>1665</v>
      </c>
      <c r="J8" s="106"/>
      <c r="K8" s="106"/>
      <c r="L8" s="106"/>
      <c r="M8" s="106"/>
      <c r="N8" s="106"/>
      <c r="O8" s="106"/>
      <c r="P8" s="106"/>
      <c r="Q8" s="106"/>
      <c r="R8" s="105"/>
      <c r="S8" s="105"/>
      <c r="T8" s="105"/>
      <c r="U8" s="105"/>
      <c r="V8" s="187"/>
    </row>
    <row r="9" spans="1:57" s="157" customFormat="1" ht="30" customHeight="1">
      <c r="A9" s="99"/>
      <c r="B9" s="704"/>
      <c r="C9" s="705"/>
      <c r="D9" s="705"/>
      <c r="E9" s="705"/>
      <c r="F9" s="705"/>
      <c r="G9" s="685"/>
      <c r="H9" s="111"/>
      <c r="I9" s="117"/>
      <c r="J9" s="695" t="s">
        <v>1666</v>
      </c>
      <c r="K9" s="706"/>
      <c r="L9" s="706"/>
      <c r="M9" s="706"/>
      <c r="N9" s="706"/>
      <c r="O9" s="706"/>
      <c r="P9" s="706"/>
      <c r="Q9" s="707"/>
      <c r="R9" s="871" t="s">
        <v>2</v>
      </c>
      <c r="S9" s="708"/>
      <c r="T9" s="708"/>
      <c r="U9" s="708"/>
      <c r="V9" s="709"/>
    </row>
    <row r="10" spans="1:57" s="98" customFormat="1" ht="15" customHeight="1">
      <c r="A10" s="99"/>
      <c r="B10" s="683"/>
      <c r="C10" s="185"/>
      <c r="D10" s="684"/>
      <c r="E10" s="684"/>
      <c r="F10" s="684"/>
      <c r="G10" s="685"/>
      <c r="H10" s="117"/>
      <c r="I10" s="119" t="s">
        <v>1667</v>
      </c>
      <c r="J10" s="158" t="s">
        <v>453</v>
      </c>
      <c r="K10" s="137" t="s">
        <v>455</v>
      </c>
      <c r="L10" s="137" t="s">
        <v>457</v>
      </c>
      <c r="M10" s="137" t="s">
        <v>459</v>
      </c>
      <c r="N10" s="137" t="s">
        <v>461</v>
      </c>
      <c r="O10" s="137" t="s">
        <v>463</v>
      </c>
      <c r="P10" s="137" t="s">
        <v>465</v>
      </c>
      <c r="Q10" s="138" t="s">
        <v>467</v>
      </c>
      <c r="R10" s="242" t="s">
        <v>469</v>
      </c>
      <c r="S10" s="121" t="s">
        <v>471</v>
      </c>
      <c r="T10" s="121" t="s">
        <v>473</v>
      </c>
      <c r="U10" s="121" t="s">
        <v>475</v>
      </c>
      <c r="V10" s="122" t="s">
        <v>477</v>
      </c>
    </row>
    <row r="11" spans="1:57" s="98" customFormat="1" ht="15" customHeight="1">
      <c r="A11" s="99"/>
      <c r="B11" s="683"/>
      <c r="C11" s="684" t="s">
        <v>1668</v>
      </c>
      <c r="D11" s="684"/>
      <c r="E11" s="684"/>
      <c r="F11" s="684"/>
      <c r="G11" s="685"/>
      <c r="H11" s="117"/>
      <c r="I11" s="92"/>
      <c r="J11" s="619"/>
      <c r="K11" s="92"/>
      <c r="L11" s="92"/>
      <c r="M11" s="92"/>
      <c r="N11" s="92"/>
      <c r="O11" s="92"/>
      <c r="P11" s="92"/>
      <c r="Q11" s="618"/>
      <c r="R11" s="92"/>
      <c r="S11" s="92"/>
      <c r="T11" s="92"/>
      <c r="U11" s="92"/>
      <c r="V11" s="618"/>
    </row>
    <row r="12" spans="1:57" s="98" customFormat="1" ht="15" customHeight="1">
      <c r="A12" s="99"/>
      <c r="B12" s="161"/>
      <c r="C12" s="185"/>
      <c r="D12" s="687" t="s">
        <v>1669</v>
      </c>
      <c r="E12" s="687"/>
      <c r="F12" s="687"/>
      <c r="G12" s="687"/>
      <c r="H12" s="185"/>
      <c r="I12" s="164" t="s">
        <v>498</v>
      </c>
      <c r="J12" s="641">
        <f>'2.00_Opex_Summary'!J17</f>
        <v>17.637887402243479</v>
      </c>
      <c r="K12" s="642">
        <f>'2.00_Opex_Summary'!K17</f>
        <v>17.497396425974021</v>
      </c>
      <c r="L12" s="642">
        <f>'2.00_Opex_Summary'!L17</f>
        <v>19.147390996635636</v>
      </c>
      <c r="M12" s="642">
        <f>'2.00_Opex_Summary'!M17</f>
        <v>19.550863124639882</v>
      </c>
      <c r="N12" s="642">
        <f>'2.00_Opex_Summary'!N17</f>
        <v>16.426985052916727</v>
      </c>
      <c r="O12" s="642">
        <f>'2.00_Opex_Summary'!O17</f>
        <v>14.569965922885466</v>
      </c>
      <c r="P12" s="642">
        <f>'2.00_Opex_Summary'!P17</f>
        <v>16.446937162338031</v>
      </c>
      <c r="Q12" s="643">
        <f>'2.00_Opex_Summary'!Q17</f>
        <v>14.656763129695884</v>
      </c>
      <c r="R12" s="998">
        <f>'2.00_Opex_Summary'!R17</f>
        <v>17.56758239540088</v>
      </c>
      <c r="S12" s="642">
        <f>'2.00_Opex_Summary'!S17</f>
        <v>16.508190371060692</v>
      </c>
      <c r="T12" s="642">
        <f>'2.00_Opex_Summary'!T17</f>
        <v>16.531556640476726</v>
      </c>
      <c r="U12" s="642">
        <f>'2.00_Opex_Summary'!U17</f>
        <v>16.992448900032699</v>
      </c>
      <c r="V12" s="643">
        <f>'2.00_Opex_Summary'!V17</f>
        <v>16.721143893897402</v>
      </c>
    </row>
    <row r="13" spans="1:57" s="98" customFormat="1" ht="15" customHeight="1">
      <c r="A13" s="99"/>
      <c r="B13" s="161"/>
      <c r="C13" s="185"/>
      <c r="D13" s="687" t="s">
        <v>40</v>
      </c>
      <c r="E13" s="687"/>
      <c r="F13" s="687"/>
      <c r="G13" s="687"/>
      <c r="H13" s="185"/>
      <c r="I13" s="164" t="s">
        <v>498</v>
      </c>
      <c r="J13" s="641">
        <f>'2.00_Opex_Summary'!J20</f>
        <v>11.041914879949251</v>
      </c>
      <c r="K13" s="642">
        <f>'2.00_Opex_Summary'!K20</f>
        <v>11.267563885714283</v>
      </c>
      <c r="L13" s="642">
        <f>'2.00_Opex_Summary'!L20</f>
        <v>11.252238077862003</v>
      </c>
      <c r="M13" s="642">
        <f>'2.00_Opex_Summary'!M20</f>
        <v>11.013389870619571</v>
      </c>
      <c r="N13" s="642">
        <f>'2.00_Opex_Summary'!N20</f>
        <v>11.228940245731085</v>
      </c>
      <c r="O13" s="642">
        <f>'2.00_Opex_Summary'!O20</f>
        <v>10.561207825711696</v>
      </c>
      <c r="P13" s="642">
        <f>'2.00_Opex_Summary'!P20</f>
        <v>11.089609393186361</v>
      </c>
      <c r="Q13" s="643">
        <f>'2.00_Opex_Summary'!Q20</f>
        <v>10.949614324201143</v>
      </c>
      <c r="R13" s="998">
        <f>'2.00_Opex_Summary'!R20</f>
        <v>10.785370109338125</v>
      </c>
      <c r="S13" s="642">
        <f>'2.00_Opex_Summary'!S20</f>
        <v>10.623589557698054</v>
      </c>
      <c r="T13" s="642">
        <f>'2.00_Opex_Summary'!T20</f>
        <v>10.464235714332585</v>
      </c>
      <c r="U13" s="642">
        <f>'2.00_Opex_Summary'!U20</f>
        <v>10.307272178617595</v>
      </c>
      <c r="V13" s="643">
        <f>'2.00_Opex_Summary'!V20</f>
        <v>10.152663095938333</v>
      </c>
    </row>
    <row r="14" spans="1:57" s="98" customFormat="1" ht="15" customHeight="1">
      <c r="A14" s="99"/>
      <c r="B14" s="161"/>
      <c r="C14" s="185"/>
      <c r="D14" s="687" t="s">
        <v>1670</v>
      </c>
      <c r="E14" s="687"/>
      <c r="F14" s="687"/>
      <c r="G14" s="687"/>
      <c r="H14" s="185"/>
      <c r="I14" s="164" t="s">
        <v>498</v>
      </c>
      <c r="J14" s="641">
        <f>'2.00_Opex_Summary'!J21</f>
        <v>18.409140767791737</v>
      </c>
      <c r="K14" s="642">
        <f>'2.00_Opex_Summary'!K21</f>
        <v>16.537092685714281</v>
      </c>
      <c r="L14" s="642">
        <f>'2.00_Opex_Summary'!L21</f>
        <v>14.759826267506098</v>
      </c>
      <c r="M14" s="642">
        <f>'2.00_Opex_Summary'!M21</f>
        <v>14.311148120127141</v>
      </c>
      <c r="N14" s="642">
        <f>'2.00_Opex_Summary'!N21</f>
        <v>15.160930616863588</v>
      </c>
      <c r="O14" s="642">
        <f>'2.00_Opex_Summary'!O21</f>
        <v>16.060029789573299</v>
      </c>
      <c r="P14" s="642">
        <f>'2.00_Opex_Summary'!P21</f>
        <v>16.463999999999999</v>
      </c>
      <c r="Q14" s="643">
        <f>'2.00_Opex_Summary'!Q21</f>
        <v>16.052399999999999</v>
      </c>
      <c r="R14" s="998">
        <f>'2.00_Opex_Summary'!R21</f>
        <v>15.651089999999996</v>
      </c>
      <c r="S14" s="642">
        <f>'2.00_Opex_Summary'!S21</f>
        <v>15.259812749999998</v>
      </c>
      <c r="T14" s="642">
        <f>'2.00_Opex_Summary'!T21</f>
        <v>14.878317431249998</v>
      </c>
      <c r="U14" s="642">
        <f>'2.00_Opex_Summary'!U21</f>
        <v>14.506359495468748</v>
      </c>
      <c r="V14" s="643">
        <f>'2.00_Opex_Summary'!V21</f>
        <v>14.143700508082031</v>
      </c>
    </row>
    <row r="15" spans="1:57" s="98" customFormat="1" ht="15" customHeight="1">
      <c r="A15" s="99"/>
      <c r="B15" s="161"/>
      <c r="C15" s="185"/>
      <c r="D15" s="687" t="s">
        <v>41</v>
      </c>
      <c r="E15" s="687"/>
      <c r="F15" s="687"/>
      <c r="G15" s="687"/>
      <c r="H15" s="185"/>
      <c r="I15" s="164" t="s">
        <v>498</v>
      </c>
      <c r="J15" s="641">
        <f>'2.00_Opex_Summary'!J22</f>
        <v>9.3919614721048905</v>
      </c>
      <c r="K15" s="642">
        <f>'2.00_Opex_Summary'!K22</f>
        <v>10.33706267532467</v>
      </c>
      <c r="L15" s="642">
        <f>'2.00_Opex_Summary'!L22</f>
        <v>10.711819617526698</v>
      </c>
      <c r="M15" s="642">
        <f>'2.00_Opex_Summary'!M22</f>
        <v>10.807449960783911</v>
      </c>
      <c r="N15" s="642">
        <f>'2.00_Opex_Summary'!N22</f>
        <v>11.185980776935542</v>
      </c>
      <c r="O15" s="642">
        <f>'2.00_Opex_Summary'!O22</f>
        <v>11.988579344955497</v>
      </c>
      <c r="P15" s="642">
        <f>'2.00_Opex_Summary'!P22</f>
        <v>13.499626604948357</v>
      </c>
      <c r="Q15" s="643">
        <f>'2.00_Opex_Summary'!Q22</f>
        <v>14.500051035216142</v>
      </c>
      <c r="R15" s="998">
        <f>'2.00_Opex_Summary'!R22</f>
        <v>16.425122276925226</v>
      </c>
      <c r="S15" s="642">
        <f>'2.00_Opex_Summary'!S22</f>
        <v>17.210870536947873</v>
      </c>
      <c r="T15" s="642">
        <f>'2.00_Opex_Summary'!T22</f>
        <v>17.301654378489349</v>
      </c>
      <c r="U15" s="642">
        <f>'2.00_Opex_Summary'!U22</f>
        <v>16.215462764895364</v>
      </c>
      <c r="V15" s="643">
        <f>'2.00_Opex_Summary'!V22</f>
        <v>16.932809229817856</v>
      </c>
    </row>
    <row r="16" spans="1:57" s="98" customFormat="1" ht="15" customHeight="1">
      <c r="A16" s="99"/>
      <c r="B16" s="161"/>
      <c r="C16" s="185"/>
      <c r="D16" s="687" t="s">
        <v>1671</v>
      </c>
      <c r="E16" s="687"/>
      <c r="F16" s="687"/>
      <c r="G16" s="687"/>
      <c r="H16" s="185"/>
      <c r="I16" s="164" t="s">
        <v>498</v>
      </c>
      <c r="J16" s="641">
        <f>'2.00_Opex_Summary'!J23</f>
        <v>0</v>
      </c>
      <c r="K16" s="642">
        <f>'2.00_Opex_Summary'!K23</f>
        <v>0</v>
      </c>
      <c r="L16" s="642">
        <f>'2.00_Opex_Summary'!L23</f>
        <v>0</v>
      </c>
      <c r="M16" s="642">
        <f>'2.00_Opex_Summary'!M23</f>
        <v>0</v>
      </c>
      <c r="N16" s="642">
        <f>'2.00_Opex_Summary'!N23</f>
        <v>0</v>
      </c>
      <c r="O16" s="642">
        <f>'2.00_Opex_Summary'!O23</f>
        <v>0</v>
      </c>
      <c r="P16" s="642">
        <f>'2.00_Opex_Summary'!P23</f>
        <v>0</v>
      </c>
      <c r="Q16" s="643">
        <f>'2.00_Opex_Summary'!Q23</f>
        <v>0</v>
      </c>
      <c r="R16" s="998">
        <f>'2.00_Opex_Summary'!R23</f>
        <v>0</v>
      </c>
      <c r="S16" s="642">
        <f>'2.00_Opex_Summary'!S23</f>
        <v>0</v>
      </c>
      <c r="T16" s="642">
        <f>'2.00_Opex_Summary'!T23</f>
        <v>0</v>
      </c>
      <c r="U16" s="642">
        <f>'2.00_Opex_Summary'!U23</f>
        <v>0</v>
      </c>
      <c r="V16" s="643">
        <f>'2.00_Opex_Summary'!V23</f>
        <v>0</v>
      </c>
    </row>
    <row r="17" spans="1:22" s="98" customFormat="1" ht="15" customHeight="1">
      <c r="A17" s="99"/>
      <c r="B17" s="161"/>
      <c r="C17" s="185"/>
      <c r="D17" s="687" t="s">
        <v>1672</v>
      </c>
      <c r="E17" s="687"/>
      <c r="F17" s="687"/>
      <c r="G17" s="687"/>
      <c r="H17" s="185"/>
      <c r="I17" s="164" t="s">
        <v>498</v>
      </c>
      <c r="J17" s="641">
        <f>'2.00_Opex_Summary'!J24</f>
        <v>7.5593010774429823</v>
      </c>
      <c r="K17" s="642">
        <f>'2.00_Opex_Summary'!K24</f>
        <v>7.5281092588992093</v>
      </c>
      <c r="L17" s="642">
        <f>'2.00_Opex_Summary'!L24</f>
        <v>7.0500115349266856</v>
      </c>
      <c r="M17" s="642">
        <f>'2.00_Opex_Summary'!M24</f>
        <v>7.0137221635539664</v>
      </c>
      <c r="N17" s="642">
        <f>'2.00_Opex_Summary'!N24</f>
        <v>6.0797357314909464</v>
      </c>
      <c r="O17" s="642">
        <f>'2.00_Opex_Summary'!O24</f>
        <v>5.7193479439283381</v>
      </c>
      <c r="P17" s="642">
        <f>'2.00_Opex_Summary'!P24</f>
        <v>5.3</v>
      </c>
      <c r="Q17" s="643">
        <f>'2.00_Opex_Summary'!Q24</f>
        <v>5.1733336243397785</v>
      </c>
      <c r="R17" s="998">
        <f>'2.00_Opex_Summary'!R24</f>
        <v>3.6372366961063332</v>
      </c>
      <c r="S17" s="642">
        <f>'2.00_Opex_Summary'!S24</f>
        <v>3.6247366961063334</v>
      </c>
      <c r="T17" s="642">
        <f>'2.00_Opex_Summary'!T24</f>
        <v>3.612299196106334</v>
      </c>
      <c r="U17" s="642">
        <f>'2.00_Opex_Summary'!U24</f>
        <v>3.5999238836063334</v>
      </c>
      <c r="V17" s="643">
        <f>'2.00_Opex_Summary'!V24</f>
        <v>3.5876104476688333</v>
      </c>
    </row>
    <row r="18" spans="1:22" s="98" customFormat="1" ht="15" customHeight="1">
      <c r="A18" s="99"/>
      <c r="B18" s="349"/>
      <c r="C18" s="339" t="s">
        <v>1673</v>
      </c>
      <c r="D18" s="1384"/>
      <c r="E18" s="591"/>
      <c r="F18" s="591"/>
      <c r="G18" s="339"/>
      <c r="H18" s="259"/>
      <c r="I18" s="576" t="s">
        <v>498</v>
      </c>
      <c r="J18" s="710">
        <f>SUM(J12:J17)</f>
        <v>64.040205599532342</v>
      </c>
      <c r="K18" s="711">
        <f t="shared" ref="K18:V18" si="0">SUM(K12:K17)</f>
        <v>63.167224931626464</v>
      </c>
      <c r="L18" s="711">
        <f t="shared" si="0"/>
        <v>62.921286494457121</v>
      </c>
      <c r="M18" s="711">
        <f t="shared" si="0"/>
        <v>62.696573239724472</v>
      </c>
      <c r="N18" s="711">
        <f t="shared" si="0"/>
        <v>60.08257242393789</v>
      </c>
      <c r="O18" s="711">
        <f t="shared" si="0"/>
        <v>58.8991308270543</v>
      </c>
      <c r="P18" s="711">
        <f t="shared" si="0"/>
        <v>62.800173160472752</v>
      </c>
      <c r="Q18" s="712">
        <f t="shared" si="0"/>
        <v>61.332162113452938</v>
      </c>
      <c r="R18" s="985">
        <f t="shared" si="0"/>
        <v>64.066401477770555</v>
      </c>
      <c r="S18" s="711">
        <f t="shared" si="0"/>
        <v>63.227199911812946</v>
      </c>
      <c r="T18" s="711">
        <f t="shared" si="0"/>
        <v>62.788063360654988</v>
      </c>
      <c r="U18" s="711">
        <f t="shared" si="0"/>
        <v>61.621467222620737</v>
      </c>
      <c r="V18" s="712">
        <f t="shared" si="0"/>
        <v>61.537927175404448</v>
      </c>
    </row>
    <row r="19" spans="1:22" s="98" customFormat="1" ht="15" customHeight="1">
      <c r="A19" s="99"/>
      <c r="B19" s="349"/>
      <c r="C19" s="339"/>
      <c r="D19" s="1384"/>
      <c r="E19" s="591"/>
      <c r="F19" s="591"/>
      <c r="G19" s="339"/>
      <c r="H19" s="259"/>
      <c r="I19" s="92"/>
      <c r="J19" s="619"/>
      <c r="K19" s="92"/>
      <c r="L19" s="92"/>
      <c r="M19" s="92"/>
      <c r="N19" s="92"/>
      <c r="O19" s="92"/>
      <c r="P19" s="92"/>
      <c r="Q19" s="618"/>
      <c r="R19" s="92"/>
      <c r="S19" s="92"/>
      <c r="T19" s="92"/>
      <c r="U19" s="92"/>
      <c r="V19" s="618"/>
    </row>
    <row r="20" spans="1:22" s="98" customFormat="1" ht="15" customHeight="1">
      <c r="A20" s="99"/>
      <c r="B20" s="683"/>
      <c r="C20" s="684" t="s">
        <v>1674</v>
      </c>
      <c r="D20" s="684"/>
      <c r="E20" s="684"/>
      <c r="F20" s="684"/>
      <c r="G20" s="685"/>
      <c r="H20" s="117"/>
      <c r="I20" s="92"/>
      <c r="J20" s="619"/>
      <c r="K20" s="92"/>
      <c r="L20" s="92"/>
      <c r="M20" s="92"/>
      <c r="N20" s="92"/>
      <c r="O20" s="92"/>
      <c r="P20" s="92"/>
      <c r="Q20" s="618"/>
      <c r="R20" s="92"/>
      <c r="S20" s="92"/>
      <c r="T20" s="92"/>
      <c r="U20" s="92"/>
      <c r="V20" s="618"/>
    </row>
    <row r="21" spans="1:22" s="98" customFormat="1" ht="15" customHeight="1">
      <c r="A21" s="99"/>
      <c r="B21" s="161"/>
      <c r="C21" s="185"/>
      <c r="D21" s="687" t="s">
        <v>1675</v>
      </c>
      <c r="E21" s="687"/>
      <c r="F21" s="687"/>
      <c r="G21" s="687"/>
      <c r="H21" s="185"/>
      <c r="I21" s="164" t="s">
        <v>498</v>
      </c>
      <c r="J21" s="641">
        <f>'2.00_Opex_Summary'!J38</f>
        <v>26.494657688082434</v>
      </c>
      <c r="K21" s="642">
        <f>'2.00_Opex_Summary'!K38</f>
        <v>27.108160410389601</v>
      </c>
      <c r="L21" s="642">
        <f>'2.00_Opex_Summary'!L38</f>
        <v>22.540513020686106</v>
      </c>
      <c r="M21" s="642">
        <f>'2.00_Opex_Summary'!M38</f>
        <v>23.121498705474675</v>
      </c>
      <c r="N21" s="642">
        <f>'2.00_Opex_Summary'!N38</f>
        <v>23.823574103680251</v>
      </c>
      <c r="O21" s="642">
        <f>'2.00_Opex_Summary'!O38</f>
        <v>21.223681355241482</v>
      </c>
      <c r="P21" s="642">
        <f>'2.00_Opex_Summary'!P38</f>
        <v>22.842997331354542</v>
      </c>
      <c r="Q21" s="643">
        <f>'2.00_Opex_Summary'!Q38</f>
        <v>23.153940508309816</v>
      </c>
      <c r="R21" s="998">
        <f>'2.00_Opex_Summary'!R38</f>
        <v>23.056528969380313</v>
      </c>
      <c r="S21" s="642">
        <f>'2.00_Opex_Summary'!S38</f>
        <v>22.959604488145462</v>
      </c>
      <c r="T21" s="642">
        <f>'2.00_Opex_Summary'!T38</f>
        <v>22.863164629316781</v>
      </c>
      <c r="U21" s="642">
        <f>'2.00_Opex_Summary'!U38</f>
        <v>22.767206969782244</v>
      </c>
      <c r="V21" s="643">
        <f>'2.00_Opex_Summary'!V38</f>
        <v>22.671729098545377</v>
      </c>
    </row>
    <row r="22" spans="1:22" s="98" customFormat="1" ht="15" customHeight="1">
      <c r="A22" s="99"/>
      <c r="B22" s="161"/>
      <c r="C22" s="185"/>
      <c r="D22" s="687" t="s">
        <v>1676</v>
      </c>
      <c r="E22" s="687"/>
      <c r="F22" s="687"/>
      <c r="G22" s="687"/>
      <c r="H22" s="185"/>
      <c r="I22" s="164" t="s">
        <v>498</v>
      </c>
      <c r="J22" s="641">
        <f>'2.00_Opex_Summary'!J40</f>
        <v>2.7240345725619828</v>
      </c>
      <c r="K22" s="642">
        <f>'2.00_Opex_Summary'!K40</f>
        <v>2.6402833870129863</v>
      </c>
      <c r="L22" s="642">
        <f>'2.00_Opex_Summary'!L40</f>
        <v>1.9578246530840888</v>
      </c>
      <c r="M22" s="642">
        <f>'2.00_Opex_Summary'!M40</f>
        <v>2.0927699188849607</v>
      </c>
      <c r="N22" s="642">
        <f>'2.00_Opex_Summary'!N40</f>
        <v>1.7927968787133293</v>
      </c>
      <c r="O22" s="642">
        <f>'2.00_Opex_Summary'!O40</f>
        <v>2.0051969867959025</v>
      </c>
      <c r="P22" s="642">
        <f>'2.00_Opex_Summary'!P40</f>
        <v>2.7926197123801701</v>
      </c>
      <c r="Q22" s="643">
        <f>'2.00_Opex_Summary'!Q40</f>
        <v>3.6810912123801702</v>
      </c>
      <c r="R22" s="998">
        <f>'2.00_Opex_Summary'!R40</f>
        <v>3.7481287123801703</v>
      </c>
      <c r="S22" s="642">
        <f>'2.00_Opex_Summary'!S40</f>
        <v>3.5215662123801703</v>
      </c>
      <c r="T22" s="642">
        <f>'2.00_Opex_Summary'!T40</f>
        <v>3.4841742123801698</v>
      </c>
      <c r="U22" s="642">
        <f>'2.00_Opex_Summary'!U40</f>
        <v>3.5215662123801703</v>
      </c>
      <c r="V22" s="643">
        <f>'2.00_Opex_Summary'!V40</f>
        <v>3.46617421238017</v>
      </c>
    </row>
    <row r="23" spans="1:22" s="98" customFormat="1" ht="15" customHeight="1">
      <c r="A23" s="99"/>
      <c r="B23" s="349"/>
      <c r="C23" s="339" t="s">
        <v>1677</v>
      </c>
      <c r="D23" s="1384"/>
      <c r="E23" s="591"/>
      <c r="F23" s="591"/>
      <c r="G23" s="339"/>
      <c r="H23" s="259"/>
      <c r="I23" s="576" t="s">
        <v>498</v>
      </c>
      <c r="J23" s="710">
        <f>SUM(J21:J22)</f>
        <v>29.218692260644417</v>
      </c>
      <c r="K23" s="711">
        <f t="shared" ref="K23:V23" si="1">SUM(K21:K22)</f>
        <v>29.748443797402587</v>
      </c>
      <c r="L23" s="711">
        <f t="shared" si="1"/>
        <v>24.498337673770195</v>
      </c>
      <c r="M23" s="711">
        <f t="shared" si="1"/>
        <v>25.214268624359637</v>
      </c>
      <c r="N23" s="711">
        <f t="shared" si="1"/>
        <v>25.61637098239358</v>
      </c>
      <c r="O23" s="711">
        <f t="shared" si="1"/>
        <v>23.228878342037383</v>
      </c>
      <c r="P23" s="711">
        <f t="shared" si="1"/>
        <v>25.635617043734712</v>
      </c>
      <c r="Q23" s="712">
        <f t="shared" si="1"/>
        <v>26.835031720689987</v>
      </c>
      <c r="R23" s="985">
        <f t="shared" si="1"/>
        <v>26.804657681760482</v>
      </c>
      <c r="S23" s="711">
        <f t="shared" si="1"/>
        <v>26.481170700525631</v>
      </c>
      <c r="T23" s="711">
        <f t="shared" si="1"/>
        <v>26.347338841696953</v>
      </c>
      <c r="U23" s="711">
        <f t="shared" si="1"/>
        <v>26.288773182162416</v>
      </c>
      <c r="V23" s="712">
        <f t="shared" si="1"/>
        <v>26.137903310925548</v>
      </c>
    </row>
    <row r="24" spans="1:22" s="98" customFormat="1" ht="15" customHeight="1">
      <c r="A24" s="99"/>
      <c r="B24" s="349"/>
      <c r="C24" s="339"/>
      <c r="D24" s="1384"/>
      <c r="E24" s="591"/>
      <c r="F24" s="591"/>
      <c r="G24" s="339"/>
      <c r="H24" s="259"/>
      <c r="I24" s="92"/>
      <c r="J24" s="619"/>
      <c r="K24" s="92"/>
      <c r="L24" s="92"/>
      <c r="M24" s="92"/>
      <c r="N24" s="92"/>
      <c r="O24" s="92"/>
      <c r="P24" s="92"/>
      <c r="Q24" s="618"/>
      <c r="R24" s="92"/>
      <c r="S24" s="92"/>
      <c r="T24" s="92"/>
      <c r="U24" s="92"/>
      <c r="V24" s="618"/>
    </row>
    <row r="25" spans="1:22" s="98" customFormat="1" ht="15" customHeight="1">
      <c r="A25" s="99"/>
      <c r="B25" s="683"/>
      <c r="C25" s="684" t="s">
        <v>62</v>
      </c>
      <c r="D25" s="684"/>
      <c r="E25" s="684"/>
      <c r="F25" s="684"/>
      <c r="G25" s="685"/>
      <c r="H25" s="117"/>
      <c r="I25" s="92"/>
      <c r="J25" s="619"/>
      <c r="K25" s="92"/>
      <c r="L25" s="92"/>
      <c r="M25" s="92"/>
      <c r="N25" s="92"/>
      <c r="O25" s="92"/>
      <c r="P25" s="92"/>
      <c r="Q25" s="618"/>
      <c r="R25" s="92"/>
      <c r="S25" s="92"/>
      <c r="T25" s="92"/>
      <c r="U25" s="92"/>
      <c r="V25" s="618"/>
    </row>
    <row r="26" spans="1:22" s="98" customFormat="1" ht="15" customHeight="1">
      <c r="A26" s="99"/>
      <c r="B26" s="161"/>
      <c r="C26" s="185"/>
      <c r="D26" s="687" t="s">
        <v>1678</v>
      </c>
      <c r="E26" s="687"/>
      <c r="F26" s="687"/>
      <c r="G26" s="687"/>
      <c r="H26" s="185"/>
      <c r="I26" s="164" t="s">
        <v>498</v>
      </c>
      <c r="J26" s="641">
        <f>'3.00_Capex_Summary'!AN17</f>
        <v>9.9795615101500026</v>
      </c>
      <c r="K26" s="642">
        <f>'3.00_Capex_Summary'!AO17</f>
        <v>16.549234457142852</v>
      </c>
      <c r="L26" s="642">
        <f>'3.00_Capex_Summary'!AP17</f>
        <v>21.745387096303148</v>
      </c>
      <c r="M26" s="642">
        <f>'3.00_Capex_Summary'!AQ17</f>
        <v>15.991203845164858</v>
      </c>
      <c r="N26" s="642">
        <f>'3.00_Capex_Summary'!AR17</f>
        <v>11.724103636947191</v>
      </c>
      <c r="O26" s="642">
        <f>'3.00_Capex_Summary'!AS17</f>
        <v>15.739369069517785</v>
      </c>
      <c r="P26" s="642">
        <f>'3.00_Capex_Summary'!AT17</f>
        <v>13.397346706710174</v>
      </c>
      <c r="Q26" s="643">
        <f>'3.00_Capex_Summary'!AU17</f>
        <v>14.064118430474384</v>
      </c>
      <c r="R26" s="998">
        <f>'3.00_Capex_Summary'!AV17</f>
        <v>11.107013949215503</v>
      </c>
      <c r="S26" s="642">
        <f>'3.00_Capex_Summary'!AW17</f>
        <v>18.411920399159413</v>
      </c>
      <c r="T26" s="642">
        <f>'3.00_Capex_Summary'!AX17</f>
        <v>21.650235253150605</v>
      </c>
      <c r="U26" s="642">
        <f>'3.00_Capex_Summary'!AY17</f>
        <v>16.636947438721396</v>
      </c>
      <c r="V26" s="643">
        <f>'3.00_Capex_Summary'!AZ17</f>
        <v>15.351202070336946</v>
      </c>
    </row>
    <row r="27" spans="1:22" s="98" customFormat="1" ht="15" customHeight="1">
      <c r="A27" s="99"/>
      <c r="B27" s="161"/>
      <c r="C27" s="185"/>
      <c r="D27" s="687" t="s">
        <v>67</v>
      </c>
      <c r="E27" s="687"/>
      <c r="F27" s="687"/>
      <c r="G27" s="687"/>
      <c r="H27" s="185"/>
      <c r="I27" s="164" t="s">
        <v>498</v>
      </c>
      <c r="J27" s="641">
        <f>'3.00_Capex_Summary'!AN38</f>
        <v>7.3288444499209842</v>
      </c>
      <c r="K27" s="642">
        <f>'3.00_Capex_Summary'!AO38</f>
        <v>7.5044006460154851</v>
      </c>
      <c r="L27" s="642">
        <f>'3.00_Capex_Summary'!AP38</f>
        <v>10.775080955877394</v>
      </c>
      <c r="M27" s="642">
        <f>'3.00_Capex_Summary'!AQ38</f>
        <v>9.4412599087933984</v>
      </c>
      <c r="N27" s="642">
        <f>'3.00_Capex_Summary'!AR38</f>
        <v>10.308256401427812</v>
      </c>
      <c r="O27" s="642">
        <f>'3.00_Capex_Summary'!AS38</f>
        <v>10.338652664345927</v>
      </c>
      <c r="P27" s="642">
        <f>'3.00_Capex_Summary'!AT38</f>
        <v>9.097834963571616</v>
      </c>
      <c r="Q27" s="643">
        <f>'3.00_Capex_Summary'!AU38</f>
        <v>8.3174320532928405</v>
      </c>
      <c r="R27" s="998">
        <f>'3.00_Capex_Summary'!AV38</f>
        <v>7.9056483387863166</v>
      </c>
      <c r="S27" s="642">
        <f>'3.00_Capex_Summary'!AW38</f>
        <v>8.1097847524545994</v>
      </c>
      <c r="T27" s="642">
        <f>'3.00_Capex_Summary'!AX38</f>
        <v>8.311273062929402</v>
      </c>
      <c r="U27" s="642">
        <f>'3.00_Capex_Summary'!AY38</f>
        <v>8.5166820635914124</v>
      </c>
      <c r="V27" s="643">
        <f>'3.00_Capex_Summary'!AZ38</f>
        <v>6.2551005790676353</v>
      </c>
    </row>
    <row r="28" spans="1:22" s="98" customFormat="1" ht="15" customHeight="1">
      <c r="A28" s="99"/>
      <c r="B28" s="161"/>
      <c r="C28" s="185"/>
      <c r="D28" s="687" t="s">
        <v>1679</v>
      </c>
      <c r="E28" s="687"/>
      <c r="F28" s="687"/>
      <c r="G28" s="687"/>
      <c r="H28" s="185"/>
      <c r="I28" s="164" t="s">
        <v>498</v>
      </c>
      <c r="J28" s="641">
        <f>'3.00_Capex_Summary'!AN22</f>
        <v>3.2190852756711714</v>
      </c>
      <c r="K28" s="642">
        <f>'3.00_Capex_Summary'!AO22</f>
        <v>1.9625517818181812</v>
      </c>
      <c r="L28" s="642">
        <f>'3.00_Capex_Summary'!AP22</f>
        <v>3.5135138635024767</v>
      </c>
      <c r="M28" s="642">
        <f>'3.00_Capex_Summary'!AQ22</f>
        <v>2.2911614950689825</v>
      </c>
      <c r="N28" s="642">
        <f>'3.00_Capex_Summary'!AR22</f>
        <v>2.2518819619647248</v>
      </c>
      <c r="O28" s="642">
        <f>'3.00_Capex_Summary'!AS22</f>
        <v>2.3631096259034123</v>
      </c>
      <c r="P28" s="642">
        <f>'3.00_Capex_Summary'!AT22</f>
        <v>5.5044946031817146</v>
      </c>
      <c r="Q28" s="643">
        <f>'3.00_Capex_Summary'!AU22</f>
        <v>9.8653248566236993</v>
      </c>
      <c r="R28" s="998">
        <f>'3.00_Capex_Summary'!AV22</f>
        <v>5.1954618923006688</v>
      </c>
      <c r="S28" s="642">
        <f>'3.00_Capex_Summary'!AW22</f>
        <v>5.4655652693427923</v>
      </c>
      <c r="T28" s="642">
        <f>'3.00_Capex_Summary'!AX22</f>
        <v>5.8640716638196775</v>
      </c>
      <c r="U28" s="642">
        <f>'3.00_Capex_Summary'!AY22</f>
        <v>5.9705999568890853</v>
      </c>
      <c r="V28" s="643">
        <f>'3.00_Capex_Summary'!AZ22</f>
        <v>6.1123003164964445</v>
      </c>
    </row>
    <row r="29" spans="1:22" s="98" customFormat="1" ht="15" customHeight="1">
      <c r="A29" s="99"/>
      <c r="B29" s="161"/>
      <c r="C29" s="185"/>
      <c r="D29" s="687" t="s">
        <v>66</v>
      </c>
      <c r="E29" s="687"/>
      <c r="F29" s="687"/>
      <c r="G29" s="687"/>
      <c r="H29" s="185"/>
      <c r="I29" s="164" t="s">
        <v>498</v>
      </c>
      <c r="J29" s="641">
        <f>'3.00_Capex_Summary'!AN30</f>
        <v>2.2962402810205216</v>
      </c>
      <c r="K29" s="642">
        <f>'3.00_Capex_Summary'!AO30</f>
        <v>1.5199290233766227</v>
      </c>
      <c r="L29" s="642">
        <f>'3.00_Capex_Summary'!AP30</f>
        <v>1.9590507993039799</v>
      </c>
      <c r="M29" s="642">
        <f>'3.00_Capex_Summary'!AQ30</f>
        <v>1.7507791752528377</v>
      </c>
      <c r="N29" s="642">
        <f>'3.00_Capex_Summary'!AR30</f>
        <v>1.4977366577759006</v>
      </c>
      <c r="O29" s="642">
        <f>'3.00_Capex_Summary'!AS30</f>
        <v>2.6289907141453734</v>
      </c>
      <c r="P29" s="642">
        <f>'3.00_Capex_Summary'!AT30</f>
        <v>3.3773225936537488</v>
      </c>
      <c r="Q29" s="643">
        <f>'3.00_Capex_Summary'!AU30</f>
        <v>2.8033854869863517</v>
      </c>
      <c r="R29" s="998">
        <f>'3.00_Capex_Summary'!AV30</f>
        <v>1.5780157144503115</v>
      </c>
      <c r="S29" s="642">
        <f>'3.00_Capex_Summary'!AW30</f>
        <v>1.5780157144503115</v>
      </c>
      <c r="T29" s="642">
        <f>'3.00_Capex_Summary'!AX30</f>
        <v>1.5780157144503115</v>
      </c>
      <c r="U29" s="642">
        <f>'3.00_Capex_Summary'!AY30</f>
        <v>1.5780157144503115</v>
      </c>
      <c r="V29" s="643">
        <f>'3.00_Capex_Summary'!AZ30</f>
        <v>1.5780157144503115</v>
      </c>
    </row>
    <row r="30" spans="1:22" s="98" customFormat="1" ht="15" customHeight="1">
      <c r="A30" s="99"/>
      <c r="B30" s="161"/>
      <c r="C30" s="185"/>
      <c r="D30" s="687" t="s">
        <v>68</v>
      </c>
      <c r="E30" s="687"/>
      <c r="F30" s="687"/>
      <c r="G30" s="687"/>
      <c r="H30" s="185"/>
      <c r="I30" s="164" t="s">
        <v>498</v>
      </c>
      <c r="J30" s="641">
        <f>'3.00_Capex_Summary'!AN40</f>
        <v>18.032545427864733</v>
      </c>
      <c r="K30" s="642">
        <f>'3.00_Capex_Summary'!AO40</f>
        <v>21.141787112966334</v>
      </c>
      <c r="L30" s="642">
        <f>'3.00_Capex_Summary'!AP40</f>
        <v>25.026882823307464</v>
      </c>
      <c r="M30" s="642">
        <f>'3.00_Capex_Summary'!AQ40</f>
        <v>30.152237501587972</v>
      </c>
      <c r="N30" s="642">
        <f>'3.00_Capex_Summary'!AR40</f>
        <v>24.538939317678548</v>
      </c>
      <c r="O30" s="642">
        <f>'3.00_Capex_Summary'!AS40</f>
        <v>28.253145718237121</v>
      </c>
      <c r="P30" s="642">
        <f>'3.00_Capex_Summary'!AT40</f>
        <v>27.185881347630339</v>
      </c>
      <c r="Q30" s="643">
        <f>'3.00_Capex_Summary'!AU40</f>
        <v>18.829376430038064</v>
      </c>
      <c r="R30" s="998">
        <f>'3.00_Capex_Summary'!AV40</f>
        <v>21.018189019752437</v>
      </c>
      <c r="S30" s="642">
        <f>'3.00_Capex_Summary'!AW40</f>
        <v>20.073454614170906</v>
      </c>
      <c r="T30" s="642">
        <f>'3.00_Capex_Summary'!AX40</f>
        <v>17.8197581645118</v>
      </c>
      <c r="U30" s="642">
        <f>'3.00_Capex_Summary'!AY40</f>
        <v>18.40376267412227</v>
      </c>
      <c r="V30" s="643">
        <f>'3.00_Capex_Summary'!AZ40</f>
        <v>18.543422756515419</v>
      </c>
    </row>
    <row r="31" spans="1:22" s="98" customFormat="1" ht="15" customHeight="1">
      <c r="A31" s="99"/>
      <c r="B31" s="161"/>
      <c r="C31" s="185"/>
      <c r="D31" s="687" t="s">
        <v>1680</v>
      </c>
      <c r="E31" s="687"/>
      <c r="F31" s="687"/>
      <c r="G31" s="687"/>
      <c r="H31" s="185"/>
      <c r="I31" s="164" t="s">
        <v>498</v>
      </c>
      <c r="J31" s="641">
        <f>'3.00_Capex_Summary'!AN42</f>
        <v>4.4155591023822902</v>
      </c>
      <c r="K31" s="642">
        <f>'3.00_Capex_Summary'!AO42</f>
        <v>4.9343227259946989</v>
      </c>
      <c r="L31" s="642">
        <f>'3.00_Capex_Summary'!AP42</f>
        <v>3.5868599645758135</v>
      </c>
      <c r="M31" s="642">
        <f>'3.00_Capex_Summary'!AQ42</f>
        <v>3.4152201754967684</v>
      </c>
      <c r="N31" s="642">
        <f>'3.00_Capex_Summary'!AR42</f>
        <v>3.6460955778894562</v>
      </c>
      <c r="O31" s="642">
        <f>'3.00_Capex_Summary'!AS42</f>
        <v>0.37623034194205729</v>
      </c>
      <c r="P31" s="642">
        <f>'3.00_Capex_Summary'!AT42</f>
        <v>1.1872667481351091</v>
      </c>
      <c r="Q31" s="643">
        <f>'3.00_Capex_Summary'!AU42</f>
        <v>2.8634080396199688</v>
      </c>
      <c r="R31" s="998">
        <f>'3.00_Capex_Summary'!AV42</f>
        <v>4.2003070674334833</v>
      </c>
      <c r="S31" s="642">
        <f>'3.00_Capex_Summary'!AW42</f>
        <v>5.249313025909597</v>
      </c>
      <c r="T31" s="642">
        <f>'3.00_Capex_Summary'!AX42</f>
        <v>4.22266449464788</v>
      </c>
      <c r="U31" s="642">
        <f>'3.00_Capex_Summary'!AY42</f>
        <v>3.7300006013282538</v>
      </c>
      <c r="V31" s="643">
        <f>'3.00_Capex_Summary'!AZ42</f>
        <v>2.0028420299796537</v>
      </c>
    </row>
    <row r="32" spans="1:22" s="98" customFormat="1" ht="15" customHeight="1">
      <c r="A32" s="99"/>
      <c r="B32" s="349"/>
      <c r="C32" s="339" t="s">
        <v>1681</v>
      </c>
      <c r="D32" s="1384"/>
      <c r="E32" s="591"/>
      <c r="F32" s="591"/>
      <c r="G32" s="339"/>
      <c r="H32" s="259"/>
      <c r="I32" s="576" t="s">
        <v>498</v>
      </c>
      <c r="J32" s="710">
        <f>SUM(J26:J31)</f>
        <v>45.2718360470097</v>
      </c>
      <c r="K32" s="711">
        <f t="shared" ref="K32:V32" si="2">SUM(K26:K31)</f>
        <v>53.61222574731417</v>
      </c>
      <c r="L32" s="711">
        <f t="shared" si="2"/>
        <v>66.606775502870263</v>
      </c>
      <c r="M32" s="711">
        <f t="shared" si="2"/>
        <v>63.041862101364821</v>
      </c>
      <c r="N32" s="711">
        <f t="shared" si="2"/>
        <v>53.967013553683628</v>
      </c>
      <c r="O32" s="711">
        <f t="shared" si="2"/>
        <v>59.699498134091677</v>
      </c>
      <c r="P32" s="711">
        <f t="shared" si="2"/>
        <v>59.750146962882702</v>
      </c>
      <c r="Q32" s="712">
        <f t="shared" si="2"/>
        <v>56.743045297035309</v>
      </c>
      <c r="R32" s="985">
        <f t="shared" si="2"/>
        <v>51.004635981938726</v>
      </c>
      <c r="S32" s="711">
        <f t="shared" si="2"/>
        <v>58.88805377548762</v>
      </c>
      <c r="T32" s="711">
        <f t="shared" si="2"/>
        <v>59.446018353509679</v>
      </c>
      <c r="U32" s="711">
        <f t="shared" si="2"/>
        <v>54.836008449102735</v>
      </c>
      <c r="V32" s="712">
        <f t="shared" si="2"/>
        <v>49.842883466846409</v>
      </c>
    </row>
    <row r="33" spans="1:22" s="98" customFormat="1" ht="15" customHeight="1">
      <c r="A33" s="99"/>
      <c r="B33" s="349"/>
      <c r="C33" s="339"/>
      <c r="D33" s="1384"/>
      <c r="E33" s="591"/>
      <c r="F33" s="591"/>
      <c r="G33" s="339"/>
      <c r="H33" s="259"/>
      <c r="I33" s="92"/>
      <c r="J33" s="619"/>
      <c r="K33" s="92"/>
      <c r="L33" s="92"/>
      <c r="M33" s="92"/>
      <c r="N33" s="92"/>
      <c r="O33" s="92"/>
      <c r="P33" s="92"/>
      <c r="Q33" s="618"/>
      <c r="R33" s="92"/>
      <c r="S33" s="92"/>
      <c r="T33" s="92"/>
      <c r="U33" s="92"/>
      <c r="V33" s="618"/>
    </row>
    <row r="34" spans="1:22" s="98" customFormat="1" ht="15" customHeight="1">
      <c r="A34" s="99"/>
      <c r="B34" s="683"/>
      <c r="C34" s="684" t="s">
        <v>71</v>
      </c>
      <c r="D34" s="684"/>
      <c r="E34" s="684"/>
      <c r="F34" s="684"/>
      <c r="G34" s="685"/>
      <c r="H34" s="117"/>
      <c r="I34" s="92"/>
      <c r="J34" s="619"/>
      <c r="K34" s="92"/>
      <c r="L34" s="92"/>
      <c r="M34" s="92"/>
      <c r="N34" s="92"/>
      <c r="O34" s="92"/>
      <c r="P34" s="92"/>
      <c r="Q34" s="618"/>
      <c r="R34" s="92"/>
      <c r="S34" s="92"/>
      <c r="T34" s="92"/>
      <c r="U34" s="92"/>
      <c r="V34" s="618"/>
    </row>
    <row r="35" spans="1:22" s="98" customFormat="1" ht="15" customHeight="1">
      <c r="A35" s="99"/>
      <c r="B35" s="161"/>
      <c r="C35" s="185"/>
      <c r="D35" s="687" t="s">
        <v>1682</v>
      </c>
      <c r="E35" s="687"/>
      <c r="F35" s="687"/>
      <c r="G35" s="687"/>
      <c r="H35" s="185"/>
      <c r="I35" s="164" t="s">
        <v>498</v>
      </c>
      <c r="J35" s="641">
        <f>'4.00_Repex_Summary'!AN14</f>
        <v>71.308069775292267</v>
      </c>
      <c r="K35" s="642">
        <f>'4.00_Repex_Summary'!AO14</f>
        <v>77.481212071025027</v>
      </c>
      <c r="L35" s="642">
        <f>'4.00_Repex_Summary'!AP14</f>
        <v>70.501818687497675</v>
      </c>
      <c r="M35" s="642">
        <f>'4.00_Repex_Summary'!AQ14</f>
        <v>70.623276226430235</v>
      </c>
      <c r="N35" s="642">
        <f>'4.00_Repex_Summary'!AR14</f>
        <v>66.071661032397813</v>
      </c>
      <c r="O35" s="642">
        <f>'4.00_Repex_Summary'!AS14</f>
        <v>69.080001506977624</v>
      </c>
      <c r="P35" s="642">
        <f>'4.00_Repex_Summary'!AT14</f>
        <v>67.647914421472848</v>
      </c>
      <c r="Q35" s="643">
        <f>'4.00_Repex_Summary'!AU14</f>
        <v>62.386863632427499</v>
      </c>
      <c r="R35" s="998">
        <f>'4.00_Repex_Summary'!AV14</f>
        <v>63.776863754124776</v>
      </c>
      <c r="S35" s="642">
        <f>'4.00_Repex_Summary'!AW14</f>
        <v>63.457979435354133</v>
      </c>
      <c r="T35" s="642">
        <f>'4.00_Repex_Summary'!AX14</f>
        <v>63.140689538177384</v>
      </c>
      <c r="U35" s="642">
        <f>'4.00_Repex_Summary'!AY14</f>
        <v>62.824986090486483</v>
      </c>
      <c r="V35" s="643">
        <f>'4.00_Repex_Summary'!AZ14</f>
        <v>62.510861160034054</v>
      </c>
    </row>
    <row r="36" spans="1:22" s="98" customFormat="1" ht="15" customHeight="1">
      <c r="A36" s="99"/>
      <c r="B36" s="161"/>
      <c r="C36" s="185"/>
      <c r="D36" s="687" t="s">
        <v>1683</v>
      </c>
      <c r="E36" s="687"/>
      <c r="F36" s="687"/>
      <c r="G36" s="687"/>
      <c r="H36" s="185"/>
      <c r="I36" s="164" t="s">
        <v>498</v>
      </c>
      <c r="J36" s="641">
        <f>'4.00_Repex_Summary'!AN19</f>
        <v>2.6320417156674649</v>
      </c>
      <c r="K36" s="642">
        <f>'4.00_Repex_Summary'!AO19</f>
        <v>2.6985719737512808</v>
      </c>
      <c r="L36" s="642">
        <f>'4.00_Repex_Summary'!AP19</f>
        <v>1.9763779352550543</v>
      </c>
      <c r="M36" s="642">
        <f>'4.00_Repex_Summary'!AQ19</f>
        <v>1.6806520718256164</v>
      </c>
      <c r="N36" s="642">
        <f>'4.00_Repex_Summary'!AR19</f>
        <v>2.6436864634743249</v>
      </c>
      <c r="O36" s="642">
        <f>'4.00_Repex_Summary'!AS19</f>
        <v>1.5357584821556225</v>
      </c>
      <c r="P36" s="642">
        <f>'4.00_Repex_Summary'!AT19</f>
        <v>4.8793504218412478</v>
      </c>
      <c r="Q36" s="643">
        <f>'4.00_Repex_Summary'!AU19</f>
        <v>4.6938083013291756</v>
      </c>
      <c r="R36" s="998">
        <f>'4.00_Repex_Summary'!AV19</f>
        <v>0.77026283366691251</v>
      </c>
      <c r="S36" s="642">
        <f>'4.00_Repex_Summary'!AW19</f>
        <v>0.76641151949857789</v>
      </c>
      <c r="T36" s="642">
        <f>'4.00_Repex_Summary'!AX19</f>
        <v>0.76257946190108494</v>
      </c>
      <c r="U36" s="642">
        <f>'4.00_Repex_Summary'!AY19</f>
        <v>0.75876656459157954</v>
      </c>
      <c r="V36" s="643">
        <f>'4.00_Repex_Summary'!AZ19</f>
        <v>0.75497273176862156</v>
      </c>
    </row>
    <row r="37" spans="1:22" s="98" customFormat="1" ht="15" customHeight="1">
      <c r="A37" s="99"/>
      <c r="B37" s="161"/>
      <c r="C37" s="185"/>
      <c r="D37" s="687" t="s">
        <v>1684</v>
      </c>
      <c r="E37" s="687"/>
      <c r="F37" s="687"/>
      <c r="G37" s="687"/>
      <c r="H37" s="185"/>
      <c r="I37" s="164" t="s">
        <v>498</v>
      </c>
      <c r="J37" s="641">
        <f>'4.00_Repex_Summary'!AN24</f>
        <v>6.6385756584019893</v>
      </c>
      <c r="K37" s="642">
        <f>'4.00_Repex_Summary'!AO24</f>
        <v>5.787560825706449</v>
      </c>
      <c r="L37" s="642">
        <f>'4.00_Repex_Summary'!AP24</f>
        <v>3.8536090096316675</v>
      </c>
      <c r="M37" s="642">
        <f>'4.00_Repex_Summary'!AQ24</f>
        <v>4.1837986485337595</v>
      </c>
      <c r="N37" s="642">
        <f>'4.00_Repex_Summary'!AR24</f>
        <v>8.467216462461403</v>
      </c>
      <c r="O37" s="642">
        <f>'4.00_Repex_Summary'!AS24</f>
        <v>9.2243933708358323</v>
      </c>
      <c r="P37" s="642">
        <f>'4.00_Repex_Summary'!AT24</f>
        <v>10.275527476789312</v>
      </c>
      <c r="Q37" s="643">
        <f>'4.00_Repex_Summary'!AU24</f>
        <v>9.1198050744413521</v>
      </c>
      <c r="R37" s="998">
        <f>'4.00_Repex_Summary'!AV24</f>
        <v>8.452600481990034</v>
      </c>
      <c r="S37" s="642">
        <f>'4.00_Repex_Summary'!AW24</f>
        <v>8.4103374795800825</v>
      </c>
      <c r="T37" s="642">
        <f>'4.00_Repex_Summary'!AX24</f>
        <v>8.3682857921821849</v>
      </c>
      <c r="U37" s="642">
        <f>'4.00_Repex_Summary'!AY24</f>
        <v>8.3264443632212721</v>
      </c>
      <c r="V37" s="643">
        <f>'4.00_Repex_Summary'!AZ24</f>
        <v>8.2848121414051672</v>
      </c>
    </row>
    <row r="38" spans="1:22" s="98" customFormat="1" ht="15" customHeight="1">
      <c r="A38" s="99"/>
      <c r="B38" s="161"/>
      <c r="C38" s="185"/>
      <c r="D38" s="687" t="s">
        <v>1685</v>
      </c>
      <c r="E38" s="687"/>
      <c r="F38" s="687"/>
      <c r="G38" s="687"/>
      <c r="H38" s="185"/>
      <c r="I38" s="164" t="s">
        <v>498</v>
      </c>
      <c r="J38" s="641">
        <f>'4.00_Repex_Summary'!AN29</f>
        <v>4.1341630091942259</v>
      </c>
      <c r="K38" s="642">
        <f>'4.00_Repex_Summary'!AO29</f>
        <v>2.6325153098893006</v>
      </c>
      <c r="L38" s="642">
        <f>'4.00_Repex_Summary'!AP29</f>
        <v>2.5955844955732101</v>
      </c>
      <c r="M38" s="642">
        <f>'4.00_Repex_Summary'!AQ29</f>
        <v>1.6172634158066086</v>
      </c>
      <c r="N38" s="642">
        <f>'4.00_Repex_Summary'!AR29</f>
        <v>1.8938145602640353</v>
      </c>
      <c r="O38" s="642">
        <f>'4.00_Repex_Summary'!AS29</f>
        <v>4.6852117207465804</v>
      </c>
      <c r="P38" s="642">
        <f>'4.00_Repex_Summary'!AT29</f>
        <v>2.6885781432701794</v>
      </c>
      <c r="Q38" s="643">
        <f>'4.00_Repex_Summary'!AU29</f>
        <v>2.2817953329230307</v>
      </c>
      <c r="R38" s="998">
        <f>'4.00_Repex_Summary'!AV29</f>
        <v>6.6511685701311478</v>
      </c>
      <c r="S38" s="642">
        <f>'4.00_Repex_Summary'!AW29</f>
        <v>6.6179127272804923</v>
      </c>
      <c r="T38" s="642">
        <f>'4.00_Repex_Summary'!AX29</f>
        <v>6.5848231636440895</v>
      </c>
      <c r="U38" s="642">
        <f>'4.00_Repex_Summary'!AY29</f>
        <v>6.5518990478258701</v>
      </c>
      <c r="V38" s="643">
        <f>'4.00_Repex_Summary'!AZ29</f>
        <v>6.5191395525867399</v>
      </c>
    </row>
    <row r="39" spans="1:22" s="98" customFormat="1" ht="15" customHeight="1">
      <c r="A39" s="99"/>
      <c r="B39" s="161"/>
      <c r="C39" s="185"/>
      <c r="D39" s="687" t="s">
        <v>1686</v>
      </c>
      <c r="E39" s="687"/>
      <c r="F39" s="687"/>
      <c r="G39" s="687"/>
      <c r="H39" s="185"/>
      <c r="I39" s="164" t="s">
        <v>498</v>
      </c>
      <c r="J39" s="641">
        <f>'4.00_Repex_Summary'!AN34</f>
        <v>3.039933814421774</v>
      </c>
      <c r="K39" s="642">
        <f>'4.00_Repex_Summary'!AO34</f>
        <v>4.0437377375266781</v>
      </c>
      <c r="L39" s="642">
        <f>'4.00_Repex_Summary'!AP34</f>
        <v>6.7628449193912381</v>
      </c>
      <c r="M39" s="642">
        <f>'4.00_Repex_Summary'!AQ34</f>
        <v>3.9647294102829775</v>
      </c>
      <c r="N39" s="642">
        <f>'4.00_Repex_Summary'!AR34</f>
        <v>7.0331208952082651</v>
      </c>
      <c r="O39" s="642">
        <f>'4.00_Repex_Summary'!AS34</f>
        <v>5.5376722507571632</v>
      </c>
      <c r="P39" s="642">
        <f>'4.00_Repex_Summary'!AT34</f>
        <v>3.3130316525695127</v>
      </c>
      <c r="Q39" s="643">
        <f>'4.00_Repex_Summary'!AU34</f>
        <v>3.0833023351138795</v>
      </c>
      <c r="R39" s="998">
        <f>'4.00_Repex_Summary'!AV34</f>
        <v>18.416879597149883</v>
      </c>
      <c r="S39" s="642">
        <f>'4.00_Repex_Summary'!AW34</f>
        <v>18.324795199164136</v>
      </c>
      <c r="T39" s="642">
        <f>'4.00_Repex_Summary'!AX34</f>
        <v>18.23317122316832</v>
      </c>
      <c r="U39" s="642">
        <f>'4.00_Repex_Summary'!AY34</f>
        <v>18.142005367052477</v>
      </c>
      <c r="V39" s="643">
        <f>'4.00_Repex_Summary'!AZ34</f>
        <v>18.051295340217209</v>
      </c>
    </row>
    <row r="40" spans="1:22" s="98" customFormat="1" ht="15" customHeight="1">
      <c r="A40" s="99"/>
      <c r="B40" s="161"/>
      <c r="C40" s="185"/>
      <c r="D40" s="687" t="s">
        <v>1687</v>
      </c>
      <c r="E40" s="687"/>
      <c r="F40" s="687"/>
      <c r="G40" s="687"/>
      <c r="H40" s="185"/>
      <c r="I40" s="164" t="s">
        <v>498</v>
      </c>
      <c r="J40" s="641">
        <f>'4.00_Repex_Summary'!AN36</f>
        <v>0.10394239891873502</v>
      </c>
      <c r="K40" s="642">
        <f>'4.00_Repex_Summary'!AO36</f>
        <v>3.5295670370524015E-2</v>
      </c>
      <c r="L40" s="642">
        <f>'4.00_Repex_Summary'!AP36</f>
        <v>1.1845109035597472E-2</v>
      </c>
      <c r="M40" s="642">
        <f>'4.00_Repex_Summary'!AQ36</f>
        <v>0</v>
      </c>
      <c r="N40" s="642">
        <f>'4.00_Repex_Summary'!AR36</f>
        <v>0.14178992288903058</v>
      </c>
      <c r="O40" s="642">
        <f>'4.00_Repex_Summary'!AS36</f>
        <v>6.7284100001811968E-3</v>
      </c>
      <c r="P40" s="642">
        <f>'4.00_Repex_Summary'!AT36</f>
        <v>0.08</v>
      </c>
      <c r="Q40" s="643">
        <f>'4.00_Repex_Summary'!AU36</f>
        <v>0.08</v>
      </c>
      <c r="R40" s="998">
        <f>'4.00_Repex_Summary'!AV36</f>
        <v>0.56815875689320938</v>
      </c>
      <c r="S40" s="642">
        <f>'4.00_Repex_Summary'!AW36</f>
        <v>0.56531796310874327</v>
      </c>
      <c r="T40" s="642">
        <f>'4.00_Repex_Summary'!AX36</f>
        <v>0.56249137329319954</v>
      </c>
      <c r="U40" s="642">
        <f>'4.00_Repex_Summary'!AY36</f>
        <v>0.55967891642673362</v>
      </c>
      <c r="V40" s="643">
        <f>'4.00_Repex_Summary'!AZ36</f>
        <v>0.55688052184459991</v>
      </c>
    </row>
    <row r="41" spans="1:22" s="98" customFormat="1" ht="15" customHeight="1">
      <c r="A41" s="99"/>
      <c r="B41" s="161"/>
      <c r="C41" s="185"/>
      <c r="D41" s="687" t="s">
        <v>1688</v>
      </c>
      <c r="E41" s="687"/>
      <c r="F41" s="687"/>
      <c r="G41" s="687"/>
      <c r="H41" s="185"/>
      <c r="I41" s="164" t="s">
        <v>498</v>
      </c>
      <c r="J41" s="641">
        <f>'4.00_Repex_Summary'!AN38</f>
        <v>10.973977748967384</v>
      </c>
      <c r="K41" s="642">
        <f>'4.00_Repex_Summary'!AO38</f>
        <v>11.107106269724273</v>
      </c>
      <c r="L41" s="642">
        <f>'4.00_Repex_Summary'!AP38</f>
        <v>8.9538296827195563</v>
      </c>
      <c r="M41" s="642">
        <f>'4.00_Repex_Summary'!AQ38</f>
        <v>8.8057312084608395</v>
      </c>
      <c r="N41" s="642">
        <f>'4.00_Repex_Summary'!AR38</f>
        <v>7.3770266463747554</v>
      </c>
      <c r="O41" s="642">
        <f>'4.00_Repex_Summary'!AS38</f>
        <v>7.0412185709450688</v>
      </c>
      <c r="P41" s="642">
        <f>'4.00_Repex_Summary'!AT38</f>
        <v>9.403427317958192</v>
      </c>
      <c r="Q41" s="643">
        <f>'4.00_Repex_Summary'!AU38</f>
        <v>7.73030873280808</v>
      </c>
      <c r="R41" s="998">
        <f>'4.00_Repex_Summary'!AV38</f>
        <v>8.6960979367741427</v>
      </c>
      <c r="S41" s="642">
        <f>'4.00_Repex_Summary'!AW38</f>
        <v>8.5348357070692025</v>
      </c>
      <c r="T41" s="642">
        <f>'4.00_Repex_Summary'!AX38</f>
        <v>8.3773125538393103</v>
      </c>
      <c r="U41" s="642">
        <f>'4.00_Repex_Summary'!AY38</f>
        <v>8.2234367558454604</v>
      </c>
      <c r="V41" s="643">
        <f>'4.00_Repex_Summary'!AZ38</f>
        <v>8.0731188687986748</v>
      </c>
    </row>
    <row r="42" spans="1:22" s="98" customFormat="1" ht="15" customHeight="1">
      <c r="A42" s="99"/>
      <c r="B42" s="349"/>
      <c r="C42" s="339" t="s">
        <v>1689</v>
      </c>
      <c r="D42" s="1384"/>
      <c r="E42" s="591"/>
      <c r="F42" s="591"/>
      <c r="G42" s="339"/>
      <c r="H42" s="259"/>
      <c r="I42" s="576" t="s">
        <v>498</v>
      </c>
      <c r="J42" s="710">
        <f>SUM(J35:J41)</f>
        <v>98.830704120863842</v>
      </c>
      <c r="K42" s="711">
        <f t="shared" ref="K42:V42" si="3">SUM(K35:K41)</f>
        <v>103.78599985799354</v>
      </c>
      <c r="L42" s="711">
        <f t="shared" si="3"/>
        <v>94.655909839103998</v>
      </c>
      <c r="M42" s="711">
        <f t="shared" si="3"/>
        <v>90.875450981340052</v>
      </c>
      <c r="N42" s="711">
        <f t="shared" si="3"/>
        <v>93.628315983069641</v>
      </c>
      <c r="O42" s="711">
        <f t="shared" si="3"/>
        <v>97.110984312418068</v>
      </c>
      <c r="P42" s="711">
        <f t="shared" si="3"/>
        <v>98.28782943390128</v>
      </c>
      <c r="Q42" s="712">
        <f t="shared" si="3"/>
        <v>89.375883409043013</v>
      </c>
      <c r="R42" s="985">
        <f t="shared" si="3"/>
        <v>107.33203193073011</v>
      </c>
      <c r="S42" s="711">
        <f t="shared" si="3"/>
        <v>106.67759003105536</v>
      </c>
      <c r="T42" s="711">
        <f t="shared" si="3"/>
        <v>106.02935310620558</v>
      </c>
      <c r="U42" s="711">
        <f t="shared" si="3"/>
        <v>105.38721710544988</v>
      </c>
      <c r="V42" s="712">
        <f t="shared" si="3"/>
        <v>104.75108031665506</v>
      </c>
    </row>
    <row r="43" spans="1:22" s="98" customFormat="1" ht="15" customHeight="1">
      <c r="A43" s="99"/>
      <c r="B43" s="349"/>
      <c r="C43" s="339"/>
      <c r="D43" s="1384"/>
      <c r="E43" s="591"/>
      <c r="F43" s="591"/>
      <c r="G43" s="339"/>
      <c r="H43" s="259"/>
      <c r="I43" s="92"/>
      <c r="J43" s="619"/>
      <c r="K43" s="92"/>
      <c r="L43" s="92"/>
      <c r="M43" s="92"/>
      <c r="N43" s="92"/>
      <c r="O43" s="92"/>
      <c r="P43" s="92"/>
      <c r="Q43" s="618"/>
      <c r="R43" s="92"/>
      <c r="S43" s="92"/>
      <c r="T43" s="92"/>
      <c r="U43" s="92"/>
      <c r="V43" s="618"/>
    </row>
    <row r="44" spans="1:22" s="98" customFormat="1" ht="15" customHeight="1" thickBot="1">
      <c r="A44" s="99"/>
      <c r="B44" s="357" t="s">
        <v>1664</v>
      </c>
      <c r="C44" s="358"/>
      <c r="D44" s="1385"/>
      <c r="E44" s="1386"/>
      <c r="F44" s="1386"/>
      <c r="G44" s="358"/>
      <c r="H44" s="300"/>
      <c r="I44" s="581" t="s">
        <v>498</v>
      </c>
      <c r="J44" s="717">
        <f>SUM(J18,J23,J32,J42)</f>
        <v>237.36143802805032</v>
      </c>
      <c r="K44" s="718">
        <f t="shared" ref="K44:V44" si="4">SUM(K18,K23,K32,K42)</f>
        <v>250.31389433433677</v>
      </c>
      <c r="L44" s="718">
        <f t="shared" si="4"/>
        <v>248.68230951020158</v>
      </c>
      <c r="M44" s="718">
        <f t="shared" si="4"/>
        <v>241.82815494678897</v>
      </c>
      <c r="N44" s="718">
        <f t="shared" si="4"/>
        <v>233.29427294308471</v>
      </c>
      <c r="O44" s="718">
        <f t="shared" si="4"/>
        <v>238.93849161560144</v>
      </c>
      <c r="P44" s="718">
        <f t="shared" si="4"/>
        <v>246.47376660099144</v>
      </c>
      <c r="Q44" s="719">
        <f t="shared" si="4"/>
        <v>234.28612254022124</v>
      </c>
      <c r="R44" s="797">
        <f t="shared" si="4"/>
        <v>249.20772707219987</v>
      </c>
      <c r="S44" s="718">
        <f t="shared" si="4"/>
        <v>255.27401441888153</v>
      </c>
      <c r="T44" s="718">
        <f t="shared" si="4"/>
        <v>254.6107736620672</v>
      </c>
      <c r="U44" s="718">
        <f t="shared" si="4"/>
        <v>248.13346595933578</v>
      </c>
      <c r="V44" s="719">
        <f t="shared" si="4"/>
        <v>242.26979426983149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sheetPr>
  <dimension ref="A1:AQ77"/>
  <sheetViews>
    <sheetView showGridLines="0" zoomScale="80" zoomScaleNormal="80" workbookViewId="0">
      <pane xSplit="7" topLeftCell="H1" activePane="topRight" state="frozen"/>
      <selection pane="topRight" activeCell="J13" sqref="J13"/>
    </sheetView>
  </sheetViews>
  <sheetFormatPr defaultColWidth="11.875" defaultRowHeight="12.75"/>
  <cols>
    <col min="1" max="1" width="11.875" style="173" customWidth="1"/>
    <col min="2" max="6" width="4.375" style="174" customWidth="1"/>
    <col min="7" max="7" width="57" style="173" bestFit="1" customWidth="1"/>
    <col min="8" max="8" width="11.875" style="173" customWidth="1"/>
    <col min="9" max="9" width="15.625" style="175" customWidth="1"/>
    <col min="10" max="15" width="15.625" style="173" customWidth="1"/>
    <col min="16" max="16" width="11.875" style="173" customWidth="1"/>
    <col min="17" max="17" width="15.625" style="173" customWidth="1"/>
    <col min="18" max="18" width="15.625" style="175" customWidth="1"/>
    <col min="19" max="23" width="15.625" style="173" customWidth="1"/>
    <col min="24" max="24" width="11.875" style="173"/>
    <col min="25" max="29" width="34.875" style="173" customWidth="1"/>
    <col min="30" max="30" width="102" style="173" customWidth="1"/>
    <col min="31" max="16384" width="11.875" style="173"/>
  </cols>
  <sheetData>
    <row r="1" spans="1:30" s="2" customFormat="1" ht="25.15" customHeight="1">
      <c r="A1" s="1" t="s">
        <v>0</v>
      </c>
      <c r="E1" s="3"/>
      <c r="H1" s="4" t="s">
        <v>1</v>
      </c>
      <c r="J1" s="3"/>
    </row>
    <row r="2" spans="1:30" s="2" customFormat="1" ht="25.15" customHeight="1">
      <c r="A2" s="5" t="str">
        <f>Fixed_Data!I12</f>
        <v>MASTER</v>
      </c>
      <c r="B2" s="6"/>
      <c r="D2" s="7"/>
      <c r="E2" s="3"/>
    </row>
    <row r="3" spans="1:30" s="9" customFormat="1" ht="25.15" customHeight="1" thickBot="1">
      <c r="A3" s="8" t="str">
        <f>Fixed_Data!A3</f>
        <v>RIIO-GD2</v>
      </c>
      <c r="D3" s="10"/>
      <c r="E3" s="11"/>
    </row>
    <row r="4" spans="1:30" s="89" customFormat="1" ht="25.15" customHeight="1">
      <c r="B4" s="90" t="s">
        <v>35</v>
      </c>
      <c r="C4" s="90"/>
      <c r="D4" s="90"/>
      <c r="E4" s="90"/>
      <c r="F4" s="90"/>
      <c r="G4" s="91"/>
      <c r="H4" s="92"/>
      <c r="I4" s="93"/>
      <c r="J4" s="94"/>
      <c r="K4" s="94"/>
      <c r="L4" s="94"/>
      <c r="M4" s="94"/>
      <c r="N4" s="94"/>
      <c r="O4" s="94"/>
      <c r="P4" s="92"/>
      <c r="Q4" s="92"/>
      <c r="R4" s="92"/>
      <c r="S4" s="92"/>
      <c r="T4" s="92"/>
      <c r="U4" s="94"/>
      <c r="V4" s="92"/>
      <c r="W4" s="92"/>
    </row>
    <row r="5" spans="1:30" s="89" customFormat="1" ht="25.15" customHeight="1">
      <c r="B5" s="95" t="s">
        <v>1663</v>
      </c>
      <c r="C5" s="95"/>
      <c r="D5" s="95"/>
      <c r="E5" s="95"/>
      <c r="F5" s="95" t="s">
        <v>463</v>
      </c>
      <c r="G5" s="95"/>
      <c r="H5" s="95"/>
      <c r="I5" s="93"/>
      <c r="J5" s="94"/>
      <c r="K5" s="94"/>
      <c r="L5" s="94"/>
      <c r="M5" s="94"/>
      <c r="N5" s="94"/>
      <c r="O5" s="94"/>
      <c r="P5" s="92"/>
      <c r="Q5" s="92"/>
      <c r="R5" s="92"/>
      <c r="S5" s="92"/>
      <c r="T5" s="92"/>
      <c r="U5" s="94"/>
      <c r="V5" s="92"/>
      <c r="W5" s="92"/>
    </row>
    <row r="6" spans="1:30" s="89" customFormat="1" ht="15" customHeight="1">
      <c r="B6" s="95"/>
      <c r="C6" s="95"/>
      <c r="D6" s="95"/>
      <c r="E6" s="95"/>
      <c r="F6" s="95"/>
      <c r="G6" s="95"/>
      <c r="H6" s="95"/>
      <c r="I6" s="93"/>
      <c r="J6" s="94"/>
      <c r="K6" s="94"/>
      <c r="L6" s="94"/>
      <c r="M6" s="94"/>
      <c r="N6" s="94"/>
      <c r="O6" s="94"/>
      <c r="P6" s="92"/>
      <c r="Q6" s="92"/>
      <c r="R6" s="92"/>
      <c r="S6" s="92"/>
      <c r="T6" s="92"/>
      <c r="U6" s="94"/>
      <c r="V6" s="92"/>
      <c r="W6" s="92"/>
    </row>
    <row r="7" spans="1:30" s="89" customFormat="1" ht="15" customHeight="1" thickBot="1">
      <c r="B7" s="95"/>
      <c r="C7" s="95"/>
      <c r="D7" s="95"/>
      <c r="E7" s="95"/>
      <c r="F7" s="95"/>
      <c r="G7" s="95"/>
      <c r="H7" s="95"/>
      <c r="I7" s="93"/>
      <c r="J7" s="94"/>
      <c r="K7" s="94"/>
      <c r="L7" s="94"/>
      <c r="M7" s="94"/>
      <c r="N7" s="94"/>
      <c r="O7" s="94"/>
      <c r="P7" s="92"/>
      <c r="Q7" s="92"/>
      <c r="R7" s="92"/>
      <c r="S7" s="92"/>
      <c r="T7" s="92"/>
      <c r="U7" s="94"/>
      <c r="V7" s="92"/>
      <c r="W7" s="92"/>
    </row>
    <row r="8" spans="1:30" s="100" customFormat="1" ht="30" customHeight="1" thickBot="1">
      <c r="A8" s="89"/>
      <c r="B8" s="621" t="s">
        <v>1690</v>
      </c>
      <c r="C8" s="102"/>
      <c r="D8" s="102"/>
      <c r="E8" s="102"/>
      <c r="F8" s="102"/>
      <c r="G8" s="103"/>
      <c r="H8" s="103"/>
      <c r="I8" s="105" t="s">
        <v>1691</v>
      </c>
      <c r="J8" s="106"/>
      <c r="K8" s="106"/>
      <c r="L8" s="106"/>
      <c r="M8" s="106"/>
      <c r="N8" s="106"/>
      <c r="O8" s="106"/>
      <c r="P8" s="103"/>
      <c r="Q8" s="105" t="s">
        <v>1692</v>
      </c>
      <c r="R8" s="106"/>
      <c r="S8" s="106"/>
      <c r="T8" s="106"/>
      <c r="U8" s="106"/>
      <c r="V8" s="106"/>
      <c r="W8" s="106"/>
      <c r="X8" s="103"/>
      <c r="Y8" s="105" t="s">
        <v>1693</v>
      </c>
      <c r="Z8" s="105"/>
      <c r="AA8" s="105"/>
      <c r="AB8" s="105"/>
      <c r="AC8" s="105"/>
      <c r="AD8" s="187"/>
    </row>
    <row r="9" spans="1:30" s="157" customFormat="1" ht="30" customHeight="1">
      <c r="A9" s="99"/>
      <c r="B9" s="109"/>
      <c r="C9" s="110"/>
      <c r="D9" s="110"/>
      <c r="E9" s="110"/>
      <c r="F9" s="110"/>
      <c r="G9" s="111"/>
      <c r="H9" s="111"/>
      <c r="I9" s="117"/>
      <c r="J9" s="695" t="s">
        <v>1666</v>
      </c>
      <c r="K9" s="152"/>
      <c r="L9" s="152"/>
      <c r="M9" s="152"/>
      <c r="N9" s="152"/>
      <c r="O9" s="153"/>
      <c r="P9" s="222"/>
      <c r="Q9" s="117"/>
      <c r="R9" s="695" t="s">
        <v>1666</v>
      </c>
      <c r="S9" s="152"/>
      <c r="T9" s="152"/>
      <c r="U9" s="152"/>
      <c r="V9" s="152"/>
      <c r="W9" s="153"/>
      <c r="X9" s="222"/>
      <c r="Y9" s="222"/>
      <c r="Z9" s="222"/>
      <c r="AA9" s="222"/>
      <c r="AB9" s="222"/>
      <c r="AC9" s="222"/>
      <c r="AD9" s="1374"/>
    </row>
    <row r="10" spans="1:30" s="98" customFormat="1" ht="15" customHeight="1">
      <c r="A10" s="99"/>
      <c r="B10" s="900"/>
      <c r="C10" s="116"/>
      <c r="D10" s="116"/>
      <c r="E10" s="116"/>
      <c r="F10" s="116"/>
      <c r="G10" s="117"/>
      <c r="H10" s="117"/>
      <c r="I10" s="119" t="s">
        <v>1667</v>
      </c>
      <c r="J10" s="158" t="s">
        <v>453</v>
      </c>
      <c r="K10" s="137" t="s">
        <v>455</v>
      </c>
      <c r="L10" s="137" t="s">
        <v>457</v>
      </c>
      <c r="M10" s="137" t="s">
        <v>459</v>
      </c>
      <c r="N10" s="137" t="s">
        <v>461</v>
      </c>
      <c r="O10" s="138" t="s">
        <v>463</v>
      </c>
      <c r="P10" s="185"/>
      <c r="Q10" s="119" t="s">
        <v>1667</v>
      </c>
      <c r="R10" s="158" t="s">
        <v>453</v>
      </c>
      <c r="S10" s="137" t="s">
        <v>455</v>
      </c>
      <c r="T10" s="137" t="s">
        <v>457</v>
      </c>
      <c r="U10" s="137" t="s">
        <v>459</v>
      </c>
      <c r="V10" s="137" t="s">
        <v>461</v>
      </c>
      <c r="W10" s="138" t="s">
        <v>463</v>
      </c>
      <c r="X10" s="185"/>
      <c r="Y10" s="137" t="s">
        <v>1694</v>
      </c>
      <c r="Z10" s="137" t="s">
        <v>1695</v>
      </c>
      <c r="AA10" s="137" t="s">
        <v>1696</v>
      </c>
      <c r="AB10" s="137" t="s">
        <v>1697</v>
      </c>
      <c r="AC10" s="137" t="s">
        <v>1698</v>
      </c>
      <c r="AD10" s="138" t="s">
        <v>1699</v>
      </c>
    </row>
    <row r="11" spans="1:30" s="98" customFormat="1" ht="15" customHeight="1">
      <c r="B11" s="901"/>
      <c r="C11" s="180" t="s">
        <v>1699</v>
      </c>
      <c r="D11" s="180"/>
      <c r="E11" s="162"/>
      <c r="F11" s="162"/>
      <c r="G11" s="163"/>
      <c r="H11" s="163"/>
      <c r="I11" s="117"/>
      <c r="J11" s="159"/>
      <c r="K11" s="117"/>
      <c r="L11" s="117"/>
      <c r="M11" s="117"/>
      <c r="N11" s="117"/>
      <c r="O11" s="160"/>
      <c r="P11" s="185"/>
      <c r="Q11" s="117"/>
      <c r="R11" s="159"/>
      <c r="S11" s="117"/>
      <c r="T11" s="117"/>
      <c r="U11" s="117"/>
      <c r="V11" s="117"/>
      <c r="W11" s="160"/>
      <c r="X11" s="185"/>
      <c r="Y11" s="185"/>
      <c r="Z11" s="185"/>
      <c r="AA11" s="185"/>
      <c r="AB11" s="185"/>
      <c r="AC11" s="185"/>
      <c r="AD11" s="215"/>
    </row>
    <row r="12" spans="1:30" s="98" customFormat="1" ht="15" customHeight="1">
      <c r="B12" s="901"/>
      <c r="C12" s="185"/>
      <c r="D12" s="162" t="s">
        <v>85</v>
      </c>
      <c r="E12" s="185"/>
      <c r="F12" s="185"/>
      <c r="G12" s="170" t="s">
        <v>1700</v>
      </c>
      <c r="H12" s="163"/>
      <c r="I12" s="164" t="s">
        <v>498</v>
      </c>
      <c r="J12" s="143">
        <v>-2.588490186030437</v>
      </c>
      <c r="K12" s="141"/>
      <c r="L12" s="141"/>
      <c r="M12" s="141"/>
      <c r="N12" s="141"/>
      <c r="O12" s="144"/>
      <c r="P12" s="185"/>
      <c r="Q12" s="678"/>
      <c r="R12" s="143">
        <v>0</v>
      </c>
      <c r="S12" s="141">
        <v>0</v>
      </c>
      <c r="T12" s="141">
        <v>0</v>
      </c>
      <c r="U12" s="141">
        <v>0</v>
      </c>
      <c r="V12" s="141">
        <v>0</v>
      </c>
      <c r="W12" s="144">
        <v>0</v>
      </c>
      <c r="X12" s="185"/>
      <c r="Y12" s="170"/>
      <c r="Z12" s="170"/>
      <c r="AA12" s="170"/>
      <c r="AB12" s="170"/>
      <c r="AC12" s="170"/>
      <c r="AD12" s="1375"/>
    </row>
    <row r="13" spans="1:30" s="98" customFormat="1" ht="15" customHeight="1">
      <c r="B13" s="901"/>
      <c r="C13" s="185"/>
      <c r="D13" s="162" t="s">
        <v>85</v>
      </c>
      <c r="E13" s="185"/>
      <c r="F13" s="185"/>
      <c r="G13" s="170"/>
      <c r="H13" s="163"/>
      <c r="I13" s="164" t="s">
        <v>498</v>
      </c>
      <c r="J13" s="143">
        <v>0</v>
      </c>
      <c r="K13" s="141">
        <v>0</v>
      </c>
      <c r="L13" s="141">
        <v>0</v>
      </c>
      <c r="M13" s="141">
        <v>0</v>
      </c>
      <c r="N13" s="141">
        <v>0</v>
      </c>
      <c r="O13" s="144">
        <v>0</v>
      </c>
      <c r="P13" s="185"/>
      <c r="Q13" s="678"/>
      <c r="R13" s="143">
        <v>0</v>
      </c>
      <c r="S13" s="141">
        <v>0</v>
      </c>
      <c r="T13" s="141">
        <v>0</v>
      </c>
      <c r="U13" s="141">
        <v>0</v>
      </c>
      <c r="V13" s="141">
        <v>0</v>
      </c>
      <c r="W13" s="144">
        <v>0</v>
      </c>
      <c r="X13" s="185"/>
      <c r="Y13" s="170"/>
      <c r="Z13" s="170"/>
      <c r="AA13" s="170"/>
      <c r="AB13" s="170"/>
      <c r="AC13" s="170"/>
      <c r="AD13" s="1375"/>
    </row>
    <row r="14" spans="1:30" s="98" customFormat="1" ht="15" customHeight="1">
      <c r="B14" s="901"/>
      <c r="C14" s="185"/>
      <c r="D14" s="162" t="s">
        <v>85</v>
      </c>
      <c r="E14" s="185"/>
      <c r="F14" s="185"/>
      <c r="G14" s="170"/>
      <c r="H14" s="163"/>
      <c r="I14" s="164" t="s">
        <v>498</v>
      </c>
      <c r="J14" s="143">
        <v>0</v>
      </c>
      <c r="K14" s="141">
        <v>0</v>
      </c>
      <c r="L14" s="141">
        <v>0</v>
      </c>
      <c r="M14" s="141">
        <v>0</v>
      </c>
      <c r="N14" s="141">
        <v>0</v>
      </c>
      <c r="O14" s="144">
        <v>0</v>
      </c>
      <c r="P14" s="185"/>
      <c r="Q14" s="678"/>
      <c r="R14" s="143">
        <v>0</v>
      </c>
      <c r="S14" s="141">
        <v>0</v>
      </c>
      <c r="T14" s="141">
        <v>0</v>
      </c>
      <c r="U14" s="141">
        <v>0</v>
      </c>
      <c r="V14" s="141">
        <v>0</v>
      </c>
      <c r="W14" s="144">
        <v>0</v>
      </c>
      <c r="X14" s="185"/>
      <c r="Y14" s="170"/>
      <c r="Z14" s="170"/>
      <c r="AA14" s="170"/>
      <c r="AB14" s="170"/>
      <c r="AC14" s="170"/>
      <c r="AD14" s="1375"/>
    </row>
    <row r="15" spans="1:30" s="98" customFormat="1" ht="15" customHeight="1">
      <c r="B15" s="901"/>
      <c r="C15" s="185"/>
      <c r="D15" s="162" t="s">
        <v>85</v>
      </c>
      <c r="E15" s="185"/>
      <c r="F15" s="185"/>
      <c r="G15" s="170"/>
      <c r="H15" s="163"/>
      <c r="I15" s="164" t="s">
        <v>498</v>
      </c>
      <c r="J15" s="143">
        <v>0</v>
      </c>
      <c r="K15" s="141">
        <v>0</v>
      </c>
      <c r="L15" s="141">
        <v>0</v>
      </c>
      <c r="M15" s="141">
        <v>0</v>
      </c>
      <c r="N15" s="141">
        <v>0</v>
      </c>
      <c r="O15" s="144">
        <v>0</v>
      </c>
      <c r="P15" s="185"/>
      <c r="Q15" s="678"/>
      <c r="R15" s="143">
        <v>0</v>
      </c>
      <c r="S15" s="141">
        <v>0</v>
      </c>
      <c r="T15" s="141">
        <v>0</v>
      </c>
      <c r="U15" s="141">
        <v>0</v>
      </c>
      <c r="V15" s="141">
        <v>0</v>
      </c>
      <c r="W15" s="144">
        <v>0</v>
      </c>
      <c r="X15" s="185"/>
      <c r="Y15" s="170"/>
      <c r="Z15" s="170"/>
      <c r="AA15" s="170"/>
      <c r="AB15" s="170"/>
      <c r="AC15" s="170"/>
      <c r="AD15" s="1375"/>
    </row>
    <row r="16" spans="1:30" s="98" customFormat="1" ht="15" customHeight="1">
      <c r="B16" s="901"/>
      <c r="C16" s="185"/>
      <c r="D16" s="162" t="s">
        <v>85</v>
      </c>
      <c r="E16" s="185"/>
      <c r="F16" s="185"/>
      <c r="G16" s="170"/>
      <c r="H16" s="163"/>
      <c r="I16" s="164" t="s">
        <v>498</v>
      </c>
      <c r="J16" s="143">
        <v>0</v>
      </c>
      <c r="K16" s="141">
        <v>0</v>
      </c>
      <c r="L16" s="141">
        <v>0</v>
      </c>
      <c r="M16" s="141">
        <v>0</v>
      </c>
      <c r="N16" s="141">
        <v>0</v>
      </c>
      <c r="O16" s="144">
        <v>0</v>
      </c>
      <c r="P16" s="185"/>
      <c r="Q16" s="678"/>
      <c r="R16" s="143">
        <v>0</v>
      </c>
      <c r="S16" s="141">
        <v>0</v>
      </c>
      <c r="T16" s="141">
        <v>0</v>
      </c>
      <c r="U16" s="141">
        <v>0</v>
      </c>
      <c r="V16" s="141">
        <v>0</v>
      </c>
      <c r="W16" s="144">
        <v>0</v>
      </c>
      <c r="X16" s="185"/>
      <c r="Y16" s="170"/>
      <c r="Z16" s="170"/>
      <c r="AA16" s="170"/>
      <c r="AB16" s="170"/>
      <c r="AC16" s="170"/>
      <c r="AD16" s="1375"/>
    </row>
    <row r="17" spans="2:30" s="98" customFormat="1" ht="15" customHeight="1">
      <c r="B17" s="901"/>
      <c r="C17" s="185"/>
      <c r="D17" s="162" t="s">
        <v>85</v>
      </c>
      <c r="E17" s="185"/>
      <c r="F17" s="185"/>
      <c r="G17" s="170"/>
      <c r="H17" s="163"/>
      <c r="I17" s="164" t="s">
        <v>498</v>
      </c>
      <c r="J17" s="143">
        <v>0</v>
      </c>
      <c r="K17" s="141">
        <v>0</v>
      </c>
      <c r="L17" s="141">
        <v>0</v>
      </c>
      <c r="M17" s="141">
        <v>0</v>
      </c>
      <c r="N17" s="141">
        <v>0</v>
      </c>
      <c r="O17" s="144">
        <v>0</v>
      </c>
      <c r="P17" s="185"/>
      <c r="Q17" s="678"/>
      <c r="R17" s="143">
        <v>0</v>
      </c>
      <c r="S17" s="141">
        <v>0</v>
      </c>
      <c r="T17" s="141">
        <v>0</v>
      </c>
      <c r="U17" s="141">
        <v>0</v>
      </c>
      <c r="V17" s="141">
        <v>0</v>
      </c>
      <c r="W17" s="144">
        <v>0</v>
      </c>
      <c r="X17" s="185"/>
      <c r="Y17" s="170"/>
      <c r="Z17" s="170"/>
      <c r="AA17" s="170"/>
      <c r="AB17" s="170"/>
      <c r="AC17" s="170"/>
      <c r="AD17" s="1375"/>
    </row>
    <row r="18" spans="2:30" s="98" customFormat="1" ht="15" customHeight="1">
      <c r="B18" s="901"/>
      <c r="C18" s="185"/>
      <c r="D18" s="162" t="s">
        <v>85</v>
      </c>
      <c r="E18" s="185"/>
      <c r="F18" s="185"/>
      <c r="G18" s="170"/>
      <c r="H18" s="163"/>
      <c r="I18" s="164" t="s">
        <v>498</v>
      </c>
      <c r="J18" s="143">
        <v>0</v>
      </c>
      <c r="K18" s="141">
        <v>0</v>
      </c>
      <c r="L18" s="141">
        <v>0</v>
      </c>
      <c r="M18" s="141">
        <v>0</v>
      </c>
      <c r="N18" s="141">
        <v>0</v>
      </c>
      <c r="O18" s="144">
        <v>0</v>
      </c>
      <c r="P18" s="185"/>
      <c r="Q18" s="678"/>
      <c r="R18" s="143">
        <v>0</v>
      </c>
      <c r="S18" s="141">
        <v>0</v>
      </c>
      <c r="T18" s="141">
        <v>0</v>
      </c>
      <c r="U18" s="141">
        <v>0</v>
      </c>
      <c r="V18" s="141">
        <v>0</v>
      </c>
      <c r="W18" s="144">
        <v>0</v>
      </c>
      <c r="X18" s="185"/>
      <c r="Y18" s="170"/>
      <c r="Z18" s="170"/>
      <c r="AA18" s="170"/>
      <c r="AB18" s="170"/>
      <c r="AC18" s="170"/>
      <c r="AD18" s="1375"/>
    </row>
    <row r="19" spans="2:30" s="98" customFormat="1" ht="15" customHeight="1">
      <c r="B19" s="901"/>
      <c r="C19" s="185"/>
      <c r="D19" s="162" t="s">
        <v>85</v>
      </c>
      <c r="E19" s="185"/>
      <c r="F19" s="185"/>
      <c r="G19" s="170"/>
      <c r="H19" s="163"/>
      <c r="I19" s="164" t="s">
        <v>498</v>
      </c>
      <c r="J19" s="143">
        <v>0</v>
      </c>
      <c r="K19" s="141">
        <v>0</v>
      </c>
      <c r="L19" s="141">
        <v>0</v>
      </c>
      <c r="M19" s="141">
        <v>0</v>
      </c>
      <c r="N19" s="141">
        <v>0</v>
      </c>
      <c r="O19" s="144">
        <v>0</v>
      </c>
      <c r="P19" s="185"/>
      <c r="Q19" s="678"/>
      <c r="R19" s="143">
        <v>0</v>
      </c>
      <c r="S19" s="141">
        <v>0</v>
      </c>
      <c r="T19" s="141">
        <v>0</v>
      </c>
      <c r="U19" s="141">
        <v>0</v>
      </c>
      <c r="V19" s="141">
        <v>0</v>
      </c>
      <c r="W19" s="144">
        <v>0</v>
      </c>
      <c r="X19" s="185"/>
      <c r="Y19" s="170"/>
      <c r="Z19" s="170"/>
      <c r="AA19" s="170"/>
      <c r="AB19" s="170"/>
      <c r="AC19" s="170"/>
      <c r="AD19" s="1375"/>
    </row>
    <row r="20" spans="2:30" s="98" customFormat="1" ht="15" customHeight="1">
      <c r="B20" s="901"/>
      <c r="C20" s="185"/>
      <c r="D20" s="162" t="s">
        <v>85</v>
      </c>
      <c r="E20" s="185"/>
      <c r="F20" s="185"/>
      <c r="G20" s="170"/>
      <c r="H20" s="163"/>
      <c r="I20" s="164" t="s">
        <v>498</v>
      </c>
      <c r="J20" s="143">
        <v>0</v>
      </c>
      <c r="K20" s="141">
        <v>0</v>
      </c>
      <c r="L20" s="141">
        <v>0</v>
      </c>
      <c r="M20" s="141">
        <v>0</v>
      </c>
      <c r="N20" s="141">
        <v>0</v>
      </c>
      <c r="O20" s="144">
        <v>0</v>
      </c>
      <c r="P20" s="185"/>
      <c r="Q20" s="678"/>
      <c r="R20" s="143">
        <v>0</v>
      </c>
      <c r="S20" s="141">
        <v>0</v>
      </c>
      <c r="T20" s="141">
        <v>0</v>
      </c>
      <c r="U20" s="141">
        <v>0</v>
      </c>
      <c r="V20" s="141">
        <v>0</v>
      </c>
      <c r="W20" s="144">
        <v>0</v>
      </c>
      <c r="X20" s="185"/>
      <c r="Y20" s="170"/>
      <c r="Z20" s="170"/>
      <c r="AA20" s="170"/>
      <c r="AB20" s="170"/>
      <c r="AC20" s="170"/>
      <c r="AD20" s="1375"/>
    </row>
    <row r="21" spans="2:30" s="98" customFormat="1" ht="15" customHeight="1">
      <c r="B21" s="901"/>
      <c r="C21" s="185"/>
      <c r="D21" s="162" t="s">
        <v>85</v>
      </c>
      <c r="E21" s="185"/>
      <c r="F21" s="185"/>
      <c r="G21" s="170"/>
      <c r="H21" s="163"/>
      <c r="I21" s="164" t="s">
        <v>498</v>
      </c>
      <c r="J21" s="143">
        <v>0</v>
      </c>
      <c r="K21" s="141">
        <v>0</v>
      </c>
      <c r="L21" s="141">
        <v>0</v>
      </c>
      <c r="M21" s="141">
        <v>0</v>
      </c>
      <c r="N21" s="141">
        <v>0</v>
      </c>
      <c r="O21" s="144">
        <v>0</v>
      </c>
      <c r="P21" s="185"/>
      <c r="Q21" s="678"/>
      <c r="R21" s="143">
        <v>0</v>
      </c>
      <c r="S21" s="141">
        <v>0</v>
      </c>
      <c r="T21" s="141">
        <v>0</v>
      </c>
      <c r="U21" s="141">
        <v>0</v>
      </c>
      <c r="V21" s="141">
        <v>0</v>
      </c>
      <c r="W21" s="144">
        <v>0</v>
      </c>
      <c r="X21" s="185"/>
      <c r="Y21" s="170"/>
      <c r="Z21" s="170"/>
      <c r="AA21" s="170"/>
      <c r="AB21" s="170"/>
      <c r="AC21" s="170"/>
      <c r="AD21" s="1375"/>
    </row>
    <row r="22" spans="2:30" s="98" customFormat="1" ht="15" customHeight="1">
      <c r="B22" s="901"/>
      <c r="C22" s="185"/>
      <c r="D22" s="162" t="s">
        <v>85</v>
      </c>
      <c r="E22" s="185"/>
      <c r="F22" s="185"/>
      <c r="G22" s="170"/>
      <c r="H22" s="163"/>
      <c r="I22" s="164" t="s">
        <v>498</v>
      </c>
      <c r="J22" s="143">
        <v>0</v>
      </c>
      <c r="K22" s="141">
        <v>0</v>
      </c>
      <c r="L22" s="141">
        <v>0</v>
      </c>
      <c r="M22" s="141">
        <v>0</v>
      </c>
      <c r="N22" s="141">
        <v>0</v>
      </c>
      <c r="O22" s="144">
        <v>0</v>
      </c>
      <c r="P22" s="185"/>
      <c r="Q22" s="678"/>
      <c r="R22" s="143">
        <v>0</v>
      </c>
      <c r="S22" s="141">
        <v>0</v>
      </c>
      <c r="T22" s="141">
        <v>0</v>
      </c>
      <c r="U22" s="141">
        <v>0</v>
      </c>
      <c r="V22" s="141">
        <v>0</v>
      </c>
      <c r="W22" s="144">
        <v>0</v>
      </c>
      <c r="X22" s="185"/>
      <c r="Y22" s="170"/>
      <c r="Z22" s="170"/>
      <c r="AA22" s="170"/>
      <c r="AB22" s="170"/>
      <c r="AC22" s="170"/>
      <c r="AD22" s="1375"/>
    </row>
    <row r="23" spans="2:30" s="98" customFormat="1" ht="15" customHeight="1">
      <c r="B23" s="901"/>
      <c r="C23" s="185"/>
      <c r="D23" s="162" t="s">
        <v>85</v>
      </c>
      <c r="E23" s="185"/>
      <c r="F23" s="185"/>
      <c r="G23" s="170"/>
      <c r="H23" s="163"/>
      <c r="I23" s="164" t="s">
        <v>498</v>
      </c>
      <c r="J23" s="143">
        <v>0</v>
      </c>
      <c r="K23" s="141">
        <v>0</v>
      </c>
      <c r="L23" s="141">
        <v>0</v>
      </c>
      <c r="M23" s="141">
        <v>0</v>
      </c>
      <c r="N23" s="141">
        <v>0</v>
      </c>
      <c r="O23" s="144">
        <v>0</v>
      </c>
      <c r="P23" s="185"/>
      <c r="Q23" s="678"/>
      <c r="R23" s="143">
        <v>0</v>
      </c>
      <c r="S23" s="141">
        <v>0</v>
      </c>
      <c r="T23" s="141">
        <v>0</v>
      </c>
      <c r="U23" s="141">
        <v>0</v>
      </c>
      <c r="V23" s="141">
        <v>0</v>
      </c>
      <c r="W23" s="144">
        <v>0</v>
      </c>
      <c r="X23" s="185"/>
      <c r="Y23" s="170"/>
      <c r="Z23" s="170"/>
      <c r="AA23" s="170"/>
      <c r="AB23" s="170"/>
      <c r="AC23" s="170"/>
      <c r="AD23" s="1375"/>
    </row>
    <row r="24" spans="2:30" s="98" customFormat="1" ht="15" customHeight="1">
      <c r="B24" s="901"/>
      <c r="C24" s="185"/>
      <c r="D24" s="162" t="s">
        <v>85</v>
      </c>
      <c r="E24" s="185"/>
      <c r="F24" s="185"/>
      <c r="G24" s="170"/>
      <c r="H24" s="163"/>
      <c r="I24" s="164" t="s">
        <v>498</v>
      </c>
      <c r="J24" s="143">
        <v>0</v>
      </c>
      <c r="K24" s="141">
        <v>0</v>
      </c>
      <c r="L24" s="141">
        <v>0</v>
      </c>
      <c r="M24" s="141">
        <v>0</v>
      </c>
      <c r="N24" s="141">
        <v>0</v>
      </c>
      <c r="O24" s="144">
        <v>0</v>
      </c>
      <c r="P24" s="185"/>
      <c r="Q24" s="678"/>
      <c r="R24" s="143">
        <v>0</v>
      </c>
      <c r="S24" s="141">
        <v>0</v>
      </c>
      <c r="T24" s="141">
        <v>0</v>
      </c>
      <c r="U24" s="141">
        <v>0</v>
      </c>
      <c r="V24" s="141">
        <v>0</v>
      </c>
      <c r="W24" s="144">
        <v>0</v>
      </c>
      <c r="X24" s="185"/>
      <c r="Y24" s="170"/>
      <c r="Z24" s="170"/>
      <c r="AA24" s="170"/>
      <c r="AB24" s="170"/>
      <c r="AC24" s="170"/>
      <c r="AD24" s="1375"/>
    </row>
    <row r="25" spans="2:30" s="98" customFormat="1" ht="15" customHeight="1">
      <c r="B25" s="901"/>
      <c r="C25" s="185"/>
      <c r="D25" s="162" t="s">
        <v>85</v>
      </c>
      <c r="E25" s="185"/>
      <c r="F25" s="185"/>
      <c r="G25" s="170"/>
      <c r="H25" s="163"/>
      <c r="I25" s="164" t="s">
        <v>498</v>
      </c>
      <c r="J25" s="143">
        <v>0</v>
      </c>
      <c r="K25" s="141">
        <v>0</v>
      </c>
      <c r="L25" s="141">
        <v>0</v>
      </c>
      <c r="M25" s="141">
        <v>0</v>
      </c>
      <c r="N25" s="141">
        <v>0</v>
      </c>
      <c r="O25" s="144">
        <v>0</v>
      </c>
      <c r="P25" s="185"/>
      <c r="Q25" s="678"/>
      <c r="R25" s="143">
        <v>0</v>
      </c>
      <c r="S25" s="141">
        <v>0</v>
      </c>
      <c r="T25" s="141">
        <v>0</v>
      </c>
      <c r="U25" s="141">
        <v>0</v>
      </c>
      <c r="V25" s="141">
        <v>0</v>
      </c>
      <c r="W25" s="144">
        <v>0</v>
      </c>
      <c r="X25" s="185"/>
      <c r="Y25" s="170"/>
      <c r="Z25" s="170"/>
      <c r="AA25" s="170"/>
      <c r="AB25" s="170"/>
      <c r="AC25" s="170"/>
      <c r="AD25" s="1375"/>
    </row>
    <row r="26" spans="2:30" s="98" customFormat="1" ht="15" customHeight="1">
      <c r="B26" s="901"/>
      <c r="C26" s="185"/>
      <c r="D26" s="162" t="s">
        <v>85</v>
      </c>
      <c r="E26" s="185"/>
      <c r="F26" s="185"/>
      <c r="G26" s="170"/>
      <c r="H26" s="163"/>
      <c r="I26" s="164" t="s">
        <v>498</v>
      </c>
      <c r="J26" s="143">
        <v>0</v>
      </c>
      <c r="K26" s="141">
        <v>0</v>
      </c>
      <c r="L26" s="141">
        <v>0</v>
      </c>
      <c r="M26" s="141">
        <v>0</v>
      </c>
      <c r="N26" s="141">
        <v>0</v>
      </c>
      <c r="O26" s="144">
        <v>0</v>
      </c>
      <c r="P26" s="185"/>
      <c r="Q26" s="678"/>
      <c r="R26" s="143">
        <v>0</v>
      </c>
      <c r="S26" s="141">
        <v>0</v>
      </c>
      <c r="T26" s="141">
        <v>0</v>
      </c>
      <c r="U26" s="141">
        <v>0</v>
      </c>
      <c r="V26" s="141">
        <v>0</v>
      </c>
      <c r="W26" s="144">
        <v>0</v>
      </c>
      <c r="X26" s="185"/>
      <c r="Y26" s="170"/>
      <c r="Z26" s="170"/>
      <c r="AA26" s="170"/>
      <c r="AB26" s="170"/>
      <c r="AC26" s="170"/>
      <c r="AD26" s="1375"/>
    </row>
    <row r="27" spans="2:30" s="98" customFormat="1" ht="15" customHeight="1">
      <c r="B27" s="901"/>
      <c r="C27" s="185"/>
      <c r="D27" s="162" t="s">
        <v>85</v>
      </c>
      <c r="E27" s="185"/>
      <c r="F27" s="185"/>
      <c r="G27" s="170"/>
      <c r="H27" s="163"/>
      <c r="I27" s="164" t="s">
        <v>498</v>
      </c>
      <c r="J27" s="143">
        <v>0</v>
      </c>
      <c r="K27" s="141">
        <v>0</v>
      </c>
      <c r="L27" s="141">
        <v>0</v>
      </c>
      <c r="M27" s="141">
        <v>0</v>
      </c>
      <c r="N27" s="141">
        <v>0</v>
      </c>
      <c r="O27" s="144">
        <v>0</v>
      </c>
      <c r="P27" s="185"/>
      <c r="Q27" s="678"/>
      <c r="R27" s="143">
        <v>0</v>
      </c>
      <c r="S27" s="141">
        <v>0</v>
      </c>
      <c r="T27" s="141">
        <v>0</v>
      </c>
      <c r="U27" s="141">
        <v>0</v>
      </c>
      <c r="V27" s="141">
        <v>0</v>
      </c>
      <c r="W27" s="144">
        <v>0</v>
      </c>
      <c r="X27" s="185"/>
      <c r="Y27" s="170"/>
      <c r="Z27" s="170"/>
      <c r="AA27" s="170"/>
      <c r="AB27" s="170"/>
      <c r="AC27" s="170"/>
      <c r="AD27" s="1375"/>
    </row>
    <row r="28" spans="2:30" s="98" customFormat="1" ht="15" customHeight="1">
      <c r="B28" s="901"/>
      <c r="C28" s="185"/>
      <c r="D28" s="162" t="s">
        <v>85</v>
      </c>
      <c r="E28" s="185"/>
      <c r="F28" s="185"/>
      <c r="G28" s="170"/>
      <c r="H28" s="163"/>
      <c r="I28" s="164" t="s">
        <v>498</v>
      </c>
      <c r="J28" s="143">
        <v>0</v>
      </c>
      <c r="K28" s="141">
        <v>0</v>
      </c>
      <c r="L28" s="141">
        <v>0</v>
      </c>
      <c r="M28" s="141">
        <v>0</v>
      </c>
      <c r="N28" s="141">
        <v>0</v>
      </c>
      <c r="O28" s="144">
        <v>0</v>
      </c>
      <c r="P28" s="185"/>
      <c r="Q28" s="678"/>
      <c r="R28" s="143">
        <v>0</v>
      </c>
      <c r="S28" s="141">
        <v>0</v>
      </c>
      <c r="T28" s="141">
        <v>0</v>
      </c>
      <c r="U28" s="141">
        <v>0</v>
      </c>
      <c r="V28" s="141">
        <v>0</v>
      </c>
      <c r="W28" s="144">
        <v>0</v>
      </c>
      <c r="X28" s="185"/>
      <c r="Y28" s="170"/>
      <c r="Z28" s="170"/>
      <c r="AA28" s="170"/>
      <c r="AB28" s="170"/>
      <c r="AC28" s="170"/>
      <c r="AD28" s="1375"/>
    </row>
    <row r="29" spans="2:30" s="98" customFormat="1" ht="15" customHeight="1">
      <c r="B29" s="901"/>
      <c r="C29" s="185"/>
      <c r="D29" s="162" t="s">
        <v>85</v>
      </c>
      <c r="E29" s="185"/>
      <c r="F29" s="185"/>
      <c r="G29" s="170"/>
      <c r="H29" s="163"/>
      <c r="I29" s="164" t="s">
        <v>498</v>
      </c>
      <c r="J29" s="143">
        <v>0</v>
      </c>
      <c r="K29" s="141">
        <v>0</v>
      </c>
      <c r="L29" s="141">
        <v>0</v>
      </c>
      <c r="M29" s="141">
        <v>0</v>
      </c>
      <c r="N29" s="141">
        <v>0</v>
      </c>
      <c r="O29" s="144">
        <v>0</v>
      </c>
      <c r="P29" s="185"/>
      <c r="Q29" s="678"/>
      <c r="R29" s="143">
        <v>0</v>
      </c>
      <c r="S29" s="141">
        <v>0</v>
      </c>
      <c r="T29" s="141">
        <v>0</v>
      </c>
      <c r="U29" s="141">
        <v>0</v>
      </c>
      <c r="V29" s="141">
        <v>0</v>
      </c>
      <c r="W29" s="144">
        <v>0</v>
      </c>
      <c r="X29" s="185"/>
      <c r="Y29" s="170"/>
      <c r="Z29" s="170"/>
      <c r="AA29" s="170"/>
      <c r="AB29" s="170"/>
      <c r="AC29" s="170"/>
      <c r="AD29" s="1375"/>
    </row>
    <row r="30" spans="2:30" s="98" customFormat="1" ht="15" customHeight="1">
      <c r="B30" s="901"/>
      <c r="C30" s="185"/>
      <c r="D30" s="162" t="s">
        <v>85</v>
      </c>
      <c r="E30" s="185"/>
      <c r="F30" s="185"/>
      <c r="G30" s="170"/>
      <c r="H30" s="163"/>
      <c r="I30" s="164" t="s">
        <v>498</v>
      </c>
      <c r="J30" s="143">
        <v>0</v>
      </c>
      <c r="K30" s="141">
        <v>0</v>
      </c>
      <c r="L30" s="141">
        <v>0</v>
      </c>
      <c r="M30" s="141">
        <v>0</v>
      </c>
      <c r="N30" s="141">
        <v>0</v>
      </c>
      <c r="O30" s="144">
        <v>0</v>
      </c>
      <c r="P30" s="185"/>
      <c r="Q30" s="678"/>
      <c r="R30" s="143">
        <v>0</v>
      </c>
      <c r="S30" s="141">
        <v>0</v>
      </c>
      <c r="T30" s="141">
        <v>0</v>
      </c>
      <c r="U30" s="141">
        <v>0</v>
      </c>
      <c r="V30" s="141">
        <v>0</v>
      </c>
      <c r="W30" s="144">
        <v>0</v>
      </c>
      <c r="X30" s="185"/>
      <c r="Y30" s="170"/>
      <c r="Z30" s="170"/>
      <c r="AA30" s="170"/>
      <c r="AB30" s="170"/>
      <c r="AC30" s="170"/>
      <c r="AD30" s="1375"/>
    </row>
    <row r="31" spans="2:30" s="98" customFormat="1" ht="15" customHeight="1">
      <c r="B31" s="901"/>
      <c r="C31" s="185"/>
      <c r="D31" s="162" t="s">
        <v>85</v>
      </c>
      <c r="E31" s="185"/>
      <c r="F31" s="185"/>
      <c r="G31" s="170"/>
      <c r="H31" s="163"/>
      <c r="I31" s="164" t="s">
        <v>498</v>
      </c>
      <c r="J31" s="143">
        <v>0</v>
      </c>
      <c r="K31" s="141">
        <v>0</v>
      </c>
      <c r="L31" s="141">
        <v>0</v>
      </c>
      <c r="M31" s="141">
        <v>0</v>
      </c>
      <c r="N31" s="141">
        <v>0</v>
      </c>
      <c r="O31" s="144">
        <v>0</v>
      </c>
      <c r="P31" s="185"/>
      <c r="Q31" s="678"/>
      <c r="R31" s="143">
        <v>0</v>
      </c>
      <c r="S31" s="141">
        <v>0</v>
      </c>
      <c r="T31" s="141">
        <v>0</v>
      </c>
      <c r="U31" s="141">
        <v>0</v>
      </c>
      <c r="V31" s="141">
        <v>0</v>
      </c>
      <c r="W31" s="144">
        <v>0</v>
      </c>
      <c r="X31" s="185"/>
      <c r="Y31" s="170"/>
      <c r="Z31" s="170"/>
      <c r="AA31" s="170"/>
      <c r="AB31" s="170"/>
      <c r="AC31" s="170"/>
      <c r="AD31" s="1375"/>
    </row>
    <row r="32" spans="2:30" s="98" customFormat="1" ht="15" customHeight="1">
      <c r="B32" s="901"/>
      <c r="C32" s="185"/>
      <c r="D32" s="162" t="s">
        <v>85</v>
      </c>
      <c r="E32" s="185"/>
      <c r="F32" s="185"/>
      <c r="G32" s="170"/>
      <c r="H32" s="163"/>
      <c r="I32" s="164" t="s">
        <v>498</v>
      </c>
      <c r="J32" s="143">
        <v>0</v>
      </c>
      <c r="K32" s="141">
        <v>0</v>
      </c>
      <c r="L32" s="141">
        <v>0</v>
      </c>
      <c r="M32" s="141">
        <v>0</v>
      </c>
      <c r="N32" s="141">
        <v>0</v>
      </c>
      <c r="O32" s="144">
        <v>0</v>
      </c>
      <c r="P32" s="185"/>
      <c r="Q32" s="678"/>
      <c r="R32" s="143">
        <v>0</v>
      </c>
      <c r="S32" s="141">
        <v>0</v>
      </c>
      <c r="T32" s="141">
        <v>0</v>
      </c>
      <c r="U32" s="141">
        <v>0</v>
      </c>
      <c r="V32" s="141">
        <v>0</v>
      </c>
      <c r="W32" s="144">
        <v>0</v>
      </c>
      <c r="X32" s="185"/>
      <c r="Y32" s="170"/>
      <c r="Z32" s="170"/>
      <c r="AA32" s="170"/>
      <c r="AB32" s="170"/>
      <c r="AC32" s="170"/>
      <c r="AD32" s="1375"/>
    </row>
    <row r="33" spans="2:30" s="98" customFormat="1" ht="15" customHeight="1">
      <c r="B33" s="901"/>
      <c r="C33" s="185"/>
      <c r="D33" s="162" t="s">
        <v>85</v>
      </c>
      <c r="E33" s="185"/>
      <c r="F33" s="185"/>
      <c r="G33" s="170"/>
      <c r="H33" s="163"/>
      <c r="I33" s="164" t="s">
        <v>498</v>
      </c>
      <c r="J33" s="143">
        <v>0</v>
      </c>
      <c r="K33" s="141">
        <v>0</v>
      </c>
      <c r="L33" s="141">
        <v>0</v>
      </c>
      <c r="M33" s="141">
        <v>0</v>
      </c>
      <c r="N33" s="141">
        <v>0</v>
      </c>
      <c r="O33" s="144">
        <v>0</v>
      </c>
      <c r="P33" s="185"/>
      <c r="Q33" s="678"/>
      <c r="R33" s="143">
        <v>0</v>
      </c>
      <c r="S33" s="141">
        <v>0</v>
      </c>
      <c r="T33" s="141">
        <v>0</v>
      </c>
      <c r="U33" s="141">
        <v>0</v>
      </c>
      <c r="V33" s="141">
        <v>0</v>
      </c>
      <c r="W33" s="144">
        <v>0</v>
      </c>
      <c r="X33" s="185"/>
      <c r="Y33" s="170"/>
      <c r="Z33" s="170"/>
      <c r="AA33" s="170"/>
      <c r="AB33" s="170"/>
      <c r="AC33" s="170"/>
      <c r="AD33" s="1375"/>
    </row>
    <row r="34" spans="2:30" s="98" customFormat="1" ht="15" customHeight="1">
      <c r="B34" s="901"/>
      <c r="C34" s="185"/>
      <c r="D34" s="162" t="s">
        <v>85</v>
      </c>
      <c r="E34" s="185"/>
      <c r="F34" s="185"/>
      <c r="G34" s="170"/>
      <c r="H34" s="163"/>
      <c r="I34" s="164" t="s">
        <v>498</v>
      </c>
      <c r="J34" s="143">
        <v>0</v>
      </c>
      <c r="K34" s="141">
        <v>0</v>
      </c>
      <c r="L34" s="141">
        <v>0</v>
      </c>
      <c r="M34" s="141">
        <v>0</v>
      </c>
      <c r="N34" s="141">
        <v>0</v>
      </c>
      <c r="O34" s="144">
        <v>0</v>
      </c>
      <c r="P34" s="185"/>
      <c r="Q34" s="678"/>
      <c r="R34" s="143">
        <v>0</v>
      </c>
      <c r="S34" s="141">
        <v>0</v>
      </c>
      <c r="T34" s="141">
        <v>0</v>
      </c>
      <c r="U34" s="141">
        <v>0</v>
      </c>
      <c r="V34" s="141">
        <v>0</v>
      </c>
      <c r="W34" s="144">
        <v>0</v>
      </c>
      <c r="X34" s="185"/>
      <c r="Y34" s="170"/>
      <c r="Z34" s="170"/>
      <c r="AA34" s="170"/>
      <c r="AB34" s="170"/>
      <c r="AC34" s="170"/>
      <c r="AD34" s="1375"/>
    </row>
    <row r="35" spans="2:30" s="98" customFormat="1" ht="15" customHeight="1">
      <c r="B35" s="901"/>
      <c r="C35" s="185"/>
      <c r="D35" s="162" t="s">
        <v>85</v>
      </c>
      <c r="E35" s="185"/>
      <c r="F35" s="185"/>
      <c r="G35" s="170"/>
      <c r="H35" s="163"/>
      <c r="I35" s="164" t="s">
        <v>498</v>
      </c>
      <c r="J35" s="143">
        <v>0</v>
      </c>
      <c r="K35" s="141">
        <v>0</v>
      </c>
      <c r="L35" s="141">
        <v>0</v>
      </c>
      <c r="M35" s="141">
        <v>0</v>
      </c>
      <c r="N35" s="141">
        <v>0</v>
      </c>
      <c r="O35" s="144">
        <v>0</v>
      </c>
      <c r="P35" s="185"/>
      <c r="Q35" s="678"/>
      <c r="R35" s="143">
        <v>0</v>
      </c>
      <c r="S35" s="141">
        <v>0</v>
      </c>
      <c r="T35" s="141">
        <v>0</v>
      </c>
      <c r="U35" s="141">
        <v>0</v>
      </c>
      <c r="V35" s="141">
        <v>0</v>
      </c>
      <c r="W35" s="144">
        <v>0</v>
      </c>
      <c r="X35" s="185"/>
      <c r="Y35" s="170"/>
      <c r="Z35" s="170"/>
      <c r="AA35" s="170"/>
      <c r="AB35" s="170"/>
      <c r="AC35" s="170"/>
      <c r="AD35" s="1375"/>
    </row>
    <row r="36" spans="2:30" s="98" customFormat="1" ht="15" customHeight="1">
      <c r="B36" s="901"/>
      <c r="C36" s="185"/>
      <c r="D36" s="162" t="s">
        <v>85</v>
      </c>
      <c r="E36" s="185"/>
      <c r="F36" s="185"/>
      <c r="G36" s="170"/>
      <c r="H36" s="163"/>
      <c r="I36" s="164" t="s">
        <v>498</v>
      </c>
      <c r="J36" s="143">
        <v>0</v>
      </c>
      <c r="K36" s="141">
        <v>0</v>
      </c>
      <c r="L36" s="141">
        <v>0</v>
      </c>
      <c r="M36" s="141">
        <v>0</v>
      </c>
      <c r="N36" s="141">
        <v>0</v>
      </c>
      <c r="O36" s="144">
        <v>0</v>
      </c>
      <c r="P36" s="185"/>
      <c r="Q36" s="678"/>
      <c r="R36" s="143">
        <v>0</v>
      </c>
      <c r="S36" s="141">
        <v>0</v>
      </c>
      <c r="T36" s="141">
        <v>0</v>
      </c>
      <c r="U36" s="141">
        <v>0</v>
      </c>
      <c r="V36" s="141">
        <v>0</v>
      </c>
      <c r="W36" s="144">
        <v>0</v>
      </c>
      <c r="X36" s="185"/>
      <c r="Y36" s="170"/>
      <c r="Z36" s="170"/>
      <c r="AA36" s="170"/>
      <c r="AB36" s="170"/>
      <c r="AC36" s="170"/>
      <c r="AD36" s="1375"/>
    </row>
    <row r="37" spans="2:30" s="98" customFormat="1" ht="15" customHeight="1">
      <c r="B37" s="901"/>
      <c r="C37" s="185"/>
      <c r="D37" s="162" t="s">
        <v>85</v>
      </c>
      <c r="E37" s="185"/>
      <c r="F37" s="185"/>
      <c r="G37" s="170"/>
      <c r="H37" s="163"/>
      <c r="I37" s="164" t="s">
        <v>498</v>
      </c>
      <c r="J37" s="143">
        <v>0</v>
      </c>
      <c r="K37" s="141">
        <v>0</v>
      </c>
      <c r="L37" s="141">
        <v>0</v>
      </c>
      <c r="M37" s="141">
        <v>0</v>
      </c>
      <c r="N37" s="141">
        <v>0</v>
      </c>
      <c r="O37" s="144">
        <v>0</v>
      </c>
      <c r="P37" s="185"/>
      <c r="Q37" s="678"/>
      <c r="R37" s="143">
        <v>0</v>
      </c>
      <c r="S37" s="141">
        <v>0</v>
      </c>
      <c r="T37" s="141">
        <v>0</v>
      </c>
      <c r="U37" s="141">
        <v>0</v>
      </c>
      <c r="V37" s="141">
        <v>0</v>
      </c>
      <c r="W37" s="144">
        <v>0</v>
      </c>
      <c r="X37" s="185"/>
      <c r="Y37" s="170"/>
      <c r="Z37" s="170"/>
      <c r="AA37" s="170"/>
      <c r="AB37" s="170"/>
      <c r="AC37" s="170"/>
      <c r="AD37" s="1375"/>
    </row>
    <row r="38" spans="2:30" s="98" customFormat="1" ht="15" customHeight="1">
      <c r="B38" s="901"/>
      <c r="C38" s="185"/>
      <c r="D38" s="162" t="s">
        <v>85</v>
      </c>
      <c r="E38" s="185"/>
      <c r="F38" s="185"/>
      <c r="G38" s="170"/>
      <c r="H38" s="163"/>
      <c r="I38" s="164" t="s">
        <v>498</v>
      </c>
      <c r="J38" s="143">
        <v>0</v>
      </c>
      <c r="K38" s="141">
        <v>0</v>
      </c>
      <c r="L38" s="141">
        <v>0</v>
      </c>
      <c r="M38" s="141">
        <v>0</v>
      </c>
      <c r="N38" s="141">
        <v>0</v>
      </c>
      <c r="O38" s="144">
        <v>0</v>
      </c>
      <c r="P38" s="185"/>
      <c r="Q38" s="678"/>
      <c r="R38" s="143">
        <v>0</v>
      </c>
      <c r="S38" s="141">
        <v>0</v>
      </c>
      <c r="T38" s="141">
        <v>0</v>
      </c>
      <c r="U38" s="141">
        <v>0</v>
      </c>
      <c r="V38" s="141">
        <v>0</v>
      </c>
      <c r="W38" s="144">
        <v>0</v>
      </c>
      <c r="X38" s="185"/>
      <c r="Y38" s="170"/>
      <c r="Z38" s="170"/>
      <c r="AA38" s="170"/>
      <c r="AB38" s="170"/>
      <c r="AC38" s="170"/>
      <c r="AD38" s="1375"/>
    </row>
    <row r="39" spans="2:30" s="98" customFormat="1" ht="15" customHeight="1">
      <c r="B39" s="901"/>
      <c r="C39" s="185"/>
      <c r="D39" s="162" t="s">
        <v>85</v>
      </c>
      <c r="E39" s="185"/>
      <c r="F39" s="185"/>
      <c r="G39" s="170"/>
      <c r="H39" s="163"/>
      <c r="I39" s="164" t="s">
        <v>498</v>
      </c>
      <c r="J39" s="143">
        <v>0</v>
      </c>
      <c r="K39" s="141">
        <v>0</v>
      </c>
      <c r="L39" s="141">
        <v>0</v>
      </c>
      <c r="M39" s="141">
        <v>0</v>
      </c>
      <c r="N39" s="141">
        <v>0</v>
      </c>
      <c r="O39" s="144">
        <v>0</v>
      </c>
      <c r="P39" s="185"/>
      <c r="Q39" s="678"/>
      <c r="R39" s="143">
        <v>0</v>
      </c>
      <c r="S39" s="141">
        <v>0</v>
      </c>
      <c r="T39" s="141">
        <v>0</v>
      </c>
      <c r="U39" s="141">
        <v>0</v>
      </c>
      <c r="V39" s="141">
        <v>0</v>
      </c>
      <c r="W39" s="144">
        <v>0</v>
      </c>
      <c r="X39" s="185"/>
      <c r="Y39" s="170"/>
      <c r="Z39" s="170"/>
      <c r="AA39" s="170"/>
      <c r="AB39" s="170"/>
      <c r="AC39" s="170"/>
      <c r="AD39" s="1375"/>
    </row>
    <row r="40" spans="2:30" s="98" customFormat="1" ht="15" customHeight="1">
      <c r="B40" s="901"/>
      <c r="C40" s="185"/>
      <c r="D40" s="162" t="s">
        <v>85</v>
      </c>
      <c r="E40" s="185"/>
      <c r="F40" s="185"/>
      <c r="G40" s="170"/>
      <c r="H40" s="163"/>
      <c r="I40" s="164" t="s">
        <v>498</v>
      </c>
      <c r="J40" s="143">
        <v>0</v>
      </c>
      <c r="K40" s="141">
        <v>0</v>
      </c>
      <c r="L40" s="141">
        <v>0</v>
      </c>
      <c r="M40" s="141">
        <v>0</v>
      </c>
      <c r="N40" s="141">
        <v>0</v>
      </c>
      <c r="O40" s="144">
        <v>0</v>
      </c>
      <c r="P40" s="185"/>
      <c r="Q40" s="678"/>
      <c r="R40" s="143">
        <v>0</v>
      </c>
      <c r="S40" s="141">
        <v>0</v>
      </c>
      <c r="T40" s="141">
        <v>0</v>
      </c>
      <c r="U40" s="141">
        <v>0</v>
      </c>
      <c r="V40" s="141">
        <v>0</v>
      </c>
      <c r="W40" s="144">
        <v>0</v>
      </c>
      <c r="X40" s="185"/>
      <c r="Y40" s="170"/>
      <c r="Z40" s="170"/>
      <c r="AA40" s="170"/>
      <c r="AB40" s="170"/>
      <c r="AC40" s="170"/>
      <c r="AD40" s="1375"/>
    </row>
    <row r="41" spans="2:30" s="98" customFormat="1" ht="15" customHeight="1">
      <c r="B41" s="901"/>
      <c r="C41" s="185"/>
      <c r="D41" s="162" t="s">
        <v>85</v>
      </c>
      <c r="E41" s="185"/>
      <c r="F41" s="185"/>
      <c r="G41" s="170"/>
      <c r="H41" s="163"/>
      <c r="I41" s="164" t="s">
        <v>498</v>
      </c>
      <c r="J41" s="143">
        <v>0</v>
      </c>
      <c r="K41" s="141">
        <v>0</v>
      </c>
      <c r="L41" s="141">
        <v>0</v>
      </c>
      <c r="M41" s="141">
        <v>0</v>
      </c>
      <c r="N41" s="141">
        <v>0</v>
      </c>
      <c r="O41" s="144">
        <v>0</v>
      </c>
      <c r="P41" s="185"/>
      <c r="Q41" s="678"/>
      <c r="R41" s="143">
        <v>0</v>
      </c>
      <c r="S41" s="141">
        <v>0</v>
      </c>
      <c r="T41" s="141">
        <v>0</v>
      </c>
      <c r="U41" s="141">
        <v>0</v>
      </c>
      <c r="V41" s="141">
        <v>0</v>
      </c>
      <c r="W41" s="144">
        <v>0</v>
      </c>
      <c r="X41" s="185"/>
      <c r="Y41" s="170"/>
      <c r="Z41" s="170"/>
      <c r="AA41" s="170"/>
      <c r="AB41" s="170"/>
      <c r="AC41" s="170"/>
      <c r="AD41" s="1375"/>
    </row>
    <row r="42" spans="2:30" s="98" customFormat="1" ht="15" customHeight="1">
      <c r="B42" s="901"/>
      <c r="C42" s="185"/>
      <c r="D42" s="162" t="s">
        <v>85</v>
      </c>
      <c r="E42" s="185"/>
      <c r="F42" s="185"/>
      <c r="G42" s="170"/>
      <c r="H42" s="163"/>
      <c r="I42" s="164" t="s">
        <v>498</v>
      </c>
      <c r="J42" s="143">
        <v>0</v>
      </c>
      <c r="K42" s="141">
        <v>0</v>
      </c>
      <c r="L42" s="141">
        <v>0</v>
      </c>
      <c r="M42" s="141">
        <v>0</v>
      </c>
      <c r="N42" s="141">
        <v>0</v>
      </c>
      <c r="O42" s="144">
        <v>0</v>
      </c>
      <c r="P42" s="185"/>
      <c r="Q42" s="678"/>
      <c r="R42" s="143">
        <v>0</v>
      </c>
      <c r="S42" s="141">
        <v>0</v>
      </c>
      <c r="T42" s="141">
        <v>0</v>
      </c>
      <c r="U42" s="141">
        <v>0</v>
      </c>
      <c r="V42" s="141">
        <v>0</v>
      </c>
      <c r="W42" s="144">
        <v>0</v>
      </c>
      <c r="X42" s="185"/>
      <c r="Y42" s="170"/>
      <c r="Z42" s="170"/>
      <c r="AA42" s="170"/>
      <c r="AB42" s="170"/>
      <c r="AC42" s="170"/>
      <c r="AD42" s="1375"/>
    </row>
    <row r="43" spans="2:30" s="98" customFormat="1" ht="15" customHeight="1">
      <c r="B43" s="901"/>
      <c r="C43" s="185"/>
      <c r="D43" s="162" t="s">
        <v>85</v>
      </c>
      <c r="E43" s="185"/>
      <c r="F43" s="185"/>
      <c r="G43" s="170"/>
      <c r="H43" s="163"/>
      <c r="I43" s="164" t="s">
        <v>498</v>
      </c>
      <c r="J43" s="143">
        <v>0</v>
      </c>
      <c r="K43" s="141">
        <v>0</v>
      </c>
      <c r="L43" s="141">
        <v>0</v>
      </c>
      <c r="M43" s="141">
        <v>0</v>
      </c>
      <c r="N43" s="141">
        <v>0</v>
      </c>
      <c r="O43" s="144">
        <v>0</v>
      </c>
      <c r="P43" s="185"/>
      <c r="Q43" s="678"/>
      <c r="R43" s="143">
        <v>0</v>
      </c>
      <c r="S43" s="141">
        <v>0</v>
      </c>
      <c r="T43" s="141">
        <v>0</v>
      </c>
      <c r="U43" s="141">
        <v>0</v>
      </c>
      <c r="V43" s="141">
        <v>0</v>
      </c>
      <c r="W43" s="144">
        <v>0</v>
      </c>
      <c r="X43" s="185"/>
      <c r="Y43" s="170"/>
      <c r="Z43" s="170"/>
      <c r="AA43" s="170"/>
      <c r="AB43" s="170"/>
      <c r="AC43" s="170"/>
      <c r="AD43" s="1375"/>
    </row>
    <row r="44" spans="2:30" s="98" customFormat="1" ht="15" customHeight="1">
      <c r="B44" s="901"/>
      <c r="C44" s="185"/>
      <c r="D44" s="162" t="s">
        <v>85</v>
      </c>
      <c r="E44" s="185"/>
      <c r="F44" s="185"/>
      <c r="G44" s="170"/>
      <c r="H44" s="163"/>
      <c r="I44" s="164" t="s">
        <v>498</v>
      </c>
      <c r="J44" s="143">
        <v>0</v>
      </c>
      <c r="K44" s="141">
        <v>0</v>
      </c>
      <c r="L44" s="141">
        <v>0</v>
      </c>
      <c r="M44" s="141">
        <v>0</v>
      </c>
      <c r="N44" s="141">
        <v>0</v>
      </c>
      <c r="O44" s="144">
        <v>0</v>
      </c>
      <c r="P44" s="185"/>
      <c r="Q44" s="678"/>
      <c r="R44" s="143">
        <v>0</v>
      </c>
      <c r="S44" s="141">
        <v>0</v>
      </c>
      <c r="T44" s="141">
        <v>0</v>
      </c>
      <c r="U44" s="141">
        <v>0</v>
      </c>
      <c r="V44" s="141">
        <v>0</v>
      </c>
      <c r="W44" s="144">
        <v>0</v>
      </c>
      <c r="X44" s="185"/>
      <c r="Y44" s="170"/>
      <c r="Z44" s="170"/>
      <c r="AA44" s="170"/>
      <c r="AB44" s="170"/>
      <c r="AC44" s="170"/>
      <c r="AD44" s="1375"/>
    </row>
    <row r="45" spans="2:30" s="98" customFormat="1" ht="15" customHeight="1">
      <c r="B45" s="901"/>
      <c r="C45" s="185"/>
      <c r="D45" s="162" t="s">
        <v>85</v>
      </c>
      <c r="E45" s="185"/>
      <c r="F45" s="185"/>
      <c r="G45" s="170"/>
      <c r="H45" s="163"/>
      <c r="I45" s="164" t="s">
        <v>498</v>
      </c>
      <c r="J45" s="143">
        <v>0</v>
      </c>
      <c r="K45" s="141">
        <v>0</v>
      </c>
      <c r="L45" s="141">
        <v>0</v>
      </c>
      <c r="M45" s="141">
        <v>0</v>
      </c>
      <c r="N45" s="141">
        <v>0</v>
      </c>
      <c r="O45" s="144">
        <v>0</v>
      </c>
      <c r="P45" s="185"/>
      <c r="Q45" s="678"/>
      <c r="R45" s="143">
        <v>0</v>
      </c>
      <c r="S45" s="141">
        <v>0</v>
      </c>
      <c r="T45" s="141">
        <v>0</v>
      </c>
      <c r="U45" s="141">
        <v>0</v>
      </c>
      <c r="V45" s="141">
        <v>0</v>
      </c>
      <c r="W45" s="144">
        <v>0</v>
      </c>
      <c r="X45" s="185"/>
      <c r="Y45" s="170"/>
      <c r="Z45" s="170"/>
      <c r="AA45" s="170"/>
      <c r="AB45" s="170"/>
      <c r="AC45" s="170"/>
      <c r="AD45" s="1375"/>
    </row>
    <row r="46" spans="2:30" s="98" customFormat="1" ht="15" customHeight="1">
      <c r="B46" s="901"/>
      <c r="C46" s="185"/>
      <c r="D46" s="162" t="s">
        <v>85</v>
      </c>
      <c r="E46" s="185"/>
      <c r="F46" s="185"/>
      <c r="G46" s="170"/>
      <c r="H46" s="163"/>
      <c r="I46" s="164" t="s">
        <v>498</v>
      </c>
      <c r="J46" s="143">
        <v>0</v>
      </c>
      <c r="K46" s="141">
        <v>0</v>
      </c>
      <c r="L46" s="141">
        <v>0</v>
      </c>
      <c r="M46" s="141">
        <v>0</v>
      </c>
      <c r="N46" s="141">
        <v>0</v>
      </c>
      <c r="O46" s="144">
        <v>0</v>
      </c>
      <c r="P46" s="185"/>
      <c r="Q46" s="678"/>
      <c r="R46" s="143">
        <v>0</v>
      </c>
      <c r="S46" s="141">
        <v>0</v>
      </c>
      <c r="T46" s="141">
        <v>0</v>
      </c>
      <c r="U46" s="141">
        <v>0</v>
      </c>
      <c r="V46" s="141">
        <v>0</v>
      </c>
      <c r="W46" s="144">
        <v>0</v>
      </c>
      <c r="X46" s="185"/>
      <c r="Y46" s="170"/>
      <c r="Z46" s="170"/>
      <c r="AA46" s="170"/>
      <c r="AB46" s="170"/>
      <c r="AC46" s="170"/>
      <c r="AD46" s="1375"/>
    </row>
    <row r="47" spans="2:30" s="98" customFormat="1" ht="15" customHeight="1">
      <c r="B47" s="901"/>
      <c r="C47" s="185"/>
      <c r="D47" s="162" t="s">
        <v>85</v>
      </c>
      <c r="E47" s="185"/>
      <c r="F47" s="185"/>
      <c r="G47" s="170"/>
      <c r="H47" s="163"/>
      <c r="I47" s="164" t="s">
        <v>498</v>
      </c>
      <c r="J47" s="143">
        <v>0</v>
      </c>
      <c r="K47" s="141">
        <v>0</v>
      </c>
      <c r="L47" s="141">
        <v>0</v>
      </c>
      <c r="M47" s="141">
        <v>0</v>
      </c>
      <c r="N47" s="141">
        <v>0</v>
      </c>
      <c r="O47" s="144">
        <v>0</v>
      </c>
      <c r="P47" s="185"/>
      <c r="Q47" s="678"/>
      <c r="R47" s="143">
        <v>0</v>
      </c>
      <c r="S47" s="141">
        <v>0</v>
      </c>
      <c r="T47" s="141">
        <v>0</v>
      </c>
      <c r="U47" s="141">
        <v>0</v>
      </c>
      <c r="V47" s="141">
        <v>0</v>
      </c>
      <c r="W47" s="144">
        <v>0</v>
      </c>
      <c r="X47" s="185"/>
      <c r="Y47" s="170"/>
      <c r="Z47" s="170"/>
      <c r="AA47" s="170"/>
      <c r="AB47" s="170"/>
      <c r="AC47" s="170"/>
      <c r="AD47" s="1375"/>
    </row>
    <row r="48" spans="2:30" s="98" customFormat="1" ht="15" customHeight="1">
      <c r="B48" s="901"/>
      <c r="C48" s="185"/>
      <c r="D48" s="162" t="s">
        <v>85</v>
      </c>
      <c r="E48" s="185"/>
      <c r="F48" s="185"/>
      <c r="G48" s="170"/>
      <c r="H48" s="163"/>
      <c r="I48" s="164" t="s">
        <v>498</v>
      </c>
      <c r="J48" s="143">
        <v>0</v>
      </c>
      <c r="K48" s="141">
        <v>0</v>
      </c>
      <c r="L48" s="141">
        <v>0</v>
      </c>
      <c r="M48" s="141">
        <v>0</v>
      </c>
      <c r="N48" s="141">
        <v>0</v>
      </c>
      <c r="O48" s="144">
        <v>0</v>
      </c>
      <c r="P48" s="185"/>
      <c r="Q48" s="678"/>
      <c r="R48" s="143">
        <v>0</v>
      </c>
      <c r="S48" s="141">
        <v>0</v>
      </c>
      <c r="T48" s="141">
        <v>0</v>
      </c>
      <c r="U48" s="141">
        <v>0</v>
      </c>
      <c r="V48" s="141">
        <v>0</v>
      </c>
      <c r="W48" s="144">
        <v>0</v>
      </c>
      <c r="X48" s="185"/>
      <c r="Y48" s="170"/>
      <c r="Z48" s="170"/>
      <c r="AA48" s="170"/>
      <c r="AB48" s="170"/>
      <c r="AC48" s="170"/>
      <c r="AD48" s="1375"/>
    </row>
    <row r="49" spans="1:43" s="98" customFormat="1" ht="15" customHeight="1">
      <c r="B49" s="901"/>
      <c r="C49" s="185"/>
      <c r="D49" s="162" t="s">
        <v>85</v>
      </c>
      <c r="E49" s="185"/>
      <c r="F49" s="185"/>
      <c r="G49" s="170"/>
      <c r="H49" s="163"/>
      <c r="I49" s="164" t="s">
        <v>498</v>
      </c>
      <c r="J49" s="143">
        <v>0</v>
      </c>
      <c r="K49" s="141">
        <v>0</v>
      </c>
      <c r="L49" s="141">
        <v>0</v>
      </c>
      <c r="M49" s="141">
        <v>0</v>
      </c>
      <c r="N49" s="141">
        <v>0</v>
      </c>
      <c r="O49" s="144">
        <v>0</v>
      </c>
      <c r="P49" s="185"/>
      <c r="Q49" s="678"/>
      <c r="R49" s="143">
        <v>0</v>
      </c>
      <c r="S49" s="141">
        <v>0</v>
      </c>
      <c r="T49" s="141">
        <v>0</v>
      </c>
      <c r="U49" s="141">
        <v>0</v>
      </c>
      <c r="V49" s="141">
        <v>0</v>
      </c>
      <c r="W49" s="144">
        <v>0</v>
      </c>
      <c r="X49" s="185"/>
      <c r="Y49" s="170"/>
      <c r="Z49" s="170"/>
      <c r="AA49" s="170"/>
      <c r="AB49" s="170"/>
      <c r="AC49" s="170"/>
      <c r="AD49" s="1375"/>
    </row>
    <row r="50" spans="1:43" s="98" customFormat="1" ht="15" customHeight="1">
      <c r="B50" s="901"/>
      <c r="C50" s="185"/>
      <c r="D50" s="162" t="s">
        <v>85</v>
      </c>
      <c r="E50" s="185"/>
      <c r="F50" s="185"/>
      <c r="G50" s="170"/>
      <c r="H50" s="163"/>
      <c r="I50" s="164" t="s">
        <v>498</v>
      </c>
      <c r="J50" s="143">
        <v>0</v>
      </c>
      <c r="K50" s="141">
        <v>0</v>
      </c>
      <c r="L50" s="141">
        <v>0</v>
      </c>
      <c r="M50" s="141">
        <v>0</v>
      </c>
      <c r="N50" s="141">
        <v>0</v>
      </c>
      <c r="O50" s="144">
        <v>0</v>
      </c>
      <c r="P50" s="185"/>
      <c r="Q50" s="678"/>
      <c r="R50" s="143">
        <v>0</v>
      </c>
      <c r="S50" s="141">
        <v>0</v>
      </c>
      <c r="T50" s="141">
        <v>0</v>
      </c>
      <c r="U50" s="141">
        <v>0</v>
      </c>
      <c r="V50" s="141">
        <v>0</v>
      </c>
      <c r="W50" s="144">
        <v>0</v>
      </c>
      <c r="X50" s="185"/>
      <c r="Y50" s="170"/>
      <c r="Z50" s="170"/>
      <c r="AA50" s="170"/>
      <c r="AB50" s="170"/>
      <c r="AC50" s="170"/>
      <c r="AD50" s="1375"/>
    </row>
    <row r="51" spans="1:43" s="98" customFormat="1" ht="15" customHeight="1">
      <c r="B51" s="901"/>
      <c r="C51" s="185"/>
      <c r="D51" s="162" t="s">
        <v>85</v>
      </c>
      <c r="E51" s="185"/>
      <c r="F51" s="185"/>
      <c r="G51" s="170"/>
      <c r="H51" s="163"/>
      <c r="I51" s="164" t="s">
        <v>498</v>
      </c>
      <c r="J51" s="143">
        <v>0</v>
      </c>
      <c r="K51" s="141">
        <v>0</v>
      </c>
      <c r="L51" s="141">
        <v>0</v>
      </c>
      <c r="M51" s="141">
        <v>0</v>
      </c>
      <c r="N51" s="141">
        <v>0</v>
      </c>
      <c r="O51" s="144">
        <v>0</v>
      </c>
      <c r="P51" s="185"/>
      <c r="Q51" s="678"/>
      <c r="R51" s="143">
        <v>0</v>
      </c>
      <c r="S51" s="141">
        <v>0</v>
      </c>
      <c r="T51" s="141">
        <v>0</v>
      </c>
      <c r="U51" s="141">
        <v>0</v>
      </c>
      <c r="V51" s="141">
        <v>0</v>
      </c>
      <c r="W51" s="144">
        <v>0</v>
      </c>
      <c r="X51" s="185"/>
      <c r="Y51" s="170"/>
      <c r="Z51" s="170"/>
      <c r="AA51" s="170"/>
      <c r="AB51" s="170"/>
      <c r="AC51" s="170"/>
      <c r="AD51" s="1375"/>
    </row>
    <row r="52" spans="1:43" s="98" customFormat="1" ht="15" customHeight="1">
      <c r="B52" s="494"/>
      <c r="C52" s="185"/>
      <c r="D52" s="185"/>
      <c r="E52" s="182"/>
      <c r="F52" s="182"/>
      <c r="G52" s="184"/>
      <c r="H52" s="184"/>
      <c r="I52" s="117"/>
      <c r="J52" s="713"/>
      <c r="K52" s="714"/>
      <c r="L52" s="714"/>
      <c r="M52" s="714"/>
      <c r="N52" s="714"/>
      <c r="O52" s="752"/>
      <c r="P52" s="185"/>
      <c r="Q52" s="117"/>
      <c r="R52" s="713"/>
      <c r="S52" s="714"/>
      <c r="T52" s="714"/>
      <c r="U52" s="714"/>
      <c r="V52" s="714"/>
      <c r="W52" s="752"/>
      <c r="X52" s="185"/>
      <c r="Y52" s="185"/>
      <c r="Z52" s="185"/>
      <c r="AA52" s="185"/>
      <c r="AB52" s="185"/>
      <c r="AC52" s="185"/>
      <c r="AD52" s="215"/>
    </row>
    <row r="53" spans="1:43" s="98" customFormat="1" ht="15" customHeight="1" thickBot="1">
      <c r="A53" s="99"/>
      <c r="B53" s="902" t="s">
        <v>1701</v>
      </c>
      <c r="C53" s="240"/>
      <c r="D53" s="240"/>
      <c r="E53" s="240"/>
      <c r="F53" s="240"/>
      <c r="G53" s="241"/>
      <c r="H53" s="241"/>
      <c r="I53" s="195" t="s">
        <v>498</v>
      </c>
      <c r="J53" s="717">
        <f>SUM(J12:J51)</f>
        <v>-2.588490186030437</v>
      </c>
      <c r="K53" s="718">
        <f t="shared" ref="K53:O53" si="0">SUM(K12:K51)</f>
        <v>0</v>
      </c>
      <c r="L53" s="718">
        <f t="shared" si="0"/>
        <v>0</v>
      </c>
      <c r="M53" s="718">
        <f t="shared" si="0"/>
        <v>0</v>
      </c>
      <c r="N53" s="718">
        <f t="shared" si="0"/>
        <v>0</v>
      </c>
      <c r="O53" s="719">
        <f t="shared" si="0"/>
        <v>0</v>
      </c>
      <c r="P53" s="192"/>
      <c r="Q53" s="192"/>
      <c r="R53" s="191"/>
      <c r="S53" s="192"/>
      <c r="T53" s="192"/>
      <c r="U53" s="192"/>
      <c r="V53" s="192"/>
      <c r="W53" s="217"/>
      <c r="X53" s="192"/>
      <c r="Y53" s="192"/>
      <c r="Z53" s="192"/>
      <c r="AA53" s="192"/>
      <c r="AB53" s="192"/>
      <c r="AC53" s="192"/>
      <c r="AD53" s="217"/>
    </row>
    <row r="54" spans="1:43" s="99" customFormat="1" ht="15" customHeight="1">
      <c r="B54" s="894"/>
      <c r="C54" s="150"/>
      <c r="D54" s="150"/>
      <c r="E54" s="150"/>
      <c r="F54" s="150"/>
      <c r="G54" s="97"/>
      <c r="H54" s="97"/>
      <c r="I54" s="98"/>
      <c r="J54" s="98"/>
      <c r="K54" s="98"/>
      <c r="L54" s="98"/>
      <c r="M54" s="98"/>
      <c r="N54" s="98"/>
      <c r="O54" s="98"/>
      <c r="X54" s="98"/>
      <c r="Y54" s="98"/>
      <c r="Z54" s="98"/>
      <c r="AA54" s="98"/>
      <c r="AB54" s="98"/>
      <c r="AC54" s="98"/>
      <c r="AD54" s="98"/>
      <c r="AE54" s="98"/>
      <c r="AF54" s="98"/>
      <c r="AG54" s="98"/>
      <c r="AH54" s="98"/>
      <c r="AI54" s="98"/>
      <c r="AJ54" s="98"/>
      <c r="AK54" s="98"/>
      <c r="AL54" s="98"/>
      <c r="AM54" s="98"/>
      <c r="AN54" s="98"/>
      <c r="AO54" s="98"/>
      <c r="AP54" s="98"/>
      <c r="AQ54" s="98"/>
    </row>
    <row r="55" spans="1:43" s="99" customFormat="1" ht="15" customHeight="1">
      <c r="B55" s="894"/>
      <c r="C55" s="150"/>
      <c r="D55" s="150"/>
      <c r="E55" s="150"/>
      <c r="F55" s="150"/>
      <c r="G55" s="97"/>
      <c r="H55" s="97"/>
      <c r="I55" s="98"/>
      <c r="J55" s="98"/>
      <c r="K55" s="98"/>
      <c r="L55" s="98"/>
      <c r="M55" s="98"/>
      <c r="N55" s="98"/>
      <c r="O55" s="98"/>
      <c r="Y55" s="98"/>
      <c r="Z55" s="98"/>
      <c r="AA55" s="98"/>
      <c r="AB55" s="98"/>
      <c r="AC55" s="98"/>
      <c r="AD55" s="98"/>
      <c r="AE55" s="98"/>
      <c r="AF55" s="98"/>
      <c r="AG55" s="98"/>
      <c r="AH55" s="98"/>
      <c r="AI55" s="98"/>
      <c r="AJ55" s="98"/>
      <c r="AK55" s="98"/>
      <c r="AL55" s="98"/>
      <c r="AM55" s="98"/>
      <c r="AN55" s="98"/>
      <c r="AO55" s="98"/>
      <c r="AP55" s="98"/>
      <c r="AQ55" s="98"/>
    </row>
    <row r="56" spans="1:43" s="99" customFormat="1" ht="15" customHeight="1">
      <c r="B56" s="894"/>
      <c r="C56" s="150"/>
      <c r="D56" s="150"/>
      <c r="E56" s="150"/>
      <c r="F56" s="150"/>
      <c r="G56" s="97"/>
      <c r="H56" s="97"/>
      <c r="I56" s="98"/>
      <c r="J56" s="98"/>
      <c r="K56" s="98"/>
      <c r="L56" s="98"/>
      <c r="M56" s="98"/>
      <c r="N56" s="98"/>
      <c r="O56" s="98"/>
      <c r="Y56" s="98"/>
      <c r="Z56" s="98"/>
      <c r="AA56" s="98"/>
      <c r="AB56" s="98"/>
      <c r="AC56" s="98"/>
      <c r="AD56" s="98"/>
      <c r="AE56" s="98"/>
      <c r="AF56" s="98"/>
      <c r="AG56" s="98"/>
      <c r="AH56" s="98"/>
      <c r="AI56" s="98"/>
      <c r="AJ56" s="98"/>
      <c r="AK56" s="98"/>
      <c r="AL56" s="98"/>
      <c r="AM56" s="98"/>
      <c r="AN56" s="98"/>
      <c r="AO56" s="98"/>
      <c r="AP56" s="98"/>
      <c r="AQ56" s="98"/>
    </row>
    <row r="57" spans="1:43" s="99" customFormat="1" ht="15" customHeight="1">
      <c r="B57" s="150"/>
      <c r="C57" s="150"/>
      <c r="D57" s="150"/>
      <c r="E57" s="150"/>
      <c r="F57" s="150"/>
      <c r="G57" s="97"/>
      <c r="H57" s="97"/>
      <c r="I57" s="98"/>
      <c r="J57" s="98"/>
      <c r="K57" s="98"/>
      <c r="L57" s="98"/>
      <c r="M57" s="98"/>
      <c r="N57" s="98"/>
      <c r="O57" s="98"/>
      <c r="Y57" s="98"/>
      <c r="Z57" s="98"/>
      <c r="AA57" s="98"/>
      <c r="AB57" s="98"/>
      <c r="AC57" s="98"/>
      <c r="AD57" s="98"/>
      <c r="AE57" s="98"/>
      <c r="AF57" s="98"/>
      <c r="AG57" s="98"/>
      <c r="AH57" s="98"/>
      <c r="AI57" s="98"/>
      <c r="AJ57" s="98"/>
      <c r="AK57" s="98"/>
      <c r="AL57" s="98"/>
      <c r="AM57" s="98"/>
      <c r="AN57" s="98"/>
      <c r="AO57" s="98"/>
      <c r="AP57" s="98"/>
      <c r="AQ57" s="98"/>
    </row>
    <row r="58" spans="1:43" s="99" customFormat="1" ht="15" customHeight="1">
      <c r="B58" s="150"/>
      <c r="C58" s="150"/>
      <c r="D58" s="150"/>
      <c r="E58" s="150"/>
      <c r="F58" s="150"/>
      <c r="G58" s="97"/>
      <c r="H58" s="97"/>
      <c r="I58" s="98"/>
      <c r="J58" s="98"/>
      <c r="K58" s="98"/>
      <c r="L58" s="98"/>
      <c r="M58" s="98"/>
      <c r="N58" s="98"/>
      <c r="O58" s="98"/>
      <c r="Y58" s="98"/>
      <c r="Z58" s="98"/>
      <c r="AA58" s="98"/>
      <c r="AB58" s="98"/>
      <c r="AC58" s="98"/>
      <c r="AD58" s="98"/>
      <c r="AE58" s="98"/>
      <c r="AF58" s="98"/>
      <c r="AG58" s="98"/>
      <c r="AH58" s="98"/>
      <c r="AI58" s="98"/>
      <c r="AJ58" s="98"/>
      <c r="AK58" s="98"/>
      <c r="AL58" s="98"/>
      <c r="AM58" s="98"/>
      <c r="AN58" s="98"/>
      <c r="AO58" s="98"/>
      <c r="AP58" s="98"/>
      <c r="AQ58" s="98"/>
    </row>
    <row r="59" spans="1:43" s="99" customFormat="1" ht="15" customHeight="1">
      <c r="B59" s="150"/>
      <c r="C59" s="150"/>
      <c r="D59" s="150"/>
      <c r="E59" s="150"/>
      <c r="F59" s="150"/>
      <c r="G59" s="97"/>
      <c r="H59" s="97"/>
      <c r="I59" s="98"/>
      <c r="J59" s="98"/>
      <c r="K59" s="98"/>
      <c r="L59" s="98"/>
      <c r="M59" s="98"/>
      <c r="N59" s="98"/>
      <c r="O59" s="98"/>
      <c r="Y59" s="98"/>
      <c r="Z59" s="98"/>
      <c r="AA59" s="98"/>
      <c r="AB59" s="98"/>
      <c r="AC59" s="98"/>
      <c r="AD59" s="98"/>
      <c r="AE59" s="98"/>
      <c r="AF59" s="98"/>
      <c r="AG59" s="98"/>
      <c r="AH59" s="98"/>
      <c r="AI59" s="98"/>
      <c r="AJ59" s="98"/>
      <c r="AK59" s="98"/>
      <c r="AL59" s="98"/>
      <c r="AM59" s="98"/>
      <c r="AN59" s="98"/>
      <c r="AO59" s="98"/>
      <c r="AP59" s="98"/>
      <c r="AQ59" s="98"/>
    </row>
    <row r="60" spans="1:43" s="99" customFormat="1" ht="15" customHeight="1">
      <c r="B60" s="150"/>
      <c r="C60" s="150"/>
      <c r="D60" s="150"/>
      <c r="E60" s="150"/>
      <c r="F60" s="150"/>
      <c r="G60" s="97"/>
      <c r="H60" s="97"/>
      <c r="I60" s="98"/>
      <c r="J60" s="98"/>
      <c r="K60" s="98"/>
      <c r="L60" s="98"/>
      <c r="M60" s="98"/>
      <c r="N60" s="98"/>
      <c r="O60" s="98"/>
      <c r="Y60" s="98"/>
      <c r="Z60" s="98"/>
      <c r="AA60" s="98"/>
      <c r="AB60" s="98"/>
      <c r="AC60" s="98"/>
      <c r="AD60" s="98"/>
      <c r="AE60" s="98"/>
      <c r="AF60" s="98"/>
      <c r="AG60" s="98"/>
      <c r="AH60" s="98"/>
      <c r="AI60" s="98"/>
      <c r="AJ60" s="98"/>
      <c r="AK60" s="98"/>
      <c r="AL60" s="98"/>
      <c r="AM60" s="98"/>
      <c r="AN60" s="98"/>
      <c r="AO60" s="98"/>
      <c r="AP60" s="98"/>
      <c r="AQ60" s="98"/>
    </row>
    <row r="61" spans="1:43" s="99" customFormat="1" ht="15" customHeight="1">
      <c r="B61" s="150"/>
      <c r="C61" s="150"/>
      <c r="D61" s="150"/>
      <c r="E61" s="150"/>
      <c r="F61" s="150"/>
      <c r="G61" s="97"/>
      <c r="H61" s="97"/>
      <c r="I61" s="98"/>
      <c r="J61" s="98"/>
      <c r="K61" s="98"/>
      <c r="L61" s="98"/>
      <c r="M61" s="98"/>
      <c r="N61" s="98"/>
      <c r="O61" s="98"/>
      <c r="Y61" s="98"/>
      <c r="Z61" s="98"/>
      <c r="AA61" s="98"/>
      <c r="AB61" s="98"/>
      <c r="AC61" s="98"/>
      <c r="AD61" s="98"/>
      <c r="AE61" s="98"/>
      <c r="AF61" s="98"/>
      <c r="AG61" s="98"/>
      <c r="AH61" s="98"/>
      <c r="AI61" s="98"/>
      <c r="AJ61" s="98"/>
      <c r="AK61" s="98"/>
      <c r="AL61" s="98"/>
      <c r="AM61" s="98"/>
      <c r="AN61" s="98"/>
      <c r="AO61" s="98"/>
      <c r="AP61" s="98"/>
      <c r="AQ61" s="98"/>
    </row>
    <row r="62" spans="1:43" s="99" customFormat="1" ht="15" customHeight="1">
      <c r="B62" s="150"/>
      <c r="C62" s="150"/>
      <c r="D62" s="150"/>
      <c r="E62" s="150"/>
      <c r="F62" s="150"/>
      <c r="G62" s="97"/>
      <c r="H62" s="97"/>
      <c r="I62" s="98"/>
      <c r="J62" s="98"/>
      <c r="K62" s="98"/>
      <c r="L62" s="98"/>
      <c r="M62" s="98"/>
      <c r="N62" s="98"/>
      <c r="O62" s="98"/>
      <c r="Y62" s="98"/>
      <c r="Z62" s="98"/>
      <c r="AA62" s="98"/>
      <c r="AB62" s="98"/>
      <c r="AC62" s="98"/>
      <c r="AD62" s="98"/>
      <c r="AE62" s="98"/>
      <c r="AF62" s="98"/>
      <c r="AG62" s="98"/>
      <c r="AH62" s="98"/>
      <c r="AI62" s="98"/>
      <c r="AJ62" s="98"/>
      <c r="AK62" s="98"/>
      <c r="AL62" s="98"/>
      <c r="AM62" s="98"/>
      <c r="AN62" s="98"/>
      <c r="AO62" s="98"/>
      <c r="AP62" s="98"/>
      <c r="AQ62" s="98"/>
    </row>
    <row r="63" spans="1:43" s="99" customFormat="1" ht="15" customHeight="1">
      <c r="B63" s="150"/>
      <c r="C63" s="150"/>
      <c r="D63" s="150"/>
      <c r="E63" s="150"/>
      <c r="F63" s="150"/>
      <c r="G63" s="97"/>
      <c r="H63" s="97"/>
      <c r="I63" s="98"/>
      <c r="J63" s="98"/>
      <c r="K63" s="98"/>
      <c r="L63" s="98"/>
      <c r="M63" s="98"/>
      <c r="N63" s="98"/>
      <c r="O63" s="98"/>
      <c r="Y63" s="98"/>
      <c r="Z63" s="98"/>
      <c r="AA63" s="98"/>
      <c r="AB63" s="98"/>
      <c r="AC63" s="98"/>
      <c r="AD63" s="98"/>
      <c r="AE63" s="98"/>
      <c r="AF63" s="98"/>
      <c r="AG63" s="98"/>
      <c r="AH63" s="98"/>
      <c r="AI63" s="98"/>
      <c r="AJ63" s="98"/>
      <c r="AK63" s="98"/>
      <c r="AL63" s="98"/>
      <c r="AM63" s="98"/>
      <c r="AN63" s="98"/>
      <c r="AO63" s="98"/>
      <c r="AP63" s="98"/>
      <c r="AQ63" s="98"/>
    </row>
    <row r="64" spans="1:43" s="99" customFormat="1" ht="15" customHeight="1">
      <c r="B64" s="150"/>
      <c r="C64" s="150"/>
      <c r="D64" s="150"/>
      <c r="E64" s="150"/>
      <c r="F64" s="150"/>
      <c r="G64" s="97"/>
      <c r="H64" s="97"/>
      <c r="I64" s="98"/>
      <c r="J64" s="98"/>
      <c r="K64" s="98"/>
      <c r="L64" s="98"/>
      <c r="M64" s="98"/>
      <c r="N64" s="98"/>
      <c r="O64" s="98"/>
      <c r="Y64" s="98"/>
      <c r="Z64" s="98"/>
      <c r="AA64" s="98"/>
      <c r="AB64" s="98"/>
      <c r="AC64" s="98"/>
      <c r="AD64" s="98"/>
      <c r="AE64" s="98"/>
      <c r="AF64" s="98"/>
      <c r="AG64" s="98"/>
      <c r="AH64" s="98"/>
      <c r="AI64" s="98"/>
      <c r="AJ64" s="98"/>
      <c r="AK64" s="98"/>
      <c r="AL64" s="98"/>
      <c r="AM64" s="98"/>
      <c r="AN64" s="98"/>
      <c r="AO64" s="98"/>
      <c r="AP64" s="98"/>
      <c r="AQ64" s="98"/>
    </row>
    <row r="65" spans="2:43" s="99" customFormat="1" ht="15" customHeight="1">
      <c r="B65" s="150"/>
      <c r="C65" s="150"/>
      <c r="D65" s="150"/>
      <c r="E65" s="150"/>
      <c r="F65" s="150"/>
      <c r="G65" s="97"/>
      <c r="H65" s="97"/>
      <c r="I65" s="98"/>
      <c r="J65" s="98"/>
      <c r="K65" s="98"/>
      <c r="L65" s="98"/>
      <c r="M65" s="98"/>
      <c r="N65" s="98"/>
      <c r="O65" s="98"/>
      <c r="Y65" s="98"/>
      <c r="Z65" s="98"/>
      <c r="AA65" s="98"/>
      <c r="AB65" s="98"/>
      <c r="AC65" s="98"/>
      <c r="AD65" s="98"/>
      <c r="AE65" s="98"/>
      <c r="AF65" s="98"/>
      <c r="AG65" s="98"/>
      <c r="AH65" s="98"/>
      <c r="AI65" s="98"/>
      <c r="AJ65" s="98"/>
      <c r="AK65" s="98"/>
      <c r="AL65" s="98"/>
      <c r="AM65" s="98"/>
      <c r="AN65" s="98"/>
      <c r="AO65" s="98"/>
      <c r="AP65" s="98"/>
      <c r="AQ65" s="98"/>
    </row>
    <row r="66" spans="2:43" s="99" customFormat="1" ht="15" customHeight="1">
      <c r="B66" s="150"/>
      <c r="C66" s="150"/>
      <c r="D66" s="150"/>
      <c r="E66" s="150"/>
      <c r="F66" s="150"/>
      <c r="G66" s="97"/>
      <c r="H66" s="97"/>
      <c r="I66" s="98"/>
      <c r="J66" s="98"/>
      <c r="K66" s="98"/>
      <c r="L66" s="98"/>
      <c r="M66" s="98"/>
      <c r="N66" s="98"/>
      <c r="O66" s="98"/>
      <c r="Y66" s="98"/>
      <c r="Z66" s="98"/>
      <c r="AA66" s="98"/>
      <c r="AB66" s="98"/>
      <c r="AC66" s="98"/>
      <c r="AD66" s="98"/>
      <c r="AE66" s="98"/>
      <c r="AF66" s="98"/>
      <c r="AG66" s="98"/>
      <c r="AH66" s="98"/>
      <c r="AI66" s="98"/>
      <c r="AJ66" s="98"/>
      <c r="AK66" s="98"/>
      <c r="AL66" s="98"/>
      <c r="AM66" s="98"/>
      <c r="AN66" s="98"/>
      <c r="AO66" s="98"/>
      <c r="AP66" s="98"/>
      <c r="AQ66" s="98"/>
    </row>
    <row r="67" spans="2:43" s="99" customFormat="1" ht="15" customHeight="1">
      <c r="B67" s="150"/>
      <c r="C67" s="150"/>
      <c r="D67" s="150"/>
      <c r="E67" s="150"/>
      <c r="F67" s="150"/>
      <c r="G67" s="97"/>
      <c r="H67" s="97"/>
      <c r="I67" s="98"/>
      <c r="J67" s="98"/>
      <c r="K67" s="98"/>
      <c r="L67" s="98"/>
      <c r="M67" s="98"/>
      <c r="N67" s="98"/>
      <c r="O67" s="98"/>
      <c r="Y67" s="98"/>
      <c r="Z67" s="98"/>
      <c r="AA67" s="98"/>
      <c r="AB67" s="98"/>
      <c r="AC67" s="98"/>
      <c r="AD67" s="98"/>
      <c r="AE67" s="98"/>
      <c r="AF67" s="98"/>
      <c r="AG67" s="98"/>
      <c r="AH67" s="98"/>
      <c r="AI67" s="98"/>
      <c r="AJ67" s="98"/>
      <c r="AK67" s="98"/>
      <c r="AL67" s="98"/>
      <c r="AM67" s="98"/>
      <c r="AN67" s="98"/>
      <c r="AO67" s="98"/>
      <c r="AP67" s="98"/>
      <c r="AQ67" s="98"/>
    </row>
    <row r="68" spans="2:43" s="99" customFormat="1" ht="15" customHeight="1">
      <c r="B68" s="150"/>
      <c r="C68" s="150"/>
      <c r="D68" s="150"/>
      <c r="E68" s="150"/>
      <c r="F68" s="150"/>
      <c r="G68" s="97"/>
      <c r="H68" s="97"/>
      <c r="I68" s="98"/>
      <c r="J68" s="98"/>
      <c r="K68" s="98"/>
      <c r="L68" s="98"/>
      <c r="M68" s="98"/>
      <c r="N68" s="98"/>
      <c r="O68" s="98"/>
      <c r="Y68" s="98"/>
      <c r="Z68" s="98"/>
      <c r="AA68" s="98"/>
      <c r="AB68" s="98"/>
      <c r="AC68" s="98"/>
      <c r="AD68" s="98"/>
      <c r="AE68" s="98"/>
      <c r="AF68" s="98"/>
      <c r="AG68" s="98"/>
      <c r="AH68" s="98"/>
      <c r="AI68" s="98"/>
      <c r="AJ68" s="98"/>
      <c r="AK68" s="98"/>
      <c r="AL68" s="98"/>
      <c r="AM68" s="98"/>
      <c r="AN68" s="98"/>
      <c r="AO68" s="98"/>
      <c r="AP68" s="98"/>
      <c r="AQ68" s="98"/>
    </row>
    <row r="69" spans="2:43" s="99" customFormat="1" ht="15" customHeight="1">
      <c r="B69" s="150"/>
      <c r="C69" s="150"/>
      <c r="D69" s="150"/>
      <c r="E69" s="150"/>
      <c r="F69" s="150"/>
      <c r="G69" s="97"/>
      <c r="H69" s="97"/>
      <c r="I69" s="98"/>
      <c r="J69" s="98"/>
      <c r="K69" s="98"/>
      <c r="L69" s="98"/>
      <c r="M69" s="98"/>
      <c r="N69" s="98"/>
      <c r="O69" s="98"/>
      <c r="Y69" s="98"/>
      <c r="Z69" s="98"/>
      <c r="AA69" s="98"/>
      <c r="AB69" s="98"/>
      <c r="AC69" s="98"/>
      <c r="AD69" s="98"/>
      <c r="AE69" s="98"/>
      <c r="AF69" s="98"/>
      <c r="AG69" s="98"/>
      <c r="AH69" s="98"/>
      <c r="AI69" s="98"/>
      <c r="AJ69" s="98"/>
      <c r="AK69" s="98"/>
      <c r="AL69" s="98"/>
      <c r="AM69" s="98"/>
      <c r="AN69" s="98"/>
      <c r="AO69" s="98"/>
      <c r="AP69" s="98"/>
      <c r="AQ69" s="98"/>
    </row>
    <row r="70" spans="2:43" s="99" customFormat="1" ht="15" customHeight="1">
      <c r="B70" s="150"/>
      <c r="C70" s="150"/>
      <c r="D70" s="150"/>
      <c r="E70" s="150"/>
      <c r="F70" s="150"/>
      <c r="G70" s="97"/>
      <c r="H70" s="97"/>
      <c r="I70" s="98"/>
      <c r="J70" s="98"/>
      <c r="K70" s="98"/>
      <c r="L70" s="98"/>
      <c r="M70" s="98"/>
      <c r="N70" s="98"/>
      <c r="O70" s="98"/>
      <c r="Y70" s="98"/>
      <c r="Z70" s="98"/>
      <c r="AA70" s="98"/>
      <c r="AB70" s="98"/>
      <c r="AC70" s="98"/>
      <c r="AD70" s="98"/>
      <c r="AE70" s="98"/>
      <c r="AF70" s="98"/>
      <c r="AG70" s="98"/>
      <c r="AH70" s="98"/>
      <c r="AI70" s="98"/>
      <c r="AJ70" s="98"/>
      <c r="AK70" s="98"/>
      <c r="AL70" s="98"/>
      <c r="AM70" s="98"/>
      <c r="AN70" s="98"/>
      <c r="AO70" s="98"/>
      <c r="AP70" s="98"/>
      <c r="AQ70" s="98"/>
    </row>
    <row r="71" spans="2:43" s="99" customFormat="1" ht="15" customHeight="1">
      <c r="B71" s="150"/>
      <c r="C71" s="150"/>
      <c r="D71" s="150"/>
      <c r="E71" s="150"/>
      <c r="F71" s="150"/>
      <c r="G71" s="97"/>
      <c r="H71" s="97"/>
      <c r="I71" s="98"/>
      <c r="J71" s="98"/>
      <c r="K71" s="98"/>
      <c r="L71" s="98"/>
      <c r="M71" s="98"/>
      <c r="N71" s="98"/>
      <c r="O71" s="98"/>
      <c r="Y71" s="98"/>
      <c r="Z71" s="98"/>
      <c r="AA71" s="98"/>
      <c r="AB71" s="98"/>
      <c r="AC71" s="98"/>
      <c r="AD71" s="98"/>
      <c r="AE71" s="98"/>
      <c r="AF71" s="98"/>
      <c r="AG71" s="98"/>
      <c r="AH71" s="98"/>
      <c r="AI71" s="98"/>
      <c r="AJ71" s="98"/>
      <c r="AK71" s="98"/>
      <c r="AL71" s="98"/>
      <c r="AM71" s="98"/>
      <c r="AN71" s="98"/>
      <c r="AO71" s="98"/>
      <c r="AP71" s="98"/>
      <c r="AQ71" s="98"/>
    </row>
    <row r="72" spans="2:43" s="99" customFormat="1" ht="15" customHeight="1">
      <c r="B72" s="150"/>
      <c r="C72" s="150"/>
      <c r="D72" s="150"/>
      <c r="E72" s="150"/>
      <c r="F72" s="150"/>
      <c r="G72" s="97"/>
      <c r="H72" s="97"/>
      <c r="I72" s="98"/>
      <c r="J72" s="98"/>
      <c r="K72" s="98"/>
      <c r="L72" s="98"/>
      <c r="M72" s="98"/>
      <c r="N72" s="98"/>
      <c r="O72" s="98"/>
      <c r="Y72" s="98"/>
      <c r="Z72" s="98"/>
      <c r="AA72" s="98"/>
      <c r="AB72" s="98"/>
      <c r="AC72" s="98"/>
      <c r="AD72" s="98"/>
      <c r="AE72" s="98"/>
      <c r="AF72" s="98"/>
      <c r="AG72" s="98"/>
      <c r="AH72" s="98"/>
      <c r="AI72" s="98"/>
      <c r="AJ72" s="98"/>
      <c r="AK72" s="98"/>
      <c r="AL72" s="98"/>
      <c r="AM72" s="98"/>
      <c r="AN72" s="98"/>
      <c r="AO72" s="98"/>
      <c r="AP72" s="98"/>
      <c r="AQ72" s="98"/>
    </row>
    <row r="73" spans="2:43" s="99" customFormat="1" ht="15" customHeight="1">
      <c r="B73" s="150"/>
      <c r="C73" s="150"/>
      <c r="D73" s="150"/>
      <c r="E73" s="150"/>
      <c r="F73" s="150"/>
      <c r="G73" s="97"/>
      <c r="H73" s="97"/>
      <c r="I73" s="98"/>
      <c r="J73" s="98"/>
      <c r="K73" s="98"/>
      <c r="L73" s="98"/>
      <c r="M73" s="98"/>
      <c r="N73" s="98"/>
      <c r="O73" s="98"/>
      <c r="Y73" s="98"/>
      <c r="Z73" s="98"/>
      <c r="AA73" s="98"/>
      <c r="AB73" s="98"/>
      <c r="AC73" s="98"/>
      <c r="AD73" s="98"/>
      <c r="AE73" s="98"/>
      <c r="AF73" s="98"/>
      <c r="AG73" s="98"/>
      <c r="AH73" s="98"/>
      <c r="AI73" s="98"/>
      <c r="AJ73" s="98"/>
      <c r="AK73" s="98"/>
      <c r="AL73" s="98"/>
      <c r="AM73" s="98"/>
      <c r="AN73" s="98"/>
      <c r="AO73" s="98"/>
      <c r="AP73" s="98"/>
      <c r="AQ73" s="98"/>
    </row>
    <row r="74" spans="2:43" s="99" customFormat="1" ht="15" customHeight="1">
      <c r="B74" s="150"/>
      <c r="C74" s="150"/>
      <c r="D74" s="150"/>
      <c r="E74" s="150"/>
      <c r="F74" s="150"/>
      <c r="G74" s="97"/>
      <c r="H74" s="97"/>
      <c r="I74" s="98"/>
      <c r="J74" s="98"/>
      <c r="K74" s="98"/>
      <c r="L74" s="98"/>
      <c r="M74" s="98"/>
      <c r="N74" s="98"/>
      <c r="O74" s="98"/>
      <c r="Y74" s="98"/>
      <c r="Z74" s="98"/>
      <c r="AA74" s="98"/>
      <c r="AB74" s="98"/>
      <c r="AC74" s="98"/>
      <c r="AD74" s="98"/>
      <c r="AE74" s="98"/>
      <c r="AF74" s="98"/>
      <c r="AG74" s="98"/>
      <c r="AH74" s="98"/>
      <c r="AI74" s="98"/>
      <c r="AJ74" s="98"/>
      <c r="AK74" s="98"/>
      <c r="AL74" s="98"/>
      <c r="AM74" s="98"/>
      <c r="AN74" s="98"/>
      <c r="AO74" s="98"/>
      <c r="AP74" s="98"/>
      <c r="AQ74" s="98"/>
    </row>
    <row r="75" spans="2:43" s="99" customFormat="1" ht="15" customHeight="1">
      <c r="B75" s="150"/>
      <c r="C75" s="150"/>
      <c r="D75" s="150"/>
      <c r="E75" s="150"/>
      <c r="F75" s="150"/>
      <c r="G75" s="97"/>
      <c r="H75" s="97"/>
      <c r="I75" s="98"/>
      <c r="J75" s="98"/>
      <c r="K75" s="98"/>
      <c r="L75" s="98"/>
      <c r="M75" s="98"/>
      <c r="N75" s="98"/>
      <c r="O75" s="98"/>
      <c r="Y75" s="98"/>
      <c r="Z75" s="98"/>
      <c r="AA75" s="98"/>
      <c r="AB75" s="98"/>
      <c r="AC75" s="98"/>
      <c r="AD75" s="98"/>
      <c r="AE75" s="98"/>
      <c r="AF75" s="98"/>
      <c r="AG75" s="98"/>
      <c r="AH75" s="98"/>
      <c r="AI75" s="98"/>
      <c r="AJ75" s="98"/>
      <c r="AK75" s="98"/>
      <c r="AL75" s="98"/>
      <c r="AM75" s="98"/>
      <c r="AN75" s="98"/>
      <c r="AO75" s="98"/>
      <c r="AP75" s="98"/>
      <c r="AQ75" s="98"/>
    </row>
    <row r="76" spans="2:43" s="99" customFormat="1" ht="15" customHeight="1">
      <c r="B76" s="150"/>
      <c r="C76" s="150"/>
      <c r="D76" s="150"/>
      <c r="E76" s="150"/>
      <c r="F76" s="150"/>
      <c r="G76" s="97"/>
      <c r="H76" s="97"/>
      <c r="I76" s="98"/>
      <c r="J76" s="98"/>
      <c r="K76" s="98"/>
      <c r="L76" s="98"/>
      <c r="M76" s="98"/>
      <c r="N76" s="98"/>
      <c r="O76" s="98"/>
      <c r="Y76" s="98"/>
      <c r="Z76" s="98"/>
      <c r="AA76" s="98"/>
      <c r="AB76" s="98"/>
      <c r="AC76" s="98"/>
      <c r="AD76" s="98"/>
      <c r="AE76" s="98"/>
      <c r="AF76" s="98"/>
      <c r="AG76" s="98"/>
      <c r="AH76" s="98"/>
      <c r="AI76" s="98"/>
      <c r="AJ76" s="98"/>
      <c r="AK76" s="98"/>
      <c r="AL76" s="98"/>
      <c r="AM76" s="98"/>
      <c r="AN76" s="98"/>
      <c r="AO76" s="98"/>
      <c r="AP76" s="98"/>
      <c r="AQ76" s="98"/>
    </row>
    <row r="77" spans="2:43" s="99" customFormat="1" ht="15" customHeight="1">
      <c r="B77" s="150"/>
      <c r="C77" s="150"/>
      <c r="D77" s="150"/>
      <c r="E77" s="150"/>
      <c r="F77" s="150"/>
      <c r="G77" s="97"/>
      <c r="H77" s="97"/>
      <c r="I77" s="98"/>
      <c r="J77" s="98"/>
      <c r="K77" s="98"/>
      <c r="L77" s="98"/>
      <c r="M77" s="98"/>
      <c r="N77" s="98"/>
      <c r="O77" s="98"/>
      <c r="Y77" s="98"/>
      <c r="Z77" s="98"/>
      <c r="AA77" s="98"/>
      <c r="AB77" s="98"/>
      <c r="AC77" s="98"/>
      <c r="AD77" s="98"/>
      <c r="AE77" s="98"/>
      <c r="AF77" s="98"/>
      <c r="AG77" s="98"/>
      <c r="AH77" s="98"/>
      <c r="AI77" s="98"/>
      <c r="AJ77" s="98"/>
      <c r="AK77" s="98"/>
      <c r="AL77" s="98"/>
      <c r="AM77" s="98"/>
      <c r="AN77" s="98"/>
      <c r="AO77" s="98"/>
      <c r="AP77" s="98"/>
      <c r="AQ77" s="98"/>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sheetPr>
  <dimension ref="A1:BE83"/>
  <sheetViews>
    <sheetView showGridLines="0" topLeftCell="A58" zoomScale="80" zoomScaleNormal="80" workbookViewId="0">
      <selection activeCell="Q16" sqref="Q16"/>
    </sheetView>
  </sheetViews>
  <sheetFormatPr defaultColWidth="11.875" defaultRowHeight="12.75"/>
  <cols>
    <col min="1" max="1" width="11.875" style="173" customWidth="1"/>
    <col min="2" max="6" width="4.375" style="174" customWidth="1"/>
    <col min="7" max="7" width="38.25" style="173" customWidth="1"/>
    <col min="8" max="8" width="15.625" style="173" customWidth="1"/>
    <col min="9" max="9" width="15.625" style="175" customWidth="1"/>
    <col min="10" max="33" width="15.625" style="173" customWidth="1"/>
    <col min="34" max="34" width="15.625" style="175" customWidth="1"/>
    <col min="35" max="47" width="15.625" style="173" customWidth="1"/>
    <col min="48" max="48" width="11.875" style="175"/>
    <col min="49" max="16384" width="11.875" style="173"/>
  </cols>
  <sheetData>
    <row r="1" spans="1:57" s="2" customFormat="1" ht="25.15" customHeight="1">
      <c r="A1" s="1" t="s">
        <v>0</v>
      </c>
      <c r="E1" s="3"/>
      <c r="H1" s="4" t="s">
        <v>1</v>
      </c>
      <c r="J1" s="3"/>
    </row>
    <row r="2" spans="1:57" s="2" customFormat="1" ht="25.15" customHeight="1">
      <c r="A2" s="5" t="str">
        <f>Fixed_Data!I12</f>
        <v>MASTER</v>
      </c>
      <c r="B2" s="6"/>
      <c r="D2" s="7"/>
      <c r="E2" s="3"/>
    </row>
    <row r="3" spans="1:57" s="9" customFormat="1" ht="25.15" customHeight="1" thickBot="1">
      <c r="A3" s="8" t="str">
        <f>Fixed_Data!A3</f>
        <v>RIIO-GD2</v>
      </c>
      <c r="D3" s="10"/>
      <c r="E3" s="11"/>
    </row>
    <row r="4" spans="1:57" s="89" customFormat="1" ht="25.15" customHeight="1">
      <c r="B4" s="90" t="s">
        <v>1702</v>
      </c>
      <c r="C4" s="90"/>
      <c r="D4" s="90"/>
      <c r="E4" s="90"/>
      <c r="F4" s="90"/>
      <c r="G4" s="91"/>
      <c r="H4" s="92"/>
      <c r="I4" s="93"/>
      <c r="J4" s="94"/>
      <c r="K4" s="94"/>
      <c r="L4" s="94"/>
      <c r="M4" s="94"/>
      <c r="N4" s="94"/>
      <c r="O4" s="94"/>
      <c r="P4" s="94"/>
      <c r="Q4" s="94"/>
      <c r="R4" s="92"/>
      <c r="S4" s="92"/>
      <c r="T4" s="92"/>
      <c r="U4" s="92"/>
      <c r="V4" s="92"/>
      <c r="W4" s="94"/>
      <c r="X4" s="94"/>
      <c r="Y4" s="94"/>
      <c r="Z4" s="94"/>
      <c r="AA4" s="94"/>
      <c r="AB4" s="92"/>
      <c r="AC4" s="92"/>
      <c r="AD4" s="92"/>
      <c r="AE4" s="92"/>
      <c r="AF4" s="92"/>
      <c r="AG4" s="92"/>
      <c r="AH4" s="93"/>
      <c r="AI4" s="94"/>
      <c r="AJ4" s="94"/>
      <c r="AK4" s="94"/>
      <c r="AL4" s="94"/>
      <c r="AM4" s="94"/>
      <c r="AN4" s="94"/>
      <c r="AO4" s="92"/>
      <c r="AP4" s="92"/>
      <c r="AQ4" s="92"/>
      <c r="AR4" s="92"/>
      <c r="AS4" s="92"/>
      <c r="AT4" s="92"/>
      <c r="AU4" s="92"/>
      <c r="AV4" s="92"/>
      <c r="AW4" s="92"/>
      <c r="AX4" s="92"/>
      <c r="AY4" s="94"/>
      <c r="AZ4" s="92"/>
      <c r="BA4" s="92"/>
      <c r="BB4" s="92"/>
      <c r="BC4" s="92"/>
      <c r="BD4" s="92"/>
      <c r="BE4" s="92"/>
    </row>
    <row r="5" spans="1:57" s="89" customFormat="1" ht="25.15" customHeight="1">
      <c r="B5" s="95" t="s">
        <v>1663</v>
      </c>
      <c r="C5" s="95"/>
      <c r="E5" s="254"/>
      <c r="F5" s="95" t="s">
        <v>463</v>
      </c>
      <c r="G5" s="95"/>
      <c r="H5" s="95"/>
      <c r="I5" s="93"/>
      <c r="J5" s="94"/>
      <c r="K5" s="94"/>
      <c r="L5" s="94"/>
      <c r="M5" s="94"/>
      <c r="N5" s="94"/>
      <c r="O5" s="94"/>
      <c r="P5" s="94"/>
      <c r="Q5" s="94"/>
      <c r="R5" s="92"/>
      <c r="S5" s="92"/>
      <c r="T5" s="92"/>
      <c r="U5" s="92"/>
      <c r="V5" s="92"/>
      <c r="W5" s="94"/>
      <c r="X5" s="94"/>
      <c r="Y5" s="94"/>
      <c r="Z5" s="94"/>
      <c r="AA5" s="94"/>
      <c r="AB5" s="92"/>
      <c r="AC5" s="92"/>
      <c r="AD5" s="92"/>
      <c r="AE5" s="92"/>
      <c r="AF5" s="92"/>
      <c r="AG5" s="92"/>
      <c r="AH5" s="93"/>
      <c r="AI5" s="94"/>
      <c r="AJ5" s="94"/>
      <c r="AK5" s="94"/>
      <c r="AL5" s="94"/>
      <c r="AM5" s="94"/>
      <c r="AN5" s="94"/>
      <c r="AO5" s="92"/>
      <c r="AP5" s="92"/>
      <c r="AQ5" s="92"/>
      <c r="AR5" s="92"/>
      <c r="AS5" s="92"/>
      <c r="AT5" s="92"/>
      <c r="AU5" s="92"/>
      <c r="AV5" s="92"/>
      <c r="AW5" s="92"/>
      <c r="AX5" s="92"/>
      <c r="AY5" s="94"/>
      <c r="AZ5" s="92"/>
      <c r="BA5" s="92"/>
      <c r="BB5" s="92"/>
      <c r="BC5" s="92"/>
      <c r="BD5" s="92"/>
      <c r="BE5" s="92"/>
    </row>
    <row r="6" spans="1:57" s="89" customFormat="1" ht="15" customHeight="1">
      <c r="B6" s="95"/>
      <c r="C6" s="95"/>
      <c r="D6" s="95"/>
      <c r="E6" s="95"/>
      <c r="F6" s="95"/>
      <c r="G6" s="95"/>
      <c r="H6" s="95"/>
      <c r="I6" s="93"/>
      <c r="J6" s="94"/>
      <c r="K6" s="94"/>
      <c r="L6" s="94"/>
      <c r="M6" s="94"/>
      <c r="N6" s="94"/>
      <c r="O6" s="94"/>
      <c r="P6" s="94"/>
      <c r="Q6" s="94"/>
      <c r="R6" s="92"/>
      <c r="S6" s="92"/>
      <c r="T6" s="92"/>
      <c r="U6" s="92"/>
      <c r="V6" s="92"/>
      <c r="W6" s="94"/>
      <c r="X6" s="94"/>
      <c r="Y6" s="94"/>
      <c r="Z6" s="94"/>
      <c r="AA6" s="94"/>
      <c r="AB6" s="92"/>
      <c r="AC6" s="92"/>
      <c r="AD6" s="92"/>
      <c r="AE6" s="92"/>
      <c r="AF6" s="92"/>
      <c r="AG6" s="92"/>
      <c r="AH6" s="93"/>
      <c r="AI6" s="94"/>
      <c r="AJ6" s="94"/>
      <c r="AK6" s="94"/>
      <c r="AL6" s="94"/>
      <c r="AM6" s="94"/>
      <c r="AN6" s="94"/>
      <c r="AO6" s="92"/>
      <c r="AP6" s="92"/>
      <c r="AQ6" s="92"/>
      <c r="AR6" s="92"/>
      <c r="AS6" s="92"/>
      <c r="AT6" s="92"/>
      <c r="AU6" s="92"/>
      <c r="AV6" s="92"/>
      <c r="AW6" s="92"/>
      <c r="AX6" s="92"/>
      <c r="AY6" s="94"/>
      <c r="AZ6" s="92"/>
      <c r="BA6" s="92"/>
      <c r="BB6" s="92"/>
      <c r="BC6" s="92"/>
      <c r="BD6" s="92"/>
      <c r="BE6" s="92"/>
    </row>
    <row r="7" spans="1:57"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7"/>
      <c r="AD7" s="97"/>
      <c r="AE7" s="97"/>
      <c r="AF7" s="97"/>
      <c r="AG7" s="97"/>
      <c r="AH7" s="96"/>
      <c r="AI7" s="97"/>
      <c r="AJ7" s="97"/>
      <c r="AK7" s="97"/>
      <c r="AL7" s="97"/>
      <c r="AM7" s="97"/>
      <c r="AN7" s="97"/>
      <c r="AO7" s="97"/>
      <c r="AP7" s="97"/>
      <c r="AQ7" s="97"/>
      <c r="AR7" s="97"/>
      <c r="AS7" s="97"/>
      <c r="AT7" s="97"/>
      <c r="AU7" s="97"/>
      <c r="AV7" s="96"/>
      <c r="AW7" s="98"/>
      <c r="AX7" s="98"/>
      <c r="AY7" s="98"/>
      <c r="AZ7" s="98"/>
      <c r="BA7" s="98"/>
      <c r="BB7" s="98"/>
      <c r="BC7" s="98"/>
      <c r="BD7" s="98"/>
      <c r="BE7" s="98"/>
    </row>
    <row r="8" spans="1:57" s="100" customFormat="1" ht="30" customHeight="1" thickBot="1">
      <c r="A8" s="89"/>
      <c r="B8" s="680" t="s">
        <v>1703</v>
      </c>
      <c r="C8" s="681"/>
      <c r="D8" s="681"/>
      <c r="E8" s="681"/>
      <c r="F8" s="681"/>
      <c r="G8" s="682"/>
      <c r="H8" s="103"/>
      <c r="I8" s="105" t="s">
        <v>1704</v>
      </c>
      <c r="J8" s="106"/>
      <c r="K8" s="106"/>
      <c r="L8" s="106"/>
      <c r="M8" s="106"/>
      <c r="N8" s="106"/>
      <c r="O8" s="106"/>
      <c r="P8" s="106"/>
      <c r="Q8" s="106"/>
      <c r="R8" s="105"/>
      <c r="S8" s="105"/>
      <c r="T8" s="105"/>
      <c r="U8" s="105"/>
      <c r="V8" s="187"/>
    </row>
    <row r="9" spans="1:57" s="157" customFormat="1" ht="30" customHeight="1">
      <c r="A9" s="99"/>
      <c r="B9" s="704"/>
      <c r="C9" s="705"/>
      <c r="D9" s="705"/>
      <c r="E9" s="705"/>
      <c r="F9" s="705"/>
      <c r="G9" s="685"/>
      <c r="H9" s="111"/>
      <c r="I9" s="117"/>
      <c r="J9" s="695" t="s">
        <v>1666</v>
      </c>
      <c r="K9" s="706"/>
      <c r="L9" s="706"/>
      <c r="M9" s="706"/>
      <c r="N9" s="706"/>
      <c r="O9" s="706"/>
      <c r="P9" s="706"/>
      <c r="Q9" s="707"/>
      <c r="R9" s="696" t="s">
        <v>2</v>
      </c>
      <c r="S9" s="708"/>
      <c r="T9" s="708"/>
      <c r="U9" s="708"/>
      <c r="V9" s="709"/>
    </row>
    <row r="10" spans="1:57" s="98" customFormat="1" ht="15" customHeight="1">
      <c r="A10" s="99"/>
      <c r="B10" s="683"/>
      <c r="C10" s="185"/>
      <c r="D10" s="684"/>
      <c r="E10" s="684"/>
      <c r="F10" s="684"/>
      <c r="G10" s="685"/>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57" s="98" customFormat="1" ht="15" customHeight="1">
      <c r="A11" s="99"/>
      <c r="B11" s="683"/>
      <c r="C11" s="684" t="s">
        <v>1705</v>
      </c>
      <c r="D11" s="684"/>
      <c r="E11" s="684"/>
      <c r="F11" s="684"/>
      <c r="G11" s="685"/>
      <c r="H11" s="117"/>
      <c r="I11" s="92"/>
      <c r="J11" s="619"/>
      <c r="K11" s="92"/>
      <c r="L11" s="92"/>
      <c r="M11" s="92"/>
      <c r="N11" s="92"/>
      <c r="O11" s="92"/>
      <c r="P11" s="92"/>
      <c r="Q11" s="618"/>
      <c r="R11" s="619"/>
      <c r="S11" s="92"/>
      <c r="T11" s="92"/>
      <c r="U11" s="92"/>
      <c r="V11" s="618"/>
    </row>
    <row r="12" spans="1:57" s="98" customFormat="1" ht="15" customHeight="1">
      <c r="A12" s="99"/>
      <c r="B12" s="161"/>
      <c r="C12" s="185"/>
      <c r="D12" s="686" t="s">
        <v>1669</v>
      </c>
      <c r="E12" s="686"/>
      <c r="F12" s="686"/>
      <c r="G12" s="687"/>
      <c r="H12" s="163"/>
      <c r="I12" s="117"/>
      <c r="J12" s="159"/>
      <c r="K12" s="117"/>
      <c r="L12" s="117"/>
      <c r="M12" s="117"/>
      <c r="N12" s="117"/>
      <c r="O12" s="117"/>
      <c r="P12" s="117"/>
      <c r="Q12" s="160"/>
      <c r="R12" s="159"/>
      <c r="S12" s="117"/>
      <c r="T12" s="117"/>
      <c r="U12" s="117"/>
      <c r="V12" s="160"/>
    </row>
    <row r="13" spans="1:57" s="98" customFormat="1" ht="15" customHeight="1">
      <c r="A13" s="99"/>
      <c r="B13" s="161"/>
      <c r="C13" s="185"/>
      <c r="D13" s="185"/>
      <c r="E13" s="687" t="s">
        <v>1706</v>
      </c>
      <c r="F13" s="687"/>
      <c r="G13" s="687"/>
      <c r="H13" s="185"/>
      <c r="I13" s="164" t="s">
        <v>498</v>
      </c>
      <c r="J13" s="641">
        <f>'2.01_Opex_Cost_Matrix_C'!J41</f>
        <v>2.7979100330276498</v>
      </c>
      <c r="K13" s="642">
        <f>'2.01_Opex_Cost_Matrix_C'!K41</f>
        <v>4.5421263116883104</v>
      </c>
      <c r="L13" s="642">
        <f>'2.01_Opex_Cost_Matrix_C'!L41</f>
        <v>5.641210819326119</v>
      </c>
      <c r="M13" s="642">
        <f>'2.01_Opex_Cost_Matrix_C'!M41</f>
        <v>7.6566234747750226</v>
      </c>
      <c r="N13" s="642">
        <f>'2.01_Opex_Cost_Matrix_C'!N41</f>
        <v>5.2152618365162455</v>
      </c>
      <c r="O13" s="642">
        <f>'2.01_Opex_Cost_Matrix_C'!O41</f>
        <v>3.899860413313605</v>
      </c>
      <c r="P13" s="642">
        <f>'2.01_Opex_Cost_Matrix_C'!P41</f>
        <v>5.2400941575612245</v>
      </c>
      <c r="Q13" s="643">
        <f>'2.01_Opex_Cost_Matrix_C'!Q41</f>
        <v>3.463329353964482</v>
      </c>
      <c r="R13" s="641">
        <f>'2.01_Opex_Cost_Matrix_C'!R41</f>
        <v>6.4301157885481341</v>
      </c>
      <c r="S13" s="642">
        <f>'2.01_Opex_Cost_Matrix_C'!S41</f>
        <v>5.4264110972422097</v>
      </c>
      <c r="T13" s="642">
        <f>'2.01_Opex_Cost_Matrix_C'!T41</f>
        <v>5.5051862630273369</v>
      </c>
      <c r="U13" s="642">
        <f>'2.01_Opex_Cost_Matrix_C'!U41</f>
        <v>6.0212103744705567</v>
      </c>
      <c r="V13" s="643">
        <f>'2.01_Opex_Cost_Matrix_C'!V41</f>
        <v>5.8047615609630734</v>
      </c>
    </row>
    <row r="14" spans="1:57" s="98" customFormat="1" ht="15" customHeight="1">
      <c r="A14" s="99"/>
      <c r="B14" s="161"/>
      <c r="C14" s="185"/>
      <c r="D14" s="185"/>
      <c r="E14" s="185" t="s">
        <v>1707</v>
      </c>
      <c r="F14" s="687"/>
      <c r="G14" s="185"/>
      <c r="H14" s="185"/>
      <c r="I14" s="164" t="s">
        <v>498</v>
      </c>
      <c r="J14" s="641">
        <f>'2.01_Opex_Cost_Matrix_C'!J60</f>
        <v>9.8564218628950897</v>
      </c>
      <c r="K14" s="642">
        <f>'2.01_Opex_Cost_Matrix_C'!K60</f>
        <v>8.8888804831168802</v>
      </c>
      <c r="L14" s="642">
        <f>'2.01_Opex_Cost_Matrix_C'!L60</f>
        <v>9.905769759732749</v>
      </c>
      <c r="M14" s="642">
        <f>'2.01_Opex_Cost_Matrix_C'!M60</f>
        <v>8.167131721464548</v>
      </c>
      <c r="N14" s="642">
        <f>'2.01_Opex_Cost_Matrix_C'!N60</f>
        <v>7.8062915075156196</v>
      </c>
      <c r="O14" s="642">
        <f>'2.01_Opex_Cost_Matrix_C'!O60</f>
        <v>7.6958542854487639</v>
      </c>
      <c r="P14" s="642">
        <f>'2.01_Opex_Cost_Matrix_C'!P60</f>
        <v>7.6958542854487648</v>
      </c>
      <c r="Q14" s="643">
        <f>'2.01_Opex_Cost_Matrix_C'!Q60</f>
        <v>7.7</v>
      </c>
      <c r="R14" s="641">
        <f>'2.01_Opex_Cost_Matrix_C'!R60</f>
        <v>7.6615000000000011</v>
      </c>
      <c r="S14" s="642">
        <f>'2.01_Opex_Cost_Matrix_C'!S60</f>
        <v>7.6231925</v>
      </c>
      <c r="T14" s="642">
        <f>'2.01_Opex_Cost_Matrix_C'!T60</f>
        <v>7.5850765375</v>
      </c>
      <c r="U14" s="642">
        <f>'2.01_Opex_Cost_Matrix_C'!U60</f>
        <v>7.547151154812501</v>
      </c>
      <c r="V14" s="643">
        <f>'2.01_Opex_Cost_Matrix_C'!V60</f>
        <v>7.5094153990384385</v>
      </c>
    </row>
    <row r="15" spans="1:57" s="98" customFormat="1" ht="15" customHeight="1">
      <c r="A15" s="99"/>
      <c r="B15" s="161"/>
      <c r="C15" s="185"/>
      <c r="D15" s="185"/>
      <c r="E15" s="185" t="s">
        <v>1708</v>
      </c>
      <c r="F15" s="687"/>
      <c r="G15" s="185"/>
      <c r="H15" s="185"/>
      <c r="I15" s="164" t="s">
        <v>498</v>
      </c>
      <c r="J15" s="641">
        <f>'2.01_Opex_Cost_Matrix_C'!J79</f>
        <v>3.2945044078373833</v>
      </c>
      <c r="K15" s="642">
        <f>'2.01_Opex_Cost_Matrix_C'!K79</f>
        <v>2.4482226389610382</v>
      </c>
      <c r="L15" s="642">
        <f>'2.01_Opex_Cost_Matrix_C'!L79</f>
        <v>1.6183828446614412</v>
      </c>
      <c r="M15" s="642">
        <f>'2.01_Opex_Cost_Matrix_C'!M79</f>
        <v>2.1342184030726776</v>
      </c>
      <c r="N15" s="642">
        <f>'2.01_Opex_Cost_Matrix_C'!N79</f>
        <v>2.2159713995681551</v>
      </c>
      <c r="O15" s="642">
        <f>'2.01_Opex_Cost_Matrix_C'!O79</f>
        <v>1.6634926013570026</v>
      </c>
      <c r="P15" s="642">
        <f>'2.01_Opex_Cost_Matrix_C'!P79</f>
        <v>2.2002300965619463</v>
      </c>
      <c r="Q15" s="643">
        <f>'2.01_Opex_Cost_Matrix_C'!Q79</f>
        <v>2.1892289460791359</v>
      </c>
      <c r="R15" s="641">
        <f>'2.01_Opex_Cost_Matrix_C'!R79</f>
        <v>2.1782828013487405</v>
      </c>
      <c r="S15" s="642">
        <f>'2.01_Opex_Cost_Matrix_C'!S79</f>
        <v>2.167391387341997</v>
      </c>
      <c r="T15" s="642">
        <f>'2.01_Opex_Cost_Matrix_C'!T79</f>
        <v>2.1565544304052868</v>
      </c>
      <c r="U15" s="642">
        <f>'2.01_Opex_Cost_Matrix_C'!U79</f>
        <v>2.1457716582532598</v>
      </c>
      <c r="V15" s="643">
        <f>'2.01_Opex_Cost_Matrix_C'!V79</f>
        <v>2.1350427999619934</v>
      </c>
    </row>
    <row r="16" spans="1:57" s="98" customFormat="1" ht="15" customHeight="1">
      <c r="A16" s="99"/>
      <c r="B16" s="161"/>
      <c r="C16" s="185"/>
      <c r="D16" s="185"/>
      <c r="E16" s="185" t="s">
        <v>1709</v>
      </c>
      <c r="F16" s="687"/>
      <c r="G16" s="185"/>
      <c r="H16" s="185"/>
      <c r="I16" s="164" t="s">
        <v>498</v>
      </c>
      <c r="J16" s="641">
        <f>'2.01_Opex_Cost_Matrix_C'!J98</f>
        <v>1.6890510984833558</v>
      </c>
      <c r="K16" s="642">
        <f>'2.01_Opex_Cost_Matrix_C'!K98</f>
        <v>1.6181669922077915</v>
      </c>
      <c r="L16" s="642">
        <f>'2.01_Opex_Cost_Matrix_C'!L98</f>
        <v>1.9820275729153278</v>
      </c>
      <c r="M16" s="642">
        <f>'2.01_Opex_Cost_Matrix_C'!M98</f>
        <v>1.5928895253276343</v>
      </c>
      <c r="N16" s="642">
        <f>'2.01_Opex_Cost_Matrix_C'!N98</f>
        <v>1.1894603093167064</v>
      </c>
      <c r="O16" s="642">
        <f>'2.01_Opex_Cost_Matrix_C'!O98</f>
        <v>1.3107586227660954</v>
      </c>
      <c r="P16" s="642">
        <f>'2.01_Opex_Cost_Matrix_C'!P98</f>
        <v>1.3107586227660954</v>
      </c>
      <c r="Q16" s="643">
        <f>'2.01_Opex_Cost_Matrix_C'!Q98</f>
        <v>1.304204829652265</v>
      </c>
      <c r="R16" s="641">
        <f>'2.01_Opex_Cost_Matrix_C'!R98</f>
        <v>1.2976838055040036</v>
      </c>
      <c r="S16" s="642">
        <f>'2.01_Opex_Cost_Matrix_C'!S98</f>
        <v>1.2911953864764836</v>
      </c>
      <c r="T16" s="642">
        <f>'2.01_Opex_Cost_Matrix_C'!T98</f>
        <v>1.2847394095441007</v>
      </c>
      <c r="U16" s="642">
        <f>'2.01_Opex_Cost_Matrix_C'!U98</f>
        <v>1.2783157124963804</v>
      </c>
      <c r="V16" s="643">
        <f>'2.01_Opex_Cost_Matrix_C'!V98</f>
        <v>1.2719241339338982</v>
      </c>
    </row>
    <row r="17" spans="1:22" s="98" customFormat="1" ht="15" customHeight="1">
      <c r="A17" s="99"/>
      <c r="B17" s="161"/>
      <c r="C17" s="185"/>
      <c r="D17" s="687" t="s">
        <v>1710</v>
      </c>
      <c r="E17" s="185"/>
      <c r="F17" s="687"/>
      <c r="G17" s="185"/>
      <c r="H17" s="185"/>
      <c r="I17" s="164" t="s">
        <v>498</v>
      </c>
      <c r="J17" s="710">
        <f t="shared" ref="J17:V17" si="0">SUM(J13:J16)</f>
        <v>17.637887402243479</v>
      </c>
      <c r="K17" s="711">
        <f t="shared" si="0"/>
        <v>17.497396425974021</v>
      </c>
      <c r="L17" s="711">
        <f t="shared" si="0"/>
        <v>19.147390996635636</v>
      </c>
      <c r="M17" s="711">
        <f t="shared" si="0"/>
        <v>19.550863124639882</v>
      </c>
      <c r="N17" s="711">
        <f t="shared" si="0"/>
        <v>16.426985052916727</v>
      </c>
      <c r="O17" s="711">
        <f t="shared" si="0"/>
        <v>14.569965922885466</v>
      </c>
      <c r="P17" s="711">
        <f t="shared" si="0"/>
        <v>16.446937162338031</v>
      </c>
      <c r="Q17" s="712">
        <f t="shared" si="0"/>
        <v>14.656763129695884</v>
      </c>
      <c r="R17" s="710">
        <f t="shared" si="0"/>
        <v>17.56758239540088</v>
      </c>
      <c r="S17" s="711">
        <f t="shared" si="0"/>
        <v>16.508190371060692</v>
      </c>
      <c r="T17" s="711">
        <f t="shared" si="0"/>
        <v>16.531556640476726</v>
      </c>
      <c r="U17" s="711">
        <f t="shared" si="0"/>
        <v>16.992448900032699</v>
      </c>
      <c r="V17" s="712">
        <f t="shared" si="0"/>
        <v>16.721143893897402</v>
      </c>
    </row>
    <row r="18" spans="1:22" s="98" customFormat="1" ht="15" customHeight="1">
      <c r="A18" s="99"/>
      <c r="B18" s="161"/>
      <c r="C18" s="185"/>
      <c r="D18" s="687"/>
      <c r="E18" s="185"/>
      <c r="F18" s="687"/>
      <c r="G18" s="185"/>
      <c r="H18" s="185"/>
      <c r="I18" s="185"/>
      <c r="J18" s="159"/>
      <c r="K18" s="117"/>
      <c r="L18" s="117"/>
      <c r="M18" s="117"/>
      <c r="N18" s="117"/>
      <c r="O18" s="117"/>
      <c r="P18" s="117"/>
      <c r="Q18" s="160"/>
      <c r="R18" s="159"/>
      <c r="S18" s="117"/>
      <c r="T18" s="117"/>
      <c r="U18" s="117"/>
      <c r="V18" s="160"/>
    </row>
    <row r="19" spans="1:22" s="98" customFormat="1" ht="15" customHeight="1">
      <c r="A19" s="99"/>
      <c r="B19" s="161"/>
      <c r="C19" s="185"/>
      <c r="D19" s="686" t="s">
        <v>1711</v>
      </c>
      <c r="E19" s="686"/>
      <c r="F19" s="686"/>
      <c r="G19" s="687"/>
      <c r="H19" s="163"/>
      <c r="I19" s="117"/>
      <c r="J19" s="159"/>
      <c r="K19" s="117"/>
      <c r="L19" s="117"/>
      <c r="M19" s="117"/>
      <c r="N19" s="117"/>
      <c r="O19" s="117"/>
      <c r="P19" s="117"/>
      <c r="Q19" s="160"/>
      <c r="R19" s="159"/>
      <c r="S19" s="117"/>
      <c r="T19" s="117"/>
      <c r="U19" s="117"/>
      <c r="V19" s="160"/>
    </row>
    <row r="20" spans="1:22" s="98" customFormat="1" ht="15" customHeight="1">
      <c r="A20" s="99"/>
      <c r="B20" s="688"/>
      <c r="C20" s="185"/>
      <c r="D20" s="185"/>
      <c r="E20" s="185" t="s">
        <v>40</v>
      </c>
      <c r="F20" s="185"/>
      <c r="G20" s="690"/>
      <c r="H20" s="184"/>
      <c r="I20" s="164" t="s">
        <v>498</v>
      </c>
      <c r="J20" s="641">
        <f>'2.01_Opex_Cost_Matrix_C'!J122</f>
        <v>11.041914879949251</v>
      </c>
      <c r="K20" s="642">
        <f>'2.01_Opex_Cost_Matrix_C'!K122</f>
        <v>11.267563885714283</v>
      </c>
      <c r="L20" s="642">
        <f>'2.01_Opex_Cost_Matrix_C'!L122</f>
        <v>11.252238077862003</v>
      </c>
      <c r="M20" s="642">
        <f>'2.01_Opex_Cost_Matrix_C'!M122</f>
        <v>11.013389870619571</v>
      </c>
      <c r="N20" s="642">
        <f>'2.01_Opex_Cost_Matrix_C'!N122</f>
        <v>11.228940245731085</v>
      </c>
      <c r="O20" s="642">
        <f>'2.01_Opex_Cost_Matrix_C'!O122</f>
        <v>10.561207825711696</v>
      </c>
      <c r="P20" s="642">
        <f>'2.01_Opex_Cost_Matrix_C'!P122</f>
        <v>11.089609393186361</v>
      </c>
      <c r="Q20" s="643">
        <f>'2.01_Opex_Cost_Matrix_C'!Q122</f>
        <v>10.949614324201143</v>
      </c>
      <c r="R20" s="641">
        <f>'2.01_Opex_Cost_Matrix_C'!R122</f>
        <v>10.785370109338125</v>
      </c>
      <c r="S20" s="642">
        <f>'2.01_Opex_Cost_Matrix_C'!S122</f>
        <v>10.623589557698054</v>
      </c>
      <c r="T20" s="642">
        <f>'2.01_Opex_Cost_Matrix_C'!T122</f>
        <v>10.464235714332585</v>
      </c>
      <c r="U20" s="642">
        <f>'2.01_Opex_Cost_Matrix_C'!U122</f>
        <v>10.307272178617595</v>
      </c>
      <c r="V20" s="643">
        <f>'2.01_Opex_Cost_Matrix_C'!V122</f>
        <v>10.152663095938333</v>
      </c>
    </row>
    <row r="21" spans="1:22" s="98" customFormat="1" ht="15" customHeight="1">
      <c r="A21" s="99"/>
      <c r="B21" s="161"/>
      <c r="C21" s="686"/>
      <c r="D21" s="185"/>
      <c r="E21" s="687" t="s">
        <v>1670</v>
      </c>
      <c r="F21" s="687"/>
      <c r="G21" s="691"/>
      <c r="H21" s="163"/>
      <c r="I21" s="164" t="s">
        <v>498</v>
      </c>
      <c r="J21" s="641">
        <f>'2.01_Opex_Cost_Matrix_C'!J141</f>
        <v>18.409140767791737</v>
      </c>
      <c r="K21" s="642">
        <f>'2.01_Opex_Cost_Matrix_C'!K141</f>
        <v>16.537092685714281</v>
      </c>
      <c r="L21" s="642">
        <f>'2.01_Opex_Cost_Matrix_C'!L141</f>
        <v>14.759826267506098</v>
      </c>
      <c r="M21" s="642">
        <f>'2.01_Opex_Cost_Matrix_C'!M141</f>
        <v>14.311148120127141</v>
      </c>
      <c r="N21" s="642">
        <f>'2.01_Opex_Cost_Matrix_C'!N141</f>
        <v>15.160930616863588</v>
      </c>
      <c r="O21" s="642">
        <f>'2.01_Opex_Cost_Matrix_C'!O141</f>
        <v>16.060029789573299</v>
      </c>
      <c r="P21" s="642">
        <f>'2.01_Opex_Cost_Matrix_C'!P141</f>
        <v>16.463999999999999</v>
      </c>
      <c r="Q21" s="643">
        <f>'2.01_Opex_Cost_Matrix_C'!Q141</f>
        <v>16.052399999999999</v>
      </c>
      <c r="R21" s="641">
        <f>'2.01_Opex_Cost_Matrix_C'!R141</f>
        <v>15.651089999999996</v>
      </c>
      <c r="S21" s="642">
        <f>'2.01_Opex_Cost_Matrix_C'!S141</f>
        <v>15.259812749999998</v>
      </c>
      <c r="T21" s="642">
        <f>'2.01_Opex_Cost_Matrix_C'!T141</f>
        <v>14.878317431249998</v>
      </c>
      <c r="U21" s="642">
        <f>'2.01_Opex_Cost_Matrix_C'!U141</f>
        <v>14.506359495468748</v>
      </c>
      <c r="V21" s="643">
        <f>'2.01_Opex_Cost_Matrix_C'!V141</f>
        <v>14.143700508082031</v>
      </c>
    </row>
    <row r="22" spans="1:22" s="98" customFormat="1" ht="15" customHeight="1">
      <c r="A22" s="99"/>
      <c r="B22" s="161"/>
      <c r="C22" s="185"/>
      <c r="D22" s="185"/>
      <c r="E22" s="687" t="s">
        <v>41</v>
      </c>
      <c r="F22" s="687"/>
      <c r="G22" s="185"/>
      <c r="H22" s="163"/>
      <c r="I22" s="164" t="s">
        <v>498</v>
      </c>
      <c r="J22" s="641">
        <f>'2.01_Opex_Cost_Matrix_C'!J160</f>
        <v>9.3919614721048905</v>
      </c>
      <c r="K22" s="642">
        <f>'2.01_Opex_Cost_Matrix_C'!K160</f>
        <v>10.33706267532467</v>
      </c>
      <c r="L22" s="642">
        <f>'2.01_Opex_Cost_Matrix_C'!L160</f>
        <v>10.711819617526698</v>
      </c>
      <c r="M22" s="642">
        <f>'2.01_Opex_Cost_Matrix_C'!M160</f>
        <v>10.807449960783911</v>
      </c>
      <c r="N22" s="642">
        <f>'2.01_Opex_Cost_Matrix_C'!N160</f>
        <v>11.185980776935542</v>
      </c>
      <c r="O22" s="642">
        <f>'2.01_Opex_Cost_Matrix_C'!O160</f>
        <v>11.988579344955497</v>
      </c>
      <c r="P22" s="642">
        <f>'2.01_Opex_Cost_Matrix_C'!P160</f>
        <v>13.499626604948357</v>
      </c>
      <c r="Q22" s="643">
        <f>'2.01_Opex_Cost_Matrix_C'!Q160</f>
        <v>14.500051035216142</v>
      </c>
      <c r="R22" s="641">
        <f>'2.01_Opex_Cost_Matrix_C'!R160</f>
        <v>16.425122276925226</v>
      </c>
      <c r="S22" s="642">
        <f>'2.01_Opex_Cost_Matrix_C'!S160</f>
        <v>17.210870536947873</v>
      </c>
      <c r="T22" s="642">
        <f>'2.01_Opex_Cost_Matrix_C'!T160</f>
        <v>17.301654378489349</v>
      </c>
      <c r="U22" s="642">
        <f>'2.01_Opex_Cost_Matrix_C'!U160</f>
        <v>16.215462764895364</v>
      </c>
      <c r="V22" s="643">
        <f>'2.01_Opex_Cost_Matrix_C'!V160</f>
        <v>16.932809229817856</v>
      </c>
    </row>
    <row r="23" spans="1:22" s="98" customFormat="1" ht="15" customHeight="1">
      <c r="A23" s="99"/>
      <c r="B23" s="161"/>
      <c r="C23" s="185"/>
      <c r="D23" s="185"/>
      <c r="E23" s="185" t="s">
        <v>1712</v>
      </c>
      <c r="F23" s="185"/>
      <c r="G23" s="185"/>
      <c r="H23" s="163"/>
      <c r="I23" s="164" t="s">
        <v>498</v>
      </c>
      <c r="J23" s="641">
        <f>'2.01_Opex_Cost_Matrix_C'!J179</f>
        <v>0</v>
      </c>
      <c r="K23" s="642">
        <f>'2.01_Opex_Cost_Matrix_C'!K179</f>
        <v>0</v>
      </c>
      <c r="L23" s="642">
        <f>'2.01_Opex_Cost_Matrix_C'!L179</f>
        <v>0</v>
      </c>
      <c r="M23" s="642">
        <f>'2.01_Opex_Cost_Matrix_C'!M179</f>
        <v>0</v>
      </c>
      <c r="N23" s="642">
        <f>'2.01_Opex_Cost_Matrix_C'!N179</f>
        <v>0</v>
      </c>
      <c r="O23" s="642">
        <f>'2.01_Opex_Cost_Matrix_C'!O179</f>
        <v>0</v>
      </c>
      <c r="P23" s="642">
        <f>'2.01_Opex_Cost_Matrix_C'!P179</f>
        <v>0</v>
      </c>
      <c r="Q23" s="643">
        <f>'2.01_Opex_Cost_Matrix_C'!Q179</f>
        <v>0</v>
      </c>
      <c r="R23" s="641">
        <f>'2.01_Opex_Cost_Matrix_C'!R179</f>
        <v>0</v>
      </c>
      <c r="S23" s="642">
        <f>'2.01_Opex_Cost_Matrix_C'!S179</f>
        <v>0</v>
      </c>
      <c r="T23" s="642">
        <f>'2.01_Opex_Cost_Matrix_C'!T179</f>
        <v>0</v>
      </c>
      <c r="U23" s="642">
        <f>'2.01_Opex_Cost_Matrix_C'!U179</f>
        <v>0</v>
      </c>
      <c r="V23" s="643">
        <f>'2.01_Opex_Cost_Matrix_C'!V179</f>
        <v>0</v>
      </c>
    </row>
    <row r="24" spans="1:22" s="98" customFormat="1" ht="15" customHeight="1">
      <c r="A24" s="99"/>
      <c r="B24" s="161"/>
      <c r="C24" s="185"/>
      <c r="D24" s="185"/>
      <c r="E24" s="185" t="s">
        <v>1713</v>
      </c>
      <c r="F24" s="185"/>
      <c r="G24" s="185"/>
      <c r="H24" s="163"/>
      <c r="I24" s="164" t="s">
        <v>498</v>
      </c>
      <c r="J24" s="641">
        <f>'2.01_Opex_Cost_Matrix_C'!J204</f>
        <v>7.5593010774429823</v>
      </c>
      <c r="K24" s="642">
        <f>'2.01_Opex_Cost_Matrix_C'!K204</f>
        <v>7.5281092588992093</v>
      </c>
      <c r="L24" s="642">
        <f>'2.01_Opex_Cost_Matrix_C'!L204</f>
        <v>7.0500115349266856</v>
      </c>
      <c r="M24" s="642">
        <f>'2.01_Opex_Cost_Matrix_C'!M204</f>
        <v>7.0137221635539664</v>
      </c>
      <c r="N24" s="642">
        <f>'2.01_Opex_Cost_Matrix_C'!N204</f>
        <v>6.0797357314909464</v>
      </c>
      <c r="O24" s="642">
        <f>'2.01_Opex_Cost_Matrix_C'!O204</f>
        <v>5.7193479439283381</v>
      </c>
      <c r="P24" s="642">
        <f>'2.01_Opex_Cost_Matrix_C'!P204</f>
        <v>5.3</v>
      </c>
      <c r="Q24" s="643">
        <f>'2.01_Opex_Cost_Matrix_C'!Q204</f>
        <v>5.1733336243397785</v>
      </c>
      <c r="R24" s="641">
        <f>'2.01_Opex_Cost_Matrix_C'!R204</f>
        <v>3.6372366961063332</v>
      </c>
      <c r="S24" s="642">
        <f>'2.01_Opex_Cost_Matrix_C'!S204</f>
        <v>3.6247366961063334</v>
      </c>
      <c r="T24" s="642">
        <f>'2.01_Opex_Cost_Matrix_C'!T204</f>
        <v>3.612299196106334</v>
      </c>
      <c r="U24" s="642">
        <f>'2.01_Opex_Cost_Matrix_C'!U204</f>
        <v>3.5999238836063334</v>
      </c>
      <c r="V24" s="643">
        <f>'2.01_Opex_Cost_Matrix_C'!V204</f>
        <v>3.5876104476688333</v>
      </c>
    </row>
    <row r="25" spans="1:22" s="98" customFormat="1" ht="15" customHeight="1">
      <c r="A25" s="99"/>
      <c r="B25" s="161"/>
      <c r="C25" s="185"/>
      <c r="D25" s="687" t="s">
        <v>1710</v>
      </c>
      <c r="E25" s="185"/>
      <c r="F25" s="687"/>
      <c r="G25" s="185"/>
      <c r="H25" s="185"/>
      <c r="I25" s="164" t="s">
        <v>498</v>
      </c>
      <c r="J25" s="710">
        <f>SUM(J20:J24)</f>
        <v>46.402318197288857</v>
      </c>
      <c r="K25" s="711">
        <f t="shared" ref="K25:V25" si="1">SUM(K20:K24)</f>
        <v>45.669828505652447</v>
      </c>
      <c r="L25" s="711">
        <f t="shared" si="1"/>
        <v>43.773895497821485</v>
      </c>
      <c r="M25" s="711">
        <f t="shared" si="1"/>
        <v>43.14571011508459</v>
      </c>
      <c r="N25" s="711">
        <f t="shared" si="1"/>
        <v>43.655587371021163</v>
      </c>
      <c r="O25" s="711">
        <f t="shared" si="1"/>
        <v>44.329164904168834</v>
      </c>
      <c r="P25" s="711">
        <f t="shared" si="1"/>
        <v>46.353235998134714</v>
      </c>
      <c r="Q25" s="712">
        <f t="shared" si="1"/>
        <v>46.675398983757063</v>
      </c>
      <c r="R25" s="710">
        <f t="shared" si="1"/>
        <v>46.498819082369685</v>
      </c>
      <c r="S25" s="711">
        <f t="shared" si="1"/>
        <v>46.719009540752261</v>
      </c>
      <c r="T25" s="711">
        <f t="shared" si="1"/>
        <v>46.256506720178265</v>
      </c>
      <c r="U25" s="711">
        <f t="shared" si="1"/>
        <v>44.629018322588038</v>
      </c>
      <c r="V25" s="712">
        <f t="shared" si="1"/>
        <v>44.816783281507057</v>
      </c>
    </row>
    <row r="26" spans="1:22" s="98" customFormat="1" ht="15" customHeight="1">
      <c r="A26" s="99"/>
      <c r="B26" s="161"/>
      <c r="C26" s="185"/>
      <c r="D26" s="687"/>
      <c r="E26" s="185"/>
      <c r="F26" s="687"/>
      <c r="G26" s="185"/>
      <c r="H26" s="185"/>
      <c r="I26" s="185"/>
      <c r="J26" s="159"/>
      <c r="K26" s="117"/>
      <c r="L26" s="117"/>
      <c r="M26" s="117"/>
      <c r="N26" s="117"/>
      <c r="O26" s="117"/>
      <c r="P26" s="117"/>
      <c r="Q26" s="160"/>
      <c r="R26" s="159"/>
      <c r="S26" s="117"/>
      <c r="T26" s="117"/>
      <c r="U26" s="117"/>
      <c r="V26" s="160"/>
    </row>
    <row r="27" spans="1:22" s="98" customFormat="1" ht="15" customHeight="1">
      <c r="A27" s="99"/>
      <c r="B27" s="161"/>
      <c r="C27" s="185" t="s">
        <v>1714</v>
      </c>
      <c r="D27" s="185"/>
      <c r="E27" s="687"/>
      <c r="F27" s="185"/>
      <c r="G27" s="185"/>
      <c r="H27" s="163"/>
      <c r="I27" s="164" t="s">
        <v>498</v>
      </c>
      <c r="J27" s="710">
        <f>SUM(J17,J25)</f>
        <v>64.040205599532328</v>
      </c>
      <c r="K27" s="711">
        <f t="shared" ref="K27:V27" si="2">SUM(K17,K25)</f>
        <v>63.167224931626464</v>
      </c>
      <c r="L27" s="711">
        <f t="shared" si="2"/>
        <v>62.921286494457121</v>
      </c>
      <c r="M27" s="711">
        <f t="shared" si="2"/>
        <v>62.696573239724472</v>
      </c>
      <c r="N27" s="711">
        <f t="shared" si="2"/>
        <v>60.08257242393789</v>
      </c>
      <c r="O27" s="711">
        <f t="shared" si="2"/>
        <v>58.8991308270543</v>
      </c>
      <c r="P27" s="711">
        <f t="shared" si="2"/>
        <v>62.800173160472745</v>
      </c>
      <c r="Q27" s="712">
        <f t="shared" si="2"/>
        <v>61.332162113452945</v>
      </c>
      <c r="R27" s="710">
        <f t="shared" si="2"/>
        <v>64.066401477770569</v>
      </c>
      <c r="S27" s="711">
        <f t="shared" si="2"/>
        <v>63.227199911812953</v>
      </c>
      <c r="T27" s="711">
        <f t="shared" si="2"/>
        <v>62.788063360654988</v>
      </c>
      <c r="U27" s="711">
        <f t="shared" si="2"/>
        <v>61.621467222620737</v>
      </c>
      <c r="V27" s="712">
        <f t="shared" si="2"/>
        <v>61.537927175404462</v>
      </c>
    </row>
    <row r="28" spans="1:22" s="98" customFormat="1" ht="15" customHeight="1">
      <c r="A28" s="99"/>
      <c r="B28" s="688"/>
      <c r="C28" s="185"/>
      <c r="D28" s="185"/>
      <c r="E28" s="689"/>
      <c r="F28" s="185"/>
      <c r="G28" s="690"/>
      <c r="H28" s="184"/>
      <c r="I28" s="117"/>
      <c r="J28" s="159"/>
      <c r="K28" s="163"/>
      <c r="L28" s="163"/>
      <c r="M28" s="163"/>
      <c r="N28" s="163"/>
      <c r="O28" s="163"/>
      <c r="P28" s="163"/>
      <c r="Q28" s="160"/>
      <c r="R28" s="171"/>
      <c r="S28" s="163"/>
      <c r="T28" s="163"/>
      <c r="U28" s="163"/>
      <c r="V28" s="160"/>
    </row>
    <row r="29" spans="1:22" s="98" customFormat="1" ht="15" customHeight="1">
      <c r="A29" s="99"/>
      <c r="B29" s="161"/>
      <c r="C29" s="616" t="s">
        <v>1675</v>
      </c>
      <c r="D29" s="686"/>
      <c r="E29" s="687"/>
      <c r="F29" s="185"/>
      <c r="G29" s="185"/>
      <c r="H29" s="163"/>
      <c r="I29" s="117"/>
      <c r="J29" s="159"/>
      <c r="K29" s="163"/>
      <c r="L29" s="163"/>
      <c r="M29" s="163"/>
      <c r="N29" s="163"/>
      <c r="O29" s="163"/>
      <c r="P29" s="163"/>
      <c r="Q29" s="160"/>
      <c r="R29" s="171"/>
      <c r="S29" s="163"/>
      <c r="T29" s="163"/>
      <c r="U29" s="163"/>
      <c r="V29" s="160"/>
    </row>
    <row r="30" spans="1:22" s="98" customFormat="1" ht="15" customHeight="1">
      <c r="A30" s="99"/>
      <c r="B30" s="161"/>
      <c r="C30" s="185"/>
      <c r="D30" s="687" t="s">
        <v>1715</v>
      </c>
      <c r="E30" s="687"/>
      <c r="F30" s="185"/>
      <c r="G30" s="185"/>
      <c r="H30" s="163"/>
      <c r="I30" s="164" t="s">
        <v>498</v>
      </c>
      <c r="J30" s="641">
        <f>'2.01_Opex_Cost_Matrix_C'!J230</f>
        <v>11.836359004392925</v>
      </c>
      <c r="K30" s="642">
        <f>'2.01_Opex_Cost_Matrix_C'!K230</f>
        <v>12.170470161038958</v>
      </c>
      <c r="L30" s="642">
        <f>'2.01_Opex_Cost_Matrix_C'!L230</f>
        <v>8.4086018244892689</v>
      </c>
      <c r="M30" s="642">
        <f>'2.01_Opex_Cost_Matrix_C'!M230</f>
        <v>6.6385238030467644</v>
      </c>
      <c r="N30" s="642">
        <f>'2.01_Opex_Cost_Matrix_C'!N230</f>
        <v>6.6853341176735874</v>
      </c>
      <c r="O30" s="642">
        <f>'2.01_Opex_Cost_Matrix_C'!O230</f>
        <v>5.8508607633499556</v>
      </c>
      <c r="P30" s="642">
        <f>'2.01_Opex_Cost_Matrix_C'!P230</f>
        <v>6.8999999999999995</v>
      </c>
      <c r="Q30" s="643">
        <f>'2.01_Opex_Cost_Matrix_C'!Q230</f>
        <v>7.2400000000000011</v>
      </c>
      <c r="R30" s="641">
        <f>'2.01_Opex_Cost_Matrix_C'!R230</f>
        <v>7.2039999999999988</v>
      </c>
      <c r="S30" s="642">
        <f>'2.01_Opex_Cost_Matrix_C'!S230</f>
        <v>7.1681800000000004</v>
      </c>
      <c r="T30" s="642">
        <f>'2.01_Opex_Cost_Matrix_C'!T230</f>
        <v>7.1325391000000007</v>
      </c>
      <c r="U30" s="642">
        <f>'2.01_Opex_Cost_Matrix_C'!U230</f>
        <v>7.097076404500001</v>
      </c>
      <c r="V30" s="643">
        <f>'2.01_Opex_Cost_Matrix_C'!V230</f>
        <v>7.0617910224775002</v>
      </c>
    </row>
    <row r="31" spans="1:22" s="98" customFormat="1" ht="15" customHeight="1">
      <c r="A31" s="99"/>
      <c r="B31" s="161"/>
      <c r="C31" s="185"/>
      <c r="D31" s="687" t="s">
        <v>118</v>
      </c>
      <c r="E31" s="687"/>
      <c r="F31" s="185"/>
      <c r="G31" s="185"/>
      <c r="H31" s="163"/>
      <c r="I31" s="164" t="s">
        <v>498</v>
      </c>
      <c r="J31" s="641">
        <f>'2.01_Opex_Cost_Matrix_C'!J249</f>
        <v>1.2147387405951315</v>
      </c>
      <c r="K31" s="642">
        <f>'2.01_Opex_Cost_Matrix_C'!K249</f>
        <v>1.7362733142857136</v>
      </c>
      <c r="L31" s="642">
        <f>'2.01_Opex_Cost_Matrix_C'!L249</f>
        <v>1.996223913657972</v>
      </c>
      <c r="M31" s="642">
        <f>'2.01_Opex_Cost_Matrix_C'!M249</f>
        <v>2.5624695325680906</v>
      </c>
      <c r="N31" s="642">
        <f>'2.01_Opex_Cost_Matrix_C'!N249</f>
        <v>2.9258064349794477</v>
      </c>
      <c r="O31" s="642">
        <f>'2.01_Opex_Cost_Matrix_C'!O249</f>
        <v>2.8229406462668205</v>
      </c>
      <c r="P31" s="642">
        <f>'2.01_Opex_Cost_Matrix_C'!P249</f>
        <v>2.8</v>
      </c>
      <c r="Q31" s="643">
        <f>'2.01_Opex_Cost_Matrix_C'!Q249</f>
        <v>2.8000000000000003</v>
      </c>
      <c r="R31" s="641">
        <f>'2.01_Opex_Cost_Matrix_C'!R249</f>
        <v>2.786</v>
      </c>
      <c r="S31" s="642">
        <f>'2.01_Opex_Cost_Matrix_C'!S249</f>
        <v>2.7720699999999994</v>
      </c>
      <c r="T31" s="642">
        <f>'2.01_Opex_Cost_Matrix_C'!T249</f>
        <v>2.7582096500000004</v>
      </c>
      <c r="U31" s="642">
        <f>'2.01_Opex_Cost_Matrix_C'!U249</f>
        <v>2.7444186017499996</v>
      </c>
      <c r="V31" s="643">
        <f>'2.01_Opex_Cost_Matrix_C'!V249</f>
        <v>2.7306965087412509</v>
      </c>
    </row>
    <row r="32" spans="1:22" s="98" customFormat="1" ht="15" customHeight="1">
      <c r="A32" s="99"/>
      <c r="B32" s="161"/>
      <c r="C32" s="185"/>
      <c r="D32" s="687" t="s">
        <v>1716</v>
      </c>
      <c r="E32" s="185"/>
      <c r="F32" s="185"/>
      <c r="G32" s="185"/>
      <c r="H32" s="163"/>
      <c r="I32" s="164" t="s">
        <v>498</v>
      </c>
      <c r="J32" s="641">
        <f>'2.01_Opex_Cost_Matrix_C'!J268</f>
        <v>0.72628212209382437</v>
      </c>
      <c r="K32" s="642">
        <f>'2.01_Opex_Cost_Matrix_C'!K268</f>
        <v>0.82895184935064903</v>
      </c>
      <c r="L32" s="642">
        <f>'2.01_Opex_Cost_Matrix_C'!L268</f>
        <v>0.75786619041500702</v>
      </c>
      <c r="M32" s="642">
        <f>'2.01_Opex_Cost_Matrix_C'!M268</f>
        <v>0.91333398188852655</v>
      </c>
      <c r="N32" s="642">
        <f>'2.01_Opex_Cost_Matrix_C'!N268</f>
        <v>1.144818552890257</v>
      </c>
      <c r="O32" s="642">
        <f>'2.01_Opex_Cost_Matrix_C'!O268</f>
        <v>1.2762994900643456</v>
      </c>
      <c r="P32" s="642">
        <f>'2.01_Opex_Cost_Matrix_C'!P268</f>
        <v>1.1999999999999997</v>
      </c>
      <c r="Q32" s="643">
        <f>'2.01_Opex_Cost_Matrix_C'!Q268</f>
        <v>1.1939999999999997</v>
      </c>
      <c r="R32" s="641">
        <f>'2.01_Opex_Cost_Matrix_C'!R268</f>
        <v>1.1880299999999997</v>
      </c>
      <c r="S32" s="642">
        <f>'2.01_Opex_Cost_Matrix_C'!S268</f>
        <v>1.1820898499999997</v>
      </c>
      <c r="T32" s="642">
        <f>'2.01_Opex_Cost_Matrix_C'!T268</f>
        <v>1.1761794007499997</v>
      </c>
      <c r="U32" s="642">
        <f>'2.01_Opex_Cost_Matrix_C'!U268</f>
        <v>1.1702985037462494</v>
      </c>
      <c r="V32" s="643">
        <f>'2.01_Opex_Cost_Matrix_C'!V268</f>
        <v>1.1644470112275185</v>
      </c>
    </row>
    <row r="33" spans="1:34" s="98" customFormat="1" ht="15" customHeight="1">
      <c r="A33" s="99"/>
      <c r="B33" s="161"/>
      <c r="C33" s="185"/>
      <c r="D33" s="687" t="s">
        <v>1717</v>
      </c>
      <c r="E33" s="687"/>
      <c r="F33" s="185"/>
      <c r="G33" s="185"/>
      <c r="H33" s="163"/>
      <c r="I33" s="164" t="s">
        <v>498</v>
      </c>
      <c r="J33" s="641">
        <f>'2.01_Opex_Cost_Matrix_C'!J287</f>
        <v>4.2125696286434628</v>
      </c>
      <c r="K33" s="642">
        <f>'2.01_Opex_Cost_Matrix_C'!K287</f>
        <v>3.9957465974025963</v>
      </c>
      <c r="L33" s="642">
        <f>'2.01_Opex_Cost_Matrix_C'!L287</f>
        <v>3.7587542181678013</v>
      </c>
      <c r="M33" s="642">
        <f>'2.01_Opex_Cost_Matrix_C'!M287</f>
        <v>4.2898924869801034</v>
      </c>
      <c r="N33" s="642">
        <f>'2.01_Opex_Cost_Matrix_C'!N287</f>
        <v>3.7319505806547264</v>
      </c>
      <c r="O33" s="642">
        <f>'2.01_Opex_Cost_Matrix_C'!O287</f>
        <v>3.8163102012750398</v>
      </c>
      <c r="P33" s="642">
        <f>'2.01_Opex_Cost_Matrix_C'!P287</f>
        <v>3.7</v>
      </c>
      <c r="Q33" s="643">
        <f>'2.01_Opex_Cost_Matrix_C'!Q287</f>
        <v>3.6999999999999997</v>
      </c>
      <c r="R33" s="641">
        <f>'2.01_Opex_Cost_Matrix_C'!R287</f>
        <v>3.6814999999999993</v>
      </c>
      <c r="S33" s="642">
        <f>'2.01_Opex_Cost_Matrix_C'!S287</f>
        <v>3.6630925000000016</v>
      </c>
      <c r="T33" s="642">
        <f>'2.01_Opex_Cost_Matrix_C'!T287</f>
        <v>3.6447770375000008</v>
      </c>
      <c r="U33" s="642">
        <f>'2.01_Opex_Cost_Matrix_C'!U287</f>
        <v>3.6265531523124999</v>
      </c>
      <c r="V33" s="643">
        <f>'2.01_Opex_Cost_Matrix_C'!V287</f>
        <v>3.6084203865509377</v>
      </c>
    </row>
    <row r="34" spans="1:34" s="98" customFormat="1" ht="15" customHeight="1">
      <c r="A34" s="99"/>
      <c r="B34" s="161"/>
      <c r="C34" s="185"/>
      <c r="D34" s="687" t="s">
        <v>1718</v>
      </c>
      <c r="E34" s="687"/>
      <c r="F34" s="185"/>
      <c r="G34" s="185"/>
      <c r="H34" s="163"/>
      <c r="I34" s="164" t="s">
        <v>498</v>
      </c>
      <c r="J34" s="641">
        <f>'2.01_Opex_Cost_Matrix_C'!J306</f>
        <v>3.9141734058828237</v>
      </c>
      <c r="K34" s="642">
        <f>'2.01_Opex_Cost_Matrix_C'!K306</f>
        <v>3.6447390233766219</v>
      </c>
      <c r="L34" s="642">
        <f>'2.01_Opex_Cost_Matrix_C'!L306</f>
        <v>2.5182124425028904</v>
      </c>
      <c r="M34" s="642">
        <f>'2.01_Opex_Cost_Matrix_C'!M306</f>
        <v>2.7806266769409338</v>
      </c>
      <c r="N34" s="642">
        <f>'2.01_Opex_Cost_Matrix_C'!N306</f>
        <v>3.2951054986447139</v>
      </c>
      <c r="O34" s="642">
        <f>'2.01_Opex_Cost_Matrix_C'!O306</f>
        <v>2.8741792394906187</v>
      </c>
      <c r="P34" s="642">
        <f>'2.01_Opex_Cost_Matrix_C'!P306</f>
        <v>3.3000638161540174</v>
      </c>
      <c r="Q34" s="643">
        <f>'2.01_Opex_Cost_Matrix_C'!Q306</f>
        <v>3.3000638161540174</v>
      </c>
      <c r="R34" s="641">
        <f>'2.01_Opex_Cost_Matrix_C'!R306</f>
        <v>3.3000638161540174</v>
      </c>
      <c r="S34" s="642">
        <f>'2.01_Opex_Cost_Matrix_C'!S306</f>
        <v>3.3000638161540174</v>
      </c>
      <c r="T34" s="642">
        <f>'2.01_Opex_Cost_Matrix_C'!T306</f>
        <v>3.3000638161540174</v>
      </c>
      <c r="U34" s="642">
        <f>'2.01_Opex_Cost_Matrix_C'!U306</f>
        <v>3.3000638161540174</v>
      </c>
      <c r="V34" s="643">
        <f>'2.01_Opex_Cost_Matrix_C'!V306</f>
        <v>3.3000638161540174</v>
      </c>
    </row>
    <row r="35" spans="1:34" s="98" customFormat="1" ht="15" customHeight="1">
      <c r="A35" s="99"/>
      <c r="B35" s="161"/>
      <c r="C35" s="185"/>
      <c r="D35" s="687" t="s">
        <v>1719</v>
      </c>
      <c r="E35" s="687"/>
      <c r="F35" s="185"/>
      <c r="G35" s="185"/>
      <c r="H35" s="163"/>
      <c r="I35" s="164" t="s">
        <v>498</v>
      </c>
      <c r="J35" s="641">
        <f>'2.01_Opex_Cost_Matrix_C'!J325</f>
        <v>0.18382563490803264</v>
      </c>
      <c r="K35" s="642">
        <f>'2.01_Opex_Cost_Matrix_C'!K325</f>
        <v>0.21965568311688308</v>
      </c>
      <c r="L35" s="642">
        <f>'2.01_Opex_Cost_Matrix_C'!L325</f>
        <v>0.30685936528330976</v>
      </c>
      <c r="M35" s="642">
        <f>'2.01_Opex_Cost_Matrix_C'!M325</f>
        <v>0.78151345514896753</v>
      </c>
      <c r="N35" s="642">
        <f>'2.01_Opex_Cost_Matrix_C'!N325</f>
        <v>0.9297091271036142</v>
      </c>
      <c r="O35" s="642">
        <f>'2.01_Opex_Cost_Matrix_C'!O325</f>
        <v>0.32783550715466647</v>
      </c>
      <c r="P35" s="642">
        <f>'2.01_Opex_Cost_Matrix_C'!P325</f>
        <v>0.33156890625525143</v>
      </c>
      <c r="Q35" s="643">
        <f>'2.01_Opex_Cost_Matrix_C'!Q325</f>
        <v>0.33156890625525143</v>
      </c>
      <c r="R35" s="641">
        <f>'2.01_Opex_Cost_Matrix_C'!R325</f>
        <v>0.33156890625525143</v>
      </c>
      <c r="S35" s="642">
        <f>'2.01_Opex_Cost_Matrix_C'!S325</f>
        <v>0.33156890625525143</v>
      </c>
      <c r="T35" s="642">
        <f>'2.01_Opex_Cost_Matrix_C'!T325</f>
        <v>0.33156890625525143</v>
      </c>
      <c r="U35" s="642">
        <f>'2.01_Opex_Cost_Matrix_C'!U325</f>
        <v>0.33156890625525143</v>
      </c>
      <c r="V35" s="643">
        <f>'2.01_Opex_Cost_Matrix_C'!V325</f>
        <v>0.33156890625525143</v>
      </c>
    </row>
    <row r="36" spans="1:34" s="98" customFormat="1" ht="15" customHeight="1">
      <c r="A36" s="99"/>
      <c r="B36" s="161"/>
      <c r="C36" s="185"/>
      <c r="D36" s="687" t="s">
        <v>1720</v>
      </c>
      <c r="E36" s="687"/>
      <c r="F36" s="185"/>
      <c r="G36" s="185"/>
      <c r="H36" s="163"/>
      <c r="I36" s="164" t="s">
        <v>498</v>
      </c>
      <c r="J36" s="641">
        <f>'2.01_Opex_Cost_Matrix_C'!J344</f>
        <v>4.406709151566238</v>
      </c>
      <c r="K36" s="642">
        <f>'2.01_Opex_Cost_Matrix_C'!K344</f>
        <v>4.5123237818181803</v>
      </c>
      <c r="L36" s="642">
        <f>'2.01_Opex_Cost_Matrix_C'!L344</f>
        <v>4.793995066169856</v>
      </c>
      <c r="M36" s="642">
        <f>'2.01_Opex_Cost_Matrix_C'!M344</f>
        <v>5.1551387689012884</v>
      </c>
      <c r="N36" s="642">
        <f>'2.01_Opex_Cost_Matrix_C'!N344</f>
        <v>5.1108497917339033</v>
      </c>
      <c r="O36" s="642">
        <f>'2.01_Opex_Cost_Matrix_C'!O344</f>
        <v>4.2552555076400322</v>
      </c>
      <c r="P36" s="642">
        <f>'2.01_Opex_Cost_Matrix_C'!P344</f>
        <v>4.6113646089452738</v>
      </c>
      <c r="Q36" s="643">
        <f>'2.01_Opex_Cost_Matrix_C'!Q344</f>
        <v>4.5883077859005477</v>
      </c>
      <c r="R36" s="641">
        <f>'2.01_Opex_Cost_Matrix_C'!R344</f>
        <v>4.5653662469710454</v>
      </c>
      <c r="S36" s="642">
        <f>'2.01_Opex_Cost_Matrix_C'!S344</f>
        <v>4.54253941573619</v>
      </c>
      <c r="T36" s="642">
        <f>'2.01_Opex_Cost_Matrix_C'!T344</f>
        <v>4.5198267186575087</v>
      </c>
      <c r="U36" s="642">
        <f>'2.01_Opex_Cost_Matrix_C'!U344</f>
        <v>4.4972275850642216</v>
      </c>
      <c r="V36" s="643">
        <f>'2.01_Opex_Cost_Matrix_C'!V344</f>
        <v>4.4747414471389</v>
      </c>
    </row>
    <row r="37" spans="1:34" s="98" customFormat="1" ht="15" customHeight="1">
      <c r="A37" s="99"/>
      <c r="B37" s="161"/>
      <c r="C37" s="185"/>
      <c r="D37" s="687" t="s">
        <v>1721</v>
      </c>
      <c r="E37" s="687"/>
      <c r="F37" s="185"/>
      <c r="G37" s="185"/>
      <c r="H37" s="163"/>
      <c r="I37" s="164" t="s">
        <v>498</v>
      </c>
      <c r="J37" s="641">
        <f>'2.01_Opex_Cost_Matrix_C'!J363</f>
        <v>0</v>
      </c>
      <c r="K37" s="642">
        <f>'2.01_Opex_Cost_Matrix_C'!K363</f>
        <v>0</v>
      </c>
      <c r="L37" s="642">
        <f>'2.01_Opex_Cost_Matrix_C'!L363</f>
        <v>0</v>
      </c>
      <c r="M37" s="642">
        <f>'2.01_Opex_Cost_Matrix_C'!M363</f>
        <v>0</v>
      </c>
      <c r="N37" s="642">
        <f>'2.01_Opex_Cost_Matrix_C'!N363</f>
        <v>0</v>
      </c>
      <c r="O37" s="642">
        <f>'2.01_Opex_Cost_Matrix_C'!O363</f>
        <v>0</v>
      </c>
      <c r="P37" s="642">
        <f>'2.01_Opex_Cost_Matrix_C'!P363</f>
        <v>0</v>
      </c>
      <c r="Q37" s="643">
        <f>'2.01_Opex_Cost_Matrix_C'!Q363</f>
        <v>0</v>
      </c>
      <c r="R37" s="641">
        <f>'2.01_Opex_Cost_Matrix_C'!R363</f>
        <v>0</v>
      </c>
      <c r="S37" s="642">
        <f>'2.01_Opex_Cost_Matrix_C'!S363</f>
        <v>0</v>
      </c>
      <c r="T37" s="642">
        <f>'2.01_Opex_Cost_Matrix_C'!T363</f>
        <v>0</v>
      </c>
      <c r="U37" s="642">
        <f>'2.01_Opex_Cost_Matrix_C'!U363</f>
        <v>0</v>
      </c>
      <c r="V37" s="643">
        <f>'2.01_Opex_Cost_Matrix_C'!V363</f>
        <v>0</v>
      </c>
    </row>
    <row r="38" spans="1:34" s="98" customFormat="1" ht="15" customHeight="1">
      <c r="A38" s="99"/>
      <c r="B38" s="161"/>
      <c r="C38" s="687" t="s">
        <v>1701</v>
      </c>
      <c r="D38" s="185"/>
      <c r="E38" s="185"/>
      <c r="F38" s="687"/>
      <c r="G38" s="185"/>
      <c r="H38" s="185"/>
      <c r="I38" s="164" t="s">
        <v>498</v>
      </c>
      <c r="J38" s="710">
        <f>SUM(J30:J37)</f>
        <v>26.494657688082434</v>
      </c>
      <c r="K38" s="711">
        <f t="shared" ref="K38:V38" si="3">SUM(K30:K37)</f>
        <v>27.108160410389601</v>
      </c>
      <c r="L38" s="711">
        <f t="shared" si="3"/>
        <v>22.540513020686106</v>
      </c>
      <c r="M38" s="711">
        <f t="shared" si="3"/>
        <v>23.121498705474675</v>
      </c>
      <c r="N38" s="711">
        <f t="shared" si="3"/>
        <v>23.823574103680251</v>
      </c>
      <c r="O38" s="711">
        <f t="shared" si="3"/>
        <v>21.223681355241482</v>
      </c>
      <c r="P38" s="711">
        <f t="shared" si="3"/>
        <v>22.842997331354542</v>
      </c>
      <c r="Q38" s="712">
        <f t="shared" si="3"/>
        <v>23.153940508309816</v>
      </c>
      <c r="R38" s="710">
        <f t="shared" si="3"/>
        <v>23.056528969380313</v>
      </c>
      <c r="S38" s="711">
        <f t="shared" si="3"/>
        <v>22.959604488145462</v>
      </c>
      <c r="T38" s="711">
        <f t="shared" si="3"/>
        <v>22.863164629316781</v>
      </c>
      <c r="U38" s="711">
        <f t="shared" si="3"/>
        <v>22.767206969782244</v>
      </c>
      <c r="V38" s="712">
        <f t="shared" si="3"/>
        <v>22.671729098545377</v>
      </c>
    </row>
    <row r="39" spans="1:34" s="98" customFormat="1" ht="15" customHeight="1">
      <c r="A39" s="99"/>
      <c r="B39" s="161"/>
      <c r="C39" s="185"/>
      <c r="D39" s="687"/>
      <c r="E39" s="185"/>
      <c r="F39" s="687"/>
      <c r="G39" s="185"/>
      <c r="H39" s="185"/>
      <c r="I39" s="185"/>
      <c r="J39" s="159"/>
      <c r="K39" s="117"/>
      <c r="L39" s="117"/>
      <c r="M39" s="117"/>
      <c r="N39" s="117"/>
      <c r="O39" s="117"/>
      <c r="P39" s="117"/>
      <c r="Q39" s="160"/>
      <c r="R39" s="159"/>
      <c r="S39" s="117"/>
      <c r="T39" s="117"/>
      <c r="U39" s="117"/>
      <c r="V39" s="160"/>
    </row>
    <row r="40" spans="1:34" s="98" customFormat="1" ht="15" customHeight="1">
      <c r="A40" s="99"/>
      <c r="B40" s="161"/>
      <c r="C40" s="686" t="s">
        <v>1676</v>
      </c>
      <c r="D40" s="686"/>
      <c r="E40" s="686"/>
      <c r="F40" s="687"/>
      <c r="G40" s="691"/>
      <c r="H40" s="163"/>
      <c r="I40" s="164" t="s">
        <v>498</v>
      </c>
      <c r="J40" s="641">
        <f>'2.01_Opex_Cost_Matrix_C'!J387</f>
        <v>2.7240345725619828</v>
      </c>
      <c r="K40" s="642">
        <f>'2.01_Opex_Cost_Matrix_C'!K387</f>
        <v>2.6402833870129863</v>
      </c>
      <c r="L40" s="642">
        <f>'2.01_Opex_Cost_Matrix_C'!L387</f>
        <v>1.9578246530840888</v>
      </c>
      <c r="M40" s="642">
        <f>'2.01_Opex_Cost_Matrix_C'!M387</f>
        <v>2.0927699188849607</v>
      </c>
      <c r="N40" s="642">
        <f>'2.01_Opex_Cost_Matrix_C'!N387</f>
        <v>1.7927968787133293</v>
      </c>
      <c r="O40" s="642">
        <f>'2.01_Opex_Cost_Matrix_C'!O387</f>
        <v>2.0051969867959025</v>
      </c>
      <c r="P40" s="642">
        <f>'2.01_Opex_Cost_Matrix_C'!P387</f>
        <v>2.7926197123801701</v>
      </c>
      <c r="Q40" s="643">
        <f>'2.01_Opex_Cost_Matrix_C'!Q387</f>
        <v>3.6810912123801702</v>
      </c>
      <c r="R40" s="641">
        <f>'2.01_Opex_Cost_Matrix_C'!R387</f>
        <v>3.7481287123801703</v>
      </c>
      <c r="S40" s="642">
        <f>'2.01_Opex_Cost_Matrix_C'!S387</f>
        <v>3.5215662123801703</v>
      </c>
      <c r="T40" s="642">
        <f>'2.01_Opex_Cost_Matrix_C'!T387</f>
        <v>3.4841742123801698</v>
      </c>
      <c r="U40" s="642">
        <f>'2.01_Opex_Cost_Matrix_C'!U387</f>
        <v>3.5215662123801703</v>
      </c>
      <c r="V40" s="643">
        <f>'2.01_Opex_Cost_Matrix_C'!V387</f>
        <v>3.46617421238017</v>
      </c>
    </row>
    <row r="41" spans="1:34" s="98" customFormat="1" ht="15" customHeight="1">
      <c r="A41" s="99"/>
      <c r="B41" s="161"/>
      <c r="C41" s="185"/>
      <c r="D41" s="687"/>
      <c r="E41" s="185"/>
      <c r="F41" s="687"/>
      <c r="G41" s="185"/>
      <c r="H41" s="185"/>
      <c r="I41" s="185"/>
      <c r="J41" s="159"/>
      <c r="K41" s="117"/>
      <c r="L41" s="117"/>
      <c r="M41" s="117"/>
      <c r="N41" s="117"/>
      <c r="O41" s="117"/>
      <c r="P41" s="117"/>
      <c r="Q41" s="160"/>
      <c r="R41" s="159"/>
      <c r="S41" s="117"/>
      <c r="T41" s="117"/>
      <c r="U41" s="117"/>
      <c r="V41" s="160"/>
    </row>
    <row r="42" spans="1:34" ht="15">
      <c r="B42" s="161" t="s">
        <v>1722</v>
      </c>
      <c r="C42" s="616"/>
      <c r="D42" s="185"/>
      <c r="E42" s="687"/>
      <c r="F42" s="185"/>
      <c r="G42" s="185"/>
      <c r="H42" s="163"/>
      <c r="I42" s="522" t="s">
        <v>498</v>
      </c>
      <c r="J42" s="710">
        <f>SUM(J27,J38,J40)</f>
        <v>93.258897860176745</v>
      </c>
      <c r="K42" s="125">
        <f t="shared" ref="K42:V42" si="4">SUM(K27,K38,K40)</f>
        <v>92.915668729029051</v>
      </c>
      <c r="L42" s="125">
        <f t="shared" si="4"/>
        <v>87.419624168227315</v>
      </c>
      <c r="M42" s="125">
        <f t="shared" si="4"/>
        <v>87.910841864084105</v>
      </c>
      <c r="N42" s="125">
        <f t="shared" si="4"/>
        <v>85.69894340633148</v>
      </c>
      <c r="O42" s="125">
        <f t="shared" si="4"/>
        <v>82.128009169091683</v>
      </c>
      <c r="P42" s="125">
        <f t="shared" si="4"/>
        <v>88.435790204207464</v>
      </c>
      <c r="Q42" s="125">
        <f t="shared" si="4"/>
        <v>88.167193834142935</v>
      </c>
      <c r="R42" s="125">
        <f t="shared" si="4"/>
        <v>90.871059159531043</v>
      </c>
      <c r="S42" s="125">
        <f t="shared" si="4"/>
        <v>89.708370612338584</v>
      </c>
      <c r="T42" s="125">
        <f t="shared" si="4"/>
        <v>89.135402202351941</v>
      </c>
      <c r="U42" s="125">
        <f t="shared" si="4"/>
        <v>87.910240404783153</v>
      </c>
      <c r="V42" s="126">
        <f t="shared" si="4"/>
        <v>87.67583048633</v>
      </c>
      <c r="AH42" s="173"/>
    </row>
    <row r="43" spans="1:34" ht="15">
      <c r="B43" s="161"/>
      <c r="C43" s="185"/>
      <c r="D43" s="686"/>
      <c r="E43" s="687"/>
      <c r="F43" s="687"/>
      <c r="G43" s="185"/>
      <c r="H43" s="163"/>
      <c r="I43" s="117"/>
      <c r="J43" s="713"/>
      <c r="K43" s="714"/>
      <c r="L43" s="714"/>
      <c r="M43" s="714"/>
      <c r="N43" s="714"/>
      <c r="O43" s="714"/>
      <c r="P43" s="714"/>
      <c r="Q43" s="715"/>
      <c r="R43" s="716"/>
      <c r="S43" s="714"/>
      <c r="T43" s="714"/>
      <c r="U43" s="714"/>
      <c r="V43" s="715"/>
      <c r="AH43" s="173"/>
    </row>
    <row r="44" spans="1:34" s="98" customFormat="1" ht="15" customHeight="1">
      <c r="A44" s="99"/>
      <c r="B44" s="161"/>
      <c r="C44" s="616" t="s">
        <v>1723</v>
      </c>
      <c r="D44" s="686"/>
      <c r="E44" s="687"/>
      <c r="F44" s="185"/>
      <c r="G44" s="185"/>
      <c r="H44" s="163"/>
      <c r="I44" s="117"/>
      <c r="J44" s="159"/>
      <c r="K44" s="163"/>
      <c r="L44" s="163"/>
      <c r="M44" s="163"/>
      <c r="N44" s="163"/>
      <c r="O44" s="163"/>
      <c r="P44" s="163"/>
      <c r="Q44" s="160"/>
      <c r="R44" s="171"/>
      <c r="S44" s="163"/>
      <c r="T44" s="163"/>
      <c r="U44" s="163"/>
      <c r="V44" s="160"/>
    </row>
    <row r="45" spans="1:34" s="98" customFormat="1" ht="15" customHeight="1">
      <c r="A45" s="99"/>
      <c r="B45" s="161"/>
      <c r="C45" s="185"/>
      <c r="D45" s="687" t="s">
        <v>1724</v>
      </c>
      <c r="E45" s="687"/>
      <c r="F45" s="185"/>
      <c r="G45" s="185"/>
      <c r="H45" s="163"/>
      <c r="I45" s="164" t="s">
        <v>498</v>
      </c>
      <c r="J45" s="641">
        <f>'2.01_Opex_Cost_Matrix_C'!J411</f>
        <v>0.49283533012024633</v>
      </c>
      <c r="K45" s="642">
        <f>'2.01_Opex_Cost_Matrix_C'!K411</f>
        <v>0.68214679480519469</v>
      </c>
      <c r="L45" s="642">
        <f>'2.01_Opex_Cost_Matrix_C'!L411</f>
        <v>0.10701856867531798</v>
      </c>
      <c r="M45" s="642">
        <f>'2.01_Opex_Cost_Matrix_C'!M411</f>
        <v>0.4262166251876075</v>
      </c>
      <c r="N45" s="642">
        <f>'2.01_Opex_Cost_Matrix_C'!N411</f>
        <v>0.10121555555674976</v>
      </c>
      <c r="O45" s="642">
        <f>'2.01_Opex_Cost_Matrix_C'!O411</f>
        <v>0.25046922312862824</v>
      </c>
      <c r="P45" s="642">
        <f>'2.01_Opex_Cost_Matrix_C'!P411</f>
        <v>0.25046922312862824</v>
      </c>
      <c r="Q45" s="643">
        <f>'2.01_Opex_Cost_Matrix_C'!Q411</f>
        <v>0.25046922312862824</v>
      </c>
      <c r="R45" s="641">
        <f>'2.01_Opex_Cost_Matrix_C'!R411</f>
        <v>0.25046922312862824</v>
      </c>
      <c r="S45" s="642">
        <f>'2.01_Opex_Cost_Matrix_C'!S411</f>
        <v>0.25046922312862824</v>
      </c>
      <c r="T45" s="642">
        <f>'2.01_Opex_Cost_Matrix_C'!T411</f>
        <v>0.25046922312862824</v>
      </c>
      <c r="U45" s="642">
        <f>'2.01_Opex_Cost_Matrix_C'!U411</f>
        <v>0.25046922312862824</v>
      </c>
      <c r="V45" s="643">
        <f>'2.01_Opex_Cost_Matrix_C'!V411</f>
        <v>0.25046922312862824</v>
      </c>
    </row>
    <row r="46" spans="1:34" s="98" customFormat="1" ht="15" customHeight="1">
      <c r="A46" s="99"/>
      <c r="B46" s="161"/>
      <c r="C46" s="185"/>
      <c r="D46" s="687" t="s">
        <v>1725</v>
      </c>
      <c r="E46" s="687"/>
      <c r="F46" s="185"/>
      <c r="G46" s="185"/>
      <c r="H46" s="163"/>
      <c r="I46" s="164" t="s">
        <v>498</v>
      </c>
      <c r="J46" s="641">
        <f>'2.01_Opex_Cost_Matrix_C'!J430</f>
        <v>0.26574002965046289</v>
      </c>
      <c r="K46" s="642">
        <f>'2.01_Opex_Cost_Matrix_C'!K430</f>
        <v>0.16998479999999994</v>
      </c>
      <c r="L46" s="642">
        <f>'2.01_Opex_Cost_Matrix_C'!L430</f>
        <v>0.1681720364897854</v>
      </c>
      <c r="M46" s="642">
        <f>'2.01_Opex_Cost_Matrix_C'!M430</f>
        <v>0.19500062416082942</v>
      </c>
      <c r="N46" s="642">
        <f>'2.01_Opex_Cost_Matrix_C'!N430</f>
        <v>0.15533341408097365</v>
      </c>
      <c r="O46" s="642">
        <f>'2.01_Opex_Cost_Matrix_C'!O430</f>
        <v>0.15214017964627224</v>
      </c>
      <c r="P46" s="642">
        <f>'2.01_Opex_Cost_Matrix_C'!P430</f>
        <v>0.15214017964627224</v>
      </c>
      <c r="Q46" s="643">
        <f>'2.01_Opex_Cost_Matrix_C'!Q430</f>
        <v>0.15214017964627224</v>
      </c>
      <c r="R46" s="641">
        <f>'2.01_Opex_Cost_Matrix_C'!R430</f>
        <v>0.15214017964627224</v>
      </c>
      <c r="S46" s="642">
        <f>'2.01_Opex_Cost_Matrix_C'!S430</f>
        <v>0.15214017964627224</v>
      </c>
      <c r="T46" s="642">
        <f>'2.01_Opex_Cost_Matrix_C'!T430</f>
        <v>0.15214017964627224</v>
      </c>
      <c r="U46" s="642">
        <f>'2.01_Opex_Cost_Matrix_C'!U430</f>
        <v>0.15214017964627224</v>
      </c>
      <c r="V46" s="643">
        <f>'2.01_Opex_Cost_Matrix_C'!V430</f>
        <v>0.15214017964627224</v>
      </c>
    </row>
    <row r="47" spans="1:34" s="98" customFormat="1" ht="15" customHeight="1">
      <c r="A47" s="99"/>
      <c r="B47" s="161"/>
      <c r="C47" s="185"/>
      <c r="D47" s="687" t="s">
        <v>1726</v>
      </c>
      <c r="E47" s="185"/>
      <c r="F47" s="185"/>
      <c r="G47" s="185"/>
      <c r="H47" s="163"/>
      <c r="I47" s="164" t="s">
        <v>498</v>
      </c>
      <c r="J47" s="641">
        <f>'2.01_Opex_Cost_Matrix_C'!J449</f>
        <v>0.36730727015065456</v>
      </c>
      <c r="K47" s="642">
        <f>'2.01_Opex_Cost_Matrix_C'!K449</f>
        <v>0.6523442649350647</v>
      </c>
      <c r="L47" s="642">
        <f>'2.01_Opex_Cost_Matrix_C'!L449</f>
        <v>0.51106826673519201</v>
      </c>
      <c r="M47" s="642">
        <f>'2.01_Opex_Cost_Matrix_C'!M449</f>
        <v>0.26881721121135493</v>
      </c>
      <c r="N47" s="642">
        <f>'2.01_Opex_Cost_Matrix_C'!N449</f>
        <v>0.36480629172008011</v>
      </c>
      <c r="O47" s="642">
        <f>'2.01_Opex_Cost_Matrix_C'!O449</f>
        <v>0.31858089909845677</v>
      </c>
      <c r="P47" s="642">
        <f>'2.01_Opex_Cost_Matrix_C'!P449</f>
        <v>0.31858089909845677</v>
      </c>
      <c r="Q47" s="643">
        <f>'2.01_Opex_Cost_Matrix_C'!Q449</f>
        <v>0.31858089909845677</v>
      </c>
      <c r="R47" s="641">
        <f>'2.01_Opex_Cost_Matrix_C'!R449</f>
        <v>0.31858089909845677</v>
      </c>
      <c r="S47" s="642">
        <f>'2.01_Opex_Cost_Matrix_C'!S449</f>
        <v>0.31858089909845677</v>
      </c>
      <c r="T47" s="642">
        <f>'2.01_Opex_Cost_Matrix_C'!T449</f>
        <v>0.31858089909845677</v>
      </c>
      <c r="U47" s="642">
        <f>'2.01_Opex_Cost_Matrix_C'!U449</f>
        <v>0.31858089909845677</v>
      </c>
      <c r="V47" s="643">
        <f>'2.01_Opex_Cost_Matrix_C'!V449</f>
        <v>0.31858089909845677</v>
      </c>
    </row>
    <row r="48" spans="1:34" s="98" customFormat="1" ht="15" customHeight="1">
      <c r="A48" s="99"/>
      <c r="B48" s="161"/>
      <c r="C48" s="185"/>
      <c r="D48" s="687" t="s">
        <v>1727</v>
      </c>
      <c r="E48" s="687"/>
      <c r="F48" s="185"/>
      <c r="G48" s="185"/>
      <c r="H48" s="163"/>
      <c r="I48" s="164" t="s">
        <v>498</v>
      </c>
      <c r="J48" s="641">
        <f>'2.01_Opex_Cost_Matrix_C'!J468</f>
        <v>0</v>
      </c>
      <c r="K48" s="642">
        <f>'2.01_Opex_Cost_Matrix_C'!K468</f>
        <v>0</v>
      </c>
      <c r="L48" s="642">
        <f>'2.01_Opex_Cost_Matrix_C'!L468</f>
        <v>0</v>
      </c>
      <c r="M48" s="642">
        <f>'2.01_Opex_Cost_Matrix_C'!M468</f>
        <v>0</v>
      </c>
      <c r="N48" s="642">
        <f>'2.01_Opex_Cost_Matrix_C'!N468</f>
        <v>0</v>
      </c>
      <c r="O48" s="642">
        <f>'2.01_Opex_Cost_Matrix_C'!O468</f>
        <v>0</v>
      </c>
      <c r="P48" s="642">
        <f>'2.01_Opex_Cost_Matrix_C'!P468</f>
        <v>0</v>
      </c>
      <c r="Q48" s="643">
        <f>'2.01_Opex_Cost_Matrix_C'!Q468</f>
        <v>0</v>
      </c>
      <c r="R48" s="641">
        <f>'2.01_Opex_Cost_Matrix_C'!R468</f>
        <v>0</v>
      </c>
      <c r="S48" s="642">
        <f>'2.01_Opex_Cost_Matrix_C'!S468</f>
        <v>0</v>
      </c>
      <c r="T48" s="642">
        <f>'2.01_Opex_Cost_Matrix_C'!T468</f>
        <v>0</v>
      </c>
      <c r="U48" s="642">
        <f>'2.01_Opex_Cost_Matrix_C'!U468</f>
        <v>0</v>
      </c>
      <c r="V48" s="643">
        <f>'2.01_Opex_Cost_Matrix_C'!V468</f>
        <v>0</v>
      </c>
    </row>
    <row r="49" spans="1:34" s="98" customFormat="1" ht="15" customHeight="1">
      <c r="A49" s="99"/>
      <c r="B49" s="161"/>
      <c r="C49" s="687" t="s">
        <v>1710</v>
      </c>
      <c r="D49" s="185"/>
      <c r="E49" s="185"/>
      <c r="F49" s="687"/>
      <c r="G49" s="185"/>
      <c r="H49" s="185"/>
      <c r="I49" s="164" t="s">
        <v>498</v>
      </c>
      <c r="J49" s="710">
        <f>SUM(J45:J48)</f>
        <v>1.1258826299213638</v>
      </c>
      <c r="K49" s="711">
        <f t="shared" ref="K49:V49" si="5">SUM(K45:K48)</f>
        <v>1.5044758597402592</v>
      </c>
      <c r="L49" s="711">
        <f t="shared" si="5"/>
        <v>0.78625887190029542</v>
      </c>
      <c r="M49" s="711">
        <f t="shared" si="5"/>
        <v>0.89003446055979185</v>
      </c>
      <c r="N49" s="711">
        <f t="shared" si="5"/>
        <v>0.6213552613578035</v>
      </c>
      <c r="O49" s="711">
        <f t="shared" si="5"/>
        <v>0.7211903018733572</v>
      </c>
      <c r="P49" s="711">
        <f t="shared" si="5"/>
        <v>0.7211903018733572</v>
      </c>
      <c r="Q49" s="712">
        <f t="shared" si="5"/>
        <v>0.7211903018733572</v>
      </c>
      <c r="R49" s="710">
        <f t="shared" si="5"/>
        <v>0.7211903018733572</v>
      </c>
      <c r="S49" s="711">
        <f t="shared" si="5"/>
        <v>0.7211903018733572</v>
      </c>
      <c r="T49" s="711">
        <f t="shared" si="5"/>
        <v>0.7211903018733572</v>
      </c>
      <c r="U49" s="711">
        <f t="shared" si="5"/>
        <v>0.7211903018733572</v>
      </c>
      <c r="V49" s="712">
        <f t="shared" si="5"/>
        <v>0.7211903018733572</v>
      </c>
    </row>
    <row r="50" spans="1:34" s="98" customFormat="1" ht="15" customHeight="1">
      <c r="A50" s="99"/>
      <c r="B50" s="161"/>
      <c r="C50" s="185"/>
      <c r="D50" s="687"/>
      <c r="E50" s="185"/>
      <c r="F50" s="687"/>
      <c r="G50" s="185"/>
      <c r="H50" s="185"/>
      <c r="I50" s="185"/>
      <c r="J50" s="159"/>
      <c r="K50" s="117"/>
      <c r="L50" s="117"/>
      <c r="M50" s="117"/>
      <c r="N50" s="117"/>
      <c r="O50" s="117"/>
      <c r="P50" s="117"/>
      <c r="Q50" s="160"/>
      <c r="R50" s="159"/>
      <c r="S50" s="117"/>
      <c r="T50" s="117"/>
      <c r="U50" s="117"/>
      <c r="V50" s="160"/>
    </row>
    <row r="51" spans="1:34" s="98" customFormat="1" ht="15" customHeight="1">
      <c r="A51" s="99"/>
      <c r="B51" s="161"/>
      <c r="C51" s="687" t="s">
        <v>1728</v>
      </c>
      <c r="D51" s="686"/>
      <c r="E51" s="686"/>
      <c r="F51" s="687"/>
      <c r="G51" s="691"/>
      <c r="H51" s="163"/>
      <c r="I51" s="164" t="s">
        <v>498</v>
      </c>
      <c r="J51" s="641">
        <f>'2.01_Opex_Cost_Matrix_C'!J507</f>
        <v>0</v>
      </c>
      <c r="K51" s="642">
        <f>'2.01_Opex_Cost_Matrix_C'!K507</f>
        <v>0</v>
      </c>
      <c r="L51" s="642">
        <f>'2.01_Opex_Cost_Matrix_C'!L507</f>
        <v>0</v>
      </c>
      <c r="M51" s="642">
        <f>'2.01_Opex_Cost_Matrix_C'!M507</f>
        <v>0</v>
      </c>
      <c r="N51" s="642">
        <f>'2.01_Opex_Cost_Matrix_C'!N507</f>
        <v>0</v>
      </c>
      <c r="O51" s="642">
        <f>'2.01_Opex_Cost_Matrix_C'!O507</f>
        <v>0</v>
      </c>
      <c r="P51" s="642">
        <f>'2.01_Opex_Cost_Matrix_C'!P507</f>
        <v>0</v>
      </c>
      <c r="Q51" s="643">
        <f>'2.01_Opex_Cost_Matrix_C'!Q507</f>
        <v>0</v>
      </c>
      <c r="R51" s="641">
        <f>'2.01_Opex_Cost_Matrix_C'!R507</f>
        <v>0</v>
      </c>
      <c r="S51" s="642">
        <f>'2.01_Opex_Cost_Matrix_C'!S507</f>
        <v>0</v>
      </c>
      <c r="T51" s="642">
        <f>'2.01_Opex_Cost_Matrix_C'!T507</f>
        <v>0</v>
      </c>
      <c r="U51" s="642">
        <f>'2.01_Opex_Cost_Matrix_C'!U507</f>
        <v>0</v>
      </c>
      <c r="V51" s="643">
        <f>'2.01_Opex_Cost_Matrix_C'!V507</f>
        <v>0</v>
      </c>
    </row>
    <row r="52" spans="1:34" s="98" customFormat="1" ht="15" customHeight="1">
      <c r="A52" s="99"/>
      <c r="B52" s="161"/>
      <c r="C52" s="185"/>
      <c r="D52" s="687"/>
      <c r="E52" s="185"/>
      <c r="F52" s="687"/>
      <c r="G52" s="185"/>
      <c r="H52" s="185"/>
      <c r="I52" s="185"/>
      <c r="J52" s="159"/>
      <c r="K52" s="117"/>
      <c r="L52" s="117"/>
      <c r="M52" s="117"/>
      <c r="N52" s="117"/>
      <c r="O52" s="117"/>
      <c r="P52" s="117"/>
      <c r="Q52" s="160"/>
      <c r="R52" s="159"/>
      <c r="S52" s="117"/>
      <c r="T52" s="117"/>
      <c r="U52" s="117"/>
      <c r="V52" s="160"/>
    </row>
    <row r="53" spans="1:34" ht="15.75" thickBot="1">
      <c r="B53" s="191" t="s">
        <v>1729</v>
      </c>
      <c r="C53" s="654"/>
      <c r="D53" s="192"/>
      <c r="E53" s="692"/>
      <c r="F53" s="192"/>
      <c r="G53" s="192"/>
      <c r="H53" s="194"/>
      <c r="I53" s="195" t="s">
        <v>498</v>
      </c>
      <c r="J53" s="148">
        <f>SUM(J42,J49,J51)</f>
        <v>94.384780490098109</v>
      </c>
      <c r="K53" s="147">
        <f t="shared" ref="K53:V53" si="6">SUM(K42,K49,K51)</f>
        <v>94.420144588769304</v>
      </c>
      <c r="L53" s="147">
        <f t="shared" si="6"/>
        <v>88.205883040127617</v>
      </c>
      <c r="M53" s="147">
        <f t="shared" si="6"/>
        <v>88.800876324643895</v>
      </c>
      <c r="N53" s="147">
        <f t="shared" si="6"/>
        <v>86.320298667689286</v>
      </c>
      <c r="O53" s="147">
        <f t="shared" si="6"/>
        <v>82.849199470965047</v>
      </c>
      <c r="P53" s="147">
        <f t="shared" si="6"/>
        <v>89.156980506080828</v>
      </c>
      <c r="Q53" s="149">
        <f t="shared" si="6"/>
        <v>88.888384136016299</v>
      </c>
      <c r="R53" s="148">
        <f t="shared" si="6"/>
        <v>91.592249461404407</v>
      </c>
      <c r="S53" s="147">
        <f t="shared" si="6"/>
        <v>90.429560914211947</v>
      </c>
      <c r="T53" s="147">
        <f t="shared" si="6"/>
        <v>89.856592504225304</v>
      </c>
      <c r="U53" s="147">
        <f t="shared" si="6"/>
        <v>88.631430706656516</v>
      </c>
      <c r="V53" s="149">
        <f t="shared" si="6"/>
        <v>88.397020788203363</v>
      </c>
      <c r="AH53" s="173"/>
    </row>
    <row r="54" spans="1:34" s="98" customFormat="1" ht="15" customHeight="1" thickBot="1">
      <c r="A54" s="162"/>
      <c r="B54" s="162"/>
      <c r="C54" s="162"/>
      <c r="D54" s="185"/>
      <c r="E54" s="162"/>
      <c r="F54" s="185"/>
      <c r="G54" s="185"/>
      <c r="H54" s="163"/>
      <c r="I54" s="185"/>
      <c r="J54" s="185"/>
      <c r="K54" s="185"/>
      <c r="L54" s="185"/>
      <c r="M54" s="185"/>
      <c r="N54" s="185"/>
      <c r="O54" s="185"/>
      <c r="P54" s="185"/>
      <c r="Q54" s="185"/>
      <c r="R54" s="185"/>
      <c r="S54" s="185"/>
      <c r="T54" s="185"/>
      <c r="U54" s="163"/>
      <c r="V54" s="163"/>
    </row>
    <row r="55" spans="1:34" s="100" customFormat="1" ht="30" customHeight="1" thickBot="1">
      <c r="A55" s="89"/>
      <c r="B55" s="680" t="s">
        <v>1730</v>
      </c>
      <c r="C55" s="681"/>
      <c r="D55" s="681"/>
      <c r="E55" s="681"/>
      <c r="F55" s="681"/>
      <c r="G55" s="682"/>
      <c r="H55" s="103"/>
      <c r="I55" s="105" t="s">
        <v>1704</v>
      </c>
      <c r="J55" s="106"/>
      <c r="K55" s="106"/>
      <c r="L55" s="106"/>
      <c r="M55" s="106"/>
      <c r="N55" s="106"/>
      <c r="O55" s="106"/>
      <c r="P55" s="106"/>
      <c r="Q55" s="106"/>
      <c r="R55" s="105"/>
      <c r="S55" s="105"/>
      <c r="T55" s="105"/>
      <c r="U55" s="105"/>
      <c r="V55" s="187"/>
    </row>
    <row r="56" spans="1:34" s="157" customFormat="1" ht="30" customHeight="1">
      <c r="A56" s="99"/>
      <c r="B56" s="704"/>
      <c r="C56" s="705"/>
      <c r="D56" s="705"/>
      <c r="E56" s="705"/>
      <c r="F56" s="705"/>
      <c r="G56" s="685"/>
      <c r="H56" s="111"/>
      <c r="I56" s="117"/>
      <c r="J56" s="695" t="s">
        <v>1666</v>
      </c>
      <c r="K56" s="706"/>
      <c r="L56" s="706"/>
      <c r="M56" s="706"/>
      <c r="N56" s="706"/>
      <c r="O56" s="706"/>
      <c r="P56" s="706"/>
      <c r="Q56" s="707"/>
      <c r="R56" s="696" t="s">
        <v>2</v>
      </c>
      <c r="S56" s="708"/>
      <c r="T56" s="708"/>
      <c r="U56" s="708"/>
      <c r="V56" s="709"/>
    </row>
    <row r="57" spans="1:34" s="98" customFormat="1" ht="15" customHeight="1">
      <c r="A57" s="99"/>
      <c r="B57" s="683"/>
      <c r="C57" s="185"/>
      <c r="D57" s="684"/>
      <c r="E57" s="684"/>
      <c r="F57" s="684"/>
      <c r="G57" s="685"/>
      <c r="H57" s="117"/>
      <c r="I57" s="119" t="s">
        <v>1667</v>
      </c>
      <c r="J57" s="158" t="s">
        <v>453</v>
      </c>
      <c r="K57" s="137" t="s">
        <v>455</v>
      </c>
      <c r="L57" s="137" t="s">
        <v>457</v>
      </c>
      <c r="M57" s="137" t="s">
        <v>459</v>
      </c>
      <c r="N57" s="137" t="s">
        <v>461</v>
      </c>
      <c r="O57" s="137" t="s">
        <v>463</v>
      </c>
      <c r="P57" s="137" t="s">
        <v>465</v>
      </c>
      <c r="Q57" s="138" t="s">
        <v>467</v>
      </c>
      <c r="R57" s="120" t="s">
        <v>469</v>
      </c>
      <c r="S57" s="121" t="s">
        <v>471</v>
      </c>
      <c r="T57" s="121" t="s">
        <v>473</v>
      </c>
      <c r="U57" s="121" t="s">
        <v>475</v>
      </c>
      <c r="V57" s="122" t="s">
        <v>477</v>
      </c>
    </row>
    <row r="58" spans="1:34" s="98" customFormat="1" ht="15" customHeight="1">
      <c r="A58" s="99"/>
      <c r="B58" s="683"/>
      <c r="C58" s="684" t="s">
        <v>1731</v>
      </c>
      <c r="D58" s="684"/>
      <c r="E58" s="684"/>
      <c r="F58" s="684"/>
      <c r="G58" s="685"/>
      <c r="H58" s="117"/>
      <c r="I58" s="92"/>
      <c r="J58" s="619"/>
      <c r="K58" s="92"/>
      <c r="L58" s="92"/>
      <c r="M58" s="92"/>
      <c r="N58" s="92"/>
      <c r="O58" s="92"/>
      <c r="P58" s="92"/>
      <c r="Q58" s="618"/>
      <c r="R58" s="619"/>
      <c r="S58" s="92"/>
      <c r="T58" s="92"/>
      <c r="U58" s="92"/>
      <c r="V58" s="618"/>
    </row>
    <row r="59" spans="1:34" s="98" customFormat="1" ht="15" customHeight="1">
      <c r="A59" s="99"/>
      <c r="B59" s="161"/>
      <c r="C59" s="185"/>
      <c r="D59" s="162" t="s">
        <v>54</v>
      </c>
      <c r="E59" s="687"/>
      <c r="F59" s="687"/>
      <c r="G59" s="687"/>
      <c r="H59" s="185"/>
      <c r="I59" s="164" t="s">
        <v>498</v>
      </c>
      <c r="J59" s="641">
        <f>'2.02_Opex_Cost_Matrix_NC'!J12</f>
        <v>9.6815551309763848</v>
      </c>
      <c r="K59" s="642">
        <f>'2.02_Opex_Cost_Matrix_NC'!K12</f>
        <v>6.9401562211149486</v>
      </c>
      <c r="L59" s="642">
        <f>'2.02_Opex_Cost_Matrix_NC'!L12</f>
        <v>5.4770473045426105</v>
      </c>
      <c r="M59" s="642">
        <f>'2.02_Opex_Cost_Matrix_NC'!M12</f>
        <v>5.0092350911146282</v>
      </c>
      <c r="N59" s="642">
        <f>'2.02_Opex_Cost_Matrix_NC'!N12</f>
        <v>5.220360621008739</v>
      </c>
      <c r="O59" s="642">
        <f>'2.02_Opex_Cost_Matrix_NC'!O12</f>
        <v>5.8186084900000097</v>
      </c>
      <c r="P59" s="642">
        <f>'2.02_Opex_Cost_Matrix_NC'!P12</f>
        <v>5.7225254458266921</v>
      </c>
      <c r="Q59" s="643">
        <f>'2.02_Opex_Cost_Matrix_NC'!Q12</f>
        <v>5.5962734254435595</v>
      </c>
      <c r="R59" s="641">
        <f>'2.02_Opex_Cost_Matrix_NC'!R12</f>
        <v>5.2882044854148607</v>
      </c>
      <c r="S59" s="642">
        <f>'2.02_Opex_Cost_Matrix_NC'!S12</f>
        <v>5.0404825942723619</v>
      </c>
      <c r="T59" s="642">
        <f>'2.02_Opex_Cost_Matrix_NC'!T12</f>
        <v>4.8052520178918448</v>
      </c>
      <c r="U59" s="642">
        <f>'2.02_Opex_Cost_Matrix_NC'!U12</f>
        <v>4.5679175885932422</v>
      </c>
      <c r="V59" s="643">
        <f>'2.02_Opex_Cost_Matrix_NC'!V12</f>
        <v>4.3193049509041117</v>
      </c>
    </row>
    <row r="60" spans="1:34" s="98" customFormat="1" ht="15" customHeight="1">
      <c r="A60" s="99"/>
      <c r="B60" s="161"/>
      <c r="C60" s="185"/>
      <c r="D60" s="162" t="s">
        <v>1732</v>
      </c>
      <c r="E60" s="687"/>
      <c r="F60" s="687"/>
      <c r="G60" s="687"/>
      <c r="H60" s="185"/>
      <c r="I60" s="164" t="s">
        <v>498</v>
      </c>
      <c r="J60" s="641">
        <f>'2.02_Opex_Cost_Matrix_NC'!J13</f>
        <v>1.6677367213376073</v>
      </c>
      <c r="K60" s="642">
        <f>'2.02_Opex_Cost_Matrix_NC'!K13</f>
        <v>1.7329619220779215</v>
      </c>
      <c r="L60" s="642">
        <f>'2.02_Opex_Cost_Matrix_NC'!L13</f>
        <v>1.7275854657587046</v>
      </c>
      <c r="M60" s="642">
        <f>'2.02_Opex_Cost_Matrix_NC'!M13</f>
        <v>1.459363564258543</v>
      </c>
      <c r="N60" s="642">
        <f>'2.02_Opex_Cost_Matrix_NC'!N13</f>
        <v>1.8442474518508007</v>
      </c>
      <c r="O60" s="642">
        <f>'2.02_Opex_Cost_Matrix_NC'!O13</f>
        <v>1.8442474518508007</v>
      </c>
      <c r="P60" s="642">
        <f>'2.02_Opex_Cost_Matrix_NC'!P13</f>
        <v>1.8442474518508007</v>
      </c>
      <c r="Q60" s="643">
        <f>'2.02_Opex_Cost_Matrix_NC'!Q13</f>
        <v>1.8442474518508007</v>
      </c>
      <c r="R60" s="641">
        <f>'2.02_Opex_Cost_Matrix_NC'!R13</f>
        <v>1.8442474518508007</v>
      </c>
      <c r="S60" s="642">
        <f>'2.02_Opex_Cost_Matrix_NC'!S13</f>
        <v>1.8442474518508007</v>
      </c>
      <c r="T60" s="642">
        <f>'2.02_Opex_Cost_Matrix_NC'!T13</f>
        <v>1.8442474518508007</v>
      </c>
      <c r="U60" s="642">
        <f>'2.02_Opex_Cost_Matrix_NC'!U13</f>
        <v>1.8442474518508007</v>
      </c>
      <c r="V60" s="643">
        <f>'2.02_Opex_Cost_Matrix_NC'!V13</f>
        <v>1.8442474518508007</v>
      </c>
    </row>
    <row r="61" spans="1:34" s="98" customFormat="1" ht="15" customHeight="1">
      <c r="A61" s="99"/>
      <c r="B61" s="161"/>
      <c r="C61" s="185"/>
      <c r="D61" s="162" t="s">
        <v>1733</v>
      </c>
      <c r="E61" s="687"/>
      <c r="F61" s="687"/>
      <c r="G61" s="687"/>
      <c r="H61" s="185"/>
      <c r="I61" s="164" t="s">
        <v>498</v>
      </c>
      <c r="J61" s="641">
        <f>'2.02_Opex_Cost_Matrix_NC'!J14</f>
        <v>39.773855610158371</v>
      </c>
      <c r="K61" s="642">
        <f>'2.02_Opex_Cost_Matrix_NC'!K14</f>
        <v>39.919936862337643</v>
      </c>
      <c r="L61" s="642">
        <f>'2.02_Opex_Cost_Matrix_NC'!L14</f>
        <v>40.396233596299616</v>
      </c>
      <c r="M61" s="642">
        <f>'2.02_Opex_Cost_Matrix_NC'!M14</f>
        <v>39.869479224218075</v>
      </c>
      <c r="N61" s="642">
        <f>'2.02_Opex_Cost_Matrix_NC'!N14</f>
        <v>44.033172797503155</v>
      </c>
      <c r="O61" s="642">
        <f>'2.02_Opex_Cost_Matrix_NC'!O14</f>
        <v>44.033172797503155</v>
      </c>
      <c r="P61" s="642">
        <f>'2.02_Opex_Cost_Matrix_NC'!P14</f>
        <v>44.033172797503155</v>
      </c>
      <c r="Q61" s="643">
        <f>'2.02_Opex_Cost_Matrix_NC'!Q14</f>
        <v>44.033172797503155</v>
      </c>
      <c r="R61" s="641">
        <f>'2.02_Opex_Cost_Matrix_NC'!R14</f>
        <v>44.033172797503155</v>
      </c>
      <c r="S61" s="642">
        <f>'2.02_Opex_Cost_Matrix_NC'!S14</f>
        <v>44.033172797503155</v>
      </c>
      <c r="T61" s="642">
        <f>'2.02_Opex_Cost_Matrix_NC'!T14</f>
        <v>44.033172797503155</v>
      </c>
      <c r="U61" s="642">
        <f>'2.02_Opex_Cost_Matrix_NC'!U14</f>
        <v>44.033172797503155</v>
      </c>
      <c r="V61" s="643">
        <f>'2.02_Opex_Cost_Matrix_NC'!V14</f>
        <v>44.033172797503155</v>
      </c>
    </row>
    <row r="62" spans="1:34" s="98" customFormat="1" ht="15" customHeight="1">
      <c r="A62" s="99"/>
      <c r="B62" s="161"/>
      <c r="C62" s="185"/>
      <c r="D62" s="162" t="s">
        <v>1734</v>
      </c>
      <c r="E62" s="687"/>
      <c r="F62" s="687"/>
      <c r="G62" s="687"/>
      <c r="H62" s="185"/>
      <c r="I62" s="164" t="s">
        <v>498</v>
      </c>
      <c r="J62" s="641">
        <f>'2.02_Opex_Cost_Matrix_NC'!J15</f>
        <v>8.778358022190174</v>
      </c>
      <c r="K62" s="642">
        <f>'2.02_Opex_Cost_Matrix_NC'!K15</f>
        <v>8.8568703584415545</v>
      </c>
      <c r="L62" s="642">
        <f>'2.02_Opex_Cost_Matrix_NC'!L15</f>
        <v>9.3521124707696242</v>
      </c>
      <c r="M62" s="642">
        <f>'2.02_Opex_Cost_Matrix_NC'!M15</f>
        <v>29.781380751117005</v>
      </c>
      <c r="N62" s="642">
        <f>'2.02_Opex_Cost_Matrix_NC'!N15</f>
        <v>11.130001309529005</v>
      </c>
      <c r="O62" s="642">
        <f>'2.02_Opex_Cost_Matrix_NC'!O15</f>
        <v>4.2</v>
      </c>
      <c r="P62" s="642">
        <f>'2.02_Opex_Cost_Matrix_NC'!P15</f>
        <v>4.2</v>
      </c>
      <c r="Q62" s="643">
        <f>'2.02_Opex_Cost_Matrix_NC'!Q15</f>
        <v>4.2</v>
      </c>
      <c r="R62" s="641">
        <f>'2.02_Opex_Cost_Matrix_NC'!R15</f>
        <v>4.2</v>
      </c>
      <c r="S62" s="642">
        <f>'2.02_Opex_Cost_Matrix_NC'!S15</f>
        <v>4.2</v>
      </c>
      <c r="T62" s="642">
        <f>'2.02_Opex_Cost_Matrix_NC'!T15</f>
        <v>4.2</v>
      </c>
      <c r="U62" s="642">
        <f>'2.02_Opex_Cost_Matrix_NC'!U15</f>
        <v>4.2</v>
      </c>
      <c r="V62" s="643">
        <f>'2.02_Opex_Cost_Matrix_NC'!V15</f>
        <v>4.2</v>
      </c>
    </row>
    <row r="63" spans="1:34" s="98" customFormat="1" ht="15" customHeight="1">
      <c r="A63" s="99"/>
      <c r="B63" s="161"/>
      <c r="C63" s="185"/>
      <c r="D63" s="162" t="s">
        <v>1735</v>
      </c>
      <c r="E63" s="687"/>
      <c r="F63" s="687"/>
      <c r="G63" s="687"/>
      <c r="H63" s="185"/>
      <c r="I63" s="164" t="s">
        <v>498</v>
      </c>
      <c r="J63" s="641">
        <f>'2.02_Opex_Cost_Matrix_NC'!J16</f>
        <v>0.10279007071778427</v>
      </c>
      <c r="K63" s="642">
        <f>'2.02_Opex_Cost_Matrix_NC'!K16</f>
        <v>5.8501262337662313E-2</v>
      </c>
      <c r="L63" s="642">
        <f>'2.02_Opex_Cost_Matrix_NC'!L16</f>
        <v>9.9374385198509552E-2</v>
      </c>
      <c r="M63" s="642">
        <f>'2.02_Opex_Cost_Matrix_NC'!M16</f>
        <v>7.9295385223704828E-2</v>
      </c>
      <c r="N63" s="642">
        <f>'2.02_Opex_Cost_Matrix_NC'!N16</f>
        <v>2.3547888048365266E-2</v>
      </c>
      <c r="O63" s="642">
        <f>'2.02_Opex_Cost_Matrix_NC'!O16</f>
        <v>2.3547888048365266E-2</v>
      </c>
      <c r="P63" s="642">
        <f>'2.02_Opex_Cost_Matrix_NC'!P16</f>
        <v>2.3547888048365266E-2</v>
      </c>
      <c r="Q63" s="643">
        <f>'2.02_Opex_Cost_Matrix_NC'!Q16</f>
        <v>2.3547888048365266E-2</v>
      </c>
      <c r="R63" s="2447"/>
      <c r="S63" s="2448"/>
      <c r="T63" s="2448"/>
      <c r="U63" s="2448"/>
      <c r="V63" s="2449"/>
    </row>
    <row r="64" spans="1:34" s="98" customFormat="1" ht="15" customHeight="1">
      <c r="A64" s="99"/>
      <c r="B64" s="161"/>
      <c r="C64" s="185"/>
      <c r="D64" s="162" t="s">
        <v>1736</v>
      </c>
      <c r="E64" s="687"/>
      <c r="F64" s="687"/>
      <c r="G64" s="687"/>
      <c r="H64" s="185"/>
      <c r="I64" s="164" t="s">
        <v>498</v>
      </c>
      <c r="J64" s="641">
        <f>'2.02_Opex_Cost_Matrix_NC'!J17</f>
        <v>0</v>
      </c>
      <c r="K64" s="642">
        <f>'2.02_Opex_Cost_Matrix_NC'!K17</f>
        <v>1.7660758441558434E-2</v>
      </c>
      <c r="L64" s="642">
        <f>'2.02_Opex_Cost_Matrix_NC'!L17</f>
        <v>0.50342408325838361</v>
      </c>
      <c r="M64" s="642">
        <f>'2.02_Opex_Cost_Matrix_NC'!M17</f>
        <v>0.52369033487048644</v>
      </c>
      <c r="N64" s="642">
        <f>'2.02_Opex_Cost_Matrix_NC'!N17</f>
        <v>0.91368880805796837</v>
      </c>
      <c r="O64" s="642">
        <f>'2.02_Opex_Cost_Matrix_NC'!O17</f>
        <v>0.91368880805796837</v>
      </c>
      <c r="P64" s="642">
        <f>'2.02_Opex_Cost_Matrix_NC'!P17</f>
        <v>0.91368880805796837</v>
      </c>
      <c r="Q64" s="643">
        <f>'2.02_Opex_Cost_Matrix_NC'!Q17</f>
        <v>0.91368880805796837</v>
      </c>
      <c r="R64" s="2447"/>
      <c r="S64" s="2448"/>
      <c r="T64" s="2448"/>
      <c r="U64" s="2448"/>
      <c r="V64" s="2449"/>
    </row>
    <row r="65" spans="1:34" s="98" customFormat="1" ht="15" customHeight="1">
      <c r="A65" s="99"/>
      <c r="B65" s="161"/>
      <c r="C65" s="185"/>
      <c r="D65" s="162" t="s">
        <v>1737</v>
      </c>
      <c r="E65" s="687"/>
      <c r="F65" s="687"/>
      <c r="G65" s="687"/>
      <c r="H65" s="185"/>
      <c r="I65" s="164" t="s">
        <v>498</v>
      </c>
      <c r="J65" s="641">
        <f>'2.02_Opex_Cost_Matrix_NC'!J18</f>
        <v>5.3664641560891875</v>
      </c>
      <c r="K65" s="642">
        <f>'2.02_Opex_Cost_Matrix_NC'!K18</f>
        <v>5.4538629662337641</v>
      </c>
      <c r="L65" s="642">
        <f>'2.02_Opex_Cost_Matrix_NC'!L18</f>
        <v>7.6081466118463297</v>
      </c>
      <c r="M65" s="642">
        <f>'2.02_Opex_Cost_Matrix_NC'!M18</f>
        <v>7.4881274626593983</v>
      </c>
      <c r="N65" s="642">
        <f>'2.02_Opex_Cost_Matrix_NC'!N18</f>
        <v>7.4416101621729442</v>
      </c>
      <c r="O65" s="642">
        <f>'2.02_Opex_Cost_Matrix_NC'!O18</f>
        <v>7.43759704</v>
      </c>
      <c r="P65" s="642">
        <f>'2.02_Opex_Cost_Matrix_NC'!P18</f>
        <v>7.43759704</v>
      </c>
      <c r="Q65" s="643">
        <f>'2.02_Opex_Cost_Matrix_NC'!Q18</f>
        <v>7.43759704</v>
      </c>
      <c r="R65" s="641">
        <f>'2.02_Opex_Cost_Matrix_NC'!R18</f>
        <v>7.43759704</v>
      </c>
      <c r="S65" s="642">
        <f>'2.02_Opex_Cost_Matrix_NC'!S18</f>
        <v>7.43759704</v>
      </c>
      <c r="T65" s="642">
        <f>'2.02_Opex_Cost_Matrix_NC'!T18</f>
        <v>7.43759704</v>
      </c>
      <c r="U65" s="642">
        <f>'2.02_Opex_Cost_Matrix_NC'!U18</f>
        <v>7.43759704</v>
      </c>
      <c r="V65" s="643">
        <f>'2.02_Opex_Cost_Matrix_NC'!V18</f>
        <v>7.43759704</v>
      </c>
    </row>
    <row r="66" spans="1:34" s="98" customFormat="1" ht="15" customHeight="1">
      <c r="A66" s="99"/>
      <c r="B66" s="161"/>
      <c r="C66" s="185"/>
      <c r="D66" s="162" t="s">
        <v>1738</v>
      </c>
      <c r="E66" s="687"/>
      <c r="F66" s="687"/>
      <c r="G66" s="687"/>
      <c r="H66" s="185"/>
      <c r="I66" s="164" t="s">
        <v>498</v>
      </c>
      <c r="J66" s="641">
        <f>'2.02_Opex_Cost_Matrix_NC'!J19</f>
        <v>-7.9852345003158076E-2</v>
      </c>
      <c r="K66" s="642">
        <f>'2.02_Opex_Cost_Matrix_NC'!K19</f>
        <v>2.9802529870129858E-2</v>
      </c>
      <c r="L66" s="642">
        <f>'2.02_Opex_Cost_Matrix_NC'!L19</f>
        <v>5.3509284337658988E-2</v>
      </c>
      <c r="M66" s="642">
        <f>'2.02_Opex_Cost_Matrix_NC'!M19</f>
        <v>9.1675762645815687E-2</v>
      </c>
      <c r="N66" s="642">
        <f>'2.02_Opex_Cost_Matrix_NC'!N19</f>
        <v>-9.8003546725304452E-2</v>
      </c>
      <c r="O66" s="642">
        <f>'2.02_Opex_Cost_Matrix_NC'!O19</f>
        <v>0</v>
      </c>
      <c r="P66" s="642">
        <f>'2.02_Opex_Cost_Matrix_NC'!P19</f>
        <v>0</v>
      </c>
      <c r="Q66" s="643">
        <f>'2.02_Opex_Cost_Matrix_NC'!Q19</f>
        <v>0</v>
      </c>
      <c r="R66" s="641">
        <f>'2.02_Opex_Cost_Matrix_NC'!R19</f>
        <v>0</v>
      </c>
      <c r="S66" s="642">
        <f>'2.02_Opex_Cost_Matrix_NC'!S19</f>
        <v>0</v>
      </c>
      <c r="T66" s="642">
        <f>'2.02_Opex_Cost_Matrix_NC'!T19</f>
        <v>0</v>
      </c>
      <c r="U66" s="642">
        <f>'2.02_Opex_Cost_Matrix_NC'!U19</f>
        <v>0</v>
      </c>
      <c r="V66" s="643">
        <f>'2.02_Opex_Cost_Matrix_NC'!V19</f>
        <v>0</v>
      </c>
    </row>
    <row r="67" spans="1:34" s="98" customFormat="1" ht="15" customHeight="1">
      <c r="A67" s="99"/>
      <c r="B67" s="161"/>
      <c r="C67" s="185"/>
      <c r="D67" s="162" t="s">
        <v>1739</v>
      </c>
      <c r="E67" s="687"/>
      <c r="F67" s="687"/>
      <c r="G67" s="687"/>
      <c r="H67" s="185"/>
      <c r="I67" s="164" t="s">
        <v>498</v>
      </c>
      <c r="J67" s="641">
        <f>'2.02_Opex_Cost_Matrix_NC'!J20</f>
        <v>7.494125726912559</v>
      </c>
      <c r="K67" s="642">
        <f>'2.02_Opex_Cost_Matrix_NC'!K20</f>
        <v>9.5677158857142821</v>
      </c>
      <c r="L67" s="642">
        <f>'2.02_Opex_Cost_Matrix_NC'!L20</f>
        <v>8.2185892637800322</v>
      </c>
      <c r="M67" s="642">
        <f>'2.02_Opex_Cost_Matrix_NC'!M20</f>
        <v>7.868716338606446</v>
      </c>
      <c r="N67" s="642">
        <f>'2.02_Opex_Cost_Matrix_NC'!N20</f>
        <v>7.8800220061443085</v>
      </c>
      <c r="O67" s="642">
        <f>'2.02_Opex_Cost_Matrix_NC'!O20</f>
        <v>7.8800220061443085</v>
      </c>
      <c r="P67" s="642">
        <f>'2.02_Opex_Cost_Matrix_NC'!P20</f>
        <v>15</v>
      </c>
      <c r="Q67" s="643">
        <f>'2.02_Opex_Cost_Matrix_NC'!Q20</f>
        <v>21</v>
      </c>
      <c r="R67" s="641">
        <f>'2.02_Opex_Cost_Matrix_NC'!R20</f>
        <v>30.391852929403903</v>
      </c>
      <c r="S67" s="642">
        <f>'2.02_Opex_Cost_Matrix_NC'!S20</f>
        <v>30.433321538800069</v>
      </c>
      <c r="T67" s="642">
        <f>'2.02_Opex_Cost_Matrix_NC'!T20</f>
        <v>29.925479493570421</v>
      </c>
      <c r="U67" s="642">
        <f>'2.02_Opex_Cost_Matrix_NC'!U20</f>
        <v>29.251646969231722</v>
      </c>
      <c r="V67" s="643">
        <f>'2.02_Opex_Cost_Matrix_NC'!V20</f>
        <v>28.678085319181509</v>
      </c>
    </row>
    <row r="68" spans="1:34" s="98" customFormat="1" ht="15" customHeight="1">
      <c r="A68" s="99"/>
      <c r="B68" s="161"/>
      <c r="C68" s="185"/>
      <c r="D68" s="162" t="s">
        <v>1740</v>
      </c>
      <c r="E68" s="687"/>
      <c r="F68" s="687"/>
      <c r="G68" s="687"/>
      <c r="H68" s="185"/>
      <c r="I68" s="164" t="s">
        <v>498</v>
      </c>
      <c r="J68" s="641">
        <f>'2.02_Opex_Cost_Matrix_NC'!J21</f>
        <v>1.5465269882189456</v>
      </c>
      <c r="K68" s="642">
        <f>'2.02_Opex_Cost_Matrix_NC'!K21</f>
        <v>2.6093770597402592</v>
      </c>
      <c r="L68" s="642">
        <f>'2.02_Opex_Cost_Matrix_NC'!L21</f>
        <v>3.2199916425497626</v>
      </c>
      <c r="M68" s="642">
        <f>'2.02_Opex_Cost_Matrix_NC'!M21</f>
        <v>2.8613121363468328</v>
      </c>
      <c r="N68" s="642">
        <f>'2.02_Opex_Cost_Matrix_NC'!N21</f>
        <v>2.7072862312203645</v>
      </c>
      <c r="O68" s="642">
        <f>'2.02_Opex_Cost_Matrix_NC'!O21</f>
        <v>2.8281305100000003</v>
      </c>
      <c r="P68" s="642">
        <f>'2.02_Opex_Cost_Matrix_NC'!P21</f>
        <v>2.8899999999999997</v>
      </c>
      <c r="Q68" s="643">
        <f>'2.02_Opex_Cost_Matrix_NC'!Q21</f>
        <v>2.8800000000000003</v>
      </c>
      <c r="R68" s="2447"/>
      <c r="S68" s="2448"/>
      <c r="T68" s="2448"/>
      <c r="U68" s="2448"/>
      <c r="V68" s="2449"/>
    </row>
    <row r="69" spans="1:34" s="98" customFormat="1" ht="15" customHeight="1">
      <c r="A69" s="99"/>
      <c r="B69" s="161"/>
      <c r="C69" s="185"/>
      <c r="D69" s="162" t="s">
        <v>1741</v>
      </c>
      <c r="E69" s="687"/>
      <c r="F69" s="687"/>
      <c r="G69" s="687"/>
      <c r="H69" s="185"/>
      <c r="I69" s="164" t="s">
        <v>498</v>
      </c>
      <c r="J69" s="641">
        <f>'2.02_Opex_Cost_Matrix_NC'!J22</f>
        <v>0</v>
      </c>
      <c r="K69" s="642">
        <f>'2.02_Opex_Cost_Matrix_NC'!K22</f>
        <v>0</v>
      </c>
      <c r="L69" s="642">
        <f>'2.02_Opex_Cost_Matrix_NC'!L22</f>
        <v>0</v>
      </c>
      <c r="M69" s="642">
        <f>'2.02_Opex_Cost_Matrix_NC'!M22</f>
        <v>0</v>
      </c>
      <c r="N69" s="642">
        <f>'2.02_Opex_Cost_Matrix_NC'!N22</f>
        <v>0</v>
      </c>
      <c r="O69" s="642">
        <f>'2.02_Opex_Cost_Matrix_NC'!O22</f>
        <v>0</v>
      </c>
      <c r="P69" s="642">
        <f>'2.02_Opex_Cost_Matrix_NC'!P22</f>
        <v>0</v>
      </c>
      <c r="Q69" s="643">
        <f>'2.02_Opex_Cost_Matrix_NC'!Q22</f>
        <v>0</v>
      </c>
      <c r="R69" s="2447"/>
      <c r="S69" s="2448"/>
      <c r="T69" s="2448"/>
      <c r="U69" s="2448"/>
      <c r="V69" s="2449"/>
    </row>
    <row r="70" spans="1:34" s="98" customFormat="1" ht="15" customHeight="1">
      <c r="A70" s="99"/>
      <c r="B70" s="161"/>
      <c r="C70" s="185"/>
      <c r="D70" s="162" t="s">
        <v>1742</v>
      </c>
      <c r="E70" s="687"/>
      <c r="F70" s="687"/>
      <c r="G70" s="687"/>
      <c r="H70" s="185"/>
      <c r="I70" s="164" t="s">
        <v>498</v>
      </c>
      <c r="J70" s="2447"/>
      <c r="K70" s="2448"/>
      <c r="L70" s="2448"/>
      <c r="M70" s="2448"/>
      <c r="N70" s="2448"/>
      <c r="O70" s="2448"/>
      <c r="P70" s="2448"/>
      <c r="Q70" s="2449"/>
      <c r="R70" s="641">
        <f>'2.02_Opex_Cost_Matrix_NC'!R23</f>
        <v>3.1360000000000001</v>
      </c>
      <c r="S70" s="642">
        <f>'2.02_Opex_Cost_Matrix_NC'!S23</f>
        <v>3.3130000000000002</v>
      </c>
      <c r="T70" s="642">
        <f>'2.02_Opex_Cost_Matrix_NC'!T23</f>
        <v>2.2559999999999998</v>
      </c>
      <c r="U70" s="642">
        <f>'2.02_Opex_Cost_Matrix_NC'!U23</f>
        <v>2.242</v>
      </c>
      <c r="V70" s="643">
        <f>'2.02_Opex_Cost_Matrix_NC'!V23</f>
        <v>2.2229999999999999</v>
      </c>
    </row>
    <row r="71" spans="1:34" s="98" customFormat="1" ht="15" customHeight="1">
      <c r="A71" s="99"/>
      <c r="B71" s="161"/>
      <c r="C71" s="185"/>
      <c r="D71" s="162" t="s">
        <v>85</v>
      </c>
      <c r="E71" s="687"/>
      <c r="F71" s="687"/>
      <c r="G71" s="687"/>
      <c r="H71" s="185"/>
      <c r="I71" s="164" t="s">
        <v>498</v>
      </c>
      <c r="J71" s="641">
        <f>SUM('2.02_Opex_Cost_Matrix_NC'!J24:J31)</f>
        <v>0</v>
      </c>
      <c r="K71" s="642">
        <f>SUM('2.02_Opex_Cost_Matrix_NC'!K24:K31)</f>
        <v>0</v>
      </c>
      <c r="L71" s="642">
        <f>SUM('2.02_Opex_Cost_Matrix_NC'!L24:L31)</f>
        <v>0</v>
      </c>
      <c r="M71" s="642">
        <f>SUM('2.02_Opex_Cost_Matrix_NC'!M24:M31)</f>
        <v>0</v>
      </c>
      <c r="N71" s="642">
        <f>SUM('2.02_Opex_Cost_Matrix_NC'!N24:N31)</f>
        <v>0</v>
      </c>
      <c r="O71" s="642">
        <f>SUM('2.02_Opex_Cost_Matrix_NC'!O24:O31)</f>
        <v>0</v>
      </c>
      <c r="P71" s="642">
        <f>SUM('2.02_Opex_Cost_Matrix_NC'!P24:P31)</f>
        <v>0</v>
      </c>
      <c r="Q71" s="643">
        <f>SUM('2.02_Opex_Cost_Matrix_NC'!Q24:Q31)</f>
        <v>0</v>
      </c>
      <c r="R71" s="641">
        <f>SUM('2.02_Opex_Cost_Matrix_NC'!R24:R31)</f>
        <v>3.0750000000000002</v>
      </c>
      <c r="S71" s="642">
        <f>SUM('2.02_Opex_Cost_Matrix_NC'!S24:S31)</f>
        <v>2.9699999999999998</v>
      </c>
      <c r="T71" s="642">
        <f>SUM('2.02_Opex_Cost_Matrix_NC'!T24:T31)</f>
        <v>2.5975000000000001</v>
      </c>
      <c r="U71" s="642">
        <f>SUM('2.02_Opex_Cost_Matrix_NC'!U24:U31)</f>
        <v>2.0074999999999998</v>
      </c>
      <c r="V71" s="643">
        <f>SUM('2.02_Opex_Cost_Matrix_NC'!V24:V31)</f>
        <v>0.85000000000000009</v>
      </c>
    </row>
    <row r="72" spans="1:34" ht="15.75" thickBot="1">
      <c r="B72" s="191" t="s">
        <v>1701</v>
      </c>
      <c r="C72" s="654"/>
      <c r="D72" s="192"/>
      <c r="E72" s="692"/>
      <c r="F72" s="192"/>
      <c r="G72" s="192"/>
      <c r="H72" s="194"/>
      <c r="I72" s="195" t="s">
        <v>498</v>
      </c>
      <c r="J72" s="148">
        <f>SUM(J59:J71)</f>
        <v>74.331560081597857</v>
      </c>
      <c r="K72" s="147">
        <f t="shared" ref="K72:V72" si="7">SUM(K59:K71)</f>
        <v>75.186845826309721</v>
      </c>
      <c r="L72" s="147">
        <f t="shared" si="7"/>
        <v>76.656014108341225</v>
      </c>
      <c r="M72" s="147">
        <f t="shared" si="7"/>
        <v>95.032276051060933</v>
      </c>
      <c r="N72" s="147">
        <f t="shared" si="7"/>
        <v>81.095933728810337</v>
      </c>
      <c r="O72" s="147">
        <f t="shared" si="7"/>
        <v>74.9790149916046</v>
      </c>
      <c r="P72" s="147">
        <f t="shared" si="7"/>
        <v>82.064779431286993</v>
      </c>
      <c r="Q72" s="149">
        <f t="shared" si="7"/>
        <v>87.928527410903854</v>
      </c>
      <c r="R72" s="148">
        <f t="shared" si="7"/>
        <v>99.406074704172724</v>
      </c>
      <c r="S72" s="147">
        <f t="shared" si="7"/>
        <v>99.271821422426385</v>
      </c>
      <c r="T72" s="147">
        <f t="shared" si="7"/>
        <v>97.099248800816213</v>
      </c>
      <c r="U72" s="147">
        <f t="shared" si="7"/>
        <v>95.584081847178922</v>
      </c>
      <c r="V72" s="149">
        <f t="shared" si="7"/>
        <v>93.585407559439574</v>
      </c>
      <c r="AH72" s="173"/>
    </row>
    <row r="73" spans="1:34" s="98" customFormat="1" ht="15" customHeight="1">
      <c r="A73" s="162"/>
      <c r="B73" s="162"/>
      <c r="C73" s="162"/>
      <c r="D73" s="185"/>
      <c r="E73" s="162"/>
      <c r="F73" s="185"/>
      <c r="G73" s="185"/>
      <c r="H73" s="163"/>
      <c r="I73" s="185"/>
      <c r="J73" s="185"/>
      <c r="K73" s="185"/>
      <c r="L73" s="185"/>
      <c r="M73" s="185"/>
      <c r="N73" s="185"/>
      <c r="O73" s="185"/>
      <c r="P73" s="185"/>
      <c r="Q73" s="185"/>
      <c r="R73" s="185"/>
      <c r="S73" s="185"/>
      <c r="T73" s="185"/>
      <c r="U73" s="163"/>
      <c r="V73" s="163"/>
    </row>
    <row r="81" spans="8:14">
      <c r="H81" s="174"/>
      <c r="I81" s="174"/>
      <c r="J81" s="174"/>
      <c r="K81" s="174"/>
      <c r="L81" s="174"/>
      <c r="M81" s="174"/>
      <c r="N81" s="174"/>
    </row>
    <row r="82" spans="8:14">
      <c r="H82" s="174"/>
      <c r="I82" s="174"/>
      <c r="J82" s="174"/>
      <c r="K82" s="174"/>
      <c r="L82" s="174"/>
      <c r="M82" s="174"/>
      <c r="N82" s="174"/>
    </row>
    <row r="83" spans="8:14">
      <c r="H83" s="174"/>
      <c r="I83" s="174"/>
      <c r="J83" s="174"/>
      <c r="K83" s="174"/>
      <c r="L83" s="174"/>
      <c r="M83" s="174"/>
      <c r="N83" s="174"/>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50"/>
  </sheetPr>
  <dimension ref="A1:AV591"/>
  <sheetViews>
    <sheetView showGridLines="0" topLeftCell="A529" zoomScale="70" zoomScaleNormal="70" workbookViewId="0">
      <pane xSplit="7" topLeftCell="H1" activePane="topRight" state="frozen"/>
      <selection pane="topRight" activeCell="G547" sqref="G547:V567"/>
    </sheetView>
  </sheetViews>
  <sheetFormatPr defaultColWidth="11.875" defaultRowHeight="12.75"/>
  <cols>
    <col min="1" max="1" width="11.875" style="173" customWidth="1"/>
    <col min="2" max="6" width="4.375" style="174" customWidth="1"/>
    <col min="7" max="7" width="38.125" style="173" customWidth="1"/>
    <col min="8" max="8" width="15.625" style="173" customWidth="1"/>
    <col min="9" max="9" width="15.625" style="175" customWidth="1"/>
    <col min="10" max="23" width="15.625" style="173" customWidth="1"/>
    <col min="24" max="25" width="11.875" style="173" customWidth="1"/>
    <col min="26" max="26" width="58.125" style="173" bestFit="1" customWidth="1"/>
    <col min="27" max="27" width="11.875" style="173" customWidth="1"/>
    <col min="28" max="28" width="11.875" style="173"/>
    <col min="29" max="29" width="11.875" style="175"/>
    <col min="30" max="16384" width="11.875" style="173"/>
  </cols>
  <sheetData>
    <row r="1" spans="1:38" s="2" customFormat="1" ht="25.15" customHeight="1">
      <c r="A1" s="1" t="s">
        <v>0</v>
      </c>
      <c r="E1" s="3"/>
      <c r="H1" s="4" t="s">
        <v>1</v>
      </c>
      <c r="J1" s="3"/>
    </row>
    <row r="2" spans="1:38" s="2" customFormat="1" ht="25.15" customHeight="1">
      <c r="A2" s="5" t="str">
        <f>Fixed_Data!I12</f>
        <v>MASTER</v>
      </c>
      <c r="B2" s="6"/>
      <c r="D2" s="7"/>
      <c r="E2" s="3"/>
    </row>
    <row r="3" spans="1:38" s="9" customFormat="1" ht="25.15" customHeight="1" thickBot="1">
      <c r="A3" s="8" t="str">
        <f>Fixed_Data!A3</f>
        <v>RIIO-GD2</v>
      </c>
      <c r="D3" s="10"/>
      <c r="E3" s="11"/>
    </row>
    <row r="4" spans="1:38" s="89" customFormat="1" ht="25.15" customHeight="1">
      <c r="B4" s="90" t="s">
        <v>1743</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row>
    <row r="5" spans="1:38" s="89" customFormat="1" ht="25.15" customHeight="1">
      <c r="B5" s="95" t="s">
        <v>1663</v>
      </c>
      <c r="C5" s="95"/>
      <c r="D5" s="95"/>
      <c r="F5" s="95" t="s">
        <v>463</v>
      </c>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row>
    <row r="6" spans="1:38"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row>
    <row r="7" spans="1:38"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row>
    <row r="8" spans="1:38" s="100" customFormat="1" ht="30" customHeight="1" thickBot="1">
      <c r="B8" s="621" t="s">
        <v>1744</v>
      </c>
      <c r="C8" s="102"/>
      <c r="D8" s="102"/>
      <c r="E8" s="102"/>
      <c r="F8" s="102"/>
      <c r="G8" s="103"/>
      <c r="H8" s="104"/>
      <c r="I8" s="105" t="s">
        <v>1704</v>
      </c>
      <c r="J8" s="106"/>
      <c r="K8" s="106"/>
      <c r="L8" s="106"/>
      <c r="M8" s="106"/>
      <c r="N8" s="106"/>
      <c r="O8" s="106"/>
      <c r="P8" s="106"/>
      <c r="Q8" s="106"/>
      <c r="R8" s="106"/>
      <c r="S8" s="106"/>
      <c r="T8" s="106"/>
      <c r="U8" s="106"/>
      <c r="V8" s="107"/>
      <c r="AG8" s="108"/>
      <c r="AH8" s="108"/>
      <c r="AI8" s="108"/>
      <c r="AJ8" s="108"/>
      <c r="AK8" s="108"/>
      <c r="AL8" s="108"/>
    </row>
    <row r="9" spans="1:38" s="113" customFormat="1" ht="30" customHeight="1">
      <c r="A9" s="89"/>
      <c r="B9" s="109"/>
      <c r="C9" s="110"/>
      <c r="D9" s="110"/>
      <c r="E9" s="110"/>
      <c r="F9" s="110"/>
      <c r="G9" s="111"/>
      <c r="H9" s="112"/>
      <c r="I9" s="112"/>
      <c r="J9" s="695" t="s">
        <v>1666</v>
      </c>
      <c r="K9" s="152"/>
      <c r="L9" s="152"/>
      <c r="M9" s="152"/>
      <c r="N9" s="152"/>
      <c r="O9" s="152"/>
      <c r="P9" s="152"/>
      <c r="Q9" s="153"/>
      <c r="R9" s="871" t="s">
        <v>2</v>
      </c>
      <c r="S9" s="155"/>
      <c r="T9" s="155"/>
      <c r="U9" s="155"/>
      <c r="V9" s="156"/>
      <c r="AG9" s="114"/>
      <c r="AH9" s="114"/>
      <c r="AI9" s="114"/>
      <c r="AJ9" s="114"/>
      <c r="AK9" s="114"/>
      <c r="AL9" s="114"/>
    </row>
    <row r="10" spans="1:38" s="89" customFormat="1" ht="15" customHeight="1">
      <c r="B10" s="115"/>
      <c r="C10" s="116"/>
      <c r="D10" s="116"/>
      <c r="E10" s="116"/>
      <c r="F10" s="116"/>
      <c r="G10" s="117"/>
      <c r="H10" s="118"/>
      <c r="I10" s="119" t="s">
        <v>1745</v>
      </c>
      <c r="J10" s="120" t="s">
        <v>453</v>
      </c>
      <c r="K10" s="121" t="s">
        <v>455</v>
      </c>
      <c r="L10" s="121" t="s">
        <v>457</v>
      </c>
      <c r="M10" s="121" t="s">
        <v>459</v>
      </c>
      <c r="N10" s="121" t="s">
        <v>461</v>
      </c>
      <c r="O10" s="121" t="s">
        <v>463</v>
      </c>
      <c r="P10" s="121" t="s">
        <v>465</v>
      </c>
      <c r="Q10" s="122" t="s">
        <v>467</v>
      </c>
      <c r="R10" s="242" t="s">
        <v>469</v>
      </c>
      <c r="S10" s="121" t="s">
        <v>471</v>
      </c>
      <c r="T10" s="121" t="s">
        <v>473</v>
      </c>
      <c r="U10" s="121" t="s">
        <v>475</v>
      </c>
      <c r="V10" s="122" t="s">
        <v>477</v>
      </c>
      <c r="W10" s="92"/>
      <c r="X10" s="92"/>
      <c r="Y10" s="92"/>
      <c r="Z10" s="92"/>
      <c r="AG10" s="92"/>
      <c r="AH10" s="92"/>
      <c r="AI10" s="92"/>
      <c r="AJ10" s="92"/>
      <c r="AK10" s="92"/>
      <c r="AL10" s="92"/>
    </row>
    <row r="11" spans="1:38" s="89" customFormat="1" ht="15" customHeight="1">
      <c r="B11" s="123"/>
      <c r="C11" s="116" t="s">
        <v>1746</v>
      </c>
      <c r="D11" s="116"/>
      <c r="E11" s="116"/>
      <c r="F11" s="116"/>
      <c r="G11" s="117"/>
      <c r="H11" s="118"/>
      <c r="I11" s="118"/>
      <c r="J11" s="139"/>
      <c r="K11" s="118"/>
      <c r="L11" s="118"/>
      <c r="M11" s="118"/>
      <c r="N11" s="118"/>
      <c r="O11" s="118"/>
      <c r="P11" s="118"/>
      <c r="Q11" s="140"/>
      <c r="R11" s="118"/>
      <c r="S11" s="118"/>
      <c r="T11" s="118"/>
      <c r="U11" s="118"/>
      <c r="V11" s="140"/>
      <c r="AG11" s="92"/>
      <c r="AH11" s="92"/>
      <c r="AI11" s="92"/>
      <c r="AJ11" s="92"/>
      <c r="AK11" s="92"/>
      <c r="AL11" s="92"/>
    </row>
    <row r="12" spans="1:38" s="89" customFormat="1" ht="15" customHeight="1">
      <c r="B12" s="123"/>
      <c r="C12" s="127"/>
      <c r="D12" s="127" t="s">
        <v>1747</v>
      </c>
      <c r="E12" s="127"/>
      <c r="F12" s="127"/>
      <c r="G12" s="117"/>
      <c r="H12" s="118"/>
      <c r="I12" s="119" t="s">
        <v>498</v>
      </c>
      <c r="J12" s="128">
        <f>J100</f>
        <v>17.637887402243479</v>
      </c>
      <c r="K12" s="129">
        <f t="shared" ref="K12:V12" si="0">K100</f>
        <v>17.497396425974021</v>
      </c>
      <c r="L12" s="129">
        <f t="shared" si="0"/>
        <v>19.147390996635636</v>
      </c>
      <c r="M12" s="129">
        <f t="shared" si="0"/>
        <v>19.550863124639882</v>
      </c>
      <c r="N12" s="129">
        <f t="shared" si="0"/>
        <v>16.426985052916727</v>
      </c>
      <c r="O12" s="129">
        <f t="shared" si="0"/>
        <v>14.569965922885466</v>
      </c>
      <c r="P12" s="129">
        <f t="shared" si="0"/>
        <v>16.446937162338031</v>
      </c>
      <c r="Q12" s="130">
        <f t="shared" si="0"/>
        <v>14.656763129695884</v>
      </c>
      <c r="R12" s="244">
        <f t="shared" si="0"/>
        <v>17.56758239540088</v>
      </c>
      <c r="S12" s="129">
        <f t="shared" si="0"/>
        <v>16.508190371060692</v>
      </c>
      <c r="T12" s="129">
        <f t="shared" si="0"/>
        <v>16.531556640476726</v>
      </c>
      <c r="U12" s="129">
        <f t="shared" si="0"/>
        <v>16.992448900032699</v>
      </c>
      <c r="V12" s="130">
        <f t="shared" si="0"/>
        <v>16.721143893897402</v>
      </c>
      <c r="AG12" s="92"/>
      <c r="AH12" s="92"/>
      <c r="AI12" s="92"/>
      <c r="AJ12" s="92"/>
      <c r="AK12" s="92"/>
      <c r="AL12" s="92"/>
    </row>
    <row r="13" spans="1:38" s="89" customFormat="1" ht="15" customHeight="1">
      <c r="B13" s="123"/>
      <c r="C13" s="127"/>
      <c r="D13" s="127" t="s">
        <v>1748</v>
      </c>
      <c r="E13" s="127"/>
      <c r="F13" s="127"/>
      <c r="G13" s="117"/>
      <c r="H13" s="118"/>
      <c r="I13" s="119" t="s">
        <v>498</v>
      </c>
      <c r="J13" s="128">
        <f>J206</f>
        <v>46.402318197288857</v>
      </c>
      <c r="K13" s="129">
        <f t="shared" ref="K13:V13" si="1">K206</f>
        <v>45.669828505652447</v>
      </c>
      <c r="L13" s="129">
        <f t="shared" si="1"/>
        <v>43.773895497821485</v>
      </c>
      <c r="M13" s="129">
        <f t="shared" si="1"/>
        <v>43.14571011508459</v>
      </c>
      <c r="N13" s="129">
        <f t="shared" si="1"/>
        <v>43.655587371021163</v>
      </c>
      <c r="O13" s="129">
        <f t="shared" si="1"/>
        <v>44.329164904168834</v>
      </c>
      <c r="P13" s="129">
        <f t="shared" si="1"/>
        <v>46.353235998134714</v>
      </c>
      <c r="Q13" s="130">
        <f t="shared" si="1"/>
        <v>46.675398983757063</v>
      </c>
      <c r="R13" s="244">
        <f t="shared" si="1"/>
        <v>46.498819082369685</v>
      </c>
      <c r="S13" s="129">
        <f t="shared" si="1"/>
        <v>46.719009540752261</v>
      </c>
      <c r="T13" s="129">
        <f t="shared" si="1"/>
        <v>46.256506720178265</v>
      </c>
      <c r="U13" s="129">
        <f t="shared" si="1"/>
        <v>44.629018322588038</v>
      </c>
      <c r="V13" s="130">
        <f t="shared" si="1"/>
        <v>44.816783281507057</v>
      </c>
      <c r="AG13" s="92"/>
      <c r="AH13" s="92"/>
      <c r="AI13" s="92"/>
      <c r="AJ13" s="92"/>
      <c r="AK13" s="92"/>
      <c r="AL13" s="92"/>
    </row>
    <row r="14" spans="1:38" s="89" customFormat="1" ht="15" customHeight="1">
      <c r="B14" s="123"/>
      <c r="C14" s="127"/>
      <c r="D14" s="127" t="s">
        <v>1749</v>
      </c>
      <c r="E14" s="127"/>
      <c r="F14" s="127"/>
      <c r="G14" s="117"/>
      <c r="H14" s="118"/>
      <c r="I14" s="119" t="s">
        <v>498</v>
      </c>
      <c r="J14" s="128">
        <f>J365</f>
        <v>26.494657688082434</v>
      </c>
      <c r="K14" s="129">
        <f t="shared" ref="K14:V14" si="2">K365</f>
        <v>27.108160410389601</v>
      </c>
      <c r="L14" s="129">
        <f t="shared" si="2"/>
        <v>21.759027847623265</v>
      </c>
      <c r="M14" s="129">
        <f t="shared" si="2"/>
        <v>23.121498705474675</v>
      </c>
      <c r="N14" s="129">
        <f t="shared" si="2"/>
        <v>23.823574103680251</v>
      </c>
      <c r="O14" s="129">
        <f t="shared" si="2"/>
        <v>21.223681355241482</v>
      </c>
      <c r="P14" s="129">
        <f t="shared" si="2"/>
        <v>22.842997331354542</v>
      </c>
      <c r="Q14" s="130">
        <f t="shared" si="2"/>
        <v>23.153940508309816</v>
      </c>
      <c r="R14" s="244">
        <f t="shared" si="2"/>
        <v>23.056528969380313</v>
      </c>
      <c r="S14" s="129">
        <f t="shared" si="2"/>
        <v>22.959604488145462</v>
      </c>
      <c r="T14" s="129">
        <f t="shared" si="2"/>
        <v>22.863164629316781</v>
      </c>
      <c r="U14" s="129">
        <f t="shared" si="2"/>
        <v>22.767206969782244</v>
      </c>
      <c r="V14" s="130">
        <f t="shared" si="2"/>
        <v>22.671729098545377</v>
      </c>
      <c r="AG14" s="92"/>
      <c r="AH14" s="92"/>
      <c r="AI14" s="92"/>
      <c r="AJ14" s="92"/>
      <c r="AK14" s="92"/>
      <c r="AL14" s="92"/>
    </row>
    <row r="15" spans="1:38" s="89" customFormat="1" ht="15" customHeight="1">
      <c r="B15" s="123"/>
      <c r="C15" s="127"/>
      <c r="D15" s="127" t="s">
        <v>1676</v>
      </c>
      <c r="E15" s="127"/>
      <c r="F15" s="127"/>
      <c r="G15" s="117"/>
      <c r="H15" s="118"/>
      <c r="I15" s="119" t="s">
        <v>498</v>
      </c>
      <c r="J15" s="128">
        <f>J389</f>
        <v>2.7240345725619828</v>
      </c>
      <c r="K15" s="129">
        <f t="shared" ref="K15:V15" si="3">K389</f>
        <v>2.6402833870129863</v>
      </c>
      <c r="L15" s="129">
        <f t="shared" si="3"/>
        <v>1.9578246530840888</v>
      </c>
      <c r="M15" s="129">
        <f t="shared" si="3"/>
        <v>2.0927699188849607</v>
      </c>
      <c r="N15" s="129">
        <f t="shared" si="3"/>
        <v>1.7927968787133293</v>
      </c>
      <c r="O15" s="129">
        <f t="shared" si="3"/>
        <v>2.0051969867959025</v>
      </c>
      <c r="P15" s="129">
        <f t="shared" si="3"/>
        <v>2.7926197123801701</v>
      </c>
      <c r="Q15" s="130">
        <f t="shared" si="3"/>
        <v>3.6810912123801702</v>
      </c>
      <c r="R15" s="244">
        <f t="shared" si="3"/>
        <v>3.7481287123801703</v>
      </c>
      <c r="S15" s="129">
        <f t="shared" si="3"/>
        <v>3.5215662123801703</v>
      </c>
      <c r="T15" s="129">
        <f t="shared" si="3"/>
        <v>3.4841742123801698</v>
      </c>
      <c r="U15" s="129">
        <f t="shared" si="3"/>
        <v>3.5215662123801703</v>
      </c>
      <c r="V15" s="130">
        <f t="shared" si="3"/>
        <v>3.46617421238017</v>
      </c>
      <c r="AG15" s="92"/>
      <c r="AH15" s="92"/>
      <c r="AI15" s="92"/>
      <c r="AJ15" s="92"/>
      <c r="AK15" s="92"/>
      <c r="AL15" s="92"/>
    </row>
    <row r="16" spans="1:38" s="89" customFormat="1" ht="15" customHeight="1">
      <c r="B16" s="123"/>
      <c r="C16" s="127" t="s">
        <v>1750</v>
      </c>
      <c r="D16" s="116"/>
      <c r="E16" s="116"/>
      <c r="F16" s="116"/>
      <c r="G16" s="117"/>
      <c r="H16" s="118"/>
      <c r="I16" s="119" t="s">
        <v>498</v>
      </c>
      <c r="J16" s="124">
        <f>SUM(J12:J15)</f>
        <v>93.258897860176745</v>
      </c>
      <c r="K16" s="125">
        <f t="shared" ref="K16:V16" si="4">SUM(K12:K15)</f>
        <v>92.915668729029051</v>
      </c>
      <c r="L16" s="125">
        <f t="shared" si="4"/>
        <v>86.638138995164468</v>
      </c>
      <c r="M16" s="125">
        <f t="shared" si="4"/>
        <v>87.910841864084105</v>
      </c>
      <c r="N16" s="125">
        <f t="shared" si="4"/>
        <v>85.69894340633148</v>
      </c>
      <c r="O16" s="125">
        <f t="shared" si="4"/>
        <v>82.128009169091683</v>
      </c>
      <c r="P16" s="125">
        <f t="shared" si="4"/>
        <v>88.435790204207464</v>
      </c>
      <c r="Q16" s="126">
        <f t="shared" si="4"/>
        <v>88.167193834142935</v>
      </c>
      <c r="R16" s="2497">
        <f t="shared" si="4"/>
        <v>90.871059159531043</v>
      </c>
      <c r="S16" s="125">
        <f t="shared" si="4"/>
        <v>89.708370612338584</v>
      </c>
      <c r="T16" s="125">
        <f t="shared" si="4"/>
        <v>89.135402202351941</v>
      </c>
      <c r="U16" s="125">
        <f t="shared" si="4"/>
        <v>87.910240404783153</v>
      </c>
      <c r="V16" s="126">
        <f t="shared" si="4"/>
        <v>87.67583048633</v>
      </c>
      <c r="AG16" s="92"/>
      <c r="AH16" s="92"/>
      <c r="AI16" s="92"/>
      <c r="AJ16" s="92"/>
      <c r="AK16" s="92"/>
      <c r="AL16" s="92"/>
    </row>
    <row r="17" spans="1:38" s="89" customFormat="1" ht="15" customHeight="1">
      <c r="B17" s="123"/>
      <c r="C17" s="127"/>
      <c r="D17" s="127" t="s">
        <v>1723</v>
      </c>
      <c r="E17" s="127"/>
      <c r="F17" s="127"/>
      <c r="G17" s="117"/>
      <c r="H17" s="118"/>
      <c r="I17" s="119" t="s">
        <v>498</v>
      </c>
      <c r="J17" s="128">
        <f>J470</f>
        <v>1.1258826299213638</v>
      </c>
      <c r="K17" s="129">
        <f t="shared" ref="K17:V17" si="5">K470</f>
        <v>1.5044758597402592</v>
      </c>
      <c r="L17" s="129">
        <f t="shared" si="5"/>
        <v>0.78625887190029542</v>
      </c>
      <c r="M17" s="129">
        <f t="shared" si="5"/>
        <v>0.89003446055979185</v>
      </c>
      <c r="N17" s="129">
        <f t="shared" si="5"/>
        <v>0.6213552613578035</v>
      </c>
      <c r="O17" s="129">
        <f t="shared" si="5"/>
        <v>0.7211903018733572</v>
      </c>
      <c r="P17" s="129">
        <f t="shared" si="5"/>
        <v>0.7211903018733572</v>
      </c>
      <c r="Q17" s="130">
        <f t="shared" si="5"/>
        <v>0.7211903018733572</v>
      </c>
      <c r="R17" s="244">
        <f t="shared" si="5"/>
        <v>0.7211903018733572</v>
      </c>
      <c r="S17" s="129">
        <f t="shared" si="5"/>
        <v>0.7211903018733572</v>
      </c>
      <c r="T17" s="129">
        <f t="shared" si="5"/>
        <v>0.7211903018733572</v>
      </c>
      <c r="U17" s="129">
        <f t="shared" si="5"/>
        <v>0.7211903018733572</v>
      </c>
      <c r="V17" s="130">
        <f t="shared" si="5"/>
        <v>0.7211903018733572</v>
      </c>
      <c r="AG17" s="92"/>
      <c r="AH17" s="92"/>
      <c r="AI17" s="92"/>
      <c r="AJ17" s="92"/>
      <c r="AK17" s="92"/>
      <c r="AL17" s="92"/>
    </row>
    <row r="18" spans="1:38" s="98" customFormat="1" ht="15" customHeight="1">
      <c r="A18" s="99"/>
      <c r="B18" s="161"/>
      <c r="C18" s="186"/>
      <c r="D18" s="162"/>
      <c r="E18" s="162"/>
      <c r="F18" s="162"/>
      <c r="G18" s="163"/>
      <c r="H18" s="163"/>
      <c r="I18" s="117"/>
      <c r="J18" s="159"/>
      <c r="K18" s="117"/>
      <c r="L18" s="117"/>
      <c r="M18" s="117"/>
      <c r="N18" s="117"/>
      <c r="O18" s="117"/>
      <c r="P18" s="117"/>
      <c r="Q18" s="160"/>
      <c r="R18" s="117"/>
      <c r="S18" s="117"/>
      <c r="T18" s="117"/>
      <c r="U18" s="117"/>
      <c r="V18" s="160"/>
    </row>
    <row r="19" spans="1:38" s="89" customFormat="1" ht="15" customHeight="1" thickBot="1">
      <c r="B19" s="176"/>
      <c r="C19" s="2496" t="s">
        <v>1751</v>
      </c>
      <c r="D19" s="132"/>
      <c r="E19" s="132"/>
      <c r="F19" s="132"/>
      <c r="G19" s="145"/>
      <c r="H19" s="133"/>
      <c r="I19" s="146" t="s">
        <v>498</v>
      </c>
      <c r="J19" s="717">
        <f>SUM(J16:J17)</f>
        <v>94.384780490098109</v>
      </c>
      <c r="K19" s="718">
        <f t="shared" ref="K19:V19" si="6">SUM(K16:K17)</f>
        <v>94.420144588769304</v>
      </c>
      <c r="L19" s="718">
        <f t="shared" si="6"/>
        <v>87.424397867064769</v>
      </c>
      <c r="M19" s="718">
        <f t="shared" si="6"/>
        <v>88.800876324643895</v>
      </c>
      <c r="N19" s="718">
        <f t="shared" si="6"/>
        <v>86.320298667689286</v>
      </c>
      <c r="O19" s="718">
        <f t="shared" si="6"/>
        <v>82.849199470965047</v>
      </c>
      <c r="P19" s="718">
        <f t="shared" si="6"/>
        <v>89.156980506080828</v>
      </c>
      <c r="Q19" s="719">
        <f t="shared" si="6"/>
        <v>88.888384136016299</v>
      </c>
      <c r="R19" s="797">
        <f t="shared" si="6"/>
        <v>91.592249461404407</v>
      </c>
      <c r="S19" s="718">
        <f t="shared" si="6"/>
        <v>90.429560914211947</v>
      </c>
      <c r="T19" s="718">
        <f t="shared" si="6"/>
        <v>89.856592504225304</v>
      </c>
      <c r="U19" s="718">
        <f t="shared" si="6"/>
        <v>88.631430706656516</v>
      </c>
      <c r="V19" s="719">
        <f t="shared" si="6"/>
        <v>88.397020788203363</v>
      </c>
      <c r="AG19" s="92"/>
      <c r="AH19" s="92"/>
      <c r="AI19" s="92"/>
      <c r="AJ19" s="92"/>
      <c r="AK19" s="92"/>
      <c r="AL19" s="92"/>
    </row>
    <row r="20" spans="1:38" s="89" customFormat="1" ht="15" customHeight="1" thickBot="1">
      <c r="B20" s="134"/>
      <c r="C20" s="134"/>
      <c r="D20" s="134"/>
      <c r="E20" s="134"/>
      <c r="F20" s="134"/>
      <c r="H20" s="114"/>
      <c r="I20" s="93"/>
      <c r="J20" s="92"/>
      <c r="P20" s="92"/>
      <c r="Q20" s="92"/>
      <c r="R20" s="92"/>
      <c r="S20" s="92"/>
      <c r="T20" s="92"/>
      <c r="U20" s="92"/>
      <c r="V20" s="92"/>
      <c r="AG20" s="92"/>
      <c r="AH20" s="92"/>
      <c r="AI20" s="92"/>
      <c r="AJ20" s="92"/>
      <c r="AK20" s="92"/>
      <c r="AL20" s="92"/>
    </row>
    <row r="21" spans="1:38" s="100" customFormat="1" ht="30" customHeight="1" thickBot="1">
      <c r="A21" s="89"/>
      <c r="B21" s="621" t="s">
        <v>1747</v>
      </c>
      <c r="C21" s="102"/>
      <c r="D21" s="102"/>
      <c r="E21" s="102"/>
      <c r="F21" s="102"/>
      <c r="G21" s="103"/>
      <c r="H21" s="103"/>
      <c r="I21" s="105" t="s">
        <v>1704</v>
      </c>
      <c r="J21" s="106"/>
      <c r="K21" s="106"/>
      <c r="L21" s="106"/>
      <c r="M21" s="106"/>
      <c r="N21" s="106"/>
      <c r="O21" s="106"/>
      <c r="P21" s="106"/>
      <c r="Q21" s="106"/>
      <c r="R21" s="105"/>
      <c r="S21" s="105"/>
      <c r="T21" s="105"/>
      <c r="U21" s="105"/>
      <c r="V21" s="187"/>
    </row>
    <row r="22" spans="1:38" s="157" customFormat="1" ht="30" customHeight="1">
      <c r="A22" s="99"/>
      <c r="B22" s="109"/>
      <c r="C22" s="110"/>
      <c r="D22" s="110"/>
      <c r="E22" s="110"/>
      <c r="F22" s="110"/>
      <c r="G22" s="111"/>
      <c r="H22" s="111"/>
      <c r="I22" s="117"/>
      <c r="J22" s="695" t="s">
        <v>1666</v>
      </c>
      <c r="K22" s="152"/>
      <c r="L22" s="152"/>
      <c r="M22" s="152"/>
      <c r="N22" s="152"/>
      <c r="O22" s="152"/>
      <c r="P22" s="152"/>
      <c r="Q22" s="152"/>
      <c r="R22" s="696" t="s">
        <v>2</v>
      </c>
      <c r="S22" s="155"/>
      <c r="T22" s="155"/>
      <c r="U22" s="155"/>
      <c r="V22" s="156"/>
    </row>
    <row r="23" spans="1:38" s="98" customFormat="1" ht="15" customHeight="1">
      <c r="A23" s="99"/>
      <c r="B23" s="115"/>
      <c r="C23" s="116"/>
      <c r="D23" s="116"/>
      <c r="E23" s="116"/>
      <c r="F23" s="116"/>
      <c r="G23" s="117"/>
      <c r="H23" s="117"/>
      <c r="I23" s="119" t="s">
        <v>1667</v>
      </c>
      <c r="J23" s="158" t="s">
        <v>453</v>
      </c>
      <c r="K23" s="137" t="s">
        <v>455</v>
      </c>
      <c r="L23" s="137" t="s">
        <v>457</v>
      </c>
      <c r="M23" s="137" t="s">
        <v>459</v>
      </c>
      <c r="N23" s="137" t="s">
        <v>461</v>
      </c>
      <c r="O23" s="137" t="s">
        <v>463</v>
      </c>
      <c r="P23" s="137" t="s">
        <v>465</v>
      </c>
      <c r="Q23" s="119" t="s">
        <v>467</v>
      </c>
      <c r="R23" s="120" t="s">
        <v>469</v>
      </c>
      <c r="S23" s="121" t="s">
        <v>471</v>
      </c>
      <c r="T23" s="121" t="s">
        <v>473</v>
      </c>
      <c r="U23" s="121" t="s">
        <v>475</v>
      </c>
      <c r="V23" s="122" t="s">
        <v>477</v>
      </c>
    </row>
    <row r="24" spans="1:38" s="98" customFormat="1" ht="15" customHeight="1">
      <c r="A24" s="99"/>
      <c r="B24" s="161"/>
      <c r="C24" s="186" t="s">
        <v>1706</v>
      </c>
      <c r="D24" s="162"/>
      <c r="E24" s="162"/>
      <c r="F24" s="162"/>
      <c r="G24" s="163"/>
      <c r="H24" s="163"/>
      <c r="I24" s="117"/>
      <c r="J24" s="159"/>
      <c r="K24" s="117"/>
      <c r="L24" s="117"/>
      <c r="M24" s="117"/>
      <c r="N24" s="117"/>
      <c r="O24" s="117"/>
      <c r="P24" s="117"/>
      <c r="Q24" s="117"/>
      <c r="R24" s="159"/>
      <c r="S24" s="117"/>
      <c r="T24" s="117"/>
      <c r="U24" s="117"/>
      <c r="V24" s="160"/>
    </row>
    <row r="25" spans="1:38" s="98" customFormat="1" ht="15" customHeight="1">
      <c r="A25" s="99"/>
      <c r="B25" s="161"/>
      <c r="C25" s="185"/>
      <c r="D25" s="162" t="s">
        <v>1752</v>
      </c>
      <c r="E25" s="162"/>
      <c r="F25" s="162"/>
      <c r="G25" s="163"/>
      <c r="H25" s="163"/>
      <c r="I25" s="164" t="s">
        <v>498</v>
      </c>
      <c r="J25" s="143">
        <v>1.491666594232153</v>
      </c>
      <c r="K25" s="141">
        <v>1.7837366025974022</v>
      </c>
      <c r="L25" s="141">
        <v>2.5640775433637408</v>
      </c>
      <c r="M25" s="141">
        <v>2.2335661715669031</v>
      </c>
      <c r="N25" s="141">
        <v>1.4363123197830836</v>
      </c>
      <c r="O25" s="141">
        <v>1.1779727959527329</v>
      </c>
      <c r="P25" s="141">
        <v>1.1779727959527329</v>
      </c>
      <c r="Q25" s="142">
        <v>1.1720829319729693</v>
      </c>
      <c r="R25" s="143">
        <v>1.1662225173131047</v>
      </c>
      <c r="S25" s="141">
        <v>1.1603914047265391</v>
      </c>
      <c r="T25" s="141">
        <v>1.1545894477029064</v>
      </c>
      <c r="U25" s="141">
        <v>1.148816500464392</v>
      </c>
      <c r="V25" s="144">
        <v>1.1430724179620702</v>
      </c>
    </row>
    <row r="26" spans="1:38" s="98" customFormat="1" ht="15" customHeight="1">
      <c r="A26" s="99"/>
      <c r="B26" s="161"/>
      <c r="C26" s="185"/>
      <c r="D26" s="162" t="s">
        <v>1753</v>
      </c>
      <c r="E26" s="162"/>
      <c r="F26" s="162"/>
      <c r="G26" s="163"/>
      <c r="H26" s="163"/>
      <c r="I26" s="164" t="s">
        <v>498</v>
      </c>
      <c r="J26" s="143">
        <v>1.1559486427491012E-2</v>
      </c>
      <c r="K26" s="141">
        <v>0.18433416623376614</v>
      </c>
      <c r="L26" s="141">
        <v>0.15397569574714115</v>
      </c>
      <c r="M26" s="141">
        <v>0.35048603247464027</v>
      </c>
      <c r="N26" s="141">
        <v>0.18690110349033145</v>
      </c>
      <c r="O26" s="141">
        <v>0.28764509686580714</v>
      </c>
      <c r="P26" s="141">
        <v>0.28764509686580714</v>
      </c>
      <c r="Q26" s="142">
        <v>0.2862068713814781</v>
      </c>
      <c r="R26" s="143">
        <v>0.28477583702457071</v>
      </c>
      <c r="S26" s="141">
        <v>0.28335195783944783</v>
      </c>
      <c r="T26" s="141">
        <v>0.28193519805025063</v>
      </c>
      <c r="U26" s="141">
        <v>0.28052552205999942</v>
      </c>
      <c r="V26" s="144">
        <v>0.2791228944496994</v>
      </c>
    </row>
    <row r="27" spans="1:38" s="98" customFormat="1" ht="15" customHeight="1">
      <c r="A27" s="99"/>
      <c r="B27" s="161"/>
      <c r="C27" s="185"/>
      <c r="D27" s="162" t="s">
        <v>1754</v>
      </c>
      <c r="E27" s="162"/>
      <c r="F27" s="162"/>
      <c r="G27" s="163"/>
      <c r="H27" s="163"/>
      <c r="I27" s="164" t="s">
        <v>498</v>
      </c>
      <c r="J27" s="143">
        <v>1.3243435141363946E-2</v>
      </c>
      <c r="K27" s="141">
        <v>1.1037974025974022E-2</v>
      </c>
      <c r="L27" s="141">
        <v>1.0920262109726324E-2</v>
      </c>
      <c r="M27" s="141">
        <v>0.12289400735041055</v>
      </c>
      <c r="N27" s="141">
        <v>0.10630889798026977</v>
      </c>
      <c r="O27" s="141">
        <v>7.3677549615502366E-2</v>
      </c>
      <c r="P27" s="141">
        <v>7.3677549615502366E-2</v>
      </c>
      <c r="Q27" s="142">
        <v>7.3309161867424866E-2</v>
      </c>
      <c r="R27" s="143">
        <v>7.2942616058087745E-2</v>
      </c>
      <c r="S27" s="141">
        <v>7.2577902977797301E-2</v>
      </c>
      <c r="T27" s="141">
        <v>7.2215013462908317E-2</v>
      </c>
      <c r="U27" s="141">
        <v>7.1853938395593772E-2</v>
      </c>
      <c r="V27" s="144">
        <v>7.1494668703615802E-2</v>
      </c>
    </row>
    <row r="28" spans="1:38" s="98" customFormat="1" ht="15" customHeight="1">
      <c r="A28" s="99"/>
      <c r="B28" s="161"/>
      <c r="C28" s="185"/>
      <c r="D28" s="162" t="s">
        <v>1755</v>
      </c>
      <c r="E28" s="162"/>
      <c r="F28" s="162"/>
      <c r="G28" s="163"/>
      <c r="H28" s="163"/>
      <c r="I28" s="164" t="s">
        <v>498</v>
      </c>
      <c r="J28" s="143">
        <v>0.29419023621635387</v>
      </c>
      <c r="K28" s="141">
        <v>0.12141771428571424</v>
      </c>
      <c r="L28" s="141">
        <v>0.39312943595014765</v>
      </c>
      <c r="M28" s="141">
        <v>7.3904309559835749E-2</v>
      </c>
      <c r="N28" s="141">
        <v>0.56224822679165398</v>
      </c>
      <c r="O28" s="141">
        <v>0.16760932632446324</v>
      </c>
      <c r="P28" s="141">
        <v>0.41</v>
      </c>
      <c r="Q28" s="142">
        <v>0.40794999999999998</v>
      </c>
      <c r="R28" s="143">
        <v>0.40591024999999997</v>
      </c>
      <c r="S28" s="141">
        <v>0.40388069874999999</v>
      </c>
      <c r="T28" s="141">
        <v>0.40186129525625003</v>
      </c>
      <c r="U28" s="141">
        <v>0.39985198877996875</v>
      </c>
      <c r="V28" s="144">
        <v>0.39785272883606887</v>
      </c>
    </row>
    <row r="29" spans="1:38" s="98" customFormat="1" ht="15" customHeight="1">
      <c r="A29" s="99"/>
      <c r="B29" s="161"/>
      <c r="C29" s="185"/>
      <c r="D29" s="162" t="s">
        <v>1756</v>
      </c>
      <c r="E29" s="162"/>
      <c r="F29" s="162"/>
      <c r="G29" s="163"/>
      <c r="H29" s="163"/>
      <c r="I29" s="164" t="s">
        <v>498</v>
      </c>
      <c r="J29" s="143">
        <v>0.12310675905679022</v>
      </c>
      <c r="K29" s="141">
        <v>0.20641011428571421</v>
      </c>
      <c r="L29" s="141">
        <v>0.1113866735192085</v>
      </c>
      <c r="M29" s="141">
        <v>9.6883869272430825E-2</v>
      </c>
      <c r="N29" s="141">
        <v>3.2098985610022245E-2</v>
      </c>
      <c r="O29" s="141">
        <v>4.6609884162353746E-2</v>
      </c>
      <c r="P29" s="141">
        <v>4.6609884162353746E-2</v>
      </c>
      <c r="Q29" s="142">
        <v>4.6376834741541979E-2</v>
      </c>
      <c r="R29" s="143">
        <v>4.614495056783427E-2</v>
      </c>
      <c r="S29" s="141">
        <v>4.5914225814995102E-2</v>
      </c>
      <c r="T29" s="141">
        <v>4.5684654685920124E-2</v>
      </c>
      <c r="U29" s="141">
        <v>4.5456231412490528E-2</v>
      </c>
      <c r="V29" s="144">
        <v>4.5228950255428078E-2</v>
      </c>
    </row>
    <row r="30" spans="1:38" s="98" customFormat="1" ht="15" customHeight="1">
      <c r="A30" s="99"/>
      <c r="B30" s="161"/>
      <c r="C30" s="185"/>
      <c r="D30" s="162" t="s">
        <v>1757</v>
      </c>
      <c r="E30" s="162"/>
      <c r="F30" s="162"/>
      <c r="G30" s="163"/>
      <c r="H30" s="163"/>
      <c r="I30" s="164" t="s">
        <v>498</v>
      </c>
      <c r="J30" s="143">
        <v>0</v>
      </c>
      <c r="K30" s="141">
        <v>0</v>
      </c>
      <c r="L30" s="141">
        <v>0</v>
      </c>
      <c r="M30" s="141">
        <v>0</v>
      </c>
      <c r="N30" s="141">
        <v>0</v>
      </c>
      <c r="O30" s="141">
        <v>0</v>
      </c>
      <c r="P30" s="141">
        <v>0</v>
      </c>
      <c r="Q30" s="142">
        <v>0</v>
      </c>
      <c r="R30" s="143">
        <v>0</v>
      </c>
      <c r="S30" s="141">
        <v>0</v>
      </c>
      <c r="T30" s="141">
        <v>0</v>
      </c>
      <c r="U30" s="141">
        <v>0</v>
      </c>
      <c r="V30" s="144">
        <v>0</v>
      </c>
    </row>
    <row r="31" spans="1:38" s="98" customFormat="1" ht="15" customHeight="1">
      <c r="A31" s="99"/>
      <c r="B31" s="161"/>
      <c r="C31" s="185"/>
      <c r="D31" s="162" t="s">
        <v>205</v>
      </c>
      <c r="E31" s="162"/>
      <c r="F31" s="162"/>
      <c r="G31" s="163"/>
      <c r="H31" s="163"/>
      <c r="I31" s="164" t="s">
        <v>498</v>
      </c>
      <c r="J31" s="143">
        <v>4.4664960875213E-4</v>
      </c>
      <c r="K31" s="141">
        <v>-1.1037974025974021E-3</v>
      </c>
      <c r="L31" s="141">
        <v>0</v>
      </c>
      <c r="M31" s="141">
        <v>-5.437539578553313E-4</v>
      </c>
      <c r="N31" s="141">
        <v>3.2328428525906887E-3</v>
      </c>
      <c r="O31" s="141">
        <v>6.1564064025879973E-4</v>
      </c>
      <c r="P31" s="141">
        <v>6.1564064025879973E-4</v>
      </c>
      <c r="Q31" s="142">
        <v>6.1256243705750573E-4</v>
      </c>
      <c r="R31" s="143">
        <v>6.0949962487221821E-4</v>
      </c>
      <c r="S31" s="141">
        <v>6.0645212674785716E-4</v>
      </c>
      <c r="T31" s="141">
        <v>6.0341986611411793E-4</v>
      </c>
      <c r="U31" s="141">
        <v>6.0040276678354734E-4</v>
      </c>
      <c r="V31" s="144">
        <v>5.9740075294962961E-4</v>
      </c>
    </row>
    <row r="32" spans="1:38" s="98" customFormat="1" ht="15" customHeight="1">
      <c r="A32" s="99"/>
      <c r="B32" s="161"/>
      <c r="C32" s="185"/>
      <c r="D32" s="162" t="s">
        <v>1758</v>
      </c>
      <c r="E32" s="162"/>
      <c r="F32" s="162"/>
      <c r="G32" s="163"/>
      <c r="H32" s="163"/>
      <c r="I32" s="164" t="s">
        <v>498</v>
      </c>
      <c r="J32" s="143">
        <v>0</v>
      </c>
      <c r="K32" s="141">
        <v>0</v>
      </c>
      <c r="L32" s="141">
        <v>0</v>
      </c>
      <c r="M32" s="141">
        <v>0</v>
      </c>
      <c r="N32" s="141">
        <v>0</v>
      </c>
      <c r="O32" s="141">
        <v>0</v>
      </c>
      <c r="P32" s="141">
        <v>0</v>
      </c>
      <c r="Q32" s="142">
        <v>0</v>
      </c>
      <c r="R32" s="143">
        <v>0</v>
      </c>
      <c r="S32" s="141">
        <v>0</v>
      </c>
      <c r="T32" s="141">
        <v>0</v>
      </c>
      <c r="U32" s="141">
        <v>0</v>
      </c>
      <c r="V32" s="144">
        <v>0</v>
      </c>
    </row>
    <row r="33" spans="1:23" s="98" customFormat="1" ht="15" customHeight="1">
      <c r="A33" s="99"/>
      <c r="B33" s="161"/>
      <c r="C33" s="185"/>
      <c r="D33" s="162" t="s">
        <v>85</v>
      </c>
      <c r="E33" s="162"/>
      <c r="F33" s="162"/>
      <c r="G33" s="720" t="s">
        <v>55</v>
      </c>
      <c r="H33" s="163"/>
      <c r="I33" s="164" t="s">
        <v>498</v>
      </c>
      <c r="J33" s="143">
        <v>0</v>
      </c>
      <c r="K33" s="141">
        <v>0</v>
      </c>
      <c r="L33" s="141">
        <v>4.3681048438905298E-3</v>
      </c>
      <c r="M33" s="141">
        <v>6.0939786861490157E-5</v>
      </c>
      <c r="N33" s="141">
        <v>4.7057645536688628E-3</v>
      </c>
      <c r="O33" s="141">
        <v>6.0179999098181798E-5</v>
      </c>
      <c r="P33" s="141">
        <v>6.0179999098181798E-5</v>
      </c>
      <c r="Q33" s="142">
        <v>5.9879099102690891E-5</v>
      </c>
      <c r="R33" s="143">
        <v>5.9579703607177438E-5</v>
      </c>
      <c r="S33" s="141">
        <v>5.928180508914155E-5</v>
      </c>
      <c r="T33" s="141">
        <v>5.8985396063695843E-5</v>
      </c>
      <c r="U33" s="141">
        <v>5.8690469083377368E-5</v>
      </c>
      <c r="V33" s="144">
        <v>5.8397016737960481E-5</v>
      </c>
    </row>
    <row r="34" spans="1:23" s="98" customFormat="1" ht="15" customHeight="1">
      <c r="A34" s="99"/>
      <c r="B34" s="161"/>
      <c r="C34" s="185"/>
      <c r="D34" s="162" t="s">
        <v>85</v>
      </c>
      <c r="E34" s="162"/>
      <c r="F34" s="162"/>
      <c r="G34" s="720" t="s">
        <v>1759</v>
      </c>
      <c r="H34" s="163"/>
      <c r="I34" s="164" t="s">
        <v>498</v>
      </c>
      <c r="J34" s="143">
        <f>'2.19_LP_Gasholders'!J19</f>
        <v>0.84061335836112039</v>
      </c>
      <c r="K34" s="141">
        <f>'2.19_LP_Gasholders'!K19</f>
        <v>1.6325163584415576</v>
      </c>
      <c r="L34" s="141">
        <f>'2.19_LP_Gasholders'!L19</f>
        <v>1.8114748974450983</v>
      </c>
      <c r="M34" s="141">
        <f>'2.19_LP_Gasholders'!M19</f>
        <v>3.7208645433423122</v>
      </c>
      <c r="N34" s="141">
        <f>'2.19_LP_Gasholders'!N19</f>
        <v>1.9912688434545371</v>
      </c>
      <c r="O34" s="141">
        <f>'2.19_LP_Gasholders'!O19</f>
        <v>1.5502009799999994</v>
      </c>
      <c r="P34" s="141">
        <f>'2.19_LP_Gasholders'!P19</f>
        <v>2.7401920602778924</v>
      </c>
      <c r="Q34" s="142">
        <f>'2.19_LP_Gasholders'!Q19</f>
        <v>0.673426767167567</v>
      </c>
      <c r="R34" s="143">
        <f>'2.19_LP_Gasholders'!R19</f>
        <v>3.0441627146852031</v>
      </c>
      <c r="S34" s="141">
        <f>'2.19_LP_Gasholders'!S19</f>
        <v>3.1453577887485933</v>
      </c>
      <c r="T34" s="141">
        <f>'2.19_LP_Gasholders'!T19</f>
        <v>3.3189832210761887</v>
      </c>
      <c r="U34" s="141">
        <f>'2.19_LP_Gasholders'!U19</f>
        <v>3.7118083477291632</v>
      </c>
      <c r="V34" s="144">
        <f>'2.19_LP_Gasholders'!V19</f>
        <v>2.7661115443553879</v>
      </c>
    </row>
    <row r="35" spans="1:23" s="98" customFormat="1" ht="15" customHeight="1">
      <c r="A35" s="99"/>
      <c r="B35" s="161"/>
      <c r="C35" s="185"/>
      <c r="D35" s="162" t="s">
        <v>85</v>
      </c>
      <c r="E35" s="162"/>
      <c r="F35" s="162"/>
      <c r="G35" s="720" t="s">
        <v>1760</v>
      </c>
      <c r="H35" s="163"/>
      <c r="I35" s="164" t="s">
        <v>498</v>
      </c>
      <c r="J35" s="143">
        <v>7.3715698776084162E-3</v>
      </c>
      <c r="K35" s="141">
        <v>0.60267338181818164</v>
      </c>
      <c r="L35" s="141">
        <v>0.59187820634716681</v>
      </c>
      <c r="M35" s="141">
        <v>1.036003500196081</v>
      </c>
      <c r="N35" s="141">
        <v>0.87898502083591579</v>
      </c>
      <c r="O35" s="141">
        <v>0.68402428000000004</v>
      </c>
      <c r="P35" s="141">
        <v>0.5</v>
      </c>
      <c r="Q35" s="142">
        <v>0.79999999999999993</v>
      </c>
      <c r="R35" s="143">
        <v>1.4059999999999999</v>
      </c>
      <c r="S35" s="141">
        <v>0.311</v>
      </c>
      <c r="T35" s="141">
        <v>0.22599999999999998</v>
      </c>
      <c r="U35" s="141">
        <v>0.35899999999999999</v>
      </c>
      <c r="V35" s="144">
        <v>1.0979999999999999</v>
      </c>
    </row>
    <row r="36" spans="1:23" s="98" customFormat="1" ht="15" customHeight="1">
      <c r="A36" s="99"/>
      <c r="B36" s="161"/>
      <c r="C36" s="185"/>
      <c r="D36" s="162" t="s">
        <v>85</v>
      </c>
      <c r="E36" s="162"/>
      <c r="F36" s="162"/>
      <c r="G36" s="720" t="s">
        <v>1761</v>
      </c>
      <c r="H36" s="163"/>
      <c r="I36" s="164" t="s">
        <v>498</v>
      </c>
      <c r="J36" s="143">
        <v>0</v>
      </c>
      <c r="K36" s="141">
        <v>0</v>
      </c>
      <c r="L36" s="141">
        <v>0</v>
      </c>
      <c r="M36" s="141">
        <v>2.2474336805941311E-2</v>
      </c>
      <c r="N36" s="141">
        <v>5.9292608642891433E-3</v>
      </c>
      <c r="O36" s="141">
        <v>3.148450040258466E-3</v>
      </c>
      <c r="P36" s="141">
        <v>3.148450040258466E-3</v>
      </c>
      <c r="Q36" s="142">
        <v>3.1327077900571735E-3</v>
      </c>
      <c r="R36" s="143">
        <v>3.1170442511068881E-3</v>
      </c>
      <c r="S36" s="141">
        <v>3.1014590298513536E-3</v>
      </c>
      <c r="T36" s="141">
        <v>3.0859517347020969E-3</v>
      </c>
      <c r="U36" s="141">
        <v>3.0705219760285866E-3</v>
      </c>
      <c r="V36" s="144">
        <v>3.055169366148444E-3</v>
      </c>
    </row>
    <row r="37" spans="1:23" s="98" customFormat="1" ht="15" customHeight="1">
      <c r="A37" s="99"/>
      <c r="B37" s="161"/>
      <c r="C37" s="185"/>
      <c r="D37" s="162" t="s">
        <v>85</v>
      </c>
      <c r="E37" s="162"/>
      <c r="F37" s="162"/>
      <c r="G37" s="720" t="s">
        <v>1762</v>
      </c>
      <c r="H37" s="163"/>
      <c r="I37" s="164" t="s">
        <v>498</v>
      </c>
      <c r="J37" s="143">
        <v>1.5711944106017083E-2</v>
      </c>
      <c r="K37" s="141">
        <v>1.1037974025974021E-3</v>
      </c>
      <c r="L37" s="141">
        <v>0</v>
      </c>
      <c r="M37" s="141">
        <v>2.9518377460451622E-5</v>
      </c>
      <c r="N37" s="141">
        <v>7.2705702998821327E-3</v>
      </c>
      <c r="O37" s="141">
        <v>1.7250000732019509E-4</v>
      </c>
      <c r="P37" s="141">
        <v>1.7250000732019509E-4</v>
      </c>
      <c r="Q37" s="142">
        <v>1.7163750728359413E-4</v>
      </c>
      <c r="R37" s="143">
        <v>1.7077931974717616E-4</v>
      </c>
      <c r="S37" s="141">
        <v>1.6992542314844027E-4</v>
      </c>
      <c r="T37" s="141">
        <v>1.6907579603269807E-4</v>
      </c>
      <c r="U37" s="141">
        <v>1.6823041705253458E-4</v>
      </c>
      <c r="V37" s="144">
        <v>1.6738926496727191E-4</v>
      </c>
    </row>
    <row r="38" spans="1:23" s="98" customFormat="1" ht="15" customHeight="1">
      <c r="A38" s="99"/>
      <c r="B38" s="181"/>
      <c r="C38" s="2492" t="s">
        <v>1763</v>
      </c>
      <c r="D38" s="2493"/>
      <c r="E38" s="2493"/>
      <c r="F38" s="2493"/>
      <c r="G38" s="1726"/>
      <c r="H38" s="184"/>
      <c r="I38" s="164" t="s">
        <v>498</v>
      </c>
      <c r="J38" s="128">
        <f t="shared" ref="J38:V38" si="7">SUM(J25:J37)</f>
        <v>2.7979100330276498</v>
      </c>
      <c r="K38" s="129">
        <f t="shared" si="7"/>
        <v>4.5421263116883104</v>
      </c>
      <c r="L38" s="129">
        <f t="shared" si="7"/>
        <v>5.641210819326119</v>
      </c>
      <c r="M38" s="129">
        <f t="shared" si="7"/>
        <v>7.6566234747750226</v>
      </c>
      <c r="N38" s="129">
        <f t="shared" si="7"/>
        <v>5.2152618365162455</v>
      </c>
      <c r="O38" s="129">
        <f t="shared" si="7"/>
        <v>3.9917366836077943</v>
      </c>
      <c r="P38" s="129">
        <f t="shared" si="7"/>
        <v>5.2400941575612245</v>
      </c>
      <c r="Q38" s="795">
        <f t="shared" si="7"/>
        <v>3.463329353964482</v>
      </c>
      <c r="R38" s="128">
        <f t="shared" si="7"/>
        <v>6.4301157885481341</v>
      </c>
      <c r="S38" s="129">
        <f t="shared" si="7"/>
        <v>5.4264110972422097</v>
      </c>
      <c r="T38" s="129">
        <f t="shared" si="7"/>
        <v>5.5051862630273369</v>
      </c>
      <c r="U38" s="129">
        <f t="shared" si="7"/>
        <v>6.0212103744705567</v>
      </c>
      <c r="V38" s="130">
        <f t="shared" si="7"/>
        <v>5.8047615609630734</v>
      </c>
      <c r="W38" s="185"/>
    </row>
    <row r="39" spans="1:23" s="338" customFormat="1" ht="14.25">
      <c r="B39" s="349"/>
      <c r="C39" s="1393"/>
      <c r="D39" s="2494" t="s">
        <v>1764</v>
      </c>
      <c r="E39" s="2494"/>
      <c r="F39" s="2494"/>
      <c r="G39" s="1393"/>
      <c r="H39" s="339"/>
      <c r="I39" s="576" t="s">
        <v>498</v>
      </c>
      <c r="J39" s="297">
        <v>0</v>
      </c>
      <c r="K39" s="298" t="s">
        <v>1127</v>
      </c>
      <c r="L39" s="298">
        <v>0</v>
      </c>
      <c r="M39" s="298">
        <v>0</v>
      </c>
      <c r="N39" s="298">
        <v>0</v>
      </c>
      <c r="O39" s="298">
        <v>0</v>
      </c>
      <c r="P39" s="298">
        <v>0</v>
      </c>
      <c r="Q39" s="601">
        <v>0</v>
      </c>
      <c r="R39" s="297">
        <v>0</v>
      </c>
      <c r="S39" s="298">
        <v>0</v>
      </c>
      <c r="T39" s="298">
        <v>0</v>
      </c>
      <c r="U39" s="298">
        <v>0</v>
      </c>
      <c r="V39" s="299">
        <v>0</v>
      </c>
    </row>
    <row r="40" spans="1:23" s="338" customFormat="1" ht="14.25">
      <c r="B40" s="349"/>
      <c r="C40" s="1393"/>
      <c r="D40" s="2494" t="s">
        <v>1765</v>
      </c>
      <c r="E40" s="2494"/>
      <c r="F40" s="2494"/>
      <c r="G40" s="1393"/>
      <c r="H40" s="339"/>
      <c r="I40" s="973" t="s">
        <v>498</v>
      </c>
      <c r="J40" s="974">
        <v>0</v>
      </c>
      <c r="K40" s="975">
        <v>0</v>
      </c>
      <c r="L40" s="975">
        <v>0</v>
      </c>
      <c r="M40" s="975">
        <v>0</v>
      </c>
      <c r="N40" s="975">
        <v>0</v>
      </c>
      <c r="O40" s="975">
        <v>-9.1876270294189516E-2</v>
      </c>
      <c r="P40" s="975">
        <v>0</v>
      </c>
      <c r="Q40" s="1538">
        <v>0</v>
      </c>
      <c r="R40" s="974">
        <v>0</v>
      </c>
      <c r="S40" s="975">
        <v>0</v>
      </c>
      <c r="T40" s="975">
        <v>0</v>
      </c>
      <c r="U40" s="975">
        <v>0</v>
      </c>
      <c r="V40" s="976">
        <v>0</v>
      </c>
    </row>
    <row r="41" spans="1:23" s="338" customFormat="1" ht="14.25">
      <c r="B41" s="349"/>
      <c r="C41" s="1393" t="s">
        <v>1766</v>
      </c>
      <c r="D41" s="1393"/>
      <c r="E41" s="1393"/>
      <c r="F41" s="1393"/>
      <c r="G41" s="2495"/>
      <c r="H41" s="339"/>
      <c r="I41" s="164" t="s">
        <v>498</v>
      </c>
      <c r="J41" s="128">
        <f>SUM(J38:J40)</f>
        <v>2.7979100330276498</v>
      </c>
      <c r="K41" s="632">
        <f t="shared" ref="K41:V41" si="8">SUM(K38:K40)</f>
        <v>4.5421263116883104</v>
      </c>
      <c r="L41" s="632">
        <f t="shared" si="8"/>
        <v>5.641210819326119</v>
      </c>
      <c r="M41" s="632">
        <f t="shared" si="8"/>
        <v>7.6566234747750226</v>
      </c>
      <c r="N41" s="632">
        <f t="shared" si="8"/>
        <v>5.2152618365162455</v>
      </c>
      <c r="O41" s="632">
        <f t="shared" si="8"/>
        <v>3.899860413313605</v>
      </c>
      <c r="P41" s="632">
        <f t="shared" si="8"/>
        <v>5.2400941575612245</v>
      </c>
      <c r="Q41" s="1539">
        <f t="shared" si="8"/>
        <v>3.463329353964482</v>
      </c>
      <c r="R41" s="631">
        <f t="shared" si="8"/>
        <v>6.4301157885481341</v>
      </c>
      <c r="S41" s="632">
        <f t="shared" si="8"/>
        <v>5.4264110972422097</v>
      </c>
      <c r="T41" s="632">
        <f t="shared" si="8"/>
        <v>5.5051862630273369</v>
      </c>
      <c r="U41" s="632">
        <f t="shared" si="8"/>
        <v>6.0212103744705567</v>
      </c>
      <c r="V41" s="633">
        <f t="shared" si="8"/>
        <v>5.8047615609630734</v>
      </c>
    </row>
    <row r="42" spans="1:23" s="98" customFormat="1" ht="15" customHeight="1">
      <c r="A42" s="99"/>
      <c r="B42" s="161"/>
      <c r="C42" s="116"/>
      <c r="D42" s="116"/>
      <c r="E42" s="116"/>
      <c r="F42" s="116"/>
      <c r="G42" s="117"/>
      <c r="H42" s="117"/>
      <c r="I42" s="117"/>
      <c r="J42" s="713"/>
      <c r="K42" s="721"/>
      <c r="L42" s="721"/>
      <c r="M42" s="721"/>
      <c r="N42" s="721"/>
      <c r="O42" s="721"/>
      <c r="P42" s="721"/>
      <c r="Q42" s="721"/>
      <c r="R42" s="713"/>
      <c r="S42" s="721"/>
      <c r="T42" s="721"/>
      <c r="U42" s="721"/>
      <c r="V42" s="715"/>
    </row>
    <row r="43" spans="1:23" s="98" customFormat="1" ht="15" customHeight="1">
      <c r="A43" s="99"/>
      <c r="B43" s="161"/>
      <c r="C43" s="186" t="s">
        <v>1707</v>
      </c>
      <c r="D43" s="162"/>
      <c r="E43" s="162"/>
      <c r="F43" s="162"/>
      <c r="G43" s="163"/>
      <c r="H43" s="163"/>
      <c r="I43" s="117"/>
      <c r="J43" s="713"/>
      <c r="K43" s="721"/>
      <c r="L43" s="721"/>
      <c r="M43" s="721"/>
      <c r="N43" s="721"/>
      <c r="O43" s="721"/>
      <c r="P43" s="721"/>
      <c r="Q43" s="721"/>
      <c r="R43" s="713"/>
      <c r="S43" s="721"/>
      <c r="T43" s="721"/>
      <c r="U43" s="721"/>
      <c r="V43" s="715"/>
    </row>
    <row r="44" spans="1:23" s="98" customFormat="1" ht="15" customHeight="1">
      <c r="A44" s="99"/>
      <c r="B44" s="161"/>
      <c r="C44" s="185"/>
      <c r="D44" s="162" t="s">
        <v>1752</v>
      </c>
      <c r="E44" s="162"/>
      <c r="F44" s="162"/>
      <c r="G44" s="163"/>
      <c r="H44" s="163"/>
      <c r="I44" s="164" t="s">
        <v>498</v>
      </c>
      <c r="J44" s="143">
        <v>7.3885117781498737</v>
      </c>
      <c r="K44" s="141">
        <v>7.5223792987012965</v>
      </c>
      <c r="L44" s="141">
        <v>8.7580502120005121</v>
      </c>
      <c r="M44" s="141">
        <v>7.0389120075400227</v>
      </c>
      <c r="N44" s="141">
        <v>6.6815758444342981</v>
      </c>
      <c r="O44" s="141">
        <v>6.8880081541936606</v>
      </c>
      <c r="P44" s="141">
        <v>6.8508222343174534</v>
      </c>
      <c r="Q44" s="142">
        <v>6.8545127347312205</v>
      </c>
      <c r="R44" s="143">
        <v>6.8202401710575646</v>
      </c>
      <c r="S44" s="141">
        <v>6.7861389702022761</v>
      </c>
      <c r="T44" s="141">
        <v>6.7522082753512649</v>
      </c>
      <c r="U44" s="141">
        <v>6.7184472339745085</v>
      </c>
      <c r="V44" s="144">
        <v>6.6848549978046359</v>
      </c>
    </row>
    <row r="45" spans="1:23" s="98" customFormat="1" ht="15" customHeight="1">
      <c r="A45" s="99"/>
      <c r="B45" s="161"/>
      <c r="C45" s="185"/>
      <c r="D45" s="162" t="s">
        <v>1753</v>
      </c>
      <c r="E45" s="162"/>
      <c r="F45" s="162"/>
      <c r="G45" s="163"/>
      <c r="H45" s="163"/>
      <c r="I45" s="164" t="s">
        <v>498</v>
      </c>
      <c r="J45" s="143">
        <v>0.21718278133343699</v>
      </c>
      <c r="K45" s="141">
        <v>-1.2141771428571424E-2</v>
      </c>
      <c r="L45" s="141">
        <v>0.30467531286136446</v>
      </c>
      <c r="M45" s="141">
        <v>0.17317175349737579</v>
      </c>
      <c r="N45" s="141">
        <v>0.25545774811209593</v>
      </c>
      <c r="O45" s="141">
        <v>0.21080913330350182</v>
      </c>
      <c r="P45" s="141">
        <v>0.20967104935169581</v>
      </c>
      <c r="Q45" s="142">
        <v>0.20978399799755487</v>
      </c>
      <c r="R45" s="143">
        <v>0.2087350780075671</v>
      </c>
      <c r="S45" s="141">
        <v>0.20769140261752925</v>
      </c>
      <c r="T45" s="141">
        <v>0.20665294560444161</v>
      </c>
      <c r="U45" s="141">
        <v>0.20561968087641941</v>
      </c>
      <c r="V45" s="144">
        <v>0.20459158247203729</v>
      </c>
    </row>
    <row r="46" spans="1:23" s="98" customFormat="1" ht="15" customHeight="1">
      <c r="A46" s="99"/>
      <c r="B46" s="161"/>
      <c r="C46" s="185"/>
      <c r="D46" s="162" t="s">
        <v>1754</v>
      </c>
      <c r="E46" s="162"/>
      <c r="F46" s="162"/>
      <c r="G46" s="163"/>
      <c r="H46" s="163"/>
      <c r="I46" s="164" t="s">
        <v>498</v>
      </c>
      <c r="J46" s="143">
        <v>3.574843198730996E-2</v>
      </c>
      <c r="K46" s="141">
        <v>-0.12362530909090905</v>
      </c>
      <c r="L46" s="141">
        <v>1.0920262109726324E-2</v>
      </c>
      <c r="M46" s="141">
        <v>4.9918623274967155E-2</v>
      </c>
      <c r="N46" s="141">
        <v>0.11953188573049946</v>
      </c>
      <c r="O46" s="141">
        <v>9.6638492222890227E-2</v>
      </c>
      <c r="P46" s="141">
        <v>9.6116775182446546E-2</v>
      </c>
      <c r="Q46" s="142">
        <v>9.6168552762778997E-2</v>
      </c>
      <c r="R46" s="143">
        <v>9.5687709998965101E-2</v>
      </c>
      <c r="S46" s="141">
        <v>9.5209271448970262E-2</v>
      </c>
      <c r="T46" s="141">
        <v>9.4733225091725409E-2</v>
      </c>
      <c r="U46" s="141">
        <v>9.4259558966266782E-2</v>
      </c>
      <c r="V46" s="144">
        <v>9.3788261171435447E-2</v>
      </c>
    </row>
    <row r="47" spans="1:23" s="98" customFormat="1" ht="15" customHeight="1">
      <c r="A47" s="99"/>
      <c r="B47" s="161"/>
      <c r="C47" s="185"/>
      <c r="D47" s="162" t="s">
        <v>1755</v>
      </c>
      <c r="E47" s="162"/>
      <c r="F47" s="162"/>
      <c r="G47" s="163"/>
      <c r="H47" s="163"/>
      <c r="I47" s="164" t="s">
        <v>498</v>
      </c>
      <c r="J47" s="143">
        <v>0.66330479677181731</v>
      </c>
      <c r="K47" s="141">
        <v>0.22075948051948047</v>
      </c>
      <c r="L47" s="141">
        <v>3.7128891173069507E-2</v>
      </c>
      <c r="M47" s="141">
        <v>3.1414557672679734E-2</v>
      </c>
      <c r="N47" s="141">
        <v>7.3200081168099881E-2</v>
      </c>
      <c r="O47" s="141">
        <v>9.2251988831982146E-3</v>
      </c>
      <c r="P47" s="141">
        <v>9.1753952971929016E-3</v>
      </c>
      <c r="Q47" s="142">
        <v>9.1803380323833058E-3</v>
      </c>
      <c r="R47" s="143">
        <v>9.1344363422213894E-3</v>
      </c>
      <c r="S47" s="141">
        <v>9.0887641605102813E-3</v>
      </c>
      <c r="T47" s="141">
        <v>9.0433203397077295E-3</v>
      </c>
      <c r="U47" s="141">
        <v>8.9981037380091906E-3</v>
      </c>
      <c r="V47" s="144">
        <v>8.9531132193191431E-3</v>
      </c>
    </row>
    <row r="48" spans="1:23" s="98" customFormat="1" ht="15" customHeight="1">
      <c r="A48" s="99"/>
      <c r="B48" s="161"/>
      <c r="C48" s="185"/>
      <c r="D48" s="162" t="s">
        <v>1756</v>
      </c>
      <c r="E48" s="162"/>
      <c r="F48" s="162"/>
      <c r="G48" s="163"/>
      <c r="H48" s="163"/>
      <c r="I48" s="164" t="s">
        <v>498</v>
      </c>
      <c r="J48" s="143">
        <v>0.81839421752688846</v>
      </c>
      <c r="K48" s="141">
        <v>0.77707337142857114</v>
      </c>
      <c r="L48" s="141">
        <v>0.5471051316972888</v>
      </c>
      <c r="M48" s="141">
        <v>0.67342348053224843</v>
      </c>
      <c r="N48" s="141">
        <v>0.40354170445196175</v>
      </c>
      <c r="O48" s="141">
        <v>0.31493290106093713</v>
      </c>
      <c r="P48" s="141">
        <v>0.31323268971346602</v>
      </c>
      <c r="Q48" s="142">
        <v>0.31340142644775204</v>
      </c>
      <c r="R48" s="143">
        <v>0.31183441931551326</v>
      </c>
      <c r="S48" s="141">
        <v>0.31027524721893562</v>
      </c>
      <c r="T48" s="141">
        <v>0.30872387098284099</v>
      </c>
      <c r="U48" s="141">
        <v>0.30718025162792678</v>
      </c>
      <c r="V48" s="144">
        <v>0.3056443503697871</v>
      </c>
    </row>
    <row r="49" spans="1:23" s="98" customFormat="1" ht="15" customHeight="1">
      <c r="A49" s="99"/>
      <c r="B49" s="161"/>
      <c r="C49" s="185"/>
      <c r="D49" s="162" t="s">
        <v>1757</v>
      </c>
      <c r="E49" s="162"/>
      <c r="F49" s="162"/>
      <c r="G49" s="163"/>
      <c r="H49" s="163"/>
      <c r="I49" s="164" t="s">
        <v>498</v>
      </c>
      <c r="J49" s="143">
        <v>0</v>
      </c>
      <c r="K49" s="141">
        <v>0</v>
      </c>
      <c r="L49" s="141">
        <v>0</v>
      </c>
      <c r="M49" s="141">
        <v>0</v>
      </c>
      <c r="N49" s="141">
        <v>0</v>
      </c>
      <c r="O49" s="141">
        <v>0</v>
      </c>
      <c r="P49" s="141">
        <v>0</v>
      </c>
      <c r="Q49" s="142">
        <v>0</v>
      </c>
      <c r="R49" s="143">
        <v>0</v>
      </c>
      <c r="S49" s="141">
        <v>0</v>
      </c>
      <c r="T49" s="141">
        <v>0</v>
      </c>
      <c r="U49" s="141">
        <v>0</v>
      </c>
      <c r="V49" s="144">
        <v>0</v>
      </c>
    </row>
    <row r="50" spans="1:23" s="98" customFormat="1" ht="15" customHeight="1">
      <c r="A50" s="99"/>
      <c r="B50" s="161"/>
      <c r="C50" s="185"/>
      <c r="D50" s="162" t="s">
        <v>205</v>
      </c>
      <c r="E50" s="162"/>
      <c r="F50" s="162"/>
      <c r="G50" s="163"/>
      <c r="H50" s="163"/>
      <c r="I50" s="164" t="s">
        <v>498</v>
      </c>
      <c r="J50" s="143">
        <v>0</v>
      </c>
      <c r="K50" s="141">
        <v>2.3179745454545448E-2</v>
      </c>
      <c r="L50" s="141">
        <v>0</v>
      </c>
      <c r="M50" s="141">
        <v>8.4932163591947135E-3</v>
      </c>
      <c r="N50" s="141">
        <v>0.14309292366930063</v>
      </c>
      <c r="O50" s="141">
        <v>0.1835579120188435</v>
      </c>
      <c r="P50" s="141">
        <v>0.18256694777255109</v>
      </c>
      <c r="Q50" s="142">
        <v>0.18266529558734618</v>
      </c>
      <c r="R50" s="143">
        <v>0.18175196910940944</v>
      </c>
      <c r="S50" s="141">
        <v>0.18084320926386235</v>
      </c>
      <c r="T50" s="141">
        <v>0.17993899321754303</v>
      </c>
      <c r="U50" s="141">
        <v>0.17903929825145531</v>
      </c>
      <c r="V50" s="144">
        <v>0.17814410176019804</v>
      </c>
    </row>
    <row r="51" spans="1:23" s="98" customFormat="1" ht="15" customHeight="1">
      <c r="A51" s="99"/>
      <c r="B51" s="161"/>
      <c r="C51" s="185"/>
      <c r="D51" s="162" t="s">
        <v>1758</v>
      </c>
      <c r="E51" s="162"/>
      <c r="F51" s="162"/>
      <c r="G51" s="163"/>
      <c r="H51" s="163"/>
      <c r="I51" s="164" t="s">
        <v>498</v>
      </c>
      <c r="J51" s="143">
        <v>0</v>
      </c>
      <c r="K51" s="141">
        <v>0</v>
      </c>
      <c r="L51" s="141">
        <v>0</v>
      </c>
      <c r="M51" s="141">
        <v>0</v>
      </c>
      <c r="N51" s="141">
        <v>0</v>
      </c>
      <c r="O51" s="141">
        <v>0</v>
      </c>
      <c r="P51" s="141">
        <v>0</v>
      </c>
      <c r="Q51" s="142">
        <v>0</v>
      </c>
      <c r="R51" s="143">
        <v>0</v>
      </c>
      <c r="S51" s="141">
        <v>0</v>
      </c>
      <c r="T51" s="141">
        <v>0</v>
      </c>
      <c r="U51" s="141">
        <v>0</v>
      </c>
      <c r="V51" s="144">
        <v>0</v>
      </c>
    </row>
    <row r="52" spans="1:23" s="98" customFormat="1" ht="15" customHeight="1">
      <c r="A52" s="99"/>
      <c r="B52" s="161"/>
      <c r="C52" s="185"/>
      <c r="D52" s="162" t="s">
        <v>85</v>
      </c>
      <c r="E52" s="162"/>
      <c r="F52" s="162"/>
      <c r="G52" s="720" t="s">
        <v>1767</v>
      </c>
      <c r="H52" s="163"/>
      <c r="I52" s="164" t="s">
        <v>498</v>
      </c>
      <c r="J52" s="143">
        <v>0.20296869246701779</v>
      </c>
      <c r="K52" s="141">
        <v>2.7594935064935058E-2</v>
      </c>
      <c r="L52" s="141">
        <v>0</v>
      </c>
      <c r="M52" s="141">
        <v>0</v>
      </c>
      <c r="N52" s="141">
        <v>0</v>
      </c>
      <c r="O52" s="141">
        <v>0</v>
      </c>
      <c r="P52" s="141">
        <v>0</v>
      </c>
      <c r="Q52" s="142">
        <v>0</v>
      </c>
      <c r="R52" s="143">
        <v>0</v>
      </c>
      <c r="S52" s="141">
        <v>0</v>
      </c>
      <c r="T52" s="141">
        <v>0</v>
      </c>
      <c r="U52" s="141">
        <v>0</v>
      </c>
      <c r="V52" s="144">
        <v>0</v>
      </c>
    </row>
    <row r="53" spans="1:23" s="98" customFormat="1" ht="15" customHeight="1">
      <c r="A53" s="99"/>
      <c r="B53" s="161"/>
      <c r="C53" s="185"/>
      <c r="D53" s="162" t="s">
        <v>85</v>
      </c>
      <c r="E53" s="162"/>
      <c r="F53" s="162"/>
      <c r="G53" s="720" t="s">
        <v>55</v>
      </c>
      <c r="H53" s="163"/>
      <c r="I53" s="164" t="s">
        <v>498</v>
      </c>
      <c r="J53" s="143">
        <v>0.14570112691446882</v>
      </c>
      <c r="K53" s="141">
        <v>0.22627846753246744</v>
      </c>
      <c r="L53" s="141">
        <v>0.19438066555312855</v>
      </c>
      <c r="M53" s="141">
        <v>0.15826048753569497</v>
      </c>
      <c r="N53" s="141">
        <v>0.14940387143960879</v>
      </c>
      <c r="O53" s="141">
        <v>0</v>
      </c>
      <c r="P53" s="141">
        <v>0</v>
      </c>
      <c r="Q53" s="142">
        <v>0</v>
      </c>
      <c r="R53" s="143">
        <v>0</v>
      </c>
      <c r="S53" s="141">
        <v>0</v>
      </c>
      <c r="T53" s="141">
        <v>0</v>
      </c>
      <c r="U53" s="141">
        <v>0</v>
      </c>
      <c r="V53" s="144">
        <v>0</v>
      </c>
    </row>
    <row r="54" spans="1:23" s="98" customFormat="1" ht="15" customHeight="1">
      <c r="A54" s="99"/>
      <c r="B54" s="161"/>
      <c r="C54" s="185"/>
      <c r="D54" s="162" t="s">
        <v>85</v>
      </c>
      <c r="E54" s="162"/>
      <c r="F54" s="162"/>
      <c r="G54" s="720" t="s">
        <v>1762</v>
      </c>
      <c r="H54" s="163"/>
      <c r="I54" s="164" t="s">
        <v>498</v>
      </c>
      <c r="J54" s="143">
        <v>4.2244756314190023E-2</v>
      </c>
      <c r="K54" s="141">
        <v>-1.7660758441558434E-2</v>
      </c>
      <c r="L54" s="141">
        <v>3.4944838751124238E-2</v>
      </c>
      <c r="M54" s="141">
        <v>2.1575927421944901E-2</v>
      </c>
      <c r="N54" s="141">
        <v>5.4774240333493127E-3</v>
      </c>
      <c r="O54" s="141">
        <v>2.163383467951252E-2</v>
      </c>
      <c r="P54" s="141">
        <v>2.1517041257524818E-2</v>
      </c>
      <c r="Q54" s="142">
        <v>2.1528632369795422E-2</v>
      </c>
      <c r="R54" s="143">
        <v>2.1420989207946446E-2</v>
      </c>
      <c r="S54" s="141">
        <v>2.1313884261906713E-2</v>
      </c>
      <c r="T54" s="141">
        <v>2.120731484059718E-2</v>
      </c>
      <c r="U54" s="141">
        <v>2.1101278266394193E-2</v>
      </c>
      <c r="V54" s="144">
        <v>2.0995771875062217E-2</v>
      </c>
    </row>
    <row r="55" spans="1:23" s="98" customFormat="1" ht="15" customHeight="1">
      <c r="A55" s="99"/>
      <c r="B55" s="161"/>
      <c r="C55" s="185"/>
      <c r="D55" s="162" t="s">
        <v>85</v>
      </c>
      <c r="E55" s="162"/>
      <c r="F55" s="162"/>
      <c r="G55" s="720" t="s">
        <v>1768</v>
      </c>
      <c r="H55" s="163"/>
      <c r="I55" s="164" t="s">
        <v>498</v>
      </c>
      <c r="J55" s="143">
        <v>0.33910289470558075</v>
      </c>
      <c r="K55" s="141">
        <v>0.26270378181818171</v>
      </c>
      <c r="L55" s="141">
        <v>1.8564445586534754E-2</v>
      </c>
      <c r="M55" s="141">
        <v>0</v>
      </c>
      <c r="N55" s="141">
        <v>0</v>
      </c>
      <c r="O55" s="141">
        <v>0</v>
      </c>
      <c r="P55" s="141">
        <v>0</v>
      </c>
      <c r="Q55" s="142">
        <v>0</v>
      </c>
      <c r="R55" s="143">
        <v>0</v>
      </c>
      <c r="S55" s="141">
        <v>0</v>
      </c>
      <c r="T55" s="141">
        <v>0</v>
      </c>
      <c r="U55" s="141">
        <v>0</v>
      </c>
      <c r="V55" s="144">
        <v>0</v>
      </c>
    </row>
    <row r="56" spans="1:23" s="98" customFormat="1" ht="15" customHeight="1">
      <c r="A56" s="99"/>
      <c r="B56" s="161"/>
      <c r="C56" s="185"/>
      <c r="D56" s="162" t="s">
        <v>85</v>
      </c>
      <c r="E56" s="162"/>
      <c r="F56" s="162"/>
      <c r="G56" s="720" t="s">
        <v>1761</v>
      </c>
      <c r="H56" s="163"/>
      <c r="I56" s="164" t="s">
        <v>498</v>
      </c>
      <c r="J56" s="143">
        <v>0</v>
      </c>
      <c r="K56" s="141">
        <v>0</v>
      </c>
      <c r="L56" s="141">
        <v>0</v>
      </c>
      <c r="M56" s="141">
        <v>1.1763271205017505E-2</v>
      </c>
      <c r="N56" s="141">
        <v>1.2275804027674708E-2</v>
      </c>
      <c r="O56" s="141">
        <v>1.282137060165413E-2</v>
      </c>
      <c r="P56" s="141">
        <v>1.2752152556433612E-2</v>
      </c>
      <c r="Q56" s="142">
        <v>1.2759022071168675E-2</v>
      </c>
      <c r="R56" s="143">
        <v>1.2695226960812831E-2</v>
      </c>
      <c r="S56" s="141">
        <v>1.2631750826008765E-2</v>
      </c>
      <c r="T56" s="141">
        <v>1.2568592071878722E-2</v>
      </c>
      <c r="U56" s="141">
        <v>1.2505749111519329E-2</v>
      </c>
      <c r="V56" s="144">
        <v>1.2443220365961729E-2</v>
      </c>
    </row>
    <row r="57" spans="1:23" s="98" customFormat="1" ht="15" customHeight="1">
      <c r="A57" s="99"/>
      <c r="B57" s="181"/>
      <c r="C57" s="2492" t="s">
        <v>1763</v>
      </c>
      <c r="D57" s="183"/>
      <c r="E57" s="183"/>
      <c r="F57" s="183"/>
      <c r="G57" s="184"/>
      <c r="H57" s="184"/>
      <c r="I57" s="164" t="s">
        <v>498</v>
      </c>
      <c r="J57" s="128">
        <f t="shared" ref="J57:V57" si="9">SUM(J44:J56)</f>
        <v>9.8531594761705836</v>
      </c>
      <c r="K57" s="129">
        <f t="shared" si="9"/>
        <v>8.906541241558438</v>
      </c>
      <c r="L57" s="129">
        <f t="shared" si="9"/>
        <v>9.905769759732749</v>
      </c>
      <c r="M57" s="129">
        <f t="shared" si="9"/>
        <v>8.166933325039146</v>
      </c>
      <c r="N57" s="129">
        <f t="shared" si="9"/>
        <v>7.8435572870668882</v>
      </c>
      <c r="O57" s="129">
        <f t="shared" si="9"/>
        <v>7.737626996964198</v>
      </c>
      <c r="P57" s="129">
        <f t="shared" si="9"/>
        <v>7.6958542854487648</v>
      </c>
      <c r="Q57" s="795">
        <f t="shared" si="9"/>
        <v>7.7</v>
      </c>
      <c r="R57" s="128">
        <f t="shared" si="9"/>
        <v>7.6615000000000011</v>
      </c>
      <c r="S57" s="129">
        <f t="shared" si="9"/>
        <v>7.6231925</v>
      </c>
      <c r="T57" s="129">
        <f t="shared" si="9"/>
        <v>7.5850765375</v>
      </c>
      <c r="U57" s="129">
        <f t="shared" si="9"/>
        <v>7.547151154812501</v>
      </c>
      <c r="V57" s="130">
        <f t="shared" si="9"/>
        <v>7.5094153990384385</v>
      </c>
      <c r="W57" s="185"/>
    </row>
    <row r="58" spans="1:23" s="338" customFormat="1" ht="14.25">
      <c r="B58" s="349"/>
      <c r="C58" s="1393"/>
      <c r="D58" s="624" t="s">
        <v>1764</v>
      </c>
      <c r="E58" s="624"/>
      <c r="F58" s="624"/>
      <c r="G58" s="339"/>
      <c r="H58" s="339"/>
      <c r="I58" s="576" t="s">
        <v>498</v>
      </c>
      <c r="J58" s="297">
        <v>0</v>
      </c>
      <c r="K58" s="298" t="s">
        <v>1127</v>
      </c>
      <c r="L58" s="298">
        <v>0</v>
      </c>
      <c r="M58" s="298">
        <v>0</v>
      </c>
      <c r="N58" s="298">
        <v>0</v>
      </c>
      <c r="O58" s="298">
        <v>0</v>
      </c>
      <c r="P58" s="298">
        <v>0</v>
      </c>
      <c r="Q58" s="601">
        <v>0</v>
      </c>
      <c r="R58" s="297">
        <v>0</v>
      </c>
      <c r="S58" s="298">
        <v>0</v>
      </c>
      <c r="T58" s="298">
        <v>0</v>
      </c>
      <c r="U58" s="298">
        <v>0</v>
      </c>
      <c r="V58" s="299">
        <v>0</v>
      </c>
    </row>
    <row r="59" spans="1:23" s="338" customFormat="1" ht="14.25">
      <c r="B59" s="349"/>
      <c r="C59" s="1393"/>
      <c r="D59" s="624" t="s">
        <v>1765</v>
      </c>
      <c r="E59" s="624"/>
      <c r="F59" s="624"/>
      <c r="G59" s="339"/>
      <c r="H59" s="339"/>
      <c r="I59" s="973" t="s">
        <v>498</v>
      </c>
      <c r="J59" s="974">
        <v>3.2623867245059105E-3</v>
      </c>
      <c r="K59" s="975">
        <v>-1.7660758441558434E-2</v>
      </c>
      <c r="L59" s="975">
        <v>0</v>
      </c>
      <c r="M59" s="975">
        <v>1.9839642540162619E-4</v>
      </c>
      <c r="N59" s="975">
        <v>-3.7265779551268481E-2</v>
      </c>
      <c r="O59" s="975">
        <v>-4.1772711515434366E-2</v>
      </c>
      <c r="P59" s="975">
        <v>0</v>
      </c>
      <c r="Q59" s="1538">
        <v>0</v>
      </c>
      <c r="R59" s="974">
        <v>0</v>
      </c>
      <c r="S59" s="975">
        <v>0</v>
      </c>
      <c r="T59" s="975">
        <v>0</v>
      </c>
      <c r="U59" s="975">
        <v>0</v>
      </c>
      <c r="V59" s="976">
        <v>0</v>
      </c>
    </row>
    <row r="60" spans="1:23" s="338" customFormat="1" ht="14.25">
      <c r="B60" s="349"/>
      <c r="C60" s="1393" t="s">
        <v>1766</v>
      </c>
      <c r="D60" s="339"/>
      <c r="E60" s="339"/>
      <c r="F60" s="339"/>
      <c r="G60" s="625"/>
      <c r="H60" s="339"/>
      <c r="I60" s="164" t="s">
        <v>498</v>
      </c>
      <c r="J60" s="128">
        <f>SUM(J57:J59)</f>
        <v>9.8564218628950897</v>
      </c>
      <c r="K60" s="632">
        <f t="shared" ref="K60:V60" si="10">SUM(K57:K59)</f>
        <v>8.8888804831168802</v>
      </c>
      <c r="L60" s="632">
        <f t="shared" si="10"/>
        <v>9.905769759732749</v>
      </c>
      <c r="M60" s="632">
        <f t="shared" si="10"/>
        <v>8.167131721464548</v>
      </c>
      <c r="N60" s="632">
        <f t="shared" si="10"/>
        <v>7.8062915075156196</v>
      </c>
      <c r="O60" s="632">
        <f t="shared" si="10"/>
        <v>7.6958542854487639</v>
      </c>
      <c r="P60" s="632">
        <f t="shared" si="10"/>
        <v>7.6958542854487648</v>
      </c>
      <c r="Q60" s="1539">
        <f t="shared" si="10"/>
        <v>7.7</v>
      </c>
      <c r="R60" s="631">
        <f t="shared" si="10"/>
        <v>7.6615000000000011</v>
      </c>
      <c r="S60" s="632">
        <f t="shared" si="10"/>
        <v>7.6231925</v>
      </c>
      <c r="T60" s="632">
        <f t="shared" si="10"/>
        <v>7.5850765375</v>
      </c>
      <c r="U60" s="632">
        <f t="shared" si="10"/>
        <v>7.547151154812501</v>
      </c>
      <c r="V60" s="633">
        <f t="shared" si="10"/>
        <v>7.5094153990384385</v>
      </c>
    </row>
    <row r="61" spans="1:23" s="98" customFormat="1" ht="15" customHeight="1">
      <c r="A61" s="99"/>
      <c r="B61" s="161"/>
      <c r="C61" s="116"/>
      <c r="D61" s="116"/>
      <c r="E61" s="116"/>
      <c r="F61" s="116"/>
      <c r="G61" s="117"/>
      <c r="H61" s="117"/>
      <c r="I61" s="117"/>
      <c r="J61" s="713"/>
      <c r="K61" s="721"/>
      <c r="L61" s="721"/>
      <c r="M61" s="721"/>
      <c r="N61" s="721"/>
      <c r="O61" s="721"/>
      <c r="P61" s="721"/>
      <c r="Q61" s="721"/>
      <c r="R61" s="713"/>
      <c r="S61" s="721"/>
      <c r="T61" s="721"/>
      <c r="U61" s="721"/>
      <c r="V61" s="715"/>
    </row>
    <row r="62" spans="1:23" s="98" customFormat="1" ht="15" customHeight="1">
      <c r="A62" s="99"/>
      <c r="B62" s="161"/>
      <c r="C62" s="186" t="s">
        <v>1708</v>
      </c>
      <c r="D62" s="162"/>
      <c r="E62" s="162"/>
      <c r="F62" s="162"/>
      <c r="G62" s="163"/>
      <c r="H62" s="163"/>
      <c r="I62" s="117"/>
      <c r="J62" s="713"/>
      <c r="K62" s="721"/>
      <c r="L62" s="721"/>
      <c r="M62" s="721"/>
      <c r="N62" s="721"/>
      <c r="O62" s="721"/>
      <c r="P62" s="721"/>
      <c r="Q62" s="721"/>
      <c r="R62" s="713"/>
      <c r="S62" s="721"/>
      <c r="T62" s="721"/>
      <c r="U62" s="721"/>
      <c r="V62" s="715"/>
    </row>
    <row r="63" spans="1:23" s="98" customFormat="1" ht="15" customHeight="1">
      <c r="A63" s="99"/>
      <c r="B63" s="161"/>
      <c r="C63" s="185"/>
      <c r="D63" s="162" t="s">
        <v>1752</v>
      </c>
      <c r="E63" s="162"/>
      <c r="F63" s="162"/>
      <c r="G63" s="163"/>
      <c r="H63" s="163"/>
      <c r="I63" s="164" t="s">
        <v>498</v>
      </c>
      <c r="J63" s="143">
        <v>0.33149917905773096</v>
      </c>
      <c r="K63" s="141">
        <v>0.66779742857142832</v>
      </c>
      <c r="L63" s="141">
        <v>0.41933806501349086</v>
      </c>
      <c r="M63" s="141">
        <v>0.3802189053027577</v>
      </c>
      <c r="N63" s="141">
        <v>0.73898226012252244</v>
      </c>
      <c r="O63" s="141">
        <v>0.65685448177207362</v>
      </c>
      <c r="P63" s="141">
        <v>0.73298226012252243</v>
      </c>
      <c r="Q63" s="142">
        <v>0.72931734882190979</v>
      </c>
      <c r="R63" s="143">
        <v>0.72567076207780024</v>
      </c>
      <c r="S63" s="141">
        <v>0.72204240826741128</v>
      </c>
      <c r="T63" s="141">
        <v>0.71843219622607424</v>
      </c>
      <c r="U63" s="141">
        <v>0.71484003524494377</v>
      </c>
      <c r="V63" s="144">
        <v>0.71126583506871899</v>
      </c>
    </row>
    <row r="64" spans="1:23" s="98" customFormat="1" ht="15" customHeight="1">
      <c r="A64" s="99"/>
      <c r="B64" s="161"/>
      <c r="C64" s="185"/>
      <c r="D64" s="162" t="s">
        <v>1753</v>
      </c>
      <c r="E64" s="162"/>
      <c r="F64" s="162"/>
      <c r="G64" s="163"/>
      <c r="H64" s="163"/>
      <c r="I64" s="164" t="s">
        <v>498</v>
      </c>
      <c r="J64" s="143">
        <v>1.8774432346653228E-2</v>
      </c>
      <c r="K64" s="141">
        <v>0</v>
      </c>
      <c r="L64" s="141">
        <v>1.1575477836309904</v>
      </c>
      <c r="M64" s="141">
        <v>1.5433272151267958</v>
      </c>
      <c r="N64" s="141">
        <v>1.4557551065306209</v>
      </c>
      <c r="O64" s="141">
        <v>0.92106097412109356</v>
      </c>
      <c r="P64" s="141">
        <v>1.45</v>
      </c>
      <c r="Q64" s="142">
        <v>1.4427499999999998</v>
      </c>
      <c r="R64" s="143">
        <v>1.43553625</v>
      </c>
      <c r="S64" s="141">
        <v>1.42835856875</v>
      </c>
      <c r="T64" s="141">
        <v>1.42121677590625</v>
      </c>
      <c r="U64" s="141">
        <v>1.4141106920267186</v>
      </c>
      <c r="V64" s="144">
        <v>1.4070401385665849</v>
      </c>
    </row>
    <row r="65" spans="1:23" s="98" customFormat="1" ht="15" customHeight="1">
      <c r="A65" s="99"/>
      <c r="B65" s="161"/>
      <c r="C65" s="185"/>
      <c r="D65" s="162" t="s">
        <v>1754</v>
      </c>
      <c r="E65" s="162"/>
      <c r="F65" s="162"/>
      <c r="G65" s="163"/>
      <c r="H65" s="163"/>
      <c r="I65" s="164" t="s">
        <v>498</v>
      </c>
      <c r="J65" s="143">
        <v>4.2639744762197784E-2</v>
      </c>
      <c r="K65" s="141">
        <v>2.2075948051948043E-3</v>
      </c>
      <c r="L65" s="141">
        <v>2.1840524219452649E-3</v>
      </c>
      <c r="M65" s="141">
        <v>7.9194139647989353E-3</v>
      </c>
      <c r="N65" s="141">
        <v>2.0517848247413677E-3</v>
      </c>
      <c r="O65" s="141">
        <v>2.8479300439357732E-3</v>
      </c>
      <c r="P65" s="141">
        <v>2.4498574343385705E-3</v>
      </c>
      <c r="Q65" s="142">
        <v>2.4376081471668776E-3</v>
      </c>
      <c r="R65" s="143">
        <v>2.425420106431043E-3</v>
      </c>
      <c r="S65" s="141">
        <v>2.4132930058988877E-3</v>
      </c>
      <c r="T65" s="141">
        <v>2.4012265408693933E-3</v>
      </c>
      <c r="U65" s="141">
        <v>2.3892204081650465E-3</v>
      </c>
      <c r="V65" s="144">
        <v>2.377274306124221E-3</v>
      </c>
    </row>
    <row r="66" spans="1:23" s="98" customFormat="1" ht="15" customHeight="1">
      <c r="A66" s="99"/>
      <c r="B66" s="161"/>
      <c r="C66" s="185"/>
      <c r="D66" s="162" t="s">
        <v>1755</v>
      </c>
      <c r="E66" s="162"/>
      <c r="F66" s="162"/>
      <c r="G66" s="163"/>
      <c r="H66" s="163"/>
      <c r="I66" s="164" t="s">
        <v>498</v>
      </c>
      <c r="J66" s="143">
        <v>0.26681708916256502</v>
      </c>
      <c r="K66" s="141">
        <v>0</v>
      </c>
      <c r="L66" s="141">
        <v>1.3104314531671589E-2</v>
      </c>
      <c r="M66" s="141">
        <v>9.2598113047941046E-3</v>
      </c>
      <c r="N66" s="141">
        <v>0</v>
      </c>
      <c r="O66" s="141">
        <v>0</v>
      </c>
      <c r="P66" s="141">
        <v>0</v>
      </c>
      <c r="Q66" s="142">
        <v>0</v>
      </c>
      <c r="R66" s="143">
        <v>0</v>
      </c>
      <c r="S66" s="141">
        <v>0</v>
      </c>
      <c r="T66" s="141">
        <v>0</v>
      </c>
      <c r="U66" s="141">
        <v>0</v>
      </c>
      <c r="V66" s="144">
        <v>0</v>
      </c>
    </row>
    <row r="67" spans="1:23" s="98" customFormat="1" ht="15" customHeight="1">
      <c r="A67" s="99"/>
      <c r="B67" s="161"/>
      <c r="C67" s="185"/>
      <c r="D67" s="162" t="s">
        <v>1756</v>
      </c>
      <c r="E67" s="162"/>
      <c r="F67" s="162"/>
      <c r="G67" s="163"/>
      <c r="H67" s="163"/>
      <c r="I67" s="164" t="s">
        <v>498</v>
      </c>
      <c r="J67" s="143">
        <v>2.9718215834261329E-2</v>
      </c>
      <c r="K67" s="141">
        <v>6.070885714285712E-2</v>
      </c>
      <c r="L67" s="141">
        <v>5.6785362970576882E-2</v>
      </c>
      <c r="M67" s="141">
        <v>3.4475561841866925E-2</v>
      </c>
      <c r="N67" s="141">
        <v>1.9182248090270193E-2</v>
      </c>
      <c r="O67" s="141">
        <v>1.0413709919899709E-2</v>
      </c>
      <c r="P67" s="141">
        <v>1.4797979005084951E-2</v>
      </c>
      <c r="Q67" s="142">
        <v>1.4723989110059524E-2</v>
      </c>
      <c r="R67" s="143">
        <v>1.4650369164509226E-2</v>
      </c>
      <c r="S67" s="141">
        <v>1.4577117318686682E-2</v>
      </c>
      <c r="T67" s="141">
        <v>1.450423173209325E-2</v>
      </c>
      <c r="U67" s="141">
        <v>1.4431710573432783E-2</v>
      </c>
      <c r="V67" s="144">
        <v>1.4359552020565618E-2</v>
      </c>
    </row>
    <row r="68" spans="1:23" s="98" customFormat="1" ht="15" customHeight="1">
      <c r="A68" s="99"/>
      <c r="B68" s="161"/>
      <c r="C68" s="185"/>
      <c r="D68" s="162" t="s">
        <v>1757</v>
      </c>
      <c r="E68" s="162"/>
      <c r="F68" s="162"/>
      <c r="G68" s="163"/>
      <c r="H68" s="163"/>
      <c r="I68" s="164" t="s">
        <v>498</v>
      </c>
      <c r="J68" s="143">
        <v>0</v>
      </c>
      <c r="K68" s="141">
        <v>0</v>
      </c>
      <c r="L68" s="141">
        <v>0</v>
      </c>
      <c r="M68" s="141">
        <v>0</v>
      </c>
      <c r="N68" s="141">
        <v>0</v>
      </c>
      <c r="O68" s="141">
        <v>0</v>
      </c>
      <c r="P68" s="141">
        <v>0</v>
      </c>
      <c r="Q68" s="142">
        <v>0</v>
      </c>
      <c r="R68" s="143">
        <v>0</v>
      </c>
      <c r="S68" s="141">
        <v>0</v>
      </c>
      <c r="T68" s="141">
        <v>0</v>
      </c>
      <c r="U68" s="141">
        <v>0</v>
      </c>
      <c r="V68" s="144">
        <v>0</v>
      </c>
    </row>
    <row r="69" spans="1:23" s="98" customFormat="1" ht="15" customHeight="1">
      <c r="A69" s="99"/>
      <c r="B69" s="161"/>
      <c r="C69" s="185"/>
      <c r="D69" s="162" t="s">
        <v>205</v>
      </c>
      <c r="E69" s="162"/>
      <c r="F69" s="162"/>
      <c r="G69" s="163"/>
      <c r="H69" s="163"/>
      <c r="I69" s="164" t="s">
        <v>498</v>
      </c>
      <c r="J69" s="143">
        <v>1.4243955049993439E-2</v>
      </c>
      <c r="K69" s="141">
        <v>2.2075948051948043E-3</v>
      </c>
      <c r="L69" s="141">
        <v>1.7472419375562119E-2</v>
      </c>
      <c r="M69" s="141">
        <v>0</v>
      </c>
      <c r="N69" s="141">
        <v>0</v>
      </c>
      <c r="O69" s="141">
        <v>0</v>
      </c>
      <c r="P69" s="141">
        <v>0</v>
      </c>
      <c r="Q69" s="142">
        <v>0</v>
      </c>
      <c r="R69" s="143">
        <v>0</v>
      </c>
      <c r="S69" s="141">
        <v>0</v>
      </c>
      <c r="T69" s="141">
        <v>0</v>
      </c>
      <c r="U69" s="141">
        <v>0</v>
      </c>
      <c r="V69" s="144">
        <v>0</v>
      </c>
    </row>
    <row r="70" spans="1:23" s="98" customFormat="1" ht="15" customHeight="1">
      <c r="A70" s="99"/>
      <c r="B70" s="161"/>
      <c r="C70" s="185"/>
      <c r="D70" s="162" t="s">
        <v>1758</v>
      </c>
      <c r="E70" s="162"/>
      <c r="F70" s="162"/>
      <c r="G70" s="163"/>
      <c r="H70" s="163"/>
      <c r="I70" s="164" t="s">
        <v>498</v>
      </c>
      <c r="J70" s="143">
        <v>0</v>
      </c>
      <c r="K70" s="141">
        <v>0</v>
      </c>
      <c r="L70" s="141">
        <v>0</v>
      </c>
      <c r="M70" s="141">
        <v>0</v>
      </c>
      <c r="N70" s="141">
        <v>0</v>
      </c>
      <c r="O70" s="141">
        <v>0</v>
      </c>
      <c r="P70" s="141">
        <v>0</v>
      </c>
      <c r="Q70" s="142">
        <v>0</v>
      </c>
      <c r="R70" s="143">
        <v>0</v>
      </c>
      <c r="S70" s="141">
        <v>0</v>
      </c>
      <c r="T70" s="141">
        <v>0</v>
      </c>
      <c r="U70" s="141">
        <v>0</v>
      </c>
      <c r="V70" s="144">
        <v>0</v>
      </c>
    </row>
    <row r="71" spans="1:23" s="98" customFormat="1" ht="15" customHeight="1">
      <c r="A71" s="99"/>
      <c r="B71" s="161"/>
      <c r="C71" s="185"/>
      <c r="D71" s="162" t="s">
        <v>85</v>
      </c>
      <c r="E71" s="162"/>
      <c r="F71" s="162"/>
      <c r="G71" s="720" t="s">
        <v>1767</v>
      </c>
      <c r="H71" s="163"/>
      <c r="I71" s="164" t="s">
        <v>498</v>
      </c>
      <c r="J71" s="143">
        <v>1.1216715777430844E-3</v>
      </c>
      <c r="K71" s="141">
        <v>0</v>
      </c>
      <c r="L71" s="141">
        <v>0</v>
      </c>
      <c r="M71" s="141">
        <v>0</v>
      </c>
      <c r="N71" s="141">
        <v>0</v>
      </c>
      <c r="O71" s="141">
        <v>0</v>
      </c>
      <c r="P71" s="141">
        <v>0</v>
      </c>
      <c r="Q71" s="142">
        <v>0</v>
      </c>
      <c r="R71" s="143">
        <v>0</v>
      </c>
      <c r="S71" s="141">
        <v>0</v>
      </c>
      <c r="T71" s="141">
        <v>0</v>
      </c>
      <c r="U71" s="141">
        <v>0</v>
      </c>
      <c r="V71" s="144">
        <v>0</v>
      </c>
    </row>
    <row r="72" spans="1:23" s="98" customFormat="1" ht="15" customHeight="1">
      <c r="A72" s="99"/>
      <c r="B72" s="161"/>
      <c r="C72" s="185"/>
      <c r="D72" s="162" t="s">
        <v>85</v>
      </c>
      <c r="E72" s="162"/>
      <c r="F72" s="162"/>
      <c r="G72" s="720" t="s">
        <v>55</v>
      </c>
      <c r="H72" s="163"/>
      <c r="I72" s="164" t="s">
        <v>498</v>
      </c>
      <c r="J72" s="143">
        <v>2.5243406466375082E-3</v>
      </c>
      <c r="K72" s="141">
        <v>0</v>
      </c>
      <c r="L72" s="141">
        <v>0</v>
      </c>
      <c r="M72" s="141">
        <v>2.4945755207704377E-4</v>
      </c>
      <c r="N72" s="141">
        <v>0</v>
      </c>
      <c r="O72" s="141">
        <v>0</v>
      </c>
      <c r="P72" s="141">
        <v>0</v>
      </c>
      <c r="Q72" s="142">
        <v>0</v>
      </c>
      <c r="R72" s="143">
        <v>0</v>
      </c>
      <c r="S72" s="141">
        <v>0</v>
      </c>
      <c r="T72" s="141">
        <v>0</v>
      </c>
      <c r="U72" s="141">
        <v>0</v>
      </c>
      <c r="V72" s="144">
        <v>0</v>
      </c>
    </row>
    <row r="73" spans="1:23" s="98" customFormat="1" ht="15" customHeight="1">
      <c r="A73" s="99"/>
      <c r="B73" s="161"/>
      <c r="C73" s="185"/>
      <c r="D73" s="162" t="s">
        <v>85</v>
      </c>
      <c r="E73" s="162"/>
      <c r="F73" s="162"/>
      <c r="G73" s="720" t="s">
        <v>1762</v>
      </c>
      <c r="H73" s="163"/>
      <c r="I73" s="164" t="s">
        <v>498</v>
      </c>
      <c r="J73" s="143">
        <v>-1.1207712333305517E-3</v>
      </c>
      <c r="K73" s="141">
        <v>0</v>
      </c>
      <c r="L73" s="141">
        <v>0</v>
      </c>
      <c r="M73" s="141">
        <v>0</v>
      </c>
      <c r="N73" s="141">
        <v>0</v>
      </c>
      <c r="O73" s="141">
        <v>0</v>
      </c>
      <c r="P73" s="141">
        <v>0</v>
      </c>
      <c r="Q73" s="142">
        <v>0</v>
      </c>
      <c r="R73" s="143">
        <v>0</v>
      </c>
      <c r="S73" s="141">
        <v>0</v>
      </c>
      <c r="T73" s="141">
        <v>0</v>
      </c>
      <c r="U73" s="141">
        <v>0</v>
      </c>
      <c r="V73" s="144">
        <v>0</v>
      </c>
    </row>
    <row r="74" spans="1:23" s="98" customFormat="1" ht="15" customHeight="1">
      <c r="A74" s="99"/>
      <c r="B74" s="161"/>
      <c r="C74" s="185"/>
      <c r="D74" s="162" t="s">
        <v>85</v>
      </c>
      <c r="E74" s="162"/>
      <c r="F74" s="162"/>
      <c r="G74" s="720" t="s">
        <v>1768</v>
      </c>
      <c r="H74" s="163"/>
      <c r="I74" s="164" t="s">
        <v>498</v>
      </c>
      <c r="J74" s="143">
        <v>2.5882865506329313</v>
      </c>
      <c r="K74" s="141">
        <v>1.7153011636363631</v>
      </c>
      <c r="L74" s="141">
        <v>2.1840524219452649E-3</v>
      </c>
      <c r="M74" s="141">
        <v>0</v>
      </c>
      <c r="N74" s="141">
        <v>0</v>
      </c>
      <c r="O74" s="141">
        <v>0</v>
      </c>
      <c r="P74" s="141">
        <v>0</v>
      </c>
      <c r="Q74" s="142">
        <v>0</v>
      </c>
      <c r="R74" s="143">
        <v>0</v>
      </c>
      <c r="S74" s="141">
        <v>0</v>
      </c>
      <c r="T74" s="141">
        <v>0</v>
      </c>
      <c r="U74" s="141">
        <v>0</v>
      </c>
      <c r="V74" s="144">
        <v>0</v>
      </c>
    </row>
    <row r="75" spans="1:23" s="98" customFormat="1" ht="15" customHeight="1">
      <c r="A75" s="99"/>
      <c r="B75" s="161"/>
      <c r="C75" s="185"/>
      <c r="D75" s="162" t="s">
        <v>85</v>
      </c>
      <c r="E75" s="162"/>
      <c r="F75" s="162"/>
      <c r="G75" s="720" t="s">
        <v>1761</v>
      </c>
      <c r="H75" s="163"/>
      <c r="I75" s="164" t="s">
        <v>498</v>
      </c>
      <c r="J75" s="143">
        <v>0</v>
      </c>
      <c r="K75" s="141">
        <v>0</v>
      </c>
      <c r="L75" s="141">
        <v>0</v>
      </c>
      <c r="M75" s="141">
        <v>0.15876803797958733</v>
      </c>
      <c r="N75" s="141">
        <v>0</v>
      </c>
      <c r="O75" s="141">
        <v>7.2315505500000002E-2</v>
      </c>
      <c r="P75" s="141">
        <v>0</v>
      </c>
      <c r="Q75" s="142">
        <v>0</v>
      </c>
      <c r="R75" s="143">
        <v>0</v>
      </c>
      <c r="S75" s="141">
        <v>0</v>
      </c>
      <c r="T75" s="141">
        <v>0</v>
      </c>
      <c r="U75" s="141">
        <v>0</v>
      </c>
      <c r="V75" s="144">
        <v>0</v>
      </c>
    </row>
    <row r="76" spans="1:23" s="98" customFormat="1" ht="15" customHeight="1">
      <c r="A76" s="99"/>
      <c r="B76" s="181"/>
      <c r="C76" s="2492" t="s">
        <v>1763</v>
      </c>
      <c r="D76" s="183"/>
      <c r="E76" s="183"/>
      <c r="F76" s="183"/>
      <c r="G76" s="184"/>
      <c r="H76" s="184"/>
      <c r="I76" s="164" t="s">
        <v>498</v>
      </c>
      <c r="J76" s="128">
        <f t="shared" ref="J76:V76" si="11">SUM(J63:J75)</f>
        <v>3.2945044078373833</v>
      </c>
      <c r="K76" s="129">
        <f t="shared" si="11"/>
        <v>2.4482226389610382</v>
      </c>
      <c r="L76" s="129">
        <f t="shared" si="11"/>
        <v>1.6686160503661822</v>
      </c>
      <c r="M76" s="129">
        <f t="shared" si="11"/>
        <v>2.1342184030726776</v>
      </c>
      <c r="N76" s="129">
        <f t="shared" si="11"/>
        <v>2.2159713995681551</v>
      </c>
      <c r="O76" s="129">
        <f t="shared" si="11"/>
        <v>1.6634926013570026</v>
      </c>
      <c r="P76" s="129">
        <f t="shared" si="11"/>
        <v>2.2002300965619463</v>
      </c>
      <c r="Q76" s="795">
        <f t="shared" si="11"/>
        <v>2.1892289460791359</v>
      </c>
      <c r="R76" s="128">
        <f t="shared" si="11"/>
        <v>2.1782828013487405</v>
      </c>
      <c r="S76" s="129">
        <f t="shared" si="11"/>
        <v>2.167391387341997</v>
      </c>
      <c r="T76" s="129">
        <f t="shared" si="11"/>
        <v>2.1565544304052868</v>
      </c>
      <c r="U76" s="129">
        <f t="shared" si="11"/>
        <v>2.1457716582532598</v>
      </c>
      <c r="V76" s="130">
        <f t="shared" si="11"/>
        <v>2.1350427999619934</v>
      </c>
      <c r="W76" s="185"/>
    </row>
    <row r="77" spans="1:23" s="338" customFormat="1" ht="14.25">
      <c r="B77" s="349"/>
      <c r="C77" s="1393"/>
      <c r="D77" s="624" t="s">
        <v>1764</v>
      </c>
      <c r="E77" s="624"/>
      <c r="F77" s="624"/>
      <c r="G77" s="339"/>
      <c r="H77" s="339"/>
      <c r="I77" s="576" t="s">
        <v>498</v>
      </c>
      <c r="J77" s="297">
        <v>0</v>
      </c>
      <c r="K77" s="298" t="s">
        <v>1127</v>
      </c>
      <c r="L77" s="298">
        <v>0</v>
      </c>
      <c r="M77" s="298">
        <v>0</v>
      </c>
      <c r="N77" s="298">
        <v>0</v>
      </c>
      <c r="O77" s="298">
        <v>0</v>
      </c>
      <c r="P77" s="298">
        <v>0</v>
      </c>
      <c r="Q77" s="601">
        <v>0</v>
      </c>
      <c r="R77" s="297">
        <v>0</v>
      </c>
      <c r="S77" s="298">
        <v>0</v>
      </c>
      <c r="T77" s="298">
        <v>0</v>
      </c>
      <c r="U77" s="298">
        <v>0</v>
      </c>
      <c r="V77" s="299">
        <v>0</v>
      </c>
    </row>
    <row r="78" spans="1:23" s="338" customFormat="1" ht="14.25">
      <c r="B78" s="349"/>
      <c r="C78" s="1393"/>
      <c r="D78" s="624" t="s">
        <v>1765</v>
      </c>
      <c r="E78" s="624"/>
      <c r="F78" s="624"/>
      <c r="G78" s="339"/>
      <c r="H78" s="339"/>
      <c r="I78" s="973" t="s">
        <v>498</v>
      </c>
      <c r="J78" s="974">
        <v>0</v>
      </c>
      <c r="K78" s="975">
        <v>0</v>
      </c>
      <c r="L78" s="975">
        <v>-5.0233205704741088E-2</v>
      </c>
      <c r="M78" s="975">
        <v>0</v>
      </c>
      <c r="N78" s="975">
        <v>0</v>
      </c>
      <c r="O78" s="975">
        <v>0</v>
      </c>
      <c r="P78" s="975">
        <v>0</v>
      </c>
      <c r="Q78" s="1538">
        <v>0</v>
      </c>
      <c r="R78" s="974">
        <v>0</v>
      </c>
      <c r="S78" s="975">
        <v>0</v>
      </c>
      <c r="T78" s="975">
        <v>0</v>
      </c>
      <c r="U78" s="975">
        <v>0</v>
      </c>
      <c r="V78" s="976">
        <v>0</v>
      </c>
    </row>
    <row r="79" spans="1:23" s="338" customFormat="1" ht="14.25">
      <c r="B79" s="349"/>
      <c r="C79" s="1393" t="s">
        <v>1766</v>
      </c>
      <c r="D79" s="339"/>
      <c r="E79" s="339"/>
      <c r="F79" s="339"/>
      <c r="G79" s="625"/>
      <c r="H79" s="339"/>
      <c r="I79" s="164" t="s">
        <v>498</v>
      </c>
      <c r="J79" s="128">
        <f>SUM(J76:J78)</f>
        <v>3.2945044078373833</v>
      </c>
      <c r="K79" s="632">
        <f t="shared" ref="K79:V79" si="12">SUM(K76:K78)</f>
        <v>2.4482226389610382</v>
      </c>
      <c r="L79" s="632">
        <f t="shared" si="12"/>
        <v>1.6183828446614412</v>
      </c>
      <c r="M79" s="632">
        <f t="shared" si="12"/>
        <v>2.1342184030726776</v>
      </c>
      <c r="N79" s="632">
        <f t="shared" si="12"/>
        <v>2.2159713995681551</v>
      </c>
      <c r="O79" s="632">
        <f t="shared" si="12"/>
        <v>1.6634926013570026</v>
      </c>
      <c r="P79" s="632">
        <f t="shared" si="12"/>
        <v>2.2002300965619463</v>
      </c>
      <c r="Q79" s="1539">
        <f t="shared" si="12"/>
        <v>2.1892289460791359</v>
      </c>
      <c r="R79" s="631">
        <f t="shared" si="12"/>
        <v>2.1782828013487405</v>
      </c>
      <c r="S79" s="632">
        <f t="shared" si="12"/>
        <v>2.167391387341997</v>
      </c>
      <c r="T79" s="632">
        <f t="shared" si="12"/>
        <v>2.1565544304052868</v>
      </c>
      <c r="U79" s="632">
        <f t="shared" si="12"/>
        <v>2.1457716582532598</v>
      </c>
      <c r="V79" s="633">
        <f t="shared" si="12"/>
        <v>2.1350427999619934</v>
      </c>
    </row>
    <row r="80" spans="1:23" s="98" customFormat="1" ht="15" customHeight="1">
      <c r="A80" s="99"/>
      <c r="B80" s="161"/>
      <c r="C80" s="116"/>
      <c r="D80" s="116"/>
      <c r="E80" s="116"/>
      <c r="F80" s="116"/>
      <c r="G80" s="117"/>
      <c r="H80" s="117"/>
      <c r="I80" s="117"/>
      <c r="J80" s="713"/>
      <c r="K80" s="721"/>
      <c r="L80" s="721"/>
      <c r="M80" s="721"/>
      <c r="N80" s="721"/>
      <c r="O80" s="721"/>
      <c r="P80" s="721"/>
      <c r="Q80" s="721"/>
      <c r="R80" s="713"/>
      <c r="S80" s="721"/>
      <c r="T80" s="721"/>
      <c r="U80" s="721"/>
      <c r="V80" s="715"/>
    </row>
    <row r="81" spans="1:23" s="98" customFormat="1" ht="15" customHeight="1">
      <c r="A81" s="99"/>
      <c r="B81" s="161"/>
      <c r="C81" s="186" t="s">
        <v>1709</v>
      </c>
      <c r="D81" s="162"/>
      <c r="E81" s="162"/>
      <c r="F81" s="162"/>
      <c r="G81" s="163"/>
      <c r="H81" s="163"/>
      <c r="I81" s="117"/>
      <c r="J81" s="713"/>
      <c r="K81" s="721"/>
      <c r="L81" s="721"/>
      <c r="M81" s="721"/>
      <c r="N81" s="721"/>
      <c r="O81" s="721"/>
      <c r="P81" s="721"/>
      <c r="Q81" s="721"/>
      <c r="R81" s="713"/>
      <c r="S81" s="721"/>
      <c r="T81" s="721"/>
      <c r="U81" s="721"/>
      <c r="V81" s="715"/>
    </row>
    <row r="82" spans="1:23" s="98" customFormat="1" ht="15" customHeight="1">
      <c r="A82" s="99"/>
      <c r="B82" s="161"/>
      <c r="C82" s="185"/>
      <c r="D82" s="162" t="s">
        <v>1752</v>
      </c>
      <c r="E82" s="162"/>
      <c r="F82" s="162"/>
      <c r="G82" s="163"/>
      <c r="H82" s="163"/>
      <c r="I82" s="164" t="s">
        <v>498</v>
      </c>
      <c r="J82" s="143">
        <v>1.6541247016919935</v>
      </c>
      <c r="K82" s="141">
        <v>1.5806378805194798</v>
      </c>
      <c r="L82" s="141">
        <v>1.8619046897083384</v>
      </c>
      <c r="M82" s="141">
        <v>1.5332644769485135</v>
      </c>
      <c r="N82" s="141">
        <v>1.1708766801024237</v>
      </c>
      <c r="O82" s="141">
        <v>1.2163713215073526</v>
      </c>
      <c r="P82" s="141">
        <v>1.2163713215073526</v>
      </c>
      <c r="Q82" s="142">
        <v>1.2102894648998159</v>
      </c>
      <c r="R82" s="143">
        <v>1.2042380175753167</v>
      </c>
      <c r="S82" s="141">
        <v>1.1982168274874401</v>
      </c>
      <c r="T82" s="141">
        <v>1.1922257433500028</v>
      </c>
      <c r="U82" s="141">
        <v>1.1862646146332527</v>
      </c>
      <c r="V82" s="144">
        <v>1.1803332915600864</v>
      </c>
    </row>
    <row r="83" spans="1:23" s="98" customFormat="1" ht="15" customHeight="1">
      <c r="A83" s="99"/>
      <c r="B83" s="161"/>
      <c r="C83" s="185"/>
      <c r="D83" s="162" t="s">
        <v>1753</v>
      </c>
      <c r="E83" s="162"/>
      <c r="F83" s="162"/>
      <c r="G83" s="163"/>
      <c r="H83" s="163"/>
      <c r="I83" s="164" t="s">
        <v>498</v>
      </c>
      <c r="J83" s="143">
        <v>0</v>
      </c>
      <c r="K83" s="141">
        <v>0</v>
      </c>
      <c r="L83" s="141">
        <v>1.3104314531671589E-2</v>
      </c>
      <c r="M83" s="141">
        <v>4.8110358048544842E-3</v>
      </c>
      <c r="N83" s="141">
        <v>0</v>
      </c>
      <c r="O83" s="141">
        <v>0</v>
      </c>
      <c r="P83" s="141">
        <v>0</v>
      </c>
      <c r="Q83" s="142">
        <v>0</v>
      </c>
      <c r="R83" s="143">
        <v>0</v>
      </c>
      <c r="S83" s="141">
        <v>0</v>
      </c>
      <c r="T83" s="141">
        <v>0</v>
      </c>
      <c r="U83" s="141">
        <v>0</v>
      </c>
      <c r="V83" s="144">
        <v>0</v>
      </c>
    </row>
    <row r="84" spans="1:23" s="98" customFormat="1" ht="15" customHeight="1">
      <c r="A84" s="99"/>
      <c r="B84" s="161"/>
      <c r="C84" s="185"/>
      <c r="D84" s="162" t="s">
        <v>1754</v>
      </c>
      <c r="E84" s="162"/>
      <c r="F84" s="162"/>
      <c r="G84" s="163"/>
      <c r="H84" s="163"/>
      <c r="I84" s="164" t="s">
        <v>498</v>
      </c>
      <c r="J84" s="143">
        <v>1.6364434956084417E-3</v>
      </c>
      <c r="K84" s="141">
        <v>0</v>
      </c>
      <c r="L84" s="141">
        <v>0</v>
      </c>
      <c r="M84" s="141">
        <v>6.461755645453445E-5</v>
      </c>
      <c r="N84" s="141">
        <v>0</v>
      </c>
      <c r="O84" s="141">
        <v>6.7299999296665199E-5</v>
      </c>
      <c r="P84" s="141">
        <v>6.7299999296665199E-5</v>
      </c>
      <c r="Q84" s="142">
        <v>6.6963499300181877E-5</v>
      </c>
      <c r="R84" s="143">
        <v>6.6628681803680963E-5</v>
      </c>
      <c r="S84" s="141">
        <v>6.6295538394662553E-5</v>
      </c>
      <c r="T84" s="141">
        <v>6.5964060702689234E-5</v>
      </c>
      <c r="U84" s="141">
        <v>6.5634240399175788E-5</v>
      </c>
      <c r="V84" s="144">
        <v>6.5306069197179902E-5</v>
      </c>
    </row>
    <row r="85" spans="1:23" s="98" customFormat="1" ht="15" customHeight="1">
      <c r="A85" s="99"/>
      <c r="B85" s="161"/>
      <c r="C85" s="185"/>
      <c r="D85" s="162" t="s">
        <v>1755</v>
      </c>
      <c r="E85" s="162"/>
      <c r="F85" s="162"/>
      <c r="G85" s="163"/>
      <c r="H85" s="163"/>
      <c r="I85" s="164" t="s">
        <v>498</v>
      </c>
      <c r="J85" s="143">
        <v>1.2916689825648602E-2</v>
      </c>
      <c r="K85" s="141">
        <v>6.6227844155844137E-3</v>
      </c>
      <c r="L85" s="141">
        <v>5.6785362970576882E-2</v>
      </c>
      <c r="M85" s="141">
        <v>2.9461596546763665E-2</v>
      </c>
      <c r="N85" s="141">
        <v>6.3858794735693379E-3</v>
      </c>
      <c r="O85" s="141">
        <v>8.1914710998535201E-2</v>
      </c>
      <c r="P85" s="141">
        <v>8.1914710998535201E-2</v>
      </c>
      <c r="Q85" s="142">
        <v>8.1505137443542527E-2</v>
      </c>
      <c r="R85" s="143">
        <v>8.1097611756324808E-2</v>
      </c>
      <c r="S85" s="141">
        <v>8.069212369754318E-2</v>
      </c>
      <c r="T85" s="141">
        <v>8.0288663079055453E-2</v>
      </c>
      <c r="U85" s="141">
        <v>7.9887219763660172E-2</v>
      </c>
      <c r="V85" s="144">
        <v>7.9487783664841868E-2</v>
      </c>
    </row>
    <row r="86" spans="1:23" s="98" customFormat="1" ht="15" customHeight="1">
      <c r="A86" s="99"/>
      <c r="B86" s="161"/>
      <c r="C86" s="185"/>
      <c r="D86" s="162" t="s">
        <v>1756</v>
      </c>
      <c r="E86" s="162"/>
      <c r="F86" s="162"/>
      <c r="G86" s="163"/>
      <c r="H86" s="163"/>
      <c r="I86" s="164" t="s">
        <v>498</v>
      </c>
      <c r="J86" s="143">
        <v>2.0373263470105228E-2</v>
      </c>
      <c r="K86" s="141">
        <v>2.2075948051948045E-2</v>
      </c>
      <c r="L86" s="141">
        <v>5.0233205704741088E-2</v>
      </c>
      <c r="M86" s="141">
        <v>2.49210371748581E-2</v>
      </c>
      <c r="N86" s="141">
        <v>1.2197749740713254E-2</v>
      </c>
      <c r="O86" s="141">
        <v>1.2405290260910983E-2</v>
      </c>
      <c r="P86" s="141">
        <v>1.2405290260910983E-2</v>
      </c>
      <c r="Q86" s="142">
        <v>1.2343263809606427E-2</v>
      </c>
      <c r="R86" s="143">
        <v>1.2281547490558395E-2</v>
      </c>
      <c r="S86" s="141">
        <v>1.2220139753105602E-2</v>
      </c>
      <c r="T86" s="141">
        <v>1.2159039054340072E-2</v>
      </c>
      <c r="U86" s="141">
        <v>1.2098243859068372E-2</v>
      </c>
      <c r="V86" s="144">
        <v>1.2037752639773028E-2</v>
      </c>
    </row>
    <row r="87" spans="1:23" s="98" customFormat="1" ht="15" customHeight="1">
      <c r="A87" s="99"/>
      <c r="B87" s="161"/>
      <c r="C87" s="185"/>
      <c r="D87" s="162" t="s">
        <v>1757</v>
      </c>
      <c r="E87" s="162"/>
      <c r="F87" s="162"/>
      <c r="G87" s="163"/>
      <c r="H87" s="163"/>
      <c r="I87" s="164" t="s">
        <v>498</v>
      </c>
      <c r="J87" s="143">
        <v>0</v>
      </c>
      <c r="K87" s="141">
        <v>0</v>
      </c>
      <c r="L87" s="141">
        <v>0</v>
      </c>
      <c r="M87" s="141">
        <v>0</v>
      </c>
      <c r="N87" s="141">
        <v>0</v>
      </c>
      <c r="O87" s="141">
        <v>0</v>
      </c>
      <c r="P87" s="141">
        <v>0</v>
      </c>
      <c r="Q87" s="142">
        <v>0</v>
      </c>
      <c r="R87" s="143">
        <v>0</v>
      </c>
      <c r="S87" s="141">
        <v>0</v>
      </c>
      <c r="T87" s="141">
        <v>0</v>
      </c>
      <c r="U87" s="141">
        <v>0</v>
      </c>
      <c r="V87" s="144">
        <v>0</v>
      </c>
    </row>
    <row r="88" spans="1:23" s="98" customFormat="1" ht="15" customHeight="1">
      <c r="A88" s="99"/>
      <c r="B88" s="161"/>
      <c r="C88" s="185"/>
      <c r="D88" s="162" t="s">
        <v>205</v>
      </c>
      <c r="E88" s="162"/>
      <c r="F88" s="162"/>
      <c r="G88" s="163"/>
      <c r="H88" s="163"/>
      <c r="I88" s="164" t="s">
        <v>498</v>
      </c>
      <c r="J88" s="143">
        <v>0</v>
      </c>
      <c r="K88" s="141">
        <v>0</v>
      </c>
      <c r="L88" s="141">
        <v>0</v>
      </c>
      <c r="M88" s="141">
        <v>3.5548209002535914E-4</v>
      </c>
      <c r="N88" s="141">
        <v>0</v>
      </c>
      <c r="O88" s="141">
        <v>0</v>
      </c>
      <c r="P88" s="141">
        <v>0</v>
      </c>
      <c r="Q88" s="142">
        <v>0</v>
      </c>
      <c r="R88" s="143">
        <v>0</v>
      </c>
      <c r="S88" s="141">
        <v>0</v>
      </c>
      <c r="T88" s="141">
        <v>0</v>
      </c>
      <c r="U88" s="141">
        <v>0</v>
      </c>
      <c r="V88" s="144">
        <v>0</v>
      </c>
    </row>
    <row r="89" spans="1:23" s="98" customFormat="1" ht="15" customHeight="1">
      <c r="A89" s="99"/>
      <c r="B89" s="161"/>
      <c r="C89" s="185"/>
      <c r="D89" s="162" t="s">
        <v>1758</v>
      </c>
      <c r="E89" s="162"/>
      <c r="F89" s="162"/>
      <c r="G89" s="163"/>
      <c r="H89" s="163"/>
      <c r="I89" s="164" t="s">
        <v>498</v>
      </c>
      <c r="J89" s="143">
        <v>0</v>
      </c>
      <c r="K89" s="141">
        <v>0</v>
      </c>
      <c r="L89" s="141">
        <v>0</v>
      </c>
      <c r="M89" s="141">
        <v>0</v>
      </c>
      <c r="N89" s="141">
        <v>0</v>
      </c>
      <c r="O89" s="141">
        <v>0</v>
      </c>
      <c r="P89" s="141">
        <v>0</v>
      </c>
      <c r="Q89" s="142">
        <v>0</v>
      </c>
      <c r="R89" s="143">
        <v>0</v>
      </c>
      <c r="S89" s="141">
        <v>0</v>
      </c>
      <c r="T89" s="141">
        <v>0</v>
      </c>
      <c r="U89" s="141">
        <v>0</v>
      </c>
      <c r="V89" s="144">
        <v>0</v>
      </c>
    </row>
    <row r="90" spans="1:23" s="98" customFormat="1" ht="15" customHeight="1">
      <c r="A90" s="99"/>
      <c r="B90" s="161"/>
      <c r="C90" s="185"/>
      <c r="D90" s="162" t="s">
        <v>85</v>
      </c>
      <c r="E90" s="162"/>
      <c r="F90" s="162"/>
      <c r="G90" s="720" t="s">
        <v>1767</v>
      </c>
      <c r="H90" s="163"/>
      <c r="I90" s="164" t="s">
        <v>498</v>
      </c>
      <c r="J90" s="143">
        <v>0</v>
      </c>
      <c r="K90" s="141">
        <v>0</v>
      </c>
      <c r="L90" s="141">
        <v>0</v>
      </c>
      <c r="M90" s="141">
        <v>0</v>
      </c>
      <c r="N90" s="141">
        <v>0</v>
      </c>
      <c r="O90" s="141">
        <v>0</v>
      </c>
      <c r="P90" s="141">
        <v>0</v>
      </c>
      <c r="Q90" s="142">
        <v>0</v>
      </c>
      <c r="R90" s="143">
        <v>0</v>
      </c>
      <c r="S90" s="141">
        <v>0</v>
      </c>
      <c r="T90" s="141">
        <v>0</v>
      </c>
      <c r="U90" s="141">
        <v>0</v>
      </c>
      <c r="V90" s="144">
        <v>0</v>
      </c>
    </row>
    <row r="91" spans="1:23" s="98" customFormat="1" ht="15" customHeight="1">
      <c r="A91" s="99"/>
      <c r="B91" s="161"/>
      <c r="C91" s="185"/>
      <c r="D91" s="162" t="s">
        <v>85</v>
      </c>
      <c r="E91" s="162"/>
      <c r="F91" s="162"/>
      <c r="G91" s="720" t="s">
        <v>55</v>
      </c>
      <c r="H91" s="163"/>
      <c r="I91" s="164" t="s">
        <v>498</v>
      </c>
      <c r="J91" s="143">
        <v>0</v>
      </c>
      <c r="K91" s="141">
        <v>0</v>
      </c>
      <c r="L91" s="141">
        <v>0</v>
      </c>
      <c r="M91" s="141">
        <v>0</v>
      </c>
      <c r="N91" s="141">
        <v>0</v>
      </c>
      <c r="O91" s="141">
        <v>0</v>
      </c>
      <c r="P91" s="141">
        <v>0</v>
      </c>
      <c r="Q91" s="142">
        <v>0</v>
      </c>
      <c r="R91" s="143">
        <v>0</v>
      </c>
      <c r="S91" s="141">
        <v>0</v>
      </c>
      <c r="T91" s="141">
        <v>0</v>
      </c>
      <c r="U91" s="141">
        <v>0</v>
      </c>
      <c r="V91" s="144">
        <v>0</v>
      </c>
    </row>
    <row r="92" spans="1:23" s="98" customFormat="1" ht="15" customHeight="1">
      <c r="A92" s="99"/>
      <c r="B92" s="161"/>
      <c r="C92" s="185"/>
      <c r="D92" s="162" t="s">
        <v>85</v>
      </c>
      <c r="E92" s="162"/>
      <c r="F92" s="162"/>
      <c r="G92" s="720" t="s">
        <v>1762</v>
      </c>
      <c r="H92" s="163"/>
      <c r="I92" s="164" t="s">
        <v>498</v>
      </c>
      <c r="J92" s="143">
        <v>0</v>
      </c>
      <c r="K92" s="141">
        <v>0</v>
      </c>
      <c r="L92" s="141">
        <v>0</v>
      </c>
      <c r="M92" s="141">
        <v>0</v>
      </c>
      <c r="N92" s="141">
        <v>0</v>
      </c>
      <c r="O92" s="141">
        <v>0</v>
      </c>
      <c r="P92" s="141">
        <v>0</v>
      </c>
      <c r="Q92" s="142">
        <v>0</v>
      </c>
      <c r="R92" s="143">
        <v>0</v>
      </c>
      <c r="S92" s="141">
        <v>0</v>
      </c>
      <c r="T92" s="141">
        <v>0</v>
      </c>
      <c r="U92" s="141">
        <v>0</v>
      </c>
      <c r="V92" s="144">
        <v>0</v>
      </c>
    </row>
    <row r="93" spans="1:23" s="98" customFormat="1" ht="15" customHeight="1">
      <c r="A93" s="99"/>
      <c r="B93" s="161"/>
      <c r="C93" s="185"/>
      <c r="D93" s="162" t="s">
        <v>85</v>
      </c>
      <c r="E93" s="162"/>
      <c r="F93" s="162"/>
      <c r="G93" s="720" t="s">
        <v>1768</v>
      </c>
      <c r="H93" s="163"/>
      <c r="I93" s="164" t="s">
        <v>498</v>
      </c>
      <c r="J93" s="143">
        <v>0</v>
      </c>
      <c r="K93" s="141">
        <v>8.8303792207792171E-3</v>
      </c>
      <c r="L93" s="141">
        <v>0</v>
      </c>
      <c r="M93" s="141">
        <v>0</v>
      </c>
      <c r="N93" s="141">
        <v>0</v>
      </c>
      <c r="O93" s="141">
        <v>0</v>
      </c>
      <c r="P93" s="141">
        <v>0</v>
      </c>
      <c r="Q93" s="142">
        <v>0</v>
      </c>
      <c r="R93" s="143">
        <v>0</v>
      </c>
      <c r="S93" s="141">
        <v>0</v>
      </c>
      <c r="T93" s="141">
        <v>0</v>
      </c>
      <c r="U93" s="141">
        <v>0</v>
      </c>
      <c r="V93" s="144">
        <v>0</v>
      </c>
    </row>
    <row r="94" spans="1:23" s="98" customFormat="1" ht="15" customHeight="1">
      <c r="A94" s="99"/>
      <c r="B94" s="161"/>
      <c r="C94" s="185"/>
      <c r="D94" s="162" t="s">
        <v>85</v>
      </c>
      <c r="E94" s="162"/>
      <c r="F94" s="162"/>
      <c r="G94" s="720" t="s">
        <v>1761</v>
      </c>
      <c r="H94" s="163"/>
      <c r="I94" s="164" t="s">
        <v>498</v>
      </c>
      <c r="J94" s="143">
        <v>0</v>
      </c>
      <c r="K94" s="141">
        <v>0</v>
      </c>
      <c r="L94" s="141">
        <v>0</v>
      </c>
      <c r="M94" s="141">
        <v>1.1279206164714403E-5</v>
      </c>
      <c r="N94" s="141">
        <v>0</v>
      </c>
      <c r="O94" s="141">
        <v>0</v>
      </c>
      <c r="P94" s="141">
        <v>0</v>
      </c>
      <c r="Q94" s="142">
        <v>0</v>
      </c>
      <c r="R94" s="143">
        <v>0</v>
      </c>
      <c r="S94" s="141">
        <v>0</v>
      </c>
      <c r="T94" s="141">
        <v>0</v>
      </c>
      <c r="U94" s="141">
        <v>0</v>
      </c>
      <c r="V94" s="144">
        <v>0</v>
      </c>
    </row>
    <row r="95" spans="1:23" s="98" customFormat="1" ht="15" customHeight="1">
      <c r="A95" s="99"/>
      <c r="B95" s="181"/>
      <c r="C95" s="2492" t="s">
        <v>1763</v>
      </c>
      <c r="D95" s="183"/>
      <c r="E95" s="183"/>
      <c r="F95" s="183"/>
      <c r="G95" s="184"/>
      <c r="H95" s="184"/>
      <c r="I95" s="164" t="s">
        <v>498</v>
      </c>
      <c r="J95" s="128">
        <f t="shared" ref="J95:V95" si="13">SUM(J82:J94)</f>
        <v>1.6890510984833558</v>
      </c>
      <c r="K95" s="129">
        <f t="shared" si="13"/>
        <v>1.6181669922077915</v>
      </c>
      <c r="L95" s="129">
        <f t="shared" si="13"/>
        <v>1.9820275729153278</v>
      </c>
      <c r="M95" s="129">
        <f t="shared" si="13"/>
        <v>1.5928895253276343</v>
      </c>
      <c r="N95" s="129">
        <f t="shared" si="13"/>
        <v>1.1894603093167064</v>
      </c>
      <c r="O95" s="129">
        <f t="shared" si="13"/>
        <v>1.3107586227660954</v>
      </c>
      <c r="P95" s="129">
        <f t="shared" si="13"/>
        <v>1.3107586227660954</v>
      </c>
      <c r="Q95" s="795">
        <f t="shared" si="13"/>
        <v>1.304204829652265</v>
      </c>
      <c r="R95" s="128">
        <f t="shared" si="13"/>
        <v>1.2976838055040036</v>
      </c>
      <c r="S95" s="129">
        <f t="shared" si="13"/>
        <v>1.2911953864764836</v>
      </c>
      <c r="T95" s="129">
        <f t="shared" si="13"/>
        <v>1.2847394095441007</v>
      </c>
      <c r="U95" s="129">
        <f t="shared" si="13"/>
        <v>1.2783157124963804</v>
      </c>
      <c r="V95" s="130">
        <f t="shared" si="13"/>
        <v>1.2719241339338982</v>
      </c>
      <c r="W95" s="185"/>
    </row>
    <row r="96" spans="1:23" s="338" customFormat="1" ht="14.25">
      <c r="B96" s="349"/>
      <c r="C96" s="1393"/>
      <c r="D96" s="624" t="s">
        <v>1764</v>
      </c>
      <c r="E96" s="624"/>
      <c r="F96" s="624"/>
      <c r="G96" s="339"/>
      <c r="H96" s="339"/>
      <c r="I96" s="576" t="s">
        <v>498</v>
      </c>
      <c r="J96" s="297">
        <v>0</v>
      </c>
      <c r="K96" s="298" t="s">
        <v>1127</v>
      </c>
      <c r="L96" s="298">
        <v>0</v>
      </c>
      <c r="M96" s="298">
        <v>0</v>
      </c>
      <c r="N96" s="298">
        <v>0</v>
      </c>
      <c r="O96" s="298">
        <v>0</v>
      </c>
      <c r="P96" s="298">
        <v>0</v>
      </c>
      <c r="Q96" s="601">
        <v>0</v>
      </c>
      <c r="R96" s="297">
        <v>0</v>
      </c>
      <c r="S96" s="298">
        <v>0</v>
      </c>
      <c r="T96" s="298">
        <v>0</v>
      </c>
      <c r="U96" s="298">
        <v>0</v>
      </c>
      <c r="V96" s="299">
        <v>0</v>
      </c>
    </row>
    <row r="97" spans="1:24" s="338" customFormat="1" ht="14.25">
      <c r="B97" s="349"/>
      <c r="C97" s="1393"/>
      <c r="D97" s="624" t="s">
        <v>1765</v>
      </c>
      <c r="E97" s="624"/>
      <c r="F97" s="624"/>
      <c r="G97" s="339"/>
      <c r="H97" s="339"/>
      <c r="I97" s="973" t="s">
        <v>498</v>
      </c>
      <c r="J97" s="974">
        <v>0</v>
      </c>
      <c r="K97" s="975">
        <v>0</v>
      </c>
      <c r="L97" s="975">
        <v>0</v>
      </c>
      <c r="M97" s="975">
        <v>0</v>
      </c>
      <c r="N97" s="975">
        <v>0</v>
      </c>
      <c r="O97" s="975">
        <v>0</v>
      </c>
      <c r="P97" s="975">
        <v>0</v>
      </c>
      <c r="Q97" s="1538">
        <v>0</v>
      </c>
      <c r="R97" s="974">
        <v>0</v>
      </c>
      <c r="S97" s="975">
        <v>0</v>
      </c>
      <c r="T97" s="975">
        <v>0</v>
      </c>
      <c r="U97" s="975">
        <v>0</v>
      </c>
      <c r="V97" s="976">
        <v>0</v>
      </c>
    </row>
    <row r="98" spans="1:24" s="338" customFormat="1" ht="14.25">
      <c r="B98" s="349"/>
      <c r="C98" s="1393" t="s">
        <v>1766</v>
      </c>
      <c r="D98" s="339"/>
      <c r="E98" s="339"/>
      <c r="F98" s="339"/>
      <c r="G98" s="625"/>
      <c r="H98" s="339"/>
      <c r="I98" s="164" t="s">
        <v>498</v>
      </c>
      <c r="J98" s="128">
        <f>SUM(J95:J97)</f>
        <v>1.6890510984833558</v>
      </c>
      <c r="K98" s="632">
        <f t="shared" ref="K98:V98" si="14">SUM(K95:K97)</f>
        <v>1.6181669922077915</v>
      </c>
      <c r="L98" s="632">
        <f t="shared" si="14"/>
        <v>1.9820275729153278</v>
      </c>
      <c r="M98" s="632">
        <f t="shared" si="14"/>
        <v>1.5928895253276343</v>
      </c>
      <c r="N98" s="632">
        <f t="shared" si="14"/>
        <v>1.1894603093167064</v>
      </c>
      <c r="O98" s="632">
        <f t="shared" si="14"/>
        <v>1.3107586227660954</v>
      </c>
      <c r="P98" s="632">
        <f t="shared" si="14"/>
        <v>1.3107586227660954</v>
      </c>
      <c r="Q98" s="1539">
        <f t="shared" si="14"/>
        <v>1.304204829652265</v>
      </c>
      <c r="R98" s="631">
        <f t="shared" si="14"/>
        <v>1.2976838055040036</v>
      </c>
      <c r="S98" s="632">
        <f t="shared" si="14"/>
        <v>1.2911953864764836</v>
      </c>
      <c r="T98" s="632">
        <f t="shared" si="14"/>
        <v>1.2847394095441007</v>
      </c>
      <c r="U98" s="632">
        <f t="shared" si="14"/>
        <v>1.2783157124963804</v>
      </c>
      <c r="V98" s="633">
        <f t="shared" si="14"/>
        <v>1.2719241339338982</v>
      </c>
    </row>
    <row r="99" spans="1:24" s="98" customFormat="1" ht="15" customHeight="1">
      <c r="A99" s="99"/>
      <c r="B99" s="161"/>
      <c r="C99" s="116"/>
      <c r="D99" s="116"/>
      <c r="E99" s="116"/>
      <c r="F99" s="116"/>
      <c r="G99" s="117"/>
      <c r="H99" s="117"/>
      <c r="I99" s="117"/>
      <c r="J99" s="713"/>
      <c r="K99" s="721"/>
      <c r="L99" s="721"/>
      <c r="M99" s="721"/>
      <c r="N99" s="721"/>
      <c r="O99" s="721"/>
      <c r="P99" s="721"/>
      <c r="Q99" s="721"/>
      <c r="R99" s="713"/>
      <c r="S99" s="721"/>
      <c r="T99" s="721"/>
      <c r="U99" s="721"/>
      <c r="V99" s="715"/>
    </row>
    <row r="100" spans="1:24" s="98" customFormat="1" ht="15" customHeight="1" thickBot="1">
      <c r="A100" s="99"/>
      <c r="B100" s="131" t="s">
        <v>1769</v>
      </c>
      <c r="C100" s="132"/>
      <c r="D100" s="132"/>
      <c r="E100" s="132"/>
      <c r="F100" s="132"/>
      <c r="G100" s="145"/>
      <c r="H100" s="133"/>
      <c r="I100" s="146" t="s">
        <v>498</v>
      </c>
      <c r="J100" s="717">
        <f t="shared" ref="J100:V100" si="15">SUM(J41,J60,J79,J98)</f>
        <v>17.637887402243479</v>
      </c>
      <c r="K100" s="718">
        <f t="shared" si="15"/>
        <v>17.497396425974021</v>
      </c>
      <c r="L100" s="718">
        <f t="shared" si="15"/>
        <v>19.147390996635636</v>
      </c>
      <c r="M100" s="718">
        <f t="shared" si="15"/>
        <v>19.550863124639882</v>
      </c>
      <c r="N100" s="718">
        <f t="shared" si="15"/>
        <v>16.426985052916727</v>
      </c>
      <c r="O100" s="718">
        <f t="shared" si="15"/>
        <v>14.569965922885466</v>
      </c>
      <c r="P100" s="718">
        <f t="shared" si="15"/>
        <v>16.446937162338031</v>
      </c>
      <c r="Q100" s="796">
        <f t="shared" si="15"/>
        <v>14.656763129695884</v>
      </c>
      <c r="R100" s="717">
        <f t="shared" si="15"/>
        <v>17.56758239540088</v>
      </c>
      <c r="S100" s="718">
        <f t="shared" si="15"/>
        <v>16.508190371060692</v>
      </c>
      <c r="T100" s="718">
        <f t="shared" si="15"/>
        <v>16.531556640476726</v>
      </c>
      <c r="U100" s="718">
        <f t="shared" si="15"/>
        <v>16.992448900032699</v>
      </c>
      <c r="V100" s="719">
        <f t="shared" si="15"/>
        <v>16.721143893897402</v>
      </c>
    </row>
    <row r="101" spans="1:24" s="99" customFormat="1" ht="15" customHeight="1" thickBot="1">
      <c r="B101" s="150"/>
      <c r="C101" s="150"/>
      <c r="D101" s="150"/>
      <c r="E101" s="150"/>
      <c r="F101" s="150"/>
      <c r="G101" s="97"/>
      <c r="H101" s="97"/>
      <c r="I101" s="98"/>
      <c r="J101" s="722"/>
      <c r="K101" s="722"/>
      <c r="L101" s="722"/>
      <c r="M101" s="722"/>
      <c r="N101" s="722"/>
      <c r="O101" s="722"/>
      <c r="P101" s="722"/>
      <c r="Q101" s="722"/>
      <c r="R101" s="722"/>
      <c r="S101" s="838"/>
      <c r="T101" s="838"/>
      <c r="U101" s="838"/>
      <c r="V101" s="838"/>
      <c r="W101" s="98"/>
      <c r="X101" s="98"/>
    </row>
    <row r="102" spans="1:24" s="100" customFormat="1" ht="30" customHeight="1" thickBot="1">
      <c r="A102" s="89"/>
      <c r="B102" s="621" t="s">
        <v>1748</v>
      </c>
      <c r="C102" s="102"/>
      <c r="D102" s="102"/>
      <c r="E102" s="102"/>
      <c r="F102" s="102"/>
      <c r="G102" s="103"/>
      <c r="H102" s="103"/>
      <c r="I102" s="105" t="s">
        <v>1704</v>
      </c>
      <c r="J102" s="723"/>
      <c r="K102" s="723"/>
      <c r="L102" s="723"/>
      <c r="M102" s="723"/>
      <c r="N102" s="723"/>
      <c r="O102" s="723"/>
      <c r="P102" s="723"/>
      <c r="Q102" s="1540"/>
      <c r="R102" s="1541"/>
      <c r="S102" s="724"/>
      <c r="T102" s="724"/>
      <c r="U102" s="724"/>
      <c r="V102" s="993"/>
    </row>
    <row r="103" spans="1:24" s="157" customFormat="1" ht="30" customHeight="1">
      <c r="A103" s="99"/>
      <c r="B103" s="123"/>
      <c r="C103" s="127"/>
      <c r="D103" s="127"/>
      <c r="E103" s="127"/>
      <c r="F103" s="127"/>
      <c r="G103" s="117"/>
      <c r="H103" s="117"/>
      <c r="I103" s="117"/>
      <c r="J103" s="725" t="s">
        <v>1666</v>
      </c>
      <c r="K103" s="726"/>
      <c r="L103" s="726"/>
      <c r="M103" s="726"/>
      <c r="N103" s="726"/>
      <c r="O103" s="726"/>
      <c r="P103" s="726"/>
      <c r="Q103" s="727"/>
      <c r="R103" s="728" t="s">
        <v>2</v>
      </c>
      <c r="S103" s="729"/>
      <c r="T103" s="729"/>
      <c r="U103" s="729"/>
      <c r="V103" s="730"/>
    </row>
    <row r="104" spans="1:24" s="98" customFormat="1" ht="15" customHeight="1">
      <c r="A104" s="99"/>
      <c r="B104" s="115"/>
      <c r="C104" s="116"/>
      <c r="D104" s="116"/>
      <c r="E104" s="116"/>
      <c r="F104" s="116"/>
      <c r="G104" s="117"/>
      <c r="H104" s="117"/>
      <c r="I104" s="119" t="s">
        <v>1667</v>
      </c>
      <c r="J104" s="731" t="s">
        <v>453</v>
      </c>
      <c r="K104" s="732" t="s">
        <v>455</v>
      </c>
      <c r="L104" s="732" t="s">
        <v>457</v>
      </c>
      <c r="M104" s="732" t="s">
        <v>459</v>
      </c>
      <c r="N104" s="732" t="s">
        <v>461</v>
      </c>
      <c r="O104" s="732" t="s">
        <v>463</v>
      </c>
      <c r="P104" s="732" t="s">
        <v>465</v>
      </c>
      <c r="Q104" s="733" t="s">
        <v>467</v>
      </c>
      <c r="R104" s="734" t="s">
        <v>469</v>
      </c>
      <c r="S104" s="735" t="s">
        <v>471</v>
      </c>
      <c r="T104" s="735" t="s">
        <v>473</v>
      </c>
      <c r="U104" s="735" t="s">
        <v>475</v>
      </c>
      <c r="V104" s="736" t="s">
        <v>477</v>
      </c>
    </row>
    <row r="105" spans="1:24" s="98" customFormat="1" ht="15" customHeight="1">
      <c r="A105" s="99"/>
      <c r="B105" s="161"/>
      <c r="C105" s="186" t="s">
        <v>40</v>
      </c>
      <c r="D105" s="162"/>
      <c r="E105" s="162"/>
      <c r="F105" s="162"/>
      <c r="G105" s="163"/>
      <c r="H105" s="163"/>
      <c r="I105" s="117"/>
      <c r="J105" s="713"/>
      <c r="K105" s="721"/>
      <c r="L105" s="721"/>
      <c r="M105" s="721"/>
      <c r="N105" s="721"/>
      <c r="O105" s="721"/>
      <c r="P105" s="721"/>
      <c r="Q105" s="715"/>
      <c r="R105" s="713"/>
      <c r="S105" s="721"/>
      <c r="T105" s="721"/>
      <c r="U105" s="721"/>
      <c r="V105" s="715"/>
    </row>
    <row r="106" spans="1:24" s="98" customFormat="1" ht="15" customHeight="1">
      <c r="A106" s="99"/>
      <c r="B106" s="161"/>
      <c r="D106" s="162" t="s">
        <v>1752</v>
      </c>
      <c r="E106" s="162"/>
      <c r="F106" s="162"/>
      <c r="G106" s="163"/>
      <c r="H106" s="163"/>
      <c r="I106" s="164" t="s">
        <v>498</v>
      </c>
      <c r="J106" s="143">
        <v>8.9986557260632019</v>
      </c>
      <c r="K106" s="141">
        <v>10.077670285714284</v>
      </c>
      <c r="L106" s="141">
        <v>10.200616836695358</v>
      </c>
      <c r="M106" s="141">
        <v>10.435999010683874</v>
      </c>
      <c r="N106" s="141">
        <v>10.384142415167549</v>
      </c>
      <c r="O106" s="141">
        <v>9.6245621918428235</v>
      </c>
      <c r="P106" s="141">
        <v>10.107457184535535</v>
      </c>
      <c r="Q106" s="144">
        <v>9.9798607908624088</v>
      </c>
      <c r="R106" s="143">
        <v>9.8301628789994719</v>
      </c>
      <c r="S106" s="141">
        <v>9.6827104358144798</v>
      </c>
      <c r="T106" s="141">
        <v>9.5374697792772629</v>
      </c>
      <c r="U106" s="141">
        <v>9.394407732588105</v>
      </c>
      <c r="V106" s="144">
        <v>9.253491616599284</v>
      </c>
    </row>
    <row r="107" spans="1:24" s="98" customFormat="1" ht="15" customHeight="1">
      <c r="A107" s="99"/>
      <c r="B107" s="161"/>
      <c r="D107" s="162" t="s">
        <v>1753</v>
      </c>
      <c r="E107" s="162"/>
      <c r="F107" s="162"/>
      <c r="G107" s="163"/>
      <c r="H107" s="163"/>
      <c r="I107" s="164" t="s">
        <v>498</v>
      </c>
      <c r="J107" s="143">
        <v>1.0031173992148821</v>
      </c>
      <c r="K107" s="141">
        <v>9.1615184415584389E-2</v>
      </c>
      <c r="L107" s="141">
        <v>0.27846668379802125</v>
      </c>
      <c r="M107" s="141">
        <v>0.14467451795495709</v>
      </c>
      <c r="N107" s="141">
        <v>0.1989338303505172</v>
      </c>
      <c r="O107" s="141">
        <v>0.18695037484169008</v>
      </c>
      <c r="P107" s="141">
        <v>0.19631084732059317</v>
      </c>
      <c r="Q107" s="144">
        <v>0.19383262201627552</v>
      </c>
      <c r="R107" s="143">
        <v>0.19092513268603137</v>
      </c>
      <c r="S107" s="141">
        <v>0.18806125569574086</v>
      </c>
      <c r="T107" s="141">
        <v>0.18524033686030475</v>
      </c>
      <c r="U107" s="141">
        <v>0.18246173180740019</v>
      </c>
      <c r="V107" s="144">
        <v>0.17972480583028919</v>
      </c>
    </row>
    <row r="108" spans="1:24" s="98" customFormat="1" ht="15" customHeight="1">
      <c r="A108" s="99"/>
      <c r="B108" s="161"/>
      <c r="D108" s="162" t="s">
        <v>1754</v>
      </c>
      <c r="E108" s="162"/>
      <c r="F108" s="162"/>
      <c r="G108" s="163"/>
      <c r="H108" s="163"/>
      <c r="I108" s="164" t="s">
        <v>498</v>
      </c>
      <c r="J108" s="143">
        <v>4.8289105984674216E-2</v>
      </c>
      <c r="K108" s="141">
        <v>6.6227844155844137E-2</v>
      </c>
      <c r="L108" s="141">
        <v>9.2822227932673765E-2</v>
      </c>
      <c r="M108" s="141">
        <v>6.5589364304733694E-2</v>
      </c>
      <c r="N108" s="141">
        <v>0.11527526825745338</v>
      </c>
      <c r="O108" s="141">
        <v>0.145930923461914</v>
      </c>
      <c r="P108" s="141">
        <v>0.15323758114603406</v>
      </c>
      <c r="Q108" s="144">
        <v>0.15130311213246828</v>
      </c>
      <c r="R108" s="143">
        <v>0.14903356545048124</v>
      </c>
      <c r="S108" s="141">
        <v>0.14679806196872403</v>
      </c>
      <c r="T108" s="141">
        <v>0.14459609103919319</v>
      </c>
      <c r="U108" s="141">
        <v>0.14242714967360529</v>
      </c>
      <c r="V108" s="144">
        <v>0.1402907424285012</v>
      </c>
    </row>
    <row r="109" spans="1:24" s="98" customFormat="1" ht="15" customHeight="1">
      <c r="A109" s="99"/>
      <c r="B109" s="161"/>
      <c r="D109" s="162" t="s">
        <v>1755</v>
      </c>
      <c r="E109" s="162"/>
      <c r="F109" s="162"/>
      <c r="G109" s="163"/>
      <c r="H109" s="163"/>
      <c r="I109" s="164" t="s">
        <v>498</v>
      </c>
      <c r="J109" s="143">
        <v>0</v>
      </c>
      <c r="K109" s="141">
        <v>1.1037974025974021E-3</v>
      </c>
      <c r="L109" s="141">
        <v>0</v>
      </c>
      <c r="M109" s="141">
        <v>7.338433281004707E-4</v>
      </c>
      <c r="N109" s="141">
        <v>2.0611113536164822E-4</v>
      </c>
      <c r="O109" s="141">
        <v>0</v>
      </c>
      <c r="P109" s="141">
        <v>0</v>
      </c>
      <c r="Q109" s="144">
        <v>0</v>
      </c>
      <c r="R109" s="143">
        <v>0</v>
      </c>
      <c r="S109" s="141">
        <v>0</v>
      </c>
      <c r="T109" s="141">
        <v>0</v>
      </c>
      <c r="U109" s="141">
        <v>0</v>
      </c>
      <c r="V109" s="144">
        <v>0</v>
      </c>
    </row>
    <row r="110" spans="1:24" s="98" customFormat="1" ht="15" customHeight="1">
      <c r="A110" s="99"/>
      <c r="B110" s="161"/>
      <c r="D110" s="162" t="s">
        <v>1756</v>
      </c>
      <c r="E110" s="162"/>
      <c r="F110" s="162"/>
      <c r="G110" s="163"/>
      <c r="H110" s="163"/>
      <c r="I110" s="164" t="s">
        <v>498</v>
      </c>
      <c r="J110" s="143">
        <v>0.13515578762509936</v>
      </c>
      <c r="K110" s="141">
        <v>0.18433416623376619</v>
      </c>
      <c r="L110" s="141">
        <v>6.2245494025440051E-2</v>
      </c>
      <c r="M110" s="141">
        <v>4.3816904166767291E-2</v>
      </c>
      <c r="N110" s="141">
        <v>9.7009493330568755E-2</v>
      </c>
      <c r="O110" s="141">
        <v>8.3175309829413929E-2</v>
      </c>
      <c r="P110" s="141">
        <v>8.7339838513786738E-2</v>
      </c>
      <c r="Q110" s="144">
        <v>8.6237261652476541E-2</v>
      </c>
      <c r="R110" s="143">
        <v>8.4943702727689391E-2</v>
      </c>
      <c r="S110" s="141">
        <v>8.3669547186774051E-2</v>
      </c>
      <c r="T110" s="141">
        <v>8.2414503978972445E-2</v>
      </c>
      <c r="U110" s="141">
        <v>8.1178286419287871E-2</v>
      </c>
      <c r="V110" s="144">
        <v>7.9960612122998556E-2</v>
      </c>
    </row>
    <row r="111" spans="1:24" s="98" customFormat="1" ht="15" customHeight="1">
      <c r="A111" s="99"/>
      <c r="B111" s="161"/>
      <c r="D111" s="162" t="s">
        <v>1757</v>
      </c>
      <c r="E111" s="162"/>
      <c r="F111" s="162"/>
      <c r="G111" s="163"/>
      <c r="H111" s="163"/>
      <c r="I111" s="164" t="s">
        <v>498</v>
      </c>
      <c r="J111" s="143">
        <v>4.9631485740844446E-4</v>
      </c>
      <c r="K111" s="141">
        <v>0</v>
      </c>
      <c r="L111" s="141">
        <v>0</v>
      </c>
      <c r="M111" s="141">
        <v>0</v>
      </c>
      <c r="N111" s="141">
        <v>0</v>
      </c>
      <c r="O111" s="141">
        <v>0</v>
      </c>
      <c r="P111" s="141">
        <v>0</v>
      </c>
      <c r="Q111" s="144">
        <v>0</v>
      </c>
      <c r="R111" s="143">
        <v>0</v>
      </c>
      <c r="S111" s="141">
        <v>0</v>
      </c>
      <c r="T111" s="141">
        <v>0</v>
      </c>
      <c r="U111" s="141">
        <v>0</v>
      </c>
      <c r="V111" s="144">
        <v>0</v>
      </c>
    </row>
    <row r="112" spans="1:24" s="98" customFormat="1" ht="15" customHeight="1">
      <c r="A112" s="99"/>
      <c r="B112" s="161"/>
      <c r="D112" s="162" t="s">
        <v>205</v>
      </c>
      <c r="E112" s="162"/>
      <c r="F112" s="162"/>
      <c r="G112" s="163"/>
      <c r="H112" s="163"/>
      <c r="I112" s="164" t="s">
        <v>498</v>
      </c>
      <c r="J112" s="143">
        <v>0.90746777767351672</v>
      </c>
      <c r="K112" s="141">
        <v>0.76934678961038927</v>
      </c>
      <c r="L112" s="141">
        <v>0.60498252087883841</v>
      </c>
      <c r="M112" s="141">
        <v>0.42478714557647002</v>
      </c>
      <c r="N112" s="141">
        <v>0.54537731927888589</v>
      </c>
      <c r="O112" s="141">
        <v>0.50791604614257813</v>
      </c>
      <c r="P112" s="141">
        <v>0.53334704180405701</v>
      </c>
      <c r="Q112" s="144">
        <v>0.52661407644314018</v>
      </c>
      <c r="R112" s="143">
        <v>0.51871486529649302</v>
      </c>
      <c r="S112" s="141">
        <v>0.51093414231704559</v>
      </c>
      <c r="T112" s="141">
        <v>0.50327013018228994</v>
      </c>
      <c r="U112" s="141">
        <v>0.49572107822955563</v>
      </c>
      <c r="V112" s="144">
        <v>0.48828526205611228</v>
      </c>
    </row>
    <row r="113" spans="1:23" s="98" customFormat="1" ht="15" customHeight="1">
      <c r="A113" s="99"/>
      <c r="B113" s="161"/>
      <c r="D113" s="162" t="s">
        <v>1758</v>
      </c>
      <c r="E113" s="162"/>
      <c r="F113" s="162"/>
      <c r="G113" s="163"/>
      <c r="H113" s="163"/>
      <c r="I113" s="164" t="s">
        <v>498</v>
      </c>
      <c r="J113" s="143">
        <v>0</v>
      </c>
      <c r="K113" s="141">
        <v>0</v>
      </c>
      <c r="L113" s="141">
        <v>0</v>
      </c>
      <c r="M113" s="141">
        <v>0</v>
      </c>
      <c r="N113" s="141">
        <v>0</v>
      </c>
      <c r="O113" s="141">
        <v>0</v>
      </c>
      <c r="P113" s="141">
        <v>0</v>
      </c>
      <c r="Q113" s="144">
        <v>0</v>
      </c>
      <c r="R113" s="143">
        <v>0</v>
      </c>
      <c r="S113" s="141">
        <v>0</v>
      </c>
      <c r="T113" s="141">
        <v>0</v>
      </c>
      <c r="U113" s="141">
        <v>0</v>
      </c>
      <c r="V113" s="144">
        <v>0</v>
      </c>
    </row>
    <row r="114" spans="1:23" s="98" customFormat="1" ht="15" customHeight="1">
      <c r="A114" s="99"/>
      <c r="B114" s="161"/>
      <c r="D114" s="162" t="s">
        <v>85</v>
      </c>
      <c r="E114" s="162"/>
      <c r="F114" s="162"/>
      <c r="G114" s="720" t="s">
        <v>1767</v>
      </c>
      <c r="H114" s="163"/>
      <c r="I114" s="164" t="s">
        <v>498</v>
      </c>
      <c r="J114" s="143">
        <v>1.2240069745325401E-2</v>
      </c>
      <c r="K114" s="141">
        <v>3.9736706493506475E-2</v>
      </c>
      <c r="L114" s="141">
        <v>0</v>
      </c>
      <c r="M114" s="141">
        <v>0</v>
      </c>
      <c r="N114" s="141">
        <v>0</v>
      </c>
      <c r="O114" s="141">
        <v>0</v>
      </c>
      <c r="P114" s="141">
        <v>0</v>
      </c>
      <c r="Q114" s="144">
        <v>0</v>
      </c>
      <c r="R114" s="143">
        <v>0</v>
      </c>
      <c r="S114" s="141">
        <v>0</v>
      </c>
      <c r="T114" s="141">
        <v>0</v>
      </c>
      <c r="U114" s="141">
        <v>0</v>
      </c>
      <c r="V114" s="144">
        <v>0</v>
      </c>
    </row>
    <row r="115" spans="1:23" s="98" customFormat="1" ht="15" customHeight="1">
      <c r="A115" s="99"/>
      <c r="B115" s="161"/>
      <c r="D115" s="162" t="s">
        <v>85</v>
      </c>
      <c r="E115" s="162"/>
      <c r="F115" s="162"/>
      <c r="G115" s="720" t="s">
        <v>55</v>
      </c>
      <c r="H115" s="163"/>
      <c r="I115" s="164" t="s">
        <v>498</v>
      </c>
      <c r="J115" s="143">
        <v>-5.9113237835325502E-2</v>
      </c>
      <c r="K115" s="141">
        <v>7.7265818181818154E-3</v>
      </c>
      <c r="L115" s="141">
        <v>7.7533860979056901E-2</v>
      </c>
      <c r="M115" s="141">
        <v>-2.4336442868614892E-2</v>
      </c>
      <c r="N115" s="141">
        <v>4.463388164040333E-3</v>
      </c>
      <c r="O115" s="141">
        <v>1.13486795425415E-2</v>
      </c>
      <c r="P115" s="141">
        <v>1.1916899866356337E-2</v>
      </c>
      <c r="Q115" s="144">
        <v>1.176646109437348E-2</v>
      </c>
      <c r="R115" s="143">
        <v>1.1589964177957875E-2</v>
      </c>
      <c r="S115" s="141">
        <v>1.1416114715288507E-2</v>
      </c>
      <c r="T115" s="141">
        <v>1.1244872994559179E-2</v>
      </c>
      <c r="U115" s="141">
        <v>1.1076199899640793E-2</v>
      </c>
      <c r="V115" s="144">
        <v>1.091005690114618E-2</v>
      </c>
    </row>
    <row r="116" spans="1:23" s="98" customFormat="1" ht="15" customHeight="1">
      <c r="A116" s="99"/>
      <c r="B116" s="161"/>
      <c r="D116" s="162" t="s">
        <v>85</v>
      </c>
      <c r="E116" s="162"/>
      <c r="F116" s="162"/>
      <c r="G116" s="720" t="s">
        <v>1762</v>
      </c>
      <c r="H116" s="163"/>
      <c r="I116" s="164" t="s">
        <v>498</v>
      </c>
      <c r="J116" s="143">
        <v>0</v>
      </c>
      <c r="K116" s="141">
        <v>0</v>
      </c>
      <c r="L116" s="141">
        <v>3.2760786329178973E-3</v>
      </c>
      <c r="M116" s="141">
        <v>0</v>
      </c>
      <c r="N116" s="141">
        <v>0</v>
      </c>
      <c r="O116" s="141">
        <v>0</v>
      </c>
      <c r="P116" s="141">
        <v>0</v>
      </c>
      <c r="Q116" s="144">
        <v>0</v>
      </c>
      <c r="R116" s="143">
        <v>0</v>
      </c>
      <c r="S116" s="141">
        <v>0</v>
      </c>
      <c r="T116" s="141">
        <v>0</v>
      </c>
      <c r="U116" s="141">
        <v>0</v>
      </c>
      <c r="V116" s="144">
        <v>0</v>
      </c>
    </row>
    <row r="117" spans="1:23" s="98" customFormat="1" ht="15" customHeight="1">
      <c r="A117" s="99"/>
      <c r="B117" s="161"/>
      <c r="D117" s="162" t="s">
        <v>85</v>
      </c>
      <c r="E117" s="162"/>
      <c r="F117" s="162"/>
      <c r="G117" s="720" t="s">
        <v>1768</v>
      </c>
      <c r="H117" s="163"/>
      <c r="I117" s="164" t="s">
        <v>498</v>
      </c>
      <c r="J117" s="143">
        <v>0</v>
      </c>
      <c r="K117" s="141">
        <v>1.1037974025974021E-3</v>
      </c>
      <c r="L117" s="141">
        <v>0</v>
      </c>
      <c r="M117" s="141">
        <v>0</v>
      </c>
      <c r="N117" s="141">
        <v>0</v>
      </c>
      <c r="O117" s="141">
        <v>0</v>
      </c>
      <c r="P117" s="141">
        <v>0</v>
      </c>
      <c r="Q117" s="144">
        <v>0</v>
      </c>
      <c r="R117" s="143">
        <v>0</v>
      </c>
      <c r="S117" s="141">
        <v>0</v>
      </c>
      <c r="T117" s="141">
        <v>0</v>
      </c>
      <c r="U117" s="141">
        <v>0</v>
      </c>
      <c r="V117" s="144">
        <v>0</v>
      </c>
    </row>
    <row r="118" spans="1:23" s="98" customFormat="1" ht="15" customHeight="1">
      <c r="A118" s="99"/>
      <c r="B118" s="161"/>
      <c r="D118" s="162" t="s">
        <v>85</v>
      </c>
      <c r="E118" s="162"/>
      <c r="F118" s="162"/>
      <c r="G118" s="720" t="s">
        <v>1761</v>
      </c>
      <c r="H118" s="163"/>
      <c r="I118" s="164" t="s">
        <v>498</v>
      </c>
      <c r="J118" s="143">
        <v>0</v>
      </c>
      <c r="K118" s="141">
        <v>0</v>
      </c>
      <c r="L118" s="141">
        <v>0</v>
      </c>
      <c r="M118" s="141">
        <v>0</v>
      </c>
      <c r="N118" s="141">
        <v>0</v>
      </c>
      <c r="O118" s="141">
        <v>0</v>
      </c>
      <c r="P118" s="141">
        <v>0</v>
      </c>
      <c r="Q118" s="144">
        <v>0</v>
      </c>
      <c r="R118" s="143">
        <v>0</v>
      </c>
      <c r="S118" s="141">
        <v>0</v>
      </c>
      <c r="T118" s="141">
        <v>0</v>
      </c>
      <c r="U118" s="141">
        <v>0</v>
      </c>
      <c r="V118" s="144">
        <v>0</v>
      </c>
    </row>
    <row r="119" spans="1:23" s="98" customFormat="1" ht="15" customHeight="1">
      <c r="A119" s="99"/>
      <c r="B119" s="181"/>
      <c r="C119" s="2492" t="s">
        <v>1763</v>
      </c>
      <c r="D119" s="183"/>
      <c r="E119" s="183"/>
      <c r="F119" s="183"/>
      <c r="G119" s="184"/>
      <c r="H119" s="184"/>
      <c r="I119" s="164" t="s">
        <v>498</v>
      </c>
      <c r="J119" s="128">
        <f t="shared" ref="J119:V119" si="16">SUM(J106:J118)</f>
        <v>11.046308943328784</v>
      </c>
      <c r="K119" s="129">
        <f t="shared" si="16"/>
        <v>11.238865153246751</v>
      </c>
      <c r="L119" s="129">
        <f t="shared" si="16"/>
        <v>11.319943702942307</v>
      </c>
      <c r="M119" s="129">
        <f t="shared" si="16"/>
        <v>11.091264343146289</v>
      </c>
      <c r="N119" s="129">
        <f t="shared" si="16"/>
        <v>11.345407825684378</v>
      </c>
      <c r="O119" s="129">
        <f t="shared" si="16"/>
        <v>10.559883525660961</v>
      </c>
      <c r="P119" s="129">
        <f t="shared" si="16"/>
        <v>11.089609393186361</v>
      </c>
      <c r="Q119" s="130">
        <f t="shared" si="16"/>
        <v>10.949614324201143</v>
      </c>
      <c r="R119" s="128">
        <f t="shared" si="16"/>
        <v>10.785370109338125</v>
      </c>
      <c r="S119" s="129">
        <f t="shared" si="16"/>
        <v>10.623589557698054</v>
      </c>
      <c r="T119" s="129">
        <f t="shared" si="16"/>
        <v>10.464235714332585</v>
      </c>
      <c r="U119" s="129">
        <f t="shared" si="16"/>
        <v>10.307272178617595</v>
      </c>
      <c r="V119" s="130">
        <f t="shared" si="16"/>
        <v>10.152663095938333</v>
      </c>
      <c r="W119" s="185"/>
    </row>
    <row r="120" spans="1:23" s="338" customFormat="1" ht="14.25">
      <c r="B120" s="349"/>
      <c r="C120" s="1393"/>
      <c r="D120" s="624" t="s">
        <v>1764</v>
      </c>
      <c r="E120" s="624"/>
      <c r="F120" s="624"/>
      <c r="G120" s="339"/>
      <c r="H120" s="339"/>
      <c r="I120" s="576" t="s">
        <v>498</v>
      </c>
      <c r="J120" s="297">
        <v>0</v>
      </c>
      <c r="K120" s="298" t="s">
        <v>1127</v>
      </c>
      <c r="L120" s="298">
        <v>0</v>
      </c>
      <c r="M120" s="298">
        <v>0</v>
      </c>
      <c r="N120" s="298">
        <v>0</v>
      </c>
      <c r="O120" s="298">
        <v>0</v>
      </c>
      <c r="P120" s="298">
        <v>0</v>
      </c>
      <c r="Q120" s="299">
        <v>0</v>
      </c>
      <c r="R120" s="297">
        <v>0</v>
      </c>
      <c r="S120" s="298">
        <v>0</v>
      </c>
      <c r="T120" s="298">
        <v>0</v>
      </c>
      <c r="U120" s="298">
        <v>0</v>
      </c>
      <c r="V120" s="299">
        <v>0</v>
      </c>
    </row>
    <row r="121" spans="1:23" s="338" customFormat="1" ht="14.25">
      <c r="B121" s="349"/>
      <c r="C121" s="1393"/>
      <c r="D121" s="624" t="s">
        <v>1765</v>
      </c>
      <c r="E121" s="624"/>
      <c r="F121" s="624"/>
      <c r="G121" s="339"/>
      <c r="H121" s="339"/>
      <c r="I121" s="973" t="s">
        <v>498</v>
      </c>
      <c r="J121" s="974">
        <v>-4.3940633795330822E-3</v>
      </c>
      <c r="K121" s="975">
        <v>2.8698732467532455E-2</v>
      </c>
      <c r="L121" s="975">
        <v>-6.7705625080303214E-2</v>
      </c>
      <c r="M121" s="975">
        <v>-7.7874472526717753E-2</v>
      </c>
      <c r="N121" s="975">
        <v>-0.11646757995329345</v>
      </c>
      <c r="O121" s="975">
        <v>1.3243000507354701E-3</v>
      </c>
      <c r="P121" s="975">
        <v>0</v>
      </c>
      <c r="Q121" s="976">
        <v>0</v>
      </c>
      <c r="R121" s="974">
        <v>0</v>
      </c>
      <c r="S121" s="975">
        <v>0</v>
      </c>
      <c r="T121" s="975">
        <v>0</v>
      </c>
      <c r="U121" s="975">
        <v>0</v>
      </c>
      <c r="V121" s="976">
        <v>0</v>
      </c>
    </row>
    <row r="122" spans="1:23" s="338" customFormat="1" ht="14.25">
      <c r="B122" s="349"/>
      <c r="C122" s="1393" t="s">
        <v>1766</v>
      </c>
      <c r="D122" s="339"/>
      <c r="E122" s="339"/>
      <c r="F122" s="339"/>
      <c r="G122" s="625"/>
      <c r="H122" s="339"/>
      <c r="I122" s="164" t="s">
        <v>498</v>
      </c>
      <c r="J122" s="128">
        <f>SUM(J119:J121)</f>
        <v>11.041914879949251</v>
      </c>
      <c r="K122" s="632">
        <f t="shared" ref="K122:V122" si="17">SUM(K119:K121)</f>
        <v>11.267563885714283</v>
      </c>
      <c r="L122" s="632">
        <f t="shared" si="17"/>
        <v>11.252238077862003</v>
      </c>
      <c r="M122" s="632">
        <f t="shared" si="17"/>
        <v>11.013389870619571</v>
      </c>
      <c r="N122" s="632">
        <f t="shared" si="17"/>
        <v>11.228940245731085</v>
      </c>
      <c r="O122" s="632">
        <f t="shared" si="17"/>
        <v>10.561207825711696</v>
      </c>
      <c r="P122" s="632">
        <f t="shared" si="17"/>
        <v>11.089609393186361</v>
      </c>
      <c r="Q122" s="633">
        <f t="shared" si="17"/>
        <v>10.949614324201143</v>
      </c>
      <c r="R122" s="631">
        <f t="shared" si="17"/>
        <v>10.785370109338125</v>
      </c>
      <c r="S122" s="632">
        <f t="shared" si="17"/>
        <v>10.623589557698054</v>
      </c>
      <c r="T122" s="632">
        <f t="shared" si="17"/>
        <v>10.464235714332585</v>
      </c>
      <c r="U122" s="632">
        <f t="shared" si="17"/>
        <v>10.307272178617595</v>
      </c>
      <c r="V122" s="633">
        <f t="shared" si="17"/>
        <v>10.152663095938333</v>
      </c>
    </row>
    <row r="123" spans="1:23" s="98" customFormat="1" ht="15" customHeight="1">
      <c r="A123" s="99"/>
      <c r="B123" s="161"/>
      <c r="C123" s="116"/>
      <c r="D123" s="116"/>
      <c r="E123" s="116"/>
      <c r="F123" s="116"/>
      <c r="G123" s="117"/>
      <c r="H123" s="117"/>
      <c r="I123" s="117"/>
      <c r="J123" s="713"/>
      <c r="K123" s="721"/>
      <c r="L123" s="721"/>
      <c r="M123" s="721"/>
      <c r="N123" s="721"/>
      <c r="O123" s="721"/>
      <c r="P123" s="721"/>
      <c r="Q123" s="715"/>
      <c r="R123" s="713"/>
      <c r="S123" s="721"/>
      <c r="T123" s="721"/>
      <c r="U123" s="721"/>
      <c r="V123" s="715"/>
    </row>
    <row r="124" spans="1:23" s="98" customFormat="1" ht="15" customHeight="1">
      <c r="A124" s="99"/>
      <c r="B124" s="161"/>
      <c r="C124" s="186" t="s">
        <v>1770</v>
      </c>
      <c r="D124" s="162"/>
      <c r="E124" s="162"/>
      <c r="F124" s="162"/>
      <c r="G124" s="163"/>
      <c r="H124" s="163"/>
      <c r="I124" s="117"/>
      <c r="J124" s="713"/>
      <c r="K124" s="721"/>
      <c r="L124" s="721"/>
      <c r="M124" s="721"/>
      <c r="N124" s="721"/>
      <c r="O124" s="721"/>
      <c r="P124" s="721"/>
      <c r="Q124" s="715"/>
      <c r="R124" s="713"/>
      <c r="S124" s="721"/>
      <c r="T124" s="721"/>
      <c r="U124" s="721"/>
      <c r="V124" s="715"/>
    </row>
    <row r="125" spans="1:23" s="98" customFormat="1" ht="15" customHeight="1">
      <c r="A125" s="99"/>
      <c r="B125" s="161"/>
      <c r="D125" s="162" t="s">
        <v>1752</v>
      </c>
      <c r="E125" s="162"/>
      <c r="F125" s="162"/>
      <c r="G125" s="163"/>
      <c r="H125" s="163"/>
      <c r="I125" s="164" t="s">
        <v>498</v>
      </c>
      <c r="J125" s="143">
        <v>9.8932476688590487</v>
      </c>
      <c r="K125" s="141">
        <v>8.0974577454545429</v>
      </c>
      <c r="L125" s="141">
        <v>7.8374721161505825</v>
      </c>
      <c r="M125" s="141">
        <v>7.9079033726899368</v>
      </c>
      <c r="N125" s="141">
        <v>8.0026672963341046</v>
      </c>
      <c r="O125" s="141">
        <v>7.8726361964750202</v>
      </c>
      <c r="P125" s="141">
        <v>8.0706626349420034</v>
      </c>
      <c r="Q125" s="144">
        <v>7.9688960690684523</v>
      </c>
      <c r="R125" s="143">
        <v>7.872173667341742</v>
      </c>
      <c r="S125" s="141">
        <v>7.7803693256581985</v>
      </c>
      <c r="T125" s="141">
        <v>7.6933600925167447</v>
      </c>
      <c r="U125" s="141">
        <v>7.6110260902038256</v>
      </c>
      <c r="V125" s="144">
        <v>7.5332504379487295</v>
      </c>
    </row>
    <row r="126" spans="1:23" s="98" customFormat="1" ht="15" customHeight="1">
      <c r="A126" s="99"/>
      <c r="B126" s="161"/>
      <c r="D126" s="162" t="s">
        <v>1753</v>
      </c>
      <c r="E126" s="162"/>
      <c r="F126" s="162"/>
      <c r="G126" s="163"/>
      <c r="H126" s="163"/>
      <c r="I126" s="164" t="s">
        <v>498</v>
      </c>
      <c r="J126" s="143">
        <v>1.6711160934160598</v>
      </c>
      <c r="K126" s="141">
        <v>0.86979235324675297</v>
      </c>
      <c r="L126" s="141">
        <v>4.5089762251059984</v>
      </c>
      <c r="M126" s="141">
        <v>4.2220194083232681</v>
      </c>
      <c r="N126" s="141">
        <v>3.7535347358540307</v>
      </c>
      <c r="O126" s="141">
        <v>4.7312232685089119</v>
      </c>
      <c r="P126" s="141">
        <v>4.8502313453554509</v>
      </c>
      <c r="Q126" s="144">
        <v>4.6289755617215649</v>
      </c>
      <c r="R126" s="143">
        <v>4.4107511726785242</v>
      </c>
      <c r="S126" s="141">
        <v>4.1954823933615613</v>
      </c>
      <c r="T126" s="141">
        <v>3.983095333527523</v>
      </c>
      <c r="U126" s="141">
        <v>3.7735179501893343</v>
      </c>
      <c r="V126" s="144">
        <v>3.5666800014346003</v>
      </c>
    </row>
    <row r="127" spans="1:23" s="98" customFormat="1" ht="15" customHeight="1">
      <c r="A127" s="99"/>
      <c r="B127" s="161"/>
      <c r="D127" s="162" t="s">
        <v>1754</v>
      </c>
      <c r="E127" s="162"/>
      <c r="F127" s="162"/>
      <c r="G127" s="163"/>
      <c r="H127" s="163"/>
      <c r="I127" s="164" t="s">
        <v>498</v>
      </c>
      <c r="J127" s="143">
        <v>0.46736213325118259</v>
      </c>
      <c r="K127" s="141">
        <v>0.47794427532467515</v>
      </c>
      <c r="L127" s="141">
        <v>0.28720289348580236</v>
      </c>
      <c r="M127" s="141">
        <v>0.41890724729244638</v>
      </c>
      <c r="N127" s="141">
        <v>0.84174108906499612</v>
      </c>
      <c r="O127" s="141">
        <v>0.79346611678600332</v>
      </c>
      <c r="P127" s="141">
        <v>0.81342477678628555</v>
      </c>
      <c r="Q127" s="144">
        <v>0.79308915736662844</v>
      </c>
      <c r="R127" s="143">
        <v>0.77326192843246278</v>
      </c>
      <c r="S127" s="141">
        <v>0.75393038022165115</v>
      </c>
      <c r="T127" s="141">
        <v>0.7350821207161099</v>
      </c>
      <c r="U127" s="141">
        <v>0.71670506769820708</v>
      </c>
      <c r="V127" s="144">
        <v>0.69878744100575185</v>
      </c>
    </row>
    <row r="128" spans="1:23" s="98" customFormat="1" ht="15" customHeight="1">
      <c r="A128" s="99"/>
      <c r="B128" s="161"/>
      <c r="D128" s="162" t="s">
        <v>1755</v>
      </c>
      <c r="E128" s="162"/>
      <c r="F128" s="162"/>
      <c r="G128" s="163"/>
      <c r="H128" s="163"/>
      <c r="I128" s="164" t="s">
        <v>498</v>
      </c>
      <c r="J128" s="143">
        <v>1.7186449404726432E-3</v>
      </c>
      <c r="K128" s="141">
        <v>0</v>
      </c>
      <c r="L128" s="141">
        <v>0</v>
      </c>
      <c r="M128" s="141">
        <v>2.6899035744475295E-3</v>
      </c>
      <c r="N128" s="141">
        <v>1.0859068222096118E-3</v>
      </c>
      <c r="O128" s="141">
        <v>2.3050000667571998E-3</v>
      </c>
      <c r="P128" s="141">
        <v>2.3629794960734517E-3</v>
      </c>
      <c r="Q128" s="144">
        <v>2.3039050086716157E-3</v>
      </c>
      <c r="R128" s="143">
        <v>2.2463073834548251E-3</v>
      </c>
      <c r="S128" s="141">
        <v>2.1901496988684546E-3</v>
      </c>
      <c r="T128" s="141">
        <v>2.1353959563967435E-3</v>
      </c>
      <c r="U128" s="141">
        <v>2.0820110574868251E-3</v>
      </c>
      <c r="V128" s="144">
        <v>2.0299607810496541E-3</v>
      </c>
    </row>
    <row r="129" spans="1:23" s="98" customFormat="1" ht="15" customHeight="1">
      <c r="A129" s="99"/>
      <c r="B129" s="161"/>
      <c r="D129" s="162" t="s">
        <v>1756</v>
      </c>
      <c r="E129" s="162"/>
      <c r="F129" s="162"/>
      <c r="G129" s="163"/>
      <c r="H129" s="163"/>
      <c r="I129" s="164" t="s">
        <v>498</v>
      </c>
      <c r="J129" s="143">
        <v>0.17378822834550586</v>
      </c>
      <c r="K129" s="141">
        <v>0.17881517922077916</v>
      </c>
      <c r="L129" s="141">
        <v>7.6441834768084277E-2</v>
      </c>
      <c r="M129" s="141">
        <v>0.10000901121935754</v>
      </c>
      <c r="N129" s="141">
        <v>0.21379720509930591</v>
      </c>
      <c r="O129" s="141">
        <v>0.19119083371316692</v>
      </c>
      <c r="P129" s="141">
        <v>0.19600000295747977</v>
      </c>
      <c r="Q129" s="144">
        <v>0.19110000288354276</v>
      </c>
      <c r="R129" s="143">
        <v>0.18632250281145418</v>
      </c>
      <c r="S129" s="141">
        <v>0.18166444024116782</v>
      </c>
      <c r="T129" s="141">
        <v>0.17712282923513861</v>
      </c>
      <c r="U129" s="141">
        <v>0.17269475850426017</v>
      </c>
      <c r="V129" s="144">
        <v>0.16837738954165363</v>
      </c>
    </row>
    <row r="130" spans="1:23" s="98" customFormat="1" ht="15" customHeight="1">
      <c r="A130" s="99"/>
      <c r="B130" s="161"/>
      <c r="D130" s="162" t="s">
        <v>1757</v>
      </c>
      <c r="E130" s="162"/>
      <c r="F130" s="162"/>
      <c r="G130" s="163"/>
      <c r="H130" s="163"/>
      <c r="I130" s="164" t="s">
        <v>498</v>
      </c>
      <c r="J130" s="143">
        <v>4.9631485740844446E-4</v>
      </c>
      <c r="K130" s="141">
        <v>0</v>
      </c>
      <c r="L130" s="141">
        <v>0</v>
      </c>
      <c r="M130" s="141">
        <v>0</v>
      </c>
      <c r="N130" s="141">
        <v>0</v>
      </c>
      <c r="O130" s="141">
        <v>0</v>
      </c>
      <c r="P130" s="141">
        <v>0</v>
      </c>
      <c r="Q130" s="144">
        <v>0</v>
      </c>
      <c r="R130" s="143">
        <v>0</v>
      </c>
      <c r="S130" s="141">
        <v>0</v>
      </c>
      <c r="T130" s="141">
        <v>0</v>
      </c>
      <c r="U130" s="141">
        <v>0</v>
      </c>
      <c r="V130" s="144">
        <v>0</v>
      </c>
    </row>
    <row r="131" spans="1:23" s="98" customFormat="1" ht="15" customHeight="1">
      <c r="A131" s="99"/>
      <c r="B131" s="161"/>
      <c r="D131" s="162" t="s">
        <v>205</v>
      </c>
      <c r="E131" s="162"/>
      <c r="F131" s="162"/>
      <c r="G131" s="163"/>
      <c r="H131" s="163"/>
      <c r="I131" s="164" t="s">
        <v>498</v>
      </c>
      <c r="J131" s="143">
        <v>3.0218205192497534</v>
      </c>
      <c r="K131" s="141">
        <v>2.6469061714285709</v>
      </c>
      <c r="L131" s="141">
        <v>2.251758047025568</v>
      </c>
      <c r="M131" s="141">
        <v>1.6641195268314506</v>
      </c>
      <c r="N131" s="141">
        <v>2.2507810655436722</v>
      </c>
      <c r="O131" s="141">
        <v>2.6487611083984404</v>
      </c>
      <c r="P131" s="141">
        <v>2.7153874220696932</v>
      </c>
      <c r="Q131" s="144">
        <v>2.6475027365179509</v>
      </c>
      <c r="R131" s="143">
        <v>2.5813151681050019</v>
      </c>
      <c r="S131" s="141">
        <v>2.5167822889023768</v>
      </c>
      <c r="T131" s="141">
        <v>2.4538627316798176</v>
      </c>
      <c r="U131" s="141">
        <v>2.392516163387822</v>
      </c>
      <c r="V131" s="144">
        <v>2.3327032593031261</v>
      </c>
    </row>
    <row r="132" spans="1:23" s="98" customFormat="1" ht="15" customHeight="1">
      <c r="A132" s="99"/>
      <c r="B132" s="161"/>
      <c r="D132" s="162" t="s">
        <v>1758</v>
      </c>
      <c r="E132" s="162"/>
      <c r="F132" s="162"/>
      <c r="G132" s="163"/>
      <c r="H132" s="163"/>
      <c r="I132" s="164" t="s">
        <v>498</v>
      </c>
      <c r="J132" s="143">
        <v>0</v>
      </c>
      <c r="K132" s="141">
        <v>0</v>
      </c>
      <c r="L132" s="141">
        <v>0</v>
      </c>
      <c r="M132" s="141">
        <v>0</v>
      </c>
      <c r="N132" s="141">
        <v>0</v>
      </c>
      <c r="O132" s="141">
        <v>0</v>
      </c>
      <c r="P132" s="141">
        <v>0</v>
      </c>
      <c r="Q132" s="144">
        <v>0</v>
      </c>
      <c r="R132" s="143">
        <v>0</v>
      </c>
      <c r="S132" s="141">
        <v>0</v>
      </c>
      <c r="T132" s="141">
        <v>0</v>
      </c>
      <c r="U132" s="141">
        <v>0</v>
      </c>
      <c r="V132" s="144">
        <v>0</v>
      </c>
    </row>
    <row r="133" spans="1:23" s="98" customFormat="1" ht="15" customHeight="1">
      <c r="A133" s="99"/>
      <c r="B133" s="161"/>
      <c r="D133" s="162" t="s">
        <v>85</v>
      </c>
      <c r="E133" s="162"/>
      <c r="F133" s="162"/>
      <c r="G133" s="720" t="s">
        <v>1767</v>
      </c>
      <c r="H133" s="163"/>
      <c r="I133" s="164" t="s">
        <v>498</v>
      </c>
      <c r="J133" s="143">
        <v>3.4800788616939364</v>
      </c>
      <c r="K133" s="141">
        <v>3.9482833090909075</v>
      </c>
      <c r="L133" s="141">
        <v>0</v>
      </c>
      <c r="M133" s="141">
        <v>0</v>
      </c>
      <c r="N133" s="141">
        <v>0</v>
      </c>
      <c r="O133" s="141">
        <v>0</v>
      </c>
      <c r="P133" s="141">
        <v>0</v>
      </c>
      <c r="Q133" s="144">
        <v>0</v>
      </c>
      <c r="R133" s="143">
        <v>0</v>
      </c>
      <c r="S133" s="141">
        <v>0</v>
      </c>
      <c r="T133" s="141">
        <v>0</v>
      </c>
      <c r="U133" s="141">
        <v>0</v>
      </c>
      <c r="V133" s="144">
        <v>0</v>
      </c>
    </row>
    <row r="134" spans="1:23" s="98" customFormat="1" ht="15" customHeight="1">
      <c r="A134" s="99"/>
      <c r="B134" s="161"/>
      <c r="D134" s="162" t="s">
        <v>85</v>
      </c>
      <c r="E134" s="162"/>
      <c r="F134" s="162"/>
      <c r="G134" s="720" t="s">
        <v>55</v>
      </c>
      <c r="H134" s="163"/>
      <c r="I134" s="164" t="s">
        <v>498</v>
      </c>
      <c r="J134" s="143">
        <v>6.5439305272491088E-2</v>
      </c>
      <c r="K134" s="141">
        <v>0.17771138181818177</v>
      </c>
      <c r="L134" s="141">
        <v>0.16380393164589485</v>
      </c>
      <c r="M134" s="141">
        <v>0.34781138522928984</v>
      </c>
      <c r="N134" s="141">
        <v>0.36340833159107766</v>
      </c>
      <c r="O134" s="141">
        <v>0.23389328002929699</v>
      </c>
      <c r="P134" s="141">
        <v>0.23977657656042606</v>
      </c>
      <c r="Q134" s="144">
        <v>0.23378216214641542</v>
      </c>
      <c r="R134" s="143">
        <v>0.22793760809275504</v>
      </c>
      <c r="S134" s="141">
        <v>0.22223916789043616</v>
      </c>
      <c r="T134" s="141">
        <v>0.21668318869317524</v>
      </c>
      <c r="U134" s="141">
        <v>0.21126610897584586</v>
      </c>
      <c r="V134" s="144">
        <v>0.20598445625144968</v>
      </c>
    </row>
    <row r="135" spans="1:23" s="98" customFormat="1" ht="15" customHeight="1">
      <c r="A135" s="99"/>
      <c r="B135" s="161"/>
      <c r="D135" s="162" t="s">
        <v>85</v>
      </c>
      <c r="E135" s="162"/>
      <c r="F135" s="162"/>
      <c r="G135" s="720" t="s">
        <v>1762</v>
      </c>
      <c r="H135" s="163"/>
      <c r="I135" s="164" t="s">
        <v>498</v>
      </c>
      <c r="J135" s="143">
        <v>6.8991141471320787E-4</v>
      </c>
      <c r="K135" s="141">
        <v>1.1037974025974021E-3</v>
      </c>
      <c r="L135" s="141">
        <v>2.1840524219452649E-3</v>
      </c>
      <c r="M135" s="141">
        <v>0</v>
      </c>
      <c r="N135" s="141">
        <v>2.4968302937710063E-4</v>
      </c>
      <c r="O135" s="141">
        <v>0</v>
      </c>
      <c r="P135" s="141">
        <v>0</v>
      </c>
      <c r="Q135" s="144">
        <v>0</v>
      </c>
      <c r="R135" s="143">
        <v>0</v>
      </c>
      <c r="S135" s="141">
        <v>0</v>
      </c>
      <c r="T135" s="141">
        <v>0</v>
      </c>
      <c r="U135" s="141">
        <v>0</v>
      </c>
      <c r="V135" s="144">
        <v>0</v>
      </c>
    </row>
    <row r="136" spans="1:23" s="98" customFormat="1" ht="15" customHeight="1">
      <c r="A136" s="99"/>
      <c r="B136" s="161"/>
      <c r="D136" s="162" t="s">
        <v>85</v>
      </c>
      <c r="E136" s="162"/>
      <c r="F136" s="162"/>
      <c r="G136" s="720" t="s">
        <v>1768</v>
      </c>
      <c r="H136" s="163"/>
      <c r="I136" s="164" t="s">
        <v>498</v>
      </c>
      <c r="J136" s="143">
        <v>0</v>
      </c>
      <c r="K136" s="141">
        <v>0.4569721246753245</v>
      </c>
      <c r="L136" s="141">
        <v>0</v>
      </c>
      <c r="M136" s="141">
        <v>0</v>
      </c>
      <c r="N136" s="141">
        <v>0</v>
      </c>
      <c r="O136" s="141">
        <v>0</v>
      </c>
      <c r="P136" s="141">
        <v>0</v>
      </c>
      <c r="Q136" s="144">
        <v>0</v>
      </c>
      <c r="R136" s="143">
        <v>0</v>
      </c>
      <c r="S136" s="141">
        <v>0</v>
      </c>
      <c r="T136" s="141">
        <v>0</v>
      </c>
      <c r="U136" s="141">
        <v>0</v>
      </c>
      <c r="V136" s="144">
        <v>0</v>
      </c>
    </row>
    <row r="137" spans="1:23" s="98" customFormat="1" ht="15" customHeight="1">
      <c r="A137" s="99"/>
      <c r="B137" s="161"/>
      <c r="D137" s="162" t="s">
        <v>85</v>
      </c>
      <c r="E137" s="162"/>
      <c r="F137" s="162"/>
      <c r="G137" s="720" t="s">
        <v>1761</v>
      </c>
      <c r="H137" s="163"/>
      <c r="I137" s="164" t="s">
        <v>498</v>
      </c>
      <c r="J137" s="143">
        <v>0</v>
      </c>
      <c r="K137" s="141">
        <v>0</v>
      </c>
      <c r="L137" s="141">
        <v>0</v>
      </c>
      <c r="M137" s="141">
        <v>1.0691190677454411E-3</v>
      </c>
      <c r="N137" s="141">
        <v>-2.2089960932384649E-4</v>
      </c>
      <c r="O137" s="141">
        <v>0</v>
      </c>
      <c r="P137" s="141">
        <v>0</v>
      </c>
      <c r="Q137" s="144">
        <v>0</v>
      </c>
      <c r="R137" s="143">
        <v>0</v>
      </c>
      <c r="S137" s="141">
        <v>0</v>
      </c>
      <c r="T137" s="141">
        <v>0</v>
      </c>
      <c r="U137" s="141">
        <v>0</v>
      </c>
      <c r="V137" s="144">
        <v>0</v>
      </c>
    </row>
    <row r="138" spans="1:23" s="98" customFormat="1" ht="15" customHeight="1">
      <c r="A138" s="99"/>
      <c r="B138" s="181"/>
      <c r="C138" s="2492" t="s">
        <v>1763</v>
      </c>
      <c r="D138" s="183"/>
      <c r="E138" s="183"/>
      <c r="F138" s="183"/>
      <c r="G138" s="184"/>
      <c r="H138" s="184"/>
      <c r="I138" s="164" t="s">
        <v>498</v>
      </c>
      <c r="J138" s="128">
        <f t="shared" ref="J138:V138" si="18">SUM(J125:J137)</f>
        <v>18.775757681300572</v>
      </c>
      <c r="K138" s="129">
        <f t="shared" si="18"/>
        <v>16.854986337662332</v>
      </c>
      <c r="L138" s="129">
        <f t="shared" si="18"/>
        <v>15.127839100603875</v>
      </c>
      <c r="M138" s="129">
        <f t="shared" si="18"/>
        <v>14.664528974227943</v>
      </c>
      <c r="N138" s="129">
        <f t="shared" si="18"/>
        <v>15.427044413729449</v>
      </c>
      <c r="O138" s="129">
        <f t="shared" si="18"/>
        <v>16.473475803977596</v>
      </c>
      <c r="P138" s="129">
        <f t="shared" si="18"/>
        <v>16.887845738167414</v>
      </c>
      <c r="Q138" s="130">
        <f t="shared" si="18"/>
        <v>16.465649594713227</v>
      </c>
      <c r="R138" s="128">
        <f t="shared" si="18"/>
        <v>16.054008354845394</v>
      </c>
      <c r="S138" s="129">
        <f t="shared" si="18"/>
        <v>15.652658145974261</v>
      </c>
      <c r="T138" s="129">
        <f t="shared" si="18"/>
        <v>15.261341692324905</v>
      </c>
      <c r="U138" s="129">
        <f t="shared" si="18"/>
        <v>14.879808150016782</v>
      </c>
      <c r="V138" s="130">
        <f t="shared" si="18"/>
        <v>14.507812946266363</v>
      </c>
      <c r="W138" s="185"/>
    </row>
    <row r="139" spans="1:23" s="338" customFormat="1" ht="14.25">
      <c r="B139" s="349"/>
      <c r="C139" s="1393"/>
      <c r="D139" s="624" t="s">
        <v>1764</v>
      </c>
      <c r="E139" s="624"/>
      <c r="F139" s="624"/>
      <c r="G139" s="339"/>
      <c r="H139" s="339"/>
      <c r="I139" s="576" t="s">
        <v>498</v>
      </c>
      <c r="J139" s="297">
        <v>0</v>
      </c>
      <c r="K139" s="298" t="s">
        <v>1127</v>
      </c>
      <c r="L139" s="298">
        <v>0</v>
      </c>
      <c r="M139" s="298">
        <v>0</v>
      </c>
      <c r="N139" s="298">
        <v>0</v>
      </c>
      <c r="O139" s="298">
        <v>0</v>
      </c>
      <c r="P139" s="298">
        <v>0</v>
      </c>
      <c r="Q139" s="299">
        <v>0</v>
      </c>
      <c r="R139" s="297">
        <v>0</v>
      </c>
      <c r="S139" s="298">
        <v>0</v>
      </c>
      <c r="T139" s="298">
        <v>0</v>
      </c>
      <c r="U139" s="298">
        <v>0</v>
      </c>
      <c r="V139" s="299">
        <v>0</v>
      </c>
    </row>
    <row r="140" spans="1:23" s="338" customFormat="1" ht="14.25">
      <c r="B140" s="349"/>
      <c r="C140" s="1393"/>
      <c r="D140" s="624" t="s">
        <v>1765</v>
      </c>
      <c r="E140" s="624"/>
      <c r="F140" s="624"/>
      <c r="G140" s="339"/>
      <c r="H140" s="339"/>
      <c r="I140" s="973" t="s">
        <v>498</v>
      </c>
      <c r="J140" s="974">
        <v>-0.36661691350883652</v>
      </c>
      <c r="K140" s="975">
        <v>-0.3178936519480518</v>
      </c>
      <c r="L140" s="975">
        <v>-0.36801283309777716</v>
      </c>
      <c r="M140" s="975">
        <v>-0.35338085410080289</v>
      </c>
      <c r="N140" s="975">
        <v>-0.26611379686586051</v>
      </c>
      <c r="O140" s="975">
        <v>-0.41344601440429701</v>
      </c>
      <c r="P140" s="975">
        <v>-0.4238457381674135</v>
      </c>
      <c r="Q140" s="976">
        <v>-0.41324959471322814</v>
      </c>
      <c r="R140" s="974">
        <v>-0.4029183548453974</v>
      </c>
      <c r="S140" s="975">
        <v>-0.39284539597426249</v>
      </c>
      <c r="T140" s="975">
        <v>-0.38302426107490595</v>
      </c>
      <c r="U140" s="975">
        <v>-0.37344865454803328</v>
      </c>
      <c r="V140" s="976">
        <v>-0.36411243818433242</v>
      </c>
    </row>
    <row r="141" spans="1:23" s="338" customFormat="1" ht="14.25">
      <c r="B141" s="349"/>
      <c r="C141" s="1393" t="s">
        <v>1766</v>
      </c>
      <c r="D141" s="339"/>
      <c r="E141" s="339"/>
      <c r="F141" s="339"/>
      <c r="G141" s="625"/>
      <c r="H141" s="339"/>
      <c r="I141" s="164" t="s">
        <v>498</v>
      </c>
      <c r="J141" s="128">
        <f>SUM(J138:J140)</f>
        <v>18.409140767791737</v>
      </c>
      <c r="K141" s="632">
        <f t="shared" ref="K141:V141" si="19">SUM(K138:K140)</f>
        <v>16.537092685714281</v>
      </c>
      <c r="L141" s="632">
        <f t="shared" si="19"/>
        <v>14.759826267506098</v>
      </c>
      <c r="M141" s="632">
        <f t="shared" si="19"/>
        <v>14.311148120127141</v>
      </c>
      <c r="N141" s="632">
        <f t="shared" si="19"/>
        <v>15.160930616863588</v>
      </c>
      <c r="O141" s="632">
        <f t="shared" si="19"/>
        <v>16.060029789573299</v>
      </c>
      <c r="P141" s="632">
        <f t="shared" si="19"/>
        <v>16.463999999999999</v>
      </c>
      <c r="Q141" s="633">
        <f t="shared" si="19"/>
        <v>16.052399999999999</v>
      </c>
      <c r="R141" s="631">
        <f t="shared" si="19"/>
        <v>15.651089999999996</v>
      </c>
      <c r="S141" s="632">
        <f t="shared" si="19"/>
        <v>15.259812749999998</v>
      </c>
      <c r="T141" s="632">
        <f t="shared" si="19"/>
        <v>14.878317431249998</v>
      </c>
      <c r="U141" s="632">
        <f t="shared" si="19"/>
        <v>14.506359495468748</v>
      </c>
      <c r="V141" s="633">
        <f t="shared" si="19"/>
        <v>14.143700508082031</v>
      </c>
    </row>
    <row r="142" spans="1:23" s="98" customFormat="1" ht="15" customHeight="1">
      <c r="A142" s="99"/>
      <c r="B142" s="161"/>
      <c r="C142" s="116"/>
      <c r="D142" s="116"/>
      <c r="E142" s="116"/>
      <c r="F142" s="116"/>
      <c r="G142" s="117"/>
      <c r="H142" s="117"/>
      <c r="I142" s="117"/>
      <c r="J142" s="713"/>
      <c r="K142" s="721"/>
      <c r="L142" s="721"/>
      <c r="M142" s="721"/>
      <c r="N142" s="721"/>
      <c r="O142" s="721"/>
      <c r="P142" s="721"/>
      <c r="Q142" s="715"/>
      <c r="R142" s="713"/>
      <c r="S142" s="721"/>
      <c r="T142" s="721"/>
      <c r="U142" s="721"/>
      <c r="V142" s="715"/>
    </row>
    <row r="143" spans="1:23" s="98" customFormat="1" ht="15" customHeight="1">
      <c r="A143" s="99"/>
      <c r="B143" s="161"/>
      <c r="C143" s="186" t="s">
        <v>41</v>
      </c>
      <c r="D143" s="162"/>
      <c r="E143" s="162"/>
      <c r="F143" s="162"/>
      <c r="G143" s="163"/>
      <c r="H143" s="163"/>
      <c r="I143" s="117"/>
      <c r="J143" s="713"/>
      <c r="K143" s="721"/>
      <c r="L143" s="721"/>
      <c r="M143" s="721"/>
      <c r="N143" s="721"/>
      <c r="O143" s="721"/>
      <c r="P143" s="721"/>
      <c r="Q143" s="715"/>
      <c r="R143" s="713"/>
      <c r="S143" s="721"/>
      <c r="T143" s="721"/>
      <c r="U143" s="721"/>
      <c r="V143" s="715"/>
    </row>
    <row r="144" spans="1:23" s="98" customFormat="1" ht="15" customHeight="1">
      <c r="A144" s="99"/>
      <c r="B144" s="161"/>
      <c r="D144" s="162" t="s">
        <v>1752</v>
      </c>
      <c r="E144" s="162"/>
      <c r="F144" s="162"/>
      <c r="G144" s="163"/>
      <c r="H144" s="163"/>
      <c r="I144" s="164" t="s">
        <v>498</v>
      </c>
      <c r="J144" s="143">
        <v>5.9926781698075979</v>
      </c>
      <c r="K144" s="141">
        <v>6.3799489870129849</v>
      </c>
      <c r="L144" s="141">
        <v>4.0818847882526343</v>
      </c>
      <c r="M144" s="141">
        <v>3.825776816120527</v>
      </c>
      <c r="N144" s="141">
        <v>4.0242393845079656</v>
      </c>
      <c r="O144" s="141">
        <v>3.4565614072720359</v>
      </c>
      <c r="P144" s="141">
        <v>7.9313360020807959</v>
      </c>
      <c r="Q144" s="144">
        <v>8.7754817095538051</v>
      </c>
      <c r="R144" s="143">
        <f>Q144*1.13</f>
        <v>9.9162943317957986</v>
      </c>
      <c r="S144" s="141">
        <f>R144*1.05</f>
        <v>10.412109048385588</v>
      </c>
      <c r="T144" s="141">
        <f>S144+0.091</f>
        <v>10.503109048385587</v>
      </c>
      <c r="U144" s="141">
        <f>T144*0.94</f>
        <v>9.8729225054824514</v>
      </c>
      <c r="V144" s="144">
        <f>U144*1.035+0.132</f>
        <v>10.350474793174335</v>
      </c>
    </row>
    <row r="145" spans="1:22" s="98" customFormat="1" ht="15" customHeight="1">
      <c r="A145" s="99"/>
      <c r="B145" s="161"/>
      <c r="D145" s="162" t="s">
        <v>1753</v>
      </c>
      <c r="E145" s="162"/>
      <c r="F145" s="162"/>
      <c r="G145" s="163"/>
      <c r="H145" s="163"/>
      <c r="I145" s="164" t="s">
        <v>498</v>
      </c>
      <c r="J145" s="143">
        <v>2.2670642773108298</v>
      </c>
      <c r="K145" s="141">
        <v>2.0276758285714278</v>
      </c>
      <c r="L145" s="141">
        <v>7.9294276247201312</v>
      </c>
      <c r="M145" s="141">
        <v>6.9906022560581427</v>
      </c>
      <c r="N145" s="141">
        <v>7.7008587713568062</v>
      </c>
      <c r="O145" s="141">
        <v>8.9616173927015055</v>
      </c>
      <c r="P145" s="141">
        <v>6.0914237892896423</v>
      </c>
      <c r="Q145" s="144">
        <v>6.2451466922970233</v>
      </c>
      <c r="R145" s="143">
        <f>Q145*1.13-0.034</f>
        <v>7.0230157622956355</v>
      </c>
      <c r="S145" s="141">
        <f>R145*1.05-0.061</f>
        <v>7.3131665504104175</v>
      </c>
      <c r="T145" s="141">
        <f>S145</f>
        <v>7.3131665504104175</v>
      </c>
      <c r="U145" s="141">
        <f>T145*0.94-0.017</f>
        <v>6.8573765573857921</v>
      </c>
      <c r="V145" s="144">
        <f>U145*1.035</f>
        <v>7.0973847368942939</v>
      </c>
    </row>
    <row r="146" spans="1:22" s="98" customFormat="1" ht="15" customHeight="1">
      <c r="A146" s="99"/>
      <c r="B146" s="161"/>
      <c r="D146" s="162" t="s">
        <v>1754</v>
      </c>
      <c r="E146" s="162"/>
      <c r="F146" s="162"/>
      <c r="G146" s="163"/>
      <c r="H146" s="163"/>
      <c r="I146" s="164" t="s">
        <v>498</v>
      </c>
      <c r="J146" s="143">
        <v>0.30322802608839133</v>
      </c>
      <c r="K146" s="141">
        <v>0.19978732987012979</v>
      </c>
      <c r="L146" s="141">
        <v>0.37627133591956818</v>
      </c>
      <c r="M146" s="141">
        <v>0.49735065153106489</v>
      </c>
      <c r="N146" s="141">
        <v>0.21122938356023888</v>
      </c>
      <c r="O146" s="141">
        <v>0.25841786298061342</v>
      </c>
      <c r="P146" s="141">
        <f>AVERAGE(M146:O146)</f>
        <v>0.32233263269063905</v>
      </c>
      <c r="Q146" s="144">
        <f>P146</f>
        <v>0.32233263269063905</v>
      </c>
      <c r="R146" s="143">
        <f t="shared" ref="R146:V147" si="20">Q146</f>
        <v>0.32233263269063905</v>
      </c>
      <c r="S146" s="141">
        <f t="shared" si="20"/>
        <v>0.32233263269063905</v>
      </c>
      <c r="T146" s="141">
        <f t="shared" si="20"/>
        <v>0.32233263269063905</v>
      </c>
      <c r="U146" s="141">
        <f t="shared" si="20"/>
        <v>0.32233263269063905</v>
      </c>
      <c r="V146" s="144">
        <f t="shared" si="20"/>
        <v>0.32233263269063905</v>
      </c>
    </row>
    <row r="147" spans="1:22" s="98" customFormat="1" ht="15" customHeight="1">
      <c r="A147" s="99"/>
      <c r="B147" s="161"/>
      <c r="D147" s="162" t="s">
        <v>1755</v>
      </c>
      <c r="E147" s="162"/>
      <c r="F147" s="162"/>
      <c r="G147" s="163"/>
      <c r="H147" s="163"/>
      <c r="I147" s="164" t="s">
        <v>498</v>
      </c>
      <c r="J147" s="143">
        <v>-1.8646155292154781E-2</v>
      </c>
      <c r="K147" s="141">
        <v>2.2075948051948045E-2</v>
      </c>
      <c r="L147" s="141">
        <v>0.1720460431542592</v>
      </c>
      <c r="M147" s="141">
        <v>-1.5604861912812453E-2</v>
      </c>
      <c r="N147" s="141">
        <v>7.6965814055611316E-3</v>
      </c>
      <c r="O147" s="141">
        <v>4.2516860600585897E-2</v>
      </c>
      <c r="P147" s="141">
        <f>AVERAGE(M147:O147)</f>
        <v>1.1536193364444858E-2</v>
      </c>
      <c r="Q147" s="144">
        <f>P147</f>
        <v>1.1536193364444858E-2</v>
      </c>
      <c r="R147" s="143">
        <f t="shared" si="20"/>
        <v>1.1536193364444858E-2</v>
      </c>
      <c r="S147" s="141">
        <f t="shared" si="20"/>
        <v>1.1536193364444858E-2</v>
      </c>
      <c r="T147" s="141">
        <f t="shared" si="20"/>
        <v>1.1536193364444858E-2</v>
      </c>
      <c r="U147" s="141">
        <f t="shared" si="20"/>
        <v>1.1536193364444858E-2</v>
      </c>
      <c r="V147" s="144">
        <f t="shared" si="20"/>
        <v>1.1536193364444858E-2</v>
      </c>
    </row>
    <row r="148" spans="1:22" s="98" customFormat="1" ht="15" customHeight="1">
      <c r="A148" s="99"/>
      <c r="B148" s="161"/>
      <c r="D148" s="162" t="s">
        <v>1756</v>
      </c>
      <c r="E148" s="162"/>
      <c r="F148" s="162"/>
      <c r="G148" s="163"/>
      <c r="H148" s="163"/>
      <c r="I148" s="164" t="s">
        <v>498</v>
      </c>
      <c r="J148" s="143">
        <v>6.1689346196376053E-2</v>
      </c>
      <c r="K148" s="141">
        <v>0.11037974025974023</v>
      </c>
      <c r="L148" s="141">
        <v>3.8828946658049583E-2</v>
      </c>
      <c r="M148" s="141">
        <v>3.5785756568198261E-2</v>
      </c>
      <c r="N148" s="141">
        <v>3.952962701657408E-2</v>
      </c>
      <c r="O148" s="141">
        <v>3.5036678314209001E-2</v>
      </c>
      <c r="P148" s="141">
        <v>3.9453812135033864E-2</v>
      </c>
      <c r="Q148" s="144">
        <v>4.20096319224256E-2</v>
      </c>
      <c r="R148" s="143">
        <v>4.839918139090494E-2</v>
      </c>
      <c r="S148" s="141">
        <v>4.8181936708976643E-2</v>
      </c>
      <c r="T148" s="141">
        <v>4.7965778250457988E-2</v>
      </c>
      <c r="U148" s="141">
        <v>4.7750700584231927E-2</v>
      </c>
      <c r="V148" s="144">
        <v>4.7536698306336993E-2</v>
      </c>
    </row>
    <row r="149" spans="1:22" s="98" customFormat="1" ht="15" customHeight="1">
      <c r="A149" s="99"/>
      <c r="B149" s="161"/>
      <c r="D149" s="162" t="s">
        <v>1757</v>
      </c>
      <c r="E149" s="162"/>
      <c r="F149" s="162"/>
      <c r="G149" s="163"/>
      <c r="H149" s="163"/>
      <c r="I149" s="164" t="s">
        <v>498</v>
      </c>
      <c r="J149" s="143">
        <v>0.83081996330254637</v>
      </c>
      <c r="K149" s="141">
        <v>0.63137211428571405</v>
      </c>
      <c r="L149" s="141">
        <v>0.74244412669238069</v>
      </c>
      <c r="M149" s="141">
        <v>0.53811485725893582</v>
      </c>
      <c r="N149" s="141">
        <v>0.53197522095202754</v>
      </c>
      <c r="O149" s="141">
        <v>0.488064422607422</v>
      </c>
      <c r="P149" s="141">
        <f>AVERAGE(M149:O149)</f>
        <v>0.51938483360612853</v>
      </c>
      <c r="Q149" s="144">
        <f>P149</f>
        <v>0.51938483360612853</v>
      </c>
      <c r="R149" s="143">
        <f t="shared" ref="R149:V150" si="21">Q149</f>
        <v>0.51938483360612853</v>
      </c>
      <c r="S149" s="141">
        <f t="shared" si="21"/>
        <v>0.51938483360612853</v>
      </c>
      <c r="T149" s="141">
        <f t="shared" si="21"/>
        <v>0.51938483360612853</v>
      </c>
      <c r="U149" s="141">
        <f t="shared" si="21"/>
        <v>0.51938483360612853</v>
      </c>
      <c r="V149" s="144">
        <f t="shared" si="21"/>
        <v>0.51938483360612853</v>
      </c>
    </row>
    <row r="150" spans="1:22" s="98" customFormat="1" ht="15" customHeight="1">
      <c r="A150" s="99"/>
      <c r="B150" s="161"/>
      <c r="D150" s="162" t="s">
        <v>205</v>
      </c>
      <c r="E150" s="162"/>
      <c r="F150" s="162"/>
      <c r="G150" s="163"/>
      <c r="H150" s="163"/>
      <c r="I150" s="164" t="s">
        <v>498</v>
      </c>
      <c r="J150" s="143">
        <v>0.82218344997439596</v>
      </c>
      <c r="K150" s="141">
        <v>0.78479995324675289</v>
      </c>
      <c r="L150" s="141">
        <v>0.48294937303123042</v>
      </c>
      <c r="M150" s="141">
        <v>0.60423066648381818</v>
      </c>
      <c r="N150" s="141">
        <v>0.25472326574244591</v>
      </c>
      <c r="O150" s="141">
        <v>0.29557402692138662</v>
      </c>
      <c r="P150" s="141">
        <f>AVERAGE(M150:O150)</f>
        <v>0.38484265304921689</v>
      </c>
      <c r="Q150" s="144">
        <f>P150</f>
        <v>0.38484265304921689</v>
      </c>
      <c r="R150" s="143">
        <f t="shared" si="21"/>
        <v>0.38484265304921689</v>
      </c>
      <c r="S150" s="141">
        <f t="shared" si="21"/>
        <v>0.38484265304921689</v>
      </c>
      <c r="T150" s="141">
        <f t="shared" si="21"/>
        <v>0.38484265304921689</v>
      </c>
      <c r="U150" s="141">
        <f t="shared" si="21"/>
        <v>0.38484265304921689</v>
      </c>
      <c r="V150" s="144">
        <f t="shared" si="21"/>
        <v>0.38484265304921689</v>
      </c>
    </row>
    <row r="151" spans="1:22" s="98" customFormat="1" ht="15" customHeight="1">
      <c r="A151" s="99"/>
      <c r="B151" s="161"/>
      <c r="D151" s="162" t="s">
        <v>1758</v>
      </c>
      <c r="E151" s="162"/>
      <c r="F151" s="162"/>
      <c r="G151" s="163"/>
      <c r="H151" s="163"/>
      <c r="I151" s="164" t="s">
        <v>498</v>
      </c>
      <c r="J151" s="143">
        <v>0</v>
      </c>
      <c r="K151" s="141">
        <v>0</v>
      </c>
      <c r="L151" s="141">
        <v>0</v>
      </c>
      <c r="M151" s="141">
        <v>0</v>
      </c>
      <c r="N151" s="141">
        <v>0</v>
      </c>
      <c r="O151" s="141">
        <v>0</v>
      </c>
      <c r="P151" s="141">
        <f t="shared" ref="P151:P154" si="22">AVERAGE(M151:O151)</f>
        <v>0</v>
      </c>
      <c r="Q151" s="144">
        <f t="shared" ref="Q151:V151" si="23">P151</f>
        <v>0</v>
      </c>
      <c r="R151" s="143">
        <f t="shared" si="23"/>
        <v>0</v>
      </c>
      <c r="S151" s="141">
        <f t="shared" si="23"/>
        <v>0</v>
      </c>
      <c r="T151" s="141">
        <f t="shared" si="23"/>
        <v>0</v>
      </c>
      <c r="U151" s="141">
        <f t="shared" si="23"/>
        <v>0</v>
      </c>
      <c r="V151" s="144">
        <f t="shared" si="23"/>
        <v>0</v>
      </c>
    </row>
    <row r="152" spans="1:22" s="98" customFormat="1" ht="15" customHeight="1">
      <c r="A152" s="99"/>
      <c r="B152" s="161"/>
      <c r="D152" s="162" t="s">
        <v>85</v>
      </c>
      <c r="E152" s="162"/>
      <c r="F152" s="162"/>
      <c r="G152" s="720" t="s">
        <v>1767</v>
      </c>
      <c r="H152" s="163"/>
      <c r="I152" s="164" t="s">
        <v>498</v>
      </c>
      <c r="J152" s="143">
        <v>0.48546247094611733</v>
      </c>
      <c r="K152" s="141">
        <v>0.58832401558441538</v>
      </c>
      <c r="L152" s="141">
        <v>0</v>
      </c>
      <c r="M152" s="141">
        <v>0</v>
      </c>
      <c r="N152" s="141">
        <v>0</v>
      </c>
      <c r="O152" s="141">
        <v>0</v>
      </c>
      <c r="P152" s="141">
        <f t="shared" si="22"/>
        <v>0</v>
      </c>
      <c r="Q152" s="144">
        <f t="shared" ref="Q152:V152" si="24">P152</f>
        <v>0</v>
      </c>
      <c r="R152" s="143">
        <f t="shared" si="24"/>
        <v>0</v>
      </c>
      <c r="S152" s="141">
        <f t="shared" si="24"/>
        <v>0</v>
      </c>
      <c r="T152" s="141">
        <f t="shared" si="24"/>
        <v>0</v>
      </c>
      <c r="U152" s="141">
        <f t="shared" si="24"/>
        <v>0</v>
      </c>
      <c r="V152" s="144">
        <f t="shared" si="24"/>
        <v>0</v>
      </c>
    </row>
    <row r="153" spans="1:22" s="98" customFormat="1" ht="15" customHeight="1">
      <c r="A153" s="99"/>
      <c r="B153" s="161"/>
      <c r="D153" s="162" t="s">
        <v>85</v>
      </c>
      <c r="E153" s="162"/>
      <c r="F153" s="162"/>
      <c r="G153" s="720" t="s">
        <v>55</v>
      </c>
      <c r="H153" s="163"/>
      <c r="I153" s="164" t="s">
        <v>498</v>
      </c>
      <c r="J153" s="143">
        <v>4.8820362403628123E-2</v>
      </c>
      <c r="K153" s="141">
        <v>4.9670883116883099E-2</v>
      </c>
      <c r="L153" s="141">
        <v>7.1724980433457514E-2</v>
      </c>
      <c r="M153" s="141">
        <v>8.5667121043654121E-2</v>
      </c>
      <c r="N153" s="141">
        <v>6.0962759579310147E-2</v>
      </c>
      <c r="O153" s="141">
        <v>0.145043865478516</v>
      </c>
      <c r="P153" s="141">
        <f t="shared" si="22"/>
        <v>9.7224582033826765E-2</v>
      </c>
      <c r="Q153" s="144">
        <f t="shared" ref="Q153:V153" si="25">P153</f>
        <v>9.7224582033826765E-2</v>
      </c>
      <c r="R153" s="143">
        <f t="shared" si="25"/>
        <v>9.7224582033826765E-2</v>
      </c>
      <c r="S153" s="141">
        <f t="shared" si="25"/>
        <v>9.7224582033826765E-2</v>
      </c>
      <c r="T153" s="141">
        <f t="shared" si="25"/>
        <v>9.7224582033826765E-2</v>
      </c>
      <c r="U153" s="141">
        <f t="shared" si="25"/>
        <v>9.7224582033826765E-2</v>
      </c>
      <c r="V153" s="144">
        <f t="shared" si="25"/>
        <v>9.7224582033826765E-2</v>
      </c>
    </row>
    <row r="154" spans="1:22" s="98" customFormat="1" ht="15" customHeight="1">
      <c r="A154" s="99"/>
      <c r="B154" s="161"/>
      <c r="D154" s="162" t="s">
        <v>85</v>
      </c>
      <c r="E154" s="162"/>
      <c r="F154" s="162"/>
      <c r="G154" s="720" t="s">
        <v>1771</v>
      </c>
      <c r="H154" s="163"/>
      <c r="I154" s="164" t="s">
        <v>498</v>
      </c>
      <c r="J154" s="143">
        <v>1.9933636547770861E-2</v>
      </c>
      <c r="K154" s="141">
        <v>2.8698732467532455E-2</v>
      </c>
      <c r="L154" s="141">
        <v>-3.1262952257946799E-2</v>
      </c>
      <c r="M154" s="141">
        <v>2.5615665215553664E-2</v>
      </c>
      <c r="N154" s="141">
        <v>6.5462411507704377E-2</v>
      </c>
      <c r="O154" s="141">
        <v>2.5754640579223602E-2</v>
      </c>
      <c r="P154" s="141">
        <f t="shared" si="22"/>
        <v>3.894423910082722E-2</v>
      </c>
      <c r="Q154" s="144">
        <f t="shared" ref="Q154:V154" si="26">P154</f>
        <v>3.894423910082722E-2</v>
      </c>
      <c r="R154" s="143">
        <f t="shared" si="26"/>
        <v>3.894423910082722E-2</v>
      </c>
      <c r="S154" s="141">
        <f t="shared" si="26"/>
        <v>3.894423910082722E-2</v>
      </c>
      <c r="T154" s="141">
        <f t="shared" si="26"/>
        <v>3.894423910082722E-2</v>
      </c>
      <c r="U154" s="141">
        <f t="shared" si="26"/>
        <v>3.894423910082722E-2</v>
      </c>
      <c r="V154" s="144">
        <f t="shared" si="26"/>
        <v>3.894423910082722E-2</v>
      </c>
    </row>
    <row r="155" spans="1:22" s="98" customFormat="1" ht="15" customHeight="1">
      <c r="A155" s="99"/>
      <c r="B155" s="161"/>
      <c r="D155" s="162" t="s">
        <v>85</v>
      </c>
      <c r="E155" s="162"/>
      <c r="F155" s="162"/>
      <c r="G155" s="720" t="s">
        <v>1768</v>
      </c>
      <c r="H155" s="163"/>
      <c r="I155" s="164" t="s">
        <v>498</v>
      </c>
      <c r="J155" s="143">
        <v>1.160321472649831</v>
      </c>
      <c r="K155" s="141">
        <v>1.6038176259740256</v>
      </c>
      <c r="L155" s="141">
        <v>5.4601310548631622E-4</v>
      </c>
      <c r="M155" s="141">
        <v>0</v>
      </c>
      <c r="N155" s="141">
        <v>0</v>
      </c>
      <c r="O155" s="141">
        <v>0</v>
      </c>
      <c r="P155" s="141">
        <v>0</v>
      </c>
      <c r="Q155" s="144">
        <v>0</v>
      </c>
      <c r="R155" s="143">
        <v>0</v>
      </c>
      <c r="S155" s="141">
        <v>0</v>
      </c>
      <c r="T155" s="141">
        <v>0</v>
      </c>
      <c r="U155" s="141">
        <v>0</v>
      </c>
      <c r="V155" s="144">
        <v>0</v>
      </c>
    </row>
    <row r="156" spans="1:22" s="98" customFormat="1" ht="15" customHeight="1">
      <c r="A156" s="99"/>
      <c r="B156" s="161"/>
      <c r="D156" s="162" t="s">
        <v>85</v>
      </c>
      <c r="E156" s="162"/>
      <c r="F156" s="162"/>
      <c r="G156" s="720"/>
      <c r="H156" s="163"/>
      <c r="I156" s="164" t="s">
        <v>498</v>
      </c>
      <c r="J156" s="143">
        <v>0</v>
      </c>
      <c r="K156" s="141">
        <v>0</v>
      </c>
      <c r="L156" s="141">
        <v>0</v>
      </c>
      <c r="M156" s="141">
        <v>0</v>
      </c>
      <c r="N156" s="141">
        <v>0</v>
      </c>
      <c r="O156" s="141">
        <v>0</v>
      </c>
      <c r="P156" s="141">
        <v>0</v>
      </c>
      <c r="Q156" s="144">
        <v>0</v>
      </c>
      <c r="R156" s="143">
        <v>0</v>
      </c>
      <c r="S156" s="141">
        <v>0</v>
      </c>
      <c r="T156" s="141">
        <v>0</v>
      </c>
      <c r="U156" s="141">
        <v>0</v>
      </c>
      <c r="V156" s="144">
        <v>0</v>
      </c>
    </row>
    <row r="157" spans="1:22" s="98" customFormat="1" ht="15" customHeight="1">
      <c r="A157" s="99"/>
      <c r="B157" s="181"/>
      <c r="C157" s="2492" t="s">
        <v>1763</v>
      </c>
      <c r="D157" s="183"/>
      <c r="E157" s="183"/>
      <c r="F157" s="183"/>
      <c r="G157" s="184"/>
      <c r="H157" s="184"/>
      <c r="I157" s="164" t="s">
        <v>498</v>
      </c>
      <c r="J157" s="128">
        <f t="shared" ref="J157:V157" si="27">SUM(J144:J156)</f>
        <v>11.973555019935329</v>
      </c>
      <c r="K157" s="129">
        <f t="shared" si="27"/>
        <v>12.426551158441553</v>
      </c>
      <c r="L157" s="129">
        <f t="shared" si="27"/>
        <v>13.86486027970925</v>
      </c>
      <c r="M157" s="129">
        <f t="shared" si="27"/>
        <v>12.587538928367083</v>
      </c>
      <c r="N157" s="129">
        <f t="shared" si="27"/>
        <v>12.896677405628632</v>
      </c>
      <c r="O157" s="129">
        <f t="shared" si="27"/>
        <v>13.708587157455497</v>
      </c>
      <c r="P157" s="129">
        <f t="shared" si="27"/>
        <v>15.436478737350555</v>
      </c>
      <c r="Q157" s="130">
        <f t="shared" si="27"/>
        <v>16.43690316761834</v>
      </c>
      <c r="R157" s="128">
        <f t="shared" si="27"/>
        <v>18.361974409327424</v>
      </c>
      <c r="S157" s="129">
        <f t="shared" si="27"/>
        <v>19.14772266935007</v>
      </c>
      <c r="T157" s="129">
        <f t="shared" si="27"/>
        <v>19.238506510891547</v>
      </c>
      <c r="U157" s="129">
        <f t="shared" si="27"/>
        <v>18.152314897297561</v>
      </c>
      <c r="V157" s="130">
        <f t="shared" si="27"/>
        <v>18.869661362220054</v>
      </c>
    </row>
    <row r="158" spans="1:22" s="338" customFormat="1" ht="14.25">
      <c r="B158" s="349"/>
      <c r="C158" s="1393"/>
      <c r="D158" s="624" t="s">
        <v>1764</v>
      </c>
      <c r="E158" s="624"/>
      <c r="F158" s="624"/>
      <c r="G158" s="339"/>
      <c r="H158" s="339"/>
      <c r="I158" s="576" t="s">
        <v>498</v>
      </c>
      <c r="J158" s="297">
        <v>0</v>
      </c>
      <c r="K158" s="298" t="s">
        <v>1127</v>
      </c>
      <c r="L158" s="298">
        <v>0</v>
      </c>
      <c r="M158" s="298">
        <v>0</v>
      </c>
      <c r="N158" s="298">
        <v>0</v>
      </c>
      <c r="O158" s="298">
        <v>0</v>
      </c>
      <c r="P158" s="298">
        <v>0</v>
      </c>
      <c r="Q158" s="299">
        <v>0</v>
      </c>
      <c r="R158" s="297">
        <v>0</v>
      </c>
      <c r="S158" s="298">
        <v>0</v>
      </c>
      <c r="T158" s="298">
        <v>0</v>
      </c>
      <c r="U158" s="298">
        <v>0</v>
      </c>
      <c r="V158" s="299">
        <v>0</v>
      </c>
    </row>
    <row r="159" spans="1:22" s="338" customFormat="1" ht="14.25">
      <c r="B159" s="349"/>
      <c r="C159" s="1393"/>
      <c r="D159" s="624" t="s">
        <v>1765</v>
      </c>
      <c r="E159" s="624"/>
      <c r="F159" s="624"/>
      <c r="G159" s="339"/>
      <c r="H159" s="339"/>
      <c r="I159" s="973" t="s">
        <v>498</v>
      </c>
      <c r="J159" s="974">
        <v>-2.5815935478304382</v>
      </c>
      <c r="K159" s="975">
        <v>-2.0894884831168823</v>
      </c>
      <c r="L159" s="975">
        <v>-3.1530406621825509</v>
      </c>
      <c r="M159" s="975">
        <v>-1.7800889675831715</v>
      </c>
      <c r="N159" s="975">
        <v>-1.7106966286930896</v>
      </c>
      <c r="O159" s="975">
        <v>-1.7200078125</v>
      </c>
      <c r="P159" s="975">
        <v>-1.9368521324021979</v>
      </c>
      <c r="Q159" s="976">
        <v>-1.9368521324021979</v>
      </c>
      <c r="R159" s="974">
        <v>-1.9368521324021979</v>
      </c>
      <c r="S159" s="975">
        <v>-1.9368521324021979</v>
      </c>
      <c r="T159" s="975">
        <v>-1.9368521324021979</v>
      </c>
      <c r="U159" s="975">
        <v>-1.9368521324021979</v>
      </c>
      <c r="V159" s="976">
        <v>-1.9368521324021979</v>
      </c>
    </row>
    <row r="160" spans="1:22" s="338" customFormat="1" ht="14.25">
      <c r="B160" s="349"/>
      <c r="C160" s="1393" t="s">
        <v>1766</v>
      </c>
      <c r="D160" s="339"/>
      <c r="E160" s="339"/>
      <c r="F160" s="339"/>
      <c r="G160" s="625"/>
      <c r="H160" s="339"/>
      <c r="I160" s="164" t="s">
        <v>498</v>
      </c>
      <c r="J160" s="128">
        <f>SUM(J157:J159)</f>
        <v>9.3919614721048905</v>
      </c>
      <c r="K160" s="632">
        <f t="shared" ref="K160:V160" si="28">SUM(K157:K159)</f>
        <v>10.33706267532467</v>
      </c>
      <c r="L160" s="632">
        <f t="shared" si="28"/>
        <v>10.711819617526698</v>
      </c>
      <c r="M160" s="632">
        <f t="shared" si="28"/>
        <v>10.807449960783911</v>
      </c>
      <c r="N160" s="632">
        <f t="shared" si="28"/>
        <v>11.185980776935542</v>
      </c>
      <c r="O160" s="632">
        <f t="shared" si="28"/>
        <v>11.988579344955497</v>
      </c>
      <c r="P160" s="632">
        <f t="shared" si="28"/>
        <v>13.499626604948357</v>
      </c>
      <c r="Q160" s="633">
        <f t="shared" si="28"/>
        <v>14.500051035216142</v>
      </c>
      <c r="R160" s="631">
        <f t="shared" si="28"/>
        <v>16.425122276925226</v>
      </c>
      <c r="S160" s="632">
        <f t="shared" si="28"/>
        <v>17.210870536947873</v>
      </c>
      <c r="T160" s="632">
        <f t="shared" si="28"/>
        <v>17.301654378489349</v>
      </c>
      <c r="U160" s="632">
        <f t="shared" si="28"/>
        <v>16.215462764895364</v>
      </c>
      <c r="V160" s="633">
        <f t="shared" si="28"/>
        <v>16.932809229817856</v>
      </c>
    </row>
    <row r="161" spans="1:23" s="98" customFormat="1" ht="15" customHeight="1">
      <c r="A161" s="99"/>
      <c r="B161" s="161"/>
      <c r="C161" s="116"/>
      <c r="D161" s="116"/>
      <c r="E161" s="116"/>
      <c r="F161" s="116"/>
      <c r="G161" s="117"/>
      <c r="H161" s="117"/>
      <c r="I161" s="117"/>
      <c r="J161" s="713"/>
      <c r="K161" s="721"/>
      <c r="L161" s="721"/>
      <c r="M161" s="721"/>
      <c r="N161" s="721"/>
      <c r="O161" s="721"/>
      <c r="P161" s="721"/>
      <c r="Q161" s="715"/>
      <c r="R161" s="713"/>
      <c r="S161" s="721"/>
      <c r="T161" s="721"/>
      <c r="U161" s="721"/>
      <c r="V161" s="715"/>
    </row>
    <row r="162" spans="1:23" s="98" customFormat="1" ht="15" customHeight="1">
      <c r="A162" s="99"/>
      <c r="B162" s="161"/>
      <c r="C162" s="186" t="s">
        <v>58</v>
      </c>
      <c r="D162" s="162"/>
      <c r="E162" s="162"/>
      <c r="F162" s="162"/>
      <c r="G162" s="163"/>
      <c r="H162" s="163"/>
      <c r="I162" s="117"/>
      <c r="J162" s="713"/>
      <c r="K162" s="721"/>
      <c r="L162" s="721"/>
      <c r="M162" s="721"/>
      <c r="N162" s="721"/>
      <c r="O162" s="721"/>
      <c r="P162" s="721"/>
      <c r="Q162" s="715"/>
      <c r="R162" s="713"/>
      <c r="S162" s="721"/>
      <c r="T162" s="721"/>
      <c r="U162" s="721"/>
      <c r="V162" s="715"/>
    </row>
    <row r="163" spans="1:23" s="98" customFormat="1" ht="15" customHeight="1">
      <c r="A163" s="99"/>
      <c r="B163" s="161"/>
      <c r="D163" s="162" t="s">
        <v>1752</v>
      </c>
      <c r="E163" s="162"/>
      <c r="F163" s="162"/>
      <c r="G163" s="163"/>
      <c r="H163" s="163"/>
      <c r="I163" s="164" t="s">
        <v>498</v>
      </c>
      <c r="J163" s="143">
        <v>0</v>
      </c>
      <c r="K163" s="141">
        <v>0</v>
      </c>
      <c r="L163" s="141">
        <v>0</v>
      </c>
      <c r="M163" s="141">
        <v>0</v>
      </c>
      <c r="N163" s="141">
        <v>0</v>
      </c>
      <c r="O163" s="141">
        <v>0</v>
      </c>
      <c r="P163" s="141">
        <v>0</v>
      </c>
      <c r="Q163" s="144">
        <v>0</v>
      </c>
      <c r="R163" s="143">
        <v>0</v>
      </c>
      <c r="S163" s="141">
        <v>0</v>
      </c>
      <c r="T163" s="141">
        <v>0</v>
      </c>
      <c r="U163" s="141">
        <v>0</v>
      </c>
      <c r="V163" s="144">
        <v>0</v>
      </c>
    </row>
    <row r="164" spans="1:23" s="98" customFormat="1" ht="15" customHeight="1">
      <c r="A164" s="99"/>
      <c r="B164" s="161"/>
      <c r="D164" s="162" t="s">
        <v>1753</v>
      </c>
      <c r="E164" s="162"/>
      <c r="F164" s="162"/>
      <c r="G164" s="163"/>
      <c r="H164" s="163"/>
      <c r="I164" s="164" t="s">
        <v>498</v>
      </c>
      <c r="J164" s="143">
        <v>0</v>
      </c>
      <c r="K164" s="141">
        <v>0</v>
      </c>
      <c r="L164" s="141">
        <v>0</v>
      </c>
      <c r="M164" s="141">
        <v>0</v>
      </c>
      <c r="N164" s="141">
        <v>0</v>
      </c>
      <c r="O164" s="141">
        <v>0</v>
      </c>
      <c r="P164" s="141">
        <v>0</v>
      </c>
      <c r="Q164" s="144">
        <v>0</v>
      </c>
      <c r="R164" s="143">
        <v>0</v>
      </c>
      <c r="S164" s="141">
        <v>0</v>
      </c>
      <c r="T164" s="141">
        <v>0</v>
      </c>
      <c r="U164" s="141">
        <v>0</v>
      </c>
      <c r="V164" s="144">
        <v>0</v>
      </c>
    </row>
    <row r="165" spans="1:23" s="98" customFormat="1" ht="15" customHeight="1">
      <c r="A165" s="99"/>
      <c r="B165" s="161"/>
      <c r="D165" s="162" t="s">
        <v>1754</v>
      </c>
      <c r="E165" s="162"/>
      <c r="F165" s="162"/>
      <c r="G165" s="163"/>
      <c r="H165" s="163"/>
      <c r="I165" s="164" t="s">
        <v>498</v>
      </c>
      <c r="J165" s="143">
        <v>0</v>
      </c>
      <c r="K165" s="141">
        <v>0</v>
      </c>
      <c r="L165" s="141">
        <v>0</v>
      </c>
      <c r="M165" s="141">
        <v>0</v>
      </c>
      <c r="N165" s="141">
        <v>0</v>
      </c>
      <c r="O165" s="141">
        <v>0</v>
      </c>
      <c r="P165" s="141">
        <v>0</v>
      </c>
      <c r="Q165" s="144">
        <v>0</v>
      </c>
      <c r="R165" s="143">
        <v>0</v>
      </c>
      <c r="S165" s="141">
        <v>0</v>
      </c>
      <c r="T165" s="141">
        <v>0</v>
      </c>
      <c r="U165" s="141">
        <v>0</v>
      </c>
      <c r="V165" s="144">
        <v>0</v>
      </c>
    </row>
    <row r="166" spans="1:23" s="98" customFormat="1" ht="15" customHeight="1">
      <c r="A166" s="99"/>
      <c r="B166" s="161"/>
      <c r="D166" s="162" t="s">
        <v>1755</v>
      </c>
      <c r="E166" s="162"/>
      <c r="F166" s="162"/>
      <c r="G166" s="163"/>
      <c r="H166" s="163"/>
      <c r="I166" s="164" t="s">
        <v>498</v>
      </c>
      <c r="J166" s="143">
        <v>0</v>
      </c>
      <c r="K166" s="141">
        <v>0</v>
      </c>
      <c r="L166" s="141">
        <v>0</v>
      </c>
      <c r="M166" s="141">
        <v>0</v>
      </c>
      <c r="N166" s="141">
        <v>0</v>
      </c>
      <c r="O166" s="141">
        <v>0</v>
      </c>
      <c r="P166" s="141">
        <v>0</v>
      </c>
      <c r="Q166" s="144">
        <v>0</v>
      </c>
      <c r="R166" s="143">
        <v>0</v>
      </c>
      <c r="S166" s="141">
        <v>0</v>
      </c>
      <c r="T166" s="141">
        <v>0</v>
      </c>
      <c r="U166" s="141">
        <v>0</v>
      </c>
      <c r="V166" s="144">
        <v>0</v>
      </c>
    </row>
    <row r="167" spans="1:23" s="98" customFormat="1" ht="15" customHeight="1">
      <c r="A167" s="99"/>
      <c r="B167" s="161"/>
      <c r="D167" s="162" t="s">
        <v>1756</v>
      </c>
      <c r="E167" s="162"/>
      <c r="F167" s="162"/>
      <c r="G167" s="163"/>
      <c r="H167" s="163"/>
      <c r="I167" s="164" t="s">
        <v>498</v>
      </c>
      <c r="J167" s="143">
        <v>0</v>
      </c>
      <c r="K167" s="141">
        <v>0</v>
      </c>
      <c r="L167" s="141">
        <v>0</v>
      </c>
      <c r="M167" s="141">
        <v>0</v>
      </c>
      <c r="N167" s="141">
        <v>0</v>
      </c>
      <c r="O167" s="141">
        <v>0</v>
      </c>
      <c r="P167" s="141">
        <v>0</v>
      </c>
      <c r="Q167" s="144">
        <v>0</v>
      </c>
      <c r="R167" s="143">
        <v>0</v>
      </c>
      <c r="S167" s="141">
        <v>0</v>
      </c>
      <c r="T167" s="141">
        <v>0</v>
      </c>
      <c r="U167" s="141">
        <v>0</v>
      </c>
      <c r="V167" s="144">
        <v>0</v>
      </c>
    </row>
    <row r="168" spans="1:23" s="98" customFormat="1" ht="15" customHeight="1">
      <c r="A168" s="99"/>
      <c r="B168" s="161"/>
      <c r="D168" s="162" t="s">
        <v>1757</v>
      </c>
      <c r="E168" s="162"/>
      <c r="F168" s="162"/>
      <c r="G168" s="163"/>
      <c r="H168" s="163"/>
      <c r="I168" s="164" t="s">
        <v>498</v>
      </c>
      <c r="J168" s="143">
        <v>0</v>
      </c>
      <c r="K168" s="141">
        <v>0</v>
      </c>
      <c r="L168" s="141">
        <v>0</v>
      </c>
      <c r="M168" s="141">
        <v>0</v>
      </c>
      <c r="N168" s="141">
        <v>0</v>
      </c>
      <c r="O168" s="141">
        <v>0</v>
      </c>
      <c r="P168" s="141">
        <v>0</v>
      </c>
      <c r="Q168" s="144">
        <v>0</v>
      </c>
      <c r="R168" s="143">
        <v>0</v>
      </c>
      <c r="S168" s="141">
        <v>0</v>
      </c>
      <c r="T168" s="141">
        <v>0</v>
      </c>
      <c r="U168" s="141">
        <v>0</v>
      </c>
      <c r="V168" s="144">
        <v>0</v>
      </c>
    </row>
    <row r="169" spans="1:23" s="98" customFormat="1" ht="15" customHeight="1">
      <c r="A169" s="99"/>
      <c r="B169" s="161"/>
      <c r="D169" s="162" t="s">
        <v>205</v>
      </c>
      <c r="E169" s="162"/>
      <c r="F169" s="162"/>
      <c r="G169" s="163"/>
      <c r="H169" s="163"/>
      <c r="I169" s="164" t="s">
        <v>498</v>
      </c>
      <c r="J169" s="143">
        <v>0</v>
      </c>
      <c r="K169" s="141">
        <v>0</v>
      </c>
      <c r="L169" s="141">
        <v>0</v>
      </c>
      <c r="M169" s="141">
        <v>0</v>
      </c>
      <c r="N169" s="141">
        <v>0</v>
      </c>
      <c r="O169" s="141">
        <v>0</v>
      </c>
      <c r="P169" s="141">
        <v>0</v>
      </c>
      <c r="Q169" s="144">
        <v>0</v>
      </c>
      <c r="R169" s="143">
        <v>0</v>
      </c>
      <c r="S169" s="141">
        <v>0</v>
      </c>
      <c r="T169" s="141">
        <v>0</v>
      </c>
      <c r="U169" s="141">
        <v>0</v>
      </c>
      <c r="V169" s="144">
        <v>0</v>
      </c>
    </row>
    <row r="170" spans="1:23" s="98" customFormat="1" ht="15" customHeight="1">
      <c r="A170" s="99"/>
      <c r="B170" s="161"/>
      <c r="D170" s="162" t="s">
        <v>1758</v>
      </c>
      <c r="E170" s="162"/>
      <c r="F170" s="162"/>
      <c r="G170" s="163"/>
      <c r="H170" s="163"/>
      <c r="I170" s="164" t="s">
        <v>498</v>
      </c>
      <c r="J170" s="143">
        <v>0</v>
      </c>
      <c r="K170" s="141">
        <v>0</v>
      </c>
      <c r="L170" s="141">
        <v>0</v>
      </c>
      <c r="M170" s="141">
        <v>0</v>
      </c>
      <c r="N170" s="141">
        <v>0</v>
      </c>
      <c r="O170" s="141">
        <v>0</v>
      </c>
      <c r="P170" s="141">
        <v>0</v>
      </c>
      <c r="Q170" s="144">
        <v>0</v>
      </c>
      <c r="R170" s="143">
        <v>0</v>
      </c>
      <c r="S170" s="141">
        <v>0</v>
      </c>
      <c r="T170" s="141">
        <v>0</v>
      </c>
      <c r="U170" s="141">
        <v>0</v>
      </c>
      <c r="V170" s="144">
        <v>0</v>
      </c>
    </row>
    <row r="171" spans="1:23" s="98" customFormat="1" ht="15" customHeight="1">
      <c r="A171" s="99"/>
      <c r="B171" s="161"/>
      <c r="D171" s="162" t="s">
        <v>85</v>
      </c>
      <c r="E171" s="162"/>
      <c r="F171" s="162"/>
      <c r="G171" s="720"/>
      <c r="H171" s="163"/>
      <c r="I171" s="164" t="s">
        <v>498</v>
      </c>
      <c r="J171" s="143">
        <v>0</v>
      </c>
      <c r="K171" s="141">
        <v>0</v>
      </c>
      <c r="L171" s="141">
        <v>0</v>
      </c>
      <c r="M171" s="141">
        <v>0</v>
      </c>
      <c r="N171" s="141">
        <v>0</v>
      </c>
      <c r="O171" s="141">
        <v>0</v>
      </c>
      <c r="P171" s="141">
        <v>0</v>
      </c>
      <c r="Q171" s="144">
        <v>0</v>
      </c>
      <c r="R171" s="143">
        <v>0</v>
      </c>
      <c r="S171" s="141">
        <v>0</v>
      </c>
      <c r="T171" s="141">
        <v>0</v>
      </c>
      <c r="U171" s="141">
        <v>0</v>
      </c>
      <c r="V171" s="144">
        <v>0</v>
      </c>
    </row>
    <row r="172" spans="1:23" s="98" customFormat="1" ht="15" customHeight="1">
      <c r="A172" s="99"/>
      <c r="B172" s="161"/>
      <c r="D172" s="162" t="s">
        <v>85</v>
      </c>
      <c r="E172" s="162"/>
      <c r="F172" s="162"/>
      <c r="G172" s="720"/>
      <c r="H172" s="163"/>
      <c r="I172" s="164" t="s">
        <v>498</v>
      </c>
      <c r="J172" s="143">
        <v>0</v>
      </c>
      <c r="K172" s="141">
        <v>0</v>
      </c>
      <c r="L172" s="141">
        <v>0</v>
      </c>
      <c r="M172" s="141">
        <v>0</v>
      </c>
      <c r="N172" s="141">
        <v>0</v>
      </c>
      <c r="O172" s="141">
        <v>0</v>
      </c>
      <c r="P172" s="141">
        <v>0</v>
      </c>
      <c r="Q172" s="144">
        <v>0</v>
      </c>
      <c r="R172" s="143">
        <v>0</v>
      </c>
      <c r="S172" s="141">
        <v>0</v>
      </c>
      <c r="T172" s="141">
        <v>0</v>
      </c>
      <c r="U172" s="141">
        <v>0</v>
      </c>
      <c r="V172" s="144">
        <v>0</v>
      </c>
    </row>
    <row r="173" spans="1:23" s="98" customFormat="1" ht="15" customHeight="1">
      <c r="A173" s="99"/>
      <c r="B173" s="161"/>
      <c r="D173" s="162" t="s">
        <v>85</v>
      </c>
      <c r="E173" s="162"/>
      <c r="F173" s="162"/>
      <c r="G173" s="720"/>
      <c r="H173" s="163"/>
      <c r="I173" s="164" t="s">
        <v>498</v>
      </c>
      <c r="J173" s="143">
        <v>0</v>
      </c>
      <c r="K173" s="141">
        <v>0</v>
      </c>
      <c r="L173" s="141">
        <v>0</v>
      </c>
      <c r="M173" s="141">
        <v>0</v>
      </c>
      <c r="N173" s="141">
        <v>0</v>
      </c>
      <c r="O173" s="141">
        <v>0</v>
      </c>
      <c r="P173" s="141">
        <v>0</v>
      </c>
      <c r="Q173" s="144">
        <v>0</v>
      </c>
      <c r="R173" s="143">
        <v>0</v>
      </c>
      <c r="S173" s="141">
        <v>0</v>
      </c>
      <c r="T173" s="141">
        <v>0</v>
      </c>
      <c r="U173" s="141">
        <v>0</v>
      </c>
      <c r="V173" s="144">
        <v>0</v>
      </c>
    </row>
    <row r="174" spans="1:23" s="98" customFormat="1" ht="15" customHeight="1">
      <c r="A174" s="99"/>
      <c r="B174" s="161"/>
      <c r="D174" s="162" t="s">
        <v>85</v>
      </c>
      <c r="E174" s="162"/>
      <c r="F174" s="162"/>
      <c r="G174" s="720"/>
      <c r="H174" s="163"/>
      <c r="I174" s="164" t="s">
        <v>498</v>
      </c>
      <c r="J174" s="143">
        <v>0</v>
      </c>
      <c r="K174" s="141">
        <v>0</v>
      </c>
      <c r="L174" s="141">
        <v>0</v>
      </c>
      <c r="M174" s="141">
        <v>0</v>
      </c>
      <c r="N174" s="141">
        <v>0</v>
      </c>
      <c r="O174" s="141">
        <v>0</v>
      </c>
      <c r="P174" s="141">
        <v>0</v>
      </c>
      <c r="Q174" s="144">
        <v>0</v>
      </c>
      <c r="R174" s="143">
        <v>0</v>
      </c>
      <c r="S174" s="141">
        <v>0</v>
      </c>
      <c r="T174" s="141">
        <v>0</v>
      </c>
      <c r="U174" s="141">
        <v>0</v>
      </c>
      <c r="V174" s="144">
        <v>0</v>
      </c>
    </row>
    <row r="175" spans="1:23" s="98" customFormat="1" ht="15" customHeight="1">
      <c r="A175" s="99"/>
      <c r="B175" s="161"/>
      <c r="D175" s="162" t="s">
        <v>85</v>
      </c>
      <c r="E175" s="162"/>
      <c r="F175" s="162"/>
      <c r="G175" s="720"/>
      <c r="H175" s="163"/>
      <c r="I175" s="164" t="s">
        <v>498</v>
      </c>
      <c r="J175" s="143">
        <v>0</v>
      </c>
      <c r="K175" s="141">
        <v>0</v>
      </c>
      <c r="L175" s="141">
        <v>0</v>
      </c>
      <c r="M175" s="141">
        <v>0</v>
      </c>
      <c r="N175" s="141">
        <v>0</v>
      </c>
      <c r="O175" s="141">
        <v>0</v>
      </c>
      <c r="P175" s="141">
        <v>0</v>
      </c>
      <c r="Q175" s="144">
        <v>0</v>
      </c>
      <c r="R175" s="143">
        <v>0</v>
      </c>
      <c r="S175" s="141">
        <v>0</v>
      </c>
      <c r="T175" s="141">
        <v>0</v>
      </c>
      <c r="U175" s="141">
        <v>0</v>
      </c>
      <c r="V175" s="144">
        <v>0</v>
      </c>
    </row>
    <row r="176" spans="1:23" s="98" customFormat="1" ht="15" customHeight="1">
      <c r="A176" s="99"/>
      <c r="B176" s="181"/>
      <c r="C176" s="2492" t="s">
        <v>1763</v>
      </c>
      <c r="D176" s="183"/>
      <c r="E176" s="183"/>
      <c r="F176" s="183"/>
      <c r="G176" s="184"/>
      <c r="H176" s="184"/>
      <c r="I176" s="164" t="s">
        <v>498</v>
      </c>
      <c r="J176" s="128">
        <f t="shared" ref="J176:V176" si="29">SUM(J163:J175)</f>
        <v>0</v>
      </c>
      <c r="K176" s="129">
        <f t="shared" si="29"/>
        <v>0</v>
      </c>
      <c r="L176" s="129">
        <f t="shared" si="29"/>
        <v>0</v>
      </c>
      <c r="M176" s="129">
        <f t="shared" si="29"/>
        <v>0</v>
      </c>
      <c r="N176" s="129">
        <f t="shared" si="29"/>
        <v>0</v>
      </c>
      <c r="O176" s="129">
        <f t="shared" si="29"/>
        <v>0</v>
      </c>
      <c r="P176" s="129">
        <f t="shared" si="29"/>
        <v>0</v>
      </c>
      <c r="Q176" s="130">
        <f t="shared" si="29"/>
        <v>0</v>
      </c>
      <c r="R176" s="128">
        <f t="shared" si="29"/>
        <v>0</v>
      </c>
      <c r="S176" s="129">
        <f t="shared" si="29"/>
        <v>0</v>
      </c>
      <c r="T176" s="129">
        <f t="shared" si="29"/>
        <v>0</v>
      </c>
      <c r="U176" s="129">
        <f t="shared" si="29"/>
        <v>0</v>
      </c>
      <c r="V176" s="130">
        <f t="shared" si="29"/>
        <v>0</v>
      </c>
      <c r="W176" s="185"/>
    </row>
    <row r="177" spans="1:22" s="338" customFormat="1" ht="14.25">
      <c r="B177" s="349"/>
      <c r="C177" s="1393"/>
      <c r="D177" s="624" t="s">
        <v>1764</v>
      </c>
      <c r="E177" s="624"/>
      <c r="F177" s="624"/>
      <c r="G177" s="339"/>
      <c r="H177" s="339"/>
      <c r="I177" s="576" t="s">
        <v>498</v>
      </c>
      <c r="J177" s="297">
        <v>0</v>
      </c>
      <c r="K177" s="298" t="s">
        <v>1127</v>
      </c>
      <c r="L177" s="298">
        <v>0</v>
      </c>
      <c r="M177" s="298">
        <v>0</v>
      </c>
      <c r="N177" s="298">
        <v>0</v>
      </c>
      <c r="O177" s="298">
        <v>0</v>
      </c>
      <c r="P177" s="298">
        <v>0</v>
      </c>
      <c r="Q177" s="299">
        <v>0</v>
      </c>
      <c r="R177" s="297">
        <v>0</v>
      </c>
      <c r="S177" s="298">
        <v>0</v>
      </c>
      <c r="T177" s="298">
        <v>0</v>
      </c>
      <c r="U177" s="298">
        <v>0</v>
      </c>
      <c r="V177" s="299">
        <v>0</v>
      </c>
    </row>
    <row r="178" spans="1:22" s="338" customFormat="1" ht="14.25">
      <c r="B178" s="349"/>
      <c r="C178" s="1393"/>
      <c r="D178" s="624" t="s">
        <v>1765</v>
      </c>
      <c r="E178" s="624"/>
      <c r="F178" s="624"/>
      <c r="G178" s="339"/>
      <c r="H178" s="339"/>
      <c r="I178" s="973" t="s">
        <v>498</v>
      </c>
      <c r="J178" s="974">
        <v>0</v>
      </c>
      <c r="K178" s="975">
        <v>0</v>
      </c>
      <c r="L178" s="975">
        <v>0</v>
      </c>
      <c r="M178" s="975">
        <v>0</v>
      </c>
      <c r="N178" s="975">
        <v>0</v>
      </c>
      <c r="O178" s="975">
        <v>0</v>
      </c>
      <c r="P178" s="975">
        <v>0</v>
      </c>
      <c r="Q178" s="976">
        <v>0</v>
      </c>
      <c r="R178" s="974">
        <v>0</v>
      </c>
      <c r="S178" s="975">
        <v>0</v>
      </c>
      <c r="T178" s="975">
        <v>0</v>
      </c>
      <c r="U178" s="975">
        <v>0</v>
      </c>
      <c r="V178" s="976">
        <v>0</v>
      </c>
    </row>
    <row r="179" spans="1:22" s="338" customFormat="1" ht="14.25">
      <c r="B179" s="349"/>
      <c r="C179" s="1393" t="s">
        <v>1766</v>
      </c>
      <c r="D179" s="339"/>
      <c r="E179" s="339"/>
      <c r="F179" s="339"/>
      <c r="G179" s="625"/>
      <c r="H179" s="339"/>
      <c r="I179" s="164" t="s">
        <v>498</v>
      </c>
      <c r="J179" s="128">
        <f>SUM(J176:J178)</f>
        <v>0</v>
      </c>
      <c r="K179" s="632">
        <f t="shared" ref="K179:V179" si="30">SUM(K176:K178)</f>
        <v>0</v>
      </c>
      <c r="L179" s="632">
        <f t="shared" si="30"/>
        <v>0</v>
      </c>
      <c r="M179" s="632">
        <f t="shared" si="30"/>
        <v>0</v>
      </c>
      <c r="N179" s="632">
        <f t="shared" si="30"/>
        <v>0</v>
      </c>
      <c r="O179" s="632">
        <f t="shared" si="30"/>
        <v>0</v>
      </c>
      <c r="P179" s="632">
        <f t="shared" si="30"/>
        <v>0</v>
      </c>
      <c r="Q179" s="633">
        <f t="shared" si="30"/>
        <v>0</v>
      </c>
      <c r="R179" s="631">
        <f t="shared" si="30"/>
        <v>0</v>
      </c>
      <c r="S179" s="632">
        <f t="shared" si="30"/>
        <v>0</v>
      </c>
      <c r="T179" s="632">
        <f t="shared" si="30"/>
        <v>0</v>
      </c>
      <c r="U179" s="632">
        <f t="shared" si="30"/>
        <v>0</v>
      </c>
      <c r="V179" s="633">
        <f t="shared" si="30"/>
        <v>0</v>
      </c>
    </row>
    <row r="180" spans="1:22" s="98" customFormat="1" ht="15" customHeight="1">
      <c r="A180" s="99"/>
      <c r="B180" s="161"/>
      <c r="C180" s="116"/>
      <c r="D180" s="116"/>
      <c r="E180" s="116"/>
      <c r="F180" s="116"/>
      <c r="G180" s="117"/>
      <c r="H180" s="117"/>
      <c r="I180" s="117"/>
      <c r="J180" s="713"/>
      <c r="K180" s="721"/>
      <c r="L180" s="721"/>
      <c r="M180" s="721"/>
      <c r="N180" s="721"/>
      <c r="O180" s="721"/>
      <c r="P180" s="721"/>
      <c r="Q180" s="715"/>
      <c r="R180" s="713"/>
      <c r="S180" s="721"/>
      <c r="T180" s="721"/>
      <c r="U180" s="721"/>
      <c r="V180" s="715"/>
    </row>
    <row r="181" spans="1:22" s="98" customFormat="1" ht="15" customHeight="1">
      <c r="A181" s="99"/>
      <c r="B181" s="161"/>
      <c r="C181" s="186" t="s">
        <v>1713</v>
      </c>
      <c r="D181" s="162"/>
      <c r="E181" s="162"/>
      <c r="F181" s="162"/>
      <c r="G181" s="163"/>
      <c r="H181" s="163"/>
      <c r="I181" s="117"/>
      <c r="J181" s="713"/>
      <c r="K181" s="721"/>
      <c r="L181" s="721"/>
      <c r="M181" s="721"/>
      <c r="N181" s="721"/>
      <c r="O181" s="721"/>
      <c r="P181" s="721"/>
      <c r="Q181" s="715"/>
      <c r="R181" s="713"/>
      <c r="S181" s="721"/>
      <c r="T181" s="721"/>
      <c r="U181" s="721"/>
      <c r="V181" s="715"/>
    </row>
    <row r="182" spans="1:22" s="98" customFormat="1" ht="15" customHeight="1">
      <c r="A182" s="99"/>
      <c r="B182" s="161"/>
      <c r="D182" s="162" t="s">
        <v>1752</v>
      </c>
      <c r="E182" s="162"/>
      <c r="F182" s="162"/>
      <c r="G182" s="163"/>
      <c r="H182" s="163"/>
      <c r="I182" s="164" t="s">
        <v>498</v>
      </c>
      <c r="J182" s="143">
        <v>5.6431561744251672E-2</v>
      </c>
      <c r="K182" s="141">
        <v>8.7199994805194775E-2</v>
      </c>
      <c r="L182" s="141">
        <v>0.1113866735192085</v>
      </c>
      <c r="M182" s="141">
        <v>0.14178075927987832</v>
      </c>
      <c r="N182" s="141">
        <v>3.352226523799523E-2</v>
      </c>
      <c r="O182" s="141">
        <v>6.5877502074490168E-2</v>
      </c>
      <c r="P182" s="141">
        <v>5.0432897581260863E-2</v>
      </c>
      <c r="Q182" s="144">
        <v>5.0432897581260863E-2</v>
      </c>
      <c r="R182" s="143">
        <v>5.0432897581260863E-2</v>
      </c>
      <c r="S182" s="141">
        <v>5.0180733093354551E-2</v>
      </c>
      <c r="T182" s="141">
        <v>4.992982942788779E-2</v>
      </c>
      <c r="U182" s="141">
        <v>4.9680180280748353E-2</v>
      </c>
      <c r="V182" s="144">
        <v>4.9431779379344613E-2</v>
      </c>
    </row>
    <row r="183" spans="1:22" s="98" customFormat="1" ht="15" customHeight="1">
      <c r="A183" s="99"/>
      <c r="B183" s="161"/>
      <c r="D183" s="162" t="s">
        <v>1753</v>
      </c>
      <c r="E183" s="162"/>
      <c r="F183" s="162"/>
      <c r="G183" s="163"/>
      <c r="H183" s="163"/>
      <c r="I183" s="164" t="s">
        <v>498</v>
      </c>
      <c r="J183" s="143">
        <v>5.0944052842654707E-2</v>
      </c>
      <c r="K183" s="141">
        <v>7.0643033766233737E-2</v>
      </c>
      <c r="L183" s="141">
        <v>0.73820971861749951</v>
      </c>
      <c r="M183" s="141">
        <v>0.20777330524423371</v>
      </c>
      <c r="N183" s="141">
        <v>0.38801064728185375</v>
      </c>
      <c r="O183" s="141">
        <v>0.27558097175751184</v>
      </c>
      <c r="P183" s="141">
        <v>0.21097258527312637</v>
      </c>
      <c r="Q183" s="144">
        <v>0.21097258527312637</v>
      </c>
      <c r="R183" s="143">
        <v>0.21097258527312637</v>
      </c>
      <c r="S183" s="141">
        <v>0.2099177223467607</v>
      </c>
      <c r="T183" s="141">
        <v>0.20886813373502694</v>
      </c>
      <c r="U183" s="141">
        <v>0.20782379306635179</v>
      </c>
      <c r="V183" s="144">
        <v>0.20678467410102003</v>
      </c>
    </row>
    <row r="184" spans="1:22" s="98" customFormat="1" ht="15" customHeight="1">
      <c r="A184" s="99"/>
      <c r="B184" s="161"/>
      <c r="D184" s="162" t="s">
        <v>1754</v>
      </c>
      <c r="E184" s="162"/>
      <c r="F184" s="162"/>
      <c r="G184" s="163"/>
      <c r="H184" s="163"/>
      <c r="I184" s="164" t="s">
        <v>498</v>
      </c>
      <c r="J184" s="143">
        <v>1.9492810119328363</v>
      </c>
      <c r="K184" s="141">
        <v>1.704263189610389</v>
      </c>
      <c r="L184" s="141">
        <v>1.1444434690993188</v>
      </c>
      <c r="M184" s="141">
        <v>1.136800772904087</v>
      </c>
      <c r="N184" s="141">
        <v>1.0465406865710272</v>
      </c>
      <c r="O184" s="141">
        <v>1.3567754351748631</v>
      </c>
      <c r="P184" s="141">
        <v>0.97975479594439863</v>
      </c>
      <c r="Q184" s="144">
        <v>0.97975479594439863</v>
      </c>
      <c r="R184" s="143">
        <v>0.97975479594439863</v>
      </c>
      <c r="S184" s="141">
        <v>0.97485602196467647</v>
      </c>
      <c r="T184" s="141">
        <v>0.96998174185485309</v>
      </c>
      <c r="U184" s="141">
        <v>0.96513183314557893</v>
      </c>
      <c r="V184" s="144">
        <v>0.96030617397985107</v>
      </c>
    </row>
    <row r="185" spans="1:22" s="98" customFormat="1" ht="15" customHeight="1">
      <c r="A185" s="99"/>
      <c r="B185" s="161"/>
      <c r="D185" s="162" t="s">
        <v>1755</v>
      </c>
      <c r="E185" s="162"/>
      <c r="F185" s="162"/>
      <c r="G185" s="163"/>
      <c r="H185" s="163"/>
      <c r="I185" s="164" t="s">
        <v>498</v>
      </c>
      <c r="J185" s="143">
        <v>0</v>
      </c>
      <c r="K185" s="141">
        <v>0</v>
      </c>
      <c r="L185" s="141">
        <v>3.0576733907233707E-2</v>
      </c>
      <c r="M185" s="141">
        <v>0.23247171975561517</v>
      </c>
      <c r="N185" s="141">
        <v>0.12743000260421666</v>
      </c>
      <c r="O185" s="141">
        <v>1.4209970474243196E-2</v>
      </c>
      <c r="P185" s="141">
        <v>1.0878523972416333E-2</v>
      </c>
      <c r="Q185" s="144">
        <v>1.0878523972416333E-2</v>
      </c>
      <c r="R185" s="143">
        <v>1.0878523972416333E-2</v>
      </c>
      <c r="S185" s="141">
        <v>1.082413135255425E-2</v>
      </c>
      <c r="T185" s="141">
        <v>1.0770010695791482E-2</v>
      </c>
      <c r="U185" s="141">
        <v>1.0716160642312525E-2</v>
      </c>
      <c r="V185" s="144">
        <v>1.0662579839100962E-2</v>
      </c>
    </row>
    <row r="186" spans="1:22" s="98" customFormat="1" ht="15" customHeight="1">
      <c r="A186" s="99"/>
      <c r="B186" s="161"/>
      <c r="D186" s="162" t="s">
        <v>1756</v>
      </c>
      <c r="E186" s="162"/>
      <c r="F186" s="162"/>
      <c r="G186" s="163"/>
      <c r="H186" s="163"/>
      <c r="I186" s="164" t="s">
        <v>498</v>
      </c>
      <c r="J186" s="143">
        <v>1.744889255619544E-4</v>
      </c>
      <c r="K186" s="141">
        <v>1.1037974025974021E-3</v>
      </c>
      <c r="L186" s="141">
        <v>0</v>
      </c>
      <c r="M186" s="141">
        <v>2.8202505711870532E-3</v>
      </c>
      <c r="N186" s="141">
        <v>5.0443845379545141E-3</v>
      </c>
      <c r="O186" s="141">
        <v>3.7533210754394503E-2</v>
      </c>
      <c r="P186" s="141">
        <v>2.8733763641066321E-2</v>
      </c>
      <c r="Q186" s="144">
        <v>2.8733763641066321E-2</v>
      </c>
      <c r="R186" s="143">
        <v>2.8733763641066321E-2</v>
      </c>
      <c r="S186" s="141">
        <v>2.8590094822860984E-2</v>
      </c>
      <c r="T186" s="141">
        <v>2.8447144348746685E-2</v>
      </c>
      <c r="U186" s="141">
        <v>2.830490862700295E-2</v>
      </c>
      <c r="V186" s="144">
        <v>2.8163384083867937E-2</v>
      </c>
    </row>
    <row r="187" spans="1:22" s="98" customFormat="1" ht="15" customHeight="1">
      <c r="A187" s="99"/>
      <c r="B187" s="161"/>
      <c r="D187" s="162" t="s">
        <v>1757</v>
      </c>
      <c r="E187" s="162"/>
      <c r="F187" s="162"/>
      <c r="G187" s="163"/>
      <c r="H187" s="163"/>
      <c r="I187" s="164" t="s">
        <v>498</v>
      </c>
      <c r="J187" s="143">
        <v>8.7896123273468281E-4</v>
      </c>
      <c r="K187" s="141">
        <v>0</v>
      </c>
      <c r="L187" s="141">
        <v>0</v>
      </c>
      <c r="M187" s="141">
        <v>0</v>
      </c>
      <c r="N187" s="141">
        <v>0</v>
      </c>
      <c r="O187" s="141">
        <v>0</v>
      </c>
      <c r="P187" s="141">
        <v>0</v>
      </c>
      <c r="Q187" s="144">
        <v>0</v>
      </c>
      <c r="R187" s="143">
        <v>0</v>
      </c>
      <c r="S187" s="141">
        <v>0</v>
      </c>
      <c r="T187" s="141">
        <v>0</v>
      </c>
      <c r="U187" s="141">
        <v>0</v>
      </c>
      <c r="V187" s="144">
        <v>0</v>
      </c>
    </row>
    <row r="188" spans="1:22" s="98" customFormat="1" ht="15" customHeight="1">
      <c r="A188" s="99"/>
      <c r="B188" s="161"/>
      <c r="D188" s="162" t="s">
        <v>205</v>
      </c>
      <c r="E188" s="162"/>
      <c r="F188" s="162"/>
      <c r="G188" s="163"/>
      <c r="H188" s="163"/>
      <c r="I188" s="164" t="s">
        <v>498</v>
      </c>
      <c r="J188" s="143">
        <v>3.4368153530136815E-2</v>
      </c>
      <c r="K188" s="141">
        <v>1.8764555844155838E-2</v>
      </c>
      <c r="L188" s="141">
        <v>1.0920262109726324E-2</v>
      </c>
      <c r="M188" s="141">
        <v>1.0467017791329544E-2</v>
      </c>
      <c r="N188" s="141">
        <v>2.413485133964817E-2</v>
      </c>
      <c r="O188" s="141">
        <v>0.24060142683982855</v>
      </c>
      <c r="P188" s="141">
        <v>0.18419379508345163</v>
      </c>
      <c r="Q188" s="144">
        <v>0.18419379508345163</v>
      </c>
      <c r="R188" s="143">
        <v>0.18419379508345163</v>
      </c>
      <c r="S188" s="141">
        <v>0.18327282610803436</v>
      </c>
      <c r="T188" s="141">
        <v>0.18235646197749422</v>
      </c>
      <c r="U188" s="141">
        <v>0.18144467966760675</v>
      </c>
      <c r="V188" s="144">
        <v>0.1805374562692687</v>
      </c>
    </row>
    <row r="189" spans="1:22" s="98" customFormat="1" ht="15" customHeight="1">
      <c r="A189" s="99"/>
      <c r="B189" s="161"/>
      <c r="D189" s="162" t="s">
        <v>1758</v>
      </c>
      <c r="E189" s="162"/>
      <c r="F189" s="162"/>
      <c r="G189" s="163"/>
      <c r="H189" s="163"/>
      <c r="I189" s="164" t="s">
        <v>498</v>
      </c>
      <c r="J189" s="143">
        <v>0.96058609703709852</v>
      </c>
      <c r="K189" s="141">
        <v>0.44924554285714269</v>
      </c>
      <c r="L189" s="141">
        <v>0.13104314531671588</v>
      </c>
      <c r="M189" s="141">
        <v>0.19759564452858946</v>
      </c>
      <c r="N189" s="141">
        <v>0.19484720303636122</v>
      </c>
      <c r="O189" s="141">
        <v>0.132452438354492</v>
      </c>
      <c r="P189" s="141">
        <v>0.2</v>
      </c>
      <c r="Q189" s="144">
        <v>0.2</v>
      </c>
      <c r="R189" s="143">
        <v>0.2</v>
      </c>
      <c r="S189" s="141">
        <v>0.2</v>
      </c>
      <c r="T189" s="141">
        <v>0.2</v>
      </c>
      <c r="U189" s="141">
        <v>0.2</v>
      </c>
      <c r="V189" s="144">
        <v>0.2</v>
      </c>
    </row>
    <row r="190" spans="1:22" s="98" customFormat="1" ht="15" customHeight="1">
      <c r="A190" s="99"/>
      <c r="B190" s="161"/>
      <c r="D190" s="162" t="s">
        <v>1742</v>
      </c>
      <c r="E190" s="162"/>
      <c r="F190" s="162"/>
      <c r="G190" s="163"/>
      <c r="H190" s="163"/>
      <c r="I190" s="164" t="s">
        <v>498</v>
      </c>
      <c r="J190" s="143">
        <v>4.2841864728581456</v>
      </c>
      <c r="K190" s="141">
        <v>4.7154225038961028</v>
      </c>
      <c r="L190" s="141">
        <v>4.66295192085314</v>
      </c>
      <c r="M190" s="141">
        <v>4.0712898703809905</v>
      </c>
      <c r="N190" s="141">
        <v>3.4323192705050412</v>
      </c>
      <c r="O190" s="141">
        <v>2.5274487304687501</v>
      </c>
      <c r="P190" s="141">
        <v>2.6</v>
      </c>
      <c r="Q190" s="144">
        <v>2.4733336243397788</v>
      </c>
      <c r="R190" s="713"/>
      <c r="S190" s="721"/>
      <c r="T190" s="721"/>
      <c r="U190" s="721"/>
      <c r="V190" s="715"/>
    </row>
    <row r="191" spans="1:22" s="98" customFormat="1" ht="15" customHeight="1">
      <c r="A191" s="99"/>
      <c r="B191" s="161"/>
      <c r="D191" s="162" t="s">
        <v>1735</v>
      </c>
      <c r="E191" s="162"/>
      <c r="F191" s="162"/>
      <c r="G191" s="163"/>
      <c r="H191" s="163"/>
      <c r="I191" s="164" t="s">
        <v>498</v>
      </c>
      <c r="J191" s="2447"/>
      <c r="K191" s="2448"/>
      <c r="L191" s="2448"/>
      <c r="M191" s="2448"/>
      <c r="N191" s="2448"/>
      <c r="O191" s="2448"/>
      <c r="P191" s="2448"/>
      <c r="Q191" s="2449"/>
      <c r="R191" s="143">
        <v>2.3547888048365266E-2</v>
      </c>
      <c r="S191" s="141">
        <v>2.3547888048365266E-2</v>
      </c>
      <c r="T191" s="141">
        <v>2.3547888048365266E-2</v>
      </c>
      <c r="U191" s="141">
        <v>2.3547888048365266E-2</v>
      </c>
      <c r="V191" s="144">
        <v>2.3547888048365266E-2</v>
      </c>
    </row>
    <row r="192" spans="1:22" s="98" customFormat="1" ht="15" customHeight="1">
      <c r="A192" s="99"/>
      <c r="B192" s="161"/>
      <c r="D192" s="162" t="s">
        <v>1736</v>
      </c>
      <c r="E192" s="162"/>
      <c r="F192" s="162"/>
      <c r="G192" s="163"/>
      <c r="H192" s="163"/>
      <c r="I192" s="164" t="s">
        <v>498</v>
      </c>
      <c r="J192" s="2447"/>
      <c r="K192" s="2448"/>
      <c r="L192" s="2448"/>
      <c r="M192" s="2448"/>
      <c r="N192" s="2448"/>
      <c r="O192" s="2448"/>
      <c r="P192" s="2448"/>
      <c r="Q192" s="2449"/>
      <c r="R192" s="143">
        <v>0.91368880805796837</v>
      </c>
      <c r="S192" s="141">
        <v>0.91368880805796837</v>
      </c>
      <c r="T192" s="141">
        <v>0.91368880805796837</v>
      </c>
      <c r="U192" s="141">
        <v>0.91368880805796837</v>
      </c>
      <c r="V192" s="144">
        <v>0.91368880805796837</v>
      </c>
    </row>
    <row r="193" spans="1:24" s="98" customFormat="1" ht="15" customHeight="1">
      <c r="A193" s="99"/>
      <c r="B193" s="161"/>
      <c r="D193" s="162" t="s">
        <v>85</v>
      </c>
      <c r="E193" s="162"/>
      <c r="F193" s="162"/>
      <c r="G193" s="720" t="s">
        <v>1772</v>
      </c>
      <c r="H193" s="163"/>
      <c r="I193" s="164" t="s">
        <v>498</v>
      </c>
      <c r="J193" s="143">
        <v>0.18573852008675851</v>
      </c>
      <c r="K193" s="141">
        <v>0.41392402597402583</v>
      </c>
      <c r="L193" s="141">
        <v>0.58423402287035842</v>
      </c>
      <c r="M193" s="141">
        <v>0.56185144949221089</v>
      </c>
      <c r="N193" s="141">
        <v>0.55364606519621096</v>
      </c>
      <c r="O193" s="141">
        <v>0.58408319091796901</v>
      </c>
      <c r="P193" s="141">
        <v>0.44714821932977694</v>
      </c>
      <c r="Q193" s="144">
        <v>0.44714821932977694</v>
      </c>
      <c r="R193" s="143">
        <v>0.44714821932977694</v>
      </c>
      <c r="S193" s="141">
        <v>0.44491247823312802</v>
      </c>
      <c r="T193" s="141">
        <v>0.44268791584196249</v>
      </c>
      <c r="U193" s="141">
        <v>0.44047447626275266</v>
      </c>
      <c r="V193" s="144">
        <v>0.43827210388143889</v>
      </c>
    </row>
    <row r="194" spans="1:24" s="98" customFormat="1" ht="15" customHeight="1">
      <c r="A194" s="99"/>
      <c r="B194" s="161"/>
      <c r="D194" s="162" t="s">
        <v>85</v>
      </c>
      <c r="E194" s="162"/>
      <c r="F194" s="162"/>
      <c r="G194" s="720" t="s">
        <v>1771</v>
      </c>
      <c r="H194" s="163"/>
      <c r="I194" s="164" t="s">
        <v>498</v>
      </c>
      <c r="J194" s="143">
        <v>8.4826376490329022E-2</v>
      </c>
      <c r="K194" s="141">
        <v>0.14480843292518492</v>
      </c>
      <c r="L194" s="141">
        <v>-5.5698141674932356E-3</v>
      </c>
      <c r="M194" s="141">
        <v>0.32268301379362385</v>
      </c>
      <c r="N194" s="141">
        <v>-0.11584234365999224</v>
      </c>
      <c r="O194" s="141">
        <v>-0.2369503544464106</v>
      </c>
      <c r="P194" s="141">
        <v>0</v>
      </c>
      <c r="Q194" s="144">
        <v>0</v>
      </c>
      <c r="R194" s="143">
        <v>0</v>
      </c>
      <c r="S194" s="141">
        <v>0</v>
      </c>
      <c r="T194" s="141">
        <v>0</v>
      </c>
      <c r="U194" s="141">
        <v>0</v>
      </c>
      <c r="V194" s="144">
        <v>0</v>
      </c>
    </row>
    <row r="195" spans="1:24" s="98" customFormat="1" ht="15" customHeight="1">
      <c r="A195" s="99"/>
      <c r="B195" s="161"/>
      <c r="D195" s="162" t="s">
        <v>85</v>
      </c>
      <c r="E195" s="162"/>
      <c r="F195" s="162"/>
      <c r="G195" s="720" t="s">
        <v>1773</v>
      </c>
      <c r="H195" s="163"/>
      <c r="I195" s="164" t="s">
        <v>498</v>
      </c>
      <c r="J195" s="143">
        <v>-3.3225173515272127E-2</v>
      </c>
      <c r="K195" s="141">
        <v>-6.7331641558441541E-2</v>
      </c>
      <c r="L195" s="141">
        <v>-0.34944838751124235</v>
      </c>
      <c r="M195" s="141">
        <v>0.26220346130841676</v>
      </c>
      <c r="N195" s="141">
        <v>0.55403701679776507</v>
      </c>
      <c r="O195" s="141">
        <v>0.76791984554980219</v>
      </c>
      <c r="P195" s="141">
        <v>0.58788541917450288</v>
      </c>
      <c r="Q195" s="144">
        <v>0.58788541917450288</v>
      </c>
      <c r="R195" s="143">
        <v>0.58788541917450288</v>
      </c>
      <c r="S195" s="141">
        <v>0.58494599207863029</v>
      </c>
      <c r="T195" s="141">
        <v>0.58202126211823724</v>
      </c>
      <c r="U195" s="141">
        <v>0.57911115580764605</v>
      </c>
      <c r="V195" s="144">
        <v>0.57621560002860783</v>
      </c>
    </row>
    <row r="196" spans="1:24" s="98" customFormat="1" ht="15" customHeight="1">
      <c r="A196" s="99"/>
      <c r="B196" s="161"/>
      <c r="D196" s="162" t="s">
        <v>85</v>
      </c>
      <c r="E196" s="162"/>
      <c r="F196" s="162"/>
      <c r="G196" s="720" t="s">
        <v>1761</v>
      </c>
      <c r="H196" s="163"/>
      <c r="I196" s="164" t="s">
        <v>498</v>
      </c>
      <c r="J196" s="143">
        <v>0</v>
      </c>
      <c r="K196" s="141">
        <v>0</v>
      </c>
      <c r="L196" s="141">
        <v>0</v>
      </c>
      <c r="M196" s="141">
        <v>2.6727976693636027E-4</v>
      </c>
      <c r="N196" s="141">
        <v>0</v>
      </c>
      <c r="O196" s="141">
        <v>0</v>
      </c>
      <c r="P196" s="141">
        <v>0</v>
      </c>
      <c r="Q196" s="144">
        <v>0</v>
      </c>
      <c r="R196" s="143">
        <v>0</v>
      </c>
      <c r="S196" s="141">
        <v>0</v>
      </c>
      <c r="T196" s="141">
        <v>0</v>
      </c>
      <c r="U196" s="141">
        <v>0</v>
      </c>
      <c r="V196" s="144">
        <v>0</v>
      </c>
    </row>
    <row r="197" spans="1:24" s="98" customFormat="1" ht="15" customHeight="1">
      <c r="A197" s="99"/>
      <c r="B197" s="161"/>
      <c r="D197" s="162" t="s">
        <v>85</v>
      </c>
      <c r="E197" s="162"/>
      <c r="F197" s="162"/>
      <c r="G197" s="720" t="s">
        <v>1774</v>
      </c>
      <c r="H197" s="163"/>
      <c r="I197" s="164" t="s">
        <v>498</v>
      </c>
      <c r="J197" s="143">
        <v>0</v>
      </c>
      <c r="K197" s="141">
        <v>0</v>
      </c>
      <c r="L197" s="141">
        <v>0</v>
      </c>
      <c r="M197" s="141">
        <v>0</v>
      </c>
      <c r="N197" s="141">
        <v>0</v>
      </c>
      <c r="O197" s="141">
        <v>0.15997048323496094</v>
      </c>
      <c r="P197" s="141">
        <v>0</v>
      </c>
      <c r="Q197" s="144">
        <v>0</v>
      </c>
      <c r="R197" s="143">
        <v>0</v>
      </c>
      <c r="S197" s="141">
        <v>0</v>
      </c>
      <c r="T197" s="141">
        <v>0</v>
      </c>
      <c r="U197" s="141">
        <v>0</v>
      </c>
      <c r="V197" s="144">
        <v>0</v>
      </c>
    </row>
    <row r="198" spans="1:24" s="98" customFormat="1" ht="15" customHeight="1">
      <c r="A198" s="99"/>
      <c r="B198" s="161"/>
      <c r="D198" s="162" t="s">
        <v>85</v>
      </c>
      <c r="E198" s="162"/>
      <c r="F198" s="162"/>
      <c r="G198" s="720"/>
      <c r="H198" s="163"/>
      <c r="I198" s="164" t="s">
        <v>498</v>
      </c>
      <c r="J198" s="143">
        <v>0</v>
      </c>
      <c r="K198" s="141">
        <v>0</v>
      </c>
      <c r="L198" s="141">
        <v>0</v>
      </c>
      <c r="M198" s="141">
        <v>0</v>
      </c>
      <c r="N198" s="141">
        <v>0</v>
      </c>
      <c r="O198" s="141">
        <v>0</v>
      </c>
      <c r="P198" s="141">
        <v>0</v>
      </c>
      <c r="Q198" s="144">
        <v>0</v>
      </c>
      <c r="R198" s="143">
        <v>0</v>
      </c>
      <c r="S198" s="141">
        <v>0</v>
      </c>
      <c r="T198" s="141">
        <v>0</v>
      </c>
      <c r="U198" s="141">
        <v>0</v>
      </c>
      <c r="V198" s="144">
        <v>0</v>
      </c>
    </row>
    <row r="199" spans="1:24" s="98" customFormat="1" ht="15" customHeight="1">
      <c r="A199" s="99"/>
      <c r="B199" s="161"/>
      <c r="D199" s="162" t="s">
        <v>85</v>
      </c>
      <c r="E199" s="162"/>
      <c r="F199" s="162"/>
      <c r="G199" s="720"/>
      <c r="H199" s="163"/>
      <c r="I199" s="164" t="s">
        <v>498</v>
      </c>
      <c r="J199" s="143">
        <v>0</v>
      </c>
      <c r="K199" s="141">
        <v>0</v>
      </c>
      <c r="L199" s="141">
        <v>0</v>
      </c>
      <c r="M199" s="141">
        <v>0</v>
      </c>
      <c r="N199" s="141">
        <v>0</v>
      </c>
      <c r="O199" s="141">
        <v>0</v>
      </c>
      <c r="P199" s="141">
        <v>0</v>
      </c>
      <c r="Q199" s="144">
        <v>0</v>
      </c>
      <c r="R199" s="143">
        <v>0</v>
      </c>
      <c r="S199" s="141">
        <v>0</v>
      </c>
      <c r="T199" s="141">
        <v>0</v>
      </c>
      <c r="U199" s="141">
        <v>0</v>
      </c>
      <c r="V199" s="144">
        <v>0</v>
      </c>
    </row>
    <row r="200" spans="1:24" s="98" customFormat="1" ht="15" customHeight="1">
      <c r="A200" s="99"/>
      <c r="B200" s="161"/>
      <c r="D200" s="162" t="s">
        <v>85</v>
      </c>
      <c r="E200" s="162"/>
      <c r="F200" s="162"/>
      <c r="G200" s="720"/>
      <c r="H200" s="163"/>
      <c r="I200" s="164" t="s">
        <v>498</v>
      </c>
      <c r="J200" s="143">
        <v>0</v>
      </c>
      <c r="K200" s="141">
        <v>0</v>
      </c>
      <c r="L200" s="141">
        <v>0</v>
      </c>
      <c r="M200" s="141">
        <v>0</v>
      </c>
      <c r="N200" s="141">
        <v>0</v>
      </c>
      <c r="O200" s="141">
        <v>0</v>
      </c>
      <c r="P200" s="141">
        <v>0</v>
      </c>
      <c r="Q200" s="144">
        <v>0</v>
      </c>
      <c r="R200" s="143">
        <v>0</v>
      </c>
      <c r="S200" s="141">
        <v>0</v>
      </c>
      <c r="T200" s="141">
        <v>0</v>
      </c>
      <c r="U200" s="141">
        <v>0</v>
      </c>
      <c r="V200" s="144">
        <v>0</v>
      </c>
    </row>
    <row r="201" spans="1:24" s="98" customFormat="1" ht="15" customHeight="1">
      <c r="A201" s="99"/>
      <c r="B201" s="181"/>
      <c r="C201" s="2492" t="s">
        <v>1763</v>
      </c>
      <c r="D201" s="183"/>
      <c r="E201" s="183"/>
      <c r="F201" s="183"/>
      <c r="G201" s="184"/>
      <c r="H201" s="184"/>
      <c r="I201" s="164" t="s">
        <v>498</v>
      </c>
      <c r="J201" s="128">
        <f t="shared" ref="J201:V201" si="31">SUM(J182:J200)</f>
        <v>7.5741905231652353</v>
      </c>
      <c r="K201" s="129">
        <f t="shared" si="31"/>
        <v>7.538043435522586</v>
      </c>
      <c r="L201" s="129">
        <f t="shared" si="31"/>
        <v>7.0587477446144664</v>
      </c>
      <c r="M201" s="129">
        <f t="shared" si="31"/>
        <v>7.1480045448170992</v>
      </c>
      <c r="N201" s="129">
        <f t="shared" si="31"/>
        <v>6.2436900494480811</v>
      </c>
      <c r="O201" s="129">
        <f t="shared" si="31"/>
        <v>5.9255028511548957</v>
      </c>
      <c r="P201" s="129">
        <f t="shared" si="31"/>
        <v>5.3</v>
      </c>
      <c r="Q201" s="130">
        <f t="shared" si="31"/>
        <v>5.1733336243397785</v>
      </c>
      <c r="R201" s="128">
        <f t="shared" si="31"/>
        <v>3.6372366961063332</v>
      </c>
      <c r="S201" s="129">
        <f t="shared" si="31"/>
        <v>3.6247366961063334</v>
      </c>
      <c r="T201" s="129">
        <f t="shared" si="31"/>
        <v>3.612299196106334</v>
      </c>
      <c r="U201" s="129">
        <f t="shared" si="31"/>
        <v>3.5999238836063334</v>
      </c>
      <c r="V201" s="130">
        <f t="shared" si="31"/>
        <v>3.5876104476688333</v>
      </c>
      <c r="W201" s="185"/>
    </row>
    <row r="202" spans="1:24" s="338" customFormat="1" ht="14.25">
      <c r="B202" s="349"/>
      <c r="C202" s="1393"/>
      <c r="D202" s="624" t="s">
        <v>1764</v>
      </c>
      <c r="E202" s="624"/>
      <c r="F202" s="624"/>
      <c r="G202" s="339"/>
      <c r="H202" s="339"/>
      <c r="I202" s="576" t="s">
        <v>498</v>
      </c>
      <c r="J202" s="297">
        <v>0</v>
      </c>
      <c r="K202" s="298" t="s">
        <v>1127</v>
      </c>
      <c r="L202" s="298">
        <v>0</v>
      </c>
      <c r="M202" s="298">
        <v>0</v>
      </c>
      <c r="N202" s="298">
        <v>0</v>
      </c>
      <c r="O202" s="298">
        <v>0</v>
      </c>
      <c r="P202" s="298">
        <v>0</v>
      </c>
      <c r="Q202" s="299">
        <v>0</v>
      </c>
      <c r="R202" s="297">
        <v>0</v>
      </c>
      <c r="S202" s="298">
        <v>0</v>
      </c>
      <c r="T202" s="298">
        <v>0</v>
      </c>
      <c r="U202" s="298">
        <v>0</v>
      </c>
      <c r="V202" s="299">
        <v>0</v>
      </c>
    </row>
    <row r="203" spans="1:24" s="338" customFormat="1" ht="14.25">
      <c r="B203" s="349"/>
      <c r="C203" s="1393"/>
      <c r="D203" s="624" t="s">
        <v>1765</v>
      </c>
      <c r="E203" s="624"/>
      <c r="F203" s="624"/>
      <c r="G203" s="339"/>
      <c r="H203" s="339"/>
      <c r="I203" s="973" t="s">
        <v>498</v>
      </c>
      <c r="J203" s="974">
        <v>-1.4889445722253345E-2</v>
      </c>
      <c r="K203" s="975">
        <v>-9.9341766233766188E-3</v>
      </c>
      <c r="L203" s="975">
        <v>-8.7362096877810595E-3</v>
      </c>
      <c r="M203" s="975">
        <v>-0.13428238126313244</v>
      </c>
      <c r="N203" s="975">
        <v>-0.16395431795713472</v>
      </c>
      <c r="O203" s="975">
        <v>-0.20615490722655797</v>
      </c>
      <c r="P203" s="975">
        <v>0</v>
      </c>
      <c r="Q203" s="976">
        <v>0</v>
      </c>
      <c r="R203" s="974">
        <v>0</v>
      </c>
      <c r="S203" s="975">
        <v>0</v>
      </c>
      <c r="T203" s="975">
        <v>0</v>
      </c>
      <c r="U203" s="975">
        <v>0</v>
      </c>
      <c r="V203" s="976">
        <v>0</v>
      </c>
    </row>
    <row r="204" spans="1:24" s="338" customFormat="1" ht="14.25">
      <c r="B204" s="349"/>
      <c r="C204" s="1393" t="s">
        <v>1766</v>
      </c>
      <c r="D204" s="339"/>
      <c r="E204" s="339"/>
      <c r="F204" s="339"/>
      <c r="G204" s="625"/>
      <c r="H204" s="339"/>
      <c r="I204" s="164" t="s">
        <v>498</v>
      </c>
      <c r="J204" s="128">
        <f>SUM(J201:J203)</f>
        <v>7.5593010774429823</v>
      </c>
      <c r="K204" s="632">
        <f t="shared" ref="K204:V204" si="32">SUM(K201:K203)</f>
        <v>7.5281092588992093</v>
      </c>
      <c r="L204" s="632">
        <f t="shared" si="32"/>
        <v>7.0500115349266856</v>
      </c>
      <c r="M204" s="632">
        <f t="shared" si="32"/>
        <v>7.0137221635539664</v>
      </c>
      <c r="N204" s="632">
        <f t="shared" si="32"/>
        <v>6.0797357314909464</v>
      </c>
      <c r="O204" s="632">
        <f t="shared" si="32"/>
        <v>5.7193479439283381</v>
      </c>
      <c r="P204" s="632">
        <f t="shared" si="32"/>
        <v>5.3</v>
      </c>
      <c r="Q204" s="633">
        <f t="shared" si="32"/>
        <v>5.1733336243397785</v>
      </c>
      <c r="R204" s="631">
        <f t="shared" si="32"/>
        <v>3.6372366961063332</v>
      </c>
      <c r="S204" s="632">
        <f t="shared" si="32"/>
        <v>3.6247366961063334</v>
      </c>
      <c r="T204" s="632">
        <f t="shared" si="32"/>
        <v>3.612299196106334</v>
      </c>
      <c r="U204" s="632">
        <f t="shared" si="32"/>
        <v>3.5999238836063334</v>
      </c>
      <c r="V204" s="633">
        <f t="shared" si="32"/>
        <v>3.5876104476688333</v>
      </c>
    </row>
    <row r="205" spans="1:24" s="98" customFormat="1" ht="15" customHeight="1">
      <c r="A205" s="99"/>
      <c r="B205" s="161"/>
      <c r="C205" s="116"/>
      <c r="D205" s="116"/>
      <c r="E205" s="116"/>
      <c r="F205" s="116"/>
      <c r="G205" s="117"/>
      <c r="H205" s="117"/>
      <c r="I205" s="117"/>
      <c r="J205" s="713"/>
      <c r="K205" s="721"/>
      <c r="L205" s="721"/>
      <c r="M205" s="721"/>
      <c r="N205" s="721"/>
      <c r="O205" s="721"/>
      <c r="P205" s="721"/>
      <c r="Q205" s="715"/>
      <c r="R205" s="713"/>
      <c r="S205" s="721"/>
      <c r="T205" s="721"/>
      <c r="U205" s="721"/>
      <c r="V205" s="715"/>
    </row>
    <row r="206" spans="1:24" s="98" customFormat="1" ht="15" customHeight="1" thickBot="1">
      <c r="A206" s="99"/>
      <c r="B206" s="131" t="s">
        <v>1769</v>
      </c>
      <c r="C206" s="132"/>
      <c r="D206" s="132"/>
      <c r="E206" s="132"/>
      <c r="F206" s="132"/>
      <c r="G206" s="145"/>
      <c r="H206" s="133"/>
      <c r="I206" s="146" t="s">
        <v>498</v>
      </c>
      <c r="J206" s="717">
        <f t="shared" ref="J206:V206" si="33">SUM(J122,J141,J160,J179,J204)</f>
        <v>46.402318197288857</v>
      </c>
      <c r="K206" s="718">
        <f t="shared" si="33"/>
        <v>45.669828505652447</v>
      </c>
      <c r="L206" s="718">
        <f t="shared" si="33"/>
        <v>43.773895497821485</v>
      </c>
      <c r="M206" s="718">
        <f t="shared" si="33"/>
        <v>43.14571011508459</v>
      </c>
      <c r="N206" s="718">
        <f t="shared" si="33"/>
        <v>43.655587371021163</v>
      </c>
      <c r="O206" s="718">
        <f t="shared" si="33"/>
        <v>44.329164904168834</v>
      </c>
      <c r="P206" s="718">
        <f t="shared" si="33"/>
        <v>46.353235998134714</v>
      </c>
      <c r="Q206" s="719">
        <f t="shared" si="33"/>
        <v>46.675398983757063</v>
      </c>
      <c r="R206" s="717">
        <f t="shared" si="33"/>
        <v>46.498819082369685</v>
      </c>
      <c r="S206" s="718">
        <f t="shared" si="33"/>
        <v>46.719009540752261</v>
      </c>
      <c r="T206" s="718">
        <f t="shared" si="33"/>
        <v>46.256506720178265</v>
      </c>
      <c r="U206" s="718">
        <f t="shared" si="33"/>
        <v>44.629018322588038</v>
      </c>
      <c r="V206" s="719">
        <f t="shared" si="33"/>
        <v>44.816783281507057</v>
      </c>
    </row>
    <row r="207" spans="1:24" s="99" customFormat="1" ht="15" customHeight="1">
      <c r="B207" s="150"/>
      <c r="C207" s="150"/>
      <c r="D207" s="150"/>
      <c r="E207" s="150"/>
      <c r="F207" s="150"/>
      <c r="G207" s="97"/>
      <c r="H207" s="97"/>
      <c r="I207" s="98"/>
      <c r="J207" s="98"/>
      <c r="K207" s="98"/>
      <c r="L207" s="98"/>
      <c r="M207" s="98"/>
      <c r="N207" s="98"/>
      <c r="O207" s="98"/>
      <c r="P207" s="98"/>
      <c r="Q207" s="98"/>
      <c r="R207" s="98"/>
      <c r="S207" s="98"/>
      <c r="T207" s="98"/>
      <c r="U207" s="98"/>
      <c r="V207" s="98"/>
      <c r="W207" s="98"/>
      <c r="X207" s="98"/>
    </row>
    <row r="208" spans="1:24" s="99" customFormat="1" ht="15" customHeight="1">
      <c r="B208" s="150"/>
      <c r="C208" s="150"/>
      <c r="D208" s="150"/>
      <c r="E208" s="150"/>
      <c r="F208" s="150"/>
      <c r="G208" s="97"/>
      <c r="H208" s="97"/>
      <c r="I208" s="98"/>
      <c r="J208" s="98"/>
      <c r="K208" s="98"/>
      <c r="L208" s="98"/>
      <c r="M208" s="98"/>
      <c r="N208" s="98"/>
      <c r="O208" s="98"/>
      <c r="P208" s="98"/>
      <c r="Q208" s="98"/>
      <c r="R208" s="98"/>
      <c r="S208" s="98"/>
      <c r="T208" s="98"/>
      <c r="U208" s="98"/>
      <c r="V208" s="98"/>
      <c r="W208" s="98"/>
      <c r="X208" s="98"/>
    </row>
    <row r="209" spans="1:24" s="99" customFormat="1" ht="15" customHeight="1" thickBot="1">
      <c r="B209" s="150"/>
      <c r="C209" s="150"/>
      <c r="D209" s="150"/>
      <c r="E209" s="150"/>
      <c r="F209" s="150"/>
      <c r="G209" s="97"/>
      <c r="H209" s="97"/>
      <c r="I209" s="98"/>
      <c r="J209" s="98"/>
      <c r="K209" s="98"/>
      <c r="L209" s="98"/>
      <c r="M209" s="98"/>
      <c r="N209" s="98"/>
      <c r="O209" s="98"/>
      <c r="P209" s="98"/>
      <c r="Q209" s="98"/>
      <c r="R209" s="98"/>
      <c r="S209" s="98"/>
      <c r="T209" s="98"/>
      <c r="U209" s="98"/>
      <c r="V209" s="98"/>
      <c r="W209" s="98"/>
      <c r="X209" s="98"/>
    </row>
    <row r="210" spans="1:24" s="100" customFormat="1" ht="30" customHeight="1" thickBot="1">
      <c r="A210" s="89"/>
      <c r="B210" s="621" t="s">
        <v>1749</v>
      </c>
      <c r="C210" s="102"/>
      <c r="D210" s="102"/>
      <c r="E210" s="102"/>
      <c r="F210" s="102"/>
      <c r="G210" s="103"/>
      <c r="H210" s="103"/>
      <c r="I210" s="105" t="s">
        <v>1704</v>
      </c>
      <c r="J210" s="106"/>
      <c r="K210" s="106"/>
      <c r="L210" s="106"/>
      <c r="M210" s="106"/>
      <c r="N210" s="106"/>
      <c r="O210" s="106"/>
      <c r="P210" s="106"/>
      <c r="Q210" s="106"/>
      <c r="R210" s="105"/>
      <c r="S210" s="105"/>
      <c r="T210" s="105"/>
      <c r="U210" s="105"/>
      <c r="V210" s="993"/>
    </row>
    <row r="211" spans="1:24" s="157" customFormat="1" ht="30" customHeight="1">
      <c r="A211" s="99"/>
      <c r="B211" s="109"/>
      <c r="C211" s="110"/>
      <c r="D211" s="110"/>
      <c r="E211" s="110"/>
      <c r="F211" s="110"/>
      <c r="G211" s="111"/>
      <c r="H211" s="111"/>
      <c r="I211" s="117"/>
      <c r="J211" s="695" t="s">
        <v>1666</v>
      </c>
      <c r="K211" s="152"/>
      <c r="L211" s="152"/>
      <c r="M211" s="152"/>
      <c r="N211" s="152"/>
      <c r="O211" s="152"/>
      <c r="P211" s="152"/>
      <c r="Q211" s="153"/>
      <c r="R211" s="696" t="s">
        <v>2</v>
      </c>
      <c r="S211" s="155"/>
      <c r="T211" s="155"/>
      <c r="U211" s="155"/>
      <c r="V211" s="156"/>
    </row>
    <row r="212" spans="1:24" s="98" customFormat="1" ht="15" customHeight="1">
      <c r="A212" s="99"/>
      <c r="B212" s="115"/>
      <c r="C212" s="116"/>
      <c r="D212" s="116"/>
      <c r="E212" s="116"/>
      <c r="F212" s="116"/>
      <c r="G212" s="117"/>
      <c r="H212" s="117"/>
      <c r="I212" s="119" t="s">
        <v>1667</v>
      </c>
      <c r="J212" s="158" t="s">
        <v>453</v>
      </c>
      <c r="K212" s="137" t="s">
        <v>455</v>
      </c>
      <c r="L212" s="137" t="s">
        <v>457</v>
      </c>
      <c r="M212" s="137" t="s">
        <v>459</v>
      </c>
      <c r="N212" s="137" t="s">
        <v>461</v>
      </c>
      <c r="O212" s="137" t="s">
        <v>463</v>
      </c>
      <c r="P212" s="137" t="s">
        <v>465</v>
      </c>
      <c r="Q212" s="138" t="s">
        <v>467</v>
      </c>
      <c r="R212" s="120" t="s">
        <v>469</v>
      </c>
      <c r="S212" s="121" t="s">
        <v>471</v>
      </c>
      <c r="T212" s="121" t="s">
        <v>473</v>
      </c>
      <c r="U212" s="121" t="s">
        <v>475</v>
      </c>
      <c r="V212" s="122" t="s">
        <v>477</v>
      </c>
    </row>
    <row r="213" spans="1:24" s="98" customFormat="1" ht="15" customHeight="1">
      <c r="A213" s="99"/>
      <c r="B213" s="161"/>
      <c r="C213" s="186" t="s">
        <v>1775</v>
      </c>
      <c r="D213" s="162"/>
      <c r="E213" s="162"/>
      <c r="F213" s="162"/>
      <c r="G213" s="163"/>
      <c r="H213" s="163"/>
      <c r="I213" s="117"/>
      <c r="J213" s="159"/>
      <c r="K213" s="117"/>
      <c r="L213" s="117"/>
      <c r="M213" s="117"/>
      <c r="N213" s="117"/>
      <c r="O213" s="117"/>
      <c r="P213" s="117"/>
      <c r="Q213" s="160"/>
      <c r="R213" s="159"/>
      <c r="S213" s="117"/>
      <c r="T213" s="117"/>
      <c r="U213" s="117"/>
      <c r="V213" s="160"/>
    </row>
    <row r="214" spans="1:24" s="98" customFormat="1" ht="15" customHeight="1">
      <c r="A214" s="99"/>
      <c r="B214" s="161"/>
      <c r="D214" s="162" t="s">
        <v>1752</v>
      </c>
      <c r="E214" s="162"/>
      <c r="F214" s="162"/>
      <c r="G214" s="163"/>
      <c r="H214" s="163"/>
      <c r="I214" s="164" t="s">
        <v>498</v>
      </c>
      <c r="J214" s="143">
        <v>0.70939710590003802</v>
      </c>
      <c r="K214" s="141">
        <v>0.8885569090909089</v>
      </c>
      <c r="L214" s="141">
        <v>0.7742465835795963</v>
      </c>
      <c r="M214" s="141">
        <v>0.87364945225368706</v>
      </c>
      <c r="N214" s="141">
        <v>0.74306054021451173</v>
      </c>
      <c r="O214" s="141">
        <v>0.62384606125710518</v>
      </c>
      <c r="P214" s="141">
        <v>0.72</v>
      </c>
      <c r="Q214" s="144">
        <v>0.71639999999999993</v>
      </c>
      <c r="R214" s="143">
        <v>0.71281799999999995</v>
      </c>
      <c r="S214" s="141">
        <v>0.70925390999999993</v>
      </c>
      <c r="T214" s="141">
        <v>0.7057076404499999</v>
      </c>
      <c r="U214" s="141">
        <v>0.70217910224774993</v>
      </c>
      <c r="V214" s="144">
        <v>0.6986682067365112</v>
      </c>
    </row>
    <row r="215" spans="1:24" s="98" customFormat="1" ht="15" customHeight="1">
      <c r="A215" s="99"/>
      <c r="B215" s="161"/>
      <c r="D215" s="162" t="s">
        <v>1753</v>
      </c>
      <c r="E215" s="162"/>
      <c r="F215" s="162"/>
      <c r="G215" s="163"/>
      <c r="H215" s="163"/>
      <c r="I215" s="164" t="s">
        <v>498</v>
      </c>
      <c r="J215" s="143">
        <v>10.760569594012964</v>
      </c>
      <c r="K215" s="141">
        <v>9.9330728259740226</v>
      </c>
      <c r="L215" s="141">
        <v>1.9034016857252984</v>
      </c>
      <c r="M215" s="141">
        <v>5.5068357817985421</v>
      </c>
      <c r="N215" s="141">
        <v>5.8514433371888765</v>
      </c>
      <c r="O215" s="141">
        <v>4.9201841890811862</v>
      </c>
      <c r="P215" s="141">
        <v>5.8747036395533945</v>
      </c>
      <c r="Q215" s="144">
        <v>6.2198301213556277</v>
      </c>
      <c r="R215" s="143">
        <v>6.1889309707488485</v>
      </c>
      <c r="S215" s="141">
        <v>6.1581863158951045</v>
      </c>
      <c r="T215" s="141">
        <v>6.1275953843156294</v>
      </c>
      <c r="U215" s="141">
        <v>6.0971574073940511</v>
      </c>
      <c r="V215" s="144">
        <v>6.0668716203570812</v>
      </c>
    </row>
    <row r="216" spans="1:24" s="98" customFormat="1" ht="15" customHeight="1">
      <c r="A216" s="99"/>
      <c r="B216" s="161"/>
      <c r="D216" s="162" t="s">
        <v>1754</v>
      </c>
      <c r="E216" s="162"/>
      <c r="F216" s="162"/>
      <c r="G216" s="163"/>
      <c r="H216" s="163"/>
      <c r="I216" s="164" t="s">
        <v>498</v>
      </c>
      <c r="J216" s="143">
        <v>0.12466094457508545</v>
      </c>
      <c r="K216" s="141">
        <v>0.12693670129870127</v>
      </c>
      <c r="L216" s="141">
        <v>5.354204512398816</v>
      </c>
      <c r="M216" s="141">
        <v>5.3776047636155035E-3</v>
      </c>
      <c r="N216" s="141">
        <v>5.6951598367453822E-3</v>
      </c>
      <c r="O216" s="141">
        <v>2.7694299221038801E-3</v>
      </c>
      <c r="P216" s="141">
        <v>2.7555827724933609E-3</v>
      </c>
      <c r="Q216" s="144">
        <v>2.7418048586308938E-3</v>
      </c>
      <c r="R216" s="143">
        <v>2.7280958343377393E-3</v>
      </c>
      <c r="S216" s="141">
        <v>2.7144553551660508E-3</v>
      </c>
      <c r="T216" s="141">
        <v>2.7008830783902204E-3</v>
      </c>
      <c r="U216" s="141">
        <v>2.6873786629982694E-3</v>
      </c>
      <c r="V216" s="144">
        <v>2.673941769683278E-3</v>
      </c>
    </row>
    <row r="217" spans="1:24" s="98" customFormat="1" ht="15" customHeight="1">
      <c r="A217" s="99"/>
      <c r="B217" s="161"/>
      <c r="D217" s="162" t="s">
        <v>1755</v>
      </c>
      <c r="E217" s="162"/>
      <c r="F217" s="162"/>
      <c r="G217" s="163"/>
      <c r="H217" s="163"/>
      <c r="I217" s="164" t="s">
        <v>498</v>
      </c>
      <c r="J217" s="143">
        <v>2.1477040702649226E-3</v>
      </c>
      <c r="K217" s="141">
        <v>0.15122024415584412</v>
      </c>
      <c r="L217" s="141">
        <v>-1.0920262109726324E-3</v>
      </c>
      <c r="M217" s="141">
        <v>2.2865784061405618E-3</v>
      </c>
      <c r="N217" s="141">
        <v>8.8627788205508732E-5</v>
      </c>
      <c r="O217" s="141">
        <v>4.0070998668670696E-4</v>
      </c>
      <c r="P217" s="141">
        <v>3.9870643675327344E-4</v>
      </c>
      <c r="Q217" s="144">
        <v>3.9671290456950705E-4</v>
      </c>
      <c r="R217" s="143">
        <v>3.9472934004665953E-4</v>
      </c>
      <c r="S217" s="141">
        <v>3.9275569334642623E-4</v>
      </c>
      <c r="T217" s="141">
        <v>3.9079191487969412E-4</v>
      </c>
      <c r="U217" s="141">
        <v>3.8883795530529565E-4</v>
      </c>
      <c r="V217" s="144">
        <v>3.8689376552876914E-4</v>
      </c>
    </row>
    <row r="218" spans="1:24" s="98" customFormat="1" ht="15" customHeight="1">
      <c r="A218" s="99"/>
      <c r="B218" s="161"/>
      <c r="D218" s="162" t="s">
        <v>1756</v>
      </c>
      <c r="E218" s="162"/>
      <c r="F218" s="162"/>
      <c r="G218" s="163"/>
      <c r="H218" s="163"/>
      <c r="I218" s="164" t="s">
        <v>498</v>
      </c>
      <c r="J218" s="143">
        <v>0.23958365583457317</v>
      </c>
      <c r="K218" s="141">
        <v>0.65124046753246723</v>
      </c>
      <c r="L218" s="141">
        <v>0.3778410689965308</v>
      </c>
      <c r="M218" s="141">
        <v>0.25023954852795549</v>
      </c>
      <c r="N218" s="141">
        <v>0.15923324965166527</v>
      </c>
      <c r="O218" s="141">
        <v>0.30347674310207368</v>
      </c>
      <c r="P218" s="141">
        <v>0.30195935938656332</v>
      </c>
      <c r="Q218" s="144">
        <v>0.30044956258963051</v>
      </c>
      <c r="R218" s="143">
        <v>0.29894731477668235</v>
      </c>
      <c r="S218" s="141">
        <v>0.29745257820279891</v>
      </c>
      <c r="T218" s="141">
        <v>0.29596531531178494</v>
      </c>
      <c r="U218" s="141">
        <v>0.29448548873522601</v>
      </c>
      <c r="V218" s="144">
        <v>0.29301306129154986</v>
      </c>
    </row>
    <row r="219" spans="1:24" s="98" customFormat="1" ht="15" customHeight="1">
      <c r="A219" s="99"/>
      <c r="B219" s="161"/>
      <c r="D219" s="162" t="s">
        <v>1757</v>
      </c>
      <c r="E219" s="162"/>
      <c r="F219" s="162"/>
      <c r="G219" s="163"/>
      <c r="H219" s="163"/>
      <c r="I219" s="164" t="s">
        <v>498</v>
      </c>
      <c r="J219" s="143">
        <v>0</v>
      </c>
      <c r="K219" s="141">
        <v>0</v>
      </c>
      <c r="L219" s="141">
        <v>0</v>
      </c>
      <c r="M219" s="141">
        <v>0</v>
      </c>
      <c r="N219" s="141">
        <v>0</v>
      </c>
      <c r="O219" s="141">
        <v>0</v>
      </c>
      <c r="P219" s="141">
        <v>0</v>
      </c>
      <c r="Q219" s="144">
        <v>0</v>
      </c>
      <c r="R219" s="143">
        <v>0</v>
      </c>
      <c r="S219" s="141">
        <v>0</v>
      </c>
      <c r="T219" s="141">
        <v>0</v>
      </c>
      <c r="U219" s="141">
        <v>0</v>
      </c>
      <c r="V219" s="144">
        <v>0</v>
      </c>
    </row>
    <row r="220" spans="1:24" s="98" customFormat="1" ht="15" customHeight="1">
      <c r="A220" s="99"/>
      <c r="B220" s="161"/>
      <c r="D220" s="162" t="s">
        <v>205</v>
      </c>
      <c r="E220" s="162"/>
      <c r="F220" s="162"/>
      <c r="G220" s="163"/>
      <c r="H220" s="163"/>
      <c r="I220" s="164" t="s">
        <v>498</v>
      </c>
      <c r="J220" s="143">
        <v>0</v>
      </c>
      <c r="K220" s="141">
        <v>0</v>
      </c>
      <c r="L220" s="141">
        <v>0</v>
      </c>
      <c r="M220" s="141">
        <v>0</v>
      </c>
      <c r="N220" s="141">
        <v>9.1018677375703856E-5</v>
      </c>
      <c r="O220" s="141">
        <v>6.0999989509580026E-6</v>
      </c>
      <c r="P220" s="141">
        <v>6.0694989562032126E-6</v>
      </c>
      <c r="Q220" s="144">
        <v>6.0391514614221965E-6</v>
      </c>
      <c r="R220" s="143">
        <v>6.0089557041150853E-6</v>
      </c>
      <c r="S220" s="141">
        <v>5.9789109255945097E-6</v>
      </c>
      <c r="T220" s="141">
        <v>5.9490163709665374E-6</v>
      </c>
      <c r="U220" s="141">
        <v>5.9192712891117047E-6</v>
      </c>
      <c r="V220" s="144">
        <v>5.8896749326661463E-6</v>
      </c>
    </row>
    <row r="221" spans="1:24" s="98" customFormat="1" ht="15" customHeight="1">
      <c r="A221" s="99"/>
      <c r="B221" s="161"/>
      <c r="D221" s="162" t="s">
        <v>1758</v>
      </c>
      <c r="E221" s="162"/>
      <c r="F221" s="162"/>
      <c r="G221" s="163"/>
      <c r="H221" s="163"/>
      <c r="I221" s="164" t="s">
        <v>498</v>
      </c>
      <c r="J221" s="143">
        <v>0</v>
      </c>
      <c r="K221" s="141">
        <v>0</v>
      </c>
      <c r="L221" s="141">
        <v>0</v>
      </c>
      <c r="M221" s="141">
        <v>0</v>
      </c>
      <c r="N221" s="141">
        <v>0</v>
      </c>
      <c r="O221" s="141">
        <v>0</v>
      </c>
      <c r="P221" s="141">
        <v>0</v>
      </c>
      <c r="Q221" s="144">
        <v>0</v>
      </c>
      <c r="R221" s="143">
        <v>0</v>
      </c>
      <c r="S221" s="141">
        <v>0</v>
      </c>
      <c r="T221" s="141">
        <v>0</v>
      </c>
      <c r="U221" s="141">
        <v>0</v>
      </c>
      <c r="V221" s="144">
        <v>0</v>
      </c>
    </row>
    <row r="222" spans="1:24" s="98" customFormat="1" ht="15" customHeight="1">
      <c r="A222" s="99"/>
      <c r="B222" s="161"/>
      <c r="D222" s="162" t="s">
        <v>85</v>
      </c>
      <c r="E222" s="162"/>
      <c r="F222" s="162"/>
      <c r="G222" s="720" t="s">
        <v>1762</v>
      </c>
      <c r="H222" s="163"/>
      <c r="I222" s="164" t="s">
        <v>498</v>
      </c>
      <c r="J222" s="143">
        <v>0</v>
      </c>
      <c r="K222" s="141">
        <v>0</v>
      </c>
      <c r="L222" s="141">
        <v>0</v>
      </c>
      <c r="M222" s="141">
        <v>1.1548624169786253E-4</v>
      </c>
      <c r="N222" s="141">
        <v>4.2139421624688983E-5</v>
      </c>
      <c r="O222" s="141">
        <v>3.1990002840757303E-5</v>
      </c>
      <c r="P222" s="141">
        <v>3.1830052826553514E-5</v>
      </c>
      <c r="Q222" s="144">
        <v>3.1670902562420743E-5</v>
      </c>
      <c r="R222" s="143">
        <v>3.1512548049608638E-5</v>
      </c>
      <c r="S222" s="141">
        <v>3.1354985309360596E-5</v>
      </c>
      <c r="T222" s="141">
        <v>3.1198210382813792E-5</v>
      </c>
      <c r="U222" s="141">
        <v>3.104221933089972E-5</v>
      </c>
      <c r="V222" s="144">
        <v>3.0887008234245219E-5</v>
      </c>
    </row>
    <row r="223" spans="1:24" s="98" customFormat="1" ht="15" customHeight="1">
      <c r="A223" s="99"/>
      <c r="B223" s="161"/>
      <c r="D223" s="162" t="s">
        <v>85</v>
      </c>
      <c r="E223" s="162"/>
      <c r="F223" s="162"/>
      <c r="G223" s="720" t="s">
        <v>1768</v>
      </c>
      <c r="H223" s="163"/>
      <c r="I223" s="164" t="s">
        <v>498</v>
      </c>
      <c r="J223" s="143">
        <v>0</v>
      </c>
      <c r="K223" s="141">
        <v>0.41944301298701286</v>
      </c>
      <c r="L223" s="141">
        <v>0</v>
      </c>
      <c r="M223" s="141">
        <v>0</v>
      </c>
      <c r="N223" s="141">
        <v>0</v>
      </c>
      <c r="O223" s="141">
        <v>0</v>
      </c>
      <c r="P223" s="141">
        <v>0</v>
      </c>
      <c r="Q223" s="144">
        <v>0</v>
      </c>
      <c r="R223" s="143">
        <v>0</v>
      </c>
      <c r="S223" s="141">
        <v>0</v>
      </c>
      <c r="T223" s="141">
        <v>0</v>
      </c>
      <c r="U223" s="141">
        <v>0</v>
      </c>
      <c r="V223" s="144">
        <v>0</v>
      </c>
    </row>
    <row r="224" spans="1:24" s="98" customFormat="1" ht="15" customHeight="1">
      <c r="A224" s="99"/>
      <c r="B224" s="161"/>
      <c r="D224" s="162" t="s">
        <v>85</v>
      </c>
      <c r="E224" s="162"/>
      <c r="F224" s="162"/>
      <c r="G224" s="720" t="s">
        <v>1761</v>
      </c>
      <c r="H224" s="163"/>
      <c r="I224" s="164" t="s">
        <v>498</v>
      </c>
      <c r="J224" s="143">
        <v>0</v>
      </c>
      <c r="K224" s="141">
        <v>0</v>
      </c>
      <c r="L224" s="141">
        <v>0</v>
      </c>
      <c r="M224" s="141">
        <v>1.9351055126192485E-5</v>
      </c>
      <c r="N224" s="141">
        <v>1.4953362870487579E-4</v>
      </c>
      <c r="O224" s="141">
        <v>1.45539999008179E-4</v>
      </c>
      <c r="P224" s="141">
        <v>1.4481229901313811E-4</v>
      </c>
      <c r="Q224" s="144">
        <v>1.4408823751807241E-4</v>
      </c>
      <c r="R224" s="143">
        <v>1.4336779633048204E-4</v>
      </c>
      <c r="S224" s="141">
        <v>1.4265095734882963E-4</v>
      </c>
      <c r="T224" s="141">
        <v>1.4193770256208549E-4</v>
      </c>
      <c r="U224" s="141">
        <v>1.4122801404927506E-4</v>
      </c>
      <c r="V224" s="144">
        <v>1.4052187397902869E-4</v>
      </c>
    </row>
    <row r="225" spans="1:23" s="98" customFormat="1" ht="15" customHeight="1">
      <c r="A225" s="99"/>
      <c r="B225" s="161"/>
      <c r="D225" s="162" t="s">
        <v>85</v>
      </c>
      <c r="E225" s="162"/>
      <c r="F225" s="162"/>
      <c r="G225" s="720"/>
      <c r="H225" s="163"/>
      <c r="I225" s="164" t="s">
        <v>498</v>
      </c>
      <c r="J225" s="143">
        <v>0</v>
      </c>
      <c r="K225" s="141">
        <v>0</v>
      </c>
      <c r="L225" s="141">
        <v>0</v>
      </c>
      <c r="M225" s="141">
        <v>0</v>
      </c>
      <c r="N225" s="141">
        <v>0</v>
      </c>
      <c r="O225" s="141">
        <v>0</v>
      </c>
      <c r="P225" s="141">
        <v>0</v>
      </c>
      <c r="Q225" s="144">
        <v>0</v>
      </c>
      <c r="R225" s="143">
        <v>0</v>
      </c>
      <c r="S225" s="141">
        <v>0</v>
      </c>
      <c r="T225" s="141">
        <v>0</v>
      </c>
      <c r="U225" s="141">
        <v>0</v>
      </c>
      <c r="V225" s="144">
        <v>0</v>
      </c>
    </row>
    <row r="226" spans="1:23" s="98" customFormat="1" ht="15" customHeight="1">
      <c r="A226" s="99"/>
      <c r="B226" s="161"/>
      <c r="D226" s="162" t="s">
        <v>85</v>
      </c>
      <c r="E226" s="162"/>
      <c r="F226" s="162"/>
      <c r="G226" s="720"/>
      <c r="H226" s="163"/>
      <c r="I226" s="164" t="s">
        <v>498</v>
      </c>
      <c r="J226" s="143">
        <v>0</v>
      </c>
      <c r="K226" s="141">
        <v>0</v>
      </c>
      <c r="L226" s="141">
        <v>0</v>
      </c>
      <c r="M226" s="141">
        <v>0</v>
      </c>
      <c r="N226" s="141">
        <v>0</v>
      </c>
      <c r="O226" s="141">
        <v>0</v>
      </c>
      <c r="P226" s="141">
        <v>0</v>
      </c>
      <c r="Q226" s="144">
        <v>0</v>
      </c>
      <c r="R226" s="143">
        <v>0</v>
      </c>
      <c r="S226" s="141">
        <v>0</v>
      </c>
      <c r="T226" s="141">
        <v>0</v>
      </c>
      <c r="U226" s="141">
        <v>0</v>
      </c>
      <c r="V226" s="144">
        <v>0</v>
      </c>
    </row>
    <row r="227" spans="1:23" s="98" customFormat="1" ht="15" customHeight="1">
      <c r="A227" s="99"/>
      <c r="B227" s="181"/>
      <c r="C227" s="2492" t="s">
        <v>1763</v>
      </c>
      <c r="D227" s="183"/>
      <c r="E227" s="183"/>
      <c r="F227" s="183"/>
      <c r="G227" s="184"/>
      <c r="H227" s="184"/>
      <c r="I227" s="164" t="s">
        <v>498</v>
      </c>
      <c r="J227" s="128">
        <f t="shared" ref="J227:V227" si="34">SUM(J214:J226)</f>
        <v>11.836359004392925</v>
      </c>
      <c r="K227" s="129">
        <f t="shared" si="34"/>
        <v>12.170470161038958</v>
      </c>
      <c r="L227" s="129">
        <f t="shared" si="34"/>
        <v>8.4086018244892689</v>
      </c>
      <c r="M227" s="129">
        <f t="shared" si="34"/>
        <v>6.6385238030467644</v>
      </c>
      <c r="N227" s="129">
        <f t="shared" si="34"/>
        <v>6.7598036064077096</v>
      </c>
      <c r="O227" s="129">
        <f t="shared" si="34"/>
        <v>5.8508607633499556</v>
      </c>
      <c r="P227" s="129">
        <f t="shared" si="34"/>
        <v>6.8999999999999995</v>
      </c>
      <c r="Q227" s="130">
        <f t="shared" si="34"/>
        <v>7.2400000000000011</v>
      </c>
      <c r="R227" s="128">
        <f t="shared" si="34"/>
        <v>7.2039999999999988</v>
      </c>
      <c r="S227" s="129">
        <f t="shared" si="34"/>
        <v>7.1681800000000004</v>
      </c>
      <c r="T227" s="129">
        <f t="shared" si="34"/>
        <v>7.1325391000000007</v>
      </c>
      <c r="U227" s="129">
        <f t="shared" si="34"/>
        <v>7.097076404500001</v>
      </c>
      <c r="V227" s="130">
        <f t="shared" si="34"/>
        <v>7.0617910224775002</v>
      </c>
      <c r="W227" s="185"/>
    </row>
    <row r="228" spans="1:23" s="338" customFormat="1" ht="14.25">
      <c r="B228" s="349"/>
      <c r="C228" s="1393"/>
      <c r="D228" s="624" t="s">
        <v>1764</v>
      </c>
      <c r="E228" s="624"/>
      <c r="F228" s="624"/>
      <c r="G228" s="339"/>
      <c r="H228" s="339"/>
      <c r="I228" s="576" t="s">
        <v>498</v>
      </c>
      <c r="J228" s="297">
        <v>0</v>
      </c>
      <c r="K228" s="298" t="s">
        <v>1127</v>
      </c>
      <c r="L228" s="298">
        <v>0</v>
      </c>
      <c r="M228" s="298">
        <v>0</v>
      </c>
      <c r="N228" s="298">
        <v>0</v>
      </c>
      <c r="O228" s="298">
        <v>0</v>
      </c>
      <c r="P228" s="298">
        <v>0</v>
      </c>
      <c r="Q228" s="299">
        <v>0</v>
      </c>
      <c r="R228" s="297">
        <v>0</v>
      </c>
      <c r="S228" s="298">
        <v>0</v>
      </c>
      <c r="T228" s="298">
        <v>0</v>
      </c>
      <c r="U228" s="298">
        <v>0</v>
      </c>
      <c r="V228" s="299">
        <v>0</v>
      </c>
    </row>
    <row r="229" spans="1:23" s="338" customFormat="1" ht="14.25">
      <c r="B229" s="349"/>
      <c r="C229" s="1393"/>
      <c r="D229" s="624" t="s">
        <v>1765</v>
      </c>
      <c r="E229" s="624"/>
      <c r="F229" s="624"/>
      <c r="G229" s="339"/>
      <c r="H229" s="339"/>
      <c r="I229" s="973" t="s">
        <v>498</v>
      </c>
      <c r="J229" s="974">
        <v>0</v>
      </c>
      <c r="K229" s="975">
        <v>0</v>
      </c>
      <c r="L229" s="975">
        <v>0</v>
      </c>
      <c r="M229" s="975">
        <v>0</v>
      </c>
      <c r="N229" s="975">
        <v>-7.4469488734121944E-2</v>
      </c>
      <c r="O229" s="975">
        <v>0</v>
      </c>
      <c r="P229" s="975">
        <v>0</v>
      </c>
      <c r="Q229" s="976">
        <v>0</v>
      </c>
      <c r="R229" s="974">
        <v>0</v>
      </c>
      <c r="S229" s="975">
        <v>0</v>
      </c>
      <c r="T229" s="975">
        <v>0</v>
      </c>
      <c r="U229" s="975">
        <v>0</v>
      </c>
      <c r="V229" s="976">
        <v>0</v>
      </c>
    </row>
    <row r="230" spans="1:23" s="338" customFormat="1" ht="14.25">
      <c r="B230" s="349"/>
      <c r="C230" s="1393" t="s">
        <v>1766</v>
      </c>
      <c r="D230" s="339"/>
      <c r="E230" s="339"/>
      <c r="F230" s="339"/>
      <c r="G230" s="625"/>
      <c r="H230" s="339"/>
      <c r="I230" s="164" t="s">
        <v>498</v>
      </c>
      <c r="J230" s="128">
        <f>SUM(J227:J229)</f>
        <v>11.836359004392925</v>
      </c>
      <c r="K230" s="632">
        <f t="shared" ref="K230:V230" si="35">SUM(K227:K229)</f>
        <v>12.170470161038958</v>
      </c>
      <c r="L230" s="632">
        <f t="shared" si="35"/>
        <v>8.4086018244892689</v>
      </c>
      <c r="M230" s="632">
        <f t="shared" si="35"/>
        <v>6.6385238030467644</v>
      </c>
      <c r="N230" s="632">
        <f t="shared" si="35"/>
        <v>6.6853341176735874</v>
      </c>
      <c r="O230" s="632">
        <f t="shared" si="35"/>
        <v>5.8508607633499556</v>
      </c>
      <c r="P230" s="632">
        <f t="shared" si="35"/>
        <v>6.8999999999999995</v>
      </c>
      <c r="Q230" s="632">
        <f t="shared" si="35"/>
        <v>7.2400000000000011</v>
      </c>
      <c r="R230" s="632">
        <f t="shared" si="35"/>
        <v>7.2039999999999988</v>
      </c>
      <c r="S230" s="632">
        <f t="shared" si="35"/>
        <v>7.1681800000000004</v>
      </c>
      <c r="T230" s="632">
        <f t="shared" si="35"/>
        <v>7.1325391000000007</v>
      </c>
      <c r="U230" s="632">
        <f t="shared" si="35"/>
        <v>7.097076404500001</v>
      </c>
      <c r="V230" s="633">
        <f t="shared" si="35"/>
        <v>7.0617910224775002</v>
      </c>
    </row>
    <row r="231" spans="1:23" s="98" customFormat="1" ht="15" customHeight="1">
      <c r="A231" s="99"/>
      <c r="B231" s="161"/>
      <c r="C231" s="116"/>
      <c r="D231" s="116"/>
      <c r="E231" s="116"/>
      <c r="F231" s="116"/>
      <c r="G231" s="117"/>
      <c r="H231" s="117"/>
      <c r="I231" s="117"/>
      <c r="J231" s="713"/>
      <c r="K231" s="721"/>
      <c r="L231" s="721"/>
      <c r="M231" s="721"/>
      <c r="N231" s="721"/>
      <c r="O231" s="721"/>
      <c r="P231" s="721"/>
      <c r="Q231" s="715"/>
      <c r="R231" s="713"/>
      <c r="S231" s="721"/>
      <c r="T231" s="721"/>
      <c r="U231" s="721"/>
      <c r="V231" s="715"/>
    </row>
    <row r="232" spans="1:23" s="98" customFormat="1" ht="15" customHeight="1">
      <c r="A232" s="99"/>
      <c r="B232" s="161"/>
      <c r="C232" s="186" t="s">
        <v>118</v>
      </c>
      <c r="D232" s="162"/>
      <c r="E232" s="162"/>
      <c r="F232" s="162"/>
      <c r="G232" s="163"/>
      <c r="H232" s="163"/>
      <c r="I232" s="117"/>
      <c r="J232" s="713"/>
      <c r="K232" s="721"/>
      <c r="L232" s="721"/>
      <c r="M232" s="721"/>
      <c r="N232" s="721"/>
      <c r="O232" s="721"/>
      <c r="P232" s="721"/>
      <c r="Q232" s="715"/>
      <c r="R232" s="713"/>
      <c r="S232" s="721"/>
      <c r="T232" s="721"/>
      <c r="U232" s="721"/>
      <c r="V232" s="715"/>
    </row>
    <row r="233" spans="1:23" s="98" customFormat="1" ht="15" customHeight="1">
      <c r="A233" s="99"/>
      <c r="B233" s="161"/>
      <c r="D233" s="162" t="s">
        <v>1752</v>
      </c>
      <c r="E233" s="162"/>
      <c r="F233" s="162"/>
      <c r="G233" s="163"/>
      <c r="H233" s="163"/>
      <c r="I233" s="164" t="s">
        <v>498</v>
      </c>
      <c r="J233" s="141">
        <v>0.21571231228917287</v>
      </c>
      <c r="K233" s="141">
        <v>0.13907847272727267</v>
      </c>
      <c r="L233" s="141">
        <v>0.14851556469227803</v>
      </c>
      <c r="M233" s="141">
        <v>0.16521850780266478</v>
      </c>
      <c r="N233" s="141">
        <v>0.25335630398988107</v>
      </c>
      <c r="O233" s="141">
        <v>0.22855584864250572</v>
      </c>
      <c r="P233" s="141">
        <v>0.2244802780908311</v>
      </c>
      <c r="Q233" s="144">
        <v>0.2244802780908311</v>
      </c>
      <c r="R233" s="143">
        <v>0.22335787670037693</v>
      </c>
      <c r="S233" s="141">
        <v>0.22224108731687503</v>
      </c>
      <c r="T233" s="141">
        <v>0.2211298818802907</v>
      </c>
      <c r="U233" s="141">
        <v>0.22002423247088923</v>
      </c>
      <c r="V233" s="144">
        <v>0.21892411130853479</v>
      </c>
    </row>
    <row r="234" spans="1:23" s="98" customFormat="1" ht="15" customHeight="1">
      <c r="A234" s="99"/>
      <c r="B234" s="161"/>
      <c r="D234" s="162" t="s">
        <v>1753</v>
      </c>
      <c r="E234" s="162"/>
      <c r="F234" s="162"/>
      <c r="G234" s="163"/>
      <c r="H234" s="163"/>
      <c r="I234" s="164" t="s">
        <v>498</v>
      </c>
      <c r="J234" s="141">
        <v>2.4531336349926158E-2</v>
      </c>
      <c r="K234" s="141">
        <v>1.3245568831168827E-2</v>
      </c>
      <c r="L234" s="141">
        <v>6.5521572658357946E-3</v>
      </c>
      <c r="M234" s="141">
        <v>1.0849120946141766E-2</v>
      </c>
      <c r="N234" s="141">
        <v>2.5032145861888334E-2</v>
      </c>
      <c r="O234" s="141">
        <v>4.7223699867725413E-2</v>
      </c>
      <c r="P234" s="141">
        <v>4.6381614567064106E-2</v>
      </c>
      <c r="Q234" s="144">
        <v>4.6381614567064106E-2</v>
      </c>
      <c r="R234" s="143">
        <v>4.6149706494228782E-2</v>
      </c>
      <c r="S234" s="141">
        <v>4.5918957961757635E-2</v>
      </c>
      <c r="T234" s="141">
        <v>4.5689363171948855E-2</v>
      </c>
      <c r="U234" s="141">
        <v>4.5460916356089107E-2</v>
      </c>
      <c r="V234" s="144">
        <v>4.5233611774308673E-2</v>
      </c>
    </row>
    <row r="235" spans="1:23" s="98" customFormat="1" ht="15" customHeight="1">
      <c r="A235" s="99"/>
      <c r="B235" s="161"/>
      <c r="D235" s="162" t="s">
        <v>1754</v>
      </c>
      <c r="E235" s="162"/>
      <c r="F235" s="162"/>
      <c r="G235" s="163"/>
      <c r="H235" s="163"/>
      <c r="I235" s="164" t="s">
        <v>498</v>
      </c>
      <c r="J235" s="141">
        <v>0.17596601671692136</v>
      </c>
      <c r="K235" s="141">
        <v>-7.7265818181818154E-3</v>
      </c>
      <c r="L235" s="141">
        <v>0.21622118977258123</v>
      </c>
      <c r="M235" s="141">
        <v>0.18278242252067978</v>
      </c>
      <c r="N235" s="141">
        <v>0.113172604898948</v>
      </c>
      <c r="O235" s="141">
        <v>9.3746503539383449E-2</v>
      </c>
      <c r="P235" s="141">
        <v>9.2074831204517121E-2</v>
      </c>
      <c r="Q235" s="144">
        <v>9.2074831204517135E-2</v>
      </c>
      <c r="R235" s="143">
        <v>9.1614457048494538E-2</v>
      </c>
      <c r="S235" s="141">
        <v>9.1156384763252052E-2</v>
      </c>
      <c r="T235" s="141">
        <v>9.0700602839435818E-2</v>
      </c>
      <c r="U235" s="141">
        <v>9.0247099825238625E-2</v>
      </c>
      <c r="V235" s="144">
        <v>8.9795864326112446E-2</v>
      </c>
    </row>
    <row r="236" spans="1:23" s="98" customFormat="1" ht="15" customHeight="1">
      <c r="A236" s="99"/>
      <c r="B236" s="161"/>
      <c r="D236" s="162" t="s">
        <v>1755</v>
      </c>
      <c r="E236" s="162"/>
      <c r="F236" s="162"/>
      <c r="G236" s="163"/>
      <c r="H236" s="163"/>
      <c r="I236" s="164" t="s">
        <v>498</v>
      </c>
      <c r="J236" s="141">
        <v>7.8322761135012076E-2</v>
      </c>
      <c r="K236" s="141">
        <v>5.8501262337662313E-2</v>
      </c>
      <c r="L236" s="141">
        <v>7.3165756135166377E-2</v>
      </c>
      <c r="M236" s="141">
        <v>8.7278957023759179E-2</v>
      </c>
      <c r="N236" s="141">
        <v>0.11130911290191625</v>
      </c>
      <c r="O236" s="141">
        <v>0.1140420303344727</v>
      </c>
      <c r="P236" s="141">
        <v>0.11200845148166744</v>
      </c>
      <c r="Q236" s="144">
        <v>0.11200845148166745</v>
      </c>
      <c r="R236" s="143">
        <v>0.1114484092242591</v>
      </c>
      <c r="S236" s="141">
        <v>0.11089116717813778</v>
      </c>
      <c r="T236" s="141">
        <v>0.11033671134224711</v>
      </c>
      <c r="U236" s="141">
        <v>0.10978502778553587</v>
      </c>
      <c r="V236" s="144">
        <v>0.1092361026466082</v>
      </c>
    </row>
    <row r="237" spans="1:23" s="98" customFormat="1" ht="15" customHeight="1">
      <c r="A237" s="99"/>
      <c r="B237" s="161"/>
      <c r="D237" s="162" t="s">
        <v>1756</v>
      </c>
      <c r="E237" s="162"/>
      <c r="F237" s="162"/>
      <c r="G237" s="163"/>
      <c r="H237" s="163"/>
      <c r="I237" s="164" t="s">
        <v>498</v>
      </c>
      <c r="J237" s="141">
        <v>1.880885609899554E-2</v>
      </c>
      <c r="K237" s="141">
        <v>9.9341766233766188E-3</v>
      </c>
      <c r="L237" s="141">
        <v>-1.0920262109726324E-3</v>
      </c>
      <c r="M237" s="141">
        <v>-1.431812365882743E-2</v>
      </c>
      <c r="N237" s="141">
        <v>3.1395878693963072E-3</v>
      </c>
      <c r="O237" s="141">
        <v>2.72442997246981E-3</v>
      </c>
      <c r="P237" s="141">
        <v>2.675848382316476E-3</v>
      </c>
      <c r="Q237" s="144">
        <v>2.675848382316476E-3</v>
      </c>
      <c r="R237" s="143">
        <v>2.6624691404048936E-3</v>
      </c>
      <c r="S237" s="141">
        <v>2.6491567947028692E-3</v>
      </c>
      <c r="T237" s="141">
        <v>2.6359110107293552E-3</v>
      </c>
      <c r="U237" s="141">
        <v>2.6227314556757082E-3</v>
      </c>
      <c r="V237" s="144">
        <v>2.6096177983973299E-3</v>
      </c>
    </row>
    <row r="238" spans="1:23" s="98" customFormat="1" ht="15" customHeight="1">
      <c r="A238" s="99"/>
      <c r="B238" s="161"/>
      <c r="D238" s="162" t="s">
        <v>1757</v>
      </c>
      <c r="E238" s="162"/>
      <c r="F238" s="162"/>
      <c r="G238" s="163"/>
      <c r="H238" s="163"/>
      <c r="I238" s="164" t="s">
        <v>498</v>
      </c>
      <c r="J238" s="141">
        <v>0.89297605086944765</v>
      </c>
      <c r="K238" s="141">
        <v>1.5221366181818177</v>
      </c>
      <c r="L238" s="141">
        <v>1.5517692457921106</v>
      </c>
      <c r="M238" s="141">
        <v>2.1299169358892334</v>
      </c>
      <c r="N238" s="141">
        <v>2.3920026649927966</v>
      </c>
      <c r="O238" s="141">
        <v>2.3638104228973416</v>
      </c>
      <c r="P238" s="141">
        <v>2.321659341634176</v>
      </c>
      <c r="Q238" s="144">
        <v>2.321659341634176</v>
      </c>
      <c r="R238" s="143">
        <v>2.3100510449260048</v>
      </c>
      <c r="S238" s="141">
        <v>2.2985007897013743</v>
      </c>
      <c r="T238" s="141">
        <v>2.2870082857528682</v>
      </c>
      <c r="U238" s="141">
        <v>2.2755732443241037</v>
      </c>
      <c r="V238" s="144">
        <v>2.2641953781024835</v>
      </c>
    </row>
    <row r="239" spans="1:23" s="98" customFormat="1" ht="15" customHeight="1">
      <c r="A239" s="99"/>
      <c r="B239" s="161"/>
      <c r="D239" s="162" t="s">
        <v>205</v>
      </c>
      <c r="E239" s="162"/>
      <c r="F239" s="162"/>
      <c r="G239" s="163"/>
      <c r="H239" s="163"/>
      <c r="I239" s="164" t="s">
        <v>498</v>
      </c>
      <c r="J239" s="141">
        <v>4.7387377292607626E-4</v>
      </c>
      <c r="K239" s="141">
        <v>0</v>
      </c>
      <c r="L239" s="141">
        <v>1.0920262109726324E-3</v>
      </c>
      <c r="M239" s="141">
        <v>7.4171204443907628E-4</v>
      </c>
      <c r="N239" s="141">
        <v>2.7357089774324498E-2</v>
      </c>
      <c r="O239" s="141">
        <v>4.20480012893677E-4</v>
      </c>
      <c r="P239" s="141">
        <v>4.1298208200153121E-4</v>
      </c>
      <c r="Q239" s="144">
        <v>4.1298208200153121E-4</v>
      </c>
      <c r="R239" s="143">
        <v>4.1091717159152355E-4</v>
      </c>
      <c r="S239" s="141">
        <v>4.0886258573356589E-4</v>
      </c>
      <c r="T239" s="141">
        <v>4.0681827280489812E-4</v>
      </c>
      <c r="U239" s="141">
        <v>4.0478418144087355E-4</v>
      </c>
      <c r="V239" s="144">
        <v>4.0276026053366924E-4</v>
      </c>
    </row>
    <row r="240" spans="1:23" s="98" customFormat="1" ht="15" customHeight="1">
      <c r="A240" s="99"/>
      <c r="B240" s="161"/>
      <c r="D240" s="162" t="s">
        <v>1758</v>
      </c>
      <c r="E240" s="162"/>
      <c r="F240" s="162"/>
      <c r="G240" s="163"/>
      <c r="H240" s="163"/>
      <c r="I240" s="164" t="s">
        <v>498</v>
      </c>
      <c r="J240" s="141">
        <v>0</v>
      </c>
      <c r="K240" s="141">
        <v>0</v>
      </c>
      <c r="L240" s="141">
        <v>0</v>
      </c>
      <c r="M240" s="141">
        <v>0</v>
      </c>
      <c r="N240" s="141">
        <v>0</v>
      </c>
      <c r="O240" s="141">
        <v>0</v>
      </c>
      <c r="P240" s="141">
        <v>0</v>
      </c>
      <c r="Q240" s="144">
        <v>0</v>
      </c>
      <c r="R240" s="143">
        <v>0</v>
      </c>
      <c r="S240" s="141">
        <v>0</v>
      </c>
      <c r="T240" s="141">
        <v>0</v>
      </c>
      <c r="U240" s="141">
        <v>0</v>
      </c>
      <c r="V240" s="144">
        <v>0</v>
      </c>
    </row>
    <row r="241" spans="1:23" s="98" customFormat="1" ht="15" customHeight="1">
      <c r="A241" s="99"/>
      <c r="B241" s="161"/>
      <c r="D241" s="162" t="s">
        <v>85</v>
      </c>
      <c r="E241" s="162"/>
      <c r="F241" s="162"/>
      <c r="G241" s="720" t="s">
        <v>1762</v>
      </c>
      <c r="H241" s="163"/>
      <c r="I241" s="164" t="s">
        <v>498</v>
      </c>
      <c r="J241" s="141">
        <v>-0.19205246663727035</v>
      </c>
      <c r="K241" s="141">
        <v>0</v>
      </c>
      <c r="L241" s="141">
        <v>0</v>
      </c>
      <c r="M241" s="141">
        <v>0</v>
      </c>
      <c r="N241" s="141">
        <v>3.926107961936356E-4</v>
      </c>
      <c r="O241" s="141">
        <v>3.0145001411438E-4</v>
      </c>
      <c r="P241" s="141">
        <v>2.9607460671341628E-4</v>
      </c>
      <c r="Q241" s="141">
        <v>2.9607460671341628E-4</v>
      </c>
      <c r="R241" s="141">
        <v>2.9459423367984914E-4</v>
      </c>
      <c r="S241" s="141">
        <v>2.9312126251144989E-4</v>
      </c>
      <c r="T241" s="141">
        <v>2.9165565619889273E-4</v>
      </c>
      <c r="U241" s="141">
        <v>2.9019737791789822E-4</v>
      </c>
      <c r="V241" s="141">
        <v>2.8874639102830879E-4</v>
      </c>
    </row>
    <row r="242" spans="1:23" s="98" customFormat="1" ht="15" customHeight="1">
      <c r="A242" s="99"/>
      <c r="B242" s="161"/>
      <c r="D242" s="162" t="s">
        <v>85</v>
      </c>
      <c r="E242" s="162"/>
      <c r="F242" s="162"/>
      <c r="G242" s="720" t="s">
        <v>1768</v>
      </c>
      <c r="H242" s="163"/>
      <c r="I242" s="164" t="s">
        <v>498</v>
      </c>
      <c r="J242" s="141">
        <v>0</v>
      </c>
      <c r="K242" s="141">
        <v>1.1037974025974021E-3</v>
      </c>
      <c r="L242" s="141">
        <v>0</v>
      </c>
      <c r="M242" s="141">
        <v>0</v>
      </c>
      <c r="N242" s="141">
        <v>0</v>
      </c>
      <c r="O242" s="141">
        <v>0</v>
      </c>
      <c r="P242" s="141">
        <v>0</v>
      </c>
      <c r="Q242" s="141">
        <v>0</v>
      </c>
      <c r="R242" s="141">
        <v>0</v>
      </c>
      <c r="S242" s="141">
        <v>0</v>
      </c>
      <c r="T242" s="141">
        <v>0</v>
      </c>
      <c r="U242" s="141">
        <v>0</v>
      </c>
      <c r="V242" s="141">
        <v>0</v>
      </c>
    </row>
    <row r="243" spans="1:23" s="98" customFormat="1" ht="15" customHeight="1">
      <c r="A243" s="99"/>
      <c r="B243" s="161"/>
      <c r="D243" s="162" t="s">
        <v>85</v>
      </c>
      <c r="E243" s="162"/>
      <c r="F243" s="162"/>
      <c r="G243" s="720" t="s">
        <v>1761</v>
      </c>
      <c r="H243" s="163"/>
      <c r="I243" s="164" t="s">
        <v>498</v>
      </c>
      <c r="J243" s="141">
        <v>0</v>
      </c>
      <c r="K243" s="141">
        <v>0</v>
      </c>
      <c r="L243" s="141">
        <v>0</v>
      </c>
      <c r="M243" s="141">
        <v>0</v>
      </c>
      <c r="N243" s="141">
        <v>4.4313894102754366E-5</v>
      </c>
      <c r="O243" s="141">
        <v>1.07699995860457E-5</v>
      </c>
      <c r="P243" s="141">
        <v>1.0577950713023456E-5</v>
      </c>
      <c r="Q243" s="144">
        <v>1.0577950713023456E-5</v>
      </c>
      <c r="R243" s="143">
        <v>1.0525060959458337E-5</v>
      </c>
      <c r="S243" s="141">
        <v>1.0472435654661044E-5</v>
      </c>
      <c r="T243" s="141">
        <v>1.042007347638774E-5</v>
      </c>
      <c r="U243" s="141">
        <v>1.0367973109005799E-5</v>
      </c>
      <c r="V243" s="144">
        <v>1.0316133243460772E-5</v>
      </c>
    </row>
    <row r="244" spans="1:23" s="98" customFormat="1" ht="15" customHeight="1">
      <c r="A244" s="99"/>
      <c r="B244" s="161"/>
      <c r="D244" s="162" t="s">
        <v>85</v>
      </c>
      <c r="E244" s="162"/>
      <c r="F244" s="162"/>
      <c r="G244" s="720"/>
      <c r="H244" s="163"/>
      <c r="I244" s="164" t="s">
        <v>498</v>
      </c>
      <c r="J244" s="141">
        <v>0</v>
      </c>
      <c r="K244" s="141">
        <v>0</v>
      </c>
      <c r="L244" s="141">
        <v>0</v>
      </c>
      <c r="M244" s="141">
        <v>0</v>
      </c>
      <c r="N244" s="141">
        <v>0</v>
      </c>
      <c r="O244" s="141">
        <v>0</v>
      </c>
      <c r="P244" s="141">
        <v>0</v>
      </c>
      <c r="Q244" s="144">
        <v>0</v>
      </c>
      <c r="R244" s="143">
        <v>0</v>
      </c>
      <c r="S244" s="141">
        <v>0</v>
      </c>
      <c r="T244" s="141">
        <v>0</v>
      </c>
      <c r="U244" s="141">
        <v>0</v>
      </c>
      <c r="V244" s="144">
        <v>0</v>
      </c>
    </row>
    <row r="245" spans="1:23" s="98" customFormat="1" ht="15" customHeight="1">
      <c r="A245" s="99"/>
      <c r="B245" s="161"/>
      <c r="D245" s="162" t="s">
        <v>85</v>
      </c>
      <c r="E245" s="162"/>
      <c r="F245" s="162"/>
      <c r="G245" s="720"/>
      <c r="H245" s="163"/>
      <c r="I245" s="164" t="s">
        <v>498</v>
      </c>
      <c r="J245" s="141">
        <v>0</v>
      </c>
      <c r="K245" s="141">
        <v>0</v>
      </c>
      <c r="L245" s="141">
        <v>0</v>
      </c>
      <c r="M245" s="141">
        <v>0</v>
      </c>
      <c r="N245" s="141">
        <v>0</v>
      </c>
      <c r="O245" s="141">
        <v>0</v>
      </c>
      <c r="P245" s="141">
        <v>0</v>
      </c>
      <c r="Q245" s="144">
        <v>0</v>
      </c>
      <c r="R245" s="143">
        <v>0</v>
      </c>
      <c r="S245" s="141">
        <v>0</v>
      </c>
      <c r="T245" s="141">
        <v>0</v>
      </c>
      <c r="U245" s="141">
        <v>0</v>
      </c>
      <c r="V245" s="144">
        <v>0</v>
      </c>
    </row>
    <row r="246" spans="1:23" s="98" customFormat="1" ht="15" customHeight="1">
      <c r="A246" s="99"/>
      <c r="B246" s="181"/>
      <c r="C246" s="2492" t="s">
        <v>1763</v>
      </c>
      <c r="D246" s="183"/>
      <c r="E246" s="183"/>
      <c r="F246" s="183"/>
      <c r="G246" s="184"/>
      <c r="H246" s="184"/>
      <c r="I246" s="164" t="s">
        <v>498</v>
      </c>
      <c r="J246" s="129">
        <f>SUM(J233:J245)</f>
        <v>1.2147387405951315</v>
      </c>
      <c r="K246" s="129">
        <f t="shared" ref="K246:V246" si="36">SUM(K233:K245)</f>
        <v>1.7362733142857136</v>
      </c>
      <c r="L246" s="129">
        <f t="shared" ref="L246" si="37">SUM(L233:L245)</f>
        <v>1.996223913657972</v>
      </c>
      <c r="M246" s="129">
        <f t="shared" si="36"/>
        <v>2.5624695325680906</v>
      </c>
      <c r="N246" s="129">
        <f t="shared" si="36"/>
        <v>2.9258064349794477</v>
      </c>
      <c r="O246" s="129">
        <f t="shared" si="36"/>
        <v>2.8508356352804922</v>
      </c>
      <c r="P246" s="129">
        <f t="shared" si="36"/>
        <v>2.8</v>
      </c>
      <c r="Q246" s="130">
        <f t="shared" si="36"/>
        <v>2.8000000000000003</v>
      </c>
      <c r="R246" s="128">
        <f t="shared" si="36"/>
        <v>2.786</v>
      </c>
      <c r="S246" s="129">
        <f t="shared" si="36"/>
        <v>2.7720699999999994</v>
      </c>
      <c r="T246" s="129">
        <f t="shared" si="36"/>
        <v>2.7582096500000004</v>
      </c>
      <c r="U246" s="129">
        <f t="shared" si="36"/>
        <v>2.7444186017499996</v>
      </c>
      <c r="V246" s="130">
        <f t="shared" si="36"/>
        <v>2.7306965087412509</v>
      </c>
      <c r="W246" s="185"/>
    </row>
    <row r="247" spans="1:23" s="338" customFormat="1" ht="14.25">
      <c r="B247" s="349"/>
      <c r="C247" s="1393"/>
      <c r="D247" s="624" t="s">
        <v>1764</v>
      </c>
      <c r="E247" s="624"/>
      <c r="F247" s="624"/>
      <c r="G247" s="339"/>
      <c r="H247" s="339"/>
      <c r="I247" s="576" t="s">
        <v>498</v>
      </c>
      <c r="J247" s="298">
        <v>0</v>
      </c>
      <c r="K247" s="298" t="s">
        <v>1127</v>
      </c>
      <c r="L247" s="298" t="s">
        <v>1127</v>
      </c>
      <c r="M247" s="298">
        <v>0</v>
      </c>
      <c r="N247" s="298">
        <v>0</v>
      </c>
      <c r="O247" s="298">
        <v>0</v>
      </c>
      <c r="P247" s="298">
        <v>0</v>
      </c>
      <c r="Q247" s="299">
        <v>0</v>
      </c>
      <c r="R247" s="297">
        <v>0</v>
      </c>
      <c r="S247" s="298">
        <v>0</v>
      </c>
      <c r="T247" s="298">
        <v>0</v>
      </c>
      <c r="U247" s="298">
        <v>0</v>
      </c>
      <c r="V247" s="299">
        <v>0</v>
      </c>
    </row>
    <row r="248" spans="1:23" s="338" customFormat="1" ht="14.25">
      <c r="B248" s="349"/>
      <c r="C248" s="1393"/>
      <c r="D248" s="624" t="s">
        <v>1765</v>
      </c>
      <c r="E248" s="624"/>
      <c r="F248" s="624"/>
      <c r="G248" s="339"/>
      <c r="H248" s="339"/>
      <c r="I248" s="973" t="s">
        <v>498</v>
      </c>
      <c r="J248" s="975">
        <v>0</v>
      </c>
      <c r="K248" s="975">
        <v>0</v>
      </c>
      <c r="L248" s="975">
        <v>0</v>
      </c>
      <c r="M248" s="975">
        <v>0</v>
      </c>
      <c r="N248" s="975">
        <v>0</v>
      </c>
      <c r="O248" s="975">
        <v>-2.7894989013671802E-2</v>
      </c>
      <c r="P248" s="975">
        <v>0</v>
      </c>
      <c r="Q248" s="976">
        <v>0</v>
      </c>
      <c r="R248" s="974">
        <v>0</v>
      </c>
      <c r="S248" s="975">
        <v>0</v>
      </c>
      <c r="T248" s="975">
        <v>0</v>
      </c>
      <c r="U248" s="975">
        <v>0</v>
      </c>
      <c r="V248" s="976">
        <v>0</v>
      </c>
    </row>
    <row r="249" spans="1:23" s="338" customFormat="1" ht="14.25">
      <c r="B249" s="349"/>
      <c r="C249" s="1393" t="s">
        <v>1766</v>
      </c>
      <c r="D249" s="339"/>
      <c r="E249" s="339"/>
      <c r="F249" s="339"/>
      <c r="G249" s="625"/>
      <c r="H249" s="339"/>
      <c r="I249" s="164" t="s">
        <v>498</v>
      </c>
      <c r="J249" s="632">
        <f>SUM(J246:J248)</f>
        <v>1.2147387405951315</v>
      </c>
      <c r="K249" s="632">
        <f t="shared" ref="K249:V249" si="38">SUM(K246:K248)</f>
        <v>1.7362733142857136</v>
      </c>
      <c r="L249" s="632">
        <f t="shared" ref="L249" si="39">SUM(L246:L248)</f>
        <v>1.996223913657972</v>
      </c>
      <c r="M249" s="632">
        <f t="shared" si="38"/>
        <v>2.5624695325680906</v>
      </c>
      <c r="N249" s="632">
        <f t="shared" si="38"/>
        <v>2.9258064349794477</v>
      </c>
      <c r="O249" s="632">
        <f t="shared" si="38"/>
        <v>2.8229406462668205</v>
      </c>
      <c r="P249" s="632">
        <f t="shared" si="38"/>
        <v>2.8</v>
      </c>
      <c r="Q249" s="632">
        <f t="shared" si="38"/>
        <v>2.8000000000000003</v>
      </c>
      <c r="R249" s="632">
        <f t="shared" si="38"/>
        <v>2.786</v>
      </c>
      <c r="S249" s="632">
        <f t="shared" si="38"/>
        <v>2.7720699999999994</v>
      </c>
      <c r="T249" s="632">
        <f t="shared" si="38"/>
        <v>2.7582096500000004</v>
      </c>
      <c r="U249" s="632">
        <f t="shared" si="38"/>
        <v>2.7444186017499996</v>
      </c>
      <c r="V249" s="633">
        <f t="shared" si="38"/>
        <v>2.7306965087412509</v>
      </c>
    </row>
    <row r="250" spans="1:23" s="98" customFormat="1" ht="15" customHeight="1">
      <c r="A250" s="99"/>
      <c r="B250" s="161"/>
      <c r="C250" s="116"/>
      <c r="D250" s="116"/>
      <c r="E250" s="116"/>
      <c r="F250" s="116"/>
      <c r="G250" s="117"/>
      <c r="H250" s="117"/>
      <c r="I250" s="117"/>
      <c r="J250" s="713"/>
      <c r="K250" s="721"/>
      <c r="L250" s="721"/>
      <c r="M250" s="721"/>
      <c r="N250" s="721"/>
      <c r="O250" s="721"/>
      <c r="P250" s="721"/>
      <c r="Q250" s="715"/>
      <c r="R250" s="713"/>
      <c r="S250" s="721"/>
      <c r="T250" s="721"/>
      <c r="U250" s="721"/>
      <c r="V250" s="715"/>
    </row>
    <row r="251" spans="1:23" s="98" customFormat="1" ht="15" customHeight="1">
      <c r="A251" s="99"/>
      <c r="B251" s="161"/>
      <c r="C251" s="186" t="s">
        <v>1716</v>
      </c>
      <c r="D251" s="162"/>
      <c r="E251" s="162"/>
      <c r="F251" s="162"/>
      <c r="G251" s="163"/>
      <c r="H251" s="163"/>
      <c r="I251" s="117"/>
      <c r="J251" s="713"/>
      <c r="K251" s="721"/>
      <c r="L251" s="721"/>
      <c r="M251" s="721"/>
      <c r="N251" s="721"/>
      <c r="O251" s="721"/>
      <c r="P251" s="721"/>
      <c r="Q251" s="715"/>
      <c r="R251" s="713"/>
      <c r="S251" s="721"/>
      <c r="T251" s="721"/>
      <c r="U251" s="721"/>
      <c r="V251" s="715"/>
    </row>
    <row r="252" spans="1:23" s="98" customFormat="1" ht="15" customHeight="1">
      <c r="A252" s="99"/>
      <c r="B252" s="161"/>
      <c r="D252" s="162" t="s">
        <v>1752</v>
      </c>
      <c r="E252" s="162"/>
      <c r="F252" s="162"/>
      <c r="G252" s="163"/>
      <c r="H252" s="163"/>
      <c r="I252" s="164" t="s">
        <v>498</v>
      </c>
      <c r="J252" s="143">
        <v>0.53407145239381515</v>
      </c>
      <c r="K252" s="141">
        <v>0.56955945974025957</v>
      </c>
      <c r="L252" s="141">
        <v>0.57877389181549521</v>
      </c>
      <c r="M252" s="141">
        <v>0.54442358531323387</v>
      </c>
      <c r="N252" s="141">
        <v>0.71787583518498854</v>
      </c>
      <c r="O252" s="141">
        <v>0.98185491611804843</v>
      </c>
      <c r="P252" s="141">
        <v>0.92315785480902823</v>
      </c>
      <c r="Q252" s="144">
        <v>0.91854206553498297</v>
      </c>
      <c r="R252" s="143">
        <v>0.91394935520730802</v>
      </c>
      <c r="S252" s="141">
        <v>0.90937960843127141</v>
      </c>
      <c r="T252" s="141">
        <v>0.90483271038911506</v>
      </c>
      <c r="U252" s="141">
        <v>0.90030854683716943</v>
      </c>
      <c r="V252" s="144">
        <v>0.89580700410298364</v>
      </c>
    </row>
    <row r="253" spans="1:23" s="98" customFormat="1" ht="15" customHeight="1">
      <c r="A253" s="99"/>
      <c r="B253" s="161"/>
      <c r="D253" s="162" t="s">
        <v>1753</v>
      </c>
      <c r="E253" s="162"/>
      <c r="F253" s="162"/>
      <c r="G253" s="163"/>
      <c r="H253" s="163"/>
      <c r="I253" s="164" t="s">
        <v>498</v>
      </c>
      <c r="J253" s="143">
        <v>9.9855552094294097E-3</v>
      </c>
      <c r="K253" s="141">
        <v>0</v>
      </c>
      <c r="L253" s="141">
        <v>0</v>
      </c>
      <c r="M253" s="141">
        <v>-1.6516606653785768E-3</v>
      </c>
      <c r="N253" s="141">
        <v>3.8079032258064509E-3</v>
      </c>
      <c r="O253" s="141">
        <v>0</v>
      </c>
      <c r="P253" s="141">
        <v>0</v>
      </c>
      <c r="Q253" s="144">
        <v>0</v>
      </c>
      <c r="R253" s="143">
        <v>0</v>
      </c>
      <c r="S253" s="141">
        <v>0</v>
      </c>
      <c r="T253" s="141">
        <v>0</v>
      </c>
      <c r="U253" s="141">
        <v>0</v>
      </c>
      <c r="V253" s="144">
        <v>0</v>
      </c>
    </row>
    <row r="254" spans="1:23" s="98" customFormat="1" ht="15" customHeight="1">
      <c r="A254" s="99"/>
      <c r="B254" s="161"/>
      <c r="D254" s="162" t="s">
        <v>1754</v>
      </c>
      <c r="E254" s="162"/>
      <c r="F254" s="162"/>
      <c r="G254" s="163"/>
      <c r="H254" s="163"/>
      <c r="I254" s="164" t="s">
        <v>498</v>
      </c>
      <c r="J254" s="143">
        <v>1.8134489704360834E-2</v>
      </c>
      <c r="K254" s="141">
        <v>6.6227844155844137E-3</v>
      </c>
      <c r="L254" s="141">
        <v>-1.0920262109726324E-3</v>
      </c>
      <c r="M254" s="141">
        <v>3.4293277040816313E-3</v>
      </c>
      <c r="N254" s="141">
        <v>7.5471817490942407E-3</v>
      </c>
      <c r="O254" s="141">
        <v>1.0602099895477299E-3</v>
      </c>
      <c r="P254" s="141">
        <v>9.9682872034457517E-4</v>
      </c>
      <c r="Q254" s="144">
        <v>9.9184457674285245E-4</v>
      </c>
      <c r="R254" s="143">
        <v>9.8688535385913802E-4</v>
      </c>
      <c r="S254" s="141">
        <v>9.8195092708984228E-4</v>
      </c>
      <c r="T254" s="141">
        <v>9.770411724543931E-4</v>
      </c>
      <c r="U254" s="141">
        <v>9.7215596659212106E-4</v>
      </c>
      <c r="V254" s="144">
        <v>9.6729518675916051E-4</v>
      </c>
    </row>
    <row r="255" spans="1:23" s="98" customFormat="1" ht="15" customHeight="1">
      <c r="A255" s="99"/>
      <c r="B255" s="161"/>
      <c r="D255" s="162" t="s">
        <v>1755</v>
      </c>
      <c r="E255" s="162"/>
      <c r="F255" s="162"/>
      <c r="G255" s="163"/>
      <c r="H255" s="163"/>
      <c r="I255" s="164" t="s">
        <v>498</v>
      </c>
      <c r="J255" s="143">
        <v>4.790344857503117E-2</v>
      </c>
      <c r="K255" s="141">
        <v>8.1681007792207758E-2</v>
      </c>
      <c r="L255" s="141">
        <v>6.6613598869330576E-2</v>
      </c>
      <c r="M255" s="141">
        <v>8.510574800356234E-2</v>
      </c>
      <c r="N255" s="141">
        <v>8.9953721750403753E-2</v>
      </c>
      <c r="O255" s="141">
        <v>8.1083480834960892E-2</v>
      </c>
      <c r="P255" s="141">
        <v>7.62361638153186E-2</v>
      </c>
      <c r="Q255" s="144">
        <v>7.5854982996242007E-2</v>
      </c>
      <c r="R255" s="143">
        <v>7.5475708081260792E-2</v>
      </c>
      <c r="S255" s="141">
        <v>7.5098329540854478E-2</v>
      </c>
      <c r="T255" s="141">
        <v>7.4722837893150207E-2</v>
      </c>
      <c r="U255" s="141">
        <v>7.434922370368445E-2</v>
      </c>
      <c r="V255" s="144">
        <v>7.3977477585166027E-2</v>
      </c>
    </row>
    <row r="256" spans="1:23" s="98" customFormat="1" ht="15" customHeight="1">
      <c r="A256" s="99"/>
      <c r="B256" s="161"/>
      <c r="D256" s="162" t="s">
        <v>1756</v>
      </c>
      <c r="E256" s="162"/>
      <c r="F256" s="162"/>
      <c r="G256" s="163"/>
      <c r="H256" s="163"/>
      <c r="I256" s="164" t="s">
        <v>498</v>
      </c>
      <c r="J256" s="143">
        <v>0.11615116243468646</v>
      </c>
      <c r="K256" s="141">
        <v>0.1501164467532467</v>
      </c>
      <c r="L256" s="141">
        <v>0.1113866735192085</v>
      </c>
      <c r="M256" s="141">
        <v>0.24396279324598472</v>
      </c>
      <c r="N256" s="141">
        <v>0.28080283251080357</v>
      </c>
      <c r="O256" s="141">
        <v>0.18192002374678859</v>
      </c>
      <c r="P256" s="141">
        <v>0.17104451595850775</v>
      </c>
      <c r="Q256" s="144">
        <v>0.17018929337871522</v>
      </c>
      <c r="R256" s="143">
        <v>0.16933834691182165</v>
      </c>
      <c r="S256" s="141">
        <v>0.16849165517726253</v>
      </c>
      <c r="T256" s="141">
        <v>0.16764919690137622</v>
      </c>
      <c r="U256" s="141">
        <v>0.16681095091686934</v>
      </c>
      <c r="V256" s="144">
        <v>0.165976896162285</v>
      </c>
    </row>
    <row r="257" spans="1:23" s="98" customFormat="1" ht="15" customHeight="1">
      <c r="A257" s="99"/>
      <c r="B257" s="161"/>
      <c r="D257" s="162" t="s">
        <v>1757</v>
      </c>
      <c r="E257" s="162"/>
      <c r="F257" s="162"/>
      <c r="G257" s="163"/>
      <c r="H257" s="163"/>
      <c r="I257" s="164" t="s">
        <v>498</v>
      </c>
      <c r="J257" s="143">
        <v>0</v>
      </c>
      <c r="K257" s="141">
        <v>0</v>
      </c>
      <c r="L257" s="141">
        <v>0</v>
      </c>
      <c r="M257" s="141">
        <v>0</v>
      </c>
      <c r="N257" s="141">
        <v>0</v>
      </c>
      <c r="O257" s="141">
        <v>0</v>
      </c>
      <c r="P257" s="141">
        <v>0</v>
      </c>
      <c r="Q257" s="144">
        <v>0</v>
      </c>
      <c r="R257" s="143">
        <v>0</v>
      </c>
      <c r="S257" s="141">
        <v>0</v>
      </c>
      <c r="T257" s="141">
        <v>0</v>
      </c>
      <c r="U257" s="141">
        <v>0</v>
      </c>
      <c r="V257" s="144">
        <v>0</v>
      </c>
    </row>
    <row r="258" spans="1:23" s="98" customFormat="1" ht="15" customHeight="1">
      <c r="A258" s="99"/>
      <c r="B258" s="161"/>
      <c r="D258" s="162" t="s">
        <v>205</v>
      </c>
      <c r="E258" s="162"/>
      <c r="F258" s="162"/>
      <c r="G258" s="163"/>
      <c r="H258" s="163"/>
      <c r="I258" s="164" t="s">
        <v>498</v>
      </c>
      <c r="J258" s="143">
        <v>0</v>
      </c>
      <c r="K258" s="141">
        <v>0</v>
      </c>
      <c r="L258" s="141">
        <v>0</v>
      </c>
      <c r="M258" s="141">
        <v>-4.0413021496497996E-3</v>
      </c>
      <c r="N258" s="141">
        <v>0</v>
      </c>
      <c r="O258" s="141">
        <v>0</v>
      </c>
      <c r="P258" s="141">
        <v>0</v>
      </c>
      <c r="Q258" s="144">
        <v>0</v>
      </c>
      <c r="R258" s="143">
        <v>0</v>
      </c>
      <c r="S258" s="141">
        <v>0</v>
      </c>
      <c r="T258" s="141">
        <v>0</v>
      </c>
      <c r="U258" s="141">
        <v>0</v>
      </c>
      <c r="V258" s="144">
        <v>0</v>
      </c>
    </row>
    <row r="259" spans="1:23" s="98" customFormat="1" ht="15" customHeight="1">
      <c r="A259" s="99"/>
      <c r="B259" s="161"/>
      <c r="D259" s="162" t="s">
        <v>1758</v>
      </c>
      <c r="E259" s="162"/>
      <c r="F259" s="162"/>
      <c r="G259" s="163"/>
      <c r="H259" s="163"/>
      <c r="I259" s="164" t="s">
        <v>498</v>
      </c>
      <c r="J259" s="143">
        <v>0</v>
      </c>
      <c r="K259" s="141">
        <v>0</v>
      </c>
      <c r="L259" s="141">
        <v>0</v>
      </c>
      <c r="M259" s="141">
        <v>0</v>
      </c>
      <c r="N259" s="141">
        <v>0</v>
      </c>
      <c r="O259" s="141">
        <v>0</v>
      </c>
      <c r="P259" s="141">
        <v>0</v>
      </c>
      <c r="Q259" s="144">
        <v>0</v>
      </c>
      <c r="R259" s="143">
        <v>0</v>
      </c>
      <c r="S259" s="141">
        <v>0</v>
      </c>
      <c r="T259" s="141">
        <v>0</v>
      </c>
      <c r="U259" s="141">
        <v>0</v>
      </c>
      <c r="V259" s="144">
        <v>0</v>
      </c>
    </row>
    <row r="260" spans="1:23" s="98" customFormat="1" ht="15" customHeight="1">
      <c r="A260" s="99"/>
      <c r="B260" s="161"/>
      <c r="D260" s="162" t="s">
        <v>85</v>
      </c>
      <c r="E260" s="162"/>
      <c r="F260" s="162"/>
      <c r="G260" s="720" t="s">
        <v>1762</v>
      </c>
      <c r="H260" s="163"/>
      <c r="I260" s="164" t="s">
        <v>498</v>
      </c>
      <c r="J260" s="143">
        <v>3.6013776501293023E-5</v>
      </c>
      <c r="K260" s="141">
        <v>0</v>
      </c>
      <c r="L260" s="141">
        <v>0</v>
      </c>
      <c r="M260" s="141">
        <v>0</v>
      </c>
      <c r="N260" s="141">
        <v>4.6035952638700942E-4</v>
      </c>
      <c r="O260" s="141">
        <v>0</v>
      </c>
      <c r="P260" s="141">
        <v>0</v>
      </c>
      <c r="Q260" s="144">
        <v>0</v>
      </c>
      <c r="R260" s="143">
        <v>0</v>
      </c>
      <c r="S260" s="141">
        <v>0</v>
      </c>
      <c r="T260" s="141">
        <v>0</v>
      </c>
      <c r="U260" s="141">
        <v>0</v>
      </c>
      <c r="V260" s="144">
        <v>0</v>
      </c>
    </row>
    <row r="261" spans="1:23" s="98" customFormat="1" ht="15" customHeight="1">
      <c r="A261" s="99"/>
      <c r="B261" s="161"/>
      <c r="D261" s="162" t="s">
        <v>85</v>
      </c>
      <c r="E261" s="162"/>
      <c r="F261" s="162"/>
      <c r="G261" s="720" t="s">
        <v>1768</v>
      </c>
      <c r="H261" s="163"/>
      <c r="I261" s="164" t="s">
        <v>498</v>
      </c>
      <c r="J261" s="143">
        <v>0</v>
      </c>
      <c r="K261" s="141">
        <v>2.0972150649350641E-2</v>
      </c>
      <c r="L261" s="141">
        <v>2.1840524219452649E-3</v>
      </c>
      <c r="M261" s="141">
        <v>0</v>
      </c>
      <c r="N261" s="141">
        <v>0</v>
      </c>
      <c r="O261" s="141">
        <v>0</v>
      </c>
      <c r="P261" s="141">
        <v>0</v>
      </c>
      <c r="Q261" s="144">
        <v>0</v>
      </c>
      <c r="R261" s="143">
        <v>0</v>
      </c>
      <c r="S261" s="141">
        <v>0</v>
      </c>
      <c r="T261" s="141">
        <v>0</v>
      </c>
      <c r="U261" s="141">
        <v>0</v>
      </c>
      <c r="V261" s="144">
        <v>0</v>
      </c>
    </row>
    <row r="262" spans="1:23" s="98" customFormat="1" ht="15" customHeight="1">
      <c r="A262" s="99"/>
      <c r="B262" s="161"/>
      <c r="D262" s="162" t="s">
        <v>85</v>
      </c>
      <c r="E262" s="162"/>
      <c r="F262" s="162"/>
      <c r="G262" s="720" t="s">
        <v>1761</v>
      </c>
      <c r="H262" s="163"/>
      <c r="I262" s="164" t="s">
        <v>498</v>
      </c>
      <c r="J262" s="143">
        <v>0</v>
      </c>
      <c r="K262" s="141">
        <v>0</v>
      </c>
      <c r="L262" s="141">
        <v>0</v>
      </c>
      <c r="M262" s="141">
        <v>4.2105490436692407E-2</v>
      </c>
      <c r="N262" s="141">
        <v>4.4370718942773571E-2</v>
      </c>
      <c r="O262" s="141">
        <v>3.0380859374999999E-2</v>
      </c>
      <c r="P262" s="141">
        <v>2.8564636696800674E-2</v>
      </c>
      <c r="Q262" s="144">
        <v>2.8421813513316668E-2</v>
      </c>
      <c r="R262" s="143">
        <v>2.8279704445750082E-2</v>
      </c>
      <c r="S262" s="141">
        <v>2.8138305923521331E-2</v>
      </c>
      <c r="T262" s="141">
        <v>2.799761439390373E-2</v>
      </c>
      <c r="U262" s="141">
        <v>2.7857626321934212E-2</v>
      </c>
      <c r="V262" s="144">
        <v>2.7718338190324543E-2</v>
      </c>
    </row>
    <row r="263" spans="1:23" s="98" customFormat="1" ht="15" customHeight="1">
      <c r="A263" s="99"/>
      <c r="B263" s="161"/>
      <c r="D263" s="162" t="s">
        <v>85</v>
      </c>
      <c r="E263" s="162"/>
      <c r="F263" s="162"/>
      <c r="G263" s="720"/>
      <c r="H263" s="163"/>
      <c r="I263" s="164" t="s">
        <v>498</v>
      </c>
      <c r="J263" s="143">
        <v>0</v>
      </c>
      <c r="K263" s="141">
        <v>0</v>
      </c>
      <c r="L263" s="141">
        <v>0</v>
      </c>
      <c r="M263" s="141">
        <v>0</v>
      </c>
      <c r="N263" s="141">
        <v>0</v>
      </c>
      <c r="O263" s="141">
        <v>0</v>
      </c>
      <c r="P263" s="141">
        <v>0</v>
      </c>
      <c r="Q263" s="144">
        <v>0</v>
      </c>
      <c r="R263" s="143">
        <v>0</v>
      </c>
      <c r="S263" s="141">
        <v>0</v>
      </c>
      <c r="T263" s="141">
        <v>0</v>
      </c>
      <c r="U263" s="141">
        <v>0</v>
      </c>
      <c r="V263" s="144">
        <v>0</v>
      </c>
    </row>
    <row r="264" spans="1:23" s="98" customFormat="1" ht="15" customHeight="1">
      <c r="A264" s="99"/>
      <c r="B264" s="161"/>
      <c r="D264" s="162" t="s">
        <v>85</v>
      </c>
      <c r="E264" s="162"/>
      <c r="F264" s="162"/>
      <c r="G264" s="720"/>
      <c r="H264" s="163"/>
      <c r="I264" s="164" t="s">
        <v>498</v>
      </c>
      <c r="J264" s="143">
        <v>0</v>
      </c>
      <c r="K264" s="141">
        <v>0</v>
      </c>
      <c r="L264" s="141">
        <v>0</v>
      </c>
      <c r="M264" s="141">
        <v>0</v>
      </c>
      <c r="N264" s="141">
        <v>0</v>
      </c>
      <c r="O264" s="141">
        <v>0</v>
      </c>
      <c r="P264" s="141">
        <v>0</v>
      </c>
      <c r="Q264" s="144">
        <v>0</v>
      </c>
      <c r="R264" s="143">
        <v>0</v>
      </c>
      <c r="S264" s="141">
        <v>0</v>
      </c>
      <c r="T264" s="141">
        <v>0</v>
      </c>
      <c r="U264" s="141">
        <v>0</v>
      </c>
      <c r="V264" s="144">
        <v>0</v>
      </c>
    </row>
    <row r="265" spans="1:23" s="98" customFormat="1" ht="15" customHeight="1">
      <c r="A265" s="99"/>
      <c r="B265" s="181"/>
      <c r="C265" s="2492" t="s">
        <v>1763</v>
      </c>
      <c r="D265" s="183"/>
      <c r="E265" s="183"/>
      <c r="F265" s="183"/>
      <c r="G265" s="184"/>
      <c r="H265" s="184"/>
      <c r="I265" s="164" t="s">
        <v>498</v>
      </c>
      <c r="J265" s="128">
        <f t="shared" ref="J265:V265" si="40">SUM(J252:J264)</f>
        <v>0.72628212209382437</v>
      </c>
      <c r="K265" s="129">
        <f t="shared" si="40"/>
        <v>0.82895184935064903</v>
      </c>
      <c r="L265" s="129">
        <f t="shared" si="40"/>
        <v>0.75786619041500702</v>
      </c>
      <c r="M265" s="129">
        <f t="shared" si="40"/>
        <v>0.91333398188852655</v>
      </c>
      <c r="N265" s="129">
        <f t="shared" si="40"/>
        <v>1.144818552890257</v>
      </c>
      <c r="O265" s="129">
        <f t="shared" si="40"/>
        <v>1.2762994900643456</v>
      </c>
      <c r="P265" s="129">
        <f t="shared" si="40"/>
        <v>1.1999999999999997</v>
      </c>
      <c r="Q265" s="130">
        <f t="shared" si="40"/>
        <v>1.1939999999999997</v>
      </c>
      <c r="R265" s="128">
        <f t="shared" si="40"/>
        <v>1.1880299999999997</v>
      </c>
      <c r="S265" s="129">
        <f t="shared" si="40"/>
        <v>1.1820898499999997</v>
      </c>
      <c r="T265" s="129">
        <f t="shared" si="40"/>
        <v>1.1761794007499997</v>
      </c>
      <c r="U265" s="129">
        <f t="shared" si="40"/>
        <v>1.1702985037462494</v>
      </c>
      <c r="V265" s="130">
        <f t="shared" si="40"/>
        <v>1.1644470112275185</v>
      </c>
      <c r="W265" s="185"/>
    </row>
    <row r="266" spans="1:23" s="338" customFormat="1" ht="14.25">
      <c r="B266" s="349"/>
      <c r="C266" s="1393"/>
      <c r="D266" s="624" t="s">
        <v>1764</v>
      </c>
      <c r="E266" s="624"/>
      <c r="F266" s="624"/>
      <c r="G266" s="339"/>
      <c r="H266" s="339"/>
      <c r="I266" s="576" t="s">
        <v>498</v>
      </c>
      <c r="J266" s="297">
        <v>0</v>
      </c>
      <c r="K266" s="298" t="s">
        <v>1127</v>
      </c>
      <c r="L266" s="298">
        <v>0</v>
      </c>
      <c r="M266" s="298">
        <v>0</v>
      </c>
      <c r="N266" s="298">
        <v>0</v>
      </c>
      <c r="O266" s="298">
        <v>0</v>
      </c>
      <c r="P266" s="298">
        <v>0</v>
      </c>
      <c r="Q266" s="299">
        <v>0</v>
      </c>
      <c r="R266" s="297">
        <v>0</v>
      </c>
      <c r="S266" s="298">
        <v>0</v>
      </c>
      <c r="T266" s="298">
        <v>0</v>
      </c>
      <c r="U266" s="298">
        <v>0</v>
      </c>
      <c r="V266" s="299">
        <v>0</v>
      </c>
    </row>
    <row r="267" spans="1:23" s="338" customFormat="1" ht="14.25">
      <c r="B267" s="349"/>
      <c r="C267" s="1393"/>
      <c r="D267" s="624" t="s">
        <v>1765</v>
      </c>
      <c r="E267" s="624"/>
      <c r="F267" s="624"/>
      <c r="G267" s="339"/>
      <c r="H267" s="339"/>
      <c r="I267" s="973" t="s">
        <v>498</v>
      </c>
      <c r="J267" s="974">
        <v>0</v>
      </c>
      <c r="K267" s="975">
        <v>0</v>
      </c>
      <c r="L267" s="975">
        <v>0</v>
      </c>
      <c r="M267" s="975">
        <v>0</v>
      </c>
      <c r="N267" s="975">
        <v>0</v>
      </c>
      <c r="O267" s="975">
        <v>0</v>
      </c>
      <c r="P267" s="975">
        <v>0</v>
      </c>
      <c r="Q267" s="976">
        <v>0</v>
      </c>
      <c r="R267" s="974">
        <v>0</v>
      </c>
      <c r="S267" s="975">
        <v>0</v>
      </c>
      <c r="T267" s="975">
        <v>0</v>
      </c>
      <c r="U267" s="975">
        <v>0</v>
      </c>
      <c r="V267" s="976">
        <v>0</v>
      </c>
    </row>
    <row r="268" spans="1:23" s="338" customFormat="1" ht="14.25">
      <c r="B268" s="349"/>
      <c r="C268" s="1393" t="s">
        <v>1766</v>
      </c>
      <c r="D268" s="339"/>
      <c r="E268" s="339"/>
      <c r="F268" s="339"/>
      <c r="G268" s="625"/>
      <c r="H268" s="339"/>
      <c r="I268" s="164" t="s">
        <v>498</v>
      </c>
      <c r="J268" s="128">
        <f>SUM(J265:J267)</f>
        <v>0.72628212209382437</v>
      </c>
      <c r="K268" s="632">
        <f t="shared" ref="K268:V268" si="41">SUM(K265:K267)</f>
        <v>0.82895184935064903</v>
      </c>
      <c r="L268" s="632">
        <f t="shared" si="41"/>
        <v>0.75786619041500702</v>
      </c>
      <c r="M268" s="632">
        <f t="shared" si="41"/>
        <v>0.91333398188852655</v>
      </c>
      <c r="N268" s="632">
        <f t="shared" si="41"/>
        <v>1.144818552890257</v>
      </c>
      <c r="O268" s="632">
        <f t="shared" si="41"/>
        <v>1.2762994900643456</v>
      </c>
      <c r="P268" s="632">
        <f t="shared" si="41"/>
        <v>1.1999999999999997</v>
      </c>
      <c r="Q268" s="632">
        <f t="shared" si="41"/>
        <v>1.1939999999999997</v>
      </c>
      <c r="R268" s="632">
        <f t="shared" si="41"/>
        <v>1.1880299999999997</v>
      </c>
      <c r="S268" s="632">
        <f t="shared" si="41"/>
        <v>1.1820898499999997</v>
      </c>
      <c r="T268" s="632">
        <f t="shared" si="41"/>
        <v>1.1761794007499997</v>
      </c>
      <c r="U268" s="632">
        <f t="shared" si="41"/>
        <v>1.1702985037462494</v>
      </c>
      <c r="V268" s="633">
        <f t="shared" si="41"/>
        <v>1.1644470112275185</v>
      </c>
    </row>
    <row r="269" spans="1:23" s="98" customFormat="1" ht="15" customHeight="1">
      <c r="A269" s="99"/>
      <c r="B269" s="161"/>
      <c r="C269" s="116"/>
      <c r="D269" s="116"/>
      <c r="E269" s="116"/>
      <c r="F269" s="116"/>
      <c r="G269" s="117"/>
      <c r="H269" s="117"/>
      <c r="I269" s="117"/>
      <c r="J269" s="713"/>
      <c r="K269" s="721"/>
      <c r="L269" s="721"/>
      <c r="M269" s="721"/>
      <c r="N269" s="721"/>
      <c r="O269" s="721"/>
      <c r="P269" s="721"/>
      <c r="Q269" s="715"/>
      <c r="R269" s="713"/>
      <c r="S269" s="721"/>
      <c r="T269" s="721"/>
      <c r="U269" s="721"/>
      <c r="V269" s="715"/>
    </row>
    <row r="270" spans="1:23" s="98" customFormat="1" ht="15" customHeight="1">
      <c r="A270" s="99"/>
      <c r="B270" s="161"/>
      <c r="C270" s="186" t="s">
        <v>1717</v>
      </c>
      <c r="D270" s="162"/>
      <c r="E270" s="162"/>
      <c r="F270" s="162"/>
      <c r="G270" s="163"/>
      <c r="H270" s="163"/>
      <c r="I270" s="117"/>
      <c r="J270" s="713"/>
      <c r="K270" s="721"/>
      <c r="L270" s="721"/>
      <c r="M270" s="721"/>
      <c r="N270" s="721"/>
      <c r="O270" s="721"/>
      <c r="P270" s="721"/>
      <c r="Q270" s="715"/>
      <c r="R270" s="713"/>
      <c r="S270" s="721"/>
      <c r="T270" s="721"/>
      <c r="U270" s="721"/>
      <c r="V270" s="715"/>
    </row>
    <row r="271" spans="1:23" s="98" customFormat="1" ht="15" customHeight="1">
      <c r="A271" s="99"/>
      <c r="B271" s="161"/>
      <c r="D271" s="162" t="s">
        <v>1752</v>
      </c>
      <c r="E271" s="162"/>
      <c r="F271" s="162"/>
      <c r="G271" s="163"/>
      <c r="H271" s="163"/>
      <c r="I271" s="164" t="s">
        <v>498</v>
      </c>
      <c r="J271" s="143">
        <v>2.4216171849070935</v>
      </c>
      <c r="K271" s="141">
        <v>2.7672200883116873</v>
      </c>
      <c r="L271" s="141">
        <v>2.7704704972375684</v>
      </c>
      <c r="M271" s="141">
        <v>2.768692882654388</v>
      </c>
      <c r="N271" s="141">
        <v>2.2126297797284522</v>
      </c>
      <c r="O271" s="141">
        <v>2.5111065308010345</v>
      </c>
      <c r="P271" s="141">
        <v>2.3986525641515208</v>
      </c>
      <c r="Q271" s="144">
        <v>2.3986525641515204</v>
      </c>
      <c r="R271" s="143">
        <v>2.3866593013307629</v>
      </c>
      <c r="S271" s="141">
        <v>2.3747260048241103</v>
      </c>
      <c r="T271" s="141">
        <v>2.3628523747999894</v>
      </c>
      <c r="U271" s="141">
        <v>2.351038112925989</v>
      </c>
      <c r="V271" s="144">
        <v>2.3392829223613596</v>
      </c>
    </row>
    <row r="272" spans="1:23" s="98" customFormat="1" ht="15" customHeight="1">
      <c r="A272" s="99"/>
      <c r="B272" s="161"/>
      <c r="D272" s="162" t="s">
        <v>1753</v>
      </c>
      <c r="E272" s="162"/>
      <c r="F272" s="162"/>
      <c r="G272" s="163"/>
      <c r="H272" s="163"/>
      <c r="I272" s="164" t="s">
        <v>498</v>
      </c>
      <c r="J272" s="143">
        <v>2.585924176572758E-3</v>
      </c>
      <c r="K272" s="141">
        <v>0</v>
      </c>
      <c r="L272" s="141">
        <v>-2.1840524219452649E-3</v>
      </c>
      <c r="M272" s="141">
        <v>1.5027954572666338E-2</v>
      </c>
      <c r="N272" s="141">
        <v>6.6890947175783672E-2</v>
      </c>
      <c r="O272" s="141">
        <v>9.5500001907348597E-3</v>
      </c>
      <c r="P272" s="141">
        <v>9.2589435454993839E-3</v>
      </c>
      <c r="Q272" s="144">
        <v>9.2589435454993839E-3</v>
      </c>
      <c r="R272" s="143">
        <v>9.2126488277718861E-3</v>
      </c>
      <c r="S272" s="141">
        <v>9.1665855836330287E-3</v>
      </c>
      <c r="T272" s="141">
        <v>9.1207526557148637E-3</v>
      </c>
      <c r="U272" s="141">
        <v>9.0751488924362862E-3</v>
      </c>
      <c r="V272" s="144">
        <v>9.0297731479741048E-3</v>
      </c>
    </row>
    <row r="273" spans="1:23" s="98" customFormat="1" ht="15" customHeight="1">
      <c r="A273" s="99"/>
      <c r="B273" s="161"/>
      <c r="D273" s="162" t="s">
        <v>1754</v>
      </c>
      <c r="E273" s="162"/>
      <c r="F273" s="162"/>
      <c r="G273" s="163"/>
      <c r="H273" s="163"/>
      <c r="I273" s="164" t="s">
        <v>498</v>
      </c>
      <c r="J273" s="143">
        <v>4.9814750460669001E-2</v>
      </c>
      <c r="K273" s="141">
        <v>2.3179745454545448E-2</v>
      </c>
      <c r="L273" s="141">
        <v>8.7362096877810595E-3</v>
      </c>
      <c r="M273" s="141">
        <v>-5.2538253653091394E-2</v>
      </c>
      <c r="N273" s="141">
        <v>1.43129549618054E-2</v>
      </c>
      <c r="O273" s="141">
        <v>-6.8215000256896063E-4</v>
      </c>
      <c r="P273" s="141">
        <v>0</v>
      </c>
      <c r="Q273" s="144">
        <v>0</v>
      </c>
      <c r="R273" s="143">
        <v>0</v>
      </c>
      <c r="S273" s="141">
        <v>0</v>
      </c>
      <c r="T273" s="141">
        <v>0</v>
      </c>
      <c r="U273" s="141">
        <v>0</v>
      </c>
      <c r="V273" s="144">
        <v>0</v>
      </c>
    </row>
    <row r="274" spans="1:23" s="98" customFormat="1" ht="15" customHeight="1">
      <c r="A274" s="99"/>
      <c r="B274" s="161"/>
      <c r="D274" s="162" t="s">
        <v>1755</v>
      </c>
      <c r="E274" s="162"/>
      <c r="F274" s="162"/>
      <c r="G274" s="163"/>
      <c r="H274" s="163"/>
      <c r="I274" s="164" t="s">
        <v>498</v>
      </c>
      <c r="J274" s="143">
        <v>1.4063921712586829</v>
      </c>
      <c r="K274" s="141">
        <v>1.034258166233766</v>
      </c>
      <c r="L274" s="141">
        <v>0.93586646280354602</v>
      </c>
      <c r="M274" s="141">
        <v>1.4380059116276711</v>
      </c>
      <c r="N274" s="141">
        <v>1.3500056766161768</v>
      </c>
      <c r="O274" s="141">
        <v>1.2684468638896953</v>
      </c>
      <c r="P274" s="141">
        <v>1.2297882375557005</v>
      </c>
      <c r="Q274" s="144">
        <v>1.2297882375557005</v>
      </c>
      <c r="R274" s="143">
        <v>1.2236392963679219</v>
      </c>
      <c r="S274" s="141">
        <v>1.2175210998860828</v>
      </c>
      <c r="T274" s="141">
        <v>1.2114334943866523</v>
      </c>
      <c r="U274" s="141">
        <v>1.2053763269147186</v>
      </c>
      <c r="V274" s="144">
        <v>1.1993494452801452</v>
      </c>
    </row>
    <row r="275" spans="1:23" s="98" customFormat="1" ht="15" customHeight="1">
      <c r="A275" s="99"/>
      <c r="B275" s="161"/>
      <c r="D275" s="162" t="s">
        <v>1756</v>
      </c>
      <c r="E275" s="162"/>
      <c r="F275" s="162"/>
      <c r="G275" s="163"/>
      <c r="H275" s="163"/>
      <c r="I275" s="164" t="s">
        <v>498</v>
      </c>
      <c r="J275" s="143">
        <v>0.32977219957895348</v>
      </c>
      <c r="K275" s="141">
        <v>0.19647593766233759</v>
      </c>
      <c r="L275" s="141">
        <v>2.4024576641397913E-2</v>
      </c>
      <c r="M275" s="141">
        <v>5.4842622200519268E-2</v>
      </c>
      <c r="N275" s="141">
        <v>5.5023057696101954E-2</v>
      </c>
      <c r="O275" s="141">
        <v>6.3576525060694666E-2</v>
      </c>
      <c r="P275" s="141">
        <v>6.163889472244112E-2</v>
      </c>
      <c r="Q275" s="144">
        <v>6.1638894722441114E-2</v>
      </c>
      <c r="R275" s="143">
        <v>6.1330700248828904E-2</v>
      </c>
      <c r="S275" s="141">
        <v>6.1024046747584784E-2</v>
      </c>
      <c r="T275" s="141">
        <v>6.0718926513846853E-2</v>
      </c>
      <c r="U275" s="141">
        <v>6.0415331881277609E-2</v>
      </c>
      <c r="V275" s="144">
        <v>6.0113255221871227E-2</v>
      </c>
    </row>
    <row r="276" spans="1:23" s="98" customFormat="1" ht="15" customHeight="1">
      <c r="A276" s="99"/>
      <c r="B276" s="161"/>
      <c r="D276" s="162" t="s">
        <v>1757</v>
      </c>
      <c r="E276" s="162"/>
      <c r="F276" s="162"/>
      <c r="G276" s="163"/>
      <c r="H276" s="163"/>
      <c r="I276" s="164" t="s">
        <v>498</v>
      </c>
      <c r="J276" s="143">
        <v>0</v>
      </c>
      <c r="K276" s="141">
        <v>0</v>
      </c>
      <c r="L276" s="141">
        <v>0</v>
      </c>
      <c r="M276" s="141">
        <v>0</v>
      </c>
      <c r="N276" s="141">
        <v>0</v>
      </c>
      <c r="O276" s="141">
        <v>0</v>
      </c>
      <c r="P276" s="141">
        <v>0</v>
      </c>
      <c r="Q276" s="144">
        <v>0</v>
      </c>
      <c r="R276" s="143">
        <v>0</v>
      </c>
      <c r="S276" s="141">
        <v>0</v>
      </c>
      <c r="T276" s="141">
        <v>0</v>
      </c>
      <c r="U276" s="141">
        <v>0</v>
      </c>
      <c r="V276" s="144">
        <v>0</v>
      </c>
    </row>
    <row r="277" spans="1:23" s="98" customFormat="1" ht="15" customHeight="1">
      <c r="A277" s="99"/>
      <c r="B277" s="161"/>
      <c r="D277" s="162" t="s">
        <v>205</v>
      </c>
      <c r="E277" s="162"/>
      <c r="F277" s="162"/>
      <c r="G277" s="163"/>
      <c r="H277" s="163"/>
      <c r="I277" s="164" t="s">
        <v>498</v>
      </c>
      <c r="J277" s="143">
        <v>0</v>
      </c>
      <c r="K277" s="141">
        <v>0</v>
      </c>
      <c r="L277" s="141">
        <v>0</v>
      </c>
      <c r="M277" s="141">
        <v>0</v>
      </c>
      <c r="N277" s="141">
        <v>0</v>
      </c>
      <c r="O277" s="141">
        <v>0</v>
      </c>
      <c r="P277" s="141">
        <v>0</v>
      </c>
      <c r="Q277" s="144">
        <v>0</v>
      </c>
      <c r="R277" s="143">
        <v>0</v>
      </c>
      <c r="S277" s="141">
        <v>0</v>
      </c>
      <c r="T277" s="141">
        <v>0</v>
      </c>
      <c r="U277" s="141">
        <v>0</v>
      </c>
      <c r="V277" s="144">
        <v>0</v>
      </c>
    </row>
    <row r="278" spans="1:23" s="98" customFormat="1" ht="15" customHeight="1">
      <c r="A278" s="99"/>
      <c r="B278" s="161"/>
      <c r="D278" s="162" t="s">
        <v>1758</v>
      </c>
      <c r="E278" s="162"/>
      <c r="F278" s="162"/>
      <c r="G278" s="163"/>
      <c r="H278" s="163"/>
      <c r="I278" s="164" t="s">
        <v>498</v>
      </c>
      <c r="J278" s="143">
        <v>0</v>
      </c>
      <c r="K278" s="141">
        <v>0</v>
      </c>
      <c r="L278" s="141">
        <v>0</v>
      </c>
      <c r="M278" s="141">
        <v>0</v>
      </c>
      <c r="N278" s="141">
        <v>0</v>
      </c>
      <c r="O278" s="141">
        <v>0</v>
      </c>
      <c r="P278" s="141">
        <v>0</v>
      </c>
      <c r="Q278" s="144">
        <v>0</v>
      </c>
      <c r="R278" s="143">
        <v>0</v>
      </c>
      <c r="S278" s="141">
        <v>0</v>
      </c>
      <c r="T278" s="141">
        <v>0</v>
      </c>
      <c r="U278" s="141">
        <v>0</v>
      </c>
      <c r="V278" s="144">
        <v>0</v>
      </c>
    </row>
    <row r="279" spans="1:23" s="98" customFormat="1" ht="15" customHeight="1">
      <c r="A279" s="99"/>
      <c r="B279" s="161"/>
      <c r="D279" s="162" t="s">
        <v>85</v>
      </c>
      <c r="E279" s="162"/>
      <c r="F279" s="162"/>
      <c r="G279" s="720" t="s">
        <v>1762</v>
      </c>
      <c r="H279" s="163"/>
      <c r="I279" s="164" t="s">
        <v>498</v>
      </c>
      <c r="J279" s="143">
        <v>2.3873982614913409E-3</v>
      </c>
      <c r="K279" s="141">
        <v>-2.0972150649350641E-2</v>
      </c>
      <c r="L279" s="141">
        <v>0</v>
      </c>
      <c r="M279" s="141">
        <v>6.5861369577949497E-2</v>
      </c>
      <c r="N279" s="141">
        <v>3.3088164476406647E-2</v>
      </c>
      <c r="O279" s="141">
        <v>-3.5687568664550799E-2</v>
      </c>
      <c r="P279" s="141">
        <v>6.6136002483809658E-4</v>
      </c>
      <c r="Q279" s="144">
        <v>6.6136002483809658E-4</v>
      </c>
      <c r="R279" s="143">
        <v>6.5805322471390593E-4</v>
      </c>
      <c r="S279" s="141">
        <v>6.5476295859034223E-4</v>
      </c>
      <c r="T279" s="141">
        <v>6.5148914379738881E-4</v>
      </c>
      <c r="U279" s="141">
        <v>6.4823169807839975E-4</v>
      </c>
      <c r="V279" s="144">
        <v>6.4499053958801122E-4</v>
      </c>
    </row>
    <row r="280" spans="1:23" s="98" customFormat="1" ht="15" customHeight="1">
      <c r="A280" s="99"/>
      <c r="B280" s="161"/>
      <c r="D280" s="162" t="s">
        <v>85</v>
      </c>
      <c r="E280" s="162"/>
      <c r="F280" s="162"/>
      <c r="G280" s="720" t="s">
        <v>1768</v>
      </c>
      <c r="H280" s="163"/>
      <c r="I280" s="164" t="s">
        <v>498</v>
      </c>
      <c r="J280" s="143">
        <v>0</v>
      </c>
      <c r="K280" s="141">
        <v>-4.4151896103896086E-3</v>
      </c>
      <c r="L280" s="141">
        <v>2.1840524219452647E-2</v>
      </c>
      <c r="M280" s="141">
        <v>0</v>
      </c>
      <c r="N280" s="141">
        <v>0</v>
      </c>
      <c r="O280" s="141">
        <v>0</v>
      </c>
      <c r="P280" s="141">
        <v>0</v>
      </c>
      <c r="Q280" s="144">
        <v>0</v>
      </c>
      <c r="R280" s="143">
        <v>0</v>
      </c>
      <c r="S280" s="141">
        <v>0</v>
      </c>
      <c r="T280" s="141">
        <v>0</v>
      </c>
      <c r="U280" s="141">
        <v>0</v>
      </c>
      <c r="V280" s="144">
        <v>0</v>
      </c>
    </row>
    <row r="281" spans="1:23" s="98" customFormat="1" ht="15" customHeight="1">
      <c r="A281" s="99"/>
      <c r="B281" s="161"/>
      <c r="D281" s="162" t="s">
        <v>85</v>
      </c>
      <c r="E281" s="162"/>
      <c r="F281" s="162"/>
      <c r="G281" s="720" t="s">
        <v>1761</v>
      </c>
      <c r="H281" s="163"/>
      <c r="I281" s="164" t="s">
        <v>498</v>
      </c>
      <c r="J281" s="143">
        <v>0</v>
      </c>
      <c r="K281" s="141">
        <v>0</v>
      </c>
      <c r="L281" s="141">
        <v>0</v>
      </c>
      <c r="M281" s="141">
        <v>0</v>
      </c>
      <c r="N281" s="141">
        <v>0</v>
      </c>
      <c r="O281" s="141">
        <v>0</v>
      </c>
      <c r="P281" s="141">
        <v>0</v>
      </c>
      <c r="Q281" s="144">
        <v>0</v>
      </c>
      <c r="R281" s="143">
        <v>0</v>
      </c>
      <c r="S281" s="141">
        <v>0</v>
      </c>
      <c r="T281" s="141">
        <v>0</v>
      </c>
      <c r="U281" s="141">
        <v>0</v>
      </c>
      <c r="V281" s="144">
        <v>0</v>
      </c>
    </row>
    <row r="282" spans="1:23" s="98" customFormat="1" ht="15" customHeight="1">
      <c r="A282" s="99"/>
      <c r="B282" s="161"/>
      <c r="D282" s="162" t="s">
        <v>85</v>
      </c>
      <c r="E282" s="162"/>
      <c r="F282" s="162"/>
      <c r="G282" s="720"/>
      <c r="H282" s="163"/>
      <c r="I282" s="164" t="s">
        <v>498</v>
      </c>
      <c r="J282" s="143">
        <v>0</v>
      </c>
      <c r="K282" s="141">
        <v>0</v>
      </c>
      <c r="L282" s="141">
        <v>0</v>
      </c>
      <c r="M282" s="141">
        <v>0</v>
      </c>
      <c r="N282" s="141">
        <v>0</v>
      </c>
      <c r="O282" s="141">
        <v>0</v>
      </c>
      <c r="P282" s="141">
        <v>0</v>
      </c>
      <c r="Q282" s="144">
        <v>0</v>
      </c>
      <c r="R282" s="143">
        <v>0</v>
      </c>
      <c r="S282" s="141">
        <v>0</v>
      </c>
      <c r="T282" s="141">
        <v>0</v>
      </c>
      <c r="U282" s="141">
        <v>0</v>
      </c>
      <c r="V282" s="144">
        <v>0</v>
      </c>
    </row>
    <row r="283" spans="1:23" s="98" customFormat="1" ht="15" customHeight="1">
      <c r="A283" s="99"/>
      <c r="B283" s="161"/>
      <c r="D283" s="162" t="s">
        <v>85</v>
      </c>
      <c r="E283" s="162"/>
      <c r="F283" s="162"/>
      <c r="G283" s="720"/>
      <c r="H283" s="163"/>
      <c r="I283" s="164" t="s">
        <v>498</v>
      </c>
      <c r="J283" s="143">
        <v>0</v>
      </c>
      <c r="K283" s="141">
        <v>0</v>
      </c>
      <c r="L283" s="141">
        <v>0</v>
      </c>
      <c r="M283" s="141">
        <v>0</v>
      </c>
      <c r="N283" s="141">
        <v>0</v>
      </c>
      <c r="O283" s="141">
        <v>0</v>
      </c>
      <c r="P283" s="141">
        <v>0</v>
      </c>
      <c r="Q283" s="144">
        <v>0</v>
      </c>
      <c r="R283" s="143">
        <v>0</v>
      </c>
      <c r="S283" s="141">
        <v>0</v>
      </c>
      <c r="T283" s="141">
        <v>0</v>
      </c>
      <c r="U283" s="141">
        <v>0</v>
      </c>
      <c r="V283" s="144">
        <v>0</v>
      </c>
    </row>
    <row r="284" spans="1:23" s="98" customFormat="1" ht="15" customHeight="1">
      <c r="A284" s="99"/>
      <c r="B284" s="181"/>
      <c r="C284" s="2492" t="s">
        <v>1763</v>
      </c>
      <c r="D284" s="183"/>
      <c r="E284" s="183"/>
      <c r="F284" s="183"/>
      <c r="G284" s="184"/>
      <c r="H284" s="184"/>
      <c r="I284" s="164" t="s">
        <v>498</v>
      </c>
      <c r="J284" s="128">
        <f t="shared" ref="J284:V284" si="42">SUM(J271:J283)</f>
        <v>4.2125696286434628</v>
      </c>
      <c r="K284" s="129">
        <f t="shared" si="42"/>
        <v>3.9957465974025963</v>
      </c>
      <c r="L284" s="129">
        <f t="shared" si="42"/>
        <v>3.7587542181678013</v>
      </c>
      <c r="M284" s="129">
        <f t="shared" si="42"/>
        <v>4.2898924869801034</v>
      </c>
      <c r="N284" s="129">
        <f t="shared" si="42"/>
        <v>3.7319505806547264</v>
      </c>
      <c r="O284" s="129">
        <f t="shared" si="42"/>
        <v>3.8163102012750398</v>
      </c>
      <c r="P284" s="129">
        <f t="shared" si="42"/>
        <v>3.7</v>
      </c>
      <c r="Q284" s="130">
        <f t="shared" si="42"/>
        <v>3.6999999999999997</v>
      </c>
      <c r="R284" s="128">
        <f t="shared" si="42"/>
        <v>3.6814999999999993</v>
      </c>
      <c r="S284" s="129">
        <f t="shared" si="42"/>
        <v>3.6630925000000016</v>
      </c>
      <c r="T284" s="129">
        <f t="shared" si="42"/>
        <v>3.6447770375000008</v>
      </c>
      <c r="U284" s="129">
        <f t="shared" si="42"/>
        <v>3.6265531523124999</v>
      </c>
      <c r="V284" s="130">
        <f t="shared" si="42"/>
        <v>3.6084203865509377</v>
      </c>
      <c r="W284" s="185"/>
    </row>
    <row r="285" spans="1:23" s="338" customFormat="1" ht="14.25">
      <c r="B285" s="349"/>
      <c r="C285" s="1393"/>
      <c r="D285" s="624" t="s">
        <v>1764</v>
      </c>
      <c r="E285" s="624"/>
      <c r="F285" s="624"/>
      <c r="G285" s="339"/>
      <c r="H285" s="339"/>
      <c r="I285" s="576" t="s">
        <v>498</v>
      </c>
      <c r="J285" s="297">
        <v>0</v>
      </c>
      <c r="K285" s="298" t="s">
        <v>1127</v>
      </c>
      <c r="L285" s="298">
        <v>0</v>
      </c>
      <c r="M285" s="298">
        <v>0</v>
      </c>
      <c r="N285" s="298">
        <v>0</v>
      </c>
      <c r="O285" s="298">
        <v>0</v>
      </c>
      <c r="P285" s="298">
        <v>0</v>
      </c>
      <c r="Q285" s="299">
        <v>0</v>
      </c>
      <c r="R285" s="297">
        <v>0</v>
      </c>
      <c r="S285" s="298">
        <v>0</v>
      </c>
      <c r="T285" s="298">
        <v>0</v>
      </c>
      <c r="U285" s="298">
        <v>0</v>
      </c>
      <c r="V285" s="299">
        <v>0</v>
      </c>
    </row>
    <row r="286" spans="1:23" s="338" customFormat="1" ht="14.25">
      <c r="B286" s="349"/>
      <c r="C286" s="1393"/>
      <c r="D286" s="624" t="s">
        <v>1765</v>
      </c>
      <c r="E286" s="624"/>
      <c r="F286" s="624"/>
      <c r="G286" s="339"/>
      <c r="H286" s="339"/>
      <c r="I286" s="973" t="s">
        <v>498</v>
      </c>
      <c r="J286" s="974">
        <v>0</v>
      </c>
      <c r="K286" s="975">
        <v>0</v>
      </c>
      <c r="L286" s="975">
        <v>0</v>
      </c>
      <c r="M286" s="975">
        <v>0</v>
      </c>
      <c r="N286" s="975">
        <v>0</v>
      </c>
      <c r="O286" s="975">
        <v>0</v>
      </c>
      <c r="P286" s="975">
        <v>0</v>
      </c>
      <c r="Q286" s="976">
        <v>0</v>
      </c>
      <c r="R286" s="974">
        <v>0</v>
      </c>
      <c r="S286" s="975">
        <v>0</v>
      </c>
      <c r="T286" s="975">
        <v>0</v>
      </c>
      <c r="U286" s="975">
        <v>0</v>
      </c>
      <c r="V286" s="976">
        <v>0</v>
      </c>
    </row>
    <row r="287" spans="1:23" s="338" customFormat="1" ht="14.25">
      <c r="B287" s="349"/>
      <c r="C287" s="1393" t="s">
        <v>1766</v>
      </c>
      <c r="D287" s="339"/>
      <c r="E287" s="339"/>
      <c r="F287" s="339"/>
      <c r="G287" s="625"/>
      <c r="H287" s="339"/>
      <c r="I287" s="164" t="s">
        <v>498</v>
      </c>
      <c r="J287" s="128">
        <f>SUM(J284:J286)</f>
        <v>4.2125696286434628</v>
      </c>
      <c r="K287" s="632">
        <f t="shared" ref="K287:V287" si="43">SUM(K284:K286)</f>
        <v>3.9957465974025963</v>
      </c>
      <c r="L287" s="632">
        <f t="shared" si="43"/>
        <v>3.7587542181678013</v>
      </c>
      <c r="M287" s="632">
        <f t="shared" si="43"/>
        <v>4.2898924869801034</v>
      </c>
      <c r="N287" s="632">
        <f t="shared" si="43"/>
        <v>3.7319505806547264</v>
      </c>
      <c r="O287" s="632">
        <f t="shared" si="43"/>
        <v>3.8163102012750398</v>
      </c>
      <c r="P287" s="632">
        <f t="shared" si="43"/>
        <v>3.7</v>
      </c>
      <c r="Q287" s="632">
        <f t="shared" si="43"/>
        <v>3.6999999999999997</v>
      </c>
      <c r="R287" s="632">
        <f t="shared" si="43"/>
        <v>3.6814999999999993</v>
      </c>
      <c r="S287" s="632">
        <f t="shared" si="43"/>
        <v>3.6630925000000016</v>
      </c>
      <c r="T287" s="632">
        <f t="shared" si="43"/>
        <v>3.6447770375000008</v>
      </c>
      <c r="U287" s="632">
        <f t="shared" si="43"/>
        <v>3.6265531523124999</v>
      </c>
      <c r="V287" s="633">
        <f t="shared" si="43"/>
        <v>3.6084203865509377</v>
      </c>
    </row>
    <row r="288" spans="1:23" s="98" customFormat="1" ht="15" customHeight="1">
      <c r="A288" s="99"/>
      <c r="B288" s="161"/>
      <c r="C288" s="116"/>
      <c r="D288" s="116"/>
      <c r="E288" s="116"/>
      <c r="F288" s="116"/>
      <c r="G288" s="117"/>
      <c r="H288" s="117"/>
      <c r="I288" s="117"/>
      <c r="J288" s="713"/>
      <c r="K288" s="721"/>
      <c r="L288" s="721"/>
      <c r="M288" s="721"/>
      <c r="N288" s="721"/>
      <c r="O288" s="721"/>
      <c r="P288" s="721"/>
      <c r="Q288" s="715"/>
      <c r="R288" s="713"/>
      <c r="S288" s="721"/>
      <c r="T288" s="721"/>
      <c r="U288" s="721"/>
      <c r="V288" s="715"/>
    </row>
    <row r="289" spans="1:23" s="98" customFormat="1" ht="15" customHeight="1">
      <c r="A289" s="99"/>
      <c r="B289" s="161"/>
      <c r="C289" s="186" t="s">
        <v>1718</v>
      </c>
      <c r="D289" s="162"/>
      <c r="E289" s="162"/>
      <c r="F289" s="162"/>
      <c r="G289" s="163"/>
      <c r="H289" s="163"/>
      <c r="I289" s="117"/>
      <c r="J289" s="713"/>
      <c r="K289" s="721"/>
      <c r="L289" s="721"/>
      <c r="M289" s="721"/>
      <c r="N289" s="721"/>
      <c r="O289" s="721"/>
      <c r="P289" s="721"/>
      <c r="Q289" s="715"/>
      <c r="R289" s="713"/>
      <c r="S289" s="721"/>
      <c r="T289" s="721"/>
      <c r="U289" s="721"/>
      <c r="V289" s="715"/>
    </row>
    <row r="290" spans="1:23" s="98" customFormat="1" ht="15" customHeight="1">
      <c r="A290" s="99"/>
      <c r="B290" s="161"/>
      <c r="D290" s="162" t="s">
        <v>1752</v>
      </c>
      <c r="E290" s="162"/>
      <c r="F290" s="162"/>
      <c r="G290" s="163"/>
      <c r="H290" s="163"/>
      <c r="I290" s="164" t="s">
        <v>498</v>
      </c>
      <c r="J290" s="143">
        <v>0.16525467261786597</v>
      </c>
      <c r="K290" s="141">
        <v>0.14680505454545451</v>
      </c>
      <c r="L290" s="141">
        <v>0.1987487703970191</v>
      </c>
      <c r="M290" s="141">
        <v>0.16497493989740153</v>
      </c>
      <c r="N290" s="141">
        <v>0.18513252223282373</v>
      </c>
      <c r="O290" s="141">
        <v>0.18465745615271412</v>
      </c>
      <c r="P290" s="141">
        <v>0.18465745615271412</v>
      </c>
      <c r="Q290" s="144">
        <v>0.18465745615271412</v>
      </c>
      <c r="R290" s="143">
        <v>0.18465745615271412</v>
      </c>
      <c r="S290" s="141">
        <v>0.18465745615271412</v>
      </c>
      <c r="T290" s="141">
        <v>0.18465745615271412</v>
      </c>
      <c r="U290" s="141">
        <v>0.18465745615271412</v>
      </c>
      <c r="V290" s="144">
        <v>0.18465745615271412</v>
      </c>
    </row>
    <row r="291" spans="1:23" s="98" customFormat="1" ht="15" customHeight="1">
      <c r="A291" s="99"/>
      <c r="B291" s="161"/>
      <c r="D291" s="162" t="s">
        <v>1753</v>
      </c>
      <c r="E291" s="162"/>
      <c r="F291" s="162"/>
      <c r="G291" s="163"/>
      <c r="H291" s="163"/>
      <c r="I291" s="164" t="s">
        <v>498</v>
      </c>
      <c r="J291" s="143">
        <v>0</v>
      </c>
      <c r="K291" s="141">
        <v>0</v>
      </c>
      <c r="L291" s="141">
        <v>0</v>
      </c>
      <c r="M291" s="141">
        <v>0</v>
      </c>
      <c r="N291" s="141">
        <v>0</v>
      </c>
      <c r="O291" s="141">
        <v>0</v>
      </c>
      <c r="P291" s="141">
        <v>0</v>
      </c>
      <c r="Q291" s="144">
        <v>0</v>
      </c>
      <c r="R291" s="143">
        <v>0</v>
      </c>
      <c r="S291" s="141">
        <v>0</v>
      </c>
      <c r="T291" s="141">
        <v>0</v>
      </c>
      <c r="U291" s="141">
        <v>0</v>
      </c>
      <c r="V291" s="144">
        <v>0</v>
      </c>
    </row>
    <row r="292" spans="1:23" s="98" customFormat="1" ht="15" customHeight="1">
      <c r="A292" s="99"/>
      <c r="B292" s="161"/>
      <c r="D292" s="162" t="s">
        <v>1754</v>
      </c>
      <c r="E292" s="162"/>
      <c r="F292" s="162"/>
      <c r="G292" s="163"/>
      <c r="H292" s="163"/>
      <c r="I292" s="164" t="s">
        <v>498</v>
      </c>
      <c r="J292" s="143">
        <v>0</v>
      </c>
      <c r="K292" s="141">
        <v>0</v>
      </c>
      <c r="L292" s="141">
        <v>1.0920262109726324E-3</v>
      </c>
      <c r="M292" s="141">
        <v>0</v>
      </c>
      <c r="N292" s="141">
        <v>0</v>
      </c>
      <c r="O292" s="141">
        <v>0</v>
      </c>
      <c r="P292" s="141">
        <v>0</v>
      </c>
      <c r="Q292" s="144">
        <v>0</v>
      </c>
      <c r="R292" s="143">
        <v>0</v>
      </c>
      <c r="S292" s="141">
        <v>0</v>
      </c>
      <c r="T292" s="141">
        <v>0</v>
      </c>
      <c r="U292" s="141">
        <v>0</v>
      </c>
      <c r="V292" s="144">
        <v>0</v>
      </c>
    </row>
    <row r="293" spans="1:23" s="98" customFormat="1" ht="15" customHeight="1">
      <c r="A293" s="99"/>
      <c r="B293" s="161"/>
      <c r="D293" s="162" t="s">
        <v>1755</v>
      </c>
      <c r="E293" s="162"/>
      <c r="F293" s="162"/>
      <c r="G293" s="163"/>
      <c r="H293" s="163"/>
      <c r="I293" s="164" t="s">
        <v>498</v>
      </c>
      <c r="J293" s="143">
        <v>9.4645330075913742E-4</v>
      </c>
      <c r="K293" s="141">
        <v>0</v>
      </c>
      <c r="L293" s="141">
        <v>8.4086018244892702E-2</v>
      </c>
      <c r="M293" s="141">
        <v>0</v>
      </c>
      <c r="N293" s="141">
        <v>2.0301946833122352E-4</v>
      </c>
      <c r="O293" s="141">
        <v>2.0700000226497701E-4</v>
      </c>
      <c r="P293" s="141">
        <v>2.0700000226497701E-4</v>
      </c>
      <c r="Q293" s="144">
        <v>2.0700000226497701E-4</v>
      </c>
      <c r="R293" s="143">
        <v>2.0700000226497701E-4</v>
      </c>
      <c r="S293" s="141">
        <v>2.0700000226497701E-4</v>
      </c>
      <c r="T293" s="141">
        <v>2.0700000226497701E-4</v>
      </c>
      <c r="U293" s="141">
        <v>2.0700000226497701E-4</v>
      </c>
      <c r="V293" s="144">
        <v>2.0700000226497701E-4</v>
      </c>
    </row>
    <row r="294" spans="1:23" s="98" customFormat="1" ht="15" customHeight="1">
      <c r="A294" s="99"/>
      <c r="B294" s="161"/>
      <c r="D294" s="162" t="s">
        <v>1756</v>
      </c>
      <c r="E294" s="162"/>
      <c r="F294" s="162"/>
      <c r="G294" s="163"/>
      <c r="H294" s="163"/>
      <c r="I294" s="164" t="s">
        <v>498</v>
      </c>
      <c r="J294" s="143">
        <v>9.4313440616844001E-4</v>
      </c>
      <c r="K294" s="141">
        <v>1.1037974025974021E-3</v>
      </c>
      <c r="L294" s="141">
        <v>1.0920262109726324E-3</v>
      </c>
      <c r="M294" s="141">
        <v>0</v>
      </c>
      <c r="N294" s="141">
        <v>5.6570292767034783E-4</v>
      </c>
      <c r="O294" s="141">
        <v>1.99359999038279E-4</v>
      </c>
      <c r="P294" s="141">
        <v>1.99359999038279E-4</v>
      </c>
      <c r="Q294" s="144">
        <v>1.99359999038279E-4</v>
      </c>
      <c r="R294" s="143">
        <v>1.99359999038279E-4</v>
      </c>
      <c r="S294" s="141">
        <v>1.99359999038279E-4</v>
      </c>
      <c r="T294" s="141">
        <v>1.99359999038279E-4</v>
      </c>
      <c r="U294" s="141">
        <v>1.99359999038279E-4</v>
      </c>
      <c r="V294" s="144">
        <v>1.99359999038279E-4</v>
      </c>
    </row>
    <row r="295" spans="1:23" s="98" customFormat="1" ht="15" customHeight="1">
      <c r="A295" s="99"/>
      <c r="B295" s="161"/>
      <c r="D295" s="162" t="s">
        <v>1757</v>
      </c>
      <c r="E295" s="162"/>
      <c r="F295" s="162"/>
      <c r="G295" s="163"/>
      <c r="H295" s="163"/>
      <c r="I295" s="164" t="s">
        <v>498</v>
      </c>
      <c r="J295" s="143">
        <v>0</v>
      </c>
      <c r="K295" s="141">
        <v>0</v>
      </c>
      <c r="L295" s="141">
        <v>0</v>
      </c>
      <c r="M295" s="141">
        <v>0</v>
      </c>
      <c r="N295" s="141">
        <v>0</v>
      </c>
      <c r="O295" s="141">
        <v>0</v>
      </c>
      <c r="P295" s="141">
        <v>0</v>
      </c>
      <c r="Q295" s="144">
        <v>0</v>
      </c>
      <c r="R295" s="143">
        <v>0</v>
      </c>
      <c r="S295" s="141">
        <v>0</v>
      </c>
      <c r="T295" s="141">
        <v>0</v>
      </c>
      <c r="U295" s="141">
        <v>0</v>
      </c>
      <c r="V295" s="144">
        <v>0</v>
      </c>
    </row>
    <row r="296" spans="1:23" s="98" customFormat="1" ht="15" customHeight="1">
      <c r="A296" s="99"/>
      <c r="B296" s="161"/>
      <c r="D296" s="162" t="s">
        <v>205</v>
      </c>
      <c r="E296" s="162"/>
      <c r="F296" s="162"/>
      <c r="G296" s="163"/>
      <c r="H296" s="163"/>
      <c r="I296" s="164" t="s">
        <v>498</v>
      </c>
      <c r="J296" s="143">
        <v>0</v>
      </c>
      <c r="K296" s="141">
        <v>0</v>
      </c>
      <c r="L296" s="141">
        <v>0</v>
      </c>
      <c r="M296" s="141">
        <v>0</v>
      </c>
      <c r="N296" s="141">
        <v>0</v>
      </c>
      <c r="O296" s="141">
        <v>0</v>
      </c>
      <c r="P296" s="141">
        <v>0</v>
      </c>
      <c r="Q296" s="144">
        <v>0</v>
      </c>
      <c r="R296" s="143">
        <v>0</v>
      </c>
      <c r="S296" s="141">
        <v>0</v>
      </c>
      <c r="T296" s="141">
        <v>0</v>
      </c>
      <c r="U296" s="141">
        <v>0</v>
      </c>
      <c r="V296" s="144">
        <v>0</v>
      </c>
    </row>
    <row r="297" spans="1:23" s="98" customFormat="1" ht="15" customHeight="1">
      <c r="A297" s="99"/>
      <c r="B297" s="161"/>
      <c r="D297" s="162" t="s">
        <v>1758</v>
      </c>
      <c r="E297" s="162"/>
      <c r="F297" s="162"/>
      <c r="G297" s="163"/>
      <c r="H297" s="163"/>
      <c r="I297" s="164" t="s">
        <v>498</v>
      </c>
      <c r="J297" s="143">
        <v>0</v>
      </c>
      <c r="K297" s="141">
        <v>0</v>
      </c>
      <c r="L297" s="141">
        <v>0</v>
      </c>
      <c r="M297" s="141">
        <v>0</v>
      </c>
      <c r="N297" s="141">
        <v>0</v>
      </c>
      <c r="O297" s="141">
        <v>0</v>
      </c>
      <c r="P297" s="141">
        <v>0</v>
      </c>
      <c r="Q297" s="144">
        <v>0</v>
      </c>
      <c r="R297" s="143">
        <v>0</v>
      </c>
      <c r="S297" s="141">
        <v>0</v>
      </c>
      <c r="T297" s="141">
        <v>0</v>
      </c>
      <c r="U297" s="141">
        <v>0</v>
      </c>
      <c r="V297" s="144">
        <v>0</v>
      </c>
    </row>
    <row r="298" spans="1:23" s="98" customFormat="1" ht="15" customHeight="1">
      <c r="A298" s="99"/>
      <c r="B298" s="161"/>
      <c r="D298" s="162" t="s">
        <v>85</v>
      </c>
      <c r="E298" s="162"/>
      <c r="F298" s="162"/>
      <c r="G298" s="720" t="s">
        <v>1771</v>
      </c>
      <c r="H298" s="163"/>
      <c r="I298" s="164" t="s">
        <v>498</v>
      </c>
      <c r="J298" s="143">
        <v>3.74702914555803</v>
      </c>
      <c r="K298" s="141">
        <v>3.4968301714285701</v>
      </c>
      <c r="L298" s="141">
        <v>2.2331936014390332</v>
      </c>
      <c r="M298" s="141">
        <v>2.6156517370435322</v>
      </c>
      <c r="N298" s="141">
        <v>3.1092042540158884</v>
      </c>
      <c r="O298" s="141">
        <v>2.6891154233366015</v>
      </c>
      <c r="P298" s="141">
        <v>3.1150000000000002</v>
      </c>
      <c r="Q298" s="144">
        <v>3.1150000000000002</v>
      </c>
      <c r="R298" s="143">
        <v>3.1150000000000002</v>
      </c>
      <c r="S298" s="141">
        <v>3.1150000000000002</v>
      </c>
      <c r="T298" s="141">
        <v>3.1150000000000002</v>
      </c>
      <c r="U298" s="141">
        <v>3.1150000000000002</v>
      </c>
      <c r="V298" s="144">
        <v>3.1150000000000002</v>
      </c>
    </row>
    <row r="299" spans="1:23" s="98" customFormat="1" ht="15" customHeight="1">
      <c r="A299" s="99"/>
      <c r="B299" s="161"/>
      <c r="D299" s="162" t="s">
        <v>85</v>
      </c>
      <c r="E299" s="162"/>
      <c r="F299" s="162"/>
      <c r="G299" s="720"/>
      <c r="H299" s="163"/>
      <c r="I299" s="164" t="s">
        <v>498</v>
      </c>
      <c r="J299" s="143">
        <v>0</v>
      </c>
      <c r="K299" s="141">
        <v>0</v>
      </c>
      <c r="L299" s="141">
        <v>0</v>
      </c>
      <c r="M299" s="141">
        <v>0</v>
      </c>
      <c r="N299" s="141">
        <v>0</v>
      </c>
      <c r="O299" s="141">
        <v>0</v>
      </c>
      <c r="P299" s="141">
        <v>0</v>
      </c>
      <c r="Q299" s="144">
        <v>0</v>
      </c>
      <c r="R299" s="143">
        <v>0</v>
      </c>
      <c r="S299" s="141">
        <v>0</v>
      </c>
      <c r="T299" s="141">
        <v>0</v>
      </c>
      <c r="U299" s="141">
        <v>0</v>
      </c>
      <c r="V299" s="144">
        <v>0</v>
      </c>
    </row>
    <row r="300" spans="1:23" s="98" customFormat="1" ht="15" customHeight="1">
      <c r="A300" s="99"/>
      <c r="B300" s="161"/>
      <c r="D300" s="162" t="s">
        <v>85</v>
      </c>
      <c r="E300" s="162"/>
      <c r="F300" s="162"/>
      <c r="G300" s="720"/>
      <c r="H300" s="163"/>
      <c r="I300" s="164" t="s">
        <v>498</v>
      </c>
      <c r="J300" s="143">
        <v>0</v>
      </c>
      <c r="K300" s="141">
        <v>0</v>
      </c>
      <c r="L300" s="141">
        <v>0</v>
      </c>
      <c r="M300" s="141">
        <v>0</v>
      </c>
      <c r="N300" s="141">
        <v>0</v>
      </c>
      <c r="O300" s="141">
        <v>0</v>
      </c>
      <c r="P300" s="141">
        <v>0</v>
      </c>
      <c r="Q300" s="144">
        <v>0</v>
      </c>
      <c r="R300" s="143">
        <v>0</v>
      </c>
      <c r="S300" s="141">
        <v>0</v>
      </c>
      <c r="T300" s="141">
        <v>0</v>
      </c>
      <c r="U300" s="141">
        <v>0</v>
      </c>
      <c r="V300" s="144">
        <v>0</v>
      </c>
    </row>
    <row r="301" spans="1:23" s="98" customFormat="1" ht="15" customHeight="1">
      <c r="A301" s="99"/>
      <c r="B301" s="161"/>
      <c r="D301" s="162" t="s">
        <v>85</v>
      </c>
      <c r="E301" s="162"/>
      <c r="F301" s="162"/>
      <c r="G301" s="720"/>
      <c r="H301" s="163"/>
      <c r="I301" s="164" t="s">
        <v>498</v>
      </c>
      <c r="J301" s="143">
        <v>0</v>
      </c>
      <c r="K301" s="141">
        <v>0</v>
      </c>
      <c r="L301" s="141">
        <v>0</v>
      </c>
      <c r="M301" s="141">
        <v>0</v>
      </c>
      <c r="N301" s="141">
        <v>0</v>
      </c>
      <c r="O301" s="141">
        <v>0</v>
      </c>
      <c r="P301" s="141">
        <v>0</v>
      </c>
      <c r="Q301" s="144">
        <v>0</v>
      </c>
      <c r="R301" s="143">
        <v>0</v>
      </c>
      <c r="S301" s="141">
        <v>0</v>
      </c>
      <c r="T301" s="141">
        <v>0</v>
      </c>
      <c r="U301" s="141">
        <v>0</v>
      </c>
      <c r="V301" s="144">
        <v>0</v>
      </c>
    </row>
    <row r="302" spans="1:23" s="98" customFormat="1" ht="15" customHeight="1">
      <c r="A302" s="99"/>
      <c r="B302" s="161"/>
      <c r="D302" s="162" t="s">
        <v>85</v>
      </c>
      <c r="E302" s="162"/>
      <c r="F302" s="162"/>
      <c r="G302" s="720"/>
      <c r="H302" s="163"/>
      <c r="I302" s="164" t="s">
        <v>498</v>
      </c>
      <c r="J302" s="143">
        <v>0</v>
      </c>
      <c r="K302" s="141">
        <v>0</v>
      </c>
      <c r="L302" s="141">
        <v>0</v>
      </c>
      <c r="M302" s="141">
        <v>0</v>
      </c>
      <c r="N302" s="141">
        <v>0</v>
      </c>
      <c r="O302" s="141">
        <v>0</v>
      </c>
      <c r="P302" s="141">
        <v>0</v>
      </c>
      <c r="Q302" s="144">
        <v>0</v>
      </c>
      <c r="R302" s="143">
        <v>0</v>
      </c>
      <c r="S302" s="141">
        <v>0</v>
      </c>
      <c r="T302" s="141">
        <v>0</v>
      </c>
      <c r="U302" s="141">
        <v>0</v>
      </c>
      <c r="V302" s="144">
        <v>0</v>
      </c>
    </row>
    <row r="303" spans="1:23" s="98" customFormat="1" ht="15" customHeight="1">
      <c r="A303" s="99"/>
      <c r="B303" s="181"/>
      <c r="C303" s="2492" t="s">
        <v>1763</v>
      </c>
      <c r="D303" s="183"/>
      <c r="E303" s="183"/>
      <c r="F303" s="183"/>
      <c r="G303" s="184"/>
      <c r="H303" s="184"/>
      <c r="I303" s="164" t="s">
        <v>498</v>
      </c>
      <c r="J303" s="128">
        <f t="shared" ref="J303:V303" si="44">SUM(J290:J302)</f>
        <v>3.9141734058828237</v>
      </c>
      <c r="K303" s="129">
        <f t="shared" si="44"/>
        <v>3.6447390233766219</v>
      </c>
      <c r="L303" s="129">
        <f t="shared" si="44"/>
        <v>2.5182124425028904</v>
      </c>
      <c r="M303" s="129">
        <f t="shared" si="44"/>
        <v>2.7806266769409338</v>
      </c>
      <c r="N303" s="129">
        <f t="shared" si="44"/>
        <v>3.2951054986447139</v>
      </c>
      <c r="O303" s="129">
        <f t="shared" si="44"/>
        <v>2.8741792394906187</v>
      </c>
      <c r="P303" s="129">
        <f t="shared" si="44"/>
        <v>3.3000638161540174</v>
      </c>
      <c r="Q303" s="130">
        <f t="shared" si="44"/>
        <v>3.3000638161540174</v>
      </c>
      <c r="R303" s="128">
        <f t="shared" si="44"/>
        <v>3.3000638161540174</v>
      </c>
      <c r="S303" s="129">
        <f t="shared" si="44"/>
        <v>3.3000638161540174</v>
      </c>
      <c r="T303" s="129">
        <f t="shared" si="44"/>
        <v>3.3000638161540174</v>
      </c>
      <c r="U303" s="129">
        <f t="shared" si="44"/>
        <v>3.3000638161540174</v>
      </c>
      <c r="V303" s="130">
        <f t="shared" si="44"/>
        <v>3.3000638161540174</v>
      </c>
      <c r="W303" s="185"/>
    </row>
    <row r="304" spans="1:23" s="338" customFormat="1" ht="14.25">
      <c r="B304" s="349"/>
      <c r="C304" s="1393"/>
      <c r="D304" s="624" t="s">
        <v>1764</v>
      </c>
      <c r="E304" s="624"/>
      <c r="F304" s="624"/>
      <c r="G304" s="339"/>
      <c r="H304" s="339"/>
      <c r="I304" s="576" t="s">
        <v>498</v>
      </c>
      <c r="J304" s="297">
        <v>0</v>
      </c>
      <c r="K304" s="298" t="s">
        <v>1127</v>
      </c>
      <c r="L304" s="298">
        <v>0</v>
      </c>
      <c r="M304" s="298">
        <v>0</v>
      </c>
      <c r="N304" s="298">
        <v>0</v>
      </c>
      <c r="O304" s="298">
        <v>0</v>
      </c>
      <c r="P304" s="298">
        <v>0</v>
      </c>
      <c r="Q304" s="299">
        <v>0</v>
      </c>
      <c r="R304" s="297">
        <v>0</v>
      </c>
      <c r="S304" s="298">
        <v>0</v>
      </c>
      <c r="T304" s="298">
        <v>0</v>
      </c>
      <c r="U304" s="298">
        <v>0</v>
      </c>
      <c r="V304" s="299">
        <v>0</v>
      </c>
    </row>
    <row r="305" spans="1:22" s="338" customFormat="1" ht="14.25">
      <c r="B305" s="349"/>
      <c r="C305" s="1393"/>
      <c r="D305" s="624" t="s">
        <v>1765</v>
      </c>
      <c r="E305" s="624"/>
      <c r="F305" s="624"/>
      <c r="G305" s="339"/>
      <c r="H305" s="339"/>
      <c r="I305" s="973" t="s">
        <v>498</v>
      </c>
      <c r="J305" s="974">
        <v>0</v>
      </c>
      <c r="K305" s="975">
        <v>0</v>
      </c>
      <c r="L305" s="975">
        <v>0</v>
      </c>
      <c r="M305" s="975">
        <v>0</v>
      </c>
      <c r="N305" s="975">
        <v>0</v>
      </c>
      <c r="O305" s="975">
        <v>0</v>
      </c>
      <c r="P305" s="975">
        <v>0</v>
      </c>
      <c r="Q305" s="976">
        <v>0</v>
      </c>
      <c r="R305" s="974">
        <v>0</v>
      </c>
      <c r="S305" s="975">
        <v>0</v>
      </c>
      <c r="T305" s="975">
        <v>0</v>
      </c>
      <c r="U305" s="975">
        <v>0</v>
      </c>
      <c r="V305" s="976">
        <v>0</v>
      </c>
    </row>
    <row r="306" spans="1:22" s="338" customFormat="1" ht="14.25">
      <c r="B306" s="349"/>
      <c r="C306" s="1393" t="s">
        <v>1766</v>
      </c>
      <c r="D306" s="339"/>
      <c r="E306" s="339"/>
      <c r="F306" s="339"/>
      <c r="G306" s="625"/>
      <c r="H306" s="339"/>
      <c r="I306" s="164" t="s">
        <v>498</v>
      </c>
      <c r="J306" s="128">
        <f>SUM(J303:J305)</f>
        <v>3.9141734058828237</v>
      </c>
      <c r="K306" s="632">
        <f t="shared" ref="K306:V306" si="45">SUM(K303:K305)</f>
        <v>3.6447390233766219</v>
      </c>
      <c r="L306" s="632">
        <f t="shared" si="45"/>
        <v>2.5182124425028904</v>
      </c>
      <c r="M306" s="632">
        <f t="shared" si="45"/>
        <v>2.7806266769409338</v>
      </c>
      <c r="N306" s="632">
        <f t="shared" si="45"/>
        <v>3.2951054986447139</v>
      </c>
      <c r="O306" s="632">
        <f t="shared" si="45"/>
        <v>2.8741792394906187</v>
      </c>
      <c r="P306" s="632">
        <f t="shared" si="45"/>
        <v>3.3000638161540174</v>
      </c>
      <c r="Q306" s="632">
        <f t="shared" si="45"/>
        <v>3.3000638161540174</v>
      </c>
      <c r="R306" s="632">
        <f t="shared" si="45"/>
        <v>3.3000638161540174</v>
      </c>
      <c r="S306" s="632">
        <f t="shared" si="45"/>
        <v>3.3000638161540174</v>
      </c>
      <c r="T306" s="632">
        <f t="shared" si="45"/>
        <v>3.3000638161540174</v>
      </c>
      <c r="U306" s="632">
        <f t="shared" si="45"/>
        <v>3.3000638161540174</v>
      </c>
      <c r="V306" s="633">
        <f t="shared" si="45"/>
        <v>3.3000638161540174</v>
      </c>
    </row>
    <row r="307" spans="1:22" s="98" customFormat="1" ht="15" customHeight="1">
      <c r="A307" s="99"/>
      <c r="B307" s="161"/>
      <c r="C307" s="116"/>
      <c r="D307" s="116"/>
      <c r="E307" s="116"/>
      <c r="F307" s="116"/>
      <c r="G307" s="117"/>
      <c r="H307" s="117"/>
      <c r="I307" s="117"/>
      <c r="J307" s="713"/>
      <c r="K307" s="721"/>
      <c r="L307" s="721"/>
      <c r="M307" s="721"/>
      <c r="N307" s="721"/>
      <c r="O307" s="721"/>
      <c r="P307" s="721"/>
      <c r="Q307" s="715"/>
      <c r="R307" s="713"/>
      <c r="S307" s="721"/>
      <c r="T307" s="721"/>
      <c r="U307" s="721"/>
      <c r="V307" s="715"/>
    </row>
    <row r="308" spans="1:22" s="98" customFormat="1" ht="15" customHeight="1">
      <c r="A308" s="99"/>
      <c r="B308" s="161"/>
      <c r="C308" s="186" t="s">
        <v>1719</v>
      </c>
      <c r="D308" s="162"/>
      <c r="E308" s="162"/>
      <c r="F308" s="162"/>
      <c r="G308" s="163"/>
      <c r="H308" s="163"/>
      <c r="I308" s="117"/>
      <c r="J308" s="713"/>
      <c r="K308" s="721"/>
      <c r="L308" s="721"/>
      <c r="M308" s="721"/>
      <c r="N308" s="721"/>
      <c r="O308" s="721"/>
      <c r="P308" s="721"/>
      <c r="Q308" s="715"/>
      <c r="R308" s="713"/>
      <c r="S308" s="721"/>
      <c r="T308" s="721"/>
      <c r="U308" s="721"/>
      <c r="V308" s="715"/>
    </row>
    <row r="309" spans="1:22" s="98" customFormat="1" ht="15" customHeight="1">
      <c r="A309" s="99"/>
      <c r="B309" s="161"/>
      <c r="D309" s="162" t="s">
        <v>1752</v>
      </c>
      <c r="E309" s="162"/>
      <c r="F309" s="162"/>
      <c r="G309" s="163"/>
      <c r="H309" s="163"/>
      <c r="I309" s="164" t="s">
        <v>498</v>
      </c>
      <c r="J309" s="143">
        <v>0.16588098868286219</v>
      </c>
      <c r="K309" s="141">
        <v>0.19426834285714278</v>
      </c>
      <c r="L309" s="141">
        <v>0.2599022382114865</v>
      </c>
      <c r="M309" s="141">
        <v>0.42702666151972596</v>
      </c>
      <c r="N309" s="141">
        <v>0.607369016344524</v>
      </c>
      <c r="O309" s="141">
        <v>0.21194118921942892</v>
      </c>
      <c r="P309" s="141">
        <v>0.21194118921942892</v>
      </c>
      <c r="Q309" s="144">
        <v>0.21194118921942892</v>
      </c>
      <c r="R309" s="143">
        <v>0.21194118921942892</v>
      </c>
      <c r="S309" s="141">
        <v>0.21194118921942892</v>
      </c>
      <c r="T309" s="141">
        <v>0.21194118921942892</v>
      </c>
      <c r="U309" s="141">
        <v>0.21194118921942892</v>
      </c>
      <c r="V309" s="144">
        <v>0.21194118921942892</v>
      </c>
    </row>
    <row r="310" spans="1:22" s="98" customFormat="1" ht="15" customHeight="1">
      <c r="A310" s="99"/>
      <c r="B310" s="161"/>
      <c r="D310" s="162" t="s">
        <v>1753</v>
      </c>
      <c r="E310" s="162"/>
      <c r="F310" s="162"/>
      <c r="G310" s="163"/>
      <c r="H310" s="163"/>
      <c r="I310" s="164" t="s">
        <v>498</v>
      </c>
      <c r="J310" s="143">
        <v>2.4848124282758292E-3</v>
      </c>
      <c r="K310" s="141">
        <v>6.6227844155844137E-3</v>
      </c>
      <c r="L310" s="141">
        <v>0</v>
      </c>
      <c r="M310" s="141">
        <v>8.1855529816900072E-2</v>
      </c>
      <c r="N310" s="141">
        <v>-1.3563864651447029E-3</v>
      </c>
      <c r="O310" s="141">
        <v>-3.596100211143568E-4</v>
      </c>
      <c r="P310" s="141">
        <v>0</v>
      </c>
      <c r="Q310" s="144">
        <v>0</v>
      </c>
      <c r="R310" s="143">
        <v>0</v>
      </c>
      <c r="S310" s="141">
        <v>0</v>
      </c>
      <c r="T310" s="141">
        <v>0</v>
      </c>
      <c r="U310" s="141">
        <v>0</v>
      </c>
      <c r="V310" s="144">
        <v>0</v>
      </c>
    </row>
    <row r="311" spans="1:22" s="98" customFormat="1" ht="15" customHeight="1">
      <c r="A311" s="99"/>
      <c r="B311" s="161"/>
      <c r="D311" s="162" t="s">
        <v>1754</v>
      </c>
      <c r="E311" s="162"/>
      <c r="F311" s="162"/>
      <c r="G311" s="163"/>
      <c r="H311" s="163"/>
      <c r="I311" s="164" t="s">
        <v>498</v>
      </c>
      <c r="J311" s="143">
        <v>-2.8135762891635173E-3</v>
      </c>
      <c r="K311" s="141">
        <v>4.4151896103896086E-3</v>
      </c>
      <c r="L311" s="141">
        <v>1.0920262109726324E-3</v>
      </c>
      <c r="M311" s="141">
        <v>7.5665191429175188E-3</v>
      </c>
      <c r="N311" s="141">
        <v>2.2764830622899298E-2</v>
      </c>
      <c r="O311" s="141">
        <v>-1.0256397724151571E-3</v>
      </c>
      <c r="P311" s="141">
        <v>0</v>
      </c>
      <c r="Q311" s="144">
        <v>0</v>
      </c>
      <c r="R311" s="143">
        <v>0</v>
      </c>
      <c r="S311" s="141">
        <v>0</v>
      </c>
      <c r="T311" s="141">
        <v>0</v>
      </c>
      <c r="U311" s="141">
        <v>0</v>
      </c>
      <c r="V311" s="144">
        <v>0</v>
      </c>
    </row>
    <row r="312" spans="1:22" s="98" customFormat="1" ht="15" customHeight="1">
      <c r="A312" s="99"/>
      <c r="B312" s="161"/>
      <c r="D312" s="162" t="s">
        <v>1755</v>
      </c>
      <c r="E312" s="162"/>
      <c r="F312" s="162"/>
      <c r="G312" s="163"/>
      <c r="H312" s="163"/>
      <c r="I312" s="164" t="s">
        <v>498</v>
      </c>
      <c r="J312" s="143">
        <v>1.7556716044380349E-3</v>
      </c>
      <c r="K312" s="141">
        <v>8.8303792207792171E-3</v>
      </c>
      <c r="L312" s="141">
        <v>7.6441834768084266E-3</v>
      </c>
      <c r="M312" s="141">
        <v>0.29429985903287637</v>
      </c>
      <c r="N312" s="141">
        <v>0.26093810922912386</v>
      </c>
      <c r="O312" s="141">
        <v>9.6510926485061654E-2</v>
      </c>
      <c r="P312" s="141">
        <v>9.6510926485061654E-2</v>
      </c>
      <c r="Q312" s="144">
        <v>9.6510926485061654E-2</v>
      </c>
      <c r="R312" s="143">
        <v>9.6510926485061654E-2</v>
      </c>
      <c r="S312" s="141">
        <v>9.6510926485061654E-2</v>
      </c>
      <c r="T312" s="141">
        <v>9.6510926485061654E-2</v>
      </c>
      <c r="U312" s="141">
        <v>9.6510926485061654E-2</v>
      </c>
      <c r="V312" s="144">
        <v>9.6510926485061654E-2</v>
      </c>
    </row>
    <row r="313" spans="1:22" s="98" customFormat="1" ht="15" customHeight="1">
      <c r="A313" s="99"/>
      <c r="B313" s="161"/>
      <c r="D313" s="162" t="s">
        <v>1756</v>
      </c>
      <c r="E313" s="162"/>
      <c r="F313" s="162"/>
      <c r="G313" s="163"/>
      <c r="H313" s="163"/>
      <c r="I313" s="164" t="s">
        <v>498</v>
      </c>
      <c r="J313" s="143">
        <v>9.4837977587112713E-3</v>
      </c>
      <c r="K313" s="141">
        <v>8.8303792207792171E-3</v>
      </c>
      <c r="L313" s="141">
        <v>3.8220917384042138E-2</v>
      </c>
      <c r="M313" s="141">
        <v>-2.9289532524000711E-2</v>
      </c>
      <c r="N313" s="141">
        <v>-3.7328684669780308E-3</v>
      </c>
      <c r="O313" s="141">
        <v>-2.3481493070554279E-3</v>
      </c>
      <c r="P313" s="141">
        <v>0</v>
      </c>
      <c r="Q313" s="144">
        <v>0</v>
      </c>
      <c r="R313" s="143">
        <v>0</v>
      </c>
      <c r="S313" s="141">
        <v>0</v>
      </c>
      <c r="T313" s="141">
        <v>0</v>
      </c>
      <c r="U313" s="141">
        <v>0</v>
      </c>
      <c r="V313" s="144">
        <v>0</v>
      </c>
    </row>
    <row r="314" spans="1:22" s="98" customFormat="1" ht="15" customHeight="1">
      <c r="A314" s="99"/>
      <c r="B314" s="161"/>
      <c r="D314" s="162" t="s">
        <v>1757</v>
      </c>
      <c r="E314" s="162"/>
      <c r="F314" s="162"/>
      <c r="G314" s="163"/>
      <c r="H314" s="163"/>
      <c r="I314" s="164" t="s">
        <v>498</v>
      </c>
      <c r="J314" s="143">
        <v>0</v>
      </c>
      <c r="K314" s="141">
        <v>0</v>
      </c>
      <c r="L314" s="141">
        <v>0</v>
      </c>
      <c r="M314" s="141">
        <v>0</v>
      </c>
      <c r="N314" s="141">
        <v>0</v>
      </c>
      <c r="O314" s="141">
        <v>0</v>
      </c>
      <c r="P314" s="141">
        <v>0</v>
      </c>
      <c r="Q314" s="144">
        <v>0</v>
      </c>
      <c r="R314" s="143">
        <v>0</v>
      </c>
      <c r="S314" s="141">
        <v>0</v>
      </c>
      <c r="T314" s="141">
        <v>0</v>
      </c>
      <c r="U314" s="141">
        <v>0</v>
      </c>
      <c r="V314" s="144">
        <v>0</v>
      </c>
    </row>
    <row r="315" spans="1:22" s="98" customFormat="1" ht="15" customHeight="1">
      <c r="A315" s="99"/>
      <c r="B315" s="161"/>
      <c r="D315" s="162" t="s">
        <v>205</v>
      </c>
      <c r="E315" s="162"/>
      <c r="F315" s="162"/>
      <c r="G315" s="163"/>
      <c r="H315" s="163"/>
      <c r="I315" s="164" t="s">
        <v>498</v>
      </c>
      <c r="J315" s="143">
        <v>0</v>
      </c>
      <c r="K315" s="141">
        <v>0</v>
      </c>
      <c r="L315" s="141">
        <v>0</v>
      </c>
      <c r="M315" s="141">
        <v>0</v>
      </c>
      <c r="N315" s="141">
        <v>3.7471653658824031E-2</v>
      </c>
      <c r="O315" s="141">
        <v>2.2562880545854477E-2</v>
      </c>
      <c r="P315" s="141">
        <v>2.2562880545854477E-2</v>
      </c>
      <c r="Q315" s="144">
        <v>2.2562880545854477E-2</v>
      </c>
      <c r="R315" s="143">
        <v>2.2562880545854477E-2</v>
      </c>
      <c r="S315" s="141">
        <v>2.2562880545854477E-2</v>
      </c>
      <c r="T315" s="141">
        <v>2.2562880545854477E-2</v>
      </c>
      <c r="U315" s="141">
        <v>2.2562880545854477E-2</v>
      </c>
      <c r="V315" s="144">
        <v>2.2562880545854477E-2</v>
      </c>
    </row>
    <row r="316" spans="1:22" s="98" customFormat="1" ht="15" customHeight="1">
      <c r="A316" s="99"/>
      <c r="B316" s="161"/>
      <c r="D316" s="162" t="s">
        <v>1758</v>
      </c>
      <c r="E316" s="162"/>
      <c r="F316" s="162"/>
      <c r="G316" s="163"/>
      <c r="H316" s="163"/>
      <c r="I316" s="164" t="s">
        <v>498</v>
      </c>
      <c r="J316" s="143">
        <v>0</v>
      </c>
      <c r="K316" s="141">
        <v>0</v>
      </c>
      <c r="L316" s="141">
        <v>0</v>
      </c>
      <c r="M316" s="141">
        <v>0</v>
      </c>
      <c r="N316" s="141">
        <v>0</v>
      </c>
      <c r="O316" s="141">
        <v>0</v>
      </c>
      <c r="P316" s="141">
        <v>0</v>
      </c>
      <c r="Q316" s="144">
        <v>0</v>
      </c>
      <c r="R316" s="143">
        <v>0</v>
      </c>
      <c r="S316" s="141">
        <v>0</v>
      </c>
      <c r="T316" s="141">
        <v>0</v>
      </c>
      <c r="U316" s="141">
        <v>0</v>
      </c>
      <c r="V316" s="144">
        <v>0</v>
      </c>
    </row>
    <row r="317" spans="1:22" s="98" customFormat="1" ht="15" customHeight="1">
      <c r="A317" s="99"/>
      <c r="B317" s="161"/>
      <c r="D317" s="162" t="s">
        <v>85</v>
      </c>
      <c r="E317" s="162"/>
      <c r="F317" s="162"/>
      <c r="G317" s="720" t="s">
        <v>1762</v>
      </c>
      <c r="H317" s="163"/>
      <c r="I317" s="164" t="s">
        <v>498</v>
      </c>
      <c r="J317" s="143">
        <v>7.0339407229087943E-3</v>
      </c>
      <c r="K317" s="141">
        <v>-3.3113922077922069E-3</v>
      </c>
      <c r="L317" s="141">
        <v>0</v>
      </c>
      <c r="M317" s="141">
        <v>0</v>
      </c>
      <c r="N317" s="141">
        <v>7.5550036666812158E-5</v>
      </c>
      <c r="O317" s="141">
        <v>1.020099995657806E-4</v>
      </c>
      <c r="P317" s="141">
        <v>1.020099995657806E-4</v>
      </c>
      <c r="Q317" s="144">
        <v>1.020099995657806E-4</v>
      </c>
      <c r="R317" s="143">
        <v>1.020099995657806E-4</v>
      </c>
      <c r="S317" s="141">
        <v>1.020099995657806E-4</v>
      </c>
      <c r="T317" s="141">
        <v>1.020099995657806E-4</v>
      </c>
      <c r="U317" s="141">
        <v>1.020099995657806E-4</v>
      </c>
      <c r="V317" s="144">
        <v>1.020099995657806E-4</v>
      </c>
    </row>
    <row r="318" spans="1:22" s="98" customFormat="1" ht="15" customHeight="1">
      <c r="A318" s="99"/>
      <c r="B318" s="161"/>
      <c r="D318" s="162" t="s">
        <v>85</v>
      </c>
      <c r="E318" s="162"/>
      <c r="F318" s="162"/>
      <c r="G318" s="720" t="s">
        <v>1768</v>
      </c>
      <c r="H318" s="163"/>
      <c r="I318" s="164" t="s">
        <v>498</v>
      </c>
      <c r="J318" s="143">
        <v>0</v>
      </c>
      <c r="K318" s="141">
        <v>0</v>
      </c>
      <c r="L318" s="141">
        <v>0</v>
      </c>
      <c r="M318" s="141">
        <v>0</v>
      </c>
      <c r="N318" s="141">
        <v>0</v>
      </c>
      <c r="O318" s="141">
        <v>0</v>
      </c>
      <c r="P318" s="141">
        <v>0</v>
      </c>
      <c r="Q318" s="144">
        <v>0</v>
      </c>
      <c r="R318" s="143">
        <v>0</v>
      </c>
      <c r="S318" s="141">
        <v>0</v>
      </c>
      <c r="T318" s="141">
        <v>0</v>
      </c>
      <c r="U318" s="141">
        <v>0</v>
      </c>
      <c r="V318" s="144">
        <v>0</v>
      </c>
    </row>
    <row r="319" spans="1:22" s="98" customFormat="1" ht="15" customHeight="1">
      <c r="A319" s="99"/>
      <c r="B319" s="161"/>
      <c r="D319" s="162" t="s">
        <v>85</v>
      </c>
      <c r="E319" s="162"/>
      <c r="F319" s="162"/>
      <c r="G319" s="720" t="s">
        <v>1761</v>
      </c>
      <c r="H319" s="163"/>
      <c r="I319" s="164" t="s">
        <v>498</v>
      </c>
      <c r="J319" s="143">
        <v>0</v>
      </c>
      <c r="K319" s="141">
        <v>0</v>
      </c>
      <c r="L319" s="141">
        <v>0</v>
      </c>
      <c r="M319" s="141">
        <v>5.4418160548242947E-5</v>
      </c>
      <c r="N319" s="141">
        <v>6.1792221436989822E-3</v>
      </c>
      <c r="O319" s="141">
        <v>4.51900005340576E-4</v>
      </c>
      <c r="P319" s="141">
        <v>4.51900005340576E-4</v>
      </c>
      <c r="Q319" s="144">
        <v>4.51900005340576E-4</v>
      </c>
      <c r="R319" s="143">
        <v>4.51900005340576E-4</v>
      </c>
      <c r="S319" s="141">
        <v>4.51900005340576E-4</v>
      </c>
      <c r="T319" s="141">
        <v>4.51900005340576E-4</v>
      </c>
      <c r="U319" s="141">
        <v>4.51900005340576E-4</v>
      </c>
      <c r="V319" s="144">
        <v>4.51900005340576E-4</v>
      </c>
    </row>
    <row r="320" spans="1:22" s="98" customFormat="1" ht="15" customHeight="1">
      <c r="A320" s="99"/>
      <c r="B320" s="161"/>
      <c r="D320" s="162" t="s">
        <v>85</v>
      </c>
      <c r="E320" s="162"/>
      <c r="F320" s="162"/>
      <c r="G320" s="720"/>
      <c r="H320" s="163"/>
      <c r="I320" s="164" t="s">
        <v>498</v>
      </c>
      <c r="J320" s="143">
        <v>0</v>
      </c>
      <c r="K320" s="141">
        <v>0</v>
      </c>
      <c r="L320" s="141">
        <v>0</v>
      </c>
      <c r="M320" s="141">
        <v>0</v>
      </c>
      <c r="N320" s="141">
        <v>0</v>
      </c>
      <c r="O320" s="141">
        <v>0</v>
      </c>
      <c r="P320" s="141">
        <v>0</v>
      </c>
      <c r="Q320" s="144">
        <v>0</v>
      </c>
      <c r="R320" s="143">
        <v>0</v>
      </c>
      <c r="S320" s="141">
        <v>0</v>
      </c>
      <c r="T320" s="141">
        <v>0</v>
      </c>
      <c r="U320" s="141">
        <v>0</v>
      </c>
      <c r="V320" s="144">
        <v>0</v>
      </c>
    </row>
    <row r="321" spans="1:23" s="98" customFormat="1" ht="15" customHeight="1">
      <c r="A321" s="99"/>
      <c r="B321" s="161"/>
      <c r="D321" s="162" t="s">
        <v>85</v>
      </c>
      <c r="E321" s="162"/>
      <c r="F321" s="162"/>
      <c r="G321" s="720"/>
      <c r="H321" s="163"/>
      <c r="I321" s="164" t="s">
        <v>498</v>
      </c>
      <c r="J321" s="143">
        <v>0</v>
      </c>
      <c r="K321" s="141">
        <v>0</v>
      </c>
      <c r="L321" s="141">
        <v>0</v>
      </c>
      <c r="M321" s="141">
        <v>0</v>
      </c>
      <c r="N321" s="141">
        <v>0</v>
      </c>
      <c r="O321" s="141">
        <v>0</v>
      </c>
      <c r="P321" s="141">
        <v>0</v>
      </c>
      <c r="Q321" s="144">
        <v>0</v>
      </c>
      <c r="R321" s="143">
        <v>0</v>
      </c>
      <c r="S321" s="141">
        <v>0</v>
      </c>
      <c r="T321" s="141">
        <v>0</v>
      </c>
      <c r="U321" s="141">
        <v>0</v>
      </c>
      <c r="V321" s="144">
        <v>0</v>
      </c>
    </row>
    <row r="322" spans="1:23" s="98" customFormat="1" ht="15" customHeight="1">
      <c r="A322" s="99"/>
      <c r="B322" s="181"/>
      <c r="C322" s="2492" t="s">
        <v>1763</v>
      </c>
      <c r="D322" s="183"/>
      <c r="E322" s="183"/>
      <c r="F322" s="183"/>
      <c r="G322" s="184"/>
      <c r="H322" s="184"/>
      <c r="I322" s="164" t="s">
        <v>498</v>
      </c>
      <c r="J322" s="128">
        <f t="shared" ref="J322:V322" si="46">SUM(J309:J321)</f>
        <v>0.18382563490803264</v>
      </c>
      <c r="K322" s="129">
        <f t="shared" si="46"/>
        <v>0.21965568311688308</v>
      </c>
      <c r="L322" s="129">
        <f t="shared" si="46"/>
        <v>0.30685936528330976</v>
      </c>
      <c r="M322" s="129">
        <f t="shared" si="46"/>
        <v>0.78151345514896753</v>
      </c>
      <c r="N322" s="129">
        <f t="shared" si="46"/>
        <v>0.9297091271036142</v>
      </c>
      <c r="O322" s="129">
        <f t="shared" si="46"/>
        <v>0.32783550715466647</v>
      </c>
      <c r="P322" s="129">
        <f t="shared" si="46"/>
        <v>0.33156890625525143</v>
      </c>
      <c r="Q322" s="130">
        <f t="shared" si="46"/>
        <v>0.33156890625525143</v>
      </c>
      <c r="R322" s="128">
        <f t="shared" si="46"/>
        <v>0.33156890625525143</v>
      </c>
      <c r="S322" s="129">
        <f t="shared" si="46"/>
        <v>0.33156890625525143</v>
      </c>
      <c r="T322" s="129">
        <f t="shared" si="46"/>
        <v>0.33156890625525143</v>
      </c>
      <c r="U322" s="129">
        <f t="shared" si="46"/>
        <v>0.33156890625525143</v>
      </c>
      <c r="V322" s="130">
        <f t="shared" si="46"/>
        <v>0.33156890625525143</v>
      </c>
      <c r="W322" s="185"/>
    </row>
    <row r="323" spans="1:23" s="338" customFormat="1" ht="14.25">
      <c r="B323" s="349"/>
      <c r="C323" s="1393"/>
      <c r="D323" s="624" t="s">
        <v>1764</v>
      </c>
      <c r="E323" s="624"/>
      <c r="F323" s="624"/>
      <c r="G323" s="339"/>
      <c r="H323" s="339"/>
      <c r="I323" s="576" t="s">
        <v>498</v>
      </c>
      <c r="J323" s="297">
        <v>0</v>
      </c>
      <c r="K323" s="298" t="s">
        <v>1127</v>
      </c>
      <c r="L323" s="298">
        <v>0</v>
      </c>
      <c r="M323" s="298">
        <v>0</v>
      </c>
      <c r="N323" s="298">
        <v>0</v>
      </c>
      <c r="O323" s="298">
        <v>0</v>
      </c>
      <c r="P323" s="298">
        <v>0</v>
      </c>
      <c r="Q323" s="299">
        <v>0</v>
      </c>
      <c r="R323" s="297">
        <v>0</v>
      </c>
      <c r="S323" s="298">
        <v>0</v>
      </c>
      <c r="T323" s="298">
        <v>0</v>
      </c>
      <c r="U323" s="298">
        <v>0</v>
      </c>
      <c r="V323" s="299">
        <v>0</v>
      </c>
    </row>
    <row r="324" spans="1:23" s="338" customFormat="1" ht="14.25">
      <c r="B324" s="349"/>
      <c r="C324" s="1393"/>
      <c r="D324" s="624" t="s">
        <v>1765</v>
      </c>
      <c r="E324" s="624"/>
      <c r="F324" s="624"/>
      <c r="G324" s="339"/>
      <c r="H324" s="339"/>
      <c r="I324" s="973" t="s">
        <v>498</v>
      </c>
      <c r="J324" s="974">
        <v>0</v>
      </c>
      <c r="K324" s="975">
        <v>0</v>
      </c>
      <c r="L324" s="975">
        <v>0</v>
      </c>
      <c r="M324" s="975">
        <v>0</v>
      </c>
      <c r="N324" s="975">
        <v>0</v>
      </c>
      <c r="O324" s="975">
        <v>0</v>
      </c>
      <c r="P324" s="975">
        <v>0</v>
      </c>
      <c r="Q324" s="976">
        <v>0</v>
      </c>
      <c r="R324" s="974">
        <v>0</v>
      </c>
      <c r="S324" s="975">
        <v>0</v>
      </c>
      <c r="T324" s="975">
        <v>0</v>
      </c>
      <c r="U324" s="975">
        <v>0</v>
      </c>
      <c r="V324" s="976">
        <v>0</v>
      </c>
    </row>
    <row r="325" spans="1:23" s="338" customFormat="1" ht="14.25">
      <c r="B325" s="349"/>
      <c r="C325" s="1393" t="s">
        <v>1766</v>
      </c>
      <c r="D325" s="339"/>
      <c r="E325" s="339"/>
      <c r="F325" s="339"/>
      <c r="G325" s="625"/>
      <c r="H325" s="339"/>
      <c r="I325" s="164" t="s">
        <v>498</v>
      </c>
      <c r="J325" s="128">
        <f>SUM(J322:J324)</f>
        <v>0.18382563490803264</v>
      </c>
      <c r="K325" s="632">
        <f t="shared" ref="K325:V325" si="47">SUM(K322:K324)</f>
        <v>0.21965568311688308</v>
      </c>
      <c r="L325" s="632">
        <f t="shared" si="47"/>
        <v>0.30685936528330976</v>
      </c>
      <c r="M325" s="632">
        <f t="shared" si="47"/>
        <v>0.78151345514896753</v>
      </c>
      <c r="N325" s="632">
        <f t="shared" si="47"/>
        <v>0.9297091271036142</v>
      </c>
      <c r="O325" s="632">
        <f t="shared" si="47"/>
        <v>0.32783550715466647</v>
      </c>
      <c r="P325" s="632">
        <f t="shared" si="47"/>
        <v>0.33156890625525143</v>
      </c>
      <c r="Q325" s="632">
        <f t="shared" si="47"/>
        <v>0.33156890625525143</v>
      </c>
      <c r="R325" s="632">
        <f t="shared" si="47"/>
        <v>0.33156890625525143</v>
      </c>
      <c r="S325" s="632">
        <f t="shared" si="47"/>
        <v>0.33156890625525143</v>
      </c>
      <c r="T325" s="632">
        <f t="shared" si="47"/>
        <v>0.33156890625525143</v>
      </c>
      <c r="U325" s="632">
        <f t="shared" si="47"/>
        <v>0.33156890625525143</v>
      </c>
      <c r="V325" s="633">
        <f t="shared" si="47"/>
        <v>0.33156890625525143</v>
      </c>
    </row>
    <row r="326" spans="1:23" s="98" customFormat="1" ht="15" customHeight="1">
      <c r="A326" s="99"/>
      <c r="B326" s="161"/>
      <c r="C326" s="116"/>
      <c r="D326" s="116"/>
      <c r="E326" s="116"/>
      <c r="F326" s="116"/>
      <c r="G326" s="117"/>
      <c r="H326" s="117"/>
      <c r="I326" s="117"/>
      <c r="J326" s="713"/>
      <c r="K326" s="721"/>
      <c r="L326" s="721"/>
      <c r="M326" s="721"/>
      <c r="N326" s="721"/>
      <c r="O326" s="721"/>
      <c r="P326" s="721"/>
      <c r="Q326" s="715"/>
      <c r="R326" s="713"/>
      <c r="S326" s="721"/>
      <c r="T326" s="721"/>
      <c r="U326" s="721"/>
      <c r="V326" s="715"/>
    </row>
    <row r="327" spans="1:23" s="98" customFormat="1" ht="15" customHeight="1">
      <c r="A327" s="99"/>
      <c r="B327" s="161"/>
      <c r="C327" s="186" t="s">
        <v>1720</v>
      </c>
      <c r="D327" s="162"/>
      <c r="E327" s="162"/>
      <c r="F327" s="162"/>
      <c r="G327" s="163"/>
      <c r="H327" s="163"/>
      <c r="I327" s="117"/>
      <c r="J327" s="713"/>
      <c r="K327" s="721"/>
      <c r="L327" s="721"/>
      <c r="M327" s="721"/>
      <c r="N327" s="721"/>
      <c r="O327" s="721"/>
      <c r="P327" s="721"/>
      <c r="Q327" s="715"/>
      <c r="R327" s="713"/>
      <c r="S327" s="721"/>
      <c r="T327" s="721"/>
      <c r="U327" s="721"/>
      <c r="V327" s="715"/>
    </row>
    <row r="328" spans="1:23" s="98" customFormat="1" ht="15" customHeight="1">
      <c r="A328" s="99"/>
      <c r="B328" s="161"/>
      <c r="D328" s="162" t="s">
        <v>1752</v>
      </c>
      <c r="E328" s="162"/>
      <c r="F328" s="162"/>
      <c r="G328" s="163"/>
      <c r="H328" s="163"/>
      <c r="I328" s="164" t="s">
        <v>498</v>
      </c>
      <c r="J328" s="143">
        <v>2.553600675626174</v>
      </c>
      <c r="K328" s="141">
        <v>2.3941365662337653</v>
      </c>
      <c r="L328" s="141">
        <v>2.8272558602081452</v>
      </c>
      <c r="M328" s="141">
        <v>3.3523145460036927</v>
      </c>
      <c r="N328" s="141">
        <v>3.3775342617811956</v>
      </c>
      <c r="O328" s="141">
        <v>2.9713675629086365</v>
      </c>
      <c r="P328" s="141">
        <v>3</v>
      </c>
      <c r="Q328" s="144">
        <v>2.9849999999999999</v>
      </c>
      <c r="R328" s="143">
        <v>2.970075</v>
      </c>
      <c r="S328" s="141">
        <v>2.955224625</v>
      </c>
      <c r="T328" s="141">
        <v>2.9404485018750002</v>
      </c>
      <c r="U328" s="141">
        <v>2.9257462593656252</v>
      </c>
      <c r="V328" s="144">
        <v>2.9111175280687971</v>
      </c>
    </row>
    <row r="329" spans="1:23" s="98" customFormat="1" ht="15" customHeight="1">
      <c r="A329" s="99"/>
      <c r="B329" s="161"/>
      <c r="D329" s="162" t="s">
        <v>1753</v>
      </c>
      <c r="E329" s="162"/>
      <c r="F329" s="162"/>
      <c r="G329" s="163"/>
      <c r="H329" s="163"/>
      <c r="I329" s="164" t="s">
        <v>498</v>
      </c>
      <c r="J329" s="143">
        <v>0</v>
      </c>
      <c r="K329" s="141">
        <v>0</v>
      </c>
      <c r="L329" s="141">
        <v>0</v>
      </c>
      <c r="M329" s="141">
        <v>5.1531539065330259E-4</v>
      </c>
      <c r="N329" s="141">
        <v>1.009328290977345E-2</v>
      </c>
      <c r="O329" s="141">
        <v>8.7940601110458351E-3</v>
      </c>
      <c r="P329" s="141">
        <v>8.750089810490606E-3</v>
      </c>
      <c r="Q329" s="144">
        <v>8.7063393614381524E-3</v>
      </c>
      <c r="R329" s="143">
        <v>8.6628076646309612E-3</v>
      </c>
      <c r="S329" s="141">
        <v>8.6194936263078066E-3</v>
      </c>
      <c r="T329" s="141">
        <v>8.5763961581762672E-3</v>
      </c>
      <c r="U329" s="141">
        <v>8.5335141773853866E-3</v>
      </c>
      <c r="V329" s="144">
        <v>8.4908466064984589E-3</v>
      </c>
    </row>
    <row r="330" spans="1:23" s="98" customFormat="1" ht="15" customHeight="1">
      <c r="A330" s="99"/>
      <c r="B330" s="161"/>
      <c r="D330" s="162" t="s">
        <v>1754</v>
      </c>
      <c r="E330" s="162"/>
      <c r="F330" s="162"/>
      <c r="G330" s="163"/>
      <c r="H330" s="163"/>
      <c r="I330" s="164" t="s">
        <v>498</v>
      </c>
      <c r="J330" s="143">
        <v>2.9302373884052681E-2</v>
      </c>
      <c r="K330" s="141">
        <v>1.6556961038961034E-2</v>
      </c>
      <c r="L330" s="141">
        <v>4.3681048438905298E-3</v>
      </c>
      <c r="M330" s="141">
        <v>6.1548970906291486E-3</v>
      </c>
      <c r="N330" s="141">
        <v>3.4522945311886148E-2</v>
      </c>
      <c r="O330" s="141">
        <v>2.8975309789180781E-2</v>
      </c>
      <c r="P330" s="141">
        <v>2.8830433240234876E-2</v>
      </c>
      <c r="Q330" s="144">
        <v>2.86862810740337E-2</v>
      </c>
      <c r="R330" s="143">
        <v>2.8542849668663533E-2</v>
      </c>
      <c r="S330" s="141">
        <v>2.8400135420320216E-2</v>
      </c>
      <c r="T330" s="141">
        <v>2.8258134743218616E-2</v>
      </c>
      <c r="U330" s="141">
        <v>2.8116844069502524E-2</v>
      </c>
      <c r="V330" s="144">
        <v>2.797625984915501E-2</v>
      </c>
    </row>
    <row r="331" spans="1:23" s="98" customFormat="1" ht="15" customHeight="1">
      <c r="A331" s="99"/>
      <c r="B331" s="161"/>
      <c r="D331" s="162" t="s">
        <v>1755</v>
      </c>
      <c r="E331" s="162"/>
      <c r="F331" s="162"/>
      <c r="G331" s="163"/>
      <c r="H331" s="163"/>
      <c r="I331" s="164" t="s">
        <v>498</v>
      </c>
      <c r="J331" s="143">
        <v>0.28647257589375097</v>
      </c>
      <c r="K331" s="141">
        <v>0.31237466493506483</v>
      </c>
      <c r="L331" s="141">
        <v>0.2260494256713349</v>
      </c>
      <c r="M331" s="141">
        <v>0.32985315704217477</v>
      </c>
      <c r="N331" s="141">
        <v>0.25793798645946997</v>
      </c>
      <c r="O331" s="141">
        <v>0.25901499044895182</v>
      </c>
      <c r="P331" s="141">
        <v>0.25771991549670709</v>
      </c>
      <c r="Q331" s="144">
        <v>0.25643131591922352</v>
      </c>
      <c r="R331" s="143">
        <v>0.2551491593396274</v>
      </c>
      <c r="S331" s="141">
        <v>0.25387341354292925</v>
      </c>
      <c r="T331" s="141">
        <v>0.25260404647521462</v>
      </c>
      <c r="U331" s="141">
        <v>0.25134102624283855</v>
      </c>
      <c r="V331" s="144">
        <v>0.25008432111162437</v>
      </c>
    </row>
    <row r="332" spans="1:23" s="98" customFormat="1" ht="15" customHeight="1">
      <c r="A332" s="99"/>
      <c r="B332" s="161"/>
      <c r="D332" s="162" t="s">
        <v>1756</v>
      </c>
      <c r="E332" s="162"/>
      <c r="F332" s="162"/>
      <c r="G332" s="163"/>
      <c r="H332" s="163"/>
      <c r="I332" s="164" t="s">
        <v>498</v>
      </c>
      <c r="J332" s="143">
        <v>0.49999424965882289</v>
      </c>
      <c r="K332" s="141">
        <v>0.53534174025974002</v>
      </c>
      <c r="L332" s="141">
        <v>0.60825859951175631</v>
      </c>
      <c r="M332" s="141">
        <v>0.42957673485282566</v>
      </c>
      <c r="N332" s="141">
        <v>0.40019361455803393</v>
      </c>
      <c r="O332" s="141">
        <v>0.31900259906100104</v>
      </c>
      <c r="P332" s="141">
        <v>0.35</v>
      </c>
      <c r="Q332" s="144">
        <v>0.34825</v>
      </c>
      <c r="R332" s="143">
        <v>0.34650874999999998</v>
      </c>
      <c r="S332" s="141">
        <v>0.34477620624999999</v>
      </c>
      <c r="T332" s="141">
        <v>0.34305232521875001</v>
      </c>
      <c r="U332" s="141">
        <v>0.34133706359265625</v>
      </c>
      <c r="V332" s="144">
        <v>0.33963037827469295</v>
      </c>
    </row>
    <row r="333" spans="1:23" s="98" customFormat="1" ht="15" customHeight="1">
      <c r="A333" s="99"/>
      <c r="B333" s="161"/>
      <c r="D333" s="162" t="s">
        <v>1757</v>
      </c>
      <c r="E333" s="162"/>
      <c r="F333" s="162"/>
      <c r="G333" s="163"/>
      <c r="H333" s="163"/>
      <c r="I333" s="164" t="s">
        <v>498</v>
      </c>
      <c r="J333" s="143">
        <v>0</v>
      </c>
      <c r="K333" s="141">
        <v>0</v>
      </c>
      <c r="L333" s="141">
        <v>0</v>
      </c>
      <c r="M333" s="141">
        <v>0</v>
      </c>
      <c r="N333" s="141">
        <v>0</v>
      </c>
      <c r="O333" s="141">
        <v>0</v>
      </c>
      <c r="P333" s="141">
        <v>0</v>
      </c>
      <c r="Q333" s="144">
        <v>0</v>
      </c>
      <c r="R333" s="143">
        <v>0</v>
      </c>
      <c r="S333" s="141">
        <v>0</v>
      </c>
      <c r="T333" s="141">
        <v>0</v>
      </c>
      <c r="U333" s="141">
        <v>0</v>
      </c>
      <c r="V333" s="144">
        <v>0</v>
      </c>
    </row>
    <row r="334" spans="1:23" s="98" customFormat="1" ht="15" customHeight="1">
      <c r="A334" s="99"/>
      <c r="B334" s="161"/>
      <c r="D334" s="162" t="s">
        <v>205</v>
      </c>
      <c r="E334" s="162"/>
      <c r="F334" s="162"/>
      <c r="G334" s="163"/>
      <c r="H334" s="163"/>
      <c r="I334" s="164" t="s">
        <v>498</v>
      </c>
      <c r="J334" s="143">
        <v>0</v>
      </c>
      <c r="K334" s="141">
        <v>0</v>
      </c>
      <c r="L334" s="141">
        <v>0</v>
      </c>
      <c r="M334" s="141">
        <v>0</v>
      </c>
      <c r="N334" s="141">
        <v>4.5055894190056372E-4</v>
      </c>
      <c r="O334" s="141">
        <v>8.7421798706059661E-4</v>
      </c>
      <c r="P334" s="141">
        <v>8.6984689712529361E-4</v>
      </c>
      <c r="Q334" s="144">
        <v>8.6549766263966711E-4</v>
      </c>
      <c r="R334" s="143">
        <v>8.6117017432646881E-4</v>
      </c>
      <c r="S334" s="141">
        <v>8.5686432345483642E-4</v>
      </c>
      <c r="T334" s="141">
        <v>8.5258000183756225E-4</v>
      </c>
      <c r="U334" s="141">
        <v>8.4831710182837442E-4</v>
      </c>
      <c r="V334" s="144">
        <v>8.440755163192325E-4</v>
      </c>
    </row>
    <row r="335" spans="1:23" s="98" customFormat="1" ht="15" customHeight="1">
      <c r="A335" s="99"/>
      <c r="B335" s="161"/>
      <c r="D335" s="162" t="s">
        <v>1758</v>
      </c>
      <c r="E335" s="162"/>
      <c r="F335" s="162"/>
      <c r="G335" s="163"/>
      <c r="H335" s="163"/>
      <c r="I335" s="164" t="s">
        <v>498</v>
      </c>
      <c r="J335" s="143">
        <v>0</v>
      </c>
      <c r="K335" s="141">
        <v>0</v>
      </c>
      <c r="L335" s="141">
        <v>0</v>
      </c>
      <c r="M335" s="141">
        <v>0</v>
      </c>
      <c r="N335" s="141">
        <v>0</v>
      </c>
      <c r="O335" s="141">
        <v>0</v>
      </c>
      <c r="P335" s="141">
        <v>0</v>
      </c>
      <c r="Q335" s="144">
        <v>0</v>
      </c>
      <c r="R335" s="143">
        <v>0</v>
      </c>
      <c r="S335" s="141">
        <v>0</v>
      </c>
      <c r="T335" s="141">
        <v>0</v>
      </c>
      <c r="U335" s="141">
        <v>0</v>
      </c>
      <c r="V335" s="144">
        <v>0</v>
      </c>
    </row>
    <row r="336" spans="1:23" s="98" customFormat="1" ht="15" customHeight="1">
      <c r="A336" s="99"/>
      <c r="B336" s="161"/>
      <c r="D336" s="162" t="s">
        <v>85</v>
      </c>
      <c r="E336" s="162"/>
      <c r="F336" s="162"/>
      <c r="G336" s="720" t="s">
        <v>1762</v>
      </c>
      <c r="H336" s="163"/>
      <c r="I336" s="164" t="s">
        <v>498</v>
      </c>
      <c r="J336" s="143">
        <v>0</v>
      </c>
      <c r="K336" s="141">
        <v>0</v>
      </c>
      <c r="L336" s="141">
        <v>0</v>
      </c>
      <c r="M336" s="141">
        <v>0</v>
      </c>
      <c r="N336" s="141">
        <v>9.747716980226111E-4</v>
      </c>
      <c r="O336" s="141">
        <v>1.9530000071972623E-4</v>
      </c>
      <c r="P336" s="141">
        <v>1.9432350071612762E-4</v>
      </c>
      <c r="Q336" s="144">
        <v>1.9335188321254699E-4</v>
      </c>
      <c r="R336" s="143">
        <v>1.9238512379648426E-4</v>
      </c>
      <c r="S336" s="141">
        <v>1.9142319817750183E-4</v>
      </c>
      <c r="T336" s="141">
        <v>1.9046608218661434E-4</v>
      </c>
      <c r="U336" s="141">
        <v>1.8951375177568127E-4</v>
      </c>
      <c r="V336" s="144">
        <v>1.8856618301680284E-4</v>
      </c>
    </row>
    <row r="337" spans="1:23" s="98" customFormat="1" ht="15" customHeight="1">
      <c r="A337" s="99"/>
      <c r="B337" s="161"/>
      <c r="D337" s="162" t="s">
        <v>85</v>
      </c>
      <c r="E337" s="162"/>
      <c r="F337" s="162"/>
      <c r="G337" s="720" t="s">
        <v>1768</v>
      </c>
      <c r="H337" s="163"/>
      <c r="I337" s="164" t="s">
        <v>498</v>
      </c>
      <c r="J337" s="143">
        <v>1.0373392765034379</v>
      </c>
      <c r="K337" s="141">
        <v>1.2539138493506488</v>
      </c>
      <c r="L337" s="141">
        <v>1.1280630759347292</v>
      </c>
      <c r="M337" s="141">
        <v>0</v>
      </c>
      <c r="N337" s="141">
        <v>0</v>
      </c>
      <c r="O337" s="141">
        <v>0</v>
      </c>
      <c r="P337" s="141">
        <v>0</v>
      </c>
      <c r="Q337" s="144">
        <v>0</v>
      </c>
      <c r="R337" s="143">
        <v>0</v>
      </c>
      <c r="S337" s="141">
        <v>0</v>
      </c>
      <c r="T337" s="141">
        <v>0</v>
      </c>
      <c r="U337" s="141">
        <v>0</v>
      </c>
      <c r="V337" s="144">
        <v>0</v>
      </c>
    </row>
    <row r="338" spans="1:23" s="98" customFormat="1" ht="15" customHeight="1">
      <c r="A338" s="99"/>
      <c r="B338" s="161"/>
      <c r="D338" s="162" t="s">
        <v>85</v>
      </c>
      <c r="E338" s="162"/>
      <c r="F338" s="162"/>
      <c r="G338" s="720" t="s">
        <v>1761</v>
      </c>
      <c r="H338" s="163"/>
      <c r="I338" s="164" t="s">
        <v>498</v>
      </c>
      <c r="J338" s="143">
        <v>0</v>
      </c>
      <c r="K338" s="141">
        <v>0</v>
      </c>
      <c r="L338" s="141">
        <v>0</v>
      </c>
      <c r="M338" s="141">
        <v>1.0367241185213136</v>
      </c>
      <c r="N338" s="141">
        <v>1.0291423700736215</v>
      </c>
      <c r="O338" s="141">
        <v>0.66680871734023128</v>
      </c>
      <c r="P338" s="141">
        <v>0.96499999999999997</v>
      </c>
      <c r="Q338" s="144">
        <v>0.960175</v>
      </c>
      <c r="R338" s="143">
        <v>0.95537412499999996</v>
      </c>
      <c r="S338" s="141">
        <v>0.95059725437499998</v>
      </c>
      <c r="T338" s="141">
        <v>0.94584426810312494</v>
      </c>
      <c r="U338" s="141">
        <v>0.94111504676260926</v>
      </c>
      <c r="V338" s="144">
        <v>0.93640947152879617</v>
      </c>
    </row>
    <row r="339" spans="1:23" s="98" customFormat="1" ht="15" customHeight="1">
      <c r="A339" s="99"/>
      <c r="B339" s="161"/>
      <c r="D339" s="162" t="s">
        <v>85</v>
      </c>
      <c r="E339" s="162"/>
      <c r="F339" s="162"/>
      <c r="G339" s="720"/>
      <c r="H339" s="163"/>
      <c r="I339" s="164" t="s">
        <v>498</v>
      </c>
      <c r="J339" s="143">
        <v>0</v>
      </c>
      <c r="K339" s="141">
        <v>0</v>
      </c>
      <c r="L339" s="141">
        <v>0</v>
      </c>
      <c r="M339" s="141">
        <v>0</v>
      </c>
      <c r="N339" s="141">
        <v>0</v>
      </c>
      <c r="O339" s="141">
        <v>0</v>
      </c>
      <c r="P339" s="141">
        <v>0</v>
      </c>
      <c r="Q339" s="144">
        <v>0</v>
      </c>
      <c r="R339" s="143">
        <v>0</v>
      </c>
      <c r="S339" s="141">
        <v>0</v>
      </c>
      <c r="T339" s="141">
        <v>0</v>
      </c>
      <c r="U339" s="141">
        <v>0</v>
      </c>
      <c r="V339" s="144">
        <v>0</v>
      </c>
    </row>
    <row r="340" spans="1:23" s="98" customFormat="1" ht="15" customHeight="1">
      <c r="A340" s="99"/>
      <c r="B340" s="161"/>
      <c r="D340" s="162" t="s">
        <v>85</v>
      </c>
      <c r="E340" s="162"/>
      <c r="F340" s="162"/>
      <c r="G340" s="720"/>
      <c r="H340" s="163"/>
      <c r="I340" s="164" t="s">
        <v>498</v>
      </c>
      <c r="J340" s="143">
        <v>0</v>
      </c>
      <c r="K340" s="141">
        <v>0</v>
      </c>
      <c r="L340" s="141">
        <v>0</v>
      </c>
      <c r="M340" s="141">
        <v>0</v>
      </c>
      <c r="N340" s="141">
        <v>0</v>
      </c>
      <c r="O340" s="141">
        <v>0</v>
      </c>
      <c r="P340" s="141">
        <v>0</v>
      </c>
      <c r="Q340" s="144">
        <v>0</v>
      </c>
      <c r="R340" s="143">
        <v>0</v>
      </c>
      <c r="S340" s="141">
        <v>0</v>
      </c>
      <c r="T340" s="141">
        <v>0</v>
      </c>
      <c r="U340" s="141">
        <v>0</v>
      </c>
      <c r="V340" s="144">
        <v>0</v>
      </c>
    </row>
    <row r="341" spans="1:23" s="98" customFormat="1" ht="15" customHeight="1">
      <c r="A341" s="99"/>
      <c r="B341" s="181"/>
      <c r="C341" s="2492" t="s">
        <v>1763</v>
      </c>
      <c r="D341" s="183"/>
      <c r="E341" s="183"/>
      <c r="F341" s="183"/>
      <c r="G341" s="184"/>
      <c r="H341" s="184"/>
      <c r="I341" s="164" t="s">
        <v>498</v>
      </c>
      <c r="J341" s="128">
        <f t="shared" ref="J341:V341" si="48">SUM(J328:J340)</f>
        <v>4.406709151566238</v>
      </c>
      <c r="K341" s="129">
        <f t="shared" si="48"/>
        <v>4.5123237818181803</v>
      </c>
      <c r="L341" s="129">
        <f t="shared" si="48"/>
        <v>4.793995066169856</v>
      </c>
      <c r="M341" s="129">
        <f t="shared" si="48"/>
        <v>5.1551387689012884</v>
      </c>
      <c r="N341" s="129">
        <f t="shared" si="48"/>
        <v>5.1108497917339033</v>
      </c>
      <c r="O341" s="129">
        <f t="shared" si="48"/>
        <v>4.255032757646827</v>
      </c>
      <c r="P341" s="129">
        <f t="shared" si="48"/>
        <v>4.6113646089452738</v>
      </c>
      <c r="Q341" s="130">
        <f t="shared" si="48"/>
        <v>4.5883077859005477</v>
      </c>
      <c r="R341" s="128">
        <f t="shared" si="48"/>
        <v>4.5653662469710454</v>
      </c>
      <c r="S341" s="129">
        <f t="shared" si="48"/>
        <v>4.54253941573619</v>
      </c>
      <c r="T341" s="129">
        <f t="shared" si="48"/>
        <v>4.5198267186575087</v>
      </c>
      <c r="U341" s="129">
        <f t="shared" si="48"/>
        <v>4.4972275850642216</v>
      </c>
      <c r="V341" s="130">
        <f t="shared" si="48"/>
        <v>4.4747414471389</v>
      </c>
      <c r="W341" s="185"/>
    </row>
    <row r="342" spans="1:23" s="338" customFormat="1" ht="14.25">
      <c r="B342" s="349"/>
      <c r="C342" s="1393"/>
      <c r="D342" s="624" t="s">
        <v>1764</v>
      </c>
      <c r="E342" s="624"/>
      <c r="F342" s="624"/>
      <c r="G342" s="339"/>
      <c r="H342" s="339"/>
      <c r="I342" s="576" t="s">
        <v>498</v>
      </c>
      <c r="J342" s="297">
        <v>0</v>
      </c>
      <c r="K342" s="298" t="s">
        <v>1127</v>
      </c>
      <c r="L342" s="298">
        <v>0</v>
      </c>
      <c r="M342" s="298">
        <v>0</v>
      </c>
      <c r="N342" s="298">
        <v>0</v>
      </c>
      <c r="O342" s="298">
        <v>0</v>
      </c>
      <c r="P342" s="298">
        <v>0</v>
      </c>
      <c r="Q342" s="299">
        <v>0</v>
      </c>
      <c r="R342" s="297">
        <v>0</v>
      </c>
      <c r="S342" s="298">
        <v>0</v>
      </c>
      <c r="T342" s="298">
        <v>0</v>
      </c>
      <c r="U342" s="298">
        <v>0</v>
      </c>
      <c r="V342" s="299">
        <v>0</v>
      </c>
    </row>
    <row r="343" spans="1:23" s="338" customFormat="1" ht="14.25">
      <c r="B343" s="349"/>
      <c r="C343" s="1393"/>
      <c r="D343" s="624" t="s">
        <v>1765</v>
      </c>
      <c r="E343" s="624"/>
      <c r="F343" s="624"/>
      <c r="G343" s="339"/>
      <c r="H343" s="339"/>
      <c r="I343" s="973" t="s">
        <v>498</v>
      </c>
      <c r="J343" s="974">
        <v>0</v>
      </c>
      <c r="K343" s="975">
        <v>0</v>
      </c>
      <c r="L343" s="975">
        <v>0</v>
      </c>
      <c r="M343" s="975">
        <v>0</v>
      </c>
      <c r="N343" s="975">
        <v>0</v>
      </c>
      <c r="O343" s="975">
        <v>2.2274999320507E-4</v>
      </c>
      <c r="P343" s="975">
        <v>0</v>
      </c>
      <c r="Q343" s="976">
        <v>0</v>
      </c>
      <c r="R343" s="974">
        <v>0</v>
      </c>
      <c r="S343" s="975">
        <v>0</v>
      </c>
      <c r="T343" s="975">
        <v>0</v>
      </c>
      <c r="U343" s="975">
        <v>0</v>
      </c>
      <c r="V343" s="976">
        <v>0</v>
      </c>
    </row>
    <row r="344" spans="1:23" s="338" customFormat="1" ht="14.25">
      <c r="B344" s="349"/>
      <c r="C344" s="1393" t="s">
        <v>1766</v>
      </c>
      <c r="D344" s="339"/>
      <c r="E344" s="339"/>
      <c r="F344" s="339"/>
      <c r="G344" s="625"/>
      <c r="H344" s="339"/>
      <c r="I344" s="164" t="s">
        <v>498</v>
      </c>
      <c r="J344" s="128">
        <f>SUM(J341:J343)</f>
        <v>4.406709151566238</v>
      </c>
      <c r="K344" s="632">
        <f t="shared" ref="K344:V344" si="49">SUM(K341:K343)</f>
        <v>4.5123237818181803</v>
      </c>
      <c r="L344" s="632">
        <f t="shared" si="49"/>
        <v>4.793995066169856</v>
      </c>
      <c r="M344" s="632">
        <f t="shared" si="49"/>
        <v>5.1551387689012884</v>
      </c>
      <c r="N344" s="632">
        <f t="shared" si="49"/>
        <v>5.1108497917339033</v>
      </c>
      <c r="O344" s="632">
        <f t="shared" si="49"/>
        <v>4.2552555076400322</v>
      </c>
      <c r="P344" s="632">
        <f t="shared" si="49"/>
        <v>4.6113646089452738</v>
      </c>
      <c r="Q344" s="632">
        <f t="shared" si="49"/>
        <v>4.5883077859005477</v>
      </c>
      <c r="R344" s="632">
        <f t="shared" si="49"/>
        <v>4.5653662469710454</v>
      </c>
      <c r="S344" s="632">
        <f t="shared" si="49"/>
        <v>4.54253941573619</v>
      </c>
      <c r="T344" s="632">
        <f t="shared" si="49"/>
        <v>4.5198267186575087</v>
      </c>
      <c r="U344" s="632">
        <f t="shared" si="49"/>
        <v>4.4972275850642216</v>
      </c>
      <c r="V344" s="633">
        <f t="shared" si="49"/>
        <v>4.4747414471389</v>
      </c>
    </row>
    <row r="345" spans="1:23" s="98" customFormat="1" ht="15" customHeight="1">
      <c r="A345" s="99"/>
      <c r="B345" s="161"/>
      <c r="C345" s="116"/>
      <c r="D345" s="116"/>
      <c r="E345" s="116"/>
      <c r="F345" s="116"/>
      <c r="G345" s="117"/>
      <c r="H345" s="117"/>
      <c r="I345" s="117"/>
      <c r="J345" s="713"/>
      <c r="K345" s="721"/>
      <c r="L345" s="721"/>
      <c r="M345" s="721"/>
      <c r="N345" s="721"/>
      <c r="O345" s="721"/>
      <c r="P345" s="721"/>
      <c r="Q345" s="715"/>
      <c r="R345" s="713"/>
      <c r="S345" s="721"/>
      <c r="T345" s="721"/>
      <c r="U345" s="721"/>
      <c r="V345" s="715"/>
    </row>
    <row r="346" spans="1:23" s="98" customFormat="1" ht="15" customHeight="1">
      <c r="A346" s="99"/>
      <c r="B346" s="161"/>
      <c r="C346" s="186" t="s">
        <v>1721</v>
      </c>
      <c r="D346" s="162"/>
      <c r="E346" s="162"/>
      <c r="F346" s="162"/>
      <c r="G346" s="163"/>
      <c r="H346" s="163"/>
      <c r="I346" s="117"/>
      <c r="J346" s="713"/>
      <c r="K346" s="721"/>
      <c r="L346" s="721"/>
      <c r="M346" s="721"/>
      <c r="N346" s="721"/>
      <c r="O346" s="721"/>
      <c r="P346" s="721"/>
      <c r="Q346" s="715"/>
      <c r="R346" s="713"/>
      <c r="S346" s="721"/>
      <c r="T346" s="721"/>
      <c r="U346" s="721"/>
      <c r="V346" s="715"/>
    </row>
    <row r="347" spans="1:23" s="98" customFormat="1" ht="15" customHeight="1">
      <c r="A347" s="99"/>
      <c r="B347" s="161"/>
      <c r="D347" s="162" t="s">
        <v>1752</v>
      </c>
      <c r="E347" s="162"/>
      <c r="F347" s="162"/>
      <c r="G347" s="163"/>
      <c r="H347" s="163"/>
      <c r="I347" s="164" t="s">
        <v>498</v>
      </c>
      <c r="J347" s="143">
        <v>0</v>
      </c>
      <c r="K347" s="141">
        <v>0</v>
      </c>
      <c r="L347" s="141">
        <v>0</v>
      </c>
      <c r="M347" s="141">
        <v>0</v>
      </c>
      <c r="N347" s="141">
        <v>0</v>
      </c>
      <c r="O347" s="141">
        <v>0</v>
      </c>
      <c r="P347" s="141">
        <v>0</v>
      </c>
      <c r="Q347" s="144">
        <v>0</v>
      </c>
      <c r="R347" s="143">
        <v>0</v>
      </c>
      <c r="S347" s="141">
        <v>0</v>
      </c>
      <c r="T347" s="141">
        <v>0</v>
      </c>
      <c r="U347" s="141">
        <v>0</v>
      </c>
      <c r="V347" s="144">
        <v>0</v>
      </c>
    </row>
    <row r="348" spans="1:23" s="98" customFormat="1" ht="15" customHeight="1">
      <c r="A348" s="99"/>
      <c r="B348" s="161"/>
      <c r="D348" s="162" t="s">
        <v>1753</v>
      </c>
      <c r="E348" s="162"/>
      <c r="F348" s="162"/>
      <c r="G348" s="163"/>
      <c r="H348" s="163"/>
      <c r="I348" s="164" t="s">
        <v>498</v>
      </c>
      <c r="J348" s="143">
        <v>0</v>
      </c>
      <c r="K348" s="141">
        <v>0</v>
      </c>
      <c r="L348" s="141">
        <v>0</v>
      </c>
      <c r="M348" s="141">
        <v>0</v>
      </c>
      <c r="N348" s="141">
        <v>0</v>
      </c>
      <c r="O348" s="141">
        <v>0</v>
      </c>
      <c r="P348" s="141">
        <v>0</v>
      </c>
      <c r="Q348" s="144">
        <v>0</v>
      </c>
      <c r="R348" s="143">
        <v>0</v>
      </c>
      <c r="S348" s="141">
        <v>0</v>
      </c>
      <c r="T348" s="141">
        <v>0</v>
      </c>
      <c r="U348" s="141">
        <v>0</v>
      </c>
      <c r="V348" s="144">
        <v>0</v>
      </c>
    </row>
    <row r="349" spans="1:23" s="98" customFormat="1" ht="15" customHeight="1">
      <c r="A349" s="99"/>
      <c r="B349" s="161"/>
      <c r="D349" s="162" t="s">
        <v>1754</v>
      </c>
      <c r="E349" s="162"/>
      <c r="F349" s="162"/>
      <c r="G349" s="163"/>
      <c r="H349" s="163"/>
      <c r="I349" s="164" t="s">
        <v>498</v>
      </c>
      <c r="J349" s="143">
        <v>0</v>
      </c>
      <c r="K349" s="141">
        <v>0</v>
      </c>
      <c r="L349" s="141">
        <v>0</v>
      </c>
      <c r="M349" s="141">
        <v>0</v>
      </c>
      <c r="N349" s="141">
        <v>0</v>
      </c>
      <c r="O349" s="141">
        <v>0</v>
      </c>
      <c r="P349" s="141">
        <v>0</v>
      </c>
      <c r="Q349" s="144">
        <v>0</v>
      </c>
      <c r="R349" s="143">
        <v>0</v>
      </c>
      <c r="S349" s="141">
        <v>0</v>
      </c>
      <c r="T349" s="141">
        <v>0</v>
      </c>
      <c r="U349" s="141">
        <v>0</v>
      </c>
      <c r="V349" s="144">
        <v>0</v>
      </c>
    </row>
    <row r="350" spans="1:23" s="98" customFormat="1" ht="15" customHeight="1">
      <c r="A350" s="99"/>
      <c r="B350" s="161"/>
      <c r="D350" s="162" t="s">
        <v>1755</v>
      </c>
      <c r="E350" s="162"/>
      <c r="F350" s="162"/>
      <c r="G350" s="163"/>
      <c r="H350" s="163"/>
      <c r="I350" s="164" t="s">
        <v>498</v>
      </c>
      <c r="J350" s="143">
        <v>0</v>
      </c>
      <c r="K350" s="141">
        <v>0</v>
      </c>
      <c r="L350" s="141">
        <v>0</v>
      </c>
      <c r="M350" s="141">
        <v>0</v>
      </c>
      <c r="N350" s="141">
        <v>0</v>
      </c>
      <c r="O350" s="141">
        <v>0</v>
      </c>
      <c r="P350" s="141">
        <v>0</v>
      </c>
      <c r="Q350" s="144">
        <v>0</v>
      </c>
      <c r="R350" s="143">
        <v>0</v>
      </c>
      <c r="S350" s="141">
        <v>0</v>
      </c>
      <c r="T350" s="141">
        <v>0</v>
      </c>
      <c r="U350" s="141">
        <v>0</v>
      </c>
      <c r="V350" s="144">
        <v>0</v>
      </c>
    </row>
    <row r="351" spans="1:23" s="98" customFormat="1" ht="15" customHeight="1">
      <c r="A351" s="99"/>
      <c r="B351" s="161"/>
      <c r="D351" s="162" t="s">
        <v>1756</v>
      </c>
      <c r="E351" s="162"/>
      <c r="F351" s="162"/>
      <c r="G351" s="163"/>
      <c r="H351" s="163"/>
      <c r="I351" s="164" t="s">
        <v>498</v>
      </c>
      <c r="J351" s="143">
        <v>0</v>
      </c>
      <c r="K351" s="141">
        <v>0</v>
      </c>
      <c r="L351" s="141">
        <v>0</v>
      </c>
      <c r="M351" s="141">
        <v>0</v>
      </c>
      <c r="N351" s="141">
        <v>0</v>
      </c>
      <c r="O351" s="141">
        <v>0</v>
      </c>
      <c r="P351" s="141">
        <v>0</v>
      </c>
      <c r="Q351" s="144">
        <v>0</v>
      </c>
      <c r="R351" s="143">
        <v>0</v>
      </c>
      <c r="S351" s="141">
        <v>0</v>
      </c>
      <c r="T351" s="141">
        <v>0</v>
      </c>
      <c r="U351" s="141">
        <v>0</v>
      </c>
      <c r="V351" s="144">
        <v>0</v>
      </c>
    </row>
    <row r="352" spans="1:23" s="98" customFormat="1" ht="15" customHeight="1">
      <c r="A352" s="99"/>
      <c r="B352" s="161"/>
      <c r="D352" s="162" t="s">
        <v>1757</v>
      </c>
      <c r="E352" s="162"/>
      <c r="F352" s="162"/>
      <c r="G352" s="163"/>
      <c r="H352" s="163"/>
      <c r="I352" s="164" t="s">
        <v>498</v>
      </c>
      <c r="J352" s="143">
        <v>0</v>
      </c>
      <c r="K352" s="141">
        <v>0</v>
      </c>
      <c r="L352" s="141">
        <v>0</v>
      </c>
      <c r="M352" s="141">
        <v>0</v>
      </c>
      <c r="N352" s="141">
        <v>0</v>
      </c>
      <c r="O352" s="141">
        <v>0</v>
      </c>
      <c r="P352" s="141">
        <v>0</v>
      </c>
      <c r="Q352" s="144">
        <v>0</v>
      </c>
      <c r="R352" s="143">
        <v>0</v>
      </c>
      <c r="S352" s="141">
        <v>0</v>
      </c>
      <c r="T352" s="141">
        <v>0</v>
      </c>
      <c r="U352" s="141">
        <v>0</v>
      </c>
      <c r="V352" s="144">
        <v>0</v>
      </c>
    </row>
    <row r="353" spans="1:24" s="98" customFormat="1" ht="15" customHeight="1">
      <c r="A353" s="99"/>
      <c r="B353" s="161"/>
      <c r="D353" s="162" t="s">
        <v>205</v>
      </c>
      <c r="E353" s="162"/>
      <c r="F353" s="162"/>
      <c r="G353" s="163"/>
      <c r="H353" s="163"/>
      <c r="I353" s="164" t="s">
        <v>498</v>
      </c>
      <c r="J353" s="143">
        <v>0</v>
      </c>
      <c r="K353" s="141">
        <v>0</v>
      </c>
      <c r="L353" s="141">
        <v>0</v>
      </c>
      <c r="M353" s="141">
        <v>0</v>
      </c>
      <c r="N353" s="141">
        <v>0</v>
      </c>
      <c r="O353" s="141">
        <v>0</v>
      </c>
      <c r="P353" s="141">
        <v>0</v>
      </c>
      <c r="Q353" s="144">
        <v>0</v>
      </c>
      <c r="R353" s="143">
        <v>0</v>
      </c>
      <c r="S353" s="141">
        <v>0</v>
      </c>
      <c r="T353" s="141">
        <v>0</v>
      </c>
      <c r="U353" s="141">
        <v>0</v>
      </c>
      <c r="V353" s="144">
        <v>0</v>
      </c>
    </row>
    <row r="354" spans="1:24" s="98" customFormat="1" ht="15" customHeight="1">
      <c r="A354" s="99"/>
      <c r="B354" s="161"/>
      <c r="D354" s="162" t="s">
        <v>1758</v>
      </c>
      <c r="E354" s="162"/>
      <c r="F354" s="162"/>
      <c r="G354" s="163"/>
      <c r="H354" s="163"/>
      <c r="I354" s="164" t="s">
        <v>498</v>
      </c>
      <c r="J354" s="143">
        <v>0</v>
      </c>
      <c r="K354" s="141">
        <v>0</v>
      </c>
      <c r="L354" s="141">
        <v>0</v>
      </c>
      <c r="M354" s="141">
        <v>0</v>
      </c>
      <c r="N354" s="141">
        <v>0</v>
      </c>
      <c r="O354" s="141">
        <v>0</v>
      </c>
      <c r="P354" s="141">
        <v>0</v>
      </c>
      <c r="Q354" s="144">
        <v>0</v>
      </c>
      <c r="R354" s="143">
        <v>0</v>
      </c>
      <c r="S354" s="141">
        <v>0</v>
      </c>
      <c r="T354" s="141">
        <v>0</v>
      </c>
      <c r="U354" s="141">
        <v>0</v>
      </c>
      <c r="V354" s="144">
        <v>0</v>
      </c>
    </row>
    <row r="355" spans="1:24" s="98" customFormat="1" ht="15" customHeight="1">
      <c r="A355" s="99"/>
      <c r="B355" s="161"/>
      <c r="D355" s="162" t="s">
        <v>85</v>
      </c>
      <c r="E355" s="162"/>
      <c r="F355" s="162"/>
      <c r="G355" s="720"/>
      <c r="H355" s="163"/>
      <c r="I355" s="164" t="s">
        <v>498</v>
      </c>
      <c r="J355" s="143">
        <v>0</v>
      </c>
      <c r="K355" s="141">
        <v>0</v>
      </c>
      <c r="L355" s="141">
        <v>0</v>
      </c>
      <c r="M355" s="141">
        <v>0</v>
      </c>
      <c r="N355" s="141">
        <v>0</v>
      </c>
      <c r="O355" s="141">
        <v>0</v>
      </c>
      <c r="P355" s="141">
        <v>0</v>
      </c>
      <c r="Q355" s="144">
        <v>0</v>
      </c>
      <c r="R355" s="143">
        <v>0</v>
      </c>
      <c r="S355" s="141">
        <v>0</v>
      </c>
      <c r="T355" s="141">
        <v>0</v>
      </c>
      <c r="U355" s="141">
        <v>0</v>
      </c>
      <c r="V355" s="144">
        <v>0</v>
      </c>
    </row>
    <row r="356" spans="1:24" s="98" customFormat="1" ht="15" customHeight="1">
      <c r="A356" s="99"/>
      <c r="B356" s="161"/>
      <c r="D356" s="162" t="s">
        <v>85</v>
      </c>
      <c r="E356" s="162"/>
      <c r="F356" s="162"/>
      <c r="G356" s="720"/>
      <c r="H356" s="163"/>
      <c r="I356" s="164" t="s">
        <v>498</v>
      </c>
      <c r="J356" s="143">
        <v>0</v>
      </c>
      <c r="K356" s="141">
        <v>0</v>
      </c>
      <c r="L356" s="141">
        <v>0</v>
      </c>
      <c r="M356" s="141">
        <v>0</v>
      </c>
      <c r="N356" s="141">
        <v>0</v>
      </c>
      <c r="O356" s="141">
        <v>0</v>
      </c>
      <c r="P356" s="141">
        <v>0</v>
      </c>
      <c r="Q356" s="144">
        <v>0</v>
      </c>
      <c r="R356" s="143">
        <v>0</v>
      </c>
      <c r="S356" s="141">
        <v>0</v>
      </c>
      <c r="T356" s="141">
        <v>0</v>
      </c>
      <c r="U356" s="141">
        <v>0</v>
      </c>
      <c r="V356" s="144">
        <v>0</v>
      </c>
    </row>
    <row r="357" spans="1:24" s="98" customFormat="1" ht="15" customHeight="1">
      <c r="A357" s="99"/>
      <c r="B357" s="161"/>
      <c r="D357" s="162" t="s">
        <v>85</v>
      </c>
      <c r="E357" s="162"/>
      <c r="F357" s="162"/>
      <c r="G357" s="720"/>
      <c r="H357" s="163"/>
      <c r="I357" s="164" t="s">
        <v>498</v>
      </c>
      <c r="J357" s="143">
        <v>0</v>
      </c>
      <c r="K357" s="141">
        <v>0</v>
      </c>
      <c r="L357" s="141">
        <v>0</v>
      </c>
      <c r="M357" s="141">
        <v>0</v>
      </c>
      <c r="N357" s="141">
        <v>0</v>
      </c>
      <c r="O357" s="141">
        <v>0</v>
      </c>
      <c r="P357" s="141">
        <v>0</v>
      </c>
      <c r="Q357" s="144">
        <v>0</v>
      </c>
      <c r="R357" s="143">
        <v>0</v>
      </c>
      <c r="S357" s="141">
        <v>0</v>
      </c>
      <c r="T357" s="141">
        <v>0</v>
      </c>
      <c r="U357" s="141">
        <v>0</v>
      </c>
      <c r="V357" s="144">
        <v>0</v>
      </c>
    </row>
    <row r="358" spans="1:24" s="98" customFormat="1" ht="15" customHeight="1">
      <c r="A358" s="99"/>
      <c r="B358" s="161"/>
      <c r="D358" s="162" t="s">
        <v>85</v>
      </c>
      <c r="E358" s="162"/>
      <c r="F358" s="162"/>
      <c r="G358" s="720"/>
      <c r="H358" s="163"/>
      <c r="I358" s="164" t="s">
        <v>498</v>
      </c>
      <c r="J358" s="143">
        <v>0</v>
      </c>
      <c r="K358" s="141">
        <v>0</v>
      </c>
      <c r="L358" s="141">
        <v>0</v>
      </c>
      <c r="M358" s="141">
        <v>0</v>
      </c>
      <c r="N358" s="141">
        <v>0</v>
      </c>
      <c r="O358" s="141">
        <v>0</v>
      </c>
      <c r="P358" s="141">
        <v>0</v>
      </c>
      <c r="Q358" s="144">
        <v>0</v>
      </c>
      <c r="R358" s="143">
        <v>0</v>
      </c>
      <c r="S358" s="141">
        <v>0</v>
      </c>
      <c r="T358" s="141">
        <v>0</v>
      </c>
      <c r="U358" s="141">
        <v>0</v>
      </c>
      <c r="V358" s="144">
        <v>0</v>
      </c>
    </row>
    <row r="359" spans="1:24" s="98" customFormat="1" ht="15" customHeight="1">
      <c r="A359" s="99"/>
      <c r="B359" s="161"/>
      <c r="D359" s="162" t="s">
        <v>85</v>
      </c>
      <c r="E359" s="162"/>
      <c r="F359" s="162"/>
      <c r="G359" s="720"/>
      <c r="H359" s="163"/>
      <c r="I359" s="164" t="s">
        <v>498</v>
      </c>
      <c r="J359" s="143">
        <v>0</v>
      </c>
      <c r="K359" s="141">
        <v>0</v>
      </c>
      <c r="L359" s="141">
        <v>0</v>
      </c>
      <c r="M359" s="141">
        <v>0</v>
      </c>
      <c r="N359" s="141">
        <v>0</v>
      </c>
      <c r="O359" s="141">
        <v>0</v>
      </c>
      <c r="P359" s="141">
        <v>0</v>
      </c>
      <c r="Q359" s="144">
        <v>0</v>
      </c>
      <c r="R359" s="143">
        <v>0</v>
      </c>
      <c r="S359" s="141">
        <v>0</v>
      </c>
      <c r="T359" s="141">
        <v>0</v>
      </c>
      <c r="U359" s="141">
        <v>0</v>
      </c>
      <c r="V359" s="144">
        <v>0</v>
      </c>
    </row>
    <row r="360" spans="1:24" s="98" customFormat="1" ht="15" customHeight="1">
      <c r="A360" s="99"/>
      <c r="B360" s="181"/>
      <c r="C360" s="2492" t="s">
        <v>1763</v>
      </c>
      <c r="D360" s="183"/>
      <c r="E360" s="183"/>
      <c r="F360" s="183"/>
      <c r="G360" s="184"/>
      <c r="H360" s="184"/>
      <c r="I360" s="164" t="s">
        <v>498</v>
      </c>
      <c r="J360" s="128">
        <f t="shared" ref="J360:V360" si="50">SUM(J347:J359)</f>
        <v>0</v>
      </c>
      <c r="K360" s="129">
        <f t="shared" si="50"/>
        <v>0</v>
      </c>
      <c r="L360" s="129">
        <f t="shared" si="50"/>
        <v>0</v>
      </c>
      <c r="M360" s="129">
        <f t="shared" si="50"/>
        <v>0</v>
      </c>
      <c r="N360" s="129">
        <f t="shared" si="50"/>
        <v>0</v>
      </c>
      <c r="O360" s="129">
        <f t="shared" si="50"/>
        <v>0</v>
      </c>
      <c r="P360" s="129">
        <f t="shared" si="50"/>
        <v>0</v>
      </c>
      <c r="Q360" s="130">
        <f t="shared" si="50"/>
        <v>0</v>
      </c>
      <c r="R360" s="128">
        <f t="shared" si="50"/>
        <v>0</v>
      </c>
      <c r="S360" s="129">
        <f t="shared" si="50"/>
        <v>0</v>
      </c>
      <c r="T360" s="129">
        <f t="shared" si="50"/>
        <v>0</v>
      </c>
      <c r="U360" s="129">
        <f t="shared" si="50"/>
        <v>0</v>
      </c>
      <c r="V360" s="130">
        <f t="shared" si="50"/>
        <v>0</v>
      </c>
      <c r="W360" s="185"/>
    </row>
    <row r="361" spans="1:24" s="338" customFormat="1" ht="14.25">
      <c r="B361" s="349"/>
      <c r="C361" s="1393"/>
      <c r="D361" s="624" t="s">
        <v>1764</v>
      </c>
      <c r="E361" s="624"/>
      <c r="F361" s="624"/>
      <c r="G361" s="339"/>
      <c r="H361" s="339"/>
      <c r="I361" s="576" t="s">
        <v>498</v>
      </c>
      <c r="J361" s="297">
        <v>0</v>
      </c>
      <c r="K361" s="298" t="s">
        <v>1127</v>
      </c>
      <c r="L361" s="298">
        <v>0</v>
      </c>
      <c r="M361" s="298">
        <v>0</v>
      </c>
      <c r="N361" s="298">
        <v>0</v>
      </c>
      <c r="O361" s="298">
        <v>0</v>
      </c>
      <c r="P361" s="298">
        <v>0</v>
      </c>
      <c r="Q361" s="299">
        <v>0</v>
      </c>
      <c r="R361" s="297">
        <v>0</v>
      </c>
      <c r="S361" s="298">
        <v>0</v>
      </c>
      <c r="T361" s="298">
        <v>0</v>
      </c>
      <c r="U361" s="298">
        <v>0</v>
      </c>
      <c r="V361" s="299">
        <v>0</v>
      </c>
    </row>
    <row r="362" spans="1:24" s="338" customFormat="1" ht="14.25">
      <c r="B362" s="349"/>
      <c r="C362" s="1393"/>
      <c r="D362" s="624" t="s">
        <v>1765</v>
      </c>
      <c r="E362" s="624"/>
      <c r="F362" s="624"/>
      <c r="G362" s="339"/>
      <c r="H362" s="339"/>
      <c r="I362" s="973" t="s">
        <v>498</v>
      </c>
      <c r="J362" s="974">
        <v>0</v>
      </c>
      <c r="K362" s="975">
        <v>0</v>
      </c>
      <c r="L362" s="975">
        <v>0</v>
      </c>
      <c r="M362" s="975">
        <v>0</v>
      </c>
      <c r="N362" s="975">
        <v>0</v>
      </c>
      <c r="O362" s="975">
        <v>0</v>
      </c>
      <c r="P362" s="975">
        <v>0</v>
      </c>
      <c r="Q362" s="976">
        <v>0</v>
      </c>
      <c r="R362" s="974">
        <v>0</v>
      </c>
      <c r="S362" s="975">
        <v>0</v>
      </c>
      <c r="T362" s="975">
        <v>0</v>
      </c>
      <c r="U362" s="975">
        <v>0</v>
      </c>
      <c r="V362" s="976">
        <v>0</v>
      </c>
    </row>
    <row r="363" spans="1:24" s="338" customFormat="1" ht="14.25">
      <c r="B363" s="349"/>
      <c r="C363" s="1393" t="s">
        <v>1766</v>
      </c>
      <c r="D363" s="339"/>
      <c r="E363" s="339"/>
      <c r="F363" s="339"/>
      <c r="G363" s="625"/>
      <c r="H363" s="339"/>
      <c r="I363" s="164" t="s">
        <v>498</v>
      </c>
      <c r="J363" s="128">
        <f>SUM(J360:J362)</f>
        <v>0</v>
      </c>
      <c r="K363" s="632">
        <f t="shared" ref="K363:V363" si="51">SUM(K360:K362)</f>
        <v>0</v>
      </c>
      <c r="L363" s="632">
        <f t="shared" si="51"/>
        <v>0</v>
      </c>
      <c r="M363" s="632">
        <f t="shared" si="51"/>
        <v>0</v>
      </c>
      <c r="N363" s="632">
        <f t="shared" si="51"/>
        <v>0</v>
      </c>
      <c r="O363" s="632">
        <f t="shared" si="51"/>
        <v>0</v>
      </c>
      <c r="P363" s="632">
        <f t="shared" si="51"/>
        <v>0</v>
      </c>
      <c r="Q363" s="632">
        <f t="shared" si="51"/>
        <v>0</v>
      </c>
      <c r="R363" s="632">
        <f t="shared" si="51"/>
        <v>0</v>
      </c>
      <c r="S363" s="632">
        <f t="shared" si="51"/>
        <v>0</v>
      </c>
      <c r="T363" s="632">
        <f t="shared" si="51"/>
        <v>0</v>
      </c>
      <c r="U363" s="632">
        <f t="shared" si="51"/>
        <v>0</v>
      </c>
      <c r="V363" s="633">
        <f t="shared" si="51"/>
        <v>0</v>
      </c>
    </row>
    <row r="364" spans="1:24" s="98" customFormat="1" ht="15" customHeight="1">
      <c r="A364" s="99"/>
      <c r="B364" s="161"/>
      <c r="C364" s="116"/>
      <c r="D364" s="116"/>
      <c r="E364" s="116"/>
      <c r="F364" s="116"/>
      <c r="G364" s="117"/>
      <c r="H364" s="117"/>
      <c r="I364" s="117"/>
      <c r="J364" s="713"/>
      <c r="K364" s="721"/>
      <c r="L364" s="721"/>
      <c r="M364" s="721"/>
      <c r="N364" s="721"/>
      <c r="O364" s="721"/>
      <c r="P364" s="721"/>
      <c r="Q364" s="715"/>
      <c r="R364" s="713"/>
      <c r="S364" s="721"/>
      <c r="T364" s="721"/>
      <c r="U364" s="721"/>
      <c r="V364" s="715"/>
    </row>
    <row r="365" spans="1:24" s="98" customFormat="1" ht="15" customHeight="1" thickBot="1">
      <c r="A365" s="99"/>
      <c r="B365" s="131" t="s">
        <v>1769</v>
      </c>
      <c r="C365" s="132"/>
      <c r="D365" s="132"/>
      <c r="E365" s="132"/>
      <c r="F365" s="132"/>
      <c r="G365" s="145"/>
      <c r="H365" s="133"/>
      <c r="I365" s="146" t="s">
        <v>498</v>
      </c>
      <c r="J365" s="718">
        <f t="shared" ref="J365:V365" si="52">SUM(J230,J249,J268,J287,J306,J325,J344,J363)</f>
        <v>26.494657688082434</v>
      </c>
      <c r="K365" s="718">
        <f t="shared" si="52"/>
        <v>27.108160410389601</v>
      </c>
      <c r="L365" s="718">
        <f>SUM(L230,J249,L268,L287,L306,L325,L344,L363)</f>
        <v>21.759027847623265</v>
      </c>
      <c r="M365" s="718">
        <f t="shared" si="52"/>
        <v>23.121498705474675</v>
      </c>
      <c r="N365" s="718">
        <f t="shared" si="52"/>
        <v>23.823574103680251</v>
      </c>
      <c r="O365" s="718">
        <f t="shared" si="52"/>
        <v>21.223681355241482</v>
      </c>
      <c r="P365" s="718">
        <f t="shared" si="52"/>
        <v>22.842997331354542</v>
      </c>
      <c r="Q365" s="718">
        <f t="shared" si="52"/>
        <v>23.153940508309816</v>
      </c>
      <c r="R365" s="718">
        <f t="shared" si="52"/>
        <v>23.056528969380313</v>
      </c>
      <c r="S365" s="718">
        <f t="shared" si="52"/>
        <v>22.959604488145462</v>
      </c>
      <c r="T365" s="718">
        <f t="shared" si="52"/>
        <v>22.863164629316781</v>
      </c>
      <c r="U365" s="718">
        <f t="shared" si="52"/>
        <v>22.767206969782244</v>
      </c>
      <c r="V365" s="719">
        <f t="shared" si="52"/>
        <v>22.671729098545377</v>
      </c>
    </row>
    <row r="366" spans="1:24" s="99" customFormat="1" ht="15" customHeight="1" thickBot="1">
      <c r="B366" s="150"/>
      <c r="C366" s="150"/>
      <c r="D366" s="150"/>
      <c r="E366" s="150"/>
      <c r="F366" s="150"/>
      <c r="G366" s="97"/>
      <c r="H366" s="97"/>
      <c r="I366" s="98"/>
      <c r="J366" s="722"/>
      <c r="K366" s="722"/>
      <c r="L366" s="722"/>
      <c r="M366" s="722"/>
      <c r="N366" s="722"/>
      <c r="O366" s="722"/>
      <c r="P366" s="722"/>
      <c r="Q366" s="722"/>
      <c r="R366" s="722"/>
      <c r="S366" s="722"/>
      <c r="T366" s="722"/>
      <c r="U366" s="722"/>
      <c r="V366" s="722"/>
      <c r="W366" s="98"/>
      <c r="X366" s="98"/>
    </row>
    <row r="367" spans="1:24" s="100" customFormat="1" ht="30" customHeight="1" thickBot="1">
      <c r="A367" s="89"/>
      <c r="B367" s="621" t="s">
        <v>1676</v>
      </c>
      <c r="C367" s="102"/>
      <c r="D367" s="102"/>
      <c r="E367" s="102"/>
      <c r="F367" s="102"/>
      <c r="G367" s="103"/>
      <c r="H367" s="103"/>
      <c r="I367" s="105" t="s">
        <v>1704</v>
      </c>
      <c r="J367" s="723"/>
      <c r="K367" s="723"/>
      <c r="L367" s="723"/>
      <c r="M367" s="723"/>
      <c r="N367" s="723"/>
      <c r="O367" s="723"/>
      <c r="P367" s="723"/>
      <c r="Q367" s="723"/>
      <c r="R367" s="724"/>
      <c r="S367" s="724"/>
      <c r="T367" s="724"/>
      <c r="U367" s="724"/>
      <c r="V367" s="993"/>
    </row>
    <row r="368" spans="1:24" s="157" customFormat="1" ht="30" customHeight="1">
      <c r="A368" s="99"/>
      <c r="B368" s="109"/>
      <c r="C368" s="110"/>
      <c r="D368" s="110"/>
      <c r="E368" s="110"/>
      <c r="F368" s="110"/>
      <c r="G368" s="111"/>
      <c r="H368" s="111"/>
      <c r="I368" s="117"/>
      <c r="J368" s="737" t="s">
        <v>1666</v>
      </c>
      <c r="K368" s="726"/>
      <c r="L368" s="726"/>
      <c r="M368" s="726"/>
      <c r="N368" s="726"/>
      <c r="O368" s="726"/>
      <c r="P368" s="726"/>
      <c r="Q368" s="727"/>
      <c r="R368" s="729" t="s">
        <v>2</v>
      </c>
      <c r="S368" s="729"/>
      <c r="T368" s="729"/>
      <c r="U368" s="729"/>
      <c r="V368" s="730"/>
    </row>
    <row r="369" spans="1:22" s="98" customFormat="1" ht="15" customHeight="1">
      <c r="A369" s="99"/>
      <c r="B369" s="115"/>
      <c r="C369" s="116"/>
      <c r="D369" s="116"/>
      <c r="E369" s="116"/>
      <c r="F369" s="116"/>
      <c r="G369" s="117"/>
      <c r="H369" s="117"/>
      <c r="I369" s="119" t="s">
        <v>1667</v>
      </c>
      <c r="J369" s="731" t="s">
        <v>453</v>
      </c>
      <c r="K369" s="732" t="s">
        <v>455</v>
      </c>
      <c r="L369" s="732" t="s">
        <v>457</v>
      </c>
      <c r="M369" s="732" t="s">
        <v>459</v>
      </c>
      <c r="N369" s="732" t="s">
        <v>461</v>
      </c>
      <c r="O369" s="732" t="s">
        <v>463</v>
      </c>
      <c r="P369" s="732" t="s">
        <v>465</v>
      </c>
      <c r="Q369" s="733" t="s">
        <v>467</v>
      </c>
      <c r="R369" s="983" t="s">
        <v>469</v>
      </c>
      <c r="S369" s="735" t="s">
        <v>471</v>
      </c>
      <c r="T369" s="735" t="s">
        <v>473</v>
      </c>
      <c r="U369" s="735" t="s">
        <v>475</v>
      </c>
      <c r="V369" s="736" t="s">
        <v>477</v>
      </c>
    </row>
    <row r="370" spans="1:22" s="98" customFormat="1" ht="15" customHeight="1">
      <c r="A370" s="99"/>
      <c r="B370" s="161"/>
      <c r="C370" s="186" t="s">
        <v>1676</v>
      </c>
      <c r="D370" s="162"/>
      <c r="E370" s="162"/>
      <c r="F370" s="162"/>
      <c r="G370" s="163"/>
      <c r="H370" s="163"/>
      <c r="I370" s="117"/>
      <c r="J370" s="713"/>
      <c r="K370" s="721"/>
      <c r="L370" s="721"/>
      <c r="M370" s="721"/>
      <c r="N370" s="721"/>
      <c r="O370" s="721"/>
      <c r="P370" s="721"/>
      <c r="Q370" s="715"/>
      <c r="R370" s="721"/>
      <c r="S370" s="721"/>
      <c r="T370" s="721"/>
      <c r="U370" s="721"/>
      <c r="V370" s="715"/>
    </row>
    <row r="371" spans="1:22" s="98" customFormat="1" ht="15" customHeight="1">
      <c r="A371" s="99"/>
      <c r="B371" s="161"/>
      <c r="C371" s="185"/>
      <c r="D371" s="162" t="s">
        <v>1752</v>
      </c>
      <c r="E371" s="162"/>
      <c r="F371" s="162"/>
      <c r="G371" s="163"/>
      <c r="H371" s="163"/>
      <c r="I371" s="164" t="s">
        <v>498</v>
      </c>
      <c r="J371" s="143">
        <v>1.4453619533184712</v>
      </c>
      <c r="K371" s="141">
        <v>1.2351492935064932</v>
      </c>
      <c r="L371" s="141">
        <v>0.76259389510084363</v>
      </c>
      <c r="M371" s="141">
        <v>0.75876689450445189</v>
      </c>
      <c r="N371" s="141">
        <v>0.96605968066365489</v>
      </c>
      <c r="O371" s="141">
        <v>0.95552602581890633</v>
      </c>
      <c r="P371" s="141">
        <v>1.3901444621150538</v>
      </c>
      <c r="Q371" s="144">
        <v>1.9981159621150537</v>
      </c>
      <c r="R371" s="345">
        <v>2.0516534621150537</v>
      </c>
      <c r="S371" s="141">
        <v>1.9105909621150539</v>
      </c>
      <c r="T371" s="141">
        <v>1.8731989621150538</v>
      </c>
      <c r="U371" s="141">
        <v>1.9105909621150539</v>
      </c>
      <c r="V371" s="144">
        <v>1.8731989621150538</v>
      </c>
    </row>
    <row r="372" spans="1:22" s="98" customFormat="1" ht="15" customHeight="1">
      <c r="A372" s="99"/>
      <c r="B372" s="161"/>
      <c r="C372" s="185"/>
      <c r="D372" s="162" t="s">
        <v>1753</v>
      </c>
      <c r="E372" s="162"/>
      <c r="F372" s="162"/>
      <c r="G372" s="163"/>
      <c r="H372" s="163"/>
      <c r="I372" s="164" t="s">
        <v>498</v>
      </c>
      <c r="J372" s="143">
        <v>1.2526837080157199E-3</v>
      </c>
      <c r="K372" s="141">
        <v>0</v>
      </c>
      <c r="L372" s="141">
        <v>0</v>
      </c>
      <c r="M372" s="141">
        <v>0</v>
      </c>
      <c r="N372" s="141">
        <v>8.8627788205508738E-4</v>
      </c>
      <c r="O372" s="141">
        <v>2.9389300346374498E-3</v>
      </c>
      <c r="P372" s="141">
        <v>8.4631527078470948E-4</v>
      </c>
      <c r="Q372" s="144">
        <v>8.4631527078470948E-4</v>
      </c>
      <c r="R372" s="345">
        <v>8.4631527078470948E-4</v>
      </c>
      <c r="S372" s="141">
        <v>8.4631527078470948E-4</v>
      </c>
      <c r="T372" s="141">
        <v>8.4631527078470948E-4</v>
      </c>
      <c r="U372" s="141">
        <v>8.4631527078470948E-4</v>
      </c>
      <c r="V372" s="144">
        <v>8.4631527078470948E-4</v>
      </c>
    </row>
    <row r="373" spans="1:22" s="98" customFormat="1" ht="15" customHeight="1">
      <c r="A373" s="99"/>
      <c r="B373" s="161"/>
      <c r="C373" s="185"/>
      <c r="D373" s="162" t="s">
        <v>1754</v>
      </c>
      <c r="E373" s="162"/>
      <c r="F373" s="162"/>
      <c r="G373" s="163"/>
      <c r="H373" s="163"/>
      <c r="I373" s="164" t="s">
        <v>498</v>
      </c>
      <c r="J373" s="143">
        <v>1.9853041414361061E-3</v>
      </c>
      <c r="K373" s="141">
        <v>2.2075948051948043E-3</v>
      </c>
      <c r="L373" s="141">
        <v>7.6559336788384917E-3</v>
      </c>
      <c r="M373" s="141">
        <v>-6.8765738437386769E-5</v>
      </c>
      <c r="N373" s="141">
        <v>2.0611113536164821E-6</v>
      </c>
      <c r="O373" s="141">
        <v>7.92439985275269E-3</v>
      </c>
      <c r="P373" s="141">
        <v>3.2844213085230535E-3</v>
      </c>
      <c r="Q373" s="144">
        <v>3.2844213085230535E-3</v>
      </c>
      <c r="R373" s="345">
        <v>3.2844213085230535E-3</v>
      </c>
      <c r="S373" s="141">
        <v>3.2844213085230535E-3</v>
      </c>
      <c r="T373" s="141">
        <v>3.2844213085230535E-3</v>
      </c>
      <c r="U373" s="141">
        <v>3.2844213085230535E-3</v>
      </c>
      <c r="V373" s="144">
        <v>3.2844213085230535E-3</v>
      </c>
    </row>
    <row r="374" spans="1:22" s="98" customFormat="1" ht="15" customHeight="1">
      <c r="A374" s="99"/>
      <c r="B374" s="161"/>
      <c r="C374" s="185"/>
      <c r="D374" s="162" t="s">
        <v>1755</v>
      </c>
      <c r="E374" s="162"/>
      <c r="F374" s="162"/>
      <c r="G374" s="163"/>
      <c r="H374" s="163"/>
      <c r="I374" s="164" t="s">
        <v>498</v>
      </c>
      <c r="J374" s="143">
        <v>1.1455993659086336</v>
      </c>
      <c r="K374" s="141">
        <v>0</v>
      </c>
      <c r="L374" s="141">
        <v>8.5724057561351659E-4</v>
      </c>
      <c r="M374" s="141">
        <v>0</v>
      </c>
      <c r="N374" s="141">
        <v>5.620650661312147E-4</v>
      </c>
      <c r="O374" s="141">
        <v>8.1814002990722688E-3</v>
      </c>
      <c r="P374" s="141">
        <v>1.9201411881634E-3</v>
      </c>
      <c r="Q374" s="144">
        <v>1.9201411881634E-3</v>
      </c>
      <c r="R374" s="345">
        <v>1.9201411881634E-3</v>
      </c>
      <c r="S374" s="141">
        <v>1.9201411881634E-3</v>
      </c>
      <c r="T374" s="141">
        <v>1.9201411881634E-3</v>
      </c>
      <c r="U374" s="141">
        <v>1.9201411881634E-3</v>
      </c>
      <c r="V374" s="144">
        <v>1.9201411881634E-3</v>
      </c>
    </row>
    <row r="375" spans="1:22" s="98" customFormat="1" ht="15" customHeight="1">
      <c r="A375" s="99"/>
      <c r="B375" s="161"/>
      <c r="C375" s="185"/>
      <c r="D375" s="162" t="s">
        <v>1756</v>
      </c>
      <c r="E375" s="162"/>
      <c r="F375" s="162"/>
      <c r="G375" s="163"/>
      <c r="H375" s="163"/>
      <c r="I375" s="164" t="s">
        <v>498</v>
      </c>
      <c r="J375" s="143">
        <v>0.12914312571829195</v>
      </c>
      <c r="K375" s="141">
        <v>0.11258733506493503</v>
      </c>
      <c r="L375" s="141">
        <v>1.1782891834690989</v>
      </c>
      <c r="M375" s="141">
        <v>1.3331149285533139</v>
      </c>
      <c r="N375" s="141">
        <v>0.81721344142913244</v>
      </c>
      <c r="O375" s="141">
        <v>1.0286094307389786</v>
      </c>
      <c r="P375" s="141">
        <v>1.3897626152360982</v>
      </c>
      <c r="Q375" s="144">
        <v>1.6702626152360982</v>
      </c>
      <c r="R375" s="345">
        <v>1.683762615236098</v>
      </c>
      <c r="S375" s="141">
        <v>1.5982626152360981</v>
      </c>
      <c r="T375" s="141">
        <v>1.5982626152360981</v>
      </c>
      <c r="U375" s="141">
        <v>1.5982626152360981</v>
      </c>
      <c r="V375" s="144">
        <v>1.5802626152360981</v>
      </c>
    </row>
    <row r="376" spans="1:22" s="98" customFormat="1" ht="15" customHeight="1">
      <c r="A376" s="99"/>
      <c r="B376" s="161"/>
      <c r="C376" s="185"/>
      <c r="D376" s="162" t="s">
        <v>1757</v>
      </c>
      <c r="E376" s="162"/>
      <c r="F376" s="162"/>
      <c r="G376" s="163"/>
      <c r="H376" s="163"/>
      <c r="I376" s="164" t="s">
        <v>498</v>
      </c>
      <c r="J376" s="143">
        <v>0</v>
      </c>
      <c r="K376" s="141">
        <v>0</v>
      </c>
      <c r="L376" s="141">
        <v>0</v>
      </c>
      <c r="M376" s="141">
        <v>0</v>
      </c>
      <c r="N376" s="141">
        <v>0</v>
      </c>
      <c r="O376" s="141">
        <v>0</v>
      </c>
      <c r="P376" s="141">
        <v>0</v>
      </c>
      <c r="Q376" s="144">
        <v>0</v>
      </c>
      <c r="R376" s="345">
        <v>0</v>
      </c>
      <c r="S376" s="141">
        <v>0</v>
      </c>
      <c r="T376" s="141">
        <v>0</v>
      </c>
      <c r="U376" s="141">
        <v>0</v>
      </c>
      <c r="V376" s="144">
        <v>0</v>
      </c>
    </row>
    <row r="377" spans="1:22" s="98" customFormat="1" ht="15" customHeight="1">
      <c r="A377" s="99"/>
      <c r="B377" s="161"/>
      <c r="C377" s="185"/>
      <c r="D377" s="162" t="s">
        <v>205</v>
      </c>
      <c r="E377" s="162"/>
      <c r="F377" s="162"/>
      <c r="G377" s="163"/>
      <c r="H377" s="163"/>
      <c r="I377" s="164" t="s">
        <v>498</v>
      </c>
      <c r="J377" s="143">
        <v>6.9213976713422532E-4</v>
      </c>
      <c r="K377" s="141">
        <v>2.4283542857142848E-2</v>
      </c>
      <c r="L377" s="141">
        <v>8.186025042168827E-3</v>
      </c>
      <c r="M377" s="141">
        <v>9.5686156563216972E-4</v>
      </c>
      <c r="N377" s="141">
        <v>3.8480742860884363E-3</v>
      </c>
      <c r="O377" s="141">
        <v>2.00390005111694E-3</v>
      </c>
      <c r="P377" s="141">
        <v>6.6617572615472404E-3</v>
      </c>
      <c r="Q377" s="144">
        <v>6.6617572615472404E-3</v>
      </c>
      <c r="R377" s="345">
        <v>6.6617572615472404E-3</v>
      </c>
      <c r="S377" s="141">
        <v>6.6617572615472404E-3</v>
      </c>
      <c r="T377" s="141">
        <v>6.6617572615472404E-3</v>
      </c>
      <c r="U377" s="141">
        <v>6.6617572615472404E-3</v>
      </c>
      <c r="V377" s="144">
        <v>6.6617572615472404E-3</v>
      </c>
    </row>
    <row r="378" spans="1:22" s="98" customFormat="1" ht="15" customHeight="1">
      <c r="A378" s="99"/>
      <c r="B378" s="161"/>
      <c r="C378" s="185"/>
      <c r="D378" s="162" t="s">
        <v>1758</v>
      </c>
      <c r="E378" s="162"/>
      <c r="F378" s="162"/>
      <c r="G378" s="163"/>
      <c r="H378" s="163"/>
      <c r="I378" s="164" t="s">
        <v>498</v>
      </c>
      <c r="J378" s="143">
        <v>0</v>
      </c>
      <c r="K378" s="141">
        <v>0</v>
      </c>
      <c r="L378" s="141">
        <v>0</v>
      </c>
      <c r="M378" s="141">
        <v>0</v>
      </c>
      <c r="N378" s="141">
        <v>0</v>
      </c>
      <c r="O378" s="141">
        <v>0</v>
      </c>
      <c r="P378" s="141">
        <v>0</v>
      </c>
      <c r="Q378" s="144">
        <v>0</v>
      </c>
      <c r="R378" s="345">
        <v>0</v>
      </c>
      <c r="S378" s="141">
        <v>0</v>
      </c>
      <c r="T378" s="141">
        <v>0</v>
      </c>
      <c r="U378" s="141">
        <v>0</v>
      </c>
      <c r="V378" s="144">
        <v>0</v>
      </c>
    </row>
    <row r="379" spans="1:22" s="98" customFormat="1" ht="15" customHeight="1">
      <c r="A379" s="99"/>
      <c r="B379" s="161"/>
      <c r="C379" s="185"/>
      <c r="D379" s="162" t="s">
        <v>85</v>
      </c>
      <c r="E379" s="162"/>
      <c r="F379" s="162"/>
      <c r="G379" s="720" t="s">
        <v>1762</v>
      </c>
      <c r="H379" s="163"/>
      <c r="I379" s="164" t="s">
        <v>498</v>
      </c>
      <c r="J379" s="143">
        <v>0</v>
      </c>
      <c r="K379" s="141">
        <v>0.22627846753246744</v>
      </c>
      <c r="L379" s="141">
        <v>2.4237521752537577E-4</v>
      </c>
      <c r="M379" s="141">
        <v>0</v>
      </c>
      <c r="N379" s="141">
        <v>0</v>
      </c>
      <c r="O379" s="141">
        <v>0</v>
      </c>
      <c r="P379" s="141">
        <v>0</v>
      </c>
      <c r="Q379" s="144">
        <v>0</v>
      </c>
      <c r="R379" s="345">
        <v>0</v>
      </c>
      <c r="S379" s="141">
        <v>0</v>
      </c>
      <c r="T379" s="141">
        <v>0</v>
      </c>
      <c r="U379" s="141">
        <v>0</v>
      </c>
      <c r="V379" s="144">
        <v>0</v>
      </c>
    </row>
    <row r="380" spans="1:22" s="98" customFormat="1" ht="15" customHeight="1">
      <c r="A380" s="99"/>
      <c r="B380" s="161"/>
      <c r="C380" s="185"/>
      <c r="D380" s="162" t="s">
        <v>85</v>
      </c>
      <c r="E380" s="162"/>
      <c r="F380" s="162"/>
      <c r="G380" s="720" t="s">
        <v>1768</v>
      </c>
      <c r="H380" s="163"/>
      <c r="I380" s="164" t="s">
        <v>498</v>
      </c>
      <c r="J380" s="143">
        <v>0</v>
      </c>
      <c r="K380" s="141">
        <v>1.0397771532467528</v>
      </c>
      <c r="L380" s="141">
        <v>0</v>
      </c>
      <c r="M380" s="141">
        <v>0</v>
      </c>
      <c r="N380" s="141">
        <v>0</v>
      </c>
      <c r="O380" s="141">
        <v>0</v>
      </c>
      <c r="P380" s="141">
        <v>0</v>
      </c>
      <c r="Q380" s="144">
        <v>0</v>
      </c>
      <c r="R380" s="345">
        <v>0</v>
      </c>
      <c r="S380" s="141">
        <v>0</v>
      </c>
      <c r="T380" s="141">
        <v>0</v>
      </c>
      <c r="U380" s="141">
        <v>0</v>
      </c>
      <c r="V380" s="144">
        <v>0</v>
      </c>
    </row>
    <row r="381" spans="1:22" s="98" customFormat="1" ht="15" customHeight="1">
      <c r="A381" s="99"/>
      <c r="B381" s="161"/>
      <c r="C381" s="185"/>
      <c r="D381" s="162" t="s">
        <v>85</v>
      </c>
      <c r="E381" s="162"/>
      <c r="F381" s="162"/>
      <c r="G381" s="720" t="s">
        <v>1761</v>
      </c>
      <c r="H381" s="163"/>
      <c r="I381" s="164" t="s">
        <v>498</v>
      </c>
      <c r="J381" s="143">
        <v>0</v>
      </c>
      <c r="K381" s="141">
        <v>0</v>
      </c>
      <c r="L381" s="141">
        <v>0</v>
      </c>
      <c r="M381" s="141">
        <v>0</v>
      </c>
      <c r="N381" s="141">
        <v>4.2252782749137878E-3</v>
      </c>
      <c r="O381" s="141">
        <v>1.2900000438094099E-5</v>
      </c>
      <c r="P381" s="141">
        <v>0</v>
      </c>
      <c r="Q381" s="144">
        <v>0</v>
      </c>
      <c r="R381" s="345">
        <v>0</v>
      </c>
      <c r="S381" s="141">
        <v>0</v>
      </c>
      <c r="T381" s="141">
        <v>0</v>
      </c>
      <c r="U381" s="141">
        <v>0</v>
      </c>
      <c r="V381" s="144">
        <v>0</v>
      </c>
    </row>
    <row r="382" spans="1:22" s="98" customFormat="1" ht="15" customHeight="1">
      <c r="A382" s="99"/>
      <c r="B382" s="161"/>
      <c r="C382" s="185"/>
      <c r="D382" s="162" t="s">
        <v>85</v>
      </c>
      <c r="E382" s="162"/>
      <c r="F382" s="162"/>
      <c r="G382" s="720"/>
      <c r="H382" s="163"/>
      <c r="I382" s="164" t="s">
        <v>498</v>
      </c>
      <c r="J382" s="143">
        <v>0</v>
      </c>
      <c r="K382" s="141">
        <v>0</v>
      </c>
      <c r="L382" s="141">
        <v>0</v>
      </c>
      <c r="M382" s="141">
        <v>0</v>
      </c>
      <c r="N382" s="141">
        <v>0</v>
      </c>
      <c r="O382" s="141">
        <v>0</v>
      </c>
      <c r="P382" s="141">
        <v>0</v>
      </c>
      <c r="Q382" s="144">
        <v>0</v>
      </c>
      <c r="R382" s="345">
        <v>0</v>
      </c>
      <c r="S382" s="141">
        <v>0</v>
      </c>
      <c r="T382" s="141">
        <v>0</v>
      </c>
      <c r="U382" s="141">
        <v>0</v>
      </c>
      <c r="V382" s="144">
        <v>0</v>
      </c>
    </row>
    <row r="383" spans="1:22" s="98" customFormat="1" ht="15" customHeight="1">
      <c r="A383" s="99"/>
      <c r="B383" s="161"/>
      <c r="C383" s="185"/>
      <c r="D383" s="162" t="s">
        <v>85</v>
      </c>
      <c r="E383" s="162"/>
      <c r="F383" s="162"/>
      <c r="G383" s="720"/>
      <c r="H383" s="163"/>
      <c r="I383" s="655" t="s">
        <v>498</v>
      </c>
      <c r="J383" s="977">
        <v>0</v>
      </c>
      <c r="K383" s="978">
        <v>0</v>
      </c>
      <c r="L383" s="978">
        <v>0</v>
      </c>
      <c r="M383" s="978">
        <v>0</v>
      </c>
      <c r="N383" s="978">
        <v>0</v>
      </c>
      <c r="O383" s="978">
        <v>0</v>
      </c>
      <c r="P383" s="978">
        <v>0</v>
      </c>
      <c r="Q383" s="979">
        <v>0</v>
      </c>
      <c r="R383" s="984">
        <v>0</v>
      </c>
      <c r="S383" s="978">
        <v>0</v>
      </c>
      <c r="T383" s="978">
        <v>0</v>
      </c>
      <c r="U383" s="978">
        <v>0</v>
      </c>
      <c r="V383" s="979">
        <v>0</v>
      </c>
    </row>
    <row r="384" spans="1:22" s="98" customFormat="1" ht="15" customHeight="1">
      <c r="A384" s="99"/>
      <c r="B384" s="181"/>
      <c r="C384" s="182" t="s">
        <v>1763</v>
      </c>
      <c r="D384" s="183"/>
      <c r="E384" s="183"/>
      <c r="F384" s="183"/>
      <c r="G384" s="184"/>
      <c r="H384" s="184"/>
      <c r="I384" s="164" t="s">
        <v>498</v>
      </c>
      <c r="J384" s="128">
        <f t="shared" ref="J384:V384" si="53">SUM(J371:J383)</f>
        <v>2.7240345725619828</v>
      </c>
      <c r="K384" s="129">
        <f t="shared" si="53"/>
        <v>2.6402833870129863</v>
      </c>
      <c r="L384" s="129">
        <f t="shared" si="53"/>
        <v>1.9578246530840888</v>
      </c>
      <c r="M384" s="129">
        <f t="shared" si="53"/>
        <v>2.0927699188849607</v>
      </c>
      <c r="N384" s="129">
        <f t="shared" si="53"/>
        <v>1.7927968787133293</v>
      </c>
      <c r="O384" s="129">
        <f t="shared" si="53"/>
        <v>2.0051969867959025</v>
      </c>
      <c r="P384" s="129">
        <f t="shared" si="53"/>
        <v>2.7926197123801701</v>
      </c>
      <c r="Q384" s="130">
        <f t="shared" si="53"/>
        <v>3.6810912123801702</v>
      </c>
      <c r="R384" s="244">
        <f t="shared" si="53"/>
        <v>3.7481287123801703</v>
      </c>
      <c r="S384" s="129">
        <f t="shared" si="53"/>
        <v>3.5215662123801703</v>
      </c>
      <c r="T384" s="129">
        <f t="shared" si="53"/>
        <v>3.4841742123801698</v>
      </c>
      <c r="U384" s="129">
        <f t="shared" si="53"/>
        <v>3.5215662123801703</v>
      </c>
      <c r="V384" s="130">
        <f t="shared" si="53"/>
        <v>3.46617421238017</v>
      </c>
    </row>
    <row r="385" spans="1:29" s="338" customFormat="1" ht="14.25">
      <c r="B385" s="349"/>
      <c r="C385" s="339"/>
      <c r="D385" s="624" t="s">
        <v>1764</v>
      </c>
      <c r="E385" s="624"/>
      <c r="F385" s="624"/>
      <c r="G385" s="339"/>
      <c r="H385" s="339"/>
      <c r="I385" s="571" t="s">
        <v>498</v>
      </c>
      <c r="J385" s="980">
        <v>0</v>
      </c>
      <c r="K385" s="981" t="s">
        <v>1127</v>
      </c>
      <c r="L385" s="981">
        <v>0</v>
      </c>
      <c r="M385" s="981">
        <v>0</v>
      </c>
      <c r="N385" s="981">
        <v>0</v>
      </c>
      <c r="O385" s="981">
        <v>0</v>
      </c>
      <c r="P385" s="981">
        <v>0</v>
      </c>
      <c r="Q385" s="982">
        <v>0</v>
      </c>
      <c r="R385" s="986">
        <v>0</v>
      </c>
      <c r="S385" s="981">
        <v>0</v>
      </c>
      <c r="T385" s="981">
        <v>0</v>
      </c>
      <c r="U385" s="981">
        <v>0</v>
      </c>
      <c r="V385" s="982">
        <v>0</v>
      </c>
    </row>
    <row r="386" spans="1:29" s="338" customFormat="1" ht="14.25">
      <c r="B386" s="349"/>
      <c r="C386" s="339"/>
      <c r="D386" s="624" t="s">
        <v>1765</v>
      </c>
      <c r="E386" s="624"/>
      <c r="F386" s="624"/>
      <c r="G386" s="339"/>
      <c r="H386" s="339"/>
      <c r="I386" s="973" t="s">
        <v>498</v>
      </c>
      <c r="J386" s="974">
        <v>0</v>
      </c>
      <c r="K386" s="975">
        <v>0</v>
      </c>
      <c r="L386" s="975">
        <v>0</v>
      </c>
      <c r="M386" s="975">
        <v>0</v>
      </c>
      <c r="N386" s="975">
        <v>0</v>
      </c>
      <c r="O386" s="975">
        <v>0</v>
      </c>
      <c r="P386" s="975">
        <v>0</v>
      </c>
      <c r="Q386" s="976">
        <v>0</v>
      </c>
      <c r="R386" s="987">
        <v>0</v>
      </c>
      <c r="S386" s="975">
        <v>0</v>
      </c>
      <c r="T386" s="975">
        <v>0</v>
      </c>
      <c r="U386" s="975">
        <v>0</v>
      </c>
      <c r="V386" s="976">
        <v>0</v>
      </c>
    </row>
    <row r="387" spans="1:29" s="338" customFormat="1" ht="14.25">
      <c r="B387" s="159"/>
      <c r="C387" s="127" t="s">
        <v>1766</v>
      </c>
      <c r="D387" s="127"/>
      <c r="E387" s="127"/>
      <c r="F387" s="127"/>
      <c r="G387" s="117"/>
      <c r="H387" s="118"/>
      <c r="I387" s="119" t="s">
        <v>498</v>
      </c>
      <c r="J387" s="128">
        <f>SUM(J384:J386)</f>
        <v>2.7240345725619828</v>
      </c>
      <c r="K387" s="129">
        <f t="shared" ref="K387:V387" si="54">SUM(K384:K386)</f>
        <v>2.6402833870129863</v>
      </c>
      <c r="L387" s="129">
        <f t="shared" si="54"/>
        <v>1.9578246530840888</v>
      </c>
      <c r="M387" s="129">
        <f t="shared" si="54"/>
        <v>2.0927699188849607</v>
      </c>
      <c r="N387" s="129">
        <f t="shared" si="54"/>
        <v>1.7927968787133293</v>
      </c>
      <c r="O387" s="129">
        <f t="shared" si="54"/>
        <v>2.0051969867959025</v>
      </c>
      <c r="P387" s="129">
        <f t="shared" si="54"/>
        <v>2.7926197123801701</v>
      </c>
      <c r="Q387" s="130">
        <f t="shared" si="54"/>
        <v>3.6810912123801702</v>
      </c>
      <c r="R387" s="244">
        <f t="shared" si="54"/>
        <v>3.7481287123801703</v>
      </c>
      <c r="S387" s="129">
        <f t="shared" si="54"/>
        <v>3.5215662123801703</v>
      </c>
      <c r="T387" s="129">
        <f t="shared" si="54"/>
        <v>3.4841742123801698</v>
      </c>
      <c r="U387" s="129">
        <f t="shared" si="54"/>
        <v>3.5215662123801703</v>
      </c>
      <c r="V387" s="130">
        <f t="shared" si="54"/>
        <v>3.46617421238017</v>
      </c>
    </row>
    <row r="388" spans="1:29" s="98" customFormat="1" ht="15" customHeight="1">
      <c r="A388" s="99"/>
      <c r="B388" s="161"/>
      <c r="C388" s="116"/>
      <c r="D388" s="116"/>
      <c r="E388" s="116"/>
      <c r="F388" s="116"/>
      <c r="G388" s="117"/>
      <c r="H388" s="117"/>
      <c r="I388" s="117"/>
      <c r="J388" s="713"/>
      <c r="K388" s="721"/>
      <c r="L388" s="721"/>
      <c r="M388" s="721"/>
      <c r="N388" s="721"/>
      <c r="O388" s="721"/>
      <c r="P388" s="721"/>
      <c r="Q388" s="715"/>
      <c r="R388" s="721"/>
      <c r="S388" s="721"/>
      <c r="T388" s="721"/>
      <c r="U388" s="721"/>
      <c r="V388" s="715"/>
    </row>
    <row r="389" spans="1:29" s="98" customFormat="1" ht="15" customHeight="1" thickBot="1">
      <c r="A389" s="99"/>
      <c r="B389" s="131" t="s">
        <v>1769</v>
      </c>
      <c r="C389" s="132"/>
      <c r="D389" s="132"/>
      <c r="E389" s="132"/>
      <c r="F389" s="132"/>
      <c r="G389" s="145"/>
      <c r="H389" s="133"/>
      <c r="I389" s="146" t="s">
        <v>498</v>
      </c>
      <c r="J389" s="717">
        <f>J387</f>
        <v>2.7240345725619828</v>
      </c>
      <c r="K389" s="718">
        <f t="shared" ref="K389:V389" si="55">K387</f>
        <v>2.6402833870129863</v>
      </c>
      <c r="L389" s="718">
        <f t="shared" si="55"/>
        <v>1.9578246530840888</v>
      </c>
      <c r="M389" s="718">
        <f t="shared" si="55"/>
        <v>2.0927699188849607</v>
      </c>
      <c r="N389" s="718">
        <f t="shared" si="55"/>
        <v>1.7927968787133293</v>
      </c>
      <c r="O389" s="718">
        <f t="shared" si="55"/>
        <v>2.0051969867959025</v>
      </c>
      <c r="P389" s="718">
        <f t="shared" si="55"/>
        <v>2.7926197123801701</v>
      </c>
      <c r="Q389" s="719">
        <f t="shared" si="55"/>
        <v>3.6810912123801702</v>
      </c>
      <c r="R389" s="797">
        <f t="shared" si="55"/>
        <v>3.7481287123801703</v>
      </c>
      <c r="S389" s="718">
        <f t="shared" si="55"/>
        <v>3.5215662123801703</v>
      </c>
      <c r="T389" s="718">
        <f t="shared" si="55"/>
        <v>3.4841742123801698</v>
      </c>
      <c r="U389" s="718">
        <f t="shared" si="55"/>
        <v>3.5215662123801703</v>
      </c>
      <c r="V389" s="719">
        <f t="shared" si="55"/>
        <v>3.46617421238017</v>
      </c>
    </row>
    <row r="390" spans="1:29" s="99" customFormat="1" ht="15" customHeight="1" thickBot="1">
      <c r="B390" s="150"/>
      <c r="C390" s="150"/>
      <c r="D390" s="150"/>
      <c r="E390" s="150"/>
      <c r="F390" s="150"/>
      <c r="G390" s="97"/>
      <c r="H390" s="97"/>
      <c r="I390" s="722"/>
      <c r="J390" s="722"/>
      <c r="K390" s="838"/>
      <c r="L390" s="838"/>
      <c r="M390" s="838"/>
      <c r="N390" s="838"/>
      <c r="O390" s="838"/>
      <c r="P390" s="838"/>
      <c r="Q390" s="722"/>
      <c r="R390" s="722"/>
      <c r="S390" s="722"/>
      <c r="T390" s="722"/>
      <c r="U390" s="722"/>
      <c r="V390" s="722"/>
      <c r="W390" s="98"/>
      <c r="X390" s="98"/>
      <c r="AB390" s="173"/>
      <c r="AC390" s="98"/>
    </row>
    <row r="391" spans="1:29" s="100" customFormat="1" ht="30" customHeight="1" thickBot="1">
      <c r="A391" s="89"/>
      <c r="B391" s="621" t="s">
        <v>1723</v>
      </c>
      <c r="C391" s="102"/>
      <c r="D391" s="102"/>
      <c r="E391" s="102"/>
      <c r="F391" s="102"/>
      <c r="G391" s="103"/>
      <c r="H391" s="103"/>
      <c r="I391" s="105" t="s">
        <v>1704</v>
      </c>
      <c r="J391" s="991"/>
      <c r="K391" s="723"/>
      <c r="L391" s="723"/>
      <c r="M391" s="723"/>
      <c r="N391" s="723"/>
      <c r="O391" s="723"/>
      <c r="P391" s="723"/>
      <c r="Q391" s="992"/>
      <c r="R391" s="988"/>
      <c r="S391" s="724"/>
      <c r="T391" s="724"/>
      <c r="U391" s="724"/>
      <c r="V391" s="993"/>
    </row>
    <row r="392" spans="1:29" s="157" customFormat="1" ht="30" customHeight="1">
      <c r="A392" s="99"/>
      <c r="B392" s="109"/>
      <c r="C392" s="110"/>
      <c r="D392" s="110"/>
      <c r="E392" s="110"/>
      <c r="F392" s="110"/>
      <c r="G392" s="111"/>
      <c r="H392" s="111"/>
      <c r="I392" s="117"/>
      <c r="J392" s="737" t="s">
        <v>1666</v>
      </c>
      <c r="K392" s="726"/>
      <c r="L392" s="726"/>
      <c r="M392" s="726"/>
      <c r="N392" s="726"/>
      <c r="O392" s="726"/>
      <c r="P392" s="726"/>
      <c r="Q392" s="727"/>
      <c r="R392" s="729" t="s">
        <v>2</v>
      </c>
      <c r="S392" s="729"/>
      <c r="T392" s="729"/>
      <c r="U392" s="729"/>
      <c r="V392" s="730"/>
    </row>
    <row r="393" spans="1:29" s="98" customFormat="1" ht="15" customHeight="1">
      <c r="A393" s="99"/>
      <c r="B393" s="115"/>
      <c r="C393" s="116"/>
      <c r="D393" s="116"/>
      <c r="E393" s="116"/>
      <c r="F393" s="116"/>
      <c r="G393" s="117"/>
      <c r="H393" s="117"/>
      <c r="I393" s="119" t="s">
        <v>1667</v>
      </c>
      <c r="J393" s="731" t="s">
        <v>453</v>
      </c>
      <c r="K393" s="732" t="s">
        <v>455</v>
      </c>
      <c r="L393" s="732" t="s">
        <v>457</v>
      </c>
      <c r="M393" s="732" t="s">
        <v>459</v>
      </c>
      <c r="N393" s="732" t="s">
        <v>461</v>
      </c>
      <c r="O393" s="732" t="s">
        <v>463</v>
      </c>
      <c r="P393" s="732" t="s">
        <v>465</v>
      </c>
      <c r="Q393" s="733" t="s">
        <v>467</v>
      </c>
      <c r="R393" s="983" t="s">
        <v>469</v>
      </c>
      <c r="S393" s="735" t="s">
        <v>471</v>
      </c>
      <c r="T393" s="735" t="s">
        <v>473</v>
      </c>
      <c r="U393" s="735" t="s">
        <v>475</v>
      </c>
      <c r="V393" s="736" t="s">
        <v>477</v>
      </c>
    </row>
    <row r="394" spans="1:29" s="98" customFormat="1" ht="15" customHeight="1">
      <c r="A394" s="99"/>
      <c r="B394" s="161"/>
      <c r="C394" s="186" t="s">
        <v>1724</v>
      </c>
      <c r="D394" s="162"/>
      <c r="E394" s="162"/>
      <c r="F394" s="162"/>
      <c r="G394" s="163"/>
      <c r="H394" s="163"/>
      <c r="I394" s="117"/>
      <c r="J394" s="713"/>
      <c r="K394" s="721"/>
      <c r="L394" s="721"/>
      <c r="M394" s="721"/>
      <c r="N394" s="721"/>
      <c r="O394" s="721"/>
      <c r="P394" s="721"/>
      <c r="Q394" s="715"/>
      <c r="R394" s="721"/>
      <c r="S394" s="721"/>
      <c r="T394" s="721"/>
      <c r="U394" s="721"/>
      <c r="V394" s="715"/>
    </row>
    <row r="395" spans="1:29" s="98" customFormat="1" ht="15" customHeight="1">
      <c r="A395" s="99"/>
      <c r="B395" s="161"/>
      <c r="C395" s="185"/>
      <c r="D395" s="162" t="s">
        <v>1752</v>
      </c>
      <c r="E395" s="162"/>
      <c r="F395" s="162"/>
      <c r="G395" s="163"/>
      <c r="H395" s="163"/>
      <c r="I395" s="164" t="s">
        <v>498</v>
      </c>
      <c r="J395" s="143">
        <v>0.39622808204359367</v>
      </c>
      <c r="K395" s="141">
        <v>0.58942781298701286</v>
      </c>
      <c r="L395" s="141">
        <v>6.6613598869330576E-2</v>
      </c>
      <c r="M395" s="141">
        <v>0.37999273842529013</v>
      </c>
      <c r="N395" s="141">
        <v>0.14386842063073815</v>
      </c>
      <c r="O395" s="141">
        <v>0.24172267278469756</v>
      </c>
      <c r="P395" s="141">
        <v>0.24172267278469756</v>
      </c>
      <c r="Q395" s="144">
        <v>0.24172267278469756</v>
      </c>
      <c r="R395" s="345">
        <v>0.24172267278469756</v>
      </c>
      <c r="S395" s="141">
        <v>0.24172267278469756</v>
      </c>
      <c r="T395" s="141">
        <v>0.24172267278469756</v>
      </c>
      <c r="U395" s="141">
        <v>0.24172267278469756</v>
      </c>
      <c r="V395" s="144">
        <v>0.24172267278469756</v>
      </c>
    </row>
    <row r="396" spans="1:29" s="98" customFormat="1" ht="15" customHeight="1">
      <c r="A396" s="99"/>
      <c r="B396" s="161"/>
      <c r="C396" s="185"/>
      <c r="D396" s="162" t="s">
        <v>1753</v>
      </c>
      <c r="E396" s="162"/>
      <c r="F396" s="162"/>
      <c r="G396" s="163"/>
      <c r="H396" s="163"/>
      <c r="I396" s="164" t="s">
        <v>498</v>
      </c>
      <c r="J396" s="143">
        <v>2.2096511421386938E-2</v>
      </c>
      <c r="K396" s="141">
        <v>9.2718981818181792E-2</v>
      </c>
      <c r="L396" s="141">
        <v>3.9312943595014763E-2</v>
      </c>
      <c r="M396" s="141">
        <v>0</v>
      </c>
      <c r="N396" s="141">
        <v>-4.3884152385525337E-2</v>
      </c>
      <c r="O396" s="141">
        <v>8.6400003433227505E-3</v>
      </c>
      <c r="P396" s="141">
        <v>8.6400003433227505E-3</v>
      </c>
      <c r="Q396" s="144">
        <v>8.6400003433227505E-3</v>
      </c>
      <c r="R396" s="345">
        <v>8.6400003433227505E-3</v>
      </c>
      <c r="S396" s="141">
        <v>8.6400003433227505E-3</v>
      </c>
      <c r="T396" s="141">
        <v>8.6400003433227505E-3</v>
      </c>
      <c r="U396" s="141">
        <v>8.6400003433227505E-3</v>
      </c>
      <c r="V396" s="144">
        <v>8.6400003433227505E-3</v>
      </c>
    </row>
    <row r="397" spans="1:29" s="98" customFormat="1" ht="15" customHeight="1">
      <c r="A397" s="99"/>
      <c r="B397" s="161"/>
      <c r="C397" s="185"/>
      <c r="D397" s="162" t="s">
        <v>1754</v>
      </c>
      <c r="E397" s="162"/>
      <c r="F397" s="162"/>
      <c r="G397" s="163"/>
      <c r="H397" s="163"/>
      <c r="I397" s="164" t="s">
        <v>498</v>
      </c>
      <c r="J397" s="143">
        <v>0</v>
      </c>
      <c r="K397" s="141">
        <v>0</v>
      </c>
      <c r="L397" s="141">
        <v>0</v>
      </c>
      <c r="M397" s="141">
        <v>4.9231863950609819E-4</v>
      </c>
      <c r="N397" s="141">
        <v>1.2312873115369505E-3</v>
      </c>
      <c r="O397" s="141">
        <v>1.0655000060796701E-4</v>
      </c>
      <c r="P397" s="141">
        <v>1.0655000060796701E-4</v>
      </c>
      <c r="Q397" s="144">
        <v>1.0655000060796701E-4</v>
      </c>
      <c r="R397" s="345">
        <v>1.0655000060796701E-4</v>
      </c>
      <c r="S397" s="141">
        <v>1.0655000060796701E-4</v>
      </c>
      <c r="T397" s="141">
        <v>1.0655000060796701E-4</v>
      </c>
      <c r="U397" s="141">
        <v>1.0655000060796701E-4</v>
      </c>
      <c r="V397" s="144">
        <v>1.0655000060796701E-4</v>
      </c>
    </row>
    <row r="398" spans="1:29" s="98" customFormat="1" ht="15" customHeight="1">
      <c r="A398" s="99"/>
      <c r="B398" s="161"/>
      <c r="C398" s="185"/>
      <c r="D398" s="162" t="s">
        <v>1755</v>
      </c>
      <c r="E398" s="162"/>
      <c r="F398" s="162"/>
      <c r="G398" s="163"/>
      <c r="H398" s="163"/>
      <c r="I398" s="164" t="s">
        <v>498</v>
      </c>
      <c r="J398" s="143">
        <v>0</v>
      </c>
      <c r="K398" s="141">
        <v>0</v>
      </c>
      <c r="L398" s="141">
        <v>0</v>
      </c>
      <c r="M398" s="141">
        <v>0</v>
      </c>
      <c r="N398" s="141">
        <v>0</v>
      </c>
      <c r="O398" s="141">
        <v>0</v>
      </c>
      <c r="P398" s="141">
        <v>0</v>
      </c>
      <c r="Q398" s="144">
        <v>0</v>
      </c>
      <c r="R398" s="345">
        <v>0</v>
      </c>
      <c r="S398" s="141">
        <v>0</v>
      </c>
      <c r="T398" s="141">
        <v>0</v>
      </c>
      <c r="U398" s="141">
        <v>0</v>
      </c>
      <c r="V398" s="144">
        <v>0</v>
      </c>
    </row>
    <row r="399" spans="1:29" s="98" customFormat="1" ht="15" customHeight="1">
      <c r="A399" s="99"/>
      <c r="B399" s="161"/>
      <c r="C399" s="185"/>
      <c r="D399" s="162" t="s">
        <v>1756</v>
      </c>
      <c r="E399" s="162"/>
      <c r="F399" s="162"/>
      <c r="G399" s="163"/>
      <c r="H399" s="163"/>
      <c r="I399" s="164" t="s">
        <v>498</v>
      </c>
      <c r="J399" s="143">
        <v>0</v>
      </c>
      <c r="K399" s="141">
        <v>0</v>
      </c>
      <c r="L399" s="141">
        <v>1.0920262109726324E-3</v>
      </c>
      <c r="M399" s="141">
        <v>0</v>
      </c>
      <c r="N399" s="141">
        <v>0</v>
      </c>
      <c r="O399" s="141">
        <v>0</v>
      </c>
      <c r="P399" s="141">
        <v>0</v>
      </c>
      <c r="Q399" s="144">
        <v>0</v>
      </c>
      <c r="R399" s="345">
        <v>0</v>
      </c>
      <c r="S399" s="141">
        <v>0</v>
      </c>
      <c r="T399" s="141">
        <v>0</v>
      </c>
      <c r="U399" s="141">
        <v>0</v>
      </c>
      <c r="V399" s="144">
        <v>0</v>
      </c>
    </row>
    <row r="400" spans="1:29" s="98" customFormat="1" ht="15" customHeight="1">
      <c r="A400" s="99"/>
      <c r="B400" s="161"/>
      <c r="C400" s="185"/>
      <c r="D400" s="162" t="s">
        <v>1757</v>
      </c>
      <c r="E400" s="162"/>
      <c r="F400" s="162"/>
      <c r="G400" s="163"/>
      <c r="H400" s="163"/>
      <c r="I400" s="164" t="s">
        <v>498</v>
      </c>
      <c r="J400" s="143">
        <v>7.4404957441098291E-2</v>
      </c>
      <c r="K400" s="141">
        <v>0</v>
      </c>
      <c r="L400" s="141">
        <v>0</v>
      </c>
      <c r="M400" s="141">
        <v>0</v>
      </c>
      <c r="N400" s="141">
        <v>0</v>
      </c>
      <c r="O400" s="141">
        <v>0</v>
      </c>
      <c r="P400" s="141">
        <v>0</v>
      </c>
      <c r="Q400" s="144">
        <v>0</v>
      </c>
      <c r="R400" s="345">
        <v>0</v>
      </c>
      <c r="S400" s="141">
        <v>0</v>
      </c>
      <c r="T400" s="141">
        <v>0</v>
      </c>
      <c r="U400" s="141">
        <v>0</v>
      </c>
      <c r="V400" s="144">
        <v>0</v>
      </c>
    </row>
    <row r="401" spans="1:22" s="98" customFormat="1" ht="15" customHeight="1">
      <c r="A401" s="99"/>
      <c r="B401" s="161"/>
      <c r="C401" s="185"/>
      <c r="D401" s="162" t="s">
        <v>205</v>
      </c>
      <c r="E401" s="162"/>
      <c r="F401" s="162"/>
      <c r="G401" s="163"/>
      <c r="H401" s="163"/>
      <c r="I401" s="164" t="s">
        <v>498</v>
      </c>
      <c r="J401" s="143">
        <v>0</v>
      </c>
      <c r="K401" s="141">
        <v>0</v>
      </c>
      <c r="L401" s="141">
        <v>0</v>
      </c>
      <c r="M401" s="141">
        <v>2.0527086100712467E-4</v>
      </c>
      <c r="N401" s="141">
        <v>0</v>
      </c>
      <c r="O401" s="141">
        <v>0</v>
      </c>
      <c r="P401" s="141">
        <v>0</v>
      </c>
      <c r="Q401" s="144">
        <v>0</v>
      </c>
      <c r="R401" s="345">
        <v>0</v>
      </c>
      <c r="S401" s="141">
        <v>0</v>
      </c>
      <c r="T401" s="141">
        <v>0</v>
      </c>
      <c r="U401" s="141">
        <v>0</v>
      </c>
      <c r="V401" s="144">
        <v>0</v>
      </c>
    </row>
    <row r="402" spans="1:22" s="98" customFormat="1" ht="15" customHeight="1">
      <c r="A402" s="99"/>
      <c r="B402" s="161"/>
      <c r="C402" s="185"/>
      <c r="D402" s="162" t="s">
        <v>1758</v>
      </c>
      <c r="E402" s="162"/>
      <c r="F402" s="162"/>
      <c r="G402" s="163"/>
      <c r="H402" s="163"/>
      <c r="I402" s="164" t="s">
        <v>498</v>
      </c>
      <c r="J402" s="143">
        <v>0</v>
      </c>
      <c r="K402" s="141">
        <v>0</v>
      </c>
      <c r="L402" s="141">
        <v>0</v>
      </c>
      <c r="M402" s="141">
        <v>0</v>
      </c>
      <c r="N402" s="141">
        <v>0</v>
      </c>
      <c r="O402" s="141">
        <v>0</v>
      </c>
      <c r="P402" s="141">
        <v>0</v>
      </c>
      <c r="Q402" s="144">
        <v>0</v>
      </c>
      <c r="R402" s="345">
        <v>0</v>
      </c>
      <c r="S402" s="141">
        <v>0</v>
      </c>
      <c r="T402" s="141">
        <v>0</v>
      </c>
      <c r="U402" s="141">
        <v>0</v>
      </c>
      <c r="V402" s="144">
        <v>0</v>
      </c>
    </row>
    <row r="403" spans="1:22" s="98" customFormat="1" ht="15" customHeight="1">
      <c r="A403" s="99"/>
      <c r="B403" s="161"/>
      <c r="C403" s="185"/>
      <c r="D403" s="162" t="s">
        <v>85</v>
      </c>
      <c r="E403" s="162"/>
      <c r="F403" s="162"/>
      <c r="G403" s="720" t="s">
        <v>1762</v>
      </c>
      <c r="H403" s="163"/>
      <c r="I403" s="164" t="s">
        <v>498</v>
      </c>
      <c r="J403" s="143">
        <v>1.057792141673916E-4</v>
      </c>
      <c r="K403" s="141">
        <v>0</v>
      </c>
      <c r="L403" s="141">
        <v>0</v>
      </c>
      <c r="M403" s="141">
        <v>4.5526297261804113E-2</v>
      </c>
      <c r="N403" s="141">
        <v>0</v>
      </c>
      <c r="O403" s="141">
        <v>0</v>
      </c>
      <c r="P403" s="141">
        <v>0</v>
      </c>
      <c r="Q403" s="144">
        <v>0</v>
      </c>
      <c r="R403" s="345">
        <v>0</v>
      </c>
      <c r="S403" s="141">
        <v>0</v>
      </c>
      <c r="T403" s="141">
        <v>0</v>
      </c>
      <c r="U403" s="141">
        <v>0</v>
      </c>
      <c r="V403" s="144">
        <v>0</v>
      </c>
    </row>
    <row r="404" spans="1:22" s="98" customFormat="1" ht="15" customHeight="1">
      <c r="A404" s="99"/>
      <c r="B404" s="161"/>
      <c r="C404" s="185"/>
      <c r="D404" s="162" t="s">
        <v>85</v>
      </c>
      <c r="E404" s="162"/>
      <c r="F404" s="162"/>
      <c r="G404" s="720"/>
      <c r="H404" s="163"/>
      <c r="I404" s="164" t="s">
        <v>498</v>
      </c>
      <c r="J404" s="143">
        <v>0</v>
      </c>
      <c r="K404" s="141">
        <v>0</v>
      </c>
      <c r="L404" s="141">
        <v>0</v>
      </c>
      <c r="M404" s="141">
        <v>0</v>
      </c>
      <c r="N404" s="141">
        <v>0</v>
      </c>
      <c r="O404" s="141">
        <v>0</v>
      </c>
      <c r="P404" s="141">
        <v>0</v>
      </c>
      <c r="Q404" s="144">
        <v>0</v>
      </c>
      <c r="R404" s="345">
        <v>0</v>
      </c>
      <c r="S404" s="141">
        <v>0</v>
      </c>
      <c r="T404" s="141">
        <v>0</v>
      </c>
      <c r="U404" s="141">
        <v>0</v>
      </c>
      <c r="V404" s="144">
        <v>0</v>
      </c>
    </row>
    <row r="405" spans="1:22" s="98" customFormat="1" ht="15" customHeight="1">
      <c r="A405" s="99"/>
      <c r="B405" s="161"/>
      <c r="C405" s="185"/>
      <c r="D405" s="162" t="s">
        <v>85</v>
      </c>
      <c r="E405" s="162"/>
      <c r="F405" s="162"/>
      <c r="G405" s="720"/>
      <c r="H405" s="163"/>
      <c r="I405" s="164" t="s">
        <v>498</v>
      </c>
      <c r="J405" s="143">
        <v>0</v>
      </c>
      <c r="K405" s="141">
        <v>0</v>
      </c>
      <c r="L405" s="141">
        <v>0</v>
      </c>
      <c r="M405" s="141">
        <v>0</v>
      </c>
      <c r="N405" s="141">
        <v>0</v>
      </c>
      <c r="O405" s="141">
        <v>0</v>
      </c>
      <c r="P405" s="141">
        <v>0</v>
      </c>
      <c r="Q405" s="144">
        <v>0</v>
      </c>
      <c r="R405" s="345">
        <v>0</v>
      </c>
      <c r="S405" s="141">
        <v>0</v>
      </c>
      <c r="T405" s="141">
        <v>0</v>
      </c>
      <c r="U405" s="141">
        <v>0</v>
      </c>
      <c r="V405" s="144">
        <v>0</v>
      </c>
    </row>
    <row r="406" spans="1:22" s="98" customFormat="1" ht="15" customHeight="1">
      <c r="A406" s="99"/>
      <c r="B406" s="161"/>
      <c r="C406" s="185"/>
      <c r="D406" s="162" t="s">
        <v>85</v>
      </c>
      <c r="E406" s="162"/>
      <c r="F406" s="162"/>
      <c r="G406" s="720"/>
      <c r="H406" s="163"/>
      <c r="I406" s="164" t="s">
        <v>498</v>
      </c>
      <c r="J406" s="143">
        <v>0</v>
      </c>
      <c r="K406" s="141">
        <v>0</v>
      </c>
      <c r="L406" s="141">
        <v>0</v>
      </c>
      <c r="M406" s="141">
        <v>0</v>
      </c>
      <c r="N406" s="141">
        <v>0</v>
      </c>
      <c r="O406" s="141">
        <v>0</v>
      </c>
      <c r="P406" s="141">
        <v>0</v>
      </c>
      <c r="Q406" s="144">
        <v>0</v>
      </c>
      <c r="R406" s="345">
        <v>0</v>
      </c>
      <c r="S406" s="141">
        <v>0</v>
      </c>
      <c r="T406" s="141">
        <v>0</v>
      </c>
      <c r="U406" s="141">
        <v>0</v>
      </c>
      <c r="V406" s="144">
        <v>0</v>
      </c>
    </row>
    <row r="407" spans="1:22" s="98" customFormat="1" ht="15" customHeight="1">
      <c r="A407" s="99"/>
      <c r="B407" s="161"/>
      <c r="C407" s="185"/>
      <c r="D407" s="162" t="s">
        <v>85</v>
      </c>
      <c r="E407" s="162"/>
      <c r="F407" s="162"/>
      <c r="G407" s="720"/>
      <c r="H407" s="163"/>
      <c r="I407" s="164" t="s">
        <v>498</v>
      </c>
      <c r="J407" s="143">
        <v>0</v>
      </c>
      <c r="K407" s="141">
        <v>0</v>
      </c>
      <c r="L407" s="141">
        <v>0</v>
      </c>
      <c r="M407" s="141">
        <v>0</v>
      </c>
      <c r="N407" s="141">
        <v>0</v>
      </c>
      <c r="O407" s="141">
        <v>0</v>
      </c>
      <c r="P407" s="141">
        <v>0</v>
      </c>
      <c r="Q407" s="144">
        <v>0</v>
      </c>
      <c r="R407" s="345">
        <v>0</v>
      </c>
      <c r="S407" s="141">
        <v>0</v>
      </c>
      <c r="T407" s="141">
        <v>0</v>
      </c>
      <c r="U407" s="141">
        <v>0</v>
      </c>
      <c r="V407" s="144">
        <v>0</v>
      </c>
    </row>
    <row r="408" spans="1:22" s="98" customFormat="1" ht="15" customHeight="1">
      <c r="A408" s="99"/>
      <c r="B408" s="161"/>
      <c r="C408" s="185" t="s">
        <v>1763</v>
      </c>
      <c r="D408" s="162"/>
      <c r="E408" s="162"/>
      <c r="F408" s="162"/>
      <c r="G408" s="163"/>
      <c r="H408" s="163"/>
      <c r="I408" s="164" t="s">
        <v>498</v>
      </c>
      <c r="J408" s="128">
        <f t="shared" ref="J408:V408" si="56">SUM(J395:J407)</f>
        <v>0.49283533012024633</v>
      </c>
      <c r="K408" s="129">
        <f t="shared" si="56"/>
        <v>0.68214679480519469</v>
      </c>
      <c r="L408" s="129">
        <f t="shared" si="56"/>
        <v>0.10701856867531798</v>
      </c>
      <c r="M408" s="129">
        <f t="shared" si="56"/>
        <v>0.4262166251876075</v>
      </c>
      <c r="N408" s="129">
        <f t="shared" si="56"/>
        <v>0.10121555555674976</v>
      </c>
      <c r="O408" s="129">
        <f t="shared" si="56"/>
        <v>0.25046922312862824</v>
      </c>
      <c r="P408" s="129">
        <f t="shared" si="56"/>
        <v>0.25046922312862824</v>
      </c>
      <c r="Q408" s="130">
        <f t="shared" si="56"/>
        <v>0.25046922312862824</v>
      </c>
      <c r="R408" s="244">
        <f t="shared" si="56"/>
        <v>0.25046922312862824</v>
      </c>
      <c r="S408" s="129">
        <f t="shared" si="56"/>
        <v>0.25046922312862824</v>
      </c>
      <c r="T408" s="129">
        <f t="shared" si="56"/>
        <v>0.25046922312862824</v>
      </c>
      <c r="U408" s="129">
        <f t="shared" si="56"/>
        <v>0.25046922312862824</v>
      </c>
      <c r="V408" s="130">
        <f t="shared" si="56"/>
        <v>0.25046922312862824</v>
      </c>
    </row>
    <row r="409" spans="1:22" s="338" customFormat="1" ht="14.25">
      <c r="B409" s="349"/>
      <c r="C409" s="339"/>
      <c r="D409" s="624" t="s">
        <v>1764</v>
      </c>
      <c r="E409" s="624"/>
      <c r="F409" s="624"/>
      <c r="G409" s="339"/>
      <c r="H409" s="339"/>
      <c r="I409" s="576" t="s">
        <v>498</v>
      </c>
      <c r="J409" s="297">
        <v>0</v>
      </c>
      <c r="K409" s="298" t="s">
        <v>1127</v>
      </c>
      <c r="L409" s="298">
        <v>0</v>
      </c>
      <c r="M409" s="298">
        <v>0</v>
      </c>
      <c r="N409" s="298">
        <v>0</v>
      </c>
      <c r="O409" s="298">
        <v>0</v>
      </c>
      <c r="P409" s="298">
        <v>0</v>
      </c>
      <c r="Q409" s="299">
        <v>0</v>
      </c>
      <c r="R409" s="460">
        <v>0</v>
      </c>
      <c r="S409" s="298">
        <v>0</v>
      </c>
      <c r="T409" s="298">
        <v>0</v>
      </c>
      <c r="U409" s="298">
        <v>0</v>
      </c>
      <c r="V409" s="299">
        <v>0</v>
      </c>
    </row>
    <row r="410" spans="1:22" s="338" customFormat="1" ht="14.25">
      <c r="B410" s="349"/>
      <c r="C410" s="339"/>
      <c r="D410" s="624" t="s">
        <v>1765</v>
      </c>
      <c r="E410" s="624"/>
      <c r="F410" s="624"/>
      <c r="G410" s="339"/>
      <c r="H410" s="339"/>
      <c r="I410" s="973" t="s">
        <v>498</v>
      </c>
      <c r="J410" s="974">
        <v>0</v>
      </c>
      <c r="K410" s="975">
        <v>0</v>
      </c>
      <c r="L410" s="975">
        <v>0</v>
      </c>
      <c r="M410" s="975">
        <v>0</v>
      </c>
      <c r="N410" s="975">
        <v>0</v>
      </c>
      <c r="O410" s="975">
        <v>0</v>
      </c>
      <c r="P410" s="975">
        <v>0</v>
      </c>
      <c r="Q410" s="976">
        <v>0</v>
      </c>
      <c r="R410" s="987">
        <v>0</v>
      </c>
      <c r="S410" s="975">
        <v>0</v>
      </c>
      <c r="T410" s="975">
        <v>0</v>
      </c>
      <c r="U410" s="975">
        <v>0</v>
      </c>
      <c r="V410" s="976">
        <v>0</v>
      </c>
    </row>
    <row r="411" spans="1:22" s="338" customFormat="1" ht="14.25">
      <c r="B411" s="349"/>
      <c r="C411" s="339" t="s">
        <v>1766</v>
      </c>
      <c r="D411" s="339"/>
      <c r="E411" s="339"/>
      <c r="F411" s="339"/>
      <c r="G411" s="625"/>
      <c r="H411" s="339"/>
      <c r="I411" s="164" t="s">
        <v>498</v>
      </c>
      <c r="J411" s="128">
        <f>SUM(J408:J410)</f>
        <v>0.49283533012024633</v>
      </c>
      <c r="K411" s="632">
        <f t="shared" ref="K411:V411" si="57">SUM(K408:K410)</f>
        <v>0.68214679480519469</v>
      </c>
      <c r="L411" s="632">
        <f t="shared" si="57"/>
        <v>0.10701856867531798</v>
      </c>
      <c r="M411" s="632">
        <f t="shared" si="57"/>
        <v>0.4262166251876075</v>
      </c>
      <c r="N411" s="632">
        <f t="shared" si="57"/>
        <v>0.10121555555674976</v>
      </c>
      <c r="O411" s="632">
        <f t="shared" si="57"/>
        <v>0.25046922312862824</v>
      </c>
      <c r="P411" s="632">
        <f t="shared" si="57"/>
        <v>0.25046922312862824</v>
      </c>
      <c r="Q411" s="633">
        <f t="shared" si="57"/>
        <v>0.25046922312862824</v>
      </c>
      <c r="R411" s="989">
        <f t="shared" si="57"/>
        <v>0.25046922312862824</v>
      </c>
      <c r="S411" s="632">
        <f t="shared" si="57"/>
        <v>0.25046922312862824</v>
      </c>
      <c r="T411" s="632">
        <f t="shared" si="57"/>
        <v>0.25046922312862824</v>
      </c>
      <c r="U411" s="632">
        <f t="shared" si="57"/>
        <v>0.25046922312862824</v>
      </c>
      <c r="V411" s="633">
        <f t="shared" si="57"/>
        <v>0.25046922312862824</v>
      </c>
    </row>
    <row r="412" spans="1:22" s="98" customFormat="1" ht="15" customHeight="1">
      <c r="A412" s="99"/>
      <c r="B412" s="161"/>
      <c r="C412" s="116"/>
      <c r="D412" s="116"/>
      <c r="E412" s="116"/>
      <c r="F412" s="116"/>
      <c r="G412" s="117"/>
      <c r="H412" s="117"/>
      <c r="I412" s="117"/>
      <c r="J412" s="713"/>
      <c r="K412" s="721"/>
      <c r="L412" s="721"/>
      <c r="M412" s="721"/>
      <c r="N412" s="721"/>
      <c r="O412" s="721"/>
      <c r="P412" s="721"/>
      <c r="Q412" s="715"/>
      <c r="R412" s="721"/>
      <c r="S412" s="721"/>
      <c r="T412" s="721"/>
      <c r="U412" s="721"/>
      <c r="V412" s="715"/>
    </row>
    <row r="413" spans="1:22" s="98" customFormat="1" ht="15" customHeight="1">
      <c r="A413" s="99"/>
      <c r="B413" s="161"/>
      <c r="C413" s="186" t="s">
        <v>1725</v>
      </c>
      <c r="D413" s="162"/>
      <c r="E413" s="162"/>
      <c r="F413" s="162"/>
      <c r="G413" s="163"/>
      <c r="H413" s="163"/>
      <c r="I413" s="117"/>
      <c r="J413" s="713"/>
      <c r="K413" s="721"/>
      <c r="L413" s="721"/>
      <c r="M413" s="721"/>
      <c r="N413" s="721"/>
      <c r="O413" s="721"/>
      <c r="P413" s="721"/>
      <c r="Q413" s="715"/>
      <c r="R413" s="721"/>
      <c r="S413" s="721"/>
      <c r="T413" s="721"/>
      <c r="U413" s="721"/>
      <c r="V413" s="715"/>
    </row>
    <row r="414" spans="1:22" s="98" customFormat="1" ht="15" customHeight="1">
      <c r="A414" s="99"/>
      <c r="B414" s="161"/>
      <c r="C414" s="185"/>
      <c r="D414" s="162" t="s">
        <v>1752</v>
      </c>
      <c r="E414" s="162"/>
      <c r="F414" s="162"/>
      <c r="G414" s="163"/>
      <c r="H414" s="163"/>
      <c r="I414" s="164" t="s">
        <v>498</v>
      </c>
      <c r="J414" s="143">
        <v>0.26256253414975383</v>
      </c>
      <c r="K414" s="141">
        <v>0.16998479999999994</v>
      </c>
      <c r="L414" s="141">
        <v>0.1681720364897854</v>
      </c>
      <c r="M414" s="141">
        <v>0.16805378810283522</v>
      </c>
      <c r="N414" s="141">
        <v>0.15533341408097365</v>
      </c>
      <c r="O414" s="141">
        <v>0.15214017964627224</v>
      </c>
      <c r="P414" s="141">
        <v>0.15214017964627224</v>
      </c>
      <c r="Q414" s="144">
        <v>0.15214017964627224</v>
      </c>
      <c r="R414" s="345">
        <v>0.15214017964627224</v>
      </c>
      <c r="S414" s="141">
        <v>0.15214017964627224</v>
      </c>
      <c r="T414" s="141">
        <v>0.15214017964627224</v>
      </c>
      <c r="U414" s="141">
        <v>0.15214017964627224</v>
      </c>
      <c r="V414" s="144">
        <v>0.15214017964627224</v>
      </c>
    </row>
    <row r="415" spans="1:22" s="98" customFormat="1" ht="15" customHeight="1">
      <c r="A415" s="99"/>
      <c r="B415" s="161"/>
      <c r="C415" s="185"/>
      <c r="D415" s="162" t="s">
        <v>1753</v>
      </c>
      <c r="E415" s="162"/>
      <c r="F415" s="162"/>
      <c r="G415" s="163"/>
      <c r="H415" s="163"/>
      <c r="I415" s="164" t="s">
        <v>498</v>
      </c>
      <c r="J415" s="143">
        <v>3.1774955007090834E-3</v>
      </c>
      <c r="K415" s="141">
        <v>0</v>
      </c>
      <c r="L415" s="141">
        <v>0</v>
      </c>
      <c r="M415" s="141">
        <v>0</v>
      </c>
      <c r="N415" s="141">
        <v>0</v>
      </c>
      <c r="O415" s="141">
        <v>0</v>
      </c>
      <c r="P415" s="141">
        <v>0</v>
      </c>
      <c r="Q415" s="144">
        <v>0</v>
      </c>
      <c r="R415" s="345">
        <v>0</v>
      </c>
      <c r="S415" s="141">
        <v>0</v>
      </c>
      <c r="T415" s="141">
        <v>0</v>
      </c>
      <c r="U415" s="141">
        <v>0</v>
      </c>
      <c r="V415" s="144">
        <v>0</v>
      </c>
    </row>
    <row r="416" spans="1:22" s="98" customFormat="1" ht="15" customHeight="1">
      <c r="A416" s="99"/>
      <c r="B416" s="161"/>
      <c r="C416" s="185"/>
      <c r="D416" s="162" t="s">
        <v>1754</v>
      </c>
      <c r="E416" s="162"/>
      <c r="F416" s="162"/>
      <c r="G416" s="163"/>
      <c r="H416" s="163"/>
      <c r="I416" s="164" t="s">
        <v>498</v>
      </c>
      <c r="J416" s="143">
        <v>0</v>
      </c>
      <c r="K416" s="141">
        <v>0</v>
      </c>
      <c r="L416" s="141">
        <v>0</v>
      </c>
      <c r="M416" s="141">
        <v>2.7152106919001325E-2</v>
      </c>
      <c r="N416" s="141">
        <v>0</v>
      </c>
      <c r="O416" s="141">
        <v>0</v>
      </c>
      <c r="P416" s="141">
        <v>0</v>
      </c>
      <c r="Q416" s="144">
        <v>0</v>
      </c>
      <c r="R416" s="345">
        <v>0</v>
      </c>
      <c r="S416" s="141">
        <v>0</v>
      </c>
      <c r="T416" s="141">
        <v>0</v>
      </c>
      <c r="U416" s="141">
        <v>0</v>
      </c>
      <c r="V416" s="144">
        <v>0</v>
      </c>
    </row>
    <row r="417" spans="1:22" s="98" customFormat="1" ht="15" customHeight="1">
      <c r="A417" s="99"/>
      <c r="B417" s="161"/>
      <c r="C417" s="185"/>
      <c r="D417" s="162" t="s">
        <v>1755</v>
      </c>
      <c r="E417" s="162"/>
      <c r="F417" s="162"/>
      <c r="G417" s="163"/>
      <c r="H417" s="163"/>
      <c r="I417" s="164" t="s">
        <v>498</v>
      </c>
      <c r="J417" s="143">
        <v>0</v>
      </c>
      <c r="K417" s="141">
        <v>0</v>
      </c>
      <c r="L417" s="141">
        <v>0</v>
      </c>
      <c r="M417" s="141">
        <v>0</v>
      </c>
      <c r="N417" s="141">
        <v>0</v>
      </c>
      <c r="O417" s="141">
        <v>0</v>
      </c>
      <c r="P417" s="141">
        <v>0</v>
      </c>
      <c r="Q417" s="144">
        <v>0</v>
      </c>
      <c r="R417" s="345">
        <v>0</v>
      </c>
      <c r="S417" s="141">
        <v>0</v>
      </c>
      <c r="T417" s="141">
        <v>0</v>
      </c>
      <c r="U417" s="141">
        <v>0</v>
      </c>
      <c r="V417" s="144">
        <v>0</v>
      </c>
    </row>
    <row r="418" spans="1:22" s="98" customFormat="1" ht="15" customHeight="1">
      <c r="A418" s="99"/>
      <c r="B418" s="161"/>
      <c r="C418" s="185"/>
      <c r="D418" s="162" t="s">
        <v>1756</v>
      </c>
      <c r="E418" s="162"/>
      <c r="F418" s="162"/>
      <c r="G418" s="163"/>
      <c r="H418" s="163"/>
      <c r="I418" s="164" t="s">
        <v>498</v>
      </c>
      <c r="J418" s="143">
        <v>0</v>
      </c>
      <c r="K418" s="141">
        <v>0</v>
      </c>
      <c r="L418" s="141">
        <v>0</v>
      </c>
      <c r="M418" s="141">
        <v>0</v>
      </c>
      <c r="N418" s="141">
        <v>0</v>
      </c>
      <c r="O418" s="141">
        <v>0</v>
      </c>
      <c r="P418" s="141">
        <v>0</v>
      </c>
      <c r="Q418" s="144">
        <v>0</v>
      </c>
      <c r="R418" s="345">
        <v>0</v>
      </c>
      <c r="S418" s="141">
        <v>0</v>
      </c>
      <c r="T418" s="141">
        <v>0</v>
      </c>
      <c r="U418" s="141">
        <v>0</v>
      </c>
      <c r="V418" s="144">
        <v>0</v>
      </c>
    </row>
    <row r="419" spans="1:22" s="98" customFormat="1" ht="15" customHeight="1">
      <c r="A419" s="99"/>
      <c r="B419" s="161"/>
      <c r="C419" s="185"/>
      <c r="D419" s="162" t="s">
        <v>1757</v>
      </c>
      <c r="E419" s="162"/>
      <c r="F419" s="162"/>
      <c r="G419" s="163"/>
      <c r="H419" s="163"/>
      <c r="I419" s="164" t="s">
        <v>498</v>
      </c>
      <c r="J419" s="143">
        <v>0</v>
      </c>
      <c r="K419" s="141">
        <v>0</v>
      </c>
      <c r="L419" s="141">
        <v>0</v>
      </c>
      <c r="M419" s="141">
        <v>0</v>
      </c>
      <c r="N419" s="141">
        <v>0</v>
      </c>
      <c r="O419" s="141">
        <v>0</v>
      </c>
      <c r="P419" s="141">
        <v>0</v>
      </c>
      <c r="Q419" s="144">
        <v>0</v>
      </c>
      <c r="R419" s="345">
        <v>0</v>
      </c>
      <c r="S419" s="141">
        <v>0</v>
      </c>
      <c r="T419" s="141">
        <v>0</v>
      </c>
      <c r="U419" s="141">
        <v>0</v>
      </c>
      <c r="V419" s="144">
        <v>0</v>
      </c>
    </row>
    <row r="420" spans="1:22" s="98" customFormat="1" ht="15" customHeight="1">
      <c r="A420" s="99"/>
      <c r="B420" s="161"/>
      <c r="C420" s="185"/>
      <c r="D420" s="162" t="s">
        <v>205</v>
      </c>
      <c r="E420" s="162"/>
      <c r="F420" s="162"/>
      <c r="G420" s="163"/>
      <c r="H420" s="163"/>
      <c r="I420" s="164" t="s">
        <v>498</v>
      </c>
      <c r="J420" s="143">
        <v>0</v>
      </c>
      <c r="K420" s="141">
        <v>0</v>
      </c>
      <c r="L420" s="141">
        <v>0</v>
      </c>
      <c r="M420" s="141">
        <v>-2.0527086100712467E-4</v>
      </c>
      <c r="N420" s="141">
        <v>0</v>
      </c>
      <c r="O420" s="141">
        <v>0</v>
      </c>
      <c r="P420" s="141">
        <v>0</v>
      </c>
      <c r="Q420" s="144">
        <v>0</v>
      </c>
      <c r="R420" s="345">
        <v>0</v>
      </c>
      <c r="S420" s="141">
        <v>0</v>
      </c>
      <c r="T420" s="141">
        <v>0</v>
      </c>
      <c r="U420" s="141">
        <v>0</v>
      </c>
      <c r="V420" s="144">
        <v>0</v>
      </c>
    </row>
    <row r="421" spans="1:22" s="98" customFormat="1" ht="15" customHeight="1">
      <c r="A421" s="99"/>
      <c r="B421" s="161"/>
      <c r="C421" s="185"/>
      <c r="D421" s="162" t="s">
        <v>1758</v>
      </c>
      <c r="E421" s="162"/>
      <c r="F421" s="162"/>
      <c r="G421" s="163"/>
      <c r="H421" s="163"/>
      <c r="I421" s="164" t="s">
        <v>498</v>
      </c>
      <c r="J421" s="143">
        <v>0</v>
      </c>
      <c r="K421" s="141">
        <v>0</v>
      </c>
      <c r="L421" s="141">
        <v>0</v>
      </c>
      <c r="M421" s="141">
        <v>0</v>
      </c>
      <c r="N421" s="141">
        <v>0</v>
      </c>
      <c r="O421" s="141">
        <v>0</v>
      </c>
      <c r="P421" s="141">
        <v>0</v>
      </c>
      <c r="Q421" s="144">
        <v>0</v>
      </c>
      <c r="R421" s="345">
        <v>0</v>
      </c>
      <c r="S421" s="141">
        <v>0</v>
      </c>
      <c r="T421" s="141">
        <v>0</v>
      </c>
      <c r="U421" s="141">
        <v>0</v>
      </c>
      <c r="V421" s="144">
        <v>0</v>
      </c>
    </row>
    <row r="422" spans="1:22" s="98" customFormat="1" ht="15" customHeight="1">
      <c r="A422" s="99"/>
      <c r="B422" s="161"/>
      <c r="C422" s="185"/>
      <c r="D422" s="162" t="s">
        <v>85</v>
      </c>
      <c r="E422" s="162"/>
      <c r="F422" s="162"/>
      <c r="G422" s="720"/>
      <c r="H422" s="163"/>
      <c r="I422" s="164" t="s">
        <v>498</v>
      </c>
      <c r="J422" s="143">
        <v>0</v>
      </c>
      <c r="K422" s="141">
        <v>0</v>
      </c>
      <c r="L422" s="141">
        <v>0</v>
      </c>
      <c r="M422" s="141">
        <v>0</v>
      </c>
      <c r="N422" s="141">
        <v>0</v>
      </c>
      <c r="O422" s="141">
        <v>0</v>
      </c>
      <c r="P422" s="141">
        <v>0</v>
      </c>
      <c r="Q422" s="144">
        <v>0</v>
      </c>
      <c r="R422" s="345">
        <v>0</v>
      </c>
      <c r="S422" s="141">
        <v>0</v>
      </c>
      <c r="T422" s="141">
        <v>0</v>
      </c>
      <c r="U422" s="141">
        <v>0</v>
      </c>
      <c r="V422" s="144">
        <v>0</v>
      </c>
    </row>
    <row r="423" spans="1:22" s="98" customFormat="1" ht="15" customHeight="1">
      <c r="A423" s="99"/>
      <c r="B423" s="161"/>
      <c r="C423" s="185"/>
      <c r="D423" s="162" t="s">
        <v>85</v>
      </c>
      <c r="E423" s="162"/>
      <c r="F423" s="162"/>
      <c r="G423" s="720"/>
      <c r="H423" s="163"/>
      <c r="I423" s="164" t="s">
        <v>498</v>
      </c>
      <c r="J423" s="143">
        <v>0</v>
      </c>
      <c r="K423" s="141">
        <v>0</v>
      </c>
      <c r="L423" s="141">
        <v>0</v>
      </c>
      <c r="M423" s="141">
        <v>0</v>
      </c>
      <c r="N423" s="141">
        <v>0</v>
      </c>
      <c r="O423" s="141">
        <v>0</v>
      </c>
      <c r="P423" s="141">
        <v>0</v>
      </c>
      <c r="Q423" s="144">
        <v>0</v>
      </c>
      <c r="R423" s="345">
        <v>0</v>
      </c>
      <c r="S423" s="141">
        <v>0</v>
      </c>
      <c r="T423" s="141">
        <v>0</v>
      </c>
      <c r="U423" s="141">
        <v>0</v>
      </c>
      <c r="V423" s="144">
        <v>0</v>
      </c>
    </row>
    <row r="424" spans="1:22" s="98" customFormat="1" ht="15" customHeight="1">
      <c r="A424" s="99"/>
      <c r="B424" s="161"/>
      <c r="C424" s="185"/>
      <c r="D424" s="162" t="s">
        <v>85</v>
      </c>
      <c r="E424" s="162"/>
      <c r="F424" s="162"/>
      <c r="G424" s="720"/>
      <c r="H424" s="163"/>
      <c r="I424" s="164" t="s">
        <v>498</v>
      </c>
      <c r="J424" s="143">
        <v>0</v>
      </c>
      <c r="K424" s="141">
        <v>0</v>
      </c>
      <c r="L424" s="141">
        <v>0</v>
      </c>
      <c r="M424" s="141">
        <v>0</v>
      </c>
      <c r="N424" s="141">
        <v>0</v>
      </c>
      <c r="O424" s="141">
        <v>0</v>
      </c>
      <c r="P424" s="141">
        <v>0</v>
      </c>
      <c r="Q424" s="144">
        <v>0</v>
      </c>
      <c r="R424" s="345">
        <v>0</v>
      </c>
      <c r="S424" s="141">
        <v>0</v>
      </c>
      <c r="T424" s="141">
        <v>0</v>
      </c>
      <c r="U424" s="141">
        <v>0</v>
      </c>
      <c r="V424" s="144">
        <v>0</v>
      </c>
    </row>
    <row r="425" spans="1:22" s="98" customFormat="1" ht="15" customHeight="1">
      <c r="A425" s="99"/>
      <c r="B425" s="161"/>
      <c r="C425" s="185"/>
      <c r="D425" s="162" t="s">
        <v>85</v>
      </c>
      <c r="E425" s="162"/>
      <c r="F425" s="162"/>
      <c r="G425" s="720"/>
      <c r="H425" s="163"/>
      <c r="I425" s="164" t="s">
        <v>498</v>
      </c>
      <c r="J425" s="143">
        <v>0</v>
      </c>
      <c r="K425" s="141">
        <v>0</v>
      </c>
      <c r="L425" s="141">
        <v>0</v>
      </c>
      <c r="M425" s="141">
        <v>0</v>
      </c>
      <c r="N425" s="141">
        <v>0</v>
      </c>
      <c r="O425" s="141">
        <v>0</v>
      </c>
      <c r="P425" s="141">
        <v>0</v>
      </c>
      <c r="Q425" s="144">
        <v>0</v>
      </c>
      <c r="R425" s="345">
        <v>0</v>
      </c>
      <c r="S425" s="141">
        <v>0</v>
      </c>
      <c r="T425" s="141">
        <v>0</v>
      </c>
      <c r="U425" s="141">
        <v>0</v>
      </c>
      <c r="V425" s="144">
        <v>0</v>
      </c>
    </row>
    <row r="426" spans="1:22" s="98" customFormat="1" ht="15" customHeight="1">
      <c r="A426" s="99"/>
      <c r="B426" s="161"/>
      <c r="C426" s="185"/>
      <c r="D426" s="162" t="s">
        <v>85</v>
      </c>
      <c r="E426" s="162"/>
      <c r="F426" s="162"/>
      <c r="G426" s="720"/>
      <c r="H426" s="163"/>
      <c r="I426" s="164" t="s">
        <v>498</v>
      </c>
      <c r="J426" s="143">
        <v>0</v>
      </c>
      <c r="K426" s="141">
        <v>0</v>
      </c>
      <c r="L426" s="141">
        <v>0</v>
      </c>
      <c r="M426" s="141">
        <v>0</v>
      </c>
      <c r="N426" s="141">
        <v>0</v>
      </c>
      <c r="O426" s="141">
        <v>0</v>
      </c>
      <c r="P426" s="141">
        <v>0</v>
      </c>
      <c r="Q426" s="144">
        <v>0</v>
      </c>
      <c r="R426" s="345">
        <v>0</v>
      </c>
      <c r="S426" s="141">
        <v>0</v>
      </c>
      <c r="T426" s="141">
        <v>0</v>
      </c>
      <c r="U426" s="141">
        <v>0</v>
      </c>
      <c r="V426" s="144">
        <v>0</v>
      </c>
    </row>
    <row r="427" spans="1:22" s="98" customFormat="1" ht="15" customHeight="1">
      <c r="A427" s="99"/>
      <c r="B427" s="161"/>
      <c r="C427" s="185" t="s">
        <v>1763</v>
      </c>
      <c r="D427" s="162"/>
      <c r="E427" s="162"/>
      <c r="F427" s="162"/>
      <c r="G427" s="163"/>
      <c r="H427" s="163"/>
      <c r="I427" s="164" t="s">
        <v>498</v>
      </c>
      <c r="J427" s="128">
        <f t="shared" ref="J427:V427" si="58">SUM(J414:J426)</f>
        <v>0.26574002965046289</v>
      </c>
      <c r="K427" s="129">
        <f t="shared" si="58"/>
        <v>0.16998479999999994</v>
      </c>
      <c r="L427" s="129">
        <f t="shared" si="58"/>
        <v>0.1681720364897854</v>
      </c>
      <c r="M427" s="129">
        <f t="shared" si="58"/>
        <v>0.19500062416082942</v>
      </c>
      <c r="N427" s="129">
        <f t="shared" si="58"/>
        <v>0.15533341408097365</v>
      </c>
      <c r="O427" s="129">
        <f t="shared" si="58"/>
        <v>0.15214017964627224</v>
      </c>
      <c r="P427" s="129">
        <f t="shared" si="58"/>
        <v>0.15214017964627224</v>
      </c>
      <c r="Q427" s="130">
        <f t="shared" si="58"/>
        <v>0.15214017964627224</v>
      </c>
      <c r="R427" s="244">
        <f t="shared" si="58"/>
        <v>0.15214017964627224</v>
      </c>
      <c r="S427" s="129">
        <f t="shared" si="58"/>
        <v>0.15214017964627224</v>
      </c>
      <c r="T427" s="129">
        <f t="shared" si="58"/>
        <v>0.15214017964627224</v>
      </c>
      <c r="U427" s="129">
        <f t="shared" si="58"/>
        <v>0.15214017964627224</v>
      </c>
      <c r="V427" s="130">
        <f t="shared" si="58"/>
        <v>0.15214017964627224</v>
      </c>
    </row>
    <row r="428" spans="1:22" s="338" customFormat="1" ht="14.25">
      <c r="B428" s="349"/>
      <c r="C428" s="339"/>
      <c r="D428" s="624" t="s">
        <v>1764</v>
      </c>
      <c r="E428" s="624"/>
      <c r="F428" s="624"/>
      <c r="G428" s="339"/>
      <c r="H428" s="339"/>
      <c r="I428" s="576" t="s">
        <v>498</v>
      </c>
      <c r="J428" s="297">
        <v>0</v>
      </c>
      <c r="K428" s="298" t="s">
        <v>1127</v>
      </c>
      <c r="L428" s="298">
        <v>0</v>
      </c>
      <c r="M428" s="298">
        <v>0</v>
      </c>
      <c r="N428" s="298">
        <v>0</v>
      </c>
      <c r="O428" s="298">
        <v>0</v>
      </c>
      <c r="P428" s="298">
        <v>0</v>
      </c>
      <c r="Q428" s="299">
        <v>0</v>
      </c>
      <c r="R428" s="460">
        <v>0</v>
      </c>
      <c r="S428" s="298">
        <v>0</v>
      </c>
      <c r="T428" s="298">
        <v>0</v>
      </c>
      <c r="U428" s="298">
        <v>0</v>
      </c>
      <c r="V428" s="299">
        <v>0</v>
      </c>
    </row>
    <row r="429" spans="1:22" s="338" customFormat="1" ht="14.25">
      <c r="B429" s="349"/>
      <c r="C429" s="339"/>
      <c r="D429" s="624" t="s">
        <v>1765</v>
      </c>
      <c r="E429" s="624"/>
      <c r="F429" s="624"/>
      <c r="G429" s="339"/>
      <c r="H429" s="339"/>
      <c r="I429" s="973" t="s">
        <v>498</v>
      </c>
      <c r="J429" s="974">
        <v>0</v>
      </c>
      <c r="K429" s="975">
        <v>0</v>
      </c>
      <c r="L429" s="975">
        <v>0</v>
      </c>
      <c r="M429" s="975">
        <v>0</v>
      </c>
      <c r="N429" s="975">
        <v>0</v>
      </c>
      <c r="O429" s="975">
        <v>0</v>
      </c>
      <c r="P429" s="975">
        <v>0</v>
      </c>
      <c r="Q429" s="976">
        <v>0</v>
      </c>
      <c r="R429" s="987">
        <v>0</v>
      </c>
      <c r="S429" s="975">
        <v>0</v>
      </c>
      <c r="T429" s="975">
        <v>0</v>
      </c>
      <c r="U429" s="975">
        <v>0</v>
      </c>
      <c r="V429" s="976">
        <v>0</v>
      </c>
    </row>
    <row r="430" spans="1:22" s="338" customFormat="1" ht="14.25">
      <c r="B430" s="349"/>
      <c r="C430" s="339" t="s">
        <v>1766</v>
      </c>
      <c r="D430" s="339"/>
      <c r="E430" s="339"/>
      <c r="F430" s="339"/>
      <c r="G430" s="625"/>
      <c r="H430" s="339"/>
      <c r="I430" s="164" t="s">
        <v>498</v>
      </c>
      <c r="J430" s="128">
        <f>SUM(J427:J429)</f>
        <v>0.26574002965046289</v>
      </c>
      <c r="K430" s="632">
        <f t="shared" ref="K430:V430" si="59">SUM(K427:K429)</f>
        <v>0.16998479999999994</v>
      </c>
      <c r="L430" s="632">
        <f t="shared" si="59"/>
        <v>0.1681720364897854</v>
      </c>
      <c r="M430" s="632">
        <f t="shared" si="59"/>
        <v>0.19500062416082942</v>
      </c>
      <c r="N430" s="632">
        <f t="shared" si="59"/>
        <v>0.15533341408097365</v>
      </c>
      <c r="O430" s="632">
        <f t="shared" si="59"/>
        <v>0.15214017964627224</v>
      </c>
      <c r="P430" s="632">
        <f t="shared" si="59"/>
        <v>0.15214017964627224</v>
      </c>
      <c r="Q430" s="633">
        <f t="shared" si="59"/>
        <v>0.15214017964627224</v>
      </c>
      <c r="R430" s="989">
        <f t="shared" si="59"/>
        <v>0.15214017964627224</v>
      </c>
      <c r="S430" s="632">
        <f t="shared" si="59"/>
        <v>0.15214017964627224</v>
      </c>
      <c r="T430" s="632">
        <f t="shared" si="59"/>
        <v>0.15214017964627224</v>
      </c>
      <c r="U430" s="632">
        <f t="shared" si="59"/>
        <v>0.15214017964627224</v>
      </c>
      <c r="V430" s="633">
        <f t="shared" si="59"/>
        <v>0.15214017964627224</v>
      </c>
    </row>
    <row r="431" spans="1:22" s="98" customFormat="1" ht="15" customHeight="1">
      <c r="A431" s="99"/>
      <c r="B431" s="161"/>
      <c r="C431" s="116"/>
      <c r="D431" s="116"/>
      <c r="E431" s="116"/>
      <c r="F431" s="116"/>
      <c r="G431" s="117"/>
      <c r="H431" s="117"/>
      <c r="I431" s="117"/>
      <c r="J431" s="713"/>
      <c r="K431" s="721"/>
      <c r="L431" s="721"/>
      <c r="M431" s="721"/>
      <c r="N431" s="721"/>
      <c r="O431" s="721"/>
      <c r="P431" s="721"/>
      <c r="Q431" s="715"/>
      <c r="R431" s="721"/>
      <c r="S431" s="721"/>
      <c r="T431" s="721"/>
      <c r="U431" s="721"/>
      <c r="V431" s="715"/>
    </row>
    <row r="432" spans="1:22" s="98" customFormat="1" ht="15" customHeight="1">
      <c r="A432" s="99"/>
      <c r="B432" s="161"/>
      <c r="C432" s="186" t="s">
        <v>1726</v>
      </c>
      <c r="D432" s="162"/>
      <c r="E432" s="162"/>
      <c r="F432" s="162"/>
      <c r="G432" s="163"/>
      <c r="H432" s="163"/>
      <c r="I432" s="117"/>
      <c r="J432" s="713"/>
      <c r="K432" s="721"/>
      <c r="L432" s="721"/>
      <c r="M432" s="721"/>
      <c r="N432" s="721"/>
      <c r="O432" s="721"/>
      <c r="P432" s="721"/>
      <c r="Q432" s="715"/>
      <c r="R432" s="721"/>
      <c r="S432" s="721"/>
      <c r="T432" s="721"/>
      <c r="U432" s="721"/>
      <c r="V432" s="715"/>
    </row>
    <row r="433" spans="1:22" s="98" customFormat="1" ht="15" customHeight="1">
      <c r="A433" s="99"/>
      <c r="B433" s="161"/>
      <c r="C433" s="185"/>
      <c r="D433" s="162" t="s">
        <v>1752</v>
      </c>
      <c r="E433" s="162"/>
      <c r="F433" s="162"/>
      <c r="G433" s="163"/>
      <c r="H433" s="163"/>
      <c r="I433" s="164" t="s">
        <v>498</v>
      </c>
      <c r="J433" s="143">
        <v>0.10533676872366658</v>
      </c>
      <c r="K433" s="141">
        <v>0.40288605194805183</v>
      </c>
      <c r="L433" s="141">
        <v>0.2697304741102402</v>
      </c>
      <c r="M433" s="141">
        <v>0.10366359991063649</v>
      </c>
      <c r="N433" s="141">
        <v>0.18778991758720662</v>
      </c>
      <c r="O433" s="141">
        <v>0.21009570771173774</v>
      </c>
      <c r="P433" s="141">
        <v>0.21009570771173774</v>
      </c>
      <c r="Q433" s="144">
        <v>0.21009570771173774</v>
      </c>
      <c r="R433" s="345">
        <v>0.21009570771173774</v>
      </c>
      <c r="S433" s="141">
        <v>0.21009570771173774</v>
      </c>
      <c r="T433" s="141">
        <v>0.21009570771173774</v>
      </c>
      <c r="U433" s="141">
        <v>0.21009570771173774</v>
      </c>
      <c r="V433" s="144">
        <v>0.21009570771173774</v>
      </c>
    </row>
    <row r="434" spans="1:22" s="98" customFormat="1" ht="15" customHeight="1">
      <c r="A434" s="99"/>
      <c r="B434" s="161"/>
      <c r="C434" s="185"/>
      <c r="D434" s="162" t="s">
        <v>1753</v>
      </c>
      <c r="E434" s="162"/>
      <c r="F434" s="162"/>
      <c r="G434" s="163"/>
      <c r="H434" s="163"/>
      <c r="I434" s="164" t="s">
        <v>498</v>
      </c>
      <c r="J434" s="143">
        <v>1.2124600574418126E-3</v>
      </c>
      <c r="K434" s="141">
        <v>-1.1037974025974021E-3</v>
      </c>
      <c r="L434" s="141">
        <v>8.7362096877810595E-3</v>
      </c>
      <c r="M434" s="141">
        <v>8.8393802314032065E-3</v>
      </c>
      <c r="N434" s="141">
        <v>3.9462037976341168E-4</v>
      </c>
      <c r="O434" s="141">
        <v>0</v>
      </c>
      <c r="P434" s="141">
        <v>0</v>
      </c>
      <c r="Q434" s="144">
        <v>0</v>
      </c>
      <c r="R434" s="345">
        <v>0</v>
      </c>
      <c r="S434" s="141">
        <v>0</v>
      </c>
      <c r="T434" s="141">
        <v>0</v>
      </c>
      <c r="U434" s="141">
        <v>0</v>
      </c>
      <c r="V434" s="144">
        <v>0</v>
      </c>
    </row>
    <row r="435" spans="1:22" s="98" customFormat="1" ht="15" customHeight="1">
      <c r="A435" s="99"/>
      <c r="B435" s="161"/>
      <c r="C435" s="185"/>
      <c r="D435" s="162" t="s">
        <v>1754</v>
      </c>
      <c r="E435" s="162"/>
      <c r="F435" s="162"/>
      <c r="G435" s="163"/>
      <c r="H435" s="163"/>
      <c r="I435" s="164" t="s">
        <v>498</v>
      </c>
      <c r="J435" s="143">
        <v>0.26075804136954617</v>
      </c>
      <c r="K435" s="141">
        <v>0.24835441558441551</v>
      </c>
      <c r="L435" s="141">
        <v>0.2326015829371707</v>
      </c>
      <c r="M435" s="141">
        <v>0.15631423106931525</v>
      </c>
      <c r="N435" s="141">
        <v>0.17662175375311009</v>
      </c>
      <c r="O435" s="141">
        <v>0.108485191386719</v>
      </c>
      <c r="P435" s="141">
        <v>0.108485191386719</v>
      </c>
      <c r="Q435" s="144">
        <v>0.108485191386719</v>
      </c>
      <c r="R435" s="345">
        <v>0.108485191386719</v>
      </c>
      <c r="S435" s="141">
        <v>0.108485191386719</v>
      </c>
      <c r="T435" s="141">
        <v>0.108485191386719</v>
      </c>
      <c r="U435" s="141">
        <v>0.108485191386719</v>
      </c>
      <c r="V435" s="144">
        <v>0.108485191386719</v>
      </c>
    </row>
    <row r="436" spans="1:22" s="98" customFormat="1" ht="15" customHeight="1">
      <c r="A436" s="99"/>
      <c r="B436" s="161"/>
      <c r="C436" s="185"/>
      <c r="D436" s="162" t="s">
        <v>1755</v>
      </c>
      <c r="E436" s="162"/>
      <c r="F436" s="162"/>
      <c r="G436" s="163"/>
      <c r="H436" s="163"/>
      <c r="I436" s="164" t="s">
        <v>498</v>
      </c>
      <c r="J436" s="143">
        <v>0</v>
      </c>
      <c r="K436" s="141">
        <v>0</v>
      </c>
      <c r="L436" s="141">
        <v>0</v>
      </c>
      <c r="M436" s="141">
        <v>0</v>
      </c>
      <c r="N436" s="141">
        <v>0</v>
      </c>
      <c r="O436" s="141">
        <v>0</v>
      </c>
      <c r="P436" s="141">
        <v>0</v>
      </c>
      <c r="Q436" s="144">
        <v>0</v>
      </c>
      <c r="R436" s="345">
        <v>0</v>
      </c>
      <c r="S436" s="141">
        <v>0</v>
      </c>
      <c r="T436" s="141">
        <v>0</v>
      </c>
      <c r="U436" s="141">
        <v>0</v>
      </c>
      <c r="V436" s="144">
        <v>0</v>
      </c>
    </row>
    <row r="437" spans="1:22" s="98" customFormat="1" ht="15" customHeight="1">
      <c r="A437" s="99"/>
      <c r="B437" s="161"/>
      <c r="C437" s="185"/>
      <c r="D437" s="162" t="s">
        <v>1756</v>
      </c>
      <c r="E437" s="162"/>
      <c r="F437" s="162"/>
      <c r="G437" s="163"/>
      <c r="H437" s="163"/>
      <c r="I437" s="164" t="s">
        <v>498</v>
      </c>
      <c r="J437" s="143">
        <v>0</v>
      </c>
      <c r="K437" s="141">
        <v>0</v>
      </c>
      <c r="L437" s="141">
        <v>0</v>
      </c>
      <c r="M437" s="141">
        <v>0</v>
      </c>
      <c r="N437" s="141">
        <v>0</v>
      </c>
      <c r="O437" s="141">
        <v>0</v>
      </c>
      <c r="P437" s="141">
        <v>0</v>
      </c>
      <c r="Q437" s="144">
        <v>0</v>
      </c>
      <c r="R437" s="345">
        <v>0</v>
      </c>
      <c r="S437" s="141">
        <v>0</v>
      </c>
      <c r="T437" s="141">
        <v>0</v>
      </c>
      <c r="U437" s="141">
        <v>0</v>
      </c>
      <c r="V437" s="144">
        <v>0</v>
      </c>
    </row>
    <row r="438" spans="1:22" s="98" customFormat="1" ht="15" customHeight="1">
      <c r="A438" s="99"/>
      <c r="B438" s="161"/>
      <c r="C438" s="185"/>
      <c r="D438" s="162" t="s">
        <v>1757</v>
      </c>
      <c r="E438" s="162"/>
      <c r="F438" s="162"/>
      <c r="G438" s="163"/>
      <c r="H438" s="163"/>
      <c r="I438" s="164" t="s">
        <v>498</v>
      </c>
      <c r="J438" s="143">
        <v>0</v>
      </c>
      <c r="K438" s="141">
        <v>0</v>
      </c>
      <c r="L438" s="141">
        <v>0</v>
      </c>
      <c r="M438" s="141">
        <v>0</v>
      </c>
      <c r="N438" s="141">
        <v>0</v>
      </c>
      <c r="O438" s="141">
        <v>0</v>
      </c>
      <c r="P438" s="141">
        <v>0</v>
      </c>
      <c r="Q438" s="144">
        <v>0</v>
      </c>
      <c r="R438" s="345">
        <v>0</v>
      </c>
      <c r="S438" s="141">
        <v>0</v>
      </c>
      <c r="T438" s="141">
        <v>0</v>
      </c>
      <c r="U438" s="141">
        <v>0</v>
      </c>
      <c r="V438" s="144">
        <v>0</v>
      </c>
    </row>
    <row r="439" spans="1:22" s="98" customFormat="1" ht="15" customHeight="1">
      <c r="A439" s="99"/>
      <c r="B439" s="161"/>
      <c r="C439" s="185"/>
      <c r="D439" s="162" t="s">
        <v>205</v>
      </c>
      <c r="E439" s="162"/>
      <c r="F439" s="162"/>
      <c r="G439" s="163"/>
      <c r="H439" s="163"/>
      <c r="I439" s="164" t="s">
        <v>498</v>
      </c>
      <c r="J439" s="143">
        <v>0</v>
      </c>
      <c r="K439" s="141">
        <v>0</v>
      </c>
      <c r="L439" s="141">
        <v>0</v>
      </c>
      <c r="M439" s="141">
        <v>0</v>
      </c>
      <c r="N439" s="141">
        <v>0</v>
      </c>
      <c r="O439" s="141">
        <v>0</v>
      </c>
      <c r="P439" s="141">
        <v>0</v>
      </c>
      <c r="Q439" s="144">
        <v>0</v>
      </c>
      <c r="R439" s="345">
        <v>0</v>
      </c>
      <c r="S439" s="141">
        <v>0</v>
      </c>
      <c r="T439" s="141">
        <v>0</v>
      </c>
      <c r="U439" s="141">
        <v>0</v>
      </c>
      <c r="V439" s="144">
        <v>0</v>
      </c>
    </row>
    <row r="440" spans="1:22" s="98" customFormat="1" ht="15" customHeight="1">
      <c r="A440" s="99"/>
      <c r="B440" s="161"/>
      <c r="C440" s="185"/>
      <c r="D440" s="162" t="s">
        <v>1758</v>
      </c>
      <c r="E440" s="162"/>
      <c r="F440" s="162"/>
      <c r="G440" s="163"/>
      <c r="H440" s="163"/>
      <c r="I440" s="164" t="s">
        <v>498</v>
      </c>
      <c r="J440" s="143">
        <v>0</v>
      </c>
      <c r="K440" s="141">
        <v>0</v>
      </c>
      <c r="L440" s="141">
        <v>0</v>
      </c>
      <c r="M440" s="141">
        <v>0</v>
      </c>
      <c r="N440" s="141">
        <v>0</v>
      </c>
      <c r="O440" s="141">
        <v>0</v>
      </c>
      <c r="P440" s="141">
        <v>0</v>
      </c>
      <c r="Q440" s="144">
        <v>0</v>
      </c>
      <c r="R440" s="345">
        <v>0</v>
      </c>
      <c r="S440" s="141">
        <v>0</v>
      </c>
      <c r="T440" s="141">
        <v>0</v>
      </c>
      <c r="U440" s="141">
        <v>0</v>
      </c>
      <c r="V440" s="144">
        <v>0</v>
      </c>
    </row>
    <row r="441" spans="1:22" s="98" customFormat="1" ht="15" customHeight="1">
      <c r="A441" s="99"/>
      <c r="B441" s="161"/>
      <c r="C441" s="185"/>
      <c r="D441" s="162" t="s">
        <v>85</v>
      </c>
      <c r="E441" s="162"/>
      <c r="F441" s="162"/>
      <c r="G441" s="720" t="s">
        <v>1762</v>
      </c>
      <c r="H441" s="163"/>
      <c r="I441" s="164" t="s">
        <v>498</v>
      </c>
      <c r="J441" s="143">
        <v>0</v>
      </c>
      <c r="K441" s="141">
        <v>2.2075948051948043E-3</v>
      </c>
      <c r="L441" s="141">
        <v>0</v>
      </c>
      <c r="M441" s="141">
        <v>0</v>
      </c>
      <c r="N441" s="141">
        <v>0</v>
      </c>
      <c r="O441" s="141">
        <v>0</v>
      </c>
      <c r="P441" s="141">
        <v>0</v>
      </c>
      <c r="Q441" s="144">
        <v>0</v>
      </c>
      <c r="R441" s="345">
        <v>0</v>
      </c>
      <c r="S441" s="141">
        <v>0</v>
      </c>
      <c r="T441" s="141">
        <v>0</v>
      </c>
      <c r="U441" s="141">
        <v>0</v>
      </c>
      <c r="V441" s="144">
        <v>0</v>
      </c>
    </row>
    <row r="442" spans="1:22" s="98" customFormat="1" ht="15" customHeight="1">
      <c r="A442" s="99"/>
      <c r="B442" s="161"/>
      <c r="C442" s="185"/>
      <c r="D442" s="162" t="s">
        <v>85</v>
      </c>
      <c r="E442" s="162"/>
      <c r="F442" s="162"/>
      <c r="G442" s="720"/>
      <c r="H442" s="163"/>
      <c r="I442" s="164" t="s">
        <v>498</v>
      </c>
      <c r="J442" s="143">
        <v>0</v>
      </c>
      <c r="K442" s="141">
        <v>0</v>
      </c>
      <c r="L442" s="141">
        <v>0</v>
      </c>
      <c r="M442" s="141">
        <v>0</v>
      </c>
      <c r="N442" s="141">
        <v>0</v>
      </c>
      <c r="O442" s="141">
        <v>0</v>
      </c>
      <c r="P442" s="141">
        <v>0</v>
      </c>
      <c r="Q442" s="144">
        <v>0</v>
      </c>
      <c r="R442" s="345">
        <v>0</v>
      </c>
      <c r="S442" s="141">
        <v>0</v>
      </c>
      <c r="T442" s="141">
        <v>0</v>
      </c>
      <c r="U442" s="141">
        <v>0</v>
      </c>
      <c r="V442" s="144">
        <v>0</v>
      </c>
    </row>
    <row r="443" spans="1:22" s="98" customFormat="1" ht="15" customHeight="1">
      <c r="A443" s="99"/>
      <c r="B443" s="161"/>
      <c r="C443" s="185"/>
      <c r="D443" s="162" t="s">
        <v>85</v>
      </c>
      <c r="E443" s="162"/>
      <c r="F443" s="162"/>
      <c r="G443" s="720"/>
      <c r="H443" s="163"/>
      <c r="I443" s="164" t="s">
        <v>498</v>
      </c>
      <c r="J443" s="143">
        <v>0</v>
      </c>
      <c r="K443" s="141">
        <v>0</v>
      </c>
      <c r="L443" s="141">
        <v>0</v>
      </c>
      <c r="M443" s="141">
        <v>0</v>
      </c>
      <c r="N443" s="141">
        <v>0</v>
      </c>
      <c r="O443" s="141">
        <v>0</v>
      </c>
      <c r="P443" s="141">
        <v>0</v>
      </c>
      <c r="Q443" s="144">
        <v>0</v>
      </c>
      <c r="R443" s="345">
        <v>0</v>
      </c>
      <c r="S443" s="141">
        <v>0</v>
      </c>
      <c r="T443" s="141">
        <v>0</v>
      </c>
      <c r="U443" s="141">
        <v>0</v>
      </c>
      <c r="V443" s="144">
        <v>0</v>
      </c>
    </row>
    <row r="444" spans="1:22" s="98" customFormat="1" ht="15" customHeight="1">
      <c r="A444" s="99"/>
      <c r="B444" s="161"/>
      <c r="C444" s="185"/>
      <c r="D444" s="162" t="s">
        <v>85</v>
      </c>
      <c r="E444" s="162"/>
      <c r="F444" s="162"/>
      <c r="G444" s="720"/>
      <c r="H444" s="163"/>
      <c r="I444" s="164" t="s">
        <v>498</v>
      </c>
      <c r="J444" s="143">
        <v>0</v>
      </c>
      <c r="K444" s="141">
        <v>0</v>
      </c>
      <c r="L444" s="141">
        <v>0</v>
      </c>
      <c r="M444" s="141">
        <v>0</v>
      </c>
      <c r="N444" s="141">
        <v>0</v>
      </c>
      <c r="O444" s="141">
        <v>0</v>
      </c>
      <c r="P444" s="141">
        <v>0</v>
      </c>
      <c r="Q444" s="144">
        <v>0</v>
      </c>
      <c r="R444" s="345">
        <v>0</v>
      </c>
      <c r="S444" s="141">
        <v>0</v>
      </c>
      <c r="T444" s="141">
        <v>0</v>
      </c>
      <c r="U444" s="141">
        <v>0</v>
      </c>
      <c r="V444" s="144">
        <v>0</v>
      </c>
    </row>
    <row r="445" spans="1:22" s="98" customFormat="1" ht="15" customHeight="1">
      <c r="A445" s="99"/>
      <c r="B445" s="161"/>
      <c r="C445" s="185"/>
      <c r="D445" s="162" t="s">
        <v>85</v>
      </c>
      <c r="E445" s="162"/>
      <c r="F445" s="162"/>
      <c r="G445" s="720"/>
      <c r="H445" s="163"/>
      <c r="I445" s="164" t="s">
        <v>498</v>
      </c>
      <c r="J445" s="143">
        <v>0</v>
      </c>
      <c r="K445" s="141">
        <v>0</v>
      </c>
      <c r="L445" s="141">
        <v>0</v>
      </c>
      <c r="M445" s="141">
        <v>0</v>
      </c>
      <c r="N445" s="141">
        <v>0</v>
      </c>
      <c r="O445" s="141">
        <v>0</v>
      </c>
      <c r="P445" s="141">
        <v>0</v>
      </c>
      <c r="Q445" s="144">
        <v>0</v>
      </c>
      <c r="R445" s="345">
        <v>0</v>
      </c>
      <c r="S445" s="141">
        <v>0</v>
      </c>
      <c r="T445" s="141">
        <v>0</v>
      </c>
      <c r="U445" s="141">
        <v>0</v>
      </c>
      <c r="V445" s="144">
        <v>0</v>
      </c>
    </row>
    <row r="446" spans="1:22" s="98" customFormat="1" ht="15" customHeight="1">
      <c r="A446" s="99"/>
      <c r="B446" s="161"/>
      <c r="C446" s="185" t="s">
        <v>1763</v>
      </c>
      <c r="D446" s="162"/>
      <c r="E446" s="162"/>
      <c r="F446" s="162"/>
      <c r="G446" s="163"/>
      <c r="H446" s="163"/>
      <c r="I446" s="164" t="s">
        <v>498</v>
      </c>
      <c r="J446" s="128">
        <f t="shared" ref="J446:V446" si="60">SUM(J433:J445)</f>
        <v>0.36730727015065456</v>
      </c>
      <c r="K446" s="129">
        <f t="shared" si="60"/>
        <v>0.6523442649350647</v>
      </c>
      <c r="L446" s="129">
        <f t="shared" si="60"/>
        <v>0.51106826673519201</v>
      </c>
      <c r="M446" s="129">
        <f t="shared" si="60"/>
        <v>0.26881721121135493</v>
      </c>
      <c r="N446" s="129">
        <f t="shared" si="60"/>
        <v>0.36480629172008011</v>
      </c>
      <c r="O446" s="129">
        <f t="shared" si="60"/>
        <v>0.31858089909845677</v>
      </c>
      <c r="P446" s="129">
        <f t="shared" si="60"/>
        <v>0.31858089909845677</v>
      </c>
      <c r="Q446" s="130">
        <f t="shared" si="60"/>
        <v>0.31858089909845677</v>
      </c>
      <c r="R446" s="244">
        <f t="shared" si="60"/>
        <v>0.31858089909845677</v>
      </c>
      <c r="S446" s="129">
        <f t="shared" si="60"/>
        <v>0.31858089909845677</v>
      </c>
      <c r="T446" s="129">
        <f t="shared" si="60"/>
        <v>0.31858089909845677</v>
      </c>
      <c r="U446" s="129">
        <f t="shared" si="60"/>
        <v>0.31858089909845677</v>
      </c>
      <c r="V446" s="130">
        <f t="shared" si="60"/>
        <v>0.31858089909845677</v>
      </c>
    </row>
    <row r="447" spans="1:22" s="338" customFormat="1" ht="14.25">
      <c r="B447" s="349"/>
      <c r="C447" s="339"/>
      <c r="D447" s="624" t="s">
        <v>1764</v>
      </c>
      <c r="E447" s="624"/>
      <c r="F447" s="624"/>
      <c r="G447" s="339"/>
      <c r="H447" s="339"/>
      <c r="I447" s="576" t="s">
        <v>498</v>
      </c>
      <c r="J447" s="297">
        <v>0</v>
      </c>
      <c r="K447" s="298" t="s">
        <v>1127</v>
      </c>
      <c r="L447" s="298">
        <v>0</v>
      </c>
      <c r="M447" s="298">
        <v>0</v>
      </c>
      <c r="N447" s="298">
        <v>0</v>
      </c>
      <c r="O447" s="298">
        <v>0</v>
      </c>
      <c r="P447" s="298">
        <v>0</v>
      </c>
      <c r="Q447" s="299">
        <v>0</v>
      </c>
      <c r="R447" s="460">
        <v>0</v>
      </c>
      <c r="S447" s="298">
        <v>0</v>
      </c>
      <c r="T447" s="298">
        <v>0</v>
      </c>
      <c r="U447" s="298">
        <v>0</v>
      </c>
      <c r="V447" s="299">
        <v>0</v>
      </c>
    </row>
    <row r="448" spans="1:22" s="338" customFormat="1" ht="14.25">
      <c r="B448" s="349"/>
      <c r="C448" s="339"/>
      <c r="D448" s="624" t="s">
        <v>1765</v>
      </c>
      <c r="E448" s="624"/>
      <c r="F448" s="624"/>
      <c r="G448" s="339"/>
      <c r="H448" s="339"/>
      <c r="I448" s="973" t="s">
        <v>498</v>
      </c>
      <c r="J448" s="974">
        <v>0</v>
      </c>
      <c r="K448" s="975">
        <v>0</v>
      </c>
      <c r="L448" s="975">
        <v>0</v>
      </c>
      <c r="M448" s="975">
        <v>0</v>
      </c>
      <c r="N448" s="975">
        <v>0</v>
      </c>
      <c r="O448" s="975">
        <v>0</v>
      </c>
      <c r="P448" s="975">
        <v>0</v>
      </c>
      <c r="Q448" s="976">
        <v>0</v>
      </c>
      <c r="R448" s="987">
        <v>0</v>
      </c>
      <c r="S448" s="975">
        <v>0</v>
      </c>
      <c r="T448" s="975">
        <v>0</v>
      </c>
      <c r="U448" s="975">
        <v>0</v>
      </c>
      <c r="V448" s="976">
        <v>0</v>
      </c>
    </row>
    <row r="449" spans="1:22" s="338" customFormat="1" ht="14.25">
      <c r="B449" s="349"/>
      <c r="C449" s="339" t="s">
        <v>1766</v>
      </c>
      <c r="D449" s="339"/>
      <c r="E449" s="339"/>
      <c r="F449" s="339"/>
      <c r="G449" s="625"/>
      <c r="H449" s="339"/>
      <c r="I449" s="164" t="s">
        <v>498</v>
      </c>
      <c r="J449" s="128">
        <f>SUM(J446:J448)</f>
        <v>0.36730727015065456</v>
      </c>
      <c r="K449" s="632">
        <f t="shared" ref="K449:V449" si="61">SUM(K446:K448)</f>
        <v>0.6523442649350647</v>
      </c>
      <c r="L449" s="632">
        <f t="shared" si="61"/>
        <v>0.51106826673519201</v>
      </c>
      <c r="M449" s="632">
        <f t="shared" si="61"/>
        <v>0.26881721121135493</v>
      </c>
      <c r="N449" s="632">
        <f t="shared" si="61"/>
        <v>0.36480629172008011</v>
      </c>
      <c r="O449" s="632">
        <f t="shared" si="61"/>
        <v>0.31858089909845677</v>
      </c>
      <c r="P449" s="632">
        <f t="shared" si="61"/>
        <v>0.31858089909845677</v>
      </c>
      <c r="Q449" s="633">
        <f t="shared" si="61"/>
        <v>0.31858089909845677</v>
      </c>
      <c r="R449" s="989">
        <f t="shared" si="61"/>
        <v>0.31858089909845677</v>
      </c>
      <c r="S449" s="632">
        <f t="shared" si="61"/>
        <v>0.31858089909845677</v>
      </c>
      <c r="T449" s="632">
        <f t="shared" si="61"/>
        <v>0.31858089909845677</v>
      </c>
      <c r="U449" s="632">
        <f t="shared" si="61"/>
        <v>0.31858089909845677</v>
      </c>
      <c r="V449" s="633">
        <f t="shared" si="61"/>
        <v>0.31858089909845677</v>
      </c>
    </row>
    <row r="450" spans="1:22" s="98" customFormat="1" ht="15" customHeight="1">
      <c r="A450" s="99"/>
      <c r="B450" s="161"/>
      <c r="C450" s="116"/>
      <c r="D450" s="116"/>
      <c r="E450" s="116"/>
      <c r="F450" s="116"/>
      <c r="G450" s="117"/>
      <c r="H450" s="117"/>
      <c r="I450" s="117"/>
      <c r="J450" s="713"/>
      <c r="K450" s="721"/>
      <c r="L450" s="721"/>
      <c r="M450" s="721"/>
      <c r="N450" s="721"/>
      <c r="O450" s="721"/>
      <c r="P450" s="721"/>
      <c r="Q450" s="715"/>
      <c r="R450" s="721"/>
      <c r="S450" s="721"/>
      <c r="T450" s="721"/>
      <c r="U450" s="721"/>
      <c r="V450" s="715"/>
    </row>
    <row r="451" spans="1:22" s="98" customFormat="1" ht="15" customHeight="1">
      <c r="A451" s="99"/>
      <c r="B451" s="161"/>
      <c r="C451" s="186" t="s">
        <v>1727</v>
      </c>
      <c r="D451" s="162"/>
      <c r="E451" s="162"/>
      <c r="F451" s="162"/>
      <c r="G451" s="163"/>
      <c r="H451" s="163"/>
      <c r="I451" s="117"/>
      <c r="J451" s="713"/>
      <c r="K451" s="721"/>
      <c r="L451" s="721"/>
      <c r="M451" s="721"/>
      <c r="N451" s="721"/>
      <c r="O451" s="721"/>
      <c r="P451" s="721"/>
      <c r="Q451" s="715"/>
      <c r="R451" s="721"/>
      <c r="S451" s="721"/>
      <c r="T451" s="721"/>
      <c r="U451" s="721"/>
      <c r="V451" s="715"/>
    </row>
    <row r="452" spans="1:22" s="98" customFormat="1" ht="15" customHeight="1">
      <c r="A452" s="99"/>
      <c r="B452" s="161"/>
      <c r="C452" s="185"/>
      <c r="D452" s="162" t="s">
        <v>1752</v>
      </c>
      <c r="E452" s="162"/>
      <c r="F452" s="162"/>
      <c r="G452" s="163"/>
      <c r="H452" s="163"/>
      <c r="I452" s="164" t="s">
        <v>498</v>
      </c>
      <c r="J452" s="143">
        <v>0</v>
      </c>
      <c r="K452" s="141">
        <v>0</v>
      </c>
      <c r="L452" s="141">
        <v>0</v>
      </c>
      <c r="M452" s="141">
        <v>0</v>
      </c>
      <c r="N452" s="141">
        <v>0</v>
      </c>
      <c r="O452" s="141">
        <v>0</v>
      </c>
      <c r="P452" s="141">
        <v>0</v>
      </c>
      <c r="Q452" s="144">
        <v>0</v>
      </c>
      <c r="R452" s="345">
        <v>0</v>
      </c>
      <c r="S452" s="141">
        <v>0</v>
      </c>
      <c r="T452" s="141">
        <v>0</v>
      </c>
      <c r="U452" s="141">
        <v>0</v>
      </c>
      <c r="V452" s="144">
        <v>0</v>
      </c>
    </row>
    <row r="453" spans="1:22" s="98" customFormat="1" ht="15" customHeight="1">
      <c r="A453" s="99"/>
      <c r="B453" s="161"/>
      <c r="C453" s="185"/>
      <c r="D453" s="162" t="s">
        <v>1753</v>
      </c>
      <c r="E453" s="162"/>
      <c r="F453" s="162"/>
      <c r="G453" s="163"/>
      <c r="H453" s="163"/>
      <c r="I453" s="164" t="s">
        <v>498</v>
      </c>
      <c r="J453" s="143">
        <v>0</v>
      </c>
      <c r="K453" s="141">
        <v>0</v>
      </c>
      <c r="L453" s="141">
        <v>0</v>
      </c>
      <c r="M453" s="141">
        <v>0</v>
      </c>
      <c r="N453" s="141">
        <v>0</v>
      </c>
      <c r="O453" s="141">
        <v>0</v>
      </c>
      <c r="P453" s="141">
        <v>0</v>
      </c>
      <c r="Q453" s="144">
        <v>0</v>
      </c>
      <c r="R453" s="345">
        <v>0</v>
      </c>
      <c r="S453" s="141">
        <v>0</v>
      </c>
      <c r="T453" s="141">
        <v>0</v>
      </c>
      <c r="U453" s="141">
        <v>0</v>
      </c>
      <c r="V453" s="144">
        <v>0</v>
      </c>
    </row>
    <row r="454" spans="1:22" s="98" customFormat="1" ht="15" customHeight="1">
      <c r="A454" s="99"/>
      <c r="B454" s="161"/>
      <c r="C454" s="185"/>
      <c r="D454" s="162" t="s">
        <v>1754</v>
      </c>
      <c r="E454" s="162"/>
      <c r="F454" s="162"/>
      <c r="G454" s="163"/>
      <c r="H454" s="163"/>
      <c r="I454" s="164" t="s">
        <v>498</v>
      </c>
      <c r="J454" s="143">
        <v>0</v>
      </c>
      <c r="K454" s="141">
        <v>0</v>
      </c>
      <c r="L454" s="141">
        <v>0</v>
      </c>
      <c r="M454" s="141">
        <v>0</v>
      </c>
      <c r="N454" s="141">
        <v>0</v>
      </c>
      <c r="O454" s="141">
        <v>0</v>
      </c>
      <c r="P454" s="141">
        <v>0</v>
      </c>
      <c r="Q454" s="144">
        <v>0</v>
      </c>
      <c r="R454" s="345">
        <v>0</v>
      </c>
      <c r="S454" s="141">
        <v>0</v>
      </c>
      <c r="T454" s="141">
        <v>0</v>
      </c>
      <c r="U454" s="141">
        <v>0</v>
      </c>
      <c r="V454" s="144">
        <v>0</v>
      </c>
    </row>
    <row r="455" spans="1:22" s="98" customFormat="1" ht="15" customHeight="1">
      <c r="A455" s="99"/>
      <c r="B455" s="161"/>
      <c r="C455" s="185"/>
      <c r="D455" s="162" t="s">
        <v>1755</v>
      </c>
      <c r="E455" s="162"/>
      <c r="F455" s="162"/>
      <c r="G455" s="163"/>
      <c r="H455" s="163"/>
      <c r="I455" s="164" t="s">
        <v>498</v>
      </c>
      <c r="J455" s="143">
        <v>0</v>
      </c>
      <c r="K455" s="141">
        <v>0</v>
      </c>
      <c r="L455" s="141">
        <v>0</v>
      </c>
      <c r="M455" s="141">
        <v>0</v>
      </c>
      <c r="N455" s="141">
        <v>0</v>
      </c>
      <c r="O455" s="141">
        <v>0</v>
      </c>
      <c r="P455" s="141">
        <v>0</v>
      </c>
      <c r="Q455" s="144">
        <v>0</v>
      </c>
      <c r="R455" s="345">
        <v>0</v>
      </c>
      <c r="S455" s="141">
        <v>0</v>
      </c>
      <c r="T455" s="141">
        <v>0</v>
      </c>
      <c r="U455" s="141">
        <v>0</v>
      </c>
      <c r="V455" s="144">
        <v>0</v>
      </c>
    </row>
    <row r="456" spans="1:22" s="98" customFormat="1" ht="15" customHeight="1">
      <c r="A456" s="99"/>
      <c r="B456" s="161"/>
      <c r="C456" s="185"/>
      <c r="D456" s="162" t="s">
        <v>1756</v>
      </c>
      <c r="E456" s="162"/>
      <c r="F456" s="162"/>
      <c r="G456" s="163"/>
      <c r="H456" s="163"/>
      <c r="I456" s="164" t="s">
        <v>498</v>
      </c>
      <c r="J456" s="143">
        <v>0</v>
      </c>
      <c r="K456" s="141">
        <v>0</v>
      </c>
      <c r="L456" s="141">
        <v>0</v>
      </c>
      <c r="M456" s="141">
        <v>0</v>
      </c>
      <c r="N456" s="141">
        <v>0</v>
      </c>
      <c r="O456" s="141">
        <v>0</v>
      </c>
      <c r="P456" s="141">
        <v>0</v>
      </c>
      <c r="Q456" s="144">
        <v>0</v>
      </c>
      <c r="R456" s="345">
        <v>0</v>
      </c>
      <c r="S456" s="141">
        <v>0</v>
      </c>
      <c r="T456" s="141">
        <v>0</v>
      </c>
      <c r="U456" s="141">
        <v>0</v>
      </c>
      <c r="V456" s="144">
        <v>0</v>
      </c>
    </row>
    <row r="457" spans="1:22" s="98" customFormat="1" ht="15" customHeight="1">
      <c r="A457" s="99"/>
      <c r="B457" s="161"/>
      <c r="C457" s="185"/>
      <c r="D457" s="162" t="s">
        <v>1757</v>
      </c>
      <c r="E457" s="162"/>
      <c r="F457" s="162"/>
      <c r="G457" s="163"/>
      <c r="H457" s="163"/>
      <c r="I457" s="164" t="s">
        <v>498</v>
      </c>
      <c r="J457" s="143">
        <v>0</v>
      </c>
      <c r="K457" s="141">
        <v>0</v>
      </c>
      <c r="L457" s="141">
        <v>0</v>
      </c>
      <c r="M457" s="141">
        <v>0</v>
      </c>
      <c r="N457" s="141">
        <v>0</v>
      </c>
      <c r="O457" s="141">
        <v>0</v>
      </c>
      <c r="P457" s="141">
        <v>0</v>
      </c>
      <c r="Q457" s="144">
        <v>0</v>
      </c>
      <c r="R457" s="345">
        <v>0</v>
      </c>
      <c r="S457" s="141">
        <v>0</v>
      </c>
      <c r="T457" s="141">
        <v>0</v>
      </c>
      <c r="U457" s="141">
        <v>0</v>
      </c>
      <c r="V457" s="144">
        <v>0</v>
      </c>
    </row>
    <row r="458" spans="1:22" s="98" customFormat="1" ht="15" customHeight="1">
      <c r="A458" s="99"/>
      <c r="B458" s="161"/>
      <c r="C458" s="185"/>
      <c r="D458" s="162" t="s">
        <v>205</v>
      </c>
      <c r="E458" s="162"/>
      <c r="F458" s="162"/>
      <c r="G458" s="163"/>
      <c r="H458" s="163"/>
      <c r="I458" s="164" t="s">
        <v>498</v>
      </c>
      <c r="J458" s="143">
        <v>0</v>
      </c>
      <c r="K458" s="141">
        <v>0</v>
      </c>
      <c r="L458" s="141">
        <v>0</v>
      </c>
      <c r="M458" s="141">
        <v>0</v>
      </c>
      <c r="N458" s="141">
        <v>0</v>
      </c>
      <c r="O458" s="141">
        <v>0</v>
      </c>
      <c r="P458" s="141">
        <v>0</v>
      </c>
      <c r="Q458" s="144">
        <v>0</v>
      </c>
      <c r="R458" s="345">
        <v>0</v>
      </c>
      <c r="S458" s="141">
        <v>0</v>
      </c>
      <c r="T458" s="141">
        <v>0</v>
      </c>
      <c r="U458" s="141">
        <v>0</v>
      </c>
      <c r="V458" s="144">
        <v>0</v>
      </c>
    </row>
    <row r="459" spans="1:22" s="98" customFormat="1" ht="15" customHeight="1">
      <c r="A459" s="99"/>
      <c r="B459" s="161"/>
      <c r="C459" s="185"/>
      <c r="D459" s="162" t="s">
        <v>1758</v>
      </c>
      <c r="E459" s="162"/>
      <c r="F459" s="162"/>
      <c r="G459" s="163"/>
      <c r="H459" s="163"/>
      <c r="I459" s="164" t="s">
        <v>498</v>
      </c>
      <c r="J459" s="143">
        <v>0</v>
      </c>
      <c r="K459" s="141">
        <v>0</v>
      </c>
      <c r="L459" s="141">
        <v>0</v>
      </c>
      <c r="M459" s="141">
        <v>0</v>
      </c>
      <c r="N459" s="141">
        <v>0</v>
      </c>
      <c r="O459" s="141">
        <v>0</v>
      </c>
      <c r="P459" s="141">
        <v>0</v>
      </c>
      <c r="Q459" s="144">
        <v>0</v>
      </c>
      <c r="R459" s="345">
        <v>0</v>
      </c>
      <c r="S459" s="141">
        <v>0</v>
      </c>
      <c r="T459" s="141">
        <v>0</v>
      </c>
      <c r="U459" s="141">
        <v>0</v>
      </c>
      <c r="V459" s="144">
        <v>0</v>
      </c>
    </row>
    <row r="460" spans="1:22" s="98" customFormat="1" ht="15" customHeight="1">
      <c r="A460" s="99"/>
      <c r="B460" s="161"/>
      <c r="C460" s="185"/>
      <c r="D460" s="162" t="s">
        <v>85</v>
      </c>
      <c r="E460" s="162"/>
      <c r="F460" s="162"/>
      <c r="G460" s="720"/>
      <c r="H460" s="163"/>
      <c r="I460" s="164" t="s">
        <v>498</v>
      </c>
      <c r="J460" s="143">
        <v>0</v>
      </c>
      <c r="K460" s="141">
        <v>0</v>
      </c>
      <c r="L460" s="141">
        <v>0</v>
      </c>
      <c r="M460" s="141">
        <v>0</v>
      </c>
      <c r="N460" s="141">
        <v>0</v>
      </c>
      <c r="O460" s="141">
        <v>0</v>
      </c>
      <c r="P460" s="141">
        <v>0</v>
      </c>
      <c r="Q460" s="144">
        <v>0</v>
      </c>
      <c r="R460" s="345">
        <v>0</v>
      </c>
      <c r="S460" s="141">
        <v>0</v>
      </c>
      <c r="T460" s="141">
        <v>0</v>
      </c>
      <c r="U460" s="141">
        <v>0</v>
      </c>
      <c r="V460" s="144">
        <v>0</v>
      </c>
    </row>
    <row r="461" spans="1:22" s="98" customFormat="1" ht="15" customHeight="1">
      <c r="A461" s="99"/>
      <c r="B461" s="161"/>
      <c r="C461" s="185"/>
      <c r="D461" s="162" t="s">
        <v>85</v>
      </c>
      <c r="E461" s="162"/>
      <c r="F461" s="162"/>
      <c r="G461" s="720"/>
      <c r="H461" s="163"/>
      <c r="I461" s="164" t="s">
        <v>498</v>
      </c>
      <c r="J461" s="143">
        <v>0</v>
      </c>
      <c r="K461" s="141">
        <v>0</v>
      </c>
      <c r="L461" s="141">
        <v>0</v>
      </c>
      <c r="M461" s="141">
        <v>0</v>
      </c>
      <c r="N461" s="141">
        <v>0</v>
      </c>
      <c r="O461" s="141">
        <v>0</v>
      </c>
      <c r="P461" s="141">
        <v>0</v>
      </c>
      <c r="Q461" s="144">
        <v>0</v>
      </c>
      <c r="R461" s="345">
        <v>0</v>
      </c>
      <c r="S461" s="141">
        <v>0</v>
      </c>
      <c r="T461" s="141">
        <v>0</v>
      </c>
      <c r="U461" s="141">
        <v>0</v>
      </c>
      <c r="V461" s="144">
        <v>0</v>
      </c>
    </row>
    <row r="462" spans="1:22" s="98" customFormat="1" ht="15" customHeight="1">
      <c r="A462" s="99"/>
      <c r="B462" s="161"/>
      <c r="C462" s="185"/>
      <c r="D462" s="162" t="s">
        <v>85</v>
      </c>
      <c r="E462" s="162"/>
      <c r="F462" s="162"/>
      <c r="G462" s="720"/>
      <c r="H462" s="163"/>
      <c r="I462" s="164" t="s">
        <v>498</v>
      </c>
      <c r="J462" s="143">
        <v>0</v>
      </c>
      <c r="K462" s="141">
        <v>0</v>
      </c>
      <c r="L462" s="141">
        <v>0</v>
      </c>
      <c r="M462" s="141">
        <v>0</v>
      </c>
      <c r="N462" s="141">
        <v>0</v>
      </c>
      <c r="O462" s="141">
        <v>0</v>
      </c>
      <c r="P462" s="141">
        <v>0</v>
      </c>
      <c r="Q462" s="144">
        <v>0</v>
      </c>
      <c r="R462" s="345">
        <v>0</v>
      </c>
      <c r="S462" s="141">
        <v>0</v>
      </c>
      <c r="T462" s="141">
        <v>0</v>
      </c>
      <c r="U462" s="141">
        <v>0</v>
      </c>
      <c r="V462" s="144">
        <v>0</v>
      </c>
    </row>
    <row r="463" spans="1:22" s="98" customFormat="1" ht="15" customHeight="1">
      <c r="A463" s="99"/>
      <c r="B463" s="161"/>
      <c r="C463" s="185"/>
      <c r="D463" s="162" t="s">
        <v>85</v>
      </c>
      <c r="E463" s="162"/>
      <c r="F463" s="162"/>
      <c r="G463" s="720"/>
      <c r="H463" s="163"/>
      <c r="I463" s="164" t="s">
        <v>498</v>
      </c>
      <c r="J463" s="143">
        <v>0</v>
      </c>
      <c r="K463" s="141">
        <v>0</v>
      </c>
      <c r="L463" s="141">
        <v>0</v>
      </c>
      <c r="M463" s="141">
        <v>0</v>
      </c>
      <c r="N463" s="141">
        <v>0</v>
      </c>
      <c r="O463" s="141">
        <v>0</v>
      </c>
      <c r="P463" s="141">
        <v>0</v>
      </c>
      <c r="Q463" s="144">
        <v>0</v>
      </c>
      <c r="R463" s="345">
        <v>0</v>
      </c>
      <c r="S463" s="141">
        <v>0</v>
      </c>
      <c r="T463" s="141">
        <v>0</v>
      </c>
      <c r="U463" s="141">
        <v>0</v>
      </c>
      <c r="V463" s="144">
        <v>0</v>
      </c>
    </row>
    <row r="464" spans="1:22" s="98" customFormat="1" ht="15" customHeight="1">
      <c r="A464" s="99"/>
      <c r="B464" s="161"/>
      <c r="C464" s="185"/>
      <c r="D464" s="162" t="s">
        <v>85</v>
      </c>
      <c r="E464" s="162"/>
      <c r="F464" s="162"/>
      <c r="G464" s="720"/>
      <c r="H464" s="163"/>
      <c r="I464" s="164" t="s">
        <v>498</v>
      </c>
      <c r="J464" s="143">
        <v>0</v>
      </c>
      <c r="K464" s="141">
        <v>0</v>
      </c>
      <c r="L464" s="141">
        <v>0</v>
      </c>
      <c r="M464" s="141">
        <v>0</v>
      </c>
      <c r="N464" s="141">
        <v>0</v>
      </c>
      <c r="O464" s="141">
        <v>0</v>
      </c>
      <c r="P464" s="141">
        <v>0</v>
      </c>
      <c r="Q464" s="144">
        <v>0</v>
      </c>
      <c r="R464" s="345">
        <v>0</v>
      </c>
      <c r="S464" s="141">
        <v>0</v>
      </c>
      <c r="T464" s="141">
        <v>0</v>
      </c>
      <c r="U464" s="141">
        <v>0</v>
      </c>
      <c r="V464" s="144">
        <v>0</v>
      </c>
    </row>
    <row r="465" spans="1:29" s="98" customFormat="1" ht="15" customHeight="1">
      <c r="A465" s="99"/>
      <c r="B465" s="161"/>
      <c r="C465" s="185" t="s">
        <v>1763</v>
      </c>
      <c r="D465" s="162"/>
      <c r="E465" s="162"/>
      <c r="F465" s="162"/>
      <c r="G465" s="163"/>
      <c r="H465" s="163"/>
      <c r="I465" s="164" t="s">
        <v>498</v>
      </c>
      <c r="J465" s="128">
        <f t="shared" ref="J465:V465" si="62">SUM(J452:J464)</f>
        <v>0</v>
      </c>
      <c r="K465" s="129">
        <f t="shared" si="62"/>
        <v>0</v>
      </c>
      <c r="L465" s="129">
        <f t="shared" si="62"/>
        <v>0</v>
      </c>
      <c r="M465" s="129">
        <f t="shared" si="62"/>
        <v>0</v>
      </c>
      <c r="N465" s="129">
        <f t="shared" si="62"/>
        <v>0</v>
      </c>
      <c r="O465" s="129">
        <f t="shared" si="62"/>
        <v>0</v>
      </c>
      <c r="P465" s="129">
        <f t="shared" si="62"/>
        <v>0</v>
      </c>
      <c r="Q465" s="130">
        <f t="shared" si="62"/>
        <v>0</v>
      </c>
      <c r="R465" s="244">
        <f t="shared" si="62"/>
        <v>0</v>
      </c>
      <c r="S465" s="129">
        <f t="shared" si="62"/>
        <v>0</v>
      </c>
      <c r="T465" s="129">
        <f t="shared" si="62"/>
        <v>0</v>
      </c>
      <c r="U465" s="129">
        <f t="shared" si="62"/>
        <v>0</v>
      </c>
      <c r="V465" s="130">
        <f t="shared" si="62"/>
        <v>0</v>
      </c>
    </row>
    <row r="466" spans="1:29" s="338" customFormat="1" ht="14.25">
      <c r="B466" s="349"/>
      <c r="C466" s="339"/>
      <c r="D466" s="624" t="s">
        <v>1764</v>
      </c>
      <c r="E466" s="624"/>
      <c r="F466" s="624"/>
      <c r="G466" s="339"/>
      <c r="H466" s="339"/>
      <c r="I466" s="576" t="s">
        <v>498</v>
      </c>
      <c r="J466" s="297">
        <v>0</v>
      </c>
      <c r="K466" s="298" t="s">
        <v>1127</v>
      </c>
      <c r="L466" s="298">
        <v>0</v>
      </c>
      <c r="M466" s="298">
        <v>0</v>
      </c>
      <c r="N466" s="298">
        <v>0</v>
      </c>
      <c r="O466" s="298">
        <v>0</v>
      </c>
      <c r="P466" s="298">
        <v>0</v>
      </c>
      <c r="Q466" s="299">
        <v>0</v>
      </c>
      <c r="R466" s="460">
        <v>0</v>
      </c>
      <c r="S466" s="298">
        <v>0</v>
      </c>
      <c r="T466" s="298">
        <v>0</v>
      </c>
      <c r="U466" s="298">
        <v>0</v>
      </c>
      <c r="V466" s="299">
        <v>0</v>
      </c>
      <c r="X466" s="339"/>
    </row>
    <row r="467" spans="1:29" s="338" customFormat="1" ht="14.25">
      <c r="B467" s="349"/>
      <c r="C467" s="339"/>
      <c r="D467" s="624" t="s">
        <v>1765</v>
      </c>
      <c r="E467" s="624"/>
      <c r="F467" s="624"/>
      <c r="G467" s="339"/>
      <c r="H467" s="339"/>
      <c r="I467" s="973" t="s">
        <v>498</v>
      </c>
      <c r="J467" s="974">
        <v>0</v>
      </c>
      <c r="K467" s="975">
        <v>0</v>
      </c>
      <c r="L467" s="975">
        <v>0</v>
      </c>
      <c r="M467" s="975">
        <v>0</v>
      </c>
      <c r="N467" s="975">
        <v>0</v>
      </c>
      <c r="O467" s="975">
        <v>0</v>
      </c>
      <c r="P467" s="975">
        <v>0</v>
      </c>
      <c r="Q467" s="976">
        <v>0</v>
      </c>
      <c r="R467" s="987">
        <v>0</v>
      </c>
      <c r="S467" s="975">
        <v>0</v>
      </c>
      <c r="T467" s="975">
        <v>0</v>
      </c>
      <c r="U467" s="975">
        <v>0</v>
      </c>
      <c r="V467" s="976">
        <v>0</v>
      </c>
      <c r="X467" s="339"/>
    </row>
    <row r="468" spans="1:29" s="338" customFormat="1" ht="14.25">
      <c r="B468" s="349"/>
      <c r="C468" s="339" t="s">
        <v>1766</v>
      </c>
      <c r="D468" s="339"/>
      <c r="E468" s="339"/>
      <c r="F468" s="339"/>
      <c r="G468" s="625"/>
      <c r="H468" s="339"/>
      <c r="I468" s="164" t="s">
        <v>498</v>
      </c>
      <c r="J468" s="128">
        <f>SUM(J465:J467)</f>
        <v>0</v>
      </c>
      <c r="K468" s="632">
        <f t="shared" ref="K468" si="63">SUM(K465:K467)</f>
        <v>0</v>
      </c>
      <c r="L468" s="632">
        <f t="shared" ref="L468" si="64">SUM(L465:L467)</f>
        <v>0</v>
      </c>
      <c r="M468" s="632">
        <f t="shared" ref="M468" si="65">SUM(M465:M467)</f>
        <v>0</v>
      </c>
      <c r="N468" s="632">
        <f t="shared" ref="N468" si="66">SUM(N465:N467)</f>
        <v>0</v>
      </c>
      <c r="O468" s="632">
        <f t="shared" ref="O468" si="67">SUM(O465:O467)</f>
        <v>0</v>
      </c>
      <c r="P468" s="632">
        <f t="shared" ref="P468" si="68">SUM(P465:P467)</f>
        <v>0</v>
      </c>
      <c r="Q468" s="633">
        <f t="shared" ref="Q468" si="69">SUM(Q465:Q467)</f>
        <v>0</v>
      </c>
      <c r="R468" s="989">
        <f t="shared" ref="R468" si="70">SUM(R465:R467)</f>
        <v>0</v>
      </c>
      <c r="S468" s="632">
        <f t="shared" ref="S468" si="71">SUM(S465:S467)</f>
        <v>0</v>
      </c>
      <c r="T468" s="632">
        <f t="shared" ref="T468" si="72">SUM(T465:T467)</f>
        <v>0</v>
      </c>
      <c r="U468" s="632">
        <f t="shared" ref="U468" si="73">SUM(U465:U467)</f>
        <v>0</v>
      </c>
      <c r="V468" s="633">
        <f t="shared" ref="V468" si="74">SUM(V465:V467)</f>
        <v>0</v>
      </c>
      <c r="X468" s="339"/>
    </row>
    <row r="469" spans="1:29" s="98" customFormat="1" ht="15" customHeight="1">
      <c r="A469" s="99"/>
      <c r="B469" s="161"/>
      <c r="C469" s="116"/>
      <c r="D469" s="116"/>
      <c r="E469" s="116"/>
      <c r="F469" s="116"/>
      <c r="G469" s="117"/>
      <c r="H469" s="117"/>
      <c r="I469" s="117"/>
      <c r="J469" s="713"/>
      <c r="K469" s="721"/>
      <c r="L469" s="721"/>
      <c r="M469" s="721"/>
      <c r="N469" s="721"/>
      <c r="O469" s="721"/>
      <c r="P469" s="721"/>
      <c r="Q469" s="715"/>
      <c r="R469" s="721"/>
      <c r="S469" s="721"/>
      <c r="T469" s="721"/>
      <c r="U469" s="721"/>
      <c r="V469" s="715"/>
      <c r="X469" s="185"/>
    </row>
    <row r="470" spans="1:29" s="99" customFormat="1" ht="15" customHeight="1" thickBot="1">
      <c r="B470" s="131" t="s">
        <v>1776</v>
      </c>
      <c r="C470" s="132"/>
      <c r="D470" s="132"/>
      <c r="E470" s="132"/>
      <c r="F470" s="132"/>
      <c r="G470" s="145"/>
      <c r="H470" s="133"/>
      <c r="I470" s="146" t="s">
        <v>498</v>
      </c>
      <c r="J470" s="717">
        <f t="shared" ref="J470:V470" si="75">SUM(J411,J430,J449,J468)</f>
        <v>1.1258826299213638</v>
      </c>
      <c r="K470" s="718">
        <f t="shared" si="75"/>
        <v>1.5044758597402592</v>
      </c>
      <c r="L470" s="718">
        <f t="shared" si="75"/>
        <v>0.78625887190029542</v>
      </c>
      <c r="M470" s="718">
        <f t="shared" si="75"/>
        <v>0.89003446055979185</v>
      </c>
      <c r="N470" s="718">
        <f t="shared" si="75"/>
        <v>0.6213552613578035</v>
      </c>
      <c r="O470" s="718">
        <f t="shared" si="75"/>
        <v>0.7211903018733572</v>
      </c>
      <c r="P470" s="718">
        <f t="shared" si="75"/>
        <v>0.7211903018733572</v>
      </c>
      <c r="Q470" s="719">
        <f t="shared" si="75"/>
        <v>0.7211903018733572</v>
      </c>
      <c r="R470" s="797">
        <f t="shared" si="75"/>
        <v>0.7211903018733572</v>
      </c>
      <c r="S470" s="718">
        <f t="shared" si="75"/>
        <v>0.7211903018733572</v>
      </c>
      <c r="T470" s="718">
        <f t="shared" si="75"/>
        <v>0.7211903018733572</v>
      </c>
      <c r="U470" s="718">
        <f t="shared" si="75"/>
        <v>0.7211903018733572</v>
      </c>
      <c r="V470" s="719">
        <f t="shared" si="75"/>
        <v>0.7211903018733572</v>
      </c>
      <c r="W470" s="185"/>
      <c r="X470" s="185"/>
      <c r="AB470" s="173"/>
      <c r="AC470" s="98"/>
    </row>
    <row r="471" spans="1:29" s="99" customFormat="1" ht="15" customHeight="1" thickBot="1">
      <c r="B471" s="150"/>
      <c r="C471" s="150"/>
      <c r="D471" s="150"/>
      <c r="E471" s="150"/>
      <c r="F471" s="150"/>
      <c r="G471" s="97"/>
      <c r="H471" s="97"/>
      <c r="I471" s="98"/>
      <c r="J471" s="98"/>
      <c r="K471" s="98"/>
      <c r="L471" s="98"/>
      <c r="M471" s="98"/>
      <c r="N471" s="98"/>
      <c r="O471" s="98"/>
      <c r="P471" s="98"/>
      <c r="Q471" s="98"/>
      <c r="R471" s="98"/>
      <c r="S471" s="98"/>
      <c r="T471" s="98"/>
      <c r="U471" s="98"/>
      <c r="V471" s="98"/>
      <c r="W471" s="98"/>
      <c r="X471" s="185"/>
    </row>
    <row r="472" spans="1:29" s="100" customFormat="1" ht="30" customHeight="1" thickBot="1">
      <c r="A472" s="89"/>
      <c r="B472" s="680" t="s">
        <v>1777</v>
      </c>
      <c r="C472" s="681"/>
      <c r="D472" s="681"/>
      <c r="E472" s="681"/>
      <c r="F472" s="681"/>
      <c r="G472" s="682"/>
      <c r="H472" s="103"/>
      <c r="I472" s="105" t="s">
        <v>1704</v>
      </c>
      <c r="J472" s="106"/>
      <c r="K472" s="106"/>
      <c r="L472" s="106"/>
      <c r="M472" s="106"/>
      <c r="N472" s="106"/>
      <c r="O472" s="106"/>
      <c r="P472" s="106"/>
      <c r="Q472" s="106"/>
      <c r="R472" s="105"/>
      <c r="S472" s="105"/>
      <c r="T472" s="105"/>
      <c r="U472" s="105"/>
      <c r="V472" s="187"/>
    </row>
    <row r="473" spans="1:29" s="157" customFormat="1" ht="30" customHeight="1">
      <c r="A473" s="99"/>
      <c r="B473" s="704"/>
      <c r="C473" s="705"/>
      <c r="D473" s="705"/>
      <c r="E473" s="705"/>
      <c r="F473" s="705"/>
      <c r="G473" s="685"/>
      <c r="H473" s="111"/>
      <c r="I473" s="117"/>
      <c r="J473" s="695" t="s">
        <v>1666</v>
      </c>
      <c r="K473" s="706"/>
      <c r="L473" s="706"/>
      <c r="M473" s="706"/>
      <c r="N473" s="706"/>
      <c r="O473" s="706"/>
      <c r="P473" s="706"/>
      <c r="Q473" s="707"/>
      <c r="R473" s="871" t="s">
        <v>2</v>
      </c>
      <c r="S473" s="708"/>
      <c r="T473" s="708"/>
      <c r="U473" s="708"/>
      <c r="V473" s="709"/>
    </row>
    <row r="474" spans="1:29" s="98" customFormat="1" ht="15" customHeight="1">
      <c r="A474" s="99"/>
      <c r="B474" s="683"/>
      <c r="C474" s="185"/>
      <c r="D474" s="684"/>
      <c r="E474" s="684"/>
      <c r="F474" s="684"/>
      <c r="G474" s="685"/>
      <c r="H474" s="117"/>
      <c r="I474" s="119" t="s">
        <v>1667</v>
      </c>
      <c r="J474" s="158" t="s">
        <v>453</v>
      </c>
      <c r="K474" s="137" t="s">
        <v>455</v>
      </c>
      <c r="L474" s="137" t="s">
        <v>457</v>
      </c>
      <c r="M474" s="137" t="s">
        <v>459</v>
      </c>
      <c r="N474" s="137" t="s">
        <v>461</v>
      </c>
      <c r="O474" s="137" t="s">
        <v>463</v>
      </c>
      <c r="P474" s="137" t="s">
        <v>465</v>
      </c>
      <c r="Q474" s="138" t="s">
        <v>467</v>
      </c>
      <c r="R474" s="242" t="s">
        <v>469</v>
      </c>
      <c r="S474" s="121" t="s">
        <v>471</v>
      </c>
      <c r="T474" s="121" t="s">
        <v>473</v>
      </c>
      <c r="U474" s="121" t="s">
        <v>475</v>
      </c>
      <c r="V474" s="122" t="s">
        <v>477</v>
      </c>
    </row>
    <row r="475" spans="1:29" s="98" customFormat="1" ht="15" customHeight="1">
      <c r="A475" s="99"/>
      <c r="B475" s="683"/>
      <c r="C475" s="684" t="s">
        <v>1705</v>
      </c>
      <c r="D475" s="684"/>
      <c r="E475" s="684"/>
      <c r="F475" s="684"/>
      <c r="G475" s="685"/>
      <c r="H475" s="117"/>
      <c r="I475" s="92"/>
      <c r="J475" s="619"/>
      <c r="K475" s="92"/>
      <c r="L475" s="92"/>
      <c r="M475" s="92"/>
      <c r="N475" s="92"/>
      <c r="O475" s="92"/>
      <c r="P475" s="92"/>
      <c r="Q475" s="618"/>
      <c r="R475" s="92"/>
      <c r="S475" s="92"/>
      <c r="T475" s="92"/>
      <c r="U475" s="92"/>
      <c r="V475" s="618"/>
    </row>
    <row r="476" spans="1:29" s="98" customFormat="1" ht="15" customHeight="1">
      <c r="A476" s="99"/>
      <c r="B476" s="161"/>
      <c r="C476" s="185"/>
      <c r="D476" s="686" t="s">
        <v>1669</v>
      </c>
      <c r="E476" s="686"/>
      <c r="F476" s="686"/>
      <c r="G476" s="687"/>
      <c r="H476" s="163"/>
      <c r="I476" s="117"/>
      <c r="J476" s="159"/>
      <c r="K476" s="117"/>
      <c r="L476" s="117"/>
      <c r="M476" s="117"/>
      <c r="N476" s="117"/>
      <c r="O476" s="117"/>
      <c r="P476" s="117"/>
      <c r="Q476" s="160"/>
      <c r="R476" s="117"/>
      <c r="S476" s="117"/>
      <c r="T476" s="117"/>
      <c r="U476" s="117"/>
      <c r="V476" s="160"/>
    </row>
    <row r="477" spans="1:29" s="98" customFormat="1" ht="15" customHeight="1">
      <c r="A477" s="99"/>
      <c r="B477" s="161"/>
      <c r="C477" s="185"/>
      <c r="D477" s="185"/>
      <c r="E477" s="687" t="s">
        <v>1706</v>
      </c>
      <c r="F477" s="687"/>
      <c r="G477" s="687"/>
      <c r="H477" s="185"/>
      <c r="I477" s="164" t="s">
        <v>498</v>
      </c>
      <c r="J477" s="143">
        <v>0</v>
      </c>
      <c r="K477" s="141">
        <v>0</v>
      </c>
      <c r="L477" s="141">
        <v>0</v>
      </c>
      <c r="M477" s="141">
        <v>0</v>
      </c>
      <c r="N477" s="141">
        <v>0</v>
      </c>
      <c r="O477" s="141">
        <v>0</v>
      </c>
      <c r="P477" s="141">
        <v>0</v>
      </c>
      <c r="Q477" s="144">
        <v>0</v>
      </c>
      <c r="R477" s="345">
        <v>0</v>
      </c>
      <c r="S477" s="141">
        <v>0</v>
      </c>
      <c r="T477" s="141">
        <v>0</v>
      </c>
      <c r="U477" s="141">
        <v>0</v>
      </c>
      <c r="V477" s="144">
        <v>0</v>
      </c>
    </row>
    <row r="478" spans="1:29" s="98" customFormat="1" ht="15" customHeight="1">
      <c r="A478" s="99"/>
      <c r="B478" s="161"/>
      <c r="C478" s="185"/>
      <c r="D478" s="185"/>
      <c r="E478" s="185" t="s">
        <v>1707</v>
      </c>
      <c r="F478" s="687"/>
      <c r="G478" s="185"/>
      <c r="H478" s="185"/>
      <c r="I478" s="164" t="s">
        <v>498</v>
      </c>
      <c r="J478" s="143">
        <v>0</v>
      </c>
      <c r="K478" s="141">
        <v>0</v>
      </c>
      <c r="L478" s="141">
        <v>0</v>
      </c>
      <c r="M478" s="141">
        <v>0</v>
      </c>
      <c r="N478" s="141">
        <v>0</v>
      </c>
      <c r="O478" s="141">
        <v>0</v>
      </c>
      <c r="P478" s="141">
        <v>0</v>
      </c>
      <c r="Q478" s="144">
        <v>0</v>
      </c>
      <c r="R478" s="345">
        <v>0</v>
      </c>
      <c r="S478" s="141">
        <v>0</v>
      </c>
      <c r="T478" s="141">
        <v>0</v>
      </c>
      <c r="U478" s="141">
        <v>0</v>
      </c>
      <c r="V478" s="144">
        <v>0</v>
      </c>
    </row>
    <row r="479" spans="1:29" s="98" customFormat="1" ht="15" customHeight="1">
      <c r="A479" s="99"/>
      <c r="B479" s="161"/>
      <c r="C479" s="185"/>
      <c r="D479" s="185"/>
      <c r="E479" s="185" t="s">
        <v>1708</v>
      </c>
      <c r="F479" s="687"/>
      <c r="G479" s="185"/>
      <c r="H479" s="185"/>
      <c r="I479" s="164" t="s">
        <v>498</v>
      </c>
      <c r="J479" s="143">
        <v>0</v>
      </c>
      <c r="K479" s="141">
        <v>0</v>
      </c>
      <c r="L479" s="141">
        <v>0</v>
      </c>
      <c r="M479" s="141">
        <v>0</v>
      </c>
      <c r="N479" s="141">
        <v>0</v>
      </c>
      <c r="O479" s="141">
        <v>0</v>
      </c>
      <c r="P479" s="141">
        <v>0</v>
      </c>
      <c r="Q479" s="144">
        <v>0</v>
      </c>
      <c r="R479" s="345">
        <v>0</v>
      </c>
      <c r="S479" s="141">
        <v>0</v>
      </c>
      <c r="T479" s="141">
        <v>0</v>
      </c>
      <c r="U479" s="141">
        <v>0</v>
      </c>
      <c r="V479" s="144">
        <v>0</v>
      </c>
    </row>
    <row r="480" spans="1:29" s="98" customFormat="1" ht="15" customHeight="1">
      <c r="A480" s="99"/>
      <c r="B480" s="161"/>
      <c r="C480" s="185"/>
      <c r="D480" s="185"/>
      <c r="E480" s="185" t="s">
        <v>1709</v>
      </c>
      <c r="F480" s="687"/>
      <c r="G480" s="185"/>
      <c r="H480" s="185"/>
      <c r="I480" s="164" t="s">
        <v>498</v>
      </c>
      <c r="J480" s="143">
        <v>0</v>
      </c>
      <c r="K480" s="141">
        <v>0</v>
      </c>
      <c r="L480" s="141">
        <v>0</v>
      </c>
      <c r="M480" s="141">
        <v>0</v>
      </c>
      <c r="N480" s="141">
        <v>0</v>
      </c>
      <c r="O480" s="141">
        <v>0</v>
      </c>
      <c r="P480" s="141">
        <v>0</v>
      </c>
      <c r="Q480" s="144">
        <v>0</v>
      </c>
      <c r="R480" s="345">
        <v>0</v>
      </c>
      <c r="S480" s="141">
        <v>0</v>
      </c>
      <c r="T480" s="141">
        <v>0</v>
      </c>
      <c r="U480" s="141">
        <v>0</v>
      </c>
      <c r="V480" s="144">
        <v>0</v>
      </c>
    </row>
    <row r="481" spans="1:22" s="98" customFormat="1" ht="15" customHeight="1">
      <c r="A481" s="99"/>
      <c r="B481" s="161"/>
      <c r="C481" s="185"/>
      <c r="D481" s="687"/>
      <c r="E481" s="185"/>
      <c r="F481" s="687"/>
      <c r="G481" s="185"/>
      <c r="H481" s="185"/>
      <c r="I481" s="185"/>
      <c r="J481" s="159"/>
      <c r="K481" s="117"/>
      <c r="L481" s="117"/>
      <c r="M481" s="117"/>
      <c r="N481" s="117"/>
      <c r="O481" s="117"/>
      <c r="P481" s="117"/>
      <c r="Q481" s="160"/>
      <c r="R481" s="117"/>
      <c r="S481" s="117"/>
      <c r="T481" s="117"/>
      <c r="U481" s="117"/>
      <c r="V481" s="160"/>
    </row>
    <row r="482" spans="1:22" s="98" customFormat="1" ht="15" customHeight="1">
      <c r="A482" s="99"/>
      <c r="B482" s="161"/>
      <c r="C482" s="185"/>
      <c r="D482" s="686" t="s">
        <v>1711</v>
      </c>
      <c r="E482" s="686"/>
      <c r="F482" s="686"/>
      <c r="G482" s="687"/>
      <c r="H482" s="163"/>
      <c r="I482" s="117"/>
      <c r="J482" s="159"/>
      <c r="K482" s="117"/>
      <c r="L482" s="117"/>
      <c r="M482" s="117"/>
      <c r="N482" s="117"/>
      <c r="O482" s="117"/>
      <c r="P482" s="117"/>
      <c r="Q482" s="160"/>
      <c r="R482" s="117"/>
      <c r="S482" s="117"/>
      <c r="T482" s="117"/>
      <c r="U482" s="117"/>
      <c r="V482" s="160"/>
    </row>
    <row r="483" spans="1:22" s="98" customFormat="1" ht="15" customHeight="1">
      <c r="A483" s="99"/>
      <c r="B483" s="688"/>
      <c r="C483" s="185"/>
      <c r="D483" s="185"/>
      <c r="E483" s="185" t="s">
        <v>40</v>
      </c>
      <c r="F483" s="185"/>
      <c r="G483" s="690"/>
      <c r="H483" s="184"/>
      <c r="I483" s="164" t="s">
        <v>498</v>
      </c>
      <c r="J483" s="143">
        <v>0</v>
      </c>
      <c r="K483" s="141">
        <v>0</v>
      </c>
      <c r="L483" s="141">
        <v>0</v>
      </c>
      <c r="M483" s="141">
        <v>0</v>
      </c>
      <c r="N483" s="141">
        <v>0</v>
      </c>
      <c r="O483" s="141">
        <v>0</v>
      </c>
      <c r="P483" s="141">
        <v>0</v>
      </c>
      <c r="Q483" s="144">
        <v>0</v>
      </c>
      <c r="R483" s="345">
        <v>0</v>
      </c>
      <c r="S483" s="141">
        <v>0</v>
      </c>
      <c r="T483" s="141">
        <v>0</v>
      </c>
      <c r="U483" s="141">
        <v>0</v>
      </c>
      <c r="V483" s="144">
        <v>0</v>
      </c>
    </row>
    <row r="484" spans="1:22" s="98" customFormat="1" ht="15" customHeight="1">
      <c r="A484" s="99"/>
      <c r="B484" s="161"/>
      <c r="C484" s="686"/>
      <c r="D484" s="185"/>
      <c r="E484" s="687" t="s">
        <v>1770</v>
      </c>
      <c r="F484" s="687"/>
      <c r="G484" s="691"/>
      <c r="H484" s="163"/>
      <c r="I484" s="164" t="s">
        <v>498</v>
      </c>
      <c r="J484" s="143">
        <v>0</v>
      </c>
      <c r="K484" s="141">
        <v>0</v>
      </c>
      <c r="L484" s="141">
        <v>0</v>
      </c>
      <c r="M484" s="141">
        <v>0</v>
      </c>
      <c r="N484" s="141">
        <v>0</v>
      </c>
      <c r="O484" s="141">
        <v>0</v>
      </c>
      <c r="P484" s="141">
        <v>0</v>
      </c>
      <c r="Q484" s="144">
        <v>0</v>
      </c>
      <c r="R484" s="345">
        <v>0</v>
      </c>
      <c r="S484" s="141">
        <v>0</v>
      </c>
      <c r="T484" s="141">
        <v>0</v>
      </c>
      <c r="U484" s="141">
        <v>0</v>
      </c>
      <c r="V484" s="144">
        <v>0</v>
      </c>
    </row>
    <row r="485" spans="1:22" s="98" customFormat="1" ht="15" customHeight="1">
      <c r="A485" s="99"/>
      <c r="B485" s="161"/>
      <c r="C485" s="185"/>
      <c r="D485" s="185"/>
      <c r="E485" s="687" t="s">
        <v>41</v>
      </c>
      <c r="F485" s="687"/>
      <c r="G485" s="185"/>
      <c r="H485" s="163"/>
      <c r="I485" s="164" t="s">
        <v>498</v>
      </c>
      <c r="J485" s="143">
        <v>0</v>
      </c>
      <c r="K485" s="141">
        <v>0</v>
      </c>
      <c r="L485" s="141">
        <v>0</v>
      </c>
      <c r="M485" s="141">
        <v>0</v>
      </c>
      <c r="N485" s="141">
        <v>0</v>
      </c>
      <c r="O485" s="141">
        <v>0</v>
      </c>
      <c r="P485" s="141">
        <v>0</v>
      </c>
      <c r="Q485" s="144">
        <v>0</v>
      </c>
      <c r="R485" s="345">
        <v>0</v>
      </c>
      <c r="S485" s="141">
        <v>0</v>
      </c>
      <c r="T485" s="141">
        <v>0</v>
      </c>
      <c r="U485" s="141">
        <v>0</v>
      </c>
      <c r="V485" s="144">
        <v>0</v>
      </c>
    </row>
    <row r="486" spans="1:22" s="98" customFormat="1" ht="15" customHeight="1">
      <c r="A486" s="99"/>
      <c r="B486" s="161"/>
      <c r="C486" s="185"/>
      <c r="D486" s="185"/>
      <c r="E486" s="185" t="s">
        <v>1712</v>
      </c>
      <c r="F486" s="185"/>
      <c r="G486" s="185"/>
      <c r="H486" s="163"/>
      <c r="I486" s="164" t="s">
        <v>498</v>
      </c>
      <c r="J486" s="143">
        <v>0</v>
      </c>
      <c r="K486" s="141">
        <v>0</v>
      </c>
      <c r="L486" s="141">
        <v>0</v>
      </c>
      <c r="M486" s="141">
        <v>0</v>
      </c>
      <c r="N486" s="141">
        <v>0</v>
      </c>
      <c r="O486" s="141">
        <v>0</v>
      </c>
      <c r="P486" s="141">
        <v>0</v>
      </c>
      <c r="Q486" s="144">
        <v>0</v>
      </c>
      <c r="R486" s="345">
        <v>0</v>
      </c>
      <c r="S486" s="141">
        <v>0</v>
      </c>
      <c r="T486" s="141">
        <v>0</v>
      </c>
      <c r="U486" s="141">
        <v>0</v>
      </c>
      <c r="V486" s="144">
        <v>0</v>
      </c>
    </row>
    <row r="487" spans="1:22" s="98" customFormat="1" ht="15" customHeight="1">
      <c r="A487" s="99"/>
      <c r="B487" s="161"/>
      <c r="C487" s="185"/>
      <c r="D487" s="185"/>
      <c r="E487" s="185" t="s">
        <v>1713</v>
      </c>
      <c r="F487" s="185"/>
      <c r="G487" s="185"/>
      <c r="H487" s="163"/>
      <c r="I487" s="164" t="s">
        <v>498</v>
      </c>
      <c r="J487" s="143">
        <v>0</v>
      </c>
      <c r="K487" s="141">
        <v>0</v>
      </c>
      <c r="L487" s="141">
        <v>0</v>
      </c>
      <c r="M487" s="141">
        <v>0</v>
      </c>
      <c r="N487" s="141">
        <v>0</v>
      </c>
      <c r="O487" s="141">
        <v>0</v>
      </c>
      <c r="P487" s="141">
        <v>0</v>
      </c>
      <c r="Q487" s="144">
        <v>0</v>
      </c>
      <c r="R487" s="345">
        <v>0</v>
      </c>
      <c r="S487" s="141">
        <v>0</v>
      </c>
      <c r="T487" s="141">
        <v>0</v>
      </c>
      <c r="U487" s="141">
        <v>0</v>
      </c>
      <c r="V487" s="144">
        <v>0</v>
      </c>
    </row>
    <row r="488" spans="1:22" s="98" customFormat="1" ht="15" customHeight="1">
      <c r="A488" s="99"/>
      <c r="B488" s="688"/>
      <c r="C488" s="185"/>
      <c r="D488" s="185"/>
      <c r="E488" s="689"/>
      <c r="F488" s="185"/>
      <c r="G488" s="690"/>
      <c r="H488" s="184"/>
      <c r="I488" s="117"/>
      <c r="J488" s="159"/>
      <c r="K488" s="163"/>
      <c r="L488" s="163"/>
      <c r="M488" s="163"/>
      <c r="N488" s="163"/>
      <c r="O488" s="163"/>
      <c r="P488" s="163"/>
      <c r="Q488" s="172"/>
      <c r="R488" s="163"/>
      <c r="S488" s="163"/>
      <c r="T488" s="163"/>
      <c r="U488" s="163"/>
      <c r="V488" s="172"/>
    </row>
    <row r="489" spans="1:22" s="98" customFormat="1" ht="15" customHeight="1">
      <c r="A489" s="99"/>
      <c r="B489" s="161"/>
      <c r="C489" s="616" t="s">
        <v>1675</v>
      </c>
      <c r="D489" s="686"/>
      <c r="E489" s="687"/>
      <c r="F489" s="185"/>
      <c r="G489" s="185"/>
      <c r="H489" s="163"/>
      <c r="I489" s="117"/>
      <c r="J489" s="159"/>
      <c r="K489" s="163"/>
      <c r="L489" s="163"/>
      <c r="M489" s="163"/>
      <c r="N489" s="163"/>
      <c r="O489" s="163"/>
      <c r="P489" s="163"/>
      <c r="Q489" s="172"/>
      <c r="R489" s="163"/>
      <c r="S489" s="163"/>
      <c r="T489" s="163"/>
      <c r="U489" s="163"/>
      <c r="V489" s="172"/>
    </row>
    <row r="490" spans="1:22" s="98" customFormat="1" ht="15" customHeight="1">
      <c r="A490" s="99"/>
      <c r="B490" s="161"/>
      <c r="C490" s="185"/>
      <c r="D490" s="687" t="s">
        <v>1715</v>
      </c>
      <c r="E490" s="687"/>
      <c r="F490" s="185"/>
      <c r="G490" s="185"/>
      <c r="H490" s="163"/>
      <c r="I490" s="164" t="s">
        <v>498</v>
      </c>
      <c r="J490" s="143">
        <v>0</v>
      </c>
      <c r="K490" s="141">
        <v>0</v>
      </c>
      <c r="L490" s="141">
        <v>0</v>
      </c>
      <c r="M490" s="141">
        <v>0</v>
      </c>
      <c r="N490" s="141">
        <v>0</v>
      </c>
      <c r="O490" s="141">
        <v>0</v>
      </c>
      <c r="P490" s="141">
        <v>0</v>
      </c>
      <c r="Q490" s="144">
        <v>0</v>
      </c>
      <c r="R490" s="345">
        <v>0</v>
      </c>
      <c r="S490" s="141">
        <v>0</v>
      </c>
      <c r="T490" s="141">
        <v>0</v>
      </c>
      <c r="U490" s="141">
        <v>0</v>
      </c>
      <c r="V490" s="144">
        <v>0</v>
      </c>
    </row>
    <row r="491" spans="1:22" s="98" customFormat="1" ht="15" customHeight="1">
      <c r="A491" s="99"/>
      <c r="B491" s="161"/>
      <c r="C491" s="185"/>
      <c r="D491" s="687" t="s">
        <v>118</v>
      </c>
      <c r="E491" s="687"/>
      <c r="F491" s="185"/>
      <c r="G491" s="185"/>
      <c r="H491" s="163"/>
      <c r="I491" s="164" t="s">
        <v>498</v>
      </c>
      <c r="J491" s="143">
        <v>0</v>
      </c>
      <c r="K491" s="141">
        <v>0</v>
      </c>
      <c r="L491" s="141">
        <v>0</v>
      </c>
      <c r="M491" s="141">
        <v>0</v>
      </c>
      <c r="N491" s="141">
        <v>0</v>
      </c>
      <c r="O491" s="141">
        <v>0</v>
      </c>
      <c r="P491" s="141">
        <v>0</v>
      </c>
      <c r="Q491" s="144">
        <v>0</v>
      </c>
      <c r="R491" s="345">
        <v>0</v>
      </c>
      <c r="S491" s="141">
        <v>0</v>
      </c>
      <c r="T491" s="141">
        <v>0</v>
      </c>
      <c r="U491" s="141">
        <v>0</v>
      </c>
      <c r="V491" s="144">
        <v>0</v>
      </c>
    </row>
    <row r="492" spans="1:22" s="98" customFormat="1" ht="15" customHeight="1">
      <c r="A492" s="99"/>
      <c r="B492" s="161"/>
      <c r="C492" s="185"/>
      <c r="D492" s="687" t="s">
        <v>1716</v>
      </c>
      <c r="E492" s="185"/>
      <c r="F492" s="185"/>
      <c r="G492" s="185"/>
      <c r="H492" s="163"/>
      <c r="I492" s="164" t="s">
        <v>498</v>
      </c>
      <c r="J492" s="143">
        <v>0</v>
      </c>
      <c r="K492" s="141">
        <v>0</v>
      </c>
      <c r="L492" s="141">
        <v>0</v>
      </c>
      <c r="M492" s="141">
        <v>0</v>
      </c>
      <c r="N492" s="141">
        <v>0</v>
      </c>
      <c r="O492" s="141">
        <v>0</v>
      </c>
      <c r="P492" s="141">
        <v>0</v>
      </c>
      <c r="Q492" s="144">
        <v>0</v>
      </c>
      <c r="R492" s="345">
        <v>0</v>
      </c>
      <c r="S492" s="141">
        <v>0</v>
      </c>
      <c r="T492" s="141">
        <v>0</v>
      </c>
      <c r="U492" s="141">
        <v>0</v>
      </c>
      <c r="V492" s="144">
        <v>0</v>
      </c>
    </row>
    <row r="493" spans="1:22" s="98" customFormat="1" ht="15" customHeight="1">
      <c r="A493" s="99"/>
      <c r="B493" s="161"/>
      <c r="C493" s="185"/>
      <c r="D493" s="687" t="s">
        <v>1717</v>
      </c>
      <c r="E493" s="687"/>
      <c r="F493" s="185"/>
      <c r="G493" s="185"/>
      <c r="H493" s="163"/>
      <c r="I493" s="164" t="s">
        <v>498</v>
      </c>
      <c r="J493" s="143">
        <v>0</v>
      </c>
      <c r="K493" s="141">
        <v>0</v>
      </c>
      <c r="L493" s="141">
        <v>0</v>
      </c>
      <c r="M493" s="141">
        <v>0</v>
      </c>
      <c r="N493" s="141">
        <v>0</v>
      </c>
      <c r="O493" s="141">
        <v>0</v>
      </c>
      <c r="P493" s="141">
        <v>0</v>
      </c>
      <c r="Q493" s="144">
        <v>0</v>
      </c>
      <c r="R493" s="345">
        <v>0</v>
      </c>
      <c r="S493" s="141">
        <v>0</v>
      </c>
      <c r="T493" s="141">
        <v>0</v>
      </c>
      <c r="U493" s="141">
        <v>0</v>
      </c>
      <c r="V493" s="144">
        <v>0</v>
      </c>
    </row>
    <row r="494" spans="1:22" s="98" customFormat="1" ht="15" customHeight="1">
      <c r="A494" s="99"/>
      <c r="B494" s="161"/>
      <c r="C494" s="185"/>
      <c r="D494" s="687" t="s">
        <v>1718</v>
      </c>
      <c r="E494" s="687"/>
      <c r="F494" s="185"/>
      <c r="G494" s="185"/>
      <c r="H494" s="163"/>
      <c r="I494" s="164" t="s">
        <v>498</v>
      </c>
      <c r="J494" s="143">
        <v>0</v>
      </c>
      <c r="K494" s="141">
        <v>0</v>
      </c>
      <c r="L494" s="141">
        <v>0</v>
      </c>
      <c r="M494" s="141">
        <v>0</v>
      </c>
      <c r="N494" s="141">
        <v>0</v>
      </c>
      <c r="O494" s="141">
        <v>0</v>
      </c>
      <c r="P494" s="141">
        <v>0</v>
      </c>
      <c r="Q494" s="144">
        <v>0</v>
      </c>
      <c r="R494" s="345">
        <v>0</v>
      </c>
      <c r="S494" s="141">
        <v>0</v>
      </c>
      <c r="T494" s="141">
        <v>0</v>
      </c>
      <c r="U494" s="141">
        <v>0</v>
      </c>
      <c r="V494" s="144">
        <v>0</v>
      </c>
    </row>
    <row r="495" spans="1:22" s="98" customFormat="1" ht="15" customHeight="1">
      <c r="A495" s="99"/>
      <c r="B495" s="161"/>
      <c r="C495" s="185"/>
      <c r="D495" s="687" t="s">
        <v>1719</v>
      </c>
      <c r="E495" s="687"/>
      <c r="F495" s="185"/>
      <c r="G495" s="185"/>
      <c r="H495" s="163"/>
      <c r="I495" s="164" t="s">
        <v>498</v>
      </c>
      <c r="J495" s="143">
        <v>0</v>
      </c>
      <c r="K495" s="141">
        <v>0</v>
      </c>
      <c r="L495" s="141">
        <v>0</v>
      </c>
      <c r="M495" s="141">
        <v>0</v>
      </c>
      <c r="N495" s="141">
        <v>0</v>
      </c>
      <c r="O495" s="141">
        <v>0</v>
      </c>
      <c r="P495" s="141">
        <v>0</v>
      </c>
      <c r="Q495" s="144">
        <v>0</v>
      </c>
      <c r="R495" s="345">
        <v>0</v>
      </c>
      <c r="S495" s="141">
        <v>0</v>
      </c>
      <c r="T495" s="141">
        <v>0</v>
      </c>
      <c r="U495" s="141">
        <v>0</v>
      </c>
      <c r="V495" s="144">
        <v>0</v>
      </c>
    </row>
    <row r="496" spans="1:22" s="98" customFormat="1" ht="15" customHeight="1">
      <c r="A496" s="99"/>
      <c r="B496" s="161"/>
      <c r="C496" s="185"/>
      <c r="D496" s="687" t="s">
        <v>1720</v>
      </c>
      <c r="E496" s="687"/>
      <c r="F496" s="185"/>
      <c r="G496" s="185"/>
      <c r="H496" s="163"/>
      <c r="I496" s="164" t="s">
        <v>498</v>
      </c>
      <c r="J496" s="143">
        <v>0</v>
      </c>
      <c r="K496" s="141">
        <v>0</v>
      </c>
      <c r="L496" s="141">
        <v>0</v>
      </c>
      <c r="M496" s="141">
        <v>0</v>
      </c>
      <c r="N496" s="141">
        <v>0</v>
      </c>
      <c r="O496" s="141">
        <v>0</v>
      </c>
      <c r="P496" s="141">
        <v>0</v>
      </c>
      <c r="Q496" s="144">
        <v>0</v>
      </c>
      <c r="R496" s="345">
        <v>0</v>
      </c>
      <c r="S496" s="141">
        <v>0</v>
      </c>
      <c r="T496" s="141">
        <v>0</v>
      </c>
      <c r="U496" s="141">
        <v>0</v>
      </c>
      <c r="V496" s="144">
        <v>0</v>
      </c>
    </row>
    <row r="497" spans="1:48" s="98" customFormat="1" ht="15" customHeight="1">
      <c r="A497" s="99"/>
      <c r="B497" s="161"/>
      <c r="C497" s="185"/>
      <c r="D497" s="687" t="s">
        <v>1721</v>
      </c>
      <c r="E497" s="687"/>
      <c r="F497" s="185"/>
      <c r="G497" s="185"/>
      <c r="H497" s="163"/>
      <c r="I497" s="164" t="s">
        <v>498</v>
      </c>
      <c r="J497" s="143">
        <v>0</v>
      </c>
      <c r="K497" s="141">
        <v>0</v>
      </c>
      <c r="L497" s="141">
        <v>0</v>
      </c>
      <c r="M497" s="141">
        <v>0</v>
      </c>
      <c r="N497" s="141">
        <v>0</v>
      </c>
      <c r="O497" s="141">
        <v>0</v>
      </c>
      <c r="P497" s="141">
        <v>0</v>
      </c>
      <c r="Q497" s="144">
        <v>0</v>
      </c>
      <c r="R497" s="345">
        <v>0</v>
      </c>
      <c r="S497" s="141">
        <v>0</v>
      </c>
      <c r="T497" s="141">
        <v>0</v>
      </c>
      <c r="U497" s="141">
        <v>0</v>
      </c>
      <c r="V497" s="144">
        <v>0</v>
      </c>
    </row>
    <row r="498" spans="1:48" s="98" customFormat="1" ht="15" customHeight="1">
      <c r="A498" s="99"/>
      <c r="B498" s="161"/>
      <c r="C498" s="185"/>
      <c r="D498" s="687"/>
      <c r="E498" s="185"/>
      <c r="F498" s="687"/>
      <c r="G498" s="185"/>
      <c r="H498" s="185"/>
      <c r="I498" s="185"/>
      <c r="J498" s="159"/>
      <c r="K498" s="117"/>
      <c r="L498" s="117"/>
      <c r="M498" s="117"/>
      <c r="N498" s="117"/>
      <c r="O498" s="117"/>
      <c r="P498" s="117"/>
      <c r="Q498" s="160"/>
      <c r="R498" s="117"/>
      <c r="S498" s="117"/>
      <c r="T498" s="117"/>
      <c r="U498" s="117"/>
      <c r="V498" s="160"/>
    </row>
    <row r="499" spans="1:48" s="98" customFormat="1" ht="15" customHeight="1">
      <c r="A499" s="99"/>
      <c r="B499" s="161"/>
      <c r="C499" s="686" t="s">
        <v>1676</v>
      </c>
      <c r="D499" s="686"/>
      <c r="E499" s="686"/>
      <c r="F499" s="687"/>
      <c r="G499" s="691"/>
      <c r="H499" s="163"/>
      <c r="I499" s="164" t="s">
        <v>498</v>
      </c>
      <c r="J499" s="143">
        <v>0</v>
      </c>
      <c r="K499" s="141">
        <v>0</v>
      </c>
      <c r="L499" s="141">
        <v>0</v>
      </c>
      <c r="M499" s="141">
        <v>0</v>
      </c>
      <c r="N499" s="141">
        <v>0</v>
      </c>
      <c r="O499" s="141">
        <v>0</v>
      </c>
      <c r="P499" s="141">
        <v>0</v>
      </c>
      <c r="Q499" s="144">
        <v>0</v>
      </c>
      <c r="R499" s="345">
        <v>0</v>
      </c>
      <c r="S499" s="141">
        <v>0</v>
      </c>
      <c r="T499" s="141">
        <v>0</v>
      </c>
      <c r="U499" s="141">
        <v>0</v>
      </c>
      <c r="V499" s="144">
        <v>0</v>
      </c>
    </row>
    <row r="500" spans="1:48" s="98" customFormat="1" ht="15" customHeight="1">
      <c r="A500" s="99"/>
      <c r="B500" s="161"/>
      <c r="C500" s="185"/>
      <c r="D500" s="687"/>
      <c r="E500" s="185"/>
      <c r="F500" s="687"/>
      <c r="G500" s="185"/>
      <c r="H500" s="185"/>
      <c r="I500" s="185"/>
      <c r="J500" s="159"/>
      <c r="K500" s="117"/>
      <c r="L500" s="117"/>
      <c r="M500" s="117"/>
      <c r="N500" s="117"/>
      <c r="O500" s="117"/>
      <c r="P500" s="117"/>
      <c r="Q500" s="160"/>
      <c r="R500" s="117"/>
      <c r="S500" s="117"/>
      <c r="T500" s="117"/>
      <c r="U500" s="117"/>
      <c r="V500" s="160"/>
    </row>
    <row r="501" spans="1:48" s="98" customFormat="1" ht="15" customHeight="1">
      <c r="A501" s="99"/>
      <c r="B501" s="161"/>
      <c r="C501" s="616" t="s">
        <v>1723</v>
      </c>
      <c r="D501" s="686"/>
      <c r="E501" s="687"/>
      <c r="F501" s="185"/>
      <c r="G501" s="185"/>
      <c r="H501" s="163"/>
      <c r="I501" s="117"/>
      <c r="J501" s="159"/>
      <c r="K501" s="163"/>
      <c r="L501" s="163"/>
      <c r="M501" s="163"/>
      <c r="N501" s="163"/>
      <c r="O501" s="163"/>
      <c r="P501" s="163"/>
      <c r="Q501" s="172"/>
      <c r="R501" s="163"/>
      <c r="S501" s="163"/>
      <c r="T501" s="163"/>
      <c r="U501" s="163"/>
      <c r="V501" s="172"/>
    </row>
    <row r="502" spans="1:48" s="98" customFormat="1" ht="15" customHeight="1">
      <c r="A502" s="99"/>
      <c r="B502" s="161"/>
      <c r="C502" s="185"/>
      <c r="D502" s="687" t="s">
        <v>1724</v>
      </c>
      <c r="E502" s="687"/>
      <c r="F502" s="185"/>
      <c r="G502" s="185"/>
      <c r="H502" s="163"/>
      <c r="I502" s="164" t="s">
        <v>498</v>
      </c>
      <c r="J502" s="143">
        <v>0</v>
      </c>
      <c r="K502" s="141">
        <v>0</v>
      </c>
      <c r="L502" s="141">
        <v>0</v>
      </c>
      <c r="M502" s="141">
        <v>0</v>
      </c>
      <c r="N502" s="141">
        <v>0</v>
      </c>
      <c r="O502" s="141">
        <v>0</v>
      </c>
      <c r="P502" s="141">
        <v>0</v>
      </c>
      <c r="Q502" s="144">
        <v>0</v>
      </c>
      <c r="R502" s="345">
        <v>0</v>
      </c>
      <c r="S502" s="141">
        <v>0</v>
      </c>
      <c r="T502" s="141">
        <v>0</v>
      </c>
      <c r="U502" s="141">
        <v>0</v>
      </c>
      <c r="V502" s="144">
        <v>0</v>
      </c>
    </row>
    <row r="503" spans="1:48" s="98" customFormat="1" ht="15" customHeight="1">
      <c r="A503" s="99"/>
      <c r="B503" s="161"/>
      <c r="C503" s="185"/>
      <c r="D503" s="687" t="s">
        <v>1725</v>
      </c>
      <c r="E503" s="687"/>
      <c r="F503" s="185"/>
      <c r="G503" s="185"/>
      <c r="H503" s="163"/>
      <c r="I503" s="164" t="s">
        <v>498</v>
      </c>
      <c r="J503" s="143">
        <v>0</v>
      </c>
      <c r="K503" s="141">
        <v>0</v>
      </c>
      <c r="L503" s="141">
        <v>0</v>
      </c>
      <c r="M503" s="141">
        <v>0</v>
      </c>
      <c r="N503" s="141">
        <v>0</v>
      </c>
      <c r="O503" s="141">
        <v>0</v>
      </c>
      <c r="P503" s="141">
        <v>0</v>
      </c>
      <c r="Q503" s="144">
        <v>0</v>
      </c>
      <c r="R503" s="345">
        <v>0</v>
      </c>
      <c r="S503" s="141">
        <v>0</v>
      </c>
      <c r="T503" s="141">
        <v>0</v>
      </c>
      <c r="U503" s="141">
        <v>0</v>
      </c>
      <c r="V503" s="144">
        <v>0</v>
      </c>
    </row>
    <row r="504" spans="1:48" s="98" customFormat="1" ht="15" customHeight="1">
      <c r="A504" s="99"/>
      <c r="B504" s="161"/>
      <c r="C504" s="185"/>
      <c r="D504" s="687" t="s">
        <v>1726</v>
      </c>
      <c r="E504" s="185"/>
      <c r="F504" s="185"/>
      <c r="G504" s="185"/>
      <c r="H504" s="163"/>
      <c r="I504" s="164" t="s">
        <v>498</v>
      </c>
      <c r="J504" s="143">
        <v>0</v>
      </c>
      <c r="K504" s="141">
        <v>0</v>
      </c>
      <c r="L504" s="141">
        <v>0</v>
      </c>
      <c r="M504" s="141">
        <v>0</v>
      </c>
      <c r="N504" s="141">
        <v>0</v>
      </c>
      <c r="O504" s="141">
        <v>0</v>
      </c>
      <c r="P504" s="141">
        <v>0</v>
      </c>
      <c r="Q504" s="144">
        <v>0</v>
      </c>
      <c r="R504" s="345">
        <v>0</v>
      </c>
      <c r="S504" s="141">
        <v>0</v>
      </c>
      <c r="T504" s="141">
        <v>0</v>
      </c>
      <c r="U504" s="141">
        <v>0</v>
      </c>
      <c r="V504" s="144">
        <v>0</v>
      </c>
    </row>
    <row r="505" spans="1:48" s="98" customFormat="1" ht="15" customHeight="1">
      <c r="A505" s="99"/>
      <c r="B505" s="161"/>
      <c r="C505" s="185"/>
      <c r="D505" s="687" t="s">
        <v>1727</v>
      </c>
      <c r="E505" s="687"/>
      <c r="F505" s="185"/>
      <c r="G505" s="185"/>
      <c r="H505" s="163"/>
      <c r="I505" s="164" t="s">
        <v>498</v>
      </c>
      <c r="J505" s="143">
        <v>0</v>
      </c>
      <c r="K505" s="141">
        <v>0</v>
      </c>
      <c r="L505" s="141">
        <v>0</v>
      </c>
      <c r="M505" s="141">
        <v>0</v>
      </c>
      <c r="N505" s="141">
        <v>0</v>
      </c>
      <c r="O505" s="141">
        <v>0</v>
      </c>
      <c r="P505" s="141">
        <v>0</v>
      </c>
      <c r="Q505" s="144">
        <v>0</v>
      </c>
      <c r="R505" s="345">
        <v>0</v>
      </c>
      <c r="S505" s="141">
        <v>0</v>
      </c>
      <c r="T505" s="141">
        <v>0</v>
      </c>
      <c r="U505" s="141">
        <v>0</v>
      </c>
      <c r="V505" s="144">
        <v>0</v>
      </c>
    </row>
    <row r="506" spans="1:48" s="98" customFormat="1" ht="15" customHeight="1">
      <c r="A506" s="99"/>
      <c r="B506" s="161"/>
      <c r="C506" s="185"/>
      <c r="D506" s="687"/>
      <c r="E506" s="185"/>
      <c r="F506" s="687"/>
      <c r="G506" s="185"/>
      <c r="H506" s="185"/>
      <c r="I506" s="185"/>
      <c r="J506" s="159"/>
      <c r="K506" s="117"/>
      <c r="L506" s="117"/>
      <c r="M506" s="117"/>
      <c r="N506" s="117"/>
      <c r="O506" s="117"/>
      <c r="P506" s="117"/>
      <c r="Q506" s="160"/>
      <c r="R506" s="117"/>
      <c r="S506" s="117"/>
      <c r="T506" s="117"/>
      <c r="U506" s="117"/>
      <c r="V506" s="160"/>
    </row>
    <row r="507" spans="1:48" ht="15.75" thickBot="1">
      <c r="B507" s="191" t="s">
        <v>1778</v>
      </c>
      <c r="C507" s="654"/>
      <c r="D507" s="192"/>
      <c r="E507" s="692"/>
      <c r="F507" s="192"/>
      <c r="G507" s="192"/>
      <c r="H507" s="194"/>
      <c r="I507" s="195" t="s">
        <v>498</v>
      </c>
      <c r="J507" s="148">
        <f>SUM(J477:J505)</f>
        <v>0</v>
      </c>
      <c r="K507" s="147">
        <f t="shared" ref="K507:V507" si="76">SUM(K477:K505)</f>
        <v>0</v>
      </c>
      <c r="L507" s="147">
        <f t="shared" si="76"/>
        <v>0</v>
      </c>
      <c r="M507" s="147">
        <f t="shared" si="76"/>
        <v>0</v>
      </c>
      <c r="N507" s="147">
        <f t="shared" si="76"/>
        <v>0</v>
      </c>
      <c r="O507" s="147">
        <f t="shared" si="76"/>
        <v>0</v>
      </c>
      <c r="P507" s="147">
        <f t="shared" si="76"/>
        <v>0</v>
      </c>
      <c r="Q507" s="149">
        <f t="shared" si="76"/>
        <v>0</v>
      </c>
      <c r="R507" s="1693">
        <f t="shared" si="76"/>
        <v>0</v>
      </c>
      <c r="S507" s="147">
        <f t="shared" si="76"/>
        <v>0</v>
      </c>
      <c r="T507" s="147">
        <f t="shared" si="76"/>
        <v>0</v>
      </c>
      <c r="U507" s="147">
        <f t="shared" si="76"/>
        <v>0</v>
      </c>
      <c r="V507" s="149">
        <f t="shared" si="76"/>
        <v>0</v>
      </c>
      <c r="AC507" s="173"/>
      <c r="AV507" s="175"/>
    </row>
    <row r="508" spans="1:48" ht="15" thickBot="1">
      <c r="I508" s="173"/>
      <c r="J508" s="175"/>
      <c r="X508" s="660"/>
      <c r="Z508" s="98"/>
      <c r="AA508" s="98"/>
      <c r="AB508" s="98"/>
      <c r="AC508" s="98"/>
      <c r="AD508" s="98"/>
      <c r="AE508" s="98"/>
      <c r="AF508" s="98"/>
      <c r="AG508" s="98"/>
    </row>
    <row r="509" spans="1:48" s="100" customFormat="1" ht="30" customHeight="1" thickBot="1">
      <c r="A509" s="89"/>
      <c r="B509" s="680" t="s">
        <v>1779</v>
      </c>
      <c r="C509" s="681"/>
      <c r="D509" s="681"/>
      <c r="E509" s="681"/>
      <c r="F509" s="681"/>
      <c r="G509" s="682"/>
      <c r="H509" s="103"/>
      <c r="I509" s="105" t="s">
        <v>1704</v>
      </c>
      <c r="J509" s="106"/>
      <c r="K509" s="106"/>
      <c r="L509" s="106"/>
      <c r="M509" s="106"/>
      <c r="N509" s="106"/>
      <c r="O509" s="106"/>
      <c r="P509" s="106"/>
      <c r="Q509" s="106"/>
      <c r="R509" s="105"/>
      <c r="S509" s="105"/>
      <c r="T509" s="105"/>
      <c r="U509" s="105"/>
      <c r="V509" s="187"/>
    </row>
    <row r="510" spans="1:48" s="157" customFormat="1" ht="30" customHeight="1">
      <c r="A510" s="99"/>
      <c r="B510" s="704"/>
      <c r="C510" s="705"/>
      <c r="D510" s="705"/>
      <c r="E510" s="705"/>
      <c r="F510" s="705"/>
      <c r="G510" s="685"/>
      <c r="H510" s="111"/>
      <c r="I510" s="117"/>
      <c r="J510" s="695" t="s">
        <v>1666</v>
      </c>
      <c r="K510" s="706"/>
      <c r="L510" s="706"/>
      <c r="M510" s="706"/>
      <c r="N510" s="706"/>
      <c r="O510" s="706"/>
      <c r="P510" s="706"/>
      <c r="Q510" s="707"/>
      <c r="R510" s="871" t="s">
        <v>2</v>
      </c>
      <c r="S510" s="708"/>
      <c r="T510" s="708"/>
      <c r="U510" s="708"/>
      <c r="V510" s="709"/>
    </row>
    <row r="511" spans="1:48" s="98" customFormat="1" ht="15" customHeight="1">
      <c r="A511" s="99"/>
      <c r="B511" s="683"/>
      <c r="C511" s="185"/>
      <c r="D511" s="684"/>
      <c r="E511" s="684"/>
      <c r="F511" s="684"/>
      <c r="G511" s="685"/>
      <c r="H511" s="117"/>
      <c r="I511" s="119" t="s">
        <v>1667</v>
      </c>
      <c r="J511" s="158" t="s">
        <v>453</v>
      </c>
      <c r="K511" s="137" t="s">
        <v>455</v>
      </c>
      <c r="L511" s="137" t="s">
        <v>457</v>
      </c>
      <c r="M511" s="137" t="s">
        <v>459</v>
      </c>
      <c r="N511" s="137" t="s">
        <v>461</v>
      </c>
      <c r="O511" s="137" t="s">
        <v>463</v>
      </c>
      <c r="P511" s="137" t="s">
        <v>465</v>
      </c>
      <c r="Q511" s="138" t="s">
        <v>467</v>
      </c>
      <c r="R511" s="242" t="s">
        <v>469</v>
      </c>
      <c r="S511" s="121" t="s">
        <v>471</v>
      </c>
      <c r="T511" s="121" t="s">
        <v>473</v>
      </c>
      <c r="U511" s="121" t="s">
        <v>475</v>
      </c>
      <c r="V511" s="122" t="s">
        <v>477</v>
      </c>
    </row>
    <row r="512" spans="1:48" s="98" customFormat="1" ht="15" customHeight="1">
      <c r="A512" s="99"/>
      <c r="B512" s="683"/>
      <c r="C512" s="684" t="s">
        <v>1705</v>
      </c>
      <c r="D512" s="684"/>
      <c r="E512" s="684"/>
      <c r="F512" s="684"/>
      <c r="G512" s="685"/>
      <c r="H512" s="117"/>
      <c r="I512" s="92"/>
      <c r="J512" s="619"/>
      <c r="K512" s="92"/>
      <c r="L512" s="92"/>
      <c r="M512" s="92"/>
      <c r="N512" s="92"/>
      <c r="O512" s="92"/>
      <c r="P512" s="92"/>
      <c r="Q512" s="618"/>
      <c r="R512" s="92"/>
      <c r="S512" s="92"/>
      <c r="T512" s="92"/>
      <c r="U512" s="92"/>
      <c r="V512" s="618"/>
    </row>
    <row r="513" spans="1:22" s="98" customFormat="1" ht="15" customHeight="1">
      <c r="A513" s="99"/>
      <c r="B513" s="161"/>
      <c r="C513" s="185"/>
      <c r="D513" s="686" t="s">
        <v>1669</v>
      </c>
      <c r="E513" s="686"/>
      <c r="F513" s="686"/>
      <c r="G513" s="687"/>
      <c r="H513" s="163"/>
      <c r="I513" s="117"/>
      <c r="J513" s="159"/>
      <c r="K513" s="117"/>
      <c r="L513" s="117"/>
      <c r="M513" s="117"/>
      <c r="N513" s="117"/>
      <c r="O513" s="117"/>
      <c r="P513" s="117"/>
      <c r="Q513" s="160"/>
      <c r="R513" s="117"/>
      <c r="S513" s="117"/>
      <c r="T513" s="117"/>
      <c r="U513" s="117"/>
      <c r="V513" s="160"/>
    </row>
    <row r="514" spans="1:22" s="98" customFormat="1" ht="15" customHeight="1">
      <c r="A514" s="99"/>
      <c r="B514" s="161"/>
      <c r="C514" s="185"/>
      <c r="D514" s="185"/>
      <c r="E514" s="687" t="s">
        <v>1706</v>
      </c>
      <c r="F514" s="687"/>
      <c r="G514" s="687"/>
      <c r="H514" s="185"/>
      <c r="I514" s="164" t="s">
        <v>498</v>
      </c>
      <c r="J514" s="143">
        <v>0</v>
      </c>
      <c r="K514" s="141">
        <v>0</v>
      </c>
      <c r="L514" s="141">
        <v>0</v>
      </c>
      <c r="M514" s="141">
        <v>0</v>
      </c>
      <c r="N514" s="141">
        <v>0</v>
      </c>
      <c r="O514" s="141">
        <v>0</v>
      </c>
      <c r="P514" s="141">
        <v>0</v>
      </c>
      <c r="Q514" s="144">
        <v>0</v>
      </c>
      <c r="R514" s="345">
        <v>0</v>
      </c>
      <c r="S514" s="141">
        <v>0</v>
      </c>
      <c r="T514" s="141">
        <v>0</v>
      </c>
      <c r="U514" s="141">
        <v>0</v>
      </c>
      <c r="V514" s="144">
        <v>0</v>
      </c>
    </row>
    <row r="515" spans="1:22" s="98" customFormat="1" ht="15" customHeight="1">
      <c r="A515" s="99"/>
      <c r="B515" s="161"/>
      <c r="C515" s="185"/>
      <c r="D515" s="185"/>
      <c r="E515" s="185" t="s">
        <v>1707</v>
      </c>
      <c r="F515" s="687"/>
      <c r="G515" s="185"/>
      <c r="H515" s="185"/>
      <c r="I515" s="164" t="s">
        <v>498</v>
      </c>
      <c r="J515" s="143">
        <v>0</v>
      </c>
      <c r="K515" s="141">
        <v>0</v>
      </c>
      <c r="L515" s="141">
        <v>0</v>
      </c>
      <c r="M515" s="141">
        <v>0</v>
      </c>
      <c r="N515" s="141">
        <v>0</v>
      </c>
      <c r="O515" s="141">
        <v>0</v>
      </c>
      <c r="P515" s="141">
        <v>0</v>
      </c>
      <c r="Q515" s="144">
        <v>0</v>
      </c>
      <c r="R515" s="345">
        <v>0</v>
      </c>
      <c r="S515" s="141">
        <v>0</v>
      </c>
      <c r="T515" s="141">
        <v>0</v>
      </c>
      <c r="U515" s="141">
        <v>0</v>
      </c>
      <c r="V515" s="144">
        <v>0</v>
      </c>
    </row>
    <row r="516" spans="1:22" s="98" customFormat="1" ht="15" customHeight="1">
      <c r="A516" s="99"/>
      <c r="B516" s="161"/>
      <c r="C516" s="185"/>
      <c r="D516" s="185"/>
      <c r="E516" s="185" t="s">
        <v>1708</v>
      </c>
      <c r="F516" s="687"/>
      <c r="G516" s="185"/>
      <c r="H516" s="185"/>
      <c r="I516" s="164" t="s">
        <v>498</v>
      </c>
      <c r="J516" s="143">
        <v>0</v>
      </c>
      <c r="K516" s="141">
        <v>0</v>
      </c>
      <c r="L516" s="141">
        <v>0</v>
      </c>
      <c r="M516" s="141">
        <v>0</v>
      </c>
      <c r="N516" s="141">
        <v>0</v>
      </c>
      <c r="O516" s="141">
        <v>0</v>
      </c>
      <c r="P516" s="141">
        <v>0</v>
      </c>
      <c r="Q516" s="144">
        <v>0</v>
      </c>
      <c r="R516" s="345">
        <v>0</v>
      </c>
      <c r="S516" s="141">
        <v>0</v>
      </c>
      <c r="T516" s="141">
        <v>0</v>
      </c>
      <c r="U516" s="141">
        <v>0</v>
      </c>
      <c r="V516" s="144">
        <v>0</v>
      </c>
    </row>
    <row r="517" spans="1:22" s="98" customFormat="1" ht="15" customHeight="1">
      <c r="A517" s="99"/>
      <c r="B517" s="161"/>
      <c r="C517" s="185"/>
      <c r="D517" s="185"/>
      <c r="E517" s="185" t="s">
        <v>1709</v>
      </c>
      <c r="F517" s="687"/>
      <c r="G517" s="185"/>
      <c r="H517" s="185"/>
      <c r="I517" s="164" t="s">
        <v>498</v>
      </c>
      <c r="J517" s="143">
        <v>0</v>
      </c>
      <c r="K517" s="141">
        <v>0</v>
      </c>
      <c r="L517" s="141">
        <v>0</v>
      </c>
      <c r="M517" s="141">
        <v>0</v>
      </c>
      <c r="N517" s="141">
        <v>0</v>
      </c>
      <c r="O517" s="141">
        <v>0</v>
      </c>
      <c r="P517" s="141">
        <v>0</v>
      </c>
      <c r="Q517" s="144">
        <v>0</v>
      </c>
      <c r="R517" s="345">
        <v>0</v>
      </c>
      <c r="S517" s="141">
        <v>0</v>
      </c>
      <c r="T517" s="141">
        <v>0</v>
      </c>
      <c r="U517" s="141">
        <v>0</v>
      </c>
      <c r="V517" s="144">
        <v>0</v>
      </c>
    </row>
    <row r="518" spans="1:22" s="98" customFormat="1" ht="15" customHeight="1">
      <c r="A518" s="99"/>
      <c r="B518" s="161"/>
      <c r="C518" s="185"/>
      <c r="D518" s="687"/>
      <c r="E518" s="185"/>
      <c r="F518" s="687"/>
      <c r="G518" s="185"/>
      <c r="H518" s="185"/>
      <c r="I518" s="185"/>
      <c r="J518" s="159"/>
      <c r="K518" s="117"/>
      <c r="L518" s="117"/>
      <c r="M518" s="117"/>
      <c r="N518" s="117"/>
      <c r="O518" s="117"/>
      <c r="P518" s="117"/>
      <c r="Q518" s="160"/>
      <c r="R518" s="117"/>
      <c r="S518" s="117"/>
      <c r="T518" s="117"/>
      <c r="U518" s="117"/>
      <c r="V518" s="160"/>
    </row>
    <row r="519" spans="1:22" s="98" customFormat="1" ht="15" customHeight="1">
      <c r="A519" s="99"/>
      <c r="B519" s="161"/>
      <c r="C519" s="185"/>
      <c r="D519" s="686" t="s">
        <v>1711</v>
      </c>
      <c r="E519" s="686"/>
      <c r="F519" s="686"/>
      <c r="G519" s="687"/>
      <c r="H519" s="163"/>
      <c r="I519" s="117"/>
      <c r="J519" s="159"/>
      <c r="K519" s="117"/>
      <c r="L519" s="117"/>
      <c r="M519" s="117"/>
      <c r="N519" s="117"/>
      <c r="O519" s="117"/>
      <c r="P519" s="117"/>
      <c r="Q519" s="160"/>
      <c r="R519" s="117"/>
      <c r="S519" s="117"/>
      <c r="T519" s="117"/>
      <c r="U519" s="117"/>
      <c r="V519" s="160"/>
    </row>
    <row r="520" spans="1:22" s="98" customFormat="1" ht="15" customHeight="1">
      <c r="A520" s="99"/>
      <c r="B520" s="688"/>
      <c r="C520" s="185"/>
      <c r="D520" s="185"/>
      <c r="E520" s="185" t="s">
        <v>40</v>
      </c>
      <c r="F520" s="185"/>
      <c r="G520" s="690"/>
      <c r="H520" s="184"/>
      <c r="I520" s="164" t="s">
        <v>498</v>
      </c>
      <c r="J520" s="143">
        <v>0</v>
      </c>
      <c r="K520" s="141">
        <v>0</v>
      </c>
      <c r="L520" s="141">
        <v>0</v>
      </c>
      <c r="M520" s="141">
        <v>0</v>
      </c>
      <c r="N520" s="141">
        <v>0</v>
      </c>
      <c r="O520" s="141">
        <v>0</v>
      </c>
      <c r="P520" s="141">
        <v>0</v>
      </c>
      <c r="Q520" s="144">
        <v>0</v>
      </c>
      <c r="R520" s="345">
        <v>0</v>
      </c>
      <c r="S520" s="141">
        <v>0</v>
      </c>
      <c r="T520" s="141">
        <v>0</v>
      </c>
      <c r="U520" s="141">
        <v>0</v>
      </c>
      <c r="V520" s="144">
        <v>0</v>
      </c>
    </row>
    <row r="521" spans="1:22" s="98" customFormat="1" ht="15" customHeight="1">
      <c r="A521" s="99"/>
      <c r="B521" s="161"/>
      <c r="C521" s="686"/>
      <c r="D521" s="185"/>
      <c r="E521" s="687" t="s">
        <v>1770</v>
      </c>
      <c r="F521" s="687"/>
      <c r="G521" s="691"/>
      <c r="H521" s="163"/>
      <c r="I521" s="164" t="s">
        <v>498</v>
      </c>
      <c r="J521" s="143">
        <v>0</v>
      </c>
      <c r="K521" s="141">
        <v>0</v>
      </c>
      <c r="L521" s="141">
        <v>0</v>
      </c>
      <c r="M521" s="141">
        <v>0</v>
      </c>
      <c r="N521" s="141">
        <v>0</v>
      </c>
      <c r="O521" s="141">
        <v>0</v>
      </c>
      <c r="P521" s="141">
        <v>0</v>
      </c>
      <c r="Q521" s="144">
        <v>0</v>
      </c>
      <c r="R521" s="345">
        <v>0</v>
      </c>
      <c r="S521" s="141">
        <v>0</v>
      </c>
      <c r="T521" s="141">
        <v>0</v>
      </c>
      <c r="U521" s="141">
        <v>0</v>
      </c>
      <c r="V521" s="144">
        <v>0</v>
      </c>
    </row>
    <row r="522" spans="1:22" s="98" customFormat="1" ht="15" customHeight="1">
      <c r="A522" s="99"/>
      <c r="B522" s="161"/>
      <c r="C522" s="185"/>
      <c r="D522" s="185"/>
      <c r="E522" s="687" t="s">
        <v>41</v>
      </c>
      <c r="F522" s="687"/>
      <c r="G522" s="185"/>
      <c r="H522" s="163"/>
      <c r="I522" s="164" t="s">
        <v>498</v>
      </c>
      <c r="J522" s="143">
        <v>0</v>
      </c>
      <c r="K522" s="141">
        <v>0</v>
      </c>
      <c r="L522" s="141">
        <v>0</v>
      </c>
      <c r="M522" s="141">
        <v>0</v>
      </c>
      <c r="N522" s="141">
        <v>0</v>
      </c>
      <c r="O522" s="141">
        <v>0</v>
      </c>
      <c r="P522" s="141">
        <v>0</v>
      </c>
      <c r="Q522" s="144">
        <v>0</v>
      </c>
      <c r="R522" s="345">
        <v>0</v>
      </c>
      <c r="S522" s="141">
        <v>0</v>
      </c>
      <c r="T522" s="141">
        <v>0</v>
      </c>
      <c r="U522" s="141">
        <v>0</v>
      </c>
      <c r="V522" s="144">
        <v>0</v>
      </c>
    </row>
    <row r="523" spans="1:22" s="98" customFormat="1" ht="15" customHeight="1">
      <c r="A523" s="99"/>
      <c r="B523" s="161"/>
      <c r="C523" s="185"/>
      <c r="D523" s="185"/>
      <c r="E523" s="185" t="s">
        <v>1712</v>
      </c>
      <c r="F523" s="185"/>
      <c r="G523" s="185"/>
      <c r="H523" s="163"/>
      <c r="I523" s="164" t="s">
        <v>498</v>
      </c>
      <c r="J523" s="143">
        <v>0</v>
      </c>
      <c r="K523" s="141">
        <v>0</v>
      </c>
      <c r="L523" s="141">
        <v>0</v>
      </c>
      <c r="M523" s="141">
        <v>0</v>
      </c>
      <c r="N523" s="141">
        <v>0</v>
      </c>
      <c r="O523" s="141">
        <v>0</v>
      </c>
      <c r="P523" s="141">
        <v>0</v>
      </c>
      <c r="Q523" s="144">
        <v>0</v>
      </c>
      <c r="R523" s="345">
        <v>0</v>
      </c>
      <c r="S523" s="141">
        <v>0</v>
      </c>
      <c r="T523" s="141">
        <v>0</v>
      </c>
      <c r="U523" s="141">
        <v>0</v>
      </c>
      <c r="V523" s="144">
        <v>0</v>
      </c>
    </row>
    <row r="524" spans="1:22" s="98" customFormat="1" ht="15" customHeight="1">
      <c r="A524" s="99"/>
      <c r="B524" s="161"/>
      <c r="C524" s="185"/>
      <c r="D524" s="185"/>
      <c r="E524" s="185" t="s">
        <v>1713</v>
      </c>
      <c r="F524" s="185"/>
      <c r="G524" s="185"/>
      <c r="H524" s="163"/>
      <c r="I524" s="164" t="s">
        <v>498</v>
      </c>
      <c r="J524" s="143">
        <v>0</v>
      </c>
      <c r="K524" s="141">
        <v>0</v>
      </c>
      <c r="L524" s="141">
        <v>0</v>
      </c>
      <c r="M524" s="141">
        <v>0</v>
      </c>
      <c r="N524" s="141">
        <v>0</v>
      </c>
      <c r="O524" s="141">
        <v>0</v>
      </c>
      <c r="P524" s="141">
        <v>0</v>
      </c>
      <c r="Q524" s="144">
        <v>0</v>
      </c>
      <c r="R524" s="345">
        <v>0</v>
      </c>
      <c r="S524" s="141">
        <v>0</v>
      </c>
      <c r="T524" s="141">
        <v>0</v>
      </c>
      <c r="U524" s="141">
        <v>0</v>
      </c>
      <c r="V524" s="144">
        <v>0</v>
      </c>
    </row>
    <row r="525" spans="1:22" s="98" customFormat="1" ht="15" customHeight="1">
      <c r="A525" s="99"/>
      <c r="B525" s="688"/>
      <c r="C525" s="185"/>
      <c r="D525" s="185"/>
      <c r="E525" s="689"/>
      <c r="F525" s="185"/>
      <c r="G525" s="690"/>
      <c r="H525" s="184"/>
      <c r="I525" s="117"/>
      <c r="J525" s="159"/>
      <c r="K525" s="163"/>
      <c r="L525" s="163"/>
      <c r="M525" s="163"/>
      <c r="N525" s="163"/>
      <c r="O525" s="163"/>
      <c r="P525" s="163"/>
      <c r="Q525" s="172"/>
      <c r="R525" s="163"/>
      <c r="S525" s="163"/>
      <c r="T525" s="163"/>
      <c r="U525" s="163"/>
      <c r="V525" s="172"/>
    </row>
    <row r="526" spans="1:22" s="98" customFormat="1" ht="15" customHeight="1">
      <c r="A526" s="99"/>
      <c r="B526" s="161"/>
      <c r="C526" s="616" t="s">
        <v>1675</v>
      </c>
      <c r="D526" s="686"/>
      <c r="E526" s="687"/>
      <c r="F526" s="185"/>
      <c r="G526" s="185"/>
      <c r="H526" s="163"/>
      <c r="I526" s="117"/>
      <c r="J526" s="159"/>
      <c r="K526" s="163"/>
      <c r="L526" s="163"/>
      <c r="M526" s="163"/>
      <c r="N526" s="163"/>
      <c r="O526" s="163"/>
      <c r="P526" s="163"/>
      <c r="Q526" s="172"/>
      <c r="R526" s="163"/>
      <c r="S526" s="163"/>
      <c r="T526" s="163"/>
      <c r="U526" s="163"/>
      <c r="V526" s="172"/>
    </row>
    <row r="527" spans="1:22" s="98" customFormat="1" ht="15" customHeight="1">
      <c r="A527" s="99"/>
      <c r="B527" s="161"/>
      <c r="C527" s="185"/>
      <c r="D527" s="687" t="s">
        <v>1715</v>
      </c>
      <c r="E527" s="687"/>
      <c r="F527" s="185"/>
      <c r="G527" s="185"/>
      <c r="H527" s="163"/>
      <c r="I527" s="164" t="s">
        <v>498</v>
      </c>
      <c r="J527" s="143">
        <v>0</v>
      </c>
      <c r="K527" s="141">
        <v>0</v>
      </c>
      <c r="L527" s="141">
        <v>0</v>
      </c>
      <c r="M527" s="141">
        <v>0</v>
      </c>
      <c r="N527" s="141">
        <v>0</v>
      </c>
      <c r="O527" s="141">
        <v>0</v>
      </c>
      <c r="P527" s="141">
        <v>0</v>
      </c>
      <c r="Q527" s="144">
        <v>0</v>
      </c>
      <c r="R527" s="345">
        <v>0</v>
      </c>
      <c r="S527" s="141">
        <v>0</v>
      </c>
      <c r="T527" s="141">
        <v>0</v>
      </c>
      <c r="U527" s="141">
        <v>0</v>
      </c>
      <c r="V527" s="144">
        <v>0</v>
      </c>
    </row>
    <row r="528" spans="1:22" s="98" customFormat="1" ht="15" customHeight="1">
      <c r="A528" s="99"/>
      <c r="B528" s="161"/>
      <c r="C528" s="185"/>
      <c r="D528" s="687" t="s">
        <v>118</v>
      </c>
      <c r="E528" s="687"/>
      <c r="F528" s="185"/>
      <c r="G528" s="185"/>
      <c r="H528" s="163"/>
      <c r="I528" s="164" t="s">
        <v>498</v>
      </c>
      <c r="J528" s="143">
        <v>0</v>
      </c>
      <c r="K528" s="141">
        <v>0</v>
      </c>
      <c r="L528" s="141">
        <v>0</v>
      </c>
      <c r="M528" s="141">
        <v>0</v>
      </c>
      <c r="N528" s="141">
        <v>0</v>
      </c>
      <c r="O528" s="141">
        <v>0</v>
      </c>
      <c r="P528" s="141">
        <v>0</v>
      </c>
      <c r="Q528" s="144">
        <v>0</v>
      </c>
      <c r="R528" s="345">
        <v>0</v>
      </c>
      <c r="S528" s="141">
        <v>0</v>
      </c>
      <c r="T528" s="141">
        <v>0</v>
      </c>
      <c r="U528" s="141">
        <v>0</v>
      </c>
      <c r="V528" s="144">
        <v>0</v>
      </c>
    </row>
    <row r="529" spans="1:48" s="98" customFormat="1" ht="15" customHeight="1">
      <c r="A529" s="99"/>
      <c r="B529" s="161"/>
      <c r="C529" s="185"/>
      <c r="D529" s="687" t="s">
        <v>1716</v>
      </c>
      <c r="E529" s="185"/>
      <c r="F529" s="185"/>
      <c r="G529" s="185"/>
      <c r="H529" s="163"/>
      <c r="I529" s="164" t="s">
        <v>498</v>
      </c>
      <c r="J529" s="143">
        <v>0</v>
      </c>
      <c r="K529" s="141">
        <v>0</v>
      </c>
      <c r="L529" s="141">
        <v>0</v>
      </c>
      <c r="M529" s="141">
        <v>0</v>
      </c>
      <c r="N529" s="141">
        <v>0</v>
      </c>
      <c r="O529" s="141">
        <v>0</v>
      </c>
      <c r="P529" s="141">
        <v>0</v>
      </c>
      <c r="Q529" s="144">
        <v>0</v>
      </c>
      <c r="R529" s="345">
        <v>0</v>
      </c>
      <c r="S529" s="141">
        <v>0</v>
      </c>
      <c r="T529" s="141">
        <v>0</v>
      </c>
      <c r="U529" s="141">
        <v>0</v>
      </c>
      <c r="V529" s="144">
        <v>0</v>
      </c>
    </row>
    <row r="530" spans="1:48" s="98" customFormat="1" ht="15" customHeight="1">
      <c r="A530" s="99"/>
      <c r="B530" s="161"/>
      <c r="C530" s="185"/>
      <c r="D530" s="687" t="s">
        <v>1717</v>
      </c>
      <c r="E530" s="687"/>
      <c r="F530" s="185"/>
      <c r="G530" s="185"/>
      <c r="H530" s="163"/>
      <c r="I530" s="164" t="s">
        <v>498</v>
      </c>
      <c r="J530" s="143">
        <v>0</v>
      </c>
      <c r="K530" s="141">
        <v>0</v>
      </c>
      <c r="L530" s="141">
        <v>0</v>
      </c>
      <c r="M530" s="141">
        <v>0</v>
      </c>
      <c r="N530" s="141">
        <v>0</v>
      </c>
      <c r="O530" s="141">
        <v>0</v>
      </c>
      <c r="P530" s="141">
        <v>0</v>
      </c>
      <c r="Q530" s="144">
        <v>0</v>
      </c>
      <c r="R530" s="345">
        <v>0</v>
      </c>
      <c r="S530" s="141">
        <v>0</v>
      </c>
      <c r="T530" s="141">
        <v>0</v>
      </c>
      <c r="U530" s="141">
        <v>0</v>
      </c>
      <c r="V530" s="144">
        <v>0</v>
      </c>
    </row>
    <row r="531" spans="1:48" s="98" customFormat="1" ht="15" customHeight="1">
      <c r="A531" s="99"/>
      <c r="B531" s="161"/>
      <c r="C531" s="185"/>
      <c r="D531" s="687" t="s">
        <v>1718</v>
      </c>
      <c r="E531" s="687"/>
      <c r="F531" s="185"/>
      <c r="G531" s="185"/>
      <c r="H531" s="163"/>
      <c r="I531" s="164" t="s">
        <v>498</v>
      </c>
      <c r="J531" s="143">
        <v>0</v>
      </c>
      <c r="K531" s="141">
        <v>0</v>
      </c>
      <c r="L531" s="141">
        <v>0</v>
      </c>
      <c r="M531" s="141">
        <v>0</v>
      </c>
      <c r="N531" s="141">
        <v>0</v>
      </c>
      <c r="O531" s="141">
        <v>0</v>
      </c>
      <c r="P531" s="141">
        <v>0</v>
      </c>
      <c r="Q531" s="144">
        <v>0</v>
      </c>
      <c r="R531" s="345">
        <v>0</v>
      </c>
      <c r="S531" s="141">
        <v>0</v>
      </c>
      <c r="T531" s="141">
        <v>0</v>
      </c>
      <c r="U531" s="141">
        <v>0</v>
      </c>
      <c r="V531" s="144">
        <v>0</v>
      </c>
    </row>
    <row r="532" spans="1:48" s="98" customFormat="1" ht="15" customHeight="1">
      <c r="A532" s="99"/>
      <c r="B532" s="161"/>
      <c r="C532" s="185"/>
      <c r="D532" s="687" t="s">
        <v>1719</v>
      </c>
      <c r="E532" s="687"/>
      <c r="F532" s="185"/>
      <c r="G532" s="185"/>
      <c r="H532" s="163"/>
      <c r="I532" s="164" t="s">
        <v>498</v>
      </c>
      <c r="J532" s="143">
        <v>0</v>
      </c>
      <c r="K532" s="141">
        <v>0</v>
      </c>
      <c r="L532" s="141">
        <v>0</v>
      </c>
      <c r="M532" s="141">
        <v>0</v>
      </c>
      <c r="N532" s="141">
        <v>0</v>
      </c>
      <c r="O532" s="141">
        <v>0</v>
      </c>
      <c r="P532" s="141">
        <v>0</v>
      </c>
      <c r="Q532" s="144">
        <v>0</v>
      </c>
      <c r="R532" s="345">
        <v>0</v>
      </c>
      <c r="S532" s="141">
        <v>0</v>
      </c>
      <c r="T532" s="141">
        <v>0</v>
      </c>
      <c r="U532" s="141">
        <v>0</v>
      </c>
      <c r="V532" s="144">
        <v>0</v>
      </c>
    </row>
    <row r="533" spans="1:48" s="98" customFormat="1" ht="15" customHeight="1">
      <c r="A533" s="99"/>
      <c r="B533" s="161"/>
      <c r="C533" s="185"/>
      <c r="D533" s="687" t="s">
        <v>1720</v>
      </c>
      <c r="E533" s="687"/>
      <c r="F533" s="185"/>
      <c r="G533" s="185"/>
      <c r="H533" s="163"/>
      <c r="I533" s="164" t="s">
        <v>498</v>
      </c>
      <c r="J533" s="143">
        <v>0</v>
      </c>
      <c r="K533" s="141">
        <v>0</v>
      </c>
      <c r="L533" s="141">
        <v>0</v>
      </c>
      <c r="M533" s="141">
        <v>0</v>
      </c>
      <c r="N533" s="141">
        <v>0</v>
      </c>
      <c r="O533" s="141">
        <v>0</v>
      </c>
      <c r="P533" s="141">
        <v>0</v>
      </c>
      <c r="Q533" s="144">
        <v>0</v>
      </c>
      <c r="R533" s="345">
        <v>0</v>
      </c>
      <c r="S533" s="141">
        <v>0</v>
      </c>
      <c r="T533" s="141">
        <v>0</v>
      </c>
      <c r="U533" s="141">
        <v>0</v>
      </c>
      <c r="V533" s="144">
        <v>0</v>
      </c>
    </row>
    <row r="534" spans="1:48" s="98" customFormat="1" ht="15" customHeight="1">
      <c r="A534" s="99"/>
      <c r="B534" s="161"/>
      <c r="C534" s="185"/>
      <c r="D534" s="687" t="s">
        <v>1721</v>
      </c>
      <c r="E534" s="687"/>
      <c r="F534" s="185"/>
      <c r="G534" s="185"/>
      <c r="H534" s="163"/>
      <c r="I534" s="164" t="s">
        <v>498</v>
      </c>
      <c r="J534" s="143">
        <v>0</v>
      </c>
      <c r="K534" s="141">
        <v>0</v>
      </c>
      <c r="L534" s="141">
        <v>0</v>
      </c>
      <c r="M534" s="141">
        <v>0</v>
      </c>
      <c r="N534" s="141">
        <v>0</v>
      </c>
      <c r="O534" s="141">
        <v>0</v>
      </c>
      <c r="P534" s="141">
        <v>0</v>
      </c>
      <c r="Q534" s="144">
        <v>0</v>
      </c>
      <c r="R534" s="345">
        <v>0</v>
      </c>
      <c r="S534" s="141">
        <v>0</v>
      </c>
      <c r="T534" s="141">
        <v>0</v>
      </c>
      <c r="U534" s="141">
        <v>0</v>
      </c>
      <c r="V534" s="144">
        <v>0</v>
      </c>
    </row>
    <row r="535" spans="1:48" s="98" customFormat="1" ht="15" customHeight="1">
      <c r="A535" s="99"/>
      <c r="B535" s="161"/>
      <c r="C535" s="185"/>
      <c r="D535" s="687"/>
      <c r="E535" s="185"/>
      <c r="F535" s="687"/>
      <c r="G535" s="185"/>
      <c r="H535" s="185"/>
      <c r="I535" s="185"/>
      <c r="J535" s="159"/>
      <c r="K535" s="117"/>
      <c r="L535" s="117"/>
      <c r="M535" s="117"/>
      <c r="N535" s="117"/>
      <c r="O535" s="117"/>
      <c r="P535" s="117"/>
      <c r="Q535" s="160"/>
      <c r="R535" s="117"/>
      <c r="S535" s="117"/>
      <c r="T535" s="117"/>
      <c r="U535" s="117"/>
      <c r="V535" s="160"/>
    </row>
    <row r="536" spans="1:48" s="98" customFormat="1" ht="15" customHeight="1">
      <c r="A536" s="99"/>
      <c r="B536" s="161"/>
      <c r="C536" s="686" t="s">
        <v>1676</v>
      </c>
      <c r="D536" s="686"/>
      <c r="E536" s="686"/>
      <c r="F536" s="687"/>
      <c r="G536" s="691"/>
      <c r="H536" s="163"/>
      <c r="I536" s="164" t="s">
        <v>498</v>
      </c>
      <c r="J536" s="143">
        <v>0</v>
      </c>
      <c r="K536" s="141">
        <v>0</v>
      </c>
      <c r="L536" s="141">
        <v>0</v>
      </c>
      <c r="M536" s="141">
        <v>0</v>
      </c>
      <c r="N536" s="141">
        <v>0</v>
      </c>
      <c r="O536" s="141">
        <v>0</v>
      </c>
      <c r="P536" s="141">
        <v>0</v>
      </c>
      <c r="Q536" s="144">
        <v>0</v>
      </c>
      <c r="R536" s="345">
        <v>0</v>
      </c>
      <c r="S536" s="141">
        <v>0</v>
      </c>
      <c r="T536" s="141">
        <v>0</v>
      </c>
      <c r="U536" s="141">
        <v>0</v>
      </c>
      <c r="V536" s="144">
        <v>0</v>
      </c>
    </row>
    <row r="537" spans="1:48" s="98" customFormat="1" ht="15" customHeight="1">
      <c r="A537" s="99"/>
      <c r="B537" s="161"/>
      <c r="C537" s="185"/>
      <c r="D537" s="687"/>
      <c r="E537" s="185"/>
      <c r="F537" s="687"/>
      <c r="G537" s="185"/>
      <c r="H537" s="185"/>
      <c r="I537" s="185"/>
      <c r="J537" s="159"/>
      <c r="K537" s="117"/>
      <c r="L537" s="117"/>
      <c r="M537" s="117"/>
      <c r="N537" s="117"/>
      <c r="O537" s="117"/>
      <c r="P537" s="117"/>
      <c r="Q537" s="160"/>
      <c r="R537" s="117"/>
      <c r="S537" s="117"/>
      <c r="T537" s="117"/>
      <c r="U537" s="117"/>
      <c r="V537" s="160"/>
    </row>
    <row r="538" spans="1:48" s="98" customFormat="1" ht="15" customHeight="1">
      <c r="A538" s="99"/>
      <c r="B538" s="161"/>
      <c r="C538" s="616" t="s">
        <v>1723</v>
      </c>
      <c r="D538" s="686"/>
      <c r="E538" s="687"/>
      <c r="F538" s="185"/>
      <c r="G538" s="185"/>
      <c r="H538" s="163"/>
      <c r="I538" s="117"/>
      <c r="J538" s="159"/>
      <c r="K538" s="163"/>
      <c r="L538" s="163"/>
      <c r="M538" s="163"/>
      <c r="N538" s="163"/>
      <c r="O538" s="163"/>
      <c r="P538" s="163"/>
      <c r="Q538" s="172"/>
      <c r="R538" s="163"/>
      <c r="S538" s="163"/>
      <c r="T538" s="163"/>
      <c r="U538" s="163"/>
      <c r="V538" s="172"/>
    </row>
    <row r="539" spans="1:48" s="98" customFormat="1" ht="15" customHeight="1">
      <c r="A539" s="99"/>
      <c r="B539" s="161"/>
      <c r="C539" s="185"/>
      <c r="D539" s="687" t="s">
        <v>1724</v>
      </c>
      <c r="E539" s="687"/>
      <c r="F539" s="185"/>
      <c r="G539" s="185"/>
      <c r="H539" s="163"/>
      <c r="I539" s="164" t="s">
        <v>498</v>
      </c>
      <c r="J539" s="143">
        <v>0</v>
      </c>
      <c r="K539" s="141">
        <v>0</v>
      </c>
      <c r="L539" s="141">
        <v>0</v>
      </c>
      <c r="M539" s="141">
        <v>0</v>
      </c>
      <c r="N539" s="141">
        <v>0</v>
      </c>
      <c r="O539" s="141">
        <v>0</v>
      </c>
      <c r="P539" s="141">
        <v>0</v>
      </c>
      <c r="Q539" s="144">
        <v>0</v>
      </c>
      <c r="R539" s="345">
        <v>0</v>
      </c>
      <c r="S539" s="141">
        <v>0</v>
      </c>
      <c r="T539" s="141">
        <v>0</v>
      </c>
      <c r="U539" s="141">
        <v>0</v>
      </c>
      <c r="V539" s="144">
        <v>0</v>
      </c>
    </row>
    <row r="540" spans="1:48" s="98" customFormat="1" ht="15" customHeight="1">
      <c r="A540" s="99"/>
      <c r="B540" s="161"/>
      <c r="C540" s="185"/>
      <c r="D540" s="687" t="s">
        <v>1725</v>
      </c>
      <c r="E540" s="687"/>
      <c r="F540" s="185"/>
      <c r="G540" s="185"/>
      <c r="H540" s="163"/>
      <c r="I540" s="164" t="s">
        <v>498</v>
      </c>
      <c r="J540" s="143">
        <v>0</v>
      </c>
      <c r="K540" s="141">
        <v>0</v>
      </c>
      <c r="L540" s="141">
        <v>0</v>
      </c>
      <c r="M540" s="141">
        <v>0</v>
      </c>
      <c r="N540" s="141">
        <v>0</v>
      </c>
      <c r="O540" s="141">
        <v>0</v>
      </c>
      <c r="P540" s="141">
        <v>0</v>
      </c>
      <c r="Q540" s="144">
        <v>0</v>
      </c>
      <c r="R540" s="345">
        <v>0</v>
      </c>
      <c r="S540" s="141">
        <v>0</v>
      </c>
      <c r="T540" s="141">
        <v>0</v>
      </c>
      <c r="U540" s="141">
        <v>0</v>
      </c>
      <c r="V540" s="144">
        <v>0</v>
      </c>
    </row>
    <row r="541" spans="1:48" s="98" customFormat="1" ht="15" customHeight="1">
      <c r="A541" s="99"/>
      <c r="B541" s="161"/>
      <c r="C541" s="185"/>
      <c r="D541" s="687" t="s">
        <v>1726</v>
      </c>
      <c r="E541" s="185"/>
      <c r="F541" s="185"/>
      <c r="G541" s="185"/>
      <c r="H541" s="163"/>
      <c r="I541" s="164" t="s">
        <v>498</v>
      </c>
      <c r="J541" s="143">
        <v>0</v>
      </c>
      <c r="K541" s="141">
        <v>0</v>
      </c>
      <c r="L541" s="141">
        <v>0</v>
      </c>
      <c r="M541" s="141">
        <v>0</v>
      </c>
      <c r="N541" s="141">
        <v>0</v>
      </c>
      <c r="O541" s="141">
        <v>0</v>
      </c>
      <c r="P541" s="141">
        <v>0</v>
      </c>
      <c r="Q541" s="144">
        <v>0</v>
      </c>
      <c r="R541" s="345">
        <v>0</v>
      </c>
      <c r="S541" s="141">
        <v>0</v>
      </c>
      <c r="T541" s="141">
        <v>0</v>
      </c>
      <c r="U541" s="141">
        <v>0</v>
      </c>
      <c r="V541" s="144">
        <v>0</v>
      </c>
    </row>
    <row r="542" spans="1:48" s="98" customFormat="1" ht="15" customHeight="1">
      <c r="A542" s="99"/>
      <c r="B542" s="161"/>
      <c r="C542" s="185"/>
      <c r="D542" s="687" t="s">
        <v>1727</v>
      </c>
      <c r="E542" s="687"/>
      <c r="F542" s="185"/>
      <c r="G542" s="185"/>
      <c r="H542" s="163"/>
      <c r="I542" s="164" t="s">
        <v>498</v>
      </c>
      <c r="J542" s="143">
        <v>0</v>
      </c>
      <c r="K542" s="141">
        <v>0</v>
      </c>
      <c r="L542" s="141">
        <v>0</v>
      </c>
      <c r="M542" s="141">
        <v>0</v>
      </c>
      <c r="N542" s="141">
        <v>0</v>
      </c>
      <c r="O542" s="141">
        <v>0</v>
      </c>
      <c r="P542" s="141">
        <v>0</v>
      </c>
      <c r="Q542" s="144">
        <v>0</v>
      </c>
      <c r="R542" s="345">
        <v>0</v>
      </c>
      <c r="S542" s="141">
        <v>0</v>
      </c>
      <c r="T542" s="141">
        <v>0</v>
      </c>
      <c r="U542" s="141">
        <v>0</v>
      </c>
      <c r="V542" s="144">
        <v>0</v>
      </c>
    </row>
    <row r="543" spans="1:48" s="98" customFormat="1" ht="15" customHeight="1">
      <c r="A543" s="99"/>
      <c r="B543" s="161"/>
      <c r="C543" s="185"/>
      <c r="D543" s="687"/>
      <c r="E543" s="185"/>
      <c r="F543" s="687"/>
      <c r="G543" s="185"/>
      <c r="H543" s="185"/>
      <c r="I543" s="185"/>
      <c r="J543" s="159"/>
      <c r="K543" s="117"/>
      <c r="L543" s="117"/>
      <c r="M543" s="117"/>
      <c r="N543" s="117"/>
      <c r="O543" s="117"/>
      <c r="P543" s="117"/>
      <c r="Q543" s="160"/>
      <c r="R543" s="117"/>
      <c r="S543" s="117"/>
      <c r="T543" s="117"/>
      <c r="U543" s="117"/>
      <c r="V543" s="160"/>
    </row>
    <row r="544" spans="1:48" ht="15.75" thickBot="1">
      <c r="B544" s="191" t="s">
        <v>1780</v>
      </c>
      <c r="C544" s="654"/>
      <c r="D544" s="192"/>
      <c r="E544" s="692"/>
      <c r="F544" s="192"/>
      <c r="G544" s="192"/>
      <c r="H544" s="194"/>
      <c r="I544" s="195" t="s">
        <v>498</v>
      </c>
      <c r="J544" s="148">
        <f>SUM(J514:J542)</f>
        <v>0</v>
      </c>
      <c r="K544" s="147">
        <f t="shared" ref="K544:V544" si="77">SUM(K514:K542)</f>
        <v>0</v>
      </c>
      <c r="L544" s="147">
        <f t="shared" si="77"/>
        <v>0</v>
      </c>
      <c r="M544" s="147">
        <f t="shared" si="77"/>
        <v>0</v>
      </c>
      <c r="N544" s="147">
        <f t="shared" si="77"/>
        <v>0</v>
      </c>
      <c r="O544" s="147">
        <f t="shared" si="77"/>
        <v>0</v>
      </c>
      <c r="P544" s="147">
        <f t="shared" si="77"/>
        <v>0</v>
      </c>
      <c r="Q544" s="149">
        <f t="shared" si="77"/>
        <v>0</v>
      </c>
      <c r="R544" s="1693">
        <f t="shared" si="77"/>
        <v>0</v>
      </c>
      <c r="S544" s="147">
        <f t="shared" si="77"/>
        <v>0</v>
      </c>
      <c r="T544" s="147">
        <f t="shared" si="77"/>
        <v>0</v>
      </c>
      <c r="U544" s="147">
        <f t="shared" si="77"/>
        <v>0</v>
      </c>
      <c r="V544" s="149">
        <f t="shared" si="77"/>
        <v>0</v>
      </c>
      <c r="AC544" s="173"/>
      <c r="AV544" s="175"/>
    </row>
    <row r="545" spans="2:33" ht="14.25">
      <c r="I545" s="173"/>
      <c r="J545" s="175"/>
      <c r="Z545" s="98"/>
      <c r="AA545" s="98"/>
      <c r="AB545" s="98"/>
      <c r="AC545" s="98"/>
      <c r="AD545" s="98"/>
      <c r="AE545" s="98"/>
      <c r="AF545" s="98"/>
      <c r="AG545" s="98"/>
    </row>
    <row r="546" spans="2:33" ht="14.25">
      <c r="I546" s="173"/>
      <c r="J546" s="175"/>
      <c r="AB546" s="98"/>
      <c r="AC546" s="98"/>
      <c r="AD546" s="98"/>
      <c r="AE546" s="98"/>
      <c r="AF546" s="98"/>
      <c r="AG546" s="98"/>
    </row>
    <row r="547" spans="2:33" ht="15">
      <c r="G547" s="186"/>
      <c r="H547" s="162"/>
      <c r="I547" s="162"/>
      <c r="J547" s="162"/>
      <c r="K547" s="163"/>
      <c r="AC547" s="98"/>
      <c r="AD547" s="99"/>
      <c r="AE547" s="99"/>
      <c r="AF547" s="99"/>
      <c r="AG547" s="99"/>
    </row>
    <row r="548" spans="2:33" ht="18">
      <c r="B548" s="173"/>
      <c r="G548" s="185"/>
      <c r="H548" s="162"/>
      <c r="I548" s="162"/>
      <c r="J548" s="2728"/>
      <c r="K548" s="2728"/>
      <c r="L548" s="2728"/>
      <c r="M548" s="2728"/>
      <c r="N548" s="2728"/>
      <c r="O548" s="2728"/>
      <c r="P548" s="2728"/>
      <c r="Q548" s="2728"/>
      <c r="R548" s="2728"/>
      <c r="S548" s="2728"/>
      <c r="T548" s="2728"/>
      <c r="U548" s="2728"/>
      <c r="V548" s="2728"/>
      <c r="AC548" s="98"/>
      <c r="AD548" s="100"/>
      <c r="AE548" s="100"/>
      <c r="AF548" s="100"/>
      <c r="AG548" s="100"/>
    </row>
    <row r="549" spans="2:33" ht="14.25">
      <c r="G549" s="185"/>
      <c r="H549" s="162"/>
      <c r="I549" s="162"/>
      <c r="J549" s="2728"/>
      <c r="K549" s="2728"/>
      <c r="L549" s="2728"/>
      <c r="M549" s="2728"/>
      <c r="N549" s="2728"/>
      <c r="O549" s="2728"/>
      <c r="P549" s="2728"/>
      <c r="Q549" s="2728"/>
      <c r="R549" s="2728"/>
      <c r="S549" s="2728"/>
      <c r="T549" s="2728"/>
      <c r="U549" s="2728"/>
      <c r="V549" s="2728"/>
      <c r="AC549" s="98"/>
      <c r="AD549" s="98"/>
      <c r="AE549" s="98"/>
      <c r="AF549" s="98"/>
      <c r="AG549" s="98"/>
    </row>
    <row r="550" spans="2:33" ht="14.25">
      <c r="G550" s="185"/>
      <c r="H550" s="162"/>
      <c r="I550" s="162"/>
      <c r="J550" s="2728"/>
      <c r="K550" s="2728"/>
      <c r="L550" s="2728"/>
      <c r="M550" s="2728"/>
      <c r="N550" s="2728"/>
      <c r="O550" s="2728"/>
      <c r="P550" s="2728"/>
      <c r="Q550" s="2728"/>
      <c r="R550" s="2728"/>
      <c r="S550" s="2728"/>
      <c r="T550" s="2728"/>
      <c r="U550" s="2728"/>
      <c r="V550" s="2728"/>
      <c r="AC550" s="98"/>
      <c r="AD550" s="98"/>
      <c r="AE550" s="98"/>
      <c r="AF550" s="98"/>
      <c r="AG550" s="98"/>
    </row>
    <row r="551" spans="2:33" ht="14.25">
      <c r="G551" s="185"/>
      <c r="H551" s="162"/>
      <c r="I551" s="162"/>
      <c r="J551" s="2727"/>
      <c r="K551" s="2727"/>
      <c r="L551" s="2727"/>
      <c r="M551" s="2727"/>
      <c r="N551" s="2727"/>
      <c r="O551" s="2727"/>
      <c r="P551" s="2727"/>
      <c r="Q551" s="2727"/>
      <c r="R551" s="2727"/>
      <c r="S551" s="2727"/>
      <c r="T551" s="2727"/>
      <c r="U551" s="2727"/>
      <c r="V551" s="2727"/>
      <c r="AC551" s="98"/>
      <c r="AD551" s="98"/>
      <c r="AE551" s="98"/>
      <c r="AF551" s="98"/>
      <c r="AG551" s="98"/>
    </row>
    <row r="552" spans="2:33" ht="14.25">
      <c r="G552" s="185"/>
      <c r="H552" s="162"/>
      <c r="I552" s="162"/>
      <c r="J552" s="2728"/>
      <c r="K552" s="2728"/>
      <c r="L552" s="2728"/>
      <c r="M552" s="2728"/>
      <c r="N552" s="2728"/>
      <c r="O552" s="2728"/>
      <c r="P552" s="2728"/>
      <c r="Q552" s="2728"/>
      <c r="R552" s="2728"/>
      <c r="S552" s="2728"/>
      <c r="T552" s="2728"/>
      <c r="U552" s="2728"/>
      <c r="V552" s="2728"/>
      <c r="AC552" s="98"/>
      <c r="AD552" s="98"/>
      <c r="AE552" s="98"/>
      <c r="AF552" s="98"/>
      <c r="AG552" s="98"/>
    </row>
    <row r="553" spans="2:33" ht="14.65" customHeight="1">
      <c r="G553" s="185"/>
      <c r="H553" s="162"/>
      <c r="I553" s="162"/>
      <c r="J553" s="2728"/>
      <c r="K553" s="2728"/>
      <c r="L553" s="2728"/>
      <c r="M553" s="2728"/>
      <c r="N553" s="2728"/>
      <c r="O553" s="2728"/>
      <c r="P553" s="2728"/>
      <c r="Q553" s="2728"/>
      <c r="R553" s="2728"/>
      <c r="S553" s="2728"/>
      <c r="T553" s="2728"/>
      <c r="U553" s="2728"/>
      <c r="V553" s="2728"/>
      <c r="AC553" s="98"/>
      <c r="AD553" s="98"/>
      <c r="AE553" s="98"/>
      <c r="AF553" s="98"/>
      <c r="AG553" s="98"/>
    </row>
    <row r="554" spans="2:33" ht="14.25">
      <c r="G554" s="182"/>
      <c r="H554" s="183"/>
      <c r="I554" s="183"/>
      <c r="J554" s="2729"/>
      <c r="K554" s="2729"/>
      <c r="L554" s="2729"/>
      <c r="M554" s="2729"/>
      <c r="N554" s="2729"/>
      <c r="O554" s="2729"/>
      <c r="P554" s="2729"/>
      <c r="Q554" s="2729"/>
      <c r="R554" s="2729"/>
      <c r="S554" s="2729"/>
      <c r="T554" s="2729"/>
      <c r="U554" s="2729"/>
      <c r="V554" s="2729"/>
      <c r="AC554" s="98"/>
      <c r="AD554" s="98"/>
      <c r="AE554" s="98"/>
      <c r="AF554" s="98"/>
      <c r="AG554" s="98"/>
    </row>
    <row r="555" spans="2:33" ht="15">
      <c r="B555" s="173"/>
      <c r="C555" s="173"/>
      <c r="D555" s="173"/>
      <c r="E555" s="173"/>
      <c r="F555" s="173"/>
      <c r="G555" s="116"/>
      <c r="H555" s="116"/>
      <c r="I555" s="116"/>
      <c r="J555" s="116"/>
      <c r="K555" s="117"/>
      <c r="AC555" s="98"/>
      <c r="AD555" s="98"/>
      <c r="AE555" s="98"/>
      <c r="AF555" s="98"/>
      <c r="AG555" s="98"/>
    </row>
    <row r="556" spans="2:33" ht="14.65" customHeight="1">
      <c r="B556" s="173"/>
      <c r="C556" s="173"/>
      <c r="D556" s="173"/>
      <c r="E556" s="173"/>
      <c r="F556" s="173"/>
      <c r="G556" s="186"/>
      <c r="H556" s="162"/>
      <c r="I556" s="162"/>
      <c r="J556" s="162"/>
      <c r="K556" s="163"/>
      <c r="AC556" s="98"/>
      <c r="AD556" s="98"/>
      <c r="AE556" s="98"/>
      <c r="AF556" s="98"/>
      <c r="AG556" s="98"/>
    </row>
    <row r="557" spans="2:33" ht="14.25">
      <c r="B557" s="173"/>
      <c r="C557" s="173"/>
      <c r="D557" s="173"/>
      <c r="E557" s="173"/>
      <c r="F557" s="173"/>
      <c r="G557" s="185"/>
      <c r="H557" s="162"/>
      <c r="I557" s="162"/>
      <c r="J557" s="2726"/>
      <c r="K557" s="2726"/>
      <c r="L557" s="2726"/>
      <c r="M557" s="2726"/>
      <c r="N557" s="2726"/>
      <c r="O557" s="2726"/>
      <c r="P557" s="2726"/>
      <c r="Q557" s="2726"/>
      <c r="R557" s="2726"/>
      <c r="S557" s="2726"/>
      <c r="T557" s="2726"/>
      <c r="U557" s="2726"/>
      <c r="V557" s="2726"/>
      <c r="AC557" s="98"/>
      <c r="AD557" s="98"/>
      <c r="AE557" s="98"/>
      <c r="AF557" s="98"/>
      <c r="AG557" s="98"/>
    </row>
    <row r="558" spans="2:33" ht="14.25">
      <c r="B558" s="173"/>
      <c r="C558" s="173"/>
      <c r="D558" s="173"/>
      <c r="E558" s="173"/>
      <c r="F558" s="173"/>
      <c r="G558" s="185"/>
      <c r="H558" s="162"/>
      <c r="I558" s="162"/>
      <c r="J558" s="2726"/>
      <c r="K558" s="2726"/>
      <c r="L558" s="2726"/>
      <c r="M558" s="2726"/>
      <c r="N558" s="2726"/>
      <c r="O558" s="2726"/>
      <c r="P558" s="2726"/>
      <c r="Q558" s="2726"/>
      <c r="R558" s="2726"/>
      <c r="S558" s="2726"/>
      <c r="T558" s="2726"/>
      <c r="U558" s="2726"/>
      <c r="V558" s="2726"/>
      <c r="AC558" s="98"/>
      <c r="AD558" s="98"/>
      <c r="AE558" s="98"/>
      <c r="AF558" s="98"/>
      <c r="AG558" s="98"/>
    </row>
    <row r="559" spans="2:33" ht="14.25">
      <c r="B559" s="173"/>
      <c r="C559" s="173"/>
      <c r="D559" s="173"/>
      <c r="E559" s="173"/>
      <c r="F559" s="173"/>
      <c r="G559" s="185"/>
      <c r="H559" s="162"/>
      <c r="I559" s="162"/>
      <c r="J559" s="2726"/>
      <c r="K559" s="2726"/>
      <c r="L559" s="2726"/>
      <c r="M559" s="2726"/>
      <c r="N559" s="2726"/>
      <c r="O559" s="2726"/>
      <c r="P559" s="2726"/>
      <c r="Q559" s="2726"/>
      <c r="R559" s="2726"/>
      <c r="S559" s="2726"/>
      <c r="T559" s="2726"/>
      <c r="U559" s="2726"/>
      <c r="V559" s="2726"/>
      <c r="AC559" s="98"/>
      <c r="AD559" s="98"/>
      <c r="AE559" s="98"/>
      <c r="AF559" s="98"/>
      <c r="AG559" s="98"/>
    </row>
    <row r="560" spans="2:33" ht="14.25">
      <c r="B560" s="173"/>
      <c r="C560" s="173"/>
      <c r="D560" s="173"/>
      <c r="E560" s="173"/>
      <c r="F560" s="173"/>
      <c r="G560" s="185"/>
      <c r="H560" s="162"/>
      <c r="I560" s="162"/>
      <c r="J560" s="162"/>
      <c r="K560" s="163"/>
      <c r="AC560" s="98"/>
      <c r="AD560" s="98"/>
      <c r="AE560" s="98"/>
      <c r="AF560" s="98"/>
      <c r="AG560" s="98"/>
    </row>
    <row r="561" spans="2:33" ht="14.25">
      <c r="B561" s="173"/>
      <c r="C561" s="173"/>
      <c r="D561" s="173"/>
      <c r="E561" s="173"/>
      <c r="F561" s="173"/>
      <c r="G561" s="185"/>
      <c r="H561" s="162"/>
      <c r="I561" s="162"/>
      <c r="J561" s="2726"/>
      <c r="K561" s="2726"/>
      <c r="L561" s="2726"/>
      <c r="M561" s="2726"/>
      <c r="N561" s="2726"/>
      <c r="O561" s="2726"/>
      <c r="P561" s="2726"/>
      <c r="Q561" s="2726"/>
      <c r="R561" s="2726"/>
      <c r="S561" s="2726"/>
      <c r="T561" s="2726"/>
      <c r="U561" s="2726"/>
      <c r="V561" s="2726"/>
      <c r="AC561" s="98"/>
      <c r="AD561" s="98"/>
      <c r="AE561" s="98"/>
      <c r="AF561" s="98"/>
      <c r="AG561" s="98"/>
    </row>
    <row r="562" spans="2:33" ht="14.25">
      <c r="B562" s="173"/>
      <c r="C562" s="173"/>
      <c r="D562" s="173"/>
      <c r="E562" s="173"/>
      <c r="F562" s="173"/>
      <c r="G562" s="185"/>
      <c r="H562" s="162"/>
      <c r="I562" s="162"/>
      <c r="J562" s="2726"/>
      <c r="K562" s="2726"/>
      <c r="L562" s="2726"/>
      <c r="M562" s="2726"/>
      <c r="N562" s="2726"/>
      <c r="O562" s="2726"/>
      <c r="P562" s="2726"/>
      <c r="Q562" s="2726"/>
      <c r="R562" s="2726"/>
      <c r="S562" s="2726"/>
      <c r="T562" s="2726"/>
      <c r="U562" s="2726"/>
      <c r="V562" s="2726"/>
      <c r="AC562" s="98"/>
      <c r="AD562" s="98"/>
      <c r="AE562" s="98"/>
      <c r="AF562" s="98"/>
      <c r="AG562" s="98"/>
    </row>
    <row r="563" spans="2:33" ht="14.25">
      <c r="B563" s="173"/>
      <c r="C563" s="173"/>
      <c r="D563" s="173"/>
      <c r="E563" s="173"/>
      <c r="F563" s="173"/>
      <c r="G563" s="182"/>
      <c r="H563" s="183"/>
      <c r="I563" s="183"/>
      <c r="J563" s="2566"/>
      <c r="K563" s="2566"/>
      <c r="L563" s="2566"/>
      <c r="M563" s="2566"/>
      <c r="N563" s="2566"/>
      <c r="O563" s="2566"/>
      <c r="P563" s="2566"/>
      <c r="Q563" s="2566"/>
      <c r="R563" s="2566"/>
      <c r="S563" s="2566"/>
      <c r="T563" s="2566"/>
      <c r="U563" s="2566"/>
      <c r="V563" s="2566"/>
      <c r="AB563" s="175"/>
      <c r="AC563" s="98"/>
      <c r="AD563" s="98"/>
      <c r="AE563" s="98"/>
      <c r="AF563" s="98"/>
      <c r="AG563" s="98"/>
    </row>
    <row r="564" spans="2:33" ht="14.25">
      <c r="B564" s="173"/>
      <c r="C564" s="173"/>
      <c r="D564" s="173"/>
      <c r="E564" s="173"/>
      <c r="F564" s="173"/>
      <c r="I564" s="173"/>
      <c r="AB564" s="175"/>
      <c r="AC564" s="98"/>
      <c r="AD564" s="98"/>
      <c r="AE564" s="98"/>
      <c r="AF564" s="98"/>
      <c r="AG564" s="98"/>
    </row>
    <row r="565" spans="2:33" ht="14.25">
      <c r="B565" s="173"/>
      <c r="C565" s="173"/>
      <c r="D565" s="173"/>
      <c r="E565" s="173"/>
      <c r="F565" s="173"/>
      <c r="I565" s="173"/>
      <c r="AB565" s="175"/>
      <c r="AC565" s="98"/>
      <c r="AD565" s="98"/>
      <c r="AE565" s="98"/>
      <c r="AF565" s="98"/>
      <c r="AG565" s="98"/>
    </row>
    <row r="566" spans="2:33" ht="14.25">
      <c r="B566" s="173"/>
      <c r="C566" s="173"/>
      <c r="D566" s="173"/>
      <c r="E566" s="173"/>
      <c r="F566" s="173"/>
      <c r="I566" s="173"/>
      <c r="AB566" s="175"/>
      <c r="AC566" s="98"/>
      <c r="AD566" s="98"/>
      <c r="AE566" s="98"/>
      <c r="AF566" s="98"/>
      <c r="AG566" s="98"/>
    </row>
    <row r="567" spans="2:33" ht="14.25">
      <c r="B567" s="173"/>
      <c r="C567" s="173"/>
      <c r="D567" s="173"/>
      <c r="E567" s="173"/>
      <c r="F567" s="173"/>
      <c r="I567" s="173"/>
      <c r="AB567" s="175"/>
      <c r="AC567" s="98"/>
      <c r="AD567" s="98"/>
      <c r="AE567" s="98"/>
      <c r="AF567" s="98"/>
      <c r="AG567" s="98"/>
    </row>
    <row r="568" spans="2:33" ht="14.25">
      <c r="B568" s="173"/>
      <c r="C568" s="173"/>
      <c r="D568" s="173"/>
      <c r="E568" s="173"/>
      <c r="F568" s="173"/>
      <c r="AB568" s="175"/>
      <c r="AC568" s="98"/>
      <c r="AD568" s="98"/>
      <c r="AE568" s="98"/>
      <c r="AF568" s="98"/>
      <c r="AG568" s="98"/>
    </row>
    <row r="569" spans="2:33" ht="14.25">
      <c r="B569" s="173"/>
      <c r="C569" s="173"/>
      <c r="D569" s="173"/>
      <c r="E569" s="173"/>
      <c r="F569" s="173"/>
      <c r="AB569" s="175"/>
      <c r="AC569" s="98"/>
      <c r="AD569" s="98"/>
      <c r="AE569" s="98"/>
      <c r="AF569" s="98"/>
      <c r="AG569" s="98"/>
    </row>
    <row r="570" spans="2:33" ht="14.25">
      <c r="B570" s="173"/>
      <c r="C570" s="173"/>
      <c r="D570" s="173"/>
      <c r="E570" s="173"/>
      <c r="F570" s="173"/>
      <c r="AB570" s="175"/>
      <c r="AC570" s="98"/>
      <c r="AD570" s="98"/>
      <c r="AE570" s="98"/>
      <c r="AF570" s="98"/>
      <c r="AG570" s="98"/>
    </row>
    <row r="571" spans="2:33" ht="14.25">
      <c r="B571" s="173"/>
      <c r="C571" s="173"/>
      <c r="D571" s="173"/>
      <c r="E571" s="173"/>
      <c r="F571" s="173"/>
      <c r="AB571" s="175"/>
      <c r="AC571" s="98"/>
      <c r="AD571" s="98"/>
      <c r="AE571" s="98"/>
      <c r="AF571" s="98"/>
      <c r="AG571" s="98"/>
    </row>
    <row r="572" spans="2:33" ht="14.25">
      <c r="B572" s="173"/>
      <c r="C572" s="173"/>
      <c r="D572" s="173"/>
      <c r="E572" s="173"/>
      <c r="F572" s="173"/>
      <c r="AB572" s="175"/>
      <c r="AC572" s="98"/>
      <c r="AD572" s="98"/>
      <c r="AE572" s="98"/>
      <c r="AF572" s="98"/>
      <c r="AG572" s="98"/>
    </row>
    <row r="573" spans="2:33" ht="14.25">
      <c r="B573" s="173"/>
      <c r="C573" s="173"/>
      <c r="D573" s="173"/>
      <c r="E573" s="173"/>
      <c r="F573" s="173"/>
      <c r="AB573" s="175"/>
      <c r="AC573" s="98"/>
      <c r="AD573" s="98"/>
      <c r="AE573" s="98"/>
      <c r="AF573" s="98"/>
      <c r="AG573" s="98"/>
    </row>
    <row r="574" spans="2:33" ht="14.25">
      <c r="B574" s="173"/>
      <c r="C574" s="173"/>
      <c r="D574" s="173"/>
      <c r="E574" s="173"/>
      <c r="F574" s="173"/>
      <c r="AB574" s="175"/>
      <c r="AC574" s="98"/>
      <c r="AD574" s="98"/>
      <c r="AE574" s="98"/>
      <c r="AF574" s="98"/>
      <c r="AG574" s="98"/>
    </row>
    <row r="575" spans="2:33" ht="14.25">
      <c r="B575" s="173"/>
      <c r="C575" s="173"/>
      <c r="D575" s="173"/>
      <c r="E575" s="173"/>
      <c r="F575" s="173"/>
      <c r="AB575" s="175"/>
      <c r="AC575" s="98"/>
      <c r="AD575" s="98"/>
      <c r="AE575" s="98"/>
      <c r="AF575" s="98"/>
      <c r="AG575" s="98"/>
    </row>
    <row r="576" spans="2:33" ht="14.25">
      <c r="B576" s="173"/>
      <c r="C576" s="173"/>
      <c r="D576" s="173"/>
      <c r="E576" s="173"/>
      <c r="F576" s="173"/>
      <c r="AB576" s="175"/>
      <c r="AC576" s="98"/>
      <c r="AD576" s="98"/>
      <c r="AE576" s="98"/>
      <c r="AF576" s="98"/>
      <c r="AG576" s="98"/>
    </row>
    <row r="577" spans="2:33" ht="14.25">
      <c r="B577" s="173"/>
      <c r="C577" s="173"/>
      <c r="D577" s="173"/>
      <c r="E577" s="173"/>
      <c r="F577" s="173"/>
      <c r="AB577" s="175"/>
      <c r="AC577" s="98"/>
      <c r="AD577" s="98"/>
      <c r="AE577" s="98"/>
      <c r="AF577" s="98"/>
      <c r="AG577" s="98"/>
    </row>
    <row r="578" spans="2:33" ht="14.25">
      <c r="B578" s="173"/>
      <c r="C578" s="173"/>
      <c r="D578" s="173"/>
      <c r="E578" s="173"/>
      <c r="F578" s="173"/>
      <c r="AB578" s="175"/>
      <c r="AC578" s="98"/>
      <c r="AD578" s="98"/>
      <c r="AE578" s="98"/>
      <c r="AF578" s="98"/>
      <c r="AG578" s="98"/>
    </row>
    <row r="579" spans="2:33" ht="14.25">
      <c r="B579" s="173"/>
      <c r="C579" s="173"/>
      <c r="D579" s="173"/>
      <c r="E579" s="173"/>
      <c r="F579" s="173"/>
      <c r="I579" s="173"/>
      <c r="AB579" s="175"/>
      <c r="AC579" s="98"/>
      <c r="AD579" s="98"/>
      <c r="AE579" s="98"/>
      <c r="AF579" s="98"/>
      <c r="AG579" s="98"/>
    </row>
    <row r="580" spans="2:33" ht="14.25">
      <c r="B580" s="173"/>
      <c r="C580" s="173"/>
      <c r="D580" s="173"/>
      <c r="E580" s="173"/>
      <c r="F580" s="173"/>
      <c r="I580" s="173"/>
      <c r="AB580" s="175"/>
      <c r="AC580" s="98"/>
      <c r="AD580" s="98"/>
      <c r="AE580" s="98"/>
      <c r="AF580" s="98"/>
      <c r="AG580" s="98"/>
    </row>
    <row r="581" spans="2:33" ht="14.25">
      <c r="B581" s="173"/>
      <c r="C581" s="173"/>
      <c r="D581" s="173"/>
      <c r="E581" s="173"/>
      <c r="F581" s="173"/>
      <c r="I581" s="173"/>
      <c r="AB581" s="175"/>
      <c r="AC581" s="98"/>
      <c r="AD581" s="98"/>
      <c r="AE581" s="98"/>
      <c r="AF581" s="98"/>
      <c r="AG581" s="98"/>
    </row>
    <row r="582" spans="2:33" ht="14.25">
      <c r="B582" s="173"/>
      <c r="C582" s="173"/>
      <c r="D582" s="173"/>
      <c r="E582" s="173"/>
      <c r="F582" s="173"/>
      <c r="I582" s="173"/>
      <c r="AB582" s="175"/>
      <c r="AC582" s="98"/>
      <c r="AD582" s="98"/>
      <c r="AE582" s="98"/>
      <c r="AF582" s="98"/>
      <c r="AG582" s="98"/>
    </row>
    <row r="583" spans="2:33" ht="14.25">
      <c r="B583" s="173"/>
      <c r="C583" s="173"/>
      <c r="D583" s="173"/>
      <c r="E583" s="173"/>
      <c r="F583" s="173"/>
      <c r="I583" s="173"/>
      <c r="AB583" s="175"/>
      <c r="AC583" s="98"/>
      <c r="AD583" s="98"/>
      <c r="AE583" s="98"/>
      <c r="AF583" s="98"/>
      <c r="AG583" s="98"/>
    </row>
    <row r="584" spans="2:33" ht="14.25">
      <c r="B584" s="173"/>
      <c r="C584" s="173"/>
      <c r="D584" s="173"/>
      <c r="E584" s="173"/>
      <c r="F584" s="173"/>
      <c r="I584" s="173"/>
      <c r="AB584" s="175"/>
      <c r="AC584" s="98"/>
      <c r="AD584" s="98"/>
      <c r="AE584" s="98"/>
      <c r="AF584" s="98"/>
      <c r="AG584" s="98"/>
    </row>
    <row r="585" spans="2:33" ht="14.25">
      <c r="B585" s="173"/>
      <c r="C585" s="173"/>
      <c r="D585" s="173"/>
      <c r="E585" s="173"/>
      <c r="F585" s="173"/>
      <c r="I585" s="173"/>
      <c r="AB585" s="175"/>
      <c r="AC585" s="98"/>
      <c r="AD585" s="98"/>
      <c r="AE585" s="98"/>
      <c r="AF585" s="98"/>
      <c r="AG585" s="98"/>
    </row>
    <row r="586" spans="2:33" ht="14.25">
      <c r="B586" s="173"/>
      <c r="C586" s="173"/>
      <c r="D586" s="173"/>
      <c r="E586" s="173"/>
      <c r="F586" s="173"/>
      <c r="I586" s="173"/>
      <c r="AB586" s="175"/>
      <c r="AC586" s="98"/>
      <c r="AD586" s="98"/>
      <c r="AE586" s="98"/>
      <c r="AF586" s="98"/>
      <c r="AG586" s="98"/>
    </row>
    <row r="587" spans="2:33" ht="14.25">
      <c r="B587" s="173"/>
      <c r="C587" s="173"/>
      <c r="D587" s="173"/>
      <c r="E587" s="173"/>
      <c r="F587" s="173"/>
      <c r="I587" s="173"/>
      <c r="AB587" s="175"/>
      <c r="AC587" s="98"/>
      <c r="AD587" s="98"/>
      <c r="AE587" s="98"/>
      <c r="AF587" s="98"/>
      <c r="AG587" s="98"/>
    </row>
    <row r="588" spans="2:33" ht="14.25">
      <c r="B588" s="173"/>
      <c r="C588" s="173"/>
      <c r="D588" s="173"/>
      <c r="E588" s="173"/>
      <c r="F588" s="173"/>
      <c r="I588" s="173"/>
      <c r="AB588" s="175"/>
      <c r="AC588" s="98"/>
      <c r="AD588" s="98"/>
      <c r="AE588" s="98"/>
      <c r="AF588" s="98"/>
      <c r="AG588" s="98"/>
    </row>
    <row r="589" spans="2:33" ht="14.25">
      <c r="B589" s="173"/>
      <c r="C589" s="173"/>
      <c r="D589" s="173"/>
      <c r="E589" s="173"/>
      <c r="F589" s="173"/>
      <c r="I589" s="173"/>
      <c r="AB589" s="175"/>
      <c r="AC589" s="98"/>
      <c r="AD589" s="98"/>
      <c r="AE589" s="98"/>
      <c r="AF589" s="98"/>
      <c r="AG589" s="98"/>
    </row>
    <row r="590" spans="2:33" ht="14.25">
      <c r="B590" s="173"/>
      <c r="C590" s="173"/>
      <c r="D590" s="173"/>
      <c r="E590" s="173"/>
      <c r="F590" s="173"/>
      <c r="I590" s="173"/>
      <c r="Z590" s="98"/>
      <c r="AA590" s="98"/>
      <c r="AB590" s="98"/>
      <c r="AC590" s="98"/>
      <c r="AD590" s="98"/>
      <c r="AE590" s="98"/>
      <c r="AF590" s="98"/>
      <c r="AG590" s="98"/>
    </row>
    <row r="591" spans="2:33" ht="14.25">
      <c r="B591" s="173"/>
      <c r="C591" s="173"/>
      <c r="D591" s="173"/>
      <c r="E591" s="173"/>
      <c r="F591" s="173"/>
      <c r="I591" s="173"/>
      <c r="Z591" s="98"/>
      <c r="AA591" s="98"/>
      <c r="AB591" s="98"/>
      <c r="AC591" s="98"/>
      <c r="AD591" s="98"/>
      <c r="AE591" s="98"/>
      <c r="AF591" s="98"/>
      <c r="AG591" s="98"/>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sheetPr>
  <dimension ref="A1:AL32"/>
  <sheetViews>
    <sheetView showGridLines="0" topLeftCell="A19" zoomScale="80" zoomScaleNormal="80" workbookViewId="0">
      <pane xSplit="7" topLeftCell="J1" activePane="topRight" state="frozen"/>
      <selection pane="topRight" activeCell="R20" sqref="R20"/>
    </sheetView>
  </sheetViews>
  <sheetFormatPr defaultColWidth="11.875" defaultRowHeight="12.75"/>
  <cols>
    <col min="1" max="1" width="11.875" style="173" customWidth="1"/>
    <col min="2" max="6" width="4.375" style="174" customWidth="1"/>
    <col min="7" max="7" width="38.125" style="173" customWidth="1"/>
    <col min="8" max="8" width="15.625" style="173" customWidth="1"/>
    <col min="9" max="9" width="15.625" style="175" customWidth="1"/>
    <col min="10" max="22" width="15.625" style="173" customWidth="1"/>
    <col min="23" max="25" width="11.875" style="173" customWidth="1"/>
    <col min="26" max="26" width="58.125" style="173" bestFit="1" customWidth="1"/>
    <col min="27" max="27" width="11.875" style="173" customWidth="1"/>
    <col min="28" max="28" width="11.875" style="173"/>
    <col min="29" max="29" width="11.875" style="175"/>
    <col min="30" max="16384" width="11.875" style="173"/>
  </cols>
  <sheetData>
    <row r="1" spans="1:38" s="2" customFormat="1" ht="25.15" customHeight="1">
      <c r="A1" s="1" t="s">
        <v>0</v>
      </c>
      <c r="E1" s="3"/>
      <c r="H1" s="4" t="s">
        <v>1</v>
      </c>
      <c r="J1" s="3"/>
    </row>
    <row r="2" spans="1:38" s="2" customFormat="1" ht="25.15" customHeight="1">
      <c r="A2" s="5" t="str">
        <f>Fixed_Data!I12</f>
        <v>MASTER</v>
      </c>
      <c r="B2" s="6"/>
      <c r="D2" s="7"/>
      <c r="E2" s="3"/>
    </row>
    <row r="3" spans="1:38" s="9" customFormat="1" ht="25.15" customHeight="1" thickBot="1">
      <c r="A3" s="8" t="str">
        <f>Fixed_Data!A3</f>
        <v>RIIO-GD2</v>
      </c>
      <c r="D3" s="10"/>
      <c r="E3" s="11"/>
    </row>
    <row r="4" spans="1:38" s="89" customFormat="1" ht="25.15" customHeight="1">
      <c r="B4" s="90" t="s">
        <v>1789</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row>
    <row r="5" spans="1:38" s="89" customFormat="1" ht="25.15" customHeight="1">
      <c r="B5" s="95" t="s">
        <v>1663</v>
      </c>
      <c r="C5" s="95"/>
      <c r="D5" s="95"/>
      <c r="E5" s="95"/>
      <c r="F5" s="95" t="s">
        <v>463</v>
      </c>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row>
    <row r="6" spans="1:38" s="89" customFormat="1" ht="15" customHeight="1">
      <c r="B6" s="95"/>
      <c r="C6" s="95"/>
      <c r="D6" s="95"/>
      <c r="E6" s="95"/>
      <c r="F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row>
    <row r="7" spans="1:38" s="89" customFormat="1" ht="15" customHeight="1" thickBot="1">
      <c r="B7" s="95"/>
      <c r="C7" s="95"/>
      <c r="D7" s="95"/>
      <c r="E7" s="95"/>
      <c r="F7" s="95"/>
      <c r="G7" s="95"/>
      <c r="H7" s="95"/>
      <c r="I7" s="93"/>
      <c r="J7" s="94"/>
      <c r="K7" s="94"/>
      <c r="L7" s="94"/>
      <c r="M7" s="94"/>
      <c r="N7" s="94"/>
      <c r="O7" s="94"/>
      <c r="P7" s="94"/>
      <c r="Q7" s="94"/>
      <c r="R7" s="92"/>
      <c r="S7" s="92"/>
      <c r="T7" s="92"/>
      <c r="U7" s="92"/>
      <c r="V7" s="92"/>
      <c r="W7" s="92"/>
      <c r="X7" s="92"/>
      <c r="Y7" s="92"/>
      <c r="Z7" s="92"/>
      <c r="AA7" s="92"/>
      <c r="AB7" s="92"/>
      <c r="AC7" s="92"/>
      <c r="AD7" s="92"/>
      <c r="AE7" s="92"/>
      <c r="AF7" s="94"/>
      <c r="AG7" s="92"/>
      <c r="AH7" s="92"/>
      <c r="AI7" s="92"/>
      <c r="AJ7" s="92"/>
      <c r="AK7" s="92"/>
      <c r="AL7" s="92"/>
    </row>
    <row r="8" spans="1:38" s="100" customFormat="1" ht="30" customHeight="1" thickBot="1">
      <c r="A8" s="89"/>
      <c r="B8" s="621" t="s">
        <v>1790</v>
      </c>
      <c r="C8" s="102"/>
      <c r="D8" s="102"/>
      <c r="E8" s="102"/>
      <c r="F8" s="102"/>
      <c r="G8" s="103"/>
      <c r="H8" s="103"/>
      <c r="I8" s="105" t="s">
        <v>1704</v>
      </c>
      <c r="J8" s="106"/>
      <c r="K8" s="106"/>
      <c r="L8" s="106"/>
      <c r="M8" s="106"/>
      <c r="N8" s="106"/>
      <c r="O8" s="106"/>
      <c r="P8" s="106"/>
      <c r="Q8" s="106"/>
      <c r="R8" s="105"/>
      <c r="S8" s="105"/>
      <c r="T8" s="105"/>
      <c r="U8" s="105"/>
      <c r="V8" s="187"/>
    </row>
    <row r="9" spans="1:38"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row>
    <row r="10" spans="1:38"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38" s="98" customFormat="1" ht="15" customHeight="1">
      <c r="A11" s="99"/>
      <c r="B11" s="161"/>
      <c r="C11" s="180" t="s">
        <v>1731</v>
      </c>
      <c r="D11" s="162"/>
      <c r="E11" s="162"/>
      <c r="F11" s="162"/>
      <c r="G11" s="163"/>
      <c r="H11" s="163"/>
      <c r="I11" s="117"/>
      <c r="J11" s="159"/>
      <c r="K11" s="117"/>
      <c r="L11" s="117"/>
      <c r="M11" s="117"/>
      <c r="N11" s="117"/>
      <c r="O11" s="117"/>
      <c r="P11" s="117"/>
      <c r="Q11" s="160"/>
      <c r="R11" s="159"/>
      <c r="S11" s="117"/>
      <c r="T11" s="117"/>
      <c r="U11" s="117"/>
      <c r="V11" s="160"/>
    </row>
    <row r="12" spans="1:38" s="98" customFormat="1" ht="15" customHeight="1">
      <c r="A12" s="99"/>
      <c r="B12" s="161"/>
      <c r="C12" s="185"/>
      <c r="D12" s="162" t="s">
        <v>54</v>
      </c>
      <c r="E12" s="162"/>
      <c r="F12" s="162"/>
      <c r="G12" s="163"/>
      <c r="H12" s="163"/>
      <c r="I12" s="164" t="s">
        <v>498</v>
      </c>
      <c r="J12" s="143">
        <v>9.6815551309763848</v>
      </c>
      <c r="K12" s="141">
        <v>6.9401562211149486</v>
      </c>
      <c r="L12" s="141">
        <v>5.4770473045426105</v>
      </c>
      <c r="M12" s="141">
        <v>5.0092350911146282</v>
      </c>
      <c r="N12" s="141">
        <v>5.220360621008739</v>
      </c>
      <c r="O12" s="141">
        <v>5.8186084900000097</v>
      </c>
      <c r="P12" s="141">
        <v>5.7225254458266921</v>
      </c>
      <c r="Q12" s="144">
        <v>5.5962734254435595</v>
      </c>
      <c r="R12" s="143">
        <v>5.2882044854148607</v>
      </c>
      <c r="S12" s="141">
        <v>5.0404825942723619</v>
      </c>
      <c r="T12" s="141">
        <v>4.8052520178918448</v>
      </c>
      <c r="U12" s="141">
        <v>4.5679175885932422</v>
      </c>
      <c r="V12" s="144">
        <v>4.3193049509041117</v>
      </c>
    </row>
    <row r="13" spans="1:38" s="98" customFormat="1" ht="15" customHeight="1">
      <c r="A13" s="99"/>
      <c r="B13" s="161"/>
      <c r="C13" s="185"/>
      <c r="D13" s="162" t="s">
        <v>1732</v>
      </c>
      <c r="E13" s="162"/>
      <c r="F13" s="162"/>
      <c r="G13" s="163"/>
      <c r="H13" s="163"/>
      <c r="I13" s="164" t="s">
        <v>498</v>
      </c>
      <c r="J13" s="143">
        <v>1.6677367213376073</v>
      </c>
      <c r="K13" s="141">
        <v>1.7329619220779215</v>
      </c>
      <c r="L13" s="141">
        <v>1.7275854657587046</v>
      </c>
      <c r="M13" s="141">
        <v>1.459363564258543</v>
      </c>
      <c r="N13" s="141">
        <v>1.8442474518508007</v>
      </c>
      <c r="O13" s="141">
        <v>1.8442474518508007</v>
      </c>
      <c r="P13" s="141">
        <v>1.8442474518508007</v>
      </c>
      <c r="Q13" s="144">
        <v>1.8442474518508007</v>
      </c>
      <c r="R13" s="143">
        <v>1.8442474518508007</v>
      </c>
      <c r="S13" s="141">
        <v>1.8442474518508007</v>
      </c>
      <c r="T13" s="141">
        <v>1.8442474518508007</v>
      </c>
      <c r="U13" s="141">
        <v>1.8442474518508007</v>
      </c>
      <c r="V13" s="144">
        <v>1.8442474518508007</v>
      </c>
    </row>
    <row r="14" spans="1:38" s="98" customFormat="1" ht="15" customHeight="1">
      <c r="A14" s="99"/>
      <c r="B14" s="161"/>
      <c r="C14" s="185"/>
      <c r="D14" s="162" t="s">
        <v>1733</v>
      </c>
      <c r="E14" s="162"/>
      <c r="F14" s="162"/>
      <c r="G14" s="163"/>
      <c r="H14" s="163"/>
      <c r="I14" s="164" t="s">
        <v>498</v>
      </c>
      <c r="J14" s="143">
        <v>39.773855610158371</v>
      </c>
      <c r="K14" s="141">
        <v>39.919936862337643</v>
      </c>
      <c r="L14" s="141">
        <v>40.396233596299616</v>
      </c>
      <c r="M14" s="141">
        <v>39.869479224218075</v>
      </c>
      <c r="N14" s="141">
        <v>44.033172797503155</v>
      </c>
      <c r="O14" s="141">
        <v>44.033172797503155</v>
      </c>
      <c r="P14" s="141">
        <v>44.033172797503155</v>
      </c>
      <c r="Q14" s="144">
        <v>44.033172797503155</v>
      </c>
      <c r="R14" s="143">
        <v>44.033172797503155</v>
      </c>
      <c r="S14" s="141">
        <v>44.033172797503155</v>
      </c>
      <c r="T14" s="141">
        <v>44.033172797503155</v>
      </c>
      <c r="U14" s="141">
        <v>44.033172797503155</v>
      </c>
      <c r="V14" s="144">
        <v>44.033172797503155</v>
      </c>
    </row>
    <row r="15" spans="1:38" s="98" customFormat="1" ht="15" customHeight="1">
      <c r="A15" s="99"/>
      <c r="B15" s="161"/>
      <c r="C15" s="185"/>
      <c r="D15" s="162" t="s">
        <v>1734</v>
      </c>
      <c r="E15" s="162"/>
      <c r="F15" s="162"/>
      <c r="G15" s="163"/>
      <c r="H15" s="163"/>
      <c r="I15" s="164" t="s">
        <v>498</v>
      </c>
      <c r="J15" s="143">
        <v>8.778358022190174</v>
      </c>
      <c r="K15" s="141">
        <v>8.8568703584415545</v>
      </c>
      <c r="L15" s="141">
        <v>9.3521124707696242</v>
      </c>
      <c r="M15" s="141">
        <v>29.781380751117005</v>
      </c>
      <c r="N15" s="141">
        <v>11.130001309529005</v>
      </c>
      <c r="O15" s="141">
        <v>4.2</v>
      </c>
      <c r="P15" s="141">
        <v>4.2</v>
      </c>
      <c r="Q15" s="144">
        <v>4.2</v>
      </c>
      <c r="R15" s="143">
        <v>4.2</v>
      </c>
      <c r="S15" s="141">
        <v>4.2</v>
      </c>
      <c r="T15" s="141">
        <v>4.2</v>
      </c>
      <c r="U15" s="141">
        <v>4.2</v>
      </c>
      <c r="V15" s="144">
        <v>4.2</v>
      </c>
    </row>
    <row r="16" spans="1:38" s="98" customFormat="1" ht="15" customHeight="1">
      <c r="A16" s="99"/>
      <c r="B16" s="161"/>
      <c r="C16" s="185"/>
      <c r="D16" s="162" t="s">
        <v>1735</v>
      </c>
      <c r="E16" s="162"/>
      <c r="F16" s="162"/>
      <c r="G16" s="163"/>
      <c r="H16" s="163"/>
      <c r="I16" s="164" t="s">
        <v>498</v>
      </c>
      <c r="J16" s="143">
        <v>0.10279007071778427</v>
      </c>
      <c r="K16" s="141">
        <v>5.8501262337662313E-2</v>
      </c>
      <c r="L16" s="141">
        <v>9.9374385198509552E-2</v>
      </c>
      <c r="M16" s="141">
        <v>7.9295385223704828E-2</v>
      </c>
      <c r="N16" s="141">
        <v>2.3547888048365266E-2</v>
      </c>
      <c r="O16" s="141">
        <v>2.3547888048365266E-2</v>
      </c>
      <c r="P16" s="141">
        <v>2.3547888048365266E-2</v>
      </c>
      <c r="Q16" s="144">
        <v>2.3547888048365266E-2</v>
      </c>
      <c r="R16" s="2447"/>
      <c r="S16" s="2448"/>
      <c r="T16" s="2448"/>
      <c r="U16" s="2448"/>
      <c r="V16" s="2449"/>
    </row>
    <row r="17" spans="1:22" s="98" customFormat="1" ht="15" customHeight="1">
      <c r="A17" s="99"/>
      <c r="B17" s="161"/>
      <c r="C17" s="185"/>
      <c r="D17" s="162" t="s">
        <v>1736</v>
      </c>
      <c r="E17" s="162"/>
      <c r="F17" s="162"/>
      <c r="G17" s="163"/>
      <c r="H17" s="163"/>
      <c r="I17" s="164" t="s">
        <v>498</v>
      </c>
      <c r="J17" s="143">
        <v>0</v>
      </c>
      <c r="K17" s="141">
        <v>1.7660758441558434E-2</v>
      </c>
      <c r="L17" s="141">
        <v>0.50342408325838361</v>
      </c>
      <c r="M17" s="141">
        <v>0.52369033487048644</v>
      </c>
      <c r="N17" s="141">
        <v>0.91368880805796837</v>
      </c>
      <c r="O17" s="141">
        <v>0.91368880805796837</v>
      </c>
      <c r="P17" s="141">
        <v>0.91368880805796837</v>
      </c>
      <c r="Q17" s="144">
        <v>0.91368880805796837</v>
      </c>
      <c r="R17" s="2447"/>
      <c r="S17" s="2448"/>
      <c r="T17" s="2448"/>
      <c r="U17" s="2448"/>
      <c r="V17" s="2449"/>
    </row>
    <row r="18" spans="1:22" s="98" customFormat="1" ht="15" customHeight="1">
      <c r="A18" s="99"/>
      <c r="B18" s="161"/>
      <c r="C18" s="185"/>
      <c r="D18" s="162" t="s">
        <v>1791</v>
      </c>
      <c r="E18" s="162"/>
      <c r="F18" s="162"/>
      <c r="G18" s="163"/>
      <c r="H18" s="163"/>
      <c r="I18" s="164" t="s">
        <v>498</v>
      </c>
      <c r="J18" s="143">
        <v>5.3664641560891875</v>
      </c>
      <c r="K18" s="141">
        <v>5.4538629662337641</v>
      </c>
      <c r="L18" s="141">
        <v>7.6081466118463297</v>
      </c>
      <c r="M18" s="141">
        <v>7.4881274626593983</v>
      </c>
      <c r="N18" s="141">
        <v>7.4416101621729442</v>
      </c>
      <c r="O18" s="141">
        <v>7.43759704</v>
      </c>
      <c r="P18" s="141">
        <v>7.43759704</v>
      </c>
      <c r="Q18" s="144">
        <v>7.43759704</v>
      </c>
      <c r="R18" s="143">
        <v>7.43759704</v>
      </c>
      <c r="S18" s="141">
        <v>7.43759704</v>
      </c>
      <c r="T18" s="141">
        <v>7.43759704</v>
      </c>
      <c r="U18" s="141">
        <v>7.43759704</v>
      </c>
      <c r="V18" s="144">
        <v>7.43759704</v>
      </c>
    </row>
    <row r="19" spans="1:22" s="98" customFormat="1" ht="15" customHeight="1">
      <c r="A19" s="99"/>
      <c r="B19" s="161"/>
      <c r="C19" s="185"/>
      <c r="D19" s="162" t="s">
        <v>1738</v>
      </c>
      <c r="E19" s="162"/>
      <c r="F19" s="162"/>
      <c r="G19" s="163"/>
      <c r="H19" s="163"/>
      <c r="I19" s="164" t="s">
        <v>498</v>
      </c>
      <c r="J19" s="143">
        <v>-7.9852345003158076E-2</v>
      </c>
      <c r="K19" s="141">
        <v>2.9802529870129858E-2</v>
      </c>
      <c r="L19" s="141">
        <v>5.3509284337658988E-2</v>
      </c>
      <c r="M19" s="141">
        <v>9.1675762645815687E-2</v>
      </c>
      <c r="N19" s="141">
        <v>-9.8003546725304452E-2</v>
      </c>
      <c r="O19" s="141">
        <v>0</v>
      </c>
      <c r="P19" s="141">
        <v>0</v>
      </c>
      <c r="Q19" s="144">
        <v>0</v>
      </c>
      <c r="R19" s="143">
        <v>0</v>
      </c>
      <c r="S19" s="141">
        <v>0</v>
      </c>
      <c r="T19" s="141">
        <v>0</v>
      </c>
      <c r="U19" s="141">
        <v>0</v>
      </c>
      <c r="V19" s="144">
        <v>0</v>
      </c>
    </row>
    <row r="20" spans="1:22" s="98" customFormat="1" ht="15" customHeight="1">
      <c r="A20" s="99"/>
      <c r="B20" s="161"/>
      <c r="C20" s="185"/>
      <c r="D20" s="162" t="s">
        <v>1739</v>
      </c>
      <c r="E20" s="162"/>
      <c r="F20" s="162"/>
      <c r="G20" s="163"/>
      <c r="H20" s="163"/>
      <c r="I20" s="164" t="s">
        <v>498</v>
      </c>
      <c r="J20" s="143">
        <v>7.494125726912559</v>
      </c>
      <c r="K20" s="141">
        <v>9.5677158857142821</v>
      </c>
      <c r="L20" s="141">
        <v>8.2185892637800322</v>
      </c>
      <c r="M20" s="141">
        <v>7.868716338606446</v>
      </c>
      <c r="N20" s="141">
        <v>7.8800220061443085</v>
      </c>
      <c r="O20" s="141">
        <v>7.8800220061443085</v>
      </c>
      <c r="P20" s="141">
        <v>15</v>
      </c>
      <c r="Q20" s="144">
        <v>21</v>
      </c>
      <c r="R20" s="143">
        <v>30.391852929403903</v>
      </c>
      <c r="S20" s="141">
        <v>30.433321538800069</v>
      </c>
      <c r="T20" s="141">
        <v>29.925479493570421</v>
      </c>
      <c r="U20" s="141">
        <v>29.251646969231722</v>
      </c>
      <c r="V20" s="144">
        <v>28.678085319181509</v>
      </c>
    </row>
    <row r="21" spans="1:22" s="98" customFormat="1" ht="15" customHeight="1">
      <c r="A21" s="99"/>
      <c r="B21" s="161"/>
      <c r="C21" s="185"/>
      <c r="D21" s="169" t="s">
        <v>1740</v>
      </c>
      <c r="E21" s="169"/>
      <c r="F21" s="169"/>
      <c r="G21" s="163"/>
      <c r="H21" s="163"/>
      <c r="I21" s="164" t="s">
        <v>498</v>
      </c>
      <c r="J21" s="143">
        <v>1.5465269882189456</v>
      </c>
      <c r="K21" s="141">
        <v>2.6093770597402592</v>
      </c>
      <c r="L21" s="141">
        <v>3.2199916425497626</v>
      </c>
      <c r="M21" s="141">
        <v>2.8613121363468328</v>
      </c>
      <c r="N21" s="141">
        <v>2.7072862312203645</v>
      </c>
      <c r="O21" s="141">
        <v>2.8281305100000003</v>
      </c>
      <c r="P21" s="141">
        <v>2.8899999999999997</v>
      </c>
      <c r="Q21" s="144">
        <v>2.8800000000000003</v>
      </c>
      <c r="R21" s="2447"/>
      <c r="S21" s="2448"/>
      <c r="T21" s="2448"/>
      <c r="U21" s="2448"/>
      <c r="V21" s="2449"/>
    </row>
    <row r="22" spans="1:22" s="98" customFormat="1" ht="15" customHeight="1">
      <c r="A22" s="99"/>
      <c r="B22" s="161"/>
      <c r="C22" s="185"/>
      <c r="D22" s="169" t="s">
        <v>1741</v>
      </c>
      <c r="E22" s="169"/>
      <c r="F22" s="169"/>
      <c r="G22" s="163"/>
      <c r="H22" s="163"/>
      <c r="I22" s="164" t="s">
        <v>498</v>
      </c>
      <c r="J22" s="143">
        <v>0</v>
      </c>
      <c r="K22" s="141">
        <v>0</v>
      </c>
      <c r="L22" s="141">
        <v>0</v>
      </c>
      <c r="M22" s="141">
        <v>0</v>
      </c>
      <c r="N22" s="141">
        <v>0</v>
      </c>
      <c r="O22" s="141">
        <v>0</v>
      </c>
      <c r="P22" s="141">
        <v>0</v>
      </c>
      <c r="Q22" s="144">
        <v>0</v>
      </c>
      <c r="R22" s="2447"/>
      <c r="S22" s="2448"/>
      <c r="T22" s="2448"/>
      <c r="U22" s="2448"/>
      <c r="V22" s="2449"/>
    </row>
    <row r="23" spans="1:22" s="98" customFormat="1" ht="15" customHeight="1">
      <c r="A23" s="99"/>
      <c r="B23" s="161"/>
      <c r="C23" s="185"/>
      <c r="D23" s="162" t="s">
        <v>1742</v>
      </c>
      <c r="E23" s="162"/>
      <c r="F23" s="162"/>
      <c r="G23" s="163"/>
      <c r="H23" s="163"/>
      <c r="I23" s="164" t="s">
        <v>498</v>
      </c>
      <c r="J23" s="713"/>
      <c r="K23" s="721"/>
      <c r="L23" s="721"/>
      <c r="M23" s="721"/>
      <c r="N23" s="721"/>
      <c r="O23" s="721"/>
      <c r="P23" s="721"/>
      <c r="Q23" s="715"/>
      <c r="R23" s="143">
        <v>3.1360000000000001</v>
      </c>
      <c r="S23" s="141">
        <v>3.3130000000000002</v>
      </c>
      <c r="T23" s="141">
        <v>2.2559999999999998</v>
      </c>
      <c r="U23" s="141">
        <v>2.242</v>
      </c>
      <c r="V23" s="144">
        <v>2.2229999999999999</v>
      </c>
    </row>
    <row r="24" spans="1:22" s="98" customFormat="1" ht="15" customHeight="1">
      <c r="A24" s="99"/>
      <c r="B24" s="161"/>
      <c r="C24" s="185"/>
      <c r="D24" s="162" t="s">
        <v>85</v>
      </c>
      <c r="E24" s="162"/>
      <c r="F24" s="162"/>
      <c r="G24" s="720" t="s">
        <v>1792</v>
      </c>
      <c r="H24" s="163"/>
      <c r="I24" s="164" t="s">
        <v>498</v>
      </c>
      <c r="J24" s="143">
        <v>0</v>
      </c>
      <c r="K24" s="141">
        <v>0</v>
      </c>
      <c r="L24" s="141">
        <v>0</v>
      </c>
      <c r="M24" s="141">
        <v>0</v>
      </c>
      <c r="N24" s="141">
        <v>0</v>
      </c>
      <c r="O24" s="141">
        <v>0</v>
      </c>
      <c r="P24" s="141">
        <v>0</v>
      </c>
      <c r="Q24" s="144">
        <v>0</v>
      </c>
      <c r="R24" s="143">
        <v>3.0750000000000002</v>
      </c>
      <c r="S24" s="141">
        <v>2.9699999999999998</v>
      </c>
      <c r="T24" s="141">
        <v>2.5975000000000001</v>
      </c>
      <c r="U24" s="141">
        <v>2.0074999999999998</v>
      </c>
      <c r="V24" s="144">
        <v>0.85000000000000009</v>
      </c>
    </row>
    <row r="25" spans="1:22" s="98" customFormat="1" ht="15" customHeight="1">
      <c r="A25" s="99"/>
      <c r="B25" s="161"/>
      <c r="C25" s="185"/>
      <c r="D25" s="162" t="s">
        <v>85</v>
      </c>
      <c r="E25" s="162"/>
      <c r="F25" s="162"/>
      <c r="G25" s="720"/>
      <c r="H25" s="163"/>
      <c r="I25" s="164" t="s">
        <v>498</v>
      </c>
      <c r="J25" s="143">
        <v>0</v>
      </c>
      <c r="K25" s="141">
        <v>0</v>
      </c>
      <c r="L25" s="141">
        <v>0</v>
      </c>
      <c r="M25" s="141">
        <v>0</v>
      </c>
      <c r="N25" s="141">
        <v>0</v>
      </c>
      <c r="O25" s="141">
        <v>0</v>
      </c>
      <c r="P25" s="141">
        <v>0</v>
      </c>
      <c r="Q25" s="144">
        <v>0</v>
      </c>
      <c r="R25" s="143">
        <v>0</v>
      </c>
      <c r="S25" s="141">
        <v>0</v>
      </c>
      <c r="T25" s="141">
        <v>0</v>
      </c>
      <c r="U25" s="141">
        <v>0</v>
      </c>
      <c r="V25" s="144">
        <v>0</v>
      </c>
    </row>
    <row r="26" spans="1:22" s="98" customFormat="1" ht="15" customHeight="1">
      <c r="A26" s="99"/>
      <c r="B26" s="161"/>
      <c r="C26" s="185"/>
      <c r="D26" s="162" t="s">
        <v>85</v>
      </c>
      <c r="E26" s="162"/>
      <c r="F26" s="162"/>
      <c r="G26" s="720"/>
      <c r="H26" s="163"/>
      <c r="I26" s="164" t="s">
        <v>498</v>
      </c>
      <c r="J26" s="143">
        <v>0</v>
      </c>
      <c r="K26" s="141">
        <v>0</v>
      </c>
      <c r="L26" s="141">
        <v>0</v>
      </c>
      <c r="M26" s="141">
        <v>0</v>
      </c>
      <c r="N26" s="141">
        <v>0</v>
      </c>
      <c r="O26" s="141">
        <v>0</v>
      </c>
      <c r="P26" s="141">
        <v>0</v>
      </c>
      <c r="Q26" s="144">
        <v>0</v>
      </c>
      <c r="R26" s="143">
        <v>0</v>
      </c>
      <c r="S26" s="141">
        <v>0</v>
      </c>
      <c r="T26" s="141">
        <v>0</v>
      </c>
      <c r="U26" s="141">
        <v>0</v>
      </c>
      <c r="V26" s="144">
        <v>0</v>
      </c>
    </row>
    <row r="27" spans="1:22" s="98" customFormat="1" ht="15" customHeight="1">
      <c r="A27" s="99"/>
      <c r="B27" s="161"/>
      <c r="C27" s="185"/>
      <c r="D27" s="162" t="s">
        <v>85</v>
      </c>
      <c r="E27" s="162"/>
      <c r="F27" s="162"/>
      <c r="G27" s="720"/>
      <c r="H27" s="163"/>
      <c r="I27" s="164" t="s">
        <v>498</v>
      </c>
      <c r="J27" s="143">
        <v>0</v>
      </c>
      <c r="K27" s="141">
        <v>0</v>
      </c>
      <c r="L27" s="141">
        <v>0</v>
      </c>
      <c r="M27" s="141">
        <v>0</v>
      </c>
      <c r="N27" s="141">
        <v>0</v>
      </c>
      <c r="O27" s="141">
        <v>0</v>
      </c>
      <c r="P27" s="141">
        <v>0</v>
      </c>
      <c r="Q27" s="144">
        <v>0</v>
      </c>
      <c r="R27" s="143">
        <v>0</v>
      </c>
      <c r="S27" s="141">
        <v>0</v>
      </c>
      <c r="T27" s="141">
        <v>0</v>
      </c>
      <c r="U27" s="141">
        <v>0</v>
      </c>
      <c r="V27" s="144">
        <v>0</v>
      </c>
    </row>
    <row r="28" spans="1:22" s="98" customFormat="1" ht="15" customHeight="1">
      <c r="A28" s="99"/>
      <c r="B28" s="161"/>
      <c r="C28" s="185"/>
      <c r="D28" s="162" t="s">
        <v>85</v>
      </c>
      <c r="E28" s="162"/>
      <c r="F28" s="162"/>
      <c r="G28" s="720"/>
      <c r="H28" s="163"/>
      <c r="I28" s="164" t="s">
        <v>498</v>
      </c>
      <c r="J28" s="143">
        <v>0</v>
      </c>
      <c r="K28" s="141">
        <v>0</v>
      </c>
      <c r="L28" s="141">
        <v>0</v>
      </c>
      <c r="M28" s="141">
        <v>0</v>
      </c>
      <c r="N28" s="141">
        <v>0</v>
      </c>
      <c r="O28" s="141">
        <v>0</v>
      </c>
      <c r="P28" s="141">
        <v>0</v>
      </c>
      <c r="Q28" s="144">
        <v>0</v>
      </c>
      <c r="R28" s="143">
        <v>0</v>
      </c>
      <c r="S28" s="141">
        <v>0</v>
      </c>
      <c r="T28" s="141">
        <v>0</v>
      </c>
      <c r="U28" s="141">
        <v>0</v>
      </c>
      <c r="V28" s="144">
        <v>0</v>
      </c>
    </row>
    <row r="29" spans="1:22" s="98" customFormat="1" ht="15" customHeight="1">
      <c r="A29" s="99"/>
      <c r="B29" s="161"/>
      <c r="C29" s="185"/>
      <c r="D29" s="162" t="s">
        <v>85</v>
      </c>
      <c r="E29" s="162"/>
      <c r="F29" s="162"/>
      <c r="G29" s="720"/>
      <c r="H29" s="163"/>
      <c r="I29" s="164" t="s">
        <v>498</v>
      </c>
      <c r="J29" s="143">
        <v>0</v>
      </c>
      <c r="K29" s="141">
        <v>0</v>
      </c>
      <c r="L29" s="141">
        <v>0</v>
      </c>
      <c r="M29" s="141">
        <v>0</v>
      </c>
      <c r="N29" s="141">
        <v>0</v>
      </c>
      <c r="O29" s="141">
        <v>0</v>
      </c>
      <c r="P29" s="141">
        <v>0</v>
      </c>
      <c r="Q29" s="144">
        <v>0</v>
      </c>
      <c r="R29" s="143">
        <v>0</v>
      </c>
      <c r="S29" s="141">
        <v>0</v>
      </c>
      <c r="T29" s="141">
        <v>0</v>
      </c>
      <c r="U29" s="141">
        <v>0</v>
      </c>
      <c r="V29" s="144">
        <v>0</v>
      </c>
    </row>
    <row r="30" spans="1:22" s="98" customFormat="1" ht="15" customHeight="1">
      <c r="A30" s="99"/>
      <c r="B30" s="161"/>
      <c r="C30" s="185"/>
      <c r="D30" s="162" t="s">
        <v>85</v>
      </c>
      <c r="E30" s="162"/>
      <c r="F30" s="162"/>
      <c r="G30" s="720"/>
      <c r="H30" s="163"/>
      <c r="I30" s="164" t="s">
        <v>498</v>
      </c>
      <c r="J30" s="143">
        <v>0</v>
      </c>
      <c r="K30" s="141">
        <v>0</v>
      </c>
      <c r="L30" s="141">
        <v>0</v>
      </c>
      <c r="M30" s="141">
        <v>0</v>
      </c>
      <c r="N30" s="141">
        <v>0</v>
      </c>
      <c r="O30" s="141">
        <v>0</v>
      </c>
      <c r="P30" s="141">
        <v>0</v>
      </c>
      <c r="Q30" s="144">
        <v>0</v>
      </c>
      <c r="R30" s="143">
        <v>0</v>
      </c>
      <c r="S30" s="141">
        <v>0</v>
      </c>
      <c r="T30" s="141">
        <v>0</v>
      </c>
      <c r="U30" s="141">
        <v>0</v>
      </c>
      <c r="V30" s="144">
        <v>0</v>
      </c>
    </row>
    <row r="31" spans="1:22" s="98" customFormat="1" ht="15" customHeight="1">
      <c r="A31" s="99"/>
      <c r="B31" s="161"/>
      <c r="C31" s="185"/>
      <c r="D31" s="162" t="s">
        <v>85</v>
      </c>
      <c r="E31" s="162"/>
      <c r="F31" s="162"/>
      <c r="G31" s="720"/>
      <c r="H31" s="163"/>
      <c r="I31" s="164" t="s">
        <v>498</v>
      </c>
      <c r="J31" s="143">
        <v>0</v>
      </c>
      <c r="K31" s="141">
        <v>0</v>
      </c>
      <c r="L31" s="141">
        <v>0</v>
      </c>
      <c r="M31" s="141">
        <v>0</v>
      </c>
      <c r="N31" s="141">
        <v>0</v>
      </c>
      <c r="O31" s="141">
        <v>0</v>
      </c>
      <c r="P31" s="141">
        <v>0</v>
      </c>
      <c r="Q31" s="144">
        <v>0</v>
      </c>
      <c r="R31" s="143">
        <v>0</v>
      </c>
      <c r="S31" s="141">
        <v>0</v>
      </c>
      <c r="T31" s="141">
        <v>0</v>
      </c>
      <c r="U31" s="141">
        <v>0</v>
      </c>
      <c r="V31" s="144">
        <v>0</v>
      </c>
    </row>
    <row r="32" spans="1:22" s="98" customFormat="1" ht="15" customHeight="1" thickBot="1">
      <c r="A32" s="99"/>
      <c r="B32" s="131" t="s">
        <v>1793</v>
      </c>
      <c r="C32" s="132"/>
      <c r="D32" s="132"/>
      <c r="E32" s="132"/>
      <c r="F32" s="132"/>
      <c r="G32" s="145"/>
      <c r="H32" s="133"/>
      <c r="I32" s="146" t="s">
        <v>498</v>
      </c>
      <c r="J32" s="717">
        <f>SUM(J12:J31)</f>
        <v>74.331560081597857</v>
      </c>
      <c r="K32" s="718">
        <f t="shared" ref="K32:V32" si="0">SUM(K12:K31)</f>
        <v>75.186845826309721</v>
      </c>
      <c r="L32" s="718">
        <f t="shared" si="0"/>
        <v>76.656014108341225</v>
      </c>
      <c r="M32" s="718">
        <f t="shared" si="0"/>
        <v>95.032276051060933</v>
      </c>
      <c r="N32" s="718">
        <f t="shared" si="0"/>
        <v>81.095933728810337</v>
      </c>
      <c r="O32" s="718">
        <f t="shared" si="0"/>
        <v>74.9790149916046</v>
      </c>
      <c r="P32" s="718">
        <f t="shared" si="0"/>
        <v>82.064779431286993</v>
      </c>
      <c r="Q32" s="719">
        <f t="shared" si="0"/>
        <v>87.928527410903854</v>
      </c>
      <c r="R32" s="717">
        <f t="shared" si="0"/>
        <v>99.406074704172724</v>
      </c>
      <c r="S32" s="718">
        <f t="shared" si="0"/>
        <v>99.271821422426385</v>
      </c>
      <c r="T32" s="718">
        <f t="shared" si="0"/>
        <v>97.099248800816213</v>
      </c>
      <c r="U32" s="718">
        <f t="shared" si="0"/>
        <v>95.584081847178922</v>
      </c>
      <c r="V32" s="719">
        <f t="shared" si="0"/>
        <v>93.585407559439574</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sheetPr>
  <dimension ref="A1:AC54"/>
  <sheetViews>
    <sheetView showGridLines="0" topLeftCell="A22" zoomScale="80" zoomScaleNormal="80" workbookViewId="0">
      <pane xSplit="7" topLeftCell="J1" activePane="topRight" state="frozen"/>
      <selection activeCell="G14" sqref="G14"/>
      <selection pane="topRight" activeCell="Q42" sqref="Q42"/>
    </sheetView>
  </sheetViews>
  <sheetFormatPr defaultColWidth="11.875" defaultRowHeight="14.25"/>
  <cols>
    <col min="1" max="1" width="11.875" style="248"/>
    <col min="2" max="6" width="4.375" style="248" customWidth="1"/>
    <col min="7" max="7" width="38.25" style="248" customWidth="1"/>
    <col min="8" max="22" width="15.625" style="248" customWidth="1"/>
    <col min="23" max="16384" width="11.875" style="248"/>
  </cols>
  <sheetData>
    <row r="1" spans="1:29" s="2" customFormat="1" ht="25.15" customHeight="1">
      <c r="A1" s="1" t="s">
        <v>0</v>
      </c>
      <c r="E1" s="3"/>
      <c r="H1" s="4" t="s">
        <v>1</v>
      </c>
      <c r="J1" s="3"/>
    </row>
    <row r="2" spans="1:29" s="2" customFormat="1" ht="25.15" customHeight="1">
      <c r="A2" s="5" t="str">
        <f>Fixed_Data!I12</f>
        <v>MASTER</v>
      </c>
      <c r="B2" s="6"/>
      <c r="D2" s="7"/>
      <c r="E2" s="3"/>
    </row>
    <row r="3" spans="1:29" s="9" customFormat="1" ht="25.15" customHeight="1" thickBot="1">
      <c r="A3" s="8" t="str">
        <f>Fixed_Data!A3</f>
        <v>RIIO-GD2</v>
      </c>
      <c r="D3" s="10"/>
      <c r="E3" s="11"/>
    </row>
    <row r="4" spans="1:29" ht="25.15" customHeight="1">
      <c r="A4" s="249"/>
      <c r="B4" s="250" t="s">
        <v>1794</v>
      </c>
      <c r="C4" s="250"/>
      <c r="D4" s="250"/>
      <c r="E4" s="250"/>
      <c r="F4" s="250"/>
      <c r="G4" s="251"/>
      <c r="H4" s="252"/>
      <c r="I4" s="253"/>
      <c r="J4" s="249"/>
      <c r="K4" s="249"/>
      <c r="L4" s="249"/>
      <c r="M4" s="249"/>
      <c r="N4" s="249"/>
      <c r="O4" s="249"/>
      <c r="P4" s="249"/>
      <c r="Q4" s="249"/>
      <c r="R4" s="252"/>
      <c r="S4" s="252"/>
      <c r="T4" s="252"/>
      <c r="U4" s="252"/>
      <c r="V4" s="252"/>
    </row>
    <row r="5" spans="1:29" s="254" customFormat="1" ht="25.15" customHeight="1">
      <c r="B5" s="95" t="s">
        <v>1663</v>
      </c>
      <c r="C5" s="95"/>
      <c r="D5" s="95"/>
      <c r="E5" s="95"/>
      <c r="F5" s="95" t="s">
        <v>463</v>
      </c>
      <c r="J5" s="95"/>
      <c r="K5" s="255"/>
      <c r="L5" s="256"/>
      <c r="M5" s="256"/>
      <c r="N5" s="256"/>
      <c r="O5" s="256"/>
      <c r="P5" s="256"/>
      <c r="Q5" s="256"/>
      <c r="R5" s="256"/>
      <c r="S5" s="256"/>
      <c r="T5" s="257"/>
      <c r="U5" s="257"/>
      <c r="V5" s="257"/>
      <c r="W5" s="257"/>
      <c r="X5" s="257"/>
      <c r="Y5" s="257"/>
      <c r="Z5" s="257"/>
      <c r="AA5" s="257"/>
      <c r="AB5" s="257"/>
      <c r="AC5" s="256"/>
    </row>
    <row r="6" spans="1:29" s="254" customFormat="1" ht="15" customHeight="1">
      <c r="B6" s="95"/>
      <c r="C6" s="95"/>
      <c r="D6" s="95"/>
      <c r="E6" s="95"/>
      <c r="F6" s="95"/>
      <c r="J6" s="95"/>
      <c r="K6" s="255"/>
      <c r="L6" s="256"/>
      <c r="M6" s="256"/>
      <c r="N6" s="256"/>
      <c r="O6" s="256"/>
      <c r="P6" s="256"/>
      <c r="Q6" s="256"/>
      <c r="R6" s="256"/>
      <c r="S6" s="256"/>
      <c r="T6" s="257"/>
      <c r="U6" s="257"/>
      <c r="V6" s="257"/>
      <c r="W6" s="257"/>
      <c r="X6" s="257"/>
      <c r="Y6" s="257"/>
      <c r="Z6" s="257"/>
      <c r="AA6" s="257"/>
      <c r="AB6" s="257"/>
      <c r="AC6" s="256"/>
    </row>
    <row r="7" spans="1:29" ht="15" customHeight="1" thickBot="1">
      <c r="A7" s="258"/>
      <c r="B7" s="258"/>
      <c r="C7" s="258"/>
      <c r="D7" s="258"/>
      <c r="E7" s="258"/>
      <c r="F7" s="258"/>
      <c r="G7" s="259"/>
      <c r="H7" s="259"/>
      <c r="I7" s="260"/>
      <c r="J7" s="259"/>
      <c r="K7" s="259"/>
      <c r="L7" s="259"/>
      <c r="M7" s="259"/>
      <c r="N7" s="259"/>
      <c r="O7" s="259"/>
      <c r="P7" s="259"/>
      <c r="Q7" s="259"/>
      <c r="R7" s="259"/>
      <c r="S7" s="259"/>
      <c r="T7" s="259"/>
      <c r="U7" s="259"/>
      <c r="V7" s="259"/>
    </row>
    <row r="8" spans="1:29" ht="30" customHeight="1" thickBot="1">
      <c r="A8" s="258"/>
      <c r="B8" s="261" t="s">
        <v>1795</v>
      </c>
      <c r="C8" s="738"/>
      <c r="D8" s="738"/>
      <c r="E8" s="738"/>
      <c r="F8" s="738"/>
      <c r="G8" s="262"/>
      <c r="H8" s="294"/>
      <c r="I8" s="105" t="s">
        <v>1704</v>
      </c>
      <c r="J8" s="106"/>
      <c r="K8" s="106"/>
      <c r="L8" s="106"/>
      <c r="M8" s="106"/>
      <c r="N8" s="106"/>
      <c r="O8" s="106"/>
      <c r="P8" s="106"/>
      <c r="Q8" s="106"/>
      <c r="R8" s="105"/>
      <c r="S8" s="105"/>
      <c r="T8" s="105"/>
      <c r="U8" s="105"/>
      <c r="V8" s="187"/>
    </row>
    <row r="9" spans="1:29" ht="30" customHeight="1">
      <c r="A9" s="258"/>
      <c r="B9" s="263"/>
      <c r="C9" s="264"/>
      <c r="D9" s="264"/>
      <c r="E9" s="264"/>
      <c r="F9" s="264"/>
      <c r="G9" s="264"/>
      <c r="H9" s="259"/>
      <c r="I9" s="265"/>
      <c r="J9" s="266" t="s">
        <v>1666</v>
      </c>
      <c r="K9" s="267"/>
      <c r="L9" s="267"/>
      <c r="M9" s="267"/>
      <c r="N9" s="267"/>
      <c r="O9" s="267"/>
      <c r="P9" s="267"/>
      <c r="Q9" s="268"/>
      <c r="R9" s="269" t="s">
        <v>2</v>
      </c>
      <c r="S9" s="270"/>
      <c r="T9" s="270"/>
      <c r="U9" s="270"/>
      <c r="V9" s="271"/>
    </row>
    <row r="10" spans="1:29" ht="15">
      <c r="A10" s="258"/>
      <c r="B10" s="276"/>
      <c r="C10" s="739"/>
      <c r="D10" s="739"/>
      <c r="E10" s="739"/>
      <c r="F10" s="739"/>
      <c r="G10" s="264"/>
      <c r="H10" s="259"/>
      <c r="I10" s="272" t="s">
        <v>1745</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29" ht="15">
      <c r="A11" s="258"/>
      <c r="B11" s="276"/>
      <c r="C11" s="506" t="s">
        <v>1796</v>
      </c>
      <c r="D11" s="739"/>
      <c r="E11" s="739"/>
      <c r="F11" s="739"/>
      <c r="G11" s="264"/>
      <c r="H11" s="259"/>
      <c r="I11" s="260"/>
      <c r="J11" s="295">
        <f>Universal_Data!G62/Universal_Data!G57</f>
        <v>1.125430515665407</v>
      </c>
      <c r="K11" s="259">
        <f>Universal_Data!G62/Universal_Data!G58</f>
        <v>1.1037974025974022</v>
      </c>
      <c r="L11" s="259">
        <f>Universal_Data!G62/Universal_Data!G59</f>
        <v>1.0920262109726324</v>
      </c>
      <c r="M11" s="259">
        <f>Universal_Data!G62/Universal_Data!G60</f>
        <v>1.069119067745441</v>
      </c>
      <c r="N11" s="259">
        <f>Universal_Data!G62/Universal_Data!G61</f>
        <v>1.0305556768082411</v>
      </c>
      <c r="O11" s="259"/>
      <c r="P11" s="259"/>
      <c r="Q11" s="296"/>
      <c r="R11" s="295"/>
      <c r="S11" s="259"/>
      <c r="T11" s="259"/>
      <c r="U11" s="259"/>
      <c r="V11" s="296"/>
    </row>
    <row r="12" spans="1:29" ht="15">
      <c r="A12" s="258"/>
      <c r="B12" s="276"/>
      <c r="C12" s="264"/>
      <c r="D12" s="264" t="s">
        <v>1797</v>
      </c>
      <c r="E12" s="743"/>
      <c r="F12" s="743"/>
      <c r="G12" s="264"/>
      <c r="H12" s="259"/>
      <c r="I12" s="277" t="s">
        <v>498</v>
      </c>
      <c r="J12" s="297">
        <v>0</v>
      </c>
      <c r="K12" s="298">
        <v>0</v>
      </c>
      <c r="L12" s="298">
        <v>0</v>
      </c>
      <c r="M12" s="298">
        <v>0</v>
      </c>
      <c r="N12" s="298">
        <v>0</v>
      </c>
      <c r="O12" s="298">
        <v>0</v>
      </c>
      <c r="P12" s="298">
        <v>0</v>
      </c>
      <c r="Q12" s="299">
        <v>0</v>
      </c>
      <c r="R12" s="297">
        <v>0</v>
      </c>
      <c r="S12" s="298">
        <v>0</v>
      </c>
      <c r="T12" s="298">
        <v>0</v>
      </c>
      <c r="U12" s="298">
        <v>0</v>
      </c>
      <c r="V12" s="299">
        <v>0</v>
      </c>
    </row>
    <row r="13" spans="1:29" ht="15">
      <c r="A13" s="258"/>
      <c r="B13" s="276"/>
      <c r="C13" s="264"/>
      <c r="D13" s="264" t="s">
        <v>1798</v>
      </c>
      <c r="E13" s="743"/>
      <c r="F13" s="743"/>
      <c r="G13" s="264"/>
      <c r="H13" s="259"/>
      <c r="I13" s="277" t="s">
        <v>498</v>
      </c>
      <c r="J13" s="297">
        <v>0</v>
      </c>
      <c r="K13" s="298">
        <v>0</v>
      </c>
      <c r="L13" s="298">
        <v>0</v>
      </c>
      <c r="M13" s="298">
        <v>0</v>
      </c>
      <c r="N13" s="298">
        <v>0</v>
      </c>
      <c r="O13" s="298">
        <v>0</v>
      </c>
      <c r="P13" s="298">
        <v>0</v>
      </c>
      <c r="Q13" s="299">
        <v>0</v>
      </c>
      <c r="R13" s="297">
        <v>0</v>
      </c>
      <c r="S13" s="298">
        <v>0</v>
      </c>
      <c r="T13" s="298">
        <v>0</v>
      </c>
      <c r="U13" s="298">
        <v>0</v>
      </c>
      <c r="V13" s="299">
        <v>0</v>
      </c>
    </row>
    <row r="14" spans="1:29" ht="15">
      <c r="A14" s="258"/>
      <c r="B14" s="276"/>
      <c r="C14" s="264"/>
      <c r="D14" s="264" t="s">
        <v>1799</v>
      </c>
      <c r="E14" s="743"/>
      <c r="F14" s="743"/>
      <c r="G14" s="264"/>
      <c r="H14" s="259"/>
      <c r="I14" s="277" t="s">
        <v>498</v>
      </c>
      <c r="J14" s="297">
        <v>0</v>
      </c>
      <c r="K14" s="298">
        <v>0</v>
      </c>
      <c r="L14" s="298">
        <v>0</v>
      </c>
      <c r="M14" s="298">
        <v>0</v>
      </c>
      <c r="N14" s="298">
        <v>0</v>
      </c>
      <c r="O14" s="298">
        <v>0</v>
      </c>
      <c r="P14" s="298">
        <v>0</v>
      </c>
      <c r="Q14" s="299">
        <v>0</v>
      </c>
      <c r="R14" s="297">
        <v>0</v>
      </c>
      <c r="S14" s="298">
        <v>0</v>
      </c>
      <c r="T14" s="298">
        <v>0</v>
      </c>
      <c r="U14" s="298">
        <v>0</v>
      </c>
      <c r="V14" s="299">
        <v>0</v>
      </c>
    </row>
    <row r="15" spans="1:29" s="338" customFormat="1">
      <c r="B15" s="349"/>
      <c r="C15" s="339" t="s">
        <v>1800</v>
      </c>
      <c r="D15" s="339"/>
      <c r="E15" s="339"/>
      <c r="F15" s="339"/>
      <c r="G15" s="625"/>
      <c r="H15" s="339"/>
      <c r="I15" s="576" t="s">
        <v>498</v>
      </c>
      <c r="J15" s="631">
        <f>SUM(J12:J14)</f>
        <v>0</v>
      </c>
      <c r="K15" s="632">
        <f t="shared" ref="K15:V15" si="0">SUM(K12:K14)</f>
        <v>0</v>
      </c>
      <c r="L15" s="632">
        <f t="shared" si="0"/>
        <v>0</v>
      </c>
      <c r="M15" s="632">
        <f t="shared" si="0"/>
        <v>0</v>
      </c>
      <c r="N15" s="632">
        <f t="shared" si="0"/>
        <v>0</v>
      </c>
      <c r="O15" s="632">
        <f>SUM(O12:O14)</f>
        <v>0</v>
      </c>
      <c r="P15" s="632">
        <f t="shared" si="0"/>
        <v>0</v>
      </c>
      <c r="Q15" s="633">
        <f t="shared" si="0"/>
        <v>0</v>
      </c>
      <c r="R15" s="631">
        <f t="shared" si="0"/>
        <v>0</v>
      </c>
      <c r="S15" s="632">
        <f t="shared" si="0"/>
        <v>0</v>
      </c>
      <c r="T15" s="632">
        <f t="shared" si="0"/>
        <v>0</v>
      </c>
      <c r="U15" s="632">
        <f t="shared" si="0"/>
        <v>0</v>
      </c>
      <c r="V15" s="633">
        <f t="shared" si="0"/>
        <v>0</v>
      </c>
    </row>
    <row r="16" spans="1:29" ht="15">
      <c r="A16" s="258"/>
      <c r="B16" s="276"/>
      <c r="C16" s="506"/>
      <c r="D16" s="739"/>
      <c r="E16" s="739"/>
      <c r="F16" s="739"/>
      <c r="G16" s="264"/>
      <c r="H16" s="259"/>
      <c r="I16" s="260"/>
      <c r="J16" s="295"/>
      <c r="K16" s="259"/>
      <c r="L16" s="259"/>
      <c r="M16" s="259"/>
      <c r="N16" s="259"/>
      <c r="O16" s="259"/>
      <c r="P16" s="259"/>
      <c r="Q16" s="296"/>
      <c r="R16" s="295"/>
      <c r="S16" s="259"/>
      <c r="T16" s="259"/>
      <c r="U16" s="259"/>
      <c r="V16" s="296"/>
    </row>
    <row r="17" spans="1:22" ht="15">
      <c r="A17" s="258"/>
      <c r="B17" s="276"/>
      <c r="C17" s="506" t="s">
        <v>1801</v>
      </c>
      <c r="D17" s="739"/>
      <c r="E17" s="739"/>
      <c r="F17" s="739"/>
      <c r="G17" s="264"/>
      <c r="H17" s="259"/>
      <c r="I17" s="260"/>
      <c r="J17" s="295"/>
      <c r="K17" s="259"/>
      <c r="L17" s="259"/>
      <c r="M17" s="259"/>
      <c r="N17" s="259"/>
      <c r="O17" s="259"/>
      <c r="P17" s="259"/>
      <c r="Q17" s="296"/>
      <c r="R17" s="295"/>
      <c r="S17" s="259"/>
      <c r="T17" s="259"/>
      <c r="U17" s="259"/>
      <c r="V17" s="296"/>
    </row>
    <row r="18" spans="1:22" ht="15">
      <c r="A18" s="258"/>
      <c r="B18" s="276"/>
      <c r="C18" s="264"/>
      <c r="D18" s="264" t="s">
        <v>1670</v>
      </c>
      <c r="E18" s="743"/>
      <c r="F18" s="743"/>
      <c r="G18" s="264"/>
      <c r="H18" s="259"/>
      <c r="I18" s="277" t="s">
        <v>498</v>
      </c>
      <c r="J18" s="297">
        <v>0</v>
      </c>
      <c r="K18" s="298">
        <v>0</v>
      </c>
      <c r="L18" s="298">
        <v>0</v>
      </c>
      <c r="M18" s="298">
        <v>0</v>
      </c>
      <c r="N18" s="298">
        <v>0</v>
      </c>
      <c r="O18" s="298">
        <v>0</v>
      </c>
      <c r="P18" s="298">
        <v>0</v>
      </c>
      <c r="Q18" s="299">
        <v>0</v>
      </c>
      <c r="R18" s="297">
        <v>0</v>
      </c>
      <c r="S18" s="298">
        <v>0</v>
      </c>
      <c r="T18" s="298">
        <v>0</v>
      </c>
      <c r="U18" s="298">
        <v>0</v>
      </c>
      <c r="V18" s="299">
        <v>0</v>
      </c>
    </row>
    <row r="19" spans="1:22" ht="15">
      <c r="A19" s="258"/>
      <c r="B19" s="276"/>
      <c r="C19" s="264"/>
      <c r="D19" s="264" t="s">
        <v>41</v>
      </c>
      <c r="E19" s="743"/>
      <c r="F19" s="743"/>
      <c r="G19" s="264"/>
      <c r="H19" s="259"/>
      <c r="I19" s="277" t="s">
        <v>498</v>
      </c>
      <c r="J19" s="297">
        <v>0</v>
      </c>
      <c r="K19" s="298">
        <v>0</v>
      </c>
      <c r="L19" s="298">
        <v>0</v>
      </c>
      <c r="M19" s="298">
        <v>0</v>
      </c>
      <c r="N19" s="298">
        <v>0</v>
      </c>
      <c r="O19" s="298">
        <v>0</v>
      </c>
      <c r="P19" s="298">
        <v>0</v>
      </c>
      <c r="Q19" s="299">
        <v>0</v>
      </c>
      <c r="R19" s="297">
        <v>0</v>
      </c>
      <c r="S19" s="298">
        <v>0</v>
      </c>
      <c r="T19" s="298">
        <v>0</v>
      </c>
      <c r="U19" s="298">
        <v>0</v>
      </c>
      <c r="V19" s="299">
        <v>0</v>
      </c>
    </row>
    <row r="20" spans="1:22" ht="15">
      <c r="A20" s="258"/>
      <c r="B20" s="276"/>
      <c r="C20" s="264"/>
      <c r="D20" s="264" t="s">
        <v>71</v>
      </c>
      <c r="E20" s="743"/>
      <c r="F20" s="743"/>
      <c r="G20" s="264"/>
      <c r="H20" s="259"/>
      <c r="I20" s="277" t="s">
        <v>498</v>
      </c>
      <c r="J20" s="297">
        <v>0</v>
      </c>
      <c r="K20" s="298">
        <v>0</v>
      </c>
      <c r="L20" s="298">
        <v>0</v>
      </c>
      <c r="M20" s="298">
        <v>0</v>
      </c>
      <c r="N20" s="298">
        <v>0</v>
      </c>
      <c r="O20" s="298">
        <v>0</v>
      </c>
      <c r="P20" s="298">
        <v>0</v>
      </c>
      <c r="Q20" s="299">
        <v>0</v>
      </c>
      <c r="R20" s="297">
        <v>0</v>
      </c>
      <c r="S20" s="298">
        <v>0</v>
      </c>
      <c r="T20" s="298">
        <v>0</v>
      </c>
      <c r="U20" s="298">
        <v>0</v>
      </c>
      <c r="V20" s="299">
        <v>0</v>
      </c>
    </row>
    <row r="21" spans="1:22">
      <c r="A21" s="258"/>
      <c r="B21" s="745"/>
      <c r="C21" s="162"/>
      <c r="D21" s="162" t="s">
        <v>85</v>
      </c>
      <c r="E21" s="162"/>
      <c r="F21" s="301"/>
      <c r="G21" s="720"/>
      <c r="H21" s="259"/>
      <c r="I21" s="277" t="s">
        <v>498</v>
      </c>
      <c r="J21" s="297">
        <v>0</v>
      </c>
      <c r="K21" s="298">
        <v>0</v>
      </c>
      <c r="L21" s="298">
        <v>0</v>
      </c>
      <c r="M21" s="298">
        <v>0</v>
      </c>
      <c r="N21" s="298">
        <v>0</v>
      </c>
      <c r="O21" s="298">
        <v>0</v>
      </c>
      <c r="P21" s="298">
        <v>0</v>
      </c>
      <c r="Q21" s="299">
        <v>0</v>
      </c>
      <c r="R21" s="297">
        <v>0</v>
      </c>
      <c r="S21" s="298">
        <v>0</v>
      </c>
      <c r="T21" s="298">
        <v>0</v>
      </c>
      <c r="U21" s="298">
        <v>0</v>
      </c>
      <c r="V21" s="299">
        <v>0</v>
      </c>
    </row>
    <row r="22" spans="1:22">
      <c r="A22" s="258"/>
      <c r="B22" s="745"/>
      <c r="C22" s="162"/>
      <c r="D22" s="162" t="s">
        <v>85</v>
      </c>
      <c r="E22" s="162"/>
      <c r="F22" s="301"/>
      <c r="G22" s="720"/>
      <c r="H22" s="259"/>
      <c r="I22" s="277" t="s">
        <v>498</v>
      </c>
      <c r="J22" s="297">
        <v>0</v>
      </c>
      <c r="K22" s="298">
        <v>0</v>
      </c>
      <c r="L22" s="298">
        <v>0</v>
      </c>
      <c r="M22" s="298">
        <v>0</v>
      </c>
      <c r="N22" s="298">
        <v>0</v>
      </c>
      <c r="O22" s="298">
        <v>0</v>
      </c>
      <c r="P22" s="298">
        <v>0</v>
      </c>
      <c r="Q22" s="299">
        <v>0</v>
      </c>
      <c r="R22" s="297">
        <v>0</v>
      </c>
      <c r="S22" s="298">
        <v>0</v>
      </c>
      <c r="T22" s="298">
        <v>0</v>
      </c>
      <c r="U22" s="298">
        <v>0</v>
      </c>
      <c r="V22" s="299">
        <v>0</v>
      </c>
    </row>
    <row r="23" spans="1:22">
      <c r="A23" s="258"/>
      <c r="B23" s="745"/>
      <c r="C23" s="162"/>
      <c r="D23" s="162" t="s">
        <v>85</v>
      </c>
      <c r="E23" s="162"/>
      <c r="F23" s="301"/>
      <c r="G23" s="720"/>
      <c r="H23" s="259"/>
      <c r="I23" s="277" t="s">
        <v>498</v>
      </c>
      <c r="J23" s="297">
        <v>0</v>
      </c>
      <c r="K23" s="298">
        <v>0</v>
      </c>
      <c r="L23" s="298">
        <v>0</v>
      </c>
      <c r="M23" s="298">
        <v>0</v>
      </c>
      <c r="N23" s="298">
        <v>0</v>
      </c>
      <c r="O23" s="298">
        <v>0</v>
      </c>
      <c r="P23" s="298">
        <v>0</v>
      </c>
      <c r="Q23" s="299">
        <v>0</v>
      </c>
      <c r="R23" s="297">
        <v>0</v>
      </c>
      <c r="S23" s="298">
        <v>0</v>
      </c>
      <c r="T23" s="298">
        <v>0</v>
      </c>
      <c r="U23" s="298">
        <v>0</v>
      </c>
      <c r="V23" s="299">
        <v>0</v>
      </c>
    </row>
    <row r="24" spans="1:22">
      <c r="A24" s="258"/>
      <c r="B24" s="745"/>
      <c r="C24" s="162"/>
      <c r="D24" s="162" t="s">
        <v>85</v>
      </c>
      <c r="E24" s="162"/>
      <c r="F24" s="301"/>
      <c r="G24" s="720"/>
      <c r="H24" s="259"/>
      <c r="I24" s="277" t="s">
        <v>498</v>
      </c>
      <c r="J24" s="297">
        <v>0</v>
      </c>
      <c r="K24" s="298">
        <v>0</v>
      </c>
      <c r="L24" s="298">
        <v>0</v>
      </c>
      <c r="M24" s="298">
        <v>0</v>
      </c>
      <c r="N24" s="298">
        <v>0</v>
      </c>
      <c r="O24" s="298">
        <v>0</v>
      </c>
      <c r="P24" s="298">
        <v>0</v>
      </c>
      <c r="Q24" s="299">
        <v>0</v>
      </c>
      <c r="R24" s="297">
        <v>0</v>
      </c>
      <c r="S24" s="298">
        <v>0</v>
      </c>
      <c r="T24" s="298">
        <v>0</v>
      </c>
      <c r="U24" s="298">
        <v>0</v>
      </c>
      <c r="V24" s="299">
        <v>0</v>
      </c>
    </row>
    <row r="25" spans="1:22">
      <c r="A25" s="258"/>
      <c r="B25" s="745"/>
      <c r="C25" s="162"/>
      <c r="D25" s="162" t="s">
        <v>85</v>
      </c>
      <c r="E25" s="162"/>
      <c r="F25" s="301"/>
      <c r="G25" s="720"/>
      <c r="H25" s="259"/>
      <c r="I25" s="277" t="s">
        <v>498</v>
      </c>
      <c r="J25" s="297">
        <v>0</v>
      </c>
      <c r="K25" s="298">
        <v>0</v>
      </c>
      <c r="L25" s="298">
        <v>0</v>
      </c>
      <c r="M25" s="298">
        <v>0</v>
      </c>
      <c r="N25" s="298">
        <v>0</v>
      </c>
      <c r="O25" s="298">
        <v>0</v>
      </c>
      <c r="P25" s="298">
        <v>0</v>
      </c>
      <c r="Q25" s="299">
        <v>0</v>
      </c>
      <c r="R25" s="297">
        <v>0</v>
      </c>
      <c r="S25" s="298">
        <v>0</v>
      </c>
      <c r="T25" s="298">
        <v>0</v>
      </c>
      <c r="U25" s="298">
        <v>0</v>
      </c>
      <c r="V25" s="299">
        <v>0</v>
      </c>
    </row>
    <row r="26" spans="1:22" s="338" customFormat="1">
      <c r="B26" s="349"/>
      <c r="C26" s="339" t="s">
        <v>1802</v>
      </c>
      <c r="D26" s="339"/>
      <c r="E26" s="339"/>
      <c r="F26" s="339"/>
      <c r="G26" s="625"/>
      <c r="H26" s="339"/>
      <c r="I26" s="576" t="s">
        <v>498</v>
      </c>
      <c r="J26" s="631">
        <f>SUM(J18:J25)</f>
        <v>0</v>
      </c>
      <c r="K26" s="632">
        <f>SUM(K18:K25)</f>
        <v>0</v>
      </c>
      <c r="L26" s="632">
        <f t="shared" ref="L26:P26" si="1">SUM(L18:L25)</f>
        <v>0</v>
      </c>
      <c r="M26" s="632">
        <f t="shared" si="1"/>
        <v>0</v>
      </c>
      <c r="N26" s="632">
        <f t="shared" si="1"/>
        <v>0</v>
      </c>
      <c r="O26" s="632">
        <f>SUM(O18:O25)</f>
        <v>0</v>
      </c>
      <c r="P26" s="632">
        <f t="shared" si="1"/>
        <v>0</v>
      </c>
      <c r="Q26" s="633">
        <f>SUM(Q18:Q25)</f>
        <v>0</v>
      </c>
      <c r="R26" s="631">
        <f>SUM(R18:R25)</f>
        <v>0</v>
      </c>
      <c r="S26" s="632">
        <f t="shared" ref="S26" si="2">SUM(S18:S25)</f>
        <v>0</v>
      </c>
      <c r="T26" s="632">
        <f t="shared" ref="T26" si="3">SUM(T18:T25)</f>
        <v>0</v>
      </c>
      <c r="U26" s="632">
        <f t="shared" ref="U26" si="4">SUM(U18:U25)</f>
        <v>0</v>
      </c>
      <c r="V26" s="633">
        <f>SUM(V18:V25)</f>
        <v>0</v>
      </c>
    </row>
    <row r="27" spans="1:22" ht="15">
      <c r="A27" s="258"/>
      <c r="B27" s="276"/>
      <c r="C27" s="506"/>
      <c r="D27" s="739"/>
      <c r="E27" s="739"/>
      <c r="F27" s="739"/>
      <c r="G27" s="264"/>
      <c r="H27" s="259"/>
      <c r="I27" s="260"/>
      <c r="J27" s="295"/>
      <c r="K27" s="259"/>
      <c r="L27" s="259"/>
      <c r="M27" s="259"/>
      <c r="N27" s="259"/>
      <c r="O27" s="259"/>
      <c r="P27" s="259"/>
      <c r="Q27" s="296"/>
      <c r="R27" s="295"/>
      <c r="S27" s="259"/>
      <c r="T27" s="259"/>
      <c r="U27" s="259"/>
      <c r="V27" s="296"/>
    </row>
    <row r="28" spans="1:22" ht="15">
      <c r="A28" s="258"/>
      <c r="B28" s="276"/>
      <c r="C28" s="339" t="s">
        <v>1803</v>
      </c>
      <c r="D28" s="264"/>
      <c r="E28" s="743"/>
      <c r="F28" s="743"/>
      <c r="G28" s="264"/>
      <c r="H28" s="259"/>
      <c r="I28" s="277" t="s">
        <v>498</v>
      </c>
      <c r="J28" s="297">
        <v>0</v>
      </c>
      <c r="K28" s="298">
        <v>0</v>
      </c>
      <c r="L28" s="298">
        <v>0</v>
      </c>
      <c r="M28" s="298">
        <v>0</v>
      </c>
      <c r="N28" s="298">
        <v>0</v>
      </c>
      <c r="O28" s="298">
        <v>0</v>
      </c>
      <c r="P28" s="298">
        <v>0</v>
      </c>
      <c r="Q28" s="299">
        <v>0</v>
      </c>
      <c r="R28" s="297">
        <v>0</v>
      </c>
      <c r="S28" s="298">
        <v>0</v>
      </c>
      <c r="T28" s="298">
        <v>0</v>
      </c>
      <c r="U28" s="298">
        <v>0</v>
      </c>
      <c r="V28" s="299">
        <v>0</v>
      </c>
    </row>
    <row r="29" spans="1:22" ht="15">
      <c r="A29" s="258"/>
      <c r="B29" s="276"/>
      <c r="C29" s="506"/>
      <c r="D29" s="739"/>
      <c r="E29" s="739"/>
      <c r="F29" s="739"/>
      <c r="G29" s="264"/>
      <c r="H29" s="259"/>
      <c r="I29" s="260"/>
      <c r="J29" s="295"/>
      <c r="K29" s="259"/>
      <c r="L29" s="259"/>
      <c r="M29" s="259"/>
      <c r="N29" s="259"/>
      <c r="O29" s="259"/>
      <c r="P29" s="259"/>
      <c r="Q29" s="296"/>
      <c r="R29" s="295"/>
      <c r="S29" s="259"/>
      <c r="T29" s="259"/>
      <c r="U29" s="259"/>
      <c r="V29" s="296"/>
    </row>
    <row r="30" spans="1:22" ht="15" thickBot="1">
      <c r="A30" s="258"/>
      <c r="B30" s="965" t="s">
        <v>1701</v>
      </c>
      <c r="C30" s="744"/>
      <c r="D30" s="744"/>
      <c r="E30" s="744"/>
      <c r="F30" s="744"/>
      <c r="G30" s="284"/>
      <c r="H30" s="300"/>
      <c r="I30" s="285" t="s">
        <v>498</v>
      </c>
      <c r="J30" s="627">
        <f>SUM(J15,J26,J28)</f>
        <v>0</v>
      </c>
      <c r="K30" s="628">
        <f t="shared" ref="K30:V30" si="5">SUM(K15,K26,K28)</f>
        <v>0</v>
      </c>
      <c r="L30" s="628">
        <f t="shared" si="5"/>
        <v>0</v>
      </c>
      <c r="M30" s="628">
        <f t="shared" si="5"/>
        <v>0</v>
      </c>
      <c r="N30" s="628">
        <f t="shared" si="5"/>
        <v>0</v>
      </c>
      <c r="O30" s="628">
        <f t="shared" si="5"/>
        <v>0</v>
      </c>
      <c r="P30" s="628">
        <f t="shared" si="5"/>
        <v>0</v>
      </c>
      <c r="Q30" s="629">
        <f t="shared" si="5"/>
        <v>0</v>
      </c>
      <c r="R30" s="627">
        <f t="shared" si="5"/>
        <v>0</v>
      </c>
      <c r="S30" s="628">
        <f t="shared" si="5"/>
        <v>0</v>
      </c>
      <c r="T30" s="628">
        <f t="shared" si="5"/>
        <v>0</v>
      </c>
      <c r="U30" s="628">
        <f t="shared" si="5"/>
        <v>0</v>
      </c>
      <c r="V30" s="629">
        <f t="shared" si="5"/>
        <v>0</v>
      </c>
    </row>
    <row r="31" spans="1:22" ht="15" thickBot="1">
      <c r="A31" s="258"/>
    </row>
    <row r="32" spans="1:22" ht="30" customHeight="1" thickBot="1">
      <c r="A32" s="258"/>
      <c r="B32" s="261" t="s">
        <v>1804</v>
      </c>
      <c r="C32" s="738"/>
      <c r="D32" s="738"/>
      <c r="E32" s="738"/>
      <c r="F32" s="738"/>
      <c r="G32" s="262"/>
      <c r="H32" s="294"/>
      <c r="I32" s="105" t="s">
        <v>1704</v>
      </c>
      <c r="J32" s="106"/>
      <c r="K32" s="106"/>
      <c r="L32" s="106"/>
      <c r="M32" s="106"/>
      <c r="N32" s="106"/>
      <c r="O32" s="106"/>
      <c r="P32" s="106"/>
      <c r="Q32" s="106"/>
      <c r="R32" s="105"/>
      <c r="S32" s="105"/>
      <c r="T32" s="105"/>
      <c r="U32" s="105"/>
      <c r="V32" s="187"/>
    </row>
    <row r="33" spans="1:22" ht="30" customHeight="1">
      <c r="A33" s="258"/>
      <c r="B33" s="263"/>
      <c r="C33" s="264"/>
      <c r="D33" s="264"/>
      <c r="E33" s="264"/>
      <c r="F33" s="264"/>
      <c r="G33" s="264"/>
      <c r="H33" s="259"/>
      <c r="I33" s="265"/>
      <c r="J33" s="266" t="s">
        <v>1666</v>
      </c>
      <c r="K33" s="267"/>
      <c r="L33" s="267"/>
      <c r="M33" s="267"/>
      <c r="N33" s="267"/>
      <c r="O33" s="267"/>
      <c r="P33" s="267"/>
      <c r="Q33" s="268"/>
      <c r="R33" s="269" t="s">
        <v>2</v>
      </c>
      <c r="S33" s="270"/>
      <c r="T33" s="270"/>
      <c r="U33" s="270"/>
      <c r="V33" s="271"/>
    </row>
    <row r="34" spans="1:22" ht="15">
      <c r="A34" s="258"/>
      <c r="B34" s="276"/>
      <c r="C34" s="739"/>
      <c r="D34" s="739"/>
      <c r="E34" s="739"/>
      <c r="F34" s="739"/>
      <c r="G34" s="264"/>
      <c r="H34" s="259"/>
      <c r="I34" s="272" t="s">
        <v>1745</v>
      </c>
      <c r="J34" s="158" t="s">
        <v>453</v>
      </c>
      <c r="K34" s="137" t="s">
        <v>455</v>
      </c>
      <c r="L34" s="137" t="s">
        <v>457</v>
      </c>
      <c r="M34" s="137" t="s">
        <v>459</v>
      </c>
      <c r="N34" s="137" t="s">
        <v>461</v>
      </c>
      <c r="O34" s="137" t="s">
        <v>463</v>
      </c>
      <c r="P34" s="137" t="s">
        <v>465</v>
      </c>
      <c r="Q34" s="138" t="s">
        <v>467</v>
      </c>
      <c r="R34" s="120" t="s">
        <v>469</v>
      </c>
      <c r="S34" s="121" t="s">
        <v>471</v>
      </c>
      <c r="T34" s="121" t="s">
        <v>473</v>
      </c>
      <c r="U34" s="121" t="s">
        <v>475</v>
      </c>
      <c r="V34" s="122" t="s">
        <v>477</v>
      </c>
    </row>
    <row r="35" spans="1:22" ht="15">
      <c r="A35" s="258"/>
      <c r="B35" s="276"/>
      <c r="C35" s="506" t="s">
        <v>1796</v>
      </c>
      <c r="D35" s="739"/>
      <c r="E35" s="739"/>
      <c r="F35" s="739"/>
      <c r="G35" s="264"/>
      <c r="H35" s="259"/>
      <c r="I35" s="260"/>
      <c r="J35" s="295"/>
      <c r="K35" s="259"/>
      <c r="L35" s="259"/>
      <c r="M35" s="259"/>
      <c r="N35" s="259"/>
      <c r="O35" s="259"/>
      <c r="P35" s="259"/>
      <c r="Q35" s="296"/>
      <c r="R35" s="295"/>
      <c r="S35" s="259"/>
      <c r="T35" s="259"/>
      <c r="U35" s="259"/>
      <c r="V35" s="296"/>
    </row>
    <row r="36" spans="1:22" ht="15">
      <c r="A36" s="258"/>
      <c r="B36" s="276"/>
      <c r="C36" s="264"/>
      <c r="D36" s="264" t="s">
        <v>1797</v>
      </c>
      <c r="E36" s="743"/>
      <c r="F36" s="743"/>
      <c r="G36" s="264"/>
      <c r="H36" s="259"/>
      <c r="I36" s="277" t="s">
        <v>498</v>
      </c>
      <c r="J36" s="297">
        <v>0</v>
      </c>
      <c r="K36" s="298">
        <v>0</v>
      </c>
      <c r="L36" s="298">
        <v>0</v>
      </c>
      <c r="M36" s="298">
        <v>0</v>
      </c>
      <c r="N36" s="298">
        <v>0</v>
      </c>
      <c r="O36" s="298">
        <v>0</v>
      </c>
      <c r="P36" s="298">
        <v>0</v>
      </c>
      <c r="Q36" s="299">
        <v>0</v>
      </c>
      <c r="R36" s="297">
        <v>0</v>
      </c>
      <c r="S36" s="298">
        <v>0</v>
      </c>
      <c r="T36" s="298">
        <v>0</v>
      </c>
      <c r="U36" s="298">
        <v>0</v>
      </c>
      <c r="V36" s="299">
        <v>0</v>
      </c>
    </row>
    <row r="37" spans="1:22" ht="15">
      <c r="A37" s="258"/>
      <c r="B37" s="276"/>
      <c r="C37" s="264"/>
      <c r="D37" s="264" t="s">
        <v>1798</v>
      </c>
      <c r="E37" s="743"/>
      <c r="F37" s="743"/>
      <c r="G37" s="264"/>
      <c r="H37" s="259"/>
      <c r="I37" s="277" t="s">
        <v>498</v>
      </c>
      <c r="J37" s="297">
        <v>3.5971503088989101</v>
      </c>
      <c r="K37" s="298">
        <v>5.8412958545454527</v>
      </c>
      <c r="L37" s="298">
        <v>5.9237540366978809</v>
      </c>
      <c r="M37" s="298">
        <v>5.8840872085333178</v>
      </c>
      <c r="N37" s="298">
        <v>5.6677014953397542</v>
      </c>
      <c r="O37" s="298">
        <v>5.7256825531709437</v>
      </c>
      <c r="P37" s="298">
        <v>6.0129583148692403</v>
      </c>
      <c r="Q37" s="299">
        <v>5.937050815853758</v>
      </c>
      <c r="R37" s="297">
        <v>5.8479950536159517</v>
      </c>
      <c r="S37" s="298">
        <v>5.7602751278117124</v>
      </c>
      <c r="T37" s="298">
        <v>5.6738710008945361</v>
      </c>
      <c r="U37" s="298">
        <v>5.5887629358811193</v>
      </c>
      <c r="V37" s="299">
        <v>5.5049314918429024</v>
      </c>
    </row>
    <row r="38" spans="1:22" ht="15">
      <c r="A38" s="258"/>
      <c r="B38" s="276"/>
      <c r="C38" s="264"/>
      <c r="D38" s="264" t="s">
        <v>1799</v>
      </c>
      <c r="E38" s="743"/>
      <c r="F38" s="743"/>
      <c r="G38" s="264"/>
      <c r="H38" s="259"/>
      <c r="I38" s="277" t="s">
        <v>498</v>
      </c>
      <c r="J38" s="297">
        <v>3.9377374832379899</v>
      </c>
      <c r="K38" s="298">
        <v>4.3279896155844142</v>
      </c>
      <c r="L38" s="298">
        <v>4.2771154236091729</v>
      </c>
      <c r="M38" s="298">
        <v>4.5519118021505562</v>
      </c>
      <c r="N38" s="298">
        <v>4.7164409198277957</v>
      </c>
      <c r="O38" s="298">
        <v>3.8988796386718798</v>
      </c>
      <c r="P38" s="298">
        <v>4.0944988696662952</v>
      </c>
      <c r="Q38" s="299">
        <v>4.0428099750086508</v>
      </c>
      <c r="R38" s="297">
        <v>3.9821678253835202</v>
      </c>
      <c r="S38" s="298">
        <v>3.9224353080027674</v>
      </c>
      <c r="T38" s="298">
        <v>3.8635987783827268</v>
      </c>
      <c r="U38" s="298">
        <v>3.8056447967069857</v>
      </c>
      <c r="V38" s="299">
        <v>3.7485601247563816</v>
      </c>
    </row>
    <row r="39" spans="1:22" s="338" customFormat="1">
      <c r="B39" s="349"/>
      <c r="C39" s="339" t="s">
        <v>1800</v>
      </c>
      <c r="D39" s="339"/>
      <c r="E39" s="339"/>
      <c r="F39" s="339"/>
      <c r="G39" s="625"/>
      <c r="H39" s="339"/>
      <c r="I39" s="576" t="s">
        <v>498</v>
      </c>
      <c r="J39" s="631">
        <f>SUM(J36:J38)</f>
        <v>7.5348877921368995</v>
      </c>
      <c r="K39" s="632">
        <f t="shared" ref="K39:V39" si="6">SUM(K36:K38)</f>
        <v>10.169285470129868</v>
      </c>
      <c r="L39" s="632">
        <f t="shared" si="6"/>
        <v>10.200869460307054</v>
      </c>
      <c r="M39" s="632">
        <f t="shared" si="6"/>
        <v>10.435999010683874</v>
      </c>
      <c r="N39" s="632">
        <f t="shared" si="6"/>
        <v>10.384142415167549</v>
      </c>
      <c r="O39" s="632">
        <f t="shared" si="6"/>
        <v>9.6245621918428235</v>
      </c>
      <c r="P39" s="632">
        <f t="shared" si="6"/>
        <v>10.107457184535535</v>
      </c>
      <c r="Q39" s="633">
        <f t="shared" si="6"/>
        <v>9.9798607908624088</v>
      </c>
      <c r="R39" s="631">
        <f t="shared" si="6"/>
        <v>9.8301628789994719</v>
      </c>
      <c r="S39" s="632">
        <f t="shared" si="6"/>
        <v>9.6827104358144798</v>
      </c>
      <c r="T39" s="632">
        <f t="shared" si="6"/>
        <v>9.5374697792772629</v>
      </c>
      <c r="U39" s="632">
        <f t="shared" si="6"/>
        <v>9.394407732588105</v>
      </c>
      <c r="V39" s="633">
        <f t="shared" si="6"/>
        <v>9.253491616599284</v>
      </c>
    </row>
    <row r="40" spans="1:22" ht="15">
      <c r="A40" s="258"/>
      <c r="B40" s="276"/>
      <c r="C40" s="506"/>
      <c r="D40" s="739"/>
      <c r="E40" s="739"/>
      <c r="F40" s="739"/>
      <c r="G40" s="264"/>
      <c r="H40" s="259"/>
      <c r="I40" s="260"/>
      <c r="J40" s="295"/>
      <c r="K40" s="259"/>
      <c r="L40" s="259"/>
      <c r="M40" s="259"/>
      <c r="N40" s="259"/>
      <c r="O40" s="259"/>
      <c r="P40" s="259"/>
      <c r="Q40" s="296"/>
      <c r="R40" s="295"/>
      <c r="S40" s="259"/>
      <c r="T40" s="259"/>
      <c r="U40" s="259"/>
      <c r="V40" s="296"/>
    </row>
    <row r="41" spans="1:22" ht="15">
      <c r="A41" s="258"/>
      <c r="B41" s="276"/>
      <c r="C41" s="506" t="s">
        <v>1801</v>
      </c>
      <c r="D41" s="739"/>
      <c r="E41" s="739"/>
      <c r="F41" s="739"/>
      <c r="G41" s="264"/>
      <c r="H41" s="259"/>
      <c r="I41" s="260"/>
      <c r="J41" s="295"/>
      <c r="K41" s="259"/>
      <c r="L41" s="259"/>
      <c r="M41" s="259"/>
      <c r="N41" s="259"/>
      <c r="O41" s="259"/>
      <c r="P41" s="259"/>
      <c r="Q41" s="296"/>
      <c r="R41" s="295"/>
      <c r="S41" s="259"/>
      <c r="T41" s="259"/>
      <c r="U41" s="259"/>
      <c r="V41" s="296"/>
    </row>
    <row r="42" spans="1:22" ht="15">
      <c r="A42" s="258"/>
      <c r="B42" s="276"/>
      <c r="C42" s="264"/>
      <c r="D42" s="264" t="s">
        <v>1670</v>
      </c>
      <c r="E42" s="743"/>
      <c r="F42" s="743"/>
      <c r="G42" s="264"/>
      <c r="H42" s="259"/>
      <c r="I42" s="277" t="s">
        <v>498</v>
      </c>
      <c r="J42" s="297">
        <v>0.96137738285855057</v>
      </c>
      <c r="K42" s="298">
        <v>1.4194834597402592</v>
      </c>
      <c r="L42" s="298">
        <v>1.0867238231039442</v>
      </c>
      <c r="M42" s="298">
        <v>0.9809765458314964</v>
      </c>
      <c r="N42" s="298">
        <v>0.97723286593718595</v>
      </c>
      <c r="O42" s="298">
        <v>1.1560788707733154</v>
      </c>
      <c r="P42" s="298">
        <v>1.1851586066651729</v>
      </c>
      <c r="Q42" s="299">
        <v>1.1702144159746071</v>
      </c>
      <c r="R42" s="297">
        <v>1.1560109494132074</v>
      </c>
      <c r="S42" s="298">
        <v>1.1425296888777441</v>
      </c>
      <c r="T42" s="298">
        <v>1.1297525792175691</v>
      </c>
      <c r="U42" s="298">
        <v>1.1176620166607998</v>
      </c>
      <c r="V42" s="299">
        <v>1.1062408375298514</v>
      </c>
    </row>
    <row r="43" spans="1:22" ht="15">
      <c r="A43" s="258"/>
      <c r="B43" s="276"/>
      <c r="C43" s="264"/>
      <c r="D43" s="264" t="s">
        <v>41</v>
      </c>
      <c r="E43" s="743"/>
      <c r="F43" s="743"/>
      <c r="G43" s="264"/>
      <c r="H43" s="259"/>
      <c r="I43" s="277" t="s">
        <v>498</v>
      </c>
      <c r="J43" s="297">
        <v>0.71568895047965819</v>
      </c>
      <c r="K43" s="298">
        <v>0.9591999428571425</v>
      </c>
      <c r="L43" s="298">
        <v>0.86869737204121789</v>
      </c>
      <c r="M43" s="298">
        <v>0.75473638434926316</v>
      </c>
      <c r="N43" s="298">
        <v>0.74791673416473847</v>
      </c>
      <c r="O43" s="298">
        <v>0.63778576660156239</v>
      </c>
      <c r="P43" s="298">
        <v>0.71347962837185464</v>
      </c>
      <c r="Q43" s="299">
        <v>0.71347962837185464</v>
      </c>
      <c r="R43" s="297">
        <v>0.70991223022999539</v>
      </c>
      <c r="S43" s="298">
        <v>0.70636266907884537</v>
      </c>
      <c r="T43" s="298">
        <v>0.70283085573345117</v>
      </c>
      <c r="U43" s="298">
        <v>0.69931670145478386</v>
      </c>
      <c r="V43" s="299">
        <v>0.69582011794750998</v>
      </c>
    </row>
    <row r="44" spans="1:22" ht="15">
      <c r="A44" s="258"/>
      <c r="B44" s="276"/>
      <c r="C44" s="264"/>
      <c r="D44" s="264" t="s">
        <v>71</v>
      </c>
      <c r="E44" s="743"/>
      <c r="F44" s="743"/>
      <c r="G44" s="264"/>
      <c r="H44" s="259"/>
      <c r="I44" s="277" t="s">
        <v>498</v>
      </c>
      <c r="J44" s="297">
        <v>1.518216230556471</v>
      </c>
      <c r="K44" s="298">
        <v>1.7119897714285708</v>
      </c>
      <c r="L44" s="298">
        <v>2.4272211917681781</v>
      </c>
      <c r="M44" s="298">
        <v>2.0479171378000238</v>
      </c>
      <c r="N44" s="298">
        <v>2.1610558977056455</v>
      </c>
      <c r="O44" s="298">
        <v>1.7394611296341635</v>
      </c>
      <c r="P44" s="298">
        <v>1.9828113883799443</v>
      </c>
      <c r="Q44" s="299">
        <v>1.841585738924193</v>
      </c>
      <c r="R44" s="297">
        <v>1.9904178577833913</v>
      </c>
      <c r="S44" s="298">
        <v>1.9408564531245849</v>
      </c>
      <c r="T44" s="298">
        <v>1.8925291274417826</v>
      </c>
      <c r="U44" s="298">
        <v>1.845405152168482</v>
      </c>
      <c r="V44" s="299">
        <v>1.7994545638794865</v>
      </c>
    </row>
    <row r="45" spans="1:22">
      <c r="A45" s="258"/>
      <c r="B45" s="745"/>
      <c r="C45" s="162"/>
      <c r="D45" s="162" t="s">
        <v>85</v>
      </c>
      <c r="E45" s="162"/>
      <c r="F45" s="301"/>
      <c r="G45" s="720" t="s">
        <v>3706</v>
      </c>
      <c r="H45" s="259"/>
      <c r="I45" s="277" t="s">
        <v>498</v>
      </c>
      <c r="J45" s="297">
        <v>8.2289381910009035E-2</v>
      </c>
      <c r="K45" s="298">
        <v>7.3954425974025947E-2</v>
      </c>
      <c r="L45" s="298">
        <v>0.3151772634107155</v>
      </c>
      <c r="M45" s="298">
        <v>2.4542344509871989E-2</v>
      </c>
      <c r="N45" s="298">
        <v>3.4947049889563049E-2</v>
      </c>
      <c r="O45" s="298">
        <v>9.9756279826164251E-2</v>
      </c>
      <c r="P45" s="298">
        <v>0.10511112425339164</v>
      </c>
      <c r="Q45" s="299">
        <v>0.10511112425339164</v>
      </c>
      <c r="R45" s="297">
        <v>0.10458556863212468</v>
      </c>
      <c r="S45" s="298">
        <v>0.10406264078896406</v>
      </c>
      <c r="T45" s="298">
        <v>0.10354232758501924</v>
      </c>
      <c r="U45" s="298">
        <v>0.10302461594709415</v>
      </c>
      <c r="V45" s="299">
        <v>0.10250949286735868</v>
      </c>
    </row>
    <row r="46" spans="1:22">
      <c r="A46" s="258"/>
      <c r="B46" s="745"/>
      <c r="C46" s="162"/>
      <c r="D46" s="162" t="s">
        <v>85</v>
      </c>
      <c r="E46" s="162"/>
      <c r="F46" s="301"/>
      <c r="G46" s="720" t="s">
        <v>3707</v>
      </c>
      <c r="H46" s="259"/>
      <c r="I46" s="277" t="s">
        <v>498</v>
      </c>
      <c r="J46" s="297">
        <v>2.3428822351307544E-5</v>
      </c>
      <c r="K46" s="298">
        <v>0</v>
      </c>
      <c r="L46" s="298">
        <v>1.5133630863628947E-3</v>
      </c>
      <c r="M46" s="298">
        <v>2.3371579402652876E-2</v>
      </c>
      <c r="N46" s="298">
        <v>1.6583718931741532E-2</v>
      </c>
      <c r="O46" s="298">
        <v>2.5755992168161011E-2</v>
      </c>
      <c r="P46" s="298">
        <v>1.1208013735211603E-2</v>
      </c>
      <c r="Q46" s="299">
        <v>1.1208013735211603E-2</v>
      </c>
      <c r="R46" s="297">
        <v>1.1151973666535545E-2</v>
      </c>
      <c r="S46" s="298">
        <v>1.1096213798202867E-2</v>
      </c>
      <c r="T46" s="298">
        <v>1.1040732729211853E-2</v>
      </c>
      <c r="U46" s="298">
        <v>1.0985529065565793E-2</v>
      </c>
      <c r="V46" s="299">
        <v>1.0930601420237964E-2</v>
      </c>
    </row>
    <row r="47" spans="1:22">
      <c r="A47" s="258"/>
      <c r="B47" s="745"/>
      <c r="C47" s="162"/>
      <c r="D47" s="162" t="s">
        <v>85</v>
      </c>
      <c r="E47" s="162"/>
      <c r="F47" s="301"/>
      <c r="G47" s="720" t="s">
        <v>3708</v>
      </c>
      <c r="H47" s="259"/>
      <c r="I47" s="277" t="s">
        <v>498</v>
      </c>
      <c r="J47" s="297">
        <v>2.2913901830695922E-2</v>
      </c>
      <c r="K47" s="298">
        <v>3.3113922077922069E-3</v>
      </c>
      <c r="L47" s="298">
        <v>0.21931482657395865</v>
      </c>
      <c r="M47" s="298">
        <v>0.19856757541706724</v>
      </c>
      <c r="N47" s="298">
        <v>5.9968021613326643E-2</v>
      </c>
      <c r="O47" s="298">
        <v>9.3243063362374506E-2</v>
      </c>
      <c r="P47" s="298">
        <v>9.9553130167535864E-2</v>
      </c>
      <c r="Q47" s="299">
        <v>9.9553130167535864E-2</v>
      </c>
      <c r="R47" s="297">
        <v>9.9055364516698177E-2</v>
      </c>
      <c r="S47" s="298">
        <v>9.8560087694114687E-2</v>
      </c>
      <c r="T47" s="298">
        <v>9.806728725564412E-2</v>
      </c>
      <c r="U47" s="298">
        <v>9.7576950819365904E-2</v>
      </c>
      <c r="V47" s="299">
        <v>9.708906606526907E-2</v>
      </c>
    </row>
    <row r="48" spans="1:22">
      <c r="A48" s="258"/>
      <c r="B48" s="745"/>
      <c r="C48" s="162"/>
      <c r="D48" s="162" t="s">
        <v>85</v>
      </c>
      <c r="E48" s="162"/>
      <c r="F48" s="301"/>
      <c r="G48" s="720" t="s">
        <v>3709</v>
      </c>
      <c r="H48" s="259"/>
      <c r="I48" s="277" t="s">
        <v>498</v>
      </c>
      <c r="J48" s="297">
        <v>0</v>
      </c>
      <c r="K48" s="298">
        <v>0</v>
      </c>
      <c r="L48" s="298">
        <v>0</v>
      </c>
      <c r="M48" s="298">
        <v>0</v>
      </c>
      <c r="N48" s="298">
        <v>1.7774029678903948E-3</v>
      </c>
      <c r="O48" s="298">
        <v>2.4401644756420998E-3</v>
      </c>
      <c r="P48" s="298">
        <v>7.0292790725541576E-4</v>
      </c>
      <c r="Q48" s="299">
        <v>7.0292790725541576E-4</v>
      </c>
      <c r="R48" s="297">
        <v>6.9941326771913871E-4</v>
      </c>
      <c r="S48" s="298">
        <v>6.9591620138054297E-4</v>
      </c>
      <c r="T48" s="298">
        <v>6.924366203736402E-4</v>
      </c>
      <c r="U48" s="298">
        <v>6.8897443727177203E-4</v>
      </c>
      <c r="V48" s="299">
        <v>6.8552956508541318E-4</v>
      </c>
    </row>
    <row r="49" spans="1:22">
      <c r="A49" s="258"/>
      <c r="B49" s="745"/>
      <c r="C49" s="162"/>
      <c r="D49" s="162" t="s">
        <v>85</v>
      </c>
      <c r="E49" s="162"/>
      <c r="F49" s="301"/>
      <c r="G49" s="720"/>
      <c r="H49" s="259"/>
      <c r="I49" s="277" t="s">
        <v>498</v>
      </c>
      <c r="J49" s="297">
        <v>0</v>
      </c>
      <c r="K49" s="298">
        <v>0</v>
      </c>
      <c r="L49" s="298">
        <v>0</v>
      </c>
      <c r="M49" s="298">
        <v>0</v>
      </c>
      <c r="N49" s="298">
        <v>0</v>
      </c>
      <c r="O49" s="298">
        <v>0</v>
      </c>
      <c r="P49" s="298">
        <v>0</v>
      </c>
      <c r="Q49" s="299">
        <v>0</v>
      </c>
      <c r="R49" s="297">
        <v>0</v>
      </c>
      <c r="S49" s="298">
        <v>0</v>
      </c>
      <c r="T49" s="298">
        <v>0</v>
      </c>
      <c r="U49" s="298">
        <v>0</v>
      </c>
      <c r="V49" s="299">
        <v>0</v>
      </c>
    </row>
    <row r="50" spans="1:22" s="338" customFormat="1">
      <c r="B50" s="349"/>
      <c r="C50" s="339" t="s">
        <v>1802</v>
      </c>
      <c r="D50" s="339"/>
      <c r="E50" s="339"/>
      <c r="F50" s="339"/>
      <c r="G50" s="625"/>
      <c r="H50" s="339"/>
      <c r="I50" s="576" t="s">
        <v>498</v>
      </c>
      <c r="J50" s="631">
        <f>SUM(J42:J49)</f>
        <v>3.3005092764577366</v>
      </c>
      <c r="K50" s="632">
        <f t="shared" ref="K50:P50" si="7">SUM(K42:K49)</f>
        <v>4.1679389922077918</v>
      </c>
      <c r="L50" s="632">
        <f t="shared" si="7"/>
        <v>4.9186478399843772</v>
      </c>
      <c r="M50" s="632">
        <f t="shared" si="7"/>
        <v>4.0301115673103753</v>
      </c>
      <c r="N50" s="632">
        <f t="shared" si="7"/>
        <v>3.9994816912100912</v>
      </c>
      <c r="O50" s="632">
        <f t="shared" si="7"/>
        <v>3.7545212668413837</v>
      </c>
      <c r="P50" s="632">
        <f t="shared" si="7"/>
        <v>4.0980248194803668</v>
      </c>
      <c r="Q50" s="633">
        <f>SUM(Q42:Q49)</f>
        <v>3.9418549793340496</v>
      </c>
      <c r="R50" s="631">
        <f>SUM(R42:R49)</f>
        <v>4.0718333575096715</v>
      </c>
      <c r="S50" s="632">
        <f t="shared" ref="S50:U50" si="8">SUM(S42:S49)</f>
        <v>4.0041636695638365</v>
      </c>
      <c r="T50" s="632">
        <f t="shared" si="8"/>
        <v>3.9384553465830514</v>
      </c>
      <c r="U50" s="632">
        <f t="shared" si="8"/>
        <v>3.874659940553363</v>
      </c>
      <c r="V50" s="633">
        <f>SUM(V42:V49)</f>
        <v>3.8127302092747994</v>
      </c>
    </row>
    <row r="51" spans="1:22" ht="15">
      <c r="A51" s="258"/>
      <c r="B51" s="276"/>
      <c r="C51" s="506"/>
      <c r="D51" s="739"/>
      <c r="E51" s="739"/>
      <c r="F51" s="739"/>
      <c r="G51" s="264"/>
      <c r="H51" s="259"/>
      <c r="I51" s="260"/>
      <c r="J51" s="295"/>
      <c r="K51" s="259"/>
      <c r="L51" s="259"/>
      <c r="M51" s="259"/>
      <c r="N51" s="259"/>
      <c r="O51" s="259"/>
      <c r="P51" s="259"/>
      <c r="Q51" s="296"/>
      <c r="R51" s="295"/>
      <c r="S51" s="259"/>
      <c r="T51" s="259"/>
      <c r="U51" s="259"/>
      <c r="V51" s="296"/>
    </row>
    <row r="52" spans="1:22" ht="15">
      <c r="A52" s="258"/>
      <c r="B52" s="276"/>
      <c r="C52" s="339" t="s">
        <v>1803</v>
      </c>
      <c r="D52" s="264"/>
      <c r="E52" s="743"/>
      <c r="F52" s="743"/>
      <c r="G52" s="264"/>
      <c r="H52" s="259"/>
      <c r="I52" s="277" t="s">
        <v>498</v>
      </c>
      <c r="J52" s="297">
        <v>0.33366915123614127</v>
      </c>
      <c r="K52" s="298">
        <v>0.30795947532467527</v>
      </c>
      <c r="L52" s="298">
        <v>0.29509983734940254</v>
      </c>
      <c r="M52" s="298">
        <v>-1.0371630988105299E-3</v>
      </c>
      <c r="N52" s="298">
        <v>-1.5543459051027978E-3</v>
      </c>
      <c r="O52" s="298">
        <v>0</v>
      </c>
      <c r="P52" s="298">
        <v>0</v>
      </c>
      <c r="Q52" s="299">
        <v>0</v>
      </c>
      <c r="R52" s="297">
        <v>0</v>
      </c>
      <c r="S52" s="298">
        <v>0</v>
      </c>
      <c r="T52" s="298">
        <v>0</v>
      </c>
      <c r="U52" s="298">
        <v>0</v>
      </c>
      <c r="V52" s="299">
        <v>0</v>
      </c>
    </row>
    <row r="53" spans="1:22" ht="15">
      <c r="A53" s="258"/>
      <c r="B53" s="276"/>
      <c r="C53" s="506"/>
      <c r="D53" s="739"/>
      <c r="E53" s="739"/>
      <c r="F53" s="739"/>
      <c r="G53" s="264"/>
      <c r="H53" s="259"/>
      <c r="I53" s="260"/>
      <c r="J53" s="295"/>
      <c r="K53" s="259"/>
      <c r="L53" s="259"/>
      <c r="M53" s="259"/>
      <c r="N53" s="259"/>
      <c r="O53" s="259"/>
      <c r="P53" s="259"/>
      <c r="Q53" s="296"/>
      <c r="R53" s="295"/>
      <c r="S53" s="259"/>
      <c r="T53" s="259"/>
      <c r="U53" s="259"/>
      <c r="V53" s="296"/>
    </row>
    <row r="54" spans="1:22" ht="15" thickBot="1">
      <c r="A54" s="258"/>
      <c r="B54" s="965" t="s">
        <v>1701</v>
      </c>
      <c r="C54" s="744"/>
      <c r="D54" s="744"/>
      <c r="E54" s="744"/>
      <c r="F54" s="744"/>
      <c r="G54" s="284"/>
      <c r="H54" s="300"/>
      <c r="I54" s="285" t="s">
        <v>498</v>
      </c>
      <c r="J54" s="627">
        <f>SUM(J39,J50,J52)</f>
        <v>11.169066219830777</v>
      </c>
      <c r="K54" s="628">
        <f t="shared" ref="K54:V54" si="9">SUM(K39,K50,K52)</f>
        <v>14.645183937662335</v>
      </c>
      <c r="L54" s="628">
        <f t="shared" si="9"/>
        <v>15.414617137640834</v>
      </c>
      <c r="M54" s="628">
        <f t="shared" si="9"/>
        <v>14.465073414895439</v>
      </c>
      <c r="N54" s="628">
        <f t="shared" si="9"/>
        <v>14.382069760472538</v>
      </c>
      <c r="O54" s="628">
        <f t="shared" si="9"/>
        <v>13.379083458684207</v>
      </c>
      <c r="P54" s="628">
        <f t="shared" si="9"/>
        <v>14.205482004015902</v>
      </c>
      <c r="Q54" s="629">
        <f t="shared" si="9"/>
        <v>13.921715770196458</v>
      </c>
      <c r="R54" s="627">
        <f t="shared" si="9"/>
        <v>13.901996236509143</v>
      </c>
      <c r="S54" s="628">
        <f t="shared" si="9"/>
        <v>13.686874105378315</v>
      </c>
      <c r="T54" s="628">
        <f t="shared" si="9"/>
        <v>13.475925125860314</v>
      </c>
      <c r="U54" s="628">
        <f t="shared" si="9"/>
        <v>13.269067673141468</v>
      </c>
      <c r="V54" s="629">
        <f t="shared" si="9"/>
        <v>13.066221825874084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B050"/>
  </sheetPr>
  <dimension ref="A1:AL169"/>
  <sheetViews>
    <sheetView showGridLines="0" zoomScale="60" zoomScaleNormal="60" workbookViewId="0">
      <pane xSplit="7" topLeftCell="H1" activePane="topRight" state="frozen"/>
      <selection pane="topRight" activeCell="Z21" sqref="Z21"/>
    </sheetView>
  </sheetViews>
  <sheetFormatPr defaultColWidth="11.875" defaultRowHeight="12.75"/>
  <cols>
    <col min="1" max="1" width="11.875" style="173" customWidth="1"/>
    <col min="2" max="6" width="4.375" style="174" customWidth="1"/>
    <col min="7" max="7" width="38.25" style="173" customWidth="1"/>
    <col min="8" max="8" width="15.625" style="173" customWidth="1"/>
    <col min="9" max="9" width="15.625" style="175" customWidth="1"/>
    <col min="10" max="22" width="15.625" style="173" customWidth="1"/>
    <col min="23" max="27" width="11.875" style="173" customWidth="1"/>
    <col min="28" max="28" width="11.875" style="173"/>
    <col min="29" max="29" width="11.875" style="175"/>
    <col min="30" max="16384" width="11.875" style="173"/>
  </cols>
  <sheetData>
    <row r="1" spans="1:38" s="2" customFormat="1" ht="25.15" customHeight="1">
      <c r="A1" s="1" t="s">
        <v>0</v>
      </c>
      <c r="E1" s="3"/>
      <c r="H1" s="4" t="s">
        <v>1</v>
      </c>
      <c r="J1" s="3"/>
    </row>
    <row r="2" spans="1:38" s="2" customFormat="1" ht="25.15" customHeight="1">
      <c r="A2" s="5" t="str">
        <f>Fixed_Data!I12</f>
        <v>MASTER</v>
      </c>
      <c r="B2" s="6"/>
      <c r="D2" s="7"/>
      <c r="E2" s="3"/>
    </row>
    <row r="3" spans="1:38" s="9" customFormat="1" ht="25.15" customHeight="1" thickBot="1">
      <c r="A3" s="8" t="str">
        <f>Fixed_Data!A3</f>
        <v>RIIO-GD2</v>
      </c>
      <c r="D3" s="10"/>
      <c r="E3" s="11"/>
    </row>
    <row r="4" spans="1:38" s="89" customFormat="1" ht="25.15" customHeight="1">
      <c r="B4" s="90" t="s">
        <v>1805</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row>
    <row r="5" spans="1:38" s="89" customFormat="1" ht="25.15" customHeight="1">
      <c r="B5" s="95" t="s">
        <v>1663</v>
      </c>
      <c r="C5" s="95"/>
      <c r="D5" s="95"/>
      <c r="E5" s="95"/>
      <c r="F5" s="95" t="s">
        <v>463</v>
      </c>
      <c r="H5" s="95"/>
      <c r="I5" s="93"/>
      <c r="J5" s="2836"/>
      <c r="K5" s="2836"/>
      <c r="L5" s="2836"/>
      <c r="M5" s="2836"/>
      <c r="N5" s="2836"/>
      <c r="O5" s="2836"/>
      <c r="P5" s="2836"/>
      <c r="Q5" s="2836"/>
      <c r="R5" s="2836"/>
      <c r="S5" s="2836"/>
      <c r="T5" s="2836"/>
      <c r="U5" s="2836"/>
      <c r="V5" s="2836"/>
      <c r="W5" s="92"/>
      <c r="X5" s="92"/>
      <c r="Y5" s="92"/>
      <c r="Z5" s="92"/>
      <c r="AA5" s="92"/>
      <c r="AB5" s="92"/>
      <c r="AC5" s="92"/>
      <c r="AD5" s="92"/>
      <c r="AE5" s="92"/>
      <c r="AF5" s="94"/>
      <c r="AG5" s="92"/>
      <c r="AH5" s="92"/>
      <c r="AI5" s="92"/>
      <c r="AJ5" s="92"/>
      <c r="AK5" s="92"/>
      <c r="AL5" s="92"/>
    </row>
    <row r="6" spans="1:38"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row>
    <row r="7" spans="1:38"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row>
    <row r="8" spans="1:38" s="100" customFormat="1" ht="30" customHeight="1" thickBot="1">
      <c r="B8" s="621" t="s">
        <v>1744</v>
      </c>
      <c r="C8" s="102"/>
      <c r="D8" s="102"/>
      <c r="E8" s="102"/>
      <c r="F8" s="102"/>
      <c r="G8" s="103"/>
      <c r="H8" s="104"/>
      <c r="I8" s="105" t="s">
        <v>1704</v>
      </c>
      <c r="J8" s="106"/>
      <c r="K8" s="106"/>
      <c r="L8" s="106"/>
      <c r="M8" s="106"/>
      <c r="N8" s="106"/>
      <c r="O8" s="106"/>
      <c r="P8" s="106"/>
      <c r="Q8" s="106"/>
      <c r="R8" s="106"/>
      <c r="S8" s="106"/>
      <c r="T8" s="106"/>
      <c r="U8" s="106"/>
      <c r="V8" s="107"/>
      <c r="AG8" s="108"/>
      <c r="AH8" s="108"/>
      <c r="AI8" s="108"/>
      <c r="AJ8" s="108"/>
      <c r="AK8" s="108"/>
      <c r="AL8" s="108"/>
    </row>
    <row r="9" spans="1:38"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row>
    <row r="10" spans="1:38" s="89" customFormat="1" ht="15" customHeight="1">
      <c r="B10" s="115"/>
      <c r="C10" s="116"/>
      <c r="D10" s="116"/>
      <c r="E10" s="116"/>
      <c r="F10" s="116"/>
      <c r="G10" s="117"/>
      <c r="H10" s="118"/>
      <c r="I10" s="119" t="s">
        <v>1745</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row>
    <row r="11" spans="1:38" s="89" customFormat="1" ht="15" customHeight="1">
      <c r="B11" s="123"/>
      <c r="C11" s="116" t="s">
        <v>1806</v>
      </c>
      <c r="D11" s="116"/>
      <c r="E11" s="116"/>
      <c r="F11" s="116"/>
      <c r="G11" s="117"/>
      <c r="H11" s="118"/>
      <c r="I11" s="119" t="s">
        <v>498</v>
      </c>
      <c r="J11" s="124">
        <f>SUM(J12:J13)</f>
        <v>9.3919614721048958</v>
      </c>
      <c r="K11" s="125">
        <f t="shared" ref="K11:V11" si="0">SUM(K12:K13)</f>
        <v>10.33706267532467</v>
      </c>
      <c r="L11" s="125">
        <f t="shared" si="0"/>
        <v>10.7118196175267</v>
      </c>
      <c r="M11" s="125">
        <f t="shared" si="0"/>
        <v>10.807449960783913</v>
      </c>
      <c r="N11" s="125">
        <f t="shared" si="0"/>
        <v>11.185980776935548</v>
      </c>
      <c r="O11" s="125">
        <f t="shared" si="0"/>
        <v>11.988579471284744</v>
      </c>
      <c r="P11" s="125">
        <f t="shared" si="0"/>
        <v>13.499916379950456</v>
      </c>
      <c r="Q11" s="126">
        <f t="shared" si="0"/>
        <v>14.499916379950456</v>
      </c>
      <c r="R11" s="124">
        <f t="shared" si="0"/>
        <v>16.425467903238715</v>
      </c>
      <c r="S11" s="125">
        <f t="shared" si="0"/>
        <v>17.211221077699648</v>
      </c>
      <c r="T11" s="125">
        <f t="shared" si="0"/>
        <v>17.301981919345344</v>
      </c>
      <c r="U11" s="125">
        <f t="shared" si="0"/>
        <v>16.215201399189166</v>
      </c>
      <c r="V11" s="126">
        <f t="shared" si="0"/>
        <v>16.933198322937621</v>
      </c>
      <c r="AG11" s="92"/>
      <c r="AH11" s="92"/>
      <c r="AI11" s="92"/>
      <c r="AJ11" s="92"/>
      <c r="AK11" s="92"/>
      <c r="AL11" s="92"/>
    </row>
    <row r="12" spans="1:38" s="89" customFormat="1" ht="15" customHeight="1">
      <c r="B12" s="123"/>
      <c r="C12" s="127"/>
      <c r="D12" s="127" t="s">
        <v>1807</v>
      </c>
      <c r="E12" s="127"/>
      <c r="F12" s="127"/>
      <c r="G12" s="117"/>
      <c r="H12" s="118"/>
      <c r="I12" s="119" t="s">
        <v>498</v>
      </c>
      <c r="J12" s="128">
        <f>J88</f>
        <v>6.7221605860672531</v>
      </c>
      <c r="K12" s="129">
        <f t="shared" ref="K12:V12" si="1">K88</f>
        <v>7.6283438493506459</v>
      </c>
      <c r="L12" s="129">
        <f t="shared" si="1"/>
        <v>8.0242664189451922</v>
      </c>
      <c r="M12" s="129">
        <f t="shared" si="1"/>
        <v>8.3155367664312401</v>
      </c>
      <c r="N12" s="129">
        <f t="shared" si="1"/>
        <v>8.3412766525933808</v>
      </c>
      <c r="O12" s="129">
        <f t="shared" si="1"/>
        <v>7.7454927885308544</v>
      </c>
      <c r="P12" s="129">
        <f t="shared" si="1"/>
        <v>8.2121781749024425</v>
      </c>
      <c r="Q12" s="130">
        <f t="shared" si="1"/>
        <v>8.6291781749024423</v>
      </c>
      <c r="R12" s="128">
        <f t="shared" si="1"/>
        <v>10.342899360045099</v>
      </c>
      <c r="S12" s="129">
        <f t="shared" si="1"/>
        <v>10.932448180480458</v>
      </c>
      <c r="T12" s="129">
        <f t="shared" si="1"/>
        <v>10.196937038145174</v>
      </c>
      <c r="U12" s="129">
        <f t="shared" si="1"/>
        <v>10.2885703164037</v>
      </c>
      <c r="V12" s="130">
        <f t="shared" si="1"/>
        <v>10.82325380947124</v>
      </c>
      <c r="AG12" s="92"/>
      <c r="AH12" s="92"/>
      <c r="AI12" s="92"/>
      <c r="AJ12" s="92"/>
      <c r="AK12" s="92"/>
      <c r="AL12" s="92"/>
    </row>
    <row r="13" spans="1:38" s="89" customFormat="1" ht="15" customHeight="1" thickBot="1">
      <c r="B13" s="176"/>
      <c r="C13" s="132"/>
      <c r="D13" s="132" t="s">
        <v>1808</v>
      </c>
      <c r="E13" s="132"/>
      <c r="F13" s="132"/>
      <c r="G13" s="145"/>
      <c r="H13" s="133"/>
      <c r="I13" s="146" t="s">
        <v>498</v>
      </c>
      <c r="J13" s="177">
        <f>J163</f>
        <v>2.6698008860376419</v>
      </c>
      <c r="K13" s="178">
        <f t="shared" ref="K13:V13" si="2">K163</f>
        <v>2.7087188259740249</v>
      </c>
      <c r="L13" s="178">
        <f t="shared" si="2"/>
        <v>2.687553198581508</v>
      </c>
      <c r="M13" s="178">
        <f t="shared" si="2"/>
        <v>2.491913194352672</v>
      </c>
      <c r="N13" s="178">
        <f t="shared" si="2"/>
        <v>2.844704124342166</v>
      </c>
      <c r="O13" s="178">
        <f t="shared" si="2"/>
        <v>4.2430866827538898</v>
      </c>
      <c r="P13" s="178">
        <f t="shared" si="2"/>
        <v>5.2877382050480133</v>
      </c>
      <c r="Q13" s="179">
        <f t="shared" si="2"/>
        <v>5.8707382050480135</v>
      </c>
      <c r="R13" s="177">
        <f t="shared" si="2"/>
        <v>6.0825685431936165</v>
      </c>
      <c r="S13" s="178">
        <f t="shared" si="2"/>
        <v>6.2787728972191887</v>
      </c>
      <c r="T13" s="178">
        <f t="shared" si="2"/>
        <v>7.1050448812001701</v>
      </c>
      <c r="U13" s="178">
        <f t="shared" si="2"/>
        <v>5.9266310827854651</v>
      </c>
      <c r="V13" s="179">
        <f t="shared" si="2"/>
        <v>6.1099445134663801</v>
      </c>
      <c r="AG13" s="92"/>
      <c r="AH13" s="92"/>
      <c r="AI13" s="92"/>
      <c r="AJ13" s="92"/>
      <c r="AK13" s="92"/>
      <c r="AL13" s="92"/>
    </row>
    <row r="14" spans="1:38" s="89" customFormat="1" ht="15" customHeight="1" thickBot="1">
      <c r="B14" s="134"/>
      <c r="C14" s="134"/>
      <c r="D14" s="134"/>
      <c r="E14" s="134"/>
      <c r="F14" s="134"/>
      <c r="H14" s="114"/>
      <c r="I14" s="93"/>
      <c r="J14" s="92"/>
      <c r="P14" s="92"/>
      <c r="Q14" s="92"/>
      <c r="R14" s="92"/>
      <c r="S14" s="92"/>
      <c r="T14" s="92"/>
      <c r="U14" s="92"/>
      <c r="V14" s="92"/>
      <c r="AG14" s="92"/>
      <c r="AH14" s="92"/>
      <c r="AI14" s="92"/>
      <c r="AJ14" s="92"/>
      <c r="AK14" s="92"/>
      <c r="AL14" s="92"/>
    </row>
    <row r="15" spans="1:38" s="100" customFormat="1" ht="30" customHeight="1" thickBot="1">
      <c r="A15" s="89"/>
      <c r="B15" s="621" t="s">
        <v>1807</v>
      </c>
      <c r="C15" s="101"/>
      <c r="D15" s="102"/>
      <c r="E15" s="102"/>
      <c r="F15" s="102"/>
      <c r="G15" s="103"/>
      <c r="H15" s="103"/>
      <c r="I15" s="105" t="s">
        <v>1704</v>
      </c>
      <c r="J15" s="106"/>
      <c r="K15" s="106"/>
      <c r="L15" s="106"/>
      <c r="M15" s="106"/>
      <c r="N15" s="106"/>
      <c r="O15" s="106"/>
      <c r="P15" s="106"/>
      <c r="Q15" s="106"/>
      <c r="R15" s="105"/>
      <c r="S15" s="105"/>
      <c r="T15" s="105"/>
      <c r="U15" s="105"/>
      <c r="V15" s="107"/>
    </row>
    <row r="16" spans="1:38" s="157" customFormat="1" ht="30" customHeight="1">
      <c r="A16" s="99"/>
      <c r="B16" s="109"/>
      <c r="C16" s="110"/>
      <c r="D16" s="110"/>
      <c r="E16" s="110"/>
      <c r="F16" s="110"/>
      <c r="G16" s="111"/>
      <c r="H16" s="111"/>
      <c r="I16" s="117"/>
      <c r="J16" s="695" t="s">
        <v>1666</v>
      </c>
      <c r="K16" s="152"/>
      <c r="L16" s="152"/>
      <c r="M16" s="152"/>
      <c r="N16" s="152"/>
      <c r="O16" s="152"/>
      <c r="P16" s="152"/>
      <c r="Q16" s="153"/>
      <c r="R16" s="696" t="s">
        <v>2</v>
      </c>
      <c r="S16" s="155"/>
      <c r="T16" s="155"/>
      <c r="U16" s="155"/>
      <c r="V16" s="156"/>
    </row>
    <row r="17" spans="1:23" s="98" customFormat="1" ht="15" customHeight="1">
      <c r="A17" s="99"/>
      <c r="B17" s="115"/>
      <c r="C17" s="116"/>
      <c r="D17" s="116"/>
      <c r="E17" s="116"/>
      <c r="F17" s="116"/>
      <c r="G17" s="117"/>
      <c r="H17" s="117"/>
      <c r="I17" s="119" t="s">
        <v>1667</v>
      </c>
      <c r="J17" s="158" t="s">
        <v>453</v>
      </c>
      <c r="K17" s="137" t="s">
        <v>455</v>
      </c>
      <c r="L17" s="137" t="s">
        <v>457</v>
      </c>
      <c r="M17" s="137" t="s">
        <v>459</v>
      </c>
      <c r="N17" s="137" t="s">
        <v>461</v>
      </c>
      <c r="O17" s="137" t="s">
        <v>463</v>
      </c>
      <c r="P17" s="137" t="s">
        <v>465</v>
      </c>
      <c r="Q17" s="138" t="s">
        <v>467</v>
      </c>
      <c r="R17" s="120" t="s">
        <v>469</v>
      </c>
      <c r="S17" s="121" t="s">
        <v>471</v>
      </c>
      <c r="T17" s="121" t="s">
        <v>473</v>
      </c>
      <c r="U17" s="121" t="s">
        <v>475</v>
      </c>
      <c r="V17" s="122" t="s">
        <v>477</v>
      </c>
    </row>
    <row r="18" spans="1:23" s="98" customFormat="1" ht="15" customHeight="1">
      <c r="A18" s="99"/>
      <c r="B18" s="161"/>
      <c r="C18" s="116" t="s">
        <v>1809</v>
      </c>
      <c r="D18" s="116"/>
      <c r="E18" s="116"/>
      <c r="F18" s="116"/>
      <c r="G18" s="117"/>
      <c r="H18" s="117"/>
      <c r="I18" s="117"/>
      <c r="J18" s="159"/>
      <c r="K18" s="117"/>
      <c r="L18" s="117"/>
      <c r="M18" s="117"/>
      <c r="N18" s="117"/>
      <c r="O18" s="117"/>
      <c r="P18" s="117"/>
      <c r="Q18" s="160"/>
      <c r="R18" s="159"/>
      <c r="S18" s="117"/>
      <c r="T18" s="117"/>
      <c r="U18" s="117"/>
      <c r="V18" s="160"/>
    </row>
    <row r="19" spans="1:23" s="98" customFormat="1" ht="15" customHeight="1">
      <c r="A19" s="99"/>
      <c r="B19" s="161"/>
      <c r="C19" s="162"/>
      <c r="D19" s="162" t="s">
        <v>1810</v>
      </c>
      <c r="E19" s="162"/>
      <c r="F19" s="162"/>
      <c r="G19" s="163"/>
      <c r="H19" s="163"/>
      <c r="I19" s="164" t="s">
        <v>498</v>
      </c>
      <c r="J19" s="143">
        <v>4.3939341066561256E-2</v>
      </c>
      <c r="K19" s="141">
        <v>7.3954425974025947E-2</v>
      </c>
      <c r="L19" s="141">
        <v>9.4285962599515355E-2</v>
      </c>
      <c r="M19" s="141">
        <v>5.8802070268387421E-2</v>
      </c>
      <c r="N19" s="141">
        <v>7.9051554498200241E-2</v>
      </c>
      <c r="O19" s="141">
        <v>6.4390465517692883E-2</v>
      </c>
      <c r="P19" s="141">
        <v>6.4390465517692883E-2</v>
      </c>
      <c r="Q19" s="144">
        <v>6.4390465517692883E-2</v>
      </c>
      <c r="R19" s="143">
        <v>3.8753020972932699E-2</v>
      </c>
      <c r="S19" s="141">
        <v>4.5751680851993784E-2</v>
      </c>
      <c r="T19" s="141">
        <v>4.5163588614316644E-2</v>
      </c>
      <c r="U19" s="141">
        <v>5.0079918973740166E-2</v>
      </c>
      <c r="V19" s="144">
        <v>3.7376789100348043E-2</v>
      </c>
      <c r="W19" s="2921"/>
    </row>
    <row r="20" spans="1:23" s="98" customFormat="1" ht="15" customHeight="1">
      <c r="A20" s="99"/>
      <c r="B20" s="161"/>
      <c r="C20" s="162"/>
      <c r="D20" s="162" t="s">
        <v>1811</v>
      </c>
      <c r="E20" s="162"/>
      <c r="F20" s="162"/>
      <c r="G20" s="163"/>
      <c r="H20" s="163"/>
      <c r="I20" s="164" t="s">
        <v>498</v>
      </c>
      <c r="J20" s="143">
        <v>0</v>
      </c>
      <c r="K20" s="141">
        <v>0</v>
      </c>
      <c r="L20" s="141">
        <v>0</v>
      </c>
      <c r="M20" s="141">
        <v>0</v>
      </c>
      <c r="N20" s="141">
        <v>0</v>
      </c>
      <c r="O20" s="141">
        <v>0</v>
      </c>
      <c r="P20" s="141">
        <v>0</v>
      </c>
      <c r="Q20" s="144">
        <v>0</v>
      </c>
      <c r="R20" s="143">
        <v>0</v>
      </c>
      <c r="S20" s="141">
        <v>0</v>
      </c>
      <c r="T20" s="141">
        <v>0</v>
      </c>
      <c r="U20" s="141">
        <v>0</v>
      </c>
      <c r="V20" s="144">
        <v>0</v>
      </c>
      <c r="W20" s="2921"/>
    </row>
    <row r="21" spans="1:23" s="98" customFormat="1" ht="15" customHeight="1">
      <c r="A21" s="99"/>
      <c r="B21" s="161"/>
      <c r="C21" s="162"/>
      <c r="D21" s="162" t="s">
        <v>1812</v>
      </c>
      <c r="E21" s="162"/>
      <c r="F21" s="162"/>
      <c r="G21" s="163"/>
      <c r="H21" s="163"/>
      <c r="I21" s="164" t="s">
        <v>498</v>
      </c>
      <c r="J21" s="143">
        <v>0</v>
      </c>
      <c r="K21" s="141">
        <v>0</v>
      </c>
      <c r="L21" s="141">
        <v>0</v>
      </c>
      <c r="M21" s="141">
        <v>0</v>
      </c>
      <c r="N21" s="141">
        <v>0</v>
      </c>
      <c r="O21" s="141">
        <v>0</v>
      </c>
      <c r="P21" s="141">
        <v>0</v>
      </c>
      <c r="Q21" s="144">
        <v>0</v>
      </c>
      <c r="R21" s="143">
        <v>1.3066596814052407E-2</v>
      </c>
      <c r="S21" s="141">
        <v>1.344927438107479E-2</v>
      </c>
      <c r="T21" s="141">
        <v>1.1350492228921176E-2</v>
      </c>
      <c r="U21" s="141">
        <v>1.0365668782776151E-2</v>
      </c>
      <c r="V21" s="144">
        <v>2.0665540835840136E-2</v>
      </c>
      <c r="W21" s="2921"/>
    </row>
    <row r="22" spans="1:23" s="98" customFormat="1" ht="15" customHeight="1">
      <c r="A22" s="99"/>
      <c r="B22" s="161"/>
      <c r="C22" s="162"/>
      <c r="D22" s="162" t="s">
        <v>1813</v>
      </c>
      <c r="E22" s="162"/>
      <c r="F22" s="162"/>
      <c r="G22" s="163"/>
      <c r="H22" s="163"/>
      <c r="I22" s="164" t="s">
        <v>498</v>
      </c>
      <c r="J22" s="143">
        <v>0</v>
      </c>
      <c r="K22" s="141">
        <v>0</v>
      </c>
      <c r="L22" s="141">
        <v>0</v>
      </c>
      <c r="M22" s="141">
        <v>0</v>
      </c>
      <c r="N22" s="141">
        <v>0</v>
      </c>
      <c r="O22" s="141">
        <v>0</v>
      </c>
      <c r="P22" s="141">
        <v>0</v>
      </c>
      <c r="Q22" s="144">
        <v>0</v>
      </c>
      <c r="R22" s="143">
        <v>0.17948545933927917</v>
      </c>
      <c r="S22" s="141">
        <v>0.19851058104445665</v>
      </c>
      <c r="T22" s="141">
        <v>0.17460322024156322</v>
      </c>
      <c r="U22" s="141">
        <v>0.16277881195535843</v>
      </c>
      <c r="V22" s="144">
        <v>0.18938247904764191</v>
      </c>
      <c r="W22" s="2921"/>
    </row>
    <row r="23" spans="1:23" s="98" customFormat="1" ht="15" customHeight="1">
      <c r="A23" s="99"/>
      <c r="B23" s="161"/>
      <c r="C23" s="162"/>
      <c r="D23" s="162" t="s">
        <v>1814</v>
      </c>
      <c r="E23" s="162"/>
      <c r="F23" s="162"/>
      <c r="G23" s="163"/>
      <c r="H23" s="163"/>
      <c r="I23" s="164" t="s">
        <v>498</v>
      </c>
      <c r="J23" s="143">
        <v>0</v>
      </c>
      <c r="K23" s="141">
        <v>0</v>
      </c>
      <c r="L23" s="141">
        <v>0</v>
      </c>
      <c r="M23" s="141">
        <v>0</v>
      </c>
      <c r="N23" s="141">
        <v>0</v>
      </c>
      <c r="O23" s="141">
        <v>0</v>
      </c>
      <c r="P23" s="141">
        <v>0</v>
      </c>
      <c r="Q23" s="144">
        <v>0</v>
      </c>
      <c r="R23" s="143">
        <v>7.5795898879600782E-2</v>
      </c>
      <c r="S23" s="141">
        <v>7.53586636591667E-2</v>
      </c>
      <c r="T23" s="141">
        <v>7.9540091769474366E-2</v>
      </c>
      <c r="U23" s="141">
        <v>7.6801999629831225E-2</v>
      </c>
      <c r="V23" s="144">
        <v>7.5626954047453662E-2</v>
      </c>
      <c r="W23" s="2921"/>
    </row>
    <row r="24" spans="1:23" s="98" customFormat="1" ht="15" customHeight="1">
      <c r="A24" s="99"/>
      <c r="B24" s="161"/>
      <c r="C24" s="162"/>
      <c r="D24" s="162" t="s">
        <v>1815</v>
      </c>
      <c r="E24" s="162"/>
      <c r="F24" s="162"/>
      <c r="G24" s="163"/>
      <c r="H24" s="163"/>
      <c r="I24" s="164" t="s">
        <v>498</v>
      </c>
      <c r="J24" s="143">
        <v>0</v>
      </c>
      <c r="K24" s="141">
        <v>0</v>
      </c>
      <c r="L24" s="141">
        <v>0</v>
      </c>
      <c r="M24" s="141">
        <v>0</v>
      </c>
      <c r="N24" s="141">
        <v>0</v>
      </c>
      <c r="O24" s="141">
        <v>0</v>
      </c>
      <c r="P24" s="141">
        <v>0</v>
      </c>
      <c r="Q24" s="144">
        <v>0</v>
      </c>
      <c r="R24" s="143">
        <v>0.19435541743398399</v>
      </c>
      <c r="S24" s="141">
        <v>0.19323426134189398</v>
      </c>
      <c r="T24" s="141">
        <v>0.19480283675913587</v>
      </c>
      <c r="U24" s="141">
        <v>0.19267401136580775</v>
      </c>
      <c r="V24" s="144">
        <v>0.18879716700464777</v>
      </c>
      <c r="W24" s="2921"/>
    </row>
    <row r="25" spans="1:23" s="98" customFormat="1" ht="15" customHeight="1">
      <c r="A25" s="99"/>
      <c r="B25" s="161"/>
      <c r="C25" s="162"/>
      <c r="D25" s="162" t="s">
        <v>1816</v>
      </c>
      <c r="E25" s="162"/>
      <c r="F25" s="162"/>
      <c r="G25" s="163"/>
      <c r="H25" s="163"/>
      <c r="I25" s="164" t="s">
        <v>498</v>
      </c>
      <c r="J25" s="143">
        <v>0</v>
      </c>
      <c r="K25" s="141">
        <v>0</v>
      </c>
      <c r="L25" s="141">
        <v>0</v>
      </c>
      <c r="M25" s="141">
        <v>0</v>
      </c>
      <c r="N25" s="141">
        <v>0</v>
      </c>
      <c r="O25" s="141">
        <v>0</v>
      </c>
      <c r="P25" s="141">
        <v>0</v>
      </c>
      <c r="Q25" s="144">
        <v>0</v>
      </c>
      <c r="R25" s="143">
        <v>0</v>
      </c>
      <c r="S25" s="141">
        <v>0</v>
      </c>
      <c r="T25" s="141">
        <v>0</v>
      </c>
      <c r="U25" s="141">
        <v>0</v>
      </c>
      <c r="V25" s="144">
        <v>0</v>
      </c>
      <c r="W25" s="2921"/>
    </row>
    <row r="26" spans="1:23" s="98" customFormat="1" ht="15" customHeight="1">
      <c r="A26" s="99"/>
      <c r="B26" s="161"/>
      <c r="C26" s="162"/>
      <c r="D26" s="162" t="s">
        <v>1817</v>
      </c>
      <c r="E26" s="162"/>
      <c r="F26" s="162"/>
      <c r="G26" s="163"/>
      <c r="H26" s="163"/>
      <c r="I26" s="164" t="s">
        <v>498</v>
      </c>
      <c r="J26" s="143">
        <v>3.5658898888253257E-2</v>
      </c>
      <c r="K26" s="141">
        <v>2.2075948051948045E-2</v>
      </c>
      <c r="L26" s="141">
        <v>4.8834020802090247E-2</v>
      </c>
      <c r="M26" s="141">
        <v>4.8796267729266131E-2</v>
      </c>
      <c r="N26" s="141">
        <v>2.7341087044821601E-2</v>
      </c>
      <c r="O26" s="141">
        <v>3.3579188619277653E-2</v>
      </c>
      <c r="P26" s="141">
        <v>3.3579188619277653E-2</v>
      </c>
      <c r="Q26" s="144">
        <v>3.3579188619277653E-2</v>
      </c>
      <c r="R26" s="143">
        <v>4.7395141692776546E-2</v>
      </c>
      <c r="S26" s="141">
        <v>6.1672139646527617E-2</v>
      </c>
      <c r="T26" s="141">
        <v>4.9150160756573177E-2</v>
      </c>
      <c r="U26" s="141">
        <v>6.0955292287005365E-2</v>
      </c>
      <c r="V26" s="144">
        <v>4.6337104399053183E-2</v>
      </c>
      <c r="W26" s="2921"/>
    </row>
    <row r="27" spans="1:23" s="98" customFormat="1" ht="15" customHeight="1">
      <c r="A27" s="99"/>
      <c r="B27" s="161"/>
      <c r="C27" s="162"/>
      <c r="D27" s="162" t="s">
        <v>1818</v>
      </c>
      <c r="E27" s="162"/>
      <c r="F27" s="162"/>
      <c r="G27" s="163"/>
      <c r="H27" s="163"/>
      <c r="I27" s="164" t="s">
        <v>498</v>
      </c>
      <c r="J27" s="143">
        <v>2.4309943316350589E-2</v>
      </c>
      <c r="K27" s="141">
        <v>7.0643033766233737E-2</v>
      </c>
      <c r="L27" s="141">
        <v>6.9421713771857492E-3</v>
      </c>
      <c r="M27" s="141">
        <v>5.2275425674444917E-2</v>
      </c>
      <c r="N27" s="141">
        <v>8.7128791269827519E-2</v>
      </c>
      <c r="O27" s="141">
        <v>5.5693806393369558E-2</v>
      </c>
      <c r="P27" s="141">
        <v>5.5693806393369558E-2</v>
      </c>
      <c r="Q27" s="144">
        <v>5.5693806393369558E-2</v>
      </c>
      <c r="R27" s="143">
        <v>5.0300989737298796E-2</v>
      </c>
      <c r="S27" s="141">
        <v>4.9465275495821519E-2</v>
      </c>
      <c r="T27" s="141">
        <v>5.1874902513937421E-2</v>
      </c>
      <c r="U27" s="141">
        <v>4.824097013371971E-2</v>
      </c>
      <c r="V27" s="144">
        <v>4.9572997419973515E-2</v>
      </c>
      <c r="W27" s="2921"/>
    </row>
    <row r="28" spans="1:23" s="98" customFormat="1" ht="15" customHeight="1">
      <c r="A28" s="99"/>
      <c r="B28" s="161"/>
      <c r="C28" s="116" t="s">
        <v>1819</v>
      </c>
      <c r="D28" s="116"/>
      <c r="E28" s="116"/>
      <c r="F28" s="116"/>
      <c r="G28" s="117"/>
      <c r="H28" s="117"/>
      <c r="I28" s="117"/>
      <c r="J28" s="713"/>
      <c r="K28" s="721"/>
      <c r="L28" s="721"/>
      <c r="M28" s="721"/>
      <c r="N28" s="721"/>
      <c r="O28" s="721"/>
      <c r="P28" s="721"/>
      <c r="Q28" s="715"/>
      <c r="R28" s="713"/>
      <c r="S28" s="721"/>
      <c r="T28" s="721"/>
      <c r="U28" s="721"/>
      <c r="V28" s="715"/>
      <c r="W28" s="2921"/>
    </row>
    <row r="29" spans="1:23" s="98" customFormat="1" ht="15" customHeight="1">
      <c r="A29" s="99"/>
      <c r="B29" s="161"/>
      <c r="C29" s="162"/>
      <c r="D29" s="162" t="s">
        <v>1820</v>
      </c>
      <c r="E29" s="162"/>
      <c r="F29" s="162"/>
      <c r="G29" s="163"/>
      <c r="H29" s="163"/>
      <c r="I29" s="164" t="s">
        <v>498</v>
      </c>
      <c r="J29" s="143">
        <v>0</v>
      </c>
      <c r="K29" s="141">
        <v>0</v>
      </c>
      <c r="L29" s="141">
        <v>0</v>
      </c>
      <c r="M29" s="141">
        <v>0</v>
      </c>
      <c r="N29" s="141">
        <v>0</v>
      </c>
      <c r="O29" s="141">
        <v>0</v>
      </c>
      <c r="P29" s="141">
        <v>0</v>
      </c>
      <c r="Q29" s="144">
        <v>0</v>
      </c>
      <c r="R29" s="143">
        <v>2.1324685764658298E-2</v>
      </c>
      <c r="S29" s="141">
        <v>2.3287082870534839E-2</v>
      </c>
      <c r="T29" s="141">
        <v>2.1151893486169134E-2</v>
      </c>
      <c r="U29" s="141">
        <v>2.1804888384504888E-2</v>
      </c>
      <c r="V29" s="144">
        <v>2.1154519334482143E-2</v>
      </c>
      <c r="W29" s="2921"/>
    </row>
    <row r="30" spans="1:23" s="98" customFormat="1" ht="15" customHeight="1">
      <c r="A30" s="99"/>
      <c r="B30" s="161"/>
      <c r="C30" s="162"/>
      <c r="D30" s="162" t="s">
        <v>1821</v>
      </c>
      <c r="E30" s="162"/>
      <c r="F30" s="162"/>
      <c r="G30" s="163"/>
      <c r="H30" s="163"/>
      <c r="I30" s="164" t="s">
        <v>498</v>
      </c>
      <c r="J30" s="143">
        <v>0</v>
      </c>
      <c r="K30" s="141">
        <v>0</v>
      </c>
      <c r="L30" s="141">
        <v>0</v>
      </c>
      <c r="M30" s="141">
        <v>0</v>
      </c>
      <c r="N30" s="141">
        <v>0</v>
      </c>
      <c r="O30" s="141">
        <v>0</v>
      </c>
      <c r="P30" s="141">
        <v>0</v>
      </c>
      <c r="Q30" s="144">
        <v>0</v>
      </c>
      <c r="R30" s="143">
        <v>7.2209121711429647E-3</v>
      </c>
      <c r="S30" s="141">
        <v>7.5191042315772613E-3</v>
      </c>
      <c r="T30" s="141">
        <v>7.1200206036063016E-3</v>
      </c>
      <c r="U30" s="141">
        <v>7.2329014969565696E-3</v>
      </c>
      <c r="V30" s="144">
        <v>1.0723743087143829E-2</v>
      </c>
      <c r="W30" s="2921"/>
    </row>
    <row r="31" spans="1:23" s="98" customFormat="1" ht="15" customHeight="1">
      <c r="A31" s="99"/>
      <c r="B31" s="161"/>
      <c r="C31" s="162"/>
      <c r="D31" s="162" t="s">
        <v>1822</v>
      </c>
      <c r="E31" s="162"/>
      <c r="F31" s="162"/>
      <c r="G31" s="163"/>
      <c r="H31" s="163"/>
      <c r="I31" s="164" t="s">
        <v>498</v>
      </c>
      <c r="J31" s="143">
        <v>0.5459649370012607</v>
      </c>
      <c r="K31" s="141">
        <v>0.8786227324675322</v>
      </c>
      <c r="L31" s="141">
        <v>0.92281330084110758</v>
      </c>
      <c r="M31" s="141">
        <v>1.4967369207072876</v>
      </c>
      <c r="N31" s="141">
        <v>0.88561315676085239</v>
      </c>
      <c r="O31" s="141">
        <v>1.157663016445404</v>
      </c>
      <c r="P31" s="141">
        <v>1.2</v>
      </c>
      <c r="Q31" s="144">
        <v>1.3169999999999999</v>
      </c>
      <c r="R31" s="143">
        <v>1.4055110772769566</v>
      </c>
      <c r="S31" s="141">
        <v>1.8081789576021092</v>
      </c>
      <c r="T31" s="141">
        <v>1.3445888121992864</v>
      </c>
      <c r="U31" s="141">
        <v>1.3555379594227563</v>
      </c>
      <c r="V31" s="144">
        <v>1.9177077178634869</v>
      </c>
      <c r="W31" s="2921"/>
    </row>
    <row r="32" spans="1:23" s="98" customFormat="1" ht="15" customHeight="1">
      <c r="A32" s="99"/>
      <c r="B32" s="161"/>
      <c r="C32" s="162"/>
      <c r="D32" s="162" t="s">
        <v>1823</v>
      </c>
      <c r="E32" s="162"/>
      <c r="F32" s="162"/>
      <c r="G32" s="163"/>
      <c r="H32" s="163"/>
      <c r="I32" s="164" t="s">
        <v>498</v>
      </c>
      <c r="J32" s="143">
        <v>0.15167553821686436</v>
      </c>
      <c r="K32" s="141">
        <v>0.2439392259740259</v>
      </c>
      <c r="L32" s="141">
        <v>0.25976162056167051</v>
      </c>
      <c r="M32" s="141">
        <v>0.43039287820053701</v>
      </c>
      <c r="N32" s="141">
        <v>0.24846741056391944</v>
      </c>
      <c r="O32" s="141">
        <v>0.3190579749160205</v>
      </c>
      <c r="P32" s="141">
        <v>0.5</v>
      </c>
      <c r="Q32" s="144">
        <v>0.6</v>
      </c>
      <c r="R32" s="143">
        <v>0.67301225799077802</v>
      </c>
      <c r="S32" s="141">
        <v>0.69274200285815368</v>
      </c>
      <c r="T32" s="141">
        <v>0.65181745170787664</v>
      </c>
      <c r="U32" s="141">
        <v>0.70164538417166822</v>
      </c>
      <c r="V32" s="144">
        <v>0.69229511526526766</v>
      </c>
      <c r="W32" s="2921"/>
    </row>
    <row r="33" spans="1:23" s="98" customFormat="1" ht="15" customHeight="1">
      <c r="A33" s="99"/>
      <c r="B33" s="161"/>
      <c r="C33" s="162"/>
      <c r="D33" s="162" t="s">
        <v>1824</v>
      </c>
      <c r="E33" s="162"/>
      <c r="F33" s="162"/>
      <c r="G33" s="163"/>
      <c r="H33" s="163"/>
      <c r="I33" s="164" t="s">
        <v>498</v>
      </c>
      <c r="J33" s="143">
        <v>0</v>
      </c>
      <c r="K33" s="141">
        <v>0</v>
      </c>
      <c r="L33" s="141">
        <v>0</v>
      </c>
      <c r="M33" s="141">
        <v>0</v>
      </c>
      <c r="N33" s="141">
        <v>0</v>
      </c>
      <c r="O33" s="141">
        <v>0</v>
      </c>
      <c r="P33" s="141">
        <v>0</v>
      </c>
      <c r="Q33" s="144">
        <v>0</v>
      </c>
      <c r="R33" s="143">
        <v>0</v>
      </c>
      <c r="S33" s="141">
        <v>0</v>
      </c>
      <c r="T33" s="141">
        <v>0</v>
      </c>
      <c r="U33" s="141">
        <v>0</v>
      </c>
      <c r="V33" s="144">
        <v>0</v>
      </c>
      <c r="W33" s="2921"/>
    </row>
    <row r="34" spans="1:23" s="98" customFormat="1" ht="15" customHeight="1">
      <c r="A34" s="99"/>
      <c r="B34" s="161"/>
      <c r="C34" s="116" t="s">
        <v>1825</v>
      </c>
      <c r="D34" s="116"/>
      <c r="E34" s="116"/>
      <c r="F34" s="116"/>
      <c r="G34" s="117"/>
      <c r="H34" s="117"/>
      <c r="I34" s="117"/>
      <c r="J34" s="713"/>
      <c r="K34" s="721"/>
      <c r="L34" s="721"/>
      <c r="M34" s="721"/>
      <c r="N34" s="721"/>
      <c r="O34" s="721"/>
      <c r="P34" s="721"/>
      <c r="Q34" s="715"/>
      <c r="R34" s="713"/>
      <c r="S34" s="721"/>
      <c r="T34" s="721"/>
      <c r="U34" s="721"/>
      <c r="V34" s="715"/>
      <c r="W34" s="2921"/>
    </row>
    <row r="35" spans="1:23" s="98" customFormat="1" ht="15" customHeight="1">
      <c r="A35" s="99"/>
      <c r="B35" s="161"/>
      <c r="C35" s="162"/>
      <c r="D35" s="162" t="s">
        <v>1810</v>
      </c>
      <c r="E35" s="162"/>
      <c r="F35" s="162"/>
      <c r="G35" s="163"/>
      <c r="H35" s="163"/>
      <c r="I35" s="164" t="s">
        <v>498</v>
      </c>
      <c r="J35" s="143">
        <v>0.21996060527915201</v>
      </c>
      <c r="K35" s="141">
        <v>0.37197972467532459</v>
      </c>
      <c r="L35" s="141">
        <v>0.47199609505523155</v>
      </c>
      <c r="M35" s="141">
        <v>0.29436351692913454</v>
      </c>
      <c r="N35" s="141">
        <v>0.39573255660210138</v>
      </c>
      <c r="O35" s="141">
        <v>0.32233905711109312</v>
      </c>
      <c r="P35" s="141">
        <v>0.32233905711109312</v>
      </c>
      <c r="Q35" s="144">
        <v>0.32233905711109312</v>
      </c>
      <c r="R35" s="143">
        <v>0.19399785574137782</v>
      </c>
      <c r="S35" s="141">
        <v>0.22903318912995085</v>
      </c>
      <c r="T35" s="141">
        <v>0.22608919585605358</v>
      </c>
      <c r="U35" s="141">
        <v>0.25070037516283744</v>
      </c>
      <c r="V35" s="144">
        <v>0.18710843072156208</v>
      </c>
      <c r="W35" s="2921"/>
    </row>
    <row r="36" spans="1:23" s="98" customFormat="1" ht="15" customHeight="1">
      <c r="A36" s="99"/>
      <c r="B36" s="161"/>
      <c r="C36" s="162"/>
      <c r="D36" s="162" t="s">
        <v>1811</v>
      </c>
      <c r="E36" s="162"/>
      <c r="F36" s="162"/>
      <c r="G36" s="163"/>
      <c r="H36" s="163"/>
      <c r="I36" s="164" t="s">
        <v>498</v>
      </c>
      <c r="J36" s="143">
        <v>0</v>
      </c>
      <c r="K36" s="141">
        <v>0</v>
      </c>
      <c r="L36" s="141">
        <v>0</v>
      </c>
      <c r="M36" s="141">
        <v>0</v>
      </c>
      <c r="N36" s="141">
        <v>0</v>
      </c>
      <c r="O36" s="141">
        <v>0</v>
      </c>
      <c r="P36" s="141">
        <v>0</v>
      </c>
      <c r="Q36" s="144">
        <v>0</v>
      </c>
      <c r="R36" s="143">
        <v>0</v>
      </c>
      <c r="S36" s="141">
        <v>0</v>
      </c>
      <c r="T36" s="141">
        <v>0</v>
      </c>
      <c r="U36" s="141">
        <v>0</v>
      </c>
      <c r="V36" s="144">
        <v>0</v>
      </c>
      <c r="W36" s="2921"/>
    </row>
    <row r="37" spans="1:23" s="98" customFormat="1" ht="15" customHeight="1">
      <c r="A37" s="99"/>
      <c r="B37" s="161"/>
      <c r="C37" s="162"/>
      <c r="D37" s="162" t="s">
        <v>1812</v>
      </c>
      <c r="E37" s="162"/>
      <c r="F37" s="162"/>
      <c r="G37" s="163"/>
      <c r="H37" s="163"/>
      <c r="I37" s="164" t="s">
        <v>498</v>
      </c>
      <c r="J37" s="143">
        <v>0</v>
      </c>
      <c r="K37" s="141">
        <v>0</v>
      </c>
      <c r="L37" s="141">
        <v>0</v>
      </c>
      <c r="M37" s="141">
        <v>0</v>
      </c>
      <c r="N37" s="141">
        <v>0</v>
      </c>
      <c r="O37" s="141">
        <v>0</v>
      </c>
      <c r="P37" s="141">
        <v>0</v>
      </c>
      <c r="Q37" s="144">
        <v>0</v>
      </c>
      <c r="R37" s="143">
        <v>6.5411462129205289E-2</v>
      </c>
      <c r="S37" s="141">
        <v>6.7327148328083106E-2</v>
      </c>
      <c r="T37" s="141">
        <v>5.6820632269103902E-2</v>
      </c>
      <c r="U37" s="141">
        <v>5.1890600182846372E-2</v>
      </c>
      <c r="V37" s="144">
        <v>0.10345182154157809</v>
      </c>
      <c r="W37" s="2921"/>
    </row>
    <row r="38" spans="1:23" s="98" customFormat="1" ht="15" customHeight="1">
      <c r="A38" s="99"/>
      <c r="B38" s="161"/>
      <c r="C38" s="162"/>
      <c r="D38" s="162" t="s">
        <v>1813</v>
      </c>
      <c r="E38" s="162"/>
      <c r="F38" s="162"/>
      <c r="G38" s="163"/>
      <c r="H38" s="163"/>
      <c r="I38" s="164" t="s">
        <v>498</v>
      </c>
      <c r="J38" s="143">
        <v>0.22688828176995218</v>
      </c>
      <c r="K38" s="141">
        <v>0.27484555324675314</v>
      </c>
      <c r="L38" s="141">
        <v>0.50099226100943073</v>
      </c>
      <c r="M38" s="141">
        <v>0.33876377267706181</v>
      </c>
      <c r="N38" s="141">
        <v>0.45228217526998116</v>
      </c>
      <c r="O38" s="141">
        <v>0.35432742309570303</v>
      </c>
      <c r="P38" s="141">
        <v>0.35432742309570303</v>
      </c>
      <c r="Q38" s="144">
        <v>0.35432742309570303</v>
      </c>
      <c r="R38" s="143">
        <v>0.89850528744317837</v>
      </c>
      <c r="S38" s="141">
        <v>0.993745160964292</v>
      </c>
      <c r="T38" s="141">
        <v>0.87406476919725495</v>
      </c>
      <c r="U38" s="141">
        <v>0.81487171029904648</v>
      </c>
      <c r="V38" s="144">
        <v>0.94804982754480205</v>
      </c>
      <c r="W38" s="2921"/>
    </row>
    <row r="39" spans="1:23" s="98" customFormat="1" ht="15" customHeight="1">
      <c r="A39" s="99"/>
      <c r="B39" s="161"/>
      <c r="C39" s="162"/>
      <c r="D39" s="162" t="s">
        <v>1815</v>
      </c>
      <c r="E39" s="162"/>
      <c r="F39" s="162"/>
      <c r="G39" s="163"/>
      <c r="H39" s="163"/>
      <c r="I39" s="164" t="s">
        <v>498</v>
      </c>
      <c r="J39" s="143">
        <v>0</v>
      </c>
      <c r="K39" s="141">
        <v>0</v>
      </c>
      <c r="L39" s="141">
        <v>0</v>
      </c>
      <c r="M39" s="141">
        <v>0</v>
      </c>
      <c r="N39" s="141">
        <v>0</v>
      </c>
      <c r="O39" s="141">
        <v>0</v>
      </c>
      <c r="P39" s="141">
        <v>0</v>
      </c>
      <c r="Q39" s="144">
        <v>0</v>
      </c>
      <c r="R39" s="143"/>
      <c r="S39" s="141"/>
      <c r="T39" s="141"/>
      <c r="U39" s="141"/>
      <c r="V39" s="144"/>
      <c r="W39" s="2921"/>
    </row>
    <row r="40" spans="1:23" s="98" customFormat="1" ht="15" customHeight="1">
      <c r="A40" s="99"/>
      <c r="B40" s="161"/>
      <c r="C40" s="162"/>
      <c r="D40" s="162" t="s">
        <v>1816</v>
      </c>
      <c r="E40" s="162"/>
      <c r="F40" s="162"/>
      <c r="G40" s="163"/>
      <c r="H40" s="163"/>
      <c r="I40" s="164" t="s">
        <v>498</v>
      </c>
      <c r="J40" s="143">
        <v>0</v>
      </c>
      <c r="K40" s="141">
        <v>0</v>
      </c>
      <c r="L40" s="141">
        <v>0</v>
      </c>
      <c r="M40" s="141">
        <v>0</v>
      </c>
      <c r="N40" s="141">
        <v>0</v>
      </c>
      <c r="O40" s="141">
        <v>0</v>
      </c>
      <c r="P40" s="141">
        <v>0</v>
      </c>
      <c r="Q40" s="144">
        <v>0</v>
      </c>
      <c r="R40" s="143">
        <v>0</v>
      </c>
      <c r="S40" s="141">
        <v>0</v>
      </c>
      <c r="T40" s="141">
        <v>0</v>
      </c>
      <c r="U40" s="141">
        <v>0</v>
      </c>
      <c r="V40" s="144">
        <v>0</v>
      </c>
      <c r="W40" s="2921"/>
    </row>
    <row r="41" spans="1:23" s="98" customFormat="1" ht="15" customHeight="1">
      <c r="A41" s="99"/>
      <c r="B41" s="161"/>
      <c r="C41" s="162"/>
      <c r="D41" s="162" t="s">
        <v>1817</v>
      </c>
      <c r="E41" s="162"/>
      <c r="F41" s="162"/>
      <c r="G41" s="163"/>
      <c r="H41" s="163"/>
      <c r="I41" s="164" t="s">
        <v>498</v>
      </c>
      <c r="J41" s="143">
        <v>0.33969793151441258</v>
      </c>
      <c r="K41" s="141">
        <v>0.21413669610389605</v>
      </c>
      <c r="L41" s="141">
        <v>0.46520830343043873</v>
      </c>
      <c r="M41" s="141">
        <v>0.46484865573669309</v>
      </c>
      <c r="N41" s="141">
        <v>0.26045982921645844</v>
      </c>
      <c r="O41" s="141">
        <v>0.31988595474153975</v>
      </c>
      <c r="P41" s="141">
        <v>0.31988595474153975</v>
      </c>
      <c r="Q41" s="144">
        <v>0.31988595474153975</v>
      </c>
      <c r="R41" s="143">
        <v>0.23726036396954506</v>
      </c>
      <c r="S41" s="141">
        <v>0.30873110147375843</v>
      </c>
      <c r="T41" s="141">
        <v>0.24604599994356602</v>
      </c>
      <c r="U41" s="141">
        <v>0.30514255928660045</v>
      </c>
      <c r="V41" s="144">
        <v>0.23196382292258755</v>
      </c>
      <c r="W41" s="2921"/>
    </row>
    <row r="42" spans="1:23" s="98" customFormat="1" ht="15" customHeight="1">
      <c r="A42" s="99"/>
      <c r="B42" s="161"/>
      <c r="C42" s="162"/>
      <c r="D42" s="162" t="s">
        <v>1818</v>
      </c>
      <c r="E42" s="162"/>
      <c r="F42" s="162"/>
      <c r="G42" s="163"/>
      <c r="H42" s="163"/>
      <c r="I42" s="164" t="s">
        <v>498</v>
      </c>
      <c r="J42" s="143">
        <v>0.15443963989210963</v>
      </c>
      <c r="K42" s="141">
        <v>0.45145313766233747</v>
      </c>
      <c r="L42" s="141">
        <v>4.4103206396238902E-2</v>
      </c>
      <c r="M42" s="141">
        <v>0.33210270428470884</v>
      </c>
      <c r="N42" s="141">
        <v>0.55352408571419842</v>
      </c>
      <c r="O42" s="141">
        <v>0.35381947591081836</v>
      </c>
      <c r="P42" s="141">
        <v>0.35381947591081836</v>
      </c>
      <c r="Q42" s="144">
        <v>0.35381947591081836</v>
      </c>
      <c r="R42" s="143">
        <v>0.25180705673296422</v>
      </c>
      <c r="S42" s="141">
        <v>0.24762346622082423</v>
      </c>
      <c r="T42" s="141">
        <v>0.25968607354574674</v>
      </c>
      <c r="U42" s="141">
        <v>0.24149458622495723</v>
      </c>
      <c r="V42" s="144">
        <v>0.24816272282010762</v>
      </c>
      <c r="W42" s="2921"/>
    </row>
    <row r="43" spans="1:23" s="98" customFormat="1" ht="15" customHeight="1">
      <c r="A43" s="99"/>
      <c r="B43" s="161"/>
      <c r="C43" s="116" t="s">
        <v>1826</v>
      </c>
      <c r="D43" s="116"/>
      <c r="E43" s="116"/>
      <c r="F43" s="116"/>
      <c r="G43" s="117"/>
      <c r="H43" s="117"/>
      <c r="I43" s="117"/>
      <c r="J43" s="713"/>
      <c r="K43" s="721"/>
      <c r="L43" s="721"/>
      <c r="M43" s="721"/>
      <c r="N43" s="721"/>
      <c r="O43" s="721"/>
      <c r="P43" s="721"/>
      <c r="Q43" s="715"/>
      <c r="R43" s="713"/>
      <c r="S43" s="721"/>
      <c r="T43" s="721"/>
      <c r="U43" s="721"/>
      <c r="V43" s="715"/>
      <c r="W43" s="2921"/>
    </row>
    <row r="44" spans="1:23" s="98" customFormat="1" ht="15" customHeight="1">
      <c r="A44" s="99"/>
      <c r="B44" s="161"/>
      <c r="C44" s="162"/>
      <c r="D44" s="162" t="s">
        <v>1827</v>
      </c>
      <c r="E44" s="162"/>
      <c r="F44" s="162"/>
      <c r="G44" s="163"/>
      <c r="H44" s="163"/>
      <c r="I44" s="164" t="s">
        <v>498</v>
      </c>
      <c r="J44" s="143">
        <v>0</v>
      </c>
      <c r="K44" s="141">
        <v>0</v>
      </c>
      <c r="L44" s="141">
        <v>0</v>
      </c>
      <c r="M44" s="141">
        <v>0</v>
      </c>
      <c r="N44" s="141">
        <v>0</v>
      </c>
      <c r="O44" s="141">
        <v>0</v>
      </c>
      <c r="P44" s="141">
        <v>0</v>
      </c>
      <c r="Q44" s="144">
        <v>0</v>
      </c>
      <c r="R44" s="143">
        <v>0</v>
      </c>
      <c r="S44" s="141">
        <v>0</v>
      </c>
      <c r="T44" s="141">
        <v>0</v>
      </c>
      <c r="U44" s="141">
        <v>0</v>
      </c>
      <c r="V44" s="144">
        <v>0</v>
      </c>
      <c r="W44" s="2921"/>
    </row>
    <row r="45" spans="1:23" s="98" customFormat="1" ht="15" customHeight="1">
      <c r="A45" s="99"/>
      <c r="B45" s="161"/>
      <c r="C45" s="162"/>
      <c r="D45" s="162" t="s">
        <v>1828</v>
      </c>
      <c r="E45" s="162"/>
      <c r="F45" s="162"/>
      <c r="G45" s="163"/>
      <c r="H45" s="163"/>
      <c r="I45" s="164" t="s">
        <v>498</v>
      </c>
      <c r="J45" s="143">
        <v>0.5908555361211667</v>
      </c>
      <c r="K45" s="141">
        <v>0.44814174545454533</v>
      </c>
      <c r="L45" s="141">
        <v>0.17332795114067157</v>
      </c>
      <c r="M45" s="141">
        <v>0.25193934673570145</v>
      </c>
      <c r="N45" s="141">
        <v>0.13587793025667572</v>
      </c>
      <c r="O45" s="141">
        <v>0.20344516124917555</v>
      </c>
      <c r="P45" s="141">
        <v>0.20344516124917555</v>
      </c>
      <c r="Q45" s="144">
        <v>0.20344516124917555</v>
      </c>
      <c r="R45" s="143">
        <v>1.2353954217446396E-2</v>
      </c>
      <c r="S45" s="141">
        <v>1.228268936043774E-2</v>
      </c>
      <c r="T45" s="141">
        <v>1.2253851082462752E-2</v>
      </c>
      <c r="U45" s="141">
        <v>1.2374466249539966E-2</v>
      </c>
      <c r="V45" s="144">
        <v>1.22553723058092E-2</v>
      </c>
      <c r="W45" s="2921"/>
    </row>
    <row r="46" spans="1:23" s="98" customFormat="1" ht="15" customHeight="1">
      <c r="A46" s="99"/>
      <c r="B46" s="161"/>
      <c r="C46" s="162"/>
      <c r="D46" s="162" t="s">
        <v>1829</v>
      </c>
      <c r="E46" s="162"/>
      <c r="F46" s="162"/>
      <c r="G46" s="163"/>
      <c r="H46" s="163"/>
      <c r="I46" s="164" t="s">
        <v>498</v>
      </c>
      <c r="J46" s="143">
        <v>-6.8015163280328264E-2</v>
      </c>
      <c r="K46" s="141">
        <v>6.6227844155844137E-3</v>
      </c>
      <c r="L46" s="141">
        <v>2.880418679958576E-3</v>
      </c>
      <c r="M46" s="141">
        <v>-1.8394204251750989E-2</v>
      </c>
      <c r="N46" s="141">
        <v>4.7367600126719042E-4</v>
      </c>
      <c r="O46" s="141">
        <v>8.6969834302520537E-4</v>
      </c>
      <c r="P46" s="141">
        <v>8.6969834302520537E-4</v>
      </c>
      <c r="Q46" s="144">
        <v>8.6969834302520537E-4</v>
      </c>
      <c r="R46" s="143">
        <v>0</v>
      </c>
      <c r="S46" s="141">
        <v>0</v>
      </c>
      <c r="T46" s="141">
        <v>0</v>
      </c>
      <c r="U46" s="141">
        <v>0</v>
      </c>
      <c r="V46" s="144">
        <v>0</v>
      </c>
      <c r="W46" s="2921"/>
    </row>
    <row r="47" spans="1:23" s="98" customFormat="1" ht="15" customHeight="1">
      <c r="A47" s="99"/>
      <c r="B47" s="161"/>
      <c r="C47" s="162"/>
      <c r="D47" s="162" t="s">
        <v>1817</v>
      </c>
      <c r="E47" s="162"/>
      <c r="F47" s="162"/>
      <c r="G47" s="163"/>
      <c r="H47" s="163"/>
      <c r="I47" s="164" t="s">
        <v>498</v>
      </c>
      <c r="J47" s="143">
        <v>5.3027958858274972E-2</v>
      </c>
      <c r="K47" s="141">
        <v>1.4349366233766227E-2</v>
      </c>
      <c r="L47" s="141">
        <v>4.3045668847699288E-2</v>
      </c>
      <c r="M47" s="141">
        <v>2.5528301455798229E-2</v>
      </c>
      <c r="N47" s="141">
        <v>4.9031882498423107E-2</v>
      </c>
      <c r="O47" s="141">
        <v>4.6315419827956845E-2</v>
      </c>
      <c r="P47" s="141">
        <v>4.6315419827956845E-2</v>
      </c>
      <c r="Q47" s="144">
        <v>4.6315419827956845E-2</v>
      </c>
      <c r="R47" s="143"/>
      <c r="S47" s="141"/>
      <c r="T47" s="141"/>
      <c r="U47" s="141"/>
      <c r="V47" s="144"/>
      <c r="W47" s="2921"/>
    </row>
    <row r="48" spans="1:23" s="98" customFormat="1" ht="15" customHeight="1">
      <c r="A48" s="99"/>
      <c r="B48" s="161"/>
      <c r="C48" s="162"/>
      <c r="D48" s="162" t="s">
        <v>1818</v>
      </c>
      <c r="E48" s="162"/>
      <c r="F48" s="162"/>
      <c r="G48" s="163"/>
      <c r="H48" s="163"/>
      <c r="I48" s="164" t="s">
        <v>498</v>
      </c>
      <c r="J48" s="143">
        <v>1.6629680936860878E-2</v>
      </c>
      <c r="K48" s="141">
        <v>1.6556961038961034E-2</v>
      </c>
      <c r="L48" s="141">
        <v>2.840687601210061E-2</v>
      </c>
      <c r="M48" s="141">
        <v>1.1557206928800091E-2</v>
      </c>
      <c r="N48" s="141">
        <v>3.4076482615760129E-2</v>
      </c>
      <c r="O48" s="141">
        <v>2.7504953546287583E-2</v>
      </c>
      <c r="P48" s="141">
        <v>2.7504953546287583E-2</v>
      </c>
      <c r="Q48" s="144">
        <v>2.7504953546287583E-2</v>
      </c>
      <c r="R48" s="143"/>
      <c r="S48" s="141"/>
      <c r="T48" s="141"/>
      <c r="U48" s="141"/>
      <c r="V48" s="144"/>
      <c r="W48" s="2921"/>
    </row>
    <row r="49" spans="1:23" s="98" customFormat="1" ht="15" customHeight="1">
      <c r="A49" s="99"/>
      <c r="B49" s="161"/>
      <c r="C49" s="116" t="s">
        <v>1830</v>
      </c>
      <c r="D49" s="116"/>
      <c r="E49" s="116"/>
      <c r="F49" s="116"/>
      <c r="G49" s="117"/>
      <c r="H49" s="117"/>
      <c r="I49" s="117"/>
      <c r="J49" s="713"/>
      <c r="K49" s="721"/>
      <c r="L49" s="721"/>
      <c r="M49" s="721"/>
      <c r="N49" s="721"/>
      <c r="O49" s="721"/>
      <c r="P49" s="721"/>
      <c r="Q49" s="715"/>
      <c r="R49" s="713"/>
      <c r="S49" s="721"/>
      <c r="T49" s="721"/>
      <c r="U49" s="721"/>
      <c r="V49" s="715"/>
      <c r="W49" s="2921"/>
    </row>
    <row r="50" spans="1:23" s="98" customFormat="1" ht="15" customHeight="1">
      <c r="A50" s="99"/>
      <c r="B50" s="161"/>
      <c r="C50" s="162"/>
      <c r="D50" s="162" t="s">
        <v>1831</v>
      </c>
      <c r="E50" s="162"/>
      <c r="F50" s="162"/>
      <c r="G50" s="163"/>
      <c r="H50" s="163"/>
      <c r="I50" s="164" t="s">
        <v>498</v>
      </c>
      <c r="J50" s="143">
        <v>2.0984600662780253E-2</v>
      </c>
      <c r="K50" s="141">
        <v>6.070885714285712E-2</v>
      </c>
      <c r="L50" s="141">
        <v>4.7806812471706733E-2</v>
      </c>
      <c r="M50" s="141">
        <v>2.5665498366902031E-2</v>
      </c>
      <c r="N50" s="141">
        <v>2.8782197647071926E-2</v>
      </c>
      <c r="O50" s="141">
        <v>5.6593622266988761E-2</v>
      </c>
      <c r="P50" s="141">
        <v>0.3</v>
      </c>
      <c r="Q50" s="144">
        <v>0.5</v>
      </c>
      <c r="R50" s="143">
        <v>0.64557834249863022</v>
      </c>
      <c r="S50" s="141">
        <v>0.64182549557295487</v>
      </c>
      <c r="T50" s="141">
        <v>0.64035703071444494</v>
      </c>
      <c r="U50" s="141">
        <v>0.64665824816967443</v>
      </c>
      <c r="V50" s="144">
        <v>0.64050973547963863</v>
      </c>
      <c r="W50" s="2921"/>
    </row>
    <row r="51" spans="1:23" s="98" customFormat="1" ht="15" customHeight="1">
      <c r="A51" s="99"/>
      <c r="B51" s="161"/>
      <c r="C51" s="162"/>
      <c r="D51" s="162" t="s">
        <v>1832</v>
      </c>
      <c r="E51" s="162"/>
      <c r="F51" s="162"/>
      <c r="G51" s="163"/>
      <c r="H51" s="163"/>
      <c r="I51" s="164" t="s">
        <v>498</v>
      </c>
      <c r="J51" s="143">
        <v>0.28415756939621539</v>
      </c>
      <c r="K51" s="141">
        <v>0.20641011428571421</v>
      </c>
      <c r="L51" s="141">
        <v>0.23019807549898938</v>
      </c>
      <c r="M51" s="141">
        <v>0.30757681533763054</v>
      </c>
      <c r="N51" s="141">
        <v>0.35356088556747839</v>
      </c>
      <c r="O51" s="141">
        <v>0.26826005522528629</v>
      </c>
      <c r="P51" s="141">
        <v>0.26826005522528629</v>
      </c>
      <c r="Q51" s="144">
        <v>0.26826005522528629</v>
      </c>
      <c r="R51" s="143">
        <v>0.11845742233695924</v>
      </c>
      <c r="S51" s="141">
        <v>9.7340441787669138E-2</v>
      </c>
      <c r="T51" s="141">
        <v>0.11717904487215364</v>
      </c>
      <c r="U51" s="141">
        <v>0.12347902557265089</v>
      </c>
      <c r="V51" s="144">
        <v>0.11082227814142977</v>
      </c>
      <c r="W51" s="2921"/>
    </row>
    <row r="52" spans="1:23" s="98" customFormat="1" ht="15" customHeight="1">
      <c r="A52" s="99"/>
      <c r="B52" s="161"/>
      <c r="C52" s="162"/>
      <c r="D52" s="162" t="s">
        <v>1833</v>
      </c>
      <c r="E52" s="162"/>
      <c r="F52" s="162"/>
      <c r="G52" s="163"/>
      <c r="H52" s="163"/>
      <c r="I52" s="164" t="s">
        <v>498</v>
      </c>
      <c r="J52" s="143">
        <v>0</v>
      </c>
      <c r="K52" s="141">
        <v>0</v>
      </c>
      <c r="L52" s="141">
        <v>0</v>
      </c>
      <c r="M52" s="141">
        <v>0</v>
      </c>
      <c r="N52" s="141">
        <v>0</v>
      </c>
      <c r="O52" s="141">
        <v>0</v>
      </c>
      <c r="P52" s="141">
        <v>0</v>
      </c>
      <c r="Q52" s="144">
        <v>0</v>
      </c>
      <c r="R52" s="143">
        <v>0</v>
      </c>
      <c r="S52" s="141">
        <v>0</v>
      </c>
      <c r="T52" s="141">
        <v>0</v>
      </c>
      <c r="U52" s="141">
        <v>0</v>
      </c>
      <c r="V52" s="144">
        <v>0</v>
      </c>
      <c r="W52" s="2921"/>
    </row>
    <row r="53" spans="1:23" s="98" customFormat="1" ht="15" customHeight="1">
      <c r="A53" s="99"/>
      <c r="B53" s="161"/>
      <c r="C53" s="162"/>
      <c r="D53" s="162" t="s">
        <v>1834</v>
      </c>
      <c r="E53" s="162"/>
      <c r="F53" s="162"/>
      <c r="G53" s="163"/>
      <c r="H53" s="163"/>
      <c r="I53" s="164" t="s">
        <v>498</v>
      </c>
      <c r="J53" s="143">
        <v>0</v>
      </c>
      <c r="K53" s="141">
        <v>0</v>
      </c>
      <c r="L53" s="141">
        <v>0</v>
      </c>
      <c r="M53" s="141">
        <v>0</v>
      </c>
      <c r="N53" s="141">
        <v>0</v>
      </c>
      <c r="O53" s="141">
        <v>0</v>
      </c>
      <c r="P53" s="141">
        <v>0</v>
      </c>
      <c r="Q53" s="144">
        <v>0</v>
      </c>
      <c r="R53" s="143">
        <v>0</v>
      </c>
      <c r="S53" s="141">
        <v>0</v>
      </c>
      <c r="T53" s="141">
        <v>0</v>
      </c>
      <c r="U53" s="141">
        <v>0</v>
      </c>
      <c r="V53" s="144">
        <v>0</v>
      </c>
      <c r="W53" s="2921"/>
    </row>
    <row r="54" spans="1:23" s="98" customFormat="1" ht="15" customHeight="1">
      <c r="A54" s="99"/>
      <c r="B54" s="161"/>
      <c r="C54" s="162"/>
      <c r="D54" s="162" t="s">
        <v>1835</v>
      </c>
      <c r="E54" s="162"/>
      <c r="F54" s="162"/>
      <c r="G54" s="163"/>
      <c r="H54" s="163"/>
      <c r="I54" s="164" t="s">
        <v>498</v>
      </c>
      <c r="J54" s="143">
        <v>0</v>
      </c>
      <c r="K54" s="141">
        <v>0</v>
      </c>
      <c r="L54" s="141">
        <v>0</v>
      </c>
      <c r="M54" s="141">
        <v>0</v>
      </c>
      <c r="N54" s="141">
        <v>0</v>
      </c>
      <c r="O54" s="141">
        <v>0</v>
      </c>
      <c r="P54" s="141">
        <v>0</v>
      </c>
      <c r="Q54" s="144">
        <v>0</v>
      </c>
      <c r="R54" s="143">
        <v>0</v>
      </c>
      <c r="S54" s="141">
        <v>0</v>
      </c>
      <c r="T54" s="141">
        <v>0</v>
      </c>
      <c r="U54" s="141">
        <v>0</v>
      </c>
      <c r="V54" s="144">
        <v>0</v>
      </c>
      <c r="W54" s="2921"/>
    </row>
    <row r="55" spans="1:23" s="98" customFormat="1" ht="15" customHeight="1">
      <c r="A55" s="99"/>
      <c r="B55" s="161"/>
      <c r="C55" s="162"/>
      <c r="D55" s="162" t="s">
        <v>1836</v>
      </c>
      <c r="E55" s="162"/>
      <c r="F55" s="162"/>
      <c r="G55" s="163"/>
      <c r="H55" s="163"/>
      <c r="I55" s="164" t="s">
        <v>498</v>
      </c>
      <c r="J55" s="143">
        <v>1.029567907299755</v>
      </c>
      <c r="K55" s="141">
        <v>1.0817214545454541</v>
      </c>
      <c r="L55" s="141">
        <v>0.85752890091491119</v>
      </c>
      <c r="M55" s="141">
        <v>1.1241275013977294</v>
      </c>
      <c r="N55" s="141">
        <v>0.89657387037640135</v>
      </c>
      <c r="O55" s="141">
        <v>1.0758097191206644</v>
      </c>
      <c r="P55" s="141">
        <v>1.0758097191206644</v>
      </c>
      <c r="Q55" s="144">
        <v>1.0758097191206644</v>
      </c>
      <c r="R55" s="143">
        <v>1.0231242068305211</v>
      </c>
      <c r="S55" s="141">
        <v>1.0161708547930741</v>
      </c>
      <c r="T55" s="141">
        <v>1.0151905365795115</v>
      </c>
      <c r="U55" s="141">
        <v>1.0251157358732608</v>
      </c>
      <c r="V55" s="144">
        <v>1.0180439174257427</v>
      </c>
      <c r="W55" s="2921"/>
    </row>
    <row r="56" spans="1:23" s="98" customFormat="1" ht="15" customHeight="1">
      <c r="A56" s="99"/>
      <c r="B56" s="161"/>
      <c r="C56" s="116" t="s">
        <v>66</v>
      </c>
      <c r="D56" s="116"/>
      <c r="E56" s="116"/>
      <c r="F56" s="116"/>
      <c r="G56" s="117"/>
      <c r="H56" s="117"/>
      <c r="I56" s="117"/>
      <c r="J56" s="713"/>
      <c r="K56" s="721"/>
      <c r="L56" s="721"/>
      <c r="M56" s="721"/>
      <c r="N56" s="721"/>
      <c r="O56" s="721"/>
      <c r="P56" s="721"/>
      <c r="Q56" s="715"/>
      <c r="R56" s="713"/>
      <c r="S56" s="721"/>
      <c r="T56" s="721"/>
      <c r="U56" s="721"/>
      <c r="V56" s="715"/>
      <c r="W56" s="2921"/>
    </row>
    <row r="57" spans="1:23" s="98" customFormat="1" ht="15" customHeight="1">
      <c r="A57" s="99"/>
      <c r="B57" s="161"/>
      <c r="C57" s="162"/>
      <c r="D57" s="162" t="s">
        <v>1837</v>
      </c>
      <c r="E57" s="162"/>
      <c r="F57" s="162"/>
      <c r="G57" s="163"/>
      <c r="H57" s="163"/>
      <c r="I57" s="164" t="s">
        <v>498</v>
      </c>
      <c r="J57" s="143">
        <v>0.60549401610221165</v>
      </c>
      <c r="K57" s="141">
        <v>0.47021769350649334</v>
      </c>
      <c r="L57" s="141">
        <v>0.90662978665847904</v>
      </c>
      <c r="M57" s="141">
        <v>0.41073020119523201</v>
      </c>
      <c r="N57" s="141">
        <v>0.4925568412032364</v>
      </c>
      <c r="O57" s="141">
        <v>0.32632296801636129</v>
      </c>
      <c r="P57" s="141">
        <v>0.32632296801636129</v>
      </c>
      <c r="Q57" s="144">
        <v>0.32632296801636129</v>
      </c>
      <c r="R57" s="143">
        <v>0.51499645792722126</v>
      </c>
      <c r="S57" s="141">
        <v>0.52444936927695185</v>
      </c>
      <c r="T57" s="141">
        <v>0.5287687664639984</v>
      </c>
      <c r="U57" s="141">
        <v>0.53225846257055998</v>
      </c>
      <c r="V57" s="144">
        <v>0.52555881184670439</v>
      </c>
      <c r="W57" s="2921"/>
    </row>
    <row r="58" spans="1:23" s="98" customFormat="1" ht="15" customHeight="1">
      <c r="A58" s="99"/>
      <c r="B58" s="161"/>
      <c r="C58" s="162"/>
      <c r="D58" s="98" t="s">
        <v>1838</v>
      </c>
      <c r="G58" s="168"/>
      <c r="H58" s="163"/>
      <c r="I58" s="164" t="s">
        <v>498</v>
      </c>
      <c r="J58" s="143">
        <v>6.4307926388524977E-2</v>
      </c>
      <c r="K58" s="141">
        <v>5.1878477922077906E-2</v>
      </c>
      <c r="L58" s="141">
        <v>9.5380817131488813E-2</v>
      </c>
      <c r="M58" s="141">
        <v>4.31153249873448E-2</v>
      </c>
      <c r="N58" s="141">
        <v>5.1704861783765148E-2</v>
      </c>
      <c r="O58" s="141">
        <v>3.6640327292667606E-2</v>
      </c>
      <c r="P58" s="141">
        <v>3.6640327292667606E-2</v>
      </c>
      <c r="Q58" s="144">
        <v>3.6640327292667606E-2</v>
      </c>
      <c r="R58" s="143">
        <v>0.17671891774775006</v>
      </c>
      <c r="S58" s="141">
        <v>0.17569949933463716</v>
      </c>
      <c r="T58" s="141">
        <v>0.17528697803305654</v>
      </c>
      <c r="U58" s="141">
        <v>0.17701233506568562</v>
      </c>
      <c r="V58" s="144">
        <v>0.1747774999897625</v>
      </c>
      <c r="W58" s="2921"/>
    </row>
    <row r="59" spans="1:23" s="98" customFormat="1" ht="15" customHeight="1">
      <c r="A59" s="99"/>
      <c r="B59" s="161"/>
      <c r="C59" s="162"/>
      <c r="D59" s="169" t="s">
        <v>1839</v>
      </c>
      <c r="E59" s="169"/>
      <c r="F59" s="169"/>
      <c r="G59" s="168"/>
      <c r="H59" s="163"/>
      <c r="I59" s="164" t="s">
        <v>498</v>
      </c>
      <c r="J59" s="143">
        <v>3.150257256361446E-2</v>
      </c>
      <c r="K59" s="141">
        <v>2.4283542857142848E-2</v>
      </c>
      <c r="L59" s="141">
        <v>5.0358462520842119E-2</v>
      </c>
      <c r="M59" s="141">
        <v>2.1941640275766176E-2</v>
      </c>
      <c r="N59" s="141">
        <v>1.0595150269011993E-2</v>
      </c>
      <c r="O59" s="141">
        <v>3.1624452517914341E-2</v>
      </c>
      <c r="P59" s="141">
        <v>3.1624452517914341E-2</v>
      </c>
      <c r="Q59" s="144">
        <v>3.1624452517914341E-2</v>
      </c>
      <c r="R59" s="143">
        <v>0</v>
      </c>
      <c r="S59" s="141">
        <v>0</v>
      </c>
      <c r="T59" s="141">
        <v>0</v>
      </c>
      <c r="U59" s="141">
        <v>0</v>
      </c>
      <c r="V59" s="144">
        <v>0</v>
      </c>
      <c r="W59" s="2921"/>
    </row>
    <row r="60" spans="1:23" s="98" customFormat="1" ht="15" customHeight="1">
      <c r="A60" s="99"/>
      <c r="B60" s="161"/>
      <c r="C60" s="162"/>
      <c r="D60" s="169" t="s">
        <v>1840</v>
      </c>
      <c r="E60" s="169"/>
      <c r="F60" s="169"/>
      <c r="G60" s="168"/>
      <c r="H60" s="163"/>
      <c r="I60" s="164" t="s">
        <v>498</v>
      </c>
      <c r="J60" s="143">
        <v>0.33463668281749798</v>
      </c>
      <c r="K60" s="141">
        <v>0.21634429090909085</v>
      </c>
      <c r="L60" s="141">
        <v>0.14678998962310799</v>
      </c>
      <c r="M60" s="141">
        <v>5.2042522445283255E-2</v>
      </c>
      <c r="N60" s="141">
        <v>0.12003656436336538</v>
      </c>
      <c r="O60" s="141">
        <v>0.19311996691872887</v>
      </c>
      <c r="P60" s="141">
        <v>0.19311996691872887</v>
      </c>
      <c r="Q60" s="144">
        <v>0.19311996691872887</v>
      </c>
      <c r="R60" s="143">
        <v>0</v>
      </c>
      <c r="S60" s="141">
        <v>0</v>
      </c>
      <c r="T60" s="141">
        <v>0</v>
      </c>
      <c r="U60" s="141">
        <v>0</v>
      </c>
      <c r="V60" s="144">
        <v>0</v>
      </c>
      <c r="W60" s="2921"/>
    </row>
    <row r="61" spans="1:23" s="98" customFormat="1" ht="15" customHeight="1">
      <c r="A61" s="99"/>
      <c r="B61" s="161"/>
      <c r="C61" s="162"/>
      <c r="D61" s="169" t="s">
        <v>1841</v>
      </c>
      <c r="E61" s="169"/>
      <c r="F61" s="169"/>
      <c r="G61" s="168"/>
      <c r="H61" s="163"/>
      <c r="I61" s="164" t="s">
        <v>498</v>
      </c>
      <c r="J61" s="143">
        <v>4.3367593343999589E-2</v>
      </c>
      <c r="K61" s="141">
        <v>7.5058223376623351E-2</v>
      </c>
      <c r="L61" s="141">
        <v>8.2956161217737037E-2</v>
      </c>
      <c r="M61" s="141">
        <v>1.1985671868247099E-2</v>
      </c>
      <c r="N61" s="141">
        <v>1.3490641680003433E-2</v>
      </c>
      <c r="O61" s="141">
        <v>9.1231164502741952E-3</v>
      </c>
      <c r="P61" s="141">
        <v>9.1231164502741952E-3</v>
      </c>
      <c r="Q61" s="144">
        <v>9.1231164502741952E-3</v>
      </c>
      <c r="R61" s="143">
        <v>0</v>
      </c>
      <c r="S61" s="141">
        <v>0</v>
      </c>
      <c r="T61" s="141">
        <v>0</v>
      </c>
      <c r="U61" s="141">
        <v>0</v>
      </c>
      <c r="V61" s="144">
        <v>0</v>
      </c>
      <c r="W61" s="2921"/>
    </row>
    <row r="62" spans="1:23" s="98" customFormat="1" ht="15" customHeight="1">
      <c r="A62" s="99"/>
      <c r="B62" s="161"/>
      <c r="C62" s="116" t="s">
        <v>1842</v>
      </c>
      <c r="D62" s="116"/>
      <c r="E62" s="116"/>
      <c r="F62" s="116"/>
      <c r="G62" s="117"/>
      <c r="H62" s="117"/>
      <c r="I62" s="117"/>
      <c r="J62" s="713"/>
      <c r="K62" s="721"/>
      <c r="L62" s="721"/>
      <c r="M62" s="721"/>
      <c r="N62" s="721"/>
      <c r="O62" s="721"/>
      <c r="P62" s="721"/>
      <c r="Q62" s="715"/>
      <c r="R62" s="713"/>
      <c r="S62" s="721"/>
      <c r="T62" s="721"/>
      <c r="U62" s="721"/>
      <c r="V62" s="715"/>
      <c r="W62" s="2921"/>
    </row>
    <row r="63" spans="1:23" s="98" customFormat="1" ht="15" customHeight="1">
      <c r="A63" s="99"/>
      <c r="B63" s="161"/>
      <c r="C63" s="162"/>
      <c r="D63" s="162" t="s">
        <v>1843</v>
      </c>
      <c r="E63" s="162"/>
      <c r="F63" s="162"/>
      <c r="G63" s="163"/>
      <c r="H63" s="163"/>
      <c r="I63" s="164" t="s">
        <v>498</v>
      </c>
      <c r="J63" s="143">
        <v>0.69880624358984211</v>
      </c>
      <c r="K63" s="141">
        <v>1.284820176623376</v>
      </c>
      <c r="L63" s="141">
        <v>1.1603426435897155</v>
      </c>
      <c r="M63" s="141">
        <v>1.6371551901777683</v>
      </c>
      <c r="N63" s="141">
        <v>2.409706591625679</v>
      </c>
      <c r="O63" s="141">
        <v>1.6671860493885597</v>
      </c>
      <c r="P63" s="141">
        <v>1.6671860493885597</v>
      </c>
      <c r="Q63" s="144">
        <v>1.6671860493885597</v>
      </c>
      <c r="R63" s="143">
        <v>1.8150490740504872</v>
      </c>
      <c r="S63" s="141">
        <v>1.8026642147115786</v>
      </c>
      <c r="T63" s="141">
        <v>1.8009913028318083</v>
      </c>
      <c r="U63" s="141">
        <v>1.8185958635794561</v>
      </c>
      <c r="V63" s="144">
        <v>1.8060864477406109</v>
      </c>
      <c r="W63" s="2921"/>
    </row>
    <row r="64" spans="1:23" s="98" customFormat="1" ht="15" customHeight="1">
      <c r="A64" s="99"/>
      <c r="B64" s="161"/>
      <c r="C64" s="162"/>
      <c r="D64" s="162" t="s">
        <v>1844</v>
      </c>
      <c r="E64" s="162"/>
      <c r="F64" s="162"/>
      <c r="G64" s="163"/>
      <c r="H64" s="163"/>
      <c r="I64" s="164" t="s">
        <v>498</v>
      </c>
      <c r="J64" s="143">
        <v>0</v>
      </c>
      <c r="K64" s="141">
        <v>0</v>
      </c>
      <c r="L64" s="141">
        <v>0</v>
      </c>
      <c r="M64" s="141">
        <v>0</v>
      </c>
      <c r="N64" s="141">
        <v>0</v>
      </c>
      <c r="O64" s="141">
        <v>0</v>
      </c>
      <c r="P64" s="141">
        <v>0</v>
      </c>
      <c r="Q64" s="144">
        <v>0</v>
      </c>
      <c r="R64" s="143">
        <v>0</v>
      </c>
      <c r="S64" s="141">
        <v>0</v>
      </c>
      <c r="T64" s="141">
        <v>0</v>
      </c>
      <c r="U64" s="141">
        <v>0</v>
      </c>
      <c r="V64" s="144">
        <v>0</v>
      </c>
      <c r="W64" s="2921"/>
    </row>
    <row r="65" spans="1:23" s="98" customFormat="1" ht="15" customHeight="1">
      <c r="A65" s="99"/>
      <c r="B65" s="161"/>
      <c r="C65" s="116" t="s">
        <v>1845</v>
      </c>
      <c r="D65" s="116"/>
      <c r="E65" s="116"/>
      <c r="F65" s="116"/>
      <c r="G65" s="117"/>
      <c r="H65" s="117"/>
      <c r="I65" s="117"/>
      <c r="J65" s="713"/>
      <c r="K65" s="721"/>
      <c r="L65" s="721"/>
      <c r="M65" s="721"/>
      <c r="N65" s="721"/>
      <c r="O65" s="721"/>
      <c r="P65" s="721"/>
      <c r="Q65" s="715"/>
      <c r="R65" s="713"/>
      <c r="S65" s="721"/>
      <c r="T65" s="721"/>
      <c r="U65" s="721"/>
      <c r="V65" s="715"/>
      <c r="W65" s="2921"/>
    </row>
    <row r="66" spans="1:23" s="98" customFormat="1" ht="15" customHeight="1">
      <c r="A66" s="99"/>
      <c r="B66" s="161"/>
      <c r="C66" s="162"/>
      <c r="D66" s="162" t="s">
        <v>1846</v>
      </c>
      <c r="E66" s="162"/>
      <c r="F66" s="162"/>
      <c r="G66" s="163"/>
      <c r="H66" s="163"/>
      <c r="I66" s="164" t="s">
        <v>498</v>
      </c>
      <c r="J66" s="143">
        <v>0</v>
      </c>
      <c r="K66" s="141">
        <v>0</v>
      </c>
      <c r="L66" s="141">
        <v>0</v>
      </c>
      <c r="M66" s="141">
        <v>0</v>
      </c>
      <c r="N66" s="141">
        <v>0</v>
      </c>
      <c r="O66" s="141">
        <v>0</v>
      </c>
      <c r="P66" s="141">
        <v>0</v>
      </c>
      <c r="Q66" s="144">
        <v>0</v>
      </c>
      <c r="R66" s="143">
        <v>0</v>
      </c>
      <c r="S66" s="141">
        <v>0</v>
      </c>
      <c r="T66" s="141">
        <v>0</v>
      </c>
      <c r="U66" s="141">
        <v>0</v>
      </c>
      <c r="V66" s="144">
        <v>0</v>
      </c>
      <c r="W66" s="2921"/>
    </row>
    <row r="67" spans="1:23" s="98" customFormat="1" ht="15" customHeight="1">
      <c r="A67" s="99"/>
      <c r="B67" s="161"/>
      <c r="C67" s="162"/>
      <c r="D67" s="162" t="s">
        <v>1847</v>
      </c>
      <c r="E67" s="162"/>
      <c r="F67" s="162"/>
      <c r="G67" s="163"/>
      <c r="H67" s="163"/>
      <c r="I67" s="164" t="s">
        <v>498</v>
      </c>
      <c r="J67" s="143">
        <v>0</v>
      </c>
      <c r="K67" s="141">
        <v>0</v>
      </c>
      <c r="L67" s="141">
        <v>0</v>
      </c>
      <c r="M67" s="141">
        <v>0</v>
      </c>
      <c r="N67" s="141">
        <v>0</v>
      </c>
      <c r="O67" s="141">
        <v>0</v>
      </c>
      <c r="P67" s="141">
        <v>0</v>
      </c>
      <c r="Q67" s="144">
        <v>0</v>
      </c>
      <c r="R67" s="143">
        <v>0</v>
      </c>
      <c r="S67" s="141">
        <v>0</v>
      </c>
      <c r="T67" s="141">
        <v>0</v>
      </c>
      <c r="U67" s="141">
        <v>0</v>
      </c>
      <c r="V67" s="144">
        <v>0</v>
      </c>
      <c r="W67" s="2921"/>
    </row>
    <row r="68" spans="1:23" s="98" customFormat="1" ht="15" customHeight="1">
      <c r="A68" s="99"/>
      <c r="B68" s="161"/>
      <c r="C68" s="162"/>
      <c r="D68" s="162" t="s">
        <v>1848</v>
      </c>
      <c r="E68" s="162"/>
      <c r="F68" s="162"/>
      <c r="G68" s="163"/>
      <c r="H68" s="163"/>
      <c r="I68" s="164" t="s">
        <v>498</v>
      </c>
      <c r="J68" s="143">
        <v>0</v>
      </c>
      <c r="K68" s="141">
        <v>0</v>
      </c>
      <c r="L68" s="141">
        <v>0</v>
      </c>
      <c r="M68" s="141">
        <v>0</v>
      </c>
      <c r="N68" s="141">
        <v>0</v>
      </c>
      <c r="O68" s="141">
        <v>0</v>
      </c>
      <c r="P68" s="141">
        <v>0</v>
      </c>
      <c r="Q68" s="144">
        <v>0</v>
      </c>
      <c r="R68" s="143">
        <v>0</v>
      </c>
      <c r="S68" s="141">
        <v>0</v>
      </c>
      <c r="T68" s="141">
        <v>0</v>
      </c>
      <c r="U68" s="141">
        <v>0</v>
      </c>
      <c r="V68" s="144">
        <v>0</v>
      </c>
      <c r="W68" s="2921"/>
    </row>
    <row r="69" spans="1:23" s="98" customFormat="1" ht="15" customHeight="1">
      <c r="A69" s="99"/>
      <c r="B69" s="161"/>
      <c r="C69" s="162"/>
      <c r="D69" s="162" t="s">
        <v>1849</v>
      </c>
      <c r="E69" s="162"/>
      <c r="F69" s="162"/>
      <c r="G69" s="163"/>
      <c r="H69" s="163"/>
      <c r="I69" s="164" t="s">
        <v>498</v>
      </c>
      <c r="J69" s="143">
        <v>0</v>
      </c>
      <c r="K69" s="141">
        <v>0</v>
      </c>
      <c r="L69" s="141">
        <v>0</v>
      </c>
      <c r="M69" s="141">
        <v>0</v>
      </c>
      <c r="N69" s="141">
        <v>0</v>
      </c>
      <c r="O69" s="141">
        <v>0</v>
      </c>
      <c r="P69" s="141">
        <v>0</v>
      </c>
      <c r="Q69" s="144">
        <v>0</v>
      </c>
      <c r="R69" s="143">
        <v>0</v>
      </c>
      <c r="S69" s="141">
        <v>0</v>
      </c>
      <c r="T69" s="141">
        <v>0</v>
      </c>
      <c r="U69" s="141">
        <v>0</v>
      </c>
      <c r="V69" s="144">
        <v>0</v>
      </c>
      <c r="W69" s="2921"/>
    </row>
    <row r="70" spans="1:23" s="98" customFormat="1" ht="15" customHeight="1">
      <c r="A70" s="99"/>
      <c r="B70" s="161"/>
      <c r="C70" s="116" t="s">
        <v>1850</v>
      </c>
      <c r="D70" s="116"/>
      <c r="E70" s="116"/>
      <c r="F70" s="116"/>
      <c r="G70" s="117"/>
      <c r="H70" s="117"/>
      <c r="I70" s="117"/>
      <c r="J70" s="713"/>
      <c r="K70" s="721"/>
      <c r="L70" s="721"/>
      <c r="M70" s="721"/>
      <c r="N70" s="721"/>
      <c r="O70" s="721"/>
      <c r="P70" s="721"/>
      <c r="Q70" s="715"/>
      <c r="R70" s="713"/>
      <c r="S70" s="721"/>
      <c r="T70" s="721"/>
      <c r="U70" s="721"/>
      <c r="V70" s="715"/>
      <c r="W70" s="2921"/>
    </row>
    <row r="71" spans="1:23" s="98" customFormat="1" ht="15" customHeight="1">
      <c r="A71" s="99"/>
      <c r="B71" s="161"/>
      <c r="C71" s="162"/>
      <c r="D71" s="162" t="s">
        <v>1851</v>
      </c>
      <c r="E71" s="162"/>
      <c r="F71" s="162"/>
      <c r="G71" s="163"/>
      <c r="H71" s="163"/>
      <c r="I71" s="164" t="s">
        <v>498</v>
      </c>
      <c r="J71" s="143">
        <v>0.13255155355290243</v>
      </c>
      <c r="K71" s="141">
        <v>0</v>
      </c>
      <c r="L71" s="141">
        <v>0.11912144177144596</v>
      </c>
      <c r="M71" s="141">
        <v>8.03560947077753E-2</v>
      </c>
      <c r="N71" s="141">
        <v>1.4713470944484696E-2</v>
      </c>
      <c r="O71" s="141">
        <v>4.211874320000001E-2</v>
      </c>
      <c r="P71" s="141">
        <v>4.211874320000001E-2</v>
      </c>
      <c r="Q71" s="144">
        <v>4.211874320000001E-2</v>
      </c>
      <c r="R71" s="143">
        <v>0.10256538316713527</v>
      </c>
      <c r="S71" s="141">
        <v>0.10186553550916999</v>
      </c>
      <c r="T71" s="141">
        <v>0.10177100206078747</v>
      </c>
      <c r="U71" s="141">
        <v>0.10276580630293515</v>
      </c>
      <c r="V71" s="144">
        <v>0.10205892016577692</v>
      </c>
      <c r="W71" s="2921"/>
    </row>
    <row r="72" spans="1:23" s="98" customFormat="1" ht="15" customHeight="1">
      <c r="A72" s="99"/>
      <c r="B72" s="161"/>
      <c r="C72" s="162"/>
      <c r="D72" s="162" t="s">
        <v>1852</v>
      </c>
      <c r="E72" s="162"/>
      <c r="F72" s="162"/>
      <c r="G72" s="163"/>
      <c r="H72" s="163"/>
      <c r="I72" s="164" t="s">
        <v>498</v>
      </c>
      <c r="J72" s="143">
        <v>0.40980629507926997</v>
      </c>
      <c r="K72" s="141">
        <v>0.36866833246753239</v>
      </c>
      <c r="L72" s="141">
        <v>0.18367717894205199</v>
      </c>
      <c r="M72" s="141">
        <v>0.27772866315949152</v>
      </c>
      <c r="N72" s="141">
        <v>0.18308310078100043</v>
      </c>
      <c r="O72" s="141">
        <v>0.19283877488807333</v>
      </c>
      <c r="P72" s="141">
        <v>0.19283877488807333</v>
      </c>
      <c r="Q72" s="144">
        <v>0.19283877488807333</v>
      </c>
      <c r="R72" s="143">
        <v>1.2045086418876319E-2</v>
      </c>
      <c r="S72" s="141">
        <v>1.1975603292567987E-2</v>
      </c>
      <c r="T72" s="141">
        <v>1.1947486015762012E-2</v>
      </c>
      <c r="U72" s="141">
        <v>1.2065085618715093E-2</v>
      </c>
      <c r="V72" s="144">
        <v>1.1948969206192208E-2</v>
      </c>
      <c r="W72" s="2921"/>
    </row>
    <row r="73" spans="1:23" s="98" customFormat="1" ht="15" customHeight="1">
      <c r="A73" s="99"/>
      <c r="B73" s="161"/>
      <c r="C73" s="162"/>
      <c r="D73" s="162" t="s">
        <v>1853</v>
      </c>
      <c r="E73" s="162"/>
      <c r="F73" s="162"/>
      <c r="G73" s="163"/>
      <c r="H73" s="163"/>
      <c r="I73" s="164" t="s">
        <v>498</v>
      </c>
      <c r="J73" s="143">
        <v>0</v>
      </c>
      <c r="K73" s="141">
        <v>0</v>
      </c>
      <c r="L73" s="141">
        <v>0</v>
      </c>
      <c r="M73" s="141">
        <v>0</v>
      </c>
      <c r="N73" s="141">
        <v>0</v>
      </c>
      <c r="O73" s="141">
        <v>0</v>
      </c>
      <c r="P73" s="141">
        <v>0</v>
      </c>
      <c r="Q73" s="144">
        <v>0</v>
      </c>
      <c r="R73" s="143">
        <v>0</v>
      </c>
      <c r="S73" s="141">
        <v>0</v>
      </c>
      <c r="T73" s="141">
        <v>0</v>
      </c>
      <c r="U73" s="141">
        <v>0</v>
      </c>
      <c r="V73" s="144">
        <v>0</v>
      </c>
      <c r="W73" s="2921"/>
    </row>
    <row r="74" spans="1:23" s="98" customFormat="1" ht="15" customHeight="1">
      <c r="A74" s="99"/>
      <c r="B74" s="161"/>
      <c r="C74" s="162"/>
      <c r="D74" s="162" t="s">
        <v>1854</v>
      </c>
      <c r="E74" s="162"/>
      <c r="F74" s="162"/>
      <c r="G74" s="163"/>
      <c r="H74" s="163"/>
      <c r="I74" s="164" t="s">
        <v>498</v>
      </c>
      <c r="J74" s="143">
        <v>0</v>
      </c>
      <c r="K74" s="141">
        <v>0</v>
      </c>
      <c r="L74" s="141">
        <v>0</v>
      </c>
      <c r="M74" s="141">
        <v>0</v>
      </c>
      <c r="N74" s="141">
        <v>0</v>
      </c>
      <c r="O74" s="141">
        <v>0</v>
      </c>
      <c r="P74" s="141">
        <v>0</v>
      </c>
      <c r="Q74" s="144">
        <v>0</v>
      </c>
      <c r="R74" s="143">
        <v>0</v>
      </c>
      <c r="S74" s="141">
        <v>0</v>
      </c>
      <c r="T74" s="141">
        <v>0</v>
      </c>
      <c r="U74" s="141">
        <v>0</v>
      </c>
      <c r="V74" s="144">
        <v>0</v>
      </c>
      <c r="W74" s="2921"/>
    </row>
    <row r="75" spans="1:23" s="98" customFormat="1" ht="15" customHeight="1">
      <c r="A75" s="99"/>
      <c r="B75" s="161"/>
      <c r="C75" s="162"/>
      <c r="D75" s="162" t="s">
        <v>1855</v>
      </c>
      <c r="E75" s="162"/>
      <c r="F75" s="162"/>
      <c r="G75" s="163"/>
      <c r="H75" s="163"/>
      <c r="I75" s="164" t="s">
        <v>498</v>
      </c>
      <c r="J75" s="143"/>
      <c r="K75" s="141"/>
      <c r="L75" s="141"/>
      <c r="M75" s="141"/>
      <c r="N75" s="141"/>
      <c r="O75" s="141">
        <v>0</v>
      </c>
      <c r="P75" s="141">
        <v>0</v>
      </c>
      <c r="Q75" s="144">
        <v>0</v>
      </c>
      <c r="R75" s="143">
        <v>0.79775679222517826</v>
      </c>
      <c r="S75" s="141">
        <v>0.79231335502029887</v>
      </c>
      <c r="T75" s="141">
        <v>0.79157807087070708</v>
      </c>
      <c r="U75" s="141">
        <v>0.79931568971053035</v>
      </c>
      <c r="V75" s="144">
        <v>0.79381750699201148</v>
      </c>
      <c r="W75" s="2921"/>
    </row>
    <row r="76" spans="1:23" s="98" customFormat="1" ht="15" customHeight="1">
      <c r="A76" s="99"/>
      <c r="B76" s="161"/>
      <c r="C76" s="186" t="s">
        <v>1850</v>
      </c>
      <c r="D76" s="116"/>
      <c r="E76" s="116"/>
      <c r="F76" s="116"/>
      <c r="G76" s="117"/>
      <c r="H76" s="117"/>
      <c r="I76" s="117"/>
      <c r="J76" s="713"/>
      <c r="K76" s="721"/>
      <c r="L76" s="721"/>
      <c r="M76" s="721"/>
      <c r="N76" s="721"/>
      <c r="O76" s="721"/>
      <c r="P76" s="721"/>
      <c r="Q76" s="715"/>
      <c r="R76" s="713"/>
      <c r="S76" s="721"/>
      <c r="T76" s="721"/>
      <c r="U76" s="721"/>
      <c r="V76" s="715"/>
      <c r="W76" s="2921"/>
    </row>
    <row r="77" spans="1:23" s="98" customFormat="1" ht="15" customHeight="1">
      <c r="A77" s="99"/>
      <c r="B77" s="161"/>
      <c r="C77" s="162"/>
      <c r="D77" s="301" t="s">
        <v>85</v>
      </c>
      <c r="E77" s="162"/>
      <c r="F77" s="301"/>
      <c r="G77" s="720" t="s">
        <v>1856</v>
      </c>
      <c r="H77" s="163"/>
      <c r="I77" s="164" t="s">
        <v>498</v>
      </c>
      <c r="J77" s="143">
        <v>0.49629083146540309</v>
      </c>
      <c r="K77" s="141">
        <v>0</v>
      </c>
      <c r="L77" s="141">
        <v>0</v>
      </c>
      <c r="M77" s="141">
        <v>0</v>
      </c>
      <c r="N77" s="141">
        <v>0</v>
      </c>
      <c r="O77" s="141">
        <v>0.50670198867192562</v>
      </c>
      <c r="P77" s="141">
        <v>0.50670198867192562</v>
      </c>
      <c r="Q77" s="144">
        <v>0.50670198867192562</v>
      </c>
      <c r="R77" s="143">
        <v>0.64495648168274033</v>
      </c>
      <c r="S77" s="141">
        <v>0.60882420099913837</v>
      </c>
      <c r="T77" s="141">
        <v>0.57044207931851909</v>
      </c>
      <c r="U77" s="141">
        <v>0.54190277066186421</v>
      </c>
      <c r="V77" s="144">
        <v>0.52018229633622826</v>
      </c>
      <c r="W77" s="2921"/>
    </row>
    <row r="78" spans="1:23" s="98" customFormat="1" ht="15" customHeight="1">
      <c r="A78" s="99"/>
      <c r="B78" s="161"/>
      <c r="C78" s="162"/>
      <c r="D78" s="301" t="s">
        <v>85</v>
      </c>
      <c r="E78" s="162"/>
      <c r="F78" s="301"/>
      <c r="G78" s="720" t="s">
        <v>1857</v>
      </c>
      <c r="H78" s="163"/>
      <c r="I78" s="164" t="s">
        <v>498</v>
      </c>
      <c r="J78" s="143">
        <v>0.23565366422434433</v>
      </c>
      <c r="K78" s="141">
        <v>0.17439998961038955</v>
      </c>
      <c r="L78" s="141">
        <v>0.15187871520248064</v>
      </c>
      <c r="M78" s="141">
        <v>8.9431434735377652E-2</v>
      </c>
      <c r="N78" s="141">
        <v>5.02757050683049E-2</v>
      </c>
      <c r="O78" s="141">
        <v>8.0261408856045671E-2</v>
      </c>
      <c r="P78" s="141">
        <v>8.0261408856045671E-2</v>
      </c>
      <c r="Q78" s="144">
        <v>8.0261408856045671E-2</v>
      </c>
      <c r="R78" s="143">
        <v>7.0729795931671238E-2</v>
      </c>
      <c r="S78" s="141">
        <v>7.0247176157799976E-2</v>
      </c>
      <c r="T78" s="141">
        <v>7.0181985239516007E-2</v>
      </c>
      <c r="U78" s="141">
        <v>7.0868009109035485E-2</v>
      </c>
      <c r="V78" s="144">
        <v>7.0380535551347351E-2</v>
      </c>
      <c r="W78" s="2921"/>
    </row>
    <row r="79" spans="1:23" s="98" customFormat="1" ht="15" customHeight="1">
      <c r="A79" s="99"/>
      <c r="B79" s="161"/>
      <c r="C79" s="162"/>
      <c r="D79" s="162" t="s">
        <v>85</v>
      </c>
      <c r="E79" s="162"/>
      <c r="F79" s="162"/>
      <c r="G79" s="720" t="s">
        <v>1858</v>
      </c>
      <c r="H79" s="163"/>
      <c r="I79" s="164" t="s">
        <v>498</v>
      </c>
      <c r="J79" s="143">
        <v>0</v>
      </c>
      <c r="K79" s="141">
        <v>0</v>
      </c>
      <c r="L79" s="141">
        <v>0</v>
      </c>
      <c r="M79" s="141">
        <v>0</v>
      </c>
      <c r="N79" s="141">
        <v>0</v>
      </c>
      <c r="O79" s="141">
        <v>0</v>
      </c>
      <c r="P79" s="141">
        <v>0</v>
      </c>
      <c r="Q79" s="144">
        <v>0</v>
      </c>
      <c r="R79" s="143">
        <v>0</v>
      </c>
      <c r="S79" s="141">
        <v>0</v>
      </c>
      <c r="T79" s="141">
        <v>0</v>
      </c>
      <c r="U79" s="141">
        <v>0</v>
      </c>
      <c r="V79" s="144">
        <v>0</v>
      </c>
      <c r="W79" s="2921"/>
    </row>
    <row r="80" spans="1:23" s="98" customFormat="1" ht="15" customHeight="1">
      <c r="A80" s="99"/>
      <c r="B80" s="161"/>
      <c r="C80" s="162"/>
      <c r="D80" s="301" t="s">
        <v>85</v>
      </c>
      <c r="E80" s="162"/>
      <c r="F80" s="301"/>
      <c r="G80" s="720" t="s">
        <v>1859</v>
      </c>
      <c r="H80" s="163"/>
      <c r="I80" s="164" t="s">
        <v>498</v>
      </c>
      <c r="J80" s="143"/>
      <c r="K80" s="141">
        <v>0.52651136103896079</v>
      </c>
      <c r="L80" s="141">
        <v>0.92899957664889643</v>
      </c>
      <c r="M80" s="141">
        <v>0.44596734470061955</v>
      </c>
      <c r="N80" s="141">
        <v>0.50713615297109138</v>
      </c>
      <c r="O80" s="141">
        <v>0</v>
      </c>
      <c r="P80" s="141">
        <v>0</v>
      </c>
      <c r="Q80" s="144">
        <v>0</v>
      </c>
      <c r="R80" s="143">
        <v>0</v>
      </c>
      <c r="S80" s="141">
        <v>0</v>
      </c>
      <c r="T80" s="141">
        <v>0</v>
      </c>
      <c r="U80" s="141">
        <v>0</v>
      </c>
      <c r="V80" s="144">
        <v>0</v>
      </c>
      <c r="W80" s="2921"/>
    </row>
    <row r="81" spans="1:24" s="98" customFormat="1" ht="15" customHeight="1">
      <c r="A81" s="99"/>
      <c r="B81" s="161"/>
      <c r="C81" s="162"/>
      <c r="D81" s="162" t="s">
        <v>85</v>
      </c>
      <c r="E81" s="162"/>
      <c r="F81" s="162"/>
      <c r="G81" s="720" t="s">
        <v>1860</v>
      </c>
      <c r="H81" s="163"/>
      <c r="I81" s="164" t="s">
        <v>498</v>
      </c>
      <c r="J81" s="143"/>
      <c r="K81" s="141">
        <v>0</v>
      </c>
      <c r="L81" s="141">
        <v>0</v>
      </c>
      <c r="M81" s="141">
        <v>0</v>
      </c>
      <c r="N81" s="141">
        <v>0</v>
      </c>
      <c r="O81" s="141">
        <v>0</v>
      </c>
      <c r="P81" s="141">
        <v>0</v>
      </c>
      <c r="Q81" s="144">
        <v>0</v>
      </c>
      <c r="R81" s="143">
        <v>0</v>
      </c>
      <c r="S81" s="141">
        <v>0</v>
      </c>
      <c r="T81" s="141">
        <v>0</v>
      </c>
      <c r="U81" s="141">
        <v>0</v>
      </c>
      <c r="V81" s="144">
        <v>0</v>
      </c>
      <c r="W81" s="2921"/>
    </row>
    <row r="82" spans="1:24" s="98" customFormat="1" ht="15" customHeight="1">
      <c r="A82" s="99"/>
      <c r="B82" s="161"/>
      <c r="C82" s="162"/>
      <c r="D82" s="162" t="s">
        <v>85</v>
      </c>
      <c r="E82" s="162"/>
      <c r="F82" s="162"/>
      <c r="G82" s="720" t="s">
        <v>1861</v>
      </c>
      <c r="H82" s="163"/>
      <c r="I82" s="164" t="s">
        <v>498</v>
      </c>
      <c r="J82" s="143"/>
      <c r="K82" s="141">
        <v>0</v>
      </c>
      <c r="L82" s="141">
        <v>0</v>
      </c>
      <c r="M82" s="141">
        <v>0</v>
      </c>
      <c r="N82" s="141">
        <v>0</v>
      </c>
      <c r="O82" s="141">
        <v>0</v>
      </c>
      <c r="P82" s="141">
        <v>0</v>
      </c>
      <c r="Q82" s="144">
        <v>0</v>
      </c>
      <c r="R82" s="143">
        <v>5.5363960920751867E-2</v>
      </c>
      <c r="S82" s="141">
        <v>6.1160654563961386E-2</v>
      </c>
      <c r="T82" s="141">
        <v>6.7118762369857823E-2</v>
      </c>
      <c r="U82" s="141">
        <v>7.3941180159379047E-2</v>
      </c>
      <c r="V82" s="144">
        <v>6.8434765334007053E-2</v>
      </c>
      <c r="W82" s="2921"/>
    </row>
    <row r="83" spans="1:24" s="98" customFormat="1" ht="15" customHeight="1">
      <c r="A83" s="99"/>
      <c r="B83" s="161"/>
      <c r="C83" s="162"/>
      <c r="D83" s="301" t="s">
        <v>85</v>
      </c>
      <c r="E83" s="162"/>
      <c r="F83" s="301"/>
      <c r="G83" s="720"/>
      <c r="H83" s="163"/>
      <c r="I83" s="164" t="s">
        <v>498</v>
      </c>
      <c r="J83" s="143"/>
      <c r="K83" s="141"/>
      <c r="L83" s="141"/>
      <c r="M83" s="141"/>
      <c r="N83" s="141"/>
      <c r="O83" s="141">
        <v>0</v>
      </c>
      <c r="P83" s="141">
        <v>0</v>
      </c>
      <c r="Q83" s="144">
        <v>0</v>
      </c>
      <c r="R83" s="143">
        <v>0</v>
      </c>
      <c r="S83" s="141">
        <v>0</v>
      </c>
      <c r="T83" s="141">
        <v>0</v>
      </c>
      <c r="U83" s="141">
        <v>0</v>
      </c>
      <c r="V83" s="144">
        <v>0</v>
      </c>
      <c r="W83" s="2921"/>
    </row>
    <row r="84" spans="1:24" s="98" customFormat="1" ht="15" customHeight="1">
      <c r="A84" s="99"/>
      <c r="B84" s="161"/>
      <c r="C84" s="162"/>
      <c r="D84" s="162" t="s">
        <v>85</v>
      </c>
      <c r="E84" s="162"/>
      <c r="F84" s="162"/>
      <c r="G84" s="720"/>
      <c r="H84" s="163"/>
      <c r="I84" s="164" t="s">
        <v>498</v>
      </c>
      <c r="J84" s="143"/>
      <c r="K84" s="141"/>
      <c r="L84" s="141"/>
      <c r="M84" s="141"/>
      <c r="N84" s="141"/>
      <c r="O84" s="141">
        <v>0</v>
      </c>
      <c r="P84" s="141">
        <v>0</v>
      </c>
      <c r="Q84" s="144">
        <v>0</v>
      </c>
      <c r="R84" s="143">
        <v>0</v>
      </c>
      <c r="S84" s="141">
        <v>0</v>
      </c>
      <c r="T84" s="141">
        <v>0</v>
      </c>
      <c r="U84" s="141">
        <v>0</v>
      </c>
      <c r="V84" s="144">
        <v>0</v>
      </c>
      <c r="W84" s="2921"/>
    </row>
    <row r="85" spans="1:24" s="98" customFormat="1" ht="15" customHeight="1">
      <c r="A85" s="99"/>
      <c r="B85" s="161"/>
      <c r="C85" s="162"/>
      <c r="D85" s="162" t="s">
        <v>85</v>
      </c>
      <c r="E85" s="162"/>
      <c r="F85" s="162"/>
      <c r="G85" s="720"/>
      <c r="H85" s="163"/>
      <c r="I85" s="164" t="s">
        <v>498</v>
      </c>
      <c r="J85" s="143"/>
      <c r="K85" s="141"/>
      <c r="L85" s="141"/>
      <c r="M85" s="141"/>
      <c r="N85" s="141"/>
      <c r="O85" s="141">
        <v>0</v>
      </c>
      <c r="P85" s="141">
        <v>0</v>
      </c>
      <c r="Q85" s="144">
        <v>0</v>
      </c>
      <c r="R85" s="143">
        <v>0</v>
      </c>
      <c r="S85" s="141">
        <v>0</v>
      </c>
      <c r="T85" s="141">
        <v>0</v>
      </c>
      <c r="U85" s="141">
        <v>0</v>
      </c>
      <c r="V85" s="144">
        <v>0</v>
      </c>
      <c r="W85" s="2921"/>
    </row>
    <row r="86" spans="1:24" s="98" customFormat="1" ht="15" customHeight="1">
      <c r="A86" s="99"/>
      <c r="B86" s="161"/>
      <c r="C86" s="162"/>
      <c r="D86" s="162" t="s">
        <v>85</v>
      </c>
      <c r="E86" s="162"/>
      <c r="F86" s="162"/>
      <c r="G86" s="720"/>
      <c r="H86" s="163"/>
      <c r="I86" s="164" t="s">
        <v>498</v>
      </c>
      <c r="J86" s="143"/>
      <c r="K86" s="141"/>
      <c r="L86" s="141"/>
      <c r="M86" s="141"/>
      <c r="N86" s="141"/>
      <c r="O86" s="141">
        <v>0</v>
      </c>
      <c r="P86" s="141">
        <v>0</v>
      </c>
      <c r="Q86" s="144">
        <v>0</v>
      </c>
      <c r="R86" s="143">
        <v>0</v>
      </c>
      <c r="S86" s="141">
        <v>0</v>
      </c>
      <c r="T86" s="141">
        <v>0</v>
      </c>
      <c r="U86" s="141">
        <v>0</v>
      </c>
      <c r="V86" s="144">
        <v>0</v>
      </c>
      <c r="W86" s="2921"/>
    </row>
    <row r="87" spans="1:24" s="98" customFormat="1" ht="15" customHeight="1">
      <c r="A87" s="99"/>
      <c r="B87" s="161"/>
      <c r="C87" s="162"/>
      <c r="D87" s="162"/>
      <c r="E87" s="162"/>
      <c r="F87" s="162"/>
      <c r="G87" s="163"/>
      <c r="H87" s="163"/>
      <c r="I87" s="163"/>
      <c r="J87" s="716"/>
      <c r="K87" s="714"/>
      <c r="L87" s="714"/>
      <c r="M87" s="714"/>
      <c r="N87" s="714"/>
      <c r="O87" s="714"/>
      <c r="P87" s="714"/>
      <c r="Q87" s="752"/>
      <c r="R87" s="716"/>
      <c r="S87" s="714"/>
      <c r="T87" s="714"/>
      <c r="U87" s="714"/>
      <c r="V87" s="752"/>
      <c r="W87" s="2921"/>
    </row>
    <row r="88" spans="1:24" s="98" customFormat="1" ht="15" customHeight="1" thickBot="1">
      <c r="A88" s="99"/>
      <c r="B88" s="131" t="s">
        <v>1701</v>
      </c>
      <c r="C88" s="132"/>
      <c r="D88" s="132"/>
      <c r="E88" s="132"/>
      <c r="F88" s="132"/>
      <c r="G88" s="145"/>
      <c r="H88" s="133"/>
      <c r="I88" s="146" t="s">
        <v>498</v>
      </c>
      <c r="J88" s="717">
        <f t="shared" ref="J88:V88" si="3">SUM(J19:J27,J29:J33,J35:J42,J44:J48,J50:J55,J57:J61,J63:J64,J66:J69,J71:J75,J77:J86)</f>
        <v>6.7221605860672531</v>
      </c>
      <c r="K88" s="718">
        <f t="shared" si="3"/>
        <v>7.6283438493506459</v>
      </c>
      <c r="L88" s="718">
        <f t="shared" si="3"/>
        <v>8.0242664189451922</v>
      </c>
      <c r="M88" s="718">
        <f t="shared" si="3"/>
        <v>8.3155367664312401</v>
      </c>
      <c r="N88" s="718">
        <f t="shared" si="3"/>
        <v>8.3412766525933808</v>
      </c>
      <c r="O88" s="718">
        <f t="shared" si="3"/>
        <v>7.7454927885308544</v>
      </c>
      <c r="P88" s="718">
        <f t="shared" si="3"/>
        <v>8.2121781749024425</v>
      </c>
      <c r="Q88" s="719">
        <f t="shared" si="3"/>
        <v>8.6291781749024423</v>
      </c>
      <c r="R88" s="717">
        <f t="shared" si="3"/>
        <v>10.342899360045099</v>
      </c>
      <c r="S88" s="718">
        <f t="shared" si="3"/>
        <v>10.932448180480458</v>
      </c>
      <c r="T88" s="718">
        <f t="shared" si="3"/>
        <v>10.196937038145174</v>
      </c>
      <c r="U88" s="718">
        <f t="shared" si="3"/>
        <v>10.2885703164037</v>
      </c>
      <c r="V88" s="719">
        <f t="shared" si="3"/>
        <v>10.82325380947124</v>
      </c>
      <c r="W88" s="2921"/>
    </row>
    <row r="89" spans="1:24" s="99" customFormat="1" ht="15" customHeight="1" thickBot="1">
      <c r="B89" s="150"/>
      <c r="C89" s="150"/>
      <c r="D89" s="150"/>
      <c r="E89" s="150"/>
      <c r="F89" s="150"/>
      <c r="G89" s="97"/>
      <c r="H89" s="97"/>
      <c r="I89" s="98"/>
      <c r="J89" s="98"/>
      <c r="K89" s="98"/>
      <c r="L89" s="98"/>
      <c r="M89" s="98"/>
      <c r="N89" s="98"/>
      <c r="O89" s="98"/>
      <c r="P89" s="98"/>
      <c r="Q89" s="98"/>
      <c r="R89" s="98"/>
      <c r="S89" s="98"/>
      <c r="T89" s="98"/>
      <c r="U89" s="98"/>
      <c r="V89" s="98"/>
      <c r="W89" s="2921"/>
      <c r="X89" s="98"/>
    </row>
    <row r="90" spans="1:24" s="100" customFormat="1" ht="30" customHeight="1" thickBot="1">
      <c r="A90" s="89"/>
      <c r="B90" s="621" t="s">
        <v>1808</v>
      </c>
      <c r="C90" s="101"/>
      <c r="D90" s="102"/>
      <c r="E90" s="102"/>
      <c r="F90" s="102"/>
      <c r="G90" s="103"/>
      <c r="H90" s="103"/>
      <c r="I90" s="105" t="s">
        <v>1704</v>
      </c>
      <c r="J90" s="106"/>
      <c r="K90" s="106"/>
      <c r="L90" s="106"/>
      <c r="M90" s="106"/>
      <c r="N90" s="106"/>
      <c r="O90" s="106"/>
      <c r="P90" s="106"/>
      <c r="Q90" s="106"/>
      <c r="R90" s="105"/>
      <c r="S90" s="105"/>
      <c r="T90" s="105"/>
      <c r="U90" s="105"/>
      <c r="V90" s="107"/>
      <c r="W90" s="2921"/>
    </row>
    <row r="91" spans="1:24" s="157" customFormat="1" ht="30" customHeight="1">
      <c r="A91" s="99"/>
      <c r="B91" s="109"/>
      <c r="C91" s="110"/>
      <c r="D91" s="110"/>
      <c r="E91" s="110"/>
      <c r="F91" s="110"/>
      <c r="G91" s="111"/>
      <c r="H91" s="111"/>
      <c r="I91" s="117"/>
      <c r="J91" s="695" t="s">
        <v>1666</v>
      </c>
      <c r="K91" s="152"/>
      <c r="L91" s="152"/>
      <c r="M91" s="152"/>
      <c r="N91" s="152"/>
      <c r="O91" s="152"/>
      <c r="P91" s="152"/>
      <c r="Q91" s="153"/>
      <c r="R91" s="696" t="s">
        <v>2</v>
      </c>
      <c r="S91" s="155"/>
      <c r="T91" s="155"/>
      <c r="U91" s="155"/>
      <c r="V91" s="156"/>
      <c r="W91" s="2921"/>
    </row>
    <row r="92" spans="1:24" s="98" customFormat="1" ht="15" customHeight="1">
      <c r="A92" s="99"/>
      <c r="B92" s="115"/>
      <c r="C92" s="116"/>
      <c r="D92" s="116"/>
      <c r="E92" s="116"/>
      <c r="F92" s="116"/>
      <c r="G92" s="117"/>
      <c r="H92" s="117"/>
      <c r="I92" s="119" t="s">
        <v>1667</v>
      </c>
      <c r="J92" s="158" t="s">
        <v>453</v>
      </c>
      <c r="K92" s="137" t="s">
        <v>455</v>
      </c>
      <c r="L92" s="137" t="s">
        <v>457</v>
      </c>
      <c r="M92" s="137" t="s">
        <v>459</v>
      </c>
      <c r="N92" s="137" t="s">
        <v>461</v>
      </c>
      <c r="O92" s="137" t="s">
        <v>463</v>
      </c>
      <c r="P92" s="137" t="s">
        <v>465</v>
      </c>
      <c r="Q92" s="138" t="s">
        <v>467</v>
      </c>
      <c r="R92" s="120" t="s">
        <v>469</v>
      </c>
      <c r="S92" s="121" t="s">
        <v>471</v>
      </c>
      <c r="T92" s="121" t="s">
        <v>473</v>
      </c>
      <c r="U92" s="121" t="s">
        <v>475</v>
      </c>
      <c r="V92" s="122" t="s">
        <v>477</v>
      </c>
      <c r="W92" s="2921"/>
    </row>
    <row r="93" spans="1:24" s="98" customFormat="1" ht="15" customHeight="1">
      <c r="A93" s="99"/>
      <c r="B93" s="123"/>
      <c r="C93" s="127"/>
      <c r="D93" s="127"/>
      <c r="E93" s="127"/>
      <c r="F93" s="127"/>
      <c r="G93" s="117"/>
      <c r="H93" s="117"/>
      <c r="I93" s="117"/>
      <c r="J93" s="159"/>
      <c r="K93" s="117"/>
      <c r="L93" s="117"/>
      <c r="M93" s="117"/>
      <c r="N93" s="117"/>
      <c r="O93" s="117"/>
      <c r="P93" s="117"/>
      <c r="Q93" s="160"/>
      <c r="R93" s="159"/>
      <c r="S93" s="117"/>
      <c r="T93" s="117"/>
      <c r="U93" s="117"/>
      <c r="V93" s="160"/>
      <c r="W93" s="2921"/>
    </row>
    <row r="94" spans="1:24" s="98" customFormat="1" ht="15" customHeight="1">
      <c r="A94" s="99"/>
      <c r="B94" s="161"/>
      <c r="C94" s="116" t="s">
        <v>1809</v>
      </c>
      <c r="D94" s="116"/>
      <c r="E94" s="116"/>
      <c r="F94" s="116"/>
      <c r="G94" s="117"/>
      <c r="H94" s="117"/>
      <c r="I94" s="117"/>
      <c r="J94" s="159"/>
      <c r="K94" s="117"/>
      <c r="L94" s="117"/>
      <c r="M94" s="117"/>
      <c r="N94" s="117"/>
      <c r="O94" s="117"/>
      <c r="P94" s="117"/>
      <c r="Q94" s="160"/>
      <c r="R94" s="159"/>
      <c r="S94" s="117"/>
      <c r="T94" s="117"/>
      <c r="U94" s="117"/>
      <c r="V94" s="160"/>
      <c r="W94" s="2921"/>
    </row>
    <row r="95" spans="1:24" s="98" customFormat="1" ht="15" customHeight="1">
      <c r="A95" s="99"/>
      <c r="B95" s="161"/>
      <c r="C95" s="162"/>
      <c r="D95" s="162" t="s">
        <v>1810</v>
      </c>
      <c r="E95" s="162"/>
      <c r="F95" s="162"/>
      <c r="G95" s="163"/>
      <c r="H95" s="163"/>
      <c r="I95" s="164" t="s">
        <v>498</v>
      </c>
      <c r="J95" s="143">
        <v>0.10209768852437293</v>
      </c>
      <c r="K95" s="141">
        <v>0.14018227012987008</v>
      </c>
      <c r="L95" s="141">
        <v>9.8221212905136232E-2</v>
      </c>
      <c r="M95" s="141">
        <v>7.9844080898251416E-2</v>
      </c>
      <c r="N95" s="141">
        <v>0.11246927500484037</v>
      </c>
      <c r="O95" s="141">
        <v>5.7005447796696002E-2</v>
      </c>
      <c r="P95" s="141">
        <v>0.1</v>
      </c>
      <c r="Q95" s="144">
        <v>0.15</v>
      </c>
      <c r="R95" s="143">
        <v>0.17523000578219036</v>
      </c>
      <c r="S95" s="141">
        <v>0.17361346934869523</v>
      </c>
      <c r="T95" s="141">
        <v>0.17260156098354112</v>
      </c>
      <c r="U95" s="141">
        <v>0.17369025253241011</v>
      </c>
      <c r="V95" s="144">
        <v>0.15127674172818895</v>
      </c>
      <c r="W95" s="2921"/>
    </row>
    <row r="96" spans="1:24" s="98" customFormat="1" ht="15" customHeight="1">
      <c r="A96" s="99"/>
      <c r="B96" s="161"/>
      <c r="C96" s="162"/>
      <c r="D96" s="162" t="s">
        <v>1811</v>
      </c>
      <c r="E96" s="162"/>
      <c r="F96" s="162"/>
      <c r="G96" s="163"/>
      <c r="H96" s="163"/>
      <c r="I96" s="164" t="s">
        <v>498</v>
      </c>
      <c r="J96" s="143">
        <v>0</v>
      </c>
      <c r="K96" s="141">
        <v>0</v>
      </c>
      <c r="L96" s="141">
        <v>0</v>
      </c>
      <c r="M96" s="141">
        <v>0</v>
      </c>
      <c r="N96" s="141">
        <v>0</v>
      </c>
      <c r="O96" s="141">
        <v>0</v>
      </c>
      <c r="P96" s="141">
        <v>0</v>
      </c>
      <c r="Q96" s="144">
        <v>0</v>
      </c>
      <c r="R96" s="143">
        <v>0</v>
      </c>
      <c r="S96" s="141">
        <v>0</v>
      </c>
      <c r="T96" s="141">
        <v>0</v>
      </c>
      <c r="U96" s="141">
        <v>0</v>
      </c>
      <c r="V96" s="144">
        <v>0</v>
      </c>
      <c r="W96" s="2921"/>
    </row>
    <row r="97" spans="1:23" s="98" customFormat="1" ht="15" customHeight="1">
      <c r="A97" s="99"/>
      <c r="B97" s="161"/>
      <c r="C97" s="162"/>
      <c r="D97" s="162" t="s">
        <v>1812</v>
      </c>
      <c r="E97" s="162"/>
      <c r="F97" s="162"/>
      <c r="G97" s="163"/>
      <c r="H97" s="163"/>
      <c r="I97" s="164" t="s">
        <v>498</v>
      </c>
      <c r="J97" s="143">
        <v>0</v>
      </c>
      <c r="K97" s="141">
        <v>0</v>
      </c>
      <c r="L97" s="141">
        <v>0</v>
      </c>
      <c r="M97" s="141">
        <v>0</v>
      </c>
      <c r="N97" s="141">
        <v>0</v>
      </c>
      <c r="O97" s="141">
        <v>0</v>
      </c>
      <c r="P97" s="141">
        <v>0</v>
      </c>
      <c r="Q97" s="144">
        <v>0</v>
      </c>
      <c r="R97" s="143">
        <v>1.2819906044992663E-2</v>
      </c>
      <c r="S97" s="141">
        <v>1.2745953304430404E-2</v>
      </c>
      <c r="T97" s="141">
        <v>1.1847006526700574E-2</v>
      </c>
      <c r="U97" s="141">
        <v>1.1086042486065326E-2</v>
      </c>
      <c r="V97" s="144">
        <v>1.0110219855160543E-2</v>
      </c>
      <c r="W97" s="2921"/>
    </row>
    <row r="98" spans="1:23" s="98" customFormat="1" ht="15" customHeight="1">
      <c r="A98" s="99"/>
      <c r="B98" s="161"/>
      <c r="C98" s="162"/>
      <c r="D98" s="162" t="s">
        <v>1813</v>
      </c>
      <c r="E98" s="162"/>
      <c r="F98" s="162"/>
      <c r="G98" s="163"/>
      <c r="H98" s="163"/>
      <c r="I98" s="164" t="s">
        <v>498</v>
      </c>
      <c r="J98" s="143">
        <v>6.1734330205920986E-2</v>
      </c>
      <c r="K98" s="141">
        <v>5.5189870129870111E-3</v>
      </c>
      <c r="L98" s="141">
        <v>1.9338453016374147E-2</v>
      </c>
      <c r="M98" s="141">
        <v>1.5042466794891915E-2</v>
      </c>
      <c r="N98" s="141">
        <v>2.9534942475009814E-2</v>
      </c>
      <c r="O98" s="141">
        <v>3.0230337524414098E-2</v>
      </c>
      <c r="P98" s="141">
        <v>3.0230337524414098E-2</v>
      </c>
      <c r="Q98" s="144">
        <v>3.0230337524414098E-2</v>
      </c>
      <c r="R98" s="143">
        <v>2.7438229242842765E-2</v>
      </c>
      <c r="S98" s="141">
        <v>2.4874660797820421E-2</v>
      </c>
      <c r="T98" s="141">
        <v>2.4652995004758874E-2</v>
      </c>
      <c r="U98" s="141">
        <v>2.021400338891035E-2</v>
      </c>
      <c r="V98" s="144">
        <v>1.8737849144079922E-2</v>
      </c>
      <c r="W98" s="2921"/>
    </row>
    <row r="99" spans="1:23" s="98" customFormat="1" ht="15" customHeight="1">
      <c r="A99" s="99"/>
      <c r="B99" s="161"/>
      <c r="C99" s="162"/>
      <c r="D99" s="162" t="s">
        <v>1814</v>
      </c>
      <c r="E99" s="162"/>
      <c r="F99" s="162"/>
      <c r="G99" s="163"/>
      <c r="H99" s="163"/>
      <c r="I99" s="164" t="s">
        <v>498</v>
      </c>
      <c r="J99" s="143">
        <v>0</v>
      </c>
      <c r="K99" s="141">
        <v>0</v>
      </c>
      <c r="L99" s="141">
        <v>0</v>
      </c>
      <c r="M99" s="141">
        <v>0</v>
      </c>
      <c r="N99" s="141">
        <v>0</v>
      </c>
      <c r="O99" s="141">
        <v>0</v>
      </c>
      <c r="P99" s="141">
        <v>0</v>
      </c>
      <c r="Q99" s="144">
        <v>0</v>
      </c>
      <c r="R99" s="143">
        <v>0.15037296150516793</v>
      </c>
      <c r="S99" s="141">
        <v>0.14454638056223246</v>
      </c>
      <c r="T99" s="141">
        <v>0.13939453883825761</v>
      </c>
      <c r="U99" s="141">
        <v>0.13582497736123833</v>
      </c>
      <c r="V99" s="144">
        <v>0.12977822417074053</v>
      </c>
      <c r="W99" s="2921"/>
    </row>
    <row r="100" spans="1:23" s="98" customFormat="1" ht="15" customHeight="1">
      <c r="A100" s="99"/>
      <c r="B100" s="161"/>
      <c r="C100" s="162"/>
      <c r="D100" s="162" t="s">
        <v>1815</v>
      </c>
      <c r="E100" s="162"/>
      <c r="F100" s="162"/>
      <c r="G100" s="163"/>
      <c r="H100" s="163"/>
      <c r="I100" s="164" t="s">
        <v>498</v>
      </c>
      <c r="J100" s="143">
        <v>0</v>
      </c>
      <c r="K100" s="141">
        <v>0</v>
      </c>
      <c r="L100" s="141">
        <v>0</v>
      </c>
      <c r="M100" s="141">
        <v>0</v>
      </c>
      <c r="N100" s="141">
        <v>0</v>
      </c>
      <c r="O100" s="141">
        <v>0</v>
      </c>
      <c r="P100" s="141">
        <v>0</v>
      </c>
      <c r="Q100" s="144">
        <v>0</v>
      </c>
      <c r="R100" s="143">
        <v>8.6590191986666148E-2</v>
      </c>
      <c r="S100" s="141">
        <v>8.0080376733639602E-2</v>
      </c>
      <c r="T100" s="141">
        <v>7.3896156910916333E-2</v>
      </c>
      <c r="U100" s="141">
        <v>6.8568298284915175E-2</v>
      </c>
      <c r="V100" s="144">
        <v>6.1911440344980861E-2</v>
      </c>
      <c r="W100" s="2921"/>
    </row>
    <row r="101" spans="1:23" s="98" customFormat="1" ht="15" customHeight="1">
      <c r="A101" s="99"/>
      <c r="B101" s="161"/>
      <c r="C101" s="162"/>
      <c r="D101" s="162" t="s">
        <v>1816</v>
      </c>
      <c r="E101" s="162"/>
      <c r="F101" s="162"/>
      <c r="G101" s="163"/>
      <c r="H101" s="163"/>
      <c r="I101" s="164" t="s">
        <v>498</v>
      </c>
      <c r="J101" s="143">
        <v>1.0252320863390969E-4</v>
      </c>
      <c r="K101" s="141">
        <v>0</v>
      </c>
      <c r="L101" s="141">
        <v>8.8850921732802244E-4</v>
      </c>
      <c r="M101" s="141">
        <v>-7.337039149740369E-4</v>
      </c>
      <c r="N101" s="141">
        <v>-7.072390321009209E-4</v>
      </c>
      <c r="O101" s="141">
        <v>6.0007987200000005E-3</v>
      </c>
      <c r="P101" s="141">
        <v>6.0007987200000005E-3</v>
      </c>
      <c r="Q101" s="144">
        <v>6.0007987200000005E-3</v>
      </c>
      <c r="R101" s="143">
        <v>3.2089579454923418E-2</v>
      </c>
      <c r="S101" s="141">
        <v>3.1876142274243013E-2</v>
      </c>
      <c r="T101" s="141">
        <v>3.1839168162640728E-2</v>
      </c>
      <c r="U101" s="141">
        <v>3.2150747540179214E-2</v>
      </c>
      <c r="V101" s="144">
        <v>3.1915193732125743E-2</v>
      </c>
      <c r="W101" s="2921"/>
    </row>
    <row r="102" spans="1:23" s="98" customFormat="1" ht="15" customHeight="1">
      <c r="A102" s="99"/>
      <c r="B102" s="161"/>
      <c r="C102" s="162"/>
      <c r="D102" s="162" t="s">
        <v>1817</v>
      </c>
      <c r="E102" s="162"/>
      <c r="F102" s="162"/>
      <c r="G102" s="163"/>
      <c r="H102" s="163"/>
      <c r="I102" s="164" t="s">
        <v>498</v>
      </c>
      <c r="J102" s="143">
        <v>9.4732199702936143E-3</v>
      </c>
      <c r="K102" s="141">
        <v>2.0972150649350641E-2</v>
      </c>
      <c r="L102" s="141">
        <v>1.7540638427656706E-2</v>
      </c>
      <c r="M102" s="141">
        <v>1.8933184897504788E-2</v>
      </c>
      <c r="N102" s="141">
        <v>3.1259005112141733E-2</v>
      </c>
      <c r="O102" s="141">
        <v>5.3947886846889392E-2</v>
      </c>
      <c r="P102" s="141">
        <v>5.3947886846889392E-2</v>
      </c>
      <c r="Q102" s="144">
        <v>5.3947886846889392E-2</v>
      </c>
      <c r="R102" s="143">
        <v>1.2574726621824059E-2</v>
      </c>
      <c r="S102" s="141">
        <v>1.2051953247772008E-2</v>
      </c>
      <c r="T102" s="141">
        <v>1.1574478835767496E-2</v>
      </c>
      <c r="U102" s="141">
        <v>1.1234807762267238E-2</v>
      </c>
      <c r="V102" s="144">
        <v>1.0677448446697503E-2</v>
      </c>
      <c r="W102" s="2921"/>
    </row>
    <row r="103" spans="1:23" s="98" customFormat="1" ht="15" customHeight="1">
      <c r="A103" s="99"/>
      <c r="B103" s="161"/>
      <c r="C103" s="162"/>
      <c r="D103" s="162" t="s">
        <v>1818</v>
      </c>
      <c r="E103" s="162"/>
      <c r="F103" s="162"/>
      <c r="G103" s="163"/>
      <c r="H103" s="163"/>
      <c r="I103" s="164" t="s">
        <v>498</v>
      </c>
      <c r="J103" s="143">
        <v>2.5362180804407788E-3</v>
      </c>
      <c r="K103" s="141">
        <v>2.2075948051948045E-2</v>
      </c>
      <c r="L103" s="141">
        <v>1.9787462247869789E-2</v>
      </c>
      <c r="M103" s="141">
        <v>3.3978144705420758E-2</v>
      </c>
      <c r="N103" s="141">
        <v>3.1842352421480577E-2</v>
      </c>
      <c r="O103" s="141">
        <v>0.10587942893203819</v>
      </c>
      <c r="P103" s="141">
        <v>0.10587942893203819</v>
      </c>
      <c r="Q103" s="144">
        <v>0.10587942893203819</v>
      </c>
      <c r="R103" s="143">
        <v>0</v>
      </c>
      <c r="S103" s="141">
        <v>0</v>
      </c>
      <c r="T103" s="141">
        <v>0</v>
      </c>
      <c r="U103" s="141">
        <v>0</v>
      </c>
      <c r="V103" s="144">
        <v>0</v>
      </c>
      <c r="W103" s="2921"/>
    </row>
    <row r="104" spans="1:23" s="98" customFormat="1" ht="15" customHeight="1">
      <c r="A104" s="99"/>
      <c r="B104" s="161"/>
      <c r="C104" s="116" t="s">
        <v>1819</v>
      </c>
      <c r="D104" s="116"/>
      <c r="E104" s="116"/>
      <c r="F104" s="116"/>
      <c r="G104" s="117"/>
      <c r="H104" s="117"/>
      <c r="I104" s="117"/>
      <c r="J104" s="713"/>
      <c r="K104" s="721"/>
      <c r="L104" s="721"/>
      <c r="M104" s="721"/>
      <c r="N104" s="721"/>
      <c r="O104" s="721"/>
      <c r="P104" s="721"/>
      <c r="Q104" s="715"/>
      <c r="R104" s="713"/>
      <c r="S104" s="721"/>
      <c r="T104" s="721"/>
      <c r="U104" s="721"/>
      <c r="V104" s="715"/>
      <c r="W104" s="2921"/>
    </row>
    <row r="105" spans="1:23" s="98" customFormat="1" ht="15" customHeight="1">
      <c r="A105" s="99"/>
      <c r="B105" s="161"/>
      <c r="C105" s="162"/>
      <c r="D105" s="162" t="s">
        <v>1820</v>
      </c>
      <c r="E105" s="162"/>
      <c r="F105" s="162"/>
      <c r="G105" s="163"/>
      <c r="H105" s="163"/>
      <c r="I105" s="164" t="s">
        <v>498</v>
      </c>
      <c r="J105" s="143">
        <v>0</v>
      </c>
      <c r="K105" s="141">
        <v>0</v>
      </c>
      <c r="L105" s="141">
        <v>0</v>
      </c>
      <c r="M105" s="141">
        <v>0</v>
      </c>
      <c r="N105" s="141">
        <v>0</v>
      </c>
      <c r="O105" s="141">
        <v>0</v>
      </c>
      <c r="P105" s="141">
        <v>0</v>
      </c>
      <c r="Q105" s="144">
        <v>0</v>
      </c>
      <c r="R105" s="143">
        <v>0</v>
      </c>
      <c r="S105" s="141">
        <v>0</v>
      </c>
      <c r="T105" s="141">
        <v>0</v>
      </c>
      <c r="U105" s="141">
        <v>0</v>
      </c>
      <c r="V105" s="144">
        <v>0</v>
      </c>
      <c r="W105" s="2921"/>
    </row>
    <row r="106" spans="1:23" s="98" customFormat="1" ht="15" customHeight="1">
      <c r="A106" s="99"/>
      <c r="B106" s="161"/>
      <c r="C106" s="162"/>
      <c r="D106" s="162" t="s">
        <v>1821</v>
      </c>
      <c r="E106" s="162"/>
      <c r="F106" s="162"/>
      <c r="G106" s="163"/>
      <c r="H106" s="163"/>
      <c r="I106" s="164" t="s">
        <v>498</v>
      </c>
      <c r="J106" s="143">
        <v>0</v>
      </c>
      <c r="K106" s="141">
        <v>0</v>
      </c>
      <c r="L106" s="141">
        <v>0</v>
      </c>
      <c r="M106" s="141">
        <v>0</v>
      </c>
      <c r="N106" s="141">
        <v>0</v>
      </c>
      <c r="O106" s="141">
        <v>0</v>
      </c>
      <c r="P106" s="141">
        <v>0</v>
      </c>
      <c r="Q106" s="144">
        <v>0</v>
      </c>
      <c r="R106" s="143">
        <v>0</v>
      </c>
      <c r="S106" s="141">
        <v>0</v>
      </c>
      <c r="T106" s="141">
        <v>0</v>
      </c>
      <c r="U106" s="141">
        <v>0</v>
      </c>
      <c r="V106" s="144">
        <v>0</v>
      </c>
      <c r="W106" s="2921"/>
    </row>
    <row r="107" spans="1:23" s="98" customFormat="1" ht="15" customHeight="1">
      <c r="A107" s="99"/>
      <c r="B107" s="161"/>
      <c r="C107" s="162"/>
      <c r="D107" s="162" t="s">
        <v>1822</v>
      </c>
      <c r="E107" s="162"/>
      <c r="F107" s="162"/>
      <c r="G107" s="163"/>
      <c r="H107" s="163"/>
      <c r="I107" s="164" t="s">
        <v>498</v>
      </c>
      <c r="J107" s="143">
        <v>0.68771266460216207</v>
      </c>
      <c r="K107" s="141">
        <v>0.5717670545454544</v>
      </c>
      <c r="L107" s="141">
        <v>0.49428038059590762</v>
      </c>
      <c r="M107" s="141">
        <v>0.62493567574114717</v>
      </c>
      <c r="N107" s="141">
        <v>0.62323976270108339</v>
      </c>
      <c r="O107" s="141">
        <v>1.0636759930534285</v>
      </c>
      <c r="P107" s="141">
        <v>1.0636759930534285</v>
      </c>
      <c r="Q107" s="144">
        <v>1.0636759930534285</v>
      </c>
      <c r="R107" s="143">
        <v>0.57747482477028689</v>
      </c>
      <c r="S107" s="141">
        <v>0.8500098098311325</v>
      </c>
      <c r="T107" s="141">
        <v>0.56597932782688365</v>
      </c>
      <c r="U107" s="141">
        <v>0.5338074269002151</v>
      </c>
      <c r="V107" s="144">
        <v>0.88475965121702049</v>
      </c>
      <c r="W107" s="2921"/>
    </row>
    <row r="108" spans="1:23" s="98" customFormat="1" ht="15" customHeight="1">
      <c r="A108" s="99"/>
      <c r="B108" s="161"/>
      <c r="C108" s="162"/>
      <c r="D108" s="162" t="s">
        <v>1823</v>
      </c>
      <c r="E108" s="162"/>
      <c r="F108" s="162"/>
      <c r="G108" s="163"/>
      <c r="H108" s="163"/>
      <c r="I108" s="164" t="s">
        <v>498</v>
      </c>
      <c r="J108" s="143">
        <v>0.1170845466547951</v>
      </c>
      <c r="K108" s="141">
        <v>5.5189870129870111E-3</v>
      </c>
      <c r="L108" s="141">
        <v>7.6517789517632512E-3</v>
      </c>
      <c r="M108" s="141">
        <v>6.1182794011966279E-3</v>
      </c>
      <c r="N108" s="141">
        <v>6.0226612035244121E-3</v>
      </c>
      <c r="O108" s="141">
        <v>4.4187799473850188E-3</v>
      </c>
      <c r="P108" s="141">
        <v>4.4187799473850188E-3</v>
      </c>
      <c r="Q108" s="144">
        <v>4.4187799473850188E-3</v>
      </c>
      <c r="R108" s="143">
        <v>8.720721739720709E-2</v>
      </c>
      <c r="S108" s="141">
        <v>9.3633462872102599E-2</v>
      </c>
      <c r="T108" s="141">
        <v>0.10378318080002007</v>
      </c>
      <c r="U108" s="141">
        <v>0.12225743303228266</v>
      </c>
      <c r="V108" s="144">
        <v>0.14873639452681703</v>
      </c>
      <c r="W108" s="2921"/>
    </row>
    <row r="109" spans="1:23" s="98" customFormat="1" ht="15" customHeight="1">
      <c r="A109" s="99"/>
      <c r="B109" s="161"/>
      <c r="C109" s="162"/>
      <c r="D109" s="162" t="s">
        <v>1824</v>
      </c>
      <c r="E109" s="162"/>
      <c r="F109" s="162"/>
      <c r="G109" s="163"/>
      <c r="H109" s="163"/>
      <c r="I109" s="164" t="s">
        <v>498</v>
      </c>
      <c r="J109" s="143">
        <v>2.1531745095843022E-2</v>
      </c>
      <c r="K109" s="141">
        <v>3.0906327272727262E-2</v>
      </c>
      <c r="L109" s="141">
        <v>1.7189010139997393E-2</v>
      </c>
      <c r="M109" s="141">
        <v>0</v>
      </c>
      <c r="N109" s="141">
        <v>0.12802981258428453</v>
      </c>
      <c r="O109" s="141">
        <v>5.3688133949358924E-2</v>
      </c>
      <c r="P109" s="141">
        <v>5.3688133949358924E-2</v>
      </c>
      <c r="Q109" s="144">
        <v>5.3688133949358924E-2</v>
      </c>
      <c r="R109" s="143">
        <v>3.5298257142587247E-2</v>
      </c>
      <c r="S109" s="141">
        <v>2.4270509059344539E-2</v>
      </c>
      <c r="T109" s="141">
        <v>2.1553764884690109E-2</v>
      </c>
      <c r="U109" s="141">
        <v>8.1616692711596155E-3</v>
      </c>
      <c r="V109" s="144">
        <v>1.8912899396274316E-2</v>
      </c>
      <c r="W109" s="2921"/>
    </row>
    <row r="110" spans="1:23" s="98" customFormat="1" ht="15" customHeight="1">
      <c r="A110" s="99"/>
      <c r="B110" s="161"/>
      <c r="C110" s="116" t="s">
        <v>1825</v>
      </c>
      <c r="D110" s="116"/>
      <c r="E110" s="116"/>
      <c r="F110" s="116"/>
      <c r="G110" s="117"/>
      <c r="H110" s="117"/>
      <c r="I110" s="117"/>
      <c r="J110" s="713"/>
      <c r="K110" s="721"/>
      <c r="L110" s="721"/>
      <c r="M110" s="721"/>
      <c r="N110" s="721"/>
      <c r="O110" s="721"/>
      <c r="P110" s="721"/>
      <c r="Q110" s="715"/>
      <c r="R110" s="713"/>
      <c r="S110" s="721"/>
      <c r="T110" s="721"/>
      <c r="U110" s="721"/>
      <c r="V110" s="715"/>
      <c r="W110" s="2921"/>
    </row>
    <row r="111" spans="1:23" s="98" customFormat="1" ht="15" customHeight="1">
      <c r="A111" s="99"/>
      <c r="B111" s="161"/>
      <c r="C111" s="162"/>
      <c r="D111" s="162" t="s">
        <v>1810</v>
      </c>
      <c r="E111" s="162"/>
      <c r="F111" s="162"/>
      <c r="G111" s="163"/>
      <c r="H111" s="163"/>
      <c r="I111" s="164" t="s">
        <v>498</v>
      </c>
      <c r="J111" s="143">
        <v>0.51110164195234131</v>
      </c>
      <c r="K111" s="141">
        <v>0.70422274285714259</v>
      </c>
      <c r="L111" s="141">
        <v>0.4916959817203066</v>
      </c>
      <c r="M111" s="141">
        <v>0.39969994852067608</v>
      </c>
      <c r="N111" s="141">
        <v>0.56302186616537209</v>
      </c>
      <c r="O111" s="141">
        <v>0.28536961404532196</v>
      </c>
      <c r="P111" s="141">
        <v>0.46700000000000003</v>
      </c>
      <c r="Q111" s="144">
        <v>0.75</v>
      </c>
      <c r="R111" s="143">
        <v>0.87720246137811209</v>
      </c>
      <c r="S111" s="141">
        <v>0.86911007028310794</v>
      </c>
      <c r="T111" s="141">
        <v>0.86404445092961879</v>
      </c>
      <c r="U111" s="141">
        <v>0.86949444736194481</v>
      </c>
      <c r="V111" s="144">
        <v>0.75729227766033325</v>
      </c>
      <c r="W111" s="2921"/>
    </row>
    <row r="112" spans="1:23" s="98" customFormat="1" ht="15" customHeight="1">
      <c r="A112" s="99"/>
      <c r="B112" s="161"/>
      <c r="C112" s="162"/>
      <c r="D112" s="162" t="s">
        <v>1811</v>
      </c>
      <c r="E112" s="162"/>
      <c r="F112" s="162"/>
      <c r="G112" s="163"/>
      <c r="H112" s="163"/>
      <c r="I112" s="164" t="s">
        <v>498</v>
      </c>
      <c r="J112" s="143">
        <v>0</v>
      </c>
      <c r="K112" s="141">
        <v>0</v>
      </c>
      <c r="L112" s="141">
        <v>0</v>
      </c>
      <c r="M112" s="141">
        <v>0</v>
      </c>
      <c r="N112" s="141">
        <v>0</v>
      </c>
      <c r="O112" s="141">
        <v>0</v>
      </c>
      <c r="P112" s="141">
        <v>0</v>
      </c>
      <c r="Q112" s="144">
        <v>0</v>
      </c>
      <c r="R112" s="143">
        <v>0</v>
      </c>
      <c r="S112" s="141">
        <v>0</v>
      </c>
      <c r="T112" s="141">
        <v>0</v>
      </c>
      <c r="U112" s="141">
        <v>0</v>
      </c>
      <c r="V112" s="144">
        <v>0</v>
      </c>
      <c r="W112" s="2921"/>
    </row>
    <row r="113" spans="1:23" s="98" customFormat="1" ht="15" customHeight="1">
      <c r="A113" s="99"/>
      <c r="B113" s="161"/>
      <c r="C113" s="162"/>
      <c r="D113" s="162" t="s">
        <v>1812</v>
      </c>
      <c r="E113" s="162"/>
      <c r="F113" s="162"/>
      <c r="G113" s="163"/>
      <c r="H113" s="163"/>
      <c r="I113" s="164" t="s">
        <v>498</v>
      </c>
      <c r="J113" s="143">
        <v>0</v>
      </c>
      <c r="K113" s="141">
        <v>0</v>
      </c>
      <c r="L113" s="141">
        <v>0</v>
      </c>
      <c r="M113" s="141">
        <v>0</v>
      </c>
      <c r="N113" s="141">
        <v>0</v>
      </c>
      <c r="O113" s="141">
        <v>0</v>
      </c>
      <c r="P113" s="141">
        <v>0</v>
      </c>
      <c r="Q113" s="144">
        <v>0</v>
      </c>
      <c r="R113" s="143">
        <v>6.4176526657665975E-2</v>
      </c>
      <c r="S113" s="141">
        <v>6.3806318794250694E-2</v>
      </c>
      <c r="T113" s="141">
        <v>5.930618582585543E-2</v>
      </c>
      <c r="U113" s="141">
        <v>5.5496795268080774E-2</v>
      </c>
      <c r="V113" s="144">
        <v>5.061182131697485E-2</v>
      </c>
      <c r="W113" s="2921"/>
    </row>
    <row r="114" spans="1:23" s="98" customFormat="1" ht="15" customHeight="1">
      <c r="A114" s="99"/>
      <c r="B114" s="161"/>
      <c r="C114" s="162"/>
      <c r="D114" s="162" t="s">
        <v>1813</v>
      </c>
      <c r="E114" s="162"/>
      <c r="F114" s="162"/>
      <c r="G114" s="163"/>
      <c r="H114" s="163"/>
      <c r="I114" s="164" t="s">
        <v>498</v>
      </c>
      <c r="J114" s="143">
        <v>0.14404677048048231</v>
      </c>
      <c r="K114" s="141">
        <v>1.3245568831168827E-2</v>
      </c>
      <c r="L114" s="141">
        <v>4.5123057038206342E-2</v>
      </c>
      <c r="M114" s="141">
        <v>3.5099089188081134E-2</v>
      </c>
      <c r="N114" s="141">
        <v>6.8914865775022885E-2</v>
      </c>
      <c r="O114" s="141">
        <v>7.0537454223632889E-2</v>
      </c>
      <c r="P114" s="141">
        <v>7.0537454223632889E-2</v>
      </c>
      <c r="Q114" s="144">
        <v>7.0537454223632889E-2</v>
      </c>
      <c r="R114" s="143">
        <v>0.1373559403838405</v>
      </c>
      <c r="S114" s="141">
        <v>0.12452270135125118</v>
      </c>
      <c r="T114" s="141">
        <v>0.12341304105985899</v>
      </c>
      <c r="U114" s="141">
        <v>0.10119142237031097</v>
      </c>
      <c r="V114" s="144">
        <v>9.3801785354898581E-2</v>
      </c>
      <c r="W114" s="2921"/>
    </row>
    <row r="115" spans="1:23" s="98" customFormat="1" ht="15" customHeight="1">
      <c r="A115" s="99"/>
      <c r="B115" s="161"/>
      <c r="C115" s="162"/>
      <c r="D115" s="162" t="s">
        <v>1815</v>
      </c>
      <c r="E115" s="162"/>
      <c r="F115" s="162"/>
      <c r="G115" s="163"/>
      <c r="H115" s="163"/>
      <c r="I115" s="164" t="s">
        <v>498</v>
      </c>
      <c r="J115" s="143">
        <v>0</v>
      </c>
      <c r="K115" s="141">
        <v>0</v>
      </c>
      <c r="L115" s="141">
        <v>0</v>
      </c>
      <c r="M115" s="141">
        <v>0</v>
      </c>
      <c r="N115" s="141">
        <v>0</v>
      </c>
      <c r="O115" s="141">
        <v>0</v>
      </c>
      <c r="P115" s="141">
        <v>0</v>
      </c>
      <c r="Q115" s="144">
        <v>0</v>
      </c>
      <c r="R115" s="143"/>
      <c r="S115" s="141"/>
      <c r="T115" s="141"/>
      <c r="U115" s="141"/>
      <c r="V115" s="144"/>
      <c r="W115" s="2921"/>
    </row>
    <row r="116" spans="1:23" s="98" customFormat="1" ht="15" customHeight="1">
      <c r="A116" s="99"/>
      <c r="B116" s="161"/>
      <c r="C116" s="162"/>
      <c r="D116" s="162" t="s">
        <v>1816</v>
      </c>
      <c r="E116" s="162"/>
      <c r="F116" s="162"/>
      <c r="G116" s="163"/>
      <c r="H116" s="163"/>
      <c r="I116" s="164" t="s">
        <v>498</v>
      </c>
      <c r="J116" s="143">
        <v>6.5132391367424963E-4</v>
      </c>
      <c r="K116" s="141">
        <v>0</v>
      </c>
      <c r="L116" s="141">
        <v>5.6446467924368485E-3</v>
      </c>
      <c r="M116" s="141">
        <v>-4.6611778127762325E-3</v>
      </c>
      <c r="N116" s="141">
        <v>-4.493047968641143E-3</v>
      </c>
      <c r="O116" s="141">
        <v>3.8122721280000001E-2</v>
      </c>
      <c r="P116" s="141">
        <v>3.8122721280000001E-2</v>
      </c>
      <c r="Q116" s="144">
        <v>3.8122721280000001E-2</v>
      </c>
      <c r="R116" s="143">
        <v>0.16064062748155356</v>
      </c>
      <c r="S116" s="141">
        <v>0.15957215967316246</v>
      </c>
      <c r="T116" s="141">
        <v>0.15938706704841471</v>
      </c>
      <c r="U116" s="141">
        <v>0.16094683528371997</v>
      </c>
      <c r="V116" s="144">
        <v>0.15976765150586669</v>
      </c>
      <c r="W116" s="2921"/>
    </row>
    <row r="117" spans="1:23" s="98" customFormat="1" ht="15" customHeight="1">
      <c r="A117" s="99"/>
      <c r="B117" s="161"/>
      <c r="C117" s="162"/>
      <c r="D117" s="162" t="s">
        <v>1817</v>
      </c>
      <c r="E117" s="162"/>
      <c r="F117" s="162"/>
      <c r="G117" s="163"/>
      <c r="H117" s="163"/>
      <c r="I117" s="164" t="s">
        <v>498</v>
      </c>
      <c r="J117" s="143">
        <v>9.0244884980165474E-2</v>
      </c>
      <c r="K117" s="141">
        <v>0.19978732987012979</v>
      </c>
      <c r="L117" s="141">
        <v>0.16709766081083491</v>
      </c>
      <c r="M117" s="141">
        <v>0.18036349823412456</v>
      </c>
      <c r="N117" s="141">
        <v>0.29778315396303445</v>
      </c>
      <c r="O117" s="141">
        <v>0.51392460627826209</v>
      </c>
      <c r="P117" s="141">
        <v>0.51392460627826209</v>
      </c>
      <c r="Q117" s="144">
        <v>0.51392460627826209</v>
      </c>
      <c r="R117" s="143">
        <v>6.2949156992734845E-2</v>
      </c>
      <c r="S117" s="141">
        <v>6.0332150342450257E-2</v>
      </c>
      <c r="T117" s="141">
        <v>5.7941910568241488E-2</v>
      </c>
      <c r="U117" s="141">
        <v>5.6241515134232693E-2</v>
      </c>
      <c r="V117" s="144">
        <v>5.3451371052987195E-2</v>
      </c>
      <c r="W117" s="2921"/>
    </row>
    <row r="118" spans="1:23" s="98" customFormat="1" ht="15" customHeight="1">
      <c r="A118" s="99"/>
      <c r="B118" s="161"/>
      <c r="C118" s="162"/>
      <c r="D118" s="162" t="s">
        <v>1818</v>
      </c>
      <c r="E118" s="162"/>
      <c r="F118" s="162"/>
      <c r="G118" s="163"/>
      <c r="H118" s="163"/>
      <c r="I118" s="164" t="s">
        <v>498</v>
      </c>
      <c r="J118" s="143">
        <v>1.6112444275741402E-2</v>
      </c>
      <c r="K118" s="141">
        <v>0.14128606753246747</v>
      </c>
      <c r="L118" s="141">
        <v>0.12570858369234922</v>
      </c>
      <c r="M118" s="141">
        <v>0.2158611545991436</v>
      </c>
      <c r="N118" s="141">
        <v>0.20229259185411191</v>
      </c>
      <c r="O118" s="141">
        <v>0.67264578380353679</v>
      </c>
      <c r="P118" s="141">
        <v>0.67264578380353679</v>
      </c>
      <c r="Q118" s="144">
        <v>0.67264578380353679</v>
      </c>
      <c r="R118" s="143">
        <v>0</v>
      </c>
      <c r="S118" s="141">
        <v>0</v>
      </c>
      <c r="T118" s="141">
        <v>0</v>
      </c>
      <c r="U118" s="141">
        <v>0</v>
      </c>
      <c r="V118" s="144">
        <v>0</v>
      </c>
      <c r="W118" s="2921"/>
    </row>
    <row r="119" spans="1:23" s="98" customFormat="1" ht="15" customHeight="1">
      <c r="A119" s="99"/>
      <c r="B119" s="161"/>
      <c r="C119" s="116" t="s">
        <v>1826</v>
      </c>
      <c r="D119" s="116"/>
      <c r="E119" s="116"/>
      <c r="F119" s="116"/>
      <c r="G119" s="117"/>
      <c r="H119" s="117"/>
      <c r="I119" s="117"/>
      <c r="J119" s="713"/>
      <c r="K119" s="721"/>
      <c r="L119" s="721"/>
      <c r="M119" s="721"/>
      <c r="N119" s="721"/>
      <c r="O119" s="721"/>
      <c r="P119" s="721"/>
      <c r="Q119" s="715"/>
      <c r="R119" s="713"/>
      <c r="S119" s="721"/>
      <c r="T119" s="721"/>
      <c r="U119" s="721"/>
      <c r="V119" s="715"/>
      <c r="W119" s="2921"/>
    </row>
    <row r="120" spans="1:23" s="98" customFormat="1" ht="15" customHeight="1">
      <c r="A120" s="99"/>
      <c r="B120" s="161"/>
      <c r="C120" s="162"/>
      <c r="D120" s="162" t="s">
        <v>1827</v>
      </c>
      <c r="E120" s="162"/>
      <c r="F120" s="162"/>
      <c r="G120" s="163"/>
      <c r="H120" s="163"/>
      <c r="I120" s="164" t="s">
        <v>498</v>
      </c>
      <c r="J120" s="143">
        <v>0</v>
      </c>
      <c r="K120" s="141">
        <v>0</v>
      </c>
      <c r="L120" s="141">
        <v>0</v>
      </c>
      <c r="M120" s="141">
        <v>0</v>
      </c>
      <c r="N120" s="141">
        <v>0</v>
      </c>
      <c r="O120" s="141">
        <v>0</v>
      </c>
      <c r="P120" s="141">
        <v>0</v>
      </c>
      <c r="Q120" s="144">
        <v>0</v>
      </c>
      <c r="R120" s="143">
        <v>0</v>
      </c>
      <c r="S120" s="141">
        <v>0</v>
      </c>
      <c r="T120" s="141">
        <v>0</v>
      </c>
      <c r="U120" s="141">
        <v>0</v>
      </c>
      <c r="V120" s="144">
        <v>0</v>
      </c>
      <c r="W120" s="2921"/>
    </row>
    <row r="121" spans="1:23" s="98" customFormat="1" ht="15" customHeight="1">
      <c r="A121" s="99"/>
      <c r="B121" s="161"/>
      <c r="C121" s="162"/>
      <c r="D121" s="162" t="s">
        <v>1828</v>
      </c>
      <c r="E121" s="162"/>
      <c r="F121" s="162"/>
      <c r="G121" s="163"/>
      <c r="H121" s="163"/>
      <c r="I121" s="164" t="s">
        <v>498</v>
      </c>
      <c r="J121" s="143">
        <v>5.817866265769709E-2</v>
      </c>
      <c r="K121" s="141">
        <v>1.8764555844155838E-2</v>
      </c>
      <c r="L121" s="141">
        <v>4.0950104922062705E-2</v>
      </c>
      <c r="M121" s="141">
        <v>1.7722595182836375E-2</v>
      </c>
      <c r="N121" s="141">
        <v>1.6971875361210493E-2</v>
      </c>
      <c r="O121" s="141">
        <v>-1.0708974260071972E-2</v>
      </c>
      <c r="P121" s="141">
        <v>-1.0708974260071972E-2</v>
      </c>
      <c r="Q121" s="144">
        <v>-1.0708974260071972E-2</v>
      </c>
      <c r="R121" s="143">
        <v>0</v>
      </c>
      <c r="S121" s="141">
        <v>0</v>
      </c>
      <c r="T121" s="141">
        <v>1.1443086441283339</v>
      </c>
      <c r="U121" s="141">
        <v>0</v>
      </c>
      <c r="V121" s="144">
        <v>0</v>
      </c>
      <c r="W121" s="2921"/>
    </row>
    <row r="122" spans="1:23" s="98" customFormat="1" ht="15" customHeight="1">
      <c r="A122" s="99"/>
      <c r="B122" s="161"/>
      <c r="C122" s="162"/>
      <c r="D122" s="162" t="s">
        <v>1829</v>
      </c>
      <c r="E122" s="162"/>
      <c r="F122" s="162"/>
      <c r="G122" s="163"/>
      <c r="H122" s="163"/>
      <c r="I122" s="164" t="s">
        <v>498</v>
      </c>
      <c r="J122" s="143">
        <v>0</v>
      </c>
      <c r="K122" s="141">
        <v>0</v>
      </c>
      <c r="L122" s="141">
        <v>0</v>
      </c>
      <c r="M122" s="141">
        <v>0</v>
      </c>
      <c r="N122" s="141">
        <v>0</v>
      </c>
      <c r="O122" s="141">
        <v>0</v>
      </c>
      <c r="P122" s="141">
        <v>0</v>
      </c>
      <c r="Q122" s="144">
        <v>0</v>
      </c>
      <c r="R122" s="143">
        <v>0</v>
      </c>
      <c r="S122" s="141">
        <v>0</v>
      </c>
      <c r="T122" s="141">
        <v>0</v>
      </c>
      <c r="U122" s="141">
        <v>0</v>
      </c>
      <c r="V122" s="144">
        <v>0</v>
      </c>
      <c r="W122" s="2921"/>
    </row>
    <row r="123" spans="1:23" s="98" customFormat="1" ht="15" customHeight="1">
      <c r="A123" s="99"/>
      <c r="B123" s="161"/>
      <c r="C123" s="162"/>
      <c r="D123" s="162" t="s">
        <v>1817</v>
      </c>
      <c r="E123" s="162"/>
      <c r="F123" s="162"/>
      <c r="G123" s="163"/>
      <c r="H123" s="163"/>
      <c r="I123" s="164" t="s">
        <v>498</v>
      </c>
      <c r="J123" s="143">
        <v>3.4451347608429159E-3</v>
      </c>
      <c r="K123" s="141">
        <v>0</v>
      </c>
      <c r="L123" s="141">
        <v>0</v>
      </c>
      <c r="M123" s="141">
        <v>0</v>
      </c>
      <c r="N123" s="141">
        <v>0</v>
      </c>
      <c r="O123" s="141">
        <v>0</v>
      </c>
      <c r="P123" s="141">
        <v>0</v>
      </c>
      <c r="Q123" s="144">
        <v>0</v>
      </c>
      <c r="R123" s="143"/>
      <c r="S123" s="141"/>
      <c r="T123" s="141"/>
      <c r="U123" s="141"/>
      <c r="V123" s="144"/>
      <c r="W123" s="2921"/>
    </row>
    <row r="124" spans="1:23" s="98" customFormat="1" ht="15" customHeight="1">
      <c r="A124" s="99"/>
      <c r="B124" s="161"/>
      <c r="C124" s="162"/>
      <c r="D124" s="162" t="s">
        <v>1818</v>
      </c>
      <c r="E124" s="162"/>
      <c r="F124" s="162"/>
      <c r="G124" s="163"/>
      <c r="H124" s="163"/>
      <c r="I124" s="164" t="s">
        <v>498</v>
      </c>
      <c r="J124" s="143">
        <v>3.498495119324953E-3</v>
      </c>
      <c r="K124" s="141">
        <v>0</v>
      </c>
      <c r="L124" s="141">
        <v>0</v>
      </c>
      <c r="M124" s="141">
        <v>0</v>
      </c>
      <c r="N124" s="141">
        <v>0</v>
      </c>
      <c r="O124" s="141">
        <v>0</v>
      </c>
      <c r="P124" s="141">
        <v>0</v>
      </c>
      <c r="Q124" s="144">
        <v>0</v>
      </c>
      <c r="R124" s="143"/>
      <c r="S124" s="141"/>
      <c r="T124" s="141"/>
      <c r="U124" s="141"/>
      <c r="V124" s="144"/>
      <c r="W124" s="2921"/>
    </row>
    <row r="125" spans="1:23" s="98" customFormat="1" ht="15" customHeight="1">
      <c r="A125" s="99"/>
      <c r="B125" s="161"/>
      <c r="C125" s="116" t="s">
        <v>1830</v>
      </c>
      <c r="D125" s="116"/>
      <c r="E125" s="116"/>
      <c r="F125" s="116"/>
      <c r="G125" s="117"/>
      <c r="H125" s="117"/>
      <c r="I125" s="117"/>
      <c r="J125" s="713"/>
      <c r="K125" s="721"/>
      <c r="L125" s="721"/>
      <c r="M125" s="721"/>
      <c r="N125" s="721"/>
      <c r="O125" s="721"/>
      <c r="P125" s="721"/>
      <c r="Q125" s="715"/>
      <c r="R125" s="713"/>
      <c r="S125" s="721"/>
      <c r="T125" s="721"/>
      <c r="U125" s="721"/>
      <c r="V125" s="715"/>
      <c r="W125" s="2921"/>
    </row>
    <row r="126" spans="1:23" s="98" customFormat="1" ht="15" customHeight="1">
      <c r="A126" s="99"/>
      <c r="B126" s="161"/>
      <c r="C126" s="162"/>
      <c r="D126" s="162" t="s">
        <v>1831</v>
      </c>
      <c r="E126" s="162"/>
      <c r="F126" s="162"/>
      <c r="G126" s="163"/>
      <c r="H126" s="163"/>
      <c r="I126" s="164" t="s">
        <v>498</v>
      </c>
      <c r="J126" s="143">
        <v>0</v>
      </c>
      <c r="K126" s="141">
        <v>0</v>
      </c>
      <c r="L126" s="141">
        <v>0</v>
      </c>
      <c r="M126" s="141">
        <v>0</v>
      </c>
      <c r="N126" s="141">
        <v>0</v>
      </c>
      <c r="O126" s="141">
        <v>0</v>
      </c>
      <c r="P126" s="141">
        <v>0</v>
      </c>
      <c r="Q126" s="144">
        <v>0</v>
      </c>
      <c r="R126" s="143">
        <v>0.41089056872849727</v>
      </c>
      <c r="S126" s="141">
        <v>0.40852031082473306</v>
      </c>
      <c r="T126" s="141">
        <v>0.40756115424784051</v>
      </c>
      <c r="U126" s="141">
        <v>0.41157279568064181</v>
      </c>
      <c r="V126" s="144">
        <v>0.40761174989640642</v>
      </c>
      <c r="W126" s="2921"/>
    </row>
    <row r="127" spans="1:23" s="98" customFormat="1" ht="15" customHeight="1">
      <c r="A127" s="99"/>
      <c r="B127" s="161"/>
      <c r="C127" s="162"/>
      <c r="D127" s="162" t="s">
        <v>1832</v>
      </c>
      <c r="E127" s="162"/>
      <c r="F127" s="162"/>
      <c r="G127" s="163"/>
      <c r="H127" s="163"/>
      <c r="I127" s="164" t="s">
        <v>498</v>
      </c>
      <c r="J127" s="143">
        <v>0</v>
      </c>
      <c r="K127" s="141">
        <v>0</v>
      </c>
      <c r="L127" s="141">
        <v>0</v>
      </c>
      <c r="M127" s="141">
        <v>0</v>
      </c>
      <c r="N127" s="141">
        <v>0</v>
      </c>
      <c r="O127" s="141">
        <v>0</v>
      </c>
      <c r="P127" s="141">
        <v>0</v>
      </c>
      <c r="Q127" s="144">
        <v>0</v>
      </c>
      <c r="R127" s="143">
        <v>0</v>
      </c>
      <c r="S127" s="141">
        <v>0</v>
      </c>
      <c r="T127" s="141">
        <v>0</v>
      </c>
      <c r="U127" s="141">
        <v>0</v>
      </c>
      <c r="V127" s="144">
        <v>0</v>
      </c>
      <c r="W127" s="2921"/>
    </row>
    <row r="128" spans="1:23" s="98" customFormat="1" ht="15" customHeight="1">
      <c r="A128" s="99"/>
      <c r="B128" s="161"/>
      <c r="C128" s="162"/>
      <c r="D128" s="162" t="s">
        <v>1833</v>
      </c>
      <c r="E128" s="162"/>
      <c r="F128" s="162"/>
      <c r="G128" s="163"/>
      <c r="H128" s="163"/>
      <c r="I128" s="164" t="s">
        <v>498</v>
      </c>
      <c r="J128" s="143">
        <v>0</v>
      </c>
      <c r="K128" s="141">
        <v>0</v>
      </c>
      <c r="L128" s="141">
        <v>0</v>
      </c>
      <c r="M128" s="141">
        <v>0</v>
      </c>
      <c r="N128" s="141">
        <v>0</v>
      </c>
      <c r="O128" s="141">
        <v>0</v>
      </c>
      <c r="P128" s="141">
        <v>0</v>
      </c>
      <c r="Q128" s="144">
        <v>0</v>
      </c>
      <c r="R128" s="143">
        <v>0</v>
      </c>
      <c r="S128" s="141">
        <v>0</v>
      </c>
      <c r="T128" s="141">
        <v>0</v>
      </c>
      <c r="U128" s="141">
        <v>0</v>
      </c>
      <c r="V128" s="144">
        <v>0</v>
      </c>
      <c r="W128" s="2921"/>
    </row>
    <row r="129" spans="1:23" s="98" customFormat="1" ht="15" customHeight="1">
      <c r="A129" s="99"/>
      <c r="B129" s="161"/>
      <c r="C129" s="162"/>
      <c r="D129" s="162" t="s">
        <v>1834</v>
      </c>
      <c r="E129" s="162"/>
      <c r="F129" s="162"/>
      <c r="G129" s="163"/>
      <c r="H129" s="163"/>
      <c r="I129" s="164" t="s">
        <v>498</v>
      </c>
      <c r="J129" s="143">
        <v>0</v>
      </c>
      <c r="K129" s="141">
        <v>0</v>
      </c>
      <c r="L129" s="141">
        <v>0</v>
      </c>
      <c r="M129" s="141">
        <v>0</v>
      </c>
      <c r="N129" s="141">
        <v>0</v>
      </c>
      <c r="O129" s="141">
        <v>0</v>
      </c>
      <c r="P129" s="141">
        <v>0</v>
      </c>
      <c r="Q129" s="144">
        <v>0</v>
      </c>
      <c r="R129" s="143">
        <v>0</v>
      </c>
      <c r="S129" s="141">
        <v>0</v>
      </c>
      <c r="T129" s="141">
        <v>0</v>
      </c>
      <c r="U129" s="141">
        <v>0</v>
      </c>
      <c r="V129" s="144">
        <v>0</v>
      </c>
      <c r="W129" s="2921"/>
    </row>
    <row r="130" spans="1:23" s="98" customFormat="1" ht="15" customHeight="1">
      <c r="A130" s="99"/>
      <c r="B130" s="161"/>
      <c r="C130" s="162"/>
      <c r="D130" s="162" t="s">
        <v>1835</v>
      </c>
      <c r="E130" s="162"/>
      <c r="F130" s="162"/>
      <c r="G130" s="163"/>
      <c r="H130" s="163"/>
      <c r="I130" s="164" t="s">
        <v>498</v>
      </c>
      <c r="J130" s="143">
        <v>0</v>
      </c>
      <c r="K130" s="141">
        <v>0</v>
      </c>
      <c r="L130" s="141">
        <v>0</v>
      </c>
      <c r="M130" s="141">
        <v>0</v>
      </c>
      <c r="N130" s="141">
        <v>0</v>
      </c>
      <c r="O130" s="141">
        <v>0</v>
      </c>
      <c r="P130" s="141">
        <v>0</v>
      </c>
      <c r="Q130" s="144">
        <v>0</v>
      </c>
      <c r="R130" s="143">
        <v>0</v>
      </c>
      <c r="S130" s="141">
        <v>0</v>
      </c>
      <c r="T130" s="141">
        <v>0</v>
      </c>
      <c r="U130" s="141">
        <v>0</v>
      </c>
      <c r="V130" s="144">
        <v>0</v>
      </c>
      <c r="W130" s="2921"/>
    </row>
    <row r="131" spans="1:23" s="98" customFormat="1" ht="15" customHeight="1">
      <c r="A131" s="99"/>
      <c r="B131" s="161"/>
      <c r="C131" s="162"/>
      <c r="D131" s="162" t="s">
        <v>1836</v>
      </c>
      <c r="E131" s="162"/>
      <c r="F131" s="162"/>
      <c r="G131" s="163"/>
      <c r="H131" s="163"/>
      <c r="I131" s="164" t="s">
        <v>498</v>
      </c>
      <c r="J131" s="143">
        <v>0</v>
      </c>
      <c r="K131" s="141">
        <v>0</v>
      </c>
      <c r="L131" s="141">
        <v>0</v>
      </c>
      <c r="M131" s="141">
        <v>0</v>
      </c>
      <c r="N131" s="141">
        <v>0</v>
      </c>
      <c r="O131" s="141">
        <v>0</v>
      </c>
      <c r="P131" s="141">
        <v>0</v>
      </c>
      <c r="Q131" s="144">
        <v>0</v>
      </c>
      <c r="R131" s="143">
        <v>0.38577998865416702</v>
      </c>
      <c r="S131" s="141">
        <v>0.38340936097052031</v>
      </c>
      <c r="T131" s="141">
        <v>0.38270330280109188</v>
      </c>
      <c r="U131" s="141">
        <v>0.38646096267688007</v>
      </c>
      <c r="V131" s="144">
        <v>0.38328736203194808</v>
      </c>
      <c r="W131" s="2921"/>
    </row>
    <row r="132" spans="1:23" s="98" customFormat="1" ht="15" customHeight="1">
      <c r="A132" s="99"/>
      <c r="B132" s="161"/>
      <c r="C132" s="116" t="s">
        <v>66</v>
      </c>
      <c r="D132" s="116"/>
      <c r="E132" s="116"/>
      <c r="F132" s="116"/>
      <c r="G132" s="117"/>
      <c r="H132" s="117"/>
      <c r="I132" s="117"/>
      <c r="J132" s="713"/>
      <c r="K132" s="721"/>
      <c r="L132" s="721"/>
      <c r="M132" s="721"/>
      <c r="N132" s="721"/>
      <c r="O132" s="721"/>
      <c r="P132" s="721"/>
      <c r="Q132" s="715"/>
      <c r="R132" s="713"/>
      <c r="S132" s="721"/>
      <c r="T132" s="721"/>
      <c r="U132" s="721"/>
      <c r="V132" s="715"/>
      <c r="W132" s="2921"/>
    </row>
    <row r="133" spans="1:23" s="98" customFormat="1" ht="15" customHeight="1">
      <c r="A133" s="99"/>
      <c r="B133" s="161"/>
      <c r="C133" s="162"/>
      <c r="D133" s="162" t="s">
        <v>1837</v>
      </c>
      <c r="E133" s="162"/>
      <c r="F133" s="162"/>
      <c r="G133" s="163"/>
      <c r="H133" s="163"/>
      <c r="I133" s="164" t="s">
        <v>498</v>
      </c>
      <c r="J133" s="143">
        <v>0.62538957313526111</v>
      </c>
      <c r="K133" s="141">
        <v>0.25056201038961029</v>
      </c>
      <c r="L133" s="141">
        <v>0.64647782602712944</v>
      </c>
      <c r="M133" s="141">
        <v>0.48399757415216782</v>
      </c>
      <c r="N133" s="141">
        <v>0.36987886034139866</v>
      </c>
      <c r="O133" s="141">
        <v>0.92997341586385895</v>
      </c>
      <c r="P133" s="141">
        <v>1.75</v>
      </c>
      <c r="Q133" s="144">
        <v>2</v>
      </c>
      <c r="R133" s="143">
        <v>2.129663318834035</v>
      </c>
      <c r="S133" s="141">
        <v>2.1094049118623057</v>
      </c>
      <c r="T133" s="141">
        <v>2.0975503011150942</v>
      </c>
      <c r="U133" s="141">
        <v>2.110149785753114</v>
      </c>
      <c r="V133" s="144">
        <v>2.083906327326563</v>
      </c>
      <c r="W133" s="2921"/>
    </row>
    <row r="134" spans="1:23" s="98" customFormat="1" ht="15" customHeight="1">
      <c r="A134" s="99"/>
      <c r="B134" s="161"/>
      <c r="C134" s="162"/>
      <c r="D134" s="98" t="s">
        <v>1838</v>
      </c>
      <c r="E134" s="162"/>
      <c r="F134" s="162"/>
      <c r="G134" s="163"/>
      <c r="H134" s="163"/>
      <c r="I134" s="164" t="s">
        <v>498</v>
      </c>
      <c r="J134" s="143">
        <v>5.350069356303553E-2</v>
      </c>
      <c r="K134" s="141">
        <v>1.4349366233766227E-2</v>
      </c>
      <c r="L134" s="141">
        <v>6.4675220132072109E-2</v>
      </c>
      <c r="M134" s="141">
        <v>5.018126091392925E-2</v>
      </c>
      <c r="N134" s="141">
        <v>3.8827062687771127E-2</v>
      </c>
      <c r="O134" s="141">
        <v>9.7396207138948643E-2</v>
      </c>
      <c r="P134" s="141">
        <v>9.7396207138948643E-2</v>
      </c>
      <c r="Q134" s="144">
        <v>9.7396207138948643E-2</v>
      </c>
      <c r="R134" s="143">
        <v>0</v>
      </c>
      <c r="S134" s="141">
        <v>0</v>
      </c>
      <c r="T134" s="141">
        <v>0</v>
      </c>
      <c r="U134" s="141">
        <v>0</v>
      </c>
      <c r="V134" s="144">
        <v>0</v>
      </c>
      <c r="W134" s="2921"/>
    </row>
    <row r="135" spans="1:23" s="98" customFormat="1" ht="15" customHeight="1">
      <c r="A135" s="99"/>
      <c r="B135" s="161"/>
      <c r="C135" s="162"/>
      <c r="D135" s="169" t="s">
        <v>1839</v>
      </c>
      <c r="E135" s="162"/>
      <c r="F135" s="162"/>
      <c r="G135" s="163"/>
      <c r="H135" s="163"/>
      <c r="I135" s="164" t="s">
        <v>498</v>
      </c>
      <c r="J135" s="143">
        <v>0</v>
      </c>
      <c r="K135" s="141">
        <v>0</v>
      </c>
      <c r="L135" s="141">
        <v>0</v>
      </c>
      <c r="M135" s="141">
        <v>0</v>
      </c>
      <c r="N135" s="141">
        <v>0</v>
      </c>
      <c r="O135" s="141">
        <v>0</v>
      </c>
      <c r="P135" s="141">
        <v>0</v>
      </c>
      <c r="Q135" s="144">
        <v>0</v>
      </c>
      <c r="R135" s="143">
        <v>0</v>
      </c>
      <c r="S135" s="141">
        <v>0</v>
      </c>
      <c r="T135" s="141">
        <v>0</v>
      </c>
      <c r="U135" s="141">
        <v>0</v>
      </c>
      <c r="V135" s="144">
        <v>0</v>
      </c>
      <c r="W135" s="2921"/>
    </row>
    <row r="136" spans="1:23" s="98" customFormat="1" ht="15" customHeight="1">
      <c r="A136" s="99"/>
      <c r="B136" s="161"/>
      <c r="C136" s="162"/>
      <c r="D136" s="169" t="s">
        <v>1840</v>
      </c>
      <c r="E136" s="162"/>
      <c r="F136" s="162"/>
      <c r="G136" s="163"/>
      <c r="H136" s="163"/>
      <c r="I136" s="164" t="s">
        <v>498</v>
      </c>
      <c r="J136" s="143">
        <v>2.7139997095578096E-3</v>
      </c>
      <c r="K136" s="141">
        <v>0</v>
      </c>
      <c r="L136" s="141">
        <v>1.685105646151869E-4</v>
      </c>
      <c r="M136" s="141">
        <v>0</v>
      </c>
      <c r="N136" s="141">
        <v>4.8622851484291971E-4</v>
      </c>
      <c r="O136" s="141">
        <v>2.4611803844791123E-4</v>
      </c>
      <c r="P136" s="141">
        <v>2.4611803844791123E-4</v>
      </c>
      <c r="Q136" s="144">
        <v>2.4611803844791123E-4</v>
      </c>
      <c r="R136" s="143">
        <v>0</v>
      </c>
      <c r="S136" s="141">
        <v>0</v>
      </c>
      <c r="T136" s="141">
        <v>0</v>
      </c>
      <c r="U136" s="141">
        <v>0</v>
      </c>
      <c r="V136" s="144">
        <v>0</v>
      </c>
      <c r="W136" s="2921"/>
    </row>
    <row r="137" spans="1:23" s="98" customFormat="1" ht="15" customHeight="1">
      <c r="A137" s="99"/>
      <c r="B137" s="161"/>
      <c r="C137" s="162"/>
      <c r="D137" s="169" t="s">
        <v>1841</v>
      </c>
      <c r="E137" s="162"/>
      <c r="F137" s="162"/>
      <c r="G137" s="163"/>
      <c r="H137" s="163"/>
      <c r="I137" s="164" t="s">
        <v>498</v>
      </c>
      <c r="J137" s="143">
        <v>0</v>
      </c>
      <c r="K137" s="141">
        <v>0</v>
      </c>
      <c r="L137" s="141">
        <v>0</v>
      </c>
      <c r="M137" s="141">
        <v>0</v>
      </c>
      <c r="N137" s="141">
        <v>0</v>
      </c>
      <c r="O137" s="141">
        <v>0</v>
      </c>
      <c r="P137" s="141">
        <v>0</v>
      </c>
      <c r="Q137" s="144">
        <v>0</v>
      </c>
      <c r="R137" s="143">
        <v>0</v>
      </c>
      <c r="S137" s="141">
        <v>0</v>
      </c>
      <c r="T137" s="141">
        <v>0</v>
      </c>
      <c r="U137" s="141">
        <v>0</v>
      </c>
      <c r="V137" s="144">
        <v>0</v>
      </c>
      <c r="W137" s="2921"/>
    </row>
    <row r="138" spans="1:23" s="98" customFormat="1" ht="15" customHeight="1">
      <c r="A138" s="99"/>
      <c r="B138" s="161"/>
      <c r="C138" s="116" t="s">
        <v>1842</v>
      </c>
      <c r="D138" s="116"/>
      <c r="E138" s="116"/>
      <c r="F138" s="116"/>
      <c r="G138" s="117"/>
      <c r="H138" s="117"/>
      <c r="I138" s="117"/>
      <c r="J138" s="713"/>
      <c r="K138" s="721"/>
      <c r="L138" s="721"/>
      <c r="M138" s="721"/>
      <c r="N138" s="721"/>
      <c r="O138" s="721"/>
      <c r="P138" s="721"/>
      <c r="Q138" s="715"/>
      <c r="R138" s="713"/>
      <c r="S138" s="721"/>
      <c r="T138" s="721"/>
      <c r="U138" s="721"/>
      <c r="V138" s="715"/>
      <c r="W138" s="2921"/>
    </row>
    <row r="139" spans="1:23" s="98" customFormat="1" ht="15" customHeight="1">
      <c r="A139" s="99"/>
      <c r="B139" s="161"/>
      <c r="C139" s="162"/>
      <c r="D139" s="162" t="s">
        <v>1843</v>
      </c>
      <c r="E139" s="162"/>
      <c r="F139" s="162"/>
      <c r="G139" s="163"/>
      <c r="H139" s="163"/>
      <c r="I139" s="164" t="s">
        <v>498</v>
      </c>
      <c r="J139" s="143">
        <v>0</v>
      </c>
      <c r="K139" s="141">
        <v>0</v>
      </c>
      <c r="L139" s="141">
        <v>0</v>
      </c>
      <c r="M139" s="141">
        <v>0</v>
      </c>
      <c r="N139" s="141">
        <v>0</v>
      </c>
      <c r="O139" s="141">
        <v>0</v>
      </c>
      <c r="P139" s="141">
        <v>0</v>
      </c>
      <c r="Q139" s="144">
        <v>0</v>
      </c>
      <c r="R139" s="143">
        <v>0</v>
      </c>
      <c r="S139" s="141">
        <v>0</v>
      </c>
      <c r="T139" s="141">
        <v>0</v>
      </c>
      <c r="U139" s="141">
        <v>0</v>
      </c>
      <c r="V139" s="144">
        <v>0</v>
      </c>
      <c r="W139" s="2921"/>
    </row>
    <row r="140" spans="1:23" s="98" customFormat="1" ht="15" customHeight="1">
      <c r="A140" s="99"/>
      <c r="B140" s="161"/>
      <c r="C140" s="162"/>
      <c r="D140" s="162" t="s">
        <v>1844</v>
      </c>
      <c r="E140" s="162"/>
      <c r="F140" s="162"/>
      <c r="G140" s="163"/>
      <c r="H140" s="163"/>
      <c r="I140" s="164" t="s">
        <v>498</v>
      </c>
      <c r="J140" s="143">
        <v>0</v>
      </c>
      <c r="K140" s="141">
        <v>0</v>
      </c>
      <c r="L140" s="141">
        <v>0</v>
      </c>
      <c r="M140" s="141">
        <v>0</v>
      </c>
      <c r="N140" s="141">
        <v>0</v>
      </c>
      <c r="O140" s="141">
        <v>0</v>
      </c>
      <c r="P140" s="141">
        <v>0</v>
      </c>
      <c r="Q140" s="144">
        <v>0</v>
      </c>
      <c r="R140" s="143">
        <v>3.4339411444623462E-4</v>
      </c>
      <c r="S140" s="141">
        <v>3.4141321569649934E-4</v>
      </c>
      <c r="T140" s="141">
        <v>3.4061161851125241E-4</v>
      </c>
      <c r="U140" s="141">
        <v>3.4396427287262054E-4</v>
      </c>
      <c r="V140" s="144">
        <v>3.4065390287905348E-4</v>
      </c>
      <c r="W140" s="2921"/>
    </row>
    <row r="141" spans="1:23" s="98" customFormat="1" ht="15" customHeight="1">
      <c r="A141" s="99"/>
      <c r="B141" s="161"/>
      <c r="C141" s="116" t="s">
        <v>1845</v>
      </c>
      <c r="D141" s="116"/>
      <c r="E141" s="116"/>
      <c r="F141" s="116"/>
      <c r="G141" s="117"/>
      <c r="H141" s="117"/>
      <c r="I141" s="117"/>
      <c r="J141" s="713"/>
      <c r="K141" s="721"/>
      <c r="L141" s="721"/>
      <c r="M141" s="721"/>
      <c r="N141" s="721"/>
      <c r="O141" s="721"/>
      <c r="P141" s="721"/>
      <c r="Q141" s="715"/>
      <c r="R141" s="713"/>
      <c r="S141" s="721"/>
      <c r="T141" s="721"/>
      <c r="U141" s="721"/>
      <c r="V141" s="715"/>
      <c r="W141" s="2921"/>
    </row>
    <row r="142" spans="1:23" s="98" customFormat="1" ht="15" customHeight="1">
      <c r="A142" s="99"/>
      <c r="B142" s="161"/>
      <c r="C142" s="162"/>
      <c r="D142" s="162" t="s">
        <v>1846</v>
      </c>
      <c r="E142" s="162"/>
      <c r="F142" s="162"/>
      <c r="G142" s="163"/>
      <c r="H142" s="163"/>
      <c r="I142" s="164" t="s">
        <v>498</v>
      </c>
      <c r="J142" s="143">
        <v>0</v>
      </c>
      <c r="K142" s="141">
        <v>0</v>
      </c>
      <c r="L142" s="141">
        <v>0</v>
      </c>
      <c r="M142" s="141">
        <v>0</v>
      </c>
      <c r="N142" s="141">
        <v>0</v>
      </c>
      <c r="O142" s="141">
        <v>0</v>
      </c>
      <c r="P142" s="141">
        <v>0</v>
      </c>
      <c r="Q142" s="144">
        <v>0</v>
      </c>
      <c r="R142" s="143">
        <v>0</v>
      </c>
      <c r="S142" s="141">
        <v>0</v>
      </c>
      <c r="T142" s="141">
        <v>0</v>
      </c>
      <c r="U142" s="141">
        <v>0</v>
      </c>
      <c r="V142" s="144">
        <v>0</v>
      </c>
      <c r="W142" s="2921"/>
    </row>
    <row r="143" spans="1:23" s="98" customFormat="1" ht="15" customHeight="1">
      <c r="A143" s="99"/>
      <c r="B143" s="161"/>
      <c r="C143" s="162"/>
      <c r="D143" s="162" t="s">
        <v>1847</v>
      </c>
      <c r="E143" s="162"/>
      <c r="F143" s="162"/>
      <c r="G143" s="163"/>
      <c r="H143" s="163"/>
      <c r="I143" s="164" t="s">
        <v>498</v>
      </c>
      <c r="J143" s="143">
        <v>0</v>
      </c>
      <c r="K143" s="141">
        <v>0</v>
      </c>
      <c r="L143" s="141">
        <v>0</v>
      </c>
      <c r="M143" s="141">
        <v>0</v>
      </c>
      <c r="N143" s="141">
        <v>0</v>
      </c>
      <c r="O143" s="141">
        <v>0</v>
      </c>
      <c r="P143" s="141">
        <v>0</v>
      </c>
      <c r="Q143" s="144">
        <v>0</v>
      </c>
      <c r="R143" s="143">
        <v>0</v>
      </c>
      <c r="S143" s="141">
        <v>0</v>
      </c>
      <c r="T143" s="141">
        <v>0</v>
      </c>
      <c r="U143" s="141">
        <v>0</v>
      </c>
      <c r="V143" s="144">
        <v>0</v>
      </c>
      <c r="W143" s="2921"/>
    </row>
    <row r="144" spans="1:23" s="98" customFormat="1" ht="15" customHeight="1">
      <c r="A144" s="99"/>
      <c r="B144" s="161"/>
      <c r="C144" s="162"/>
      <c r="D144" s="162" t="s">
        <v>1848</v>
      </c>
      <c r="E144" s="162"/>
      <c r="F144" s="162"/>
      <c r="G144" s="163"/>
      <c r="H144" s="163"/>
      <c r="I144" s="164" t="s">
        <v>498</v>
      </c>
      <c r="J144" s="143">
        <v>0</v>
      </c>
      <c r="K144" s="141">
        <v>0</v>
      </c>
      <c r="L144" s="141">
        <v>0</v>
      </c>
      <c r="M144" s="141">
        <v>0</v>
      </c>
      <c r="N144" s="141">
        <v>0</v>
      </c>
      <c r="O144" s="141">
        <v>0</v>
      </c>
      <c r="P144" s="141">
        <v>0</v>
      </c>
      <c r="Q144" s="144">
        <v>0</v>
      </c>
      <c r="R144" s="143">
        <v>0</v>
      </c>
      <c r="S144" s="141">
        <v>0</v>
      </c>
      <c r="T144" s="141">
        <v>0</v>
      </c>
      <c r="U144" s="141">
        <v>0</v>
      </c>
      <c r="V144" s="144">
        <v>0</v>
      </c>
      <c r="W144" s="2921"/>
    </row>
    <row r="145" spans="1:23" s="98" customFormat="1" ht="15" customHeight="1">
      <c r="A145" s="99"/>
      <c r="B145" s="161"/>
      <c r="C145" s="162"/>
      <c r="D145" s="162" t="s">
        <v>1849</v>
      </c>
      <c r="E145" s="162"/>
      <c r="F145" s="162"/>
      <c r="G145" s="163"/>
      <c r="H145" s="163"/>
      <c r="I145" s="164" t="s">
        <v>498</v>
      </c>
      <c r="J145" s="143">
        <v>0</v>
      </c>
      <c r="K145" s="141">
        <v>0</v>
      </c>
      <c r="L145" s="141">
        <v>0</v>
      </c>
      <c r="M145" s="141">
        <v>0</v>
      </c>
      <c r="N145" s="141">
        <v>0</v>
      </c>
      <c r="O145" s="141">
        <v>0</v>
      </c>
      <c r="P145" s="141">
        <v>0</v>
      </c>
      <c r="Q145" s="144">
        <v>0</v>
      </c>
      <c r="R145" s="143">
        <v>0</v>
      </c>
      <c r="S145" s="141">
        <v>0</v>
      </c>
      <c r="T145" s="141">
        <v>0</v>
      </c>
      <c r="U145" s="141">
        <v>0</v>
      </c>
      <c r="V145" s="144">
        <v>0</v>
      </c>
      <c r="W145" s="2921"/>
    </row>
    <row r="146" spans="1:23" s="98" customFormat="1" ht="15" customHeight="1">
      <c r="A146" s="99"/>
      <c r="B146" s="161"/>
      <c r="C146" s="116" t="s">
        <v>1862</v>
      </c>
      <c r="D146" s="116"/>
      <c r="E146" s="116"/>
      <c r="F146" s="116"/>
      <c r="G146" s="117"/>
      <c r="H146" s="117"/>
      <c r="I146" s="117"/>
      <c r="J146" s="713"/>
      <c r="K146" s="721"/>
      <c r="L146" s="721"/>
      <c r="M146" s="721"/>
      <c r="N146" s="721"/>
      <c r="O146" s="721"/>
      <c r="P146" s="721"/>
      <c r="Q146" s="715"/>
      <c r="R146" s="713"/>
      <c r="S146" s="721"/>
      <c r="T146" s="721"/>
      <c r="U146" s="721"/>
      <c r="V146" s="715"/>
      <c r="W146" s="2921"/>
    </row>
    <row r="147" spans="1:23" s="98" customFormat="1" ht="15" customHeight="1">
      <c r="A147" s="99"/>
      <c r="B147" s="161"/>
      <c r="C147" s="162"/>
      <c r="D147" s="162" t="s">
        <v>1851</v>
      </c>
      <c r="E147" s="162"/>
      <c r="F147" s="162"/>
      <c r="G147" s="163"/>
      <c r="H147" s="163"/>
      <c r="I147" s="164" t="s">
        <v>498</v>
      </c>
      <c r="J147" s="143">
        <v>0</v>
      </c>
      <c r="K147" s="141">
        <v>0</v>
      </c>
      <c r="L147" s="141">
        <v>0</v>
      </c>
      <c r="M147" s="141">
        <v>0</v>
      </c>
      <c r="N147" s="141">
        <v>0</v>
      </c>
      <c r="O147" s="141">
        <v>0</v>
      </c>
      <c r="P147" s="141">
        <v>0</v>
      </c>
      <c r="Q147" s="144">
        <v>0</v>
      </c>
      <c r="R147" s="143">
        <v>0</v>
      </c>
      <c r="S147" s="141">
        <v>0</v>
      </c>
      <c r="T147" s="141">
        <v>0</v>
      </c>
      <c r="U147" s="141">
        <v>0</v>
      </c>
      <c r="V147" s="144">
        <v>0</v>
      </c>
      <c r="W147" s="2921"/>
    </row>
    <row r="148" spans="1:23" s="98" customFormat="1" ht="15" customHeight="1">
      <c r="A148" s="99"/>
      <c r="B148" s="161"/>
      <c r="C148" s="162"/>
      <c r="D148" s="162" t="s">
        <v>1852</v>
      </c>
      <c r="E148" s="162"/>
      <c r="F148" s="162"/>
      <c r="G148" s="163"/>
      <c r="H148" s="163"/>
      <c r="I148" s="164" t="s">
        <v>498</v>
      </c>
      <c r="J148" s="143">
        <v>4.3798942093408481E-3</v>
      </c>
      <c r="K148" s="141">
        <v>-2.2075948051948043E-3</v>
      </c>
      <c r="L148" s="141">
        <v>2.8083081134215593E-2</v>
      </c>
      <c r="M148" s="141">
        <v>1.5529350033057597E-2</v>
      </c>
      <c r="N148" s="141">
        <v>2.2035423925967954E-2</v>
      </c>
      <c r="O148" s="141">
        <v>1.5E-3</v>
      </c>
      <c r="P148" s="141">
        <v>1.5E-3</v>
      </c>
      <c r="Q148" s="144">
        <v>1.5E-3</v>
      </c>
      <c r="R148" s="143">
        <v>7.4273831553736749E-2</v>
      </c>
      <c r="S148" s="141">
        <v>7.380053191761661E-2</v>
      </c>
      <c r="T148" s="141">
        <v>7.368720776839513E-2</v>
      </c>
      <c r="U148" s="141">
        <v>7.4409640742807356E-2</v>
      </c>
      <c r="V148" s="144">
        <v>7.3810459924022701E-2</v>
      </c>
      <c r="W148" s="2921"/>
    </row>
    <row r="149" spans="1:23" s="98" customFormat="1" ht="15" customHeight="1">
      <c r="A149" s="99"/>
      <c r="B149" s="161"/>
      <c r="C149" s="162"/>
      <c r="D149" s="162" t="s">
        <v>1853</v>
      </c>
      <c r="E149" s="162"/>
      <c r="F149" s="162"/>
      <c r="G149" s="163"/>
      <c r="H149" s="163"/>
      <c r="I149" s="164" t="s">
        <v>498</v>
      </c>
      <c r="J149" s="143">
        <v>0</v>
      </c>
      <c r="K149" s="141">
        <v>0</v>
      </c>
      <c r="L149" s="141">
        <v>2.9816334057599675E-2</v>
      </c>
      <c r="M149" s="141">
        <v>0</v>
      </c>
      <c r="N149" s="141">
        <v>0</v>
      </c>
      <c r="O149" s="141">
        <v>0</v>
      </c>
      <c r="P149" s="141">
        <v>0</v>
      </c>
      <c r="Q149" s="144">
        <v>0</v>
      </c>
      <c r="R149" s="143">
        <v>0</v>
      </c>
      <c r="S149" s="141">
        <v>0</v>
      </c>
      <c r="T149" s="141">
        <v>0</v>
      </c>
      <c r="U149" s="141">
        <v>0</v>
      </c>
      <c r="V149" s="144">
        <v>0</v>
      </c>
      <c r="W149" s="2921"/>
    </row>
    <row r="150" spans="1:23" s="98" customFormat="1" ht="15" customHeight="1">
      <c r="A150" s="99"/>
      <c r="B150" s="161"/>
      <c r="C150" s="162"/>
      <c r="D150" s="162" t="s">
        <v>1854</v>
      </c>
      <c r="E150" s="162"/>
      <c r="F150" s="162"/>
      <c r="G150" s="163"/>
      <c r="H150" s="163"/>
      <c r="I150" s="164" t="s">
        <v>498</v>
      </c>
      <c r="J150" s="143">
        <v>0</v>
      </c>
      <c r="K150" s="141">
        <v>0</v>
      </c>
      <c r="L150" s="141">
        <v>0</v>
      </c>
      <c r="M150" s="141">
        <v>0</v>
      </c>
      <c r="N150" s="141">
        <v>0</v>
      </c>
      <c r="O150" s="141">
        <v>0</v>
      </c>
      <c r="P150" s="141">
        <v>0</v>
      </c>
      <c r="Q150" s="144">
        <v>0</v>
      </c>
      <c r="R150" s="143">
        <v>0</v>
      </c>
      <c r="S150" s="141">
        <v>0</v>
      </c>
      <c r="T150" s="141">
        <v>0</v>
      </c>
      <c r="U150" s="141">
        <v>0</v>
      </c>
      <c r="V150" s="144">
        <v>0</v>
      </c>
      <c r="W150" s="2921"/>
    </row>
    <row r="151" spans="1:23" s="98" customFormat="1" ht="15" customHeight="1">
      <c r="A151" s="99"/>
      <c r="B151" s="161"/>
      <c r="C151" s="186" t="s">
        <v>1862</v>
      </c>
      <c r="D151" s="116"/>
      <c r="E151" s="116"/>
      <c r="F151" s="116"/>
      <c r="G151" s="117"/>
      <c r="H151" s="117"/>
      <c r="I151" s="117"/>
      <c r="J151" s="713"/>
      <c r="K151" s="721"/>
      <c r="L151" s="721"/>
      <c r="M151" s="721"/>
      <c r="N151" s="721"/>
      <c r="O151" s="721"/>
      <c r="P151" s="721"/>
      <c r="Q151" s="715"/>
      <c r="R151" s="713"/>
      <c r="S151" s="721"/>
      <c r="T151" s="721"/>
      <c r="U151" s="721"/>
      <c r="V151" s="715"/>
      <c r="W151" s="2921"/>
    </row>
    <row r="152" spans="1:23" s="98" customFormat="1" ht="15" customHeight="1">
      <c r="A152" s="99"/>
      <c r="B152" s="161"/>
      <c r="C152" s="162"/>
      <c r="D152" s="301" t="s">
        <v>85</v>
      </c>
      <c r="E152" s="162"/>
      <c r="F152" s="301"/>
      <c r="G152" s="720" t="s">
        <v>1856</v>
      </c>
      <c r="H152" s="163"/>
      <c r="I152" s="164" t="s">
        <v>498</v>
      </c>
      <c r="J152" s="143">
        <v>0</v>
      </c>
      <c r="K152" s="141">
        <v>0</v>
      </c>
      <c r="L152" s="141">
        <v>0</v>
      </c>
      <c r="M152" s="141">
        <v>0</v>
      </c>
      <c r="N152" s="141">
        <v>0</v>
      </c>
      <c r="O152" s="141">
        <v>0</v>
      </c>
      <c r="P152" s="141">
        <v>0</v>
      </c>
      <c r="Q152" s="144">
        <v>0</v>
      </c>
      <c r="R152" s="143">
        <v>0</v>
      </c>
      <c r="S152" s="141">
        <v>0</v>
      </c>
      <c r="T152" s="141">
        <v>0</v>
      </c>
      <c r="U152" s="141">
        <v>0</v>
      </c>
      <c r="V152" s="144">
        <v>0</v>
      </c>
      <c r="W152" s="2921"/>
    </row>
    <row r="153" spans="1:23" s="98" customFormat="1" ht="15" customHeight="1">
      <c r="A153" s="99"/>
      <c r="B153" s="161"/>
      <c r="C153" s="162"/>
      <c r="D153" s="301" t="s">
        <v>85</v>
      </c>
      <c r="E153" s="162"/>
      <c r="F153" s="301"/>
      <c r="G153" s="720" t="s">
        <v>1857</v>
      </c>
      <c r="H153" s="163"/>
      <c r="I153" s="164" t="s">
        <v>498</v>
      </c>
      <c r="J153" s="143">
        <v>0.15426443093771475</v>
      </c>
      <c r="K153" s="141">
        <v>0.38964048311688299</v>
      </c>
      <c r="L153" s="141">
        <v>0.2819808773518761</v>
      </c>
      <c r="M153" s="141">
        <v>0.2882584799388142</v>
      </c>
      <c r="N153" s="141">
        <v>0.24046728745241347</v>
      </c>
      <c r="O153" s="141">
        <v>0.24279800766144871</v>
      </c>
      <c r="P153" s="141">
        <v>0.24279800766144871</v>
      </c>
      <c r="Q153" s="144">
        <v>0.24279800766144871</v>
      </c>
      <c r="R153" s="143">
        <v>0.30596358292921672</v>
      </c>
      <c r="S153" s="141">
        <v>0.30387586200112593</v>
      </c>
      <c r="T153" s="141">
        <v>0.30359385854459298</v>
      </c>
      <c r="U153" s="141">
        <v>0.30656146672624129</v>
      </c>
      <c r="V153" s="144">
        <v>0.30445274925676635</v>
      </c>
      <c r="W153" s="2921"/>
    </row>
    <row r="154" spans="1:23" s="98" customFormat="1" ht="15" customHeight="1">
      <c r="A154" s="99"/>
      <c r="B154" s="161"/>
      <c r="C154" s="162"/>
      <c r="D154" s="162" t="s">
        <v>85</v>
      </c>
      <c r="E154" s="162"/>
      <c r="F154" s="162"/>
      <c r="G154" s="720" t="s">
        <v>1858</v>
      </c>
      <c r="H154" s="163"/>
      <c r="I154" s="164" t="s">
        <v>498</v>
      </c>
      <c r="J154" s="143">
        <v>0</v>
      </c>
      <c r="K154" s="141">
        <v>0</v>
      </c>
      <c r="L154" s="141">
        <v>5.3509284337658984E-4</v>
      </c>
      <c r="M154" s="141">
        <v>1.896054393489235E-3</v>
      </c>
      <c r="N154" s="141">
        <v>1.9245757040396071E-4</v>
      </c>
      <c r="O154" s="141">
        <v>6.6176097584601603E-4</v>
      </c>
      <c r="P154" s="141">
        <v>6.6176097584601603E-4</v>
      </c>
      <c r="Q154" s="144">
        <v>6.6176097584601603E-4</v>
      </c>
      <c r="R154" s="143">
        <v>0</v>
      </c>
      <c r="S154" s="141">
        <v>0</v>
      </c>
      <c r="T154" s="141">
        <v>0</v>
      </c>
      <c r="U154" s="141">
        <v>0</v>
      </c>
      <c r="V154" s="144">
        <v>0</v>
      </c>
      <c r="W154" s="2921"/>
    </row>
    <row r="155" spans="1:23" s="98" customFormat="1" ht="15" customHeight="1">
      <c r="A155" s="99"/>
      <c r="B155" s="161"/>
      <c r="C155" s="162"/>
      <c r="D155" s="301" t="s">
        <v>85</v>
      </c>
      <c r="E155" s="162"/>
      <c r="F155" s="301"/>
      <c r="G155" s="720" t="s">
        <v>1859</v>
      </c>
      <c r="H155" s="163"/>
      <c r="I155" s="164" t="s">
        <v>498</v>
      </c>
      <c r="J155" s="143">
        <v>0</v>
      </c>
      <c r="K155" s="141">
        <v>2.8698732467532455E-2</v>
      </c>
      <c r="L155" s="141">
        <v>-3.1262952257946799E-2</v>
      </c>
      <c r="M155" s="141">
        <v>2.9847238485690125E-2</v>
      </c>
      <c r="N155" s="141">
        <v>6.6634926228992961E-2</v>
      </c>
      <c r="O155" s="141">
        <v>2.5773160934448199E-2</v>
      </c>
      <c r="P155" s="141">
        <v>2.5773160934448199E-2</v>
      </c>
      <c r="Q155" s="144">
        <v>2.5773160934448199E-2</v>
      </c>
      <c r="R155" s="143">
        <v>0.12010082759398827</v>
      </c>
      <c r="S155" s="141">
        <v>0.11928132806777507</v>
      </c>
      <c r="T155" s="141">
        <v>0.11917063238239405</v>
      </c>
      <c r="U155" s="141">
        <v>0.12033551676235345</v>
      </c>
      <c r="V155" s="144">
        <v>0.11950777539908006</v>
      </c>
      <c r="W155" s="2921"/>
    </row>
    <row r="156" spans="1:23" s="98" customFormat="1" ht="15" customHeight="1">
      <c r="A156" s="99"/>
      <c r="B156" s="161"/>
      <c r="C156" s="162"/>
      <c r="D156" s="162" t="s">
        <v>85</v>
      </c>
      <c r="E156" s="162"/>
      <c r="F156" s="162"/>
      <c r="G156" s="720" t="s">
        <v>1860</v>
      </c>
      <c r="H156" s="163"/>
      <c r="I156" s="164" t="s">
        <v>498</v>
      </c>
      <c r="J156" s="143">
        <v>0</v>
      </c>
      <c r="K156" s="141"/>
      <c r="L156" s="141">
        <v>0</v>
      </c>
      <c r="M156" s="141">
        <v>0</v>
      </c>
      <c r="N156" s="141">
        <v>0</v>
      </c>
      <c r="O156" s="141">
        <v>0</v>
      </c>
      <c r="P156" s="141">
        <v>0</v>
      </c>
      <c r="Q156" s="144">
        <v>0</v>
      </c>
      <c r="R156" s="143">
        <v>0.13148373545432976</v>
      </c>
      <c r="S156" s="141">
        <v>0.13058656545918343</v>
      </c>
      <c r="T156" s="141">
        <v>0.13046537826585469</v>
      </c>
      <c r="U156" s="141">
        <v>0.131740667976324</v>
      </c>
      <c r="V156" s="144">
        <v>0.13083447499985953</v>
      </c>
      <c r="W156" s="2921"/>
    </row>
    <row r="157" spans="1:23" s="98" customFormat="1" ht="15" customHeight="1">
      <c r="A157" s="99"/>
      <c r="B157" s="161"/>
      <c r="C157" s="162"/>
      <c r="D157" s="162" t="s">
        <v>85</v>
      </c>
      <c r="E157" s="162"/>
      <c r="F157" s="162"/>
      <c r="G157" s="720" t="s">
        <v>1861</v>
      </c>
      <c r="H157" s="163"/>
      <c r="I157" s="164" t="s">
        <v>498</v>
      </c>
      <c r="J157" s="143">
        <v>0</v>
      </c>
      <c r="K157" s="141">
        <v>0.15342783896103893</v>
      </c>
      <c r="L157" s="141">
        <v>0.11596172825034051</v>
      </c>
      <c r="M157" s="141"/>
      <c r="N157" s="141"/>
      <c r="O157" s="141">
        <v>0</v>
      </c>
      <c r="P157" s="141">
        <v>0</v>
      </c>
      <c r="Q157" s="144">
        <v>0</v>
      </c>
      <c r="R157" s="143">
        <v>2.4648682488603479E-2</v>
      </c>
      <c r="S157" s="141">
        <v>2.4506494424597097E-2</v>
      </c>
      <c r="T157" s="141">
        <v>2.444895612189563E-2</v>
      </c>
      <c r="U157" s="141">
        <v>2.4689608216299341E-2</v>
      </c>
      <c r="V157" s="144">
        <v>2.4451991275709611E-2</v>
      </c>
      <c r="W157" s="2921"/>
    </row>
    <row r="158" spans="1:23" s="98" customFormat="1" ht="15" customHeight="1">
      <c r="A158" s="99"/>
      <c r="B158" s="161"/>
      <c r="C158" s="162"/>
      <c r="D158" s="301" t="s">
        <v>85</v>
      </c>
      <c r="E158" s="162"/>
      <c r="F158" s="301"/>
      <c r="G158" s="720"/>
      <c r="H158" s="163"/>
      <c r="I158" s="164" t="s">
        <v>498</v>
      </c>
      <c r="J158" s="143">
        <v>0</v>
      </c>
      <c r="K158" s="141"/>
      <c r="L158" s="141"/>
      <c r="M158" s="141"/>
      <c r="N158" s="141"/>
      <c r="O158" s="141">
        <v>0</v>
      </c>
      <c r="P158" s="141">
        <v>0</v>
      </c>
      <c r="Q158" s="144">
        <v>0</v>
      </c>
      <c r="R158" s="143">
        <v>0</v>
      </c>
      <c r="S158" s="141">
        <v>0</v>
      </c>
      <c r="T158" s="141">
        <v>0</v>
      </c>
      <c r="U158" s="141">
        <v>0</v>
      </c>
      <c r="V158" s="144">
        <v>0</v>
      </c>
      <c r="W158" s="2921"/>
    </row>
    <row r="159" spans="1:23" s="98" customFormat="1" ht="15" customHeight="1">
      <c r="A159" s="99"/>
      <c r="B159" s="161"/>
      <c r="C159" s="162"/>
      <c r="D159" s="162" t="s">
        <v>85</v>
      </c>
      <c r="E159" s="162"/>
      <c r="F159" s="162"/>
      <c r="G159" s="720"/>
      <c r="H159" s="163"/>
      <c r="I159" s="164" t="s">
        <v>498</v>
      </c>
      <c r="J159" s="143">
        <v>0</v>
      </c>
      <c r="K159" s="141"/>
      <c r="L159" s="141"/>
      <c r="M159" s="141"/>
      <c r="N159" s="141"/>
      <c r="O159" s="141">
        <v>0</v>
      </c>
      <c r="P159" s="141">
        <v>0</v>
      </c>
      <c r="Q159" s="144">
        <v>0</v>
      </c>
      <c r="R159" s="143">
        <v>0</v>
      </c>
      <c r="S159" s="141">
        <v>0</v>
      </c>
      <c r="T159" s="141">
        <v>0</v>
      </c>
      <c r="U159" s="141">
        <v>0</v>
      </c>
      <c r="V159" s="144">
        <v>0</v>
      </c>
      <c r="W159" s="2921"/>
    </row>
    <row r="160" spans="1:23" s="98" customFormat="1" ht="15" customHeight="1">
      <c r="A160" s="99"/>
      <c r="B160" s="161"/>
      <c r="C160" s="162"/>
      <c r="D160" s="162" t="s">
        <v>85</v>
      </c>
      <c r="E160" s="162"/>
      <c r="F160" s="162"/>
      <c r="G160" s="720"/>
      <c r="H160" s="163"/>
      <c r="I160" s="164" t="s">
        <v>498</v>
      </c>
      <c r="J160" s="143">
        <v>0</v>
      </c>
      <c r="K160" s="141"/>
      <c r="L160" s="141"/>
      <c r="M160" s="141"/>
      <c r="N160" s="141"/>
      <c r="O160" s="141">
        <v>0</v>
      </c>
      <c r="P160" s="141">
        <v>0</v>
      </c>
      <c r="Q160" s="144">
        <v>0</v>
      </c>
      <c r="R160" s="143">
        <v>0</v>
      </c>
      <c r="S160" s="141">
        <v>0</v>
      </c>
      <c r="T160" s="141">
        <v>0</v>
      </c>
      <c r="U160" s="141">
        <v>0</v>
      </c>
      <c r="V160" s="144">
        <v>0</v>
      </c>
      <c r="W160" s="2921"/>
    </row>
    <row r="161" spans="1:29" s="98" customFormat="1" ht="15" customHeight="1">
      <c r="A161" s="99"/>
      <c r="B161" s="161"/>
      <c r="C161" s="162"/>
      <c r="D161" s="162" t="s">
        <v>85</v>
      </c>
      <c r="E161" s="162"/>
      <c r="F161" s="162"/>
      <c r="G161" s="720"/>
      <c r="H161" s="163"/>
      <c r="I161" s="164" t="s">
        <v>498</v>
      </c>
      <c r="J161" s="143">
        <v>0</v>
      </c>
      <c r="K161" s="141"/>
      <c r="L161" s="141"/>
      <c r="M161" s="141"/>
      <c r="N161" s="141"/>
      <c r="O161" s="141">
        <v>0</v>
      </c>
      <c r="P161" s="141">
        <v>0</v>
      </c>
      <c r="Q161" s="144">
        <v>0</v>
      </c>
      <c r="R161" s="143">
        <v>0</v>
      </c>
      <c r="S161" s="141">
        <v>0</v>
      </c>
      <c r="T161" s="141">
        <v>0</v>
      </c>
      <c r="U161" s="141">
        <v>0</v>
      </c>
      <c r="V161" s="144">
        <v>0</v>
      </c>
      <c r="W161" s="2921"/>
    </row>
    <row r="162" spans="1:29" s="98" customFormat="1" ht="15" customHeight="1">
      <c r="A162" s="99"/>
      <c r="B162" s="161"/>
      <c r="C162" s="162"/>
      <c r="D162" s="162"/>
      <c r="E162" s="162"/>
      <c r="F162" s="162"/>
      <c r="G162" s="163"/>
      <c r="H162" s="163"/>
      <c r="I162" s="163"/>
      <c r="J162" s="716"/>
      <c r="K162" s="714"/>
      <c r="L162" s="714"/>
      <c r="M162" s="714"/>
      <c r="N162" s="714"/>
      <c r="O162" s="714"/>
      <c r="P162" s="714"/>
      <c r="Q162" s="752"/>
      <c r="R162" s="716"/>
      <c r="S162" s="714"/>
      <c r="T162" s="714"/>
      <c r="U162" s="714"/>
      <c r="V162" s="752"/>
      <c r="W162" s="2921"/>
    </row>
    <row r="163" spans="1:29" s="98" customFormat="1" ht="15" customHeight="1" thickBot="1">
      <c r="A163" s="99"/>
      <c r="B163" s="131" t="s">
        <v>1701</v>
      </c>
      <c r="C163" s="132"/>
      <c r="D163" s="132"/>
      <c r="E163" s="132"/>
      <c r="F163" s="132"/>
      <c r="G163" s="145"/>
      <c r="H163" s="133"/>
      <c r="I163" s="146" t="s">
        <v>498</v>
      </c>
      <c r="J163" s="717">
        <f>SUM(J95:J103,J105:J109,J111:J118,J120:J124,J126:J131,J133:J137,J139:J140,J142:J145,J147:J150,J152:J161)</f>
        <v>2.6698008860376419</v>
      </c>
      <c r="K163" s="718">
        <f t="shared" ref="K163:V163" si="4">SUM(K95:K103,K105:K109,K111:K118,K120:K124,K126:K131,K133:K137,K139:K140,K142:K145,K147:K150,K152:K161)</f>
        <v>2.7087188259740249</v>
      </c>
      <c r="L163" s="718">
        <f t="shared" si="4"/>
        <v>2.687553198581508</v>
      </c>
      <c r="M163" s="718">
        <f t="shared" si="4"/>
        <v>2.491913194352672</v>
      </c>
      <c r="N163" s="718">
        <f t="shared" si="4"/>
        <v>2.844704124342166</v>
      </c>
      <c r="O163" s="718">
        <f t="shared" si="4"/>
        <v>4.2430866827538898</v>
      </c>
      <c r="P163" s="718">
        <f t="shared" si="4"/>
        <v>5.2877382050480133</v>
      </c>
      <c r="Q163" s="719">
        <f t="shared" si="4"/>
        <v>5.8707382050480135</v>
      </c>
      <c r="R163" s="717">
        <f t="shared" si="4"/>
        <v>6.0825685431936165</v>
      </c>
      <c r="S163" s="718">
        <f t="shared" si="4"/>
        <v>6.2787728972191887</v>
      </c>
      <c r="T163" s="718">
        <f t="shared" si="4"/>
        <v>7.1050448812001701</v>
      </c>
      <c r="U163" s="718">
        <f t="shared" si="4"/>
        <v>5.9266310827854651</v>
      </c>
      <c r="V163" s="719">
        <f t="shared" si="4"/>
        <v>6.1099445134663801</v>
      </c>
    </row>
    <row r="164" spans="1:29" s="99" customFormat="1" ht="15" customHeight="1">
      <c r="B164" s="150"/>
      <c r="C164" s="150"/>
      <c r="D164" s="150"/>
      <c r="E164" s="150"/>
      <c r="F164" s="150"/>
      <c r="G164" s="97"/>
      <c r="H164" s="97"/>
      <c r="I164" s="98"/>
      <c r="J164" s="98"/>
      <c r="K164" s="98"/>
      <c r="L164" s="98"/>
      <c r="M164" s="98"/>
      <c r="N164" s="98"/>
      <c r="O164" s="98"/>
      <c r="P164" s="98"/>
      <c r="Q164" s="98"/>
      <c r="R164" s="98"/>
      <c r="S164" s="98"/>
      <c r="T164" s="98"/>
      <c r="U164" s="98"/>
      <c r="V164" s="98"/>
      <c r="W164" s="98"/>
      <c r="X164" s="98"/>
    </row>
    <row r="165" spans="1:29">
      <c r="I165" s="173"/>
      <c r="J165" s="175"/>
      <c r="AC165" s="173"/>
    </row>
    <row r="166" spans="1:29">
      <c r="I166" s="173"/>
      <c r="J166" s="175"/>
      <c r="AC166" s="173"/>
    </row>
    <row r="167" spans="1:29">
      <c r="I167" s="173"/>
      <c r="J167" s="175"/>
      <c r="AC167" s="173"/>
    </row>
    <row r="168" spans="1:29">
      <c r="B168" s="173"/>
    </row>
    <row r="169" spans="1:29">
      <c r="B169" s="173"/>
    </row>
  </sheetData>
  <mergeCells count="2">
    <mergeCell ref="J9:Q9"/>
    <mergeCell ref="R9:V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93"/>
  <sheetViews>
    <sheetView topLeftCell="A66" zoomScale="80" zoomScaleNormal="80" zoomScaleSheetLayoutView="80" workbookViewId="0">
      <selection activeCell="F92" sqref="F92"/>
    </sheetView>
  </sheetViews>
  <sheetFormatPr defaultColWidth="9" defaultRowHeight="14.25"/>
  <cols>
    <col min="1" max="1" width="9" style="248"/>
    <col min="2" max="2" width="6" style="248" customWidth="1"/>
    <col min="3" max="3" width="6.375" style="248" customWidth="1"/>
    <col min="4" max="4" width="24" style="248" customWidth="1"/>
    <col min="5" max="5" width="9.375" style="248" customWidth="1"/>
    <col min="6" max="6" width="46.75" style="248" customWidth="1"/>
    <col min="7" max="7" width="9" style="248"/>
    <col min="8" max="8" width="23.5" style="248" customWidth="1"/>
    <col min="9" max="9" width="5.125" style="248" customWidth="1"/>
    <col min="10" max="10" width="23.5" style="248" customWidth="1"/>
    <col min="11" max="11" width="5.125" style="248" customWidth="1"/>
    <col min="12" max="12" width="23.5" style="248" customWidth="1"/>
    <col min="13" max="13" width="5.125" style="248" customWidth="1"/>
    <col min="14" max="14" width="23.5" style="248" customWidth="1"/>
    <col min="15" max="15" width="5.125" style="248" customWidth="1"/>
    <col min="16" max="16384" width="9" style="248"/>
  </cols>
  <sheetData>
    <row r="1" spans="1:30" s="1025" customFormat="1" ht="26.25">
      <c r="A1" s="1024" t="s">
        <v>3</v>
      </c>
      <c r="E1" s="1026"/>
      <c r="I1" s="1026"/>
      <c r="K1" s="1026"/>
      <c r="M1" s="1026"/>
      <c r="O1" s="1026"/>
    </row>
    <row r="2" spans="1:30" s="1025" customFormat="1" ht="26.25">
      <c r="A2" s="1027" t="str">
        <f>Fixed_Data!I12</f>
        <v>MASTER</v>
      </c>
      <c r="C2" s="1028"/>
      <c r="D2" s="1029"/>
      <c r="E2" s="1026"/>
    </row>
    <row r="3" spans="1:30" s="1031" customFormat="1" ht="27" thickBot="1">
      <c r="A3" s="1030" t="str">
        <f>Fixed_Data!A3</f>
        <v>RIIO-GD2</v>
      </c>
      <c r="D3" s="1032"/>
      <c r="E3" s="1033"/>
    </row>
    <row r="4" spans="1:30" s="1036" customFormat="1" ht="15" customHeight="1">
      <c r="B4" s="1034"/>
      <c r="C4" s="1035"/>
      <c r="D4" s="1037"/>
      <c r="E4" s="1038"/>
    </row>
    <row r="5" spans="1:30" ht="15" customHeight="1"/>
    <row r="6" spans="1:30" ht="15" customHeight="1"/>
    <row r="7" spans="1:30" ht="21" customHeight="1">
      <c r="B7" s="1039" t="s">
        <v>8</v>
      </c>
    </row>
    <row r="8" spans="1:30" ht="21" customHeight="1">
      <c r="H8" s="1040"/>
      <c r="I8" s="1040"/>
      <c r="J8" s="1040"/>
      <c r="K8" s="1040"/>
      <c r="L8" s="1040"/>
      <c r="M8" s="1040"/>
      <c r="N8" s="1040"/>
      <c r="O8" s="1040"/>
      <c r="AD8" s="1041"/>
    </row>
    <row r="9" spans="1:30" ht="21" customHeight="1">
      <c r="B9" s="1042">
        <v>1</v>
      </c>
      <c r="C9" s="1043" t="s">
        <v>9</v>
      </c>
    </row>
    <row r="10" spans="1:30" ht="21" customHeight="1">
      <c r="B10" s="1044"/>
      <c r="C10" s="1045"/>
      <c r="D10" s="248" t="s">
        <v>10</v>
      </c>
      <c r="F10" s="1154"/>
    </row>
    <row r="11" spans="1:30" ht="21" customHeight="1">
      <c r="B11" s="1044"/>
      <c r="C11" s="1045"/>
      <c r="D11" s="248" t="s">
        <v>11</v>
      </c>
      <c r="F11" s="1046"/>
      <c r="H11" s="1047"/>
      <c r="J11" s="1047"/>
      <c r="L11" s="1047"/>
      <c r="N11" s="1047"/>
    </row>
    <row r="12" spans="1:30" ht="21" customHeight="1">
      <c r="B12" s="1044"/>
      <c r="C12" s="1045"/>
      <c r="D12" s="248" t="s">
        <v>11</v>
      </c>
      <c r="F12" s="1048"/>
    </row>
    <row r="13" spans="1:30" ht="21" customHeight="1">
      <c r="B13" s="1044"/>
      <c r="C13" s="1045"/>
      <c r="F13" s="1049"/>
    </row>
    <row r="14" spans="1:30" ht="21" customHeight="1">
      <c r="B14" s="1042">
        <v>2</v>
      </c>
      <c r="C14" s="1043" t="s">
        <v>12</v>
      </c>
    </row>
    <row r="15" spans="1:30" ht="21" customHeight="1">
      <c r="B15" s="1044"/>
      <c r="C15" s="1045"/>
      <c r="D15" s="248" t="s">
        <v>13</v>
      </c>
      <c r="H15" s="1152" t="s">
        <v>14</v>
      </c>
      <c r="J15" s="1152" t="s">
        <v>14</v>
      </c>
      <c r="L15" s="1152" t="s">
        <v>14</v>
      </c>
      <c r="N15" s="1152" t="s">
        <v>14</v>
      </c>
    </row>
    <row r="16" spans="1:30" ht="21" customHeight="1">
      <c r="B16" s="1044"/>
      <c r="C16" s="1045"/>
      <c r="D16" s="248" t="s">
        <v>15</v>
      </c>
      <c r="H16" s="1153" t="s">
        <v>16</v>
      </c>
      <c r="J16" s="1153" t="s">
        <v>16</v>
      </c>
      <c r="L16" s="1153" t="s">
        <v>16</v>
      </c>
      <c r="N16" s="1153" t="s">
        <v>16</v>
      </c>
    </row>
    <row r="17" spans="2:15" ht="21" customHeight="1">
      <c r="B17" s="1044"/>
      <c r="C17" s="1045"/>
    </row>
    <row r="18" spans="2:15" ht="21" customHeight="1">
      <c r="B18" s="1042">
        <v>3</v>
      </c>
      <c r="C18" s="1043" t="s">
        <v>0</v>
      </c>
      <c r="F18" s="1050" t="s">
        <v>17</v>
      </c>
      <c r="H18" s="612" t="s">
        <v>18</v>
      </c>
      <c r="J18" s="612"/>
      <c r="L18" s="612"/>
      <c r="N18" s="612"/>
    </row>
    <row r="19" spans="2:15" ht="21" customHeight="1">
      <c r="D19" s="612" t="s">
        <v>19</v>
      </c>
      <c r="E19" s="612" t="s">
        <v>20</v>
      </c>
      <c r="F19" s="612" t="s">
        <v>21</v>
      </c>
      <c r="G19" s="1052"/>
      <c r="I19" s="1052"/>
      <c r="K19" s="1052"/>
      <c r="M19" s="1052"/>
      <c r="O19" s="1052"/>
    </row>
    <row r="20" spans="2:15" ht="21" customHeight="1">
      <c r="D20" s="1053" t="s">
        <v>22</v>
      </c>
      <c r="E20" s="1054"/>
      <c r="F20" s="32" t="s">
        <v>23</v>
      </c>
      <c r="H20" s="1151"/>
      <c r="J20" s="1151"/>
      <c r="L20" s="1151"/>
      <c r="N20" s="1151"/>
    </row>
    <row r="21" spans="2:15" ht="21" customHeight="1">
      <c r="D21" s="1053" t="s">
        <v>22</v>
      </c>
      <c r="E21" s="1054">
        <v>1.01</v>
      </c>
      <c r="F21" s="32" t="s">
        <v>24</v>
      </c>
      <c r="H21" s="1151"/>
      <c r="J21" s="1151"/>
      <c r="L21" s="1151"/>
      <c r="N21" s="1151"/>
    </row>
    <row r="22" spans="2:15" ht="21" customHeight="1">
      <c r="D22" s="1053" t="s">
        <v>22</v>
      </c>
      <c r="E22" s="1054">
        <v>1.02</v>
      </c>
      <c r="F22" s="32" t="s">
        <v>25</v>
      </c>
      <c r="H22" s="1151"/>
      <c r="J22" s="1151"/>
      <c r="L22" s="1151"/>
      <c r="N22" s="1151"/>
    </row>
    <row r="23" spans="2:15" ht="21" customHeight="1">
      <c r="D23" s="1053" t="s">
        <v>22</v>
      </c>
      <c r="E23" s="1054" t="s">
        <v>26</v>
      </c>
      <c r="F23" s="32" t="s">
        <v>27</v>
      </c>
      <c r="H23" s="1151"/>
      <c r="J23" s="1151"/>
      <c r="L23" s="1151"/>
      <c r="N23" s="1151"/>
    </row>
    <row r="24" spans="2:15" ht="21" customHeight="1">
      <c r="D24" s="1053" t="s">
        <v>22</v>
      </c>
      <c r="E24" s="1054" t="s">
        <v>28</v>
      </c>
      <c r="F24" s="32" t="s">
        <v>29</v>
      </c>
      <c r="H24" s="1151"/>
      <c r="J24" s="1151"/>
      <c r="L24" s="1151"/>
      <c r="N24" s="1151"/>
    </row>
    <row r="25" spans="2:15" ht="21" customHeight="1">
      <c r="D25" s="1053" t="s">
        <v>22</v>
      </c>
      <c r="E25" s="1054">
        <v>1.03</v>
      </c>
      <c r="F25" s="32" t="s">
        <v>30</v>
      </c>
      <c r="H25" s="1151"/>
      <c r="J25" s="1151"/>
      <c r="L25" s="1151"/>
      <c r="N25" s="1151"/>
    </row>
    <row r="26" spans="2:15" ht="21" customHeight="1">
      <c r="D26" s="1053" t="s">
        <v>22</v>
      </c>
      <c r="E26" s="1054">
        <v>1.04</v>
      </c>
      <c r="F26" s="32" t="s">
        <v>31</v>
      </c>
      <c r="H26" s="1151"/>
      <c r="J26" s="1151"/>
      <c r="L26" s="1151"/>
      <c r="N26" s="1151"/>
    </row>
    <row r="27" spans="2:15" ht="21" customHeight="1">
      <c r="D27" s="1053" t="s">
        <v>22</v>
      </c>
      <c r="E27" s="1054">
        <v>1.05</v>
      </c>
      <c r="F27" s="32" t="s">
        <v>32</v>
      </c>
      <c r="H27" s="1151"/>
      <c r="J27" s="1151"/>
      <c r="L27" s="1151"/>
      <c r="N27" s="1151"/>
    </row>
    <row r="28" spans="2:15" ht="21" customHeight="1">
      <c r="D28" s="2490" t="s">
        <v>33</v>
      </c>
      <c r="E28" s="1054"/>
      <c r="F28" s="32" t="s">
        <v>34</v>
      </c>
      <c r="H28" s="1151"/>
      <c r="J28" s="1151"/>
      <c r="L28" s="1151"/>
      <c r="N28" s="1151"/>
    </row>
    <row r="29" spans="2:15" ht="21" customHeight="1">
      <c r="D29" s="2490" t="s">
        <v>33</v>
      </c>
      <c r="E29" s="1054"/>
      <c r="F29" s="32" t="s">
        <v>35</v>
      </c>
      <c r="H29" s="1151"/>
      <c r="J29" s="1151"/>
      <c r="L29" s="1151"/>
      <c r="N29" s="1151"/>
    </row>
    <row r="30" spans="2:15" ht="21" customHeight="1">
      <c r="D30" s="1055" t="s">
        <v>36</v>
      </c>
      <c r="E30" s="1057">
        <v>2</v>
      </c>
      <c r="F30" s="32" t="s">
        <v>37</v>
      </c>
      <c r="H30" s="1151"/>
      <c r="J30" s="1151"/>
      <c r="L30" s="1151"/>
      <c r="N30" s="1151"/>
    </row>
    <row r="31" spans="2:15" ht="21" customHeight="1">
      <c r="D31" s="1055" t="s">
        <v>36</v>
      </c>
      <c r="E31" s="1054">
        <v>2.0099999999999998</v>
      </c>
      <c r="F31" s="32" t="s">
        <v>38</v>
      </c>
      <c r="H31" s="1151"/>
      <c r="J31" s="1151"/>
      <c r="L31" s="1151"/>
      <c r="N31" s="1151"/>
    </row>
    <row r="32" spans="2:15" ht="21" customHeight="1">
      <c r="D32" s="1055" t="s">
        <v>36</v>
      </c>
      <c r="E32" s="1057">
        <v>2.02</v>
      </c>
      <c r="F32" s="32" t="s">
        <v>39</v>
      </c>
      <c r="H32" s="1151"/>
      <c r="J32" s="1151"/>
      <c r="L32" s="1151"/>
      <c r="N32" s="1151"/>
    </row>
    <row r="33" spans="4:14" ht="21" customHeight="1">
      <c r="D33" s="1055" t="s">
        <v>36</v>
      </c>
      <c r="E33" s="1054">
        <v>2.0299999999999998</v>
      </c>
      <c r="F33" s="32" t="s">
        <v>40</v>
      </c>
      <c r="H33" s="1151"/>
      <c r="J33" s="1151"/>
      <c r="L33" s="1151"/>
      <c r="N33" s="1151"/>
    </row>
    <row r="34" spans="4:14" ht="21" customHeight="1">
      <c r="D34" s="1055" t="s">
        <v>36</v>
      </c>
      <c r="E34" s="1057">
        <v>2.04</v>
      </c>
      <c r="F34" s="32" t="s">
        <v>41</v>
      </c>
      <c r="H34" s="1151"/>
      <c r="J34" s="1151"/>
      <c r="L34" s="1151"/>
      <c r="N34" s="1151"/>
    </row>
    <row r="35" spans="4:14" ht="21" customHeight="1">
      <c r="D35" s="1055" t="s">
        <v>36</v>
      </c>
      <c r="E35" s="1054">
        <v>2.0499999999999998</v>
      </c>
      <c r="F35" s="32" t="s">
        <v>42</v>
      </c>
      <c r="H35" s="1151"/>
      <c r="J35" s="1151"/>
      <c r="L35" s="1151"/>
      <c r="N35" s="1151"/>
    </row>
    <row r="36" spans="4:14" ht="21" customHeight="1">
      <c r="D36" s="1055" t="s">
        <v>36</v>
      </c>
      <c r="E36" s="1057">
        <v>2.06</v>
      </c>
      <c r="F36" s="32" t="s">
        <v>43</v>
      </c>
      <c r="H36" s="1151"/>
      <c r="J36" s="1151"/>
      <c r="L36" s="1151"/>
      <c r="N36" s="1151"/>
    </row>
    <row r="37" spans="4:14" ht="21" customHeight="1">
      <c r="D37" s="1055" t="s">
        <v>36</v>
      </c>
      <c r="E37" s="1054">
        <v>2.0699999999999998</v>
      </c>
      <c r="F37" s="32" t="s">
        <v>44</v>
      </c>
      <c r="H37" s="1151"/>
      <c r="J37" s="1151"/>
      <c r="L37" s="1151"/>
      <c r="N37" s="1151"/>
    </row>
    <row r="38" spans="4:14" ht="21" customHeight="1">
      <c r="D38" s="1055" t="s">
        <v>36</v>
      </c>
      <c r="E38" s="1057">
        <v>2.08</v>
      </c>
      <c r="F38" s="32" t="s">
        <v>45</v>
      </c>
      <c r="H38" s="1151"/>
      <c r="J38" s="1151"/>
      <c r="L38" s="1151"/>
      <c r="N38" s="1151"/>
    </row>
    <row r="39" spans="4:14" ht="21" customHeight="1">
      <c r="D39" s="1055" t="s">
        <v>36</v>
      </c>
      <c r="E39" s="1054">
        <v>2.09</v>
      </c>
      <c r="F39" s="32" t="s">
        <v>46</v>
      </c>
      <c r="H39" s="1151"/>
      <c r="J39" s="1151"/>
      <c r="L39" s="1151"/>
      <c r="N39" s="1151"/>
    </row>
    <row r="40" spans="4:14" ht="21" customHeight="1">
      <c r="D40" s="1055" t="s">
        <v>36</v>
      </c>
      <c r="E40" s="1057">
        <v>2.1</v>
      </c>
      <c r="F40" s="32" t="s">
        <v>47</v>
      </c>
      <c r="H40" s="1151"/>
      <c r="J40" s="1151"/>
      <c r="L40" s="1151"/>
      <c r="N40" s="1151"/>
    </row>
    <row r="41" spans="4:14" ht="21" customHeight="1">
      <c r="D41" s="1055" t="s">
        <v>36</v>
      </c>
      <c r="E41" s="1054">
        <v>2.11</v>
      </c>
      <c r="F41" s="32" t="s">
        <v>48</v>
      </c>
      <c r="H41" s="1151"/>
      <c r="J41" s="1151"/>
      <c r="L41" s="1151"/>
      <c r="N41" s="1151"/>
    </row>
    <row r="42" spans="4:14" ht="21" customHeight="1">
      <c r="D42" s="1055" t="s">
        <v>36</v>
      </c>
      <c r="E42" s="1057">
        <v>2.12</v>
      </c>
      <c r="F42" s="32" t="s">
        <v>49</v>
      </c>
      <c r="H42" s="1151"/>
      <c r="J42" s="1151"/>
      <c r="L42" s="1151"/>
      <c r="N42" s="1151"/>
    </row>
    <row r="43" spans="4:14" ht="21" customHeight="1">
      <c r="D43" s="1055" t="s">
        <v>36</v>
      </c>
      <c r="E43" s="1054">
        <v>2.13</v>
      </c>
      <c r="F43" s="32" t="s">
        <v>50</v>
      </c>
      <c r="H43" s="1151"/>
      <c r="J43" s="1151"/>
      <c r="L43" s="1151"/>
      <c r="N43" s="1151"/>
    </row>
    <row r="44" spans="4:14" ht="21" customHeight="1">
      <c r="D44" s="1055" t="s">
        <v>36</v>
      </c>
      <c r="E44" s="1057">
        <v>2.14</v>
      </c>
      <c r="F44" s="32" t="s">
        <v>51</v>
      </c>
      <c r="H44" s="1151"/>
      <c r="J44" s="1151"/>
      <c r="L44" s="1151"/>
      <c r="N44" s="1151"/>
    </row>
    <row r="45" spans="4:14" ht="21" customHeight="1">
      <c r="D45" s="1055" t="s">
        <v>36</v>
      </c>
      <c r="E45" s="1054">
        <v>2.15</v>
      </c>
      <c r="F45" s="32" t="s">
        <v>52</v>
      </c>
      <c r="H45" s="1151"/>
      <c r="J45" s="1151"/>
      <c r="L45" s="1151"/>
      <c r="N45" s="1151"/>
    </row>
    <row r="46" spans="4:14" ht="21" customHeight="1">
      <c r="D46" s="1055" t="s">
        <v>36</v>
      </c>
      <c r="E46" s="1057">
        <v>2.16</v>
      </c>
      <c r="F46" s="32" t="s">
        <v>53</v>
      </c>
      <c r="H46" s="1151"/>
      <c r="J46" s="1151"/>
      <c r="L46" s="1151"/>
      <c r="N46" s="1151"/>
    </row>
    <row r="47" spans="4:14" ht="21" customHeight="1">
      <c r="D47" s="1055" t="s">
        <v>36</v>
      </c>
      <c r="E47" s="1054">
        <v>2.17</v>
      </c>
      <c r="F47" s="32" t="s">
        <v>54</v>
      </c>
      <c r="H47" s="1151"/>
      <c r="J47" s="1151"/>
      <c r="L47" s="1151"/>
      <c r="N47" s="1151"/>
    </row>
    <row r="48" spans="4:14" ht="21" customHeight="1">
      <c r="D48" s="1055" t="s">
        <v>36</v>
      </c>
      <c r="E48" s="1057">
        <v>2.1800000000000002</v>
      </c>
      <c r="F48" s="32" t="s">
        <v>55</v>
      </c>
      <c r="H48" s="1151"/>
      <c r="J48" s="1151"/>
      <c r="L48" s="1151"/>
      <c r="N48" s="1151"/>
    </row>
    <row r="49" spans="4:14" ht="21" customHeight="1">
      <c r="D49" s="1055" t="s">
        <v>36</v>
      </c>
      <c r="E49" s="1054">
        <v>2.19</v>
      </c>
      <c r="F49" s="32" t="s">
        <v>56</v>
      </c>
      <c r="H49" s="1151"/>
      <c r="J49" s="1151"/>
      <c r="L49" s="1151"/>
      <c r="N49" s="1151"/>
    </row>
    <row r="50" spans="4:14" ht="21" customHeight="1">
      <c r="D50" s="1055" t="s">
        <v>36</v>
      </c>
      <c r="E50" s="1057">
        <v>2.2000000000000002</v>
      </c>
      <c r="F50" s="32" t="s">
        <v>57</v>
      </c>
      <c r="H50" s="1151"/>
      <c r="J50" s="1151"/>
      <c r="L50" s="1151"/>
      <c r="N50" s="1151"/>
    </row>
    <row r="51" spans="4:14" ht="21" customHeight="1">
      <c r="D51" s="1055" t="s">
        <v>36</v>
      </c>
      <c r="E51" s="1054">
        <v>2.21</v>
      </c>
      <c r="F51" s="32" t="s">
        <v>58</v>
      </c>
      <c r="G51" s="1056"/>
      <c r="H51" s="1151"/>
      <c r="J51" s="1151"/>
      <c r="L51" s="1151"/>
      <c r="N51" s="1151"/>
    </row>
    <row r="52" spans="4:14" ht="21" customHeight="1">
      <c r="D52" s="1055" t="s">
        <v>59</v>
      </c>
      <c r="E52" s="1057">
        <v>2.21999999999999</v>
      </c>
      <c r="F52" s="32" t="s">
        <v>60</v>
      </c>
      <c r="G52" s="1056"/>
      <c r="H52" s="1151"/>
      <c r="J52" s="1151"/>
      <c r="L52" s="1151"/>
      <c r="N52" s="1151"/>
    </row>
    <row r="53" spans="4:14" ht="21" customHeight="1">
      <c r="D53" s="1055" t="s">
        <v>36</v>
      </c>
      <c r="E53" s="1054">
        <v>2.23</v>
      </c>
      <c r="F53" s="32" t="s">
        <v>61</v>
      </c>
      <c r="G53" s="1056"/>
      <c r="H53" s="1151"/>
      <c r="J53" s="1151"/>
      <c r="L53" s="1151"/>
      <c r="N53" s="1151"/>
    </row>
    <row r="54" spans="4:14" ht="21" customHeight="1">
      <c r="D54" s="1058" t="s">
        <v>62</v>
      </c>
      <c r="E54" s="1057">
        <v>3</v>
      </c>
      <c r="F54" s="32" t="s">
        <v>63</v>
      </c>
      <c r="G54" s="1056"/>
      <c r="H54" s="1151"/>
      <c r="J54" s="1151"/>
      <c r="L54" s="1151"/>
      <c r="N54" s="1151"/>
    </row>
    <row r="55" spans="4:14" ht="21" customHeight="1">
      <c r="D55" s="1058" t="s">
        <v>62</v>
      </c>
      <c r="E55" s="1054">
        <v>3.01</v>
      </c>
      <c r="F55" s="32" t="s">
        <v>64</v>
      </c>
      <c r="G55" s="1056"/>
      <c r="H55" s="1151"/>
      <c r="J55" s="1151"/>
      <c r="L55" s="1151"/>
      <c r="N55" s="1151"/>
    </row>
    <row r="56" spans="4:14" ht="21" customHeight="1">
      <c r="D56" s="1058" t="s">
        <v>62</v>
      </c>
      <c r="E56" s="1057">
        <v>3.02</v>
      </c>
      <c r="F56" s="32" t="s">
        <v>65</v>
      </c>
      <c r="G56" s="1056"/>
      <c r="H56" s="1151"/>
      <c r="J56" s="1151"/>
      <c r="L56" s="1151"/>
      <c r="N56" s="1151"/>
    </row>
    <row r="57" spans="4:14" ht="21" customHeight="1">
      <c r="D57" s="1058" t="s">
        <v>62</v>
      </c>
      <c r="E57" s="1054">
        <v>3.03</v>
      </c>
      <c r="F57" s="32" t="s">
        <v>66</v>
      </c>
      <c r="G57" s="1056"/>
      <c r="H57" s="1151"/>
      <c r="J57" s="1151"/>
      <c r="L57" s="1151"/>
      <c r="N57" s="1151"/>
    </row>
    <row r="58" spans="4:14" ht="21" customHeight="1">
      <c r="D58" s="1058" t="s">
        <v>62</v>
      </c>
      <c r="E58" s="1057">
        <v>3.04</v>
      </c>
      <c r="F58" s="32" t="s">
        <v>67</v>
      </c>
      <c r="G58" s="1056"/>
      <c r="H58" s="1151"/>
      <c r="J58" s="1151"/>
      <c r="L58" s="1151"/>
      <c r="N58" s="1151"/>
    </row>
    <row r="59" spans="4:14" ht="21" customHeight="1">
      <c r="D59" s="1058" t="s">
        <v>62</v>
      </c>
      <c r="E59" s="1054">
        <v>3.05</v>
      </c>
      <c r="F59" s="32" t="s">
        <v>68</v>
      </c>
      <c r="G59" s="1056"/>
      <c r="H59" s="1151"/>
      <c r="J59" s="1151"/>
      <c r="L59" s="1151"/>
      <c r="N59" s="1151"/>
    </row>
    <row r="60" spans="4:14" ht="21" customHeight="1">
      <c r="D60" s="1058" t="s">
        <v>62</v>
      </c>
      <c r="E60" s="1057">
        <v>3.06</v>
      </c>
      <c r="F60" s="32" t="s">
        <v>69</v>
      </c>
      <c r="G60" s="1056"/>
      <c r="H60" s="1151"/>
      <c r="J60" s="1151"/>
      <c r="L60" s="1151"/>
      <c r="N60" s="1151"/>
    </row>
    <row r="61" spans="4:14" ht="21" customHeight="1">
      <c r="D61" s="1058" t="s">
        <v>62</v>
      </c>
      <c r="E61" s="1054">
        <v>3.07</v>
      </c>
      <c r="F61" s="32" t="s">
        <v>70</v>
      </c>
      <c r="G61" s="1056"/>
      <c r="H61" s="1151"/>
      <c r="J61" s="1151"/>
      <c r="L61" s="1151"/>
      <c r="N61" s="1151"/>
    </row>
    <row r="62" spans="4:14" ht="21" customHeight="1">
      <c r="D62" s="1059" t="s">
        <v>71</v>
      </c>
      <c r="E62" s="1057">
        <v>4</v>
      </c>
      <c r="F62" s="32" t="s">
        <v>72</v>
      </c>
      <c r="H62" s="1151"/>
      <c r="J62" s="1151"/>
      <c r="L62" s="1151"/>
      <c r="N62" s="1151"/>
    </row>
    <row r="63" spans="4:14" ht="21" customHeight="1">
      <c r="D63" s="1059" t="s">
        <v>71</v>
      </c>
      <c r="E63" s="1054">
        <v>4.01</v>
      </c>
      <c r="F63" s="32" t="s">
        <v>73</v>
      </c>
      <c r="H63" s="1151"/>
      <c r="J63" s="1151"/>
      <c r="L63" s="1151"/>
      <c r="N63" s="1151"/>
    </row>
    <row r="64" spans="4:14" ht="21" customHeight="1">
      <c r="D64" s="1059" t="s">
        <v>71</v>
      </c>
      <c r="E64" s="1057">
        <v>4.0199999999999996</v>
      </c>
      <c r="F64" s="32" t="s">
        <v>74</v>
      </c>
      <c r="H64" s="1151"/>
      <c r="J64" s="1151"/>
      <c r="L64" s="1151"/>
      <c r="N64" s="1151"/>
    </row>
    <row r="65" spans="2:14" ht="21" customHeight="1">
      <c r="D65" s="1059" t="s">
        <v>71</v>
      </c>
      <c r="E65" s="1054">
        <v>4.03</v>
      </c>
      <c r="F65" s="32" t="s">
        <v>75</v>
      </c>
      <c r="H65" s="1151"/>
      <c r="J65" s="1151"/>
      <c r="L65" s="1151"/>
      <c r="N65" s="1151"/>
    </row>
    <row r="66" spans="2:14" ht="21" customHeight="1">
      <c r="D66" s="1059" t="s">
        <v>71</v>
      </c>
      <c r="E66" s="1057">
        <v>4.04</v>
      </c>
      <c r="F66" s="32" t="s">
        <v>76</v>
      </c>
      <c r="H66" s="1151"/>
      <c r="J66" s="1151"/>
      <c r="L66" s="1151"/>
      <c r="N66" s="1151"/>
    </row>
    <row r="67" spans="2:14" ht="21" customHeight="1">
      <c r="D67" s="1059" t="s">
        <v>71</v>
      </c>
      <c r="E67" s="1054">
        <v>4.05</v>
      </c>
      <c r="F67" s="32" t="s">
        <v>77</v>
      </c>
      <c r="H67" s="1151"/>
      <c r="J67" s="1151"/>
      <c r="L67" s="1151"/>
      <c r="N67" s="1151"/>
    </row>
    <row r="68" spans="2:14" ht="21" customHeight="1">
      <c r="D68" s="1059" t="s">
        <v>71</v>
      </c>
      <c r="E68" s="1057">
        <v>4.0599999999999996</v>
      </c>
      <c r="F68" s="32" t="s">
        <v>78</v>
      </c>
      <c r="H68" s="1151"/>
      <c r="J68" s="1151"/>
      <c r="L68" s="1151"/>
      <c r="N68" s="1151"/>
    </row>
    <row r="69" spans="2:14" ht="21" customHeight="1">
      <c r="D69" s="1059" t="s">
        <v>71</v>
      </c>
      <c r="E69" s="1054">
        <v>4.07</v>
      </c>
      <c r="F69" s="32" t="s">
        <v>79</v>
      </c>
      <c r="H69" s="1151"/>
      <c r="J69" s="1151"/>
      <c r="L69" s="1151"/>
      <c r="N69" s="1151"/>
    </row>
    <row r="70" spans="2:14" ht="21" customHeight="1">
      <c r="B70" s="1051"/>
      <c r="D70" s="1059" t="s">
        <v>71</v>
      </c>
      <c r="E70" s="1057">
        <v>4.08</v>
      </c>
      <c r="F70" s="32" t="s">
        <v>80</v>
      </c>
      <c r="H70" s="1151"/>
      <c r="J70" s="1151"/>
      <c r="L70" s="1151"/>
      <c r="N70" s="1151"/>
    </row>
    <row r="71" spans="2:14" ht="21" customHeight="1">
      <c r="B71" s="1051"/>
      <c r="D71" s="1059" t="s">
        <v>71</v>
      </c>
      <c r="E71" s="1054">
        <v>4.09</v>
      </c>
      <c r="F71" s="1061" t="s">
        <v>81</v>
      </c>
      <c r="H71" s="1151"/>
      <c r="J71" s="1151"/>
      <c r="L71" s="1151"/>
      <c r="N71" s="1151"/>
    </row>
    <row r="72" spans="2:14" ht="21" customHeight="1">
      <c r="B72" s="1051"/>
      <c r="D72" s="1059" t="s">
        <v>71</v>
      </c>
      <c r="E72" s="1057">
        <v>4.0999999999999996</v>
      </c>
      <c r="F72" s="32" t="s">
        <v>82</v>
      </c>
      <c r="H72" s="1151"/>
      <c r="J72" s="1151"/>
      <c r="L72" s="1151"/>
      <c r="N72" s="1151"/>
    </row>
    <row r="73" spans="2:14" ht="21" customHeight="1">
      <c r="B73" s="1051"/>
      <c r="D73" s="1059" t="s">
        <v>71</v>
      </c>
      <c r="E73" s="1057">
        <v>4.1100000000000003</v>
      </c>
      <c r="F73" s="32" t="s">
        <v>83</v>
      </c>
      <c r="H73" s="1151"/>
      <c r="J73" s="1151"/>
      <c r="L73" s="1151"/>
      <c r="N73" s="1151"/>
    </row>
    <row r="74" spans="2:14" ht="21" customHeight="1">
      <c r="B74" s="1051"/>
      <c r="D74" s="1059" t="s">
        <v>71</v>
      </c>
      <c r="E74" s="1057">
        <v>4.12</v>
      </c>
      <c r="F74" s="32" t="s">
        <v>84</v>
      </c>
      <c r="H74" s="1151"/>
      <c r="J74" s="1151"/>
      <c r="L74" s="1151"/>
      <c r="N74" s="1151"/>
    </row>
    <row r="75" spans="2:14" ht="21" customHeight="1">
      <c r="D75" s="1060" t="s">
        <v>85</v>
      </c>
      <c r="E75" s="1057">
        <v>5.01</v>
      </c>
      <c r="F75" s="32" t="s">
        <v>86</v>
      </c>
      <c r="H75" s="1151"/>
      <c r="J75" s="1151"/>
      <c r="L75" s="1151"/>
      <c r="N75" s="1151"/>
    </row>
    <row r="76" spans="2:14" ht="21" customHeight="1">
      <c r="D76" s="1060" t="s">
        <v>85</v>
      </c>
      <c r="E76" s="1054">
        <v>5.0199999999999996</v>
      </c>
      <c r="F76" s="32" t="s">
        <v>87</v>
      </c>
      <c r="H76" s="1151"/>
      <c r="J76" s="1151"/>
      <c r="L76" s="1151"/>
      <c r="N76" s="1151"/>
    </row>
    <row r="77" spans="2:14" ht="21" customHeight="1">
      <c r="D77" s="1060" t="s">
        <v>85</v>
      </c>
      <c r="E77" s="1057">
        <v>5.03</v>
      </c>
      <c r="F77" s="32" t="s">
        <v>88</v>
      </c>
      <c r="H77" s="1151"/>
      <c r="J77" s="1151"/>
      <c r="L77" s="1151"/>
      <c r="N77" s="1151"/>
    </row>
    <row r="78" spans="2:14" ht="21.75" customHeight="1">
      <c r="D78" s="1060" t="s">
        <v>85</v>
      </c>
      <c r="E78" s="1054">
        <v>5.04</v>
      </c>
      <c r="F78" s="32" t="s">
        <v>89</v>
      </c>
      <c r="H78" s="1151"/>
      <c r="J78" s="1151"/>
      <c r="L78" s="1151"/>
      <c r="N78" s="1151"/>
    </row>
    <row r="79" spans="2:14" ht="21.75" customHeight="1">
      <c r="D79" s="1060" t="s">
        <v>85</v>
      </c>
      <c r="E79" s="1057">
        <v>5.05</v>
      </c>
      <c r="F79" s="1061" t="s">
        <v>90</v>
      </c>
      <c r="H79" s="1151"/>
      <c r="J79" s="1151"/>
      <c r="L79" s="1151"/>
      <c r="N79" s="1151"/>
    </row>
    <row r="80" spans="2:14" ht="21.75" customHeight="1">
      <c r="D80" s="1060" t="s">
        <v>85</v>
      </c>
      <c r="E80" s="1054">
        <v>5.0599999999999996</v>
      </c>
      <c r="F80" s="32" t="s">
        <v>91</v>
      </c>
      <c r="H80" s="1151"/>
      <c r="J80" s="1151"/>
      <c r="L80" s="1151"/>
      <c r="N80" s="1151"/>
    </row>
    <row r="81" spans="4:14" ht="21.75" customHeight="1">
      <c r="D81" s="1060" t="s">
        <v>85</v>
      </c>
      <c r="E81" s="1057">
        <v>5.07</v>
      </c>
      <c r="F81" s="32" t="s">
        <v>92</v>
      </c>
      <c r="H81" s="1151"/>
      <c r="J81" s="1151"/>
      <c r="L81" s="1151"/>
      <c r="N81" s="1151"/>
    </row>
    <row r="82" spans="4:14" ht="21.75" customHeight="1">
      <c r="D82" s="1060" t="s">
        <v>85</v>
      </c>
      <c r="E82" s="1054">
        <v>5.08</v>
      </c>
      <c r="F82" s="32" t="s">
        <v>93</v>
      </c>
      <c r="H82" s="1151"/>
      <c r="J82" s="1151"/>
      <c r="L82" s="1151"/>
      <c r="N82" s="1151"/>
    </row>
    <row r="83" spans="4:14" ht="21.75" customHeight="1">
      <c r="D83" s="1060" t="s">
        <v>85</v>
      </c>
      <c r="E83" s="1057">
        <v>5.09</v>
      </c>
      <c r="F83" s="32" t="s">
        <v>94</v>
      </c>
      <c r="H83" s="1151"/>
      <c r="J83" s="1151"/>
      <c r="L83" s="1151"/>
      <c r="N83" s="1151"/>
    </row>
    <row r="84" spans="4:14" ht="21.75" customHeight="1">
      <c r="D84" s="1060" t="s">
        <v>85</v>
      </c>
      <c r="E84" s="1057">
        <v>5.0999999999999996</v>
      </c>
      <c r="F84" s="32" t="s">
        <v>95</v>
      </c>
      <c r="H84" s="1151"/>
      <c r="J84" s="1151"/>
      <c r="L84" s="1151"/>
      <c r="N84" s="1151"/>
    </row>
    <row r="85" spans="4:14" ht="21.75" customHeight="1">
      <c r="D85" s="1060" t="s">
        <v>85</v>
      </c>
      <c r="E85" s="1057">
        <v>5.1100000000000003</v>
      </c>
      <c r="F85" s="32" t="s">
        <v>96</v>
      </c>
      <c r="H85" s="1151"/>
      <c r="J85" s="1151"/>
      <c r="L85" s="1151"/>
      <c r="N85" s="1151"/>
    </row>
    <row r="86" spans="4:14" ht="21.75" customHeight="1">
      <c r="D86" s="1060" t="s">
        <v>85</v>
      </c>
      <c r="E86" s="1057">
        <v>5.12</v>
      </c>
      <c r="F86" s="32" t="s">
        <v>97</v>
      </c>
      <c r="H86" s="1151"/>
      <c r="J86" s="1151"/>
      <c r="L86" s="1151"/>
      <c r="N86" s="1151"/>
    </row>
    <row r="87" spans="4:14" ht="21.75" customHeight="1">
      <c r="D87" s="1060" t="s">
        <v>85</v>
      </c>
      <c r="E87" s="1057">
        <v>5.13</v>
      </c>
      <c r="F87" s="32" t="s">
        <v>98</v>
      </c>
      <c r="H87" s="1151"/>
      <c r="J87" s="1151"/>
      <c r="L87" s="1151"/>
      <c r="N87" s="1151"/>
    </row>
    <row r="88" spans="4:14" ht="21.75" customHeight="1">
      <c r="D88" s="1060" t="s">
        <v>85</v>
      </c>
      <c r="E88" s="1057">
        <v>5.14</v>
      </c>
      <c r="F88" s="32" t="s">
        <v>99</v>
      </c>
      <c r="H88" s="1151"/>
      <c r="J88" s="1151"/>
      <c r="L88" s="1151"/>
      <c r="N88" s="1151"/>
    </row>
    <row r="89" spans="4:14" ht="21.75" customHeight="1">
      <c r="D89" s="1060" t="s">
        <v>85</v>
      </c>
      <c r="E89" s="1057">
        <v>5.15</v>
      </c>
      <c r="F89" s="32" t="s">
        <v>100</v>
      </c>
      <c r="H89" s="1151"/>
      <c r="J89" s="1151"/>
      <c r="L89" s="1151"/>
      <c r="N89" s="1151"/>
    </row>
    <row r="90" spans="4:14" ht="21.75" customHeight="1">
      <c r="D90" s="1060" t="s">
        <v>85</v>
      </c>
      <c r="E90" s="1057">
        <v>5.16</v>
      </c>
      <c r="F90" s="32" t="s">
        <v>101</v>
      </c>
      <c r="H90" s="1151"/>
      <c r="J90" s="1151"/>
      <c r="L90" s="1151"/>
      <c r="N90" s="1151"/>
    </row>
    <row r="91" spans="4:14" ht="21.75" customHeight="1">
      <c r="D91" s="1060" t="s">
        <v>85</v>
      </c>
      <c r="E91" s="1057">
        <v>5.17</v>
      </c>
      <c r="F91" s="32" t="s">
        <v>102</v>
      </c>
      <c r="H91" s="1151"/>
      <c r="J91" s="1151"/>
      <c r="L91" s="1151"/>
      <c r="N91" s="1151"/>
    </row>
    <row r="92" spans="4:14" ht="21.75" customHeight="1">
      <c r="D92" s="1060" t="s">
        <v>85</v>
      </c>
      <c r="E92" s="1057">
        <v>5.18</v>
      </c>
      <c r="F92" s="32" t="s">
        <v>103</v>
      </c>
      <c r="H92" s="1151"/>
      <c r="J92" s="1151"/>
      <c r="L92" s="1151"/>
      <c r="N92" s="1151"/>
    </row>
    <row r="93" spans="4:14">
      <c r="E93" s="1057"/>
    </row>
  </sheetData>
  <hyperlinks>
    <hyperlink ref="F34" location="'2.04_Maintenance'!A1" display="Maintenance" xr:uid="{00000000-0004-0000-0100-000000000000}"/>
    <hyperlink ref="F36" location="'2.06_Business_Support'!A1" display="Business Support Allocation" xr:uid="{00000000-0004-0000-0100-000001000000}"/>
    <hyperlink ref="F54" location="'3.00_Capex_Summary'!A1" display="Capex Summary" xr:uid="{00000000-0004-0000-0100-000002000000}"/>
    <hyperlink ref="F56" location="'3.02_Reinforcement'!A1" display="Reinforcement (&lt;7 barg)" xr:uid="{00000000-0004-0000-0100-000003000000}"/>
    <hyperlink ref="F57" location="'3.03_Governors'!A1" display="Governors" xr:uid="{00000000-0004-0000-0100-000004000000}"/>
    <hyperlink ref="F58" location="'3.04_Connections'!A1" display="Connections" xr:uid="{00000000-0004-0000-0100-000005000000}"/>
    <hyperlink ref="F61" location="'3.07_Capitalised_Overheads'!A1" display="Capitalised Overheads" xr:uid="{00000000-0004-0000-0100-000006000000}"/>
    <hyperlink ref="F62" location="'4.00_Repex_Summary'!A1" display="Repex Summary" xr:uid="{00000000-0004-0000-0100-000007000000}"/>
    <hyperlink ref="F75" location="'5.01_LTS_&amp;_Entry_Assets'!A1" display="LTS &amp; Entry Assets" xr:uid="{00000000-0004-0000-0100-000008000000}"/>
    <hyperlink ref="F77" location="'5.03_Capacity_&amp;_Storage_Assets'!A1" display="Capacity &amp; Storage Assets" xr:uid="{00000000-0004-0000-0100-000009000000}"/>
    <hyperlink ref="F76" location="'5.02_Network_Assets'!A1" display="Network Assets" xr:uid="{00000000-0004-0000-0100-00000A000000}"/>
    <hyperlink ref="F80" location="'5.06_MEAV_Assets'!A1" display="Modern Equivalent Asset Value (MEAV) Assets" xr:uid="{00000000-0004-0000-0100-00000B000000}"/>
    <hyperlink ref="F82" location="'5.08_Safety'!A1" display="Safety" xr:uid="{00000000-0004-0000-0100-00000C000000}"/>
    <hyperlink ref="F37" location="'2.07_IT_&amp;_Telecoms_Group'!A1" display="IT &amp; Telecoms Group" xr:uid="{00000000-0004-0000-0100-00000D000000}"/>
    <hyperlink ref="F43" location="'2.13_FTE'!A1" display="Full Time Equivalent (FTE)" xr:uid="{00000000-0004-0000-0100-00000E000000}"/>
    <hyperlink ref="F59" location="'3.05_Other_Capex'!A1" display="Other Capex" xr:uid="{00000000-0004-0000-0100-00000F000000}"/>
    <hyperlink ref="F60" location="'3.06_Transport_&amp;_Plant'!A1" display="Transport &amp; Plant (Opex &amp; Capex)" xr:uid="{00000000-0004-0000-0100-000010000000}"/>
    <hyperlink ref="F30" location="'2.00_Opex_Summary'!A1" display="Opex Summary" xr:uid="{00000000-0004-0000-0100-000011000000}"/>
    <hyperlink ref="F31" location="'2.01_Opex_Cost_Matrix_C'!A1" display="Opex Cost Matrix: Controllable Activity Costs" xr:uid="{00000000-0004-0000-0100-000012000000}"/>
    <hyperlink ref="F33" location="'2.03_Emergency'!A1" display="Emergency" xr:uid="{00000000-0004-0000-0100-000013000000}"/>
    <hyperlink ref="F39" location="'2.09_Insurance_Group'!A1" display="Insurance Group" xr:uid="{00000000-0004-0000-0100-000014000000}"/>
    <hyperlink ref="F41" location="'2.11_Insource_Outsource'!A1" display="Insource/Outsource" xr:uid="{00000000-0004-0000-0100-000015000000}"/>
    <hyperlink ref="F55" location="'3.01_LTS_Storage_&amp;_Entry'!A1" display="LTS, Storage &amp; Entry" xr:uid="{00000000-0004-0000-0100-000016000000}"/>
    <hyperlink ref="F83" location="'5.09_Reliability'!A1" display="Reliability" xr:uid="{00000000-0004-0000-0100-000017000000}"/>
    <hyperlink ref="F32" location="'2.02_Opex_Cost_Matrix_NC'!A1" display="Opex Cost Matrix: Non-Controllable Activity Costs" xr:uid="{00000000-0004-0000-0100-000018000000}"/>
    <hyperlink ref="F68" location="'4.06_Capitalised_Replacement'!A1" display="Capitalised Replacement" xr:uid="{00000000-0004-0000-0100-000019000000}"/>
    <hyperlink ref="F81" location="'5.07_PRE_Reports_&amp;_Repairs'!A1" display="PRE, Reports &amp; Repairs" xr:uid="{00000000-0004-0000-0100-00001A000000}"/>
    <hyperlink ref="F35" location="'2.05_Business_Support_Group'!A1" display="Business Support Group" xr:uid="{00000000-0004-0000-0100-00001B000000}"/>
    <hyperlink ref="F38" location="'2.08_Property_Management_Group'!A1" display="IT &amp; Telecoms Allocation" xr:uid="{00000000-0004-0000-0100-00001C000000}"/>
    <hyperlink ref="F40" location="'2.10_CEO_&amp;_Corporate '!A1" display="CEO &amp; Corporate - Network costs" xr:uid="{00000000-0004-0000-0100-00001D000000}"/>
    <hyperlink ref="F42" location="'2.12_RPE_&amp;_OE'!A1" display="Real Price Effects (RPE) &amp; Ongoing Efficiency" xr:uid="{00000000-0004-0000-0100-00001E000000}"/>
    <hyperlink ref="F63" location="'4.01_Repex_Mains_Tier-1'!A1" display="Repex Mains Tier-1" xr:uid="{00000000-0004-0000-0100-00001F000000}"/>
    <hyperlink ref="F64" location="'4.02_Repex_Mains_Tier-2A'!A1" display="Repex Mains Tier-2A" xr:uid="{00000000-0004-0000-0100-000020000000}"/>
    <hyperlink ref="F65" location="'4.03_Repex_Mains_Tier-2B_&amp;_3'!A1" display="Repex Mains Tier-2B &amp; 3" xr:uid="{00000000-0004-0000-0100-000021000000}"/>
    <hyperlink ref="F66" location="'4.04_Repex_Mains_Other'!A1" display="Repex Mains Other" xr:uid="{00000000-0004-0000-0100-000022000000}"/>
    <hyperlink ref="F67" location="'4.05_Repex_Mains_Diversions'!A1" display="Repex Mains Diversions" xr:uid="{00000000-0004-0000-0100-000023000000}"/>
    <hyperlink ref="F69" location="'4.07_Repex_Services'!A1" display="Repex Services " xr:uid="{00000000-0004-0000-0100-000024000000}"/>
    <hyperlink ref="F70" location="'4.08_Repex_MOB'!A1" display="Repex Multiple Occupancy Buildings (MOB)" xr:uid="{00000000-0004-0000-0100-000025000000}"/>
    <hyperlink ref="F71" location="'4.09_Repex_Cost_Breakdown'!A1" display="Repex Cost Breakdown" xr:uid="{00000000-0004-0000-0100-000026000000}"/>
    <hyperlink ref="F72" location="'4.10_MRPS'!A1" display="Mains Risk Prioritisation System (MRPS)" xr:uid="{00000000-0004-0000-0100-000027000000}"/>
    <hyperlink ref="F78" location="'5.04_Capacity_&amp;_Demand'!A1" display="Capacity &amp; Demand" xr:uid="{00000000-0004-0000-0100-000028000000}"/>
    <hyperlink ref="F79" location="'5.05_Capacity_Output_Data'!A1" display="Capacity Output" xr:uid="{00000000-0004-0000-0100-000029000000}"/>
    <hyperlink ref="F84" location="'5.10_BCF'!A1" display="Business Carbon Footprint (BCF)" xr:uid="{00000000-0004-0000-0100-00002A000000}"/>
    <hyperlink ref="F21" location="'1.01_BPFM_Inputs'!A1" display="BPFM Inputs" xr:uid="{00000000-0004-0000-0100-00002B000000}"/>
    <hyperlink ref="F22" location="'1.02_BP_Financial_Requirements '!A1" display="BP Financial Requirements" xr:uid="{00000000-0004-0000-0100-00002C000000}"/>
    <hyperlink ref="F25" location="'1.03_BP_Tax_Inputs'!A1" display="BP Tax Inputs" xr:uid="{00000000-0004-0000-0100-00002D000000}"/>
    <hyperlink ref="F26" location="'1.04_BP_Disposals_1'!A1" display="BP Disposals 1" xr:uid="{00000000-0004-0000-0100-00002E000000}"/>
    <hyperlink ref="F27" location="'1.05_BP_Disposals_2'!A1" display="BP Disposals 2" xr:uid="{00000000-0004-0000-0100-00002F000000}"/>
    <hyperlink ref="F20" location="Universal_Data!A1" display="Universal Data" xr:uid="{00000000-0004-0000-0100-000030000000}"/>
    <hyperlink ref="F85" location="'5.11_Innovation'!A1" display="Innovation" xr:uid="{00000000-0004-0000-0100-000031000000}"/>
    <hyperlink ref="F86" location="'5.12_Cyber_Security_OT'!A1" display="Cyber Security OT" xr:uid="{00000000-0004-0000-0100-000032000000}"/>
    <hyperlink ref="F87" location="'5.13_Cyber_Security_IT'!A1" display="Cyber Security IT" xr:uid="{00000000-0004-0000-0100-000033000000}"/>
    <hyperlink ref="F88" location="'5.14_Physical_Security_Capex'!A1" display="Physical Security Capex" xr:uid="{00000000-0004-0000-0100-000034000000}"/>
    <hyperlink ref="F89" location="'5.15_Physical_Security_Opex'!A1" display="Physical Security Opex" xr:uid="{00000000-0004-0000-0100-000035000000}"/>
    <hyperlink ref="F90" location="'5.16_EAP'!A1" display="Environmental Action Plan (EAP)" xr:uid="{00000000-0004-0000-0100-000036000000}"/>
    <hyperlink ref="F73" location="'4.11_Dynamic_Growth_Tier_1'!A1" display="Dynamic Growth Tier 1" xr:uid="{00000000-0004-0000-0100-000037000000}"/>
    <hyperlink ref="F74" location="'4.12_Robotic_Intervention'!A1" display="Robotic Intervention" xr:uid="{00000000-0004-0000-0100-000038000000}"/>
    <hyperlink ref="F23" location="'1.02b_Debt'!A1" display="Debt" xr:uid="{00000000-0004-0000-0100-000039000000}"/>
    <hyperlink ref="F24" location="'1.02c_Interest'!A1" display="Interest" xr:uid="{00000000-0004-0000-0100-00003A000000}"/>
    <hyperlink ref="F28" location="Totex_Summary!A1" display="Totex Summary" xr:uid="{00000000-0004-0000-0100-00003B000000}"/>
    <hyperlink ref="F29" location="GD1_Adjustments!A1" display="GD1 Adjustments" xr:uid="{00000000-0004-0000-0100-00003C000000}"/>
    <hyperlink ref="F44" location="'2.14_T&amp;A_Costs'!A1" display="Training &amp; Apprentices: Costs" xr:uid="{00000000-0004-0000-0100-00003D000000}"/>
    <hyperlink ref="F45" location="'2.15_T&amp;A_Programmes'!A1" display="Training &amp; Apprentices: Programmes" xr:uid="{00000000-0004-0000-0100-00003E000000}"/>
    <hyperlink ref="F46" location="'2.16_T&amp;A_Numbers'!A1" display="Training &amp; Apprentices: Numbers" xr:uid="{00000000-0004-0000-0100-00003F000000}"/>
    <hyperlink ref="F47" location="'2.17_Shrinkage'!A1" display="Shrinkage" xr:uid="{00000000-0004-0000-0100-000040000000}"/>
    <hyperlink ref="F48" location="'2.18_Street_Works'!A1" display="Street Works" xr:uid="{00000000-0004-0000-0100-000041000000}"/>
    <hyperlink ref="F49" location="'2.19_LP_Gasholders'!A1" display="Low-Pressure Gasholders" xr:uid="{00000000-0004-0000-0100-000042000000}"/>
    <hyperlink ref="F50" location="'2.20_Land_Remediation'!A1" display="Land Remediation" xr:uid="{00000000-0004-0000-0100-000043000000}"/>
    <hyperlink ref="F51" location="'2.21_SIU'!A1" display="Statutory Independent Undertakings (SIU)" xr:uid="{00000000-0004-0000-0100-000044000000}"/>
    <hyperlink ref="F52" location="'2.22_Smart_Metering'!A1" display="Smart Metering" xr:uid="{00000000-0004-0000-0100-000045000000}"/>
    <hyperlink ref="F53" location="'2.23_Related_Party'!A1" display="Related Party Transactions" xr:uid="{00000000-0004-0000-0100-000046000000}"/>
    <hyperlink ref="F91" location="'5.17_NARM_Reconciliation'!A1" display="NARM Reconciliation" xr:uid="{00000000-0004-0000-0100-000047000000}"/>
    <hyperlink ref="F92" location="'5.18_Outputs_Uncertainties'!A1" display="Bespoke Activities &amp; Uncertainties" xr:uid="{00000000-0004-0000-0100-000048000000}"/>
  </hyperlinks>
  <pageMargins left="0.7" right="0.7" top="0.75" bottom="0.75" header="0.3" footer="0.3"/>
  <pageSetup paperSize="8"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B050"/>
  </sheetPr>
  <dimension ref="A1:AG29"/>
  <sheetViews>
    <sheetView showGridLines="0" zoomScale="90" zoomScaleNormal="90" workbookViewId="0">
      <pane xSplit="7" topLeftCell="J1" activePane="topRight" state="frozen"/>
      <selection activeCell="G14" sqref="G14"/>
      <selection pane="topRight" activeCell="N19" sqref="N19"/>
    </sheetView>
  </sheetViews>
  <sheetFormatPr defaultColWidth="11.125" defaultRowHeight="14.25"/>
  <cols>
    <col min="1" max="1" width="11.125" style="338"/>
    <col min="2" max="6" width="4.375" style="338" customWidth="1"/>
    <col min="7" max="7" width="38.25" style="338" customWidth="1"/>
    <col min="8" max="22" width="15.625" style="338" customWidth="1"/>
    <col min="23" max="16384" width="11.125" style="338"/>
  </cols>
  <sheetData>
    <row r="1" spans="1:33" s="2" customFormat="1" ht="25.15" customHeight="1">
      <c r="A1" s="1" t="s">
        <v>0</v>
      </c>
      <c r="E1" s="3"/>
      <c r="H1" s="4" t="s">
        <v>1</v>
      </c>
      <c r="J1" s="3"/>
    </row>
    <row r="2" spans="1:33" s="2" customFormat="1" ht="25.15" customHeight="1">
      <c r="A2" s="5" t="str">
        <f>Fixed_Data!I12</f>
        <v>MASTER</v>
      </c>
      <c r="B2" s="6"/>
      <c r="D2" s="7"/>
      <c r="E2" s="3"/>
    </row>
    <row r="3" spans="1:33" s="9" customFormat="1" ht="25.15" customHeight="1" thickBot="1">
      <c r="A3" s="8" t="str">
        <f>Fixed_Data!A3</f>
        <v>RIIO-GD2</v>
      </c>
      <c r="D3" s="10"/>
      <c r="E3" s="11"/>
    </row>
    <row r="4" spans="1:33" ht="25.15" customHeight="1">
      <c r="B4" s="550" t="s">
        <v>1863</v>
      </c>
      <c r="C4" s="550"/>
      <c r="D4" s="550"/>
      <c r="E4" s="550"/>
      <c r="F4" s="550"/>
      <c r="G4" s="251"/>
      <c r="H4" s="551"/>
      <c r="I4" s="552"/>
      <c r="J4" s="549"/>
      <c r="K4" s="549"/>
      <c r="L4" s="549"/>
      <c r="M4" s="549"/>
      <c r="N4" s="549"/>
      <c r="O4" s="549"/>
      <c r="P4" s="549"/>
      <c r="Q4" s="549"/>
      <c r="R4" s="551"/>
      <c r="S4" s="551"/>
      <c r="T4" s="551"/>
      <c r="U4" s="551"/>
      <c r="V4" s="551"/>
    </row>
    <row r="5" spans="1:33" s="553" customFormat="1" ht="25.15" customHeight="1">
      <c r="B5" s="95" t="s">
        <v>1663</v>
      </c>
      <c r="C5" s="95"/>
      <c r="D5" s="95"/>
      <c r="F5" s="95" t="s">
        <v>463</v>
      </c>
      <c r="G5" s="95"/>
      <c r="H5" s="95"/>
      <c r="J5" s="95"/>
      <c r="K5" s="554"/>
      <c r="L5" s="555"/>
      <c r="M5" s="555"/>
      <c r="N5" s="555"/>
      <c r="O5" s="555"/>
      <c r="P5" s="555"/>
      <c r="Q5" s="555"/>
      <c r="R5" s="555"/>
      <c r="S5" s="555"/>
      <c r="T5" s="556"/>
      <c r="U5" s="556"/>
      <c r="V5" s="556"/>
      <c r="W5" s="556"/>
      <c r="X5" s="556"/>
      <c r="Y5" s="556"/>
      <c r="Z5" s="556"/>
      <c r="AA5" s="556"/>
      <c r="AB5" s="556"/>
      <c r="AC5" s="556"/>
      <c r="AD5" s="556"/>
      <c r="AE5" s="556"/>
      <c r="AF5" s="556"/>
      <c r="AG5" s="555"/>
    </row>
    <row r="6" spans="1:33" s="89" customFormat="1" ht="15" customHeight="1">
      <c r="B6" s="95"/>
      <c r="C6" s="95"/>
      <c r="D6" s="95"/>
      <c r="E6" s="95"/>
      <c r="F6" s="95"/>
      <c r="G6" s="95"/>
      <c r="H6" s="95"/>
      <c r="I6" s="93"/>
      <c r="J6" s="94"/>
      <c r="K6" s="94"/>
      <c r="L6" s="94"/>
      <c r="M6" s="94"/>
      <c r="N6" s="94"/>
      <c r="O6" s="94"/>
      <c r="P6" s="94"/>
      <c r="Q6" s="94"/>
      <c r="R6" s="92"/>
      <c r="S6" s="92"/>
      <c r="T6" s="92"/>
      <c r="U6" s="92"/>
      <c r="V6" s="92"/>
    </row>
    <row r="7" spans="1:33" ht="15" customHeight="1" thickBot="1">
      <c r="B7" s="258"/>
      <c r="C7" s="258"/>
      <c r="D7" s="258"/>
      <c r="E7" s="258"/>
      <c r="F7" s="258"/>
      <c r="G7" s="259"/>
      <c r="H7" s="259"/>
      <c r="I7" s="260"/>
      <c r="J7" s="259"/>
      <c r="K7" s="259"/>
      <c r="L7" s="259"/>
      <c r="M7" s="259"/>
      <c r="N7" s="259"/>
      <c r="O7" s="259"/>
      <c r="P7" s="259"/>
      <c r="Q7" s="259"/>
      <c r="R7" s="259"/>
      <c r="S7" s="259"/>
      <c r="T7" s="259"/>
      <c r="U7" s="259"/>
      <c r="V7" s="259"/>
    </row>
    <row r="8" spans="1:33" ht="30" customHeight="1" thickBot="1">
      <c r="B8" s="640" t="s">
        <v>1744</v>
      </c>
      <c r="C8" s="558"/>
      <c r="D8" s="558"/>
      <c r="E8" s="558"/>
      <c r="F8" s="558"/>
      <c r="G8" s="559"/>
      <c r="H8" s="559"/>
      <c r="I8" s="105" t="s">
        <v>1864</v>
      </c>
      <c r="J8" s="106"/>
      <c r="K8" s="106"/>
      <c r="L8" s="106"/>
      <c r="M8" s="106"/>
      <c r="N8" s="106"/>
      <c r="O8" s="106"/>
      <c r="P8" s="106"/>
      <c r="Q8" s="106"/>
      <c r="R8" s="105"/>
      <c r="S8" s="105"/>
      <c r="T8" s="105"/>
      <c r="U8" s="105"/>
      <c r="V8" s="187"/>
    </row>
    <row r="9" spans="1:33" ht="30" customHeight="1">
      <c r="B9" s="560"/>
      <c r="C9" s="561"/>
      <c r="D9" s="561"/>
      <c r="E9" s="561"/>
      <c r="F9" s="561"/>
      <c r="G9" s="561"/>
      <c r="H9" s="561"/>
      <c r="I9" s="562"/>
      <c r="J9" s="563" t="s">
        <v>1666</v>
      </c>
      <c r="K9" s="564"/>
      <c r="L9" s="564"/>
      <c r="M9" s="564"/>
      <c r="N9" s="564"/>
      <c r="O9" s="564"/>
      <c r="P9" s="564"/>
      <c r="Q9" s="565"/>
      <c r="R9" s="566" t="s">
        <v>2</v>
      </c>
      <c r="S9" s="567"/>
      <c r="T9" s="567"/>
      <c r="U9" s="567"/>
      <c r="V9" s="568"/>
    </row>
    <row r="10" spans="1:33" ht="15">
      <c r="B10" s="569"/>
      <c r="C10" s="570"/>
      <c r="D10" s="570"/>
      <c r="E10" s="570"/>
      <c r="F10" s="570"/>
      <c r="G10" s="561"/>
      <c r="H10" s="561"/>
      <c r="I10" s="571"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33" ht="15">
      <c r="B11" s="349"/>
      <c r="C11" s="867" t="s">
        <v>1865</v>
      </c>
      <c r="D11" s="573"/>
      <c r="E11" s="573"/>
      <c r="F11" s="573"/>
      <c r="G11" s="561"/>
      <c r="H11" s="561"/>
      <c r="I11" s="1391"/>
      <c r="J11" s="1394"/>
      <c r="K11" s="1392"/>
      <c r="L11" s="1392"/>
      <c r="M11" s="1392"/>
      <c r="N11" s="1392"/>
      <c r="O11" s="1392"/>
      <c r="P11" s="1392"/>
      <c r="Q11" s="1395"/>
      <c r="R11" s="1394"/>
      <c r="S11" s="1392"/>
      <c r="T11" s="1392"/>
      <c r="U11" s="1392"/>
      <c r="V11" s="1395"/>
    </row>
    <row r="12" spans="1:33" ht="15">
      <c r="B12" s="349"/>
      <c r="C12" s="578"/>
      <c r="D12" s="622" t="s">
        <v>1715</v>
      </c>
      <c r="E12" s="573"/>
      <c r="F12" s="573"/>
      <c r="G12" s="561"/>
      <c r="H12" s="561"/>
      <c r="I12" s="576" t="s">
        <v>498</v>
      </c>
      <c r="J12" s="1117">
        <v>11.938627462788462</v>
      </c>
      <c r="K12" s="1118">
        <v>15.756680265251145</v>
      </c>
      <c r="L12" s="1118">
        <v>13.410037277829884</v>
      </c>
      <c r="M12" s="1118">
        <v>10.298522490482874</v>
      </c>
      <c r="N12" s="1118">
        <v>10.689825167267564</v>
      </c>
      <c r="O12" s="1118">
        <v>9.6625569894388246</v>
      </c>
      <c r="P12" s="1118">
        <f>'2.01_Opex_Cost_Matrix_C'!P230-'2.01_Opex_Cost_Matrix_C'!O230+O12</f>
        <v>10.711696226088868</v>
      </c>
      <c r="Q12" s="1119">
        <f>'2.01_Opex_Cost_Matrix_C'!Q230-'2.01_Opex_Cost_Matrix_C'!P230+P12</f>
        <v>11.05169622608887</v>
      </c>
      <c r="R12" s="1117">
        <f>Q12*0.995</f>
        <v>10.996437744958426</v>
      </c>
      <c r="S12" s="1118">
        <f t="shared" ref="S12:V12" si="0">R12*0.995</f>
        <v>10.941455556233633</v>
      </c>
      <c r="T12" s="1118">
        <f t="shared" si="0"/>
        <v>10.886748278452465</v>
      </c>
      <c r="U12" s="1118">
        <f t="shared" si="0"/>
        <v>10.832314537060203</v>
      </c>
      <c r="V12" s="1119">
        <f t="shared" si="0"/>
        <v>10.778152964374902</v>
      </c>
    </row>
    <row r="13" spans="1:33" ht="15">
      <c r="B13" s="349"/>
      <c r="C13" s="578"/>
      <c r="D13" s="622" t="s">
        <v>118</v>
      </c>
      <c r="E13" s="573"/>
      <c r="F13" s="573"/>
      <c r="G13" s="561"/>
      <c r="H13" s="561"/>
      <c r="I13" s="571" t="s">
        <v>498</v>
      </c>
      <c r="J13" s="1114">
        <v>3.1602042792569529</v>
      </c>
      <c r="K13" s="1115">
        <v>3.6223922292853814</v>
      </c>
      <c r="L13" s="1115">
        <v>3.8871333177299441</v>
      </c>
      <c r="M13" s="1115">
        <v>4.22306166814798</v>
      </c>
      <c r="N13" s="1115">
        <v>4.3483173219375111</v>
      </c>
      <c r="O13" s="1115">
        <v>4.4065976350663902</v>
      </c>
      <c r="P13" s="1115">
        <f>O13</f>
        <v>4.4065976350663902</v>
      </c>
      <c r="Q13" s="1116">
        <f>P13</f>
        <v>4.4065976350663902</v>
      </c>
      <c r="R13" s="1114">
        <f>Q13*0.995</f>
        <v>4.3845646468910582</v>
      </c>
      <c r="S13" s="1115">
        <f t="shared" ref="S13:V13" si="1">R13*0.995</f>
        <v>4.3626418236566025</v>
      </c>
      <c r="T13" s="1115">
        <f t="shared" si="1"/>
        <v>4.340828614538319</v>
      </c>
      <c r="U13" s="1115">
        <f t="shared" si="1"/>
        <v>4.3191244714656278</v>
      </c>
      <c r="V13" s="1116">
        <f t="shared" si="1"/>
        <v>4.2975288491082999</v>
      </c>
    </row>
    <row r="14" spans="1:33">
      <c r="B14" s="349"/>
      <c r="C14" s="578"/>
      <c r="D14" s="622" t="s">
        <v>1718</v>
      </c>
      <c r="E14" s="578"/>
      <c r="F14" s="578"/>
      <c r="G14" s="561"/>
      <c r="H14" s="561"/>
      <c r="I14" s="576" t="s">
        <v>498</v>
      </c>
      <c r="J14" s="1117">
        <v>4.3407613862663368</v>
      </c>
      <c r="K14" s="1118">
        <v>3.979332920691272</v>
      </c>
      <c r="L14" s="1118">
        <v>2.7049634927396626</v>
      </c>
      <c r="M14" s="1118">
        <v>2.9228407794084341</v>
      </c>
      <c r="N14" s="1118">
        <v>3.4129602764254643</v>
      </c>
      <c r="O14" s="1118">
        <v>2.9924148904000001</v>
      </c>
      <c r="P14" s="1118">
        <f>'2.01_Opex_Cost_Matrix_C'!P306-'2.01_Opex_Cost_Matrix_C'!O306+O14</f>
        <v>3.4182994670633988</v>
      </c>
      <c r="Q14" s="1119">
        <v>3.4182994670633988</v>
      </c>
      <c r="R14" s="1117">
        <v>3.4182994670633988</v>
      </c>
      <c r="S14" s="1118">
        <v>3.4182994670633988</v>
      </c>
      <c r="T14" s="1118">
        <v>3.4182994670633988</v>
      </c>
      <c r="U14" s="1118">
        <v>3.4182994670633988</v>
      </c>
      <c r="V14" s="1119">
        <v>3.4182994670633988</v>
      </c>
    </row>
    <row r="15" spans="1:33">
      <c r="B15" s="349"/>
      <c r="C15" s="578"/>
      <c r="D15" s="622" t="s">
        <v>1716</v>
      </c>
      <c r="E15" s="578"/>
      <c r="F15" s="578"/>
      <c r="G15" s="561"/>
      <c r="H15" s="561"/>
      <c r="I15" s="576" t="s">
        <v>498</v>
      </c>
      <c r="J15" s="1117">
        <v>0.83161837737146715</v>
      </c>
      <c r="K15" s="1118">
        <v>0.98852660578599394</v>
      </c>
      <c r="L15" s="1118">
        <v>0.95705323227680172</v>
      </c>
      <c r="M15" s="1118">
        <v>1.224378345925965</v>
      </c>
      <c r="N15" s="1118">
        <v>1.1617279609974132</v>
      </c>
      <c r="O15" s="1118">
        <v>1.3761888832262865</v>
      </c>
      <c r="P15" s="1118">
        <f>O15*0.995</f>
        <v>1.369307938810155</v>
      </c>
      <c r="Q15" s="1119">
        <f t="shared" ref="Q15:V15" si="2">P15*0.995</f>
        <v>1.3624613991161043</v>
      </c>
      <c r="R15" s="1117">
        <f t="shared" si="2"/>
        <v>1.3556490921205238</v>
      </c>
      <c r="S15" s="1118">
        <f t="shared" si="2"/>
        <v>1.3488708466599211</v>
      </c>
      <c r="T15" s="1118">
        <f t="shared" si="2"/>
        <v>1.3421264924266214</v>
      </c>
      <c r="U15" s="1118">
        <f t="shared" si="2"/>
        <v>1.3354158599644883</v>
      </c>
      <c r="V15" s="1119">
        <f t="shared" si="2"/>
        <v>1.3287387806646658</v>
      </c>
    </row>
    <row r="16" spans="1:33">
      <c r="B16" s="349"/>
      <c r="C16" s="578"/>
      <c r="D16" s="622" t="s">
        <v>1717</v>
      </c>
      <c r="E16" s="578"/>
      <c r="F16" s="578"/>
      <c r="G16" s="561"/>
      <c r="H16" s="561"/>
      <c r="I16" s="576" t="s">
        <v>498</v>
      </c>
      <c r="J16" s="1117">
        <v>4.5306165832353269</v>
      </c>
      <c r="K16" s="1118">
        <v>4.4513877432416926</v>
      </c>
      <c r="L16" s="1118">
        <v>4.3262734040147199</v>
      </c>
      <c r="M16" s="1118">
        <v>4.9625484775998281</v>
      </c>
      <c r="N16" s="1118">
        <v>4.8426961530247388</v>
      </c>
      <c r="O16" s="1118">
        <v>4.9687549332135772</v>
      </c>
      <c r="P16" s="1118">
        <f>'2.01_Opex_Cost_Matrix_C'!P284-'2.01_Opex_Cost_Matrix_C'!O284+O16</f>
        <v>4.8524447319385375</v>
      </c>
      <c r="Q16" s="1119">
        <f>P16</f>
        <v>4.8524447319385375</v>
      </c>
      <c r="R16" s="1117">
        <f>Q16*0.995</f>
        <v>4.8281825082788448</v>
      </c>
      <c r="S16" s="1118">
        <f t="shared" ref="S16:V16" si="3">R16*0.995</f>
        <v>4.8040415957374503</v>
      </c>
      <c r="T16" s="1118">
        <f t="shared" si="3"/>
        <v>4.7800213877587634</v>
      </c>
      <c r="U16" s="1118">
        <f t="shared" si="3"/>
        <v>4.7561212808199693</v>
      </c>
      <c r="V16" s="1119">
        <f t="shared" si="3"/>
        <v>4.7323406744158696</v>
      </c>
    </row>
    <row r="17" spans="2:23">
      <c r="B17" s="349"/>
      <c r="C17" s="578"/>
      <c r="D17" s="622" t="s">
        <v>1719</v>
      </c>
      <c r="E17" s="578"/>
      <c r="F17" s="578"/>
      <c r="G17" s="561"/>
      <c r="H17" s="561"/>
      <c r="I17" s="576" t="s">
        <v>498</v>
      </c>
      <c r="J17" s="1117">
        <v>0.36986568972743689</v>
      </c>
      <c r="K17" s="1118">
        <v>0.48822503921231386</v>
      </c>
      <c r="L17" s="1118">
        <v>0.98273444352163253</v>
      </c>
      <c r="M17" s="1118">
        <v>2.6303609654366671</v>
      </c>
      <c r="N17" s="1118">
        <v>3.3336648500693</v>
      </c>
      <c r="O17" s="1118">
        <v>2.0045049785167328</v>
      </c>
      <c r="P17" s="1118">
        <f>O17</f>
        <v>2.0045049785167328</v>
      </c>
      <c r="Q17" s="1119">
        <f t="shared" ref="Q17:V17" si="4">P17</f>
        <v>2.0045049785167328</v>
      </c>
      <c r="R17" s="1117">
        <f t="shared" si="4"/>
        <v>2.0045049785167328</v>
      </c>
      <c r="S17" s="1118">
        <f t="shared" si="4"/>
        <v>2.0045049785167328</v>
      </c>
      <c r="T17" s="1118">
        <f t="shared" si="4"/>
        <v>2.0045049785167328</v>
      </c>
      <c r="U17" s="1118">
        <f t="shared" si="4"/>
        <v>2.0045049785167328</v>
      </c>
      <c r="V17" s="1119">
        <f t="shared" si="4"/>
        <v>2.0045049785167328</v>
      </c>
    </row>
    <row r="18" spans="2:23">
      <c r="B18" s="349"/>
      <c r="C18" s="578"/>
      <c r="D18" s="622" t="s">
        <v>1721</v>
      </c>
      <c r="E18" s="578"/>
      <c r="F18" s="578"/>
      <c r="G18" s="561"/>
      <c r="H18" s="561"/>
      <c r="I18" s="576" t="s">
        <v>498</v>
      </c>
      <c r="J18" s="1117">
        <v>0</v>
      </c>
      <c r="K18" s="1118">
        <v>0</v>
      </c>
      <c r="L18" s="1118">
        <v>0</v>
      </c>
      <c r="M18" s="1118">
        <v>0</v>
      </c>
      <c r="N18" s="1118">
        <v>0</v>
      </c>
      <c r="O18" s="1118">
        <v>0</v>
      </c>
      <c r="P18" s="1118">
        <v>0</v>
      </c>
      <c r="Q18" s="1119">
        <v>0</v>
      </c>
      <c r="R18" s="1117">
        <v>0</v>
      </c>
      <c r="S18" s="1118">
        <v>0</v>
      </c>
      <c r="T18" s="1118">
        <v>0</v>
      </c>
      <c r="U18" s="1118">
        <v>0</v>
      </c>
      <c r="V18" s="1119">
        <v>0</v>
      </c>
    </row>
    <row r="19" spans="2:23" ht="15">
      <c r="B19" s="349"/>
      <c r="C19" s="578"/>
      <c r="D19" s="622" t="s">
        <v>1720</v>
      </c>
      <c r="E19" s="573"/>
      <c r="F19" s="573"/>
      <c r="G19" s="561"/>
      <c r="H19" s="561"/>
      <c r="I19" s="973" t="s">
        <v>498</v>
      </c>
      <c r="J19" s="1388">
        <v>4.3543693678819597</v>
      </c>
      <c r="K19" s="1389">
        <v>4.3831285096855188</v>
      </c>
      <c r="L19" s="1389">
        <v>4.7119058849021362</v>
      </c>
      <c r="M19" s="1389">
        <v>5.107589097137887</v>
      </c>
      <c r="N19" s="1389">
        <v>5.3081246858863604</v>
      </c>
      <c r="O19" s="1389">
        <v>4.304594002626434</v>
      </c>
      <c r="P19" s="1389">
        <f>'2.01_Opex_Cost_Matrix_C'!P344-'2.01_Opex_Cost_Matrix_C'!O344+O19</f>
        <v>4.6607031039316755</v>
      </c>
      <c r="Q19" s="1390">
        <f>P19*0.995</f>
        <v>4.6373995884120172</v>
      </c>
      <c r="R19" s="1388">
        <f t="shared" ref="R19:V19" si="5">Q19*0.995</f>
        <v>4.6142125904699567</v>
      </c>
      <c r="S19" s="1389">
        <f t="shared" si="5"/>
        <v>4.5911415275176068</v>
      </c>
      <c r="T19" s="1389">
        <f t="shared" si="5"/>
        <v>4.5681858198800187</v>
      </c>
      <c r="U19" s="1389">
        <f t="shared" si="5"/>
        <v>4.5453448907806182</v>
      </c>
      <c r="V19" s="1390">
        <f t="shared" si="5"/>
        <v>4.5226181663267155</v>
      </c>
    </row>
    <row r="20" spans="2:23" ht="15.75" thickBot="1">
      <c r="B20" s="357" t="s">
        <v>1701</v>
      </c>
      <c r="C20" s="1396"/>
      <c r="D20" s="961"/>
      <c r="E20" s="961"/>
      <c r="F20" s="961"/>
      <c r="G20" s="580"/>
      <c r="H20" s="580"/>
      <c r="I20" s="581" t="s">
        <v>498</v>
      </c>
      <c r="J20" s="996">
        <f>SUM(J12:J19)</f>
        <v>29.526063146527946</v>
      </c>
      <c r="K20" s="305">
        <f t="shared" ref="K20:V20" si="6">SUM(K12:K19)</f>
        <v>33.669673313153318</v>
      </c>
      <c r="L20" s="305">
        <f t="shared" si="6"/>
        <v>30.980101053014781</v>
      </c>
      <c r="M20" s="305">
        <f t="shared" si="6"/>
        <v>31.369301824139637</v>
      </c>
      <c r="N20" s="305">
        <f t="shared" si="6"/>
        <v>33.097316415608354</v>
      </c>
      <c r="O20" s="305">
        <f t="shared" si="6"/>
        <v>29.715612312488247</v>
      </c>
      <c r="P20" s="305">
        <f t="shared" si="6"/>
        <v>31.423554081415759</v>
      </c>
      <c r="Q20" s="306">
        <f t="shared" si="6"/>
        <v>31.733404026202049</v>
      </c>
      <c r="R20" s="996">
        <f t="shared" si="6"/>
        <v>31.601851028298938</v>
      </c>
      <c r="S20" s="305">
        <f t="shared" si="6"/>
        <v>31.470955795385347</v>
      </c>
      <c r="T20" s="305">
        <f t="shared" si="6"/>
        <v>31.340715038636318</v>
      </c>
      <c r="U20" s="305">
        <f t="shared" si="6"/>
        <v>31.211125485671037</v>
      </c>
      <c r="V20" s="306">
        <f t="shared" si="6"/>
        <v>31.082183880470581</v>
      </c>
    </row>
    <row r="21" spans="2:23">
      <c r="B21" s="561"/>
      <c r="C21" s="561"/>
      <c r="D21" s="561"/>
      <c r="E21" s="561"/>
      <c r="F21" s="561"/>
      <c r="G21" s="561"/>
      <c r="H21" s="551"/>
      <c r="I21" s="551"/>
      <c r="J21" s="551"/>
      <c r="K21" s="551"/>
      <c r="L21" s="551"/>
      <c r="M21" s="551"/>
      <c r="N21" s="551"/>
      <c r="O21" s="551"/>
      <c r="P21" s="551"/>
      <c r="Q21" s="551"/>
      <c r="R21" s="551"/>
      <c r="S21" s="551"/>
      <c r="T21" s="551"/>
      <c r="U21" s="551"/>
      <c r="V21" s="551"/>
      <c r="W21" s="339"/>
    </row>
    <row r="22" spans="2:23">
      <c r="B22" s="339"/>
      <c r="C22" s="339"/>
      <c r="D22" s="339"/>
      <c r="E22" s="339"/>
      <c r="F22" s="339"/>
      <c r="G22" s="339"/>
      <c r="H22" s="339"/>
      <c r="I22" s="339"/>
      <c r="J22" s="339"/>
      <c r="K22" s="339"/>
      <c r="L22" s="339"/>
      <c r="M22" s="339"/>
      <c r="N22" s="339"/>
      <c r="O22" s="339"/>
      <c r="P22" s="339"/>
      <c r="Q22" s="339"/>
      <c r="R22" s="339"/>
      <c r="S22" s="339"/>
      <c r="T22" s="339"/>
      <c r="U22" s="339"/>
      <c r="V22" s="339"/>
      <c r="W22" s="339"/>
    </row>
    <row r="23" spans="2:23">
      <c r="B23" s="339"/>
      <c r="C23" s="339"/>
      <c r="D23" s="339"/>
      <c r="E23" s="339"/>
      <c r="F23" s="339"/>
      <c r="G23" s="339"/>
      <c r="H23" s="339"/>
      <c r="I23" s="339"/>
      <c r="J23" s="339"/>
      <c r="K23" s="339"/>
      <c r="L23" s="339"/>
      <c r="M23" s="339"/>
      <c r="N23" s="339"/>
      <c r="O23" s="339"/>
      <c r="P23" s="339"/>
      <c r="Q23" s="339"/>
      <c r="R23" s="339"/>
      <c r="S23" s="339"/>
      <c r="T23" s="339"/>
      <c r="U23" s="339"/>
      <c r="V23" s="339"/>
      <c r="W23" s="339"/>
    </row>
    <row r="24" spans="2:23">
      <c r="B24" s="339"/>
      <c r="C24" s="339"/>
      <c r="D24" s="339"/>
      <c r="E24" s="339"/>
      <c r="F24" s="339"/>
      <c r="G24" s="339"/>
      <c r="H24" s="339"/>
      <c r="I24" s="339"/>
      <c r="J24" s="339"/>
      <c r="K24" s="339"/>
      <c r="L24" s="339"/>
      <c r="M24" s="339"/>
      <c r="N24" s="339"/>
      <c r="O24" s="339"/>
      <c r="P24" s="339"/>
      <c r="Q24" s="339"/>
      <c r="R24" s="339"/>
      <c r="S24" s="339"/>
      <c r="T24" s="339"/>
      <c r="U24" s="339"/>
      <c r="V24" s="339"/>
      <c r="W24" s="339"/>
    </row>
    <row r="25" spans="2:23">
      <c r="B25" s="339"/>
      <c r="C25" s="339"/>
      <c r="D25" s="339"/>
      <c r="E25" s="339"/>
      <c r="F25" s="339"/>
      <c r="G25" s="339"/>
      <c r="H25" s="339"/>
      <c r="I25" s="339"/>
      <c r="J25" s="339"/>
      <c r="K25" s="339"/>
      <c r="L25" s="339"/>
      <c r="M25" s="339"/>
      <c r="N25" s="339"/>
      <c r="O25" s="339"/>
      <c r="P25" s="339"/>
      <c r="Q25" s="339"/>
      <c r="R25" s="339"/>
      <c r="S25" s="339"/>
      <c r="T25" s="339"/>
      <c r="U25" s="339"/>
      <c r="V25" s="339"/>
      <c r="W25" s="339"/>
    </row>
    <row r="26" spans="2:23">
      <c r="B26" s="339"/>
      <c r="C26" s="339"/>
      <c r="D26" s="339"/>
      <c r="E26" s="339"/>
      <c r="F26" s="339"/>
      <c r="G26" s="339"/>
      <c r="H26" s="339"/>
      <c r="I26" s="339"/>
      <c r="J26" s="339"/>
      <c r="K26" s="339"/>
      <c r="L26" s="339"/>
      <c r="M26" s="339"/>
      <c r="N26" s="339"/>
      <c r="O26" s="339"/>
      <c r="P26" s="339"/>
      <c r="Q26" s="339"/>
      <c r="R26" s="339"/>
      <c r="S26" s="339"/>
      <c r="T26" s="339"/>
      <c r="U26" s="339"/>
      <c r="V26" s="339"/>
      <c r="W26" s="339"/>
    </row>
    <row r="27" spans="2:23">
      <c r="B27" s="339"/>
      <c r="C27" s="339"/>
      <c r="D27" s="339"/>
      <c r="E27" s="339"/>
      <c r="F27" s="339"/>
      <c r="G27" s="339"/>
      <c r="H27" s="339"/>
      <c r="I27" s="339"/>
      <c r="J27" s="339"/>
      <c r="K27" s="339"/>
      <c r="L27" s="339"/>
      <c r="M27" s="339"/>
      <c r="N27" s="339"/>
      <c r="O27" s="339"/>
      <c r="P27" s="339"/>
      <c r="Q27" s="339"/>
      <c r="R27" s="339"/>
      <c r="S27" s="339"/>
      <c r="T27" s="339"/>
      <c r="U27" s="339"/>
      <c r="V27" s="339"/>
      <c r="W27" s="339"/>
    </row>
    <row r="28" spans="2:23">
      <c r="B28" s="339"/>
      <c r="C28" s="339"/>
      <c r="D28" s="339"/>
      <c r="E28" s="339"/>
      <c r="F28" s="339"/>
      <c r="G28" s="339"/>
      <c r="H28" s="339"/>
      <c r="I28" s="339"/>
      <c r="J28" s="339"/>
      <c r="K28" s="339"/>
      <c r="L28" s="339"/>
      <c r="M28" s="339"/>
      <c r="N28" s="339"/>
      <c r="O28" s="339"/>
      <c r="P28" s="339"/>
      <c r="Q28" s="339"/>
      <c r="R28" s="339"/>
      <c r="S28" s="339"/>
      <c r="T28" s="339"/>
      <c r="U28" s="339"/>
      <c r="V28" s="339"/>
      <c r="W28" s="339"/>
    </row>
    <row r="29" spans="2:23">
      <c r="B29" s="339"/>
      <c r="C29" s="339"/>
      <c r="D29" s="339"/>
      <c r="E29" s="339"/>
      <c r="F29" s="339"/>
      <c r="G29" s="339"/>
      <c r="H29" s="339"/>
      <c r="I29" s="339"/>
      <c r="J29" s="339"/>
      <c r="K29" s="339"/>
      <c r="L29" s="339"/>
      <c r="M29" s="339"/>
      <c r="N29" s="339"/>
      <c r="O29" s="339"/>
      <c r="P29" s="339"/>
      <c r="Q29" s="339"/>
      <c r="R29" s="339"/>
      <c r="S29" s="339"/>
      <c r="T29" s="339"/>
      <c r="U29" s="339"/>
      <c r="V29" s="339"/>
      <c r="W29" s="339"/>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50"/>
  </sheetPr>
  <dimension ref="A1:BO184"/>
  <sheetViews>
    <sheetView showGridLines="0" topLeftCell="A145" zoomScale="60" zoomScaleNormal="60" workbookViewId="0">
      <pane xSplit="7" topLeftCell="L1" activePane="topRight" state="frozen"/>
      <selection activeCell="G14" sqref="G14"/>
      <selection pane="topRight" activeCell="T130" sqref="T130"/>
    </sheetView>
  </sheetViews>
  <sheetFormatPr defaultColWidth="11.125" defaultRowHeight="14.25"/>
  <cols>
    <col min="1" max="1" width="11.125" style="338"/>
    <col min="2" max="6" width="4.5" style="338" customWidth="1"/>
    <col min="7" max="7" width="38.25" style="338" customWidth="1"/>
    <col min="8" max="22" width="15.625" style="338" customWidth="1"/>
    <col min="23" max="23" width="4.375" style="338" customWidth="1"/>
    <col min="24" max="37" width="15.625" style="338" customWidth="1"/>
    <col min="38" max="38" width="4.375" style="338" customWidth="1"/>
    <col min="39" max="52" width="15.625" style="338" customWidth="1"/>
    <col min="53" max="53" width="4.375" style="338" customWidth="1"/>
    <col min="54" max="67" width="15.625" style="338" customWidth="1"/>
    <col min="68" max="16384" width="11.125" style="338"/>
  </cols>
  <sheetData>
    <row r="1" spans="1:67" s="2" customFormat="1" ht="25.15" customHeight="1">
      <c r="A1" s="1" t="s">
        <v>0</v>
      </c>
      <c r="E1" s="3"/>
      <c r="H1" s="4" t="s">
        <v>1</v>
      </c>
      <c r="J1" s="3"/>
      <c r="W1" s="4" t="s">
        <v>1</v>
      </c>
      <c r="Y1" s="3"/>
      <c r="AL1" s="4" t="s">
        <v>1</v>
      </c>
      <c r="AN1" s="3"/>
    </row>
    <row r="2" spans="1:67" s="2" customFormat="1" ht="25.15" customHeight="1">
      <c r="A2" s="5" t="str">
        <f>Fixed_Data!I12</f>
        <v>MASTER</v>
      </c>
      <c r="B2" s="6"/>
      <c r="D2" s="7"/>
      <c r="E2" s="3"/>
    </row>
    <row r="3" spans="1:67" s="9" customFormat="1" ht="25.15" customHeight="1" thickBot="1">
      <c r="A3" s="8" t="str">
        <f>Fixed_Data!A3</f>
        <v>RIIO-GD2</v>
      </c>
      <c r="D3" s="10"/>
      <c r="E3" s="11"/>
    </row>
    <row r="4" spans="1:67" ht="25.15" customHeight="1">
      <c r="B4" s="550" t="s">
        <v>1866</v>
      </c>
      <c r="C4" s="550"/>
      <c r="D4" s="550"/>
      <c r="E4" s="550"/>
      <c r="F4" s="550"/>
      <c r="G4" s="251"/>
      <c r="H4" s="551"/>
      <c r="I4" s="552"/>
      <c r="J4" s="549"/>
      <c r="K4" s="549"/>
      <c r="L4" s="549"/>
      <c r="M4" s="549"/>
      <c r="N4" s="549"/>
      <c r="O4" s="549"/>
      <c r="P4" s="549"/>
      <c r="Q4" s="549"/>
      <c r="R4" s="551"/>
      <c r="S4" s="551"/>
      <c r="T4" s="551"/>
      <c r="U4" s="551"/>
      <c r="V4" s="551"/>
      <c r="W4" s="551"/>
      <c r="X4" s="552"/>
      <c r="Y4" s="549"/>
      <c r="Z4" s="549"/>
      <c r="AA4" s="549"/>
      <c r="AB4" s="549"/>
      <c r="AC4" s="549"/>
      <c r="AD4" s="549"/>
      <c r="AE4" s="549"/>
      <c r="AF4" s="549"/>
      <c r="AG4" s="551"/>
      <c r="AH4" s="551"/>
      <c r="AI4" s="551"/>
      <c r="AJ4" s="551"/>
      <c r="AK4" s="551"/>
      <c r="AL4" s="551"/>
      <c r="AM4" s="552"/>
      <c r="AN4" s="549"/>
      <c r="AO4" s="549"/>
      <c r="AP4" s="549"/>
      <c r="AQ4" s="549"/>
      <c r="AR4" s="549"/>
      <c r="AS4" s="549"/>
      <c r="AT4" s="549"/>
      <c r="AU4" s="549"/>
      <c r="AV4" s="551"/>
      <c r="AW4" s="551"/>
      <c r="AX4" s="551"/>
      <c r="AY4" s="551"/>
      <c r="AZ4" s="551"/>
    </row>
    <row r="5" spans="1:67" s="553" customFormat="1" ht="25.15" customHeight="1">
      <c r="B5" s="95" t="s">
        <v>1663</v>
      </c>
      <c r="C5" s="95"/>
      <c r="D5" s="95"/>
      <c r="F5" s="95" t="s">
        <v>463</v>
      </c>
      <c r="G5" s="95"/>
      <c r="H5" s="95"/>
      <c r="J5" s="95"/>
      <c r="K5" s="554"/>
      <c r="L5" s="555"/>
      <c r="M5" s="555"/>
      <c r="N5" s="555"/>
      <c r="O5" s="555"/>
      <c r="P5" s="555"/>
      <c r="Q5" s="555"/>
      <c r="R5" s="555"/>
      <c r="S5" s="555"/>
      <c r="T5" s="556"/>
      <c r="U5" s="556"/>
      <c r="V5" s="556"/>
      <c r="W5" s="95"/>
      <c r="Y5" s="95"/>
      <c r="Z5" s="554"/>
      <c r="AA5" s="555"/>
      <c r="AB5" s="555"/>
      <c r="AC5" s="555"/>
      <c r="AD5" s="555"/>
      <c r="AE5" s="555"/>
      <c r="AF5" s="555"/>
      <c r="AG5" s="555"/>
      <c r="AH5" s="555"/>
      <c r="AI5" s="556"/>
      <c r="AJ5" s="556"/>
      <c r="AK5" s="556"/>
      <c r="AL5" s="95"/>
      <c r="AN5" s="95"/>
      <c r="AO5" s="554"/>
      <c r="AP5" s="555"/>
      <c r="AQ5" s="555"/>
      <c r="AR5" s="555"/>
      <c r="AS5" s="555"/>
      <c r="AT5" s="555"/>
      <c r="AU5" s="555"/>
      <c r="AV5" s="555"/>
      <c r="AW5" s="555"/>
      <c r="AX5" s="556"/>
      <c r="AY5" s="556"/>
      <c r="AZ5" s="556"/>
      <c r="BA5" s="556"/>
      <c r="BB5" s="556"/>
      <c r="BC5" s="556"/>
      <c r="BD5" s="556"/>
      <c r="BE5" s="556"/>
      <c r="BF5" s="556"/>
      <c r="BG5" s="556"/>
      <c r="BH5" s="556"/>
      <c r="BI5" s="556"/>
      <c r="BJ5" s="556"/>
      <c r="BK5" s="555"/>
    </row>
    <row r="6" spans="1:67" s="553" customFormat="1" ht="15" customHeight="1">
      <c r="B6" s="95"/>
      <c r="C6" s="95"/>
      <c r="D6" s="95"/>
      <c r="F6" s="95"/>
      <c r="G6" s="95"/>
      <c r="H6" s="95"/>
      <c r="J6" s="95"/>
      <c r="K6" s="554"/>
      <c r="L6" s="555"/>
      <c r="M6" s="555"/>
      <c r="N6" s="555"/>
      <c r="O6" s="555"/>
      <c r="P6" s="555"/>
      <c r="Q6" s="555"/>
      <c r="R6" s="555"/>
      <c r="S6" s="555"/>
      <c r="T6" s="556"/>
      <c r="U6" s="556"/>
      <c r="V6" s="556"/>
      <c r="W6" s="95"/>
      <c r="Y6" s="95"/>
      <c r="Z6" s="554"/>
      <c r="AA6" s="555"/>
      <c r="AB6" s="555"/>
      <c r="AC6" s="555"/>
      <c r="AD6" s="555"/>
      <c r="AE6" s="555"/>
      <c r="AF6" s="555"/>
      <c r="AG6" s="555"/>
      <c r="AH6" s="555"/>
      <c r="AI6" s="556"/>
      <c r="AJ6" s="556"/>
      <c r="AK6" s="556"/>
      <c r="AL6" s="95"/>
      <c r="AN6" s="95"/>
      <c r="AO6" s="554"/>
      <c r="AP6" s="555"/>
      <c r="AQ6" s="555"/>
      <c r="AR6" s="555"/>
      <c r="AS6" s="555"/>
      <c r="AT6" s="555"/>
      <c r="AU6" s="555"/>
      <c r="AV6" s="555"/>
      <c r="AW6" s="555"/>
      <c r="AX6" s="556"/>
      <c r="AY6" s="556"/>
      <c r="AZ6" s="556"/>
      <c r="BA6" s="556"/>
      <c r="BB6" s="556"/>
      <c r="BC6" s="556"/>
      <c r="BD6" s="556"/>
      <c r="BE6" s="556"/>
      <c r="BF6" s="556"/>
      <c r="BG6" s="556"/>
      <c r="BH6" s="556"/>
      <c r="BI6" s="556"/>
      <c r="BJ6" s="556"/>
      <c r="BK6" s="555"/>
    </row>
    <row r="7" spans="1:67" ht="15" customHeight="1">
      <c r="B7" s="258"/>
      <c r="C7" s="258"/>
      <c r="D7" s="258"/>
      <c r="E7" s="258"/>
      <c r="F7" s="258"/>
      <c r="G7" s="259"/>
      <c r="H7" s="259"/>
      <c r="I7" s="260"/>
      <c r="J7" s="259"/>
      <c r="K7" s="259"/>
      <c r="L7" s="259"/>
      <c r="M7" s="259"/>
      <c r="N7" s="259"/>
      <c r="O7" s="259"/>
      <c r="P7" s="259"/>
      <c r="Q7" s="259"/>
      <c r="R7" s="259"/>
      <c r="S7" s="259"/>
      <c r="T7" s="259"/>
      <c r="U7" s="259"/>
      <c r="V7" s="259"/>
      <c r="W7" s="259"/>
      <c r="X7" s="260"/>
      <c r="Y7" s="259"/>
      <c r="Z7" s="259"/>
      <c r="AA7" s="259"/>
      <c r="AB7" s="259"/>
      <c r="AC7" s="259"/>
      <c r="AD7" s="259"/>
      <c r="AE7" s="259"/>
      <c r="AF7" s="259"/>
      <c r="AG7" s="259"/>
      <c r="AH7" s="259"/>
      <c r="AI7" s="259"/>
      <c r="AJ7" s="259"/>
      <c r="AK7" s="259"/>
      <c r="AL7" s="259"/>
      <c r="AM7" s="260"/>
      <c r="AN7" s="259"/>
      <c r="AO7" s="259"/>
      <c r="AP7" s="259"/>
      <c r="AQ7" s="259"/>
      <c r="AR7" s="259"/>
      <c r="AS7" s="259"/>
      <c r="AT7" s="259"/>
      <c r="AU7" s="259"/>
      <c r="AV7" s="259"/>
      <c r="AW7" s="259"/>
      <c r="AX7" s="259"/>
      <c r="AY7" s="259"/>
      <c r="AZ7" s="259"/>
    </row>
    <row r="8" spans="1:67" ht="15" thickBot="1">
      <c r="B8" s="549"/>
      <c r="C8" s="549"/>
      <c r="D8" s="549"/>
      <c r="E8" s="549"/>
      <c r="F8" s="549"/>
      <c r="G8" s="549"/>
      <c r="H8" s="551"/>
      <c r="I8" s="552"/>
      <c r="J8" s="551"/>
      <c r="K8" s="551"/>
      <c r="L8" s="551"/>
      <c r="M8" s="551"/>
      <c r="N8" s="551"/>
      <c r="O8" s="551"/>
      <c r="P8" s="551"/>
      <c r="Q8" s="551"/>
      <c r="R8" s="551"/>
      <c r="S8" s="551"/>
      <c r="T8" s="551"/>
      <c r="U8" s="551"/>
      <c r="V8" s="551"/>
      <c r="W8" s="551"/>
      <c r="X8" s="552"/>
      <c r="Y8" s="551"/>
      <c r="Z8" s="551"/>
      <c r="AA8" s="551"/>
      <c r="AB8" s="551"/>
      <c r="AC8" s="551"/>
      <c r="AD8" s="551"/>
      <c r="AE8" s="551"/>
      <c r="AF8" s="551"/>
      <c r="AG8" s="551"/>
      <c r="AH8" s="551"/>
      <c r="AI8" s="551"/>
      <c r="AJ8" s="551"/>
      <c r="AK8" s="551"/>
      <c r="AL8" s="551"/>
      <c r="AM8" s="552"/>
      <c r="AN8" s="551"/>
      <c r="AO8" s="551"/>
      <c r="AP8" s="551"/>
      <c r="AQ8" s="551"/>
      <c r="AR8" s="551"/>
      <c r="AS8" s="551"/>
      <c r="AT8" s="551"/>
      <c r="AU8" s="551"/>
      <c r="AV8" s="551"/>
      <c r="AW8" s="551"/>
      <c r="AX8" s="551"/>
      <c r="AY8" s="551"/>
      <c r="AZ8" s="551"/>
    </row>
    <row r="9" spans="1:67" ht="30" customHeight="1" thickBot="1">
      <c r="B9" s="640" t="s">
        <v>1715</v>
      </c>
      <c r="C9" s="558"/>
      <c r="D9" s="558"/>
      <c r="E9" s="558"/>
      <c r="F9" s="558"/>
      <c r="G9" s="559"/>
      <c r="H9" s="294"/>
      <c r="I9" s="105" t="s">
        <v>1864</v>
      </c>
      <c r="J9" s="106"/>
      <c r="K9" s="106"/>
      <c r="L9" s="106"/>
      <c r="M9" s="106"/>
      <c r="N9" s="106"/>
      <c r="O9" s="106"/>
      <c r="P9" s="106"/>
      <c r="Q9" s="106"/>
      <c r="R9" s="105"/>
      <c r="S9" s="105"/>
      <c r="T9" s="105"/>
      <c r="U9" s="105"/>
      <c r="V9" s="187"/>
      <c r="W9" s="294"/>
      <c r="X9" s="105" t="s">
        <v>1867</v>
      </c>
      <c r="Y9" s="106"/>
      <c r="Z9" s="106"/>
      <c r="AA9" s="106"/>
      <c r="AB9" s="106"/>
      <c r="AC9" s="106"/>
      <c r="AD9" s="106"/>
      <c r="AE9" s="106"/>
      <c r="AF9" s="106"/>
      <c r="AG9" s="105"/>
      <c r="AH9" s="105"/>
      <c r="AI9" s="105"/>
      <c r="AJ9" s="105"/>
      <c r="AK9" s="187"/>
      <c r="AL9" s="294"/>
      <c r="AM9" s="105" t="s">
        <v>1868</v>
      </c>
      <c r="AN9" s="106"/>
      <c r="AO9" s="106"/>
      <c r="AP9" s="106"/>
      <c r="AQ9" s="106"/>
      <c r="AR9" s="106"/>
      <c r="AS9" s="106"/>
      <c r="AT9" s="106"/>
      <c r="AU9" s="106"/>
      <c r="AV9" s="105"/>
      <c r="AW9" s="105"/>
      <c r="AX9" s="105"/>
      <c r="AY9" s="105"/>
      <c r="AZ9" s="187"/>
      <c r="BA9" s="587"/>
      <c r="BB9" s="105" t="s">
        <v>1869</v>
      </c>
      <c r="BC9" s="106"/>
      <c r="BD9" s="106"/>
      <c r="BE9" s="106"/>
      <c r="BF9" s="106"/>
      <c r="BG9" s="106"/>
      <c r="BH9" s="106"/>
      <c r="BI9" s="106"/>
      <c r="BJ9" s="106"/>
      <c r="BK9" s="105"/>
      <c r="BL9" s="105"/>
      <c r="BM9" s="105"/>
      <c r="BN9" s="105"/>
      <c r="BO9" s="187"/>
    </row>
    <row r="10" spans="1:67" ht="30" customHeight="1">
      <c r="B10" s="560"/>
      <c r="C10" s="561"/>
      <c r="D10" s="561"/>
      <c r="E10" s="561"/>
      <c r="F10" s="561"/>
      <c r="G10" s="561"/>
      <c r="H10" s="259"/>
      <c r="I10" s="562"/>
      <c r="J10" s="563" t="s">
        <v>1666</v>
      </c>
      <c r="K10" s="564"/>
      <c r="L10" s="564"/>
      <c r="M10" s="564"/>
      <c r="N10" s="564"/>
      <c r="O10" s="564"/>
      <c r="P10" s="564"/>
      <c r="Q10" s="565"/>
      <c r="R10" s="566" t="s">
        <v>2</v>
      </c>
      <c r="S10" s="567"/>
      <c r="T10" s="567"/>
      <c r="U10" s="567"/>
      <c r="V10" s="568"/>
      <c r="W10" s="259"/>
      <c r="X10" s="562"/>
      <c r="Y10" s="563" t="s">
        <v>1666</v>
      </c>
      <c r="Z10" s="564"/>
      <c r="AA10" s="564"/>
      <c r="AB10" s="564"/>
      <c r="AC10" s="564"/>
      <c r="AD10" s="564"/>
      <c r="AE10" s="564"/>
      <c r="AF10" s="565"/>
      <c r="AG10" s="566" t="s">
        <v>2</v>
      </c>
      <c r="AH10" s="567"/>
      <c r="AI10" s="567"/>
      <c r="AJ10" s="567"/>
      <c r="AK10" s="568"/>
      <c r="AL10" s="259"/>
      <c r="AM10" s="562"/>
      <c r="AN10" s="563" t="s">
        <v>1666</v>
      </c>
      <c r="AO10" s="564"/>
      <c r="AP10" s="564"/>
      <c r="AQ10" s="564"/>
      <c r="AR10" s="564"/>
      <c r="AS10" s="564"/>
      <c r="AT10" s="564"/>
      <c r="AU10" s="565"/>
      <c r="AV10" s="566" t="s">
        <v>2</v>
      </c>
      <c r="AW10" s="567"/>
      <c r="AX10" s="567"/>
      <c r="AY10" s="567"/>
      <c r="AZ10" s="568"/>
      <c r="BA10" s="339"/>
      <c r="BB10" s="562"/>
      <c r="BC10" s="563" t="s">
        <v>1666</v>
      </c>
      <c r="BD10" s="564"/>
      <c r="BE10" s="564"/>
      <c r="BF10" s="564"/>
      <c r="BG10" s="564"/>
      <c r="BH10" s="564"/>
      <c r="BI10" s="564"/>
      <c r="BJ10" s="565"/>
      <c r="BK10" s="566" t="s">
        <v>2</v>
      </c>
      <c r="BL10" s="567"/>
      <c r="BM10" s="567"/>
      <c r="BN10" s="567"/>
      <c r="BO10" s="568"/>
    </row>
    <row r="11" spans="1:67" ht="15">
      <c r="B11" s="572"/>
      <c r="C11" s="339"/>
      <c r="D11" s="339"/>
      <c r="E11" s="339"/>
      <c r="F11" s="339"/>
      <c r="G11" s="339"/>
      <c r="H11" s="259"/>
      <c r="I11" s="571" t="s">
        <v>1745</v>
      </c>
      <c r="J11" s="158" t="s">
        <v>453</v>
      </c>
      <c r="K11" s="137" t="s">
        <v>455</v>
      </c>
      <c r="L11" s="137" t="s">
        <v>457</v>
      </c>
      <c r="M11" s="137" t="s">
        <v>459</v>
      </c>
      <c r="N11" s="137" t="s">
        <v>461</v>
      </c>
      <c r="O11" s="137" t="s">
        <v>463</v>
      </c>
      <c r="P11" s="137" t="s">
        <v>465</v>
      </c>
      <c r="Q11" s="138" t="s">
        <v>467</v>
      </c>
      <c r="R11" s="120" t="s">
        <v>469</v>
      </c>
      <c r="S11" s="121" t="s">
        <v>471</v>
      </c>
      <c r="T11" s="121" t="s">
        <v>473</v>
      </c>
      <c r="U11" s="121" t="s">
        <v>475</v>
      </c>
      <c r="V11" s="122" t="s">
        <v>477</v>
      </c>
      <c r="W11" s="259"/>
      <c r="X11" s="571" t="s">
        <v>1745</v>
      </c>
      <c r="Y11" s="158" t="s">
        <v>453</v>
      </c>
      <c r="Z11" s="137" t="s">
        <v>455</v>
      </c>
      <c r="AA11" s="137" t="s">
        <v>457</v>
      </c>
      <c r="AB11" s="137" t="s">
        <v>459</v>
      </c>
      <c r="AC11" s="137" t="s">
        <v>461</v>
      </c>
      <c r="AD11" s="137" t="s">
        <v>463</v>
      </c>
      <c r="AE11" s="137" t="s">
        <v>465</v>
      </c>
      <c r="AF11" s="138" t="s">
        <v>467</v>
      </c>
      <c r="AG11" s="120" t="s">
        <v>469</v>
      </c>
      <c r="AH11" s="121" t="s">
        <v>471</v>
      </c>
      <c r="AI11" s="121" t="s">
        <v>473</v>
      </c>
      <c r="AJ11" s="121" t="s">
        <v>475</v>
      </c>
      <c r="AK11" s="122" t="s">
        <v>477</v>
      </c>
      <c r="AL11" s="259"/>
      <c r="AM11" s="571" t="s">
        <v>1745</v>
      </c>
      <c r="AN11" s="158" t="s">
        <v>453</v>
      </c>
      <c r="AO11" s="137" t="s">
        <v>455</v>
      </c>
      <c r="AP11" s="137" t="s">
        <v>457</v>
      </c>
      <c r="AQ11" s="137" t="s">
        <v>459</v>
      </c>
      <c r="AR11" s="137" t="s">
        <v>461</v>
      </c>
      <c r="AS11" s="137" t="s">
        <v>463</v>
      </c>
      <c r="AT11" s="137" t="s">
        <v>465</v>
      </c>
      <c r="AU11" s="138" t="s">
        <v>467</v>
      </c>
      <c r="AV11" s="120" t="s">
        <v>469</v>
      </c>
      <c r="AW11" s="121" t="s">
        <v>471</v>
      </c>
      <c r="AX11" s="121" t="s">
        <v>473</v>
      </c>
      <c r="AY11" s="121" t="s">
        <v>475</v>
      </c>
      <c r="AZ11" s="122" t="s">
        <v>477</v>
      </c>
      <c r="BA11" s="339"/>
      <c r="BB11" s="571" t="s">
        <v>1745</v>
      </c>
      <c r="BC11" s="158" t="s">
        <v>453</v>
      </c>
      <c r="BD11" s="137" t="s">
        <v>455</v>
      </c>
      <c r="BE11" s="137" t="s">
        <v>457</v>
      </c>
      <c r="BF11" s="137" t="s">
        <v>459</v>
      </c>
      <c r="BG11" s="137" t="s">
        <v>461</v>
      </c>
      <c r="BH11" s="137" t="s">
        <v>463</v>
      </c>
      <c r="BI11" s="137" t="s">
        <v>465</v>
      </c>
      <c r="BJ11" s="138" t="s">
        <v>467</v>
      </c>
      <c r="BK11" s="120" t="s">
        <v>469</v>
      </c>
      <c r="BL11" s="121" t="s">
        <v>471</v>
      </c>
      <c r="BM11" s="121" t="s">
        <v>473</v>
      </c>
      <c r="BN11" s="121" t="s">
        <v>475</v>
      </c>
      <c r="BO11" s="122" t="s">
        <v>477</v>
      </c>
    </row>
    <row r="12" spans="1:67" ht="15">
      <c r="B12" s="572"/>
      <c r="C12" s="623" t="s">
        <v>1870</v>
      </c>
      <c r="D12" s="591"/>
      <c r="E12" s="591"/>
      <c r="F12" s="591"/>
      <c r="G12" s="339"/>
      <c r="H12" s="259"/>
      <c r="I12" s="260"/>
      <c r="J12" s="295"/>
      <c r="K12" s="259"/>
      <c r="L12" s="259"/>
      <c r="M12" s="259"/>
      <c r="N12" s="259"/>
      <c r="O12" s="259"/>
      <c r="P12" s="259"/>
      <c r="Q12" s="296"/>
      <c r="R12" s="295"/>
      <c r="S12" s="259"/>
      <c r="T12" s="259"/>
      <c r="U12" s="259"/>
      <c r="V12" s="296"/>
      <c r="W12" s="259"/>
      <c r="X12" s="260"/>
      <c r="Y12" s="295"/>
      <c r="Z12" s="259"/>
      <c r="AA12" s="259"/>
      <c r="AB12" s="259"/>
      <c r="AC12" s="259"/>
      <c r="AD12" s="259"/>
      <c r="AE12" s="259"/>
      <c r="AF12" s="296"/>
      <c r="AG12" s="295"/>
      <c r="AH12" s="259"/>
      <c r="AI12" s="259"/>
      <c r="AJ12" s="259"/>
      <c r="AK12" s="296"/>
      <c r="AL12" s="259"/>
      <c r="AM12" s="260"/>
      <c r="AN12" s="295"/>
      <c r="AO12" s="259"/>
      <c r="AP12" s="259"/>
      <c r="AQ12" s="259"/>
      <c r="AR12" s="259"/>
      <c r="AS12" s="259"/>
      <c r="AT12" s="259"/>
      <c r="AU12" s="296"/>
      <c r="AV12" s="295"/>
      <c r="AW12" s="259"/>
      <c r="AX12" s="259"/>
      <c r="AY12" s="259"/>
      <c r="AZ12" s="296"/>
      <c r="BA12" s="339"/>
      <c r="BB12" s="339"/>
      <c r="BC12" s="339"/>
      <c r="BD12" s="339"/>
      <c r="BE12" s="339"/>
      <c r="BF12" s="339"/>
      <c r="BG12" s="339"/>
      <c r="BH12" s="339"/>
      <c r="BI12" s="339"/>
      <c r="BJ12" s="339"/>
      <c r="BK12" s="339"/>
      <c r="BL12" s="339"/>
      <c r="BM12" s="339"/>
      <c r="BN12" s="339"/>
      <c r="BO12" s="353"/>
    </row>
    <row r="13" spans="1:67" ht="15">
      <c r="B13" s="349"/>
      <c r="C13" s="339"/>
      <c r="D13" s="1384" t="s">
        <v>315</v>
      </c>
      <c r="E13" s="591"/>
      <c r="F13" s="591"/>
      <c r="G13" s="339"/>
      <c r="H13" s="259"/>
      <c r="I13" s="576" t="s">
        <v>498</v>
      </c>
      <c r="J13" s="297">
        <v>11.938627462788462</v>
      </c>
      <c r="K13" s="298">
        <v>15.756680265251145</v>
      </c>
      <c r="L13" s="298">
        <v>13.410037277829884</v>
      </c>
      <c r="M13" s="298">
        <v>10.298522490482874</v>
      </c>
      <c r="N13" s="298">
        <v>10.689825167267564</v>
      </c>
      <c r="O13" s="298">
        <v>9.6625569894388246</v>
      </c>
      <c r="P13" s="298">
        <v>10.711696226088868</v>
      </c>
      <c r="Q13" s="299">
        <v>11.05169622608887</v>
      </c>
      <c r="R13" s="297">
        <v>10.996437744958426</v>
      </c>
      <c r="S13" s="298">
        <v>10.941455556233633</v>
      </c>
      <c r="T13" s="298">
        <v>10.886748278452465</v>
      </c>
      <c r="U13" s="298">
        <v>10.832314537060203</v>
      </c>
      <c r="V13" s="299">
        <v>10.778152964374902</v>
      </c>
      <c r="W13" s="259"/>
      <c r="X13" s="576" t="s">
        <v>498</v>
      </c>
      <c r="Y13" s="297">
        <v>6.4846484879286431E-2</v>
      </c>
      <c r="Z13" s="298">
        <v>2.273634035795745</v>
      </c>
      <c r="AA13" s="298">
        <v>3.3857324609692014</v>
      </c>
      <c r="AB13" s="298">
        <v>2.334357724411404</v>
      </c>
      <c r="AC13" s="298">
        <v>1.6953204019761874</v>
      </c>
      <c r="AD13" s="298">
        <v>2.4212500240924308</v>
      </c>
      <c r="AE13" s="298">
        <v>2.4091437739719685</v>
      </c>
      <c r="AF13" s="299">
        <v>2.3970980551021088</v>
      </c>
      <c r="AG13" s="297">
        <v>2.3851125648265983</v>
      </c>
      <c r="AH13" s="298">
        <v>2.3731870020024655</v>
      </c>
      <c r="AI13" s="298">
        <v>2.3613210669924531</v>
      </c>
      <c r="AJ13" s="298">
        <v>2.349514461657491</v>
      </c>
      <c r="AK13" s="299">
        <v>2.3377668893492034</v>
      </c>
      <c r="AL13" s="259"/>
      <c r="AM13" s="576" t="s">
        <v>498</v>
      </c>
      <c r="AN13" s="297">
        <v>3.7436079348491233E-2</v>
      </c>
      <c r="AO13" s="298">
        <v>1.3125760684164391</v>
      </c>
      <c r="AP13" s="298">
        <v>1.6157029923714123</v>
      </c>
      <c r="AQ13" s="298">
        <v>1.325640963024703</v>
      </c>
      <c r="AR13" s="298">
        <v>2.3092192841469652</v>
      </c>
      <c r="AS13" s="298">
        <v>1.3977952419964381</v>
      </c>
      <c r="AT13" s="298">
        <v>1.3908062657864559</v>
      </c>
      <c r="AU13" s="299">
        <v>1.3838522344575237</v>
      </c>
      <c r="AV13" s="297">
        <v>1.376932973285236</v>
      </c>
      <c r="AW13" s="298">
        <v>1.3700483084188098</v>
      </c>
      <c r="AX13" s="298">
        <v>1.3631980668767156</v>
      </c>
      <c r="AY13" s="298">
        <v>1.356382076542332</v>
      </c>
      <c r="AZ13" s="299">
        <v>1.3496001661596204</v>
      </c>
      <c r="BA13" s="339"/>
      <c r="BB13" s="1401"/>
      <c r="BC13" s="1401"/>
      <c r="BD13" s="339"/>
      <c r="BE13" s="339"/>
      <c r="BF13" s="339"/>
      <c r="BG13" s="339"/>
      <c r="BH13" s="339"/>
      <c r="BI13" s="339"/>
      <c r="BJ13" s="339"/>
      <c r="BK13" s="339"/>
      <c r="BL13" s="339"/>
      <c r="BM13" s="339"/>
      <c r="BN13" s="339"/>
      <c r="BO13" s="353"/>
    </row>
    <row r="14" spans="1:67" ht="15">
      <c r="B14" s="349"/>
      <c r="C14" s="339"/>
      <c r="D14" s="1384" t="s">
        <v>324</v>
      </c>
      <c r="E14" s="591"/>
      <c r="F14" s="591"/>
      <c r="G14" s="339"/>
      <c r="H14" s="259"/>
      <c r="I14" s="576" t="s">
        <v>498</v>
      </c>
      <c r="J14" s="297">
        <v>0</v>
      </c>
      <c r="K14" s="298">
        <v>0</v>
      </c>
      <c r="L14" s="298">
        <v>0</v>
      </c>
      <c r="M14" s="298">
        <v>0</v>
      </c>
      <c r="N14" s="298">
        <v>0</v>
      </c>
      <c r="O14" s="298">
        <v>0</v>
      </c>
      <c r="P14" s="298">
        <v>0</v>
      </c>
      <c r="Q14" s="299">
        <v>0</v>
      </c>
      <c r="R14" s="297">
        <v>0</v>
      </c>
      <c r="S14" s="298">
        <v>0</v>
      </c>
      <c r="T14" s="298">
        <v>0</v>
      </c>
      <c r="U14" s="298">
        <v>0</v>
      </c>
      <c r="V14" s="299">
        <v>0</v>
      </c>
      <c r="W14" s="259"/>
      <c r="X14" s="576" t="s">
        <v>498</v>
      </c>
      <c r="Y14" s="297">
        <v>0</v>
      </c>
      <c r="Z14" s="298">
        <v>0</v>
      </c>
      <c r="AA14" s="298">
        <v>0</v>
      </c>
      <c r="AB14" s="298">
        <v>0</v>
      </c>
      <c r="AC14" s="298">
        <v>0</v>
      </c>
      <c r="AD14" s="298">
        <v>0</v>
      </c>
      <c r="AE14" s="298">
        <v>0</v>
      </c>
      <c r="AF14" s="299">
        <v>0</v>
      </c>
      <c r="AG14" s="297">
        <v>0</v>
      </c>
      <c r="AH14" s="298">
        <v>0</v>
      </c>
      <c r="AI14" s="298">
        <v>0</v>
      </c>
      <c r="AJ14" s="298">
        <v>0</v>
      </c>
      <c r="AK14" s="299">
        <v>0</v>
      </c>
      <c r="AL14" s="259"/>
      <c r="AM14" s="576" t="s">
        <v>498</v>
      </c>
      <c r="AN14" s="297">
        <v>0</v>
      </c>
      <c r="AO14" s="298">
        <v>0</v>
      </c>
      <c r="AP14" s="298">
        <v>0</v>
      </c>
      <c r="AQ14" s="298">
        <v>0</v>
      </c>
      <c r="AR14" s="298">
        <v>0</v>
      </c>
      <c r="AS14" s="298">
        <v>0</v>
      </c>
      <c r="AT14" s="298">
        <v>0</v>
      </c>
      <c r="AU14" s="299">
        <v>0</v>
      </c>
      <c r="AV14" s="297">
        <v>0</v>
      </c>
      <c r="AW14" s="298">
        <v>0</v>
      </c>
      <c r="AX14" s="298">
        <v>0</v>
      </c>
      <c r="AY14" s="298">
        <v>0</v>
      </c>
      <c r="AZ14" s="299">
        <v>0</v>
      </c>
      <c r="BA14" s="339"/>
      <c r="BB14" s="1401"/>
      <c r="BC14" s="1401"/>
      <c r="BD14" s="339"/>
      <c r="BE14" s="339"/>
      <c r="BF14" s="339"/>
      <c r="BG14" s="339"/>
      <c r="BH14" s="339"/>
      <c r="BI14" s="339"/>
      <c r="BJ14" s="339"/>
      <c r="BK14" s="339"/>
      <c r="BL14" s="339"/>
      <c r="BM14" s="339"/>
      <c r="BN14" s="339"/>
      <c r="BO14" s="353"/>
    </row>
    <row r="15" spans="1:67" ht="15">
      <c r="B15" s="349"/>
      <c r="C15" s="339"/>
      <c r="D15" s="1384" t="s">
        <v>329</v>
      </c>
      <c r="E15" s="591"/>
      <c r="F15" s="591"/>
      <c r="G15" s="339"/>
      <c r="H15" s="259"/>
      <c r="I15" s="576" t="s">
        <v>498</v>
      </c>
      <c r="J15" s="297">
        <v>0</v>
      </c>
      <c r="K15" s="298">
        <v>0</v>
      </c>
      <c r="L15" s="298">
        <v>0</v>
      </c>
      <c r="M15" s="298">
        <v>0</v>
      </c>
      <c r="N15" s="298">
        <v>0</v>
      </c>
      <c r="O15" s="298">
        <v>0</v>
      </c>
      <c r="P15" s="298">
        <v>0</v>
      </c>
      <c r="Q15" s="299">
        <v>0</v>
      </c>
      <c r="R15" s="297">
        <v>0</v>
      </c>
      <c r="S15" s="298">
        <v>0</v>
      </c>
      <c r="T15" s="298">
        <v>0</v>
      </c>
      <c r="U15" s="298">
        <v>0</v>
      </c>
      <c r="V15" s="299">
        <v>0</v>
      </c>
      <c r="W15" s="259"/>
      <c r="X15" s="576" t="s">
        <v>498</v>
      </c>
      <c r="Y15" s="297">
        <v>0</v>
      </c>
      <c r="Z15" s="298">
        <v>0</v>
      </c>
      <c r="AA15" s="298">
        <v>0</v>
      </c>
      <c r="AB15" s="298">
        <v>0</v>
      </c>
      <c r="AC15" s="298">
        <v>0</v>
      </c>
      <c r="AD15" s="298">
        <v>0</v>
      </c>
      <c r="AE15" s="298">
        <v>0</v>
      </c>
      <c r="AF15" s="299">
        <v>0</v>
      </c>
      <c r="AG15" s="297">
        <v>0</v>
      </c>
      <c r="AH15" s="298">
        <v>0</v>
      </c>
      <c r="AI15" s="298">
        <v>0</v>
      </c>
      <c r="AJ15" s="298">
        <v>0</v>
      </c>
      <c r="AK15" s="299">
        <v>0</v>
      </c>
      <c r="AL15" s="259"/>
      <c r="AM15" s="576" t="s">
        <v>498</v>
      </c>
      <c r="AN15" s="297">
        <v>0</v>
      </c>
      <c r="AO15" s="298">
        <v>0</v>
      </c>
      <c r="AP15" s="298">
        <v>0</v>
      </c>
      <c r="AQ15" s="298">
        <v>0</v>
      </c>
      <c r="AR15" s="298">
        <v>0</v>
      </c>
      <c r="AS15" s="298">
        <v>0</v>
      </c>
      <c r="AT15" s="298">
        <v>0</v>
      </c>
      <c r="AU15" s="299">
        <v>0</v>
      </c>
      <c r="AV15" s="297">
        <v>0</v>
      </c>
      <c r="AW15" s="298">
        <v>0</v>
      </c>
      <c r="AX15" s="298">
        <v>0</v>
      </c>
      <c r="AY15" s="298">
        <v>0</v>
      </c>
      <c r="AZ15" s="299">
        <v>0</v>
      </c>
      <c r="BA15" s="339"/>
      <c r="BB15" s="1401"/>
      <c r="BC15" s="1401"/>
      <c r="BD15" s="339"/>
      <c r="BE15" s="339"/>
      <c r="BF15" s="339"/>
      <c r="BG15" s="339"/>
      <c r="BH15" s="339"/>
      <c r="BI15" s="339"/>
      <c r="BJ15" s="339"/>
      <c r="BK15" s="339"/>
      <c r="BL15" s="339"/>
      <c r="BM15" s="339"/>
      <c r="BN15" s="339"/>
      <c r="BO15" s="353"/>
    </row>
    <row r="16" spans="1:67" ht="15">
      <c r="B16" s="349"/>
      <c r="C16" s="339"/>
      <c r="D16" s="1384" t="s">
        <v>332</v>
      </c>
      <c r="E16" s="591"/>
      <c r="F16" s="591"/>
      <c r="G16" s="339"/>
      <c r="H16" s="259"/>
      <c r="I16" s="576" t="s">
        <v>498</v>
      </c>
      <c r="J16" s="297">
        <v>0</v>
      </c>
      <c r="K16" s="298">
        <v>0</v>
      </c>
      <c r="L16" s="298">
        <v>0</v>
      </c>
      <c r="M16" s="298">
        <v>0</v>
      </c>
      <c r="N16" s="298">
        <v>0</v>
      </c>
      <c r="O16" s="298">
        <v>0</v>
      </c>
      <c r="P16" s="298">
        <v>0</v>
      </c>
      <c r="Q16" s="299">
        <v>0</v>
      </c>
      <c r="R16" s="297">
        <v>0</v>
      </c>
      <c r="S16" s="298">
        <v>0</v>
      </c>
      <c r="T16" s="298">
        <v>0</v>
      </c>
      <c r="U16" s="298">
        <v>0</v>
      </c>
      <c r="V16" s="299">
        <v>0</v>
      </c>
      <c r="W16" s="259"/>
      <c r="X16" s="576" t="s">
        <v>498</v>
      </c>
      <c r="Y16" s="297">
        <v>0</v>
      </c>
      <c r="Z16" s="298">
        <v>0</v>
      </c>
      <c r="AA16" s="298">
        <v>0</v>
      </c>
      <c r="AB16" s="298">
        <v>0</v>
      </c>
      <c r="AC16" s="298">
        <v>0</v>
      </c>
      <c r="AD16" s="298">
        <v>0</v>
      </c>
      <c r="AE16" s="298">
        <v>0</v>
      </c>
      <c r="AF16" s="299">
        <v>0</v>
      </c>
      <c r="AG16" s="297">
        <v>0</v>
      </c>
      <c r="AH16" s="298">
        <v>0</v>
      </c>
      <c r="AI16" s="298">
        <v>0</v>
      </c>
      <c r="AJ16" s="298">
        <v>0</v>
      </c>
      <c r="AK16" s="299">
        <v>0</v>
      </c>
      <c r="AL16" s="259"/>
      <c r="AM16" s="576" t="s">
        <v>498</v>
      </c>
      <c r="AN16" s="297">
        <v>0</v>
      </c>
      <c r="AO16" s="298">
        <v>0</v>
      </c>
      <c r="AP16" s="298">
        <v>0</v>
      </c>
      <c r="AQ16" s="298">
        <v>0</v>
      </c>
      <c r="AR16" s="298">
        <v>0</v>
      </c>
      <c r="AS16" s="298">
        <v>0</v>
      </c>
      <c r="AT16" s="298">
        <v>0</v>
      </c>
      <c r="AU16" s="299">
        <v>0</v>
      </c>
      <c r="AV16" s="297">
        <v>0</v>
      </c>
      <c r="AW16" s="298">
        <v>0</v>
      </c>
      <c r="AX16" s="298">
        <v>0</v>
      </c>
      <c r="AY16" s="298">
        <v>0</v>
      </c>
      <c r="AZ16" s="299">
        <v>0</v>
      </c>
      <c r="BA16" s="339"/>
      <c r="BB16" s="1401"/>
      <c r="BC16" s="1401"/>
      <c r="BD16" s="339"/>
      <c r="BE16" s="339"/>
      <c r="BF16" s="339"/>
      <c r="BG16" s="339"/>
      <c r="BH16" s="339"/>
      <c r="BI16" s="339"/>
      <c r="BJ16" s="339"/>
      <c r="BK16" s="339"/>
      <c r="BL16" s="339"/>
      <c r="BM16" s="339"/>
      <c r="BN16" s="339"/>
      <c r="BO16" s="353"/>
    </row>
    <row r="17" spans="2:67" ht="15">
      <c r="B17" s="349"/>
      <c r="C17" s="339"/>
      <c r="D17" s="1384" t="s">
        <v>1871</v>
      </c>
      <c r="E17" s="591"/>
      <c r="F17" s="591"/>
      <c r="G17" s="339"/>
      <c r="H17" s="259"/>
      <c r="I17" s="576" t="s">
        <v>498</v>
      </c>
      <c r="J17" s="297">
        <v>0</v>
      </c>
      <c r="K17" s="298">
        <v>0</v>
      </c>
      <c r="L17" s="298">
        <v>0</v>
      </c>
      <c r="M17" s="298">
        <v>0</v>
      </c>
      <c r="N17" s="298">
        <v>0</v>
      </c>
      <c r="O17" s="298">
        <v>0</v>
      </c>
      <c r="P17" s="298">
        <v>0</v>
      </c>
      <c r="Q17" s="299">
        <v>0</v>
      </c>
      <c r="R17" s="297">
        <v>0</v>
      </c>
      <c r="S17" s="298">
        <v>0</v>
      </c>
      <c r="T17" s="298">
        <v>0</v>
      </c>
      <c r="U17" s="298">
        <v>0</v>
      </c>
      <c r="V17" s="299">
        <v>0</v>
      </c>
      <c r="W17" s="259"/>
      <c r="X17" s="576" t="s">
        <v>498</v>
      </c>
      <c r="Y17" s="297">
        <v>0</v>
      </c>
      <c r="Z17" s="298">
        <v>0</v>
      </c>
      <c r="AA17" s="298">
        <v>0</v>
      </c>
      <c r="AB17" s="298">
        <v>0</v>
      </c>
      <c r="AC17" s="298">
        <v>0</v>
      </c>
      <c r="AD17" s="298">
        <v>0</v>
      </c>
      <c r="AE17" s="298">
        <v>0</v>
      </c>
      <c r="AF17" s="299">
        <v>0</v>
      </c>
      <c r="AG17" s="297">
        <v>0</v>
      </c>
      <c r="AH17" s="298">
        <v>0</v>
      </c>
      <c r="AI17" s="298">
        <v>0</v>
      </c>
      <c r="AJ17" s="298">
        <v>0</v>
      </c>
      <c r="AK17" s="299">
        <v>0</v>
      </c>
      <c r="AL17" s="259"/>
      <c r="AM17" s="576" t="s">
        <v>498</v>
      </c>
      <c r="AN17" s="297">
        <v>0</v>
      </c>
      <c r="AO17" s="298">
        <v>0</v>
      </c>
      <c r="AP17" s="298">
        <v>0</v>
      </c>
      <c r="AQ17" s="298">
        <v>0</v>
      </c>
      <c r="AR17" s="298">
        <v>0</v>
      </c>
      <c r="AS17" s="298">
        <v>0</v>
      </c>
      <c r="AT17" s="298">
        <v>0</v>
      </c>
      <c r="AU17" s="299">
        <v>0</v>
      </c>
      <c r="AV17" s="297">
        <v>0</v>
      </c>
      <c r="AW17" s="298">
        <v>0</v>
      </c>
      <c r="AX17" s="298">
        <v>0</v>
      </c>
      <c r="AY17" s="298">
        <v>0</v>
      </c>
      <c r="AZ17" s="299">
        <v>0</v>
      </c>
      <c r="BA17" s="339"/>
      <c r="BB17" s="1401"/>
      <c r="BC17" s="1401"/>
      <c r="BD17" s="339"/>
      <c r="BE17" s="339"/>
      <c r="BF17" s="339"/>
      <c r="BG17" s="339"/>
      <c r="BH17" s="339"/>
      <c r="BI17" s="339"/>
      <c r="BJ17" s="339"/>
      <c r="BK17" s="339"/>
      <c r="BL17" s="339"/>
      <c r="BM17" s="339"/>
      <c r="BN17" s="339"/>
      <c r="BO17" s="353"/>
    </row>
    <row r="18" spans="2:67" ht="15">
      <c r="B18" s="349"/>
      <c r="C18" s="339"/>
      <c r="D18" s="1384" t="s">
        <v>1872</v>
      </c>
      <c r="E18" s="591"/>
      <c r="F18" s="591"/>
      <c r="G18" s="339"/>
      <c r="H18" s="259"/>
      <c r="I18" s="576" t="s">
        <v>498</v>
      </c>
      <c r="J18" s="297">
        <v>0</v>
      </c>
      <c r="K18" s="298">
        <v>0</v>
      </c>
      <c r="L18" s="298">
        <v>0</v>
      </c>
      <c r="M18" s="298">
        <v>0</v>
      </c>
      <c r="N18" s="298">
        <v>0</v>
      </c>
      <c r="O18" s="298">
        <v>0</v>
      </c>
      <c r="P18" s="298">
        <v>0</v>
      </c>
      <c r="Q18" s="299">
        <v>0</v>
      </c>
      <c r="R18" s="297">
        <v>0</v>
      </c>
      <c r="S18" s="298">
        <v>0</v>
      </c>
      <c r="T18" s="298">
        <v>0</v>
      </c>
      <c r="U18" s="298">
        <v>0</v>
      </c>
      <c r="V18" s="299">
        <v>0</v>
      </c>
      <c r="W18" s="259"/>
      <c r="X18" s="576" t="s">
        <v>498</v>
      </c>
      <c r="Y18" s="297">
        <v>0</v>
      </c>
      <c r="Z18" s="298">
        <v>0</v>
      </c>
      <c r="AA18" s="298">
        <v>0</v>
      </c>
      <c r="AB18" s="298">
        <v>0</v>
      </c>
      <c r="AC18" s="298">
        <v>0</v>
      </c>
      <c r="AD18" s="298">
        <v>0</v>
      </c>
      <c r="AE18" s="298">
        <v>0</v>
      </c>
      <c r="AF18" s="299">
        <v>0</v>
      </c>
      <c r="AG18" s="297">
        <v>0</v>
      </c>
      <c r="AH18" s="298">
        <v>0</v>
      </c>
      <c r="AI18" s="298">
        <v>0</v>
      </c>
      <c r="AJ18" s="298">
        <v>0</v>
      </c>
      <c r="AK18" s="299">
        <v>0</v>
      </c>
      <c r="AL18" s="259"/>
      <c r="AM18" s="576" t="s">
        <v>498</v>
      </c>
      <c r="AN18" s="297">
        <v>0</v>
      </c>
      <c r="AO18" s="298">
        <v>0</v>
      </c>
      <c r="AP18" s="298">
        <v>0</v>
      </c>
      <c r="AQ18" s="298">
        <v>0</v>
      </c>
      <c r="AR18" s="298">
        <v>0</v>
      </c>
      <c r="AS18" s="298">
        <v>0</v>
      </c>
      <c r="AT18" s="298">
        <v>0</v>
      </c>
      <c r="AU18" s="299">
        <v>0</v>
      </c>
      <c r="AV18" s="297">
        <v>0</v>
      </c>
      <c r="AW18" s="298">
        <v>0</v>
      </c>
      <c r="AX18" s="298">
        <v>0</v>
      </c>
      <c r="AY18" s="298">
        <v>0</v>
      </c>
      <c r="AZ18" s="299">
        <v>0</v>
      </c>
      <c r="BA18" s="339"/>
      <c r="BB18" s="1401"/>
      <c r="BC18" s="1401"/>
      <c r="BD18" s="339"/>
      <c r="BE18" s="339"/>
      <c r="BF18" s="339"/>
      <c r="BG18" s="339"/>
      <c r="BH18" s="339"/>
      <c r="BI18" s="339"/>
      <c r="BJ18" s="339"/>
      <c r="BK18" s="339"/>
      <c r="BL18" s="339"/>
      <c r="BM18" s="339"/>
      <c r="BN18" s="339"/>
      <c r="BO18" s="353"/>
    </row>
    <row r="19" spans="2:67" ht="15">
      <c r="B19" s="349" t="s">
        <v>1701</v>
      </c>
      <c r="C19" s="339"/>
      <c r="D19" s="1384"/>
      <c r="E19" s="591"/>
      <c r="F19" s="591"/>
      <c r="G19" s="339"/>
      <c r="H19" s="259"/>
      <c r="I19" s="576" t="s">
        <v>498</v>
      </c>
      <c r="J19" s="1397">
        <f>SUM(J13:J18)</f>
        <v>11.938627462788462</v>
      </c>
      <c r="K19" s="1398">
        <f t="shared" ref="K19:V19" si="0">SUM(K13:K18)</f>
        <v>15.756680265251145</v>
      </c>
      <c r="L19" s="1398">
        <f t="shared" si="0"/>
        <v>13.410037277829884</v>
      </c>
      <c r="M19" s="1398">
        <f t="shared" si="0"/>
        <v>10.298522490482874</v>
      </c>
      <c r="N19" s="1398">
        <f t="shared" si="0"/>
        <v>10.689825167267564</v>
      </c>
      <c r="O19" s="1398">
        <f t="shared" si="0"/>
        <v>9.6625569894388246</v>
      </c>
      <c r="P19" s="1398">
        <f t="shared" si="0"/>
        <v>10.711696226088868</v>
      </c>
      <c r="Q19" s="1399">
        <f t="shared" si="0"/>
        <v>11.05169622608887</v>
      </c>
      <c r="R19" s="1397">
        <f t="shared" si="0"/>
        <v>10.996437744958426</v>
      </c>
      <c r="S19" s="1398">
        <f t="shared" si="0"/>
        <v>10.941455556233633</v>
      </c>
      <c r="T19" s="1398">
        <f t="shared" si="0"/>
        <v>10.886748278452465</v>
      </c>
      <c r="U19" s="1398">
        <f t="shared" si="0"/>
        <v>10.832314537060203</v>
      </c>
      <c r="V19" s="1399">
        <f t="shared" si="0"/>
        <v>10.778152964374902</v>
      </c>
      <c r="W19" s="259"/>
      <c r="X19" s="576" t="s">
        <v>498</v>
      </c>
      <c r="Y19" s="1397">
        <f>SUM(Y13:Y18)</f>
        <v>6.4846484879286431E-2</v>
      </c>
      <c r="Z19" s="1398">
        <f t="shared" ref="Z19:AK19" si="1">SUM(Z13:Z18)</f>
        <v>2.273634035795745</v>
      </c>
      <c r="AA19" s="1398">
        <f t="shared" si="1"/>
        <v>3.3857324609692014</v>
      </c>
      <c r="AB19" s="1398">
        <f t="shared" si="1"/>
        <v>2.334357724411404</v>
      </c>
      <c r="AC19" s="1398">
        <f t="shared" si="1"/>
        <v>1.6953204019761874</v>
      </c>
      <c r="AD19" s="1398">
        <f t="shared" si="1"/>
        <v>2.4212500240924308</v>
      </c>
      <c r="AE19" s="1398">
        <f t="shared" si="1"/>
        <v>2.4091437739719685</v>
      </c>
      <c r="AF19" s="1399">
        <f t="shared" si="1"/>
        <v>2.3970980551021088</v>
      </c>
      <c r="AG19" s="1397">
        <f t="shared" si="1"/>
        <v>2.3851125648265983</v>
      </c>
      <c r="AH19" s="1398">
        <f t="shared" si="1"/>
        <v>2.3731870020024655</v>
      </c>
      <c r="AI19" s="1398">
        <f t="shared" si="1"/>
        <v>2.3613210669924531</v>
      </c>
      <c r="AJ19" s="1398">
        <f t="shared" si="1"/>
        <v>2.349514461657491</v>
      </c>
      <c r="AK19" s="1399">
        <f t="shared" si="1"/>
        <v>2.3377668893492034</v>
      </c>
      <c r="AL19" s="259"/>
      <c r="AM19" s="576" t="s">
        <v>498</v>
      </c>
      <c r="AN19" s="1397">
        <f>SUM(AN13:AN18)</f>
        <v>3.7436079348491233E-2</v>
      </c>
      <c r="AO19" s="1398">
        <f t="shared" ref="AO19:AZ19" si="2">SUM(AO13:AO18)</f>
        <v>1.3125760684164391</v>
      </c>
      <c r="AP19" s="1398">
        <f t="shared" si="2"/>
        <v>1.6157029923714123</v>
      </c>
      <c r="AQ19" s="1398">
        <f t="shared" si="2"/>
        <v>1.325640963024703</v>
      </c>
      <c r="AR19" s="1398">
        <f t="shared" si="2"/>
        <v>2.3092192841469652</v>
      </c>
      <c r="AS19" s="1398">
        <f t="shared" si="2"/>
        <v>1.3977952419964381</v>
      </c>
      <c r="AT19" s="1398">
        <f t="shared" si="2"/>
        <v>1.3908062657864559</v>
      </c>
      <c r="AU19" s="1399">
        <f t="shared" si="2"/>
        <v>1.3838522344575237</v>
      </c>
      <c r="AV19" s="1397">
        <f t="shared" si="2"/>
        <v>1.376932973285236</v>
      </c>
      <c r="AW19" s="1398">
        <f t="shared" si="2"/>
        <v>1.3700483084188098</v>
      </c>
      <c r="AX19" s="1398">
        <f t="shared" si="2"/>
        <v>1.3631980668767156</v>
      </c>
      <c r="AY19" s="1398">
        <f t="shared" si="2"/>
        <v>1.356382076542332</v>
      </c>
      <c r="AZ19" s="1399">
        <f t="shared" si="2"/>
        <v>1.3496001661596204</v>
      </c>
      <c r="BA19" s="339"/>
      <c r="BB19" s="1401"/>
      <c r="BC19" s="1401"/>
      <c r="BD19" s="339"/>
      <c r="BE19" s="339"/>
      <c r="BF19" s="339"/>
      <c r="BG19" s="339"/>
      <c r="BH19" s="339"/>
      <c r="BI19" s="339"/>
      <c r="BJ19" s="339"/>
      <c r="BK19" s="339"/>
      <c r="BL19" s="339"/>
      <c r="BM19" s="339"/>
      <c r="BN19" s="339"/>
      <c r="BO19" s="353"/>
    </row>
    <row r="20" spans="2:67">
      <c r="B20" s="349"/>
      <c r="C20" s="339"/>
      <c r="D20" s="339"/>
      <c r="E20" s="339"/>
      <c r="F20" s="339"/>
      <c r="G20" s="339"/>
      <c r="H20" s="339"/>
      <c r="I20" s="339"/>
      <c r="J20" s="349"/>
      <c r="K20" s="339"/>
      <c r="L20" s="339"/>
      <c r="M20" s="339"/>
      <c r="N20" s="339"/>
      <c r="O20" s="339"/>
      <c r="P20" s="339"/>
      <c r="Q20" s="353"/>
      <c r="R20" s="349"/>
      <c r="S20" s="339"/>
      <c r="T20" s="339"/>
      <c r="U20" s="339"/>
      <c r="V20" s="353"/>
      <c r="W20" s="339"/>
      <c r="X20" s="339"/>
      <c r="Y20" s="339"/>
      <c r="Z20" s="339"/>
      <c r="AA20" s="339"/>
      <c r="AB20" s="339"/>
      <c r="AC20" s="339"/>
      <c r="AD20" s="339"/>
      <c r="AE20" s="339"/>
      <c r="AF20" s="339"/>
      <c r="AG20" s="339"/>
      <c r="AH20" s="339"/>
      <c r="AI20" s="339"/>
      <c r="AJ20" s="339"/>
      <c r="AK20" s="339"/>
      <c r="AL20" s="339"/>
      <c r="AM20" s="339"/>
      <c r="AN20" s="339"/>
      <c r="AO20" s="339"/>
      <c r="AP20" s="339"/>
      <c r="AQ20" s="339"/>
      <c r="AR20" s="339"/>
      <c r="AS20" s="339"/>
      <c r="AT20" s="339"/>
      <c r="AU20" s="339"/>
      <c r="AV20" s="339"/>
      <c r="AW20" s="339"/>
      <c r="AX20" s="339"/>
      <c r="AY20" s="339"/>
      <c r="AZ20" s="339"/>
      <c r="BA20" s="339"/>
      <c r="BB20" s="1401"/>
      <c r="BC20" s="1401"/>
      <c r="BD20" s="339"/>
      <c r="BE20" s="339"/>
      <c r="BF20" s="339"/>
      <c r="BG20" s="339"/>
      <c r="BH20" s="339"/>
      <c r="BI20" s="339"/>
      <c r="BJ20" s="339"/>
      <c r="BK20" s="339"/>
      <c r="BL20" s="339"/>
      <c r="BM20" s="339"/>
      <c r="BN20" s="339"/>
      <c r="BO20" s="353"/>
    </row>
    <row r="21" spans="2:67" ht="15">
      <c r="B21" s="349"/>
      <c r="C21" s="623" t="s">
        <v>1873</v>
      </c>
      <c r="D21" s="339"/>
      <c r="E21" s="339"/>
      <c r="F21" s="339"/>
      <c r="G21" s="339"/>
      <c r="H21" s="339"/>
      <c r="I21" s="339"/>
      <c r="J21" s="349"/>
      <c r="K21" s="339"/>
      <c r="L21" s="339"/>
      <c r="M21" s="339"/>
      <c r="N21" s="339"/>
      <c r="O21" s="339"/>
      <c r="P21" s="339"/>
      <c r="Q21" s="353"/>
      <c r="R21" s="349"/>
      <c r="S21" s="339"/>
      <c r="T21" s="339"/>
      <c r="U21" s="339"/>
      <c r="V21" s="353"/>
      <c r="W21" s="339"/>
      <c r="X21" s="339"/>
      <c r="Y21" s="339"/>
      <c r="Z21" s="339"/>
      <c r="AA21" s="339"/>
      <c r="AB21" s="339"/>
      <c r="AC21" s="339"/>
      <c r="AD21" s="339"/>
      <c r="AE21" s="339"/>
      <c r="AF21" s="339"/>
      <c r="AG21" s="339"/>
      <c r="AH21" s="339"/>
      <c r="AI21" s="339"/>
      <c r="AJ21" s="339"/>
      <c r="AK21" s="339"/>
      <c r="AL21" s="339"/>
      <c r="AM21" s="339"/>
      <c r="AN21" s="339"/>
      <c r="AO21" s="339"/>
      <c r="AP21" s="339"/>
      <c r="AQ21" s="339"/>
      <c r="AR21" s="339"/>
      <c r="AS21" s="339"/>
      <c r="AT21" s="339"/>
      <c r="AU21" s="339"/>
      <c r="AV21" s="339"/>
      <c r="AW21" s="339"/>
      <c r="AX21" s="339"/>
      <c r="AY21" s="339"/>
      <c r="AZ21" s="339"/>
      <c r="BA21" s="339"/>
      <c r="BB21" s="1401"/>
      <c r="BC21" s="1401"/>
      <c r="BD21" s="339"/>
      <c r="BE21" s="339"/>
      <c r="BF21" s="339"/>
      <c r="BG21" s="339"/>
      <c r="BH21" s="339"/>
      <c r="BI21" s="339"/>
      <c r="BJ21" s="339"/>
      <c r="BK21" s="339"/>
      <c r="BL21" s="339"/>
      <c r="BM21" s="339"/>
      <c r="BN21" s="339"/>
      <c r="BO21" s="353"/>
    </row>
    <row r="22" spans="2:67">
      <c r="B22" s="349"/>
      <c r="C22" s="339"/>
      <c r="D22" s="1384" t="s">
        <v>315</v>
      </c>
      <c r="E22" s="339"/>
      <c r="F22" s="339"/>
      <c r="G22" s="339"/>
      <c r="H22" s="339"/>
      <c r="I22" s="576" t="s">
        <v>498</v>
      </c>
      <c r="J22" s="297">
        <v>5.6804123379323013</v>
      </c>
      <c r="K22" s="298">
        <v>8.5223164469765411</v>
      </c>
      <c r="L22" s="298">
        <v>7.918300604190077</v>
      </c>
      <c r="M22" s="298">
        <v>6.1200236111476105</v>
      </c>
      <c r="N22" s="298">
        <v>6.5223533682146781</v>
      </c>
      <c r="O22" s="298">
        <v>5.6740643340710397</v>
      </c>
      <c r="P22" s="298">
        <v>6.2901417896200238</v>
      </c>
      <c r="Q22" s="299">
        <v>6.4897972095769525</v>
      </c>
      <c r="R22" s="297">
        <v>6.4573482235290678</v>
      </c>
      <c r="S22" s="298">
        <v>6.4250614824114223</v>
      </c>
      <c r="T22" s="298">
        <v>6.3929361749993658</v>
      </c>
      <c r="U22" s="298">
        <v>6.3609714941243682</v>
      </c>
      <c r="V22" s="299">
        <v>6.3291666366537465</v>
      </c>
      <c r="W22" s="339"/>
      <c r="X22" s="2533"/>
      <c r="Y22" s="2533"/>
      <c r="Z22" s="2533"/>
      <c r="AA22" s="2533"/>
      <c r="AB22" s="2533"/>
      <c r="AC22" s="2533"/>
      <c r="AD22" s="2533"/>
      <c r="AE22" s="2533"/>
      <c r="AF22" s="2533"/>
      <c r="AG22" s="2533"/>
      <c r="AH22" s="2533"/>
      <c r="AI22" s="2533"/>
      <c r="AJ22" s="2533"/>
      <c r="AK22" s="2533"/>
      <c r="AL22" s="339"/>
      <c r="AM22" s="2533"/>
      <c r="AN22" s="2533"/>
      <c r="AO22" s="2533"/>
      <c r="AP22" s="2533"/>
      <c r="AQ22" s="2533"/>
      <c r="AR22" s="2533"/>
      <c r="AS22" s="2533"/>
      <c r="AT22" s="2533"/>
      <c r="AU22" s="2533"/>
      <c r="AV22" s="2533"/>
      <c r="AW22" s="2533"/>
      <c r="AX22" s="2533"/>
      <c r="AY22" s="2533"/>
      <c r="AZ22" s="2533"/>
      <c r="BA22" s="339"/>
      <c r="BB22" s="339"/>
      <c r="BC22" s="339"/>
      <c r="BD22" s="339"/>
      <c r="BE22" s="339"/>
      <c r="BF22" s="339"/>
      <c r="BG22" s="339"/>
      <c r="BH22" s="339"/>
      <c r="BI22" s="339"/>
      <c r="BJ22" s="339"/>
      <c r="BK22" s="339"/>
      <c r="BL22" s="339"/>
      <c r="BM22" s="339"/>
      <c r="BN22" s="339"/>
      <c r="BO22" s="353"/>
    </row>
    <row r="23" spans="2:67">
      <c r="B23" s="349"/>
      <c r="C23" s="339"/>
      <c r="D23" s="1384" t="s">
        <v>324</v>
      </c>
      <c r="E23" s="339"/>
      <c r="F23" s="339"/>
      <c r="G23" s="339"/>
      <c r="H23" s="339"/>
      <c r="I23" s="576" t="s">
        <v>498</v>
      </c>
      <c r="J23" s="297">
        <v>0</v>
      </c>
      <c r="K23" s="298">
        <v>0</v>
      </c>
      <c r="L23" s="298">
        <v>0</v>
      </c>
      <c r="M23" s="298">
        <v>0</v>
      </c>
      <c r="N23" s="298">
        <v>0</v>
      </c>
      <c r="O23" s="298">
        <v>0</v>
      </c>
      <c r="P23" s="298">
        <v>0</v>
      </c>
      <c r="Q23" s="299">
        <v>0</v>
      </c>
      <c r="R23" s="297">
        <v>0</v>
      </c>
      <c r="S23" s="298">
        <v>0</v>
      </c>
      <c r="T23" s="298">
        <v>0</v>
      </c>
      <c r="U23" s="298">
        <v>0</v>
      </c>
      <c r="V23" s="299">
        <v>0</v>
      </c>
      <c r="W23" s="339"/>
      <c r="X23" s="2533"/>
      <c r="Y23" s="2533"/>
      <c r="Z23" s="2533"/>
      <c r="AA23" s="2533"/>
      <c r="AB23" s="2533"/>
      <c r="AC23" s="2533"/>
      <c r="AD23" s="2533"/>
      <c r="AE23" s="2533"/>
      <c r="AF23" s="2533"/>
      <c r="AG23" s="2533"/>
      <c r="AH23" s="2533"/>
      <c r="AI23" s="2533"/>
      <c r="AJ23" s="2533"/>
      <c r="AK23" s="2533"/>
      <c r="AL23" s="339"/>
      <c r="AM23" s="2533"/>
      <c r="AN23" s="2533"/>
      <c r="AO23" s="2533"/>
      <c r="AP23" s="2533"/>
      <c r="AQ23" s="2533"/>
      <c r="AR23" s="2533"/>
      <c r="AS23" s="2533"/>
      <c r="AT23" s="2533"/>
      <c r="AU23" s="2533"/>
      <c r="AV23" s="2533"/>
      <c r="AW23" s="2533"/>
      <c r="AX23" s="2533"/>
      <c r="AY23" s="2533"/>
      <c r="AZ23" s="2533"/>
      <c r="BA23" s="339"/>
      <c r="BB23" s="339"/>
      <c r="BC23" s="339"/>
      <c r="BD23" s="339"/>
      <c r="BE23" s="339"/>
      <c r="BF23" s="339"/>
      <c r="BG23" s="339"/>
      <c r="BH23" s="339"/>
      <c r="BI23" s="339"/>
      <c r="BJ23" s="339"/>
      <c r="BK23" s="339"/>
      <c r="BL23" s="339"/>
      <c r="BM23" s="339"/>
      <c r="BN23" s="339"/>
      <c r="BO23" s="353"/>
    </row>
    <row r="24" spans="2:67">
      <c r="B24" s="349"/>
      <c r="C24" s="339"/>
      <c r="D24" s="1384" t="s">
        <v>329</v>
      </c>
      <c r="E24" s="339"/>
      <c r="F24" s="339"/>
      <c r="G24" s="339"/>
      <c r="H24" s="339"/>
      <c r="I24" s="576" t="s">
        <v>498</v>
      </c>
      <c r="J24" s="297">
        <v>0</v>
      </c>
      <c r="K24" s="298">
        <v>0</v>
      </c>
      <c r="L24" s="298">
        <v>0</v>
      </c>
      <c r="M24" s="298">
        <v>0</v>
      </c>
      <c r="N24" s="298">
        <v>0</v>
      </c>
      <c r="O24" s="298">
        <v>0</v>
      </c>
      <c r="P24" s="298">
        <v>0</v>
      </c>
      <c r="Q24" s="299">
        <v>0</v>
      </c>
      <c r="R24" s="297">
        <v>0</v>
      </c>
      <c r="S24" s="298">
        <v>0</v>
      </c>
      <c r="T24" s="298">
        <v>0</v>
      </c>
      <c r="U24" s="298">
        <v>0</v>
      </c>
      <c r="V24" s="299">
        <v>0</v>
      </c>
      <c r="W24" s="339"/>
      <c r="X24" s="2533"/>
      <c r="Y24" s="2533"/>
      <c r="Z24" s="2533"/>
      <c r="AA24" s="2533"/>
      <c r="AB24" s="2533"/>
      <c r="AC24" s="2533"/>
      <c r="AD24" s="2533"/>
      <c r="AE24" s="2533"/>
      <c r="AF24" s="2533"/>
      <c r="AG24" s="2533"/>
      <c r="AH24" s="2533"/>
      <c r="AI24" s="2533"/>
      <c r="AJ24" s="2533"/>
      <c r="AK24" s="2533"/>
      <c r="AL24" s="339"/>
      <c r="AM24" s="2533"/>
      <c r="AN24" s="2533"/>
      <c r="AO24" s="2533"/>
      <c r="AP24" s="2533"/>
      <c r="AQ24" s="2533"/>
      <c r="AR24" s="2533"/>
      <c r="AS24" s="2533"/>
      <c r="AT24" s="2533"/>
      <c r="AU24" s="2533"/>
      <c r="AV24" s="2533"/>
      <c r="AW24" s="2533"/>
      <c r="AX24" s="2533"/>
      <c r="AY24" s="2533"/>
      <c r="AZ24" s="2533"/>
      <c r="BA24" s="339"/>
      <c r="BB24" s="339"/>
      <c r="BC24" s="339"/>
      <c r="BD24" s="339"/>
      <c r="BE24" s="339"/>
      <c r="BF24" s="339"/>
      <c r="BG24" s="339"/>
      <c r="BH24" s="339"/>
      <c r="BI24" s="339"/>
      <c r="BJ24" s="339"/>
      <c r="BK24" s="339"/>
      <c r="BL24" s="339"/>
      <c r="BM24" s="339"/>
      <c r="BN24" s="339"/>
      <c r="BO24" s="353"/>
    </row>
    <row r="25" spans="2:67">
      <c r="B25" s="349"/>
      <c r="C25" s="339"/>
      <c r="D25" s="1384" t="s">
        <v>332</v>
      </c>
      <c r="E25" s="339"/>
      <c r="F25" s="339"/>
      <c r="G25" s="339"/>
      <c r="H25" s="339"/>
      <c r="I25" s="576" t="s">
        <v>498</v>
      </c>
      <c r="J25" s="297">
        <v>0</v>
      </c>
      <c r="K25" s="298">
        <v>0</v>
      </c>
      <c r="L25" s="298">
        <v>0</v>
      </c>
      <c r="M25" s="298">
        <v>0</v>
      </c>
      <c r="N25" s="298">
        <v>0</v>
      </c>
      <c r="O25" s="298">
        <v>0</v>
      </c>
      <c r="P25" s="298">
        <v>0</v>
      </c>
      <c r="Q25" s="299">
        <v>0</v>
      </c>
      <c r="R25" s="297">
        <v>0</v>
      </c>
      <c r="S25" s="298">
        <v>0</v>
      </c>
      <c r="T25" s="298">
        <v>0</v>
      </c>
      <c r="U25" s="298">
        <v>0</v>
      </c>
      <c r="V25" s="299">
        <v>0</v>
      </c>
      <c r="W25" s="339"/>
      <c r="X25" s="2533"/>
      <c r="Y25" s="2533"/>
      <c r="Z25" s="2533"/>
      <c r="AA25" s="2533"/>
      <c r="AB25" s="2533"/>
      <c r="AC25" s="2533"/>
      <c r="AD25" s="2533"/>
      <c r="AE25" s="2533"/>
      <c r="AF25" s="2533"/>
      <c r="AG25" s="2533"/>
      <c r="AH25" s="2533"/>
      <c r="AI25" s="2533"/>
      <c r="AJ25" s="2533"/>
      <c r="AK25" s="2533"/>
      <c r="AL25" s="339"/>
      <c r="AM25" s="2533"/>
      <c r="AN25" s="2533"/>
      <c r="AO25" s="2533"/>
      <c r="AP25" s="2533"/>
      <c r="AQ25" s="2533"/>
      <c r="AR25" s="2533"/>
      <c r="AS25" s="2533"/>
      <c r="AT25" s="2533"/>
      <c r="AU25" s="2533"/>
      <c r="AV25" s="2533"/>
      <c r="AW25" s="2533"/>
      <c r="AX25" s="2533"/>
      <c r="AY25" s="2533"/>
      <c r="AZ25" s="2533"/>
      <c r="BA25" s="339"/>
      <c r="BB25" s="339"/>
      <c r="BC25" s="339"/>
      <c r="BD25" s="339"/>
      <c r="BE25" s="339"/>
      <c r="BF25" s="339"/>
      <c r="BG25" s="339"/>
      <c r="BH25" s="339"/>
      <c r="BI25" s="339"/>
      <c r="BJ25" s="339"/>
      <c r="BK25" s="339"/>
      <c r="BL25" s="339"/>
      <c r="BM25" s="339"/>
      <c r="BN25" s="339"/>
      <c r="BO25" s="353"/>
    </row>
    <row r="26" spans="2:67">
      <c r="B26" s="349"/>
      <c r="C26" s="339"/>
      <c r="D26" s="1384" t="s">
        <v>1871</v>
      </c>
      <c r="E26" s="339"/>
      <c r="F26" s="339"/>
      <c r="G26" s="339"/>
      <c r="H26" s="339"/>
      <c r="I26" s="576" t="s">
        <v>498</v>
      </c>
      <c r="J26" s="297">
        <v>0</v>
      </c>
      <c r="K26" s="298">
        <v>0</v>
      </c>
      <c r="L26" s="298">
        <v>0</v>
      </c>
      <c r="M26" s="298">
        <v>0</v>
      </c>
      <c r="N26" s="298">
        <v>0</v>
      </c>
      <c r="O26" s="298">
        <v>0</v>
      </c>
      <c r="P26" s="298">
        <v>0</v>
      </c>
      <c r="Q26" s="299">
        <v>0</v>
      </c>
      <c r="R26" s="297">
        <v>0</v>
      </c>
      <c r="S26" s="298">
        <v>0</v>
      </c>
      <c r="T26" s="298">
        <v>0</v>
      </c>
      <c r="U26" s="298">
        <v>0</v>
      </c>
      <c r="V26" s="299">
        <v>0</v>
      </c>
      <c r="W26" s="339"/>
      <c r="X26" s="2533"/>
      <c r="Y26" s="2533"/>
      <c r="Z26" s="2533"/>
      <c r="AA26" s="2533"/>
      <c r="AB26" s="2533"/>
      <c r="AC26" s="2533"/>
      <c r="AD26" s="2533"/>
      <c r="AE26" s="2533"/>
      <c r="AF26" s="2533"/>
      <c r="AG26" s="2533"/>
      <c r="AH26" s="2533"/>
      <c r="AI26" s="2533"/>
      <c r="AJ26" s="2533"/>
      <c r="AK26" s="2533"/>
      <c r="AL26" s="339"/>
      <c r="AM26" s="2533"/>
      <c r="AN26" s="2533"/>
      <c r="AO26" s="2533"/>
      <c r="AP26" s="2533"/>
      <c r="AQ26" s="2533"/>
      <c r="AR26" s="2533"/>
      <c r="AS26" s="2533"/>
      <c r="AT26" s="2533"/>
      <c r="AU26" s="2533"/>
      <c r="AV26" s="2533"/>
      <c r="AW26" s="2533"/>
      <c r="AX26" s="2533"/>
      <c r="AY26" s="2533"/>
      <c r="AZ26" s="2533"/>
      <c r="BA26" s="339"/>
      <c r="BB26" s="339"/>
      <c r="BC26" s="339"/>
      <c r="BD26" s="339"/>
      <c r="BE26" s="339"/>
      <c r="BF26" s="339"/>
      <c r="BG26" s="339"/>
      <c r="BH26" s="339"/>
      <c r="BI26" s="339"/>
      <c r="BJ26" s="339"/>
      <c r="BK26" s="339"/>
      <c r="BL26" s="339"/>
      <c r="BM26" s="339"/>
      <c r="BN26" s="339"/>
      <c r="BO26" s="353"/>
    </row>
    <row r="27" spans="2:67">
      <c r="B27" s="349"/>
      <c r="C27" s="339"/>
      <c r="D27" s="1384" t="s">
        <v>1872</v>
      </c>
      <c r="E27" s="339"/>
      <c r="F27" s="339"/>
      <c r="G27" s="339"/>
      <c r="H27" s="339"/>
      <c r="I27" s="576" t="s">
        <v>498</v>
      </c>
      <c r="J27" s="297">
        <v>0</v>
      </c>
      <c r="K27" s="298">
        <v>0</v>
      </c>
      <c r="L27" s="298">
        <v>0</v>
      </c>
      <c r="M27" s="298">
        <v>0</v>
      </c>
      <c r="N27" s="298">
        <v>0</v>
      </c>
      <c r="O27" s="298">
        <v>0</v>
      </c>
      <c r="P27" s="298">
        <v>0</v>
      </c>
      <c r="Q27" s="299">
        <v>0</v>
      </c>
      <c r="R27" s="297">
        <v>0</v>
      </c>
      <c r="S27" s="298">
        <v>0</v>
      </c>
      <c r="T27" s="298">
        <v>0</v>
      </c>
      <c r="U27" s="298">
        <v>0</v>
      </c>
      <c r="V27" s="299">
        <v>0</v>
      </c>
      <c r="W27" s="339"/>
      <c r="X27" s="2533"/>
      <c r="Y27" s="2533"/>
      <c r="Z27" s="2533"/>
      <c r="AA27" s="2533"/>
      <c r="AB27" s="2533"/>
      <c r="AC27" s="2533"/>
      <c r="AD27" s="2533"/>
      <c r="AE27" s="2533"/>
      <c r="AF27" s="2533"/>
      <c r="AG27" s="2533"/>
      <c r="AH27" s="2533"/>
      <c r="AI27" s="2533"/>
      <c r="AJ27" s="2533"/>
      <c r="AK27" s="2533"/>
      <c r="AL27" s="339"/>
      <c r="AM27" s="2533"/>
      <c r="AN27" s="2533"/>
      <c r="AO27" s="2533"/>
      <c r="AP27" s="2533"/>
      <c r="AQ27" s="2533"/>
      <c r="AR27" s="2533"/>
      <c r="AS27" s="2533"/>
      <c r="AT27" s="2533"/>
      <c r="AU27" s="2533"/>
      <c r="AV27" s="2533"/>
      <c r="AW27" s="2533"/>
      <c r="AX27" s="2533"/>
      <c r="AY27" s="2533"/>
      <c r="AZ27" s="2533"/>
      <c r="BA27" s="339"/>
      <c r="BB27" s="339"/>
      <c r="BC27" s="339"/>
      <c r="BD27" s="339"/>
      <c r="BE27" s="339"/>
      <c r="BF27" s="339"/>
      <c r="BG27" s="339"/>
      <c r="BH27" s="339"/>
      <c r="BI27" s="339"/>
      <c r="BJ27" s="339"/>
      <c r="BK27" s="339"/>
      <c r="BL27" s="339"/>
      <c r="BM27" s="339"/>
      <c r="BN27" s="339"/>
      <c r="BO27" s="353"/>
    </row>
    <row r="28" spans="2:67" ht="15">
      <c r="B28" s="349"/>
      <c r="C28" s="339" t="s">
        <v>1710</v>
      </c>
      <c r="D28" s="1384"/>
      <c r="E28" s="591"/>
      <c r="F28" s="591"/>
      <c r="G28" s="339"/>
      <c r="H28" s="259"/>
      <c r="I28" s="576" t="s">
        <v>498</v>
      </c>
      <c r="J28" s="302">
        <f>SUM(J22:J27)</f>
        <v>5.6804123379323013</v>
      </c>
      <c r="K28" s="303">
        <f t="shared" ref="K28" si="3">SUM(K22:K27)</f>
        <v>8.5223164469765411</v>
      </c>
      <c r="L28" s="303">
        <f t="shared" ref="L28" si="4">SUM(L22:L27)</f>
        <v>7.918300604190077</v>
      </c>
      <c r="M28" s="303">
        <f t="shared" ref="M28" si="5">SUM(M22:M27)</f>
        <v>6.1200236111476105</v>
      </c>
      <c r="N28" s="303">
        <f t="shared" ref="N28" si="6">SUM(N22:N27)</f>
        <v>6.5223533682146781</v>
      </c>
      <c r="O28" s="303">
        <f t="shared" ref="O28" si="7">SUM(O22:O27)</f>
        <v>5.6740643340710397</v>
      </c>
      <c r="P28" s="303">
        <f t="shared" ref="P28" si="8">SUM(P22:P27)</f>
        <v>6.2901417896200238</v>
      </c>
      <c r="Q28" s="304">
        <f t="shared" ref="Q28" si="9">SUM(Q22:Q27)</f>
        <v>6.4897972095769525</v>
      </c>
      <c r="R28" s="302">
        <f t="shared" ref="R28" si="10">SUM(R22:R27)</f>
        <v>6.4573482235290678</v>
      </c>
      <c r="S28" s="303">
        <f t="shared" ref="S28" si="11">SUM(S22:S27)</f>
        <v>6.4250614824114223</v>
      </c>
      <c r="T28" s="303">
        <f t="shared" ref="T28" si="12">SUM(T22:T27)</f>
        <v>6.3929361749993658</v>
      </c>
      <c r="U28" s="303">
        <f t="shared" ref="U28" si="13">SUM(U22:U27)</f>
        <v>6.3609714941243682</v>
      </c>
      <c r="V28" s="304">
        <f t="shared" ref="V28" si="14">SUM(V22:V27)</f>
        <v>6.3291666366537465</v>
      </c>
      <c r="W28" s="259"/>
      <c r="X28" s="2535"/>
      <c r="Y28" s="2535"/>
      <c r="Z28" s="2535"/>
      <c r="AA28" s="2535"/>
      <c r="AB28" s="2535"/>
      <c r="AC28" s="2535"/>
      <c r="AD28" s="2535"/>
      <c r="AE28" s="2535"/>
      <c r="AF28" s="2535"/>
      <c r="AG28" s="2535"/>
      <c r="AH28" s="2535"/>
      <c r="AI28" s="2535"/>
      <c r="AJ28" s="2535"/>
      <c r="AK28" s="2535"/>
      <c r="AL28" s="259"/>
      <c r="AM28" s="2535"/>
      <c r="AN28" s="2535"/>
      <c r="AO28" s="2535"/>
      <c r="AP28" s="2535"/>
      <c r="AQ28" s="2535"/>
      <c r="AR28" s="2535"/>
      <c r="AS28" s="2535"/>
      <c r="AT28" s="2535"/>
      <c r="AU28" s="2535"/>
      <c r="AV28" s="2535"/>
      <c r="AW28" s="2535"/>
      <c r="AX28" s="2535"/>
      <c r="AY28" s="2535"/>
      <c r="AZ28" s="2535"/>
      <c r="BA28" s="339"/>
      <c r="BB28" s="339"/>
      <c r="BC28" s="339"/>
      <c r="BD28" s="339"/>
      <c r="BE28" s="339"/>
      <c r="BF28" s="339"/>
      <c r="BG28" s="339"/>
      <c r="BH28" s="339"/>
      <c r="BI28" s="339"/>
      <c r="BJ28" s="339"/>
      <c r="BK28" s="339"/>
      <c r="BL28" s="339"/>
      <c r="BM28" s="339"/>
      <c r="BN28" s="339"/>
      <c r="BO28" s="353"/>
    </row>
    <row r="29" spans="2:67">
      <c r="B29" s="349"/>
      <c r="C29" s="339"/>
      <c r="D29" s="339"/>
      <c r="E29" s="339"/>
      <c r="F29" s="339"/>
      <c r="G29" s="339"/>
      <c r="H29" s="339"/>
      <c r="I29" s="339"/>
      <c r="J29" s="349"/>
      <c r="K29" s="339"/>
      <c r="L29" s="339"/>
      <c r="M29" s="339"/>
      <c r="N29" s="339"/>
      <c r="O29" s="339"/>
      <c r="P29" s="339"/>
      <c r="Q29" s="353"/>
      <c r="R29" s="349"/>
      <c r="S29" s="339"/>
      <c r="T29" s="339"/>
      <c r="U29" s="339"/>
      <c r="V29" s="353"/>
      <c r="W29" s="339"/>
      <c r="X29" s="2533"/>
      <c r="Y29" s="2533"/>
      <c r="Z29" s="2533"/>
      <c r="AA29" s="2533"/>
      <c r="AB29" s="2533"/>
      <c r="AC29" s="2533"/>
      <c r="AD29" s="2533"/>
      <c r="AE29" s="2533"/>
      <c r="AF29" s="2533"/>
      <c r="AG29" s="2533"/>
      <c r="AH29" s="2533"/>
      <c r="AI29" s="2533"/>
      <c r="AJ29" s="2533"/>
      <c r="AK29" s="2533"/>
      <c r="AL29" s="339"/>
      <c r="AM29" s="2533"/>
      <c r="AN29" s="2533"/>
      <c r="AO29" s="2533"/>
      <c r="AP29" s="2533"/>
      <c r="AQ29" s="2533"/>
      <c r="AR29" s="2533"/>
      <c r="AS29" s="2533"/>
      <c r="AT29" s="2533"/>
      <c r="AU29" s="2533"/>
      <c r="AV29" s="2533"/>
      <c r="AW29" s="2533"/>
      <c r="AX29" s="2533"/>
      <c r="AY29" s="2533"/>
      <c r="AZ29" s="2533"/>
      <c r="BA29" s="339"/>
      <c r="BB29" s="339"/>
      <c r="BC29" s="339"/>
      <c r="BD29" s="339"/>
      <c r="BE29" s="339"/>
      <c r="BF29" s="339"/>
      <c r="BG29" s="339"/>
      <c r="BH29" s="339"/>
      <c r="BI29" s="339"/>
      <c r="BJ29" s="339"/>
      <c r="BK29" s="339"/>
      <c r="BL29" s="339"/>
      <c r="BM29" s="339"/>
      <c r="BN29" s="339"/>
      <c r="BO29" s="353"/>
    </row>
    <row r="30" spans="2:67" ht="15">
      <c r="B30" s="349"/>
      <c r="C30" s="623" t="s">
        <v>1874</v>
      </c>
      <c r="D30" s="339"/>
      <c r="E30" s="339"/>
      <c r="F30" s="339"/>
      <c r="G30" s="339"/>
      <c r="H30" s="339"/>
      <c r="I30" s="339"/>
      <c r="J30" s="349"/>
      <c r="K30" s="339"/>
      <c r="L30" s="339"/>
      <c r="M30" s="339"/>
      <c r="N30" s="339"/>
      <c r="O30" s="339"/>
      <c r="P30" s="339"/>
      <c r="Q30" s="353"/>
      <c r="R30" s="349"/>
      <c r="S30" s="339"/>
      <c r="T30" s="339"/>
      <c r="U30" s="339"/>
      <c r="V30" s="353"/>
      <c r="W30" s="339"/>
      <c r="X30" s="2533"/>
      <c r="Y30" s="2533"/>
      <c r="Z30" s="2533"/>
      <c r="AA30" s="2533"/>
      <c r="AB30" s="2533"/>
      <c r="AC30" s="2533"/>
      <c r="AD30" s="2533"/>
      <c r="AE30" s="2533"/>
      <c r="AF30" s="2533"/>
      <c r="AG30" s="2533"/>
      <c r="AH30" s="2533"/>
      <c r="AI30" s="2533"/>
      <c r="AJ30" s="2533"/>
      <c r="AK30" s="2533"/>
      <c r="AL30" s="339"/>
      <c r="AM30" s="2533"/>
      <c r="AN30" s="2533"/>
      <c r="AO30" s="2533"/>
      <c r="AP30" s="2533"/>
      <c r="AQ30" s="2533"/>
      <c r="AR30" s="2533"/>
      <c r="AS30" s="2533"/>
      <c r="AT30" s="2533"/>
      <c r="AU30" s="2533"/>
      <c r="AV30" s="2533"/>
      <c r="AW30" s="2533"/>
      <c r="AX30" s="2533"/>
      <c r="AY30" s="2533"/>
      <c r="AZ30" s="2533"/>
      <c r="BA30" s="339"/>
      <c r="BB30" s="339"/>
      <c r="BC30" s="339"/>
      <c r="BD30" s="339"/>
      <c r="BE30" s="339"/>
      <c r="BF30" s="339"/>
      <c r="BG30" s="339"/>
      <c r="BH30" s="339"/>
      <c r="BI30" s="339"/>
      <c r="BJ30" s="339"/>
      <c r="BK30" s="339"/>
      <c r="BL30" s="339"/>
      <c r="BM30" s="339"/>
      <c r="BN30" s="339"/>
      <c r="BO30" s="353"/>
    </row>
    <row r="31" spans="2:67">
      <c r="B31" s="349"/>
      <c r="C31" s="339"/>
      <c r="D31" s="1384" t="s">
        <v>315</v>
      </c>
      <c r="E31" s="339"/>
      <c r="F31" s="339"/>
      <c r="G31" s="339"/>
      <c r="H31" s="339"/>
      <c r="I31" s="576" t="s">
        <v>498</v>
      </c>
      <c r="J31" s="297">
        <v>6.2582151248561599</v>
      </c>
      <c r="K31" s="298">
        <v>7.2343638182746055</v>
      </c>
      <c r="L31" s="298">
        <v>5.4917366736398083</v>
      </c>
      <c r="M31" s="298">
        <v>4.1784988793352644</v>
      </c>
      <c r="N31" s="298">
        <v>4.1674717990528869</v>
      </c>
      <c r="O31" s="298">
        <v>3.9884926553677844</v>
      </c>
      <c r="P31" s="298">
        <v>4.4215544364688437</v>
      </c>
      <c r="Q31" s="299">
        <v>4.5618990165119166</v>
      </c>
      <c r="R31" s="297">
        <v>4.5390895214293572</v>
      </c>
      <c r="S31" s="298">
        <v>4.5163940738222097</v>
      </c>
      <c r="T31" s="298">
        <v>4.4938121034530987</v>
      </c>
      <c r="U31" s="298">
        <v>4.4713430429358327</v>
      </c>
      <c r="V31" s="299">
        <v>4.4489863277211539</v>
      </c>
      <c r="W31" s="339"/>
      <c r="X31" s="2533"/>
      <c r="Y31" s="2533"/>
      <c r="Z31" s="2533"/>
      <c r="AA31" s="2533"/>
      <c r="AB31" s="2533"/>
      <c r="AC31" s="2533"/>
      <c r="AD31" s="2533"/>
      <c r="AE31" s="2533"/>
      <c r="AF31" s="2533"/>
      <c r="AG31" s="2533"/>
      <c r="AH31" s="2533"/>
      <c r="AI31" s="2533"/>
      <c r="AJ31" s="2533"/>
      <c r="AK31" s="2533"/>
      <c r="AL31" s="339"/>
      <c r="AM31" s="2533"/>
      <c r="AN31" s="2533"/>
      <c r="AO31" s="2533"/>
      <c r="AP31" s="2533"/>
      <c r="AQ31" s="2533"/>
      <c r="AR31" s="2533"/>
      <c r="AS31" s="2533"/>
      <c r="AT31" s="2533"/>
      <c r="AU31" s="2533"/>
      <c r="AV31" s="2533"/>
      <c r="AW31" s="2533"/>
      <c r="AX31" s="2533"/>
      <c r="AY31" s="2533"/>
      <c r="AZ31" s="2533"/>
      <c r="BA31" s="339"/>
      <c r="BB31" s="339"/>
      <c r="BC31" s="339"/>
      <c r="BD31" s="339"/>
      <c r="BE31" s="339"/>
      <c r="BF31" s="339"/>
      <c r="BG31" s="339"/>
      <c r="BH31" s="339"/>
      <c r="BI31" s="339"/>
      <c r="BJ31" s="339"/>
      <c r="BK31" s="339"/>
      <c r="BL31" s="339"/>
      <c r="BM31" s="339"/>
      <c r="BN31" s="339"/>
      <c r="BO31" s="353"/>
    </row>
    <row r="32" spans="2:67">
      <c r="B32" s="349"/>
      <c r="C32" s="339"/>
      <c r="D32" s="1384" t="s">
        <v>324</v>
      </c>
      <c r="E32" s="339"/>
      <c r="F32" s="339"/>
      <c r="G32" s="339"/>
      <c r="H32" s="339"/>
      <c r="I32" s="576" t="s">
        <v>498</v>
      </c>
      <c r="J32" s="297">
        <v>0</v>
      </c>
      <c r="K32" s="298">
        <v>0</v>
      </c>
      <c r="L32" s="298">
        <v>0</v>
      </c>
      <c r="M32" s="298">
        <v>0</v>
      </c>
      <c r="N32" s="298">
        <v>0</v>
      </c>
      <c r="O32" s="298">
        <v>0</v>
      </c>
      <c r="P32" s="298">
        <v>0</v>
      </c>
      <c r="Q32" s="299">
        <v>0</v>
      </c>
      <c r="R32" s="297">
        <v>0</v>
      </c>
      <c r="S32" s="298">
        <v>0</v>
      </c>
      <c r="T32" s="298">
        <v>0</v>
      </c>
      <c r="U32" s="298">
        <v>0</v>
      </c>
      <c r="V32" s="299">
        <v>0</v>
      </c>
      <c r="W32" s="339"/>
      <c r="X32" s="2533"/>
      <c r="Y32" s="2533"/>
      <c r="Z32" s="2533"/>
      <c r="AA32" s="2533"/>
      <c r="AB32" s="2533"/>
      <c r="AC32" s="2533"/>
      <c r="AD32" s="2533"/>
      <c r="AE32" s="2533"/>
      <c r="AF32" s="2533"/>
      <c r="AG32" s="2533"/>
      <c r="AH32" s="2533"/>
      <c r="AI32" s="2533"/>
      <c r="AJ32" s="2533"/>
      <c r="AK32" s="2533"/>
      <c r="AL32" s="339"/>
      <c r="AM32" s="2533"/>
      <c r="AN32" s="2533"/>
      <c r="AO32" s="2533"/>
      <c r="AP32" s="2533"/>
      <c r="AQ32" s="2533"/>
      <c r="AR32" s="2533"/>
      <c r="AS32" s="2533"/>
      <c r="AT32" s="2533"/>
      <c r="AU32" s="2533"/>
      <c r="AV32" s="2533"/>
      <c r="AW32" s="2533"/>
      <c r="AX32" s="2533"/>
      <c r="AY32" s="2533"/>
      <c r="AZ32" s="2533"/>
      <c r="BA32" s="339"/>
      <c r="BB32" s="339"/>
      <c r="BC32" s="339"/>
      <c r="BD32" s="339"/>
      <c r="BE32" s="339"/>
      <c r="BF32" s="339"/>
      <c r="BG32" s="339"/>
      <c r="BH32" s="339"/>
      <c r="BI32" s="339"/>
      <c r="BJ32" s="339"/>
      <c r="BK32" s="339"/>
      <c r="BL32" s="339"/>
      <c r="BM32" s="339"/>
      <c r="BN32" s="339"/>
      <c r="BO32" s="353"/>
    </row>
    <row r="33" spans="2:67">
      <c r="B33" s="349"/>
      <c r="C33" s="339"/>
      <c r="D33" s="1384" t="s">
        <v>329</v>
      </c>
      <c r="E33" s="339"/>
      <c r="F33" s="339"/>
      <c r="G33" s="339"/>
      <c r="H33" s="339"/>
      <c r="I33" s="576" t="s">
        <v>498</v>
      </c>
      <c r="J33" s="297">
        <v>0</v>
      </c>
      <c r="K33" s="298">
        <v>0</v>
      </c>
      <c r="L33" s="298">
        <v>0</v>
      </c>
      <c r="M33" s="298">
        <v>0</v>
      </c>
      <c r="N33" s="298">
        <v>0</v>
      </c>
      <c r="O33" s="298">
        <v>0</v>
      </c>
      <c r="P33" s="298">
        <v>0</v>
      </c>
      <c r="Q33" s="299">
        <v>0</v>
      </c>
      <c r="R33" s="297">
        <v>0</v>
      </c>
      <c r="S33" s="298">
        <v>0</v>
      </c>
      <c r="T33" s="298">
        <v>0</v>
      </c>
      <c r="U33" s="298">
        <v>0</v>
      </c>
      <c r="V33" s="299">
        <v>0</v>
      </c>
      <c r="W33" s="339"/>
      <c r="X33" s="2533"/>
      <c r="Y33" s="2533"/>
      <c r="Z33" s="2533"/>
      <c r="AA33" s="2533"/>
      <c r="AB33" s="2533"/>
      <c r="AC33" s="2533"/>
      <c r="AD33" s="2533"/>
      <c r="AE33" s="2533"/>
      <c r="AF33" s="2533"/>
      <c r="AG33" s="2533"/>
      <c r="AH33" s="2533"/>
      <c r="AI33" s="2533"/>
      <c r="AJ33" s="2533"/>
      <c r="AK33" s="2533"/>
      <c r="AL33" s="339"/>
      <c r="AM33" s="2533"/>
      <c r="AN33" s="2533"/>
      <c r="AO33" s="2533"/>
      <c r="AP33" s="2533"/>
      <c r="AQ33" s="2533"/>
      <c r="AR33" s="2533"/>
      <c r="AS33" s="2533"/>
      <c r="AT33" s="2533"/>
      <c r="AU33" s="2533"/>
      <c r="AV33" s="2533"/>
      <c r="AW33" s="2533"/>
      <c r="AX33" s="2533"/>
      <c r="AY33" s="2533"/>
      <c r="AZ33" s="2533"/>
      <c r="BA33" s="339"/>
      <c r="BB33" s="339"/>
      <c r="BC33" s="339"/>
      <c r="BD33" s="339"/>
      <c r="BE33" s="339"/>
      <c r="BF33" s="339"/>
      <c r="BG33" s="339"/>
      <c r="BH33" s="339"/>
      <c r="BI33" s="339"/>
      <c r="BJ33" s="339"/>
      <c r="BK33" s="339"/>
      <c r="BL33" s="339"/>
      <c r="BM33" s="339"/>
      <c r="BN33" s="339"/>
      <c r="BO33" s="353"/>
    </row>
    <row r="34" spans="2:67">
      <c r="B34" s="349"/>
      <c r="C34" s="339"/>
      <c r="D34" s="1384" t="s">
        <v>332</v>
      </c>
      <c r="E34" s="339"/>
      <c r="F34" s="339"/>
      <c r="G34" s="339"/>
      <c r="H34" s="339"/>
      <c r="I34" s="576" t="s">
        <v>498</v>
      </c>
      <c r="J34" s="297">
        <v>0</v>
      </c>
      <c r="K34" s="298">
        <v>0</v>
      </c>
      <c r="L34" s="298">
        <v>0</v>
      </c>
      <c r="M34" s="298">
        <v>0</v>
      </c>
      <c r="N34" s="298">
        <v>0</v>
      </c>
      <c r="O34" s="298">
        <v>0</v>
      </c>
      <c r="P34" s="298">
        <v>0</v>
      </c>
      <c r="Q34" s="299">
        <v>0</v>
      </c>
      <c r="R34" s="297">
        <v>0</v>
      </c>
      <c r="S34" s="298">
        <v>0</v>
      </c>
      <c r="T34" s="298">
        <v>0</v>
      </c>
      <c r="U34" s="298">
        <v>0</v>
      </c>
      <c r="V34" s="299">
        <v>0</v>
      </c>
      <c r="W34" s="339"/>
      <c r="X34" s="2533"/>
      <c r="Y34" s="2533"/>
      <c r="Z34" s="2533"/>
      <c r="AA34" s="2533"/>
      <c r="AB34" s="2533"/>
      <c r="AC34" s="2533"/>
      <c r="AD34" s="2533"/>
      <c r="AE34" s="2533"/>
      <c r="AF34" s="2533"/>
      <c r="AG34" s="2533"/>
      <c r="AH34" s="2533"/>
      <c r="AI34" s="2533"/>
      <c r="AJ34" s="2533"/>
      <c r="AK34" s="2533"/>
      <c r="AL34" s="339"/>
      <c r="AM34" s="2533"/>
      <c r="AN34" s="2533"/>
      <c r="AO34" s="2533"/>
      <c r="AP34" s="2533"/>
      <c r="AQ34" s="2533"/>
      <c r="AR34" s="2533"/>
      <c r="AS34" s="2533"/>
      <c r="AT34" s="2533"/>
      <c r="AU34" s="2533"/>
      <c r="AV34" s="2533"/>
      <c r="AW34" s="2533"/>
      <c r="AX34" s="2533"/>
      <c r="AY34" s="2533"/>
      <c r="AZ34" s="2533"/>
      <c r="BA34" s="339"/>
      <c r="BB34" s="339"/>
      <c r="BC34" s="339"/>
      <c r="BD34" s="339"/>
      <c r="BE34" s="339"/>
      <c r="BF34" s="339"/>
      <c r="BG34" s="339"/>
      <c r="BH34" s="339"/>
      <c r="BI34" s="339"/>
      <c r="BJ34" s="339"/>
      <c r="BK34" s="339"/>
      <c r="BL34" s="339"/>
      <c r="BM34" s="339"/>
      <c r="BN34" s="339"/>
      <c r="BO34" s="353"/>
    </row>
    <row r="35" spans="2:67">
      <c r="B35" s="349"/>
      <c r="C35" s="339"/>
      <c r="D35" s="1384" t="s">
        <v>1871</v>
      </c>
      <c r="E35" s="339"/>
      <c r="F35" s="339"/>
      <c r="G35" s="339"/>
      <c r="H35" s="339"/>
      <c r="I35" s="576" t="s">
        <v>498</v>
      </c>
      <c r="J35" s="297">
        <v>0</v>
      </c>
      <c r="K35" s="298">
        <v>0</v>
      </c>
      <c r="L35" s="298">
        <v>0</v>
      </c>
      <c r="M35" s="298">
        <v>0</v>
      </c>
      <c r="N35" s="298">
        <v>0</v>
      </c>
      <c r="O35" s="298">
        <v>0</v>
      </c>
      <c r="P35" s="298">
        <v>0</v>
      </c>
      <c r="Q35" s="299">
        <v>0</v>
      </c>
      <c r="R35" s="297">
        <v>0</v>
      </c>
      <c r="S35" s="298">
        <v>0</v>
      </c>
      <c r="T35" s="298">
        <v>0</v>
      </c>
      <c r="U35" s="298">
        <v>0</v>
      </c>
      <c r="V35" s="299">
        <v>0</v>
      </c>
      <c r="W35" s="339"/>
      <c r="X35" s="2533"/>
      <c r="Y35" s="2533"/>
      <c r="Z35" s="2533"/>
      <c r="AA35" s="2533"/>
      <c r="AB35" s="2533"/>
      <c r="AC35" s="2533"/>
      <c r="AD35" s="2533"/>
      <c r="AE35" s="2533"/>
      <c r="AF35" s="2533"/>
      <c r="AG35" s="2533"/>
      <c r="AH35" s="2533"/>
      <c r="AI35" s="2533"/>
      <c r="AJ35" s="2533"/>
      <c r="AK35" s="2533"/>
      <c r="AL35" s="339"/>
      <c r="AM35" s="2533"/>
      <c r="AN35" s="2533"/>
      <c r="AO35" s="2533"/>
      <c r="AP35" s="2533"/>
      <c r="AQ35" s="2533"/>
      <c r="AR35" s="2533"/>
      <c r="AS35" s="2533"/>
      <c r="AT35" s="2533"/>
      <c r="AU35" s="2533"/>
      <c r="AV35" s="2533"/>
      <c r="AW35" s="2533"/>
      <c r="AX35" s="2533"/>
      <c r="AY35" s="2533"/>
      <c r="AZ35" s="2533"/>
      <c r="BA35" s="339"/>
      <c r="BB35" s="339"/>
      <c r="BC35" s="339"/>
      <c r="BD35" s="339"/>
      <c r="BE35" s="339"/>
      <c r="BF35" s="339"/>
      <c r="BG35" s="339"/>
      <c r="BH35" s="339"/>
      <c r="BI35" s="339"/>
      <c r="BJ35" s="339"/>
      <c r="BK35" s="339"/>
      <c r="BL35" s="339"/>
      <c r="BM35" s="339"/>
      <c r="BN35" s="339"/>
      <c r="BO35" s="353"/>
    </row>
    <row r="36" spans="2:67">
      <c r="B36" s="349"/>
      <c r="C36" s="339"/>
      <c r="D36" s="1384" t="s">
        <v>1872</v>
      </c>
      <c r="E36" s="339"/>
      <c r="F36" s="339"/>
      <c r="G36" s="339"/>
      <c r="H36" s="339"/>
      <c r="I36" s="576" t="s">
        <v>498</v>
      </c>
      <c r="J36" s="297">
        <v>0</v>
      </c>
      <c r="K36" s="298">
        <v>0</v>
      </c>
      <c r="L36" s="298">
        <v>0</v>
      </c>
      <c r="M36" s="298">
        <v>0</v>
      </c>
      <c r="N36" s="298">
        <v>0</v>
      </c>
      <c r="O36" s="298">
        <v>0</v>
      </c>
      <c r="P36" s="298">
        <v>0</v>
      </c>
      <c r="Q36" s="299">
        <v>0</v>
      </c>
      <c r="R36" s="297">
        <v>0</v>
      </c>
      <c r="S36" s="298">
        <v>0</v>
      </c>
      <c r="T36" s="298">
        <v>0</v>
      </c>
      <c r="U36" s="298">
        <v>0</v>
      </c>
      <c r="V36" s="299">
        <v>0</v>
      </c>
      <c r="W36" s="339"/>
      <c r="X36" s="2533"/>
      <c r="Y36" s="2533"/>
      <c r="Z36" s="2533"/>
      <c r="AA36" s="2533"/>
      <c r="AB36" s="2533"/>
      <c r="AC36" s="2533"/>
      <c r="AD36" s="2533"/>
      <c r="AE36" s="2533"/>
      <c r="AF36" s="2533"/>
      <c r="AG36" s="2533"/>
      <c r="AH36" s="2533"/>
      <c r="AI36" s="2533"/>
      <c r="AJ36" s="2533"/>
      <c r="AK36" s="2533"/>
      <c r="AL36" s="339"/>
      <c r="AM36" s="2533"/>
      <c r="AN36" s="2533"/>
      <c r="AO36" s="2533"/>
      <c r="AP36" s="2533"/>
      <c r="AQ36" s="2533"/>
      <c r="AR36" s="2533"/>
      <c r="AS36" s="2533"/>
      <c r="AT36" s="2533"/>
      <c r="AU36" s="2533"/>
      <c r="AV36" s="2533"/>
      <c r="AW36" s="2533"/>
      <c r="AX36" s="2533"/>
      <c r="AY36" s="2533"/>
      <c r="AZ36" s="2533"/>
      <c r="BA36" s="339"/>
      <c r="BB36" s="339"/>
      <c r="BC36" s="339"/>
      <c r="BD36" s="339"/>
      <c r="BE36" s="339"/>
      <c r="BF36" s="339"/>
      <c r="BG36" s="339"/>
      <c r="BH36" s="339"/>
      <c r="BI36" s="339"/>
      <c r="BJ36" s="339"/>
      <c r="BK36" s="339"/>
      <c r="BL36" s="339"/>
      <c r="BM36" s="339"/>
      <c r="BN36" s="339"/>
      <c r="BO36" s="353"/>
    </row>
    <row r="37" spans="2:67" ht="15.75" thickBot="1">
      <c r="B37" s="349"/>
      <c r="C37" s="339" t="s">
        <v>1710</v>
      </c>
      <c r="D37" s="1384"/>
      <c r="E37" s="591"/>
      <c r="F37" s="591"/>
      <c r="G37" s="339"/>
      <c r="H37" s="259"/>
      <c r="I37" s="576" t="s">
        <v>498</v>
      </c>
      <c r="J37" s="1110">
        <f>SUM(J31:J36)</f>
        <v>6.2582151248561599</v>
      </c>
      <c r="K37" s="1111">
        <f t="shared" ref="K37" si="15">SUM(K31:K36)</f>
        <v>7.2343638182746055</v>
      </c>
      <c r="L37" s="1111">
        <f t="shared" ref="L37" si="16">SUM(L31:L36)</f>
        <v>5.4917366736398083</v>
      </c>
      <c r="M37" s="1111">
        <f t="shared" ref="M37" si="17">SUM(M31:M36)</f>
        <v>4.1784988793352644</v>
      </c>
      <c r="N37" s="1111">
        <f t="shared" ref="N37" si="18">SUM(N31:N36)</f>
        <v>4.1674717990528869</v>
      </c>
      <c r="O37" s="1111">
        <f t="shared" ref="O37" si="19">SUM(O31:O36)</f>
        <v>3.9884926553677844</v>
      </c>
      <c r="P37" s="1111">
        <f t="shared" ref="P37" si="20">SUM(P31:P36)</f>
        <v>4.4215544364688437</v>
      </c>
      <c r="Q37" s="1112">
        <f t="shared" ref="Q37" si="21">SUM(Q31:Q36)</f>
        <v>4.5618990165119166</v>
      </c>
      <c r="R37" s="1110">
        <f t="shared" ref="R37" si="22">SUM(R31:R36)</f>
        <v>4.5390895214293572</v>
      </c>
      <c r="S37" s="1111">
        <f t="shared" ref="S37" si="23">SUM(S31:S36)</f>
        <v>4.5163940738222097</v>
      </c>
      <c r="T37" s="1111">
        <f t="shared" ref="T37" si="24">SUM(T31:T36)</f>
        <v>4.4938121034530987</v>
      </c>
      <c r="U37" s="1111">
        <f t="shared" ref="U37" si="25">SUM(U31:U36)</f>
        <v>4.4713430429358327</v>
      </c>
      <c r="V37" s="1112">
        <f t="shared" ref="V37" si="26">SUM(V31:V36)</f>
        <v>4.4489863277211539</v>
      </c>
      <c r="W37" s="259"/>
      <c r="X37" s="2535"/>
      <c r="Y37" s="2535"/>
      <c r="Z37" s="2535"/>
      <c r="AA37" s="2535"/>
      <c r="AB37" s="2535"/>
      <c r="AC37" s="2535"/>
      <c r="AD37" s="2535"/>
      <c r="AE37" s="2535"/>
      <c r="AF37" s="2535"/>
      <c r="AG37" s="2535"/>
      <c r="AH37" s="2535"/>
      <c r="AI37" s="2535"/>
      <c r="AJ37" s="2535"/>
      <c r="AK37" s="2535"/>
      <c r="AL37" s="259"/>
      <c r="AM37" s="2535"/>
      <c r="AN37" s="2535"/>
      <c r="AO37" s="2535"/>
      <c r="AP37" s="2535"/>
      <c r="AQ37" s="2535"/>
      <c r="AR37" s="2535"/>
      <c r="AS37" s="2535"/>
      <c r="AT37" s="2535"/>
      <c r="AU37" s="2535"/>
      <c r="AV37" s="2535"/>
      <c r="AW37" s="2535"/>
      <c r="AX37" s="2535"/>
      <c r="AY37" s="2535"/>
      <c r="AZ37" s="2535"/>
      <c r="BA37" s="339"/>
      <c r="BB37" s="339"/>
      <c r="BC37" s="339"/>
      <c r="BD37" s="339"/>
      <c r="BE37" s="339"/>
      <c r="BF37" s="339"/>
      <c r="BG37" s="339"/>
      <c r="BH37" s="339"/>
      <c r="BI37" s="339"/>
      <c r="BJ37" s="339"/>
      <c r="BK37" s="339"/>
      <c r="BL37" s="339"/>
      <c r="BM37" s="339"/>
      <c r="BN37" s="339"/>
      <c r="BO37" s="353"/>
    </row>
    <row r="38" spans="2:67">
      <c r="B38" s="349"/>
      <c r="C38" s="339"/>
      <c r="D38" s="339"/>
      <c r="E38" s="339"/>
      <c r="F38" s="339"/>
      <c r="G38" s="339"/>
      <c r="H38" s="339"/>
      <c r="I38" s="339"/>
      <c r="J38" s="339"/>
      <c r="K38" s="339"/>
      <c r="L38" s="339"/>
      <c r="M38" s="339"/>
      <c r="N38" s="339"/>
      <c r="O38" s="339"/>
      <c r="P38" s="339"/>
      <c r="Q38" s="339"/>
      <c r="R38" s="339"/>
      <c r="S38" s="339"/>
      <c r="T38" s="339"/>
      <c r="U38" s="339"/>
      <c r="V38" s="339"/>
      <c r="W38" s="339"/>
      <c r="X38" s="2533"/>
      <c r="Y38" s="2533"/>
      <c r="Z38" s="2533"/>
      <c r="AA38" s="2533"/>
      <c r="AB38" s="2533"/>
      <c r="AC38" s="2533"/>
      <c r="AD38" s="2533"/>
      <c r="AE38" s="2533"/>
      <c r="AF38" s="2533"/>
      <c r="AG38" s="2533"/>
      <c r="AH38" s="2533"/>
      <c r="AI38" s="2533"/>
      <c r="AJ38" s="2533"/>
      <c r="AK38" s="2533"/>
      <c r="AL38" s="339"/>
      <c r="AM38" s="2533"/>
      <c r="AN38" s="2533"/>
      <c r="AO38" s="2533"/>
      <c r="AP38" s="2533"/>
      <c r="AQ38" s="2533"/>
      <c r="AR38" s="2533"/>
      <c r="AS38" s="2533"/>
      <c r="AT38" s="2533"/>
      <c r="AU38" s="2533"/>
      <c r="AV38" s="2533"/>
      <c r="AW38" s="2533"/>
      <c r="AX38" s="2533"/>
      <c r="AY38" s="2533"/>
      <c r="AZ38" s="2533"/>
      <c r="BA38" s="339"/>
      <c r="BB38" s="339"/>
      <c r="BC38" s="339"/>
      <c r="BD38" s="339"/>
      <c r="BE38" s="339"/>
      <c r="BF38" s="339"/>
      <c r="BG38" s="339"/>
      <c r="BH38" s="339"/>
      <c r="BI38" s="339"/>
      <c r="BJ38" s="339"/>
      <c r="BK38" s="339"/>
      <c r="BL38" s="339"/>
      <c r="BM38" s="339"/>
      <c r="BN38" s="339"/>
      <c r="BO38" s="353"/>
    </row>
    <row r="39" spans="2:67" ht="15.75" thickBot="1">
      <c r="B39" s="349"/>
      <c r="C39" s="623" t="s">
        <v>1875</v>
      </c>
      <c r="D39" s="339"/>
      <c r="E39" s="339"/>
      <c r="F39" s="339"/>
      <c r="G39" s="339"/>
      <c r="H39" s="339"/>
      <c r="I39" s="2533"/>
      <c r="J39" s="2533"/>
      <c r="K39" s="2533"/>
      <c r="L39" s="2533"/>
      <c r="M39" s="2533"/>
      <c r="N39" s="2533"/>
      <c r="O39" s="2533"/>
      <c r="P39" s="2533"/>
      <c r="Q39" s="2533"/>
      <c r="R39" s="2533"/>
      <c r="S39" s="2533"/>
      <c r="T39" s="2533"/>
      <c r="U39" s="2533"/>
      <c r="V39" s="2533"/>
      <c r="W39" s="339"/>
      <c r="X39" s="2533"/>
      <c r="Y39" s="2533"/>
      <c r="Z39" s="2533"/>
      <c r="AA39" s="2533"/>
      <c r="AB39" s="2533"/>
      <c r="AC39" s="2533"/>
      <c r="AD39" s="2533"/>
      <c r="AE39" s="2533"/>
      <c r="AF39" s="2533"/>
      <c r="AG39" s="2533"/>
      <c r="AH39" s="2533"/>
      <c r="AI39" s="2533"/>
      <c r="AJ39" s="2533"/>
      <c r="AK39" s="2533"/>
      <c r="AL39" s="339"/>
      <c r="AM39" s="2533"/>
      <c r="AN39" s="2533"/>
      <c r="AO39" s="2533"/>
      <c r="AP39" s="2533"/>
      <c r="AQ39" s="2533"/>
      <c r="AR39" s="2533"/>
      <c r="AS39" s="2533"/>
      <c r="AT39" s="2533"/>
      <c r="AU39" s="2533"/>
      <c r="AV39" s="2533"/>
      <c r="AW39" s="2533"/>
      <c r="AX39" s="2533"/>
      <c r="AY39" s="2533"/>
      <c r="AZ39" s="2533"/>
      <c r="BA39" s="339"/>
      <c r="BB39" s="339"/>
      <c r="BC39" s="339"/>
      <c r="BD39" s="339"/>
      <c r="BE39" s="339"/>
      <c r="BF39" s="339"/>
      <c r="BG39" s="339"/>
      <c r="BH39" s="339"/>
      <c r="BI39" s="339"/>
      <c r="BJ39" s="339"/>
      <c r="BK39" s="339"/>
      <c r="BL39" s="339"/>
      <c r="BM39" s="339"/>
      <c r="BN39" s="339"/>
      <c r="BO39" s="353"/>
    </row>
    <row r="40" spans="2:67">
      <c r="B40" s="349"/>
      <c r="C40" s="339"/>
      <c r="D40" s="1384" t="s">
        <v>315</v>
      </c>
      <c r="E40" s="339"/>
      <c r="F40" s="339"/>
      <c r="G40" s="339"/>
      <c r="H40" s="339"/>
      <c r="I40" s="2533"/>
      <c r="J40" s="2533"/>
      <c r="K40" s="2533"/>
      <c r="L40" s="2533"/>
      <c r="M40" s="2533"/>
      <c r="N40" s="2533"/>
      <c r="O40" s="2533"/>
      <c r="P40" s="2533"/>
      <c r="Q40" s="2533"/>
      <c r="R40" s="2533"/>
      <c r="S40" s="2533"/>
      <c r="T40" s="2533"/>
      <c r="U40" s="2533"/>
      <c r="V40" s="2533"/>
      <c r="W40" s="339"/>
      <c r="X40" s="2533"/>
      <c r="Y40" s="2533"/>
      <c r="Z40" s="2533"/>
      <c r="AA40" s="2533"/>
      <c r="AB40" s="2533"/>
      <c r="AC40" s="2533"/>
      <c r="AD40" s="2533"/>
      <c r="AE40" s="2533"/>
      <c r="AF40" s="2533"/>
      <c r="AG40" s="2533"/>
      <c r="AH40" s="2533"/>
      <c r="AI40" s="2533"/>
      <c r="AJ40" s="2533"/>
      <c r="AK40" s="2533"/>
      <c r="AL40" s="339"/>
      <c r="AM40" s="2533"/>
      <c r="AN40" s="2533"/>
      <c r="AO40" s="2533"/>
      <c r="AP40" s="2533"/>
      <c r="AQ40" s="2533"/>
      <c r="AR40" s="2533"/>
      <c r="AS40" s="2533"/>
      <c r="AT40" s="2533"/>
      <c r="AU40" s="2533"/>
      <c r="AV40" s="2533"/>
      <c r="AW40" s="2533"/>
      <c r="AX40" s="2533"/>
      <c r="AY40" s="2533"/>
      <c r="AZ40" s="2533"/>
      <c r="BA40" s="339"/>
      <c r="BB40" s="576" t="s">
        <v>1876</v>
      </c>
      <c r="BC40" s="1458">
        <v>629.92500000000007</v>
      </c>
      <c r="BD40" s="1459">
        <v>781.03561643835621</v>
      </c>
      <c r="BE40" s="1459">
        <v>882.41666666666663</v>
      </c>
      <c r="BF40" s="1459">
        <v>870</v>
      </c>
      <c r="BG40" s="1459">
        <v>878</v>
      </c>
      <c r="BH40" s="1459">
        <v>818</v>
      </c>
      <c r="BI40" s="1459">
        <v>828</v>
      </c>
      <c r="BJ40" s="1460">
        <v>828</v>
      </c>
      <c r="BK40" s="1458">
        <v>828</v>
      </c>
      <c r="BL40" s="1459">
        <v>828</v>
      </c>
      <c r="BM40" s="1459">
        <v>828</v>
      </c>
      <c r="BN40" s="1459">
        <v>828</v>
      </c>
      <c r="BO40" s="1460">
        <v>828</v>
      </c>
    </row>
    <row r="41" spans="2:67">
      <c r="B41" s="349"/>
      <c r="C41" s="339"/>
      <c r="D41" s="1384" t="s">
        <v>324</v>
      </c>
      <c r="E41" s="339"/>
      <c r="F41" s="339"/>
      <c r="G41" s="339"/>
      <c r="H41" s="339"/>
      <c r="I41" s="2533"/>
      <c r="J41" s="2533"/>
      <c r="K41" s="2533"/>
      <c r="L41" s="2533"/>
      <c r="M41" s="2533"/>
      <c r="N41" s="2533"/>
      <c r="O41" s="2533"/>
      <c r="P41" s="2533"/>
      <c r="Q41" s="2533"/>
      <c r="R41" s="2533"/>
      <c r="S41" s="2533"/>
      <c r="T41" s="2533"/>
      <c r="U41" s="2533"/>
      <c r="V41" s="2533"/>
      <c r="W41" s="339"/>
      <c r="X41" s="2533"/>
      <c r="Y41" s="2533"/>
      <c r="Z41" s="2533"/>
      <c r="AA41" s="2533"/>
      <c r="AB41" s="2533"/>
      <c r="AC41" s="2533"/>
      <c r="AD41" s="2533"/>
      <c r="AE41" s="2533"/>
      <c r="AF41" s="2533"/>
      <c r="AG41" s="2533"/>
      <c r="AH41" s="2533"/>
      <c r="AI41" s="2533"/>
      <c r="AJ41" s="2533"/>
      <c r="AK41" s="2533"/>
      <c r="AL41" s="339"/>
      <c r="AM41" s="2533"/>
      <c r="AN41" s="2533"/>
      <c r="AO41" s="2533"/>
      <c r="AP41" s="2533"/>
      <c r="AQ41" s="2533"/>
      <c r="AR41" s="2533"/>
      <c r="AS41" s="2533"/>
      <c r="AT41" s="2533"/>
      <c r="AU41" s="2533"/>
      <c r="AV41" s="2533"/>
      <c r="AW41" s="2533"/>
      <c r="AX41" s="2533"/>
      <c r="AY41" s="2533"/>
      <c r="AZ41" s="2533"/>
      <c r="BA41" s="339"/>
      <c r="BB41" s="576" t="s">
        <v>1876</v>
      </c>
      <c r="BC41" s="297">
        <v>0</v>
      </c>
      <c r="BD41" s="298">
        <v>0</v>
      </c>
      <c r="BE41" s="298">
        <v>0</v>
      </c>
      <c r="BF41" s="298">
        <v>0</v>
      </c>
      <c r="BG41" s="298">
        <v>0</v>
      </c>
      <c r="BH41" s="298">
        <v>0</v>
      </c>
      <c r="BI41" s="298">
        <v>0</v>
      </c>
      <c r="BJ41" s="299">
        <v>0</v>
      </c>
      <c r="BK41" s="297">
        <v>0</v>
      </c>
      <c r="BL41" s="298">
        <v>0</v>
      </c>
      <c r="BM41" s="298">
        <v>0</v>
      </c>
      <c r="BN41" s="298">
        <v>0</v>
      </c>
      <c r="BO41" s="299">
        <v>0</v>
      </c>
    </row>
    <row r="42" spans="2:67">
      <c r="B42" s="349"/>
      <c r="C42" s="339"/>
      <c r="D42" s="1384" t="s">
        <v>329</v>
      </c>
      <c r="E42" s="339"/>
      <c r="F42" s="339"/>
      <c r="G42" s="339"/>
      <c r="H42" s="339"/>
      <c r="I42" s="2533"/>
      <c r="J42" s="2533"/>
      <c r="K42" s="2533"/>
      <c r="L42" s="2533"/>
      <c r="M42" s="2533"/>
      <c r="N42" s="2533"/>
      <c r="O42" s="2533"/>
      <c r="P42" s="2533"/>
      <c r="Q42" s="2533"/>
      <c r="R42" s="2533"/>
      <c r="S42" s="2533"/>
      <c r="T42" s="2533"/>
      <c r="U42" s="2533"/>
      <c r="V42" s="2533"/>
      <c r="W42" s="339"/>
      <c r="X42" s="2533"/>
      <c r="Y42" s="2533"/>
      <c r="Z42" s="2533"/>
      <c r="AA42" s="2533"/>
      <c r="AB42" s="2533"/>
      <c r="AC42" s="2533"/>
      <c r="AD42" s="2533"/>
      <c r="AE42" s="2533"/>
      <c r="AF42" s="2533"/>
      <c r="AG42" s="2533"/>
      <c r="AH42" s="2533"/>
      <c r="AI42" s="2533"/>
      <c r="AJ42" s="2533"/>
      <c r="AK42" s="2533"/>
      <c r="AL42" s="339"/>
      <c r="AM42" s="2533"/>
      <c r="AN42" s="2533"/>
      <c r="AO42" s="2533"/>
      <c r="AP42" s="2533"/>
      <c r="AQ42" s="2533"/>
      <c r="AR42" s="2533"/>
      <c r="AS42" s="2533"/>
      <c r="AT42" s="2533"/>
      <c r="AU42" s="2533"/>
      <c r="AV42" s="2533"/>
      <c r="AW42" s="2533"/>
      <c r="AX42" s="2533"/>
      <c r="AY42" s="2533"/>
      <c r="AZ42" s="2533"/>
      <c r="BA42" s="339"/>
      <c r="BB42" s="576" t="s">
        <v>1876</v>
      </c>
      <c r="BC42" s="297">
        <v>0</v>
      </c>
      <c r="BD42" s="298">
        <v>0</v>
      </c>
      <c r="BE42" s="298">
        <v>0</v>
      </c>
      <c r="BF42" s="298">
        <v>0</v>
      </c>
      <c r="BG42" s="298">
        <v>0</v>
      </c>
      <c r="BH42" s="298">
        <v>0</v>
      </c>
      <c r="BI42" s="298">
        <v>0</v>
      </c>
      <c r="BJ42" s="299">
        <v>0</v>
      </c>
      <c r="BK42" s="297">
        <v>0</v>
      </c>
      <c r="BL42" s="298">
        <v>0</v>
      </c>
      <c r="BM42" s="298">
        <v>0</v>
      </c>
      <c r="BN42" s="298">
        <v>0</v>
      </c>
      <c r="BO42" s="299">
        <v>0</v>
      </c>
    </row>
    <row r="43" spans="2:67">
      <c r="B43" s="349"/>
      <c r="C43" s="339"/>
      <c r="D43" s="1384" t="s">
        <v>332</v>
      </c>
      <c r="E43" s="339"/>
      <c r="F43" s="339"/>
      <c r="G43" s="339"/>
      <c r="H43" s="339"/>
      <c r="I43" s="2533"/>
      <c r="J43" s="2533"/>
      <c r="K43" s="2533"/>
      <c r="L43" s="2533"/>
      <c r="M43" s="2533"/>
      <c r="N43" s="2533"/>
      <c r="O43" s="2533"/>
      <c r="P43" s="2533"/>
      <c r="Q43" s="2533"/>
      <c r="R43" s="2533"/>
      <c r="S43" s="2533"/>
      <c r="T43" s="2533"/>
      <c r="U43" s="2533"/>
      <c r="V43" s="2533"/>
      <c r="W43" s="339"/>
      <c r="X43" s="2533"/>
      <c r="Y43" s="2533"/>
      <c r="Z43" s="2533"/>
      <c r="AA43" s="2533"/>
      <c r="AB43" s="2533"/>
      <c r="AC43" s="2533"/>
      <c r="AD43" s="2533"/>
      <c r="AE43" s="2533"/>
      <c r="AF43" s="2533"/>
      <c r="AG43" s="2533"/>
      <c r="AH43" s="2533"/>
      <c r="AI43" s="2533"/>
      <c r="AJ43" s="2533"/>
      <c r="AK43" s="2533"/>
      <c r="AL43" s="339"/>
      <c r="AM43" s="2533"/>
      <c r="AN43" s="2533"/>
      <c r="AO43" s="2533"/>
      <c r="AP43" s="2533"/>
      <c r="AQ43" s="2533"/>
      <c r="AR43" s="2533"/>
      <c r="AS43" s="2533"/>
      <c r="AT43" s="2533"/>
      <c r="AU43" s="2533"/>
      <c r="AV43" s="2533"/>
      <c r="AW43" s="2533"/>
      <c r="AX43" s="2533"/>
      <c r="AY43" s="2533"/>
      <c r="AZ43" s="2533"/>
      <c r="BA43" s="339"/>
      <c r="BB43" s="576" t="s">
        <v>1876</v>
      </c>
      <c r="BC43" s="297">
        <v>0</v>
      </c>
      <c r="BD43" s="298">
        <v>0</v>
      </c>
      <c r="BE43" s="298">
        <v>0</v>
      </c>
      <c r="BF43" s="298">
        <v>0</v>
      </c>
      <c r="BG43" s="298">
        <v>0</v>
      </c>
      <c r="BH43" s="298">
        <v>0</v>
      </c>
      <c r="BI43" s="298">
        <v>0</v>
      </c>
      <c r="BJ43" s="299">
        <v>0</v>
      </c>
      <c r="BK43" s="297">
        <v>0</v>
      </c>
      <c r="BL43" s="298">
        <v>0</v>
      </c>
      <c r="BM43" s="298">
        <v>0</v>
      </c>
      <c r="BN43" s="298">
        <v>0</v>
      </c>
      <c r="BO43" s="299">
        <v>0</v>
      </c>
    </row>
    <row r="44" spans="2:67">
      <c r="B44" s="349"/>
      <c r="C44" s="339"/>
      <c r="D44" s="1384" t="s">
        <v>1871</v>
      </c>
      <c r="E44" s="339"/>
      <c r="F44" s="339"/>
      <c r="G44" s="339"/>
      <c r="H44" s="339"/>
      <c r="I44" s="2533"/>
      <c r="J44" s="2533"/>
      <c r="K44" s="2533"/>
      <c r="L44" s="2533"/>
      <c r="M44" s="2533"/>
      <c r="N44" s="2533"/>
      <c r="O44" s="2533"/>
      <c r="P44" s="2533"/>
      <c r="Q44" s="2533"/>
      <c r="R44" s="2533"/>
      <c r="S44" s="2533"/>
      <c r="T44" s="2533"/>
      <c r="U44" s="2533"/>
      <c r="V44" s="2533"/>
      <c r="W44" s="339"/>
      <c r="X44" s="2533"/>
      <c r="Y44" s="2533"/>
      <c r="Z44" s="2533"/>
      <c r="AA44" s="2533"/>
      <c r="AB44" s="2533"/>
      <c r="AC44" s="2533"/>
      <c r="AD44" s="2533"/>
      <c r="AE44" s="2533"/>
      <c r="AF44" s="2533"/>
      <c r="AG44" s="2533"/>
      <c r="AH44" s="2533"/>
      <c r="AI44" s="2533"/>
      <c r="AJ44" s="2533"/>
      <c r="AK44" s="2533"/>
      <c r="AL44" s="339"/>
      <c r="AM44" s="2533"/>
      <c r="AN44" s="2533"/>
      <c r="AO44" s="2533"/>
      <c r="AP44" s="2533"/>
      <c r="AQ44" s="2533"/>
      <c r="AR44" s="2533"/>
      <c r="AS44" s="2533"/>
      <c r="AT44" s="2533"/>
      <c r="AU44" s="2533"/>
      <c r="AV44" s="2533"/>
      <c r="AW44" s="2533"/>
      <c r="AX44" s="2533"/>
      <c r="AY44" s="2533"/>
      <c r="AZ44" s="2533"/>
      <c r="BA44" s="339"/>
      <c r="BB44" s="576" t="s">
        <v>1876</v>
      </c>
      <c r="BC44" s="297">
        <v>0</v>
      </c>
      <c r="BD44" s="298">
        <v>0</v>
      </c>
      <c r="BE44" s="298">
        <v>0</v>
      </c>
      <c r="BF44" s="298">
        <v>0</v>
      </c>
      <c r="BG44" s="298">
        <v>0</v>
      </c>
      <c r="BH44" s="298">
        <v>0</v>
      </c>
      <c r="BI44" s="298">
        <v>0</v>
      </c>
      <c r="BJ44" s="299">
        <v>0</v>
      </c>
      <c r="BK44" s="297">
        <v>0</v>
      </c>
      <c r="BL44" s="298">
        <v>0</v>
      </c>
      <c r="BM44" s="298">
        <v>0</v>
      </c>
      <c r="BN44" s="298">
        <v>0</v>
      </c>
      <c r="BO44" s="299">
        <v>0</v>
      </c>
    </row>
    <row r="45" spans="2:67">
      <c r="B45" s="349"/>
      <c r="C45" s="339"/>
      <c r="D45" s="1384" t="s">
        <v>1872</v>
      </c>
      <c r="E45" s="339"/>
      <c r="F45" s="339"/>
      <c r="G45" s="339"/>
      <c r="H45" s="339"/>
      <c r="I45" s="2533"/>
      <c r="J45" s="2533"/>
      <c r="K45" s="2533"/>
      <c r="L45" s="2533"/>
      <c r="M45" s="2533"/>
      <c r="N45" s="2533"/>
      <c r="O45" s="2533"/>
      <c r="P45" s="2533"/>
      <c r="Q45" s="2533"/>
      <c r="R45" s="2533"/>
      <c r="S45" s="2533"/>
      <c r="T45" s="2533"/>
      <c r="U45" s="2533"/>
      <c r="V45" s="2533"/>
      <c r="W45" s="339"/>
      <c r="X45" s="2533"/>
      <c r="Y45" s="2533"/>
      <c r="Z45" s="2533"/>
      <c r="AA45" s="2533"/>
      <c r="AB45" s="2533"/>
      <c r="AC45" s="2533"/>
      <c r="AD45" s="2533"/>
      <c r="AE45" s="2533"/>
      <c r="AF45" s="2533"/>
      <c r="AG45" s="2533"/>
      <c r="AH45" s="2533"/>
      <c r="AI45" s="2533"/>
      <c r="AJ45" s="2533"/>
      <c r="AK45" s="2533"/>
      <c r="AL45" s="339"/>
      <c r="AM45" s="2533"/>
      <c r="AN45" s="2533"/>
      <c r="AO45" s="2533"/>
      <c r="AP45" s="2533"/>
      <c r="AQ45" s="2533"/>
      <c r="AR45" s="2533"/>
      <c r="AS45" s="2533"/>
      <c r="AT45" s="2533"/>
      <c r="AU45" s="2533"/>
      <c r="AV45" s="2533"/>
      <c r="AW45" s="2533"/>
      <c r="AX45" s="2533"/>
      <c r="AY45" s="2533"/>
      <c r="AZ45" s="2533"/>
      <c r="BA45" s="339"/>
      <c r="BB45" s="576" t="s">
        <v>1876</v>
      </c>
      <c r="BC45" s="297">
        <v>0</v>
      </c>
      <c r="BD45" s="298">
        <v>0</v>
      </c>
      <c r="BE45" s="298">
        <v>0</v>
      </c>
      <c r="BF45" s="298">
        <v>0</v>
      </c>
      <c r="BG45" s="298">
        <v>0</v>
      </c>
      <c r="BH45" s="298">
        <v>0</v>
      </c>
      <c r="BI45" s="298">
        <v>0</v>
      </c>
      <c r="BJ45" s="299">
        <v>0</v>
      </c>
      <c r="BK45" s="297">
        <v>0</v>
      </c>
      <c r="BL45" s="298">
        <v>0</v>
      </c>
      <c r="BM45" s="298">
        <v>0</v>
      </c>
      <c r="BN45" s="298">
        <v>0</v>
      </c>
      <c r="BO45" s="299">
        <v>0</v>
      </c>
    </row>
    <row r="46" spans="2:67" ht="15">
      <c r="B46" s="349"/>
      <c r="C46" s="339" t="s">
        <v>1710</v>
      </c>
      <c r="D46" s="1384"/>
      <c r="E46" s="591"/>
      <c r="F46" s="591"/>
      <c r="G46" s="339"/>
      <c r="H46" s="259"/>
      <c r="I46" s="2533"/>
      <c r="J46" s="2533"/>
      <c r="K46" s="2533"/>
      <c r="L46" s="2533"/>
      <c r="M46" s="2533"/>
      <c r="N46" s="2533"/>
      <c r="O46" s="2533"/>
      <c r="P46" s="2533"/>
      <c r="Q46" s="2533"/>
      <c r="R46" s="2533"/>
      <c r="S46" s="2533"/>
      <c r="T46" s="2533"/>
      <c r="U46" s="2533"/>
      <c r="V46" s="2533"/>
      <c r="W46" s="259"/>
      <c r="X46" s="2533"/>
      <c r="Y46" s="2533"/>
      <c r="Z46" s="2533"/>
      <c r="AA46" s="2533"/>
      <c r="AB46" s="2533"/>
      <c r="AC46" s="2533"/>
      <c r="AD46" s="2533"/>
      <c r="AE46" s="2533"/>
      <c r="AF46" s="2533"/>
      <c r="AG46" s="2533"/>
      <c r="AH46" s="2533"/>
      <c r="AI46" s="2533"/>
      <c r="AJ46" s="2533"/>
      <c r="AK46" s="2533"/>
      <c r="AL46" s="259"/>
      <c r="AM46" s="2533"/>
      <c r="AN46" s="2533"/>
      <c r="AO46" s="2533"/>
      <c r="AP46" s="2533"/>
      <c r="AQ46" s="2533"/>
      <c r="AR46" s="2533"/>
      <c r="AS46" s="2533"/>
      <c r="AT46" s="2533"/>
      <c r="AU46" s="2533"/>
      <c r="AV46" s="2533"/>
      <c r="AW46" s="2533"/>
      <c r="AX46" s="2533"/>
      <c r="AY46" s="2533"/>
      <c r="AZ46" s="2533"/>
      <c r="BA46" s="339"/>
      <c r="BB46" s="576" t="s">
        <v>1876</v>
      </c>
      <c r="BC46" s="302">
        <f>SUM(BC40:BC45)</f>
        <v>629.92500000000007</v>
      </c>
      <c r="BD46" s="303">
        <f t="shared" ref="BD46" si="27">SUM(BD40:BD45)</f>
        <v>781.03561643835621</v>
      </c>
      <c r="BE46" s="303">
        <f t="shared" ref="BE46" si="28">SUM(BE40:BE45)</f>
        <v>882.41666666666663</v>
      </c>
      <c r="BF46" s="303">
        <f t="shared" ref="BF46" si="29">SUM(BF40:BF45)</f>
        <v>870</v>
      </c>
      <c r="BG46" s="303">
        <f t="shared" ref="BG46" si="30">SUM(BG40:BG45)</f>
        <v>878</v>
      </c>
      <c r="BH46" s="303">
        <f t="shared" ref="BH46" si="31">SUM(BH40:BH45)</f>
        <v>818</v>
      </c>
      <c r="BI46" s="303">
        <f t="shared" ref="BI46" si="32">SUM(BI40:BI45)</f>
        <v>828</v>
      </c>
      <c r="BJ46" s="304">
        <f t="shared" ref="BJ46" si="33">SUM(BJ40:BJ45)</f>
        <v>828</v>
      </c>
      <c r="BK46" s="302">
        <f t="shared" ref="BK46" si="34">SUM(BK40:BK45)</f>
        <v>828</v>
      </c>
      <c r="BL46" s="303">
        <f t="shared" ref="BL46" si="35">SUM(BL40:BL45)</f>
        <v>828</v>
      </c>
      <c r="BM46" s="303">
        <f t="shared" ref="BM46" si="36">SUM(BM40:BM45)</f>
        <v>828</v>
      </c>
      <c r="BN46" s="303">
        <f t="shared" ref="BN46" si="37">SUM(BN40:BN45)</f>
        <v>828</v>
      </c>
      <c r="BO46" s="304">
        <f t="shared" ref="BO46" si="38">SUM(BO40:BO45)</f>
        <v>828</v>
      </c>
    </row>
    <row r="47" spans="2:67">
      <c r="B47" s="349"/>
      <c r="C47" s="339"/>
      <c r="D47" s="339"/>
      <c r="E47" s="339"/>
      <c r="F47" s="339"/>
      <c r="G47" s="339"/>
      <c r="H47" s="339"/>
      <c r="I47" s="2533"/>
      <c r="J47" s="2533"/>
      <c r="K47" s="2533"/>
      <c r="L47" s="2533"/>
      <c r="M47" s="2533"/>
      <c r="N47" s="2533"/>
      <c r="O47" s="2533"/>
      <c r="P47" s="2533"/>
      <c r="Q47" s="2533"/>
      <c r="R47" s="2533"/>
      <c r="S47" s="2533"/>
      <c r="T47" s="2533"/>
      <c r="U47" s="2533"/>
      <c r="V47" s="2533"/>
      <c r="W47" s="339"/>
      <c r="X47" s="2533"/>
      <c r="Y47" s="2533"/>
      <c r="Z47" s="2533"/>
      <c r="AA47" s="2533"/>
      <c r="AB47" s="2533"/>
      <c r="AC47" s="2533"/>
      <c r="AD47" s="2533"/>
      <c r="AE47" s="2533"/>
      <c r="AF47" s="2533"/>
      <c r="AG47" s="2533"/>
      <c r="AH47" s="2533"/>
      <c r="AI47" s="2533"/>
      <c r="AJ47" s="2533"/>
      <c r="AK47" s="2533"/>
      <c r="AL47" s="339"/>
      <c r="AM47" s="2533"/>
      <c r="AN47" s="2533"/>
      <c r="AO47" s="2533"/>
      <c r="AP47" s="2533"/>
      <c r="AQ47" s="2533"/>
      <c r="AR47" s="2533"/>
      <c r="AS47" s="2533"/>
      <c r="AT47" s="2533"/>
      <c r="AU47" s="2533"/>
      <c r="AV47" s="2533"/>
      <c r="AW47" s="2533"/>
      <c r="AX47" s="2533"/>
      <c r="AY47" s="2533"/>
      <c r="AZ47" s="2533"/>
      <c r="BA47" s="339"/>
      <c r="BB47" s="339"/>
      <c r="BC47" s="349"/>
      <c r="BD47" s="339"/>
      <c r="BE47" s="339"/>
      <c r="BF47" s="339"/>
      <c r="BG47" s="339"/>
      <c r="BH47" s="339"/>
      <c r="BI47" s="339"/>
      <c r="BJ47" s="353"/>
      <c r="BK47" s="349"/>
      <c r="BL47" s="339"/>
      <c r="BM47" s="339"/>
      <c r="BN47" s="339"/>
      <c r="BO47" s="353"/>
    </row>
    <row r="48" spans="2:67" ht="15">
      <c r="B48" s="349"/>
      <c r="C48" s="623" t="s">
        <v>1877</v>
      </c>
      <c r="D48" s="339"/>
      <c r="E48" s="339"/>
      <c r="F48" s="339"/>
      <c r="G48" s="339"/>
      <c r="H48" s="339"/>
      <c r="I48" s="2533"/>
      <c r="J48" s="2533"/>
      <c r="K48" s="2533"/>
      <c r="L48" s="2533"/>
      <c r="M48" s="2533"/>
      <c r="N48" s="2533"/>
      <c r="O48" s="2533"/>
      <c r="P48" s="2533"/>
      <c r="Q48" s="2533"/>
      <c r="R48" s="2533"/>
      <c r="S48" s="2533"/>
      <c r="T48" s="2533"/>
      <c r="U48" s="2533"/>
      <c r="V48" s="2533"/>
      <c r="W48" s="339"/>
      <c r="X48" s="2533"/>
      <c r="Y48" s="2533"/>
      <c r="Z48" s="2533"/>
      <c r="AA48" s="2533"/>
      <c r="AB48" s="2533"/>
      <c r="AC48" s="2533"/>
      <c r="AD48" s="2533"/>
      <c r="AE48" s="2533"/>
      <c r="AF48" s="2533"/>
      <c r="AG48" s="2533"/>
      <c r="AH48" s="2533"/>
      <c r="AI48" s="2533"/>
      <c r="AJ48" s="2533"/>
      <c r="AK48" s="2533"/>
      <c r="AL48" s="339"/>
      <c r="AM48" s="2533"/>
      <c r="AN48" s="2533"/>
      <c r="AO48" s="2533"/>
      <c r="AP48" s="2533"/>
      <c r="AQ48" s="2533"/>
      <c r="AR48" s="2533"/>
      <c r="AS48" s="2533"/>
      <c r="AT48" s="2533"/>
      <c r="AU48" s="2533"/>
      <c r="AV48" s="2533"/>
      <c r="AW48" s="2533"/>
      <c r="AX48" s="2533"/>
      <c r="AY48" s="2533"/>
      <c r="AZ48" s="2533"/>
      <c r="BA48" s="339"/>
      <c r="BB48" s="339"/>
      <c r="BC48" s="349"/>
      <c r="BD48" s="339"/>
      <c r="BE48" s="339"/>
      <c r="BF48" s="339"/>
      <c r="BG48" s="339"/>
      <c r="BH48" s="339"/>
      <c r="BI48" s="339"/>
      <c r="BJ48" s="353"/>
      <c r="BK48" s="349"/>
      <c r="BL48" s="339"/>
      <c r="BM48" s="339"/>
      <c r="BN48" s="339"/>
      <c r="BO48" s="353"/>
    </row>
    <row r="49" spans="2:67">
      <c r="B49" s="349"/>
      <c r="C49" s="339"/>
      <c r="D49" s="1384" t="s">
        <v>315</v>
      </c>
      <c r="E49" s="339"/>
      <c r="F49" s="339"/>
      <c r="G49" s="339"/>
      <c r="H49" s="339"/>
      <c r="I49" s="2533"/>
      <c r="J49" s="2533"/>
      <c r="K49" s="2533"/>
      <c r="L49" s="2533"/>
      <c r="M49" s="2533"/>
      <c r="N49" s="2533"/>
      <c r="O49" s="2533"/>
      <c r="P49" s="2533"/>
      <c r="Q49" s="2533"/>
      <c r="R49" s="2533"/>
      <c r="S49" s="2533"/>
      <c r="T49" s="2533"/>
      <c r="U49" s="2533"/>
      <c r="V49" s="2533"/>
      <c r="W49" s="339"/>
      <c r="X49" s="2533"/>
      <c r="Y49" s="2533"/>
      <c r="Z49" s="2533"/>
      <c r="AA49" s="2533"/>
      <c r="AB49" s="2533"/>
      <c r="AC49" s="2533"/>
      <c r="AD49" s="2533"/>
      <c r="AE49" s="2533"/>
      <c r="AF49" s="2533"/>
      <c r="AG49" s="2533"/>
      <c r="AH49" s="2533"/>
      <c r="AI49" s="2533"/>
      <c r="AJ49" s="2533"/>
      <c r="AK49" s="2533"/>
      <c r="AL49" s="339"/>
      <c r="AM49" s="2533"/>
      <c r="AN49" s="2533"/>
      <c r="AO49" s="2533"/>
      <c r="AP49" s="2533"/>
      <c r="AQ49" s="2533"/>
      <c r="AR49" s="2533"/>
      <c r="AS49" s="2533"/>
      <c r="AT49" s="2533"/>
      <c r="AU49" s="2533"/>
      <c r="AV49" s="2533"/>
      <c r="AW49" s="2533"/>
      <c r="AX49" s="2533"/>
      <c r="AY49" s="2533"/>
      <c r="AZ49" s="2533"/>
      <c r="BA49" s="339"/>
      <c r="BB49" s="576" t="s">
        <v>1876</v>
      </c>
      <c r="BC49" s="297">
        <v>694</v>
      </c>
      <c r="BD49" s="298">
        <v>663</v>
      </c>
      <c r="BE49" s="298">
        <v>612</v>
      </c>
      <c r="BF49" s="298">
        <v>594</v>
      </c>
      <c r="BG49" s="298">
        <v>561</v>
      </c>
      <c r="BH49" s="298">
        <v>575</v>
      </c>
      <c r="BI49" s="298">
        <v>673.75694492680691</v>
      </c>
      <c r="BJ49" s="299">
        <v>702.06738371610254</v>
      </c>
      <c r="BK49" s="297">
        <v>695.49270422612221</v>
      </c>
      <c r="BL49" s="298">
        <v>708.63552417419896</v>
      </c>
      <c r="BM49" s="298">
        <v>705.15638881792552</v>
      </c>
      <c r="BN49" s="298">
        <v>677.78107818526587</v>
      </c>
      <c r="BO49" s="299">
        <v>659.19230086207494</v>
      </c>
    </row>
    <row r="50" spans="2:67">
      <c r="B50" s="349"/>
      <c r="C50" s="339"/>
      <c r="D50" s="1384" t="s">
        <v>324</v>
      </c>
      <c r="E50" s="339"/>
      <c r="F50" s="339"/>
      <c r="G50" s="339"/>
      <c r="H50" s="339"/>
      <c r="I50" s="2533"/>
      <c r="J50" s="2533"/>
      <c r="K50" s="2533"/>
      <c r="L50" s="2533"/>
      <c r="M50" s="2533"/>
      <c r="N50" s="2533"/>
      <c r="O50" s="2533"/>
      <c r="P50" s="2533"/>
      <c r="Q50" s="2533"/>
      <c r="R50" s="2533"/>
      <c r="S50" s="2533"/>
      <c r="T50" s="2533"/>
      <c r="U50" s="2533"/>
      <c r="V50" s="2533"/>
      <c r="W50" s="339"/>
      <c r="X50" s="2533"/>
      <c r="Y50" s="2533"/>
      <c r="Z50" s="2533"/>
      <c r="AA50" s="2533"/>
      <c r="AB50" s="2533"/>
      <c r="AC50" s="2533"/>
      <c r="AD50" s="2533"/>
      <c r="AE50" s="2533"/>
      <c r="AF50" s="2533"/>
      <c r="AG50" s="2533"/>
      <c r="AH50" s="2533"/>
      <c r="AI50" s="2533"/>
      <c r="AJ50" s="2533"/>
      <c r="AK50" s="2533"/>
      <c r="AL50" s="339"/>
      <c r="AM50" s="2533"/>
      <c r="AN50" s="2533"/>
      <c r="AO50" s="2533"/>
      <c r="AP50" s="2533"/>
      <c r="AQ50" s="2533"/>
      <c r="AR50" s="2533"/>
      <c r="AS50" s="2533"/>
      <c r="AT50" s="2533"/>
      <c r="AU50" s="2533"/>
      <c r="AV50" s="2533"/>
      <c r="AW50" s="2533"/>
      <c r="AX50" s="2533"/>
      <c r="AY50" s="2533"/>
      <c r="AZ50" s="2533"/>
      <c r="BA50" s="339"/>
      <c r="BB50" s="576" t="s">
        <v>1876</v>
      </c>
      <c r="BC50" s="297">
        <v>0</v>
      </c>
      <c r="BD50" s="298">
        <v>0</v>
      </c>
      <c r="BE50" s="298">
        <v>0</v>
      </c>
      <c r="BF50" s="298">
        <v>0</v>
      </c>
      <c r="BG50" s="298">
        <v>0</v>
      </c>
      <c r="BH50" s="298">
        <v>0</v>
      </c>
      <c r="BI50" s="298">
        <v>0</v>
      </c>
      <c r="BJ50" s="299">
        <v>0</v>
      </c>
      <c r="BK50" s="297">
        <v>0</v>
      </c>
      <c r="BL50" s="298">
        <v>0</v>
      </c>
      <c r="BM50" s="298">
        <v>0</v>
      </c>
      <c r="BN50" s="298">
        <v>0</v>
      </c>
      <c r="BO50" s="299">
        <v>0</v>
      </c>
    </row>
    <row r="51" spans="2:67">
      <c r="B51" s="349"/>
      <c r="C51" s="339"/>
      <c r="D51" s="1384" t="s">
        <v>329</v>
      </c>
      <c r="E51" s="339"/>
      <c r="F51" s="339"/>
      <c r="G51" s="339"/>
      <c r="H51" s="339"/>
      <c r="I51" s="2533"/>
      <c r="J51" s="2533"/>
      <c r="K51" s="2533"/>
      <c r="L51" s="2533"/>
      <c r="M51" s="2533"/>
      <c r="N51" s="2533"/>
      <c r="O51" s="2533"/>
      <c r="P51" s="2533"/>
      <c r="Q51" s="2533"/>
      <c r="R51" s="2533"/>
      <c r="S51" s="2533"/>
      <c r="T51" s="2533"/>
      <c r="U51" s="2533"/>
      <c r="V51" s="2533"/>
      <c r="W51" s="339"/>
      <c r="X51" s="2533"/>
      <c r="Y51" s="2533"/>
      <c r="Z51" s="2533"/>
      <c r="AA51" s="2533"/>
      <c r="AB51" s="2533"/>
      <c r="AC51" s="2533"/>
      <c r="AD51" s="2533"/>
      <c r="AE51" s="2533"/>
      <c r="AF51" s="2533"/>
      <c r="AG51" s="2533"/>
      <c r="AH51" s="2533"/>
      <c r="AI51" s="2533"/>
      <c r="AJ51" s="2533"/>
      <c r="AK51" s="2533"/>
      <c r="AL51" s="339"/>
      <c r="AM51" s="2533"/>
      <c r="AN51" s="2533"/>
      <c r="AO51" s="2533"/>
      <c r="AP51" s="2533"/>
      <c r="AQ51" s="2533"/>
      <c r="AR51" s="2533"/>
      <c r="AS51" s="2533"/>
      <c r="AT51" s="2533"/>
      <c r="AU51" s="2533"/>
      <c r="AV51" s="2533"/>
      <c r="AW51" s="2533"/>
      <c r="AX51" s="2533"/>
      <c r="AY51" s="2533"/>
      <c r="AZ51" s="2533"/>
      <c r="BA51" s="339"/>
      <c r="BB51" s="576" t="s">
        <v>1876</v>
      </c>
      <c r="BC51" s="297">
        <v>0</v>
      </c>
      <c r="BD51" s="298">
        <v>0</v>
      </c>
      <c r="BE51" s="298">
        <v>0</v>
      </c>
      <c r="BF51" s="298">
        <v>0</v>
      </c>
      <c r="BG51" s="298">
        <v>0</v>
      </c>
      <c r="BH51" s="298">
        <v>0</v>
      </c>
      <c r="BI51" s="298">
        <v>0</v>
      </c>
      <c r="BJ51" s="299">
        <v>0</v>
      </c>
      <c r="BK51" s="297">
        <v>0</v>
      </c>
      <c r="BL51" s="298">
        <v>0</v>
      </c>
      <c r="BM51" s="298">
        <v>0</v>
      </c>
      <c r="BN51" s="298">
        <v>0</v>
      </c>
      <c r="BO51" s="299">
        <v>0</v>
      </c>
    </row>
    <row r="52" spans="2:67">
      <c r="B52" s="349"/>
      <c r="C52" s="339"/>
      <c r="D52" s="1384" t="s">
        <v>332</v>
      </c>
      <c r="E52" s="339"/>
      <c r="F52" s="339"/>
      <c r="G52" s="339"/>
      <c r="H52" s="339"/>
      <c r="I52" s="2533"/>
      <c r="J52" s="2533"/>
      <c r="K52" s="2533"/>
      <c r="L52" s="2533"/>
      <c r="M52" s="2533"/>
      <c r="N52" s="2533"/>
      <c r="O52" s="2533"/>
      <c r="P52" s="2533"/>
      <c r="Q52" s="2533"/>
      <c r="R52" s="2533"/>
      <c r="S52" s="2533"/>
      <c r="T52" s="2533"/>
      <c r="U52" s="2533"/>
      <c r="V52" s="2533"/>
      <c r="W52" s="339"/>
      <c r="X52" s="2533"/>
      <c r="Y52" s="2533"/>
      <c r="Z52" s="2533"/>
      <c r="AA52" s="2533"/>
      <c r="AB52" s="2533"/>
      <c r="AC52" s="2533"/>
      <c r="AD52" s="2533"/>
      <c r="AE52" s="2533"/>
      <c r="AF52" s="2533"/>
      <c r="AG52" s="2533"/>
      <c r="AH52" s="2533"/>
      <c r="AI52" s="2533"/>
      <c r="AJ52" s="2533"/>
      <c r="AK52" s="2533"/>
      <c r="AL52" s="339"/>
      <c r="AM52" s="2533"/>
      <c r="AN52" s="2533"/>
      <c r="AO52" s="2533"/>
      <c r="AP52" s="2533"/>
      <c r="AQ52" s="2533"/>
      <c r="AR52" s="2533"/>
      <c r="AS52" s="2533"/>
      <c r="AT52" s="2533"/>
      <c r="AU52" s="2533"/>
      <c r="AV52" s="2533"/>
      <c r="AW52" s="2533"/>
      <c r="AX52" s="2533"/>
      <c r="AY52" s="2533"/>
      <c r="AZ52" s="2533"/>
      <c r="BA52" s="339"/>
      <c r="BB52" s="576" t="s">
        <v>1876</v>
      </c>
      <c r="BC52" s="297">
        <v>0</v>
      </c>
      <c r="BD52" s="298">
        <v>0</v>
      </c>
      <c r="BE52" s="298">
        <v>0</v>
      </c>
      <c r="BF52" s="298">
        <v>0</v>
      </c>
      <c r="BG52" s="298">
        <v>0</v>
      </c>
      <c r="BH52" s="298">
        <v>0</v>
      </c>
      <c r="BI52" s="298">
        <v>0</v>
      </c>
      <c r="BJ52" s="299">
        <v>0</v>
      </c>
      <c r="BK52" s="297">
        <v>0</v>
      </c>
      <c r="BL52" s="298">
        <v>0</v>
      </c>
      <c r="BM52" s="298">
        <v>0</v>
      </c>
      <c r="BN52" s="298">
        <v>0</v>
      </c>
      <c r="BO52" s="299">
        <v>0</v>
      </c>
    </row>
    <row r="53" spans="2:67">
      <c r="B53" s="349"/>
      <c r="C53" s="339"/>
      <c r="D53" s="1384" t="s">
        <v>1871</v>
      </c>
      <c r="E53" s="339"/>
      <c r="F53" s="339"/>
      <c r="G53" s="339"/>
      <c r="H53" s="339"/>
      <c r="I53" s="2533"/>
      <c r="J53" s="2533"/>
      <c r="K53" s="2533"/>
      <c r="L53" s="2533"/>
      <c r="M53" s="2533"/>
      <c r="N53" s="2533"/>
      <c r="O53" s="2533"/>
      <c r="P53" s="2533"/>
      <c r="Q53" s="2533"/>
      <c r="R53" s="2533"/>
      <c r="S53" s="2533"/>
      <c r="T53" s="2533"/>
      <c r="U53" s="2533"/>
      <c r="V53" s="2533"/>
      <c r="W53" s="339"/>
      <c r="X53" s="2533"/>
      <c r="Y53" s="2533"/>
      <c r="Z53" s="2533"/>
      <c r="AA53" s="2533"/>
      <c r="AB53" s="2533"/>
      <c r="AC53" s="2533"/>
      <c r="AD53" s="2533"/>
      <c r="AE53" s="2533"/>
      <c r="AF53" s="2533"/>
      <c r="AG53" s="2533"/>
      <c r="AH53" s="2533"/>
      <c r="AI53" s="2533"/>
      <c r="AJ53" s="2533"/>
      <c r="AK53" s="2533"/>
      <c r="AL53" s="339"/>
      <c r="AM53" s="2533"/>
      <c r="AN53" s="2533"/>
      <c r="AO53" s="2533"/>
      <c r="AP53" s="2533"/>
      <c r="AQ53" s="2533"/>
      <c r="AR53" s="2533"/>
      <c r="AS53" s="2533"/>
      <c r="AT53" s="2533"/>
      <c r="AU53" s="2533"/>
      <c r="AV53" s="2533"/>
      <c r="AW53" s="2533"/>
      <c r="AX53" s="2533"/>
      <c r="AY53" s="2533"/>
      <c r="AZ53" s="2533"/>
      <c r="BA53" s="339"/>
      <c r="BB53" s="576" t="s">
        <v>1876</v>
      </c>
      <c r="BC53" s="297">
        <v>0</v>
      </c>
      <c r="BD53" s="298">
        <v>0</v>
      </c>
      <c r="BE53" s="298">
        <v>0</v>
      </c>
      <c r="BF53" s="298">
        <v>0</v>
      </c>
      <c r="BG53" s="298">
        <v>0</v>
      </c>
      <c r="BH53" s="298">
        <v>0</v>
      </c>
      <c r="BI53" s="298">
        <v>0</v>
      </c>
      <c r="BJ53" s="299">
        <v>0</v>
      </c>
      <c r="BK53" s="297">
        <v>0</v>
      </c>
      <c r="BL53" s="298">
        <v>0</v>
      </c>
      <c r="BM53" s="298">
        <v>0</v>
      </c>
      <c r="BN53" s="298">
        <v>0</v>
      </c>
      <c r="BO53" s="299">
        <v>0</v>
      </c>
    </row>
    <row r="54" spans="2:67">
      <c r="B54" s="349"/>
      <c r="C54" s="339"/>
      <c r="D54" s="1384" t="s">
        <v>1872</v>
      </c>
      <c r="E54" s="339"/>
      <c r="F54" s="339"/>
      <c r="G54" s="339"/>
      <c r="H54" s="339"/>
      <c r="I54" s="2533"/>
      <c r="J54" s="2533"/>
      <c r="K54" s="2533"/>
      <c r="L54" s="2533"/>
      <c r="M54" s="2533"/>
      <c r="N54" s="2533"/>
      <c r="O54" s="2533"/>
      <c r="P54" s="2533"/>
      <c r="Q54" s="2533"/>
      <c r="R54" s="2533"/>
      <c r="S54" s="2533"/>
      <c r="T54" s="2533"/>
      <c r="U54" s="2533"/>
      <c r="V54" s="2533"/>
      <c r="W54" s="339"/>
      <c r="X54" s="2533"/>
      <c r="Y54" s="2533"/>
      <c r="Z54" s="2533"/>
      <c r="AA54" s="2533"/>
      <c r="AB54" s="2533"/>
      <c r="AC54" s="2533"/>
      <c r="AD54" s="2533"/>
      <c r="AE54" s="2533"/>
      <c r="AF54" s="2533"/>
      <c r="AG54" s="2533"/>
      <c r="AH54" s="2533"/>
      <c r="AI54" s="2533"/>
      <c r="AJ54" s="2533"/>
      <c r="AK54" s="2533"/>
      <c r="AL54" s="339"/>
      <c r="AM54" s="2533"/>
      <c r="AN54" s="2533"/>
      <c r="AO54" s="2533"/>
      <c r="AP54" s="2533"/>
      <c r="AQ54" s="2533"/>
      <c r="AR54" s="2533"/>
      <c r="AS54" s="2533"/>
      <c r="AT54" s="2533"/>
      <c r="AU54" s="2533"/>
      <c r="AV54" s="2533"/>
      <c r="AW54" s="2533"/>
      <c r="AX54" s="2533"/>
      <c r="AY54" s="2533"/>
      <c r="AZ54" s="2533"/>
      <c r="BA54" s="339"/>
      <c r="BB54" s="576" t="s">
        <v>1876</v>
      </c>
      <c r="BC54" s="297">
        <v>0</v>
      </c>
      <c r="BD54" s="298">
        <v>0</v>
      </c>
      <c r="BE54" s="298">
        <v>0</v>
      </c>
      <c r="BF54" s="298">
        <v>0</v>
      </c>
      <c r="BG54" s="298">
        <v>0</v>
      </c>
      <c r="BH54" s="298">
        <v>0</v>
      </c>
      <c r="BI54" s="298">
        <v>0</v>
      </c>
      <c r="BJ54" s="299">
        <v>0</v>
      </c>
      <c r="BK54" s="297">
        <v>0</v>
      </c>
      <c r="BL54" s="298">
        <v>0</v>
      </c>
      <c r="BM54" s="298">
        <v>0</v>
      </c>
      <c r="BN54" s="298">
        <v>0</v>
      </c>
      <c r="BO54" s="299">
        <v>0</v>
      </c>
    </row>
    <row r="55" spans="2:67" ht="15">
      <c r="B55" s="349"/>
      <c r="C55" s="339" t="s">
        <v>1710</v>
      </c>
      <c r="D55" s="1384"/>
      <c r="E55" s="591"/>
      <c r="F55" s="591"/>
      <c r="G55" s="339"/>
      <c r="H55" s="259"/>
      <c r="I55" s="2533"/>
      <c r="J55" s="2533"/>
      <c r="K55" s="2533"/>
      <c r="L55" s="2533"/>
      <c r="M55" s="2533"/>
      <c r="N55" s="2533"/>
      <c r="O55" s="2533"/>
      <c r="P55" s="2533"/>
      <c r="Q55" s="2533"/>
      <c r="R55" s="2533"/>
      <c r="S55" s="2533"/>
      <c r="T55" s="2533"/>
      <c r="U55" s="2533"/>
      <c r="V55" s="2533"/>
      <c r="W55" s="259"/>
      <c r="X55" s="2533"/>
      <c r="Y55" s="2533"/>
      <c r="Z55" s="2533"/>
      <c r="AA55" s="2533"/>
      <c r="AB55" s="2533"/>
      <c r="AC55" s="2533"/>
      <c r="AD55" s="2533"/>
      <c r="AE55" s="2533"/>
      <c r="AF55" s="2533"/>
      <c r="AG55" s="2533"/>
      <c r="AH55" s="2533"/>
      <c r="AI55" s="2533"/>
      <c r="AJ55" s="2533"/>
      <c r="AK55" s="2533"/>
      <c r="AL55" s="259"/>
      <c r="AM55" s="2533"/>
      <c r="AN55" s="2533"/>
      <c r="AO55" s="2533"/>
      <c r="AP55" s="2533"/>
      <c r="AQ55" s="2533"/>
      <c r="AR55" s="2533"/>
      <c r="AS55" s="2533"/>
      <c r="AT55" s="2533"/>
      <c r="AU55" s="2533"/>
      <c r="AV55" s="2533"/>
      <c r="AW55" s="2533"/>
      <c r="AX55" s="2533"/>
      <c r="AY55" s="2533"/>
      <c r="AZ55" s="2533"/>
      <c r="BA55" s="339"/>
      <c r="BB55" s="576" t="s">
        <v>1876</v>
      </c>
      <c r="BC55" s="302">
        <f>SUM(BC49:BC54)</f>
        <v>694</v>
      </c>
      <c r="BD55" s="303">
        <f t="shared" ref="BD55" si="39">SUM(BD49:BD54)</f>
        <v>663</v>
      </c>
      <c r="BE55" s="303">
        <f t="shared" ref="BE55" si="40">SUM(BE49:BE54)</f>
        <v>612</v>
      </c>
      <c r="BF55" s="303">
        <f t="shared" ref="BF55" si="41">SUM(BF49:BF54)</f>
        <v>594</v>
      </c>
      <c r="BG55" s="303">
        <f t="shared" ref="BG55" si="42">SUM(BG49:BG54)</f>
        <v>561</v>
      </c>
      <c r="BH55" s="303">
        <f t="shared" ref="BH55" si="43">SUM(BH49:BH54)</f>
        <v>575</v>
      </c>
      <c r="BI55" s="303">
        <f t="shared" ref="BI55:BO55" si="44">SUM(BI49:BI54)</f>
        <v>673.75694492680691</v>
      </c>
      <c r="BJ55" s="304">
        <f t="shared" si="44"/>
        <v>702.06738371610254</v>
      </c>
      <c r="BK55" s="302">
        <f t="shared" si="44"/>
        <v>695.49270422612221</v>
      </c>
      <c r="BL55" s="303">
        <f t="shared" si="44"/>
        <v>708.63552417419896</v>
      </c>
      <c r="BM55" s="303">
        <f t="shared" si="44"/>
        <v>705.15638881792552</v>
      </c>
      <c r="BN55" s="303">
        <f t="shared" si="44"/>
        <v>677.78107818526587</v>
      </c>
      <c r="BO55" s="304">
        <f t="shared" si="44"/>
        <v>659.19230086207494</v>
      </c>
    </row>
    <row r="56" spans="2:67">
      <c r="B56" s="349"/>
      <c r="C56" s="339"/>
      <c r="D56" s="339"/>
      <c r="E56" s="339"/>
      <c r="F56" s="339"/>
      <c r="G56" s="339"/>
      <c r="H56" s="339"/>
      <c r="I56" s="2533"/>
      <c r="J56" s="2533"/>
      <c r="K56" s="2533"/>
      <c r="L56" s="2533"/>
      <c r="M56" s="2533"/>
      <c r="N56" s="2533"/>
      <c r="O56" s="2533"/>
      <c r="P56" s="2533"/>
      <c r="Q56" s="2533"/>
      <c r="R56" s="2533"/>
      <c r="S56" s="2533"/>
      <c r="T56" s="2533"/>
      <c r="U56" s="2533"/>
      <c r="V56" s="2533"/>
      <c r="W56" s="339"/>
      <c r="X56" s="2533"/>
      <c r="Y56" s="2533"/>
      <c r="Z56" s="2533"/>
      <c r="AA56" s="2533"/>
      <c r="AB56" s="2533"/>
      <c r="AC56" s="2533"/>
      <c r="AD56" s="2533"/>
      <c r="AE56" s="2533"/>
      <c r="AF56" s="2533"/>
      <c r="AG56" s="2533"/>
      <c r="AH56" s="2533"/>
      <c r="AI56" s="2533"/>
      <c r="AJ56" s="2533"/>
      <c r="AK56" s="2533"/>
      <c r="AL56" s="339"/>
      <c r="AM56" s="2533"/>
      <c r="AN56" s="2533"/>
      <c r="AO56" s="2533"/>
      <c r="AP56" s="2533"/>
      <c r="AQ56" s="2533"/>
      <c r="AR56" s="2533"/>
      <c r="AS56" s="2533"/>
      <c r="AT56" s="2533"/>
      <c r="AU56" s="2533"/>
      <c r="AV56" s="2533"/>
      <c r="AW56" s="2533"/>
      <c r="AX56" s="2533"/>
      <c r="AY56" s="2533"/>
      <c r="AZ56" s="2533"/>
      <c r="BA56" s="339"/>
      <c r="BB56" s="339"/>
      <c r="BC56" s="349"/>
      <c r="BD56" s="339"/>
      <c r="BE56" s="339"/>
      <c r="BF56" s="339"/>
      <c r="BG56" s="339"/>
      <c r="BH56" s="339"/>
      <c r="BI56" s="339"/>
      <c r="BJ56" s="353"/>
      <c r="BK56" s="349"/>
      <c r="BL56" s="339"/>
      <c r="BM56" s="339"/>
      <c r="BN56" s="339"/>
      <c r="BO56" s="353"/>
    </row>
    <row r="57" spans="2:67" ht="15">
      <c r="B57" s="349"/>
      <c r="C57" s="623" t="s">
        <v>1878</v>
      </c>
      <c r="D57" s="339"/>
      <c r="E57" s="339"/>
      <c r="F57" s="339"/>
      <c r="G57" s="339"/>
      <c r="H57" s="339"/>
      <c r="I57" s="2533"/>
      <c r="J57" s="2533"/>
      <c r="K57" s="2533"/>
      <c r="L57" s="2533"/>
      <c r="M57" s="2533"/>
      <c r="N57" s="2533"/>
      <c r="O57" s="2533"/>
      <c r="P57" s="2533"/>
      <c r="Q57" s="2533"/>
      <c r="R57" s="2533"/>
      <c r="S57" s="2533"/>
      <c r="T57" s="2533"/>
      <c r="U57" s="2533"/>
      <c r="V57" s="2533"/>
      <c r="W57" s="339"/>
      <c r="X57" s="2533"/>
      <c r="Y57" s="2533"/>
      <c r="Z57" s="2533"/>
      <c r="AA57" s="2533"/>
      <c r="AB57" s="2533"/>
      <c r="AC57" s="2533"/>
      <c r="AD57" s="2533"/>
      <c r="AE57" s="2533"/>
      <c r="AF57" s="2533"/>
      <c r="AG57" s="2533"/>
      <c r="AH57" s="2533"/>
      <c r="AI57" s="2533"/>
      <c r="AJ57" s="2533"/>
      <c r="AK57" s="2533"/>
      <c r="AL57" s="339"/>
      <c r="AM57" s="2533"/>
      <c r="AN57" s="2533"/>
      <c r="AO57" s="2533"/>
      <c r="AP57" s="2533"/>
      <c r="AQ57" s="2533"/>
      <c r="AR57" s="2533"/>
      <c r="AS57" s="2533"/>
      <c r="AT57" s="2533"/>
      <c r="AU57" s="2533"/>
      <c r="AV57" s="2533"/>
      <c r="AW57" s="2533"/>
      <c r="AX57" s="2533"/>
      <c r="AY57" s="2533"/>
      <c r="AZ57" s="2533"/>
      <c r="BA57" s="339"/>
      <c r="BB57" s="339"/>
      <c r="BC57" s="349"/>
      <c r="BD57" s="339"/>
      <c r="BE57" s="339"/>
      <c r="BF57" s="339"/>
      <c r="BG57" s="339"/>
      <c r="BH57" s="339"/>
      <c r="BI57" s="339"/>
      <c r="BJ57" s="353"/>
      <c r="BK57" s="349"/>
      <c r="BL57" s="339"/>
      <c r="BM57" s="339"/>
      <c r="BN57" s="339"/>
      <c r="BO57" s="353"/>
    </row>
    <row r="58" spans="2:67">
      <c r="B58" s="349"/>
      <c r="C58" s="339"/>
      <c r="D58" s="1384" t="s">
        <v>315</v>
      </c>
      <c r="E58" s="339"/>
      <c r="F58" s="339"/>
      <c r="G58" s="339"/>
      <c r="H58" s="339"/>
      <c r="I58" s="2533"/>
      <c r="J58" s="2533"/>
      <c r="K58" s="2533"/>
      <c r="L58" s="2533"/>
      <c r="M58" s="2533"/>
      <c r="N58" s="2533"/>
      <c r="O58" s="2533"/>
      <c r="P58" s="2533"/>
      <c r="Q58" s="2533"/>
      <c r="R58" s="2533"/>
      <c r="S58" s="2533"/>
      <c r="T58" s="2533"/>
      <c r="U58" s="2533"/>
      <c r="V58" s="2533"/>
      <c r="W58" s="339"/>
      <c r="X58" s="2533"/>
      <c r="Y58" s="2533"/>
      <c r="Z58" s="2533"/>
      <c r="AA58" s="2533"/>
      <c r="AB58" s="2533"/>
      <c r="AC58" s="2533"/>
      <c r="AD58" s="2533"/>
      <c r="AE58" s="2533"/>
      <c r="AF58" s="2533"/>
      <c r="AG58" s="2533"/>
      <c r="AH58" s="2533"/>
      <c r="AI58" s="2533"/>
      <c r="AJ58" s="2533"/>
      <c r="AK58" s="2533"/>
      <c r="AL58" s="339"/>
      <c r="AM58" s="2533"/>
      <c r="AN58" s="2533"/>
      <c r="AO58" s="2533"/>
      <c r="AP58" s="2533"/>
      <c r="AQ58" s="2533"/>
      <c r="AR58" s="2533"/>
      <c r="AS58" s="2533"/>
      <c r="AT58" s="2533"/>
      <c r="AU58" s="2533"/>
      <c r="AV58" s="2533"/>
      <c r="AW58" s="2533"/>
      <c r="AX58" s="2533"/>
      <c r="AY58" s="2533"/>
      <c r="AZ58" s="2533"/>
      <c r="BA58" s="339"/>
      <c r="BB58" s="576" t="s">
        <v>1876</v>
      </c>
      <c r="BC58" s="297">
        <v>1323.9250000000002</v>
      </c>
      <c r="BD58" s="298">
        <v>1444.0356164383561</v>
      </c>
      <c r="BE58" s="298">
        <v>1494.4166666666665</v>
      </c>
      <c r="BF58" s="298">
        <v>1464</v>
      </c>
      <c r="BG58" s="298">
        <v>1439</v>
      </c>
      <c r="BH58" s="298">
        <v>1393</v>
      </c>
      <c r="BI58" s="298">
        <v>1501.7569449268069</v>
      </c>
      <c r="BJ58" s="299">
        <v>1530.0673837161025</v>
      </c>
      <c r="BK58" s="297">
        <v>1523.4927042261222</v>
      </c>
      <c r="BL58" s="298">
        <v>1536.635524174199</v>
      </c>
      <c r="BM58" s="298">
        <v>1533.1563888179255</v>
      </c>
      <c r="BN58" s="298">
        <v>1505.7810781852659</v>
      </c>
      <c r="BO58" s="299">
        <v>1487.1923008620749</v>
      </c>
    </row>
    <row r="59" spans="2:67">
      <c r="B59" s="349"/>
      <c r="C59" s="339"/>
      <c r="D59" s="1384" t="s">
        <v>324</v>
      </c>
      <c r="E59" s="339"/>
      <c r="F59" s="339"/>
      <c r="G59" s="339"/>
      <c r="H59" s="339"/>
      <c r="I59" s="2533"/>
      <c r="J59" s="2533"/>
      <c r="K59" s="2533"/>
      <c r="L59" s="2533"/>
      <c r="M59" s="2533"/>
      <c r="N59" s="2533"/>
      <c r="O59" s="2533"/>
      <c r="P59" s="2533"/>
      <c r="Q59" s="2533"/>
      <c r="R59" s="2533"/>
      <c r="S59" s="2533"/>
      <c r="T59" s="2533"/>
      <c r="U59" s="2533"/>
      <c r="V59" s="2533"/>
      <c r="W59" s="339"/>
      <c r="X59" s="2533"/>
      <c r="Y59" s="2533"/>
      <c r="Z59" s="2533"/>
      <c r="AA59" s="2533"/>
      <c r="AB59" s="2533"/>
      <c r="AC59" s="2533"/>
      <c r="AD59" s="2533"/>
      <c r="AE59" s="2533"/>
      <c r="AF59" s="2533"/>
      <c r="AG59" s="2533"/>
      <c r="AH59" s="2533"/>
      <c r="AI59" s="2533"/>
      <c r="AJ59" s="2533"/>
      <c r="AK59" s="2533"/>
      <c r="AL59" s="339"/>
      <c r="AM59" s="2533"/>
      <c r="AN59" s="2533"/>
      <c r="AO59" s="2533"/>
      <c r="AP59" s="2533"/>
      <c r="AQ59" s="2533"/>
      <c r="AR59" s="2533"/>
      <c r="AS59" s="2533"/>
      <c r="AT59" s="2533"/>
      <c r="AU59" s="2533"/>
      <c r="AV59" s="2533"/>
      <c r="AW59" s="2533"/>
      <c r="AX59" s="2533"/>
      <c r="AY59" s="2533"/>
      <c r="AZ59" s="2533"/>
      <c r="BA59" s="339"/>
      <c r="BB59" s="576" t="s">
        <v>1876</v>
      </c>
      <c r="BC59" s="297">
        <v>0</v>
      </c>
      <c r="BD59" s="298">
        <v>0</v>
      </c>
      <c r="BE59" s="298">
        <v>0</v>
      </c>
      <c r="BF59" s="298">
        <v>0</v>
      </c>
      <c r="BG59" s="298">
        <v>0</v>
      </c>
      <c r="BH59" s="298">
        <v>0</v>
      </c>
      <c r="BI59" s="298">
        <v>0</v>
      </c>
      <c r="BJ59" s="299">
        <v>0</v>
      </c>
      <c r="BK59" s="297">
        <v>0</v>
      </c>
      <c r="BL59" s="298">
        <v>0</v>
      </c>
      <c r="BM59" s="298">
        <v>0</v>
      </c>
      <c r="BN59" s="298">
        <v>0</v>
      </c>
      <c r="BO59" s="299">
        <v>0</v>
      </c>
    </row>
    <row r="60" spans="2:67">
      <c r="B60" s="349"/>
      <c r="C60" s="339"/>
      <c r="D60" s="1384" t="s">
        <v>329</v>
      </c>
      <c r="E60" s="339"/>
      <c r="F60" s="339"/>
      <c r="G60" s="339"/>
      <c r="H60" s="339"/>
      <c r="I60" s="2533"/>
      <c r="J60" s="2533"/>
      <c r="K60" s="2533"/>
      <c r="L60" s="2533"/>
      <c r="M60" s="2533"/>
      <c r="N60" s="2533"/>
      <c r="O60" s="2533"/>
      <c r="P60" s="2533"/>
      <c r="Q60" s="2533"/>
      <c r="R60" s="2533"/>
      <c r="S60" s="2533"/>
      <c r="T60" s="2533"/>
      <c r="U60" s="2533"/>
      <c r="V60" s="2533"/>
      <c r="W60" s="339"/>
      <c r="X60" s="2533"/>
      <c r="Y60" s="2533"/>
      <c r="Z60" s="2533"/>
      <c r="AA60" s="2533"/>
      <c r="AB60" s="2533"/>
      <c r="AC60" s="2533"/>
      <c r="AD60" s="2533"/>
      <c r="AE60" s="2533"/>
      <c r="AF60" s="2533"/>
      <c r="AG60" s="2533"/>
      <c r="AH60" s="2533"/>
      <c r="AI60" s="2533"/>
      <c r="AJ60" s="2533"/>
      <c r="AK60" s="2533"/>
      <c r="AL60" s="339"/>
      <c r="AM60" s="2533"/>
      <c r="AN60" s="2533"/>
      <c r="AO60" s="2533"/>
      <c r="AP60" s="2533"/>
      <c r="AQ60" s="2533"/>
      <c r="AR60" s="2533"/>
      <c r="AS60" s="2533"/>
      <c r="AT60" s="2533"/>
      <c r="AU60" s="2533"/>
      <c r="AV60" s="2533"/>
      <c r="AW60" s="2533"/>
      <c r="AX60" s="2533"/>
      <c r="AY60" s="2533"/>
      <c r="AZ60" s="2533"/>
      <c r="BA60" s="339"/>
      <c r="BB60" s="576" t="s">
        <v>1876</v>
      </c>
      <c r="BC60" s="297">
        <v>0</v>
      </c>
      <c r="BD60" s="298">
        <v>0</v>
      </c>
      <c r="BE60" s="298">
        <v>0</v>
      </c>
      <c r="BF60" s="298">
        <v>0</v>
      </c>
      <c r="BG60" s="298">
        <v>0</v>
      </c>
      <c r="BH60" s="298">
        <v>0</v>
      </c>
      <c r="BI60" s="298">
        <v>0</v>
      </c>
      <c r="BJ60" s="299">
        <v>0</v>
      </c>
      <c r="BK60" s="297">
        <v>0</v>
      </c>
      <c r="BL60" s="298">
        <v>0</v>
      </c>
      <c r="BM60" s="298">
        <v>0</v>
      </c>
      <c r="BN60" s="298">
        <v>0</v>
      </c>
      <c r="BO60" s="299">
        <v>0</v>
      </c>
    </row>
    <row r="61" spans="2:67">
      <c r="B61" s="349"/>
      <c r="C61" s="339"/>
      <c r="D61" s="1384" t="s">
        <v>332</v>
      </c>
      <c r="E61" s="339"/>
      <c r="F61" s="339"/>
      <c r="G61" s="339"/>
      <c r="H61" s="339"/>
      <c r="I61" s="2533"/>
      <c r="J61" s="2533"/>
      <c r="K61" s="2533"/>
      <c r="L61" s="2533"/>
      <c r="M61" s="2533"/>
      <c r="N61" s="2533"/>
      <c r="O61" s="2533"/>
      <c r="P61" s="2533"/>
      <c r="Q61" s="2533"/>
      <c r="R61" s="2533"/>
      <c r="S61" s="2533"/>
      <c r="T61" s="2533"/>
      <c r="U61" s="2533"/>
      <c r="V61" s="2533"/>
      <c r="W61" s="339"/>
      <c r="X61" s="2533"/>
      <c r="Y61" s="2533"/>
      <c r="Z61" s="2533"/>
      <c r="AA61" s="2533"/>
      <c r="AB61" s="2533"/>
      <c r="AC61" s="2533"/>
      <c r="AD61" s="2533"/>
      <c r="AE61" s="2533"/>
      <c r="AF61" s="2533"/>
      <c r="AG61" s="2533"/>
      <c r="AH61" s="2533"/>
      <c r="AI61" s="2533"/>
      <c r="AJ61" s="2533"/>
      <c r="AK61" s="2533"/>
      <c r="AL61" s="339"/>
      <c r="AM61" s="2533"/>
      <c r="AN61" s="2533"/>
      <c r="AO61" s="2533"/>
      <c r="AP61" s="2533"/>
      <c r="AQ61" s="2533"/>
      <c r="AR61" s="2533"/>
      <c r="AS61" s="2533"/>
      <c r="AT61" s="2533"/>
      <c r="AU61" s="2533"/>
      <c r="AV61" s="2533"/>
      <c r="AW61" s="2533"/>
      <c r="AX61" s="2533"/>
      <c r="AY61" s="2533"/>
      <c r="AZ61" s="2533"/>
      <c r="BA61" s="339"/>
      <c r="BB61" s="576" t="s">
        <v>1876</v>
      </c>
      <c r="BC61" s="297">
        <v>0</v>
      </c>
      <c r="BD61" s="298">
        <v>0</v>
      </c>
      <c r="BE61" s="298">
        <v>0</v>
      </c>
      <c r="BF61" s="298">
        <v>0</v>
      </c>
      <c r="BG61" s="298">
        <v>0</v>
      </c>
      <c r="BH61" s="298">
        <v>0</v>
      </c>
      <c r="BI61" s="298">
        <v>0</v>
      </c>
      <c r="BJ61" s="299">
        <v>0</v>
      </c>
      <c r="BK61" s="297">
        <v>0</v>
      </c>
      <c r="BL61" s="298">
        <v>0</v>
      </c>
      <c r="BM61" s="298">
        <v>0</v>
      </c>
      <c r="BN61" s="298">
        <v>0</v>
      </c>
      <c r="BO61" s="299">
        <v>0</v>
      </c>
    </row>
    <row r="62" spans="2:67">
      <c r="B62" s="349"/>
      <c r="C62" s="339"/>
      <c r="D62" s="1384" t="s">
        <v>1871</v>
      </c>
      <c r="E62" s="339"/>
      <c r="F62" s="339"/>
      <c r="G62" s="339"/>
      <c r="H62" s="339"/>
      <c r="I62" s="2533"/>
      <c r="J62" s="2533"/>
      <c r="K62" s="2533"/>
      <c r="L62" s="2533"/>
      <c r="M62" s="2533"/>
      <c r="N62" s="2533"/>
      <c r="O62" s="2533"/>
      <c r="P62" s="2533"/>
      <c r="Q62" s="2533"/>
      <c r="R62" s="2533"/>
      <c r="S62" s="2533"/>
      <c r="T62" s="2533"/>
      <c r="U62" s="2533"/>
      <c r="V62" s="2533"/>
      <c r="W62" s="339"/>
      <c r="X62" s="2533"/>
      <c r="Y62" s="2533"/>
      <c r="Z62" s="2533"/>
      <c r="AA62" s="2533"/>
      <c r="AB62" s="2533"/>
      <c r="AC62" s="2533"/>
      <c r="AD62" s="2533"/>
      <c r="AE62" s="2533"/>
      <c r="AF62" s="2533"/>
      <c r="AG62" s="2533"/>
      <c r="AH62" s="2533"/>
      <c r="AI62" s="2533"/>
      <c r="AJ62" s="2533"/>
      <c r="AK62" s="2533"/>
      <c r="AL62" s="339"/>
      <c r="AM62" s="2533"/>
      <c r="AN62" s="2533"/>
      <c r="AO62" s="2533"/>
      <c r="AP62" s="2533"/>
      <c r="AQ62" s="2533"/>
      <c r="AR62" s="2533"/>
      <c r="AS62" s="2533"/>
      <c r="AT62" s="2533"/>
      <c r="AU62" s="2533"/>
      <c r="AV62" s="2533"/>
      <c r="AW62" s="2533"/>
      <c r="AX62" s="2533"/>
      <c r="AY62" s="2533"/>
      <c r="AZ62" s="2533"/>
      <c r="BA62" s="339"/>
      <c r="BB62" s="576" t="s">
        <v>1876</v>
      </c>
      <c r="BC62" s="297">
        <v>0</v>
      </c>
      <c r="BD62" s="298">
        <v>0</v>
      </c>
      <c r="BE62" s="298">
        <v>0</v>
      </c>
      <c r="BF62" s="298">
        <v>0</v>
      </c>
      <c r="BG62" s="298">
        <v>0</v>
      </c>
      <c r="BH62" s="298">
        <v>0</v>
      </c>
      <c r="BI62" s="298">
        <v>0</v>
      </c>
      <c r="BJ62" s="299">
        <v>0</v>
      </c>
      <c r="BK62" s="297">
        <v>0</v>
      </c>
      <c r="BL62" s="298">
        <v>0</v>
      </c>
      <c r="BM62" s="298">
        <v>0</v>
      </c>
      <c r="BN62" s="298">
        <v>0</v>
      </c>
      <c r="BO62" s="299">
        <v>0</v>
      </c>
    </row>
    <row r="63" spans="2:67">
      <c r="B63" s="349"/>
      <c r="C63" s="339"/>
      <c r="D63" s="1384" t="s">
        <v>1872</v>
      </c>
      <c r="E63" s="339"/>
      <c r="F63" s="339"/>
      <c r="G63" s="339"/>
      <c r="H63" s="339"/>
      <c r="I63" s="2533"/>
      <c r="J63" s="2533"/>
      <c r="K63" s="2533"/>
      <c r="L63" s="2533"/>
      <c r="M63" s="2533"/>
      <c r="N63" s="2533"/>
      <c r="O63" s="2533"/>
      <c r="P63" s="2533"/>
      <c r="Q63" s="2533"/>
      <c r="R63" s="2533"/>
      <c r="S63" s="2533"/>
      <c r="T63" s="2533"/>
      <c r="U63" s="2533"/>
      <c r="V63" s="2533"/>
      <c r="W63" s="339"/>
      <c r="X63" s="2533"/>
      <c r="Y63" s="2533"/>
      <c r="Z63" s="2533"/>
      <c r="AA63" s="2533"/>
      <c r="AB63" s="2533"/>
      <c r="AC63" s="2533"/>
      <c r="AD63" s="2533"/>
      <c r="AE63" s="2533"/>
      <c r="AF63" s="2533"/>
      <c r="AG63" s="2533"/>
      <c r="AH63" s="2533"/>
      <c r="AI63" s="2533"/>
      <c r="AJ63" s="2533"/>
      <c r="AK63" s="2533"/>
      <c r="AL63" s="339"/>
      <c r="AM63" s="2533"/>
      <c r="AN63" s="2533"/>
      <c r="AO63" s="2533"/>
      <c r="AP63" s="2533"/>
      <c r="AQ63" s="2533"/>
      <c r="AR63" s="2533"/>
      <c r="AS63" s="2533"/>
      <c r="AT63" s="2533"/>
      <c r="AU63" s="2533"/>
      <c r="AV63" s="2533"/>
      <c r="AW63" s="2533"/>
      <c r="AX63" s="2533"/>
      <c r="AY63" s="2533"/>
      <c r="AZ63" s="2533"/>
      <c r="BA63" s="339"/>
      <c r="BB63" s="576" t="s">
        <v>1876</v>
      </c>
      <c r="BC63" s="297">
        <v>0</v>
      </c>
      <c r="BD63" s="298">
        <v>0</v>
      </c>
      <c r="BE63" s="298">
        <v>0</v>
      </c>
      <c r="BF63" s="298">
        <v>0</v>
      </c>
      <c r="BG63" s="298">
        <v>0</v>
      </c>
      <c r="BH63" s="298">
        <v>0</v>
      </c>
      <c r="BI63" s="298">
        <v>0</v>
      </c>
      <c r="BJ63" s="299">
        <v>0</v>
      </c>
      <c r="BK63" s="297">
        <v>0</v>
      </c>
      <c r="BL63" s="298">
        <v>0</v>
      </c>
      <c r="BM63" s="298">
        <v>0</v>
      </c>
      <c r="BN63" s="298">
        <v>0</v>
      </c>
      <c r="BO63" s="299">
        <v>0</v>
      </c>
    </row>
    <row r="64" spans="2:67" ht="15.75" thickBot="1">
      <c r="B64" s="357"/>
      <c r="C64" s="358" t="s">
        <v>1710</v>
      </c>
      <c r="D64" s="1385"/>
      <c r="E64" s="1386"/>
      <c r="F64" s="1386"/>
      <c r="G64" s="358"/>
      <c r="H64" s="300"/>
      <c r="I64" s="2534"/>
      <c r="J64" s="2534"/>
      <c r="K64" s="2534"/>
      <c r="L64" s="2534"/>
      <c r="M64" s="2534"/>
      <c r="N64" s="2534"/>
      <c r="O64" s="2534"/>
      <c r="P64" s="2534"/>
      <c r="Q64" s="2534"/>
      <c r="R64" s="2534"/>
      <c r="S64" s="2534"/>
      <c r="T64" s="2534"/>
      <c r="U64" s="2534"/>
      <c r="V64" s="2534"/>
      <c r="W64" s="300"/>
      <c r="X64" s="2534"/>
      <c r="Y64" s="2534"/>
      <c r="Z64" s="2534"/>
      <c r="AA64" s="2534"/>
      <c r="AB64" s="2534"/>
      <c r="AC64" s="2534"/>
      <c r="AD64" s="2534"/>
      <c r="AE64" s="2534"/>
      <c r="AF64" s="2534"/>
      <c r="AG64" s="2534"/>
      <c r="AH64" s="2534"/>
      <c r="AI64" s="2534"/>
      <c r="AJ64" s="2534"/>
      <c r="AK64" s="2534"/>
      <c r="AL64" s="300"/>
      <c r="AM64" s="2534"/>
      <c r="AN64" s="2534"/>
      <c r="AO64" s="2534"/>
      <c r="AP64" s="2534"/>
      <c r="AQ64" s="2534"/>
      <c r="AR64" s="2534"/>
      <c r="AS64" s="2534"/>
      <c r="AT64" s="2534"/>
      <c r="AU64" s="2534"/>
      <c r="AV64" s="2534"/>
      <c r="AW64" s="2534"/>
      <c r="AX64" s="2534"/>
      <c r="AY64" s="2534"/>
      <c r="AZ64" s="2534"/>
      <c r="BA64" s="358"/>
      <c r="BB64" s="581" t="s">
        <v>1876</v>
      </c>
      <c r="BC64" s="1110">
        <f>SUM(BC58:BC63)</f>
        <v>1323.9250000000002</v>
      </c>
      <c r="BD64" s="1111">
        <f t="shared" ref="BD64" si="45">SUM(BD58:BD63)</f>
        <v>1444.0356164383561</v>
      </c>
      <c r="BE64" s="1111">
        <f t="shared" ref="BE64" si="46">SUM(BE58:BE63)</f>
        <v>1494.4166666666665</v>
      </c>
      <c r="BF64" s="1111">
        <f t="shared" ref="BF64" si="47">SUM(BF58:BF63)</f>
        <v>1464</v>
      </c>
      <c r="BG64" s="1111">
        <f t="shared" ref="BG64" si="48">SUM(BG58:BG63)</f>
        <v>1439</v>
      </c>
      <c r="BH64" s="1111">
        <f t="shared" ref="BH64" si="49">SUM(BH58:BH63)</f>
        <v>1393</v>
      </c>
      <c r="BI64" s="1111">
        <f t="shared" ref="BI64" si="50">SUM(BI58:BI63)</f>
        <v>1501.7569449268069</v>
      </c>
      <c r="BJ64" s="1112">
        <f t="shared" ref="BJ64" si="51">SUM(BJ58:BJ63)</f>
        <v>1530.0673837161025</v>
      </c>
      <c r="BK64" s="1110">
        <f t="shared" ref="BK64" si="52">SUM(BK58:BK63)</f>
        <v>1523.4927042261222</v>
      </c>
      <c r="BL64" s="1111">
        <f t="shared" ref="BL64" si="53">SUM(BL58:BL63)</f>
        <v>1536.635524174199</v>
      </c>
      <c r="BM64" s="1111">
        <f t="shared" ref="BM64" si="54">SUM(BM58:BM63)</f>
        <v>1533.1563888179255</v>
      </c>
      <c r="BN64" s="1111">
        <f t="shared" ref="BN64" si="55">SUM(BN58:BN63)</f>
        <v>1505.7810781852659</v>
      </c>
      <c r="BO64" s="1112">
        <f t="shared" ref="BO64" si="56">SUM(BO58:BO63)</f>
        <v>1487.1923008620749</v>
      </c>
    </row>
    <row r="65" spans="2:52" ht="15" thickBot="1"/>
    <row r="66" spans="2:52" ht="30" customHeight="1" thickBot="1">
      <c r="B66" s="640" t="s">
        <v>118</v>
      </c>
      <c r="C66" s="558"/>
      <c r="D66" s="558"/>
      <c r="E66" s="558"/>
      <c r="F66" s="558"/>
      <c r="G66" s="559"/>
      <c r="H66" s="294"/>
      <c r="I66" s="105" t="s">
        <v>1864</v>
      </c>
      <c r="J66" s="106"/>
      <c r="K66" s="106"/>
      <c r="L66" s="106"/>
      <c r="M66" s="106"/>
      <c r="N66" s="106"/>
      <c r="O66" s="106"/>
      <c r="P66" s="106"/>
      <c r="Q66" s="106"/>
      <c r="R66" s="105"/>
      <c r="S66" s="105"/>
      <c r="T66" s="105"/>
      <c r="U66" s="105"/>
      <c r="V66" s="187"/>
      <c r="W66" s="294"/>
      <c r="X66" s="105" t="s">
        <v>1867</v>
      </c>
      <c r="Y66" s="106"/>
      <c r="Z66" s="106"/>
      <c r="AA66" s="106"/>
      <c r="AB66" s="106"/>
      <c r="AC66" s="106"/>
      <c r="AD66" s="106"/>
      <c r="AE66" s="106"/>
      <c r="AF66" s="106"/>
      <c r="AG66" s="105"/>
      <c r="AH66" s="105"/>
      <c r="AI66" s="105"/>
      <c r="AJ66" s="105"/>
      <c r="AK66" s="187"/>
      <c r="AL66" s="294"/>
      <c r="AM66" s="105" t="s">
        <v>1868</v>
      </c>
      <c r="AN66" s="106"/>
      <c r="AO66" s="106"/>
      <c r="AP66" s="106"/>
      <c r="AQ66" s="106"/>
      <c r="AR66" s="106"/>
      <c r="AS66" s="106"/>
      <c r="AT66" s="106"/>
      <c r="AU66" s="106"/>
      <c r="AV66" s="105"/>
      <c r="AW66" s="105"/>
      <c r="AX66" s="105"/>
      <c r="AY66" s="105"/>
      <c r="AZ66" s="187"/>
    </row>
    <row r="67" spans="2:52" ht="30" customHeight="1">
      <c r="B67" s="560"/>
      <c r="C67" s="561"/>
      <c r="D67" s="561"/>
      <c r="E67" s="561"/>
      <c r="F67" s="561"/>
      <c r="G67" s="561"/>
      <c r="H67" s="259"/>
      <c r="I67" s="562"/>
      <c r="J67" s="563" t="s">
        <v>1666</v>
      </c>
      <c r="K67" s="564"/>
      <c r="L67" s="564"/>
      <c r="M67" s="564"/>
      <c r="N67" s="564"/>
      <c r="O67" s="564"/>
      <c r="P67" s="564"/>
      <c r="Q67" s="565"/>
      <c r="R67" s="567" t="s">
        <v>2</v>
      </c>
      <c r="S67" s="567"/>
      <c r="T67" s="567"/>
      <c r="U67" s="567"/>
      <c r="V67" s="568"/>
      <c r="W67" s="259"/>
      <c r="X67" s="562"/>
      <c r="Y67" s="563" t="s">
        <v>1666</v>
      </c>
      <c r="Z67" s="564"/>
      <c r="AA67" s="564"/>
      <c r="AB67" s="564"/>
      <c r="AC67" s="564"/>
      <c r="AD67" s="564"/>
      <c r="AE67" s="564"/>
      <c r="AF67" s="565"/>
      <c r="AG67" s="567" t="s">
        <v>2</v>
      </c>
      <c r="AH67" s="567"/>
      <c r="AI67" s="567"/>
      <c r="AJ67" s="567"/>
      <c r="AK67" s="568"/>
      <c r="AL67" s="259"/>
      <c r="AM67" s="562"/>
      <c r="AN67" s="563" t="s">
        <v>1666</v>
      </c>
      <c r="AO67" s="564"/>
      <c r="AP67" s="564"/>
      <c r="AQ67" s="564"/>
      <c r="AR67" s="564"/>
      <c r="AS67" s="564"/>
      <c r="AT67" s="564"/>
      <c r="AU67" s="565"/>
      <c r="AV67" s="567" t="s">
        <v>2</v>
      </c>
      <c r="AW67" s="567"/>
      <c r="AX67" s="567"/>
      <c r="AY67" s="567"/>
      <c r="AZ67" s="568"/>
    </row>
    <row r="68" spans="2:52" ht="15">
      <c r="B68" s="572"/>
      <c r="C68" s="339"/>
      <c r="D68" s="339"/>
      <c r="E68" s="339"/>
      <c r="F68" s="339"/>
      <c r="G68" s="339"/>
      <c r="H68" s="259"/>
      <c r="I68" s="571" t="s">
        <v>1745</v>
      </c>
      <c r="J68" s="158" t="s">
        <v>453</v>
      </c>
      <c r="K68" s="137" t="s">
        <v>455</v>
      </c>
      <c r="L68" s="137" t="s">
        <v>457</v>
      </c>
      <c r="M68" s="137" t="s">
        <v>459</v>
      </c>
      <c r="N68" s="137" t="s">
        <v>461</v>
      </c>
      <c r="O68" s="137" t="s">
        <v>463</v>
      </c>
      <c r="P68" s="137" t="s">
        <v>465</v>
      </c>
      <c r="Q68" s="138" t="s">
        <v>467</v>
      </c>
      <c r="R68" s="242" t="s">
        <v>469</v>
      </c>
      <c r="S68" s="121" t="s">
        <v>471</v>
      </c>
      <c r="T68" s="121" t="s">
        <v>473</v>
      </c>
      <c r="U68" s="121" t="s">
        <v>475</v>
      </c>
      <c r="V68" s="122" t="s">
        <v>477</v>
      </c>
      <c r="W68" s="259"/>
      <c r="X68" s="571" t="s">
        <v>1745</v>
      </c>
      <c r="Y68" s="158" t="s">
        <v>453</v>
      </c>
      <c r="Z68" s="137" t="s">
        <v>455</v>
      </c>
      <c r="AA68" s="137" t="s">
        <v>457</v>
      </c>
      <c r="AB68" s="137" t="s">
        <v>459</v>
      </c>
      <c r="AC68" s="137" t="s">
        <v>461</v>
      </c>
      <c r="AD68" s="137" t="s">
        <v>463</v>
      </c>
      <c r="AE68" s="137" t="s">
        <v>465</v>
      </c>
      <c r="AF68" s="138" t="s">
        <v>467</v>
      </c>
      <c r="AG68" s="242" t="s">
        <v>469</v>
      </c>
      <c r="AH68" s="121" t="s">
        <v>471</v>
      </c>
      <c r="AI68" s="121" t="s">
        <v>473</v>
      </c>
      <c r="AJ68" s="121" t="s">
        <v>475</v>
      </c>
      <c r="AK68" s="122" t="s">
        <v>477</v>
      </c>
      <c r="AL68" s="259"/>
      <c r="AM68" s="571" t="s">
        <v>1745</v>
      </c>
      <c r="AN68" s="158" t="s">
        <v>453</v>
      </c>
      <c r="AO68" s="137" t="s">
        <v>455</v>
      </c>
      <c r="AP68" s="137" t="s">
        <v>457</v>
      </c>
      <c r="AQ68" s="137" t="s">
        <v>459</v>
      </c>
      <c r="AR68" s="137" t="s">
        <v>461</v>
      </c>
      <c r="AS68" s="137" t="s">
        <v>463</v>
      </c>
      <c r="AT68" s="137" t="s">
        <v>465</v>
      </c>
      <c r="AU68" s="138" t="s">
        <v>467</v>
      </c>
      <c r="AV68" s="242" t="s">
        <v>469</v>
      </c>
      <c r="AW68" s="121" t="s">
        <v>471</v>
      </c>
      <c r="AX68" s="121" t="s">
        <v>473</v>
      </c>
      <c r="AY68" s="121" t="s">
        <v>475</v>
      </c>
      <c r="AZ68" s="122" t="s">
        <v>477</v>
      </c>
    </row>
    <row r="69" spans="2:52" ht="15">
      <c r="B69" s="572"/>
      <c r="C69" s="623" t="s">
        <v>1870</v>
      </c>
      <c r="D69" s="591"/>
      <c r="E69" s="591"/>
      <c r="F69" s="591"/>
      <c r="G69" s="339"/>
      <c r="H69" s="259"/>
      <c r="I69" s="260"/>
      <c r="J69" s="295"/>
      <c r="K69" s="259"/>
      <c r="L69" s="259"/>
      <c r="M69" s="259"/>
      <c r="N69" s="259"/>
      <c r="O69" s="259"/>
      <c r="P69" s="259"/>
      <c r="Q69" s="296"/>
      <c r="R69" s="259"/>
      <c r="S69" s="259"/>
      <c r="T69" s="259"/>
      <c r="U69" s="259"/>
      <c r="V69" s="296"/>
      <c r="W69" s="259"/>
      <c r="X69" s="260"/>
      <c r="Y69" s="295"/>
      <c r="Z69" s="259"/>
      <c r="AA69" s="259"/>
      <c r="AB69" s="259"/>
      <c r="AC69" s="259"/>
      <c r="AD69" s="259"/>
      <c r="AE69" s="259"/>
      <c r="AF69" s="296"/>
      <c r="AG69" s="259"/>
      <c r="AH69" s="259"/>
      <c r="AI69" s="259"/>
      <c r="AJ69" s="259"/>
      <c r="AK69" s="296"/>
      <c r="AL69" s="259"/>
      <c r="AM69" s="260"/>
      <c r="AN69" s="295"/>
      <c r="AO69" s="259"/>
      <c r="AP69" s="259"/>
      <c r="AQ69" s="259"/>
      <c r="AR69" s="259"/>
      <c r="AS69" s="259"/>
      <c r="AT69" s="259"/>
      <c r="AU69" s="296"/>
      <c r="AV69" s="259"/>
      <c r="AW69" s="259"/>
      <c r="AX69" s="259"/>
      <c r="AY69" s="259"/>
      <c r="AZ69" s="296"/>
    </row>
    <row r="70" spans="2:52" ht="15">
      <c r="B70" s="349"/>
      <c r="C70" s="339"/>
      <c r="D70" s="1384" t="s">
        <v>315</v>
      </c>
      <c r="E70" s="591"/>
      <c r="F70" s="591"/>
      <c r="G70" s="339"/>
      <c r="H70" s="259"/>
      <c r="I70" s="576" t="s">
        <v>498</v>
      </c>
      <c r="J70" s="297">
        <v>3.1602042792569529</v>
      </c>
      <c r="K70" s="298">
        <v>3.6223922292853814</v>
      </c>
      <c r="L70" s="298">
        <v>3.8871333177299441</v>
      </c>
      <c r="M70" s="298">
        <v>4.22306166814798</v>
      </c>
      <c r="N70" s="298">
        <v>4.3483173219375111</v>
      </c>
      <c r="O70" s="298">
        <v>4.4065976350663902</v>
      </c>
      <c r="P70" s="298">
        <v>4.4065976350663902</v>
      </c>
      <c r="Q70" s="299">
        <v>4.4065976350663902</v>
      </c>
      <c r="R70" s="460">
        <v>4.3845646468910582</v>
      </c>
      <c r="S70" s="298">
        <v>4.3626418236566025</v>
      </c>
      <c r="T70" s="298">
        <v>4.340828614538319</v>
      </c>
      <c r="U70" s="298">
        <v>4.3191244714656278</v>
      </c>
      <c r="V70" s="299">
        <v>4.2975288491082999</v>
      </c>
      <c r="W70" s="259"/>
      <c r="X70" s="576" t="s">
        <v>498</v>
      </c>
      <c r="Y70" s="297">
        <v>0.42654963400096696</v>
      </c>
      <c r="Z70" s="298">
        <v>0.69495255175890636</v>
      </c>
      <c r="AA70" s="298">
        <v>0.69872945816593823</v>
      </c>
      <c r="AB70" s="298">
        <v>0.61503412428884785</v>
      </c>
      <c r="AC70" s="298">
        <v>0.52884852705533447</v>
      </c>
      <c r="AD70" s="298">
        <v>0.58653962548132199</v>
      </c>
      <c r="AE70" s="298">
        <v>0.58360692735391539</v>
      </c>
      <c r="AF70" s="299">
        <v>0.58068889271714585</v>
      </c>
      <c r="AG70" s="460">
        <v>0.57778544825356015</v>
      </c>
      <c r="AH70" s="298">
        <v>0.57489652101229238</v>
      </c>
      <c r="AI70" s="298">
        <v>0.57202203840723087</v>
      </c>
      <c r="AJ70" s="298">
        <v>0.56916192821519473</v>
      </c>
      <c r="AK70" s="299">
        <v>0.56631611857411879</v>
      </c>
      <c r="AL70" s="259"/>
      <c r="AM70" s="576" t="s">
        <v>498</v>
      </c>
      <c r="AN70" s="297">
        <v>0.73111693019709501</v>
      </c>
      <c r="AO70" s="298">
        <v>1.1911663632407608</v>
      </c>
      <c r="AP70" s="298">
        <v>1.1976400769608964</v>
      </c>
      <c r="AQ70" s="298">
        <v>1.0455580112910414</v>
      </c>
      <c r="AR70" s="298">
        <v>0.89904249599406849</v>
      </c>
      <c r="AS70" s="298">
        <v>0.99711736331824752</v>
      </c>
      <c r="AT70" s="298">
        <v>0.99213177650165629</v>
      </c>
      <c r="AU70" s="299">
        <v>0.987171117619148</v>
      </c>
      <c r="AV70" s="460">
        <v>0.98223526203105227</v>
      </c>
      <c r="AW70" s="298">
        <v>0.97732408572089702</v>
      </c>
      <c r="AX70" s="298">
        <v>0.97243746529229258</v>
      </c>
      <c r="AY70" s="298">
        <v>0.96757527796583109</v>
      </c>
      <c r="AZ70" s="299">
        <v>0.96273740157600196</v>
      </c>
    </row>
    <row r="71" spans="2:52" ht="15">
      <c r="B71" s="349"/>
      <c r="C71" s="339"/>
      <c r="D71" s="1384" t="s">
        <v>324</v>
      </c>
      <c r="E71" s="591"/>
      <c r="F71" s="591"/>
      <c r="G71" s="339"/>
      <c r="H71" s="259"/>
      <c r="I71" s="576" t="s">
        <v>498</v>
      </c>
      <c r="J71" s="297">
        <v>0</v>
      </c>
      <c r="K71" s="298">
        <v>0</v>
      </c>
      <c r="L71" s="298">
        <v>0</v>
      </c>
      <c r="M71" s="298">
        <v>0</v>
      </c>
      <c r="N71" s="298">
        <v>0</v>
      </c>
      <c r="O71" s="298">
        <v>0</v>
      </c>
      <c r="P71" s="298">
        <v>0</v>
      </c>
      <c r="Q71" s="299">
        <v>0</v>
      </c>
      <c r="R71" s="460">
        <v>0</v>
      </c>
      <c r="S71" s="298">
        <v>0</v>
      </c>
      <c r="T71" s="298">
        <v>0</v>
      </c>
      <c r="U71" s="298">
        <v>0</v>
      </c>
      <c r="V71" s="299">
        <v>0</v>
      </c>
      <c r="W71" s="259"/>
      <c r="X71" s="576" t="s">
        <v>498</v>
      </c>
      <c r="Y71" s="297">
        <v>0</v>
      </c>
      <c r="Z71" s="298">
        <v>0</v>
      </c>
      <c r="AA71" s="298">
        <v>0</v>
      </c>
      <c r="AB71" s="298">
        <v>0</v>
      </c>
      <c r="AC71" s="298">
        <v>0</v>
      </c>
      <c r="AD71" s="298">
        <v>0</v>
      </c>
      <c r="AE71" s="298">
        <v>0</v>
      </c>
      <c r="AF71" s="299">
        <v>0</v>
      </c>
      <c r="AG71" s="460">
        <v>0</v>
      </c>
      <c r="AH71" s="298">
        <v>0</v>
      </c>
      <c r="AI71" s="298">
        <v>0</v>
      </c>
      <c r="AJ71" s="298">
        <v>0</v>
      </c>
      <c r="AK71" s="299">
        <v>0</v>
      </c>
      <c r="AL71" s="259"/>
      <c r="AM71" s="576" t="s">
        <v>498</v>
      </c>
      <c r="AN71" s="297">
        <v>0</v>
      </c>
      <c r="AO71" s="298">
        <v>0</v>
      </c>
      <c r="AP71" s="298">
        <v>0</v>
      </c>
      <c r="AQ71" s="298">
        <v>0</v>
      </c>
      <c r="AR71" s="298">
        <v>0</v>
      </c>
      <c r="AS71" s="298">
        <v>0</v>
      </c>
      <c r="AT71" s="298">
        <v>0</v>
      </c>
      <c r="AU71" s="299">
        <v>0</v>
      </c>
      <c r="AV71" s="460">
        <v>0</v>
      </c>
      <c r="AW71" s="298">
        <v>0</v>
      </c>
      <c r="AX71" s="298">
        <v>0</v>
      </c>
      <c r="AY71" s="298">
        <v>0</v>
      </c>
      <c r="AZ71" s="299">
        <v>0</v>
      </c>
    </row>
    <row r="72" spans="2:52" ht="15">
      <c r="B72" s="349"/>
      <c r="C72" s="339"/>
      <c r="D72" s="1384" t="s">
        <v>329</v>
      </c>
      <c r="E72" s="591"/>
      <c r="F72" s="591"/>
      <c r="G72" s="339"/>
      <c r="H72" s="259"/>
      <c r="I72" s="576" t="s">
        <v>498</v>
      </c>
      <c r="J72" s="297">
        <v>0</v>
      </c>
      <c r="K72" s="298">
        <v>0</v>
      </c>
      <c r="L72" s="298">
        <v>0</v>
      </c>
      <c r="M72" s="298">
        <v>0</v>
      </c>
      <c r="N72" s="298">
        <v>0</v>
      </c>
      <c r="O72" s="298">
        <v>0</v>
      </c>
      <c r="P72" s="298">
        <v>0</v>
      </c>
      <c r="Q72" s="299">
        <v>0</v>
      </c>
      <c r="R72" s="460">
        <v>0</v>
      </c>
      <c r="S72" s="298">
        <v>0</v>
      </c>
      <c r="T72" s="298">
        <v>0</v>
      </c>
      <c r="U72" s="298">
        <v>0</v>
      </c>
      <c r="V72" s="299">
        <v>0</v>
      </c>
      <c r="W72" s="259"/>
      <c r="X72" s="576" t="s">
        <v>498</v>
      </c>
      <c r="Y72" s="297">
        <v>0</v>
      </c>
      <c r="Z72" s="298">
        <v>0</v>
      </c>
      <c r="AA72" s="298">
        <v>0</v>
      </c>
      <c r="AB72" s="298">
        <v>0</v>
      </c>
      <c r="AC72" s="298">
        <v>0</v>
      </c>
      <c r="AD72" s="298">
        <v>0</v>
      </c>
      <c r="AE72" s="298">
        <v>0</v>
      </c>
      <c r="AF72" s="299">
        <v>0</v>
      </c>
      <c r="AG72" s="460">
        <v>0</v>
      </c>
      <c r="AH72" s="298">
        <v>0</v>
      </c>
      <c r="AI72" s="298">
        <v>0</v>
      </c>
      <c r="AJ72" s="298">
        <v>0</v>
      </c>
      <c r="AK72" s="299">
        <v>0</v>
      </c>
      <c r="AL72" s="259"/>
      <c r="AM72" s="576" t="s">
        <v>498</v>
      </c>
      <c r="AN72" s="297">
        <v>0</v>
      </c>
      <c r="AO72" s="298">
        <v>0</v>
      </c>
      <c r="AP72" s="298">
        <v>0</v>
      </c>
      <c r="AQ72" s="298">
        <v>0</v>
      </c>
      <c r="AR72" s="298">
        <v>0</v>
      </c>
      <c r="AS72" s="298">
        <v>0</v>
      </c>
      <c r="AT72" s="298">
        <v>0</v>
      </c>
      <c r="AU72" s="299">
        <v>0</v>
      </c>
      <c r="AV72" s="460">
        <v>0</v>
      </c>
      <c r="AW72" s="298">
        <v>0</v>
      </c>
      <c r="AX72" s="298">
        <v>0</v>
      </c>
      <c r="AY72" s="298">
        <v>0</v>
      </c>
      <c r="AZ72" s="299">
        <v>0</v>
      </c>
    </row>
    <row r="73" spans="2:52" ht="15">
      <c r="B73" s="349"/>
      <c r="C73" s="339"/>
      <c r="D73" s="1384" t="s">
        <v>332</v>
      </c>
      <c r="E73" s="591"/>
      <c r="F73" s="591"/>
      <c r="G73" s="339"/>
      <c r="H73" s="259"/>
      <c r="I73" s="576" t="s">
        <v>498</v>
      </c>
      <c r="J73" s="297">
        <v>0</v>
      </c>
      <c r="K73" s="298">
        <v>0</v>
      </c>
      <c r="L73" s="298">
        <v>0</v>
      </c>
      <c r="M73" s="298">
        <v>0</v>
      </c>
      <c r="N73" s="298">
        <v>0</v>
      </c>
      <c r="O73" s="298">
        <v>0</v>
      </c>
      <c r="P73" s="298">
        <v>0</v>
      </c>
      <c r="Q73" s="299">
        <v>0</v>
      </c>
      <c r="R73" s="460">
        <v>0</v>
      </c>
      <c r="S73" s="298">
        <v>0</v>
      </c>
      <c r="T73" s="298">
        <v>0</v>
      </c>
      <c r="U73" s="298">
        <v>0</v>
      </c>
      <c r="V73" s="299">
        <v>0</v>
      </c>
      <c r="W73" s="259"/>
      <c r="X73" s="576" t="s">
        <v>498</v>
      </c>
      <c r="Y73" s="297">
        <v>0</v>
      </c>
      <c r="Z73" s="298">
        <v>0</v>
      </c>
      <c r="AA73" s="298">
        <v>0</v>
      </c>
      <c r="AB73" s="298">
        <v>0</v>
      </c>
      <c r="AC73" s="298">
        <v>0</v>
      </c>
      <c r="AD73" s="298">
        <v>0</v>
      </c>
      <c r="AE73" s="298">
        <v>0</v>
      </c>
      <c r="AF73" s="299">
        <v>0</v>
      </c>
      <c r="AG73" s="460">
        <v>0</v>
      </c>
      <c r="AH73" s="298">
        <v>0</v>
      </c>
      <c r="AI73" s="298">
        <v>0</v>
      </c>
      <c r="AJ73" s="298">
        <v>0</v>
      </c>
      <c r="AK73" s="299">
        <v>0</v>
      </c>
      <c r="AL73" s="259"/>
      <c r="AM73" s="576" t="s">
        <v>498</v>
      </c>
      <c r="AN73" s="297">
        <v>0</v>
      </c>
      <c r="AO73" s="298">
        <v>0</v>
      </c>
      <c r="AP73" s="298">
        <v>0</v>
      </c>
      <c r="AQ73" s="298">
        <v>0</v>
      </c>
      <c r="AR73" s="298">
        <v>0</v>
      </c>
      <c r="AS73" s="298">
        <v>0</v>
      </c>
      <c r="AT73" s="298">
        <v>0</v>
      </c>
      <c r="AU73" s="299">
        <v>0</v>
      </c>
      <c r="AV73" s="460">
        <v>0</v>
      </c>
      <c r="AW73" s="298">
        <v>0</v>
      </c>
      <c r="AX73" s="298">
        <v>0</v>
      </c>
      <c r="AY73" s="298">
        <v>0</v>
      </c>
      <c r="AZ73" s="299">
        <v>0</v>
      </c>
    </row>
    <row r="74" spans="2:52" ht="15">
      <c r="B74" s="349"/>
      <c r="C74" s="339"/>
      <c r="D74" s="1384" t="s">
        <v>1871</v>
      </c>
      <c r="E74" s="591"/>
      <c r="F74" s="591"/>
      <c r="G74" s="339"/>
      <c r="H74" s="259"/>
      <c r="I74" s="576" t="s">
        <v>498</v>
      </c>
      <c r="J74" s="297">
        <v>0</v>
      </c>
      <c r="K74" s="298">
        <v>0</v>
      </c>
      <c r="L74" s="298">
        <v>0</v>
      </c>
      <c r="M74" s="298">
        <v>0</v>
      </c>
      <c r="N74" s="298">
        <v>0</v>
      </c>
      <c r="O74" s="298">
        <v>0</v>
      </c>
      <c r="P74" s="298">
        <v>0</v>
      </c>
      <c r="Q74" s="299">
        <v>0</v>
      </c>
      <c r="R74" s="460">
        <v>0</v>
      </c>
      <c r="S74" s="298">
        <v>0</v>
      </c>
      <c r="T74" s="298">
        <v>0</v>
      </c>
      <c r="U74" s="298">
        <v>0</v>
      </c>
      <c r="V74" s="299">
        <v>0</v>
      </c>
      <c r="W74" s="259"/>
      <c r="X74" s="576" t="s">
        <v>498</v>
      </c>
      <c r="Y74" s="297">
        <v>0</v>
      </c>
      <c r="Z74" s="298">
        <v>0</v>
      </c>
      <c r="AA74" s="298">
        <v>0</v>
      </c>
      <c r="AB74" s="298">
        <v>0</v>
      </c>
      <c r="AC74" s="298">
        <v>0</v>
      </c>
      <c r="AD74" s="298">
        <v>0</v>
      </c>
      <c r="AE74" s="298">
        <v>0</v>
      </c>
      <c r="AF74" s="299">
        <v>0</v>
      </c>
      <c r="AG74" s="460">
        <v>0</v>
      </c>
      <c r="AH74" s="298">
        <v>0</v>
      </c>
      <c r="AI74" s="298">
        <v>0</v>
      </c>
      <c r="AJ74" s="298">
        <v>0</v>
      </c>
      <c r="AK74" s="299">
        <v>0</v>
      </c>
      <c r="AL74" s="259"/>
      <c r="AM74" s="576" t="s">
        <v>498</v>
      </c>
      <c r="AN74" s="297">
        <v>0</v>
      </c>
      <c r="AO74" s="298">
        <v>0</v>
      </c>
      <c r="AP74" s="298">
        <v>0</v>
      </c>
      <c r="AQ74" s="298">
        <v>0</v>
      </c>
      <c r="AR74" s="298">
        <v>0</v>
      </c>
      <c r="AS74" s="298">
        <v>0</v>
      </c>
      <c r="AT74" s="298">
        <v>0</v>
      </c>
      <c r="AU74" s="299">
        <v>0</v>
      </c>
      <c r="AV74" s="460">
        <v>0</v>
      </c>
      <c r="AW74" s="298">
        <v>0</v>
      </c>
      <c r="AX74" s="298">
        <v>0</v>
      </c>
      <c r="AY74" s="298">
        <v>0</v>
      </c>
      <c r="AZ74" s="299">
        <v>0</v>
      </c>
    </row>
    <row r="75" spans="2:52" ht="15">
      <c r="B75" s="349"/>
      <c r="C75" s="339"/>
      <c r="D75" s="1384" t="s">
        <v>1872</v>
      </c>
      <c r="E75" s="591"/>
      <c r="F75" s="591"/>
      <c r="G75" s="339"/>
      <c r="H75" s="259"/>
      <c r="I75" s="576" t="s">
        <v>498</v>
      </c>
      <c r="J75" s="297">
        <v>0</v>
      </c>
      <c r="K75" s="298">
        <v>0</v>
      </c>
      <c r="L75" s="298">
        <v>0</v>
      </c>
      <c r="M75" s="298">
        <v>0</v>
      </c>
      <c r="N75" s="298">
        <v>0</v>
      </c>
      <c r="O75" s="298">
        <v>0</v>
      </c>
      <c r="P75" s="298">
        <v>0</v>
      </c>
      <c r="Q75" s="299">
        <v>0</v>
      </c>
      <c r="R75" s="460">
        <v>0</v>
      </c>
      <c r="S75" s="298">
        <v>0</v>
      </c>
      <c r="T75" s="298">
        <v>0</v>
      </c>
      <c r="U75" s="298">
        <v>0</v>
      </c>
      <c r="V75" s="299">
        <v>0</v>
      </c>
      <c r="W75" s="259"/>
      <c r="X75" s="576" t="s">
        <v>498</v>
      </c>
      <c r="Y75" s="297">
        <v>0</v>
      </c>
      <c r="Z75" s="298">
        <v>0</v>
      </c>
      <c r="AA75" s="298">
        <v>0</v>
      </c>
      <c r="AB75" s="298">
        <v>0</v>
      </c>
      <c r="AC75" s="298">
        <v>0</v>
      </c>
      <c r="AD75" s="298">
        <v>0</v>
      </c>
      <c r="AE75" s="298">
        <v>0</v>
      </c>
      <c r="AF75" s="299">
        <v>0</v>
      </c>
      <c r="AG75" s="460">
        <v>0</v>
      </c>
      <c r="AH75" s="298">
        <v>0</v>
      </c>
      <c r="AI75" s="298">
        <v>0</v>
      </c>
      <c r="AJ75" s="298">
        <v>0</v>
      </c>
      <c r="AK75" s="299">
        <v>0</v>
      </c>
      <c r="AL75" s="259"/>
      <c r="AM75" s="576" t="s">
        <v>498</v>
      </c>
      <c r="AN75" s="297">
        <v>0</v>
      </c>
      <c r="AO75" s="298">
        <v>0</v>
      </c>
      <c r="AP75" s="298">
        <v>0</v>
      </c>
      <c r="AQ75" s="298">
        <v>0</v>
      </c>
      <c r="AR75" s="298">
        <v>0</v>
      </c>
      <c r="AS75" s="298">
        <v>0</v>
      </c>
      <c r="AT75" s="298">
        <v>0</v>
      </c>
      <c r="AU75" s="299">
        <v>0</v>
      </c>
      <c r="AV75" s="460">
        <v>0</v>
      </c>
      <c r="AW75" s="298">
        <v>0</v>
      </c>
      <c r="AX75" s="298">
        <v>0</v>
      </c>
      <c r="AY75" s="298">
        <v>0</v>
      </c>
      <c r="AZ75" s="299">
        <v>0</v>
      </c>
    </row>
    <row r="76" spans="2:52" ht="15">
      <c r="B76" s="349" t="s">
        <v>1701</v>
      </c>
      <c r="C76" s="339"/>
      <c r="D76" s="1384"/>
      <c r="E76" s="591"/>
      <c r="F76" s="591"/>
      <c r="G76" s="339"/>
      <c r="H76" s="259"/>
      <c r="I76" s="576" t="s">
        <v>498</v>
      </c>
      <c r="J76" s="1397">
        <f>SUM(J70:J75)</f>
        <v>3.1602042792569529</v>
      </c>
      <c r="K76" s="1398">
        <f t="shared" ref="K76" si="57">SUM(K70:K75)</f>
        <v>3.6223922292853814</v>
      </c>
      <c r="L76" s="1398">
        <f t="shared" ref="L76" si="58">SUM(L70:L75)</f>
        <v>3.8871333177299441</v>
      </c>
      <c r="M76" s="1398">
        <f t="shared" ref="M76" si="59">SUM(M70:M75)</f>
        <v>4.22306166814798</v>
      </c>
      <c r="N76" s="1398">
        <f t="shared" ref="N76" si="60">SUM(N70:N75)</f>
        <v>4.3483173219375111</v>
      </c>
      <c r="O76" s="1398">
        <f t="shared" ref="O76" si="61">SUM(O70:O75)</f>
        <v>4.4065976350663902</v>
      </c>
      <c r="P76" s="1398">
        <f t="shared" ref="P76" si="62">SUM(P70:P75)</f>
        <v>4.4065976350663902</v>
      </c>
      <c r="Q76" s="1399">
        <f t="shared" ref="Q76" si="63">SUM(Q70:Q75)</f>
        <v>4.4065976350663902</v>
      </c>
      <c r="R76" s="1400">
        <f t="shared" ref="R76" si="64">SUM(R70:R75)</f>
        <v>4.3845646468910582</v>
      </c>
      <c r="S76" s="1398">
        <f t="shared" ref="S76" si="65">SUM(S70:S75)</f>
        <v>4.3626418236566025</v>
      </c>
      <c r="T76" s="1398">
        <f t="shared" ref="T76" si="66">SUM(T70:T75)</f>
        <v>4.340828614538319</v>
      </c>
      <c r="U76" s="1398">
        <f t="shared" ref="U76" si="67">SUM(U70:U75)</f>
        <v>4.3191244714656278</v>
      </c>
      <c r="V76" s="1399">
        <f t="shared" ref="V76" si="68">SUM(V70:V75)</f>
        <v>4.2975288491082999</v>
      </c>
      <c r="W76" s="259"/>
      <c r="X76" s="576" t="s">
        <v>498</v>
      </c>
      <c r="Y76" s="1397">
        <f>SUM(Y70:Y75)</f>
        <v>0.42654963400096696</v>
      </c>
      <c r="Z76" s="1398">
        <f t="shared" ref="Z76:AK76" si="69">SUM(Z70:Z75)</f>
        <v>0.69495255175890636</v>
      </c>
      <c r="AA76" s="1398">
        <f t="shared" si="69"/>
        <v>0.69872945816593823</v>
      </c>
      <c r="AB76" s="1398">
        <f t="shared" si="69"/>
        <v>0.61503412428884785</v>
      </c>
      <c r="AC76" s="1398">
        <f t="shared" si="69"/>
        <v>0.52884852705533447</v>
      </c>
      <c r="AD76" s="1398">
        <f t="shared" si="69"/>
        <v>0.58653962548132199</v>
      </c>
      <c r="AE76" s="1398">
        <f t="shared" si="69"/>
        <v>0.58360692735391539</v>
      </c>
      <c r="AF76" s="1399">
        <f t="shared" si="69"/>
        <v>0.58068889271714585</v>
      </c>
      <c r="AG76" s="1400">
        <f t="shared" si="69"/>
        <v>0.57778544825356015</v>
      </c>
      <c r="AH76" s="1398">
        <f t="shared" si="69"/>
        <v>0.57489652101229238</v>
      </c>
      <c r="AI76" s="1398">
        <f t="shared" si="69"/>
        <v>0.57202203840723087</v>
      </c>
      <c r="AJ76" s="1398">
        <f t="shared" si="69"/>
        <v>0.56916192821519473</v>
      </c>
      <c r="AK76" s="1399">
        <f t="shared" si="69"/>
        <v>0.56631611857411879</v>
      </c>
      <c r="AL76" s="259"/>
      <c r="AM76" s="576" t="s">
        <v>498</v>
      </c>
      <c r="AN76" s="1397">
        <f>SUM(AN70:AN75)</f>
        <v>0.73111693019709501</v>
      </c>
      <c r="AO76" s="1398">
        <f t="shared" ref="AO76:AZ76" si="70">SUM(AO70:AO75)</f>
        <v>1.1911663632407608</v>
      </c>
      <c r="AP76" s="1398">
        <f t="shared" si="70"/>
        <v>1.1976400769608964</v>
      </c>
      <c r="AQ76" s="1398">
        <f t="shared" si="70"/>
        <v>1.0455580112910414</v>
      </c>
      <c r="AR76" s="1398">
        <f t="shared" si="70"/>
        <v>0.89904249599406849</v>
      </c>
      <c r="AS76" s="1398">
        <f t="shared" si="70"/>
        <v>0.99711736331824752</v>
      </c>
      <c r="AT76" s="1398">
        <f t="shared" si="70"/>
        <v>0.99213177650165629</v>
      </c>
      <c r="AU76" s="1399">
        <f t="shared" si="70"/>
        <v>0.987171117619148</v>
      </c>
      <c r="AV76" s="1400">
        <f t="shared" si="70"/>
        <v>0.98223526203105227</v>
      </c>
      <c r="AW76" s="1398">
        <f t="shared" si="70"/>
        <v>0.97732408572089702</v>
      </c>
      <c r="AX76" s="1398">
        <f t="shared" si="70"/>
        <v>0.97243746529229258</v>
      </c>
      <c r="AY76" s="1398">
        <f t="shared" si="70"/>
        <v>0.96757527796583109</v>
      </c>
      <c r="AZ76" s="1399">
        <f t="shared" si="70"/>
        <v>0.96273740157600196</v>
      </c>
    </row>
    <row r="77" spans="2:52">
      <c r="B77" s="349"/>
      <c r="C77" s="339"/>
      <c r="D77" s="339"/>
      <c r="E77" s="339"/>
      <c r="F77" s="339"/>
      <c r="G77" s="339"/>
      <c r="H77" s="339"/>
      <c r="I77" s="339"/>
      <c r="J77" s="349"/>
      <c r="K77" s="339"/>
      <c r="L77" s="339"/>
      <c r="M77" s="339"/>
      <c r="N77" s="339"/>
      <c r="O77" s="339"/>
      <c r="P77" s="339"/>
      <c r="Q77" s="353"/>
      <c r="R77" s="339"/>
      <c r="S77" s="339"/>
      <c r="T77" s="339"/>
      <c r="U77" s="339"/>
      <c r="V77" s="353"/>
      <c r="W77" s="339"/>
      <c r="X77" s="339"/>
      <c r="Y77" s="339"/>
      <c r="Z77" s="339"/>
      <c r="AA77" s="339"/>
      <c r="AB77" s="339"/>
      <c r="AC77" s="339"/>
      <c r="AD77" s="339"/>
      <c r="AE77" s="339"/>
      <c r="AF77" s="339"/>
      <c r="AG77" s="339"/>
      <c r="AH77" s="339"/>
      <c r="AI77" s="339"/>
      <c r="AJ77" s="339"/>
      <c r="AK77" s="339"/>
      <c r="AL77" s="339"/>
      <c r="AM77" s="339"/>
      <c r="AN77" s="339"/>
      <c r="AO77" s="339"/>
      <c r="AP77" s="339"/>
      <c r="AQ77" s="339"/>
      <c r="AR77" s="339"/>
      <c r="AS77" s="339"/>
      <c r="AT77" s="339"/>
      <c r="AU77" s="339"/>
      <c r="AV77" s="339"/>
      <c r="AW77" s="339"/>
      <c r="AX77" s="339"/>
      <c r="AY77" s="339"/>
      <c r="AZ77" s="353"/>
    </row>
    <row r="78" spans="2:52" ht="15">
      <c r="B78" s="349"/>
      <c r="C78" s="623" t="s">
        <v>1879</v>
      </c>
      <c r="D78" s="339"/>
      <c r="E78" s="339"/>
      <c r="F78" s="339"/>
      <c r="G78" s="339"/>
      <c r="H78" s="339"/>
      <c r="I78" s="339"/>
      <c r="J78" s="349"/>
      <c r="K78" s="339"/>
      <c r="L78" s="339"/>
      <c r="M78" s="339"/>
      <c r="N78" s="339"/>
      <c r="O78" s="339"/>
      <c r="P78" s="339"/>
      <c r="Q78" s="353"/>
      <c r="R78" s="339"/>
      <c r="S78" s="339"/>
      <c r="T78" s="339"/>
      <c r="U78" s="339"/>
      <c r="V78" s="353"/>
      <c r="W78" s="339"/>
      <c r="X78" s="339"/>
      <c r="Y78" s="339"/>
      <c r="Z78" s="339"/>
      <c r="AA78" s="339"/>
      <c r="AB78" s="339"/>
      <c r="AC78" s="339"/>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39"/>
      <c r="AZ78" s="353"/>
    </row>
    <row r="79" spans="2:52">
      <c r="B79" s="349"/>
      <c r="C79" s="339"/>
      <c r="D79" s="1384" t="s">
        <v>315</v>
      </c>
      <c r="E79" s="339"/>
      <c r="F79" s="339"/>
      <c r="G79" s="339"/>
      <c r="H79" s="339"/>
      <c r="I79" s="576" t="s">
        <v>498</v>
      </c>
      <c r="J79" s="297">
        <v>1.5036287407601912</v>
      </c>
      <c r="K79" s="298">
        <v>1.9592434671102825</v>
      </c>
      <c r="L79" s="298">
        <v>2.29525760895792</v>
      </c>
      <c r="M79" s="298">
        <v>2.5096063191862998</v>
      </c>
      <c r="N79" s="298">
        <v>2.6531081366651388</v>
      </c>
      <c r="O79" s="298">
        <v>2.5876502982658343</v>
      </c>
      <c r="P79" s="298">
        <v>2.5876502982658343</v>
      </c>
      <c r="Q79" s="299">
        <v>2.5876502982658343</v>
      </c>
      <c r="R79" s="460">
        <v>2.574712046774505</v>
      </c>
      <c r="S79" s="298">
        <v>2.5618384865406321</v>
      </c>
      <c r="T79" s="298">
        <v>2.5490292941079287</v>
      </c>
      <c r="U79" s="298">
        <v>2.5362841476373892</v>
      </c>
      <c r="V79" s="299">
        <v>2.5236027268992025</v>
      </c>
      <c r="W79" s="339"/>
      <c r="X79" s="2533"/>
      <c r="Y79" s="2533"/>
      <c r="Z79" s="2533"/>
      <c r="AA79" s="2533"/>
      <c r="AB79" s="2533"/>
      <c r="AC79" s="2533"/>
      <c r="AD79" s="2533"/>
      <c r="AE79" s="2533"/>
      <c r="AF79" s="2533"/>
      <c r="AG79" s="2533"/>
      <c r="AH79" s="2533"/>
      <c r="AI79" s="2533"/>
      <c r="AJ79" s="2533"/>
      <c r="AK79" s="2533"/>
      <c r="AL79" s="339"/>
      <c r="AM79" s="2533"/>
      <c r="AN79" s="2533"/>
      <c r="AO79" s="2533"/>
      <c r="AP79" s="2533"/>
      <c r="AQ79" s="2533"/>
      <c r="AR79" s="2533"/>
      <c r="AS79" s="2533"/>
      <c r="AT79" s="2533"/>
      <c r="AU79" s="2533"/>
      <c r="AV79" s="2533"/>
      <c r="AW79" s="2533"/>
      <c r="AX79" s="2533"/>
      <c r="AY79" s="2533"/>
      <c r="AZ79" s="2537"/>
    </row>
    <row r="80" spans="2:52">
      <c r="B80" s="349"/>
      <c r="C80" s="339"/>
      <c r="D80" s="1384" t="s">
        <v>324</v>
      </c>
      <c r="E80" s="339"/>
      <c r="F80" s="339"/>
      <c r="G80" s="339"/>
      <c r="H80" s="339"/>
      <c r="I80" s="576" t="s">
        <v>498</v>
      </c>
      <c r="J80" s="297">
        <v>0</v>
      </c>
      <c r="K80" s="298">
        <v>0</v>
      </c>
      <c r="L80" s="298">
        <v>0</v>
      </c>
      <c r="M80" s="298">
        <v>0</v>
      </c>
      <c r="N80" s="298">
        <v>0</v>
      </c>
      <c r="O80" s="298">
        <v>0</v>
      </c>
      <c r="P80" s="298">
        <v>0</v>
      </c>
      <c r="Q80" s="299">
        <v>0</v>
      </c>
      <c r="R80" s="460">
        <v>0</v>
      </c>
      <c r="S80" s="298">
        <v>0</v>
      </c>
      <c r="T80" s="298">
        <v>0</v>
      </c>
      <c r="U80" s="298">
        <v>0</v>
      </c>
      <c r="V80" s="299">
        <v>0</v>
      </c>
      <c r="W80" s="339"/>
      <c r="X80" s="2533"/>
      <c r="Y80" s="2533"/>
      <c r="Z80" s="2533"/>
      <c r="AA80" s="2533"/>
      <c r="AB80" s="2533"/>
      <c r="AC80" s="2533"/>
      <c r="AD80" s="2533"/>
      <c r="AE80" s="2533"/>
      <c r="AF80" s="2533"/>
      <c r="AG80" s="2533"/>
      <c r="AH80" s="2533"/>
      <c r="AI80" s="2533"/>
      <c r="AJ80" s="2533"/>
      <c r="AK80" s="2533"/>
      <c r="AL80" s="339"/>
      <c r="AM80" s="2533"/>
      <c r="AN80" s="2533"/>
      <c r="AO80" s="2533"/>
      <c r="AP80" s="2533"/>
      <c r="AQ80" s="2533"/>
      <c r="AR80" s="2533"/>
      <c r="AS80" s="2533"/>
      <c r="AT80" s="2533"/>
      <c r="AU80" s="2533"/>
      <c r="AV80" s="2533"/>
      <c r="AW80" s="2533"/>
      <c r="AX80" s="2533"/>
      <c r="AY80" s="2533"/>
      <c r="AZ80" s="2537"/>
    </row>
    <row r="81" spans="2:52">
      <c r="B81" s="349"/>
      <c r="C81" s="339"/>
      <c r="D81" s="1384" t="s">
        <v>329</v>
      </c>
      <c r="E81" s="339"/>
      <c r="F81" s="339"/>
      <c r="G81" s="339"/>
      <c r="H81" s="339"/>
      <c r="I81" s="576" t="s">
        <v>498</v>
      </c>
      <c r="J81" s="297">
        <v>0</v>
      </c>
      <c r="K81" s="298">
        <v>0</v>
      </c>
      <c r="L81" s="298">
        <v>0</v>
      </c>
      <c r="M81" s="298">
        <v>0</v>
      </c>
      <c r="N81" s="298">
        <v>0</v>
      </c>
      <c r="O81" s="298">
        <v>0</v>
      </c>
      <c r="P81" s="298">
        <v>0</v>
      </c>
      <c r="Q81" s="299">
        <v>0</v>
      </c>
      <c r="R81" s="460">
        <v>0</v>
      </c>
      <c r="S81" s="298">
        <v>0</v>
      </c>
      <c r="T81" s="298">
        <v>0</v>
      </c>
      <c r="U81" s="298">
        <v>0</v>
      </c>
      <c r="V81" s="299">
        <v>0</v>
      </c>
      <c r="W81" s="339"/>
      <c r="X81" s="2533"/>
      <c r="Y81" s="2533"/>
      <c r="Z81" s="2533"/>
      <c r="AA81" s="2533"/>
      <c r="AB81" s="2533"/>
      <c r="AC81" s="2533"/>
      <c r="AD81" s="2533"/>
      <c r="AE81" s="2533"/>
      <c r="AF81" s="2533"/>
      <c r="AG81" s="2533"/>
      <c r="AH81" s="2533"/>
      <c r="AI81" s="2533"/>
      <c r="AJ81" s="2533"/>
      <c r="AK81" s="2533"/>
      <c r="AL81" s="339"/>
      <c r="AM81" s="2533"/>
      <c r="AN81" s="2533"/>
      <c r="AO81" s="2533"/>
      <c r="AP81" s="2533"/>
      <c r="AQ81" s="2533"/>
      <c r="AR81" s="2533"/>
      <c r="AS81" s="2533"/>
      <c r="AT81" s="2533"/>
      <c r="AU81" s="2533"/>
      <c r="AV81" s="2533"/>
      <c r="AW81" s="2533"/>
      <c r="AX81" s="2533"/>
      <c r="AY81" s="2533"/>
      <c r="AZ81" s="2537"/>
    </row>
    <row r="82" spans="2:52">
      <c r="B82" s="349"/>
      <c r="C82" s="339"/>
      <c r="D82" s="1384" t="s">
        <v>332</v>
      </c>
      <c r="E82" s="339"/>
      <c r="F82" s="339"/>
      <c r="G82" s="339"/>
      <c r="H82" s="339"/>
      <c r="I82" s="576" t="s">
        <v>498</v>
      </c>
      <c r="J82" s="297">
        <v>0</v>
      </c>
      <c r="K82" s="298">
        <v>0</v>
      </c>
      <c r="L82" s="298">
        <v>0</v>
      </c>
      <c r="M82" s="298">
        <v>0</v>
      </c>
      <c r="N82" s="298">
        <v>0</v>
      </c>
      <c r="O82" s="298">
        <v>0</v>
      </c>
      <c r="P82" s="298">
        <v>0</v>
      </c>
      <c r="Q82" s="299">
        <v>0</v>
      </c>
      <c r="R82" s="460">
        <v>0</v>
      </c>
      <c r="S82" s="298">
        <v>0</v>
      </c>
      <c r="T82" s="298">
        <v>0</v>
      </c>
      <c r="U82" s="298">
        <v>0</v>
      </c>
      <c r="V82" s="299">
        <v>0</v>
      </c>
      <c r="W82" s="339"/>
      <c r="X82" s="2533"/>
      <c r="Y82" s="2533"/>
      <c r="Z82" s="2533"/>
      <c r="AA82" s="2533"/>
      <c r="AB82" s="2533"/>
      <c r="AC82" s="2533"/>
      <c r="AD82" s="2533"/>
      <c r="AE82" s="2533"/>
      <c r="AF82" s="2533"/>
      <c r="AG82" s="2533"/>
      <c r="AH82" s="2533"/>
      <c r="AI82" s="2533"/>
      <c r="AJ82" s="2533"/>
      <c r="AK82" s="2533"/>
      <c r="AL82" s="339"/>
      <c r="AM82" s="2533"/>
      <c r="AN82" s="2533"/>
      <c r="AO82" s="2533"/>
      <c r="AP82" s="2533"/>
      <c r="AQ82" s="2533"/>
      <c r="AR82" s="2533"/>
      <c r="AS82" s="2533"/>
      <c r="AT82" s="2533"/>
      <c r="AU82" s="2533"/>
      <c r="AV82" s="2533"/>
      <c r="AW82" s="2533"/>
      <c r="AX82" s="2533"/>
      <c r="AY82" s="2533"/>
      <c r="AZ82" s="2537"/>
    </row>
    <row r="83" spans="2:52">
      <c r="B83" s="349"/>
      <c r="C83" s="339"/>
      <c r="D83" s="1384" t="s">
        <v>1871</v>
      </c>
      <c r="E83" s="339"/>
      <c r="F83" s="339"/>
      <c r="G83" s="339"/>
      <c r="H83" s="339"/>
      <c r="I83" s="576" t="s">
        <v>498</v>
      </c>
      <c r="J83" s="297">
        <v>0</v>
      </c>
      <c r="K83" s="298">
        <v>0</v>
      </c>
      <c r="L83" s="298">
        <v>0</v>
      </c>
      <c r="M83" s="298">
        <v>0</v>
      </c>
      <c r="N83" s="298">
        <v>0</v>
      </c>
      <c r="O83" s="298">
        <v>0</v>
      </c>
      <c r="P83" s="298">
        <v>0</v>
      </c>
      <c r="Q83" s="299">
        <v>0</v>
      </c>
      <c r="R83" s="460">
        <v>0</v>
      </c>
      <c r="S83" s="298">
        <v>0</v>
      </c>
      <c r="T83" s="298">
        <v>0</v>
      </c>
      <c r="U83" s="298">
        <v>0</v>
      </c>
      <c r="V83" s="299">
        <v>0</v>
      </c>
      <c r="W83" s="339"/>
      <c r="X83" s="2533"/>
      <c r="Y83" s="2533"/>
      <c r="Z83" s="2533"/>
      <c r="AA83" s="2533"/>
      <c r="AB83" s="2533"/>
      <c r="AC83" s="2533"/>
      <c r="AD83" s="2533"/>
      <c r="AE83" s="2533"/>
      <c r="AF83" s="2533"/>
      <c r="AG83" s="2533"/>
      <c r="AH83" s="2533"/>
      <c r="AI83" s="2533"/>
      <c r="AJ83" s="2533"/>
      <c r="AK83" s="2533"/>
      <c r="AL83" s="339"/>
      <c r="AM83" s="2533"/>
      <c r="AN83" s="2533"/>
      <c r="AO83" s="2533"/>
      <c r="AP83" s="2533"/>
      <c r="AQ83" s="2533"/>
      <c r="AR83" s="2533"/>
      <c r="AS83" s="2533"/>
      <c r="AT83" s="2533"/>
      <c r="AU83" s="2533"/>
      <c r="AV83" s="2533"/>
      <c r="AW83" s="2533"/>
      <c r="AX83" s="2533"/>
      <c r="AY83" s="2533"/>
      <c r="AZ83" s="2537"/>
    </row>
    <row r="84" spans="2:52">
      <c r="B84" s="349"/>
      <c r="C84" s="339"/>
      <c r="D84" s="1384" t="s">
        <v>1872</v>
      </c>
      <c r="E84" s="339"/>
      <c r="F84" s="339"/>
      <c r="G84" s="339"/>
      <c r="H84" s="339"/>
      <c r="I84" s="576" t="s">
        <v>498</v>
      </c>
      <c r="J84" s="297">
        <v>0</v>
      </c>
      <c r="K84" s="298">
        <v>0</v>
      </c>
      <c r="L84" s="298">
        <v>0</v>
      </c>
      <c r="M84" s="298">
        <v>0</v>
      </c>
      <c r="N84" s="298">
        <v>0</v>
      </c>
      <c r="O84" s="298">
        <v>0</v>
      </c>
      <c r="P84" s="298">
        <v>0</v>
      </c>
      <c r="Q84" s="299">
        <v>0</v>
      </c>
      <c r="R84" s="460">
        <v>0</v>
      </c>
      <c r="S84" s="298">
        <v>0</v>
      </c>
      <c r="T84" s="298">
        <v>0</v>
      </c>
      <c r="U84" s="298">
        <v>0</v>
      </c>
      <c r="V84" s="299">
        <v>0</v>
      </c>
      <c r="W84" s="339"/>
      <c r="X84" s="2533"/>
      <c r="Y84" s="2533"/>
      <c r="Z84" s="2533"/>
      <c r="AA84" s="2533"/>
      <c r="AB84" s="2533"/>
      <c r="AC84" s="2533"/>
      <c r="AD84" s="2533"/>
      <c r="AE84" s="2533"/>
      <c r="AF84" s="2533"/>
      <c r="AG84" s="2533"/>
      <c r="AH84" s="2533"/>
      <c r="AI84" s="2533"/>
      <c r="AJ84" s="2533"/>
      <c r="AK84" s="2533"/>
      <c r="AL84" s="339"/>
      <c r="AM84" s="2533"/>
      <c r="AN84" s="2533"/>
      <c r="AO84" s="2533"/>
      <c r="AP84" s="2533"/>
      <c r="AQ84" s="2533"/>
      <c r="AR84" s="2533"/>
      <c r="AS84" s="2533"/>
      <c r="AT84" s="2533"/>
      <c r="AU84" s="2533"/>
      <c r="AV84" s="2533"/>
      <c r="AW84" s="2533"/>
      <c r="AX84" s="2533"/>
      <c r="AY84" s="2533"/>
      <c r="AZ84" s="2537"/>
    </row>
    <row r="85" spans="2:52" ht="15">
      <c r="B85" s="349"/>
      <c r="C85" s="339" t="s">
        <v>1710</v>
      </c>
      <c r="D85" s="1384"/>
      <c r="E85" s="591"/>
      <c r="F85" s="591"/>
      <c r="G85" s="339"/>
      <c r="H85" s="259"/>
      <c r="I85" s="576" t="s">
        <v>498</v>
      </c>
      <c r="J85" s="302">
        <f>SUM(J79:J84)</f>
        <v>1.5036287407601912</v>
      </c>
      <c r="K85" s="303">
        <f t="shared" ref="K85" si="71">SUM(K79:K84)</f>
        <v>1.9592434671102825</v>
      </c>
      <c r="L85" s="303">
        <f t="shared" ref="L85" si="72">SUM(L79:L84)</f>
        <v>2.29525760895792</v>
      </c>
      <c r="M85" s="303">
        <f t="shared" ref="M85" si="73">SUM(M79:M84)</f>
        <v>2.5096063191862998</v>
      </c>
      <c r="N85" s="303">
        <f t="shared" ref="N85" si="74">SUM(N79:N84)</f>
        <v>2.6531081366651388</v>
      </c>
      <c r="O85" s="303">
        <f t="shared" ref="O85" si="75">SUM(O79:O84)</f>
        <v>2.5876502982658343</v>
      </c>
      <c r="P85" s="303">
        <f t="shared" ref="P85" si="76">SUM(P79:P84)</f>
        <v>2.5876502982658343</v>
      </c>
      <c r="Q85" s="304">
        <f t="shared" ref="Q85" si="77">SUM(Q79:Q84)</f>
        <v>2.5876502982658343</v>
      </c>
      <c r="R85" s="771">
        <f t="shared" ref="R85" si="78">SUM(R79:R84)</f>
        <v>2.574712046774505</v>
      </c>
      <c r="S85" s="303">
        <f t="shared" ref="S85" si="79">SUM(S79:S84)</f>
        <v>2.5618384865406321</v>
      </c>
      <c r="T85" s="303">
        <f t="shared" ref="T85" si="80">SUM(T79:T84)</f>
        <v>2.5490292941079287</v>
      </c>
      <c r="U85" s="303">
        <f t="shared" ref="U85" si="81">SUM(U79:U84)</f>
        <v>2.5362841476373892</v>
      </c>
      <c r="V85" s="304">
        <f t="shared" ref="V85" si="82">SUM(V79:V84)</f>
        <v>2.5236027268992025</v>
      </c>
      <c r="W85" s="259"/>
      <c r="X85" s="2535"/>
      <c r="Y85" s="2535"/>
      <c r="Z85" s="2535"/>
      <c r="AA85" s="2535"/>
      <c r="AB85" s="2535"/>
      <c r="AC85" s="2535"/>
      <c r="AD85" s="2535"/>
      <c r="AE85" s="2535"/>
      <c r="AF85" s="2535"/>
      <c r="AG85" s="2535"/>
      <c r="AH85" s="2535"/>
      <c r="AI85" s="2535"/>
      <c r="AJ85" s="2535"/>
      <c r="AK85" s="2535"/>
      <c r="AL85" s="259"/>
      <c r="AM85" s="2535"/>
      <c r="AN85" s="2535"/>
      <c r="AO85" s="2535"/>
      <c r="AP85" s="2535"/>
      <c r="AQ85" s="2535"/>
      <c r="AR85" s="2535"/>
      <c r="AS85" s="2535"/>
      <c r="AT85" s="2535"/>
      <c r="AU85" s="2535"/>
      <c r="AV85" s="2535"/>
      <c r="AW85" s="2535"/>
      <c r="AX85" s="2535"/>
      <c r="AY85" s="2535"/>
      <c r="AZ85" s="2538"/>
    </row>
    <row r="86" spans="2:52">
      <c r="B86" s="349"/>
      <c r="C86" s="339"/>
      <c r="D86" s="339"/>
      <c r="E86" s="339"/>
      <c r="F86" s="339"/>
      <c r="G86" s="339"/>
      <c r="H86" s="339"/>
      <c r="I86" s="339"/>
      <c r="J86" s="349"/>
      <c r="K86" s="339"/>
      <c r="L86" s="339"/>
      <c r="M86" s="339"/>
      <c r="N86" s="339"/>
      <c r="O86" s="339"/>
      <c r="P86" s="339"/>
      <c r="Q86" s="353"/>
      <c r="R86" s="339"/>
      <c r="S86" s="339"/>
      <c r="T86" s="339"/>
      <c r="U86" s="339"/>
      <c r="V86" s="353"/>
      <c r="W86" s="339"/>
      <c r="X86" s="2533"/>
      <c r="Y86" s="2533"/>
      <c r="Z86" s="2533"/>
      <c r="AA86" s="2533"/>
      <c r="AB86" s="2533"/>
      <c r="AC86" s="2533"/>
      <c r="AD86" s="2533"/>
      <c r="AE86" s="2533"/>
      <c r="AF86" s="2533"/>
      <c r="AG86" s="2533"/>
      <c r="AH86" s="2533"/>
      <c r="AI86" s="2533"/>
      <c r="AJ86" s="2533"/>
      <c r="AK86" s="2533"/>
      <c r="AL86" s="339"/>
      <c r="AM86" s="2533"/>
      <c r="AN86" s="2533"/>
      <c r="AO86" s="2533"/>
      <c r="AP86" s="2533"/>
      <c r="AQ86" s="2533"/>
      <c r="AR86" s="2533"/>
      <c r="AS86" s="2533"/>
      <c r="AT86" s="2533"/>
      <c r="AU86" s="2533"/>
      <c r="AV86" s="2533"/>
      <c r="AW86" s="2533"/>
      <c r="AX86" s="2533"/>
      <c r="AY86" s="2533"/>
      <c r="AZ86" s="2537"/>
    </row>
    <row r="87" spans="2:52" ht="15">
      <c r="B87" s="349"/>
      <c r="C87" s="623" t="s">
        <v>1880</v>
      </c>
      <c r="D87" s="339"/>
      <c r="E87" s="339"/>
      <c r="F87" s="339"/>
      <c r="G87" s="339"/>
      <c r="H87" s="339"/>
      <c r="I87" s="339"/>
      <c r="J87" s="349"/>
      <c r="K87" s="339"/>
      <c r="L87" s="339"/>
      <c r="M87" s="339"/>
      <c r="N87" s="339"/>
      <c r="O87" s="339"/>
      <c r="P87" s="339"/>
      <c r="Q87" s="353"/>
      <c r="R87" s="339"/>
      <c r="S87" s="339"/>
      <c r="T87" s="339"/>
      <c r="U87" s="339"/>
      <c r="V87" s="353"/>
      <c r="W87" s="339"/>
      <c r="X87" s="2533"/>
      <c r="Y87" s="2533"/>
      <c r="Z87" s="2533"/>
      <c r="AA87" s="2533"/>
      <c r="AB87" s="2533"/>
      <c r="AC87" s="2533"/>
      <c r="AD87" s="2533"/>
      <c r="AE87" s="2533"/>
      <c r="AF87" s="2533"/>
      <c r="AG87" s="2533"/>
      <c r="AH87" s="2533"/>
      <c r="AI87" s="2533"/>
      <c r="AJ87" s="2533"/>
      <c r="AK87" s="2533"/>
      <c r="AL87" s="339"/>
      <c r="AM87" s="2533"/>
      <c r="AN87" s="2533"/>
      <c r="AO87" s="2533"/>
      <c r="AP87" s="2533"/>
      <c r="AQ87" s="2533"/>
      <c r="AR87" s="2533"/>
      <c r="AS87" s="2533"/>
      <c r="AT87" s="2533"/>
      <c r="AU87" s="2533"/>
      <c r="AV87" s="2533"/>
      <c r="AW87" s="2533"/>
      <c r="AX87" s="2533"/>
      <c r="AY87" s="2533"/>
      <c r="AZ87" s="2537"/>
    </row>
    <row r="88" spans="2:52">
      <c r="B88" s="349"/>
      <c r="C88" s="339"/>
      <c r="D88" s="1384" t="s">
        <v>315</v>
      </c>
      <c r="E88" s="339"/>
      <c r="F88" s="339"/>
      <c r="G88" s="339"/>
      <c r="H88" s="339"/>
      <c r="I88" s="576" t="s">
        <v>498</v>
      </c>
      <c r="J88" s="297">
        <v>1.6565755384967615</v>
      </c>
      <c r="K88" s="298">
        <v>1.6631487621750989</v>
      </c>
      <c r="L88" s="298">
        <v>1.5918757087720243</v>
      </c>
      <c r="M88" s="298">
        <v>1.7134553489616804</v>
      </c>
      <c r="N88" s="298">
        <v>1.6952091852723723</v>
      </c>
      <c r="O88" s="298">
        <v>1.8189473368005558</v>
      </c>
      <c r="P88" s="298">
        <v>1.8189473368005558</v>
      </c>
      <c r="Q88" s="299">
        <v>1.8189473368005558</v>
      </c>
      <c r="R88" s="460">
        <v>1.8098526001165531</v>
      </c>
      <c r="S88" s="298">
        <v>1.8008033371159702</v>
      </c>
      <c r="T88" s="298">
        <v>1.7917993204303901</v>
      </c>
      <c r="U88" s="298">
        <v>1.7828403238282382</v>
      </c>
      <c r="V88" s="299">
        <v>1.7739261222090972</v>
      </c>
      <c r="W88" s="339"/>
      <c r="X88" s="2533"/>
      <c r="Y88" s="2533"/>
      <c r="Z88" s="2533"/>
      <c r="AA88" s="2533"/>
      <c r="AB88" s="2533"/>
      <c r="AC88" s="2533"/>
      <c r="AD88" s="2533"/>
      <c r="AE88" s="2533"/>
      <c r="AF88" s="2533"/>
      <c r="AG88" s="2533"/>
      <c r="AH88" s="2533"/>
      <c r="AI88" s="2533"/>
      <c r="AJ88" s="2533"/>
      <c r="AK88" s="2533"/>
      <c r="AL88" s="339"/>
      <c r="AM88" s="2533"/>
      <c r="AN88" s="2533"/>
      <c r="AO88" s="2533"/>
      <c r="AP88" s="2533"/>
      <c r="AQ88" s="2533"/>
      <c r="AR88" s="2533"/>
      <c r="AS88" s="2533"/>
      <c r="AT88" s="2533"/>
      <c r="AU88" s="2533"/>
      <c r="AV88" s="2533"/>
      <c r="AW88" s="2533"/>
      <c r="AX88" s="2533"/>
      <c r="AY88" s="2533"/>
      <c r="AZ88" s="2537"/>
    </row>
    <row r="89" spans="2:52">
      <c r="B89" s="349"/>
      <c r="C89" s="339"/>
      <c r="D89" s="1384" t="s">
        <v>324</v>
      </c>
      <c r="E89" s="339"/>
      <c r="F89" s="339"/>
      <c r="G89" s="339"/>
      <c r="H89" s="339"/>
      <c r="I89" s="576" t="s">
        <v>498</v>
      </c>
      <c r="J89" s="297">
        <v>0</v>
      </c>
      <c r="K89" s="298">
        <v>0</v>
      </c>
      <c r="L89" s="298">
        <v>0</v>
      </c>
      <c r="M89" s="298">
        <v>0</v>
      </c>
      <c r="N89" s="298">
        <v>0</v>
      </c>
      <c r="O89" s="298">
        <v>0</v>
      </c>
      <c r="P89" s="298">
        <v>0</v>
      </c>
      <c r="Q89" s="299">
        <v>0</v>
      </c>
      <c r="R89" s="460">
        <v>0</v>
      </c>
      <c r="S89" s="298">
        <v>0</v>
      </c>
      <c r="T89" s="298">
        <v>0</v>
      </c>
      <c r="U89" s="298">
        <v>0</v>
      </c>
      <c r="V89" s="299">
        <v>0</v>
      </c>
      <c r="W89" s="339"/>
      <c r="X89" s="2533"/>
      <c r="Y89" s="2533"/>
      <c r="Z89" s="2533"/>
      <c r="AA89" s="2533"/>
      <c r="AB89" s="2533"/>
      <c r="AC89" s="2533"/>
      <c r="AD89" s="2533"/>
      <c r="AE89" s="2533"/>
      <c r="AF89" s="2533"/>
      <c r="AG89" s="2533"/>
      <c r="AH89" s="2533"/>
      <c r="AI89" s="2533"/>
      <c r="AJ89" s="2533"/>
      <c r="AK89" s="2533"/>
      <c r="AL89" s="339"/>
      <c r="AM89" s="2533"/>
      <c r="AN89" s="2533"/>
      <c r="AO89" s="2533"/>
      <c r="AP89" s="2533"/>
      <c r="AQ89" s="2533"/>
      <c r="AR89" s="2533"/>
      <c r="AS89" s="2533"/>
      <c r="AT89" s="2533"/>
      <c r="AU89" s="2533"/>
      <c r="AV89" s="2533"/>
      <c r="AW89" s="2533"/>
      <c r="AX89" s="2533"/>
      <c r="AY89" s="2533"/>
      <c r="AZ89" s="2537"/>
    </row>
    <row r="90" spans="2:52">
      <c r="B90" s="349"/>
      <c r="C90" s="339"/>
      <c r="D90" s="1384" t="s">
        <v>329</v>
      </c>
      <c r="E90" s="339"/>
      <c r="F90" s="339"/>
      <c r="G90" s="339"/>
      <c r="H90" s="339"/>
      <c r="I90" s="576" t="s">
        <v>498</v>
      </c>
      <c r="J90" s="297">
        <v>0</v>
      </c>
      <c r="K90" s="298">
        <v>0</v>
      </c>
      <c r="L90" s="298">
        <v>0</v>
      </c>
      <c r="M90" s="298">
        <v>0</v>
      </c>
      <c r="N90" s="298">
        <v>0</v>
      </c>
      <c r="O90" s="298">
        <v>0</v>
      </c>
      <c r="P90" s="298">
        <v>0</v>
      </c>
      <c r="Q90" s="299">
        <v>0</v>
      </c>
      <c r="R90" s="460">
        <v>0</v>
      </c>
      <c r="S90" s="298">
        <v>0</v>
      </c>
      <c r="T90" s="298">
        <v>0</v>
      </c>
      <c r="U90" s="298">
        <v>0</v>
      </c>
      <c r="V90" s="299">
        <v>0</v>
      </c>
      <c r="W90" s="339"/>
      <c r="X90" s="2533"/>
      <c r="Y90" s="2533"/>
      <c r="Z90" s="2533"/>
      <c r="AA90" s="2533"/>
      <c r="AB90" s="2533"/>
      <c r="AC90" s="2533"/>
      <c r="AD90" s="2533"/>
      <c r="AE90" s="2533"/>
      <c r="AF90" s="2533"/>
      <c r="AG90" s="2533"/>
      <c r="AH90" s="2533"/>
      <c r="AI90" s="2533"/>
      <c r="AJ90" s="2533"/>
      <c r="AK90" s="2533"/>
      <c r="AL90" s="339"/>
      <c r="AM90" s="2533"/>
      <c r="AN90" s="2533"/>
      <c r="AO90" s="2533"/>
      <c r="AP90" s="2533"/>
      <c r="AQ90" s="2533"/>
      <c r="AR90" s="2533"/>
      <c r="AS90" s="2533"/>
      <c r="AT90" s="2533"/>
      <c r="AU90" s="2533"/>
      <c r="AV90" s="2533"/>
      <c r="AW90" s="2533"/>
      <c r="AX90" s="2533"/>
      <c r="AY90" s="2533"/>
      <c r="AZ90" s="2537"/>
    </row>
    <row r="91" spans="2:52">
      <c r="B91" s="349"/>
      <c r="C91" s="339"/>
      <c r="D91" s="1384" t="s">
        <v>332</v>
      </c>
      <c r="E91" s="339"/>
      <c r="F91" s="339"/>
      <c r="G91" s="339"/>
      <c r="H91" s="339"/>
      <c r="I91" s="576" t="s">
        <v>498</v>
      </c>
      <c r="J91" s="297">
        <v>0</v>
      </c>
      <c r="K91" s="298">
        <v>0</v>
      </c>
      <c r="L91" s="298">
        <v>0</v>
      </c>
      <c r="M91" s="298">
        <v>0</v>
      </c>
      <c r="N91" s="298">
        <v>0</v>
      </c>
      <c r="O91" s="298">
        <v>0</v>
      </c>
      <c r="P91" s="298">
        <v>0</v>
      </c>
      <c r="Q91" s="299">
        <v>0</v>
      </c>
      <c r="R91" s="460">
        <v>0</v>
      </c>
      <c r="S91" s="298">
        <v>0</v>
      </c>
      <c r="T91" s="298">
        <v>0</v>
      </c>
      <c r="U91" s="298">
        <v>0</v>
      </c>
      <c r="V91" s="299">
        <v>0</v>
      </c>
      <c r="W91" s="339"/>
      <c r="X91" s="2533"/>
      <c r="Y91" s="2533"/>
      <c r="Z91" s="2533"/>
      <c r="AA91" s="2533"/>
      <c r="AB91" s="2533"/>
      <c r="AC91" s="2533"/>
      <c r="AD91" s="2533"/>
      <c r="AE91" s="2533"/>
      <c r="AF91" s="2533"/>
      <c r="AG91" s="2533"/>
      <c r="AH91" s="2533"/>
      <c r="AI91" s="2533"/>
      <c r="AJ91" s="2533"/>
      <c r="AK91" s="2533"/>
      <c r="AL91" s="339"/>
      <c r="AM91" s="2533"/>
      <c r="AN91" s="2533"/>
      <c r="AO91" s="2533"/>
      <c r="AP91" s="2533"/>
      <c r="AQ91" s="2533"/>
      <c r="AR91" s="2533"/>
      <c r="AS91" s="2533"/>
      <c r="AT91" s="2533"/>
      <c r="AU91" s="2533"/>
      <c r="AV91" s="2533"/>
      <c r="AW91" s="2533"/>
      <c r="AX91" s="2533"/>
      <c r="AY91" s="2533"/>
      <c r="AZ91" s="2537"/>
    </row>
    <row r="92" spans="2:52">
      <c r="B92" s="349"/>
      <c r="C92" s="339"/>
      <c r="D92" s="1384" t="s">
        <v>1871</v>
      </c>
      <c r="E92" s="339"/>
      <c r="F92" s="339"/>
      <c r="G92" s="339"/>
      <c r="H92" s="339"/>
      <c r="I92" s="576" t="s">
        <v>498</v>
      </c>
      <c r="J92" s="297">
        <v>0</v>
      </c>
      <c r="K92" s="298">
        <v>0</v>
      </c>
      <c r="L92" s="298">
        <v>0</v>
      </c>
      <c r="M92" s="298">
        <v>0</v>
      </c>
      <c r="N92" s="298">
        <v>0</v>
      </c>
      <c r="O92" s="298">
        <v>0</v>
      </c>
      <c r="P92" s="298">
        <v>0</v>
      </c>
      <c r="Q92" s="299">
        <v>0</v>
      </c>
      <c r="R92" s="460">
        <v>0</v>
      </c>
      <c r="S92" s="298">
        <v>0</v>
      </c>
      <c r="T92" s="298">
        <v>0</v>
      </c>
      <c r="U92" s="298">
        <v>0</v>
      </c>
      <c r="V92" s="299">
        <v>0</v>
      </c>
      <c r="W92" s="339"/>
      <c r="X92" s="2533"/>
      <c r="Y92" s="2533"/>
      <c r="Z92" s="2533"/>
      <c r="AA92" s="2533"/>
      <c r="AB92" s="2533"/>
      <c r="AC92" s="2533"/>
      <c r="AD92" s="2533"/>
      <c r="AE92" s="2533"/>
      <c r="AF92" s="2533"/>
      <c r="AG92" s="2533"/>
      <c r="AH92" s="2533"/>
      <c r="AI92" s="2533"/>
      <c r="AJ92" s="2533"/>
      <c r="AK92" s="2533"/>
      <c r="AL92" s="339"/>
      <c r="AM92" s="2533"/>
      <c r="AN92" s="2533"/>
      <c r="AO92" s="2533"/>
      <c r="AP92" s="2533"/>
      <c r="AQ92" s="2533"/>
      <c r="AR92" s="2533"/>
      <c r="AS92" s="2533"/>
      <c r="AT92" s="2533"/>
      <c r="AU92" s="2533"/>
      <c r="AV92" s="2533"/>
      <c r="AW92" s="2533"/>
      <c r="AX92" s="2533"/>
      <c r="AY92" s="2533"/>
      <c r="AZ92" s="2537"/>
    </row>
    <row r="93" spans="2:52">
      <c r="B93" s="349"/>
      <c r="C93" s="339"/>
      <c r="D93" s="1384" t="s">
        <v>1872</v>
      </c>
      <c r="E93" s="339"/>
      <c r="F93" s="339"/>
      <c r="G93" s="339"/>
      <c r="H93" s="339"/>
      <c r="I93" s="576" t="s">
        <v>498</v>
      </c>
      <c r="J93" s="297">
        <v>0</v>
      </c>
      <c r="K93" s="298">
        <v>0</v>
      </c>
      <c r="L93" s="298">
        <v>0</v>
      </c>
      <c r="M93" s="298">
        <v>0</v>
      </c>
      <c r="N93" s="298">
        <v>0</v>
      </c>
      <c r="O93" s="298">
        <v>0</v>
      </c>
      <c r="P93" s="298">
        <v>0</v>
      </c>
      <c r="Q93" s="299">
        <v>0</v>
      </c>
      <c r="R93" s="460">
        <v>0</v>
      </c>
      <c r="S93" s="298">
        <v>0</v>
      </c>
      <c r="T93" s="298">
        <v>0</v>
      </c>
      <c r="U93" s="298">
        <v>0</v>
      </c>
      <c r="V93" s="299">
        <v>0</v>
      </c>
      <c r="W93" s="339"/>
      <c r="X93" s="2533"/>
      <c r="Y93" s="2533"/>
      <c r="Z93" s="2533"/>
      <c r="AA93" s="2533"/>
      <c r="AB93" s="2533"/>
      <c r="AC93" s="2533"/>
      <c r="AD93" s="2533"/>
      <c r="AE93" s="2533"/>
      <c r="AF93" s="2533"/>
      <c r="AG93" s="2533"/>
      <c r="AH93" s="2533"/>
      <c r="AI93" s="2533"/>
      <c r="AJ93" s="2533"/>
      <c r="AK93" s="2533"/>
      <c r="AL93" s="339"/>
      <c r="AM93" s="2533"/>
      <c r="AN93" s="2533"/>
      <c r="AO93" s="2533"/>
      <c r="AP93" s="2533"/>
      <c r="AQ93" s="2533"/>
      <c r="AR93" s="2533"/>
      <c r="AS93" s="2533"/>
      <c r="AT93" s="2533"/>
      <c r="AU93" s="2533"/>
      <c r="AV93" s="2533"/>
      <c r="AW93" s="2533"/>
      <c r="AX93" s="2533"/>
      <c r="AY93" s="2533"/>
      <c r="AZ93" s="2537"/>
    </row>
    <row r="94" spans="2:52" ht="15.75" thickBot="1">
      <c r="B94" s="357"/>
      <c r="C94" s="358" t="s">
        <v>1710</v>
      </c>
      <c r="D94" s="1385"/>
      <c r="E94" s="1386"/>
      <c r="F94" s="1386"/>
      <c r="G94" s="358"/>
      <c r="H94" s="300"/>
      <c r="I94" s="581" t="s">
        <v>498</v>
      </c>
      <c r="J94" s="1110">
        <f>SUM(J88:J93)</f>
        <v>1.6565755384967615</v>
      </c>
      <c r="K94" s="1111">
        <f t="shared" ref="K94" si="83">SUM(K88:K93)</f>
        <v>1.6631487621750989</v>
      </c>
      <c r="L94" s="1111">
        <f t="shared" ref="L94" si="84">SUM(L88:L93)</f>
        <v>1.5918757087720243</v>
      </c>
      <c r="M94" s="1111">
        <f t="shared" ref="M94" si="85">SUM(M88:M93)</f>
        <v>1.7134553489616804</v>
      </c>
      <c r="N94" s="1111">
        <f t="shared" ref="N94" si="86">SUM(N88:N93)</f>
        <v>1.6952091852723723</v>
      </c>
      <c r="O94" s="1111">
        <f t="shared" ref="O94" si="87">SUM(O88:O93)</f>
        <v>1.8189473368005558</v>
      </c>
      <c r="P94" s="1111">
        <f t="shared" ref="P94" si="88">SUM(P88:P93)</f>
        <v>1.8189473368005558</v>
      </c>
      <c r="Q94" s="1112">
        <f t="shared" ref="Q94" si="89">SUM(Q88:Q93)</f>
        <v>1.8189473368005558</v>
      </c>
      <c r="R94" s="1387">
        <f t="shared" ref="R94" si="90">SUM(R88:R93)</f>
        <v>1.8098526001165531</v>
      </c>
      <c r="S94" s="1111">
        <f t="shared" ref="S94" si="91">SUM(S88:S93)</f>
        <v>1.8008033371159702</v>
      </c>
      <c r="T94" s="1111">
        <f t="shared" ref="T94" si="92">SUM(T88:T93)</f>
        <v>1.7917993204303901</v>
      </c>
      <c r="U94" s="1111">
        <f t="shared" ref="U94" si="93">SUM(U88:U93)</f>
        <v>1.7828403238282382</v>
      </c>
      <c r="V94" s="1112">
        <f t="shared" ref="V94" si="94">SUM(V88:V93)</f>
        <v>1.7739261222090972</v>
      </c>
      <c r="W94" s="300"/>
      <c r="X94" s="2536"/>
      <c r="Y94" s="2536"/>
      <c r="Z94" s="2536"/>
      <c r="AA94" s="2536"/>
      <c r="AB94" s="2536"/>
      <c r="AC94" s="2536"/>
      <c r="AD94" s="2536"/>
      <c r="AE94" s="2536"/>
      <c r="AF94" s="2536"/>
      <c r="AG94" s="2536"/>
      <c r="AH94" s="2536"/>
      <c r="AI94" s="2536"/>
      <c r="AJ94" s="2536"/>
      <c r="AK94" s="2536"/>
      <c r="AL94" s="300"/>
      <c r="AM94" s="2536"/>
      <c r="AN94" s="2536"/>
      <c r="AO94" s="2536"/>
      <c r="AP94" s="2536"/>
      <c r="AQ94" s="2536"/>
      <c r="AR94" s="2536"/>
      <c r="AS94" s="2536"/>
      <c r="AT94" s="2536"/>
      <c r="AU94" s="2536"/>
      <c r="AV94" s="2536"/>
      <c r="AW94" s="2536"/>
      <c r="AX94" s="2536"/>
      <c r="AY94" s="2536"/>
      <c r="AZ94" s="2539"/>
    </row>
    <row r="95" spans="2:52" ht="15" thickBot="1"/>
    <row r="96" spans="2:52" ht="30" customHeight="1" thickBot="1">
      <c r="B96" s="640" t="s">
        <v>1718</v>
      </c>
      <c r="C96" s="558"/>
      <c r="D96" s="558"/>
      <c r="E96" s="558"/>
      <c r="F96" s="558"/>
      <c r="G96" s="559"/>
      <c r="H96" s="294"/>
      <c r="I96" s="105" t="s">
        <v>1864</v>
      </c>
      <c r="J96" s="106"/>
      <c r="K96" s="106"/>
      <c r="L96" s="106"/>
      <c r="M96" s="106"/>
      <c r="N96" s="106"/>
      <c r="O96" s="106"/>
      <c r="P96" s="106"/>
      <c r="Q96" s="106"/>
      <c r="R96" s="105"/>
      <c r="S96" s="105"/>
      <c r="T96" s="105"/>
      <c r="U96" s="105"/>
      <c r="V96" s="187"/>
      <c r="W96" s="294"/>
      <c r="X96" s="105" t="s">
        <v>1867</v>
      </c>
      <c r="Y96" s="106"/>
      <c r="Z96" s="106"/>
      <c r="AA96" s="106"/>
      <c r="AB96" s="106"/>
      <c r="AC96" s="106"/>
      <c r="AD96" s="106"/>
      <c r="AE96" s="106"/>
      <c r="AF96" s="106"/>
      <c r="AG96" s="105"/>
      <c r="AH96" s="105"/>
      <c r="AI96" s="105"/>
      <c r="AJ96" s="105"/>
      <c r="AK96" s="187"/>
      <c r="AL96" s="294"/>
      <c r="AM96" s="105" t="s">
        <v>1868</v>
      </c>
      <c r="AN96" s="106"/>
      <c r="AO96" s="106"/>
      <c r="AP96" s="106"/>
      <c r="AQ96" s="106"/>
      <c r="AR96" s="106"/>
      <c r="AS96" s="106"/>
      <c r="AT96" s="106"/>
      <c r="AU96" s="106"/>
      <c r="AV96" s="105"/>
      <c r="AW96" s="105"/>
      <c r="AX96" s="105"/>
      <c r="AY96" s="105"/>
      <c r="AZ96" s="187"/>
    </row>
    <row r="97" spans="2:52" ht="30" customHeight="1">
      <c r="B97" s="560"/>
      <c r="C97" s="561"/>
      <c r="D97" s="561"/>
      <c r="E97" s="561"/>
      <c r="F97" s="561"/>
      <c r="G97" s="561"/>
      <c r="H97" s="259"/>
      <c r="I97" s="562"/>
      <c r="J97" s="563" t="s">
        <v>1666</v>
      </c>
      <c r="K97" s="564"/>
      <c r="L97" s="564"/>
      <c r="M97" s="564"/>
      <c r="N97" s="564"/>
      <c r="O97" s="564"/>
      <c r="P97" s="564"/>
      <c r="Q97" s="565"/>
      <c r="R97" s="567" t="s">
        <v>2</v>
      </c>
      <c r="S97" s="567"/>
      <c r="T97" s="567"/>
      <c r="U97" s="567"/>
      <c r="V97" s="568"/>
      <c r="W97" s="259"/>
      <c r="X97" s="562"/>
      <c r="Y97" s="563" t="s">
        <v>1666</v>
      </c>
      <c r="Z97" s="564"/>
      <c r="AA97" s="564"/>
      <c r="AB97" s="564"/>
      <c r="AC97" s="564"/>
      <c r="AD97" s="564"/>
      <c r="AE97" s="564"/>
      <c r="AF97" s="565"/>
      <c r="AG97" s="567" t="s">
        <v>2</v>
      </c>
      <c r="AH97" s="567"/>
      <c r="AI97" s="567"/>
      <c r="AJ97" s="567"/>
      <c r="AK97" s="568"/>
      <c r="AL97" s="259"/>
      <c r="AM97" s="562"/>
      <c r="AN97" s="563" t="s">
        <v>1666</v>
      </c>
      <c r="AO97" s="564"/>
      <c r="AP97" s="564"/>
      <c r="AQ97" s="564"/>
      <c r="AR97" s="564"/>
      <c r="AS97" s="564"/>
      <c r="AT97" s="564"/>
      <c r="AU97" s="565"/>
      <c r="AV97" s="567" t="s">
        <v>2</v>
      </c>
      <c r="AW97" s="567"/>
      <c r="AX97" s="567"/>
      <c r="AY97" s="567"/>
      <c r="AZ97" s="568"/>
    </row>
    <row r="98" spans="2:52" ht="15">
      <c r="B98" s="572"/>
      <c r="C98" s="339"/>
      <c r="D98" s="339"/>
      <c r="E98" s="339"/>
      <c r="F98" s="339"/>
      <c r="G98" s="339"/>
      <c r="H98" s="259"/>
      <c r="I98" s="571" t="s">
        <v>1745</v>
      </c>
      <c r="J98" s="158" t="s">
        <v>453</v>
      </c>
      <c r="K98" s="137" t="s">
        <v>455</v>
      </c>
      <c r="L98" s="137" t="s">
        <v>457</v>
      </c>
      <c r="M98" s="137" t="s">
        <v>459</v>
      </c>
      <c r="N98" s="137" t="s">
        <v>461</v>
      </c>
      <c r="O98" s="137" t="s">
        <v>463</v>
      </c>
      <c r="P98" s="137" t="s">
        <v>465</v>
      </c>
      <c r="Q98" s="138" t="s">
        <v>467</v>
      </c>
      <c r="R98" s="242" t="s">
        <v>469</v>
      </c>
      <c r="S98" s="121" t="s">
        <v>471</v>
      </c>
      <c r="T98" s="121" t="s">
        <v>473</v>
      </c>
      <c r="U98" s="121" t="s">
        <v>475</v>
      </c>
      <c r="V98" s="122" t="s">
        <v>477</v>
      </c>
      <c r="W98" s="259"/>
      <c r="X98" s="571" t="s">
        <v>1745</v>
      </c>
      <c r="Y98" s="158" t="s">
        <v>453</v>
      </c>
      <c r="Z98" s="137" t="s">
        <v>455</v>
      </c>
      <c r="AA98" s="137" t="s">
        <v>457</v>
      </c>
      <c r="AB98" s="137" t="s">
        <v>459</v>
      </c>
      <c r="AC98" s="137" t="s">
        <v>461</v>
      </c>
      <c r="AD98" s="137" t="s">
        <v>463</v>
      </c>
      <c r="AE98" s="137" t="s">
        <v>465</v>
      </c>
      <c r="AF98" s="138" t="s">
        <v>467</v>
      </c>
      <c r="AG98" s="242" t="s">
        <v>469</v>
      </c>
      <c r="AH98" s="121" t="s">
        <v>471</v>
      </c>
      <c r="AI98" s="121" t="s">
        <v>473</v>
      </c>
      <c r="AJ98" s="121" t="s">
        <v>475</v>
      </c>
      <c r="AK98" s="122" t="s">
        <v>477</v>
      </c>
      <c r="AL98" s="259"/>
      <c r="AM98" s="571" t="s">
        <v>1745</v>
      </c>
      <c r="AN98" s="158" t="s">
        <v>453</v>
      </c>
      <c r="AO98" s="137" t="s">
        <v>455</v>
      </c>
      <c r="AP98" s="137" t="s">
        <v>457</v>
      </c>
      <c r="AQ98" s="137" t="s">
        <v>459</v>
      </c>
      <c r="AR98" s="137" t="s">
        <v>461</v>
      </c>
      <c r="AS98" s="137" t="s">
        <v>463</v>
      </c>
      <c r="AT98" s="137" t="s">
        <v>465</v>
      </c>
      <c r="AU98" s="138" t="s">
        <v>467</v>
      </c>
      <c r="AV98" s="242" t="s">
        <v>469</v>
      </c>
      <c r="AW98" s="121" t="s">
        <v>471</v>
      </c>
      <c r="AX98" s="121" t="s">
        <v>473</v>
      </c>
      <c r="AY98" s="121" t="s">
        <v>475</v>
      </c>
      <c r="AZ98" s="122" t="s">
        <v>477</v>
      </c>
    </row>
    <row r="99" spans="2:52" ht="15">
      <c r="B99" s="572"/>
      <c r="C99" s="623" t="s">
        <v>1870</v>
      </c>
      <c r="D99" s="591"/>
      <c r="E99" s="591"/>
      <c r="F99" s="591"/>
      <c r="G99" s="339"/>
      <c r="H99" s="259"/>
      <c r="I99" s="260"/>
      <c r="J99" s="295"/>
      <c r="K99" s="259"/>
      <c r="L99" s="259"/>
      <c r="M99" s="259"/>
      <c r="N99" s="259"/>
      <c r="O99" s="259"/>
      <c r="P99" s="259"/>
      <c r="Q99" s="296"/>
      <c r="R99" s="259"/>
      <c r="S99" s="259"/>
      <c r="T99" s="259"/>
      <c r="U99" s="259"/>
      <c r="V99" s="296"/>
      <c r="W99" s="259"/>
      <c r="X99" s="260"/>
      <c r="Y99" s="295"/>
      <c r="Z99" s="259"/>
      <c r="AA99" s="259"/>
      <c r="AB99" s="259"/>
      <c r="AC99" s="259"/>
      <c r="AD99" s="259"/>
      <c r="AE99" s="259"/>
      <c r="AF99" s="296"/>
      <c r="AG99" s="259"/>
      <c r="AH99" s="259"/>
      <c r="AI99" s="259"/>
      <c r="AJ99" s="259"/>
      <c r="AK99" s="296"/>
      <c r="AL99" s="259"/>
      <c r="AM99" s="260"/>
      <c r="AN99" s="295"/>
      <c r="AO99" s="259"/>
      <c r="AP99" s="259"/>
      <c r="AQ99" s="259"/>
      <c r="AR99" s="259"/>
      <c r="AS99" s="259"/>
      <c r="AT99" s="259"/>
      <c r="AU99" s="296"/>
      <c r="AV99" s="259"/>
      <c r="AW99" s="259"/>
      <c r="AX99" s="259"/>
      <c r="AY99" s="259"/>
      <c r="AZ99" s="296"/>
    </row>
    <row r="100" spans="2:52" ht="15">
      <c r="B100" s="349"/>
      <c r="C100" s="339"/>
      <c r="D100" s="1384" t="s">
        <v>315</v>
      </c>
      <c r="E100" s="591"/>
      <c r="F100" s="591"/>
      <c r="G100" s="339"/>
      <c r="H100" s="259"/>
      <c r="I100" s="576" t="s">
        <v>498</v>
      </c>
      <c r="J100" s="297">
        <v>4.3407613862663368</v>
      </c>
      <c r="K100" s="298">
        <v>3.979332920691272</v>
      </c>
      <c r="L100" s="298">
        <v>2.7049634927396626</v>
      </c>
      <c r="M100" s="298">
        <v>2.9228407794084341</v>
      </c>
      <c r="N100" s="298">
        <v>3.4129602764254643</v>
      </c>
      <c r="O100" s="298">
        <v>2.9924148904000001</v>
      </c>
      <c r="P100" s="298">
        <v>3.4182994670633988</v>
      </c>
      <c r="Q100" s="299">
        <v>3.4182994670633988</v>
      </c>
      <c r="R100" s="460">
        <v>3.4182994670633988</v>
      </c>
      <c r="S100" s="298">
        <v>3.4182994670633988</v>
      </c>
      <c r="T100" s="298">
        <v>3.4182994670633988</v>
      </c>
      <c r="U100" s="298">
        <v>3.4182994670633988</v>
      </c>
      <c r="V100" s="299">
        <v>3.4182994670633988</v>
      </c>
      <c r="W100" s="259"/>
      <c r="X100" s="576" t="s">
        <v>498</v>
      </c>
      <c r="Y100" s="297">
        <v>0</v>
      </c>
      <c r="Z100" s="298">
        <v>0</v>
      </c>
      <c r="AA100" s="298">
        <v>1.5015360400873698E-3</v>
      </c>
      <c r="AB100" s="298">
        <v>0</v>
      </c>
      <c r="AC100" s="298">
        <v>0</v>
      </c>
      <c r="AD100" s="298">
        <v>0</v>
      </c>
      <c r="AE100" s="298">
        <v>0</v>
      </c>
      <c r="AF100" s="299">
        <v>0</v>
      </c>
      <c r="AG100" s="460">
        <v>0</v>
      </c>
      <c r="AH100" s="298">
        <v>0</v>
      </c>
      <c r="AI100" s="298">
        <v>0</v>
      </c>
      <c r="AJ100" s="298">
        <v>0</v>
      </c>
      <c r="AK100" s="299">
        <v>0</v>
      </c>
      <c r="AL100" s="259"/>
      <c r="AM100" s="576" t="s">
        <v>498</v>
      </c>
      <c r="AN100" s="297">
        <v>0.344167495837857</v>
      </c>
      <c r="AO100" s="298">
        <v>0.35568767501298704</v>
      </c>
      <c r="AP100" s="298">
        <v>0.19831195991263006</v>
      </c>
      <c r="AQ100" s="298">
        <v>0.11192286784506701</v>
      </c>
      <c r="AR100" s="298">
        <v>0.10350974312873303</v>
      </c>
      <c r="AS100" s="298">
        <v>0.10531808000000002</v>
      </c>
      <c r="AT100" s="298">
        <v>0.10479148960000002</v>
      </c>
      <c r="AU100" s="299">
        <v>0.10426753215200002</v>
      </c>
      <c r="AV100" s="460">
        <v>0.10374619449124002</v>
      </c>
      <c r="AW100" s="298">
        <v>0.10322746351878383</v>
      </c>
      <c r="AX100" s="298">
        <v>0.1027113262011899</v>
      </c>
      <c r="AY100" s="298">
        <v>0.10219776957018395</v>
      </c>
      <c r="AZ100" s="299">
        <v>0.10168678072233303</v>
      </c>
    </row>
    <row r="101" spans="2:52" ht="15">
      <c r="B101" s="349"/>
      <c r="C101" s="339"/>
      <c r="D101" s="1384" t="s">
        <v>324</v>
      </c>
      <c r="E101" s="591"/>
      <c r="F101" s="591"/>
      <c r="G101" s="339"/>
      <c r="H101" s="259"/>
      <c r="I101" s="576" t="s">
        <v>498</v>
      </c>
      <c r="J101" s="297">
        <v>0</v>
      </c>
      <c r="K101" s="298">
        <v>0</v>
      </c>
      <c r="L101" s="298">
        <v>0</v>
      </c>
      <c r="M101" s="298">
        <v>0</v>
      </c>
      <c r="N101" s="298">
        <v>0</v>
      </c>
      <c r="O101" s="298">
        <v>0</v>
      </c>
      <c r="P101" s="298">
        <v>0</v>
      </c>
      <c r="Q101" s="299">
        <v>0</v>
      </c>
      <c r="R101" s="460">
        <v>0</v>
      </c>
      <c r="S101" s="298">
        <v>0</v>
      </c>
      <c r="T101" s="298">
        <v>0</v>
      </c>
      <c r="U101" s="298">
        <v>0</v>
      </c>
      <c r="V101" s="299">
        <v>0</v>
      </c>
      <c r="W101" s="259"/>
      <c r="X101" s="576" t="s">
        <v>498</v>
      </c>
      <c r="Y101" s="297">
        <v>0</v>
      </c>
      <c r="Z101" s="298">
        <v>0</v>
      </c>
      <c r="AA101" s="298">
        <v>0</v>
      </c>
      <c r="AB101" s="298">
        <v>0</v>
      </c>
      <c r="AC101" s="298">
        <v>0</v>
      </c>
      <c r="AD101" s="298">
        <v>0</v>
      </c>
      <c r="AE101" s="298">
        <v>0</v>
      </c>
      <c r="AF101" s="299">
        <v>0</v>
      </c>
      <c r="AG101" s="460">
        <v>0</v>
      </c>
      <c r="AH101" s="298">
        <v>0</v>
      </c>
      <c r="AI101" s="298">
        <v>0</v>
      </c>
      <c r="AJ101" s="298">
        <v>0</v>
      </c>
      <c r="AK101" s="299">
        <v>0</v>
      </c>
      <c r="AL101" s="259"/>
      <c r="AM101" s="576" t="s">
        <v>498</v>
      </c>
      <c r="AN101" s="297">
        <v>0</v>
      </c>
      <c r="AO101" s="298">
        <v>0</v>
      </c>
      <c r="AP101" s="298">
        <v>0</v>
      </c>
      <c r="AQ101" s="298">
        <v>0</v>
      </c>
      <c r="AR101" s="298">
        <v>0</v>
      </c>
      <c r="AS101" s="298">
        <v>0</v>
      </c>
      <c r="AT101" s="298">
        <v>0</v>
      </c>
      <c r="AU101" s="299">
        <v>0</v>
      </c>
      <c r="AV101" s="460">
        <v>0</v>
      </c>
      <c r="AW101" s="298">
        <v>0</v>
      </c>
      <c r="AX101" s="298">
        <v>0</v>
      </c>
      <c r="AY101" s="298">
        <v>0</v>
      </c>
      <c r="AZ101" s="299">
        <v>0</v>
      </c>
    </row>
    <row r="102" spans="2:52" ht="15">
      <c r="B102" s="349"/>
      <c r="C102" s="339"/>
      <c r="D102" s="1384" t="s">
        <v>329</v>
      </c>
      <c r="E102" s="591"/>
      <c r="F102" s="591"/>
      <c r="G102" s="339"/>
      <c r="H102" s="259"/>
      <c r="I102" s="576" t="s">
        <v>498</v>
      </c>
      <c r="J102" s="297">
        <v>0</v>
      </c>
      <c r="K102" s="298">
        <v>0</v>
      </c>
      <c r="L102" s="298">
        <v>0</v>
      </c>
      <c r="M102" s="298">
        <v>0</v>
      </c>
      <c r="N102" s="298">
        <v>0</v>
      </c>
      <c r="O102" s="298">
        <v>0</v>
      </c>
      <c r="P102" s="298">
        <v>0</v>
      </c>
      <c r="Q102" s="299">
        <v>0</v>
      </c>
      <c r="R102" s="460">
        <v>0</v>
      </c>
      <c r="S102" s="298">
        <v>0</v>
      </c>
      <c r="T102" s="298">
        <v>0</v>
      </c>
      <c r="U102" s="298">
        <v>0</v>
      </c>
      <c r="V102" s="299">
        <v>0</v>
      </c>
      <c r="W102" s="259"/>
      <c r="X102" s="576" t="s">
        <v>498</v>
      </c>
      <c r="Y102" s="297">
        <v>0</v>
      </c>
      <c r="Z102" s="298">
        <v>0</v>
      </c>
      <c r="AA102" s="298">
        <v>0</v>
      </c>
      <c r="AB102" s="298">
        <v>0</v>
      </c>
      <c r="AC102" s="298">
        <v>0</v>
      </c>
      <c r="AD102" s="298">
        <v>0</v>
      </c>
      <c r="AE102" s="298">
        <v>0</v>
      </c>
      <c r="AF102" s="299">
        <v>0</v>
      </c>
      <c r="AG102" s="460">
        <v>0</v>
      </c>
      <c r="AH102" s="298">
        <v>0</v>
      </c>
      <c r="AI102" s="298">
        <v>0</v>
      </c>
      <c r="AJ102" s="298">
        <v>0</v>
      </c>
      <c r="AK102" s="299">
        <v>0</v>
      </c>
      <c r="AL102" s="259"/>
      <c r="AM102" s="576" t="s">
        <v>498</v>
      </c>
      <c r="AN102" s="297">
        <v>0</v>
      </c>
      <c r="AO102" s="298">
        <v>0</v>
      </c>
      <c r="AP102" s="298">
        <v>0</v>
      </c>
      <c r="AQ102" s="298">
        <v>0</v>
      </c>
      <c r="AR102" s="298">
        <v>0</v>
      </c>
      <c r="AS102" s="298">
        <v>0</v>
      </c>
      <c r="AT102" s="298">
        <v>0</v>
      </c>
      <c r="AU102" s="299">
        <v>0</v>
      </c>
      <c r="AV102" s="460">
        <v>0</v>
      </c>
      <c r="AW102" s="298">
        <v>0</v>
      </c>
      <c r="AX102" s="298">
        <v>0</v>
      </c>
      <c r="AY102" s="298">
        <v>0</v>
      </c>
      <c r="AZ102" s="299">
        <v>0</v>
      </c>
    </row>
    <row r="103" spans="2:52" ht="15">
      <c r="B103" s="349"/>
      <c r="C103" s="339"/>
      <c r="D103" s="1384" t="s">
        <v>332</v>
      </c>
      <c r="E103" s="591"/>
      <c r="F103" s="591"/>
      <c r="G103" s="339"/>
      <c r="H103" s="259"/>
      <c r="I103" s="576" t="s">
        <v>498</v>
      </c>
      <c r="J103" s="297">
        <v>0</v>
      </c>
      <c r="K103" s="298">
        <v>0</v>
      </c>
      <c r="L103" s="298">
        <v>0</v>
      </c>
      <c r="M103" s="298">
        <v>0</v>
      </c>
      <c r="N103" s="298">
        <v>0</v>
      </c>
      <c r="O103" s="298">
        <v>0</v>
      </c>
      <c r="P103" s="298">
        <v>0</v>
      </c>
      <c r="Q103" s="299">
        <v>0</v>
      </c>
      <c r="R103" s="460">
        <v>0</v>
      </c>
      <c r="S103" s="298">
        <v>0</v>
      </c>
      <c r="T103" s="298">
        <v>0</v>
      </c>
      <c r="U103" s="298">
        <v>0</v>
      </c>
      <c r="V103" s="299">
        <v>0</v>
      </c>
      <c r="W103" s="259"/>
      <c r="X103" s="576" t="s">
        <v>498</v>
      </c>
      <c r="Y103" s="297">
        <v>0</v>
      </c>
      <c r="Z103" s="298">
        <v>0</v>
      </c>
      <c r="AA103" s="298">
        <v>0</v>
      </c>
      <c r="AB103" s="298">
        <v>0</v>
      </c>
      <c r="AC103" s="298">
        <v>0</v>
      </c>
      <c r="AD103" s="298">
        <v>0</v>
      </c>
      <c r="AE103" s="298">
        <v>0</v>
      </c>
      <c r="AF103" s="299">
        <v>0</v>
      </c>
      <c r="AG103" s="460">
        <v>0</v>
      </c>
      <c r="AH103" s="298">
        <v>0</v>
      </c>
      <c r="AI103" s="298">
        <v>0</v>
      </c>
      <c r="AJ103" s="298">
        <v>0</v>
      </c>
      <c r="AK103" s="299">
        <v>0</v>
      </c>
      <c r="AL103" s="259"/>
      <c r="AM103" s="576" t="s">
        <v>498</v>
      </c>
      <c r="AN103" s="297">
        <v>0</v>
      </c>
      <c r="AO103" s="298">
        <v>0</v>
      </c>
      <c r="AP103" s="298">
        <v>0</v>
      </c>
      <c r="AQ103" s="298">
        <v>0</v>
      </c>
      <c r="AR103" s="298">
        <v>0</v>
      </c>
      <c r="AS103" s="298">
        <v>0</v>
      </c>
      <c r="AT103" s="298">
        <v>0</v>
      </c>
      <c r="AU103" s="299">
        <v>0</v>
      </c>
      <c r="AV103" s="460">
        <v>0</v>
      </c>
      <c r="AW103" s="298">
        <v>0</v>
      </c>
      <c r="AX103" s="298">
        <v>0</v>
      </c>
      <c r="AY103" s="298">
        <v>0</v>
      </c>
      <c r="AZ103" s="299">
        <v>0</v>
      </c>
    </row>
    <row r="104" spans="2:52" ht="15">
      <c r="B104" s="349"/>
      <c r="C104" s="339"/>
      <c r="D104" s="1384" t="s">
        <v>1871</v>
      </c>
      <c r="E104" s="591"/>
      <c r="F104" s="591"/>
      <c r="G104" s="339"/>
      <c r="H104" s="259"/>
      <c r="I104" s="576" t="s">
        <v>498</v>
      </c>
      <c r="J104" s="297">
        <v>0</v>
      </c>
      <c r="K104" s="298">
        <v>0</v>
      </c>
      <c r="L104" s="298">
        <v>0</v>
      </c>
      <c r="M104" s="298">
        <v>0</v>
      </c>
      <c r="N104" s="298">
        <v>0</v>
      </c>
      <c r="O104" s="298">
        <v>0</v>
      </c>
      <c r="P104" s="298">
        <v>0</v>
      </c>
      <c r="Q104" s="299">
        <v>0</v>
      </c>
      <c r="R104" s="460">
        <v>0</v>
      </c>
      <c r="S104" s="298">
        <v>0</v>
      </c>
      <c r="T104" s="298">
        <v>0</v>
      </c>
      <c r="U104" s="298">
        <v>0</v>
      </c>
      <c r="V104" s="299">
        <v>0</v>
      </c>
      <c r="W104" s="259"/>
      <c r="X104" s="576" t="s">
        <v>498</v>
      </c>
      <c r="Y104" s="297">
        <v>0</v>
      </c>
      <c r="Z104" s="298">
        <v>0</v>
      </c>
      <c r="AA104" s="298">
        <v>0</v>
      </c>
      <c r="AB104" s="298">
        <v>0</v>
      </c>
      <c r="AC104" s="298">
        <v>0</v>
      </c>
      <c r="AD104" s="298">
        <v>0</v>
      </c>
      <c r="AE104" s="298">
        <v>0</v>
      </c>
      <c r="AF104" s="299">
        <v>0</v>
      </c>
      <c r="AG104" s="460">
        <v>0</v>
      </c>
      <c r="AH104" s="298">
        <v>0</v>
      </c>
      <c r="AI104" s="298">
        <v>0</v>
      </c>
      <c r="AJ104" s="298">
        <v>0</v>
      </c>
      <c r="AK104" s="299">
        <v>0</v>
      </c>
      <c r="AL104" s="259"/>
      <c r="AM104" s="576" t="s">
        <v>498</v>
      </c>
      <c r="AN104" s="297">
        <v>0</v>
      </c>
      <c r="AO104" s="298">
        <v>0</v>
      </c>
      <c r="AP104" s="298">
        <v>0</v>
      </c>
      <c r="AQ104" s="298">
        <v>0</v>
      </c>
      <c r="AR104" s="298">
        <v>0</v>
      </c>
      <c r="AS104" s="298">
        <v>0</v>
      </c>
      <c r="AT104" s="298">
        <v>0</v>
      </c>
      <c r="AU104" s="299">
        <v>0</v>
      </c>
      <c r="AV104" s="460">
        <v>0</v>
      </c>
      <c r="AW104" s="298">
        <v>0</v>
      </c>
      <c r="AX104" s="298">
        <v>0</v>
      </c>
      <c r="AY104" s="298">
        <v>0</v>
      </c>
      <c r="AZ104" s="299">
        <v>0</v>
      </c>
    </row>
    <row r="105" spans="2:52" ht="15">
      <c r="B105" s="349"/>
      <c r="C105" s="339"/>
      <c r="D105" s="1384" t="s">
        <v>1872</v>
      </c>
      <c r="E105" s="591"/>
      <c r="F105" s="591"/>
      <c r="G105" s="339"/>
      <c r="H105" s="259"/>
      <c r="I105" s="576" t="s">
        <v>498</v>
      </c>
      <c r="J105" s="297">
        <v>0</v>
      </c>
      <c r="K105" s="298">
        <v>0</v>
      </c>
      <c r="L105" s="298">
        <v>0</v>
      </c>
      <c r="M105" s="298">
        <v>0</v>
      </c>
      <c r="N105" s="298">
        <v>0</v>
      </c>
      <c r="O105" s="298">
        <v>0</v>
      </c>
      <c r="P105" s="298">
        <v>0</v>
      </c>
      <c r="Q105" s="299">
        <v>0</v>
      </c>
      <c r="R105" s="460">
        <v>0</v>
      </c>
      <c r="S105" s="298">
        <v>0</v>
      </c>
      <c r="T105" s="298">
        <v>0</v>
      </c>
      <c r="U105" s="298">
        <v>0</v>
      </c>
      <c r="V105" s="299">
        <v>0</v>
      </c>
      <c r="W105" s="259"/>
      <c r="X105" s="576" t="s">
        <v>498</v>
      </c>
      <c r="Y105" s="297">
        <v>0</v>
      </c>
      <c r="Z105" s="298">
        <v>0</v>
      </c>
      <c r="AA105" s="298">
        <v>0</v>
      </c>
      <c r="AB105" s="298">
        <v>0</v>
      </c>
      <c r="AC105" s="298">
        <v>0</v>
      </c>
      <c r="AD105" s="298">
        <v>0</v>
      </c>
      <c r="AE105" s="298">
        <v>0</v>
      </c>
      <c r="AF105" s="299">
        <v>0</v>
      </c>
      <c r="AG105" s="460">
        <v>0</v>
      </c>
      <c r="AH105" s="298">
        <v>0</v>
      </c>
      <c r="AI105" s="298">
        <v>0</v>
      </c>
      <c r="AJ105" s="298">
        <v>0</v>
      </c>
      <c r="AK105" s="299">
        <v>0</v>
      </c>
      <c r="AL105" s="259"/>
      <c r="AM105" s="576" t="s">
        <v>498</v>
      </c>
      <c r="AN105" s="297">
        <v>0</v>
      </c>
      <c r="AO105" s="298">
        <v>0</v>
      </c>
      <c r="AP105" s="298">
        <v>0</v>
      </c>
      <c r="AQ105" s="298">
        <v>0</v>
      </c>
      <c r="AR105" s="298">
        <v>0</v>
      </c>
      <c r="AS105" s="298">
        <v>0</v>
      </c>
      <c r="AT105" s="298">
        <v>0</v>
      </c>
      <c r="AU105" s="299">
        <v>0</v>
      </c>
      <c r="AV105" s="460">
        <v>0</v>
      </c>
      <c r="AW105" s="298">
        <v>0</v>
      </c>
      <c r="AX105" s="298">
        <v>0</v>
      </c>
      <c r="AY105" s="298">
        <v>0</v>
      </c>
      <c r="AZ105" s="299">
        <v>0</v>
      </c>
    </row>
    <row r="106" spans="2:52" ht="15">
      <c r="B106" s="349" t="s">
        <v>1701</v>
      </c>
      <c r="C106" s="339"/>
      <c r="D106" s="1384"/>
      <c r="E106" s="591"/>
      <c r="F106" s="591"/>
      <c r="G106" s="339"/>
      <c r="H106" s="259"/>
      <c r="I106" s="576" t="s">
        <v>498</v>
      </c>
      <c r="J106" s="1397">
        <f>SUM(J100:J105)</f>
        <v>4.3407613862663368</v>
      </c>
      <c r="K106" s="1398">
        <f t="shared" ref="K106" si="95">SUM(K100:K105)</f>
        <v>3.979332920691272</v>
      </c>
      <c r="L106" s="1398">
        <f t="shared" ref="L106" si="96">SUM(L100:L105)</f>
        <v>2.7049634927396626</v>
      </c>
      <c r="M106" s="1398">
        <f t="shared" ref="M106" si="97">SUM(M100:M105)</f>
        <v>2.9228407794084341</v>
      </c>
      <c r="N106" s="1398">
        <f t="shared" ref="N106" si="98">SUM(N100:N105)</f>
        <v>3.4129602764254643</v>
      </c>
      <c r="O106" s="1398">
        <f t="shared" ref="O106" si="99">SUM(O100:O105)</f>
        <v>2.9924148904000001</v>
      </c>
      <c r="P106" s="1398">
        <f t="shared" ref="P106" si="100">SUM(P100:P105)</f>
        <v>3.4182994670633988</v>
      </c>
      <c r="Q106" s="1399">
        <f t="shared" ref="Q106" si="101">SUM(Q100:Q105)</f>
        <v>3.4182994670633988</v>
      </c>
      <c r="R106" s="1400">
        <f t="shared" ref="R106" si="102">SUM(R100:R105)</f>
        <v>3.4182994670633988</v>
      </c>
      <c r="S106" s="1398">
        <f t="shared" ref="S106" si="103">SUM(S100:S105)</f>
        <v>3.4182994670633988</v>
      </c>
      <c r="T106" s="1398">
        <f t="shared" ref="T106" si="104">SUM(T100:T105)</f>
        <v>3.4182994670633988</v>
      </c>
      <c r="U106" s="1398">
        <f t="shared" ref="U106" si="105">SUM(U100:U105)</f>
        <v>3.4182994670633988</v>
      </c>
      <c r="V106" s="1399">
        <f t="shared" ref="V106" si="106">SUM(V100:V105)</f>
        <v>3.4182994670633988</v>
      </c>
      <c r="W106" s="259"/>
      <c r="X106" s="576" t="s">
        <v>498</v>
      </c>
      <c r="Y106" s="1397">
        <f>SUM(Y100:Y105)</f>
        <v>0</v>
      </c>
      <c r="Z106" s="1398">
        <f t="shared" ref="Z106:AK106" si="107">SUM(Z100:Z105)</f>
        <v>0</v>
      </c>
      <c r="AA106" s="1398">
        <f t="shared" si="107"/>
        <v>1.5015360400873698E-3</v>
      </c>
      <c r="AB106" s="1398">
        <f t="shared" si="107"/>
        <v>0</v>
      </c>
      <c r="AC106" s="1398">
        <f t="shared" si="107"/>
        <v>0</v>
      </c>
      <c r="AD106" s="1398">
        <f t="shared" si="107"/>
        <v>0</v>
      </c>
      <c r="AE106" s="1398">
        <f t="shared" si="107"/>
        <v>0</v>
      </c>
      <c r="AF106" s="1399">
        <f t="shared" si="107"/>
        <v>0</v>
      </c>
      <c r="AG106" s="1400">
        <f t="shared" si="107"/>
        <v>0</v>
      </c>
      <c r="AH106" s="1398">
        <f t="shared" si="107"/>
        <v>0</v>
      </c>
      <c r="AI106" s="1398">
        <f t="shared" si="107"/>
        <v>0</v>
      </c>
      <c r="AJ106" s="1398">
        <f t="shared" si="107"/>
        <v>0</v>
      </c>
      <c r="AK106" s="1399">
        <f t="shared" si="107"/>
        <v>0</v>
      </c>
      <c r="AL106" s="259"/>
      <c r="AM106" s="576" t="s">
        <v>498</v>
      </c>
      <c r="AN106" s="1397">
        <f>SUM(AN100:AN105)</f>
        <v>0.344167495837857</v>
      </c>
      <c r="AO106" s="1398">
        <f t="shared" ref="AO106:AZ106" si="108">SUM(AO100:AO105)</f>
        <v>0.35568767501298704</v>
      </c>
      <c r="AP106" s="1398">
        <f t="shared" si="108"/>
        <v>0.19831195991263006</v>
      </c>
      <c r="AQ106" s="1398">
        <f t="shared" si="108"/>
        <v>0.11192286784506701</v>
      </c>
      <c r="AR106" s="1398">
        <f t="shared" si="108"/>
        <v>0.10350974312873303</v>
      </c>
      <c r="AS106" s="1398">
        <f t="shared" si="108"/>
        <v>0.10531808000000002</v>
      </c>
      <c r="AT106" s="1398">
        <f t="shared" si="108"/>
        <v>0.10479148960000002</v>
      </c>
      <c r="AU106" s="1399">
        <f t="shared" si="108"/>
        <v>0.10426753215200002</v>
      </c>
      <c r="AV106" s="1400">
        <f t="shared" si="108"/>
        <v>0.10374619449124002</v>
      </c>
      <c r="AW106" s="1398">
        <f t="shared" si="108"/>
        <v>0.10322746351878383</v>
      </c>
      <c r="AX106" s="1398">
        <f t="shared" si="108"/>
        <v>0.1027113262011899</v>
      </c>
      <c r="AY106" s="1398">
        <f t="shared" si="108"/>
        <v>0.10219776957018395</v>
      </c>
      <c r="AZ106" s="1399">
        <f t="shared" si="108"/>
        <v>0.10168678072233303</v>
      </c>
    </row>
    <row r="107" spans="2:52">
      <c r="B107" s="349"/>
      <c r="C107" s="339"/>
      <c r="D107" s="339"/>
      <c r="E107" s="339"/>
      <c r="F107" s="339"/>
      <c r="G107" s="339"/>
      <c r="H107" s="339"/>
      <c r="I107" s="339"/>
      <c r="J107" s="349"/>
      <c r="K107" s="339"/>
      <c r="L107" s="339"/>
      <c r="M107" s="339"/>
      <c r="N107" s="339"/>
      <c r="O107" s="339"/>
      <c r="P107" s="339"/>
      <c r="Q107" s="353"/>
      <c r="R107" s="339"/>
      <c r="S107" s="339"/>
      <c r="T107" s="339"/>
      <c r="U107" s="339"/>
      <c r="V107" s="353"/>
      <c r="W107" s="339"/>
      <c r="X107" s="339"/>
      <c r="Y107" s="339"/>
      <c r="Z107" s="339"/>
      <c r="AA107" s="339"/>
      <c r="AB107" s="339"/>
      <c r="AC107" s="339"/>
      <c r="AD107" s="339"/>
      <c r="AE107" s="339"/>
      <c r="AF107" s="339"/>
      <c r="AG107" s="339"/>
      <c r="AH107" s="339"/>
      <c r="AI107" s="339"/>
      <c r="AJ107" s="339"/>
      <c r="AK107" s="339"/>
      <c r="AL107" s="339"/>
      <c r="AM107" s="339"/>
      <c r="AN107" s="339"/>
      <c r="AO107" s="339"/>
      <c r="AP107" s="339"/>
      <c r="AQ107" s="339"/>
      <c r="AR107" s="339"/>
      <c r="AS107" s="339"/>
      <c r="AT107" s="339"/>
      <c r="AU107" s="339"/>
      <c r="AV107" s="339"/>
      <c r="AW107" s="339"/>
      <c r="AX107" s="339"/>
      <c r="AY107" s="339"/>
      <c r="AZ107" s="353"/>
    </row>
    <row r="108" spans="2:52" ht="15">
      <c r="B108" s="349"/>
      <c r="C108" s="623" t="s">
        <v>1881</v>
      </c>
      <c r="D108" s="339"/>
      <c r="E108" s="339"/>
      <c r="F108" s="339"/>
      <c r="G108" s="339"/>
      <c r="H108" s="339"/>
      <c r="I108" s="339"/>
      <c r="J108" s="349"/>
      <c r="K108" s="339"/>
      <c r="L108" s="339"/>
      <c r="M108" s="339"/>
      <c r="N108" s="339"/>
      <c r="O108" s="339"/>
      <c r="P108" s="339"/>
      <c r="Q108" s="353"/>
      <c r="R108" s="339"/>
      <c r="S108" s="339"/>
      <c r="T108" s="339"/>
      <c r="U108" s="339"/>
      <c r="V108" s="353"/>
      <c r="W108" s="339"/>
      <c r="X108" s="339"/>
      <c r="Y108" s="339"/>
      <c r="Z108" s="339"/>
      <c r="AA108" s="339"/>
      <c r="AB108" s="339"/>
      <c r="AC108" s="339"/>
      <c r="AD108" s="339"/>
      <c r="AE108" s="339"/>
      <c r="AF108" s="339"/>
      <c r="AG108" s="339"/>
      <c r="AH108" s="339"/>
      <c r="AI108" s="339"/>
      <c r="AJ108" s="339"/>
      <c r="AK108" s="339"/>
      <c r="AL108" s="339"/>
      <c r="AM108" s="339"/>
      <c r="AN108" s="339"/>
      <c r="AO108" s="339"/>
      <c r="AP108" s="339"/>
      <c r="AQ108" s="339"/>
      <c r="AR108" s="339"/>
      <c r="AS108" s="339"/>
      <c r="AT108" s="339"/>
      <c r="AU108" s="339"/>
      <c r="AV108" s="339"/>
      <c r="AW108" s="339"/>
      <c r="AX108" s="339"/>
      <c r="AY108" s="339"/>
      <c r="AZ108" s="353"/>
    </row>
    <row r="109" spans="2:52">
      <c r="B109" s="349"/>
      <c r="C109" s="339"/>
      <c r="D109" s="1384" t="s">
        <v>315</v>
      </c>
      <c r="E109" s="339"/>
      <c r="F109" s="339"/>
      <c r="G109" s="339"/>
      <c r="H109" s="339"/>
      <c r="I109" s="576" t="s">
        <v>498</v>
      </c>
      <c r="J109" s="297">
        <v>2.377930938916645</v>
      </c>
      <c r="K109" s="298">
        <v>2.0598317133730903</v>
      </c>
      <c r="L109" s="298">
        <v>1.9354493716585373</v>
      </c>
      <c r="M109" s="298">
        <v>1.7941076844470771</v>
      </c>
      <c r="N109" s="298">
        <v>1.6687196214063995</v>
      </c>
      <c r="O109" s="298">
        <v>1.6860448904000003</v>
      </c>
      <c r="P109" s="298">
        <v>1.7710803919780034</v>
      </c>
      <c r="Q109" s="299">
        <v>1.7710803919780034</v>
      </c>
      <c r="R109" s="460">
        <v>1.7710803919780034</v>
      </c>
      <c r="S109" s="298">
        <v>1.7710803919780034</v>
      </c>
      <c r="T109" s="298">
        <v>1.7710803919780034</v>
      </c>
      <c r="U109" s="298">
        <v>1.7710803919780034</v>
      </c>
      <c r="V109" s="299">
        <v>1.7710803919780034</v>
      </c>
      <c r="W109" s="339"/>
      <c r="X109" s="2533"/>
      <c r="Y109" s="2533"/>
      <c r="Z109" s="2533"/>
      <c r="AA109" s="2533"/>
      <c r="AB109" s="2533"/>
      <c r="AC109" s="2533"/>
      <c r="AD109" s="2533"/>
      <c r="AE109" s="2533"/>
      <c r="AF109" s="2533"/>
      <c r="AG109" s="2533"/>
      <c r="AH109" s="2533"/>
      <c r="AI109" s="2533"/>
      <c r="AJ109" s="2533"/>
      <c r="AK109" s="2533"/>
      <c r="AL109" s="339"/>
      <c r="AM109" s="2533"/>
      <c r="AN109" s="2533"/>
      <c r="AO109" s="2533"/>
      <c r="AP109" s="2533"/>
      <c r="AQ109" s="2533"/>
      <c r="AR109" s="2533"/>
      <c r="AS109" s="2533"/>
      <c r="AT109" s="2533"/>
      <c r="AU109" s="2533"/>
      <c r="AV109" s="2533"/>
      <c r="AW109" s="2533"/>
      <c r="AX109" s="2533"/>
      <c r="AY109" s="2533"/>
      <c r="AZ109" s="2537"/>
    </row>
    <row r="110" spans="2:52">
      <c r="B110" s="349"/>
      <c r="C110" s="339"/>
      <c r="D110" s="1384" t="s">
        <v>324</v>
      </c>
      <c r="E110" s="339"/>
      <c r="F110" s="339"/>
      <c r="G110" s="339"/>
      <c r="H110" s="339"/>
      <c r="I110" s="576" t="s">
        <v>498</v>
      </c>
      <c r="J110" s="297">
        <v>0</v>
      </c>
      <c r="K110" s="298">
        <v>0</v>
      </c>
      <c r="L110" s="298">
        <v>0</v>
      </c>
      <c r="M110" s="298">
        <v>0</v>
      </c>
      <c r="N110" s="298">
        <v>0</v>
      </c>
      <c r="O110" s="298">
        <v>0</v>
      </c>
      <c r="P110" s="298">
        <v>0</v>
      </c>
      <c r="Q110" s="299">
        <v>0</v>
      </c>
      <c r="R110" s="460">
        <v>0</v>
      </c>
      <c r="S110" s="298">
        <v>0</v>
      </c>
      <c r="T110" s="298">
        <v>0</v>
      </c>
      <c r="U110" s="298">
        <v>0</v>
      </c>
      <c r="V110" s="299">
        <v>0</v>
      </c>
      <c r="W110" s="339"/>
      <c r="X110" s="2533"/>
      <c r="Y110" s="2533"/>
      <c r="Z110" s="2533"/>
      <c r="AA110" s="2533"/>
      <c r="AB110" s="2533"/>
      <c r="AC110" s="2533"/>
      <c r="AD110" s="2533"/>
      <c r="AE110" s="2533"/>
      <c r="AF110" s="2533"/>
      <c r="AG110" s="2533"/>
      <c r="AH110" s="2533"/>
      <c r="AI110" s="2533"/>
      <c r="AJ110" s="2533"/>
      <c r="AK110" s="2533"/>
      <c r="AL110" s="339"/>
      <c r="AM110" s="2533"/>
      <c r="AN110" s="2533"/>
      <c r="AO110" s="2533"/>
      <c r="AP110" s="2533"/>
      <c r="AQ110" s="2533"/>
      <c r="AR110" s="2533"/>
      <c r="AS110" s="2533"/>
      <c r="AT110" s="2533"/>
      <c r="AU110" s="2533"/>
      <c r="AV110" s="2533"/>
      <c r="AW110" s="2533"/>
      <c r="AX110" s="2533"/>
      <c r="AY110" s="2533"/>
      <c r="AZ110" s="2537"/>
    </row>
    <row r="111" spans="2:52">
      <c r="B111" s="349"/>
      <c r="C111" s="339"/>
      <c r="D111" s="1384" t="s">
        <v>329</v>
      </c>
      <c r="E111" s="339"/>
      <c r="F111" s="339"/>
      <c r="G111" s="339"/>
      <c r="H111" s="339"/>
      <c r="I111" s="576" t="s">
        <v>498</v>
      </c>
      <c r="J111" s="297">
        <v>0</v>
      </c>
      <c r="K111" s="298">
        <v>0</v>
      </c>
      <c r="L111" s="298">
        <v>0</v>
      </c>
      <c r="M111" s="298">
        <v>0</v>
      </c>
      <c r="N111" s="298">
        <v>0</v>
      </c>
      <c r="O111" s="298">
        <v>0</v>
      </c>
      <c r="P111" s="298">
        <v>0</v>
      </c>
      <c r="Q111" s="299">
        <v>0</v>
      </c>
      <c r="R111" s="460">
        <v>0</v>
      </c>
      <c r="S111" s="298">
        <v>0</v>
      </c>
      <c r="T111" s="298">
        <v>0</v>
      </c>
      <c r="U111" s="298">
        <v>0</v>
      </c>
      <c r="V111" s="299">
        <v>0</v>
      </c>
      <c r="W111" s="339"/>
      <c r="X111" s="2533"/>
      <c r="Y111" s="2533"/>
      <c r="Z111" s="2533"/>
      <c r="AA111" s="2533"/>
      <c r="AB111" s="2533"/>
      <c r="AC111" s="2533"/>
      <c r="AD111" s="2533"/>
      <c r="AE111" s="2533"/>
      <c r="AF111" s="2533"/>
      <c r="AG111" s="2533"/>
      <c r="AH111" s="2533"/>
      <c r="AI111" s="2533"/>
      <c r="AJ111" s="2533"/>
      <c r="AK111" s="2533"/>
      <c r="AL111" s="339"/>
      <c r="AM111" s="2533"/>
      <c r="AN111" s="2533"/>
      <c r="AO111" s="2533"/>
      <c r="AP111" s="2533"/>
      <c r="AQ111" s="2533"/>
      <c r="AR111" s="2533"/>
      <c r="AS111" s="2533"/>
      <c r="AT111" s="2533"/>
      <c r="AU111" s="2533"/>
      <c r="AV111" s="2533"/>
      <c r="AW111" s="2533"/>
      <c r="AX111" s="2533"/>
      <c r="AY111" s="2533"/>
      <c r="AZ111" s="2537"/>
    </row>
    <row r="112" spans="2:52">
      <c r="B112" s="349"/>
      <c r="C112" s="339"/>
      <c r="D112" s="1384" t="s">
        <v>332</v>
      </c>
      <c r="E112" s="339"/>
      <c r="F112" s="339"/>
      <c r="G112" s="339"/>
      <c r="H112" s="339"/>
      <c r="I112" s="576" t="s">
        <v>498</v>
      </c>
      <c r="J112" s="297">
        <v>0</v>
      </c>
      <c r="K112" s="298">
        <v>0</v>
      </c>
      <c r="L112" s="298">
        <v>0</v>
      </c>
      <c r="M112" s="298">
        <v>0</v>
      </c>
      <c r="N112" s="298">
        <v>0</v>
      </c>
      <c r="O112" s="298">
        <v>0</v>
      </c>
      <c r="P112" s="298">
        <v>0</v>
      </c>
      <c r="Q112" s="299">
        <v>0</v>
      </c>
      <c r="R112" s="460">
        <v>0</v>
      </c>
      <c r="S112" s="298">
        <v>0</v>
      </c>
      <c r="T112" s="298">
        <v>0</v>
      </c>
      <c r="U112" s="298">
        <v>0</v>
      </c>
      <c r="V112" s="299">
        <v>0</v>
      </c>
      <c r="W112" s="339"/>
      <c r="X112" s="2533"/>
      <c r="Y112" s="2533"/>
      <c r="Z112" s="2533"/>
      <c r="AA112" s="2533"/>
      <c r="AB112" s="2533"/>
      <c r="AC112" s="2533"/>
      <c r="AD112" s="2533"/>
      <c r="AE112" s="2533"/>
      <c r="AF112" s="2533"/>
      <c r="AG112" s="2533"/>
      <c r="AH112" s="2533"/>
      <c r="AI112" s="2533"/>
      <c r="AJ112" s="2533"/>
      <c r="AK112" s="2533"/>
      <c r="AL112" s="339"/>
      <c r="AM112" s="2533"/>
      <c r="AN112" s="2533"/>
      <c r="AO112" s="2533"/>
      <c r="AP112" s="2533"/>
      <c r="AQ112" s="2533"/>
      <c r="AR112" s="2533"/>
      <c r="AS112" s="2533"/>
      <c r="AT112" s="2533"/>
      <c r="AU112" s="2533"/>
      <c r="AV112" s="2533"/>
      <c r="AW112" s="2533"/>
      <c r="AX112" s="2533"/>
      <c r="AY112" s="2533"/>
      <c r="AZ112" s="2537"/>
    </row>
    <row r="113" spans="2:52">
      <c r="B113" s="349"/>
      <c r="C113" s="339"/>
      <c r="D113" s="1384" t="s">
        <v>1871</v>
      </c>
      <c r="E113" s="339"/>
      <c r="F113" s="339"/>
      <c r="G113" s="339"/>
      <c r="H113" s="339"/>
      <c r="I113" s="576" t="s">
        <v>498</v>
      </c>
      <c r="J113" s="297">
        <v>0</v>
      </c>
      <c r="K113" s="298">
        <v>0</v>
      </c>
      <c r="L113" s="298">
        <v>0</v>
      </c>
      <c r="M113" s="298">
        <v>0</v>
      </c>
      <c r="N113" s="298">
        <v>0</v>
      </c>
      <c r="O113" s="298">
        <v>0</v>
      </c>
      <c r="P113" s="298">
        <v>0</v>
      </c>
      <c r="Q113" s="299">
        <v>0</v>
      </c>
      <c r="R113" s="460">
        <v>0</v>
      </c>
      <c r="S113" s="298">
        <v>0</v>
      </c>
      <c r="T113" s="298">
        <v>0</v>
      </c>
      <c r="U113" s="298">
        <v>0</v>
      </c>
      <c r="V113" s="299">
        <v>0</v>
      </c>
      <c r="W113" s="339"/>
      <c r="X113" s="2533"/>
      <c r="Y113" s="2533"/>
      <c r="Z113" s="2533"/>
      <c r="AA113" s="2533"/>
      <c r="AB113" s="2533"/>
      <c r="AC113" s="2533"/>
      <c r="AD113" s="2533"/>
      <c r="AE113" s="2533"/>
      <c r="AF113" s="2533"/>
      <c r="AG113" s="2533"/>
      <c r="AH113" s="2533"/>
      <c r="AI113" s="2533"/>
      <c r="AJ113" s="2533"/>
      <c r="AK113" s="2533"/>
      <c r="AL113" s="339"/>
      <c r="AM113" s="2533"/>
      <c r="AN113" s="2533"/>
      <c r="AO113" s="2533"/>
      <c r="AP113" s="2533"/>
      <c r="AQ113" s="2533"/>
      <c r="AR113" s="2533"/>
      <c r="AS113" s="2533"/>
      <c r="AT113" s="2533"/>
      <c r="AU113" s="2533"/>
      <c r="AV113" s="2533"/>
      <c r="AW113" s="2533"/>
      <c r="AX113" s="2533"/>
      <c r="AY113" s="2533"/>
      <c r="AZ113" s="2537"/>
    </row>
    <row r="114" spans="2:52">
      <c r="B114" s="349"/>
      <c r="C114" s="339"/>
      <c r="D114" s="1384" t="s">
        <v>1872</v>
      </c>
      <c r="E114" s="339"/>
      <c r="F114" s="339"/>
      <c r="G114" s="339"/>
      <c r="H114" s="339"/>
      <c r="I114" s="576" t="s">
        <v>498</v>
      </c>
      <c r="J114" s="297">
        <v>0</v>
      </c>
      <c r="K114" s="298">
        <v>0</v>
      </c>
      <c r="L114" s="298">
        <v>0</v>
      </c>
      <c r="M114" s="298">
        <v>0</v>
      </c>
      <c r="N114" s="298">
        <v>0</v>
      </c>
      <c r="O114" s="298">
        <v>0</v>
      </c>
      <c r="P114" s="298">
        <v>0</v>
      </c>
      <c r="Q114" s="299">
        <v>0</v>
      </c>
      <c r="R114" s="460">
        <v>0</v>
      </c>
      <c r="S114" s="298">
        <v>0</v>
      </c>
      <c r="T114" s="298">
        <v>0</v>
      </c>
      <c r="U114" s="298">
        <v>0</v>
      </c>
      <c r="V114" s="299">
        <v>0</v>
      </c>
      <c r="W114" s="339"/>
      <c r="X114" s="2533"/>
      <c r="Y114" s="2533"/>
      <c r="Z114" s="2533"/>
      <c r="AA114" s="2533"/>
      <c r="AB114" s="2533"/>
      <c r="AC114" s="2533"/>
      <c r="AD114" s="2533"/>
      <c r="AE114" s="2533"/>
      <c r="AF114" s="2533"/>
      <c r="AG114" s="2533"/>
      <c r="AH114" s="2533"/>
      <c r="AI114" s="2533"/>
      <c r="AJ114" s="2533"/>
      <c r="AK114" s="2533"/>
      <c r="AL114" s="339"/>
      <c r="AM114" s="2533"/>
      <c r="AN114" s="2533"/>
      <c r="AO114" s="2533"/>
      <c r="AP114" s="2533"/>
      <c r="AQ114" s="2533"/>
      <c r="AR114" s="2533"/>
      <c r="AS114" s="2533"/>
      <c r="AT114" s="2533"/>
      <c r="AU114" s="2533"/>
      <c r="AV114" s="2533"/>
      <c r="AW114" s="2533"/>
      <c r="AX114" s="2533"/>
      <c r="AY114" s="2533"/>
      <c r="AZ114" s="2537"/>
    </row>
    <row r="115" spans="2:52" ht="15">
      <c r="B115" s="349"/>
      <c r="C115" s="339" t="s">
        <v>1710</v>
      </c>
      <c r="D115" s="1384"/>
      <c r="E115" s="591"/>
      <c r="F115" s="591"/>
      <c r="G115" s="339"/>
      <c r="H115" s="259"/>
      <c r="I115" s="576" t="s">
        <v>498</v>
      </c>
      <c r="J115" s="302">
        <f>SUM(J109:J114)</f>
        <v>2.377930938916645</v>
      </c>
      <c r="K115" s="303">
        <f t="shared" ref="K115" si="109">SUM(K109:K114)</f>
        <v>2.0598317133730903</v>
      </c>
      <c r="L115" s="303">
        <f t="shared" ref="L115" si="110">SUM(L109:L114)</f>
        <v>1.9354493716585373</v>
      </c>
      <c r="M115" s="303">
        <f t="shared" ref="M115" si="111">SUM(M109:M114)</f>
        <v>1.7941076844470771</v>
      </c>
      <c r="N115" s="303">
        <f t="shared" ref="N115" si="112">SUM(N109:N114)</f>
        <v>1.6687196214063995</v>
      </c>
      <c r="O115" s="303">
        <f t="shared" ref="O115" si="113">SUM(O109:O114)</f>
        <v>1.6860448904000003</v>
      </c>
      <c r="P115" s="303">
        <f t="shared" ref="P115" si="114">SUM(P109:P114)</f>
        <v>1.7710803919780034</v>
      </c>
      <c r="Q115" s="304">
        <f t="shared" ref="Q115" si="115">SUM(Q109:Q114)</f>
        <v>1.7710803919780034</v>
      </c>
      <c r="R115" s="771">
        <f t="shared" ref="R115" si="116">SUM(R109:R114)</f>
        <v>1.7710803919780034</v>
      </c>
      <c r="S115" s="303">
        <f t="shared" ref="S115" si="117">SUM(S109:S114)</f>
        <v>1.7710803919780034</v>
      </c>
      <c r="T115" s="303">
        <f t="shared" ref="T115" si="118">SUM(T109:T114)</f>
        <v>1.7710803919780034</v>
      </c>
      <c r="U115" s="303">
        <f t="shared" ref="U115" si="119">SUM(U109:U114)</f>
        <v>1.7710803919780034</v>
      </c>
      <c r="V115" s="304">
        <f t="shared" ref="V115" si="120">SUM(V109:V114)</f>
        <v>1.7710803919780034</v>
      </c>
      <c r="W115" s="259"/>
      <c r="X115" s="2535"/>
      <c r="Y115" s="2535"/>
      <c r="Z115" s="2535"/>
      <c r="AA115" s="2535"/>
      <c r="AB115" s="2535"/>
      <c r="AC115" s="2535"/>
      <c r="AD115" s="2535"/>
      <c r="AE115" s="2535"/>
      <c r="AF115" s="2535"/>
      <c r="AG115" s="2535"/>
      <c r="AH115" s="2535"/>
      <c r="AI115" s="2535"/>
      <c r="AJ115" s="2535"/>
      <c r="AK115" s="2535"/>
      <c r="AL115" s="259"/>
      <c r="AM115" s="2535"/>
      <c r="AN115" s="2535"/>
      <c r="AO115" s="2535"/>
      <c r="AP115" s="2535"/>
      <c r="AQ115" s="2535"/>
      <c r="AR115" s="2535"/>
      <c r="AS115" s="2535"/>
      <c r="AT115" s="2535"/>
      <c r="AU115" s="2535"/>
      <c r="AV115" s="2535"/>
      <c r="AW115" s="2535"/>
      <c r="AX115" s="2535"/>
      <c r="AY115" s="2535"/>
      <c r="AZ115" s="2538"/>
    </row>
    <row r="116" spans="2:52">
      <c r="B116" s="349"/>
      <c r="C116" s="339"/>
      <c r="D116" s="339"/>
      <c r="E116" s="339"/>
      <c r="F116" s="339"/>
      <c r="G116" s="339"/>
      <c r="H116" s="339"/>
      <c r="I116" s="339"/>
      <c r="J116" s="349"/>
      <c r="K116" s="339"/>
      <c r="L116" s="339"/>
      <c r="M116" s="339"/>
      <c r="N116" s="339"/>
      <c r="O116" s="339"/>
      <c r="P116" s="339"/>
      <c r="Q116" s="353"/>
      <c r="R116" s="339"/>
      <c r="S116" s="339"/>
      <c r="T116" s="339"/>
      <c r="U116" s="339"/>
      <c r="V116" s="353"/>
      <c r="W116" s="339"/>
      <c r="X116" s="2533"/>
      <c r="Y116" s="2533"/>
      <c r="Z116" s="2533"/>
      <c r="AA116" s="2533"/>
      <c r="AB116" s="2533"/>
      <c r="AC116" s="2533"/>
      <c r="AD116" s="2533"/>
      <c r="AE116" s="2533"/>
      <c r="AF116" s="2533"/>
      <c r="AG116" s="2533"/>
      <c r="AH116" s="2533"/>
      <c r="AI116" s="2533"/>
      <c r="AJ116" s="2533"/>
      <c r="AK116" s="2533"/>
      <c r="AL116" s="339"/>
      <c r="AM116" s="2533"/>
      <c r="AN116" s="2533"/>
      <c r="AO116" s="2533"/>
      <c r="AP116" s="2533"/>
      <c r="AQ116" s="2533"/>
      <c r="AR116" s="2533"/>
      <c r="AS116" s="2533"/>
      <c r="AT116" s="2533"/>
      <c r="AU116" s="2533"/>
      <c r="AV116" s="2533"/>
      <c r="AW116" s="2533"/>
      <c r="AX116" s="2533"/>
      <c r="AY116" s="2533"/>
      <c r="AZ116" s="2537"/>
    </row>
    <row r="117" spans="2:52" ht="15">
      <c r="B117" s="349"/>
      <c r="C117" s="623" t="s">
        <v>1882</v>
      </c>
      <c r="D117" s="339"/>
      <c r="E117" s="339"/>
      <c r="F117" s="339"/>
      <c r="G117" s="339"/>
      <c r="H117" s="339"/>
      <c r="I117" s="339"/>
      <c r="J117" s="349"/>
      <c r="K117" s="339"/>
      <c r="L117" s="339"/>
      <c r="M117" s="339"/>
      <c r="N117" s="339"/>
      <c r="O117" s="339"/>
      <c r="P117" s="339"/>
      <c r="Q117" s="353"/>
      <c r="R117" s="339"/>
      <c r="S117" s="339"/>
      <c r="T117" s="339"/>
      <c r="U117" s="339"/>
      <c r="V117" s="353"/>
      <c r="W117" s="339"/>
      <c r="X117" s="2533"/>
      <c r="Y117" s="2533"/>
      <c r="Z117" s="2533"/>
      <c r="AA117" s="2533"/>
      <c r="AB117" s="2533"/>
      <c r="AC117" s="2533"/>
      <c r="AD117" s="2533"/>
      <c r="AE117" s="2533"/>
      <c r="AF117" s="2533"/>
      <c r="AG117" s="2533"/>
      <c r="AH117" s="2533"/>
      <c r="AI117" s="2533"/>
      <c r="AJ117" s="2533"/>
      <c r="AK117" s="2533"/>
      <c r="AL117" s="339"/>
      <c r="AM117" s="2533"/>
      <c r="AN117" s="2533"/>
      <c r="AO117" s="2533"/>
      <c r="AP117" s="2533"/>
      <c r="AQ117" s="2533"/>
      <c r="AR117" s="2533"/>
      <c r="AS117" s="2533"/>
      <c r="AT117" s="2533"/>
      <c r="AU117" s="2533"/>
      <c r="AV117" s="2533"/>
      <c r="AW117" s="2533"/>
      <c r="AX117" s="2533"/>
      <c r="AY117" s="2533"/>
      <c r="AZ117" s="2537"/>
    </row>
    <row r="118" spans="2:52">
      <c r="B118" s="349"/>
      <c r="C118" s="339"/>
      <c r="D118" s="1384" t="s">
        <v>315</v>
      </c>
      <c r="E118" s="339"/>
      <c r="F118" s="339"/>
      <c r="G118" s="339"/>
      <c r="H118" s="339"/>
      <c r="I118" s="576" t="s">
        <v>498</v>
      </c>
      <c r="J118" s="297">
        <v>1.9628304473496914</v>
      </c>
      <c r="K118" s="298">
        <v>1.9195012073181814</v>
      </c>
      <c r="L118" s="298">
        <v>0.76951412108112538</v>
      </c>
      <c r="M118" s="298">
        <v>1.128733094961357</v>
      </c>
      <c r="N118" s="298">
        <v>1.7442406550190648</v>
      </c>
      <c r="O118" s="298">
        <v>1.30637</v>
      </c>
      <c r="P118" s="298">
        <v>1.6472190750853954</v>
      </c>
      <c r="Q118" s="299">
        <v>1.6472190750853954</v>
      </c>
      <c r="R118" s="460">
        <v>1.6472190750853954</v>
      </c>
      <c r="S118" s="298">
        <v>1.6472190750853954</v>
      </c>
      <c r="T118" s="298">
        <v>1.6472190750853954</v>
      </c>
      <c r="U118" s="298">
        <v>1.6472190750853954</v>
      </c>
      <c r="V118" s="299">
        <v>1.6472190750853954</v>
      </c>
      <c r="W118" s="339"/>
      <c r="X118" s="2533"/>
      <c r="Y118" s="2533"/>
      <c r="Z118" s="2533"/>
      <c r="AA118" s="2533"/>
      <c r="AB118" s="2533"/>
      <c r="AC118" s="2533"/>
      <c r="AD118" s="2533"/>
      <c r="AE118" s="2533"/>
      <c r="AF118" s="2533"/>
      <c r="AG118" s="2533"/>
      <c r="AH118" s="2533"/>
      <c r="AI118" s="2533"/>
      <c r="AJ118" s="2533"/>
      <c r="AK118" s="2533"/>
      <c r="AL118" s="339"/>
      <c r="AM118" s="2533"/>
      <c r="AN118" s="2533"/>
      <c r="AO118" s="2533"/>
      <c r="AP118" s="2533"/>
      <c r="AQ118" s="2533"/>
      <c r="AR118" s="2533"/>
      <c r="AS118" s="2533"/>
      <c r="AT118" s="2533"/>
      <c r="AU118" s="2533"/>
      <c r="AV118" s="2533"/>
      <c r="AW118" s="2533"/>
      <c r="AX118" s="2533"/>
      <c r="AY118" s="2533"/>
      <c r="AZ118" s="2537"/>
    </row>
    <row r="119" spans="2:52">
      <c r="B119" s="349"/>
      <c r="C119" s="339"/>
      <c r="D119" s="1384" t="s">
        <v>324</v>
      </c>
      <c r="E119" s="339"/>
      <c r="F119" s="339"/>
      <c r="G119" s="339"/>
      <c r="H119" s="339"/>
      <c r="I119" s="576" t="s">
        <v>498</v>
      </c>
      <c r="J119" s="297">
        <v>0</v>
      </c>
      <c r="K119" s="298">
        <v>0</v>
      </c>
      <c r="L119" s="298">
        <v>0</v>
      </c>
      <c r="M119" s="298">
        <v>0</v>
      </c>
      <c r="N119" s="298">
        <v>0</v>
      </c>
      <c r="O119" s="298">
        <v>0</v>
      </c>
      <c r="P119" s="298">
        <v>0</v>
      </c>
      <c r="Q119" s="299">
        <v>0</v>
      </c>
      <c r="R119" s="460">
        <v>0</v>
      </c>
      <c r="S119" s="298">
        <v>0</v>
      </c>
      <c r="T119" s="298">
        <v>0</v>
      </c>
      <c r="U119" s="298">
        <v>0</v>
      </c>
      <c r="V119" s="299">
        <v>0</v>
      </c>
      <c r="W119" s="339"/>
      <c r="X119" s="2533"/>
      <c r="Y119" s="2533"/>
      <c r="Z119" s="2533"/>
      <c r="AA119" s="2533"/>
      <c r="AB119" s="2533"/>
      <c r="AC119" s="2533"/>
      <c r="AD119" s="2533"/>
      <c r="AE119" s="2533"/>
      <c r="AF119" s="2533"/>
      <c r="AG119" s="2533"/>
      <c r="AH119" s="2533"/>
      <c r="AI119" s="2533"/>
      <c r="AJ119" s="2533"/>
      <c r="AK119" s="2533"/>
      <c r="AL119" s="339"/>
      <c r="AM119" s="2533"/>
      <c r="AN119" s="2533"/>
      <c r="AO119" s="2533"/>
      <c r="AP119" s="2533"/>
      <c r="AQ119" s="2533"/>
      <c r="AR119" s="2533"/>
      <c r="AS119" s="2533"/>
      <c r="AT119" s="2533"/>
      <c r="AU119" s="2533"/>
      <c r="AV119" s="2533"/>
      <c r="AW119" s="2533"/>
      <c r="AX119" s="2533"/>
      <c r="AY119" s="2533"/>
      <c r="AZ119" s="2537"/>
    </row>
    <row r="120" spans="2:52">
      <c r="B120" s="349"/>
      <c r="C120" s="339"/>
      <c r="D120" s="1384" t="s">
        <v>329</v>
      </c>
      <c r="E120" s="339"/>
      <c r="F120" s="339"/>
      <c r="G120" s="339"/>
      <c r="H120" s="339"/>
      <c r="I120" s="576" t="s">
        <v>498</v>
      </c>
      <c r="J120" s="297">
        <v>0</v>
      </c>
      <c r="K120" s="298">
        <v>0</v>
      </c>
      <c r="L120" s="298">
        <v>0</v>
      </c>
      <c r="M120" s="298">
        <v>0</v>
      </c>
      <c r="N120" s="298">
        <v>0</v>
      </c>
      <c r="O120" s="298">
        <v>0</v>
      </c>
      <c r="P120" s="298">
        <v>0</v>
      </c>
      <c r="Q120" s="299">
        <v>0</v>
      </c>
      <c r="R120" s="460">
        <v>0</v>
      </c>
      <c r="S120" s="298">
        <v>0</v>
      </c>
      <c r="T120" s="298">
        <v>0</v>
      </c>
      <c r="U120" s="298">
        <v>0</v>
      </c>
      <c r="V120" s="299">
        <v>0</v>
      </c>
      <c r="W120" s="339"/>
      <c r="X120" s="2533"/>
      <c r="Y120" s="2533"/>
      <c r="Z120" s="2533"/>
      <c r="AA120" s="2533"/>
      <c r="AB120" s="2533"/>
      <c r="AC120" s="2533"/>
      <c r="AD120" s="2533"/>
      <c r="AE120" s="2533"/>
      <c r="AF120" s="2533"/>
      <c r="AG120" s="2533"/>
      <c r="AH120" s="2533"/>
      <c r="AI120" s="2533"/>
      <c r="AJ120" s="2533"/>
      <c r="AK120" s="2533"/>
      <c r="AL120" s="339"/>
      <c r="AM120" s="2533"/>
      <c r="AN120" s="2533"/>
      <c r="AO120" s="2533"/>
      <c r="AP120" s="2533"/>
      <c r="AQ120" s="2533"/>
      <c r="AR120" s="2533"/>
      <c r="AS120" s="2533"/>
      <c r="AT120" s="2533"/>
      <c r="AU120" s="2533"/>
      <c r="AV120" s="2533"/>
      <c r="AW120" s="2533"/>
      <c r="AX120" s="2533"/>
      <c r="AY120" s="2533"/>
      <c r="AZ120" s="2537"/>
    </row>
    <row r="121" spans="2:52">
      <c r="B121" s="349"/>
      <c r="C121" s="339"/>
      <c r="D121" s="1384" t="s">
        <v>332</v>
      </c>
      <c r="E121" s="339"/>
      <c r="F121" s="339"/>
      <c r="G121" s="339"/>
      <c r="H121" s="339"/>
      <c r="I121" s="576" t="s">
        <v>498</v>
      </c>
      <c r="J121" s="297">
        <v>0</v>
      </c>
      <c r="K121" s="298">
        <v>0</v>
      </c>
      <c r="L121" s="298">
        <v>0</v>
      </c>
      <c r="M121" s="298">
        <v>0</v>
      </c>
      <c r="N121" s="298">
        <v>0</v>
      </c>
      <c r="O121" s="298">
        <v>0</v>
      </c>
      <c r="P121" s="298">
        <v>0</v>
      </c>
      <c r="Q121" s="299">
        <v>0</v>
      </c>
      <c r="R121" s="460">
        <v>0</v>
      </c>
      <c r="S121" s="298">
        <v>0</v>
      </c>
      <c r="T121" s="298">
        <v>0</v>
      </c>
      <c r="U121" s="298">
        <v>0</v>
      </c>
      <c r="V121" s="299">
        <v>0</v>
      </c>
      <c r="W121" s="339"/>
      <c r="X121" s="2533"/>
      <c r="Y121" s="2533"/>
      <c r="Z121" s="2533"/>
      <c r="AA121" s="2533"/>
      <c r="AB121" s="2533"/>
      <c r="AC121" s="2533"/>
      <c r="AD121" s="2533"/>
      <c r="AE121" s="2533"/>
      <c r="AF121" s="2533"/>
      <c r="AG121" s="2533"/>
      <c r="AH121" s="2533"/>
      <c r="AI121" s="2533"/>
      <c r="AJ121" s="2533"/>
      <c r="AK121" s="2533"/>
      <c r="AL121" s="339"/>
      <c r="AM121" s="2533"/>
      <c r="AN121" s="2533"/>
      <c r="AO121" s="2533"/>
      <c r="AP121" s="2533"/>
      <c r="AQ121" s="2533"/>
      <c r="AR121" s="2533"/>
      <c r="AS121" s="2533"/>
      <c r="AT121" s="2533"/>
      <c r="AU121" s="2533"/>
      <c r="AV121" s="2533"/>
      <c r="AW121" s="2533"/>
      <c r="AX121" s="2533"/>
      <c r="AY121" s="2533"/>
      <c r="AZ121" s="2537"/>
    </row>
    <row r="122" spans="2:52">
      <c r="B122" s="349"/>
      <c r="C122" s="339"/>
      <c r="D122" s="1384" t="s">
        <v>1871</v>
      </c>
      <c r="E122" s="339"/>
      <c r="F122" s="339"/>
      <c r="G122" s="339"/>
      <c r="H122" s="339"/>
      <c r="I122" s="576" t="s">
        <v>498</v>
      </c>
      <c r="J122" s="297">
        <v>0</v>
      </c>
      <c r="K122" s="298">
        <v>0</v>
      </c>
      <c r="L122" s="298">
        <v>0</v>
      </c>
      <c r="M122" s="298">
        <v>0</v>
      </c>
      <c r="N122" s="298">
        <v>0</v>
      </c>
      <c r="O122" s="298">
        <v>0</v>
      </c>
      <c r="P122" s="298">
        <v>0</v>
      </c>
      <c r="Q122" s="299">
        <v>0</v>
      </c>
      <c r="R122" s="460">
        <v>0</v>
      </c>
      <c r="S122" s="298">
        <v>0</v>
      </c>
      <c r="T122" s="298">
        <v>0</v>
      </c>
      <c r="U122" s="298">
        <v>0</v>
      </c>
      <c r="V122" s="299">
        <v>0</v>
      </c>
      <c r="W122" s="339"/>
      <c r="X122" s="2533"/>
      <c r="Y122" s="2533"/>
      <c r="Z122" s="2533"/>
      <c r="AA122" s="2533"/>
      <c r="AB122" s="2533"/>
      <c r="AC122" s="2533"/>
      <c r="AD122" s="2533"/>
      <c r="AE122" s="2533"/>
      <c r="AF122" s="2533"/>
      <c r="AG122" s="2533"/>
      <c r="AH122" s="2533"/>
      <c r="AI122" s="2533"/>
      <c r="AJ122" s="2533"/>
      <c r="AK122" s="2533"/>
      <c r="AL122" s="339"/>
      <c r="AM122" s="2533"/>
      <c r="AN122" s="2533"/>
      <c r="AO122" s="2533"/>
      <c r="AP122" s="2533"/>
      <c r="AQ122" s="2533"/>
      <c r="AR122" s="2533"/>
      <c r="AS122" s="2533"/>
      <c r="AT122" s="2533"/>
      <c r="AU122" s="2533"/>
      <c r="AV122" s="2533"/>
      <c r="AW122" s="2533"/>
      <c r="AX122" s="2533"/>
      <c r="AY122" s="2533"/>
      <c r="AZ122" s="2537"/>
    </row>
    <row r="123" spans="2:52">
      <c r="B123" s="349"/>
      <c r="C123" s="339"/>
      <c r="D123" s="1384" t="s">
        <v>1872</v>
      </c>
      <c r="E123" s="339"/>
      <c r="F123" s="339"/>
      <c r="G123" s="339"/>
      <c r="H123" s="339"/>
      <c r="I123" s="576" t="s">
        <v>498</v>
      </c>
      <c r="J123" s="297">
        <v>0</v>
      </c>
      <c r="K123" s="298">
        <v>0</v>
      </c>
      <c r="L123" s="298">
        <v>0</v>
      </c>
      <c r="M123" s="298">
        <v>0</v>
      </c>
      <c r="N123" s="298">
        <v>0</v>
      </c>
      <c r="O123" s="298">
        <v>0</v>
      </c>
      <c r="P123" s="298">
        <v>0</v>
      </c>
      <c r="Q123" s="299">
        <v>0</v>
      </c>
      <c r="R123" s="460">
        <v>0</v>
      </c>
      <c r="S123" s="298">
        <v>0</v>
      </c>
      <c r="T123" s="298">
        <v>0</v>
      </c>
      <c r="U123" s="298">
        <v>0</v>
      </c>
      <c r="V123" s="299">
        <v>0</v>
      </c>
      <c r="W123" s="339"/>
      <c r="X123" s="2533"/>
      <c r="Y123" s="2533"/>
      <c r="Z123" s="2533"/>
      <c r="AA123" s="2533"/>
      <c r="AB123" s="2533"/>
      <c r="AC123" s="2533"/>
      <c r="AD123" s="2533"/>
      <c r="AE123" s="2533"/>
      <c r="AF123" s="2533"/>
      <c r="AG123" s="2533"/>
      <c r="AH123" s="2533"/>
      <c r="AI123" s="2533"/>
      <c r="AJ123" s="2533"/>
      <c r="AK123" s="2533"/>
      <c r="AL123" s="339"/>
      <c r="AM123" s="2533"/>
      <c r="AN123" s="2533"/>
      <c r="AO123" s="2533"/>
      <c r="AP123" s="2533"/>
      <c r="AQ123" s="2533"/>
      <c r="AR123" s="2533"/>
      <c r="AS123" s="2533"/>
      <c r="AT123" s="2533"/>
      <c r="AU123" s="2533"/>
      <c r="AV123" s="2533"/>
      <c r="AW123" s="2533"/>
      <c r="AX123" s="2533"/>
      <c r="AY123" s="2533"/>
      <c r="AZ123" s="2537"/>
    </row>
    <row r="124" spans="2:52" ht="15.75" thickBot="1">
      <c r="B124" s="357"/>
      <c r="C124" s="358" t="s">
        <v>1710</v>
      </c>
      <c r="D124" s="1385"/>
      <c r="E124" s="1386"/>
      <c r="F124" s="1386"/>
      <c r="G124" s="358"/>
      <c r="H124" s="300"/>
      <c r="I124" s="581" t="s">
        <v>498</v>
      </c>
      <c r="J124" s="1110">
        <f>SUM(J118:J123)</f>
        <v>1.9628304473496914</v>
      </c>
      <c r="K124" s="1111">
        <f t="shared" ref="K124" si="121">SUM(K118:K123)</f>
        <v>1.9195012073181814</v>
      </c>
      <c r="L124" s="1111">
        <f t="shared" ref="L124" si="122">SUM(L118:L123)</f>
        <v>0.76951412108112538</v>
      </c>
      <c r="M124" s="1111">
        <f t="shared" ref="M124" si="123">SUM(M118:M123)</f>
        <v>1.128733094961357</v>
      </c>
      <c r="N124" s="1111">
        <f t="shared" ref="N124" si="124">SUM(N118:N123)</f>
        <v>1.7442406550190648</v>
      </c>
      <c r="O124" s="1111">
        <f t="shared" ref="O124" si="125">SUM(O118:O123)</f>
        <v>1.30637</v>
      </c>
      <c r="P124" s="1111">
        <f t="shared" ref="P124" si="126">SUM(P118:P123)</f>
        <v>1.6472190750853954</v>
      </c>
      <c r="Q124" s="1112">
        <f t="shared" ref="Q124" si="127">SUM(Q118:Q123)</f>
        <v>1.6472190750853954</v>
      </c>
      <c r="R124" s="1387">
        <f t="shared" ref="R124" si="128">SUM(R118:R123)</f>
        <v>1.6472190750853954</v>
      </c>
      <c r="S124" s="1111">
        <f t="shared" ref="S124" si="129">SUM(S118:S123)</f>
        <v>1.6472190750853954</v>
      </c>
      <c r="T124" s="1111">
        <f t="shared" ref="T124" si="130">SUM(T118:T123)</f>
        <v>1.6472190750853954</v>
      </c>
      <c r="U124" s="1111">
        <f t="shared" ref="U124" si="131">SUM(U118:U123)</f>
        <v>1.6472190750853954</v>
      </c>
      <c r="V124" s="1112">
        <f t="shared" ref="V124" si="132">SUM(V118:V123)</f>
        <v>1.6472190750853954</v>
      </c>
      <c r="W124" s="300"/>
      <c r="X124" s="2536"/>
      <c r="Y124" s="2536"/>
      <c r="Z124" s="2536"/>
      <c r="AA124" s="2536"/>
      <c r="AB124" s="2536"/>
      <c r="AC124" s="2536"/>
      <c r="AD124" s="2536"/>
      <c r="AE124" s="2536"/>
      <c r="AF124" s="2536"/>
      <c r="AG124" s="2536"/>
      <c r="AH124" s="2536"/>
      <c r="AI124" s="2536"/>
      <c r="AJ124" s="2536"/>
      <c r="AK124" s="2536"/>
      <c r="AL124" s="300"/>
      <c r="AM124" s="2536"/>
      <c r="AN124" s="2536"/>
      <c r="AO124" s="2536"/>
      <c r="AP124" s="2536"/>
      <c r="AQ124" s="2536"/>
      <c r="AR124" s="2536"/>
      <c r="AS124" s="2536"/>
      <c r="AT124" s="2536"/>
      <c r="AU124" s="2536"/>
      <c r="AV124" s="2536"/>
      <c r="AW124" s="2536"/>
      <c r="AX124" s="2536"/>
      <c r="AY124" s="2536"/>
      <c r="AZ124" s="2539"/>
    </row>
    <row r="125" spans="2:52" ht="15" thickBot="1"/>
    <row r="126" spans="2:52" ht="30" customHeight="1" thickBot="1">
      <c r="B126" s="640" t="s">
        <v>1716</v>
      </c>
      <c r="C126" s="558"/>
      <c r="D126" s="558"/>
      <c r="E126" s="558"/>
      <c r="F126" s="558"/>
      <c r="G126" s="559"/>
      <c r="H126" s="294"/>
      <c r="I126" s="105" t="s">
        <v>1864</v>
      </c>
      <c r="J126" s="106"/>
      <c r="K126" s="106"/>
      <c r="L126" s="106"/>
      <c r="M126" s="106"/>
      <c r="N126" s="106"/>
      <c r="O126" s="106"/>
      <c r="P126" s="106"/>
      <c r="Q126" s="106"/>
      <c r="R126" s="105"/>
      <c r="S126" s="105"/>
      <c r="T126" s="105"/>
      <c r="U126" s="105"/>
      <c r="V126" s="187"/>
      <c r="W126" s="294"/>
      <c r="X126" s="105" t="s">
        <v>1867</v>
      </c>
      <c r="Y126" s="106"/>
      <c r="Z126" s="106"/>
      <c r="AA126" s="106"/>
      <c r="AB126" s="106"/>
      <c r="AC126" s="106"/>
      <c r="AD126" s="106"/>
      <c r="AE126" s="106"/>
      <c r="AF126" s="106"/>
      <c r="AG126" s="105"/>
      <c r="AH126" s="105"/>
      <c r="AI126" s="105"/>
      <c r="AJ126" s="105"/>
      <c r="AK126" s="187"/>
      <c r="AL126" s="294"/>
      <c r="AM126" s="105" t="s">
        <v>1868</v>
      </c>
      <c r="AN126" s="106"/>
      <c r="AO126" s="106"/>
      <c r="AP126" s="106"/>
      <c r="AQ126" s="106"/>
      <c r="AR126" s="106"/>
      <c r="AS126" s="106"/>
      <c r="AT126" s="106"/>
      <c r="AU126" s="106"/>
      <c r="AV126" s="105"/>
      <c r="AW126" s="105"/>
      <c r="AX126" s="105"/>
      <c r="AY126" s="105"/>
      <c r="AZ126" s="187"/>
    </row>
    <row r="127" spans="2:52" ht="30" customHeight="1">
      <c r="B127" s="560"/>
      <c r="C127" s="561"/>
      <c r="D127" s="561"/>
      <c r="E127" s="561"/>
      <c r="F127" s="561"/>
      <c r="G127" s="561"/>
      <c r="H127" s="259"/>
      <c r="I127" s="562"/>
      <c r="J127" s="563" t="s">
        <v>1666</v>
      </c>
      <c r="K127" s="564"/>
      <c r="L127" s="564"/>
      <c r="M127" s="564"/>
      <c r="N127" s="564"/>
      <c r="O127" s="564"/>
      <c r="P127" s="564"/>
      <c r="Q127" s="565"/>
      <c r="R127" s="567" t="s">
        <v>2</v>
      </c>
      <c r="S127" s="567"/>
      <c r="T127" s="567"/>
      <c r="U127" s="567"/>
      <c r="V127" s="568"/>
      <c r="W127" s="259"/>
      <c r="X127" s="562"/>
      <c r="Y127" s="563" t="s">
        <v>1666</v>
      </c>
      <c r="Z127" s="564"/>
      <c r="AA127" s="564"/>
      <c r="AB127" s="564"/>
      <c r="AC127" s="564"/>
      <c r="AD127" s="564"/>
      <c r="AE127" s="564"/>
      <c r="AF127" s="565"/>
      <c r="AG127" s="567" t="s">
        <v>2</v>
      </c>
      <c r="AH127" s="567"/>
      <c r="AI127" s="567"/>
      <c r="AJ127" s="567"/>
      <c r="AK127" s="568"/>
      <c r="AL127" s="259"/>
      <c r="AM127" s="562"/>
      <c r="AN127" s="563" t="s">
        <v>1666</v>
      </c>
      <c r="AO127" s="564"/>
      <c r="AP127" s="564"/>
      <c r="AQ127" s="564"/>
      <c r="AR127" s="564"/>
      <c r="AS127" s="564"/>
      <c r="AT127" s="564"/>
      <c r="AU127" s="565"/>
      <c r="AV127" s="567" t="s">
        <v>2</v>
      </c>
      <c r="AW127" s="567"/>
      <c r="AX127" s="567"/>
      <c r="AY127" s="567"/>
      <c r="AZ127" s="568"/>
    </row>
    <row r="128" spans="2:52" ht="15">
      <c r="B128" s="572"/>
      <c r="C128" s="339"/>
      <c r="D128" s="339"/>
      <c r="E128" s="339"/>
      <c r="F128" s="339"/>
      <c r="G128" s="339"/>
      <c r="H128" s="259"/>
      <c r="I128" s="571" t="s">
        <v>1745</v>
      </c>
      <c r="J128" s="158" t="s">
        <v>453</v>
      </c>
      <c r="K128" s="137" t="s">
        <v>455</v>
      </c>
      <c r="L128" s="137" t="s">
        <v>457</v>
      </c>
      <c r="M128" s="137" t="s">
        <v>459</v>
      </c>
      <c r="N128" s="137" t="s">
        <v>461</v>
      </c>
      <c r="O128" s="137" t="s">
        <v>463</v>
      </c>
      <c r="P128" s="137" t="s">
        <v>465</v>
      </c>
      <c r="Q128" s="138" t="s">
        <v>467</v>
      </c>
      <c r="R128" s="242" t="s">
        <v>469</v>
      </c>
      <c r="S128" s="121" t="s">
        <v>471</v>
      </c>
      <c r="T128" s="121" t="s">
        <v>473</v>
      </c>
      <c r="U128" s="121" t="s">
        <v>475</v>
      </c>
      <c r="V128" s="122" t="s">
        <v>477</v>
      </c>
      <c r="W128" s="259"/>
      <c r="X128" s="571" t="s">
        <v>1745</v>
      </c>
      <c r="Y128" s="158" t="s">
        <v>453</v>
      </c>
      <c r="Z128" s="137" t="s">
        <v>455</v>
      </c>
      <c r="AA128" s="137" t="s">
        <v>457</v>
      </c>
      <c r="AB128" s="137" t="s">
        <v>459</v>
      </c>
      <c r="AC128" s="137" t="s">
        <v>461</v>
      </c>
      <c r="AD128" s="137" t="s">
        <v>463</v>
      </c>
      <c r="AE128" s="137" t="s">
        <v>465</v>
      </c>
      <c r="AF128" s="138" t="s">
        <v>467</v>
      </c>
      <c r="AG128" s="242" t="s">
        <v>469</v>
      </c>
      <c r="AH128" s="121" t="s">
        <v>471</v>
      </c>
      <c r="AI128" s="121" t="s">
        <v>473</v>
      </c>
      <c r="AJ128" s="121" t="s">
        <v>475</v>
      </c>
      <c r="AK128" s="122" t="s">
        <v>477</v>
      </c>
      <c r="AL128" s="259"/>
      <c r="AM128" s="571" t="s">
        <v>1745</v>
      </c>
      <c r="AN128" s="158" t="s">
        <v>453</v>
      </c>
      <c r="AO128" s="137" t="s">
        <v>455</v>
      </c>
      <c r="AP128" s="137" t="s">
        <v>457</v>
      </c>
      <c r="AQ128" s="137" t="s">
        <v>459</v>
      </c>
      <c r="AR128" s="137" t="s">
        <v>461</v>
      </c>
      <c r="AS128" s="137" t="s">
        <v>463</v>
      </c>
      <c r="AT128" s="137" t="s">
        <v>465</v>
      </c>
      <c r="AU128" s="138" t="s">
        <v>467</v>
      </c>
      <c r="AV128" s="242" t="s">
        <v>469</v>
      </c>
      <c r="AW128" s="121" t="s">
        <v>471</v>
      </c>
      <c r="AX128" s="121" t="s">
        <v>473</v>
      </c>
      <c r="AY128" s="121" t="s">
        <v>475</v>
      </c>
      <c r="AZ128" s="122" t="s">
        <v>477</v>
      </c>
    </row>
    <row r="129" spans="2:52" ht="15">
      <c r="B129" s="572"/>
      <c r="C129" s="623" t="s">
        <v>1870</v>
      </c>
      <c r="D129" s="591"/>
      <c r="E129" s="591"/>
      <c r="F129" s="591"/>
      <c r="G129" s="339"/>
      <c r="H129" s="259"/>
      <c r="I129" s="260"/>
      <c r="J129" s="295"/>
      <c r="K129" s="259"/>
      <c r="L129" s="259"/>
      <c r="M129" s="259"/>
      <c r="N129" s="259"/>
      <c r="O129" s="259"/>
      <c r="P129" s="259"/>
      <c r="Q129" s="296"/>
      <c r="R129" s="259"/>
      <c r="S129" s="259"/>
      <c r="T129" s="259"/>
      <c r="U129" s="259"/>
      <c r="V129" s="296"/>
      <c r="W129" s="259"/>
      <c r="X129" s="260"/>
      <c r="Y129" s="295"/>
      <c r="Z129" s="259"/>
      <c r="AA129" s="259"/>
      <c r="AB129" s="259"/>
      <c r="AC129" s="259"/>
      <c r="AD129" s="259"/>
      <c r="AE129" s="259"/>
      <c r="AF129" s="296"/>
      <c r="AG129" s="259"/>
      <c r="AH129" s="259"/>
      <c r="AI129" s="259"/>
      <c r="AJ129" s="259"/>
      <c r="AK129" s="296"/>
      <c r="AL129" s="259"/>
      <c r="AM129" s="260"/>
      <c r="AN129" s="295"/>
      <c r="AO129" s="259"/>
      <c r="AP129" s="259"/>
      <c r="AQ129" s="259"/>
      <c r="AR129" s="259"/>
      <c r="AS129" s="259"/>
      <c r="AT129" s="259"/>
      <c r="AU129" s="296"/>
      <c r="AV129" s="259"/>
      <c r="AW129" s="259"/>
      <c r="AX129" s="259"/>
      <c r="AY129" s="259"/>
      <c r="AZ129" s="296"/>
    </row>
    <row r="130" spans="2:52" ht="15">
      <c r="B130" s="349"/>
      <c r="C130" s="339"/>
      <c r="D130" s="1384" t="s">
        <v>315</v>
      </c>
      <c r="E130" s="591"/>
      <c r="F130" s="591"/>
      <c r="G130" s="339"/>
      <c r="H130" s="259"/>
      <c r="I130" s="576" t="s">
        <v>498</v>
      </c>
      <c r="J130" s="297">
        <v>0.83161837737146715</v>
      </c>
      <c r="K130" s="298">
        <v>0.98852660578599394</v>
      </c>
      <c r="L130" s="298">
        <v>0.95705323227680172</v>
      </c>
      <c r="M130" s="298">
        <v>1.224378345925965</v>
      </c>
      <c r="N130" s="298">
        <v>1.1617279609974132</v>
      </c>
      <c r="O130" s="298">
        <v>1.3761888832262865</v>
      </c>
      <c r="P130" s="298">
        <v>1.369307938810155</v>
      </c>
      <c r="Q130" s="299">
        <v>1.3624613991161043</v>
      </c>
      <c r="R130" s="460">
        <v>1.3556490921205238</v>
      </c>
      <c r="S130" s="298">
        <v>1.3488708466599211</v>
      </c>
      <c r="T130" s="298">
        <v>1.3421264924266214</v>
      </c>
      <c r="U130" s="298">
        <v>1.3354158599644883</v>
      </c>
      <c r="V130" s="299">
        <v>1.3287387806646658</v>
      </c>
      <c r="W130" s="259"/>
      <c r="X130" s="576" t="s">
        <v>498</v>
      </c>
      <c r="Y130" s="297">
        <v>5.2668560407621884E-2</v>
      </c>
      <c r="Z130" s="298">
        <v>7.9787378217672289E-2</v>
      </c>
      <c r="AA130" s="298">
        <v>9.9593520930897322E-2</v>
      </c>
      <c r="AB130" s="298">
        <v>7.7761091009359518E-2</v>
      </c>
      <c r="AC130" s="298">
        <v>8.4588683930087016E-3</v>
      </c>
      <c r="AD130" s="298">
        <v>4.9870421580970305E-2</v>
      </c>
      <c r="AE130" s="298">
        <v>4.9621069473065452E-2</v>
      </c>
      <c r="AF130" s="299">
        <v>4.9372964125700122E-2</v>
      </c>
      <c r="AG130" s="460">
        <v>4.912609930507162E-2</v>
      </c>
      <c r="AH130" s="298">
        <v>4.8880468808546261E-2</v>
      </c>
      <c r="AI130" s="298">
        <v>4.8636066464503531E-2</v>
      </c>
      <c r="AJ130" s="298">
        <v>4.8392886132181012E-2</v>
      </c>
      <c r="AK130" s="299">
        <v>4.8150921701520105E-2</v>
      </c>
      <c r="AL130" s="259"/>
      <c r="AM130" s="576" t="s">
        <v>498</v>
      </c>
      <c r="AN130" s="297">
        <v>5.2668560407621884E-2</v>
      </c>
      <c r="AO130" s="298">
        <v>7.9787378217672289E-2</v>
      </c>
      <c r="AP130" s="298">
        <v>9.9593520930897322E-2</v>
      </c>
      <c r="AQ130" s="298">
        <v>0.23328327302807855</v>
      </c>
      <c r="AR130" s="298">
        <v>8.4588683930087016E-3</v>
      </c>
      <c r="AS130" s="298">
        <v>8.4165740510436585E-3</v>
      </c>
      <c r="AT130" s="298">
        <v>8.3744911807884393E-3</v>
      </c>
      <c r="AU130" s="299">
        <v>8.3326187248844979E-3</v>
      </c>
      <c r="AV130" s="460">
        <v>8.2909556312600746E-3</v>
      </c>
      <c r="AW130" s="298">
        <v>8.249500853103775E-3</v>
      </c>
      <c r="AX130" s="298">
        <v>8.2082533488382556E-3</v>
      </c>
      <c r="AY130" s="298">
        <v>8.1672120820940643E-3</v>
      </c>
      <c r="AZ130" s="299">
        <v>8.1263760216835935E-3</v>
      </c>
    </row>
    <row r="131" spans="2:52" ht="15">
      <c r="B131" s="349"/>
      <c r="C131" s="339"/>
      <c r="D131" s="1384" t="s">
        <v>324</v>
      </c>
      <c r="E131" s="591"/>
      <c r="F131" s="591"/>
      <c r="G131" s="339"/>
      <c r="H131" s="259"/>
      <c r="I131" s="576" t="s">
        <v>498</v>
      </c>
      <c r="J131" s="297">
        <v>0</v>
      </c>
      <c r="K131" s="298">
        <v>0</v>
      </c>
      <c r="L131" s="298">
        <v>0</v>
      </c>
      <c r="M131" s="298">
        <v>0</v>
      </c>
      <c r="N131" s="298">
        <v>0</v>
      </c>
      <c r="O131" s="298">
        <v>0</v>
      </c>
      <c r="P131" s="298">
        <v>0</v>
      </c>
      <c r="Q131" s="299">
        <v>0</v>
      </c>
      <c r="R131" s="460">
        <v>0</v>
      </c>
      <c r="S131" s="298">
        <v>0</v>
      </c>
      <c r="T131" s="298">
        <v>0</v>
      </c>
      <c r="U131" s="298">
        <v>0</v>
      </c>
      <c r="V131" s="299">
        <v>0</v>
      </c>
      <c r="W131" s="259"/>
      <c r="X131" s="576" t="s">
        <v>498</v>
      </c>
      <c r="Y131" s="297">
        <v>0</v>
      </c>
      <c r="Z131" s="298">
        <v>0</v>
      </c>
      <c r="AA131" s="298">
        <v>0</v>
      </c>
      <c r="AB131" s="298">
        <v>0</v>
      </c>
      <c r="AC131" s="298">
        <v>0</v>
      </c>
      <c r="AD131" s="298">
        <v>0</v>
      </c>
      <c r="AE131" s="298">
        <v>0</v>
      </c>
      <c r="AF131" s="299">
        <v>0</v>
      </c>
      <c r="AG131" s="460">
        <v>0</v>
      </c>
      <c r="AH131" s="298">
        <v>0</v>
      </c>
      <c r="AI131" s="298">
        <v>0</v>
      </c>
      <c r="AJ131" s="298">
        <v>0</v>
      </c>
      <c r="AK131" s="299">
        <v>0</v>
      </c>
      <c r="AL131" s="259"/>
      <c r="AM131" s="576" t="s">
        <v>498</v>
      </c>
      <c r="AN131" s="297">
        <v>0</v>
      </c>
      <c r="AO131" s="298">
        <v>0</v>
      </c>
      <c r="AP131" s="298">
        <v>0</v>
      </c>
      <c r="AQ131" s="298">
        <v>0</v>
      </c>
      <c r="AR131" s="298">
        <v>0</v>
      </c>
      <c r="AS131" s="298">
        <v>0</v>
      </c>
      <c r="AT131" s="298">
        <v>0</v>
      </c>
      <c r="AU131" s="299">
        <v>0</v>
      </c>
      <c r="AV131" s="460">
        <v>0</v>
      </c>
      <c r="AW131" s="298">
        <v>0</v>
      </c>
      <c r="AX131" s="298">
        <v>0</v>
      </c>
      <c r="AY131" s="298">
        <v>0</v>
      </c>
      <c r="AZ131" s="299">
        <v>0</v>
      </c>
    </row>
    <row r="132" spans="2:52" ht="15">
      <c r="B132" s="349"/>
      <c r="C132" s="339"/>
      <c r="D132" s="1384" t="s">
        <v>329</v>
      </c>
      <c r="E132" s="591"/>
      <c r="F132" s="591"/>
      <c r="G132" s="339"/>
      <c r="H132" s="259"/>
      <c r="I132" s="576" t="s">
        <v>498</v>
      </c>
      <c r="J132" s="297">
        <v>0</v>
      </c>
      <c r="K132" s="298">
        <v>0</v>
      </c>
      <c r="L132" s="298">
        <v>0</v>
      </c>
      <c r="M132" s="298">
        <v>0</v>
      </c>
      <c r="N132" s="298">
        <v>0</v>
      </c>
      <c r="O132" s="298">
        <v>0</v>
      </c>
      <c r="P132" s="298">
        <v>0</v>
      </c>
      <c r="Q132" s="299">
        <v>0</v>
      </c>
      <c r="R132" s="460">
        <v>0</v>
      </c>
      <c r="S132" s="298">
        <v>0</v>
      </c>
      <c r="T132" s="298">
        <v>0</v>
      </c>
      <c r="U132" s="298">
        <v>0</v>
      </c>
      <c r="V132" s="299">
        <v>0</v>
      </c>
      <c r="W132" s="259"/>
      <c r="X132" s="576" t="s">
        <v>498</v>
      </c>
      <c r="Y132" s="297">
        <v>0</v>
      </c>
      <c r="Z132" s="298">
        <v>0</v>
      </c>
      <c r="AA132" s="298">
        <v>0</v>
      </c>
      <c r="AB132" s="298">
        <v>0</v>
      </c>
      <c r="AC132" s="298">
        <v>0</v>
      </c>
      <c r="AD132" s="298">
        <v>0</v>
      </c>
      <c r="AE132" s="298">
        <v>0</v>
      </c>
      <c r="AF132" s="299">
        <v>0</v>
      </c>
      <c r="AG132" s="460">
        <v>0</v>
      </c>
      <c r="AH132" s="298">
        <v>0</v>
      </c>
      <c r="AI132" s="298">
        <v>0</v>
      </c>
      <c r="AJ132" s="298">
        <v>0</v>
      </c>
      <c r="AK132" s="299">
        <v>0</v>
      </c>
      <c r="AL132" s="259"/>
      <c r="AM132" s="576" t="s">
        <v>498</v>
      </c>
      <c r="AN132" s="297">
        <v>0</v>
      </c>
      <c r="AO132" s="298">
        <v>0</v>
      </c>
      <c r="AP132" s="298">
        <v>0</v>
      </c>
      <c r="AQ132" s="298">
        <v>0</v>
      </c>
      <c r="AR132" s="298">
        <v>0</v>
      </c>
      <c r="AS132" s="298">
        <v>0</v>
      </c>
      <c r="AT132" s="298">
        <v>0</v>
      </c>
      <c r="AU132" s="299">
        <v>0</v>
      </c>
      <c r="AV132" s="460">
        <v>0</v>
      </c>
      <c r="AW132" s="298">
        <v>0</v>
      </c>
      <c r="AX132" s="298">
        <v>0</v>
      </c>
      <c r="AY132" s="298">
        <v>0</v>
      </c>
      <c r="AZ132" s="299">
        <v>0</v>
      </c>
    </row>
    <row r="133" spans="2:52" ht="15">
      <c r="B133" s="349"/>
      <c r="C133" s="339"/>
      <c r="D133" s="1384" t="s">
        <v>332</v>
      </c>
      <c r="E133" s="591"/>
      <c r="F133" s="591"/>
      <c r="G133" s="339"/>
      <c r="H133" s="259"/>
      <c r="I133" s="576" t="s">
        <v>498</v>
      </c>
      <c r="J133" s="297">
        <v>0</v>
      </c>
      <c r="K133" s="298">
        <v>0</v>
      </c>
      <c r="L133" s="298">
        <v>0</v>
      </c>
      <c r="M133" s="298">
        <v>0</v>
      </c>
      <c r="N133" s="298">
        <v>0</v>
      </c>
      <c r="O133" s="298">
        <v>0</v>
      </c>
      <c r="P133" s="298">
        <v>0</v>
      </c>
      <c r="Q133" s="299">
        <v>0</v>
      </c>
      <c r="R133" s="460">
        <v>0</v>
      </c>
      <c r="S133" s="298">
        <v>0</v>
      </c>
      <c r="T133" s="298">
        <v>0</v>
      </c>
      <c r="U133" s="298">
        <v>0</v>
      </c>
      <c r="V133" s="299">
        <v>0</v>
      </c>
      <c r="W133" s="259"/>
      <c r="X133" s="576" t="s">
        <v>498</v>
      </c>
      <c r="Y133" s="297">
        <v>0</v>
      </c>
      <c r="Z133" s="298">
        <v>0</v>
      </c>
      <c r="AA133" s="298">
        <v>0</v>
      </c>
      <c r="AB133" s="298">
        <v>0</v>
      </c>
      <c r="AC133" s="298">
        <v>0</v>
      </c>
      <c r="AD133" s="298">
        <v>0</v>
      </c>
      <c r="AE133" s="298">
        <v>0</v>
      </c>
      <c r="AF133" s="299">
        <v>0</v>
      </c>
      <c r="AG133" s="460">
        <v>0</v>
      </c>
      <c r="AH133" s="298">
        <v>0</v>
      </c>
      <c r="AI133" s="298">
        <v>0</v>
      </c>
      <c r="AJ133" s="298">
        <v>0</v>
      </c>
      <c r="AK133" s="299">
        <v>0</v>
      </c>
      <c r="AL133" s="259"/>
      <c r="AM133" s="576" t="s">
        <v>498</v>
      </c>
      <c r="AN133" s="297">
        <v>0</v>
      </c>
      <c r="AO133" s="298">
        <v>0</v>
      </c>
      <c r="AP133" s="298">
        <v>0</v>
      </c>
      <c r="AQ133" s="298">
        <v>0</v>
      </c>
      <c r="AR133" s="298">
        <v>0</v>
      </c>
      <c r="AS133" s="298">
        <v>0</v>
      </c>
      <c r="AT133" s="298">
        <v>0</v>
      </c>
      <c r="AU133" s="299">
        <v>0</v>
      </c>
      <c r="AV133" s="460">
        <v>0</v>
      </c>
      <c r="AW133" s="298">
        <v>0</v>
      </c>
      <c r="AX133" s="298">
        <v>0</v>
      </c>
      <c r="AY133" s="298">
        <v>0</v>
      </c>
      <c r="AZ133" s="299">
        <v>0</v>
      </c>
    </row>
    <row r="134" spans="2:52" ht="15">
      <c r="B134" s="349"/>
      <c r="C134" s="339"/>
      <c r="D134" s="1384" t="s">
        <v>1871</v>
      </c>
      <c r="E134" s="591"/>
      <c r="F134" s="591"/>
      <c r="G134" s="339"/>
      <c r="H134" s="259"/>
      <c r="I134" s="576" t="s">
        <v>498</v>
      </c>
      <c r="J134" s="297">
        <v>0</v>
      </c>
      <c r="K134" s="298">
        <v>0</v>
      </c>
      <c r="L134" s="298">
        <v>0</v>
      </c>
      <c r="M134" s="298">
        <v>0</v>
      </c>
      <c r="N134" s="298">
        <v>0</v>
      </c>
      <c r="O134" s="298">
        <v>0</v>
      </c>
      <c r="P134" s="298">
        <v>0</v>
      </c>
      <c r="Q134" s="299">
        <v>0</v>
      </c>
      <c r="R134" s="460">
        <v>0</v>
      </c>
      <c r="S134" s="298">
        <v>0</v>
      </c>
      <c r="T134" s="298">
        <v>0</v>
      </c>
      <c r="U134" s="298">
        <v>0</v>
      </c>
      <c r="V134" s="299">
        <v>0</v>
      </c>
      <c r="W134" s="259"/>
      <c r="X134" s="576" t="s">
        <v>498</v>
      </c>
      <c r="Y134" s="297">
        <v>0</v>
      </c>
      <c r="Z134" s="298">
        <v>0</v>
      </c>
      <c r="AA134" s="298">
        <v>0</v>
      </c>
      <c r="AB134" s="298">
        <v>0</v>
      </c>
      <c r="AC134" s="298">
        <v>0</v>
      </c>
      <c r="AD134" s="298">
        <v>0</v>
      </c>
      <c r="AE134" s="298">
        <v>0</v>
      </c>
      <c r="AF134" s="299">
        <v>0</v>
      </c>
      <c r="AG134" s="460">
        <v>0</v>
      </c>
      <c r="AH134" s="298">
        <v>0</v>
      </c>
      <c r="AI134" s="298">
        <v>0</v>
      </c>
      <c r="AJ134" s="298">
        <v>0</v>
      </c>
      <c r="AK134" s="299">
        <v>0</v>
      </c>
      <c r="AL134" s="259"/>
      <c r="AM134" s="576" t="s">
        <v>498</v>
      </c>
      <c r="AN134" s="297">
        <v>0</v>
      </c>
      <c r="AO134" s="298">
        <v>0</v>
      </c>
      <c r="AP134" s="298">
        <v>0</v>
      </c>
      <c r="AQ134" s="298">
        <v>0</v>
      </c>
      <c r="AR134" s="298">
        <v>0</v>
      </c>
      <c r="AS134" s="298">
        <v>0</v>
      </c>
      <c r="AT134" s="298">
        <v>0</v>
      </c>
      <c r="AU134" s="299">
        <v>0</v>
      </c>
      <c r="AV134" s="460">
        <v>0</v>
      </c>
      <c r="AW134" s="298">
        <v>0</v>
      </c>
      <c r="AX134" s="298">
        <v>0</v>
      </c>
      <c r="AY134" s="298">
        <v>0</v>
      </c>
      <c r="AZ134" s="299">
        <v>0</v>
      </c>
    </row>
    <row r="135" spans="2:52" ht="15">
      <c r="B135" s="349"/>
      <c r="C135" s="339"/>
      <c r="D135" s="1384" t="s">
        <v>1872</v>
      </c>
      <c r="E135" s="591"/>
      <c r="F135" s="591"/>
      <c r="G135" s="339"/>
      <c r="H135" s="259"/>
      <c r="I135" s="576" t="s">
        <v>498</v>
      </c>
      <c r="J135" s="297">
        <v>0</v>
      </c>
      <c r="K135" s="298">
        <v>0</v>
      </c>
      <c r="L135" s="298">
        <v>0</v>
      </c>
      <c r="M135" s="298">
        <v>0</v>
      </c>
      <c r="N135" s="298">
        <v>0</v>
      </c>
      <c r="O135" s="298">
        <v>0</v>
      </c>
      <c r="P135" s="298">
        <v>0</v>
      </c>
      <c r="Q135" s="299">
        <v>0</v>
      </c>
      <c r="R135" s="460">
        <v>0</v>
      </c>
      <c r="S135" s="298">
        <v>0</v>
      </c>
      <c r="T135" s="298">
        <v>0</v>
      </c>
      <c r="U135" s="298">
        <v>0</v>
      </c>
      <c r="V135" s="299">
        <v>0</v>
      </c>
      <c r="W135" s="259"/>
      <c r="X135" s="576" t="s">
        <v>498</v>
      </c>
      <c r="Y135" s="297">
        <v>0</v>
      </c>
      <c r="Z135" s="298">
        <v>0</v>
      </c>
      <c r="AA135" s="298">
        <v>0</v>
      </c>
      <c r="AB135" s="298">
        <v>0</v>
      </c>
      <c r="AC135" s="298">
        <v>0</v>
      </c>
      <c r="AD135" s="298">
        <v>0</v>
      </c>
      <c r="AE135" s="298">
        <v>0</v>
      </c>
      <c r="AF135" s="299">
        <v>0</v>
      </c>
      <c r="AG135" s="460">
        <v>0</v>
      </c>
      <c r="AH135" s="298">
        <v>0</v>
      </c>
      <c r="AI135" s="298">
        <v>0</v>
      </c>
      <c r="AJ135" s="298">
        <v>0</v>
      </c>
      <c r="AK135" s="299">
        <v>0</v>
      </c>
      <c r="AL135" s="259"/>
      <c r="AM135" s="576" t="s">
        <v>498</v>
      </c>
      <c r="AN135" s="297">
        <v>0</v>
      </c>
      <c r="AO135" s="298">
        <v>0</v>
      </c>
      <c r="AP135" s="298">
        <v>0</v>
      </c>
      <c r="AQ135" s="298">
        <v>0</v>
      </c>
      <c r="AR135" s="298">
        <v>0</v>
      </c>
      <c r="AS135" s="298">
        <v>0</v>
      </c>
      <c r="AT135" s="298">
        <v>0</v>
      </c>
      <c r="AU135" s="299">
        <v>0</v>
      </c>
      <c r="AV135" s="460">
        <v>0</v>
      </c>
      <c r="AW135" s="298">
        <v>0</v>
      </c>
      <c r="AX135" s="298">
        <v>0</v>
      </c>
      <c r="AY135" s="298">
        <v>0</v>
      </c>
      <c r="AZ135" s="299">
        <v>0</v>
      </c>
    </row>
    <row r="136" spans="2:52" ht="15.75" thickBot="1">
      <c r="B136" s="357" t="s">
        <v>1701</v>
      </c>
      <c r="C136" s="358"/>
      <c r="D136" s="1385"/>
      <c r="E136" s="1386"/>
      <c r="F136" s="1386"/>
      <c r="G136" s="358"/>
      <c r="H136" s="300"/>
      <c r="I136" s="581" t="s">
        <v>498</v>
      </c>
      <c r="J136" s="627">
        <f>SUM(J130:J135)</f>
        <v>0.83161837737146715</v>
      </c>
      <c r="K136" s="628">
        <f t="shared" ref="K136" si="133">SUM(K130:K135)</f>
        <v>0.98852660578599394</v>
      </c>
      <c r="L136" s="628">
        <f t="shared" ref="L136" si="134">SUM(L130:L135)</f>
        <v>0.95705323227680172</v>
      </c>
      <c r="M136" s="628">
        <f t="shared" ref="M136" si="135">SUM(M130:M135)</f>
        <v>1.224378345925965</v>
      </c>
      <c r="N136" s="628">
        <f t="shared" ref="N136" si="136">SUM(N130:N135)</f>
        <v>1.1617279609974132</v>
      </c>
      <c r="O136" s="628">
        <f t="shared" ref="O136" si="137">SUM(O130:O135)</f>
        <v>1.3761888832262865</v>
      </c>
      <c r="P136" s="628">
        <f t="shared" ref="P136" si="138">SUM(P130:P135)</f>
        <v>1.369307938810155</v>
      </c>
      <c r="Q136" s="629">
        <f t="shared" ref="Q136" si="139">SUM(Q130:Q135)</f>
        <v>1.3624613991161043</v>
      </c>
      <c r="R136" s="770">
        <f t="shared" ref="R136" si="140">SUM(R130:R135)</f>
        <v>1.3556490921205238</v>
      </c>
      <c r="S136" s="628">
        <f t="shared" ref="S136" si="141">SUM(S130:S135)</f>
        <v>1.3488708466599211</v>
      </c>
      <c r="T136" s="628">
        <f t="shared" ref="T136" si="142">SUM(T130:T135)</f>
        <v>1.3421264924266214</v>
      </c>
      <c r="U136" s="628">
        <f t="shared" ref="U136" si="143">SUM(U130:U135)</f>
        <v>1.3354158599644883</v>
      </c>
      <c r="V136" s="629">
        <f t="shared" ref="V136" si="144">SUM(V130:V135)</f>
        <v>1.3287387806646658</v>
      </c>
      <c r="W136" s="300"/>
      <c r="X136" s="581" t="s">
        <v>498</v>
      </c>
      <c r="Y136" s="627">
        <f>SUM(Y130:Y135)</f>
        <v>5.2668560407621884E-2</v>
      </c>
      <c r="Z136" s="628">
        <f t="shared" ref="Z136:AK136" si="145">SUM(Z130:Z135)</f>
        <v>7.9787378217672289E-2</v>
      </c>
      <c r="AA136" s="628">
        <f t="shared" si="145"/>
        <v>9.9593520930897322E-2</v>
      </c>
      <c r="AB136" s="628">
        <f t="shared" si="145"/>
        <v>7.7761091009359518E-2</v>
      </c>
      <c r="AC136" s="628">
        <f t="shared" si="145"/>
        <v>8.4588683930087016E-3</v>
      </c>
      <c r="AD136" s="628">
        <f t="shared" si="145"/>
        <v>4.9870421580970305E-2</v>
      </c>
      <c r="AE136" s="628">
        <f t="shared" si="145"/>
        <v>4.9621069473065452E-2</v>
      </c>
      <c r="AF136" s="629">
        <f t="shared" si="145"/>
        <v>4.9372964125700122E-2</v>
      </c>
      <c r="AG136" s="770">
        <f t="shared" si="145"/>
        <v>4.912609930507162E-2</v>
      </c>
      <c r="AH136" s="628">
        <f t="shared" si="145"/>
        <v>4.8880468808546261E-2</v>
      </c>
      <c r="AI136" s="628">
        <f t="shared" si="145"/>
        <v>4.8636066464503531E-2</v>
      </c>
      <c r="AJ136" s="628">
        <f t="shared" si="145"/>
        <v>4.8392886132181012E-2</v>
      </c>
      <c r="AK136" s="629">
        <f t="shared" si="145"/>
        <v>4.8150921701520105E-2</v>
      </c>
      <c r="AL136" s="300"/>
      <c r="AM136" s="581" t="s">
        <v>498</v>
      </c>
      <c r="AN136" s="627">
        <f>SUM(AN130:AN135)</f>
        <v>5.2668560407621884E-2</v>
      </c>
      <c r="AO136" s="628">
        <f t="shared" ref="AO136:AZ136" si="146">SUM(AO130:AO135)</f>
        <v>7.9787378217672289E-2</v>
      </c>
      <c r="AP136" s="628">
        <f t="shared" si="146"/>
        <v>9.9593520930897322E-2</v>
      </c>
      <c r="AQ136" s="628">
        <f t="shared" si="146"/>
        <v>0.23328327302807855</v>
      </c>
      <c r="AR136" s="628">
        <f t="shared" si="146"/>
        <v>8.4588683930087016E-3</v>
      </c>
      <c r="AS136" s="628">
        <f t="shared" si="146"/>
        <v>8.4165740510436585E-3</v>
      </c>
      <c r="AT136" s="628">
        <f t="shared" si="146"/>
        <v>8.3744911807884393E-3</v>
      </c>
      <c r="AU136" s="629">
        <f t="shared" si="146"/>
        <v>8.3326187248844979E-3</v>
      </c>
      <c r="AV136" s="770">
        <f t="shared" si="146"/>
        <v>8.2909556312600746E-3</v>
      </c>
      <c r="AW136" s="628">
        <f t="shared" si="146"/>
        <v>8.249500853103775E-3</v>
      </c>
      <c r="AX136" s="628">
        <f t="shared" si="146"/>
        <v>8.2082533488382556E-3</v>
      </c>
      <c r="AY136" s="628">
        <f t="shared" si="146"/>
        <v>8.1672120820940643E-3</v>
      </c>
      <c r="AZ136" s="629">
        <f t="shared" si="146"/>
        <v>8.1263760216835935E-3</v>
      </c>
    </row>
    <row r="137" spans="2:52" ht="15" thickBot="1"/>
    <row r="138" spans="2:52" ht="30" customHeight="1" thickBot="1">
      <c r="B138" s="640" t="s">
        <v>1717</v>
      </c>
      <c r="C138" s="558"/>
      <c r="D138" s="558"/>
      <c r="E138" s="558"/>
      <c r="F138" s="558"/>
      <c r="G138" s="559"/>
      <c r="H138" s="294"/>
      <c r="I138" s="105" t="s">
        <v>1864</v>
      </c>
      <c r="J138" s="106"/>
      <c r="K138" s="106"/>
      <c r="L138" s="106"/>
      <c r="M138" s="106"/>
      <c r="N138" s="106"/>
      <c r="O138" s="106"/>
      <c r="P138" s="106"/>
      <c r="Q138" s="106"/>
      <c r="R138" s="105"/>
      <c r="S138" s="105"/>
      <c r="T138" s="105"/>
      <c r="U138" s="105"/>
      <c r="V138" s="187"/>
      <c r="W138" s="294"/>
      <c r="X138" s="105" t="s">
        <v>1867</v>
      </c>
      <c r="Y138" s="106"/>
      <c r="Z138" s="106"/>
      <c r="AA138" s="106"/>
      <c r="AB138" s="106"/>
      <c r="AC138" s="106"/>
      <c r="AD138" s="106"/>
      <c r="AE138" s="106"/>
      <c r="AF138" s="106"/>
      <c r="AG138" s="105"/>
      <c r="AH138" s="105"/>
      <c r="AI138" s="105"/>
      <c r="AJ138" s="105"/>
      <c r="AK138" s="187"/>
      <c r="AL138" s="294"/>
      <c r="AM138" s="105" t="s">
        <v>1868</v>
      </c>
      <c r="AN138" s="106"/>
      <c r="AO138" s="106"/>
      <c r="AP138" s="106"/>
      <c r="AQ138" s="106"/>
      <c r="AR138" s="106"/>
      <c r="AS138" s="106"/>
      <c r="AT138" s="106"/>
      <c r="AU138" s="106"/>
      <c r="AV138" s="105"/>
      <c r="AW138" s="105"/>
      <c r="AX138" s="105"/>
      <c r="AY138" s="105"/>
      <c r="AZ138" s="187"/>
    </row>
    <row r="139" spans="2:52" ht="30" customHeight="1">
      <c r="B139" s="560"/>
      <c r="C139" s="561"/>
      <c r="D139" s="561"/>
      <c r="E139" s="561"/>
      <c r="F139" s="561"/>
      <c r="G139" s="561"/>
      <c r="H139" s="259"/>
      <c r="I139" s="562"/>
      <c r="J139" s="563" t="s">
        <v>1666</v>
      </c>
      <c r="K139" s="564"/>
      <c r="L139" s="564"/>
      <c r="M139" s="564"/>
      <c r="N139" s="564"/>
      <c r="O139" s="564"/>
      <c r="P139" s="564"/>
      <c r="Q139" s="565"/>
      <c r="R139" s="567" t="s">
        <v>2</v>
      </c>
      <c r="S139" s="567"/>
      <c r="T139" s="567"/>
      <c r="U139" s="567"/>
      <c r="V139" s="568"/>
      <c r="W139" s="259"/>
      <c r="X139" s="562"/>
      <c r="Y139" s="563" t="s">
        <v>1666</v>
      </c>
      <c r="Z139" s="564"/>
      <c r="AA139" s="564"/>
      <c r="AB139" s="564"/>
      <c r="AC139" s="564"/>
      <c r="AD139" s="564"/>
      <c r="AE139" s="564"/>
      <c r="AF139" s="565"/>
      <c r="AG139" s="567" t="s">
        <v>2</v>
      </c>
      <c r="AH139" s="567"/>
      <c r="AI139" s="567"/>
      <c r="AJ139" s="567"/>
      <c r="AK139" s="568"/>
      <c r="AL139" s="259"/>
      <c r="AM139" s="562"/>
      <c r="AN139" s="563" t="s">
        <v>1666</v>
      </c>
      <c r="AO139" s="564"/>
      <c r="AP139" s="564"/>
      <c r="AQ139" s="564"/>
      <c r="AR139" s="564"/>
      <c r="AS139" s="564"/>
      <c r="AT139" s="564"/>
      <c r="AU139" s="565"/>
      <c r="AV139" s="567" t="s">
        <v>2</v>
      </c>
      <c r="AW139" s="567"/>
      <c r="AX139" s="567"/>
      <c r="AY139" s="567"/>
      <c r="AZ139" s="568"/>
    </row>
    <row r="140" spans="2:52" ht="15">
      <c r="B140" s="572"/>
      <c r="C140" s="339"/>
      <c r="D140" s="339"/>
      <c r="E140" s="339"/>
      <c r="F140" s="339"/>
      <c r="G140" s="339"/>
      <c r="H140" s="259"/>
      <c r="I140" s="571" t="s">
        <v>1745</v>
      </c>
      <c r="J140" s="158" t="s">
        <v>453</v>
      </c>
      <c r="K140" s="137" t="s">
        <v>455</v>
      </c>
      <c r="L140" s="137" t="s">
        <v>457</v>
      </c>
      <c r="M140" s="137" t="s">
        <v>459</v>
      </c>
      <c r="N140" s="137" t="s">
        <v>461</v>
      </c>
      <c r="O140" s="137" t="s">
        <v>463</v>
      </c>
      <c r="P140" s="137" t="s">
        <v>465</v>
      </c>
      <c r="Q140" s="138" t="s">
        <v>467</v>
      </c>
      <c r="R140" s="242" t="s">
        <v>469</v>
      </c>
      <c r="S140" s="121" t="s">
        <v>471</v>
      </c>
      <c r="T140" s="121" t="s">
        <v>473</v>
      </c>
      <c r="U140" s="121" t="s">
        <v>475</v>
      </c>
      <c r="V140" s="122" t="s">
        <v>477</v>
      </c>
      <c r="W140" s="259"/>
      <c r="X140" s="571" t="s">
        <v>1745</v>
      </c>
      <c r="Y140" s="158" t="s">
        <v>453</v>
      </c>
      <c r="Z140" s="137" t="s">
        <v>455</v>
      </c>
      <c r="AA140" s="137" t="s">
        <v>457</v>
      </c>
      <c r="AB140" s="137" t="s">
        <v>459</v>
      </c>
      <c r="AC140" s="137" t="s">
        <v>461</v>
      </c>
      <c r="AD140" s="137" t="s">
        <v>463</v>
      </c>
      <c r="AE140" s="137" t="s">
        <v>465</v>
      </c>
      <c r="AF140" s="138" t="s">
        <v>467</v>
      </c>
      <c r="AG140" s="242" t="s">
        <v>469</v>
      </c>
      <c r="AH140" s="121" t="s">
        <v>471</v>
      </c>
      <c r="AI140" s="121" t="s">
        <v>473</v>
      </c>
      <c r="AJ140" s="121" t="s">
        <v>475</v>
      </c>
      <c r="AK140" s="122" t="s">
        <v>477</v>
      </c>
      <c r="AL140" s="259"/>
      <c r="AM140" s="571" t="s">
        <v>1745</v>
      </c>
      <c r="AN140" s="158" t="s">
        <v>453</v>
      </c>
      <c r="AO140" s="137" t="s">
        <v>455</v>
      </c>
      <c r="AP140" s="137" t="s">
        <v>457</v>
      </c>
      <c r="AQ140" s="137" t="s">
        <v>459</v>
      </c>
      <c r="AR140" s="137" t="s">
        <v>461</v>
      </c>
      <c r="AS140" s="137" t="s">
        <v>463</v>
      </c>
      <c r="AT140" s="137" t="s">
        <v>465</v>
      </c>
      <c r="AU140" s="138" t="s">
        <v>467</v>
      </c>
      <c r="AV140" s="242" t="s">
        <v>469</v>
      </c>
      <c r="AW140" s="121" t="s">
        <v>471</v>
      </c>
      <c r="AX140" s="121" t="s">
        <v>473</v>
      </c>
      <c r="AY140" s="121" t="s">
        <v>475</v>
      </c>
      <c r="AZ140" s="122" t="s">
        <v>477</v>
      </c>
    </row>
    <row r="141" spans="2:52" ht="15">
      <c r="B141" s="572"/>
      <c r="C141" s="623" t="s">
        <v>1870</v>
      </c>
      <c r="D141" s="591"/>
      <c r="E141" s="591"/>
      <c r="F141" s="591"/>
      <c r="G141" s="339"/>
      <c r="H141" s="259"/>
      <c r="I141" s="260"/>
      <c r="J141" s="295"/>
      <c r="K141" s="259"/>
      <c r="L141" s="259"/>
      <c r="M141" s="259"/>
      <c r="N141" s="259"/>
      <c r="O141" s="259"/>
      <c r="P141" s="259"/>
      <c r="Q141" s="296"/>
      <c r="R141" s="259"/>
      <c r="S141" s="259"/>
      <c r="T141" s="259"/>
      <c r="U141" s="259"/>
      <c r="V141" s="296"/>
      <c r="W141" s="259"/>
      <c r="X141" s="260"/>
      <c r="Y141" s="295"/>
      <c r="Z141" s="259"/>
      <c r="AA141" s="259"/>
      <c r="AB141" s="259"/>
      <c r="AC141" s="259"/>
      <c r="AD141" s="259"/>
      <c r="AE141" s="259"/>
      <c r="AF141" s="296"/>
      <c r="AG141" s="259"/>
      <c r="AH141" s="259"/>
      <c r="AI141" s="259"/>
      <c r="AJ141" s="259"/>
      <c r="AK141" s="296"/>
      <c r="AL141" s="259"/>
      <c r="AM141" s="260"/>
      <c r="AN141" s="295"/>
      <c r="AO141" s="259"/>
      <c r="AP141" s="259"/>
      <c r="AQ141" s="259"/>
      <c r="AR141" s="259"/>
      <c r="AS141" s="259"/>
      <c r="AT141" s="259"/>
      <c r="AU141" s="296"/>
      <c r="AV141" s="259"/>
      <c r="AW141" s="259"/>
      <c r="AX141" s="259"/>
      <c r="AY141" s="259"/>
      <c r="AZ141" s="296"/>
    </row>
    <row r="142" spans="2:52" ht="15">
      <c r="B142" s="349"/>
      <c r="C142" s="339"/>
      <c r="D142" s="1384" t="s">
        <v>315</v>
      </c>
      <c r="E142" s="591"/>
      <c r="F142" s="591"/>
      <c r="G142" s="339"/>
      <c r="H142" s="259"/>
      <c r="I142" s="576" t="s">
        <v>498</v>
      </c>
      <c r="J142" s="297">
        <v>4.5306165832353269</v>
      </c>
      <c r="K142" s="298">
        <v>4.4513877432416926</v>
      </c>
      <c r="L142" s="298">
        <v>4.3262734040147199</v>
      </c>
      <c r="M142" s="298">
        <v>4.9625484775998281</v>
      </c>
      <c r="N142" s="298">
        <v>4.8426961530247388</v>
      </c>
      <c r="O142" s="298">
        <v>4.9687549332135772</v>
      </c>
      <c r="P142" s="298">
        <v>4.8524447319385384</v>
      </c>
      <c r="Q142" s="299">
        <v>4.8524447319385384</v>
      </c>
      <c r="R142" s="460">
        <v>4.8281825082788457</v>
      </c>
      <c r="S142" s="298">
        <v>4.8040415957374512</v>
      </c>
      <c r="T142" s="298">
        <v>4.7800213877587643</v>
      </c>
      <c r="U142" s="298">
        <v>4.7561212808199702</v>
      </c>
      <c r="V142" s="299">
        <v>4.7323406744158705</v>
      </c>
      <c r="W142" s="259"/>
      <c r="X142" s="576" t="s">
        <v>498</v>
      </c>
      <c r="Y142" s="297">
        <v>0.15902598743441571</v>
      </c>
      <c r="Z142" s="298">
        <v>0.22782057291954735</v>
      </c>
      <c r="AA142" s="298">
        <v>0.28375959292345942</v>
      </c>
      <c r="AB142" s="298">
        <v>0.49459999310273883</v>
      </c>
      <c r="AC142" s="298">
        <v>0.31286491366512853</v>
      </c>
      <c r="AD142" s="298">
        <v>0.40041199179256004</v>
      </c>
      <c r="AE142" s="298">
        <v>0.39840993183359724</v>
      </c>
      <c r="AF142" s="299">
        <v>0.39641788217442925</v>
      </c>
      <c r="AG142" s="460">
        <v>0.39443579276355711</v>
      </c>
      <c r="AH142" s="298">
        <v>0.39246361379973932</v>
      </c>
      <c r="AI142" s="298">
        <v>0.39050129573074061</v>
      </c>
      <c r="AJ142" s="298">
        <v>0.38854878925208691</v>
      </c>
      <c r="AK142" s="299">
        <v>0.38660604530582648</v>
      </c>
      <c r="AL142" s="259"/>
      <c r="AM142" s="576" t="s">
        <v>498</v>
      </c>
      <c r="AN142" s="297">
        <v>0.15902598743441571</v>
      </c>
      <c r="AO142" s="298">
        <v>0.22782057291954735</v>
      </c>
      <c r="AP142" s="298">
        <v>0.28375959292345942</v>
      </c>
      <c r="AQ142" s="298">
        <v>0.49459999310273883</v>
      </c>
      <c r="AR142" s="298">
        <v>0.31286491366512853</v>
      </c>
      <c r="AS142" s="298">
        <v>0.40041199179256004</v>
      </c>
      <c r="AT142" s="298">
        <v>0.39840993183359724</v>
      </c>
      <c r="AU142" s="299">
        <v>0.39641788217442925</v>
      </c>
      <c r="AV142" s="460">
        <v>0.39443579276355711</v>
      </c>
      <c r="AW142" s="298">
        <v>0.39246361379973932</v>
      </c>
      <c r="AX142" s="298">
        <v>0.39050129573074061</v>
      </c>
      <c r="AY142" s="298">
        <v>0.38854878925208691</v>
      </c>
      <c r="AZ142" s="299">
        <v>0.38660604530582648</v>
      </c>
    </row>
    <row r="143" spans="2:52" ht="15">
      <c r="B143" s="349"/>
      <c r="C143" s="339"/>
      <c r="D143" s="1384" t="s">
        <v>324</v>
      </c>
      <c r="E143" s="591"/>
      <c r="F143" s="591"/>
      <c r="G143" s="339"/>
      <c r="H143" s="259"/>
      <c r="I143" s="576" t="s">
        <v>498</v>
      </c>
      <c r="J143" s="297">
        <v>0</v>
      </c>
      <c r="K143" s="298">
        <v>0</v>
      </c>
      <c r="L143" s="298">
        <v>0</v>
      </c>
      <c r="M143" s="298">
        <v>0</v>
      </c>
      <c r="N143" s="298">
        <v>0</v>
      </c>
      <c r="O143" s="298">
        <v>0</v>
      </c>
      <c r="P143" s="298">
        <v>0</v>
      </c>
      <c r="Q143" s="299">
        <v>0</v>
      </c>
      <c r="R143" s="460">
        <v>0</v>
      </c>
      <c r="S143" s="298">
        <v>0</v>
      </c>
      <c r="T143" s="298">
        <v>0</v>
      </c>
      <c r="U143" s="298">
        <v>0</v>
      </c>
      <c r="V143" s="299">
        <v>0</v>
      </c>
      <c r="W143" s="259"/>
      <c r="X143" s="576" t="s">
        <v>498</v>
      </c>
      <c r="Y143" s="297">
        <v>0</v>
      </c>
      <c r="Z143" s="298">
        <v>0</v>
      </c>
      <c r="AA143" s="298">
        <v>0</v>
      </c>
      <c r="AB143" s="298">
        <v>0</v>
      </c>
      <c r="AC143" s="298">
        <v>0</v>
      </c>
      <c r="AD143" s="298">
        <v>0</v>
      </c>
      <c r="AE143" s="298">
        <v>0</v>
      </c>
      <c r="AF143" s="299">
        <v>0</v>
      </c>
      <c r="AG143" s="460">
        <v>0</v>
      </c>
      <c r="AH143" s="298">
        <v>0</v>
      </c>
      <c r="AI143" s="298">
        <v>0</v>
      </c>
      <c r="AJ143" s="298">
        <v>0</v>
      </c>
      <c r="AK143" s="299">
        <v>0</v>
      </c>
      <c r="AL143" s="259"/>
      <c r="AM143" s="576" t="s">
        <v>498</v>
      </c>
      <c r="AN143" s="297">
        <v>0</v>
      </c>
      <c r="AO143" s="298">
        <v>0</v>
      </c>
      <c r="AP143" s="298">
        <v>0</v>
      </c>
      <c r="AQ143" s="298">
        <v>0</v>
      </c>
      <c r="AR143" s="298">
        <v>0</v>
      </c>
      <c r="AS143" s="298">
        <v>0</v>
      </c>
      <c r="AT143" s="298">
        <v>0</v>
      </c>
      <c r="AU143" s="299">
        <v>0</v>
      </c>
      <c r="AV143" s="460">
        <v>0</v>
      </c>
      <c r="AW143" s="298">
        <v>0</v>
      </c>
      <c r="AX143" s="298">
        <v>0</v>
      </c>
      <c r="AY143" s="298">
        <v>0</v>
      </c>
      <c r="AZ143" s="299">
        <v>0</v>
      </c>
    </row>
    <row r="144" spans="2:52" ht="15">
      <c r="B144" s="349"/>
      <c r="C144" s="339"/>
      <c r="D144" s="1384" t="s">
        <v>329</v>
      </c>
      <c r="E144" s="591"/>
      <c r="F144" s="591"/>
      <c r="G144" s="339"/>
      <c r="H144" s="259"/>
      <c r="I144" s="576" t="s">
        <v>498</v>
      </c>
      <c r="J144" s="297">
        <v>0</v>
      </c>
      <c r="K144" s="298">
        <v>0</v>
      </c>
      <c r="L144" s="298">
        <v>0</v>
      </c>
      <c r="M144" s="298">
        <v>0</v>
      </c>
      <c r="N144" s="298">
        <v>0</v>
      </c>
      <c r="O144" s="298">
        <v>0</v>
      </c>
      <c r="P144" s="298">
        <v>0</v>
      </c>
      <c r="Q144" s="299">
        <v>0</v>
      </c>
      <c r="R144" s="460">
        <v>0</v>
      </c>
      <c r="S144" s="298">
        <v>0</v>
      </c>
      <c r="T144" s="298">
        <v>0</v>
      </c>
      <c r="U144" s="298">
        <v>0</v>
      </c>
      <c r="V144" s="299">
        <v>0</v>
      </c>
      <c r="W144" s="259"/>
      <c r="X144" s="576" t="s">
        <v>498</v>
      </c>
      <c r="Y144" s="297">
        <v>0</v>
      </c>
      <c r="Z144" s="298">
        <v>0</v>
      </c>
      <c r="AA144" s="298">
        <v>0</v>
      </c>
      <c r="AB144" s="298">
        <v>0</v>
      </c>
      <c r="AC144" s="298">
        <v>0</v>
      </c>
      <c r="AD144" s="298">
        <v>0</v>
      </c>
      <c r="AE144" s="298">
        <v>0</v>
      </c>
      <c r="AF144" s="299">
        <v>0</v>
      </c>
      <c r="AG144" s="460">
        <v>0</v>
      </c>
      <c r="AH144" s="298">
        <v>0</v>
      </c>
      <c r="AI144" s="298">
        <v>0</v>
      </c>
      <c r="AJ144" s="298">
        <v>0</v>
      </c>
      <c r="AK144" s="299">
        <v>0</v>
      </c>
      <c r="AL144" s="259"/>
      <c r="AM144" s="576" t="s">
        <v>498</v>
      </c>
      <c r="AN144" s="297">
        <v>0</v>
      </c>
      <c r="AO144" s="298">
        <v>0</v>
      </c>
      <c r="AP144" s="298">
        <v>0</v>
      </c>
      <c r="AQ144" s="298">
        <v>0</v>
      </c>
      <c r="AR144" s="298">
        <v>0</v>
      </c>
      <c r="AS144" s="298">
        <v>0</v>
      </c>
      <c r="AT144" s="298">
        <v>0</v>
      </c>
      <c r="AU144" s="299">
        <v>0</v>
      </c>
      <c r="AV144" s="460">
        <v>0</v>
      </c>
      <c r="AW144" s="298">
        <v>0</v>
      </c>
      <c r="AX144" s="298">
        <v>0</v>
      </c>
      <c r="AY144" s="298">
        <v>0</v>
      </c>
      <c r="AZ144" s="299">
        <v>0</v>
      </c>
    </row>
    <row r="145" spans="2:52" ht="15">
      <c r="B145" s="349"/>
      <c r="C145" s="339"/>
      <c r="D145" s="1384" t="s">
        <v>332</v>
      </c>
      <c r="E145" s="591"/>
      <c r="F145" s="591"/>
      <c r="G145" s="339"/>
      <c r="H145" s="259"/>
      <c r="I145" s="576" t="s">
        <v>498</v>
      </c>
      <c r="J145" s="297">
        <v>0</v>
      </c>
      <c r="K145" s="298">
        <v>0</v>
      </c>
      <c r="L145" s="298">
        <v>0</v>
      </c>
      <c r="M145" s="298">
        <v>0</v>
      </c>
      <c r="N145" s="298">
        <v>0</v>
      </c>
      <c r="O145" s="298">
        <v>0</v>
      </c>
      <c r="P145" s="298">
        <v>0</v>
      </c>
      <c r="Q145" s="299">
        <v>0</v>
      </c>
      <c r="R145" s="460">
        <v>0</v>
      </c>
      <c r="S145" s="298">
        <v>0</v>
      </c>
      <c r="T145" s="298">
        <v>0</v>
      </c>
      <c r="U145" s="298">
        <v>0</v>
      </c>
      <c r="V145" s="299">
        <v>0</v>
      </c>
      <c r="W145" s="259"/>
      <c r="X145" s="576" t="s">
        <v>498</v>
      </c>
      <c r="Y145" s="297">
        <v>0</v>
      </c>
      <c r="Z145" s="298">
        <v>0</v>
      </c>
      <c r="AA145" s="298">
        <v>0</v>
      </c>
      <c r="AB145" s="298">
        <v>0</v>
      </c>
      <c r="AC145" s="298">
        <v>0</v>
      </c>
      <c r="AD145" s="298">
        <v>0</v>
      </c>
      <c r="AE145" s="298">
        <v>0</v>
      </c>
      <c r="AF145" s="299">
        <v>0</v>
      </c>
      <c r="AG145" s="460">
        <v>0</v>
      </c>
      <c r="AH145" s="298">
        <v>0</v>
      </c>
      <c r="AI145" s="298">
        <v>0</v>
      </c>
      <c r="AJ145" s="298">
        <v>0</v>
      </c>
      <c r="AK145" s="299">
        <v>0</v>
      </c>
      <c r="AL145" s="259"/>
      <c r="AM145" s="576" t="s">
        <v>498</v>
      </c>
      <c r="AN145" s="297">
        <v>0</v>
      </c>
      <c r="AO145" s="298">
        <v>0</v>
      </c>
      <c r="AP145" s="298">
        <v>0</v>
      </c>
      <c r="AQ145" s="298">
        <v>0</v>
      </c>
      <c r="AR145" s="298">
        <v>0</v>
      </c>
      <c r="AS145" s="298">
        <v>0</v>
      </c>
      <c r="AT145" s="298">
        <v>0</v>
      </c>
      <c r="AU145" s="299">
        <v>0</v>
      </c>
      <c r="AV145" s="460">
        <v>0</v>
      </c>
      <c r="AW145" s="298">
        <v>0</v>
      </c>
      <c r="AX145" s="298">
        <v>0</v>
      </c>
      <c r="AY145" s="298">
        <v>0</v>
      </c>
      <c r="AZ145" s="299">
        <v>0</v>
      </c>
    </row>
    <row r="146" spans="2:52" ht="15">
      <c r="B146" s="349"/>
      <c r="C146" s="339"/>
      <c r="D146" s="1384" t="s">
        <v>1871</v>
      </c>
      <c r="E146" s="591"/>
      <c r="F146" s="591"/>
      <c r="G146" s="339"/>
      <c r="H146" s="259"/>
      <c r="I146" s="576" t="s">
        <v>498</v>
      </c>
      <c r="J146" s="297">
        <v>0</v>
      </c>
      <c r="K146" s="298">
        <v>0</v>
      </c>
      <c r="L146" s="298">
        <v>0</v>
      </c>
      <c r="M146" s="298">
        <v>0</v>
      </c>
      <c r="N146" s="298">
        <v>0</v>
      </c>
      <c r="O146" s="298">
        <v>0</v>
      </c>
      <c r="P146" s="298">
        <v>0</v>
      </c>
      <c r="Q146" s="299">
        <v>0</v>
      </c>
      <c r="R146" s="460">
        <v>0</v>
      </c>
      <c r="S146" s="298">
        <v>0</v>
      </c>
      <c r="T146" s="298">
        <v>0</v>
      </c>
      <c r="U146" s="298">
        <v>0</v>
      </c>
      <c r="V146" s="299">
        <v>0</v>
      </c>
      <c r="W146" s="259"/>
      <c r="X146" s="576" t="s">
        <v>498</v>
      </c>
      <c r="Y146" s="297">
        <v>0</v>
      </c>
      <c r="Z146" s="298">
        <v>0</v>
      </c>
      <c r="AA146" s="298">
        <v>0</v>
      </c>
      <c r="AB146" s="298">
        <v>0</v>
      </c>
      <c r="AC146" s="298">
        <v>0</v>
      </c>
      <c r="AD146" s="298">
        <v>0</v>
      </c>
      <c r="AE146" s="298">
        <v>0</v>
      </c>
      <c r="AF146" s="299">
        <v>0</v>
      </c>
      <c r="AG146" s="460">
        <v>0</v>
      </c>
      <c r="AH146" s="298">
        <v>0</v>
      </c>
      <c r="AI146" s="298">
        <v>0</v>
      </c>
      <c r="AJ146" s="298">
        <v>0</v>
      </c>
      <c r="AK146" s="299">
        <v>0</v>
      </c>
      <c r="AL146" s="259"/>
      <c r="AM146" s="576" t="s">
        <v>498</v>
      </c>
      <c r="AN146" s="297">
        <v>0</v>
      </c>
      <c r="AO146" s="298">
        <v>0</v>
      </c>
      <c r="AP146" s="298">
        <v>0</v>
      </c>
      <c r="AQ146" s="298">
        <v>0</v>
      </c>
      <c r="AR146" s="298">
        <v>0</v>
      </c>
      <c r="AS146" s="298">
        <v>0</v>
      </c>
      <c r="AT146" s="298">
        <v>0</v>
      </c>
      <c r="AU146" s="299">
        <v>0</v>
      </c>
      <c r="AV146" s="460">
        <v>0</v>
      </c>
      <c r="AW146" s="298">
        <v>0</v>
      </c>
      <c r="AX146" s="298">
        <v>0</v>
      </c>
      <c r="AY146" s="298">
        <v>0</v>
      </c>
      <c r="AZ146" s="299">
        <v>0</v>
      </c>
    </row>
    <row r="147" spans="2:52" ht="15">
      <c r="B147" s="349"/>
      <c r="C147" s="339"/>
      <c r="D147" s="1384" t="s">
        <v>1872</v>
      </c>
      <c r="E147" s="591"/>
      <c r="F147" s="591"/>
      <c r="G147" s="339"/>
      <c r="H147" s="259"/>
      <c r="I147" s="576" t="s">
        <v>498</v>
      </c>
      <c r="J147" s="297">
        <v>0</v>
      </c>
      <c r="K147" s="298">
        <v>0</v>
      </c>
      <c r="L147" s="298">
        <v>0</v>
      </c>
      <c r="M147" s="298">
        <v>0</v>
      </c>
      <c r="N147" s="298">
        <v>0</v>
      </c>
      <c r="O147" s="298">
        <v>0</v>
      </c>
      <c r="P147" s="298">
        <v>0</v>
      </c>
      <c r="Q147" s="299">
        <v>0</v>
      </c>
      <c r="R147" s="460">
        <v>0</v>
      </c>
      <c r="S147" s="298">
        <v>0</v>
      </c>
      <c r="T147" s="298">
        <v>0</v>
      </c>
      <c r="U147" s="298">
        <v>0</v>
      </c>
      <c r="V147" s="299">
        <v>0</v>
      </c>
      <c r="W147" s="259"/>
      <c r="X147" s="576" t="s">
        <v>498</v>
      </c>
      <c r="Y147" s="297">
        <v>0</v>
      </c>
      <c r="Z147" s="298">
        <v>0</v>
      </c>
      <c r="AA147" s="298">
        <v>0</v>
      </c>
      <c r="AB147" s="298">
        <v>0</v>
      </c>
      <c r="AC147" s="298">
        <v>0</v>
      </c>
      <c r="AD147" s="298">
        <v>0</v>
      </c>
      <c r="AE147" s="298">
        <v>0</v>
      </c>
      <c r="AF147" s="299">
        <v>0</v>
      </c>
      <c r="AG147" s="460">
        <v>0</v>
      </c>
      <c r="AH147" s="298">
        <v>0</v>
      </c>
      <c r="AI147" s="298">
        <v>0</v>
      </c>
      <c r="AJ147" s="298">
        <v>0</v>
      </c>
      <c r="AK147" s="299">
        <v>0</v>
      </c>
      <c r="AL147" s="259"/>
      <c r="AM147" s="576" t="s">
        <v>498</v>
      </c>
      <c r="AN147" s="297">
        <v>0</v>
      </c>
      <c r="AO147" s="298">
        <v>0</v>
      </c>
      <c r="AP147" s="298">
        <v>0</v>
      </c>
      <c r="AQ147" s="298">
        <v>0</v>
      </c>
      <c r="AR147" s="298">
        <v>0</v>
      </c>
      <c r="AS147" s="298">
        <v>0</v>
      </c>
      <c r="AT147" s="298">
        <v>0</v>
      </c>
      <c r="AU147" s="299">
        <v>0</v>
      </c>
      <c r="AV147" s="460">
        <v>0</v>
      </c>
      <c r="AW147" s="298">
        <v>0</v>
      </c>
      <c r="AX147" s="298">
        <v>0</v>
      </c>
      <c r="AY147" s="298">
        <v>0</v>
      </c>
      <c r="AZ147" s="299">
        <v>0</v>
      </c>
    </row>
    <row r="148" spans="2:52" ht="15.75" thickBot="1">
      <c r="B148" s="357" t="s">
        <v>1701</v>
      </c>
      <c r="C148" s="358"/>
      <c r="D148" s="1385"/>
      <c r="E148" s="1386"/>
      <c r="F148" s="1386"/>
      <c r="G148" s="358"/>
      <c r="H148" s="300"/>
      <c r="I148" s="581" t="s">
        <v>498</v>
      </c>
      <c r="J148" s="627">
        <f>SUM(J142:J147)</f>
        <v>4.5306165832353269</v>
      </c>
      <c r="K148" s="628">
        <f t="shared" ref="K148:V148" si="147">SUM(K142:K147)</f>
        <v>4.4513877432416926</v>
      </c>
      <c r="L148" s="628">
        <f t="shared" si="147"/>
        <v>4.3262734040147199</v>
      </c>
      <c r="M148" s="628">
        <f t="shared" si="147"/>
        <v>4.9625484775998281</v>
      </c>
      <c r="N148" s="628">
        <f t="shared" si="147"/>
        <v>4.8426961530247388</v>
      </c>
      <c r="O148" s="628">
        <f t="shared" si="147"/>
        <v>4.9687549332135772</v>
      </c>
      <c r="P148" s="628">
        <f t="shared" si="147"/>
        <v>4.8524447319385384</v>
      </c>
      <c r="Q148" s="629">
        <f t="shared" si="147"/>
        <v>4.8524447319385384</v>
      </c>
      <c r="R148" s="770">
        <f t="shared" si="147"/>
        <v>4.8281825082788457</v>
      </c>
      <c r="S148" s="628">
        <f t="shared" si="147"/>
        <v>4.8040415957374512</v>
      </c>
      <c r="T148" s="628">
        <f t="shared" si="147"/>
        <v>4.7800213877587643</v>
      </c>
      <c r="U148" s="628">
        <f t="shared" si="147"/>
        <v>4.7561212808199702</v>
      </c>
      <c r="V148" s="629">
        <f t="shared" si="147"/>
        <v>4.7323406744158705</v>
      </c>
      <c r="W148" s="300"/>
      <c r="X148" s="581" t="s">
        <v>498</v>
      </c>
      <c r="Y148" s="627">
        <f>SUM(Y142:Y147)</f>
        <v>0.15902598743441571</v>
      </c>
      <c r="Z148" s="628">
        <f t="shared" ref="Z148:AK148" si="148">SUM(Z142:Z147)</f>
        <v>0.22782057291954735</v>
      </c>
      <c r="AA148" s="628">
        <f t="shared" si="148"/>
        <v>0.28375959292345942</v>
      </c>
      <c r="AB148" s="628">
        <f t="shared" si="148"/>
        <v>0.49459999310273883</v>
      </c>
      <c r="AC148" s="628">
        <f t="shared" si="148"/>
        <v>0.31286491366512853</v>
      </c>
      <c r="AD148" s="628">
        <f t="shared" si="148"/>
        <v>0.40041199179256004</v>
      </c>
      <c r="AE148" s="628">
        <f t="shared" si="148"/>
        <v>0.39840993183359724</v>
      </c>
      <c r="AF148" s="629">
        <f t="shared" si="148"/>
        <v>0.39641788217442925</v>
      </c>
      <c r="AG148" s="770">
        <f t="shared" si="148"/>
        <v>0.39443579276355711</v>
      </c>
      <c r="AH148" s="628">
        <f t="shared" si="148"/>
        <v>0.39246361379973932</v>
      </c>
      <c r="AI148" s="628">
        <f t="shared" si="148"/>
        <v>0.39050129573074061</v>
      </c>
      <c r="AJ148" s="628">
        <f t="shared" si="148"/>
        <v>0.38854878925208691</v>
      </c>
      <c r="AK148" s="629">
        <f t="shared" si="148"/>
        <v>0.38660604530582648</v>
      </c>
      <c r="AL148" s="300"/>
      <c r="AM148" s="581" t="s">
        <v>498</v>
      </c>
      <c r="AN148" s="627">
        <f>SUM(AN142:AN147)</f>
        <v>0.15902598743441571</v>
      </c>
      <c r="AO148" s="628">
        <f t="shared" ref="AO148:AZ148" si="149">SUM(AO142:AO147)</f>
        <v>0.22782057291954735</v>
      </c>
      <c r="AP148" s="628">
        <f t="shared" si="149"/>
        <v>0.28375959292345942</v>
      </c>
      <c r="AQ148" s="628">
        <f t="shared" si="149"/>
        <v>0.49459999310273883</v>
      </c>
      <c r="AR148" s="628">
        <f t="shared" si="149"/>
        <v>0.31286491366512853</v>
      </c>
      <c r="AS148" s="628">
        <f t="shared" si="149"/>
        <v>0.40041199179256004</v>
      </c>
      <c r="AT148" s="628">
        <f t="shared" si="149"/>
        <v>0.39840993183359724</v>
      </c>
      <c r="AU148" s="629">
        <f t="shared" si="149"/>
        <v>0.39641788217442925</v>
      </c>
      <c r="AV148" s="770">
        <f t="shared" si="149"/>
        <v>0.39443579276355711</v>
      </c>
      <c r="AW148" s="628">
        <f t="shared" si="149"/>
        <v>0.39246361379973932</v>
      </c>
      <c r="AX148" s="628">
        <f t="shared" si="149"/>
        <v>0.39050129573074061</v>
      </c>
      <c r="AY148" s="628">
        <f t="shared" si="149"/>
        <v>0.38854878925208691</v>
      </c>
      <c r="AZ148" s="629">
        <f t="shared" si="149"/>
        <v>0.38660604530582648</v>
      </c>
    </row>
    <row r="149" spans="2:52" ht="15" thickBot="1"/>
    <row r="150" spans="2:52" ht="30" customHeight="1" thickBot="1">
      <c r="B150" s="640" t="s">
        <v>1719</v>
      </c>
      <c r="C150" s="558"/>
      <c r="D150" s="558"/>
      <c r="E150" s="558"/>
      <c r="F150" s="558"/>
      <c r="G150" s="559"/>
      <c r="H150" s="294"/>
      <c r="I150" s="105" t="s">
        <v>1864</v>
      </c>
      <c r="J150" s="106"/>
      <c r="K150" s="106"/>
      <c r="L150" s="106"/>
      <c r="M150" s="106"/>
      <c r="N150" s="106"/>
      <c r="O150" s="106"/>
      <c r="P150" s="106"/>
      <c r="Q150" s="106"/>
      <c r="R150" s="105"/>
      <c r="S150" s="105"/>
      <c r="T150" s="105"/>
      <c r="U150" s="105"/>
      <c r="V150" s="187"/>
      <c r="W150" s="294"/>
      <c r="X150" s="105" t="s">
        <v>1867</v>
      </c>
      <c r="Y150" s="106"/>
      <c r="Z150" s="106"/>
      <c r="AA150" s="106"/>
      <c r="AB150" s="106"/>
      <c r="AC150" s="106"/>
      <c r="AD150" s="106"/>
      <c r="AE150" s="106"/>
      <c r="AF150" s="106"/>
      <c r="AG150" s="105"/>
      <c r="AH150" s="105"/>
      <c r="AI150" s="105"/>
      <c r="AJ150" s="105"/>
      <c r="AK150" s="187"/>
      <c r="AL150" s="294"/>
      <c r="AM150" s="105" t="s">
        <v>1868</v>
      </c>
      <c r="AN150" s="106"/>
      <c r="AO150" s="106"/>
      <c r="AP150" s="106"/>
      <c r="AQ150" s="106"/>
      <c r="AR150" s="106"/>
      <c r="AS150" s="106"/>
      <c r="AT150" s="106"/>
      <c r="AU150" s="106"/>
      <c r="AV150" s="105"/>
      <c r="AW150" s="105"/>
      <c r="AX150" s="105"/>
      <c r="AY150" s="105"/>
      <c r="AZ150" s="187"/>
    </row>
    <row r="151" spans="2:52" ht="30" customHeight="1">
      <c r="B151" s="560"/>
      <c r="C151" s="561"/>
      <c r="D151" s="561"/>
      <c r="E151" s="561"/>
      <c r="F151" s="561"/>
      <c r="G151" s="561"/>
      <c r="H151" s="259"/>
      <c r="I151" s="562"/>
      <c r="J151" s="563" t="s">
        <v>1666</v>
      </c>
      <c r="K151" s="564"/>
      <c r="L151" s="564"/>
      <c r="M151" s="564"/>
      <c r="N151" s="564"/>
      <c r="O151" s="564"/>
      <c r="P151" s="564"/>
      <c r="Q151" s="565"/>
      <c r="R151" s="567" t="s">
        <v>2</v>
      </c>
      <c r="S151" s="567"/>
      <c r="T151" s="567"/>
      <c r="U151" s="567"/>
      <c r="V151" s="568"/>
      <c r="W151" s="259"/>
      <c r="X151" s="562"/>
      <c r="Y151" s="563" t="s">
        <v>1666</v>
      </c>
      <c r="Z151" s="564"/>
      <c r="AA151" s="564"/>
      <c r="AB151" s="564"/>
      <c r="AC151" s="564"/>
      <c r="AD151" s="564"/>
      <c r="AE151" s="564"/>
      <c r="AF151" s="565"/>
      <c r="AG151" s="567" t="s">
        <v>2</v>
      </c>
      <c r="AH151" s="567"/>
      <c r="AI151" s="567"/>
      <c r="AJ151" s="567"/>
      <c r="AK151" s="568"/>
      <c r="AL151" s="259"/>
      <c r="AM151" s="562"/>
      <c r="AN151" s="563" t="s">
        <v>1666</v>
      </c>
      <c r="AO151" s="564"/>
      <c r="AP151" s="564"/>
      <c r="AQ151" s="564"/>
      <c r="AR151" s="564"/>
      <c r="AS151" s="564"/>
      <c r="AT151" s="564"/>
      <c r="AU151" s="565"/>
      <c r="AV151" s="567" t="s">
        <v>2</v>
      </c>
      <c r="AW151" s="567"/>
      <c r="AX151" s="567"/>
      <c r="AY151" s="567"/>
      <c r="AZ151" s="568"/>
    </row>
    <row r="152" spans="2:52" ht="15">
      <c r="B152" s="572"/>
      <c r="C152" s="339"/>
      <c r="D152" s="339"/>
      <c r="E152" s="339"/>
      <c r="F152" s="339"/>
      <c r="G152" s="339"/>
      <c r="H152" s="259"/>
      <c r="I152" s="571" t="s">
        <v>1745</v>
      </c>
      <c r="J152" s="158" t="s">
        <v>453</v>
      </c>
      <c r="K152" s="137" t="s">
        <v>455</v>
      </c>
      <c r="L152" s="137" t="s">
        <v>457</v>
      </c>
      <c r="M152" s="137" t="s">
        <v>459</v>
      </c>
      <c r="N152" s="137" t="s">
        <v>461</v>
      </c>
      <c r="O152" s="137" t="s">
        <v>463</v>
      </c>
      <c r="P152" s="137" t="s">
        <v>465</v>
      </c>
      <c r="Q152" s="138" t="s">
        <v>467</v>
      </c>
      <c r="R152" s="242" t="s">
        <v>469</v>
      </c>
      <c r="S152" s="121" t="s">
        <v>471</v>
      </c>
      <c r="T152" s="121" t="s">
        <v>473</v>
      </c>
      <c r="U152" s="121" t="s">
        <v>475</v>
      </c>
      <c r="V152" s="122" t="s">
        <v>477</v>
      </c>
      <c r="W152" s="259"/>
      <c r="X152" s="571" t="s">
        <v>1745</v>
      </c>
      <c r="Y152" s="158" t="s">
        <v>453</v>
      </c>
      <c r="Z152" s="137" t="s">
        <v>455</v>
      </c>
      <c r="AA152" s="137" t="s">
        <v>457</v>
      </c>
      <c r="AB152" s="137" t="s">
        <v>459</v>
      </c>
      <c r="AC152" s="137" t="s">
        <v>461</v>
      </c>
      <c r="AD152" s="137" t="s">
        <v>463</v>
      </c>
      <c r="AE152" s="137" t="s">
        <v>465</v>
      </c>
      <c r="AF152" s="138" t="s">
        <v>467</v>
      </c>
      <c r="AG152" s="242" t="s">
        <v>469</v>
      </c>
      <c r="AH152" s="121" t="s">
        <v>471</v>
      </c>
      <c r="AI152" s="121" t="s">
        <v>473</v>
      </c>
      <c r="AJ152" s="121" t="s">
        <v>475</v>
      </c>
      <c r="AK152" s="122" t="s">
        <v>477</v>
      </c>
      <c r="AL152" s="259"/>
      <c r="AM152" s="571" t="s">
        <v>1745</v>
      </c>
      <c r="AN152" s="158" t="s">
        <v>453</v>
      </c>
      <c r="AO152" s="137" t="s">
        <v>455</v>
      </c>
      <c r="AP152" s="137" t="s">
        <v>457</v>
      </c>
      <c r="AQ152" s="137" t="s">
        <v>459</v>
      </c>
      <c r="AR152" s="137" t="s">
        <v>461</v>
      </c>
      <c r="AS152" s="137" t="s">
        <v>463</v>
      </c>
      <c r="AT152" s="137" t="s">
        <v>465</v>
      </c>
      <c r="AU152" s="138" t="s">
        <v>467</v>
      </c>
      <c r="AV152" s="242" t="s">
        <v>469</v>
      </c>
      <c r="AW152" s="121" t="s">
        <v>471</v>
      </c>
      <c r="AX152" s="121" t="s">
        <v>473</v>
      </c>
      <c r="AY152" s="121" t="s">
        <v>475</v>
      </c>
      <c r="AZ152" s="122" t="s">
        <v>477</v>
      </c>
    </row>
    <row r="153" spans="2:52" ht="15">
      <c r="B153" s="572"/>
      <c r="C153" s="623" t="s">
        <v>1870</v>
      </c>
      <c r="D153" s="591"/>
      <c r="E153" s="591"/>
      <c r="F153" s="591"/>
      <c r="G153" s="339"/>
      <c r="H153" s="259"/>
      <c r="I153" s="260"/>
      <c r="J153" s="295"/>
      <c r="K153" s="259"/>
      <c r="L153" s="259"/>
      <c r="M153" s="259"/>
      <c r="N153" s="259"/>
      <c r="O153" s="259"/>
      <c r="P153" s="259"/>
      <c r="Q153" s="296"/>
      <c r="R153" s="259"/>
      <c r="S153" s="259"/>
      <c r="T153" s="259"/>
      <c r="U153" s="259"/>
      <c r="V153" s="296"/>
      <c r="W153" s="259"/>
      <c r="X153" s="260"/>
      <c r="Y153" s="295"/>
      <c r="Z153" s="259"/>
      <c r="AA153" s="259"/>
      <c r="AB153" s="259"/>
      <c r="AC153" s="259"/>
      <c r="AD153" s="259"/>
      <c r="AE153" s="259"/>
      <c r="AF153" s="296"/>
      <c r="AG153" s="259"/>
      <c r="AH153" s="259"/>
      <c r="AI153" s="259"/>
      <c r="AJ153" s="259"/>
      <c r="AK153" s="296"/>
      <c r="AL153" s="259"/>
      <c r="AM153" s="260"/>
      <c r="AN153" s="295"/>
      <c r="AO153" s="259"/>
      <c r="AP153" s="259"/>
      <c r="AQ153" s="259"/>
      <c r="AR153" s="259"/>
      <c r="AS153" s="259"/>
      <c r="AT153" s="259"/>
      <c r="AU153" s="296"/>
      <c r="AV153" s="259"/>
      <c r="AW153" s="259"/>
      <c r="AX153" s="259"/>
      <c r="AY153" s="259"/>
      <c r="AZ153" s="296"/>
    </row>
    <row r="154" spans="2:52" ht="15">
      <c r="B154" s="349"/>
      <c r="C154" s="339"/>
      <c r="D154" s="1384" t="s">
        <v>315</v>
      </c>
      <c r="E154" s="591"/>
      <c r="F154" s="591"/>
      <c r="G154" s="339"/>
      <c r="H154" s="259"/>
      <c r="I154" s="576" t="s">
        <v>498</v>
      </c>
      <c r="J154" s="297">
        <v>0.36986568972743689</v>
      </c>
      <c r="K154" s="298">
        <v>0.48822503921231386</v>
      </c>
      <c r="L154" s="298">
        <v>0.98273444352163253</v>
      </c>
      <c r="M154" s="298">
        <v>2.6303609654366671</v>
      </c>
      <c r="N154" s="298">
        <v>3.3336648500693</v>
      </c>
      <c r="O154" s="298">
        <v>2.0045049785167328</v>
      </c>
      <c r="P154" s="298">
        <v>2.0045049785167328</v>
      </c>
      <c r="Q154" s="299">
        <v>2.0045049785167328</v>
      </c>
      <c r="R154" s="460">
        <v>2.0045049785167328</v>
      </c>
      <c r="S154" s="298">
        <v>2.0045049785167328</v>
      </c>
      <c r="T154" s="298">
        <v>2.0045049785167328</v>
      </c>
      <c r="U154" s="298">
        <v>2.0045049785167328</v>
      </c>
      <c r="V154" s="299">
        <v>2.0045049785167328</v>
      </c>
      <c r="W154" s="259"/>
      <c r="X154" s="576" t="s">
        <v>498</v>
      </c>
      <c r="Y154" s="297">
        <v>0.11423525589816474</v>
      </c>
      <c r="Z154" s="298">
        <v>0.16491100812877324</v>
      </c>
      <c r="AA154" s="298">
        <v>0.26384699695141406</v>
      </c>
      <c r="AB154" s="298">
        <v>1.4526659009403351</v>
      </c>
      <c r="AC154" s="298">
        <v>0.99447018190507963</v>
      </c>
      <c r="AD154" s="298">
        <v>0.83418389488132283</v>
      </c>
      <c r="AE154" s="298">
        <v>0.83001297540691621</v>
      </c>
      <c r="AF154" s="299">
        <v>0.82586291052988159</v>
      </c>
      <c r="AG154" s="460">
        <v>0.82173359597723217</v>
      </c>
      <c r="AH154" s="298">
        <v>0.81762492799734598</v>
      </c>
      <c r="AI154" s="298">
        <v>0.81353680335735923</v>
      </c>
      <c r="AJ154" s="298">
        <v>0.80946911934057242</v>
      </c>
      <c r="AK154" s="299">
        <v>0.80542177374386958</v>
      </c>
      <c r="AL154" s="259"/>
      <c r="AM154" s="576" t="s">
        <v>498</v>
      </c>
      <c r="AN154" s="297">
        <v>7.1805017993132117E-2</v>
      </c>
      <c r="AO154" s="298">
        <v>0.10365834796665745</v>
      </c>
      <c r="AP154" s="298">
        <v>0.26765119013785055</v>
      </c>
      <c r="AQ154" s="298">
        <v>0.39618160934736402</v>
      </c>
      <c r="AR154" s="298">
        <v>1.409492304795116</v>
      </c>
      <c r="AS154" s="298">
        <v>0.82812972648074357</v>
      </c>
      <c r="AT154" s="298">
        <v>0.82398907784833986</v>
      </c>
      <c r="AU154" s="299">
        <v>0.8198691324590982</v>
      </c>
      <c r="AV154" s="460">
        <v>0.81576978679680268</v>
      </c>
      <c r="AW154" s="298">
        <v>0.81169093786281865</v>
      </c>
      <c r="AX154" s="298">
        <v>0.80763248317350456</v>
      </c>
      <c r="AY154" s="298">
        <v>0.80359432075763704</v>
      </c>
      <c r="AZ154" s="299">
        <v>0.7995763491538489</v>
      </c>
    </row>
    <row r="155" spans="2:52" ht="15">
      <c r="B155" s="349"/>
      <c r="C155" s="339"/>
      <c r="D155" s="1384" t="s">
        <v>324</v>
      </c>
      <c r="E155" s="591"/>
      <c r="F155" s="591"/>
      <c r="G155" s="339"/>
      <c r="H155" s="259"/>
      <c r="I155" s="576" t="s">
        <v>498</v>
      </c>
      <c r="J155" s="297">
        <v>0</v>
      </c>
      <c r="K155" s="298">
        <v>0</v>
      </c>
      <c r="L155" s="298">
        <v>0</v>
      </c>
      <c r="M155" s="298">
        <v>0</v>
      </c>
      <c r="N155" s="298">
        <v>0</v>
      </c>
      <c r="O155" s="298">
        <v>0</v>
      </c>
      <c r="P155" s="298">
        <v>0</v>
      </c>
      <c r="Q155" s="299">
        <v>0</v>
      </c>
      <c r="R155" s="460">
        <v>0</v>
      </c>
      <c r="S155" s="298">
        <v>0</v>
      </c>
      <c r="T155" s="298">
        <v>0</v>
      </c>
      <c r="U155" s="298">
        <v>0</v>
      </c>
      <c r="V155" s="299">
        <v>0</v>
      </c>
      <c r="W155" s="259"/>
      <c r="X155" s="576" t="s">
        <v>498</v>
      </c>
      <c r="Y155" s="297">
        <v>0</v>
      </c>
      <c r="Z155" s="298">
        <v>0</v>
      </c>
      <c r="AA155" s="298">
        <v>0</v>
      </c>
      <c r="AB155" s="298">
        <v>0</v>
      </c>
      <c r="AC155" s="298">
        <v>0</v>
      </c>
      <c r="AD155" s="298">
        <v>0</v>
      </c>
      <c r="AE155" s="298">
        <v>0</v>
      </c>
      <c r="AF155" s="299">
        <v>0</v>
      </c>
      <c r="AG155" s="460">
        <v>0</v>
      </c>
      <c r="AH155" s="298">
        <v>0</v>
      </c>
      <c r="AI155" s="298">
        <v>0</v>
      </c>
      <c r="AJ155" s="298">
        <v>0</v>
      </c>
      <c r="AK155" s="299">
        <v>0</v>
      </c>
      <c r="AL155" s="259"/>
      <c r="AM155" s="576" t="s">
        <v>498</v>
      </c>
      <c r="AN155" s="297">
        <v>0</v>
      </c>
      <c r="AO155" s="298">
        <v>0</v>
      </c>
      <c r="AP155" s="298">
        <v>0</v>
      </c>
      <c r="AQ155" s="298">
        <v>0</v>
      </c>
      <c r="AR155" s="298">
        <v>0</v>
      </c>
      <c r="AS155" s="298">
        <v>0</v>
      </c>
      <c r="AT155" s="298">
        <v>0</v>
      </c>
      <c r="AU155" s="299">
        <v>0</v>
      </c>
      <c r="AV155" s="460">
        <v>0</v>
      </c>
      <c r="AW155" s="298">
        <v>0</v>
      </c>
      <c r="AX155" s="298">
        <v>0</v>
      </c>
      <c r="AY155" s="298">
        <v>0</v>
      </c>
      <c r="AZ155" s="299">
        <v>0</v>
      </c>
    </row>
    <row r="156" spans="2:52" ht="15">
      <c r="B156" s="349"/>
      <c r="C156" s="339"/>
      <c r="D156" s="1384" t="s">
        <v>329</v>
      </c>
      <c r="E156" s="591"/>
      <c r="F156" s="591"/>
      <c r="G156" s="339"/>
      <c r="H156" s="259"/>
      <c r="I156" s="576" t="s">
        <v>498</v>
      </c>
      <c r="J156" s="297">
        <v>0</v>
      </c>
      <c r="K156" s="298">
        <v>0</v>
      </c>
      <c r="L156" s="298">
        <v>0</v>
      </c>
      <c r="M156" s="298">
        <v>0</v>
      </c>
      <c r="N156" s="298">
        <v>0</v>
      </c>
      <c r="O156" s="298">
        <v>0</v>
      </c>
      <c r="P156" s="298">
        <v>0</v>
      </c>
      <c r="Q156" s="299">
        <v>0</v>
      </c>
      <c r="R156" s="460">
        <v>0</v>
      </c>
      <c r="S156" s="298">
        <v>0</v>
      </c>
      <c r="T156" s="298">
        <v>0</v>
      </c>
      <c r="U156" s="298">
        <v>0</v>
      </c>
      <c r="V156" s="299">
        <v>0</v>
      </c>
      <c r="W156" s="259"/>
      <c r="X156" s="576" t="s">
        <v>498</v>
      </c>
      <c r="Y156" s="297">
        <v>0</v>
      </c>
      <c r="Z156" s="298">
        <v>0</v>
      </c>
      <c r="AA156" s="298">
        <v>0</v>
      </c>
      <c r="AB156" s="298">
        <v>0</v>
      </c>
      <c r="AC156" s="298">
        <v>0</v>
      </c>
      <c r="AD156" s="298">
        <v>0</v>
      </c>
      <c r="AE156" s="298">
        <v>0</v>
      </c>
      <c r="AF156" s="299">
        <v>0</v>
      </c>
      <c r="AG156" s="460">
        <v>0</v>
      </c>
      <c r="AH156" s="298">
        <v>0</v>
      </c>
      <c r="AI156" s="298">
        <v>0</v>
      </c>
      <c r="AJ156" s="298">
        <v>0</v>
      </c>
      <c r="AK156" s="299">
        <v>0</v>
      </c>
      <c r="AL156" s="259"/>
      <c r="AM156" s="576" t="s">
        <v>498</v>
      </c>
      <c r="AN156" s="297">
        <v>0</v>
      </c>
      <c r="AO156" s="298">
        <v>0</v>
      </c>
      <c r="AP156" s="298">
        <v>0</v>
      </c>
      <c r="AQ156" s="298">
        <v>0</v>
      </c>
      <c r="AR156" s="298">
        <v>0</v>
      </c>
      <c r="AS156" s="298">
        <v>0</v>
      </c>
      <c r="AT156" s="298">
        <v>0</v>
      </c>
      <c r="AU156" s="299">
        <v>0</v>
      </c>
      <c r="AV156" s="460">
        <v>0</v>
      </c>
      <c r="AW156" s="298">
        <v>0</v>
      </c>
      <c r="AX156" s="298">
        <v>0</v>
      </c>
      <c r="AY156" s="298">
        <v>0</v>
      </c>
      <c r="AZ156" s="299">
        <v>0</v>
      </c>
    </row>
    <row r="157" spans="2:52" ht="15">
      <c r="B157" s="349"/>
      <c r="C157" s="339"/>
      <c r="D157" s="1384" t="s">
        <v>332</v>
      </c>
      <c r="E157" s="591"/>
      <c r="F157" s="591"/>
      <c r="G157" s="339"/>
      <c r="H157" s="259"/>
      <c r="I157" s="576" t="s">
        <v>498</v>
      </c>
      <c r="J157" s="297">
        <v>0</v>
      </c>
      <c r="K157" s="298">
        <v>0</v>
      </c>
      <c r="L157" s="298">
        <v>0</v>
      </c>
      <c r="M157" s="298">
        <v>0</v>
      </c>
      <c r="N157" s="298">
        <v>0</v>
      </c>
      <c r="O157" s="298">
        <v>0</v>
      </c>
      <c r="P157" s="298">
        <v>0</v>
      </c>
      <c r="Q157" s="299">
        <v>0</v>
      </c>
      <c r="R157" s="460">
        <v>0</v>
      </c>
      <c r="S157" s="298">
        <v>0</v>
      </c>
      <c r="T157" s="298">
        <v>0</v>
      </c>
      <c r="U157" s="298">
        <v>0</v>
      </c>
      <c r="V157" s="299">
        <v>0</v>
      </c>
      <c r="W157" s="259"/>
      <c r="X157" s="576" t="s">
        <v>498</v>
      </c>
      <c r="Y157" s="297">
        <v>0</v>
      </c>
      <c r="Z157" s="298">
        <v>0</v>
      </c>
      <c r="AA157" s="298">
        <v>0</v>
      </c>
      <c r="AB157" s="298">
        <v>0</v>
      </c>
      <c r="AC157" s="298">
        <v>0</v>
      </c>
      <c r="AD157" s="298">
        <v>0</v>
      </c>
      <c r="AE157" s="298">
        <v>0</v>
      </c>
      <c r="AF157" s="299">
        <v>0</v>
      </c>
      <c r="AG157" s="460">
        <v>0</v>
      </c>
      <c r="AH157" s="298">
        <v>0</v>
      </c>
      <c r="AI157" s="298">
        <v>0</v>
      </c>
      <c r="AJ157" s="298">
        <v>0</v>
      </c>
      <c r="AK157" s="299">
        <v>0</v>
      </c>
      <c r="AL157" s="259"/>
      <c r="AM157" s="576" t="s">
        <v>498</v>
      </c>
      <c r="AN157" s="297">
        <v>0</v>
      </c>
      <c r="AO157" s="298">
        <v>0</v>
      </c>
      <c r="AP157" s="298">
        <v>0</v>
      </c>
      <c r="AQ157" s="298">
        <v>0</v>
      </c>
      <c r="AR157" s="298">
        <v>0</v>
      </c>
      <c r="AS157" s="298">
        <v>0</v>
      </c>
      <c r="AT157" s="298">
        <v>0</v>
      </c>
      <c r="AU157" s="299">
        <v>0</v>
      </c>
      <c r="AV157" s="460">
        <v>0</v>
      </c>
      <c r="AW157" s="298">
        <v>0</v>
      </c>
      <c r="AX157" s="298">
        <v>0</v>
      </c>
      <c r="AY157" s="298">
        <v>0</v>
      </c>
      <c r="AZ157" s="299">
        <v>0</v>
      </c>
    </row>
    <row r="158" spans="2:52" ht="15">
      <c r="B158" s="349"/>
      <c r="C158" s="339"/>
      <c r="D158" s="1384" t="s">
        <v>1871</v>
      </c>
      <c r="E158" s="591"/>
      <c r="F158" s="591"/>
      <c r="G158" s="339"/>
      <c r="H158" s="259"/>
      <c r="I158" s="576" t="s">
        <v>498</v>
      </c>
      <c r="J158" s="297">
        <v>0</v>
      </c>
      <c r="K158" s="298">
        <v>0</v>
      </c>
      <c r="L158" s="298">
        <v>0</v>
      </c>
      <c r="M158" s="298">
        <v>0</v>
      </c>
      <c r="N158" s="298">
        <v>0</v>
      </c>
      <c r="O158" s="298">
        <v>0</v>
      </c>
      <c r="P158" s="298">
        <v>0</v>
      </c>
      <c r="Q158" s="299">
        <v>0</v>
      </c>
      <c r="R158" s="460">
        <v>0</v>
      </c>
      <c r="S158" s="298">
        <v>0</v>
      </c>
      <c r="T158" s="298">
        <v>0</v>
      </c>
      <c r="U158" s="298">
        <v>0</v>
      </c>
      <c r="V158" s="299">
        <v>0</v>
      </c>
      <c r="W158" s="259"/>
      <c r="X158" s="576" t="s">
        <v>498</v>
      </c>
      <c r="Y158" s="297">
        <v>0</v>
      </c>
      <c r="Z158" s="298">
        <v>0</v>
      </c>
      <c r="AA158" s="298">
        <v>0</v>
      </c>
      <c r="AB158" s="298">
        <v>0</v>
      </c>
      <c r="AC158" s="298">
        <v>0</v>
      </c>
      <c r="AD158" s="298">
        <v>0</v>
      </c>
      <c r="AE158" s="298">
        <v>0</v>
      </c>
      <c r="AF158" s="299">
        <v>0</v>
      </c>
      <c r="AG158" s="460">
        <v>0</v>
      </c>
      <c r="AH158" s="298">
        <v>0</v>
      </c>
      <c r="AI158" s="298">
        <v>0</v>
      </c>
      <c r="AJ158" s="298">
        <v>0</v>
      </c>
      <c r="AK158" s="299">
        <v>0</v>
      </c>
      <c r="AL158" s="259"/>
      <c r="AM158" s="576" t="s">
        <v>498</v>
      </c>
      <c r="AN158" s="297">
        <v>0</v>
      </c>
      <c r="AO158" s="298">
        <v>0</v>
      </c>
      <c r="AP158" s="298">
        <v>0</v>
      </c>
      <c r="AQ158" s="298">
        <v>0</v>
      </c>
      <c r="AR158" s="298">
        <v>0</v>
      </c>
      <c r="AS158" s="298">
        <v>0</v>
      </c>
      <c r="AT158" s="298">
        <v>0</v>
      </c>
      <c r="AU158" s="299">
        <v>0</v>
      </c>
      <c r="AV158" s="460">
        <v>0</v>
      </c>
      <c r="AW158" s="298">
        <v>0</v>
      </c>
      <c r="AX158" s="298">
        <v>0</v>
      </c>
      <c r="AY158" s="298">
        <v>0</v>
      </c>
      <c r="AZ158" s="299">
        <v>0</v>
      </c>
    </row>
    <row r="159" spans="2:52" ht="15">
      <c r="B159" s="349"/>
      <c r="C159" s="339"/>
      <c r="D159" s="1384" t="s">
        <v>1872</v>
      </c>
      <c r="E159" s="591"/>
      <c r="F159" s="591"/>
      <c r="G159" s="339"/>
      <c r="H159" s="259"/>
      <c r="I159" s="576" t="s">
        <v>498</v>
      </c>
      <c r="J159" s="297">
        <v>0</v>
      </c>
      <c r="K159" s="298">
        <v>0</v>
      </c>
      <c r="L159" s="298">
        <v>0</v>
      </c>
      <c r="M159" s="298">
        <v>0</v>
      </c>
      <c r="N159" s="298">
        <v>0</v>
      </c>
      <c r="O159" s="298">
        <v>0</v>
      </c>
      <c r="P159" s="298">
        <v>0</v>
      </c>
      <c r="Q159" s="299">
        <v>0</v>
      </c>
      <c r="R159" s="460">
        <v>0</v>
      </c>
      <c r="S159" s="298">
        <v>0</v>
      </c>
      <c r="T159" s="298">
        <v>0</v>
      </c>
      <c r="U159" s="298">
        <v>0</v>
      </c>
      <c r="V159" s="299">
        <v>0</v>
      </c>
      <c r="W159" s="259"/>
      <c r="X159" s="576" t="s">
        <v>498</v>
      </c>
      <c r="Y159" s="297">
        <v>0</v>
      </c>
      <c r="Z159" s="298">
        <v>0</v>
      </c>
      <c r="AA159" s="298">
        <v>0</v>
      </c>
      <c r="AB159" s="298">
        <v>0</v>
      </c>
      <c r="AC159" s="298">
        <v>0</v>
      </c>
      <c r="AD159" s="298">
        <v>0</v>
      </c>
      <c r="AE159" s="298">
        <v>0</v>
      </c>
      <c r="AF159" s="299">
        <v>0</v>
      </c>
      <c r="AG159" s="460">
        <v>0</v>
      </c>
      <c r="AH159" s="298">
        <v>0</v>
      </c>
      <c r="AI159" s="298">
        <v>0</v>
      </c>
      <c r="AJ159" s="298">
        <v>0</v>
      </c>
      <c r="AK159" s="299">
        <v>0</v>
      </c>
      <c r="AL159" s="259"/>
      <c r="AM159" s="576" t="s">
        <v>498</v>
      </c>
      <c r="AN159" s="297">
        <v>0</v>
      </c>
      <c r="AO159" s="298">
        <v>0</v>
      </c>
      <c r="AP159" s="298">
        <v>0</v>
      </c>
      <c r="AQ159" s="298">
        <v>0</v>
      </c>
      <c r="AR159" s="298">
        <v>0</v>
      </c>
      <c r="AS159" s="298">
        <v>0</v>
      </c>
      <c r="AT159" s="298">
        <v>0</v>
      </c>
      <c r="AU159" s="299">
        <v>0</v>
      </c>
      <c r="AV159" s="460">
        <v>0</v>
      </c>
      <c r="AW159" s="298">
        <v>0</v>
      </c>
      <c r="AX159" s="298">
        <v>0</v>
      </c>
      <c r="AY159" s="298">
        <v>0</v>
      </c>
      <c r="AZ159" s="299">
        <v>0</v>
      </c>
    </row>
    <row r="160" spans="2:52" ht="15.75" thickBot="1">
      <c r="B160" s="357" t="s">
        <v>1701</v>
      </c>
      <c r="C160" s="358"/>
      <c r="D160" s="1385"/>
      <c r="E160" s="1386"/>
      <c r="F160" s="1386"/>
      <c r="G160" s="358"/>
      <c r="H160" s="300"/>
      <c r="I160" s="581" t="s">
        <v>498</v>
      </c>
      <c r="J160" s="627">
        <f>SUM(J154:J159)</f>
        <v>0.36986568972743689</v>
      </c>
      <c r="K160" s="628">
        <f t="shared" ref="K160:V160" si="150">SUM(K154:K159)</f>
        <v>0.48822503921231386</v>
      </c>
      <c r="L160" s="628">
        <f t="shared" si="150"/>
        <v>0.98273444352163253</v>
      </c>
      <c r="M160" s="628">
        <f t="shared" si="150"/>
        <v>2.6303609654366671</v>
      </c>
      <c r="N160" s="628">
        <f t="shared" si="150"/>
        <v>3.3336648500693</v>
      </c>
      <c r="O160" s="628">
        <f t="shared" si="150"/>
        <v>2.0045049785167328</v>
      </c>
      <c r="P160" s="628">
        <f t="shared" si="150"/>
        <v>2.0045049785167328</v>
      </c>
      <c r="Q160" s="629">
        <f t="shared" si="150"/>
        <v>2.0045049785167328</v>
      </c>
      <c r="R160" s="770">
        <f t="shared" si="150"/>
        <v>2.0045049785167328</v>
      </c>
      <c r="S160" s="628">
        <f t="shared" si="150"/>
        <v>2.0045049785167328</v>
      </c>
      <c r="T160" s="628">
        <f t="shared" si="150"/>
        <v>2.0045049785167328</v>
      </c>
      <c r="U160" s="628">
        <f t="shared" si="150"/>
        <v>2.0045049785167328</v>
      </c>
      <c r="V160" s="629">
        <f t="shared" si="150"/>
        <v>2.0045049785167328</v>
      </c>
      <c r="W160" s="300"/>
      <c r="X160" s="581" t="s">
        <v>498</v>
      </c>
      <c r="Y160" s="627">
        <f>SUM(Y154:Y159)</f>
        <v>0.11423525589816474</v>
      </c>
      <c r="Z160" s="628">
        <f t="shared" ref="Z160:AK160" si="151">SUM(Z154:Z159)</f>
        <v>0.16491100812877324</v>
      </c>
      <c r="AA160" s="628">
        <f t="shared" si="151"/>
        <v>0.26384699695141406</v>
      </c>
      <c r="AB160" s="628">
        <f t="shared" si="151"/>
        <v>1.4526659009403351</v>
      </c>
      <c r="AC160" s="628">
        <f t="shared" si="151"/>
        <v>0.99447018190507963</v>
      </c>
      <c r="AD160" s="628">
        <f t="shared" si="151"/>
        <v>0.83418389488132283</v>
      </c>
      <c r="AE160" s="628">
        <f t="shared" si="151"/>
        <v>0.83001297540691621</v>
      </c>
      <c r="AF160" s="629">
        <f t="shared" si="151"/>
        <v>0.82586291052988159</v>
      </c>
      <c r="AG160" s="770">
        <f t="shared" si="151"/>
        <v>0.82173359597723217</v>
      </c>
      <c r="AH160" s="628">
        <f t="shared" si="151"/>
        <v>0.81762492799734598</v>
      </c>
      <c r="AI160" s="628">
        <f t="shared" si="151"/>
        <v>0.81353680335735923</v>
      </c>
      <c r="AJ160" s="628">
        <f t="shared" si="151"/>
        <v>0.80946911934057242</v>
      </c>
      <c r="AK160" s="629">
        <f t="shared" si="151"/>
        <v>0.80542177374386958</v>
      </c>
      <c r="AL160" s="300"/>
      <c r="AM160" s="581" t="s">
        <v>498</v>
      </c>
      <c r="AN160" s="627">
        <f>SUM(AN154:AN159)</f>
        <v>7.1805017993132117E-2</v>
      </c>
      <c r="AO160" s="628">
        <f t="shared" ref="AO160:AZ160" si="152">SUM(AO154:AO159)</f>
        <v>0.10365834796665745</v>
      </c>
      <c r="AP160" s="628">
        <f t="shared" si="152"/>
        <v>0.26765119013785055</v>
      </c>
      <c r="AQ160" s="628">
        <f t="shared" si="152"/>
        <v>0.39618160934736402</v>
      </c>
      <c r="AR160" s="628">
        <f t="shared" si="152"/>
        <v>1.409492304795116</v>
      </c>
      <c r="AS160" s="628">
        <f t="shared" si="152"/>
        <v>0.82812972648074357</v>
      </c>
      <c r="AT160" s="628">
        <f t="shared" si="152"/>
        <v>0.82398907784833986</v>
      </c>
      <c r="AU160" s="629">
        <f t="shared" si="152"/>
        <v>0.8198691324590982</v>
      </c>
      <c r="AV160" s="770">
        <f t="shared" si="152"/>
        <v>0.81576978679680268</v>
      </c>
      <c r="AW160" s="628">
        <f t="shared" si="152"/>
        <v>0.81169093786281865</v>
      </c>
      <c r="AX160" s="628">
        <f t="shared" si="152"/>
        <v>0.80763248317350456</v>
      </c>
      <c r="AY160" s="628">
        <f t="shared" si="152"/>
        <v>0.80359432075763704</v>
      </c>
      <c r="AZ160" s="629">
        <f t="shared" si="152"/>
        <v>0.7995763491538489</v>
      </c>
    </row>
    <row r="161" spans="2:52" ht="15" thickBot="1"/>
    <row r="162" spans="2:52" ht="30" customHeight="1" thickBot="1">
      <c r="B162" s="640" t="s">
        <v>1721</v>
      </c>
      <c r="C162" s="558"/>
      <c r="D162" s="558"/>
      <c r="E162" s="558"/>
      <c r="F162" s="558"/>
      <c r="G162" s="559"/>
      <c r="H162" s="294"/>
      <c r="I162" s="105" t="s">
        <v>1864</v>
      </c>
      <c r="J162" s="106"/>
      <c r="K162" s="106"/>
      <c r="L162" s="106"/>
      <c r="M162" s="106"/>
      <c r="N162" s="106"/>
      <c r="O162" s="106"/>
      <c r="P162" s="106"/>
      <c r="Q162" s="106"/>
      <c r="R162" s="105"/>
      <c r="S162" s="105"/>
      <c r="T162" s="105"/>
      <c r="U162" s="105"/>
      <c r="V162" s="187"/>
      <c r="W162" s="294"/>
      <c r="X162" s="105" t="s">
        <v>1867</v>
      </c>
      <c r="Y162" s="106"/>
      <c r="Z162" s="106"/>
      <c r="AA162" s="106"/>
      <c r="AB162" s="106"/>
      <c r="AC162" s="106"/>
      <c r="AD162" s="106"/>
      <c r="AE162" s="106"/>
      <c r="AF162" s="106"/>
      <c r="AG162" s="105"/>
      <c r="AH162" s="105"/>
      <c r="AI162" s="105"/>
      <c r="AJ162" s="105"/>
      <c r="AK162" s="187"/>
      <c r="AL162" s="294"/>
      <c r="AM162" s="105" t="s">
        <v>1868</v>
      </c>
      <c r="AN162" s="106"/>
      <c r="AO162" s="106"/>
      <c r="AP162" s="106"/>
      <c r="AQ162" s="106"/>
      <c r="AR162" s="106"/>
      <c r="AS162" s="106"/>
      <c r="AT162" s="106"/>
      <c r="AU162" s="106"/>
      <c r="AV162" s="105"/>
      <c r="AW162" s="105"/>
      <c r="AX162" s="105"/>
      <c r="AY162" s="105"/>
      <c r="AZ162" s="187"/>
    </row>
    <row r="163" spans="2:52" ht="30" customHeight="1">
      <c r="B163" s="560"/>
      <c r="C163" s="561"/>
      <c r="D163" s="561"/>
      <c r="E163" s="561"/>
      <c r="F163" s="561"/>
      <c r="G163" s="561"/>
      <c r="H163" s="259"/>
      <c r="I163" s="562"/>
      <c r="J163" s="563" t="s">
        <v>1666</v>
      </c>
      <c r="K163" s="564"/>
      <c r="L163" s="564"/>
      <c r="M163" s="564"/>
      <c r="N163" s="564"/>
      <c r="O163" s="564"/>
      <c r="P163" s="564"/>
      <c r="Q163" s="565"/>
      <c r="R163" s="567" t="s">
        <v>2</v>
      </c>
      <c r="S163" s="567"/>
      <c r="T163" s="567"/>
      <c r="U163" s="567"/>
      <c r="V163" s="568"/>
      <c r="W163" s="259"/>
      <c r="X163" s="562"/>
      <c r="Y163" s="563" t="s">
        <v>1666</v>
      </c>
      <c r="Z163" s="564"/>
      <c r="AA163" s="564"/>
      <c r="AB163" s="564"/>
      <c r="AC163" s="564"/>
      <c r="AD163" s="564"/>
      <c r="AE163" s="564"/>
      <c r="AF163" s="565"/>
      <c r="AG163" s="567" t="s">
        <v>2</v>
      </c>
      <c r="AH163" s="567"/>
      <c r="AI163" s="567"/>
      <c r="AJ163" s="567"/>
      <c r="AK163" s="568"/>
      <c r="AL163" s="259"/>
      <c r="AM163" s="562"/>
      <c r="AN163" s="563" t="s">
        <v>1666</v>
      </c>
      <c r="AO163" s="564"/>
      <c r="AP163" s="564"/>
      <c r="AQ163" s="564"/>
      <c r="AR163" s="564"/>
      <c r="AS163" s="564"/>
      <c r="AT163" s="564"/>
      <c r="AU163" s="565"/>
      <c r="AV163" s="567" t="s">
        <v>2</v>
      </c>
      <c r="AW163" s="567"/>
      <c r="AX163" s="567"/>
      <c r="AY163" s="567"/>
      <c r="AZ163" s="568"/>
    </row>
    <row r="164" spans="2:52" ht="15">
      <c r="B164" s="572"/>
      <c r="C164" s="339"/>
      <c r="D164" s="339"/>
      <c r="E164" s="339"/>
      <c r="F164" s="339"/>
      <c r="G164" s="339"/>
      <c r="H164" s="259"/>
      <c r="I164" s="571" t="s">
        <v>1745</v>
      </c>
      <c r="J164" s="158" t="s">
        <v>453</v>
      </c>
      <c r="K164" s="137" t="s">
        <v>455</v>
      </c>
      <c r="L164" s="137" t="s">
        <v>457</v>
      </c>
      <c r="M164" s="137" t="s">
        <v>459</v>
      </c>
      <c r="N164" s="137" t="s">
        <v>461</v>
      </c>
      <c r="O164" s="137" t="s">
        <v>463</v>
      </c>
      <c r="P164" s="137" t="s">
        <v>465</v>
      </c>
      <c r="Q164" s="138" t="s">
        <v>467</v>
      </c>
      <c r="R164" s="242" t="s">
        <v>469</v>
      </c>
      <c r="S164" s="121" t="s">
        <v>471</v>
      </c>
      <c r="T164" s="121" t="s">
        <v>473</v>
      </c>
      <c r="U164" s="121" t="s">
        <v>475</v>
      </c>
      <c r="V164" s="122" t="s">
        <v>477</v>
      </c>
      <c r="W164" s="259"/>
      <c r="X164" s="571" t="s">
        <v>1745</v>
      </c>
      <c r="Y164" s="158" t="s">
        <v>453</v>
      </c>
      <c r="Z164" s="137" t="s">
        <v>455</v>
      </c>
      <c r="AA164" s="137" t="s">
        <v>457</v>
      </c>
      <c r="AB164" s="137" t="s">
        <v>459</v>
      </c>
      <c r="AC164" s="137" t="s">
        <v>461</v>
      </c>
      <c r="AD164" s="137" t="s">
        <v>463</v>
      </c>
      <c r="AE164" s="137" t="s">
        <v>465</v>
      </c>
      <c r="AF164" s="138" t="s">
        <v>467</v>
      </c>
      <c r="AG164" s="242" t="s">
        <v>469</v>
      </c>
      <c r="AH164" s="121" t="s">
        <v>471</v>
      </c>
      <c r="AI164" s="121" t="s">
        <v>473</v>
      </c>
      <c r="AJ164" s="121" t="s">
        <v>475</v>
      </c>
      <c r="AK164" s="122" t="s">
        <v>477</v>
      </c>
      <c r="AL164" s="259"/>
      <c r="AM164" s="571" t="s">
        <v>1745</v>
      </c>
      <c r="AN164" s="158" t="s">
        <v>453</v>
      </c>
      <c r="AO164" s="137" t="s">
        <v>455</v>
      </c>
      <c r="AP164" s="137" t="s">
        <v>457</v>
      </c>
      <c r="AQ164" s="137" t="s">
        <v>459</v>
      </c>
      <c r="AR164" s="137" t="s">
        <v>461</v>
      </c>
      <c r="AS164" s="137" t="s">
        <v>463</v>
      </c>
      <c r="AT164" s="137" t="s">
        <v>465</v>
      </c>
      <c r="AU164" s="138" t="s">
        <v>467</v>
      </c>
      <c r="AV164" s="242" t="s">
        <v>469</v>
      </c>
      <c r="AW164" s="121" t="s">
        <v>471</v>
      </c>
      <c r="AX164" s="121" t="s">
        <v>473</v>
      </c>
      <c r="AY164" s="121" t="s">
        <v>475</v>
      </c>
      <c r="AZ164" s="122" t="s">
        <v>477</v>
      </c>
    </row>
    <row r="165" spans="2:52" ht="15">
      <c r="B165" s="572"/>
      <c r="C165" s="623" t="s">
        <v>1870</v>
      </c>
      <c r="D165" s="591"/>
      <c r="E165" s="591"/>
      <c r="F165" s="591"/>
      <c r="G165" s="339"/>
      <c r="H165" s="259"/>
      <c r="I165" s="260"/>
      <c r="J165" s="295"/>
      <c r="K165" s="259"/>
      <c r="L165" s="259"/>
      <c r="M165" s="259"/>
      <c r="N165" s="259"/>
      <c r="O165" s="259"/>
      <c r="P165" s="259"/>
      <c r="Q165" s="296"/>
      <c r="R165" s="259"/>
      <c r="S165" s="259"/>
      <c r="T165" s="259"/>
      <c r="U165" s="259"/>
      <c r="V165" s="296"/>
      <c r="W165" s="259"/>
      <c r="X165" s="260"/>
      <c r="Y165" s="295"/>
      <c r="Z165" s="259"/>
      <c r="AA165" s="259"/>
      <c r="AB165" s="259"/>
      <c r="AC165" s="259"/>
      <c r="AD165" s="259"/>
      <c r="AE165" s="259"/>
      <c r="AF165" s="296"/>
      <c r="AG165" s="259"/>
      <c r="AH165" s="259"/>
      <c r="AI165" s="259"/>
      <c r="AJ165" s="259"/>
      <c r="AK165" s="296"/>
      <c r="AL165" s="259"/>
      <c r="AM165" s="260"/>
      <c r="AN165" s="295"/>
      <c r="AO165" s="259"/>
      <c r="AP165" s="259"/>
      <c r="AQ165" s="259"/>
      <c r="AR165" s="259"/>
      <c r="AS165" s="259"/>
      <c r="AT165" s="259"/>
      <c r="AU165" s="296"/>
      <c r="AV165" s="259"/>
      <c r="AW165" s="259"/>
      <c r="AX165" s="259"/>
      <c r="AY165" s="259"/>
      <c r="AZ165" s="296"/>
    </row>
    <row r="166" spans="2:52" ht="15">
      <c r="B166" s="349"/>
      <c r="C166" s="339"/>
      <c r="D166" s="1384" t="s">
        <v>315</v>
      </c>
      <c r="E166" s="591"/>
      <c r="F166" s="591"/>
      <c r="G166" s="339"/>
      <c r="H166" s="259"/>
      <c r="I166" s="576" t="s">
        <v>498</v>
      </c>
      <c r="J166" s="297">
        <v>0</v>
      </c>
      <c r="K166" s="298">
        <v>0</v>
      </c>
      <c r="L166" s="298">
        <v>0</v>
      </c>
      <c r="M166" s="298">
        <v>0</v>
      </c>
      <c r="N166" s="298">
        <v>0</v>
      </c>
      <c r="O166" s="298">
        <v>0</v>
      </c>
      <c r="P166" s="298">
        <v>0</v>
      </c>
      <c r="Q166" s="299">
        <v>0</v>
      </c>
      <c r="R166" s="460">
        <v>0</v>
      </c>
      <c r="S166" s="298">
        <v>0</v>
      </c>
      <c r="T166" s="298">
        <v>0</v>
      </c>
      <c r="U166" s="298">
        <v>0</v>
      </c>
      <c r="V166" s="299">
        <v>0</v>
      </c>
      <c r="W166" s="259"/>
      <c r="X166" s="576" t="s">
        <v>498</v>
      </c>
      <c r="Y166" s="297">
        <v>0</v>
      </c>
      <c r="Z166" s="298">
        <v>0</v>
      </c>
      <c r="AA166" s="298">
        <v>0</v>
      </c>
      <c r="AB166" s="298">
        <v>0</v>
      </c>
      <c r="AC166" s="298">
        <v>0</v>
      </c>
      <c r="AD166" s="298">
        <v>0</v>
      </c>
      <c r="AE166" s="298">
        <v>0</v>
      </c>
      <c r="AF166" s="299">
        <v>0</v>
      </c>
      <c r="AG166" s="460">
        <v>0</v>
      </c>
      <c r="AH166" s="298">
        <v>0</v>
      </c>
      <c r="AI166" s="298">
        <v>0</v>
      </c>
      <c r="AJ166" s="298">
        <v>0</v>
      </c>
      <c r="AK166" s="299">
        <v>0</v>
      </c>
      <c r="AL166" s="259"/>
      <c r="AM166" s="576" t="s">
        <v>498</v>
      </c>
      <c r="AN166" s="297">
        <v>0</v>
      </c>
      <c r="AO166" s="298">
        <v>0</v>
      </c>
      <c r="AP166" s="298">
        <v>0</v>
      </c>
      <c r="AQ166" s="298">
        <v>0</v>
      </c>
      <c r="AR166" s="298">
        <v>0</v>
      </c>
      <c r="AS166" s="298">
        <v>0</v>
      </c>
      <c r="AT166" s="298">
        <v>0</v>
      </c>
      <c r="AU166" s="299">
        <v>0</v>
      </c>
      <c r="AV166" s="460">
        <v>0</v>
      </c>
      <c r="AW166" s="298">
        <v>0</v>
      </c>
      <c r="AX166" s="298">
        <v>0</v>
      </c>
      <c r="AY166" s="298">
        <v>0</v>
      </c>
      <c r="AZ166" s="299">
        <v>0</v>
      </c>
    </row>
    <row r="167" spans="2:52" ht="15">
      <c r="B167" s="349"/>
      <c r="C167" s="339"/>
      <c r="D167" s="1384" t="s">
        <v>324</v>
      </c>
      <c r="E167" s="591"/>
      <c r="F167" s="591"/>
      <c r="G167" s="339"/>
      <c r="H167" s="259"/>
      <c r="I167" s="576" t="s">
        <v>498</v>
      </c>
      <c r="J167" s="297">
        <v>0</v>
      </c>
      <c r="K167" s="298">
        <v>0</v>
      </c>
      <c r="L167" s="298">
        <v>0</v>
      </c>
      <c r="M167" s="298">
        <v>0</v>
      </c>
      <c r="N167" s="298">
        <v>0</v>
      </c>
      <c r="O167" s="298">
        <v>0</v>
      </c>
      <c r="P167" s="298">
        <v>0</v>
      </c>
      <c r="Q167" s="299">
        <v>0</v>
      </c>
      <c r="R167" s="460">
        <v>0</v>
      </c>
      <c r="S167" s="298">
        <v>0</v>
      </c>
      <c r="T167" s="298">
        <v>0</v>
      </c>
      <c r="U167" s="298">
        <v>0</v>
      </c>
      <c r="V167" s="299">
        <v>0</v>
      </c>
      <c r="W167" s="259"/>
      <c r="X167" s="576" t="s">
        <v>498</v>
      </c>
      <c r="Y167" s="297">
        <v>0</v>
      </c>
      <c r="Z167" s="298">
        <v>0</v>
      </c>
      <c r="AA167" s="298">
        <v>0</v>
      </c>
      <c r="AB167" s="298">
        <v>0</v>
      </c>
      <c r="AC167" s="298">
        <v>0</v>
      </c>
      <c r="AD167" s="298">
        <v>0</v>
      </c>
      <c r="AE167" s="298">
        <v>0</v>
      </c>
      <c r="AF167" s="299">
        <v>0</v>
      </c>
      <c r="AG167" s="460">
        <v>0</v>
      </c>
      <c r="AH167" s="298">
        <v>0</v>
      </c>
      <c r="AI167" s="298">
        <v>0</v>
      </c>
      <c r="AJ167" s="298">
        <v>0</v>
      </c>
      <c r="AK167" s="299">
        <v>0</v>
      </c>
      <c r="AL167" s="259"/>
      <c r="AM167" s="576" t="s">
        <v>498</v>
      </c>
      <c r="AN167" s="297">
        <v>0</v>
      </c>
      <c r="AO167" s="298">
        <v>0</v>
      </c>
      <c r="AP167" s="298">
        <v>0</v>
      </c>
      <c r="AQ167" s="298">
        <v>0</v>
      </c>
      <c r="AR167" s="298">
        <v>0</v>
      </c>
      <c r="AS167" s="298">
        <v>0</v>
      </c>
      <c r="AT167" s="298">
        <v>0</v>
      </c>
      <c r="AU167" s="299">
        <v>0</v>
      </c>
      <c r="AV167" s="460">
        <v>0</v>
      </c>
      <c r="AW167" s="298">
        <v>0</v>
      </c>
      <c r="AX167" s="298">
        <v>0</v>
      </c>
      <c r="AY167" s="298">
        <v>0</v>
      </c>
      <c r="AZ167" s="299">
        <v>0</v>
      </c>
    </row>
    <row r="168" spans="2:52" ht="15">
      <c r="B168" s="349"/>
      <c r="C168" s="339"/>
      <c r="D168" s="1384" t="s">
        <v>329</v>
      </c>
      <c r="E168" s="591"/>
      <c r="F168" s="591"/>
      <c r="G168" s="339"/>
      <c r="H168" s="259"/>
      <c r="I168" s="576" t="s">
        <v>498</v>
      </c>
      <c r="J168" s="297">
        <v>0</v>
      </c>
      <c r="K168" s="298">
        <v>0</v>
      </c>
      <c r="L168" s="298">
        <v>0</v>
      </c>
      <c r="M168" s="298">
        <v>0</v>
      </c>
      <c r="N168" s="298">
        <v>0</v>
      </c>
      <c r="O168" s="298">
        <v>0</v>
      </c>
      <c r="P168" s="298">
        <v>0</v>
      </c>
      <c r="Q168" s="299">
        <v>0</v>
      </c>
      <c r="R168" s="460">
        <v>0</v>
      </c>
      <c r="S168" s="298">
        <v>0</v>
      </c>
      <c r="T168" s="298">
        <v>0</v>
      </c>
      <c r="U168" s="298">
        <v>0</v>
      </c>
      <c r="V168" s="299">
        <v>0</v>
      </c>
      <c r="W168" s="259"/>
      <c r="X168" s="576" t="s">
        <v>498</v>
      </c>
      <c r="Y168" s="297">
        <v>0</v>
      </c>
      <c r="Z168" s="298">
        <v>0</v>
      </c>
      <c r="AA168" s="298">
        <v>0</v>
      </c>
      <c r="AB168" s="298">
        <v>0</v>
      </c>
      <c r="AC168" s="298">
        <v>0</v>
      </c>
      <c r="AD168" s="298">
        <v>0</v>
      </c>
      <c r="AE168" s="298">
        <v>0</v>
      </c>
      <c r="AF168" s="299">
        <v>0</v>
      </c>
      <c r="AG168" s="460">
        <v>0</v>
      </c>
      <c r="AH168" s="298">
        <v>0</v>
      </c>
      <c r="AI168" s="298">
        <v>0</v>
      </c>
      <c r="AJ168" s="298">
        <v>0</v>
      </c>
      <c r="AK168" s="299">
        <v>0</v>
      </c>
      <c r="AL168" s="259"/>
      <c r="AM168" s="576" t="s">
        <v>498</v>
      </c>
      <c r="AN168" s="297">
        <v>0</v>
      </c>
      <c r="AO168" s="298">
        <v>0</v>
      </c>
      <c r="AP168" s="298">
        <v>0</v>
      </c>
      <c r="AQ168" s="298">
        <v>0</v>
      </c>
      <c r="AR168" s="298">
        <v>0</v>
      </c>
      <c r="AS168" s="298">
        <v>0</v>
      </c>
      <c r="AT168" s="298">
        <v>0</v>
      </c>
      <c r="AU168" s="299">
        <v>0</v>
      </c>
      <c r="AV168" s="460">
        <v>0</v>
      </c>
      <c r="AW168" s="298">
        <v>0</v>
      </c>
      <c r="AX168" s="298">
        <v>0</v>
      </c>
      <c r="AY168" s="298">
        <v>0</v>
      </c>
      <c r="AZ168" s="299">
        <v>0</v>
      </c>
    </row>
    <row r="169" spans="2:52" ht="15">
      <c r="B169" s="349"/>
      <c r="C169" s="339"/>
      <c r="D169" s="1384" t="s">
        <v>332</v>
      </c>
      <c r="E169" s="591"/>
      <c r="F169" s="591"/>
      <c r="G169" s="339"/>
      <c r="H169" s="259"/>
      <c r="I169" s="576" t="s">
        <v>498</v>
      </c>
      <c r="J169" s="297">
        <v>0</v>
      </c>
      <c r="K169" s="298">
        <v>0</v>
      </c>
      <c r="L169" s="298">
        <v>0</v>
      </c>
      <c r="M169" s="298">
        <v>0</v>
      </c>
      <c r="N169" s="298">
        <v>0</v>
      </c>
      <c r="O169" s="298">
        <v>0</v>
      </c>
      <c r="P169" s="298">
        <v>0</v>
      </c>
      <c r="Q169" s="299">
        <v>0</v>
      </c>
      <c r="R169" s="460">
        <v>0</v>
      </c>
      <c r="S169" s="298">
        <v>0</v>
      </c>
      <c r="T169" s="298">
        <v>0</v>
      </c>
      <c r="U169" s="298">
        <v>0</v>
      </c>
      <c r="V169" s="299">
        <v>0</v>
      </c>
      <c r="W169" s="259"/>
      <c r="X169" s="576" t="s">
        <v>498</v>
      </c>
      <c r="Y169" s="297">
        <v>0</v>
      </c>
      <c r="Z169" s="298">
        <v>0</v>
      </c>
      <c r="AA169" s="298">
        <v>0</v>
      </c>
      <c r="AB169" s="298">
        <v>0</v>
      </c>
      <c r="AC169" s="298">
        <v>0</v>
      </c>
      <c r="AD169" s="298">
        <v>0</v>
      </c>
      <c r="AE169" s="298">
        <v>0</v>
      </c>
      <c r="AF169" s="299">
        <v>0</v>
      </c>
      <c r="AG169" s="460">
        <v>0</v>
      </c>
      <c r="AH169" s="298">
        <v>0</v>
      </c>
      <c r="AI169" s="298">
        <v>0</v>
      </c>
      <c r="AJ169" s="298">
        <v>0</v>
      </c>
      <c r="AK169" s="299">
        <v>0</v>
      </c>
      <c r="AL169" s="259"/>
      <c r="AM169" s="576" t="s">
        <v>498</v>
      </c>
      <c r="AN169" s="297">
        <v>0</v>
      </c>
      <c r="AO169" s="298">
        <v>0</v>
      </c>
      <c r="AP169" s="298">
        <v>0</v>
      </c>
      <c r="AQ169" s="298">
        <v>0</v>
      </c>
      <c r="AR169" s="298">
        <v>0</v>
      </c>
      <c r="AS169" s="298">
        <v>0</v>
      </c>
      <c r="AT169" s="298">
        <v>0</v>
      </c>
      <c r="AU169" s="299">
        <v>0</v>
      </c>
      <c r="AV169" s="460">
        <v>0</v>
      </c>
      <c r="AW169" s="298">
        <v>0</v>
      </c>
      <c r="AX169" s="298">
        <v>0</v>
      </c>
      <c r="AY169" s="298">
        <v>0</v>
      </c>
      <c r="AZ169" s="299">
        <v>0</v>
      </c>
    </row>
    <row r="170" spans="2:52" ht="15">
      <c r="B170" s="349"/>
      <c r="C170" s="339"/>
      <c r="D170" s="1384" t="s">
        <v>1871</v>
      </c>
      <c r="E170" s="591"/>
      <c r="F170" s="591"/>
      <c r="G170" s="339"/>
      <c r="H170" s="259"/>
      <c r="I170" s="576" t="s">
        <v>498</v>
      </c>
      <c r="J170" s="297">
        <v>0</v>
      </c>
      <c r="K170" s="298">
        <v>0</v>
      </c>
      <c r="L170" s="298">
        <v>0</v>
      </c>
      <c r="M170" s="298">
        <v>0</v>
      </c>
      <c r="N170" s="298">
        <v>0</v>
      </c>
      <c r="O170" s="298">
        <v>0</v>
      </c>
      <c r="P170" s="298">
        <v>0</v>
      </c>
      <c r="Q170" s="299">
        <v>0</v>
      </c>
      <c r="R170" s="460">
        <v>0</v>
      </c>
      <c r="S170" s="298">
        <v>0</v>
      </c>
      <c r="T170" s="298">
        <v>0</v>
      </c>
      <c r="U170" s="298">
        <v>0</v>
      </c>
      <c r="V170" s="299">
        <v>0</v>
      </c>
      <c r="W170" s="259"/>
      <c r="X170" s="576" t="s">
        <v>498</v>
      </c>
      <c r="Y170" s="297">
        <v>0</v>
      </c>
      <c r="Z170" s="298">
        <v>0</v>
      </c>
      <c r="AA170" s="298">
        <v>0</v>
      </c>
      <c r="AB170" s="298">
        <v>0</v>
      </c>
      <c r="AC170" s="298">
        <v>0</v>
      </c>
      <c r="AD170" s="298">
        <v>0</v>
      </c>
      <c r="AE170" s="298">
        <v>0</v>
      </c>
      <c r="AF170" s="299">
        <v>0</v>
      </c>
      <c r="AG170" s="460">
        <v>0</v>
      </c>
      <c r="AH170" s="298">
        <v>0</v>
      </c>
      <c r="AI170" s="298">
        <v>0</v>
      </c>
      <c r="AJ170" s="298">
        <v>0</v>
      </c>
      <c r="AK170" s="299">
        <v>0</v>
      </c>
      <c r="AL170" s="259"/>
      <c r="AM170" s="576" t="s">
        <v>498</v>
      </c>
      <c r="AN170" s="297">
        <v>0</v>
      </c>
      <c r="AO170" s="298">
        <v>0</v>
      </c>
      <c r="AP170" s="298">
        <v>0</v>
      </c>
      <c r="AQ170" s="298">
        <v>0</v>
      </c>
      <c r="AR170" s="298">
        <v>0</v>
      </c>
      <c r="AS170" s="298">
        <v>0</v>
      </c>
      <c r="AT170" s="298">
        <v>0</v>
      </c>
      <c r="AU170" s="299">
        <v>0</v>
      </c>
      <c r="AV170" s="460">
        <v>0</v>
      </c>
      <c r="AW170" s="298">
        <v>0</v>
      </c>
      <c r="AX170" s="298">
        <v>0</v>
      </c>
      <c r="AY170" s="298">
        <v>0</v>
      </c>
      <c r="AZ170" s="299">
        <v>0</v>
      </c>
    </row>
    <row r="171" spans="2:52" ht="15">
      <c r="B171" s="349"/>
      <c r="C171" s="339"/>
      <c r="D171" s="1384" t="s">
        <v>1872</v>
      </c>
      <c r="E171" s="591"/>
      <c r="F171" s="591"/>
      <c r="G171" s="339"/>
      <c r="H171" s="259"/>
      <c r="I171" s="576" t="s">
        <v>498</v>
      </c>
      <c r="J171" s="297">
        <v>0</v>
      </c>
      <c r="K171" s="298">
        <v>0</v>
      </c>
      <c r="L171" s="298">
        <v>0</v>
      </c>
      <c r="M171" s="298">
        <v>0</v>
      </c>
      <c r="N171" s="298">
        <v>0</v>
      </c>
      <c r="O171" s="298">
        <v>0</v>
      </c>
      <c r="P171" s="298">
        <v>0</v>
      </c>
      <c r="Q171" s="299">
        <v>0</v>
      </c>
      <c r="R171" s="460">
        <v>0</v>
      </c>
      <c r="S171" s="298">
        <v>0</v>
      </c>
      <c r="T171" s="298">
        <v>0</v>
      </c>
      <c r="U171" s="298">
        <v>0</v>
      </c>
      <c r="V171" s="299">
        <v>0</v>
      </c>
      <c r="W171" s="259"/>
      <c r="X171" s="576" t="s">
        <v>498</v>
      </c>
      <c r="Y171" s="297">
        <v>0</v>
      </c>
      <c r="Z171" s="298">
        <v>0</v>
      </c>
      <c r="AA171" s="298">
        <v>0</v>
      </c>
      <c r="AB171" s="298">
        <v>0</v>
      </c>
      <c r="AC171" s="298">
        <v>0</v>
      </c>
      <c r="AD171" s="298">
        <v>0</v>
      </c>
      <c r="AE171" s="298">
        <v>0</v>
      </c>
      <c r="AF171" s="299">
        <v>0</v>
      </c>
      <c r="AG171" s="460">
        <v>0</v>
      </c>
      <c r="AH171" s="298">
        <v>0</v>
      </c>
      <c r="AI171" s="298">
        <v>0</v>
      </c>
      <c r="AJ171" s="298">
        <v>0</v>
      </c>
      <c r="AK171" s="299">
        <v>0</v>
      </c>
      <c r="AL171" s="259"/>
      <c r="AM171" s="576" t="s">
        <v>498</v>
      </c>
      <c r="AN171" s="297">
        <v>0</v>
      </c>
      <c r="AO171" s="298">
        <v>0</v>
      </c>
      <c r="AP171" s="298">
        <v>0</v>
      </c>
      <c r="AQ171" s="298">
        <v>0</v>
      </c>
      <c r="AR171" s="298">
        <v>0</v>
      </c>
      <c r="AS171" s="298">
        <v>0</v>
      </c>
      <c r="AT171" s="298">
        <v>0</v>
      </c>
      <c r="AU171" s="299">
        <v>0</v>
      </c>
      <c r="AV171" s="460">
        <v>0</v>
      </c>
      <c r="AW171" s="298">
        <v>0</v>
      </c>
      <c r="AX171" s="298">
        <v>0</v>
      </c>
      <c r="AY171" s="298">
        <v>0</v>
      </c>
      <c r="AZ171" s="299">
        <v>0</v>
      </c>
    </row>
    <row r="172" spans="2:52" ht="15.75" thickBot="1">
      <c r="B172" s="357" t="s">
        <v>1701</v>
      </c>
      <c r="C172" s="358"/>
      <c r="D172" s="1385"/>
      <c r="E172" s="1386"/>
      <c r="F172" s="1386"/>
      <c r="G172" s="358"/>
      <c r="H172" s="300"/>
      <c r="I172" s="581" t="s">
        <v>498</v>
      </c>
      <c r="J172" s="627">
        <f>SUM(J166:J171)</f>
        <v>0</v>
      </c>
      <c r="K172" s="628">
        <f t="shared" ref="K172:V172" si="153">SUM(K166:K171)</f>
        <v>0</v>
      </c>
      <c r="L172" s="628">
        <f t="shared" si="153"/>
        <v>0</v>
      </c>
      <c r="M172" s="628">
        <f t="shared" si="153"/>
        <v>0</v>
      </c>
      <c r="N172" s="628">
        <f t="shared" si="153"/>
        <v>0</v>
      </c>
      <c r="O172" s="628">
        <f t="shared" si="153"/>
        <v>0</v>
      </c>
      <c r="P172" s="628">
        <f t="shared" si="153"/>
        <v>0</v>
      </c>
      <c r="Q172" s="629">
        <f t="shared" si="153"/>
        <v>0</v>
      </c>
      <c r="R172" s="770">
        <f t="shared" si="153"/>
        <v>0</v>
      </c>
      <c r="S172" s="628">
        <f t="shared" si="153"/>
        <v>0</v>
      </c>
      <c r="T172" s="628">
        <f t="shared" si="153"/>
        <v>0</v>
      </c>
      <c r="U172" s="628">
        <f t="shared" si="153"/>
        <v>0</v>
      </c>
      <c r="V172" s="629">
        <f t="shared" si="153"/>
        <v>0</v>
      </c>
      <c r="W172" s="300"/>
      <c r="X172" s="581" t="s">
        <v>498</v>
      </c>
      <c r="Y172" s="627">
        <f>SUM(Y166:Y171)</f>
        <v>0</v>
      </c>
      <c r="Z172" s="628">
        <f t="shared" ref="Z172:AK172" si="154">SUM(Z166:Z171)</f>
        <v>0</v>
      </c>
      <c r="AA172" s="628">
        <f t="shared" si="154"/>
        <v>0</v>
      </c>
      <c r="AB172" s="628">
        <f t="shared" si="154"/>
        <v>0</v>
      </c>
      <c r="AC172" s="628">
        <f t="shared" si="154"/>
        <v>0</v>
      </c>
      <c r="AD172" s="628">
        <f t="shared" si="154"/>
        <v>0</v>
      </c>
      <c r="AE172" s="628">
        <f t="shared" si="154"/>
        <v>0</v>
      </c>
      <c r="AF172" s="629">
        <f t="shared" si="154"/>
        <v>0</v>
      </c>
      <c r="AG172" s="770">
        <f t="shared" si="154"/>
        <v>0</v>
      </c>
      <c r="AH172" s="628">
        <f t="shared" si="154"/>
        <v>0</v>
      </c>
      <c r="AI172" s="628">
        <f t="shared" si="154"/>
        <v>0</v>
      </c>
      <c r="AJ172" s="628">
        <f t="shared" si="154"/>
        <v>0</v>
      </c>
      <c r="AK172" s="629">
        <f t="shared" si="154"/>
        <v>0</v>
      </c>
      <c r="AL172" s="300"/>
      <c r="AM172" s="581" t="s">
        <v>498</v>
      </c>
      <c r="AN172" s="627">
        <f>SUM(AN166:AN171)</f>
        <v>0</v>
      </c>
      <c r="AO172" s="628">
        <f t="shared" ref="AO172:AZ172" si="155">SUM(AO166:AO171)</f>
        <v>0</v>
      </c>
      <c r="AP172" s="628">
        <f t="shared" si="155"/>
        <v>0</v>
      </c>
      <c r="AQ172" s="628">
        <f t="shared" si="155"/>
        <v>0</v>
      </c>
      <c r="AR172" s="628">
        <f t="shared" si="155"/>
        <v>0</v>
      </c>
      <c r="AS172" s="628">
        <f t="shared" si="155"/>
        <v>0</v>
      </c>
      <c r="AT172" s="628">
        <f t="shared" si="155"/>
        <v>0</v>
      </c>
      <c r="AU172" s="629">
        <f t="shared" si="155"/>
        <v>0</v>
      </c>
      <c r="AV172" s="770">
        <f t="shared" si="155"/>
        <v>0</v>
      </c>
      <c r="AW172" s="628">
        <f t="shared" si="155"/>
        <v>0</v>
      </c>
      <c r="AX172" s="628">
        <f t="shared" si="155"/>
        <v>0</v>
      </c>
      <c r="AY172" s="628">
        <f t="shared" si="155"/>
        <v>0</v>
      </c>
      <c r="AZ172" s="629">
        <f t="shared" si="155"/>
        <v>0</v>
      </c>
    </row>
    <row r="173" spans="2:52" ht="15" thickBot="1"/>
    <row r="174" spans="2:52" ht="30" customHeight="1" thickBot="1">
      <c r="B174" s="640" t="s">
        <v>1720</v>
      </c>
      <c r="C174" s="558"/>
      <c r="D174" s="558"/>
      <c r="E174" s="558"/>
      <c r="F174" s="558"/>
      <c r="G174" s="559"/>
      <c r="H174" s="294"/>
      <c r="I174" s="105" t="s">
        <v>1864</v>
      </c>
      <c r="J174" s="106"/>
      <c r="K174" s="106"/>
      <c r="L174" s="106"/>
      <c r="M174" s="106"/>
      <c r="N174" s="106"/>
      <c r="O174" s="106"/>
      <c r="P174" s="106"/>
      <c r="Q174" s="106"/>
      <c r="R174" s="105"/>
      <c r="S174" s="105"/>
      <c r="T174" s="105"/>
      <c r="U174" s="105"/>
      <c r="V174" s="187"/>
      <c r="W174" s="294"/>
      <c r="X174" s="105" t="s">
        <v>1867</v>
      </c>
      <c r="Y174" s="106"/>
      <c r="Z174" s="106"/>
      <c r="AA174" s="106"/>
      <c r="AB174" s="106"/>
      <c r="AC174" s="106"/>
      <c r="AD174" s="106"/>
      <c r="AE174" s="106"/>
      <c r="AF174" s="106"/>
      <c r="AG174" s="105"/>
      <c r="AH174" s="105"/>
      <c r="AI174" s="105"/>
      <c r="AJ174" s="105"/>
      <c r="AK174" s="187"/>
      <c r="AL174" s="294"/>
      <c r="AM174" s="105" t="s">
        <v>1868</v>
      </c>
      <c r="AN174" s="106"/>
      <c r="AO174" s="106"/>
      <c r="AP174" s="106"/>
      <c r="AQ174" s="106"/>
      <c r="AR174" s="106"/>
      <c r="AS174" s="106"/>
      <c r="AT174" s="106"/>
      <c r="AU174" s="106"/>
      <c r="AV174" s="105"/>
      <c r="AW174" s="105"/>
      <c r="AX174" s="105"/>
      <c r="AY174" s="105"/>
      <c r="AZ174" s="187"/>
    </row>
    <row r="175" spans="2:52" ht="30" customHeight="1">
      <c r="B175" s="560"/>
      <c r="C175" s="561"/>
      <c r="D175" s="561"/>
      <c r="E175" s="561"/>
      <c r="F175" s="561"/>
      <c r="G175" s="561"/>
      <c r="H175" s="259"/>
      <c r="I175" s="562"/>
      <c r="J175" s="563" t="s">
        <v>1666</v>
      </c>
      <c r="K175" s="564"/>
      <c r="L175" s="564"/>
      <c r="M175" s="564"/>
      <c r="N175" s="564"/>
      <c r="O175" s="564"/>
      <c r="P175" s="564"/>
      <c r="Q175" s="565"/>
      <c r="R175" s="567" t="s">
        <v>2</v>
      </c>
      <c r="S175" s="567"/>
      <c r="T175" s="567"/>
      <c r="U175" s="567"/>
      <c r="V175" s="568"/>
      <c r="W175" s="259"/>
      <c r="X175" s="562"/>
      <c r="Y175" s="563" t="s">
        <v>1666</v>
      </c>
      <c r="Z175" s="564"/>
      <c r="AA175" s="564"/>
      <c r="AB175" s="564"/>
      <c r="AC175" s="564"/>
      <c r="AD175" s="564"/>
      <c r="AE175" s="564"/>
      <c r="AF175" s="565"/>
      <c r="AG175" s="567" t="s">
        <v>2</v>
      </c>
      <c r="AH175" s="567"/>
      <c r="AI175" s="567"/>
      <c r="AJ175" s="567"/>
      <c r="AK175" s="568"/>
      <c r="AL175" s="259"/>
      <c r="AM175" s="562"/>
      <c r="AN175" s="563" t="s">
        <v>1666</v>
      </c>
      <c r="AO175" s="564"/>
      <c r="AP175" s="564"/>
      <c r="AQ175" s="564"/>
      <c r="AR175" s="564"/>
      <c r="AS175" s="564"/>
      <c r="AT175" s="564"/>
      <c r="AU175" s="565"/>
      <c r="AV175" s="567" t="s">
        <v>2</v>
      </c>
      <c r="AW175" s="567"/>
      <c r="AX175" s="567"/>
      <c r="AY175" s="567"/>
      <c r="AZ175" s="568"/>
    </row>
    <row r="176" spans="2:52" ht="15">
      <c r="B176" s="572"/>
      <c r="C176" s="339"/>
      <c r="D176" s="339"/>
      <c r="E176" s="339"/>
      <c r="F176" s="339"/>
      <c r="G176" s="339"/>
      <c r="H176" s="259"/>
      <c r="I176" s="571" t="s">
        <v>1745</v>
      </c>
      <c r="J176" s="158" t="s">
        <v>453</v>
      </c>
      <c r="K176" s="137" t="s">
        <v>455</v>
      </c>
      <c r="L176" s="137" t="s">
        <v>457</v>
      </c>
      <c r="M176" s="137" t="s">
        <v>459</v>
      </c>
      <c r="N176" s="137" t="s">
        <v>461</v>
      </c>
      <c r="O176" s="137" t="s">
        <v>463</v>
      </c>
      <c r="P176" s="137" t="s">
        <v>465</v>
      </c>
      <c r="Q176" s="138" t="s">
        <v>467</v>
      </c>
      <c r="R176" s="242" t="s">
        <v>469</v>
      </c>
      <c r="S176" s="121" t="s">
        <v>471</v>
      </c>
      <c r="T176" s="121" t="s">
        <v>473</v>
      </c>
      <c r="U176" s="121" t="s">
        <v>475</v>
      </c>
      <c r="V176" s="122" t="s">
        <v>477</v>
      </c>
      <c r="W176" s="259"/>
      <c r="X176" s="571" t="s">
        <v>1745</v>
      </c>
      <c r="Y176" s="158" t="s">
        <v>453</v>
      </c>
      <c r="Z176" s="137" t="s">
        <v>455</v>
      </c>
      <c r="AA176" s="137" t="s">
        <v>457</v>
      </c>
      <c r="AB176" s="137" t="s">
        <v>459</v>
      </c>
      <c r="AC176" s="137" t="s">
        <v>461</v>
      </c>
      <c r="AD176" s="137" t="s">
        <v>463</v>
      </c>
      <c r="AE176" s="137" t="s">
        <v>465</v>
      </c>
      <c r="AF176" s="138" t="s">
        <v>467</v>
      </c>
      <c r="AG176" s="242" t="s">
        <v>469</v>
      </c>
      <c r="AH176" s="121" t="s">
        <v>471</v>
      </c>
      <c r="AI176" s="121" t="s">
        <v>473</v>
      </c>
      <c r="AJ176" s="121" t="s">
        <v>475</v>
      </c>
      <c r="AK176" s="122" t="s">
        <v>477</v>
      </c>
      <c r="AL176" s="259"/>
      <c r="AM176" s="571" t="s">
        <v>1745</v>
      </c>
      <c r="AN176" s="158" t="s">
        <v>453</v>
      </c>
      <c r="AO176" s="137" t="s">
        <v>455</v>
      </c>
      <c r="AP176" s="137" t="s">
        <v>457</v>
      </c>
      <c r="AQ176" s="137" t="s">
        <v>459</v>
      </c>
      <c r="AR176" s="137" t="s">
        <v>461</v>
      </c>
      <c r="AS176" s="137" t="s">
        <v>463</v>
      </c>
      <c r="AT176" s="137" t="s">
        <v>465</v>
      </c>
      <c r="AU176" s="138" t="s">
        <v>467</v>
      </c>
      <c r="AV176" s="242" t="s">
        <v>469</v>
      </c>
      <c r="AW176" s="121" t="s">
        <v>471</v>
      </c>
      <c r="AX176" s="121" t="s">
        <v>473</v>
      </c>
      <c r="AY176" s="121" t="s">
        <v>475</v>
      </c>
      <c r="AZ176" s="122" t="s">
        <v>477</v>
      </c>
    </row>
    <row r="177" spans="2:52" ht="15">
      <c r="B177" s="572"/>
      <c r="C177" s="623" t="s">
        <v>1870</v>
      </c>
      <c r="D177" s="591"/>
      <c r="E177" s="591"/>
      <c r="F177" s="591"/>
      <c r="G177" s="339"/>
      <c r="H177" s="259"/>
      <c r="I177" s="260"/>
      <c r="J177" s="295"/>
      <c r="K177" s="259"/>
      <c r="L177" s="259"/>
      <c r="M177" s="259"/>
      <c r="N177" s="259"/>
      <c r="O177" s="259"/>
      <c r="P177" s="259"/>
      <c r="Q177" s="296"/>
      <c r="R177" s="259"/>
      <c r="S177" s="259"/>
      <c r="T177" s="259"/>
      <c r="U177" s="259"/>
      <c r="V177" s="296"/>
      <c r="W177" s="259"/>
      <c r="X177" s="260"/>
      <c r="Y177" s="295"/>
      <c r="Z177" s="259"/>
      <c r="AA177" s="259"/>
      <c r="AB177" s="259"/>
      <c r="AC177" s="259"/>
      <c r="AD177" s="259"/>
      <c r="AE177" s="259"/>
      <c r="AF177" s="296"/>
      <c r="AG177" s="259"/>
      <c r="AH177" s="259"/>
      <c r="AI177" s="259"/>
      <c r="AJ177" s="259"/>
      <c r="AK177" s="296"/>
      <c r="AL177" s="259"/>
      <c r="AM177" s="260"/>
      <c r="AN177" s="295"/>
      <c r="AO177" s="259"/>
      <c r="AP177" s="259"/>
      <c r="AQ177" s="259"/>
      <c r="AR177" s="259"/>
      <c r="AS177" s="259"/>
      <c r="AT177" s="259"/>
      <c r="AU177" s="296"/>
      <c r="AV177" s="259"/>
      <c r="AW177" s="259"/>
      <c r="AX177" s="259"/>
      <c r="AY177" s="259"/>
      <c r="AZ177" s="296"/>
    </row>
    <row r="178" spans="2:52" ht="15">
      <c r="B178" s="349"/>
      <c r="C178" s="339"/>
      <c r="D178" s="1384" t="s">
        <v>315</v>
      </c>
      <c r="E178" s="591"/>
      <c r="F178" s="591"/>
      <c r="G178" s="339"/>
      <c r="H178" s="259"/>
      <c r="I178" s="576" t="s">
        <v>498</v>
      </c>
      <c r="J178" s="297">
        <v>4.3543693678819597</v>
      </c>
      <c r="K178" s="298">
        <v>4.3831285096855188</v>
      </c>
      <c r="L178" s="298">
        <v>4.7119058849021362</v>
      </c>
      <c r="M178" s="298">
        <v>5.107589097137887</v>
      </c>
      <c r="N178" s="298">
        <v>5.3081246858863604</v>
      </c>
      <c r="O178" s="298">
        <v>4.304594002626434</v>
      </c>
      <c r="P178" s="298">
        <v>4.6607031039316755</v>
      </c>
      <c r="Q178" s="299">
        <v>4.6373995884120172</v>
      </c>
      <c r="R178" s="460">
        <v>4.6142125904699567</v>
      </c>
      <c r="S178" s="298">
        <v>4.5911415275176068</v>
      </c>
      <c r="T178" s="298">
        <v>4.5681858198800187</v>
      </c>
      <c r="U178" s="298">
        <v>4.5453448907806182</v>
      </c>
      <c r="V178" s="299">
        <v>4.5226181663267155</v>
      </c>
      <c r="W178" s="259"/>
      <c r="X178" s="576" t="s">
        <v>498</v>
      </c>
      <c r="Y178" s="297">
        <v>0</v>
      </c>
      <c r="Z178" s="298">
        <v>0</v>
      </c>
      <c r="AA178" s="298">
        <v>7.9655120177669191E-3</v>
      </c>
      <c r="AB178" s="298">
        <v>1.5197431180046623E-3</v>
      </c>
      <c r="AC178" s="298">
        <v>0.32115833610792799</v>
      </c>
      <c r="AD178" s="298">
        <v>0.19687213230065334</v>
      </c>
      <c r="AE178" s="298">
        <v>0.19588777163915008</v>
      </c>
      <c r="AF178" s="299">
        <v>0.19490833278095432</v>
      </c>
      <c r="AG178" s="460">
        <v>0.19393379111704956</v>
      </c>
      <c r="AH178" s="298">
        <v>0.1929641221614643</v>
      </c>
      <c r="AI178" s="298">
        <v>0.19199930155065698</v>
      </c>
      <c r="AJ178" s="298">
        <v>0.1910393050429037</v>
      </c>
      <c r="AK178" s="299">
        <v>0.19008410851768917</v>
      </c>
      <c r="AL178" s="259"/>
      <c r="AM178" s="576" t="s">
        <v>498</v>
      </c>
      <c r="AN178" s="297">
        <v>0</v>
      </c>
      <c r="AO178" s="298">
        <v>0</v>
      </c>
      <c r="AP178" s="298">
        <v>5.520356472018509E-3</v>
      </c>
      <c r="AQ178" s="298">
        <v>1.053230945929145E-3</v>
      </c>
      <c r="AR178" s="298">
        <v>0.12958409681762972</v>
      </c>
      <c r="AS178" s="298">
        <v>0.15289600942362402</v>
      </c>
      <c r="AT178" s="298">
        <v>0.1521315293765059</v>
      </c>
      <c r="AU178" s="299">
        <v>0.15137087172962338</v>
      </c>
      <c r="AV178" s="460">
        <v>0.15061401737097527</v>
      </c>
      <c r="AW178" s="298">
        <v>0.14986094728412039</v>
      </c>
      <c r="AX178" s="298">
        <v>0.14911164254769979</v>
      </c>
      <c r="AY178" s="298">
        <v>0.14836608433496129</v>
      </c>
      <c r="AZ178" s="299">
        <v>0.14762425391328649</v>
      </c>
    </row>
    <row r="179" spans="2:52" ht="15">
      <c r="B179" s="349"/>
      <c r="C179" s="339"/>
      <c r="D179" s="1384" t="s">
        <v>324</v>
      </c>
      <c r="E179" s="591"/>
      <c r="F179" s="591"/>
      <c r="G179" s="339"/>
      <c r="H179" s="259"/>
      <c r="I179" s="576" t="s">
        <v>498</v>
      </c>
      <c r="J179" s="297">
        <v>0</v>
      </c>
      <c r="K179" s="298">
        <v>0</v>
      </c>
      <c r="L179" s="298">
        <v>0</v>
      </c>
      <c r="M179" s="298">
        <v>0</v>
      </c>
      <c r="N179" s="298">
        <v>0</v>
      </c>
      <c r="O179" s="298">
        <v>0</v>
      </c>
      <c r="P179" s="298">
        <v>0</v>
      </c>
      <c r="Q179" s="299">
        <v>0</v>
      </c>
      <c r="R179" s="460">
        <v>0</v>
      </c>
      <c r="S179" s="298">
        <v>0</v>
      </c>
      <c r="T179" s="298">
        <v>0</v>
      </c>
      <c r="U179" s="298">
        <v>0</v>
      </c>
      <c r="V179" s="299">
        <v>0</v>
      </c>
      <c r="W179" s="259"/>
      <c r="X179" s="576" t="s">
        <v>498</v>
      </c>
      <c r="Y179" s="297">
        <v>0</v>
      </c>
      <c r="Z179" s="298">
        <v>0</v>
      </c>
      <c r="AA179" s="298">
        <v>0</v>
      </c>
      <c r="AB179" s="298">
        <v>0</v>
      </c>
      <c r="AC179" s="298">
        <v>0</v>
      </c>
      <c r="AD179" s="298">
        <v>0</v>
      </c>
      <c r="AE179" s="298">
        <v>0</v>
      </c>
      <c r="AF179" s="299">
        <v>0</v>
      </c>
      <c r="AG179" s="460">
        <v>0</v>
      </c>
      <c r="AH179" s="298">
        <v>0</v>
      </c>
      <c r="AI179" s="298">
        <v>0</v>
      </c>
      <c r="AJ179" s="298">
        <v>0</v>
      </c>
      <c r="AK179" s="299">
        <v>0</v>
      </c>
      <c r="AL179" s="259"/>
      <c r="AM179" s="576" t="s">
        <v>498</v>
      </c>
      <c r="AN179" s="297">
        <v>0</v>
      </c>
      <c r="AO179" s="298">
        <v>0</v>
      </c>
      <c r="AP179" s="298">
        <v>0</v>
      </c>
      <c r="AQ179" s="298">
        <v>0</v>
      </c>
      <c r="AR179" s="298">
        <v>0</v>
      </c>
      <c r="AS179" s="298">
        <v>0</v>
      </c>
      <c r="AT179" s="298">
        <v>0</v>
      </c>
      <c r="AU179" s="299">
        <v>0</v>
      </c>
      <c r="AV179" s="460">
        <v>0</v>
      </c>
      <c r="AW179" s="298">
        <v>0</v>
      </c>
      <c r="AX179" s="298">
        <v>0</v>
      </c>
      <c r="AY179" s="298">
        <v>0</v>
      </c>
      <c r="AZ179" s="299">
        <v>0</v>
      </c>
    </row>
    <row r="180" spans="2:52" ht="15">
      <c r="B180" s="349"/>
      <c r="C180" s="339"/>
      <c r="D180" s="1384" t="s">
        <v>329</v>
      </c>
      <c r="E180" s="591"/>
      <c r="F180" s="591"/>
      <c r="G180" s="339"/>
      <c r="H180" s="259"/>
      <c r="I180" s="576" t="s">
        <v>498</v>
      </c>
      <c r="J180" s="297">
        <v>0</v>
      </c>
      <c r="K180" s="298">
        <v>0</v>
      </c>
      <c r="L180" s="298">
        <v>0</v>
      </c>
      <c r="M180" s="298">
        <v>0</v>
      </c>
      <c r="N180" s="298">
        <v>0</v>
      </c>
      <c r="O180" s="298">
        <v>0</v>
      </c>
      <c r="P180" s="298">
        <v>0</v>
      </c>
      <c r="Q180" s="299">
        <v>0</v>
      </c>
      <c r="R180" s="460">
        <v>0</v>
      </c>
      <c r="S180" s="298">
        <v>0</v>
      </c>
      <c r="T180" s="298">
        <v>0</v>
      </c>
      <c r="U180" s="298">
        <v>0</v>
      </c>
      <c r="V180" s="299">
        <v>0</v>
      </c>
      <c r="W180" s="259"/>
      <c r="X180" s="576" t="s">
        <v>498</v>
      </c>
      <c r="Y180" s="297">
        <v>0</v>
      </c>
      <c r="Z180" s="298">
        <v>0</v>
      </c>
      <c r="AA180" s="298">
        <v>0</v>
      </c>
      <c r="AB180" s="298">
        <v>0</v>
      </c>
      <c r="AC180" s="298">
        <v>0</v>
      </c>
      <c r="AD180" s="298">
        <v>0</v>
      </c>
      <c r="AE180" s="298">
        <v>0</v>
      </c>
      <c r="AF180" s="299">
        <v>0</v>
      </c>
      <c r="AG180" s="460">
        <v>0</v>
      </c>
      <c r="AH180" s="298">
        <v>0</v>
      </c>
      <c r="AI180" s="298">
        <v>0</v>
      </c>
      <c r="AJ180" s="298">
        <v>0</v>
      </c>
      <c r="AK180" s="299">
        <v>0</v>
      </c>
      <c r="AL180" s="259"/>
      <c r="AM180" s="576" t="s">
        <v>498</v>
      </c>
      <c r="AN180" s="297">
        <v>0</v>
      </c>
      <c r="AO180" s="298">
        <v>0</v>
      </c>
      <c r="AP180" s="298">
        <v>0</v>
      </c>
      <c r="AQ180" s="298">
        <v>0</v>
      </c>
      <c r="AR180" s="298">
        <v>0</v>
      </c>
      <c r="AS180" s="298">
        <v>0</v>
      </c>
      <c r="AT180" s="298">
        <v>0</v>
      </c>
      <c r="AU180" s="299">
        <v>0</v>
      </c>
      <c r="AV180" s="460">
        <v>0</v>
      </c>
      <c r="AW180" s="298">
        <v>0</v>
      </c>
      <c r="AX180" s="298">
        <v>0</v>
      </c>
      <c r="AY180" s="298">
        <v>0</v>
      </c>
      <c r="AZ180" s="299">
        <v>0</v>
      </c>
    </row>
    <row r="181" spans="2:52" ht="15">
      <c r="B181" s="349"/>
      <c r="C181" s="339"/>
      <c r="D181" s="1384" t="s">
        <v>332</v>
      </c>
      <c r="E181" s="591"/>
      <c r="F181" s="591"/>
      <c r="G181" s="339"/>
      <c r="H181" s="259"/>
      <c r="I181" s="576" t="s">
        <v>498</v>
      </c>
      <c r="J181" s="297">
        <v>0</v>
      </c>
      <c r="K181" s="298">
        <v>0</v>
      </c>
      <c r="L181" s="298">
        <v>0</v>
      </c>
      <c r="M181" s="298">
        <v>0</v>
      </c>
      <c r="N181" s="298">
        <v>0</v>
      </c>
      <c r="O181" s="298">
        <v>0</v>
      </c>
      <c r="P181" s="298">
        <v>0</v>
      </c>
      <c r="Q181" s="299">
        <v>0</v>
      </c>
      <c r="R181" s="460">
        <v>0</v>
      </c>
      <c r="S181" s="298">
        <v>0</v>
      </c>
      <c r="T181" s="298">
        <v>0</v>
      </c>
      <c r="U181" s="298">
        <v>0</v>
      </c>
      <c r="V181" s="299">
        <v>0</v>
      </c>
      <c r="W181" s="259"/>
      <c r="X181" s="576" t="s">
        <v>498</v>
      </c>
      <c r="Y181" s="297">
        <v>0</v>
      </c>
      <c r="Z181" s="298">
        <v>0</v>
      </c>
      <c r="AA181" s="298">
        <v>0</v>
      </c>
      <c r="AB181" s="298">
        <v>0</v>
      </c>
      <c r="AC181" s="298">
        <v>0</v>
      </c>
      <c r="AD181" s="298">
        <v>0</v>
      </c>
      <c r="AE181" s="298">
        <v>0</v>
      </c>
      <c r="AF181" s="299">
        <v>0</v>
      </c>
      <c r="AG181" s="460">
        <v>0</v>
      </c>
      <c r="AH181" s="298">
        <v>0</v>
      </c>
      <c r="AI181" s="298">
        <v>0</v>
      </c>
      <c r="AJ181" s="298">
        <v>0</v>
      </c>
      <c r="AK181" s="299">
        <v>0</v>
      </c>
      <c r="AL181" s="259"/>
      <c r="AM181" s="576" t="s">
        <v>498</v>
      </c>
      <c r="AN181" s="297">
        <v>0</v>
      </c>
      <c r="AO181" s="298">
        <v>0</v>
      </c>
      <c r="AP181" s="298">
        <v>0</v>
      </c>
      <c r="AQ181" s="298">
        <v>0</v>
      </c>
      <c r="AR181" s="298">
        <v>0</v>
      </c>
      <c r="AS181" s="298">
        <v>0</v>
      </c>
      <c r="AT181" s="298">
        <v>0</v>
      </c>
      <c r="AU181" s="299">
        <v>0</v>
      </c>
      <c r="AV181" s="460">
        <v>0</v>
      </c>
      <c r="AW181" s="298">
        <v>0</v>
      </c>
      <c r="AX181" s="298">
        <v>0</v>
      </c>
      <c r="AY181" s="298">
        <v>0</v>
      </c>
      <c r="AZ181" s="299">
        <v>0</v>
      </c>
    </row>
    <row r="182" spans="2:52" ht="15">
      <c r="B182" s="349"/>
      <c r="C182" s="339"/>
      <c r="D182" s="1384" t="s">
        <v>1871</v>
      </c>
      <c r="E182" s="591"/>
      <c r="F182" s="591"/>
      <c r="G182" s="339"/>
      <c r="H182" s="259"/>
      <c r="I182" s="576" t="s">
        <v>498</v>
      </c>
      <c r="J182" s="297">
        <v>0</v>
      </c>
      <c r="K182" s="298">
        <v>0</v>
      </c>
      <c r="L182" s="298">
        <v>0</v>
      </c>
      <c r="M182" s="298">
        <v>0</v>
      </c>
      <c r="N182" s="298">
        <v>0</v>
      </c>
      <c r="O182" s="298">
        <v>0</v>
      </c>
      <c r="P182" s="298">
        <v>0</v>
      </c>
      <c r="Q182" s="299">
        <v>0</v>
      </c>
      <c r="R182" s="460">
        <v>0</v>
      </c>
      <c r="S182" s="298">
        <v>0</v>
      </c>
      <c r="T182" s="298">
        <v>0</v>
      </c>
      <c r="U182" s="298">
        <v>0</v>
      </c>
      <c r="V182" s="299">
        <v>0</v>
      </c>
      <c r="W182" s="259"/>
      <c r="X182" s="576" t="s">
        <v>498</v>
      </c>
      <c r="Y182" s="297">
        <v>0</v>
      </c>
      <c r="Z182" s="298">
        <v>0</v>
      </c>
      <c r="AA182" s="298">
        <v>0</v>
      </c>
      <c r="AB182" s="298">
        <v>0</v>
      </c>
      <c r="AC182" s="298">
        <v>0</v>
      </c>
      <c r="AD182" s="298">
        <v>0</v>
      </c>
      <c r="AE182" s="298">
        <v>0</v>
      </c>
      <c r="AF182" s="299">
        <v>0</v>
      </c>
      <c r="AG182" s="460">
        <v>0</v>
      </c>
      <c r="AH182" s="298">
        <v>0</v>
      </c>
      <c r="AI182" s="298">
        <v>0</v>
      </c>
      <c r="AJ182" s="298">
        <v>0</v>
      </c>
      <c r="AK182" s="299">
        <v>0</v>
      </c>
      <c r="AL182" s="259"/>
      <c r="AM182" s="576" t="s">
        <v>498</v>
      </c>
      <c r="AN182" s="297">
        <v>0</v>
      </c>
      <c r="AO182" s="298">
        <v>0</v>
      </c>
      <c r="AP182" s="298">
        <v>0</v>
      </c>
      <c r="AQ182" s="298">
        <v>0</v>
      </c>
      <c r="AR182" s="298">
        <v>0</v>
      </c>
      <c r="AS182" s="298">
        <v>0</v>
      </c>
      <c r="AT182" s="298">
        <v>0</v>
      </c>
      <c r="AU182" s="299">
        <v>0</v>
      </c>
      <c r="AV182" s="460">
        <v>0</v>
      </c>
      <c r="AW182" s="298">
        <v>0</v>
      </c>
      <c r="AX182" s="298">
        <v>0</v>
      </c>
      <c r="AY182" s="298">
        <v>0</v>
      </c>
      <c r="AZ182" s="299">
        <v>0</v>
      </c>
    </row>
    <row r="183" spans="2:52" ht="15">
      <c r="B183" s="349"/>
      <c r="C183" s="339"/>
      <c r="D183" s="1384" t="s">
        <v>1872</v>
      </c>
      <c r="E183" s="591"/>
      <c r="F183" s="591"/>
      <c r="G183" s="339"/>
      <c r="H183" s="259"/>
      <c r="I183" s="576" t="s">
        <v>498</v>
      </c>
      <c r="J183" s="297">
        <v>0</v>
      </c>
      <c r="K183" s="298">
        <v>0</v>
      </c>
      <c r="L183" s="298">
        <v>0</v>
      </c>
      <c r="M183" s="298">
        <v>0</v>
      </c>
      <c r="N183" s="298">
        <v>0</v>
      </c>
      <c r="O183" s="298">
        <v>0</v>
      </c>
      <c r="P183" s="298">
        <v>0</v>
      </c>
      <c r="Q183" s="299">
        <v>0</v>
      </c>
      <c r="R183" s="460">
        <v>0</v>
      </c>
      <c r="S183" s="298">
        <v>0</v>
      </c>
      <c r="T183" s="298">
        <v>0</v>
      </c>
      <c r="U183" s="298">
        <v>0</v>
      </c>
      <c r="V183" s="299">
        <v>0</v>
      </c>
      <c r="W183" s="259"/>
      <c r="X183" s="576" t="s">
        <v>498</v>
      </c>
      <c r="Y183" s="297">
        <v>0</v>
      </c>
      <c r="Z183" s="298">
        <v>0</v>
      </c>
      <c r="AA183" s="298">
        <v>0</v>
      </c>
      <c r="AB183" s="298">
        <v>0</v>
      </c>
      <c r="AC183" s="298">
        <v>0</v>
      </c>
      <c r="AD183" s="298">
        <v>0</v>
      </c>
      <c r="AE183" s="298">
        <v>0</v>
      </c>
      <c r="AF183" s="299">
        <v>0</v>
      </c>
      <c r="AG183" s="460">
        <v>0</v>
      </c>
      <c r="AH183" s="298">
        <v>0</v>
      </c>
      <c r="AI183" s="298">
        <v>0</v>
      </c>
      <c r="AJ183" s="298">
        <v>0</v>
      </c>
      <c r="AK183" s="299">
        <v>0</v>
      </c>
      <c r="AL183" s="259"/>
      <c r="AM183" s="576" t="s">
        <v>498</v>
      </c>
      <c r="AN183" s="297">
        <v>0</v>
      </c>
      <c r="AO183" s="298">
        <v>0</v>
      </c>
      <c r="AP183" s="298">
        <v>0</v>
      </c>
      <c r="AQ183" s="298">
        <v>0</v>
      </c>
      <c r="AR183" s="298">
        <v>0</v>
      </c>
      <c r="AS183" s="298">
        <v>0</v>
      </c>
      <c r="AT183" s="298">
        <v>0</v>
      </c>
      <c r="AU183" s="299">
        <v>0</v>
      </c>
      <c r="AV183" s="460">
        <v>0</v>
      </c>
      <c r="AW183" s="298">
        <v>0</v>
      </c>
      <c r="AX183" s="298">
        <v>0</v>
      </c>
      <c r="AY183" s="298">
        <v>0</v>
      </c>
      <c r="AZ183" s="299">
        <v>0</v>
      </c>
    </row>
    <row r="184" spans="2:52" ht="15.75" thickBot="1">
      <c r="B184" s="357" t="s">
        <v>1701</v>
      </c>
      <c r="C184" s="358"/>
      <c r="D184" s="1385"/>
      <c r="E184" s="1386"/>
      <c r="F184" s="1386"/>
      <c r="G184" s="358"/>
      <c r="H184" s="300"/>
      <c r="I184" s="581" t="s">
        <v>498</v>
      </c>
      <c r="J184" s="627">
        <f>SUM(J178:J183)</f>
        <v>4.3543693678819597</v>
      </c>
      <c r="K184" s="628">
        <f t="shared" ref="K184:V184" si="156">SUM(K178:K183)</f>
        <v>4.3831285096855188</v>
      </c>
      <c r="L184" s="628">
        <f t="shared" si="156"/>
        <v>4.7119058849021362</v>
      </c>
      <c r="M184" s="628">
        <f t="shared" si="156"/>
        <v>5.107589097137887</v>
      </c>
      <c r="N184" s="628">
        <f t="shared" si="156"/>
        <v>5.3081246858863604</v>
      </c>
      <c r="O184" s="628">
        <f t="shared" si="156"/>
        <v>4.304594002626434</v>
      </c>
      <c r="P184" s="628">
        <f t="shared" si="156"/>
        <v>4.6607031039316755</v>
      </c>
      <c r="Q184" s="629">
        <f t="shared" si="156"/>
        <v>4.6373995884120172</v>
      </c>
      <c r="R184" s="770">
        <f t="shared" si="156"/>
        <v>4.6142125904699567</v>
      </c>
      <c r="S184" s="628">
        <f t="shared" si="156"/>
        <v>4.5911415275176068</v>
      </c>
      <c r="T184" s="628">
        <f t="shared" si="156"/>
        <v>4.5681858198800187</v>
      </c>
      <c r="U184" s="628">
        <f t="shared" si="156"/>
        <v>4.5453448907806182</v>
      </c>
      <c r="V184" s="629">
        <f t="shared" si="156"/>
        <v>4.5226181663267155</v>
      </c>
      <c r="W184" s="300"/>
      <c r="X184" s="581" t="s">
        <v>498</v>
      </c>
      <c r="Y184" s="627">
        <f>SUM(Y178:Y183)</f>
        <v>0</v>
      </c>
      <c r="Z184" s="628">
        <f t="shared" ref="Z184:AK184" si="157">SUM(Z178:Z183)</f>
        <v>0</v>
      </c>
      <c r="AA184" s="628">
        <f t="shared" si="157"/>
        <v>7.9655120177669191E-3</v>
      </c>
      <c r="AB184" s="628">
        <f t="shared" si="157"/>
        <v>1.5197431180046623E-3</v>
      </c>
      <c r="AC184" s="628">
        <f t="shared" si="157"/>
        <v>0.32115833610792799</v>
      </c>
      <c r="AD184" s="628">
        <f t="shared" si="157"/>
        <v>0.19687213230065334</v>
      </c>
      <c r="AE184" s="628">
        <f t="shared" si="157"/>
        <v>0.19588777163915008</v>
      </c>
      <c r="AF184" s="629">
        <f t="shared" si="157"/>
        <v>0.19490833278095432</v>
      </c>
      <c r="AG184" s="770">
        <f t="shared" si="157"/>
        <v>0.19393379111704956</v>
      </c>
      <c r="AH184" s="628">
        <f t="shared" si="157"/>
        <v>0.1929641221614643</v>
      </c>
      <c r="AI184" s="628">
        <f t="shared" si="157"/>
        <v>0.19199930155065698</v>
      </c>
      <c r="AJ184" s="628">
        <f t="shared" si="157"/>
        <v>0.1910393050429037</v>
      </c>
      <c r="AK184" s="629">
        <f t="shared" si="157"/>
        <v>0.19008410851768917</v>
      </c>
      <c r="AL184" s="300"/>
      <c r="AM184" s="581" t="s">
        <v>498</v>
      </c>
      <c r="AN184" s="627">
        <f>SUM(AN178:AN183)</f>
        <v>0</v>
      </c>
      <c r="AO184" s="628">
        <f t="shared" ref="AO184:AZ184" si="158">SUM(AO178:AO183)</f>
        <v>0</v>
      </c>
      <c r="AP184" s="628">
        <f t="shared" si="158"/>
        <v>5.520356472018509E-3</v>
      </c>
      <c r="AQ184" s="628">
        <f t="shared" si="158"/>
        <v>1.053230945929145E-3</v>
      </c>
      <c r="AR184" s="628">
        <f t="shared" si="158"/>
        <v>0.12958409681762972</v>
      </c>
      <c r="AS184" s="628">
        <f t="shared" si="158"/>
        <v>0.15289600942362402</v>
      </c>
      <c r="AT184" s="628">
        <f t="shared" si="158"/>
        <v>0.1521315293765059</v>
      </c>
      <c r="AU184" s="629">
        <f t="shared" si="158"/>
        <v>0.15137087172962338</v>
      </c>
      <c r="AV184" s="770">
        <f t="shared" si="158"/>
        <v>0.15061401737097527</v>
      </c>
      <c r="AW184" s="628">
        <f t="shared" si="158"/>
        <v>0.14986094728412039</v>
      </c>
      <c r="AX184" s="628">
        <f t="shared" si="158"/>
        <v>0.14911164254769979</v>
      </c>
      <c r="AY184" s="628">
        <f t="shared" si="158"/>
        <v>0.14836608433496129</v>
      </c>
      <c r="AZ184" s="629">
        <f t="shared" si="158"/>
        <v>0.14762425391328649</v>
      </c>
    </row>
  </sheetData>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50"/>
  </sheetPr>
  <dimension ref="A1:BK154"/>
  <sheetViews>
    <sheetView showGridLines="0" zoomScale="80" zoomScaleNormal="80" workbookViewId="0">
      <pane xSplit="7" topLeftCell="R1" activePane="topRight" state="frozen"/>
      <selection pane="topRight" activeCell="V120" sqref="N120:V120"/>
    </sheetView>
  </sheetViews>
  <sheetFormatPr defaultColWidth="11.125" defaultRowHeight="14.25"/>
  <cols>
    <col min="1" max="1" width="11.125" style="338"/>
    <col min="2" max="6" width="4.125" style="338" customWidth="1"/>
    <col min="7" max="7" width="38.25" style="338" customWidth="1"/>
    <col min="8" max="22" width="15.625" style="338" customWidth="1"/>
    <col min="23" max="44" width="11.125" style="338"/>
    <col min="45" max="46" width="17.375" style="338" customWidth="1"/>
    <col min="47" max="47" width="27.125" style="338" customWidth="1"/>
    <col min="48" max="16384" width="11.125" style="338"/>
  </cols>
  <sheetData>
    <row r="1" spans="1:63" s="2" customFormat="1" ht="25.15" customHeight="1">
      <c r="A1" s="1" t="s">
        <v>0</v>
      </c>
      <c r="E1" s="3"/>
      <c r="H1" s="4" t="s">
        <v>1</v>
      </c>
      <c r="J1" s="3"/>
    </row>
    <row r="2" spans="1:63" s="2" customFormat="1" ht="25.15" customHeight="1">
      <c r="A2" s="5" t="s">
        <v>6</v>
      </c>
      <c r="B2" s="6"/>
      <c r="D2" s="7"/>
      <c r="E2" s="3"/>
    </row>
    <row r="3" spans="1:63" s="9" customFormat="1" ht="25.15" customHeight="1" thickBot="1">
      <c r="A3" s="8" t="s">
        <v>2</v>
      </c>
      <c r="D3" s="10"/>
      <c r="E3" s="11"/>
    </row>
    <row r="4" spans="1:63" ht="25.15" customHeight="1">
      <c r="A4" s="549"/>
      <c r="B4" s="550" t="s">
        <v>1883</v>
      </c>
      <c r="C4" s="550"/>
      <c r="D4" s="550"/>
      <c r="E4" s="550"/>
      <c r="F4" s="550"/>
      <c r="G4" s="251"/>
      <c r="H4" s="551"/>
      <c r="I4" s="552"/>
      <c r="J4" s="549"/>
      <c r="K4" s="549"/>
      <c r="L4" s="549"/>
      <c r="M4" s="549"/>
      <c r="N4" s="549"/>
      <c r="O4" s="549"/>
      <c r="P4" s="549"/>
      <c r="Q4" s="549"/>
      <c r="R4" s="551"/>
      <c r="S4" s="551"/>
      <c r="T4" s="551"/>
      <c r="U4" s="551"/>
      <c r="V4" s="551"/>
    </row>
    <row r="5" spans="1:63" s="553" customFormat="1" ht="25.15" customHeight="1">
      <c r="B5" s="95" t="s">
        <v>1663</v>
      </c>
      <c r="C5" s="95"/>
      <c r="D5" s="95"/>
      <c r="E5" s="95"/>
      <c r="F5" s="95" t="s">
        <v>463</v>
      </c>
      <c r="G5" s="95"/>
      <c r="H5" s="95"/>
      <c r="J5" s="95"/>
      <c r="K5" s="554"/>
      <c r="L5" s="555"/>
      <c r="M5" s="555"/>
      <c r="N5" s="555"/>
      <c r="O5" s="555"/>
      <c r="P5" s="555"/>
      <c r="Q5" s="555"/>
      <c r="R5" s="555"/>
      <c r="S5" s="555"/>
      <c r="T5" s="556"/>
      <c r="U5" s="556"/>
      <c r="V5" s="556"/>
      <c r="W5" s="556"/>
      <c r="X5" s="556"/>
      <c r="Y5" s="556"/>
      <c r="Z5" s="556"/>
      <c r="AA5" s="556"/>
      <c r="AB5" s="556"/>
      <c r="AC5" s="556"/>
      <c r="AD5" s="556"/>
      <c r="AE5" s="556"/>
      <c r="AF5" s="556"/>
      <c r="AG5" s="556"/>
      <c r="AH5" s="555"/>
      <c r="AI5" s="556"/>
      <c r="AJ5" s="556"/>
      <c r="AK5" s="556"/>
      <c r="AL5" s="556"/>
      <c r="AM5" s="556"/>
      <c r="AN5" s="556"/>
      <c r="AO5" s="556"/>
      <c r="AP5" s="556"/>
      <c r="AQ5" s="556"/>
      <c r="AR5" s="556"/>
      <c r="AS5" s="556"/>
      <c r="AT5" s="556"/>
      <c r="AU5" s="556"/>
      <c r="AV5" s="555"/>
      <c r="AW5" s="555"/>
      <c r="AX5" s="556"/>
      <c r="AY5" s="556"/>
      <c r="AZ5" s="556"/>
      <c r="BA5" s="556"/>
      <c r="BB5" s="556"/>
      <c r="BC5" s="556"/>
      <c r="BD5" s="556"/>
      <c r="BE5" s="556"/>
      <c r="BF5" s="556"/>
      <c r="BG5" s="556"/>
      <c r="BH5" s="556"/>
      <c r="BI5" s="556"/>
      <c r="BJ5" s="556"/>
      <c r="BK5" s="555"/>
    </row>
    <row r="6" spans="1:63" s="553" customFormat="1" ht="15" customHeight="1">
      <c r="B6" s="95"/>
      <c r="C6" s="95"/>
      <c r="D6" s="95"/>
      <c r="E6" s="95"/>
      <c r="F6" s="95"/>
      <c r="G6" s="95"/>
      <c r="H6" s="95"/>
      <c r="J6" s="95"/>
      <c r="K6" s="554"/>
      <c r="L6" s="555"/>
      <c r="M6" s="555"/>
      <c r="N6" s="555"/>
      <c r="O6" s="555"/>
      <c r="P6" s="555"/>
      <c r="Q6" s="555"/>
      <c r="R6" s="555"/>
      <c r="S6" s="555"/>
      <c r="T6" s="556"/>
      <c r="U6" s="556"/>
      <c r="V6" s="556"/>
      <c r="W6" s="556"/>
      <c r="X6" s="556"/>
      <c r="Y6" s="556"/>
      <c r="Z6" s="556"/>
      <c r="AA6" s="556"/>
      <c r="AB6" s="556"/>
      <c r="AC6" s="556"/>
      <c r="AD6" s="556"/>
      <c r="AE6" s="556"/>
      <c r="AF6" s="556"/>
      <c r="AG6" s="556"/>
      <c r="AH6" s="555"/>
      <c r="AI6" s="556"/>
      <c r="AJ6" s="556"/>
      <c r="AK6" s="556"/>
      <c r="AL6" s="556"/>
      <c r="AM6" s="556"/>
      <c r="AN6" s="556"/>
      <c r="AO6" s="556"/>
      <c r="AP6" s="556"/>
      <c r="AQ6" s="556"/>
      <c r="AR6" s="556"/>
      <c r="AS6" s="556"/>
      <c r="AT6" s="556"/>
      <c r="AU6" s="556"/>
      <c r="AV6" s="555"/>
      <c r="AW6" s="555"/>
      <c r="AX6" s="556"/>
      <c r="AY6" s="556"/>
      <c r="AZ6" s="556"/>
      <c r="BA6" s="556"/>
      <c r="BB6" s="556"/>
      <c r="BC6" s="556"/>
      <c r="BD6" s="556"/>
      <c r="BE6" s="556"/>
      <c r="BF6" s="556"/>
      <c r="BG6" s="556"/>
      <c r="BH6" s="556"/>
      <c r="BI6" s="556"/>
      <c r="BJ6" s="556"/>
      <c r="BK6" s="555"/>
    </row>
    <row r="7" spans="1:63" ht="15" customHeight="1" thickBot="1">
      <c r="A7" s="258"/>
      <c r="B7" s="258"/>
      <c r="C7" s="258"/>
      <c r="D7" s="258"/>
      <c r="E7" s="258"/>
      <c r="F7" s="258"/>
      <c r="G7" s="259"/>
      <c r="H7" s="259"/>
      <c r="I7" s="260"/>
      <c r="J7" s="259"/>
      <c r="K7" s="259"/>
      <c r="L7" s="259"/>
      <c r="M7" s="259"/>
      <c r="N7" s="259"/>
      <c r="O7" s="259"/>
      <c r="P7" s="259"/>
      <c r="Q7" s="259"/>
      <c r="R7" s="259"/>
      <c r="S7" s="259"/>
      <c r="T7" s="259"/>
      <c r="U7" s="259"/>
      <c r="V7" s="259"/>
    </row>
    <row r="8" spans="1:63" ht="30" customHeight="1" thickBot="1">
      <c r="A8" s="251"/>
      <c r="B8" s="640" t="s">
        <v>1884</v>
      </c>
      <c r="C8" s="558"/>
      <c r="D8" s="558"/>
      <c r="E8" s="558"/>
      <c r="F8" s="558"/>
      <c r="G8" s="559"/>
      <c r="H8" s="559"/>
      <c r="I8" s="105" t="s">
        <v>1864</v>
      </c>
      <c r="J8" s="106"/>
      <c r="K8" s="106"/>
      <c r="L8" s="106"/>
      <c r="M8" s="106"/>
      <c r="N8" s="106"/>
      <c r="O8" s="106"/>
      <c r="P8" s="106"/>
      <c r="Q8" s="106"/>
      <c r="R8" s="105"/>
      <c r="S8" s="105"/>
      <c r="T8" s="105"/>
      <c r="U8" s="105"/>
      <c r="V8" s="187"/>
    </row>
    <row r="9" spans="1:63" ht="30" customHeight="1">
      <c r="A9" s="251"/>
      <c r="B9" s="934"/>
      <c r="C9" s="561"/>
      <c r="D9" s="561"/>
      <c r="E9" s="561"/>
      <c r="F9" s="561"/>
      <c r="G9" s="561"/>
      <c r="H9" s="561"/>
      <c r="I9" s="562"/>
      <c r="J9" s="563" t="s">
        <v>1666</v>
      </c>
      <c r="K9" s="564"/>
      <c r="L9" s="564"/>
      <c r="M9" s="564"/>
      <c r="N9" s="564"/>
      <c r="O9" s="564"/>
      <c r="P9" s="564"/>
      <c r="Q9" s="565"/>
      <c r="R9" s="566" t="s">
        <v>2</v>
      </c>
      <c r="S9" s="567"/>
      <c r="T9" s="567"/>
      <c r="U9" s="567"/>
      <c r="V9" s="568"/>
    </row>
    <row r="10" spans="1:63" ht="15.75">
      <c r="A10" s="251"/>
      <c r="B10" s="935"/>
      <c r="C10" s="570"/>
      <c r="D10" s="570"/>
      <c r="E10" s="570"/>
      <c r="F10" s="570"/>
      <c r="G10" s="561"/>
      <c r="H10" s="561"/>
      <c r="I10" s="571" t="s">
        <v>1745</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63" ht="15.75">
      <c r="A11" s="251"/>
      <c r="B11" s="349"/>
      <c r="C11" s="957" t="s">
        <v>1885</v>
      </c>
      <c r="D11" s="573"/>
      <c r="E11" s="573"/>
      <c r="F11" s="573"/>
      <c r="G11" s="561"/>
      <c r="H11" s="561"/>
      <c r="I11" s="551"/>
      <c r="J11" s="574"/>
      <c r="K11" s="551"/>
      <c r="L11" s="551"/>
      <c r="M11" s="551"/>
      <c r="N11" s="551"/>
      <c r="O11" s="551"/>
      <c r="P11" s="551"/>
      <c r="Q11" s="575"/>
      <c r="R11" s="574"/>
      <c r="S11" s="551"/>
      <c r="T11" s="551"/>
      <c r="U11" s="551"/>
      <c r="V11" s="575"/>
    </row>
    <row r="12" spans="1:63" ht="15">
      <c r="A12" s="251"/>
      <c r="B12" s="349"/>
      <c r="C12" s="958"/>
      <c r="D12" s="593" t="s">
        <v>1886</v>
      </c>
      <c r="E12" s="573"/>
      <c r="F12" s="573"/>
      <c r="G12" s="561"/>
      <c r="H12" s="561"/>
      <c r="I12" s="576" t="s">
        <v>498</v>
      </c>
      <c r="J12" s="281">
        <f t="shared" ref="J12:V12" si="0">SUM(J29,J42,J55,J68,J81,J94,J107,J120,J133,J146)</f>
        <v>1.0961827001358873</v>
      </c>
      <c r="K12" s="282">
        <f t="shared" si="0"/>
        <v>1.5958947657086417</v>
      </c>
      <c r="L12" s="282">
        <f t="shared" si="0"/>
        <v>1.105377234507577</v>
      </c>
      <c r="M12" s="282">
        <f t="shared" si="0"/>
        <v>1.2749033218840473</v>
      </c>
      <c r="N12" s="282">
        <f t="shared" si="0"/>
        <v>1.2035305326097161</v>
      </c>
      <c r="O12" s="282">
        <f t="shared" si="0"/>
        <v>1.345699214918552</v>
      </c>
      <c r="P12" s="282">
        <f t="shared" si="0"/>
        <v>1.345699214918552</v>
      </c>
      <c r="Q12" s="283">
        <f t="shared" si="0"/>
        <v>1.345699214918552</v>
      </c>
      <c r="R12" s="281">
        <f t="shared" si="0"/>
        <v>1.3389707188439592</v>
      </c>
      <c r="S12" s="282">
        <f t="shared" si="0"/>
        <v>1.3322758652497395</v>
      </c>
      <c r="T12" s="282">
        <f t="shared" si="0"/>
        <v>1.3256144859234906</v>
      </c>
      <c r="U12" s="282">
        <f t="shared" si="0"/>
        <v>1.3189864134938734</v>
      </c>
      <c r="V12" s="283">
        <f t="shared" si="0"/>
        <v>1.3123914814264039</v>
      </c>
    </row>
    <row r="13" spans="1:63" ht="15">
      <c r="A13" s="251"/>
      <c r="B13" s="349"/>
      <c r="C13" s="958"/>
      <c r="D13" s="593" t="s">
        <v>1887</v>
      </c>
      <c r="E13" s="573"/>
      <c r="F13" s="573"/>
      <c r="G13" s="561"/>
      <c r="H13" s="561"/>
      <c r="I13" s="576" t="s">
        <v>498</v>
      </c>
      <c r="J13" s="281">
        <f t="shared" ref="J13:V13" si="1">SUM(J30,J43,J56,J69,J82,J95,J108,J121,J134,J147)</f>
        <v>2.7842798873228033E-2</v>
      </c>
      <c r="K13" s="282">
        <f t="shared" si="1"/>
        <v>1.023310039570533</v>
      </c>
      <c r="L13" s="282">
        <f t="shared" si="1"/>
        <v>6.6867979053943413E-2</v>
      </c>
      <c r="M13" s="282">
        <f t="shared" si="1"/>
        <v>7.9678602797280057E-4</v>
      </c>
      <c r="N13" s="282">
        <f t="shared" si="1"/>
        <v>0</v>
      </c>
      <c r="O13" s="282">
        <f t="shared" si="1"/>
        <v>0.10679229720387956</v>
      </c>
      <c r="P13" s="282">
        <f t="shared" si="1"/>
        <v>0.10679229720387956</v>
      </c>
      <c r="Q13" s="283">
        <f t="shared" si="1"/>
        <v>0.10679229720387956</v>
      </c>
      <c r="R13" s="281">
        <f t="shared" si="1"/>
        <v>0.10625833571786016</v>
      </c>
      <c r="S13" s="282">
        <f t="shared" si="1"/>
        <v>0.10572704403927086</v>
      </c>
      <c r="T13" s="282">
        <f t="shared" si="1"/>
        <v>0.1051984088190745</v>
      </c>
      <c r="U13" s="282">
        <f t="shared" si="1"/>
        <v>0.10467241677497913</v>
      </c>
      <c r="V13" s="283">
        <f t="shared" si="1"/>
        <v>0.10414905469110423</v>
      </c>
    </row>
    <row r="14" spans="1:63" ht="15">
      <c r="A14" s="251"/>
      <c r="B14" s="349"/>
      <c r="C14" s="958"/>
      <c r="D14" s="593" t="s">
        <v>1888</v>
      </c>
      <c r="E14" s="573"/>
      <c r="F14" s="573"/>
      <c r="G14" s="561"/>
      <c r="H14" s="561"/>
      <c r="I14" s="576" t="s">
        <v>498</v>
      </c>
      <c r="J14" s="281">
        <f t="shared" ref="J14:V14" si="2">SUM(J31,J44,J57,J70,J83,J96,J109,J122,J135,J148)</f>
        <v>7.0893749690645561E-2</v>
      </c>
      <c r="K14" s="282">
        <f t="shared" si="2"/>
        <v>0.2007190162755112</v>
      </c>
      <c r="L14" s="282">
        <f t="shared" si="2"/>
        <v>0.17304208637266905</v>
      </c>
      <c r="M14" s="282">
        <f t="shared" si="2"/>
        <v>0.12539445612374844</v>
      </c>
      <c r="N14" s="282">
        <f t="shared" si="2"/>
        <v>0.1265324713651533</v>
      </c>
      <c r="O14" s="282">
        <f t="shared" si="2"/>
        <v>9.1792517245355393E-2</v>
      </c>
      <c r="P14" s="282">
        <f t="shared" si="2"/>
        <v>9.1792517245355393E-2</v>
      </c>
      <c r="Q14" s="283">
        <f t="shared" si="2"/>
        <v>9.1792517245355393E-2</v>
      </c>
      <c r="R14" s="281">
        <f t="shared" si="2"/>
        <v>9.1333554659128624E-2</v>
      </c>
      <c r="S14" s="282">
        <f t="shared" si="2"/>
        <v>9.0876886885832966E-2</v>
      </c>
      <c r="T14" s="282">
        <f t="shared" si="2"/>
        <v>9.0422502451403805E-2</v>
      </c>
      <c r="U14" s="282">
        <f t="shared" si="2"/>
        <v>8.9970389939146786E-2</v>
      </c>
      <c r="V14" s="283">
        <f t="shared" si="2"/>
        <v>8.952053798945106E-2</v>
      </c>
    </row>
    <row r="15" spans="1:63" ht="15">
      <c r="A15" s="251"/>
      <c r="B15" s="349"/>
      <c r="C15" s="958"/>
      <c r="D15" s="593" t="s">
        <v>1889</v>
      </c>
      <c r="E15" s="578"/>
      <c r="F15" s="578"/>
      <c r="G15" s="561"/>
      <c r="H15" s="561"/>
      <c r="I15" s="576" t="s">
        <v>498</v>
      </c>
      <c r="J15" s="281">
        <f t="shared" ref="J15:V15" si="3">SUM(J32,J45,J58,J71,J84,J97,J110,J123,J136,J149)</f>
        <v>9.7223365404558688</v>
      </c>
      <c r="K15" s="282">
        <f t="shared" si="3"/>
        <v>5.0561501000192024</v>
      </c>
      <c r="L15" s="282">
        <f t="shared" si="3"/>
        <v>8.2975578620409767</v>
      </c>
      <c r="M15" s="282">
        <f t="shared" si="3"/>
        <v>3.2146863574745508</v>
      </c>
      <c r="N15" s="282">
        <f t="shared" si="3"/>
        <v>4.1880763100653358</v>
      </c>
      <c r="O15" s="282">
        <f t="shared" si="3"/>
        <v>3.8597822817909191</v>
      </c>
      <c r="P15" s="282">
        <f t="shared" si="3"/>
        <v>4.2087822817909188</v>
      </c>
      <c r="Q15" s="283">
        <f t="shared" si="3"/>
        <v>4.2087822817909188</v>
      </c>
      <c r="R15" s="281">
        <f t="shared" si="3"/>
        <v>4.1877383703819646</v>
      </c>
      <c r="S15" s="282">
        <f t="shared" si="3"/>
        <v>4.1667996785300554</v>
      </c>
      <c r="T15" s="282">
        <f t="shared" si="3"/>
        <v>4.1459656801374054</v>
      </c>
      <c r="U15" s="282">
        <f t="shared" si="3"/>
        <v>4.1252358517367185</v>
      </c>
      <c r="V15" s="283">
        <f t="shared" si="3"/>
        <v>4.1046096724780341</v>
      </c>
    </row>
    <row r="16" spans="1:63" ht="15">
      <c r="A16" s="251"/>
      <c r="B16" s="349"/>
      <c r="C16" s="958"/>
      <c r="D16" s="593" t="s">
        <v>1890</v>
      </c>
      <c r="E16" s="578"/>
      <c r="F16" s="578"/>
      <c r="G16" s="561"/>
      <c r="H16" s="561"/>
      <c r="I16" s="576" t="s">
        <v>498</v>
      </c>
      <c r="J16" s="281">
        <f t="shared" ref="J16:V16" si="4">SUM(J33,J46,J59,J72,J85,J98,J111,J124,J137,J150)</f>
        <v>0.5825749429916578</v>
      </c>
      <c r="K16" s="282">
        <f t="shared" si="4"/>
        <v>7.0627613269194889</v>
      </c>
      <c r="L16" s="282">
        <f t="shared" si="4"/>
        <v>3.3155457432379816</v>
      </c>
      <c r="M16" s="282">
        <f t="shared" si="4"/>
        <v>5.3027079601550859</v>
      </c>
      <c r="N16" s="282">
        <f t="shared" si="4"/>
        <v>4.3643446403225052</v>
      </c>
      <c r="O16" s="282">
        <f t="shared" si="4"/>
        <v>3.8755300368640979</v>
      </c>
      <c r="P16" s="282">
        <f t="shared" si="4"/>
        <v>4.2755300368640974</v>
      </c>
      <c r="Q16" s="283">
        <f t="shared" si="4"/>
        <v>4.2755300368640974</v>
      </c>
      <c r="R16" s="281">
        <f t="shared" si="4"/>
        <v>4.2541523866797784</v>
      </c>
      <c r="S16" s="282">
        <f t="shared" si="4"/>
        <v>4.232881624746379</v>
      </c>
      <c r="T16" s="282">
        <f t="shared" si="4"/>
        <v>4.2117172166226462</v>
      </c>
      <c r="U16" s="282">
        <f t="shared" si="4"/>
        <v>4.1906586305395335</v>
      </c>
      <c r="V16" s="283">
        <f t="shared" si="4"/>
        <v>4.1697053373868354</v>
      </c>
    </row>
    <row r="17" spans="1:22" ht="15">
      <c r="A17" s="251"/>
      <c r="B17" s="349"/>
      <c r="C17" s="958"/>
      <c r="D17" s="593" t="s">
        <v>1891</v>
      </c>
      <c r="E17" s="578"/>
      <c r="F17" s="578"/>
      <c r="G17" s="561"/>
      <c r="H17" s="561"/>
      <c r="I17" s="576" t="s">
        <v>498</v>
      </c>
      <c r="J17" s="281">
        <f t="shared" ref="J17:V17" si="5">SUM(J34,J47,J60,J73,J86,J99,J112,J125,J138,J151)</f>
        <v>0.28146953538337732</v>
      </c>
      <c r="K17" s="282">
        <f t="shared" si="5"/>
        <v>0.54262749803202537</v>
      </c>
      <c r="L17" s="282">
        <f t="shared" si="5"/>
        <v>0.17615049555590331</v>
      </c>
      <c r="M17" s="282">
        <f t="shared" si="5"/>
        <v>0.21146672498101121</v>
      </c>
      <c r="N17" s="282">
        <f t="shared" si="5"/>
        <v>0.67876175347094714</v>
      </c>
      <c r="O17" s="282">
        <f t="shared" si="5"/>
        <v>0.28761681140468981</v>
      </c>
      <c r="P17" s="282">
        <f t="shared" si="5"/>
        <v>0.28761681140468981</v>
      </c>
      <c r="Q17" s="283">
        <f t="shared" si="5"/>
        <v>0.28761681140468981</v>
      </c>
      <c r="R17" s="281">
        <f t="shared" si="5"/>
        <v>0.28617872734766631</v>
      </c>
      <c r="S17" s="282">
        <f t="shared" si="5"/>
        <v>0.28474783371092793</v>
      </c>
      <c r="T17" s="282">
        <f t="shared" si="5"/>
        <v>0.28332409454237328</v>
      </c>
      <c r="U17" s="282">
        <f t="shared" si="5"/>
        <v>0.28190747406966143</v>
      </c>
      <c r="V17" s="283">
        <f t="shared" si="5"/>
        <v>0.28049793669931317</v>
      </c>
    </row>
    <row r="18" spans="1:22" ht="15">
      <c r="A18" s="251"/>
      <c r="B18" s="349"/>
      <c r="C18" s="958"/>
      <c r="D18" s="593" t="s">
        <v>1892</v>
      </c>
      <c r="E18" s="578"/>
      <c r="F18" s="578"/>
      <c r="G18" s="561"/>
      <c r="H18" s="561"/>
      <c r="I18" s="576" t="s">
        <v>498</v>
      </c>
      <c r="J18" s="281">
        <f t="shared" ref="J18:V18" si="6">SUM(J35,J48,J61,J74,J87,J100,J113,J126,J139,J152)</f>
        <v>0.15732719525779737</v>
      </c>
      <c r="K18" s="282">
        <f t="shared" si="6"/>
        <v>0.27521751872574285</v>
      </c>
      <c r="L18" s="282">
        <f t="shared" si="6"/>
        <v>0.27549587706083112</v>
      </c>
      <c r="M18" s="282">
        <f t="shared" si="6"/>
        <v>0.1685668838364579</v>
      </c>
      <c r="N18" s="282">
        <f t="shared" si="6"/>
        <v>0.12857945943390542</v>
      </c>
      <c r="O18" s="282">
        <f t="shared" si="6"/>
        <v>9.534383001133119E-2</v>
      </c>
      <c r="P18" s="282">
        <f t="shared" si="6"/>
        <v>0.39534383001133122</v>
      </c>
      <c r="Q18" s="283">
        <f t="shared" si="6"/>
        <v>0.73534383001133119</v>
      </c>
      <c r="R18" s="281">
        <f t="shared" si="6"/>
        <v>0.73166711086127467</v>
      </c>
      <c r="S18" s="282">
        <f t="shared" si="6"/>
        <v>0.72800877530696817</v>
      </c>
      <c r="T18" s="282">
        <f t="shared" si="6"/>
        <v>0.72436873143043334</v>
      </c>
      <c r="U18" s="282">
        <f t="shared" si="6"/>
        <v>0.72074688777328111</v>
      </c>
      <c r="V18" s="283">
        <f t="shared" si="6"/>
        <v>0.7171431533344147</v>
      </c>
    </row>
    <row r="19" spans="1:22" ht="15">
      <c r="A19" s="251"/>
      <c r="B19" s="349"/>
      <c r="C19" s="958" t="s">
        <v>1893</v>
      </c>
      <c r="D19" s="578"/>
      <c r="E19" s="578"/>
      <c r="F19" s="578"/>
      <c r="G19" s="561"/>
      <c r="H19" s="561"/>
      <c r="I19" s="576" t="s">
        <v>498</v>
      </c>
      <c r="J19" s="278">
        <f t="shared" ref="J19:V19" si="7">SUM(J12:J18)</f>
        <v>11.938627462788462</v>
      </c>
      <c r="K19" s="279">
        <f t="shared" si="7"/>
        <v>15.756680265251145</v>
      </c>
      <c r="L19" s="279">
        <f t="shared" si="7"/>
        <v>13.410037277829883</v>
      </c>
      <c r="M19" s="279">
        <f t="shared" si="7"/>
        <v>10.298522490482876</v>
      </c>
      <c r="N19" s="279">
        <f t="shared" si="7"/>
        <v>10.689825167267564</v>
      </c>
      <c r="O19" s="279">
        <f t="shared" si="7"/>
        <v>9.6625569894388228</v>
      </c>
      <c r="P19" s="279">
        <f t="shared" si="7"/>
        <v>10.711556989438822</v>
      </c>
      <c r="Q19" s="280">
        <f t="shared" si="7"/>
        <v>11.051556989438822</v>
      </c>
      <c r="R19" s="278">
        <f t="shared" si="7"/>
        <v>10.996299204491631</v>
      </c>
      <c r="S19" s="279">
        <f t="shared" si="7"/>
        <v>10.941317708469173</v>
      </c>
      <c r="T19" s="279">
        <f t="shared" si="7"/>
        <v>10.886611119926826</v>
      </c>
      <c r="U19" s="279">
        <f t="shared" si="7"/>
        <v>10.832178064327195</v>
      </c>
      <c r="V19" s="280">
        <f t="shared" si="7"/>
        <v>10.778017174005557</v>
      </c>
    </row>
    <row r="20" spans="1:22" ht="15">
      <c r="A20" s="251"/>
      <c r="B20" s="349"/>
      <c r="C20" s="958"/>
      <c r="D20" s="578"/>
      <c r="E20" s="578"/>
      <c r="F20" s="578"/>
      <c r="G20" s="561"/>
      <c r="H20" s="561"/>
      <c r="I20" s="551"/>
      <c r="J20" s="295"/>
      <c r="K20" s="259"/>
      <c r="L20" s="259"/>
      <c r="M20" s="259"/>
      <c r="N20" s="259"/>
      <c r="O20" s="259"/>
      <c r="P20" s="259"/>
      <c r="Q20" s="296"/>
      <c r="R20" s="295"/>
      <c r="S20" s="259"/>
      <c r="T20" s="259"/>
      <c r="U20" s="259"/>
      <c r="V20" s="296"/>
    </row>
    <row r="21" spans="1:22" ht="15">
      <c r="A21" s="251"/>
      <c r="B21" s="349"/>
      <c r="C21" s="339"/>
      <c r="D21" s="958" t="s">
        <v>1894</v>
      </c>
      <c r="E21" s="573"/>
      <c r="F21" s="573"/>
      <c r="G21" s="561"/>
      <c r="H21" s="561"/>
      <c r="I21" s="576" t="s">
        <v>498</v>
      </c>
      <c r="J21" s="1117">
        <v>0</v>
      </c>
      <c r="K21" s="1118">
        <v>0</v>
      </c>
      <c r="L21" s="1118">
        <v>0</v>
      </c>
      <c r="M21" s="1118">
        <v>0</v>
      </c>
      <c r="N21" s="1118">
        <v>0</v>
      </c>
      <c r="O21" s="1118">
        <v>0</v>
      </c>
      <c r="P21" s="1118">
        <v>0</v>
      </c>
      <c r="Q21" s="1119">
        <v>0</v>
      </c>
      <c r="R21" s="1117">
        <v>0</v>
      </c>
      <c r="S21" s="1118">
        <v>0</v>
      </c>
      <c r="T21" s="1118">
        <v>0</v>
      </c>
      <c r="U21" s="1118">
        <v>0</v>
      </c>
      <c r="V21" s="1119">
        <v>0</v>
      </c>
    </row>
    <row r="22" spans="1:22" ht="15">
      <c r="A22" s="251"/>
      <c r="B22" s="349"/>
      <c r="C22" s="339"/>
      <c r="D22" s="958" t="s">
        <v>1895</v>
      </c>
      <c r="E22" s="573"/>
      <c r="F22" s="573"/>
      <c r="G22" s="561"/>
      <c r="H22" s="561"/>
      <c r="I22" s="576" t="s">
        <v>498</v>
      </c>
      <c r="J22" s="1117">
        <v>0</v>
      </c>
      <c r="K22" s="1118">
        <v>0</v>
      </c>
      <c r="L22" s="1118">
        <v>0</v>
      </c>
      <c r="M22" s="1118">
        <v>0</v>
      </c>
      <c r="N22" s="1118">
        <v>0</v>
      </c>
      <c r="O22" s="1118">
        <v>0</v>
      </c>
      <c r="P22" s="1118">
        <v>0</v>
      </c>
      <c r="Q22" s="1119">
        <v>0</v>
      </c>
      <c r="R22" s="1117">
        <v>0</v>
      </c>
      <c r="S22" s="1118">
        <v>0</v>
      </c>
      <c r="T22" s="1118">
        <v>0</v>
      </c>
      <c r="U22" s="1118">
        <v>0</v>
      </c>
      <c r="V22" s="1119">
        <v>0</v>
      </c>
    </row>
    <row r="23" spans="1:22" ht="16.5" thickBot="1">
      <c r="A23" s="251"/>
      <c r="B23" s="357" t="s">
        <v>1701</v>
      </c>
      <c r="C23" s="960"/>
      <c r="D23" s="959"/>
      <c r="E23" s="961"/>
      <c r="F23" s="961"/>
      <c r="G23" s="580"/>
      <c r="H23" s="580"/>
      <c r="I23" s="581" t="s">
        <v>498</v>
      </c>
      <c r="J23" s="996">
        <f t="shared" ref="J23:V23" si="8">SUM(J19,J21:J22)</f>
        <v>11.938627462788462</v>
      </c>
      <c r="K23" s="305">
        <f t="shared" si="8"/>
        <v>15.756680265251145</v>
      </c>
      <c r="L23" s="305">
        <f t="shared" si="8"/>
        <v>13.410037277829883</v>
      </c>
      <c r="M23" s="305">
        <f t="shared" si="8"/>
        <v>10.298522490482876</v>
      </c>
      <c r="N23" s="305">
        <f t="shared" si="8"/>
        <v>10.689825167267564</v>
      </c>
      <c r="O23" s="305">
        <f t="shared" si="8"/>
        <v>9.6625569894388228</v>
      </c>
      <c r="P23" s="305">
        <f t="shared" si="8"/>
        <v>10.711556989438822</v>
      </c>
      <c r="Q23" s="306">
        <f t="shared" si="8"/>
        <v>11.051556989438822</v>
      </c>
      <c r="R23" s="996">
        <f t="shared" si="8"/>
        <v>10.996299204491631</v>
      </c>
      <c r="S23" s="305">
        <f t="shared" si="8"/>
        <v>10.941317708469173</v>
      </c>
      <c r="T23" s="305">
        <f t="shared" si="8"/>
        <v>10.886611119926826</v>
      </c>
      <c r="U23" s="305">
        <f t="shared" si="8"/>
        <v>10.832178064327195</v>
      </c>
      <c r="V23" s="306">
        <f t="shared" si="8"/>
        <v>10.778017174005557</v>
      </c>
    </row>
    <row r="24" spans="1:22" ht="16.5" thickBot="1">
      <c r="A24" s="251"/>
      <c r="B24" s="937"/>
      <c r="C24" s="549"/>
      <c r="D24" s="549"/>
      <c r="E24" s="549"/>
      <c r="F24" s="549"/>
      <c r="G24" s="549"/>
      <c r="H24" s="551"/>
      <c r="I24" s="552"/>
      <c r="J24" s="2546">
        <f>'2.06_Business_Support'!J19</f>
        <v>11.938627462788462</v>
      </c>
      <c r="K24" s="2546">
        <f>'2.06_Business_Support'!K19</f>
        <v>15.756680265251145</v>
      </c>
      <c r="L24" s="2546">
        <f>'2.06_Business_Support'!L19</f>
        <v>13.410037277829884</v>
      </c>
      <c r="M24" s="2546">
        <f>'2.06_Business_Support'!M19</f>
        <v>10.298522490482874</v>
      </c>
      <c r="N24" s="2546">
        <f>'2.06_Business_Support'!N19</f>
        <v>10.689825167267564</v>
      </c>
      <c r="O24" s="2546">
        <f>'2.06_Business_Support'!O19</f>
        <v>9.6625569894388246</v>
      </c>
      <c r="P24" s="2559">
        <f>'2.06_Business_Support'!P19</f>
        <v>10.711696226088868</v>
      </c>
      <c r="Q24" s="551">
        <f>'2.06_Business_Support'!Q19</f>
        <v>11.05169622608887</v>
      </c>
      <c r="R24" s="551">
        <f>'2.06_Business_Support'!R19</f>
        <v>10.996437744958426</v>
      </c>
      <c r="S24" s="551">
        <f>'2.06_Business_Support'!S19</f>
        <v>10.941455556233633</v>
      </c>
      <c r="T24" s="551">
        <f>'2.06_Business_Support'!T19</f>
        <v>10.886748278452465</v>
      </c>
      <c r="U24" s="551">
        <f>'2.06_Business_Support'!U19</f>
        <v>10.832314537060203</v>
      </c>
      <c r="V24" s="551">
        <f>'2.06_Business_Support'!V19</f>
        <v>10.778152964374902</v>
      </c>
    </row>
    <row r="25" spans="1:22" ht="30" customHeight="1" thickBot="1">
      <c r="A25" s="258"/>
      <c r="B25" s="640" t="s">
        <v>1896</v>
      </c>
      <c r="C25" s="558"/>
      <c r="D25" s="558"/>
      <c r="E25" s="558"/>
      <c r="F25" s="558"/>
      <c r="G25" s="559"/>
      <c r="H25" s="294"/>
      <c r="I25" s="105" t="s">
        <v>1864</v>
      </c>
      <c r="J25" s="106"/>
      <c r="K25" s="106"/>
      <c r="L25" s="106"/>
      <c r="M25" s="106"/>
      <c r="N25" s="106"/>
      <c r="O25" s="106"/>
      <c r="P25" s="106"/>
      <c r="Q25" s="106"/>
      <c r="R25" s="105"/>
      <c r="S25" s="105"/>
      <c r="T25" s="105"/>
      <c r="U25" s="105"/>
      <c r="V25" s="187"/>
    </row>
    <row r="26" spans="1:22" ht="30" customHeight="1">
      <c r="A26" s="258"/>
      <c r="B26" s="934"/>
      <c r="C26" s="561"/>
      <c r="D26" s="561"/>
      <c r="E26" s="561"/>
      <c r="F26" s="561"/>
      <c r="G26" s="561"/>
      <c r="H26" s="259"/>
      <c r="I26" s="562"/>
      <c r="J26" s="563" t="s">
        <v>1666</v>
      </c>
      <c r="K26" s="564"/>
      <c r="L26" s="564"/>
      <c r="M26" s="564"/>
      <c r="N26" s="564"/>
      <c r="O26" s="564"/>
      <c r="P26" s="564"/>
      <c r="Q26" s="565"/>
      <c r="R26" s="566" t="s">
        <v>2</v>
      </c>
      <c r="S26" s="567"/>
      <c r="T26" s="567"/>
      <c r="U26" s="567"/>
      <c r="V26" s="568"/>
    </row>
    <row r="27" spans="1:22" ht="15.75">
      <c r="A27" s="258"/>
      <c r="B27" s="936"/>
      <c r="C27" s="339"/>
      <c r="D27" s="339"/>
      <c r="E27" s="339"/>
      <c r="F27" s="339"/>
      <c r="G27" s="339"/>
      <c r="H27" s="259"/>
      <c r="I27" s="571" t="s">
        <v>1745</v>
      </c>
      <c r="J27" s="158" t="s">
        <v>453</v>
      </c>
      <c r="K27" s="137" t="s">
        <v>455</v>
      </c>
      <c r="L27" s="137" t="s">
        <v>457</v>
      </c>
      <c r="M27" s="137" t="s">
        <v>459</v>
      </c>
      <c r="N27" s="137" t="s">
        <v>461</v>
      </c>
      <c r="O27" s="137" t="s">
        <v>463</v>
      </c>
      <c r="P27" s="137" t="s">
        <v>465</v>
      </c>
      <c r="Q27" s="138" t="s">
        <v>467</v>
      </c>
      <c r="R27" s="120" t="s">
        <v>469</v>
      </c>
      <c r="S27" s="121" t="s">
        <v>471</v>
      </c>
      <c r="T27" s="121" t="s">
        <v>473</v>
      </c>
      <c r="U27" s="121" t="s">
        <v>475</v>
      </c>
      <c r="V27" s="122" t="s">
        <v>477</v>
      </c>
    </row>
    <row r="28" spans="1:22" ht="15.75">
      <c r="A28" s="258"/>
      <c r="B28" s="936"/>
      <c r="C28" s="591" t="s">
        <v>1897</v>
      </c>
      <c r="D28" s="591"/>
      <c r="E28" s="591"/>
      <c r="F28" s="591"/>
      <c r="G28" s="339"/>
      <c r="H28" s="259"/>
      <c r="I28" s="260"/>
      <c r="J28" s="295"/>
      <c r="K28" s="259"/>
      <c r="L28" s="259"/>
      <c r="M28" s="259"/>
      <c r="N28" s="259"/>
      <c r="O28" s="259"/>
      <c r="P28" s="259"/>
      <c r="Q28" s="296"/>
      <c r="R28" s="295"/>
      <c r="S28" s="259"/>
      <c r="T28" s="259"/>
      <c r="U28" s="259"/>
      <c r="V28" s="296"/>
    </row>
    <row r="29" spans="1:22" ht="15">
      <c r="A29" s="258"/>
      <c r="B29" s="939"/>
      <c r="C29" s="593"/>
      <c r="D29" s="593" t="s">
        <v>1886</v>
      </c>
      <c r="E29" s="593"/>
      <c r="F29" s="593"/>
      <c r="G29" s="593"/>
      <c r="H29" s="259"/>
      <c r="I29" s="576" t="s">
        <v>498</v>
      </c>
      <c r="J29" s="297">
        <v>0</v>
      </c>
      <c r="K29" s="298">
        <v>0</v>
      </c>
      <c r="L29" s="298">
        <v>0</v>
      </c>
      <c r="M29" s="298">
        <v>0</v>
      </c>
      <c r="N29" s="298">
        <v>0</v>
      </c>
      <c r="O29" s="298">
        <v>0</v>
      </c>
      <c r="P29" s="298">
        <v>0</v>
      </c>
      <c r="Q29" s="299">
        <v>0</v>
      </c>
      <c r="R29" s="297">
        <v>0</v>
      </c>
      <c r="S29" s="298">
        <v>0</v>
      </c>
      <c r="T29" s="298">
        <v>0</v>
      </c>
      <c r="U29" s="298">
        <v>0</v>
      </c>
      <c r="V29" s="299">
        <v>0</v>
      </c>
    </row>
    <row r="30" spans="1:22" ht="15">
      <c r="A30" s="258"/>
      <c r="B30" s="939"/>
      <c r="C30" s="593"/>
      <c r="D30" s="593" t="s">
        <v>1887</v>
      </c>
      <c r="E30" s="593"/>
      <c r="F30" s="593"/>
      <c r="G30" s="593"/>
      <c r="H30" s="259"/>
      <c r="I30" s="576" t="s">
        <v>498</v>
      </c>
      <c r="J30" s="297">
        <v>0</v>
      </c>
      <c r="K30" s="298">
        <v>0</v>
      </c>
      <c r="L30" s="298">
        <v>0</v>
      </c>
      <c r="M30" s="298">
        <v>0</v>
      </c>
      <c r="N30" s="298">
        <v>0</v>
      </c>
      <c r="O30" s="298">
        <v>0.10679229720387956</v>
      </c>
      <c r="P30" s="298">
        <v>0.10679229720387956</v>
      </c>
      <c r="Q30" s="299">
        <v>0.10679229720387956</v>
      </c>
      <c r="R30" s="297">
        <v>0.10625833571786016</v>
      </c>
      <c r="S30" s="298">
        <v>0.10572704403927086</v>
      </c>
      <c r="T30" s="298">
        <v>0.1051984088190745</v>
      </c>
      <c r="U30" s="298">
        <v>0.10467241677497913</v>
      </c>
      <c r="V30" s="299">
        <v>0.10414905469110423</v>
      </c>
    </row>
    <row r="31" spans="1:22" ht="15">
      <c r="A31" s="258"/>
      <c r="B31" s="939"/>
      <c r="C31" s="593"/>
      <c r="D31" s="593" t="s">
        <v>1888</v>
      </c>
      <c r="E31" s="593"/>
      <c r="F31" s="593"/>
      <c r="G31" s="593"/>
      <c r="H31" s="259"/>
      <c r="I31" s="576" t="s">
        <v>498</v>
      </c>
      <c r="J31" s="297">
        <v>0</v>
      </c>
      <c r="K31" s="298">
        <v>0</v>
      </c>
      <c r="L31" s="298">
        <v>0</v>
      </c>
      <c r="M31" s="298">
        <v>0</v>
      </c>
      <c r="N31" s="298">
        <v>0</v>
      </c>
      <c r="O31" s="298">
        <v>0</v>
      </c>
      <c r="P31" s="298">
        <v>0</v>
      </c>
      <c r="Q31" s="299">
        <v>0</v>
      </c>
      <c r="R31" s="297">
        <v>0</v>
      </c>
      <c r="S31" s="298">
        <v>0</v>
      </c>
      <c r="T31" s="298">
        <v>0</v>
      </c>
      <c r="U31" s="298">
        <v>0</v>
      </c>
      <c r="V31" s="299">
        <v>0</v>
      </c>
    </row>
    <row r="32" spans="1:22" ht="15">
      <c r="A32" s="258"/>
      <c r="B32" s="939"/>
      <c r="C32" s="593"/>
      <c r="D32" s="593" t="s">
        <v>1889</v>
      </c>
      <c r="E32" s="593"/>
      <c r="F32" s="593"/>
      <c r="G32" s="593"/>
      <c r="H32" s="259"/>
      <c r="I32" s="576" t="s">
        <v>498</v>
      </c>
      <c r="J32" s="297">
        <v>3.4998781981627099E-2</v>
      </c>
      <c r="K32" s="298">
        <v>6.1856894133926067E-2</v>
      </c>
      <c r="L32" s="298">
        <v>4.02647333186787E-3</v>
      </c>
      <c r="M32" s="298">
        <v>3.505460130066336E-2</v>
      </c>
      <c r="N32" s="298">
        <v>-6.2266384627391817E-3</v>
      </c>
      <c r="O32" s="298">
        <v>1.3521859943876108E-2</v>
      </c>
      <c r="P32" s="298">
        <v>1.3521859943876108E-2</v>
      </c>
      <c r="Q32" s="299">
        <v>1.3521859943876108E-2</v>
      </c>
      <c r="R32" s="297">
        <v>1.3454250644156727E-2</v>
      </c>
      <c r="S32" s="298">
        <v>1.3386979390935944E-2</v>
      </c>
      <c r="T32" s="298">
        <v>1.3320044493981264E-2</v>
      </c>
      <c r="U32" s="298">
        <v>1.3253444271511356E-2</v>
      </c>
      <c r="V32" s="299">
        <v>1.3187177050153799E-2</v>
      </c>
    </row>
    <row r="33" spans="1:22" ht="15">
      <c r="A33" s="258"/>
      <c r="B33" s="939"/>
      <c r="C33" s="593"/>
      <c r="D33" s="593" t="s">
        <v>1890</v>
      </c>
      <c r="E33" s="593"/>
      <c r="F33" s="593"/>
      <c r="G33" s="593"/>
      <c r="H33" s="259"/>
      <c r="I33" s="576" t="s">
        <v>498</v>
      </c>
      <c r="J33" s="297">
        <v>0</v>
      </c>
      <c r="K33" s="298">
        <v>0</v>
      </c>
      <c r="L33" s="298">
        <v>0</v>
      </c>
      <c r="M33" s="298">
        <v>0</v>
      </c>
      <c r="N33" s="298">
        <v>0</v>
      </c>
      <c r="O33" s="298">
        <v>0</v>
      </c>
      <c r="P33" s="298">
        <v>0</v>
      </c>
      <c r="Q33" s="299">
        <v>0</v>
      </c>
      <c r="R33" s="297">
        <v>0</v>
      </c>
      <c r="S33" s="298">
        <v>0</v>
      </c>
      <c r="T33" s="298">
        <v>0</v>
      </c>
      <c r="U33" s="298">
        <v>0</v>
      </c>
      <c r="V33" s="299">
        <v>0</v>
      </c>
    </row>
    <row r="34" spans="1:22" ht="15">
      <c r="A34" s="258"/>
      <c r="B34" s="939"/>
      <c r="C34" s="593"/>
      <c r="D34" s="593" t="s">
        <v>1891</v>
      </c>
      <c r="E34" s="593"/>
      <c r="F34" s="593"/>
      <c r="G34" s="593"/>
      <c r="H34" s="259"/>
      <c r="I34" s="576" t="s">
        <v>498</v>
      </c>
      <c r="J34" s="297">
        <v>0</v>
      </c>
      <c r="K34" s="298">
        <v>0</v>
      </c>
      <c r="L34" s="298">
        <v>0</v>
      </c>
      <c r="M34" s="298">
        <v>0</v>
      </c>
      <c r="N34" s="298">
        <v>0</v>
      </c>
      <c r="O34" s="298">
        <v>0</v>
      </c>
      <c r="P34" s="298">
        <v>0</v>
      </c>
      <c r="Q34" s="299">
        <v>0</v>
      </c>
      <c r="R34" s="297">
        <v>0</v>
      </c>
      <c r="S34" s="298">
        <v>0</v>
      </c>
      <c r="T34" s="298">
        <v>0</v>
      </c>
      <c r="U34" s="298">
        <v>0</v>
      </c>
      <c r="V34" s="299">
        <v>0</v>
      </c>
    </row>
    <row r="35" spans="1:22" ht="15">
      <c r="A35" s="258"/>
      <c r="B35" s="939"/>
      <c r="C35" s="593"/>
      <c r="D35" s="593" t="s">
        <v>1892</v>
      </c>
      <c r="E35" s="593"/>
      <c r="F35" s="593"/>
      <c r="G35" s="561"/>
      <c r="H35" s="259"/>
      <c r="I35" s="576" t="s">
        <v>498</v>
      </c>
      <c r="J35" s="297">
        <v>0</v>
      </c>
      <c r="K35" s="298">
        <v>0</v>
      </c>
      <c r="L35" s="298">
        <v>0</v>
      </c>
      <c r="M35" s="298">
        <v>0</v>
      </c>
      <c r="N35" s="298">
        <v>0</v>
      </c>
      <c r="O35" s="298">
        <v>0</v>
      </c>
      <c r="P35" s="298">
        <v>0</v>
      </c>
      <c r="Q35" s="299">
        <v>0</v>
      </c>
      <c r="R35" s="297">
        <v>0</v>
      </c>
      <c r="S35" s="298">
        <v>0</v>
      </c>
      <c r="T35" s="298">
        <v>0</v>
      </c>
      <c r="U35" s="298">
        <v>0</v>
      </c>
      <c r="V35" s="299">
        <v>0</v>
      </c>
    </row>
    <row r="36" spans="1:22" ht="16.5" thickBot="1">
      <c r="A36" s="258"/>
      <c r="B36" s="940" t="s">
        <v>1701</v>
      </c>
      <c r="C36" s="753"/>
      <c r="D36" s="595"/>
      <c r="E36" s="595"/>
      <c r="F36" s="595"/>
      <c r="G36" s="596"/>
      <c r="H36" s="300"/>
      <c r="I36" s="581" t="s">
        <v>498</v>
      </c>
      <c r="J36" s="1110">
        <f>SUM(J29:J35)</f>
        <v>3.4998781981627099E-2</v>
      </c>
      <c r="K36" s="1111">
        <f t="shared" ref="K36:V36" si="9">SUM(K29:K35)</f>
        <v>6.1856894133926067E-2</v>
      </c>
      <c r="L36" s="1111">
        <f t="shared" si="9"/>
        <v>4.02647333186787E-3</v>
      </c>
      <c r="M36" s="1111">
        <f t="shared" si="9"/>
        <v>3.505460130066336E-2</v>
      </c>
      <c r="N36" s="1111">
        <f t="shared" si="9"/>
        <v>-6.2266384627391817E-3</v>
      </c>
      <c r="O36" s="1111">
        <f t="shared" si="9"/>
        <v>0.12031415714775567</v>
      </c>
      <c r="P36" s="1111">
        <f t="shared" si="9"/>
        <v>0.12031415714775567</v>
      </c>
      <c r="Q36" s="1112">
        <f t="shared" si="9"/>
        <v>0.12031415714775567</v>
      </c>
      <c r="R36" s="1110">
        <f t="shared" si="9"/>
        <v>0.11971258636201688</v>
      </c>
      <c r="S36" s="1111">
        <f t="shared" si="9"/>
        <v>0.1191140234302068</v>
      </c>
      <c r="T36" s="1111">
        <f t="shared" si="9"/>
        <v>0.11851845331305576</v>
      </c>
      <c r="U36" s="1111">
        <f t="shared" si="9"/>
        <v>0.11792586104649048</v>
      </c>
      <c r="V36" s="1112">
        <f t="shared" si="9"/>
        <v>0.11733623174125804</v>
      </c>
    </row>
    <row r="37" spans="1:22" ht="15.75" thickBot="1">
      <c r="A37" s="258"/>
      <c r="B37" s="938"/>
    </row>
    <row r="38" spans="1:22" ht="30" customHeight="1" thickBot="1">
      <c r="A38" s="258"/>
      <c r="B38" s="640" t="s">
        <v>1898</v>
      </c>
      <c r="C38" s="558"/>
      <c r="D38" s="558"/>
      <c r="E38" s="558"/>
      <c r="F38" s="558"/>
      <c r="G38" s="559"/>
      <c r="H38" s="294"/>
      <c r="I38" s="105" t="s">
        <v>1864</v>
      </c>
      <c r="J38" s="106"/>
      <c r="K38" s="106"/>
      <c r="L38" s="106"/>
      <c r="M38" s="106"/>
      <c r="N38" s="106"/>
      <c r="O38" s="106"/>
      <c r="P38" s="106"/>
      <c r="Q38" s="106"/>
      <c r="R38" s="105"/>
      <c r="S38" s="105"/>
      <c r="T38" s="105"/>
      <c r="U38" s="105"/>
      <c r="V38" s="187"/>
    </row>
    <row r="39" spans="1:22" ht="30" customHeight="1">
      <c r="A39" s="258"/>
      <c r="B39" s="934"/>
      <c r="C39" s="561"/>
      <c r="D39" s="561"/>
      <c r="E39" s="561"/>
      <c r="F39" s="561"/>
      <c r="G39" s="561"/>
      <c r="H39" s="259"/>
      <c r="I39" s="562"/>
      <c r="J39" s="563" t="s">
        <v>1666</v>
      </c>
      <c r="K39" s="564"/>
      <c r="L39" s="564"/>
      <c r="M39" s="564"/>
      <c r="N39" s="564"/>
      <c r="O39" s="564"/>
      <c r="P39" s="564"/>
      <c r="Q39" s="565"/>
      <c r="R39" s="566" t="s">
        <v>2</v>
      </c>
      <c r="S39" s="567"/>
      <c r="T39" s="567"/>
      <c r="U39" s="567"/>
      <c r="V39" s="568"/>
    </row>
    <row r="40" spans="1:22" ht="15.75">
      <c r="A40" s="258"/>
      <c r="B40" s="936"/>
      <c r="C40" s="339"/>
      <c r="D40" s="339"/>
      <c r="E40" s="339"/>
      <c r="F40" s="339"/>
      <c r="G40" s="339"/>
      <c r="H40" s="259"/>
      <c r="I40" s="571" t="s">
        <v>1745</v>
      </c>
      <c r="J40" s="158" t="s">
        <v>453</v>
      </c>
      <c r="K40" s="137" t="s">
        <v>455</v>
      </c>
      <c r="L40" s="137" t="s">
        <v>457</v>
      </c>
      <c r="M40" s="137" t="s">
        <v>459</v>
      </c>
      <c r="N40" s="137" t="s">
        <v>461</v>
      </c>
      <c r="O40" s="137" t="s">
        <v>463</v>
      </c>
      <c r="P40" s="137" t="s">
        <v>465</v>
      </c>
      <c r="Q40" s="138" t="s">
        <v>467</v>
      </c>
      <c r="R40" s="120" t="s">
        <v>469</v>
      </c>
      <c r="S40" s="121" t="s">
        <v>471</v>
      </c>
      <c r="T40" s="121" t="s">
        <v>473</v>
      </c>
      <c r="U40" s="121" t="s">
        <v>475</v>
      </c>
      <c r="V40" s="122" t="s">
        <v>477</v>
      </c>
    </row>
    <row r="41" spans="1:22" ht="15.75">
      <c r="A41" s="258"/>
      <c r="B41" s="936"/>
      <c r="C41" s="591" t="s">
        <v>1897</v>
      </c>
      <c r="D41" s="591"/>
      <c r="E41" s="591"/>
      <c r="F41" s="591"/>
      <c r="G41" s="339"/>
      <c r="H41" s="259"/>
      <c r="I41" s="260"/>
      <c r="J41" s="295"/>
      <c r="K41" s="259"/>
      <c r="L41" s="259"/>
      <c r="M41" s="259"/>
      <c r="N41" s="259"/>
      <c r="O41" s="259"/>
      <c r="P41" s="259"/>
      <c r="Q41" s="296"/>
      <c r="R41" s="295"/>
      <c r="S41" s="259"/>
      <c r="T41" s="259"/>
      <c r="U41" s="259"/>
      <c r="V41" s="296"/>
    </row>
    <row r="42" spans="1:22" ht="15">
      <c r="A42" s="258"/>
      <c r="B42" s="939"/>
      <c r="C42" s="593"/>
      <c r="D42" s="593" t="s">
        <v>1886</v>
      </c>
      <c r="E42" s="593"/>
      <c r="F42" s="593"/>
      <c r="G42" s="593"/>
      <c r="H42" s="259"/>
      <c r="I42" s="576" t="s">
        <v>498</v>
      </c>
      <c r="J42" s="297">
        <v>0.16442740502038308</v>
      </c>
      <c r="K42" s="298">
        <v>0.23938421485629627</v>
      </c>
      <c r="L42" s="298">
        <v>0.16580658517613656</v>
      </c>
      <c r="M42" s="298">
        <v>0.19123549828260711</v>
      </c>
      <c r="N42" s="298">
        <v>0.1805295798914574</v>
      </c>
      <c r="O42" s="298">
        <v>0.20185488223778281</v>
      </c>
      <c r="P42" s="298">
        <v>0.20185488223778281</v>
      </c>
      <c r="Q42" s="299">
        <v>0.20185488223778281</v>
      </c>
      <c r="R42" s="297">
        <v>0.20084560782659389</v>
      </c>
      <c r="S42" s="298">
        <v>0.19984137978746092</v>
      </c>
      <c r="T42" s="298">
        <v>0.1988421728885236</v>
      </c>
      <c r="U42" s="298">
        <v>0.19784796202408098</v>
      </c>
      <c r="V42" s="299">
        <v>0.19685872221396056</v>
      </c>
    </row>
    <row r="43" spans="1:22" ht="15">
      <c r="A43" s="258"/>
      <c r="B43" s="939"/>
      <c r="C43" s="593"/>
      <c r="D43" s="593" t="s">
        <v>1887</v>
      </c>
      <c r="E43" s="593"/>
      <c r="F43" s="593"/>
      <c r="G43" s="593"/>
      <c r="H43" s="259"/>
      <c r="I43" s="576" t="s">
        <v>498</v>
      </c>
      <c r="J43" s="297">
        <v>0</v>
      </c>
      <c r="K43" s="298">
        <v>0</v>
      </c>
      <c r="L43" s="298">
        <v>0</v>
      </c>
      <c r="M43" s="298">
        <v>0</v>
      </c>
      <c r="N43" s="298">
        <v>0</v>
      </c>
      <c r="O43" s="298">
        <v>0</v>
      </c>
      <c r="P43" s="298">
        <v>0</v>
      </c>
      <c r="Q43" s="299">
        <v>0</v>
      </c>
      <c r="R43" s="297">
        <v>0</v>
      </c>
      <c r="S43" s="298">
        <v>0</v>
      </c>
      <c r="T43" s="298">
        <v>0</v>
      </c>
      <c r="U43" s="298">
        <v>0</v>
      </c>
      <c r="V43" s="299">
        <v>0</v>
      </c>
    </row>
    <row r="44" spans="1:22" ht="15">
      <c r="A44" s="258"/>
      <c r="B44" s="939"/>
      <c r="C44" s="593"/>
      <c r="D44" s="593" t="s">
        <v>1888</v>
      </c>
      <c r="E44" s="593"/>
      <c r="F44" s="593"/>
      <c r="G44" s="593"/>
      <c r="H44" s="259"/>
      <c r="I44" s="576" t="s">
        <v>498</v>
      </c>
      <c r="J44" s="297">
        <v>0</v>
      </c>
      <c r="K44" s="298">
        <v>0</v>
      </c>
      <c r="L44" s="298">
        <v>0</v>
      </c>
      <c r="M44" s="298">
        <v>0</v>
      </c>
      <c r="N44" s="298">
        <v>0</v>
      </c>
      <c r="O44" s="298">
        <v>0</v>
      </c>
      <c r="P44" s="298">
        <v>0</v>
      </c>
      <c r="Q44" s="299">
        <v>0</v>
      </c>
      <c r="R44" s="297">
        <v>0</v>
      </c>
      <c r="S44" s="298">
        <v>0</v>
      </c>
      <c r="T44" s="298">
        <v>0</v>
      </c>
      <c r="U44" s="298">
        <v>0</v>
      </c>
      <c r="V44" s="299">
        <v>0</v>
      </c>
    </row>
    <row r="45" spans="1:22" ht="15">
      <c r="A45" s="258"/>
      <c r="B45" s="939"/>
      <c r="C45" s="593"/>
      <c r="D45" s="593" t="s">
        <v>1889</v>
      </c>
      <c r="E45" s="593"/>
      <c r="F45" s="593"/>
      <c r="G45" s="593"/>
      <c r="H45" s="259"/>
      <c r="I45" s="576" t="s">
        <v>498</v>
      </c>
      <c r="J45" s="297">
        <v>3.6452429985265544</v>
      </c>
      <c r="K45" s="298">
        <v>3.461927739481347</v>
      </c>
      <c r="L45" s="298">
        <v>8.1223723951585587</v>
      </c>
      <c r="M45" s="298">
        <v>2.9458199956958486</v>
      </c>
      <c r="N45" s="298">
        <v>4.1637795307528149</v>
      </c>
      <c r="O45" s="298">
        <v>3.762554057547101</v>
      </c>
      <c r="P45" s="298">
        <v>4.1115540575471012</v>
      </c>
      <c r="Q45" s="299">
        <v>4.1115540575471012</v>
      </c>
      <c r="R45" s="297">
        <v>4.0909962872593661</v>
      </c>
      <c r="S45" s="298">
        <v>4.0705413058230695</v>
      </c>
      <c r="T45" s="298">
        <v>4.0501885992939544</v>
      </c>
      <c r="U45" s="298">
        <v>4.0299376562974842</v>
      </c>
      <c r="V45" s="299">
        <v>4.0097879680159965</v>
      </c>
    </row>
    <row r="46" spans="1:22" ht="15">
      <c r="A46" s="258"/>
      <c r="B46" s="939"/>
      <c r="C46" s="593"/>
      <c r="D46" s="593" t="s">
        <v>1890</v>
      </c>
      <c r="E46" s="593"/>
      <c r="F46" s="593"/>
      <c r="G46" s="593"/>
      <c r="H46" s="259"/>
      <c r="I46" s="576" t="s">
        <v>498</v>
      </c>
      <c r="J46" s="297">
        <v>0</v>
      </c>
      <c r="K46" s="298">
        <v>0</v>
      </c>
      <c r="L46" s="298">
        <v>0</v>
      </c>
      <c r="M46" s="298">
        <v>0</v>
      </c>
      <c r="N46" s="298">
        <v>0</v>
      </c>
      <c r="O46" s="298">
        <v>0</v>
      </c>
      <c r="P46" s="298">
        <v>0</v>
      </c>
      <c r="Q46" s="299">
        <v>0</v>
      </c>
      <c r="R46" s="297">
        <v>0</v>
      </c>
      <c r="S46" s="298">
        <v>0</v>
      </c>
      <c r="T46" s="298">
        <v>0</v>
      </c>
      <c r="U46" s="298">
        <v>0</v>
      </c>
      <c r="V46" s="299">
        <v>0</v>
      </c>
    </row>
    <row r="47" spans="1:22" ht="15">
      <c r="A47" s="258"/>
      <c r="B47" s="939"/>
      <c r="C47" s="593"/>
      <c r="D47" s="593" t="s">
        <v>1891</v>
      </c>
      <c r="E47" s="593"/>
      <c r="F47" s="593"/>
      <c r="G47" s="593"/>
      <c r="H47" s="259"/>
      <c r="I47" s="576" t="s">
        <v>498</v>
      </c>
      <c r="J47" s="297">
        <v>0</v>
      </c>
      <c r="K47" s="298">
        <v>0</v>
      </c>
      <c r="L47" s="298">
        <v>0</v>
      </c>
      <c r="M47" s="298">
        <v>0</v>
      </c>
      <c r="N47" s="298">
        <v>0</v>
      </c>
      <c r="O47" s="298">
        <v>0</v>
      </c>
      <c r="P47" s="298">
        <v>0</v>
      </c>
      <c r="Q47" s="299">
        <v>0</v>
      </c>
      <c r="R47" s="297">
        <v>0</v>
      </c>
      <c r="S47" s="298">
        <v>0</v>
      </c>
      <c r="T47" s="298">
        <v>0</v>
      </c>
      <c r="U47" s="298">
        <v>0</v>
      </c>
      <c r="V47" s="299">
        <v>0</v>
      </c>
    </row>
    <row r="48" spans="1:22" ht="15">
      <c r="A48" s="258"/>
      <c r="B48" s="939"/>
      <c r="C48" s="593"/>
      <c r="D48" s="593" t="s">
        <v>1892</v>
      </c>
      <c r="E48" s="593"/>
      <c r="F48" s="593"/>
      <c r="G48" s="561"/>
      <c r="H48" s="259"/>
      <c r="I48" s="576" t="s">
        <v>498</v>
      </c>
      <c r="J48" s="297">
        <v>3.7579099487781611E-2</v>
      </c>
      <c r="K48" s="298">
        <v>4.2974124044774929E-2</v>
      </c>
      <c r="L48" s="298">
        <v>0.20007923854381318</v>
      </c>
      <c r="M48" s="298">
        <v>2.5773817744624995E-3</v>
      </c>
      <c r="N48" s="298">
        <v>8.2451686603759729E-4</v>
      </c>
      <c r="O48" s="298">
        <v>0</v>
      </c>
      <c r="P48" s="298">
        <v>0</v>
      </c>
      <c r="Q48" s="299">
        <v>0</v>
      </c>
      <c r="R48" s="297">
        <v>0</v>
      </c>
      <c r="S48" s="298">
        <v>0</v>
      </c>
      <c r="T48" s="298">
        <v>0</v>
      </c>
      <c r="U48" s="298">
        <v>0</v>
      </c>
      <c r="V48" s="299">
        <v>0</v>
      </c>
    </row>
    <row r="49" spans="1:22" ht="13.5" customHeight="1" thickBot="1">
      <c r="A49" s="258"/>
      <c r="B49" s="940" t="s">
        <v>1701</v>
      </c>
      <c r="C49" s="1113"/>
      <c r="D49" s="1113"/>
      <c r="E49" s="1113"/>
      <c r="F49" s="1113"/>
      <c r="G49" s="596"/>
      <c r="H49" s="300"/>
      <c r="I49" s="581" t="s">
        <v>498</v>
      </c>
      <c r="J49" s="1110">
        <f t="shared" ref="J49:V49" si="10">SUM(J42:J48)</f>
        <v>3.8472495030347189</v>
      </c>
      <c r="K49" s="1111">
        <f t="shared" si="10"/>
        <v>3.7442860783824181</v>
      </c>
      <c r="L49" s="1111">
        <f t="shared" si="10"/>
        <v>8.4882582188785083</v>
      </c>
      <c r="M49" s="1111">
        <f t="shared" si="10"/>
        <v>3.1396328757529179</v>
      </c>
      <c r="N49" s="1111">
        <f t="shared" si="10"/>
        <v>4.3451336275103101</v>
      </c>
      <c r="O49" s="1111">
        <f t="shared" si="10"/>
        <v>3.9644089397848838</v>
      </c>
      <c r="P49" s="1111">
        <f t="shared" si="10"/>
        <v>4.3134089397848836</v>
      </c>
      <c r="Q49" s="1112">
        <f t="shared" si="10"/>
        <v>4.3134089397848836</v>
      </c>
      <c r="R49" s="1110">
        <f t="shared" si="10"/>
        <v>4.2918418950859598</v>
      </c>
      <c r="S49" s="1111">
        <f t="shared" si="10"/>
        <v>4.2703826856105307</v>
      </c>
      <c r="T49" s="1111">
        <f t="shared" si="10"/>
        <v>4.2490307721824783</v>
      </c>
      <c r="U49" s="1111">
        <f t="shared" si="10"/>
        <v>4.2277856183215654</v>
      </c>
      <c r="V49" s="1112">
        <f t="shared" si="10"/>
        <v>4.2066466902299569</v>
      </c>
    </row>
    <row r="50" spans="1:22" ht="15.75" thickBot="1">
      <c r="A50" s="258"/>
      <c r="B50" s="938"/>
    </row>
    <row r="51" spans="1:22" ht="30" customHeight="1" thickBot="1">
      <c r="A51" s="258"/>
      <c r="B51" s="640" t="s">
        <v>1899</v>
      </c>
      <c r="C51" s="558"/>
      <c r="D51" s="558"/>
      <c r="E51" s="558"/>
      <c r="F51" s="558"/>
      <c r="G51" s="559"/>
      <c r="H51" s="294"/>
      <c r="I51" s="105" t="s">
        <v>1864</v>
      </c>
      <c r="J51" s="106"/>
      <c r="K51" s="106"/>
      <c r="L51" s="106"/>
      <c r="M51" s="106"/>
      <c r="N51" s="106"/>
      <c r="O51" s="106"/>
      <c r="P51" s="106"/>
      <c r="Q51" s="106"/>
      <c r="R51" s="105"/>
      <c r="S51" s="105"/>
      <c r="T51" s="105"/>
      <c r="U51" s="105"/>
      <c r="V51" s="187"/>
    </row>
    <row r="52" spans="1:22" ht="30" customHeight="1">
      <c r="A52" s="258"/>
      <c r="B52" s="934"/>
      <c r="C52" s="561"/>
      <c r="D52" s="561"/>
      <c r="E52" s="561"/>
      <c r="F52" s="561"/>
      <c r="G52" s="561"/>
      <c r="H52" s="259"/>
      <c r="I52" s="562"/>
      <c r="J52" s="563" t="s">
        <v>1666</v>
      </c>
      <c r="K52" s="564"/>
      <c r="L52" s="564"/>
      <c r="M52" s="564"/>
      <c r="N52" s="564"/>
      <c r="O52" s="564"/>
      <c r="P52" s="564"/>
      <c r="Q52" s="565"/>
      <c r="R52" s="566" t="s">
        <v>2</v>
      </c>
      <c r="S52" s="567"/>
      <c r="T52" s="567"/>
      <c r="U52" s="567"/>
      <c r="V52" s="568"/>
    </row>
    <row r="53" spans="1:22" ht="13.5" customHeight="1">
      <c r="A53" s="258"/>
      <c r="B53" s="936"/>
      <c r="C53" s="339"/>
      <c r="D53" s="339"/>
      <c r="E53" s="339"/>
      <c r="F53" s="339"/>
      <c r="G53" s="339"/>
      <c r="H53" s="259"/>
      <c r="I53" s="571" t="s">
        <v>1745</v>
      </c>
      <c r="J53" s="158" t="s">
        <v>453</v>
      </c>
      <c r="K53" s="137" t="s">
        <v>455</v>
      </c>
      <c r="L53" s="137" t="s">
        <v>457</v>
      </c>
      <c r="M53" s="137" t="s">
        <v>459</v>
      </c>
      <c r="N53" s="137" t="s">
        <v>461</v>
      </c>
      <c r="O53" s="137" t="s">
        <v>463</v>
      </c>
      <c r="P53" s="137" t="s">
        <v>465</v>
      </c>
      <c r="Q53" s="138" t="s">
        <v>467</v>
      </c>
      <c r="R53" s="120" t="s">
        <v>469</v>
      </c>
      <c r="S53" s="121" t="s">
        <v>471</v>
      </c>
      <c r="T53" s="121" t="s">
        <v>473</v>
      </c>
      <c r="U53" s="121" t="s">
        <v>475</v>
      </c>
      <c r="V53" s="122" t="s">
        <v>477</v>
      </c>
    </row>
    <row r="54" spans="1:22" ht="13.5" customHeight="1">
      <c r="A54" s="258"/>
      <c r="B54" s="936"/>
      <c r="C54" s="591" t="s">
        <v>1897</v>
      </c>
      <c r="D54" s="591"/>
      <c r="E54" s="591"/>
      <c r="F54" s="591"/>
      <c r="G54" s="339"/>
      <c r="H54" s="259"/>
      <c r="I54" s="260"/>
      <c r="J54" s="295"/>
      <c r="K54" s="259"/>
      <c r="L54" s="259"/>
      <c r="M54" s="259"/>
      <c r="N54" s="259"/>
      <c r="O54" s="259"/>
      <c r="P54" s="259"/>
      <c r="Q54" s="296"/>
      <c r="R54" s="295"/>
      <c r="S54" s="259"/>
      <c r="T54" s="259"/>
      <c r="U54" s="259"/>
      <c r="V54" s="296"/>
    </row>
    <row r="55" spans="1:22" ht="13.5" customHeight="1">
      <c r="A55" s="258"/>
      <c r="B55" s="939"/>
      <c r="C55" s="593"/>
      <c r="D55" s="593" t="s">
        <v>1886</v>
      </c>
      <c r="E55" s="593"/>
      <c r="F55" s="593"/>
      <c r="G55" s="593"/>
      <c r="H55" s="259"/>
      <c r="I55" s="576" t="s">
        <v>498</v>
      </c>
      <c r="J55" s="297">
        <v>0.32885481004076617</v>
      </c>
      <c r="K55" s="298">
        <v>0.47876842971259254</v>
      </c>
      <c r="L55" s="298">
        <v>0.33161317035227311</v>
      </c>
      <c r="M55" s="298">
        <v>0.38247099656521422</v>
      </c>
      <c r="N55" s="298">
        <v>0.36105915978291481</v>
      </c>
      <c r="O55" s="298">
        <v>0.40370976447556561</v>
      </c>
      <c r="P55" s="298">
        <v>0.40370976447556561</v>
      </c>
      <c r="Q55" s="299">
        <v>0.40370976447556561</v>
      </c>
      <c r="R55" s="297">
        <v>0.40169121565318777</v>
      </c>
      <c r="S55" s="298">
        <v>0.39968275957492183</v>
      </c>
      <c r="T55" s="298">
        <v>0.3976843457770472</v>
      </c>
      <c r="U55" s="298">
        <v>0.39569592404816195</v>
      </c>
      <c r="V55" s="299">
        <v>0.39371744442792111</v>
      </c>
    </row>
    <row r="56" spans="1:22" ht="13.5" customHeight="1">
      <c r="A56" s="258"/>
      <c r="B56" s="939"/>
      <c r="C56" s="593"/>
      <c r="D56" s="593" t="s">
        <v>1887</v>
      </c>
      <c r="E56" s="593"/>
      <c r="F56" s="593"/>
      <c r="G56" s="593"/>
      <c r="H56" s="259"/>
      <c r="I56" s="576" t="s">
        <v>498</v>
      </c>
      <c r="J56" s="297">
        <v>0</v>
      </c>
      <c r="K56" s="298">
        <v>0</v>
      </c>
      <c r="L56" s="298">
        <v>0</v>
      </c>
      <c r="M56" s="298">
        <v>0</v>
      </c>
      <c r="N56" s="298">
        <v>0</v>
      </c>
      <c r="O56" s="298">
        <v>0</v>
      </c>
      <c r="P56" s="298">
        <v>0</v>
      </c>
      <c r="Q56" s="299">
        <v>0</v>
      </c>
      <c r="R56" s="297">
        <v>0</v>
      </c>
      <c r="S56" s="298">
        <v>0</v>
      </c>
      <c r="T56" s="298">
        <v>0</v>
      </c>
      <c r="U56" s="298">
        <v>0</v>
      </c>
      <c r="V56" s="299">
        <v>0</v>
      </c>
    </row>
    <row r="57" spans="1:22" ht="13.5" customHeight="1">
      <c r="A57" s="258"/>
      <c r="B57" s="939"/>
      <c r="C57" s="593"/>
      <c r="D57" s="593" t="s">
        <v>1888</v>
      </c>
      <c r="E57" s="593"/>
      <c r="F57" s="593"/>
      <c r="G57" s="593"/>
      <c r="H57" s="259"/>
      <c r="I57" s="576" t="s">
        <v>498</v>
      </c>
      <c r="J57" s="297">
        <v>2.2382923708219155E-3</v>
      </c>
      <c r="K57" s="298">
        <v>0</v>
      </c>
      <c r="L57" s="298">
        <v>0</v>
      </c>
      <c r="M57" s="298">
        <v>0</v>
      </c>
      <c r="N57" s="298">
        <v>0</v>
      </c>
      <c r="O57" s="298">
        <v>0</v>
      </c>
      <c r="P57" s="298">
        <v>0</v>
      </c>
      <c r="Q57" s="299">
        <v>0</v>
      </c>
      <c r="R57" s="297">
        <v>0</v>
      </c>
      <c r="S57" s="298">
        <v>0</v>
      </c>
      <c r="T57" s="298">
        <v>0</v>
      </c>
      <c r="U57" s="298">
        <v>0</v>
      </c>
      <c r="V57" s="299">
        <v>0</v>
      </c>
    </row>
    <row r="58" spans="1:22" ht="13.5" customHeight="1">
      <c r="A58" s="258"/>
      <c r="B58" s="939"/>
      <c r="C58" s="593"/>
      <c r="D58" s="593" t="s">
        <v>1889</v>
      </c>
      <c r="E58" s="593"/>
      <c r="F58" s="593"/>
      <c r="G58" s="593"/>
      <c r="H58" s="259"/>
      <c r="I58" s="576" t="s">
        <v>498</v>
      </c>
      <c r="J58" s="297">
        <v>0</v>
      </c>
      <c r="K58" s="298">
        <v>0</v>
      </c>
      <c r="L58" s="298">
        <v>0</v>
      </c>
      <c r="M58" s="298">
        <v>0</v>
      </c>
      <c r="N58" s="298">
        <v>0</v>
      </c>
      <c r="O58" s="298">
        <v>0</v>
      </c>
      <c r="P58" s="298">
        <v>0</v>
      </c>
      <c r="Q58" s="299">
        <v>0</v>
      </c>
      <c r="R58" s="297">
        <v>0</v>
      </c>
      <c r="S58" s="298">
        <v>0</v>
      </c>
      <c r="T58" s="298">
        <v>0</v>
      </c>
      <c r="U58" s="298">
        <v>0</v>
      </c>
      <c r="V58" s="299">
        <v>0</v>
      </c>
    </row>
    <row r="59" spans="1:22" ht="13.5" customHeight="1">
      <c r="A59" s="258"/>
      <c r="B59" s="939"/>
      <c r="C59" s="593"/>
      <c r="D59" s="593" t="s">
        <v>1890</v>
      </c>
      <c r="E59" s="593"/>
      <c r="F59" s="593"/>
      <c r="G59" s="593"/>
      <c r="H59" s="259"/>
      <c r="I59" s="576" t="s">
        <v>498</v>
      </c>
      <c r="J59" s="297">
        <v>3.9705645510944255E-3</v>
      </c>
      <c r="K59" s="298">
        <v>1.0987016308453581</v>
      </c>
      <c r="L59" s="298">
        <v>0.2823366853971892</v>
      </c>
      <c r="M59" s="298">
        <v>0.21028059742832972</v>
      </c>
      <c r="N59" s="298">
        <v>2.4598869450828644E-2</v>
      </c>
      <c r="O59" s="298">
        <v>4.4066471087138917E-2</v>
      </c>
      <c r="P59" s="298">
        <v>4.4066471087138917E-2</v>
      </c>
      <c r="Q59" s="299">
        <v>4.4066471087138917E-2</v>
      </c>
      <c r="R59" s="297">
        <v>4.3846138731703226E-2</v>
      </c>
      <c r="S59" s="298">
        <v>4.3626908038044712E-2</v>
      </c>
      <c r="T59" s="298">
        <v>4.3408773497854491E-2</v>
      </c>
      <c r="U59" s="298">
        <v>4.3191729630365217E-2</v>
      </c>
      <c r="V59" s="299">
        <v>4.297577098221339E-2</v>
      </c>
    </row>
    <row r="60" spans="1:22" ht="13.5" customHeight="1">
      <c r="A60" s="258"/>
      <c r="B60" s="939"/>
      <c r="C60" s="593"/>
      <c r="D60" s="593" t="s">
        <v>1891</v>
      </c>
      <c r="E60" s="593"/>
      <c r="F60" s="593"/>
      <c r="G60" s="593"/>
      <c r="H60" s="259"/>
      <c r="I60" s="576" t="s">
        <v>498</v>
      </c>
      <c r="J60" s="297">
        <v>0</v>
      </c>
      <c r="K60" s="298">
        <v>0</v>
      </c>
      <c r="L60" s="298">
        <v>0</v>
      </c>
      <c r="M60" s="298">
        <v>0</v>
      </c>
      <c r="N60" s="298">
        <v>0</v>
      </c>
      <c r="O60" s="298">
        <v>0</v>
      </c>
      <c r="P60" s="298">
        <v>0</v>
      </c>
      <c r="Q60" s="299">
        <v>0</v>
      </c>
      <c r="R60" s="297">
        <v>0</v>
      </c>
      <c r="S60" s="298">
        <v>0</v>
      </c>
      <c r="T60" s="298">
        <v>0</v>
      </c>
      <c r="U60" s="298">
        <v>0</v>
      </c>
      <c r="V60" s="299">
        <v>0</v>
      </c>
    </row>
    <row r="61" spans="1:22" ht="13.5" customHeight="1">
      <c r="A61" s="258"/>
      <c r="B61" s="939"/>
      <c r="C61" s="593"/>
      <c r="D61" s="593" t="s">
        <v>1892</v>
      </c>
      <c r="E61" s="593"/>
      <c r="F61" s="593"/>
      <c r="G61" s="561"/>
      <c r="H61" s="259"/>
      <c r="I61" s="576" t="s">
        <v>498</v>
      </c>
      <c r="J61" s="297">
        <v>0</v>
      </c>
      <c r="K61" s="298">
        <v>0</v>
      </c>
      <c r="L61" s="298">
        <v>0</v>
      </c>
      <c r="M61" s="298">
        <v>0</v>
      </c>
      <c r="N61" s="298">
        <v>0</v>
      </c>
      <c r="O61" s="298">
        <v>0</v>
      </c>
      <c r="P61" s="298">
        <v>0</v>
      </c>
      <c r="Q61" s="299">
        <v>0</v>
      </c>
      <c r="R61" s="297">
        <v>0</v>
      </c>
      <c r="S61" s="298">
        <v>0</v>
      </c>
      <c r="T61" s="298">
        <v>0</v>
      </c>
      <c r="U61" s="298">
        <v>0</v>
      </c>
      <c r="V61" s="299">
        <v>0</v>
      </c>
    </row>
    <row r="62" spans="1:22" ht="13.5" customHeight="1" thickBot="1">
      <c r="A62" s="258"/>
      <c r="B62" s="940" t="s">
        <v>1701</v>
      </c>
      <c r="C62" s="1113"/>
      <c r="D62" s="1113"/>
      <c r="E62" s="1113"/>
      <c r="F62" s="1113"/>
      <c r="G62" s="596"/>
      <c r="H62" s="300"/>
      <c r="I62" s="581" t="s">
        <v>498</v>
      </c>
      <c r="J62" s="1110">
        <f t="shared" ref="J62:V62" si="11">SUM(J55:J61)</f>
        <v>0.33506366696268247</v>
      </c>
      <c r="K62" s="1111">
        <f t="shared" si="11"/>
        <v>1.5774700605579506</v>
      </c>
      <c r="L62" s="1111">
        <f t="shared" si="11"/>
        <v>0.61394985574946226</v>
      </c>
      <c r="M62" s="1111">
        <f t="shared" si="11"/>
        <v>0.59275159399354393</v>
      </c>
      <c r="N62" s="1111">
        <f t="shared" si="11"/>
        <v>0.38565802923374343</v>
      </c>
      <c r="O62" s="1111">
        <f t="shared" si="11"/>
        <v>0.44777623556270452</v>
      </c>
      <c r="P62" s="1111">
        <f t="shared" si="11"/>
        <v>0.44777623556270452</v>
      </c>
      <c r="Q62" s="1112">
        <f t="shared" si="11"/>
        <v>0.44777623556270452</v>
      </c>
      <c r="R62" s="1110">
        <f t="shared" si="11"/>
        <v>0.445537354384891</v>
      </c>
      <c r="S62" s="1111">
        <f t="shared" si="11"/>
        <v>0.44330966761296653</v>
      </c>
      <c r="T62" s="1111">
        <f t="shared" si="11"/>
        <v>0.44109311927490169</v>
      </c>
      <c r="U62" s="1111">
        <f t="shared" si="11"/>
        <v>0.43888765367852717</v>
      </c>
      <c r="V62" s="1112">
        <f t="shared" si="11"/>
        <v>0.43669321541013451</v>
      </c>
    </row>
    <row r="63" spans="1:22" ht="13.5" customHeight="1" thickBot="1">
      <c r="A63" s="258"/>
      <c r="B63" s="938"/>
    </row>
    <row r="64" spans="1:22" ht="30" customHeight="1" thickBot="1">
      <c r="A64" s="258"/>
      <c r="B64" s="640" t="s">
        <v>1900</v>
      </c>
      <c r="C64" s="558"/>
      <c r="D64" s="558"/>
      <c r="E64" s="558"/>
      <c r="F64" s="558"/>
      <c r="G64" s="559"/>
      <c r="H64" s="294"/>
      <c r="I64" s="105" t="s">
        <v>1864</v>
      </c>
      <c r="J64" s="106"/>
      <c r="K64" s="106"/>
      <c r="L64" s="106"/>
      <c r="M64" s="106"/>
      <c r="N64" s="106"/>
      <c r="O64" s="106"/>
      <c r="P64" s="106"/>
      <c r="Q64" s="106"/>
      <c r="R64" s="105"/>
      <c r="S64" s="105"/>
      <c r="T64" s="105"/>
      <c r="U64" s="105"/>
      <c r="V64" s="187"/>
    </row>
    <row r="65" spans="1:22" ht="30" customHeight="1">
      <c r="A65" s="258"/>
      <c r="B65" s="934"/>
      <c r="C65" s="561"/>
      <c r="D65" s="561"/>
      <c r="E65" s="561"/>
      <c r="F65" s="561"/>
      <c r="G65" s="561"/>
      <c r="H65" s="259"/>
      <c r="I65" s="562"/>
      <c r="J65" s="563" t="s">
        <v>1666</v>
      </c>
      <c r="K65" s="564"/>
      <c r="L65" s="564"/>
      <c r="M65" s="564"/>
      <c r="N65" s="564"/>
      <c r="O65" s="564"/>
      <c r="P65" s="564"/>
      <c r="Q65" s="565"/>
      <c r="R65" s="566" t="s">
        <v>2</v>
      </c>
      <c r="S65" s="567"/>
      <c r="T65" s="567"/>
      <c r="U65" s="567"/>
      <c r="V65" s="568"/>
    </row>
    <row r="66" spans="1:22" ht="13.5" customHeight="1">
      <c r="A66" s="258"/>
      <c r="B66" s="936"/>
      <c r="C66" s="339"/>
      <c r="D66" s="339"/>
      <c r="E66" s="339"/>
      <c r="F66" s="339"/>
      <c r="G66" s="339"/>
      <c r="H66" s="259"/>
      <c r="I66" s="571" t="s">
        <v>1745</v>
      </c>
      <c r="J66" s="158" t="s">
        <v>453</v>
      </c>
      <c r="K66" s="137" t="s">
        <v>455</v>
      </c>
      <c r="L66" s="137" t="s">
        <v>457</v>
      </c>
      <c r="M66" s="137" t="s">
        <v>459</v>
      </c>
      <c r="N66" s="137" t="s">
        <v>461</v>
      </c>
      <c r="O66" s="137" t="s">
        <v>463</v>
      </c>
      <c r="P66" s="137" t="s">
        <v>465</v>
      </c>
      <c r="Q66" s="138" t="s">
        <v>467</v>
      </c>
      <c r="R66" s="120" t="s">
        <v>469</v>
      </c>
      <c r="S66" s="121" t="s">
        <v>471</v>
      </c>
      <c r="T66" s="121" t="s">
        <v>473</v>
      </c>
      <c r="U66" s="121" t="s">
        <v>475</v>
      </c>
      <c r="V66" s="122" t="s">
        <v>477</v>
      </c>
    </row>
    <row r="67" spans="1:22" ht="13.5" customHeight="1">
      <c r="A67" s="258"/>
      <c r="B67" s="936"/>
      <c r="C67" s="591" t="s">
        <v>1897</v>
      </c>
      <c r="D67" s="591"/>
      <c r="E67" s="591"/>
      <c r="F67" s="591"/>
      <c r="G67" s="339"/>
      <c r="H67" s="259"/>
      <c r="I67" s="260"/>
      <c r="J67" s="295"/>
      <c r="K67" s="259"/>
      <c r="L67" s="259"/>
      <c r="M67" s="259"/>
      <c r="N67" s="259"/>
      <c r="O67" s="259"/>
      <c r="P67" s="259"/>
      <c r="Q67" s="296"/>
      <c r="R67" s="295"/>
      <c r="S67" s="259"/>
      <c r="T67" s="259"/>
      <c r="U67" s="259"/>
      <c r="V67" s="296"/>
    </row>
    <row r="68" spans="1:22" ht="13.5" customHeight="1">
      <c r="A68" s="258"/>
      <c r="B68" s="939"/>
      <c r="C68" s="593"/>
      <c r="D68" s="593" t="s">
        <v>1886</v>
      </c>
      <c r="E68" s="593"/>
      <c r="F68" s="593"/>
      <c r="G68" s="593"/>
      <c r="H68" s="259"/>
      <c r="I68" s="576" t="s">
        <v>498</v>
      </c>
      <c r="J68" s="297">
        <v>0</v>
      </c>
      <c r="K68" s="298">
        <v>0</v>
      </c>
      <c r="L68" s="298">
        <v>0</v>
      </c>
      <c r="M68" s="298">
        <v>0</v>
      </c>
      <c r="N68" s="298">
        <v>0</v>
      </c>
      <c r="O68" s="298">
        <v>0</v>
      </c>
      <c r="P68" s="298">
        <v>0</v>
      </c>
      <c r="Q68" s="299">
        <v>0</v>
      </c>
      <c r="R68" s="297">
        <v>0</v>
      </c>
      <c r="S68" s="298">
        <v>0</v>
      </c>
      <c r="T68" s="298">
        <v>0</v>
      </c>
      <c r="U68" s="298">
        <v>0</v>
      </c>
      <c r="V68" s="299">
        <v>0</v>
      </c>
    </row>
    <row r="69" spans="1:22" ht="13.5" customHeight="1">
      <c r="A69" s="258"/>
      <c r="B69" s="939"/>
      <c r="C69" s="593"/>
      <c r="D69" s="593" t="s">
        <v>1887</v>
      </c>
      <c r="E69" s="593"/>
      <c r="F69" s="593"/>
      <c r="G69" s="593"/>
      <c r="H69" s="259"/>
      <c r="I69" s="576" t="s">
        <v>498</v>
      </c>
      <c r="J69" s="297">
        <v>0</v>
      </c>
      <c r="K69" s="298">
        <v>0</v>
      </c>
      <c r="L69" s="298">
        <v>0</v>
      </c>
      <c r="M69" s="298">
        <v>0</v>
      </c>
      <c r="N69" s="298">
        <v>0</v>
      </c>
      <c r="O69" s="298">
        <v>0</v>
      </c>
      <c r="P69" s="298">
        <v>0</v>
      </c>
      <c r="Q69" s="299">
        <v>0</v>
      </c>
      <c r="R69" s="297">
        <v>0</v>
      </c>
      <c r="S69" s="298">
        <v>0</v>
      </c>
      <c r="T69" s="298">
        <v>0</v>
      </c>
      <c r="U69" s="298">
        <v>0</v>
      </c>
      <c r="V69" s="299">
        <v>0</v>
      </c>
    </row>
    <row r="70" spans="1:22" ht="13.5" customHeight="1">
      <c r="A70" s="258"/>
      <c r="B70" s="939"/>
      <c r="C70" s="593"/>
      <c r="D70" s="593" t="s">
        <v>1888</v>
      </c>
      <c r="E70" s="593"/>
      <c r="F70" s="593"/>
      <c r="G70" s="593"/>
      <c r="H70" s="259"/>
      <c r="I70" s="576" t="s">
        <v>498</v>
      </c>
      <c r="J70" s="297">
        <v>0</v>
      </c>
      <c r="K70" s="298">
        <v>0</v>
      </c>
      <c r="L70" s="298">
        <v>0</v>
      </c>
      <c r="M70" s="298">
        <v>0</v>
      </c>
      <c r="N70" s="298">
        <v>0</v>
      </c>
      <c r="O70" s="298">
        <v>0</v>
      </c>
      <c r="P70" s="298">
        <v>0</v>
      </c>
      <c r="Q70" s="299">
        <v>0</v>
      </c>
      <c r="R70" s="297">
        <v>0</v>
      </c>
      <c r="S70" s="298">
        <v>0</v>
      </c>
      <c r="T70" s="298">
        <v>0</v>
      </c>
      <c r="U70" s="298">
        <v>0</v>
      </c>
      <c r="V70" s="299">
        <v>0</v>
      </c>
    </row>
    <row r="71" spans="1:22" ht="13.5" customHeight="1">
      <c r="A71" s="258"/>
      <c r="B71" s="939"/>
      <c r="C71" s="593"/>
      <c r="D71" s="593" t="s">
        <v>1889</v>
      </c>
      <c r="E71" s="593"/>
      <c r="F71" s="593"/>
      <c r="G71" s="593"/>
      <c r="H71" s="259"/>
      <c r="I71" s="576" t="s">
        <v>498</v>
      </c>
      <c r="J71" s="297">
        <v>6.0002683165837221</v>
      </c>
      <c r="K71" s="298">
        <v>1.184689955039711</v>
      </c>
      <c r="L71" s="298">
        <v>0</v>
      </c>
      <c r="M71" s="298">
        <v>0</v>
      </c>
      <c r="N71" s="298">
        <v>0</v>
      </c>
      <c r="O71" s="298">
        <v>0</v>
      </c>
      <c r="P71" s="298">
        <v>0</v>
      </c>
      <c r="Q71" s="299">
        <v>0</v>
      </c>
      <c r="R71" s="297">
        <v>0</v>
      </c>
      <c r="S71" s="298">
        <v>0</v>
      </c>
      <c r="T71" s="298">
        <v>0</v>
      </c>
      <c r="U71" s="298">
        <v>0</v>
      </c>
      <c r="V71" s="299">
        <v>0</v>
      </c>
    </row>
    <row r="72" spans="1:22" ht="13.5" customHeight="1">
      <c r="A72" s="258"/>
      <c r="B72" s="939"/>
      <c r="C72" s="593"/>
      <c r="D72" s="593" t="s">
        <v>1890</v>
      </c>
      <c r="E72" s="593"/>
      <c r="F72" s="593"/>
      <c r="G72" s="593"/>
      <c r="H72" s="259"/>
      <c r="I72" s="576" t="s">
        <v>498</v>
      </c>
      <c r="J72" s="297">
        <v>4.779724086644236E-2</v>
      </c>
      <c r="K72" s="298">
        <v>5.5844980722852879</v>
      </c>
      <c r="L72" s="298">
        <v>1.8579214519891938</v>
      </c>
      <c r="M72" s="298">
        <v>3.3641286025219852</v>
      </c>
      <c r="N72" s="298">
        <v>1.0727052611430241</v>
      </c>
      <c r="O72" s="298">
        <v>0.46997898926244586</v>
      </c>
      <c r="P72" s="298">
        <v>0.86997898926244588</v>
      </c>
      <c r="Q72" s="299">
        <v>0.86997898926244588</v>
      </c>
      <c r="R72" s="297">
        <v>0.86562909431613366</v>
      </c>
      <c r="S72" s="298">
        <v>0.86130094884455299</v>
      </c>
      <c r="T72" s="298">
        <v>0.85699444410033021</v>
      </c>
      <c r="U72" s="298">
        <v>0.8527094718798286</v>
      </c>
      <c r="V72" s="299">
        <v>0.84844592452042944</v>
      </c>
    </row>
    <row r="73" spans="1:22" ht="13.5" customHeight="1">
      <c r="A73" s="258"/>
      <c r="B73" s="939"/>
      <c r="C73" s="593"/>
      <c r="D73" s="593" t="s">
        <v>1891</v>
      </c>
      <c r="E73" s="593"/>
      <c r="F73" s="593"/>
      <c r="G73" s="593"/>
      <c r="H73" s="259"/>
      <c r="I73" s="576" t="s">
        <v>498</v>
      </c>
      <c r="J73" s="297">
        <v>0</v>
      </c>
      <c r="K73" s="298">
        <v>0</v>
      </c>
      <c r="L73" s="298">
        <v>0</v>
      </c>
      <c r="M73" s="298">
        <v>0</v>
      </c>
      <c r="N73" s="298">
        <v>0</v>
      </c>
      <c r="O73" s="298">
        <v>0</v>
      </c>
      <c r="P73" s="298">
        <v>0</v>
      </c>
      <c r="Q73" s="299">
        <v>0</v>
      </c>
      <c r="R73" s="297">
        <v>0</v>
      </c>
      <c r="S73" s="298">
        <v>0</v>
      </c>
      <c r="T73" s="298">
        <v>0</v>
      </c>
      <c r="U73" s="298">
        <v>0</v>
      </c>
      <c r="V73" s="299">
        <v>0</v>
      </c>
    </row>
    <row r="74" spans="1:22" ht="13.5" customHeight="1">
      <c r="A74" s="258"/>
      <c r="B74" s="939"/>
      <c r="C74" s="593"/>
      <c r="D74" s="593" t="s">
        <v>1892</v>
      </c>
      <c r="E74" s="593"/>
      <c r="F74" s="593"/>
      <c r="G74" s="561"/>
      <c r="H74" s="259"/>
      <c r="I74" s="576" t="s">
        <v>498</v>
      </c>
      <c r="J74" s="297">
        <v>0.11974809577001574</v>
      </c>
      <c r="K74" s="298">
        <v>0.22568041367182418</v>
      </c>
      <c r="L74" s="298">
        <v>6.6338097623672362E-2</v>
      </c>
      <c r="M74" s="298">
        <v>0.10329304755944843</v>
      </c>
      <c r="N74" s="298">
        <v>3.1188636284921689E-2</v>
      </c>
      <c r="O74" s="298">
        <v>1.4753143133260769E-2</v>
      </c>
      <c r="P74" s="298">
        <v>9.4753143133260775E-2</v>
      </c>
      <c r="Q74" s="299">
        <v>0.18475314313326077</v>
      </c>
      <c r="R74" s="297">
        <v>0.18382937741759448</v>
      </c>
      <c r="S74" s="298">
        <v>0.18291023053050651</v>
      </c>
      <c r="T74" s="298">
        <v>0.18199567937785396</v>
      </c>
      <c r="U74" s="298">
        <v>0.18108570098096469</v>
      </c>
      <c r="V74" s="299">
        <v>0.18018027247605986</v>
      </c>
    </row>
    <row r="75" spans="1:22" ht="13.5" customHeight="1" thickBot="1">
      <c r="A75" s="258"/>
      <c r="B75" s="940" t="s">
        <v>1701</v>
      </c>
      <c r="C75" s="1113"/>
      <c r="D75" s="1113"/>
      <c r="E75" s="1113"/>
      <c r="F75" s="1113"/>
      <c r="G75" s="596"/>
      <c r="H75" s="300"/>
      <c r="I75" s="581" t="s">
        <v>498</v>
      </c>
      <c r="J75" s="1110">
        <f t="shared" ref="J75:V75" si="12">SUM(J68:J74)</f>
        <v>6.1678136532201799</v>
      </c>
      <c r="K75" s="1111">
        <f t="shared" si="12"/>
        <v>6.9948684409968234</v>
      </c>
      <c r="L75" s="1111">
        <f t="shared" si="12"/>
        <v>1.924259549612866</v>
      </c>
      <c r="M75" s="1111">
        <f t="shared" si="12"/>
        <v>3.4674216500814334</v>
      </c>
      <c r="N75" s="1111">
        <f t="shared" si="12"/>
        <v>1.1038938974279457</v>
      </c>
      <c r="O75" s="1111">
        <f t="shared" si="12"/>
        <v>0.48473213239570662</v>
      </c>
      <c r="P75" s="1111">
        <f t="shared" si="12"/>
        <v>0.96473213239570665</v>
      </c>
      <c r="Q75" s="1112">
        <f t="shared" si="12"/>
        <v>1.0547321323957066</v>
      </c>
      <c r="R75" s="1110">
        <f t="shared" si="12"/>
        <v>1.0494584717337281</v>
      </c>
      <c r="S75" s="1111">
        <f t="shared" si="12"/>
        <v>1.0442111793750595</v>
      </c>
      <c r="T75" s="1111">
        <f t="shared" si="12"/>
        <v>1.0389901234781842</v>
      </c>
      <c r="U75" s="1111">
        <f t="shared" si="12"/>
        <v>1.0337951728607933</v>
      </c>
      <c r="V75" s="1112">
        <f t="shared" si="12"/>
        <v>1.0286261969964894</v>
      </c>
    </row>
    <row r="76" spans="1:22" ht="13.5" customHeight="1" thickBot="1">
      <c r="A76" s="258"/>
      <c r="B76" s="938"/>
    </row>
    <row r="77" spans="1:22" ht="30" customHeight="1" thickBot="1">
      <c r="A77" s="258"/>
      <c r="B77" s="640" t="s">
        <v>1826</v>
      </c>
      <c r="C77" s="558"/>
      <c r="D77" s="558"/>
      <c r="E77" s="558"/>
      <c r="F77" s="558"/>
      <c r="G77" s="559"/>
      <c r="H77" s="294"/>
      <c r="I77" s="105" t="s">
        <v>1864</v>
      </c>
      <c r="J77" s="106"/>
      <c r="K77" s="106"/>
      <c r="L77" s="106"/>
      <c r="M77" s="106"/>
      <c r="N77" s="106"/>
      <c r="O77" s="106"/>
      <c r="P77" s="106"/>
      <c r="Q77" s="106"/>
      <c r="R77" s="105"/>
      <c r="S77" s="105"/>
      <c r="T77" s="105"/>
      <c r="U77" s="105"/>
      <c r="V77" s="187"/>
    </row>
    <row r="78" spans="1:22" ht="30" customHeight="1">
      <c r="A78" s="258"/>
      <c r="B78" s="934"/>
      <c r="C78" s="561"/>
      <c r="D78" s="561"/>
      <c r="E78" s="561"/>
      <c r="F78" s="561"/>
      <c r="G78" s="561"/>
      <c r="H78" s="259"/>
      <c r="I78" s="562"/>
      <c r="J78" s="563" t="s">
        <v>1666</v>
      </c>
      <c r="K78" s="564"/>
      <c r="L78" s="564"/>
      <c r="M78" s="564"/>
      <c r="N78" s="564"/>
      <c r="O78" s="564"/>
      <c r="P78" s="564"/>
      <c r="Q78" s="565"/>
      <c r="R78" s="566" t="s">
        <v>2</v>
      </c>
      <c r="S78" s="567"/>
      <c r="T78" s="567"/>
      <c r="U78" s="567"/>
      <c r="V78" s="568"/>
    </row>
    <row r="79" spans="1:22" ht="13.5" customHeight="1">
      <c r="A79" s="258"/>
      <c r="B79" s="936"/>
      <c r="C79" s="339"/>
      <c r="D79" s="339"/>
      <c r="E79" s="339"/>
      <c r="F79" s="339"/>
      <c r="G79" s="339"/>
      <c r="H79" s="259"/>
      <c r="I79" s="571" t="s">
        <v>1745</v>
      </c>
      <c r="J79" s="158" t="s">
        <v>453</v>
      </c>
      <c r="K79" s="137" t="s">
        <v>455</v>
      </c>
      <c r="L79" s="137" t="s">
        <v>457</v>
      </c>
      <c r="M79" s="137" t="s">
        <v>459</v>
      </c>
      <c r="N79" s="137" t="s">
        <v>461</v>
      </c>
      <c r="O79" s="137" t="s">
        <v>463</v>
      </c>
      <c r="P79" s="137" t="s">
        <v>465</v>
      </c>
      <c r="Q79" s="138" t="s">
        <v>467</v>
      </c>
      <c r="R79" s="120" t="s">
        <v>469</v>
      </c>
      <c r="S79" s="121" t="s">
        <v>471</v>
      </c>
      <c r="T79" s="121" t="s">
        <v>473</v>
      </c>
      <c r="U79" s="121" t="s">
        <v>475</v>
      </c>
      <c r="V79" s="122" t="s">
        <v>477</v>
      </c>
    </row>
    <row r="80" spans="1:22" ht="13.5" customHeight="1">
      <c r="A80" s="258"/>
      <c r="B80" s="936"/>
      <c r="C80" s="591" t="s">
        <v>1897</v>
      </c>
      <c r="D80" s="591"/>
      <c r="E80" s="591"/>
      <c r="F80" s="591"/>
      <c r="G80" s="339"/>
      <c r="H80" s="259"/>
      <c r="I80" s="260"/>
      <c r="J80" s="295"/>
      <c r="K80" s="259"/>
      <c r="L80" s="259"/>
      <c r="M80" s="259"/>
      <c r="N80" s="259"/>
      <c r="O80" s="259"/>
      <c r="P80" s="259"/>
      <c r="Q80" s="296"/>
      <c r="R80" s="295"/>
      <c r="S80" s="259"/>
      <c r="T80" s="259"/>
      <c r="U80" s="259"/>
      <c r="V80" s="296"/>
    </row>
    <row r="81" spans="1:22" ht="13.5" customHeight="1">
      <c r="A81" s="258"/>
      <c r="B81" s="939"/>
      <c r="C81" s="593"/>
      <c r="D81" s="593" t="s">
        <v>1886</v>
      </c>
      <c r="E81" s="593"/>
      <c r="F81" s="593"/>
      <c r="G81" s="593"/>
      <c r="H81" s="259"/>
      <c r="I81" s="576" t="s">
        <v>498</v>
      </c>
      <c r="J81" s="297">
        <v>0</v>
      </c>
      <c r="K81" s="298">
        <v>0</v>
      </c>
      <c r="L81" s="298">
        <v>0</v>
      </c>
      <c r="M81" s="298">
        <v>0</v>
      </c>
      <c r="N81" s="298">
        <v>0</v>
      </c>
      <c r="O81" s="298">
        <v>0</v>
      </c>
      <c r="P81" s="298">
        <v>0</v>
      </c>
      <c r="Q81" s="299">
        <v>0</v>
      </c>
      <c r="R81" s="297">
        <v>0</v>
      </c>
      <c r="S81" s="298">
        <v>0</v>
      </c>
      <c r="T81" s="298">
        <v>0</v>
      </c>
      <c r="U81" s="298">
        <v>0</v>
      </c>
      <c r="V81" s="299">
        <v>0</v>
      </c>
    </row>
    <row r="82" spans="1:22" ht="13.5" customHeight="1">
      <c r="A82" s="258"/>
      <c r="B82" s="939"/>
      <c r="C82" s="593"/>
      <c r="D82" s="593" t="s">
        <v>1887</v>
      </c>
      <c r="E82" s="593"/>
      <c r="F82" s="593"/>
      <c r="G82" s="593"/>
      <c r="H82" s="259"/>
      <c r="I82" s="576" t="s">
        <v>498</v>
      </c>
      <c r="J82" s="297">
        <v>0</v>
      </c>
      <c r="K82" s="298">
        <v>0</v>
      </c>
      <c r="L82" s="298">
        <v>0</v>
      </c>
      <c r="M82" s="298">
        <v>0</v>
      </c>
      <c r="N82" s="298">
        <v>0</v>
      </c>
      <c r="O82" s="298">
        <v>0</v>
      </c>
      <c r="P82" s="298">
        <v>0</v>
      </c>
      <c r="Q82" s="299">
        <v>0</v>
      </c>
      <c r="R82" s="297">
        <v>0</v>
      </c>
      <c r="S82" s="298">
        <v>0</v>
      </c>
      <c r="T82" s="298">
        <v>0</v>
      </c>
      <c r="U82" s="298">
        <v>0</v>
      </c>
      <c r="V82" s="299">
        <v>0</v>
      </c>
    </row>
    <row r="83" spans="1:22" ht="13.5" customHeight="1">
      <c r="A83" s="258"/>
      <c r="B83" s="939"/>
      <c r="C83" s="593"/>
      <c r="D83" s="593" t="s">
        <v>1888</v>
      </c>
      <c r="E83" s="593"/>
      <c r="F83" s="593"/>
      <c r="G83" s="593"/>
      <c r="H83" s="259"/>
      <c r="I83" s="576" t="s">
        <v>498</v>
      </c>
      <c r="J83" s="297">
        <v>0</v>
      </c>
      <c r="K83" s="298">
        <v>0</v>
      </c>
      <c r="L83" s="298">
        <v>0</v>
      </c>
      <c r="M83" s="298">
        <v>0</v>
      </c>
      <c r="N83" s="298">
        <v>0</v>
      </c>
      <c r="O83" s="298">
        <v>0</v>
      </c>
      <c r="P83" s="298">
        <v>0</v>
      </c>
      <c r="Q83" s="299">
        <v>0</v>
      </c>
      <c r="R83" s="297">
        <v>0</v>
      </c>
      <c r="S83" s="298">
        <v>0</v>
      </c>
      <c r="T83" s="298">
        <v>0</v>
      </c>
      <c r="U83" s="298">
        <v>0</v>
      </c>
      <c r="V83" s="299">
        <v>0</v>
      </c>
    </row>
    <row r="84" spans="1:22" ht="13.5" customHeight="1">
      <c r="A84" s="258"/>
      <c r="B84" s="939"/>
      <c r="C84" s="593"/>
      <c r="D84" s="593" t="s">
        <v>1889</v>
      </c>
      <c r="E84" s="593"/>
      <c r="F84" s="593"/>
      <c r="G84" s="593"/>
      <c r="H84" s="259"/>
      <c r="I84" s="576" t="s">
        <v>498</v>
      </c>
      <c r="J84" s="297">
        <v>0</v>
      </c>
      <c r="K84" s="298">
        <v>0</v>
      </c>
      <c r="L84" s="298">
        <v>0</v>
      </c>
      <c r="M84" s="298">
        <v>0</v>
      </c>
      <c r="N84" s="298">
        <v>0</v>
      </c>
      <c r="O84" s="298">
        <v>0</v>
      </c>
      <c r="P84" s="298">
        <v>0</v>
      </c>
      <c r="Q84" s="299">
        <v>0</v>
      </c>
      <c r="R84" s="297">
        <v>0</v>
      </c>
      <c r="S84" s="298">
        <v>0</v>
      </c>
      <c r="T84" s="298">
        <v>0</v>
      </c>
      <c r="U84" s="298">
        <v>0</v>
      </c>
      <c r="V84" s="299">
        <v>0</v>
      </c>
    </row>
    <row r="85" spans="1:22" ht="13.5" customHeight="1">
      <c r="A85" s="258"/>
      <c r="B85" s="939"/>
      <c r="C85" s="593"/>
      <c r="D85" s="593" t="s">
        <v>1890</v>
      </c>
      <c r="E85" s="593"/>
      <c r="F85" s="593"/>
      <c r="G85" s="593"/>
      <c r="H85" s="259"/>
      <c r="I85" s="576" t="s">
        <v>498</v>
      </c>
      <c r="J85" s="297">
        <v>2.8940722774911377E-2</v>
      </c>
      <c r="K85" s="298">
        <v>1.6882879673207559E-2</v>
      </c>
      <c r="L85" s="298">
        <v>0.37608045518895694</v>
      </c>
      <c r="M85" s="298">
        <v>1.4596773410748805</v>
      </c>
      <c r="N85" s="298">
        <v>2.1798577547732174</v>
      </c>
      <c r="O85" s="298">
        <v>1.9905962614578281</v>
      </c>
      <c r="P85" s="298">
        <v>1.9905962614578281</v>
      </c>
      <c r="Q85" s="299">
        <v>1.9905962614578281</v>
      </c>
      <c r="R85" s="297">
        <v>1.9806432801505389</v>
      </c>
      <c r="S85" s="298">
        <v>1.9707400637497863</v>
      </c>
      <c r="T85" s="298">
        <v>1.9608863634310374</v>
      </c>
      <c r="U85" s="298">
        <v>1.9510819316138821</v>
      </c>
      <c r="V85" s="299">
        <v>1.9413265219558127</v>
      </c>
    </row>
    <row r="86" spans="1:22" ht="13.5" customHeight="1">
      <c r="A86" s="258"/>
      <c r="B86" s="939"/>
      <c r="C86" s="593"/>
      <c r="D86" s="593" t="s">
        <v>1891</v>
      </c>
      <c r="E86" s="593"/>
      <c r="F86" s="593"/>
      <c r="G86" s="593"/>
      <c r="H86" s="259"/>
      <c r="I86" s="576" t="s">
        <v>498</v>
      </c>
      <c r="J86" s="297">
        <v>2.1108888870053836E-3</v>
      </c>
      <c r="K86" s="298">
        <v>5.8364921479926064E-3</v>
      </c>
      <c r="L86" s="298">
        <v>5.6926051250132089E-3</v>
      </c>
      <c r="M86" s="298">
        <v>2.1767131902846282E-3</v>
      </c>
      <c r="N86" s="298">
        <v>6.7677707656186564E-3</v>
      </c>
      <c r="O86" s="298">
        <v>4.2720681436981137E-3</v>
      </c>
      <c r="P86" s="298">
        <v>4.2720681436981137E-3</v>
      </c>
      <c r="Q86" s="299">
        <v>4.2720681436981137E-3</v>
      </c>
      <c r="R86" s="297">
        <v>4.2507078029796232E-3</v>
      </c>
      <c r="S86" s="298">
        <v>4.2294542639647248E-3</v>
      </c>
      <c r="T86" s="298">
        <v>4.2083069926449014E-3</v>
      </c>
      <c r="U86" s="298">
        <v>4.1872654576816772E-3</v>
      </c>
      <c r="V86" s="299">
        <v>4.166329130393269E-3</v>
      </c>
    </row>
    <row r="87" spans="1:22" ht="13.5" customHeight="1">
      <c r="A87" s="258"/>
      <c r="B87" s="939"/>
      <c r="C87" s="593"/>
      <c r="D87" s="593" t="s">
        <v>1892</v>
      </c>
      <c r="E87" s="593"/>
      <c r="F87" s="593"/>
      <c r="G87" s="561"/>
      <c r="H87" s="259"/>
      <c r="I87" s="576" t="s">
        <v>498</v>
      </c>
      <c r="J87" s="297">
        <v>0</v>
      </c>
      <c r="K87" s="298">
        <v>6.5629810091437611E-3</v>
      </c>
      <c r="L87" s="298">
        <v>9.0785408933455741E-3</v>
      </c>
      <c r="M87" s="298">
        <v>5.2125759864774496E-2</v>
      </c>
      <c r="N87" s="298">
        <v>9.3712911245185299E-2</v>
      </c>
      <c r="O87" s="298">
        <v>8.0590686878070417E-2</v>
      </c>
      <c r="P87" s="298">
        <v>0.30059068687807045</v>
      </c>
      <c r="Q87" s="299">
        <v>0.55059068687807045</v>
      </c>
      <c r="R87" s="297">
        <v>0.54783773344368014</v>
      </c>
      <c r="S87" s="298">
        <v>0.54509854477646169</v>
      </c>
      <c r="T87" s="298">
        <v>0.54237305205257935</v>
      </c>
      <c r="U87" s="298">
        <v>0.53966118679231645</v>
      </c>
      <c r="V87" s="299">
        <v>0.53696288085835486</v>
      </c>
    </row>
    <row r="88" spans="1:22" ht="13.5" customHeight="1" thickBot="1">
      <c r="A88" s="258"/>
      <c r="B88" s="940" t="s">
        <v>1701</v>
      </c>
      <c r="C88" s="1113"/>
      <c r="D88" s="1113"/>
      <c r="E88" s="1113"/>
      <c r="F88" s="1113"/>
      <c r="G88" s="596"/>
      <c r="H88" s="300"/>
      <c r="I88" s="581" t="s">
        <v>498</v>
      </c>
      <c r="J88" s="1110">
        <f t="shared" ref="J88:V88" si="13">SUM(J81:J87)</f>
        <v>3.1051611661916761E-2</v>
      </c>
      <c r="K88" s="1111">
        <f t="shared" si="13"/>
        <v>2.9282352830343927E-2</v>
      </c>
      <c r="L88" s="1111">
        <f t="shared" si="13"/>
        <v>0.39085160120731571</v>
      </c>
      <c r="M88" s="1111">
        <f t="shared" si="13"/>
        <v>1.5139798141299394</v>
      </c>
      <c r="N88" s="1111">
        <f t="shared" si="13"/>
        <v>2.2803384367840214</v>
      </c>
      <c r="O88" s="1111">
        <f t="shared" si="13"/>
        <v>2.0754590164795967</v>
      </c>
      <c r="P88" s="1111">
        <f t="shared" si="13"/>
        <v>2.2954590164795965</v>
      </c>
      <c r="Q88" s="1112">
        <f t="shared" si="13"/>
        <v>2.5454590164795965</v>
      </c>
      <c r="R88" s="1110">
        <f t="shared" si="13"/>
        <v>2.5327317213971989</v>
      </c>
      <c r="S88" s="1111">
        <f t="shared" si="13"/>
        <v>2.5200680627902128</v>
      </c>
      <c r="T88" s="1111">
        <f t="shared" si="13"/>
        <v>2.5074677224762616</v>
      </c>
      <c r="U88" s="1111">
        <f t="shared" si="13"/>
        <v>2.4949303838638803</v>
      </c>
      <c r="V88" s="1112">
        <f t="shared" si="13"/>
        <v>2.4824557319445608</v>
      </c>
    </row>
    <row r="89" spans="1:22" ht="13.5" customHeight="1" thickBot="1">
      <c r="B89" s="938"/>
    </row>
    <row r="90" spans="1:22" ht="30" customHeight="1" thickBot="1">
      <c r="A90" s="258"/>
      <c r="B90" s="640" t="s">
        <v>1901</v>
      </c>
      <c r="C90" s="558"/>
      <c r="D90" s="558"/>
      <c r="E90" s="558"/>
      <c r="F90" s="558"/>
      <c r="G90" s="559"/>
      <c r="H90" s="294"/>
      <c r="I90" s="105" t="s">
        <v>1864</v>
      </c>
      <c r="J90" s="106"/>
      <c r="K90" s="106"/>
      <c r="L90" s="106"/>
      <c r="M90" s="106"/>
      <c r="N90" s="106"/>
      <c r="O90" s="106"/>
      <c r="P90" s="106"/>
      <c r="Q90" s="106"/>
      <c r="R90" s="105"/>
      <c r="S90" s="105"/>
      <c r="T90" s="105"/>
      <c r="U90" s="105"/>
      <c r="V90" s="187"/>
    </row>
    <row r="91" spans="1:22" ht="30" customHeight="1">
      <c r="A91" s="258"/>
      <c r="B91" s="934"/>
      <c r="C91" s="561"/>
      <c r="D91" s="561"/>
      <c r="E91" s="561"/>
      <c r="F91" s="561"/>
      <c r="G91" s="561"/>
      <c r="H91" s="259"/>
      <c r="I91" s="562"/>
      <c r="J91" s="563" t="s">
        <v>1666</v>
      </c>
      <c r="K91" s="564"/>
      <c r="L91" s="564"/>
      <c r="M91" s="564"/>
      <c r="N91" s="564"/>
      <c r="O91" s="564"/>
      <c r="P91" s="564"/>
      <c r="Q91" s="565"/>
      <c r="R91" s="566" t="s">
        <v>2</v>
      </c>
      <c r="S91" s="567"/>
      <c r="T91" s="567"/>
      <c r="U91" s="567"/>
      <c r="V91" s="568"/>
    </row>
    <row r="92" spans="1:22" ht="13.5" customHeight="1">
      <c r="A92" s="258"/>
      <c r="B92" s="936"/>
      <c r="C92" s="339"/>
      <c r="D92" s="339"/>
      <c r="E92" s="339"/>
      <c r="F92" s="339"/>
      <c r="G92" s="339"/>
      <c r="H92" s="259"/>
      <c r="I92" s="571" t="s">
        <v>1745</v>
      </c>
      <c r="J92" s="158" t="s">
        <v>453</v>
      </c>
      <c r="K92" s="137" t="s">
        <v>455</v>
      </c>
      <c r="L92" s="137" t="s">
        <v>457</v>
      </c>
      <c r="M92" s="137" t="s">
        <v>459</v>
      </c>
      <c r="N92" s="137" t="s">
        <v>461</v>
      </c>
      <c r="O92" s="137" t="s">
        <v>463</v>
      </c>
      <c r="P92" s="137" t="s">
        <v>465</v>
      </c>
      <c r="Q92" s="138" t="s">
        <v>467</v>
      </c>
      <c r="R92" s="120" t="s">
        <v>469</v>
      </c>
      <c r="S92" s="121" t="s">
        <v>471</v>
      </c>
      <c r="T92" s="121" t="s">
        <v>473</v>
      </c>
      <c r="U92" s="121" t="s">
        <v>475</v>
      </c>
      <c r="V92" s="122" t="s">
        <v>477</v>
      </c>
    </row>
    <row r="93" spans="1:22" ht="13.5" customHeight="1">
      <c r="A93" s="258"/>
      <c r="B93" s="936"/>
      <c r="C93" s="591" t="s">
        <v>1897</v>
      </c>
      <c r="D93" s="591"/>
      <c r="E93" s="591"/>
      <c r="F93" s="591"/>
      <c r="G93" s="339"/>
      <c r="H93" s="259"/>
      <c r="I93" s="260"/>
      <c r="J93" s="295"/>
      <c r="K93" s="259"/>
      <c r="L93" s="259"/>
      <c r="M93" s="259"/>
      <c r="N93" s="259"/>
      <c r="O93" s="259"/>
      <c r="P93" s="259"/>
      <c r="Q93" s="296"/>
      <c r="R93" s="295"/>
      <c r="S93" s="259"/>
      <c r="T93" s="259"/>
      <c r="U93" s="259"/>
      <c r="V93" s="296"/>
    </row>
    <row r="94" spans="1:22" ht="13.5" customHeight="1">
      <c r="A94" s="258"/>
      <c r="B94" s="939"/>
      <c r="C94" s="593"/>
      <c r="D94" s="593" t="s">
        <v>1886</v>
      </c>
      <c r="E94" s="593"/>
      <c r="F94" s="593"/>
      <c r="G94" s="593"/>
      <c r="H94" s="259"/>
      <c r="I94" s="576" t="s">
        <v>498</v>
      </c>
      <c r="J94" s="297">
        <v>0</v>
      </c>
      <c r="K94" s="298">
        <v>0</v>
      </c>
      <c r="L94" s="298">
        <v>0</v>
      </c>
      <c r="M94" s="298">
        <v>0</v>
      </c>
      <c r="N94" s="298">
        <v>0</v>
      </c>
      <c r="O94" s="298">
        <v>0</v>
      </c>
      <c r="P94" s="298">
        <v>0</v>
      </c>
      <c r="Q94" s="299">
        <v>0</v>
      </c>
      <c r="R94" s="297">
        <v>0</v>
      </c>
      <c r="S94" s="298">
        <v>0</v>
      </c>
      <c r="T94" s="298">
        <v>0</v>
      </c>
      <c r="U94" s="298">
        <v>0</v>
      </c>
      <c r="V94" s="299">
        <v>0</v>
      </c>
    </row>
    <row r="95" spans="1:22" ht="13.5" customHeight="1">
      <c r="A95" s="258"/>
      <c r="B95" s="939"/>
      <c r="C95" s="593"/>
      <c r="D95" s="593" t="s">
        <v>1887</v>
      </c>
      <c r="E95" s="593"/>
      <c r="F95" s="593"/>
      <c r="G95" s="593"/>
      <c r="H95" s="259"/>
      <c r="I95" s="576" t="s">
        <v>498</v>
      </c>
      <c r="J95" s="297">
        <v>0</v>
      </c>
      <c r="K95" s="298">
        <v>0</v>
      </c>
      <c r="L95" s="298">
        <v>0</v>
      </c>
      <c r="M95" s="298">
        <v>0</v>
      </c>
      <c r="N95" s="298">
        <v>0</v>
      </c>
      <c r="O95" s="298">
        <v>0</v>
      </c>
      <c r="P95" s="298">
        <v>0</v>
      </c>
      <c r="Q95" s="299">
        <v>0</v>
      </c>
      <c r="R95" s="297">
        <v>0</v>
      </c>
      <c r="S95" s="298">
        <v>0</v>
      </c>
      <c r="T95" s="298">
        <v>0</v>
      </c>
      <c r="U95" s="298">
        <v>0</v>
      </c>
      <c r="V95" s="299">
        <v>0</v>
      </c>
    </row>
    <row r="96" spans="1:22" ht="13.5" customHeight="1">
      <c r="A96" s="258"/>
      <c r="B96" s="939"/>
      <c r="C96" s="593"/>
      <c r="D96" s="593" t="s">
        <v>1888</v>
      </c>
      <c r="E96" s="593"/>
      <c r="F96" s="593"/>
      <c r="G96" s="593"/>
      <c r="H96" s="259"/>
      <c r="I96" s="576" t="s">
        <v>498</v>
      </c>
      <c r="J96" s="297">
        <v>6.8655457319823643E-2</v>
      </c>
      <c r="K96" s="298">
        <v>0.11019200653000552</v>
      </c>
      <c r="L96" s="298">
        <v>0.13049405125224278</v>
      </c>
      <c r="M96" s="298">
        <v>9.6802140095796824E-2</v>
      </c>
      <c r="N96" s="298">
        <v>8.6882637014375499E-2</v>
      </c>
      <c r="O96" s="298">
        <v>8.2672533607488663E-2</v>
      </c>
      <c r="P96" s="298">
        <v>8.2672533607488663E-2</v>
      </c>
      <c r="Q96" s="299">
        <v>8.2672533607488663E-2</v>
      </c>
      <c r="R96" s="297">
        <v>8.2259170939451218E-2</v>
      </c>
      <c r="S96" s="298">
        <v>8.1847875084753954E-2</v>
      </c>
      <c r="T96" s="298">
        <v>8.1438635709330187E-2</v>
      </c>
      <c r="U96" s="298">
        <v>8.1031442530783537E-2</v>
      </c>
      <c r="V96" s="299">
        <v>8.0626285318129626E-2</v>
      </c>
    </row>
    <row r="97" spans="1:22" ht="13.5" customHeight="1">
      <c r="A97" s="258"/>
      <c r="B97" s="939"/>
      <c r="C97" s="593"/>
      <c r="D97" s="593" t="s">
        <v>1889</v>
      </c>
      <c r="E97" s="593"/>
      <c r="F97" s="593"/>
      <c r="G97" s="593"/>
      <c r="H97" s="259"/>
      <c r="I97" s="576" t="s">
        <v>498</v>
      </c>
      <c r="J97" s="297">
        <v>5.9587776475756617E-3</v>
      </c>
      <c r="K97" s="298">
        <v>1.5146152287015952E-3</v>
      </c>
      <c r="L97" s="298">
        <v>1.4232905689229608E-3</v>
      </c>
      <c r="M97" s="298">
        <v>0</v>
      </c>
      <c r="N97" s="298">
        <v>0</v>
      </c>
      <c r="O97" s="298">
        <v>0</v>
      </c>
      <c r="P97" s="298">
        <v>0</v>
      </c>
      <c r="Q97" s="299">
        <v>0</v>
      </c>
      <c r="R97" s="297">
        <v>0</v>
      </c>
      <c r="S97" s="298">
        <v>0</v>
      </c>
      <c r="T97" s="298">
        <v>0</v>
      </c>
      <c r="U97" s="298">
        <v>0</v>
      </c>
      <c r="V97" s="299">
        <v>0</v>
      </c>
    </row>
    <row r="98" spans="1:22" ht="13.5" customHeight="1">
      <c r="A98" s="258"/>
      <c r="B98" s="939"/>
      <c r="C98" s="593"/>
      <c r="D98" s="593" t="s">
        <v>1890</v>
      </c>
      <c r="E98" s="593"/>
      <c r="F98" s="593"/>
      <c r="G98" s="593"/>
      <c r="H98" s="259"/>
      <c r="I98" s="576" t="s">
        <v>498</v>
      </c>
      <c r="J98" s="297">
        <v>0</v>
      </c>
      <c r="K98" s="298">
        <v>0</v>
      </c>
      <c r="L98" s="298">
        <v>0</v>
      </c>
      <c r="M98" s="298">
        <v>1.3702456808812727E-2</v>
      </c>
      <c r="N98" s="298">
        <v>1.6570503587701423E-2</v>
      </c>
      <c r="O98" s="298">
        <v>1.0891539749144032E-2</v>
      </c>
      <c r="P98" s="298">
        <v>1.0891539749144032E-2</v>
      </c>
      <c r="Q98" s="299">
        <v>1.0891539749144032E-2</v>
      </c>
      <c r="R98" s="297">
        <v>1.0837082050398312E-2</v>
      </c>
      <c r="S98" s="298">
        <v>1.078289664014632E-2</v>
      </c>
      <c r="T98" s="298">
        <v>1.0728982156945588E-2</v>
      </c>
      <c r="U98" s="298">
        <v>1.0675337246160861E-2</v>
      </c>
      <c r="V98" s="299">
        <v>1.0621960559930057E-2</v>
      </c>
    </row>
    <row r="99" spans="1:22" ht="13.5" customHeight="1">
      <c r="A99" s="258"/>
      <c r="B99" s="939"/>
      <c r="C99" s="593"/>
      <c r="D99" s="593" t="s">
        <v>1891</v>
      </c>
      <c r="E99" s="593"/>
      <c r="F99" s="593"/>
      <c r="G99" s="593"/>
      <c r="H99" s="259"/>
      <c r="I99" s="576" t="s">
        <v>498</v>
      </c>
      <c r="J99" s="297">
        <v>0</v>
      </c>
      <c r="K99" s="298">
        <v>0</v>
      </c>
      <c r="L99" s="298">
        <v>0</v>
      </c>
      <c r="M99" s="298">
        <v>0</v>
      </c>
      <c r="N99" s="298">
        <v>0</v>
      </c>
      <c r="O99" s="298">
        <v>0</v>
      </c>
      <c r="P99" s="298">
        <v>0</v>
      </c>
      <c r="Q99" s="299">
        <v>0</v>
      </c>
      <c r="R99" s="297">
        <v>0</v>
      </c>
      <c r="S99" s="298">
        <v>0</v>
      </c>
      <c r="T99" s="298">
        <v>0</v>
      </c>
      <c r="U99" s="298">
        <v>0</v>
      </c>
      <c r="V99" s="299">
        <v>0</v>
      </c>
    </row>
    <row r="100" spans="1:22" ht="13.5" customHeight="1">
      <c r="A100" s="258"/>
      <c r="B100" s="939"/>
      <c r="C100" s="593"/>
      <c r="D100" s="593" t="s">
        <v>1892</v>
      </c>
      <c r="E100" s="593"/>
      <c r="F100" s="593"/>
      <c r="G100" s="561"/>
      <c r="H100" s="259"/>
      <c r="I100" s="576" t="s">
        <v>498</v>
      </c>
      <c r="J100" s="297">
        <v>0</v>
      </c>
      <c r="K100" s="298">
        <v>0</v>
      </c>
      <c r="L100" s="298">
        <v>0</v>
      </c>
      <c r="M100" s="298">
        <v>0</v>
      </c>
      <c r="N100" s="298">
        <v>0</v>
      </c>
      <c r="O100" s="298">
        <v>0</v>
      </c>
      <c r="P100" s="298">
        <v>0</v>
      </c>
      <c r="Q100" s="299">
        <v>0</v>
      </c>
      <c r="R100" s="297">
        <v>0</v>
      </c>
      <c r="S100" s="298">
        <v>0</v>
      </c>
      <c r="T100" s="298">
        <v>0</v>
      </c>
      <c r="U100" s="298">
        <v>0</v>
      </c>
      <c r="V100" s="299">
        <v>0</v>
      </c>
    </row>
    <row r="101" spans="1:22" ht="13.5" customHeight="1" thickBot="1">
      <c r="A101" s="258"/>
      <c r="B101" s="940" t="s">
        <v>1701</v>
      </c>
      <c r="C101" s="1113"/>
      <c r="D101" s="1113"/>
      <c r="E101" s="1113"/>
      <c r="F101" s="1113"/>
      <c r="G101" s="596"/>
      <c r="H101" s="300"/>
      <c r="I101" s="581" t="s">
        <v>498</v>
      </c>
      <c r="J101" s="1110">
        <f t="shared" ref="J101:V101" si="14">SUM(J94:J100)</f>
        <v>7.4614234967399301E-2</v>
      </c>
      <c r="K101" s="1111">
        <f t="shared" si="14"/>
        <v>0.11170662175870712</v>
      </c>
      <c r="L101" s="1111">
        <f t="shared" si="14"/>
        <v>0.13191734182116574</v>
      </c>
      <c r="M101" s="1111">
        <f t="shared" si="14"/>
        <v>0.11050459690460955</v>
      </c>
      <c r="N101" s="1111">
        <f t="shared" si="14"/>
        <v>0.10345314060207692</v>
      </c>
      <c r="O101" s="1111">
        <f t="shared" si="14"/>
        <v>9.3564073356632693E-2</v>
      </c>
      <c r="P101" s="1111">
        <f t="shared" si="14"/>
        <v>9.3564073356632693E-2</v>
      </c>
      <c r="Q101" s="1112">
        <f t="shared" si="14"/>
        <v>9.3564073356632693E-2</v>
      </c>
      <c r="R101" s="1110">
        <f t="shared" si="14"/>
        <v>9.3096252989849526E-2</v>
      </c>
      <c r="S101" s="1111">
        <f t="shared" si="14"/>
        <v>9.2630771724900279E-2</v>
      </c>
      <c r="T101" s="1111">
        <f t="shared" si="14"/>
        <v>9.2167617866275781E-2</v>
      </c>
      <c r="U101" s="1111">
        <f t="shared" si="14"/>
        <v>9.17067797769444E-2</v>
      </c>
      <c r="V101" s="1112">
        <f t="shared" si="14"/>
        <v>9.1248245878059686E-2</v>
      </c>
    </row>
    <row r="102" spans="1:22" ht="13.5" customHeight="1" thickBot="1">
      <c r="A102" s="258"/>
      <c r="B102" s="938"/>
    </row>
    <row r="103" spans="1:22" ht="30" customHeight="1" thickBot="1">
      <c r="A103" s="258"/>
      <c r="B103" s="640" t="s">
        <v>1902</v>
      </c>
      <c r="C103" s="558"/>
      <c r="D103" s="558"/>
      <c r="E103" s="558"/>
      <c r="F103" s="558"/>
      <c r="G103" s="559"/>
      <c r="H103" s="294"/>
      <c r="I103" s="105" t="s">
        <v>1864</v>
      </c>
      <c r="J103" s="106"/>
      <c r="K103" s="106"/>
      <c r="L103" s="106"/>
      <c r="M103" s="106"/>
      <c r="N103" s="106"/>
      <c r="O103" s="106"/>
      <c r="P103" s="106"/>
      <c r="Q103" s="106"/>
      <c r="R103" s="105"/>
      <c r="S103" s="105"/>
      <c r="T103" s="105"/>
      <c r="U103" s="105"/>
      <c r="V103" s="187"/>
    </row>
    <row r="104" spans="1:22" ht="30" customHeight="1">
      <c r="A104" s="258"/>
      <c r="B104" s="934"/>
      <c r="C104" s="561"/>
      <c r="D104" s="561"/>
      <c r="E104" s="561"/>
      <c r="F104" s="561"/>
      <c r="G104" s="561"/>
      <c r="H104" s="259"/>
      <c r="I104" s="562"/>
      <c r="J104" s="563" t="s">
        <v>1666</v>
      </c>
      <c r="K104" s="564"/>
      <c r="L104" s="564"/>
      <c r="M104" s="564"/>
      <c r="N104" s="564"/>
      <c r="O104" s="564"/>
      <c r="P104" s="564"/>
      <c r="Q104" s="565"/>
      <c r="R104" s="566" t="s">
        <v>2</v>
      </c>
      <c r="S104" s="567"/>
      <c r="T104" s="567"/>
      <c r="U104" s="567"/>
      <c r="V104" s="568"/>
    </row>
    <row r="105" spans="1:22" ht="13.5" customHeight="1">
      <c r="A105" s="258"/>
      <c r="B105" s="936"/>
      <c r="C105" s="339"/>
      <c r="D105" s="339"/>
      <c r="E105" s="339"/>
      <c r="F105" s="339"/>
      <c r="G105" s="339"/>
      <c r="H105" s="259"/>
      <c r="I105" s="571" t="s">
        <v>1745</v>
      </c>
      <c r="J105" s="158" t="s">
        <v>453</v>
      </c>
      <c r="K105" s="137" t="s">
        <v>455</v>
      </c>
      <c r="L105" s="137" t="s">
        <v>457</v>
      </c>
      <c r="M105" s="137" t="s">
        <v>459</v>
      </c>
      <c r="N105" s="137" t="s">
        <v>461</v>
      </c>
      <c r="O105" s="137" t="s">
        <v>463</v>
      </c>
      <c r="P105" s="137" t="s">
        <v>465</v>
      </c>
      <c r="Q105" s="138" t="s">
        <v>467</v>
      </c>
      <c r="R105" s="120" t="s">
        <v>469</v>
      </c>
      <c r="S105" s="121" t="s">
        <v>471</v>
      </c>
      <c r="T105" s="121" t="s">
        <v>473</v>
      </c>
      <c r="U105" s="121" t="s">
        <v>475</v>
      </c>
      <c r="V105" s="122" t="s">
        <v>477</v>
      </c>
    </row>
    <row r="106" spans="1:22" ht="13.5" customHeight="1">
      <c r="A106" s="258"/>
      <c r="B106" s="936"/>
      <c r="C106" s="591" t="s">
        <v>1897</v>
      </c>
      <c r="D106" s="591"/>
      <c r="E106" s="591"/>
      <c r="F106" s="591"/>
      <c r="G106" s="339"/>
      <c r="H106" s="259"/>
      <c r="I106" s="260"/>
      <c r="J106" s="295"/>
      <c r="K106" s="259"/>
      <c r="L106" s="259"/>
      <c r="M106" s="259"/>
      <c r="N106" s="259"/>
      <c r="O106" s="259"/>
      <c r="P106" s="259"/>
      <c r="Q106" s="296"/>
      <c r="R106" s="295"/>
      <c r="S106" s="259"/>
      <c r="T106" s="259"/>
      <c r="U106" s="259"/>
      <c r="V106" s="296"/>
    </row>
    <row r="107" spans="1:22" ht="13.5" customHeight="1">
      <c r="A107" s="258"/>
      <c r="B107" s="939"/>
      <c r="C107" s="593"/>
      <c r="D107" s="593" t="s">
        <v>1886</v>
      </c>
      <c r="E107" s="593"/>
      <c r="F107" s="593"/>
      <c r="G107" s="593"/>
      <c r="H107" s="259"/>
      <c r="I107" s="576" t="s">
        <v>498</v>
      </c>
      <c r="J107" s="297">
        <v>5.4809135006794359E-2</v>
      </c>
      <c r="K107" s="298">
        <v>7.9794738285432085E-2</v>
      </c>
      <c r="L107" s="298">
        <v>5.5268861725378864E-2</v>
      </c>
      <c r="M107" s="298">
        <v>6.374516609420236E-2</v>
      </c>
      <c r="N107" s="298">
        <v>6.0176526630485803E-2</v>
      </c>
      <c r="O107" s="298">
        <v>6.7284960745927616E-2</v>
      </c>
      <c r="P107" s="298">
        <v>6.7284960745927616E-2</v>
      </c>
      <c r="Q107" s="299">
        <v>6.7284960745927616E-2</v>
      </c>
      <c r="R107" s="297">
        <v>6.6948535942197976E-2</v>
      </c>
      <c r="S107" s="298">
        <v>6.6613793262486981E-2</v>
      </c>
      <c r="T107" s="298">
        <v>6.6280724296174542E-2</v>
      </c>
      <c r="U107" s="298">
        <v>6.5949320674693668E-2</v>
      </c>
      <c r="V107" s="299">
        <v>6.56195740713202E-2</v>
      </c>
    </row>
    <row r="108" spans="1:22" ht="13.5" customHeight="1">
      <c r="A108" s="258"/>
      <c r="B108" s="939"/>
      <c r="C108" s="593"/>
      <c r="D108" s="593" t="s">
        <v>1887</v>
      </c>
      <c r="E108" s="593"/>
      <c r="F108" s="593"/>
      <c r="G108" s="593"/>
      <c r="H108" s="259"/>
      <c r="I108" s="576" t="s">
        <v>498</v>
      </c>
      <c r="J108" s="297">
        <v>0</v>
      </c>
      <c r="K108" s="298">
        <v>0</v>
      </c>
      <c r="L108" s="298">
        <v>0</v>
      </c>
      <c r="M108" s="298">
        <v>0</v>
      </c>
      <c r="N108" s="298">
        <v>0</v>
      </c>
      <c r="O108" s="298">
        <v>0</v>
      </c>
      <c r="P108" s="298">
        <v>0</v>
      </c>
      <c r="Q108" s="299">
        <v>0</v>
      </c>
      <c r="R108" s="297">
        <v>0</v>
      </c>
      <c r="S108" s="298">
        <v>0</v>
      </c>
      <c r="T108" s="298">
        <v>0</v>
      </c>
      <c r="U108" s="298">
        <v>0</v>
      </c>
      <c r="V108" s="299">
        <v>0</v>
      </c>
    </row>
    <row r="109" spans="1:22" ht="13.5" customHeight="1">
      <c r="A109" s="258"/>
      <c r="B109" s="939"/>
      <c r="C109" s="593"/>
      <c r="D109" s="593" t="s">
        <v>1888</v>
      </c>
      <c r="E109" s="593"/>
      <c r="F109" s="593"/>
      <c r="G109" s="593"/>
      <c r="H109" s="259"/>
      <c r="I109" s="576" t="s">
        <v>498</v>
      </c>
      <c r="J109" s="297">
        <v>0</v>
      </c>
      <c r="K109" s="298">
        <v>0</v>
      </c>
      <c r="L109" s="298">
        <v>0</v>
      </c>
      <c r="M109" s="298">
        <v>0</v>
      </c>
      <c r="N109" s="298">
        <v>0</v>
      </c>
      <c r="O109" s="298">
        <v>0</v>
      </c>
      <c r="P109" s="298">
        <v>0</v>
      </c>
      <c r="Q109" s="299">
        <v>0</v>
      </c>
      <c r="R109" s="297">
        <v>0</v>
      </c>
      <c r="S109" s="298">
        <v>0</v>
      </c>
      <c r="T109" s="298">
        <v>0</v>
      </c>
      <c r="U109" s="298">
        <v>0</v>
      </c>
      <c r="V109" s="299">
        <v>0</v>
      </c>
    </row>
    <row r="110" spans="1:22" ht="13.5" customHeight="1">
      <c r="A110" s="258"/>
      <c r="B110" s="939"/>
      <c r="C110" s="593"/>
      <c r="D110" s="593" t="s">
        <v>1889</v>
      </c>
      <c r="E110" s="593"/>
      <c r="F110" s="593"/>
      <c r="G110" s="593"/>
      <c r="H110" s="259"/>
      <c r="I110" s="576" t="s">
        <v>498</v>
      </c>
      <c r="J110" s="297">
        <v>1.270022404743735E-2</v>
      </c>
      <c r="K110" s="298">
        <v>0.14468426497976294</v>
      </c>
      <c r="L110" s="298">
        <v>7.5784378175283579E-2</v>
      </c>
      <c r="M110" s="298">
        <v>0.16487946395909697</v>
      </c>
      <c r="N110" s="298">
        <v>0</v>
      </c>
      <c r="O110" s="298">
        <v>7.6034082653431728E-2</v>
      </c>
      <c r="P110" s="298">
        <v>7.6034082653431728E-2</v>
      </c>
      <c r="Q110" s="299">
        <v>7.6034082653431728E-2</v>
      </c>
      <c r="R110" s="297">
        <v>7.5653912240164573E-2</v>
      </c>
      <c r="S110" s="298">
        <v>7.527564267896375E-2</v>
      </c>
      <c r="T110" s="298">
        <v>7.4899264465568938E-2</v>
      </c>
      <c r="U110" s="298">
        <v>7.4524768143241091E-2</v>
      </c>
      <c r="V110" s="299">
        <v>7.4152144302524883E-2</v>
      </c>
    </row>
    <row r="111" spans="1:22" ht="13.5" customHeight="1">
      <c r="A111" s="258"/>
      <c r="B111" s="939"/>
      <c r="C111" s="593"/>
      <c r="D111" s="593" t="s">
        <v>1890</v>
      </c>
      <c r="E111" s="593"/>
      <c r="F111" s="593"/>
      <c r="G111" s="593"/>
      <c r="H111" s="259"/>
      <c r="I111" s="576" t="s">
        <v>498</v>
      </c>
      <c r="J111" s="297">
        <v>5.0777118160385867E-2</v>
      </c>
      <c r="K111" s="298">
        <v>2.5982390534015467E-3</v>
      </c>
      <c r="L111" s="298">
        <v>1.9888913661822782E-2</v>
      </c>
      <c r="M111" s="298">
        <v>2.2490539249549642E-2</v>
      </c>
      <c r="N111" s="298">
        <v>4.1627984621068641E-2</v>
      </c>
      <c r="O111" s="298">
        <v>0.27152882006977258</v>
      </c>
      <c r="P111" s="298">
        <v>0.27152882006977258</v>
      </c>
      <c r="Q111" s="299">
        <v>0.27152882006977258</v>
      </c>
      <c r="R111" s="297">
        <v>0.27017117596942369</v>
      </c>
      <c r="S111" s="298">
        <v>0.26882032008957657</v>
      </c>
      <c r="T111" s="298">
        <v>0.26747621848912867</v>
      </c>
      <c r="U111" s="298">
        <v>0.26613883739668304</v>
      </c>
      <c r="V111" s="299">
        <v>0.26480814320969964</v>
      </c>
    </row>
    <row r="112" spans="1:22" ht="13.5" customHeight="1">
      <c r="A112" s="258"/>
      <c r="B112" s="939"/>
      <c r="C112" s="593"/>
      <c r="D112" s="593" t="s">
        <v>1891</v>
      </c>
      <c r="E112" s="593"/>
      <c r="F112" s="593"/>
      <c r="G112" s="593"/>
      <c r="H112" s="259"/>
      <c r="I112" s="576" t="s">
        <v>498</v>
      </c>
      <c r="J112" s="297">
        <v>0.19047588426530379</v>
      </c>
      <c r="K112" s="298">
        <v>0.14881478704161663</v>
      </c>
      <c r="L112" s="298">
        <v>0.12721040179379361</v>
      </c>
      <c r="M112" s="298">
        <v>7.1330941177551691E-2</v>
      </c>
      <c r="N112" s="298">
        <v>0.51678940841634413</v>
      </c>
      <c r="O112" s="298">
        <v>0.24980134604560281</v>
      </c>
      <c r="P112" s="298">
        <v>0.24980134604560281</v>
      </c>
      <c r="Q112" s="299">
        <v>0.24980134604560281</v>
      </c>
      <c r="R112" s="297">
        <v>0.24855233931537479</v>
      </c>
      <c r="S112" s="298">
        <v>0.2473095776187979</v>
      </c>
      <c r="T112" s="298">
        <v>0.24607302973070391</v>
      </c>
      <c r="U112" s="298">
        <v>0.2448426645820504</v>
      </c>
      <c r="V112" s="299">
        <v>0.24361845125914014</v>
      </c>
    </row>
    <row r="113" spans="1:22" ht="13.5" customHeight="1">
      <c r="A113" s="258"/>
      <c r="B113" s="939"/>
      <c r="C113" s="593"/>
      <c r="D113" s="593" t="s">
        <v>1892</v>
      </c>
      <c r="E113" s="593"/>
      <c r="F113" s="593"/>
      <c r="G113" s="561"/>
      <c r="H113" s="259"/>
      <c r="I113" s="576" t="s">
        <v>498</v>
      </c>
      <c r="J113" s="297">
        <v>0</v>
      </c>
      <c r="K113" s="298">
        <v>0</v>
      </c>
      <c r="L113" s="298">
        <v>0</v>
      </c>
      <c r="M113" s="298">
        <v>0</v>
      </c>
      <c r="N113" s="298">
        <v>0</v>
      </c>
      <c r="O113" s="298">
        <v>0</v>
      </c>
      <c r="P113" s="298">
        <v>0</v>
      </c>
      <c r="Q113" s="299">
        <v>0</v>
      </c>
      <c r="R113" s="297">
        <v>0</v>
      </c>
      <c r="S113" s="298">
        <v>0</v>
      </c>
      <c r="T113" s="298">
        <v>0</v>
      </c>
      <c r="U113" s="298">
        <v>0</v>
      </c>
      <c r="V113" s="299">
        <v>0</v>
      </c>
    </row>
    <row r="114" spans="1:22" ht="13.5" customHeight="1" thickBot="1">
      <c r="A114" s="258"/>
      <c r="B114" s="940" t="s">
        <v>1701</v>
      </c>
      <c r="C114" s="1113"/>
      <c r="D114" s="1113"/>
      <c r="E114" s="1113"/>
      <c r="F114" s="1113"/>
      <c r="G114" s="596"/>
      <c r="H114" s="300"/>
      <c r="I114" s="581" t="s">
        <v>498</v>
      </c>
      <c r="J114" s="1110">
        <f t="shared" ref="J114:V114" si="15">SUM(J107:J113)</f>
        <v>0.30876236147992137</v>
      </c>
      <c r="K114" s="1111">
        <f t="shared" si="15"/>
        <v>0.37589202936021321</v>
      </c>
      <c r="L114" s="1111">
        <f t="shared" si="15"/>
        <v>0.27815255535627881</v>
      </c>
      <c r="M114" s="1111">
        <f t="shared" si="15"/>
        <v>0.32244611048040067</v>
      </c>
      <c r="N114" s="1111">
        <f t="shared" si="15"/>
        <v>0.61859391966789856</v>
      </c>
      <c r="O114" s="1111">
        <f t="shared" si="15"/>
        <v>0.66464920951473472</v>
      </c>
      <c r="P114" s="1111">
        <f t="shared" si="15"/>
        <v>0.66464920951473472</v>
      </c>
      <c r="Q114" s="1112">
        <f t="shared" si="15"/>
        <v>0.66464920951473472</v>
      </c>
      <c r="R114" s="1110">
        <f t="shared" si="15"/>
        <v>0.6613259634671611</v>
      </c>
      <c r="S114" s="1111">
        <f t="shared" si="15"/>
        <v>0.65801933364982523</v>
      </c>
      <c r="T114" s="1111">
        <f t="shared" si="15"/>
        <v>0.65472923698157603</v>
      </c>
      <c r="U114" s="1111">
        <f t="shared" si="15"/>
        <v>0.65145559079666815</v>
      </c>
      <c r="V114" s="1112">
        <f t="shared" si="15"/>
        <v>0.64819831284268492</v>
      </c>
    </row>
    <row r="115" spans="1:22" ht="13.5" customHeight="1" thickBot="1">
      <c r="A115" s="258"/>
      <c r="B115" s="938"/>
    </row>
    <row r="116" spans="1:22" ht="30" customHeight="1" thickBot="1">
      <c r="A116" s="258"/>
      <c r="B116" s="640" t="s">
        <v>1903</v>
      </c>
      <c r="C116" s="558"/>
      <c r="D116" s="558"/>
      <c r="E116" s="558"/>
      <c r="F116" s="558"/>
      <c r="G116" s="559"/>
      <c r="H116" s="294"/>
      <c r="I116" s="105" t="s">
        <v>1864</v>
      </c>
      <c r="J116" s="106"/>
      <c r="K116" s="106"/>
      <c r="L116" s="106"/>
      <c r="M116" s="106"/>
      <c r="N116" s="106"/>
      <c r="O116" s="106"/>
      <c r="P116" s="106"/>
      <c r="Q116" s="106"/>
      <c r="R116" s="105"/>
      <c r="S116" s="105"/>
      <c r="T116" s="105"/>
      <c r="U116" s="105"/>
      <c r="V116" s="187"/>
    </row>
    <row r="117" spans="1:22" ht="30" customHeight="1">
      <c r="A117" s="258"/>
      <c r="B117" s="934"/>
      <c r="C117" s="561"/>
      <c r="D117" s="561"/>
      <c r="E117" s="561"/>
      <c r="F117" s="561"/>
      <c r="G117" s="561"/>
      <c r="H117" s="259"/>
      <c r="I117" s="562"/>
      <c r="J117" s="563" t="s">
        <v>1666</v>
      </c>
      <c r="K117" s="564"/>
      <c r="L117" s="564"/>
      <c r="M117" s="564"/>
      <c r="N117" s="564"/>
      <c r="O117" s="564"/>
      <c r="P117" s="564"/>
      <c r="Q117" s="565"/>
      <c r="R117" s="566" t="s">
        <v>2</v>
      </c>
      <c r="S117" s="567"/>
      <c r="T117" s="567"/>
      <c r="U117" s="567"/>
      <c r="V117" s="568"/>
    </row>
    <row r="118" spans="1:22" ht="13.5" customHeight="1">
      <c r="A118" s="258"/>
      <c r="B118" s="936"/>
      <c r="C118" s="339"/>
      <c r="D118" s="339"/>
      <c r="E118" s="339"/>
      <c r="F118" s="339"/>
      <c r="G118" s="339"/>
      <c r="H118" s="259"/>
      <c r="I118" s="571" t="s">
        <v>1745</v>
      </c>
      <c r="J118" s="158" t="s">
        <v>453</v>
      </c>
      <c r="K118" s="137" t="s">
        <v>455</v>
      </c>
      <c r="L118" s="137" t="s">
        <v>457</v>
      </c>
      <c r="M118" s="137" t="s">
        <v>459</v>
      </c>
      <c r="N118" s="137" t="s">
        <v>461</v>
      </c>
      <c r="O118" s="137" t="s">
        <v>463</v>
      </c>
      <c r="P118" s="137" t="s">
        <v>465</v>
      </c>
      <c r="Q118" s="138" t="s">
        <v>467</v>
      </c>
      <c r="R118" s="120" t="s">
        <v>469</v>
      </c>
      <c r="S118" s="121" t="s">
        <v>471</v>
      </c>
      <c r="T118" s="121" t="s">
        <v>473</v>
      </c>
      <c r="U118" s="121" t="s">
        <v>475</v>
      </c>
      <c r="V118" s="122" t="s">
        <v>477</v>
      </c>
    </row>
    <row r="119" spans="1:22" ht="13.5" customHeight="1">
      <c r="A119" s="258"/>
      <c r="B119" s="936"/>
      <c r="C119" s="591" t="s">
        <v>1897</v>
      </c>
      <c r="D119" s="591"/>
      <c r="E119" s="591"/>
      <c r="F119" s="591"/>
      <c r="G119" s="339"/>
      <c r="H119" s="259"/>
      <c r="I119" s="260"/>
      <c r="J119" s="295"/>
      <c r="K119" s="259"/>
      <c r="L119" s="259"/>
      <c r="M119" s="259"/>
      <c r="N119" s="259"/>
      <c r="O119" s="259"/>
      <c r="P119" s="259"/>
      <c r="Q119" s="296"/>
      <c r="R119" s="295"/>
      <c r="S119" s="259"/>
      <c r="T119" s="259"/>
      <c r="U119" s="259"/>
      <c r="V119" s="296"/>
    </row>
    <row r="120" spans="1:22" ht="13.5" customHeight="1">
      <c r="A120" s="258"/>
      <c r="B120" s="939"/>
      <c r="C120" s="593"/>
      <c r="D120" s="593" t="s">
        <v>1886</v>
      </c>
      <c r="E120" s="593"/>
      <c r="F120" s="593"/>
      <c r="G120" s="593"/>
      <c r="H120" s="259"/>
      <c r="I120" s="576" t="s">
        <v>498</v>
      </c>
      <c r="J120" s="297">
        <v>0</v>
      </c>
      <c r="K120" s="298">
        <v>0</v>
      </c>
      <c r="L120" s="298">
        <v>0</v>
      </c>
      <c r="M120" s="298">
        <v>0</v>
      </c>
      <c r="N120" s="298">
        <v>0</v>
      </c>
      <c r="O120" s="298">
        <v>0</v>
      </c>
      <c r="P120" s="298">
        <v>0</v>
      </c>
      <c r="Q120" s="299">
        <v>0</v>
      </c>
      <c r="R120" s="297">
        <v>0</v>
      </c>
      <c r="S120" s="298">
        <v>0</v>
      </c>
      <c r="T120" s="298">
        <v>0</v>
      </c>
      <c r="U120" s="298">
        <v>0</v>
      </c>
      <c r="V120" s="299">
        <v>0</v>
      </c>
    </row>
    <row r="121" spans="1:22" ht="13.5" customHeight="1">
      <c r="A121" s="258"/>
      <c r="B121" s="939"/>
      <c r="C121" s="593"/>
      <c r="D121" s="593" t="s">
        <v>1887</v>
      </c>
      <c r="E121" s="593"/>
      <c r="F121" s="593"/>
      <c r="G121" s="593"/>
      <c r="H121" s="259"/>
      <c r="I121" s="576" t="s">
        <v>498</v>
      </c>
      <c r="J121" s="297">
        <v>0</v>
      </c>
      <c r="K121" s="298">
        <v>0</v>
      </c>
      <c r="L121" s="298">
        <v>0</v>
      </c>
      <c r="M121" s="298">
        <v>0</v>
      </c>
      <c r="N121" s="298">
        <v>0</v>
      </c>
      <c r="O121" s="298">
        <v>0</v>
      </c>
      <c r="P121" s="298">
        <v>0</v>
      </c>
      <c r="Q121" s="299">
        <v>0</v>
      </c>
      <c r="R121" s="297">
        <v>0</v>
      </c>
      <c r="S121" s="298">
        <v>0</v>
      </c>
      <c r="T121" s="298">
        <v>0</v>
      </c>
      <c r="U121" s="298">
        <v>0</v>
      </c>
      <c r="V121" s="299">
        <v>0</v>
      </c>
    </row>
    <row r="122" spans="1:22" ht="13.5" customHeight="1">
      <c r="A122" s="258"/>
      <c r="B122" s="939"/>
      <c r="C122" s="593"/>
      <c r="D122" s="593" t="s">
        <v>1888</v>
      </c>
      <c r="E122" s="593"/>
      <c r="F122" s="593"/>
      <c r="G122" s="593"/>
      <c r="H122" s="259"/>
      <c r="I122" s="576" t="s">
        <v>498</v>
      </c>
      <c r="J122" s="297">
        <v>0</v>
      </c>
      <c r="K122" s="298">
        <v>3.8155951680741563E-3</v>
      </c>
      <c r="L122" s="298">
        <v>0</v>
      </c>
      <c r="M122" s="298">
        <v>0</v>
      </c>
      <c r="N122" s="298">
        <v>0</v>
      </c>
      <c r="O122" s="298">
        <v>0</v>
      </c>
      <c r="P122" s="298">
        <v>0</v>
      </c>
      <c r="Q122" s="299">
        <v>0</v>
      </c>
      <c r="R122" s="297">
        <v>0</v>
      </c>
      <c r="S122" s="298">
        <v>0</v>
      </c>
      <c r="T122" s="298">
        <v>0</v>
      </c>
      <c r="U122" s="298">
        <v>0</v>
      </c>
      <c r="V122" s="299">
        <v>0</v>
      </c>
    </row>
    <row r="123" spans="1:22" ht="13.5" customHeight="1">
      <c r="A123" s="258"/>
      <c r="B123" s="939"/>
      <c r="C123" s="593"/>
      <c r="D123" s="593" t="s">
        <v>1889</v>
      </c>
      <c r="E123" s="593"/>
      <c r="F123" s="593"/>
      <c r="G123" s="593"/>
      <c r="H123" s="259"/>
      <c r="I123" s="576" t="s">
        <v>498</v>
      </c>
      <c r="J123" s="297">
        <v>0</v>
      </c>
      <c r="K123" s="298">
        <v>0</v>
      </c>
      <c r="L123" s="298">
        <v>0</v>
      </c>
      <c r="M123" s="298">
        <v>0</v>
      </c>
      <c r="N123" s="298">
        <v>0</v>
      </c>
      <c r="O123" s="298">
        <v>0</v>
      </c>
      <c r="P123" s="298">
        <v>0</v>
      </c>
      <c r="Q123" s="299">
        <v>0</v>
      </c>
      <c r="R123" s="297">
        <v>0</v>
      </c>
      <c r="S123" s="298">
        <v>0</v>
      </c>
      <c r="T123" s="298">
        <v>0</v>
      </c>
      <c r="U123" s="298">
        <v>0</v>
      </c>
      <c r="V123" s="299">
        <v>0</v>
      </c>
    </row>
    <row r="124" spans="1:22" ht="13.5" customHeight="1">
      <c r="A124" s="258"/>
      <c r="B124" s="939"/>
      <c r="C124" s="593"/>
      <c r="D124" s="593" t="s">
        <v>1890</v>
      </c>
      <c r="E124" s="593"/>
      <c r="F124" s="593"/>
      <c r="G124" s="593"/>
      <c r="H124" s="259"/>
      <c r="I124" s="576" t="s">
        <v>498</v>
      </c>
      <c r="J124" s="297">
        <v>0</v>
      </c>
      <c r="K124" s="298">
        <v>0</v>
      </c>
      <c r="L124" s="298">
        <v>0</v>
      </c>
      <c r="M124" s="298">
        <v>0</v>
      </c>
      <c r="N124" s="298">
        <v>0</v>
      </c>
      <c r="O124" s="298">
        <v>0</v>
      </c>
      <c r="P124" s="298">
        <v>0</v>
      </c>
      <c r="Q124" s="299">
        <v>0</v>
      </c>
      <c r="R124" s="297">
        <v>0</v>
      </c>
      <c r="S124" s="298">
        <v>0</v>
      </c>
      <c r="T124" s="298">
        <v>0</v>
      </c>
      <c r="U124" s="298">
        <v>0</v>
      </c>
      <c r="V124" s="299">
        <v>0</v>
      </c>
    </row>
    <row r="125" spans="1:22" ht="13.5" customHeight="1">
      <c r="A125" s="258"/>
      <c r="B125" s="939"/>
      <c r="C125" s="593"/>
      <c r="D125" s="593" t="s">
        <v>1891</v>
      </c>
      <c r="E125" s="593"/>
      <c r="F125" s="593"/>
      <c r="G125" s="593"/>
      <c r="H125" s="259"/>
      <c r="I125" s="576" t="s">
        <v>498</v>
      </c>
      <c r="J125" s="297">
        <v>0</v>
      </c>
      <c r="K125" s="298">
        <v>0</v>
      </c>
      <c r="L125" s="298">
        <v>0</v>
      </c>
      <c r="M125" s="298">
        <v>2.144841749165716E-2</v>
      </c>
      <c r="N125" s="298">
        <v>5.8407522838672499E-4</v>
      </c>
      <c r="O125" s="298">
        <v>1.8616810717950495E-3</v>
      </c>
      <c r="P125" s="298">
        <v>1.8616810717950495E-3</v>
      </c>
      <c r="Q125" s="299">
        <v>1.8616810717950495E-3</v>
      </c>
      <c r="R125" s="297">
        <v>1.8523726664360742E-3</v>
      </c>
      <c r="S125" s="298">
        <v>1.8431108031038937E-3</v>
      </c>
      <c r="T125" s="298">
        <v>1.8338952490883742E-3</v>
      </c>
      <c r="U125" s="298">
        <v>1.8247257728429324E-3</v>
      </c>
      <c r="V125" s="299">
        <v>1.8156021439787178E-3</v>
      </c>
    </row>
    <row r="126" spans="1:22" ht="13.5" customHeight="1">
      <c r="A126" s="258"/>
      <c r="B126" s="939"/>
      <c r="C126" s="593"/>
      <c r="D126" s="593" t="s">
        <v>1892</v>
      </c>
      <c r="E126" s="593"/>
      <c r="F126" s="593"/>
      <c r="G126" s="561"/>
      <c r="H126" s="259"/>
      <c r="I126" s="576" t="s">
        <v>498</v>
      </c>
      <c r="J126" s="297">
        <v>0</v>
      </c>
      <c r="K126" s="298">
        <v>0</v>
      </c>
      <c r="L126" s="298">
        <v>0</v>
      </c>
      <c r="M126" s="298">
        <v>0</v>
      </c>
      <c r="N126" s="298">
        <v>0</v>
      </c>
      <c r="O126" s="298">
        <v>0</v>
      </c>
      <c r="P126" s="298">
        <v>0</v>
      </c>
      <c r="Q126" s="299">
        <v>0</v>
      </c>
      <c r="R126" s="297">
        <v>0</v>
      </c>
      <c r="S126" s="298">
        <v>0</v>
      </c>
      <c r="T126" s="298">
        <v>0</v>
      </c>
      <c r="U126" s="298">
        <v>0</v>
      </c>
      <c r="V126" s="299">
        <v>0</v>
      </c>
    </row>
    <row r="127" spans="1:22" ht="13.5" customHeight="1" thickBot="1">
      <c r="A127" s="258"/>
      <c r="B127" s="940" t="s">
        <v>1701</v>
      </c>
      <c r="C127" s="1113"/>
      <c r="D127" s="1113"/>
      <c r="E127" s="1113"/>
      <c r="F127" s="1113"/>
      <c r="G127" s="596"/>
      <c r="H127" s="300"/>
      <c r="I127" s="581" t="s">
        <v>498</v>
      </c>
      <c r="J127" s="1110">
        <f t="shared" ref="J127:V127" si="16">SUM(J120:J126)</f>
        <v>0</v>
      </c>
      <c r="K127" s="1111">
        <f t="shared" si="16"/>
        <v>3.8155951680741563E-3</v>
      </c>
      <c r="L127" s="1111">
        <f t="shared" si="16"/>
        <v>0</v>
      </c>
      <c r="M127" s="1111">
        <f t="shared" si="16"/>
        <v>2.144841749165716E-2</v>
      </c>
      <c r="N127" s="1111">
        <f t="shared" si="16"/>
        <v>5.8407522838672499E-4</v>
      </c>
      <c r="O127" s="1111">
        <f t="shared" si="16"/>
        <v>1.8616810717950495E-3</v>
      </c>
      <c r="P127" s="1111">
        <f t="shared" si="16"/>
        <v>1.8616810717950495E-3</v>
      </c>
      <c r="Q127" s="1112">
        <f t="shared" si="16"/>
        <v>1.8616810717950495E-3</v>
      </c>
      <c r="R127" s="1110">
        <f t="shared" si="16"/>
        <v>1.8523726664360742E-3</v>
      </c>
      <c r="S127" s="1111">
        <f t="shared" si="16"/>
        <v>1.8431108031038937E-3</v>
      </c>
      <c r="T127" s="1111">
        <f t="shared" si="16"/>
        <v>1.8338952490883742E-3</v>
      </c>
      <c r="U127" s="1111">
        <f t="shared" si="16"/>
        <v>1.8247257728429324E-3</v>
      </c>
      <c r="V127" s="1112">
        <f t="shared" si="16"/>
        <v>1.8156021439787178E-3</v>
      </c>
    </row>
    <row r="128" spans="1:22" ht="13.5" customHeight="1" thickBot="1">
      <c r="A128" s="258"/>
    </row>
    <row r="129" spans="1:22" ht="30" customHeight="1" thickBot="1">
      <c r="A129" s="258"/>
      <c r="B129" s="640" t="s">
        <v>1904</v>
      </c>
      <c r="C129" s="558"/>
      <c r="D129" s="558"/>
      <c r="E129" s="558"/>
      <c r="F129" s="558"/>
      <c r="G129" s="559"/>
      <c r="H129" s="294"/>
      <c r="I129" s="105" t="s">
        <v>1864</v>
      </c>
      <c r="J129" s="106"/>
      <c r="K129" s="106"/>
      <c r="L129" s="106"/>
      <c r="M129" s="106"/>
      <c r="N129" s="106"/>
      <c r="O129" s="106"/>
      <c r="P129" s="106"/>
      <c r="Q129" s="106"/>
      <c r="R129" s="105"/>
      <c r="S129" s="105"/>
      <c r="T129" s="105"/>
      <c r="U129" s="105"/>
      <c r="V129" s="187"/>
    </row>
    <row r="130" spans="1:22" ht="30" customHeight="1">
      <c r="A130" s="258"/>
      <c r="B130" s="560"/>
      <c r="C130" s="561"/>
      <c r="D130" s="561"/>
      <c r="E130" s="561"/>
      <c r="F130" s="561"/>
      <c r="G130" s="561"/>
      <c r="H130" s="259"/>
      <c r="I130" s="562"/>
      <c r="J130" s="563" t="s">
        <v>1666</v>
      </c>
      <c r="K130" s="564"/>
      <c r="L130" s="564"/>
      <c r="M130" s="564"/>
      <c r="N130" s="564"/>
      <c r="O130" s="564"/>
      <c r="P130" s="564"/>
      <c r="Q130" s="565"/>
      <c r="R130" s="566" t="s">
        <v>2</v>
      </c>
      <c r="S130" s="567"/>
      <c r="T130" s="567"/>
      <c r="U130" s="567"/>
      <c r="V130" s="568"/>
    </row>
    <row r="131" spans="1:22" ht="13.5" customHeight="1">
      <c r="A131" s="258"/>
      <c r="B131" s="572"/>
      <c r="C131" s="339"/>
      <c r="D131" s="339"/>
      <c r="E131" s="339"/>
      <c r="F131" s="339"/>
      <c r="G131" s="339"/>
      <c r="H131" s="259"/>
      <c r="I131" s="571" t="s">
        <v>1745</v>
      </c>
      <c r="J131" s="158" t="s">
        <v>453</v>
      </c>
      <c r="K131" s="137" t="s">
        <v>455</v>
      </c>
      <c r="L131" s="137" t="s">
        <v>457</v>
      </c>
      <c r="M131" s="137" t="s">
        <v>459</v>
      </c>
      <c r="N131" s="137" t="s">
        <v>461</v>
      </c>
      <c r="O131" s="137" t="s">
        <v>463</v>
      </c>
      <c r="P131" s="137" t="s">
        <v>465</v>
      </c>
      <c r="Q131" s="138" t="s">
        <v>467</v>
      </c>
      <c r="R131" s="120" t="s">
        <v>469</v>
      </c>
      <c r="S131" s="121" t="s">
        <v>471</v>
      </c>
      <c r="T131" s="121" t="s">
        <v>473</v>
      </c>
      <c r="U131" s="121" t="s">
        <v>475</v>
      </c>
      <c r="V131" s="122" t="s">
        <v>477</v>
      </c>
    </row>
    <row r="132" spans="1:22" ht="13.5" customHeight="1">
      <c r="A132" s="258"/>
      <c r="B132" s="572"/>
      <c r="C132" s="591" t="s">
        <v>1897</v>
      </c>
      <c r="D132" s="591"/>
      <c r="E132" s="591"/>
      <c r="F132" s="591"/>
      <c r="G132" s="339"/>
      <c r="H132" s="259"/>
      <c r="I132" s="260"/>
      <c r="J132" s="295"/>
      <c r="K132" s="259"/>
      <c r="L132" s="259"/>
      <c r="M132" s="259"/>
      <c r="N132" s="259"/>
      <c r="O132" s="259"/>
      <c r="P132" s="259"/>
      <c r="Q132" s="296"/>
      <c r="R132" s="295"/>
      <c r="S132" s="259"/>
      <c r="T132" s="259"/>
      <c r="U132" s="259"/>
      <c r="V132" s="296"/>
    </row>
    <row r="133" spans="1:22" ht="13.5" customHeight="1">
      <c r="A133" s="258"/>
      <c r="B133" s="592"/>
      <c r="C133" s="593"/>
      <c r="D133" s="593" t="s">
        <v>1886</v>
      </c>
      <c r="E133" s="593"/>
      <c r="F133" s="593"/>
      <c r="G133" s="593"/>
      <c r="H133" s="259"/>
      <c r="I133" s="576" t="s">
        <v>498</v>
      </c>
      <c r="J133" s="297">
        <v>5.4809135006794359E-2</v>
      </c>
      <c r="K133" s="298">
        <v>7.9794738285432085E-2</v>
      </c>
      <c r="L133" s="298">
        <v>5.5268861725378864E-2</v>
      </c>
      <c r="M133" s="298">
        <v>6.374516609420236E-2</v>
      </c>
      <c r="N133" s="298">
        <v>6.0176526630485803E-2</v>
      </c>
      <c r="O133" s="298">
        <v>6.7284960745927616E-2</v>
      </c>
      <c r="P133" s="298">
        <v>6.7284960745927616E-2</v>
      </c>
      <c r="Q133" s="299">
        <v>6.7284960745927616E-2</v>
      </c>
      <c r="R133" s="297">
        <v>6.6948535942197976E-2</v>
      </c>
      <c r="S133" s="298">
        <v>6.6613793262486981E-2</v>
      </c>
      <c r="T133" s="298">
        <v>6.6280724296174542E-2</v>
      </c>
      <c r="U133" s="298">
        <v>6.5949320674693668E-2</v>
      </c>
      <c r="V133" s="299">
        <v>6.56195740713202E-2</v>
      </c>
    </row>
    <row r="134" spans="1:22" ht="13.5" customHeight="1">
      <c r="A134" s="258"/>
      <c r="B134" s="592"/>
      <c r="C134" s="593"/>
      <c r="D134" s="593" t="s">
        <v>1887</v>
      </c>
      <c r="E134" s="593"/>
      <c r="F134" s="593"/>
      <c r="G134" s="593"/>
      <c r="H134" s="259"/>
      <c r="I134" s="576" t="s">
        <v>498</v>
      </c>
      <c r="J134" s="297">
        <v>0</v>
      </c>
      <c r="K134" s="298">
        <v>0</v>
      </c>
      <c r="L134" s="298">
        <v>0</v>
      </c>
      <c r="M134" s="298">
        <v>0</v>
      </c>
      <c r="N134" s="298">
        <v>0</v>
      </c>
      <c r="O134" s="298">
        <v>0</v>
      </c>
      <c r="P134" s="298">
        <v>0</v>
      </c>
      <c r="Q134" s="299">
        <v>0</v>
      </c>
      <c r="R134" s="297">
        <v>0</v>
      </c>
      <c r="S134" s="298">
        <v>0</v>
      </c>
      <c r="T134" s="298">
        <v>0</v>
      </c>
      <c r="U134" s="298">
        <v>0</v>
      </c>
      <c r="V134" s="299">
        <v>0</v>
      </c>
    </row>
    <row r="135" spans="1:22" ht="13.5" customHeight="1">
      <c r="A135" s="258"/>
      <c r="B135" s="592"/>
      <c r="C135" s="593"/>
      <c r="D135" s="593" t="s">
        <v>1888</v>
      </c>
      <c r="E135" s="593"/>
      <c r="F135" s="593"/>
      <c r="G135" s="593"/>
      <c r="H135" s="259"/>
      <c r="I135" s="576" t="s">
        <v>498</v>
      </c>
      <c r="J135" s="297">
        <v>0</v>
      </c>
      <c r="K135" s="298">
        <v>0</v>
      </c>
      <c r="L135" s="298">
        <v>0</v>
      </c>
      <c r="M135" s="298">
        <v>9.460569848345958E-3</v>
      </c>
      <c r="N135" s="298">
        <v>2.9967624648299409E-2</v>
      </c>
      <c r="O135" s="298">
        <v>5.3476298871241324E-3</v>
      </c>
      <c r="P135" s="298">
        <v>5.3476298871241324E-3</v>
      </c>
      <c r="Q135" s="299">
        <v>5.3476298871241324E-3</v>
      </c>
      <c r="R135" s="297">
        <v>5.3208917376885113E-3</v>
      </c>
      <c r="S135" s="298">
        <v>5.2942872790000687E-3</v>
      </c>
      <c r="T135" s="298">
        <v>5.2678158426050685E-3</v>
      </c>
      <c r="U135" s="298">
        <v>5.2414767633920433E-3</v>
      </c>
      <c r="V135" s="299">
        <v>5.215269379575083E-3</v>
      </c>
    </row>
    <row r="136" spans="1:22" ht="13.5" customHeight="1">
      <c r="A136" s="258"/>
      <c r="B136" s="592"/>
      <c r="C136" s="593"/>
      <c r="D136" s="593" t="s">
        <v>1889</v>
      </c>
      <c r="E136" s="593"/>
      <c r="F136" s="593"/>
      <c r="G136" s="593"/>
      <c r="H136" s="259"/>
      <c r="I136" s="576" t="s">
        <v>498</v>
      </c>
      <c r="J136" s="297">
        <v>2.3167441668951655E-2</v>
      </c>
      <c r="K136" s="298">
        <v>0.19287319058157579</v>
      </c>
      <c r="L136" s="298">
        <v>9.3951324806343453E-2</v>
      </c>
      <c r="M136" s="298">
        <v>5.2536989778551646E-2</v>
      </c>
      <c r="N136" s="298">
        <v>2.8450486563320717E-2</v>
      </c>
      <c r="O136" s="298">
        <v>0</v>
      </c>
      <c r="P136" s="298">
        <v>0</v>
      </c>
      <c r="Q136" s="299">
        <v>0</v>
      </c>
      <c r="R136" s="297">
        <v>0</v>
      </c>
      <c r="S136" s="298">
        <v>0</v>
      </c>
      <c r="T136" s="298">
        <v>0</v>
      </c>
      <c r="U136" s="298">
        <v>0</v>
      </c>
      <c r="V136" s="299">
        <v>0</v>
      </c>
    </row>
    <row r="137" spans="1:22" ht="13.5" customHeight="1">
      <c r="A137" s="258"/>
      <c r="B137" s="592"/>
      <c r="C137" s="593"/>
      <c r="D137" s="593" t="s">
        <v>1890</v>
      </c>
      <c r="E137" s="593"/>
      <c r="F137" s="593"/>
      <c r="G137" s="593"/>
      <c r="H137" s="259"/>
      <c r="I137" s="576" t="s">
        <v>498</v>
      </c>
      <c r="J137" s="297">
        <v>0.42188227040225845</v>
      </c>
      <c r="K137" s="298">
        <v>0.34266161055687172</v>
      </c>
      <c r="L137" s="298">
        <v>0.66104927333533403</v>
      </c>
      <c r="M137" s="298">
        <v>0.20784821153738922</v>
      </c>
      <c r="N137" s="298">
        <v>0.91437839720563552</v>
      </c>
      <c r="O137" s="298">
        <v>0.92225019072626235</v>
      </c>
      <c r="P137" s="298">
        <v>0.92225019072626235</v>
      </c>
      <c r="Q137" s="299">
        <v>0.92225019072626235</v>
      </c>
      <c r="R137" s="297">
        <v>0.917638939772631</v>
      </c>
      <c r="S137" s="298">
        <v>0.91305074507376782</v>
      </c>
      <c r="T137" s="298">
        <v>0.90848549134839895</v>
      </c>
      <c r="U137" s="298">
        <v>0.90394306389165691</v>
      </c>
      <c r="V137" s="299">
        <v>0.89942334857219863</v>
      </c>
    </row>
    <row r="138" spans="1:22" ht="13.5" customHeight="1">
      <c r="A138" s="258"/>
      <c r="B138" s="592"/>
      <c r="C138" s="593"/>
      <c r="D138" s="593" t="s">
        <v>1891</v>
      </c>
      <c r="E138" s="593"/>
      <c r="F138" s="593"/>
      <c r="G138" s="593"/>
      <c r="H138" s="259"/>
      <c r="I138" s="576" t="s">
        <v>498</v>
      </c>
      <c r="J138" s="297">
        <v>2.7011457559001972E-2</v>
      </c>
      <c r="K138" s="298">
        <v>1.5256675771820646E-2</v>
      </c>
      <c r="L138" s="298">
        <v>7.324630557007699E-3</v>
      </c>
      <c r="M138" s="298">
        <v>6.7876746260525117E-2</v>
      </c>
      <c r="N138" s="298">
        <v>1.6272871711687537E-2</v>
      </c>
      <c r="O138" s="298">
        <v>1.730242468797747E-2</v>
      </c>
      <c r="P138" s="298">
        <v>1.730242468797747E-2</v>
      </c>
      <c r="Q138" s="299">
        <v>1.730242468797747E-2</v>
      </c>
      <c r="R138" s="297">
        <v>1.7215912564537583E-2</v>
      </c>
      <c r="S138" s="298">
        <v>1.7129833001714896E-2</v>
      </c>
      <c r="T138" s="298">
        <v>1.7044183836706323E-2</v>
      </c>
      <c r="U138" s="298">
        <v>1.6958962917522791E-2</v>
      </c>
      <c r="V138" s="299">
        <v>1.6874168102935176E-2</v>
      </c>
    </row>
    <row r="139" spans="1:22" ht="13.5" customHeight="1">
      <c r="A139" s="258"/>
      <c r="B139" s="592"/>
      <c r="C139" s="593"/>
      <c r="D139" s="593" t="s">
        <v>1892</v>
      </c>
      <c r="E139" s="593"/>
      <c r="F139" s="593"/>
      <c r="G139" s="561"/>
      <c r="H139" s="259"/>
      <c r="I139" s="576" t="s">
        <v>498</v>
      </c>
      <c r="J139" s="297">
        <v>0</v>
      </c>
      <c r="K139" s="298">
        <v>0</v>
      </c>
      <c r="L139" s="298">
        <v>0</v>
      </c>
      <c r="M139" s="298">
        <v>0</v>
      </c>
      <c r="N139" s="298">
        <v>0</v>
      </c>
      <c r="O139" s="298">
        <v>0</v>
      </c>
      <c r="P139" s="298">
        <v>0</v>
      </c>
      <c r="Q139" s="299">
        <v>0</v>
      </c>
      <c r="R139" s="297">
        <v>0</v>
      </c>
      <c r="S139" s="298">
        <v>0</v>
      </c>
      <c r="T139" s="298">
        <v>0</v>
      </c>
      <c r="U139" s="298">
        <v>0</v>
      </c>
      <c r="V139" s="299">
        <v>0</v>
      </c>
    </row>
    <row r="140" spans="1:22" ht="13.5" customHeight="1" thickBot="1">
      <c r="A140" s="258"/>
      <c r="B140" s="754" t="s">
        <v>1701</v>
      </c>
      <c r="C140" s="595"/>
      <c r="D140" s="595"/>
      <c r="E140" s="595"/>
      <c r="F140" s="595"/>
      <c r="G140" s="579"/>
      <c r="H140" s="300"/>
      <c r="I140" s="581" t="s">
        <v>498</v>
      </c>
      <c r="J140" s="1110">
        <f t="shared" ref="J140:V140" si="17">SUM(J133:J139)</f>
        <v>0.52687030463700646</v>
      </c>
      <c r="K140" s="1111">
        <f t="shared" si="17"/>
        <v>0.63058621519570024</v>
      </c>
      <c r="L140" s="1111">
        <f t="shared" si="17"/>
        <v>0.81759409042406406</v>
      </c>
      <c r="M140" s="1111">
        <f t="shared" si="17"/>
        <v>0.4014676835190143</v>
      </c>
      <c r="N140" s="1111">
        <f t="shared" si="17"/>
        <v>1.0492459067594291</v>
      </c>
      <c r="O140" s="1111">
        <f t="shared" si="17"/>
        <v>1.0121852060472916</v>
      </c>
      <c r="P140" s="1111">
        <f t="shared" si="17"/>
        <v>1.0121852060472916</v>
      </c>
      <c r="Q140" s="1112">
        <f t="shared" si="17"/>
        <v>1.0121852060472916</v>
      </c>
      <c r="R140" s="1110">
        <f t="shared" si="17"/>
        <v>1.007124280017055</v>
      </c>
      <c r="S140" s="1111">
        <f t="shared" si="17"/>
        <v>1.0020886586169697</v>
      </c>
      <c r="T140" s="1111">
        <f t="shared" si="17"/>
        <v>0.99707821532388496</v>
      </c>
      <c r="U140" s="1111">
        <f t="shared" si="17"/>
        <v>0.99209282424726541</v>
      </c>
      <c r="V140" s="1112">
        <f t="shared" si="17"/>
        <v>0.98713236012602912</v>
      </c>
    </row>
    <row r="141" spans="1:22" ht="13.5" customHeight="1" thickBot="1">
      <c r="A141" s="258"/>
    </row>
    <row r="142" spans="1:22" ht="30" customHeight="1" thickBot="1">
      <c r="A142" s="258"/>
      <c r="B142" s="640" t="s">
        <v>1905</v>
      </c>
      <c r="C142" s="558"/>
      <c r="D142" s="558"/>
      <c r="E142" s="558"/>
      <c r="F142" s="558"/>
      <c r="G142" s="559"/>
      <c r="H142" s="294"/>
      <c r="I142" s="105" t="s">
        <v>1864</v>
      </c>
      <c r="J142" s="106"/>
      <c r="K142" s="106"/>
      <c r="L142" s="106"/>
      <c r="M142" s="106"/>
      <c r="N142" s="106"/>
      <c r="O142" s="106"/>
      <c r="P142" s="106"/>
      <c r="Q142" s="106"/>
      <c r="R142" s="105"/>
      <c r="S142" s="105"/>
      <c r="T142" s="105"/>
      <c r="U142" s="105"/>
      <c r="V142" s="187"/>
    </row>
    <row r="143" spans="1:22" ht="30" customHeight="1">
      <c r="A143" s="258"/>
      <c r="B143" s="560"/>
      <c r="C143" s="561"/>
      <c r="D143" s="561"/>
      <c r="E143" s="561"/>
      <c r="F143" s="561"/>
      <c r="G143" s="561"/>
      <c r="H143" s="259"/>
      <c r="I143" s="562"/>
      <c r="J143" s="563" t="s">
        <v>1666</v>
      </c>
      <c r="K143" s="564"/>
      <c r="L143" s="564"/>
      <c r="M143" s="564"/>
      <c r="N143" s="564"/>
      <c r="O143" s="564"/>
      <c r="P143" s="564"/>
      <c r="Q143" s="565"/>
      <c r="R143" s="566" t="s">
        <v>2</v>
      </c>
      <c r="S143" s="567"/>
      <c r="T143" s="567"/>
      <c r="U143" s="567"/>
      <c r="V143" s="568"/>
    </row>
    <row r="144" spans="1:22" ht="13.5" customHeight="1">
      <c r="A144" s="258"/>
      <c r="B144" s="572"/>
      <c r="C144" s="339"/>
      <c r="D144" s="339"/>
      <c r="E144" s="339"/>
      <c r="F144" s="339"/>
      <c r="G144" s="339"/>
      <c r="H144" s="259"/>
      <c r="I144" s="571" t="s">
        <v>1745</v>
      </c>
      <c r="J144" s="158" t="s">
        <v>453</v>
      </c>
      <c r="K144" s="137" t="s">
        <v>455</v>
      </c>
      <c r="L144" s="137" t="s">
        <v>457</v>
      </c>
      <c r="M144" s="137" t="s">
        <v>459</v>
      </c>
      <c r="N144" s="137" t="s">
        <v>461</v>
      </c>
      <c r="O144" s="137" t="s">
        <v>463</v>
      </c>
      <c r="P144" s="137" t="s">
        <v>465</v>
      </c>
      <c r="Q144" s="138" t="s">
        <v>467</v>
      </c>
      <c r="R144" s="120" t="s">
        <v>469</v>
      </c>
      <c r="S144" s="121" t="s">
        <v>471</v>
      </c>
      <c r="T144" s="121" t="s">
        <v>473</v>
      </c>
      <c r="U144" s="121" t="s">
        <v>475</v>
      </c>
      <c r="V144" s="122" t="s">
        <v>477</v>
      </c>
    </row>
    <row r="145" spans="1:22" ht="13.5" customHeight="1">
      <c r="A145" s="258"/>
      <c r="B145" s="572"/>
      <c r="C145" s="591" t="s">
        <v>1897</v>
      </c>
      <c r="D145" s="591"/>
      <c r="E145" s="591"/>
      <c r="F145" s="591"/>
      <c r="G145" s="339"/>
      <c r="H145" s="259"/>
      <c r="I145" s="260"/>
      <c r="J145" s="295"/>
      <c r="K145" s="259"/>
      <c r="L145" s="259"/>
      <c r="M145" s="259"/>
      <c r="N145" s="259"/>
      <c r="O145" s="259"/>
      <c r="P145" s="259"/>
      <c r="Q145" s="296"/>
      <c r="R145" s="295"/>
      <c r="S145" s="259"/>
      <c r="T145" s="259"/>
      <c r="U145" s="259"/>
      <c r="V145" s="296"/>
    </row>
    <row r="146" spans="1:22" ht="13.5" customHeight="1">
      <c r="A146" s="258"/>
      <c r="B146" s="592"/>
      <c r="C146" s="593"/>
      <c r="D146" s="593" t="s">
        <v>1886</v>
      </c>
      <c r="E146" s="593"/>
      <c r="F146" s="593"/>
      <c r="G146" s="593"/>
      <c r="H146" s="259"/>
      <c r="I146" s="576" t="s">
        <v>498</v>
      </c>
      <c r="J146" s="297">
        <v>0.49328221506114928</v>
      </c>
      <c r="K146" s="298">
        <v>0.71815264456888883</v>
      </c>
      <c r="L146" s="298">
        <v>0.49741975552840972</v>
      </c>
      <c r="M146" s="298">
        <v>0.57370649484782132</v>
      </c>
      <c r="N146" s="298">
        <v>0.54158873967437238</v>
      </c>
      <c r="O146" s="298">
        <v>0.60556464671334842</v>
      </c>
      <c r="P146" s="298">
        <v>0.60556464671334842</v>
      </c>
      <c r="Q146" s="299">
        <v>0.60556464671334842</v>
      </c>
      <c r="R146" s="297">
        <v>0.60253682347978166</v>
      </c>
      <c r="S146" s="298">
        <v>0.5995241393623828</v>
      </c>
      <c r="T146" s="298">
        <v>0.59652651866557094</v>
      </c>
      <c r="U146" s="298">
        <v>0.59354388607224307</v>
      </c>
      <c r="V146" s="299">
        <v>0.59057616664188184</v>
      </c>
    </row>
    <row r="147" spans="1:22" ht="13.5" customHeight="1">
      <c r="A147" s="258"/>
      <c r="B147" s="592"/>
      <c r="C147" s="593"/>
      <c r="D147" s="593" t="s">
        <v>1887</v>
      </c>
      <c r="E147" s="593"/>
      <c r="F147" s="593"/>
      <c r="G147" s="593"/>
      <c r="H147" s="259"/>
      <c r="I147" s="576" t="s">
        <v>498</v>
      </c>
      <c r="J147" s="297">
        <v>2.7842798873228033E-2</v>
      </c>
      <c r="K147" s="298">
        <v>1.023310039570533</v>
      </c>
      <c r="L147" s="298">
        <v>6.6867979053943413E-2</v>
      </c>
      <c r="M147" s="298">
        <v>7.9678602797280057E-4</v>
      </c>
      <c r="N147" s="298">
        <v>0</v>
      </c>
      <c r="O147" s="298">
        <v>0</v>
      </c>
      <c r="P147" s="298">
        <v>0</v>
      </c>
      <c r="Q147" s="299">
        <v>0</v>
      </c>
      <c r="R147" s="297">
        <v>0</v>
      </c>
      <c r="S147" s="298">
        <v>0</v>
      </c>
      <c r="T147" s="298">
        <v>0</v>
      </c>
      <c r="U147" s="298">
        <v>0</v>
      </c>
      <c r="V147" s="299">
        <v>0</v>
      </c>
    </row>
    <row r="148" spans="1:22" ht="13.5" customHeight="1">
      <c r="A148" s="258"/>
      <c r="B148" s="592"/>
      <c r="C148" s="593"/>
      <c r="D148" s="593" t="s">
        <v>1888</v>
      </c>
      <c r="E148" s="593"/>
      <c r="F148" s="593"/>
      <c r="G148" s="593"/>
      <c r="H148" s="259"/>
      <c r="I148" s="576" t="s">
        <v>498</v>
      </c>
      <c r="J148" s="297">
        <v>0</v>
      </c>
      <c r="K148" s="298">
        <v>8.671141457743152E-2</v>
      </c>
      <c r="L148" s="298">
        <v>4.2548035120426278E-2</v>
      </c>
      <c r="M148" s="298">
        <v>1.9131746179605683E-2</v>
      </c>
      <c r="N148" s="298">
        <v>9.6822097024784025E-3</v>
      </c>
      <c r="O148" s="298">
        <v>3.7723537507426005E-3</v>
      </c>
      <c r="P148" s="298">
        <v>3.7723537507426005E-3</v>
      </c>
      <c r="Q148" s="299">
        <v>3.7723537507426005E-3</v>
      </c>
      <c r="R148" s="297">
        <v>3.7534919819888876E-3</v>
      </c>
      <c r="S148" s="298">
        <v>3.734724522078943E-3</v>
      </c>
      <c r="T148" s="298">
        <v>3.7160508994685485E-3</v>
      </c>
      <c r="U148" s="298">
        <v>3.6974706449712058E-3</v>
      </c>
      <c r="V148" s="299">
        <v>3.6789832917463496E-3</v>
      </c>
    </row>
    <row r="149" spans="1:22" ht="13.5" customHeight="1">
      <c r="A149" s="258"/>
      <c r="B149" s="592"/>
      <c r="C149" s="593"/>
      <c r="D149" s="593" t="s">
        <v>1889</v>
      </c>
      <c r="E149" s="593"/>
      <c r="F149" s="593"/>
      <c r="G149" s="593"/>
      <c r="H149" s="259"/>
      <c r="I149" s="576" t="s">
        <v>498</v>
      </c>
      <c r="J149" s="297">
        <v>0</v>
      </c>
      <c r="K149" s="298">
        <v>8.6034405741773068E-3</v>
      </c>
      <c r="L149" s="298">
        <v>0</v>
      </c>
      <c r="M149" s="298">
        <v>1.6395306740390723E-2</v>
      </c>
      <c r="N149" s="298">
        <v>2.0729312119394908E-3</v>
      </c>
      <c r="O149" s="298">
        <v>7.6722816465103144E-3</v>
      </c>
      <c r="P149" s="298">
        <v>7.6722816465103144E-3</v>
      </c>
      <c r="Q149" s="299">
        <v>7.6722816465103144E-3</v>
      </c>
      <c r="R149" s="297">
        <v>7.6339202382777627E-3</v>
      </c>
      <c r="S149" s="298">
        <v>7.5957506370863742E-3</v>
      </c>
      <c r="T149" s="298">
        <v>7.5577718839009425E-3</v>
      </c>
      <c r="U149" s="298">
        <v>7.5199830244814378E-3</v>
      </c>
      <c r="V149" s="299">
        <v>7.4823831093590309E-3</v>
      </c>
    </row>
    <row r="150" spans="1:22" ht="13.5" customHeight="1">
      <c r="A150" s="258"/>
      <c r="B150" s="592"/>
      <c r="C150" s="593"/>
      <c r="D150" s="593" t="s">
        <v>1890</v>
      </c>
      <c r="E150" s="593"/>
      <c r="F150" s="593"/>
      <c r="G150" s="593"/>
      <c r="H150" s="259"/>
      <c r="I150" s="576" t="s">
        <v>498</v>
      </c>
      <c r="J150" s="297">
        <v>2.9207026236565403E-2</v>
      </c>
      <c r="K150" s="298">
        <v>1.7418894505361122E-2</v>
      </c>
      <c r="L150" s="298">
        <v>0.11826896366548433</v>
      </c>
      <c r="M150" s="298">
        <v>2.4580211534138519E-2</v>
      </c>
      <c r="N150" s="298">
        <v>0.11460586954102966</v>
      </c>
      <c r="O150" s="298">
        <v>0.16621776451150624</v>
      </c>
      <c r="P150" s="298">
        <v>0.16621776451150624</v>
      </c>
      <c r="Q150" s="299">
        <v>0.16621776451150624</v>
      </c>
      <c r="R150" s="297">
        <v>0.16538667568894871</v>
      </c>
      <c r="S150" s="298">
        <v>0.16455974231050396</v>
      </c>
      <c r="T150" s="298">
        <v>0.16373694359895144</v>
      </c>
      <c r="U150" s="298">
        <v>0.16291825888095668</v>
      </c>
      <c r="V150" s="299">
        <v>0.1621036675865519</v>
      </c>
    </row>
    <row r="151" spans="1:22" ht="13.5" customHeight="1">
      <c r="A151" s="258"/>
      <c r="B151" s="592"/>
      <c r="C151" s="593"/>
      <c r="D151" s="593" t="s">
        <v>1891</v>
      </c>
      <c r="E151" s="593"/>
      <c r="F151" s="593"/>
      <c r="G151" s="593"/>
      <c r="H151" s="259"/>
      <c r="I151" s="576" t="s">
        <v>498</v>
      </c>
      <c r="J151" s="297">
        <v>6.1871304672066169E-2</v>
      </c>
      <c r="K151" s="298">
        <v>0.3727195430705954</v>
      </c>
      <c r="L151" s="298">
        <v>3.5922858080088792E-2</v>
      </c>
      <c r="M151" s="298">
        <v>4.8633906860992608E-2</v>
      </c>
      <c r="N151" s="298">
        <v>0.13834762734891001</v>
      </c>
      <c r="O151" s="298">
        <v>1.4379291455616325E-2</v>
      </c>
      <c r="P151" s="298">
        <v>1.4379291455616325E-2</v>
      </c>
      <c r="Q151" s="299">
        <v>1.4379291455616325E-2</v>
      </c>
      <c r="R151" s="297">
        <v>1.4307394998338243E-2</v>
      </c>
      <c r="S151" s="298">
        <v>1.4235858023346551E-2</v>
      </c>
      <c r="T151" s="298">
        <v>1.4164678733229819E-2</v>
      </c>
      <c r="U151" s="298">
        <v>1.4093855339563669E-2</v>
      </c>
      <c r="V151" s="299">
        <v>1.402338606286585E-2</v>
      </c>
    </row>
    <row r="152" spans="1:22" ht="13.5" customHeight="1">
      <c r="A152" s="258"/>
      <c r="B152" s="592"/>
      <c r="C152" s="593"/>
      <c r="D152" s="593" t="s">
        <v>1892</v>
      </c>
      <c r="E152" s="593"/>
      <c r="F152" s="593"/>
      <c r="G152" s="561"/>
      <c r="H152" s="259"/>
      <c r="I152" s="576" t="s">
        <v>498</v>
      </c>
      <c r="J152" s="297">
        <v>0</v>
      </c>
      <c r="K152" s="298">
        <v>0</v>
      </c>
      <c r="L152" s="298">
        <v>0</v>
      </c>
      <c r="M152" s="298">
        <v>1.0570694637772488E-2</v>
      </c>
      <c r="N152" s="298">
        <v>2.8533950377608347E-3</v>
      </c>
      <c r="O152" s="298">
        <v>0</v>
      </c>
      <c r="P152" s="298">
        <f t="shared" ref="P152:Q152" si="18">O152</f>
        <v>0</v>
      </c>
      <c r="Q152" s="299">
        <f t="shared" si="18"/>
        <v>0</v>
      </c>
      <c r="R152" s="297">
        <f t="shared" ref="R152:V152" si="19">Q152*0.995</f>
        <v>0</v>
      </c>
      <c r="S152" s="298">
        <f t="shared" si="19"/>
        <v>0</v>
      </c>
      <c r="T152" s="298">
        <f t="shared" si="19"/>
        <v>0</v>
      </c>
      <c r="U152" s="298">
        <f t="shared" si="19"/>
        <v>0</v>
      </c>
      <c r="V152" s="299">
        <f t="shared" si="19"/>
        <v>0</v>
      </c>
    </row>
    <row r="153" spans="1:22" ht="13.5" customHeight="1" thickBot="1">
      <c r="A153" s="258"/>
      <c r="B153" s="754" t="s">
        <v>1701</v>
      </c>
      <c r="C153" s="1113"/>
      <c r="D153" s="1113"/>
      <c r="E153" s="1113"/>
      <c r="F153" s="1113"/>
      <c r="G153" s="596"/>
      <c r="H153" s="300"/>
      <c r="I153" s="581" t="s">
        <v>498</v>
      </c>
      <c r="J153" s="1110">
        <f t="shared" ref="J153:V153" si="20">SUM(J146:J152)</f>
        <v>0.61220334484300876</v>
      </c>
      <c r="K153" s="1111">
        <f t="shared" si="20"/>
        <v>2.2269159768669873</v>
      </c>
      <c r="L153" s="1111">
        <f t="shared" si="20"/>
        <v>0.76102759144835253</v>
      </c>
      <c r="M153" s="1111">
        <f t="shared" si="20"/>
        <v>0.69381514682869405</v>
      </c>
      <c r="N153" s="1111">
        <f t="shared" si="20"/>
        <v>0.80915077251649081</v>
      </c>
      <c r="O153" s="1111">
        <f t="shared" si="20"/>
        <v>0.79760633807772396</v>
      </c>
      <c r="P153" s="1111">
        <f t="shared" si="20"/>
        <v>0.79760633807772396</v>
      </c>
      <c r="Q153" s="1112">
        <f t="shared" si="20"/>
        <v>0.79760633807772396</v>
      </c>
      <c r="R153" s="1110">
        <f t="shared" si="20"/>
        <v>0.79361830638733533</v>
      </c>
      <c r="S153" s="1111">
        <f t="shared" si="20"/>
        <v>0.78965021485539866</v>
      </c>
      <c r="T153" s="1111">
        <f t="shared" si="20"/>
        <v>0.78570196378112167</v>
      </c>
      <c r="U153" s="1111">
        <f t="shared" si="20"/>
        <v>0.78177345396221598</v>
      </c>
      <c r="V153" s="1112">
        <f t="shared" si="20"/>
        <v>0.77786458669240499</v>
      </c>
    </row>
    <row r="154" spans="1:22" ht="13.5" customHeight="1">
      <c r="A154" s="258"/>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50"/>
  </sheetPr>
  <dimension ref="A1:BK257"/>
  <sheetViews>
    <sheetView showGridLines="0" zoomScale="60" zoomScaleNormal="60" workbookViewId="0">
      <pane xSplit="7" topLeftCell="H1" activePane="topRight" state="frozen"/>
      <selection activeCell="A6" sqref="A6"/>
      <selection pane="topRight" activeCell="L136" sqref="L136"/>
    </sheetView>
  </sheetViews>
  <sheetFormatPr defaultColWidth="11.125" defaultRowHeight="14.25"/>
  <cols>
    <col min="1" max="1" width="11.125" style="338"/>
    <col min="2" max="5" width="4.375" style="338" customWidth="1"/>
    <col min="6" max="6" width="13.375" style="338" customWidth="1"/>
    <col min="7" max="7" width="89.875" style="338" bestFit="1" customWidth="1"/>
    <col min="8" max="10" width="15.625" style="338" customWidth="1"/>
    <col min="11" max="11" width="29.125" style="338" bestFit="1" customWidth="1"/>
    <col min="12" max="22" width="15.625" style="338" customWidth="1"/>
    <col min="23" max="23" width="11.125" style="338"/>
    <col min="24" max="24" width="18.625" style="338" customWidth="1"/>
    <col min="25" max="25" width="25.25" style="338" customWidth="1"/>
    <col min="26" max="27" width="11.125" style="338"/>
    <col min="28" max="28" width="11.125" style="338" customWidth="1"/>
    <col min="29" max="44" width="11.125" style="338"/>
    <col min="45" max="46" width="17.375" style="338" customWidth="1"/>
    <col min="47" max="47" width="27.125" style="338" customWidth="1"/>
    <col min="48" max="16384" width="11.125" style="338"/>
  </cols>
  <sheetData>
    <row r="1" spans="1:63" s="2" customFormat="1" ht="25.15" customHeight="1">
      <c r="A1" s="1" t="s">
        <v>0</v>
      </c>
      <c r="E1" s="3"/>
      <c r="H1" s="4" t="s">
        <v>1</v>
      </c>
      <c r="J1" s="3"/>
    </row>
    <row r="2" spans="1:63" s="2" customFormat="1" ht="25.15" customHeight="1">
      <c r="A2" s="5" t="s">
        <v>6</v>
      </c>
      <c r="B2" s="6"/>
      <c r="D2" s="7"/>
      <c r="E2" s="3"/>
    </row>
    <row r="3" spans="1:63" s="9" customFormat="1" ht="25.15" customHeight="1" thickBot="1">
      <c r="A3" s="8" t="s">
        <v>2</v>
      </c>
      <c r="D3" s="10"/>
      <c r="E3" s="11"/>
    </row>
    <row r="4" spans="1:63" ht="25.15" customHeight="1">
      <c r="A4" s="549"/>
      <c r="B4" s="550" t="s">
        <v>1906</v>
      </c>
      <c r="C4" s="550"/>
      <c r="D4" s="550"/>
      <c r="E4" s="550"/>
      <c r="F4" s="550"/>
      <c r="G4" s="251"/>
      <c r="H4" s="551"/>
      <c r="I4" s="552"/>
      <c r="J4" s="549"/>
      <c r="K4" s="549"/>
      <c r="L4" s="549"/>
      <c r="M4" s="549"/>
      <c r="N4" s="549"/>
      <c r="O4" s="549"/>
      <c r="P4" s="549"/>
      <c r="Q4" s="549"/>
      <c r="R4" s="551"/>
      <c r="S4" s="551"/>
      <c r="T4" s="551"/>
      <c r="U4" s="551"/>
      <c r="V4" s="551"/>
    </row>
    <row r="5" spans="1:63" s="553" customFormat="1" ht="25.15" customHeight="1">
      <c r="B5" s="95" t="s">
        <v>1663</v>
      </c>
      <c r="C5" s="95"/>
      <c r="D5" s="95"/>
      <c r="E5" s="95"/>
      <c r="F5" s="95" t="s">
        <v>463</v>
      </c>
      <c r="G5" s="95"/>
      <c r="J5" s="2548"/>
      <c r="K5" s="2548"/>
      <c r="L5" s="2548"/>
      <c r="M5" s="2548"/>
      <c r="N5" s="2548"/>
      <c r="O5" s="2548"/>
      <c r="P5" s="2548"/>
      <c r="Q5" s="2548"/>
      <c r="R5" s="2548"/>
      <c r="S5" s="2548"/>
      <c r="T5" s="2548"/>
      <c r="U5" s="2548"/>
      <c r="V5" s="2548"/>
      <c r="W5" s="556"/>
      <c r="X5" s="556"/>
      <c r="Y5" s="556"/>
      <c r="Z5" s="556"/>
      <c r="AA5" s="556"/>
      <c r="AB5" s="556"/>
      <c r="AC5" s="556"/>
      <c r="AD5" s="556"/>
      <c r="AE5" s="556"/>
      <c r="AF5" s="556"/>
      <c r="AG5" s="556"/>
      <c r="AH5" s="555"/>
      <c r="AI5" s="556"/>
      <c r="AJ5" s="556"/>
      <c r="AK5" s="556"/>
      <c r="AL5" s="556"/>
      <c r="AM5" s="556"/>
      <c r="AN5" s="556"/>
      <c r="AO5" s="556"/>
      <c r="AP5" s="556"/>
      <c r="AQ5" s="556"/>
      <c r="AR5" s="556"/>
      <c r="AS5" s="556"/>
      <c r="AT5" s="556"/>
      <c r="AU5" s="556"/>
      <c r="AV5" s="555"/>
      <c r="AW5" s="555"/>
      <c r="AX5" s="556"/>
      <c r="AY5" s="556"/>
      <c r="AZ5" s="556"/>
      <c r="BA5" s="556"/>
      <c r="BB5" s="556"/>
      <c r="BC5" s="556"/>
      <c r="BD5" s="556"/>
      <c r="BE5" s="556"/>
      <c r="BF5" s="556"/>
      <c r="BG5" s="556"/>
      <c r="BH5" s="556"/>
      <c r="BI5" s="556"/>
      <c r="BJ5" s="556"/>
      <c r="BK5" s="555"/>
    </row>
    <row r="6" spans="1:63" s="553" customFormat="1" ht="15" customHeight="1">
      <c r="B6" s="95"/>
      <c r="C6" s="95"/>
      <c r="D6" s="95"/>
      <c r="E6" s="95"/>
      <c r="F6" s="95"/>
      <c r="G6" s="95"/>
      <c r="J6" s="2548"/>
      <c r="K6" s="2548"/>
      <c r="L6" s="2548"/>
      <c r="M6" s="2548"/>
      <c r="N6" s="2548"/>
      <c r="O6" s="2548"/>
      <c r="P6" s="2548"/>
      <c r="Q6" s="2548"/>
      <c r="R6" s="2548"/>
      <c r="S6" s="2548"/>
      <c r="T6" s="2548"/>
      <c r="U6" s="2548"/>
      <c r="V6" s="2548"/>
      <c r="W6" s="556"/>
      <c r="X6" s="556"/>
      <c r="Y6" s="556"/>
      <c r="Z6" s="556"/>
      <c r="AA6" s="556"/>
      <c r="AB6" s="556"/>
      <c r="AC6" s="556"/>
      <c r="AD6" s="556"/>
      <c r="AE6" s="556"/>
      <c r="AF6" s="556"/>
      <c r="AG6" s="556"/>
      <c r="AH6" s="555"/>
      <c r="AI6" s="556"/>
      <c r="AJ6" s="556"/>
      <c r="AK6" s="556"/>
      <c r="AL6" s="556"/>
      <c r="AM6" s="556"/>
      <c r="AN6" s="556"/>
      <c r="AO6" s="556"/>
      <c r="AP6" s="556"/>
      <c r="AQ6" s="556"/>
      <c r="AR6" s="556"/>
      <c r="AS6" s="556"/>
      <c r="AT6" s="556"/>
      <c r="AU6" s="556"/>
      <c r="AV6" s="555"/>
      <c r="AW6" s="555"/>
      <c r="AX6" s="556"/>
      <c r="AY6" s="556"/>
      <c r="AZ6" s="556"/>
      <c r="BA6" s="556"/>
      <c r="BB6" s="556"/>
      <c r="BC6" s="556"/>
      <c r="BD6" s="556"/>
      <c r="BE6" s="556"/>
      <c r="BF6" s="556"/>
      <c r="BG6" s="556"/>
      <c r="BH6" s="556"/>
      <c r="BI6" s="556"/>
      <c r="BJ6" s="556"/>
      <c r="BK6" s="555"/>
    </row>
    <row r="7" spans="1:63" s="553" customFormat="1" ht="15" customHeight="1" thickBot="1">
      <c r="B7" s="95"/>
      <c r="C7" s="95"/>
      <c r="D7" s="95"/>
      <c r="E7" s="95"/>
      <c r="F7" s="95"/>
      <c r="G7" s="95"/>
      <c r="J7" s="95"/>
      <c r="K7" s="554"/>
      <c r="L7" s="555"/>
      <c r="M7" s="555"/>
      <c r="N7" s="555"/>
      <c r="O7" s="555"/>
      <c r="P7" s="555"/>
      <c r="Q7" s="555"/>
      <c r="R7" s="555"/>
      <c r="S7" s="555"/>
      <c r="T7" s="556"/>
      <c r="U7" s="556"/>
      <c r="V7" s="556"/>
      <c r="W7" s="556"/>
      <c r="X7" s="556"/>
      <c r="Y7" s="556"/>
      <c r="Z7" s="556"/>
      <c r="AA7" s="556"/>
      <c r="AB7" s="556"/>
      <c r="AC7" s="556"/>
      <c r="AD7" s="556"/>
      <c r="AE7" s="556"/>
      <c r="AF7" s="556"/>
      <c r="AG7" s="556"/>
      <c r="AH7" s="555"/>
      <c r="AI7" s="556"/>
      <c r="AJ7" s="556"/>
      <c r="AK7" s="556"/>
      <c r="AL7" s="556"/>
      <c r="AM7" s="556"/>
      <c r="AN7" s="556"/>
      <c r="AO7" s="556"/>
      <c r="AP7" s="556"/>
      <c r="AQ7" s="556"/>
      <c r="AR7" s="556"/>
      <c r="AS7" s="556"/>
      <c r="AT7" s="556"/>
      <c r="AU7" s="556"/>
      <c r="AV7" s="555"/>
      <c r="AW7" s="555"/>
      <c r="AX7" s="556"/>
      <c r="AY7" s="556"/>
      <c r="AZ7" s="556"/>
      <c r="BA7" s="556"/>
      <c r="BB7" s="556"/>
      <c r="BC7" s="556"/>
      <c r="BD7" s="556"/>
      <c r="BE7" s="556"/>
      <c r="BF7" s="556"/>
      <c r="BG7" s="556"/>
      <c r="BH7" s="556"/>
      <c r="BI7" s="556"/>
      <c r="BJ7" s="556"/>
      <c r="BK7" s="555"/>
    </row>
    <row r="8" spans="1:63" ht="30" customHeight="1" thickBot="1">
      <c r="A8" s="258"/>
      <c r="B8" s="640" t="s">
        <v>1907</v>
      </c>
      <c r="C8" s="558"/>
      <c r="D8" s="558"/>
      <c r="E8" s="558"/>
      <c r="F8" s="558"/>
      <c r="G8" s="559"/>
      <c r="H8" s="294"/>
      <c r="I8" s="105" t="s">
        <v>1864</v>
      </c>
      <c r="J8" s="106"/>
      <c r="K8" s="106"/>
      <c r="L8" s="106"/>
      <c r="M8" s="106"/>
      <c r="N8" s="106"/>
      <c r="O8" s="106"/>
      <c r="P8" s="106"/>
      <c r="Q8" s="106"/>
      <c r="R8" s="105"/>
      <c r="S8" s="105"/>
      <c r="T8" s="105"/>
      <c r="U8" s="105"/>
      <c r="V8" s="187"/>
    </row>
    <row r="9" spans="1:63" ht="30" customHeight="1">
      <c r="A9" s="258"/>
      <c r="B9" s="560"/>
      <c r="C9" s="561"/>
      <c r="D9" s="561"/>
      <c r="E9" s="561"/>
      <c r="F9" s="561"/>
      <c r="G9" s="561"/>
      <c r="H9" s="259"/>
      <c r="I9" s="562"/>
      <c r="J9" s="563" t="s">
        <v>1666</v>
      </c>
      <c r="K9" s="564"/>
      <c r="L9" s="564"/>
      <c r="M9" s="564"/>
      <c r="N9" s="564"/>
      <c r="O9" s="564"/>
      <c r="P9" s="564"/>
      <c r="Q9" s="565"/>
      <c r="R9" s="567" t="s">
        <v>2</v>
      </c>
      <c r="S9" s="567"/>
      <c r="T9" s="567"/>
      <c r="U9" s="567"/>
      <c r="V9" s="568"/>
    </row>
    <row r="10" spans="1:63" ht="13.5" customHeight="1">
      <c r="A10" s="258"/>
      <c r="B10" s="572"/>
      <c r="C10" s="339"/>
      <c r="D10" s="339"/>
      <c r="E10" s="339"/>
      <c r="F10" s="339"/>
      <c r="G10" s="339"/>
      <c r="H10" s="259"/>
      <c r="I10" s="571" t="s">
        <v>1745</v>
      </c>
      <c r="J10" s="158" t="s">
        <v>453</v>
      </c>
      <c r="K10" s="137" t="s">
        <v>455</v>
      </c>
      <c r="L10" s="137" t="s">
        <v>457</v>
      </c>
      <c r="M10" s="137" t="s">
        <v>459</v>
      </c>
      <c r="N10" s="137" t="s">
        <v>461</v>
      </c>
      <c r="O10" s="137" t="s">
        <v>463</v>
      </c>
      <c r="P10" s="137" t="s">
        <v>465</v>
      </c>
      <c r="Q10" s="138" t="s">
        <v>467</v>
      </c>
      <c r="R10" s="242" t="s">
        <v>469</v>
      </c>
      <c r="S10" s="121" t="s">
        <v>471</v>
      </c>
      <c r="T10" s="121" t="s">
        <v>473</v>
      </c>
      <c r="U10" s="121" t="s">
        <v>475</v>
      </c>
      <c r="V10" s="122" t="s">
        <v>477</v>
      </c>
    </row>
    <row r="11" spans="1:63" ht="13.5" customHeight="1">
      <c r="A11" s="258"/>
      <c r="B11" s="572"/>
      <c r="C11" s="623" t="s">
        <v>1907</v>
      </c>
      <c r="D11" s="591"/>
      <c r="E11" s="591"/>
      <c r="F11" s="591"/>
      <c r="G11" s="339"/>
      <c r="H11" s="259"/>
      <c r="I11" s="260"/>
      <c r="J11" s="295"/>
      <c r="K11" s="259"/>
      <c r="L11" s="259"/>
      <c r="M11" s="259"/>
      <c r="N11" s="259"/>
      <c r="O11" s="259"/>
      <c r="P11" s="259"/>
      <c r="Q11" s="296"/>
      <c r="R11" s="259"/>
      <c r="S11" s="259"/>
      <c r="T11" s="259"/>
      <c r="U11" s="259"/>
      <c r="V11" s="296"/>
    </row>
    <row r="12" spans="1:63" ht="13.5" customHeight="1">
      <c r="A12" s="258"/>
      <c r="B12" s="349"/>
      <c r="C12" s="339"/>
      <c r="D12" s="339" t="s">
        <v>1908</v>
      </c>
      <c r="E12" s="339"/>
      <c r="F12" s="339"/>
      <c r="G12" s="339"/>
      <c r="H12" s="339"/>
      <c r="I12" s="576" t="s">
        <v>498</v>
      </c>
      <c r="J12" s="297">
        <v>0</v>
      </c>
      <c r="K12" s="298">
        <v>0</v>
      </c>
      <c r="L12" s="298">
        <v>0</v>
      </c>
      <c r="M12" s="298">
        <v>0</v>
      </c>
      <c r="N12" s="298">
        <v>0</v>
      </c>
      <c r="O12" s="298">
        <v>0</v>
      </c>
      <c r="P12" s="298">
        <v>0</v>
      </c>
      <c r="Q12" s="299">
        <v>0</v>
      </c>
      <c r="R12" s="460">
        <v>0</v>
      </c>
      <c r="S12" s="298">
        <v>0</v>
      </c>
      <c r="T12" s="298">
        <v>0</v>
      </c>
      <c r="U12" s="298">
        <v>0</v>
      </c>
      <c r="V12" s="299">
        <v>0</v>
      </c>
    </row>
    <row r="13" spans="1:63" ht="13.5" customHeight="1">
      <c r="A13" s="258"/>
      <c r="B13" s="349"/>
      <c r="C13" s="339"/>
      <c r="D13" s="339" t="s">
        <v>1909</v>
      </c>
      <c r="E13" s="339"/>
      <c r="F13" s="339"/>
      <c r="G13" s="339"/>
      <c r="H13" s="339"/>
      <c r="I13" s="576" t="s">
        <v>498</v>
      </c>
      <c r="J13" s="297">
        <v>0</v>
      </c>
      <c r="K13" s="298">
        <v>0</v>
      </c>
      <c r="L13" s="298">
        <v>0</v>
      </c>
      <c r="M13" s="298">
        <v>0</v>
      </c>
      <c r="N13" s="298">
        <v>0</v>
      </c>
      <c r="O13" s="298">
        <v>0</v>
      </c>
      <c r="P13" s="298">
        <v>0</v>
      </c>
      <c r="Q13" s="299">
        <v>0</v>
      </c>
      <c r="R13" s="460">
        <v>0</v>
      </c>
      <c r="S13" s="298">
        <v>0</v>
      </c>
      <c r="T13" s="298">
        <v>0</v>
      </c>
      <c r="U13" s="298">
        <v>0</v>
      </c>
      <c r="V13" s="299">
        <v>0</v>
      </c>
    </row>
    <row r="14" spans="1:63" ht="13.5" customHeight="1">
      <c r="A14" s="258"/>
      <c r="B14" s="349"/>
      <c r="C14" s="339"/>
      <c r="D14" s="339" t="s">
        <v>1910</v>
      </c>
      <c r="E14" s="339"/>
      <c r="F14" s="339"/>
      <c r="G14" s="339"/>
      <c r="H14" s="339"/>
      <c r="I14" s="576" t="s">
        <v>498</v>
      </c>
      <c r="J14" s="297">
        <v>0</v>
      </c>
      <c r="K14" s="298">
        <v>0</v>
      </c>
      <c r="L14" s="298">
        <v>0</v>
      </c>
      <c r="M14" s="298">
        <v>0</v>
      </c>
      <c r="N14" s="298">
        <v>0</v>
      </c>
      <c r="O14" s="298">
        <v>0</v>
      </c>
      <c r="P14" s="298">
        <v>0</v>
      </c>
      <c r="Q14" s="299">
        <v>0</v>
      </c>
      <c r="R14" s="460">
        <v>0</v>
      </c>
      <c r="S14" s="298">
        <v>0</v>
      </c>
      <c r="T14" s="298">
        <v>0</v>
      </c>
      <c r="U14" s="298">
        <v>0</v>
      </c>
      <c r="V14" s="299">
        <v>0</v>
      </c>
    </row>
    <row r="15" spans="1:63" ht="13.5" customHeight="1">
      <c r="A15" s="258"/>
      <c r="B15" s="349"/>
      <c r="C15" s="339"/>
      <c r="D15" s="339" t="s">
        <v>1911</v>
      </c>
      <c r="E15" s="339"/>
      <c r="F15" s="339"/>
      <c r="G15" s="339"/>
      <c r="H15" s="339"/>
      <c r="I15" s="576" t="s">
        <v>498</v>
      </c>
      <c r="J15" s="297">
        <v>0</v>
      </c>
      <c r="K15" s="298">
        <v>0</v>
      </c>
      <c r="L15" s="298">
        <v>0</v>
      </c>
      <c r="M15" s="298">
        <v>0</v>
      </c>
      <c r="N15" s="298">
        <v>0</v>
      </c>
      <c r="O15" s="298">
        <v>0</v>
      </c>
      <c r="P15" s="298">
        <v>0</v>
      </c>
      <c r="Q15" s="299">
        <v>0</v>
      </c>
      <c r="R15" s="460">
        <v>0</v>
      </c>
      <c r="S15" s="298">
        <v>0</v>
      </c>
      <c r="T15" s="298">
        <v>0</v>
      </c>
      <c r="U15" s="298">
        <v>0</v>
      </c>
      <c r="V15" s="299">
        <v>0</v>
      </c>
    </row>
    <row r="16" spans="1:63" ht="13.5" customHeight="1">
      <c r="A16" s="258"/>
      <c r="B16" s="349"/>
      <c r="C16" s="339"/>
      <c r="D16" s="339" t="s">
        <v>1912</v>
      </c>
      <c r="E16" s="339"/>
      <c r="F16" s="339"/>
      <c r="G16" s="339"/>
      <c r="H16" s="339"/>
      <c r="I16" s="576" t="s">
        <v>498</v>
      </c>
      <c r="J16" s="297">
        <v>0</v>
      </c>
      <c r="K16" s="298">
        <v>0</v>
      </c>
      <c r="L16" s="298">
        <v>0</v>
      </c>
      <c r="M16" s="298">
        <v>0</v>
      </c>
      <c r="N16" s="298">
        <v>0</v>
      </c>
      <c r="O16" s="298">
        <v>0</v>
      </c>
      <c r="P16" s="298">
        <v>0</v>
      </c>
      <c r="Q16" s="299">
        <v>0</v>
      </c>
      <c r="R16" s="460">
        <v>0</v>
      </c>
      <c r="S16" s="298">
        <v>0</v>
      </c>
      <c r="T16" s="298">
        <v>0</v>
      </c>
      <c r="U16" s="298">
        <v>0</v>
      </c>
      <c r="V16" s="299">
        <v>0</v>
      </c>
    </row>
    <row r="17" spans="1:22" ht="13.5" customHeight="1">
      <c r="A17" s="258"/>
      <c r="B17" s="349"/>
      <c r="C17" s="339"/>
      <c r="D17" s="339" t="s">
        <v>1913</v>
      </c>
      <c r="E17" s="339"/>
      <c r="F17" s="339"/>
      <c r="G17" s="339"/>
      <c r="H17" s="339"/>
      <c r="I17" s="576" t="s">
        <v>498</v>
      </c>
      <c r="J17" s="297">
        <v>0</v>
      </c>
      <c r="K17" s="298">
        <v>0</v>
      </c>
      <c r="L17" s="298">
        <v>0</v>
      </c>
      <c r="M17" s="298">
        <v>0</v>
      </c>
      <c r="N17" s="298">
        <v>0</v>
      </c>
      <c r="O17" s="298">
        <v>0</v>
      </c>
      <c r="P17" s="298">
        <v>0</v>
      </c>
      <c r="Q17" s="299">
        <v>0</v>
      </c>
      <c r="R17" s="460">
        <v>0</v>
      </c>
      <c r="S17" s="298">
        <v>0</v>
      </c>
      <c r="T17" s="298">
        <v>0</v>
      </c>
      <c r="U17" s="298">
        <v>0</v>
      </c>
      <c r="V17" s="299">
        <v>0</v>
      </c>
    </row>
    <row r="18" spans="1:22" ht="13.5" customHeight="1">
      <c r="A18" s="258"/>
      <c r="B18" s="349"/>
      <c r="C18" s="339"/>
      <c r="D18" s="339" t="s">
        <v>85</v>
      </c>
      <c r="E18" s="339"/>
      <c r="F18" s="339"/>
      <c r="G18" s="293"/>
      <c r="H18" s="339"/>
      <c r="I18" s="576" t="s">
        <v>498</v>
      </c>
      <c r="J18" s="297">
        <v>0</v>
      </c>
      <c r="K18" s="298">
        <v>0</v>
      </c>
      <c r="L18" s="298">
        <v>0</v>
      </c>
      <c r="M18" s="298">
        <v>0</v>
      </c>
      <c r="N18" s="298">
        <v>0</v>
      </c>
      <c r="O18" s="298">
        <v>0</v>
      </c>
      <c r="P18" s="298">
        <v>0</v>
      </c>
      <c r="Q18" s="299">
        <v>0</v>
      </c>
      <c r="R18" s="460">
        <v>0</v>
      </c>
      <c r="S18" s="298">
        <v>0</v>
      </c>
      <c r="T18" s="298">
        <v>0</v>
      </c>
      <c r="U18" s="298">
        <v>0</v>
      </c>
      <c r="V18" s="299">
        <v>0</v>
      </c>
    </row>
    <row r="19" spans="1:22" ht="13.5" customHeight="1">
      <c r="A19" s="258"/>
      <c r="B19" s="349"/>
      <c r="C19" s="339"/>
      <c r="D19" s="339" t="s">
        <v>85</v>
      </c>
      <c r="E19" s="339"/>
      <c r="F19" s="339"/>
      <c r="G19" s="293"/>
      <c r="H19" s="339"/>
      <c r="I19" s="576" t="s">
        <v>498</v>
      </c>
      <c r="J19" s="297">
        <v>0</v>
      </c>
      <c r="K19" s="298">
        <v>0</v>
      </c>
      <c r="L19" s="298">
        <v>0</v>
      </c>
      <c r="M19" s="298">
        <v>0</v>
      </c>
      <c r="N19" s="298">
        <v>0</v>
      </c>
      <c r="O19" s="298">
        <v>0</v>
      </c>
      <c r="P19" s="298">
        <v>0</v>
      </c>
      <c r="Q19" s="299">
        <v>0</v>
      </c>
      <c r="R19" s="460">
        <v>0</v>
      </c>
      <c r="S19" s="298">
        <v>0</v>
      </c>
      <c r="T19" s="298">
        <v>0</v>
      </c>
      <c r="U19" s="298">
        <v>0</v>
      </c>
      <c r="V19" s="299">
        <v>0</v>
      </c>
    </row>
    <row r="20" spans="1:22" ht="13.5" customHeight="1">
      <c r="A20" s="258"/>
      <c r="B20" s="349"/>
      <c r="C20" s="339"/>
      <c r="D20" s="339" t="s">
        <v>85</v>
      </c>
      <c r="E20" s="339"/>
      <c r="F20" s="339"/>
      <c r="G20" s="293"/>
      <c r="H20" s="339"/>
      <c r="I20" s="576" t="s">
        <v>498</v>
      </c>
      <c r="J20" s="297">
        <v>0</v>
      </c>
      <c r="K20" s="298">
        <v>0</v>
      </c>
      <c r="L20" s="298">
        <v>0</v>
      </c>
      <c r="M20" s="298">
        <v>0</v>
      </c>
      <c r="N20" s="298">
        <v>0</v>
      </c>
      <c r="O20" s="298">
        <v>0</v>
      </c>
      <c r="P20" s="298">
        <v>0</v>
      </c>
      <c r="Q20" s="299">
        <v>0</v>
      </c>
      <c r="R20" s="460">
        <v>0</v>
      </c>
      <c r="S20" s="298">
        <v>0</v>
      </c>
      <c r="T20" s="298">
        <v>0</v>
      </c>
      <c r="U20" s="298">
        <v>0</v>
      </c>
      <c r="V20" s="299">
        <v>0</v>
      </c>
    </row>
    <row r="21" spans="1:22" ht="13.5" customHeight="1">
      <c r="A21" s="258"/>
      <c r="B21" s="349"/>
      <c r="C21" s="339"/>
      <c r="D21" s="339" t="s">
        <v>85</v>
      </c>
      <c r="E21" s="339"/>
      <c r="F21" s="339"/>
      <c r="G21" s="293"/>
      <c r="H21" s="339"/>
      <c r="I21" s="576" t="s">
        <v>498</v>
      </c>
      <c r="J21" s="297">
        <v>0</v>
      </c>
      <c r="K21" s="298">
        <v>0</v>
      </c>
      <c r="L21" s="298">
        <v>0</v>
      </c>
      <c r="M21" s="298">
        <v>0</v>
      </c>
      <c r="N21" s="298">
        <v>0</v>
      </c>
      <c r="O21" s="298">
        <v>0</v>
      </c>
      <c r="P21" s="298">
        <v>0</v>
      </c>
      <c r="Q21" s="299">
        <v>0</v>
      </c>
      <c r="R21" s="460">
        <v>0</v>
      </c>
      <c r="S21" s="298">
        <v>0</v>
      </c>
      <c r="T21" s="298">
        <v>0</v>
      </c>
      <c r="U21" s="298">
        <v>0</v>
      </c>
      <c r="V21" s="299">
        <v>0</v>
      </c>
    </row>
    <row r="22" spans="1:22" ht="13.5" customHeight="1">
      <c r="A22" s="258"/>
      <c r="B22" s="349"/>
      <c r="C22" s="339"/>
      <c r="D22" s="339" t="s">
        <v>85</v>
      </c>
      <c r="E22" s="339"/>
      <c r="F22" s="339"/>
      <c r="G22" s="293"/>
      <c r="H22" s="339"/>
      <c r="I22" s="576" t="s">
        <v>498</v>
      </c>
      <c r="J22" s="297">
        <v>0</v>
      </c>
      <c r="K22" s="298">
        <v>0</v>
      </c>
      <c r="L22" s="298">
        <v>0</v>
      </c>
      <c r="M22" s="298">
        <v>0</v>
      </c>
      <c r="N22" s="298">
        <v>0</v>
      </c>
      <c r="O22" s="298">
        <v>0</v>
      </c>
      <c r="P22" s="298">
        <v>0</v>
      </c>
      <c r="Q22" s="299">
        <v>0</v>
      </c>
      <c r="R22" s="460">
        <v>0</v>
      </c>
      <c r="S22" s="298">
        <v>0</v>
      </c>
      <c r="T22" s="298">
        <v>0</v>
      </c>
      <c r="U22" s="298">
        <v>0</v>
      </c>
      <c r="V22" s="299">
        <v>0</v>
      </c>
    </row>
    <row r="23" spans="1:22" ht="13.5" customHeight="1">
      <c r="A23" s="258"/>
      <c r="B23" s="349"/>
      <c r="C23" s="339"/>
      <c r="D23" s="339" t="s">
        <v>85</v>
      </c>
      <c r="E23" s="339"/>
      <c r="F23" s="339"/>
      <c r="G23" s="293"/>
      <c r="H23" s="339"/>
      <c r="I23" s="576" t="s">
        <v>498</v>
      </c>
      <c r="J23" s="297">
        <v>0</v>
      </c>
      <c r="K23" s="298">
        <v>0</v>
      </c>
      <c r="L23" s="298">
        <v>0</v>
      </c>
      <c r="M23" s="298">
        <v>0</v>
      </c>
      <c r="N23" s="298">
        <v>0</v>
      </c>
      <c r="O23" s="298">
        <v>0</v>
      </c>
      <c r="P23" s="298">
        <v>0</v>
      </c>
      <c r="Q23" s="299">
        <v>0</v>
      </c>
      <c r="R23" s="460">
        <v>0</v>
      </c>
      <c r="S23" s="298">
        <v>0</v>
      </c>
      <c r="T23" s="298">
        <v>0</v>
      </c>
      <c r="U23" s="298">
        <v>0</v>
      </c>
      <c r="V23" s="299">
        <v>0</v>
      </c>
    </row>
    <row r="24" spans="1:22" ht="13.5" customHeight="1">
      <c r="A24" s="258"/>
      <c r="B24" s="349"/>
      <c r="C24" s="339"/>
      <c r="D24" s="339" t="s">
        <v>85</v>
      </c>
      <c r="E24" s="339"/>
      <c r="F24" s="339"/>
      <c r="G24" s="293"/>
      <c r="H24" s="339"/>
      <c r="I24" s="576" t="s">
        <v>498</v>
      </c>
      <c r="J24" s="297">
        <v>0</v>
      </c>
      <c r="K24" s="298">
        <v>0</v>
      </c>
      <c r="L24" s="298">
        <v>0</v>
      </c>
      <c r="M24" s="298">
        <v>0</v>
      </c>
      <c r="N24" s="298">
        <v>0</v>
      </c>
      <c r="O24" s="298">
        <v>0</v>
      </c>
      <c r="P24" s="298">
        <v>0</v>
      </c>
      <c r="Q24" s="299">
        <v>0</v>
      </c>
      <c r="R24" s="460">
        <v>0</v>
      </c>
      <c r="S24" s="298">
        <v>0</v>
      </c>
      <c r="T24" s="298">
        <v>0</v>
      </c>
      <c r="U24" s="298">
        <v>0</v>
      </c>
      <c r="V24" s="299">
        <v>0</v>
      </c>
    </row>
    <row r="25" spans="1:22" ht="13.5" customHeight="1">
      <c r="A25" s="258"/>
      <c r="B25" s="349"/>
      <c r="C25" s="339"/>
      <c r="D25" s="339" t="s">
        <v>85</v>
      </c>
      <c r="E25" s="339"/>
      <c r="F25" s="339"/>
      <c r="G25" s="293"/>
      <c r="H25" s="339"/>
      <c r="I25" s="576" t="s">
        <v>498</v>
      </c>
      <c r="J25" s="297">
        <v>0</v>
      </c>
      <c r="K25" s="298">
        <v>0</v>
      </c>
      <c r="L25" s="298">
        <v>0</v>
      </c>
      <c r="M25" s="298">
        <v>0</v>
      </c>
      <c r="N25" s="298">
        <v>0</v>
      </c>
      <c r="O25" s="298">
        <v>0</v>
      </c>
      <c r="P25" s="298">
        <v>0</v>
      </c>
      <c r="Q25" s="299">
        <v>0</v>
      </c>
      <c r="R25" s="460">
        <v>0</v>
      </c>
      <c r="S25" s="298">
        <v>0</v>
      </c>
      <c r="T25" s="298">
        <v>0</v>
      </c>
      <c r="U25" s="298">
        <v>0</v>
      </c>
      <c r="V25" s="299">
        <v>0</v>
      </c>
    </row>
    <row r="26" spans="1:22" ht="13.5" customHeight="1">
      <c r="B26" s="349"/>
      <c r="C26" s="339" t="s">
        <v>1710</v>
      </c>
      <c r="D26" s="623"/>
      <c r="E26" s="623"/>
      <c r="F26" s="623"/>
      <c r="G26" s="625"/>
      <c r="H26" s="339"/>
      <c r="I26" s="576" t="s">
        <v>498</v>
      </c>
      <c r="J26" s="631">
        <f t="shared" ref="J26:V26" si="0">SUM(J12:J25)</f>
        <v>0</v>
      </c>
      <c r="K26" s="632">
        <f t="shared" si="0"/>
        <v>0</v>
      </c>
      <c r="L26" s="632">
        <f t="shared" si="0"/>
        <v>0</v>
      </c>
      <c r="M26" s="632">
        <f t="shared" si="0"/>
        <v>0</v>
      </c>
      <c r="N26" s="632">
        <f t="shared" si="0"/>
        <v>0</v>
      </c>
      <c r="O26" s="632">
        <f t="shared" si="0"/>
        <v>0</v>
      </c>
      <c r="P26" s="632">
        <f t="shared" si="0"/>
        <v>0</v>
      </c>
      <c r="Q26" s="633">
        <f t="shared" si="0"/>
        <v>0</v>
      </c>
      <c r="R26" s="989">
        <f t="shared" si="0"/>
        <v>0</v>
      </c>
      <c r="S26" s="632">
        <f t="shared" si="0"/>
        <v>0</v>
      </c>
      <c r="T26" s="632">
        <f t="shared" si="0"/>
        <v>0</v>
      </c>
      <c r="U26" s="632">
        <f t="shared" si="0"/>
        <v>0</v>
      </c>
      <c r="V26" s="633">
        <f t="shared" si="0"/>
        <v>0</v>
      </c>
    </row>
    <row r="27" spans="1:22" ht="13.5" customHeight="1">
      <c r="B27" s="349"/>
      <c r="C27" s="339"/>
      <c r="D27" s="339"/>
      <c r="E27" s="339"/>
      <c r="F27" s="339"/>
      <c r="G27" s="339"/>
      <c r="H27" s="339"/>
      <c r="I27" s="339"/>
      <c r="J27" s="349"/>
      <c r="K27" s="339"/>
      <c r="L27" s="339"/>
      <c r="M27" s="339"/>
      <c r="N27" s="339"/>
      <c r="O27" s="339"/>
      <c r="P27" s="339"/>
      <c r="Q27" s="353"/>
      <c r="R27" s="339"/>
      <c r="S27" s="339"/>
      <c r="T27" s="339"/>
      <c r="U27" s="339"/>
      <c r="V27" s="353"/>
    </row>
    <row r="28" spans="1:22" ht="13.5" customHeight="1">
      <c r="B28" s="349"/>
      <c r="C28" s="339"/>
      <c r="D28" s="339" t="s">
        <v>1894</v>
      </c>
      <c r="E28" s="339"/>
      <c r="F28" s="339"/>
      <c r="G28" s="339"/>
      <c r="H28" s="339"/>
      <c r="I28" s="576" t="s">
        <v>498</v>
      </c>
      <c r="J28" s="297">
        <v>0</v>
      </c>
      <c r="K28" s="298">
        <v>0</v>
      </c>
      <c r="L28" s="298">
        <v>0</v>
      </c>
      <c r="M28" s="298">
        <v>0</v>
      </c>
      <c r="N28" s="298">
        <v>0</v>
      </c>
      <c r="O28" s="298">
        <v>0</v>
      </c>
      <c r="P28" s="298">
        <v>0</v>
      </c>
      <c r="Q28" s="299">
        <v>0</v>
      </c>
      <c r="R28" s="460">
        <v>0</v>
      </c>
      <c r="S28" s="298">
        <v>0</v>
      </c>
      <c r="T28" s="298">
        <v>0</v>
      </c>
      <c r="U28" s="298">
        <v>0</v>
      </c>
      <c r="V28" s="299">
        <v>0</v>
      </c>
    </row>
    <row r="29" spans="1:22" ht="13.5" customHeight="1">
      <c r="B29" s="349"/>
      <c r="C29" s="339"/>
      <c r="D29" s="339" t="s">
        <v>1914</v>
      </c>
      <c r="E29" s="339"/>
      <c r="F29" s="339"/>
      <c r="G29" s="339"/>
      <c r="H29" s="339"/>
      <c r="I29" s="576" t="s">
        <v>498</v>
      </c>
      <c r="J29" s="297">
        <v>0</v>
      </c>
      <c r="K29" s="298">
        <v>0</v>
      </c>
      <c r="L29" s="298">
        <v>0</v>
      </c>
      <c r="M29" s="298">
        <v>0</v>
      </c>
      <c r="N29" s="298">
        <v>0</v>
      </c>
      <c r="O29" s="298">
        <v>0</v>
      </c>
      <c r="P29" s="298">
        <v>0</v>
      </c>
      <c r="Q29" s="299">
        <v>0</v>
      </c>
      <c r="R29" s="460">
        <v>0</v>
      </c>
      <c r="S29" s="298">
        <v>0</v>
      </c>
      <c r="T29" s="298">
        <v>0</v>
      </c>
      <c r="U29" s="298">
        <v>0</v>
      </c>
      <c r="V29" s="299">
        <v>0</v>
      </c>
    </row>
    <row r="30" spans="1:22" ht="13.5" customHeight="1">
      <c r="B30" s="349"/>
      <c r="C30" s="339"/>
      <c r="D30" s="339"/>
      <c r="E30" s="339"/>
      <c r="F30" s="339"/>
      <c r="G30" s="339"/>
      <c r="H30" s="339"/>
      <c r="I30" s="339"/>
      <c r="J30" s="349"/>
      <c r="K30" s="339"/>
      <c r="L30" s="339"/>
      <c r="M30" s="339"/>
      <c r="N30" s="339"/>
      <c r="O30" s="339"/>
      <c r="P30" s="339"/>
      <c r="Q30" s="353"/>
      <c r="R30" s="339"/>
      <c r="S30" s="339"/>
      <c r="T30" s="339"/>
      <c r="U30" s="339"/>
      <c r="V30" s="353"/>
    </row>
    <row r="31" spans="1:22" ht="13.5" customHeight="1" thickBot="1">
      <c r="B31" s="357" t="s">
        <v>1701</v>
      </c>
      <c r="C31" s="358"/>
      <c r="D31" s="358"/>
      <c r="E31" s="358"/>
      <c r="F31" s="358"/>
      <c r="G31" s="626"/>
      <c r="H31" s="358"/>
      <c r="I31" s="581" t="s">
        <v>498</v>
      </c>
      <c r="J31" s="637">
        <f>SUM(J26+J28+J29)</f>
        <v>0</v>
      </c>
      <c r="K31" s="638">
        <f t="shared" ref="K31:V31" si="1">SUM(K26+K28+K29)</f>
        <v>0</v>
      </c>
      <c r="L31" s="638">
        <f t="shared" si="1"/>
        <v>0</v>
      </c>
      <c r="M31" s="638">
        <f t="shared" si="1"/>
        <v>0</v>
      </c>
      <c r="N31" s="638">
        <f t="shared" si="1"/>
        <v>0</v>
      </c>
      <c r="O31" s="638">
        <f t="shared" si="1"/>
        <v>0</v>
      </c>
      <c r="P31" s="638">
        <f t="shared" si="1"/>
        <v>0</v>
      </c>
      <c r="Q31" s="639">
        <f t="shared" si="1"/>
        <v>0</v>
      </c>
      <c r="R31" s="1141">
        <f t="shared" si="1"/>
        <v>0</v>
      </c>
      <c r="S31" s="638">
        <f t="shared" si="1"/>
        <v>0</v>
      </c>
      <c r="T31" s="638">
        <f t="shared" si="1"/>
        <v>0</v>
      </c>
      <c r="U31" s="638">
        <f t="shared" si="1"/>
        <v>0</v>
      </c>
      <c r="V31" s="639">
        <f t="shared" si="1"/>
        <v>0</v>
      </c>
    </row>
    <row r="32" spans="1:22" ht="13.5" customHeight="1" thickBot="1"/>
    <row r="33" spans="1:22" ht="30" customHeight="1" thickBot="1">
      <c r="A33" s="258"/>
      <c r="B33" s="640" t="s">
        <v>1915</v>
      </c>
      <c r="C33" s="558"/>
      <c r="D33" s="558"/>
      <c r="E33" s="558"/>
      <c r="F33" s="558"/>
      <c r="G33" s="559"/>
      <c r="H33" s="294"/>
      <c r="I33" s="105" t="s">
        <v>1864</v>
      </c>
      <c r="J33" s="106"/>
      <c r="K33" s="106"/>
      <c r="L33" s="106"/>
      <c r="M33" s="106"/>
      <c r="N33" s="106"/>
      <c r="O33" s="106"/>
      <c r="P33" s="106"/>
      <c r="Q33" s="106"/>
      <c r="R33" s="105"/>
      <c r="S33" s="105"/>
      <c r="T33" s="105"/>
      <c r="U33" s="105"/>
      <c r="V33" s="187"/>
    </row>
    <row r="34" spans="1:22" ht="30" customHeight="1">
      <c r="A34" s="258"/>
      <c r="B34" s="560"/>
      <c r="C34" s="561"/>
      <c r="D34" s="561"/>
      <c r="E34" s="561"/>
      <c r="F34" s="561"/>
      <c r="G34" s="561"/>
      <c r="H34" s="259"/>
      <c r="I34" s="562"/>
      <c r="J34" s="563" t="s">
        <v>1666</v>
      </c>
      <c r="K34" s="564"/>
      <c r="L34" s="564"/>
      <c r="M34" s="564"/>
      <c r="N34" s="564"/>
      <c r="O34" s="564"/>
      <c r="P34" s="564"/>
      <c r="Q34" s="565"/>
      <c r="R34" s="567" t="s">
        <v>2</v>
      </c>
      <c r="S34" s="567"/>
      <c r="T34" s="567"/>
      <c r="U34" s="567"/>
      <c r="V34" s="568"/>
    </row>
    <row r="35" spans="1:22" ht="15">
      <c r="B35" s="572"/>
      <c r="C35" s="623"/>
      <c r="D35" s="339"/>
      <c r="E35" s="339"/>
      <c r="F35" s="339"/>
      <c r="G35" s="339"/>
      <c r="H35" s="259"/>
      <c r="I35" s="571" t="s">
        <v>1745</v>
      </c>
      <c r="J35" s="158" t="s">
        <v>453</v>
      </c>
      <c r="K35" s="137" t="s">
        <v>455</v>
      </c>
      <c r="L35" s="137" t="s">
        <v>457</v>
      </c>
      <c r="M35" s="137" t="s">
        <v>459</v>
      </c>
      <c r="N35" s="137" t="s">
        <v>461</v>
      </c>
      <c r="O35" s="137" t="s">
        <v>463</v>
      </c>
      <c r="P35" s="137" t="s">
        <v>465</v>
      </c>
      <c r="Q35" s="138" t="s">
        <v>467</v>
      </c>
      <c r="R35" s="242" t="s">
        <v>469</v>
      </c>
      <c r="S35" s="121" t="s">
        <v>471</v>
      </c>
      <c r="T35" s="121" t="s">
        <v>473</v>
      </c>
      <c r="U35" s="121" t="s">
        <v>475</v>
      </c>
      <c r="V35" s="122" t="s">
        <v>477</v>
      </c>
    </row>
    <row r="36" spans="1:22" ht="15">
      <c r="B36" s="572"/>
      <c r="C36" s="623" t="s">
        <v>1916</v>
      </c>
      <c r="D36" s="591"/>
      <c r="E36" s="591"/>
      <c r="F36" s="591"/>
      <c r="G36" s="339"/>
      <c r="H36" s="259"/>
      <c r="I36" s="260"/>
      <c r="J36" s="295"/>
      <c r="K36" s="259"/>
      <c r="L36" s="259"/>
      <c r="M36" s="259"/>
      <c r="N36" s="259"/>
      <c r="O36" s="259"/>
      <c r="P36" s="259"/>
      <c r="Q36" s="296"/>
      <c r="R36" s="259"/>
      <c r="S36" s="259"/>
      <c r="T36" s="259"/>
      <c r="U36" s="259"/>
      <c r="V36" s="296"/>
    </row>
    <row r="37" spans="1:22">
      <c r="B37" s="349"/>
      <c r="C37" s="339"/>
      <c r="D37" s="339" t="s">
        <v>1908</v>
      </c>
      <c r="E37" s="339"/>
      <c r="F37" s="339"/>
      <c r="G37" s="339"/>
      <c r="H37" s="339"/>
      <c r="I37" s="576" t="s">
        <v>498</v>
      </c>
      <c r="J37" s="297">
        <v>0.186</v>
      </c>
      <c r="K37" s="298">
        <v>0.26</v>
      </c>
      <c r="L37" s="298">
        <v>0.24</v>
      </c>
      <c r="M37" s="298">
        <v>0.29400000000000004</v>
      </c>
      <c r="N37" s="298">
        <v>0.23400000000000001</v>
      </c>
      <c r="O37" s="298">
        <v>0.16900000000000001</v>
      </c>
      <c r="P37" s="298">
        <v>0.16900000000000001</v>
      </c>
      <c r="Q37" s="299">
        <v>0.16900000000000001</v>
      </c>
      <c r="R37" s="460">
        <v>0.168155</v>
      </c>
      <c r="S37" s="298">
        <v>0.16731422500000001</v>
      </c>
      <c r="T37" s="298">
        <v>0.16647765387500002</v>
      </c>
      <c r="U37" s="298">
        <v>0.16564526560562501</v>
      </c>
      <c r="V37" s="299">
        <v>0.16481703927759689</v>
      </c>
    </row>
    <row r="38" spans="1:22">
      <c r="B38" s="349"/>
      <c r="C38" s="339"/>
      <c r="D38" s="339" t="s">
        <v>1909</v>
      </c>
      <c r="E38" s="339"/>
      <c r="F38" s="339"/>
      <c r="G38" s="339"/>
      <c r="H38" s="339"/>
      <c r="I38" s="576" t="s">
        <v>498</v>
      </c>
      <c r="J38" s="297">
        <v>1.4E-2</v>
      </c>
      <c r="K38" s="298">
        <v>1.6E-2</v>
      </c>
      <c r="L38" s="298">
        <v>1.7000000000000001E-2</v>
      </c>
      <c r="M38" s="298">
        <v>1.7999999999999999E-2</v>
      </c>
      <c r="N38" s="298">
        <v>1.7000000000000001E-2</v>
      </c>
      <c r="O38" s="298">
        <v>1.4999999999999999E-2</v>
      </c>
      <c r="P38" s="298">
        <v>1.4999999999999999E-2</v>
      </c>
      <c r="Q38" s="299">
        <v>1.4999999999999999E-2</v>
      </c>
      <c r="R38" s="460">
        <v>1.4924999999999999E-2</v>
      </c>
      <c r="S38" s="298">
        <v>1.4850374999999999E-2</v>
      </c>
      <c r="T38" s="298">
        <v>1.4776123124999999E-2</v>
      </c>
      <c r="U38" s="298">
        <v>1.4702242509374998E-2</v>
      </c>
      <c r="V38" s="299">
        <v>1.4628731296828124E-2</v>
      </c>
    </row>
    <row r="39" spans="1:22">
      <c r="B39" s="349"/>
      <c r="C39" s="339"/>
      <c r="D39" s="339" t="s">
        <v>1910</v>
      </c>
      <c r="E39" s="339"/>
      <c r="F39" s="339"/>
      <c r="G39" s="339"/>
      <c r="H39" s="339"/>
      <c r="I39" s="576" t="s">
        <v>498</v>
      </c>
      <c r="J39" s="297">
        <v>4.7E-2</v>
      </c>
      <c r="K39" s="298">
        <v>0</v>
      </c>
      <c r="L39" s="298">
        <v>0.04</v>
      </c>
      <c r="M39" s="298">
        <v>0</v>
      </c>
      <c r="N39" s="298">
        <v>0</v>
      </c>
      <c r="O39" s="298">
        <v>0</v>
      </c>
      <c r="P39" s="298">
        <v>0</v>
      </c>
      <c r="Q39" s="299">
        <v>0</v>
      </c>
      <c r="R39" s="460">
        <v>0</v>
      </c>
      <c r="S39" s="298">
        <v>0</v>
      </c>
      <c r="T39" s="298">
        <v>0</v>
      </c>
      <c r="U39" s="298">
        <v>0</v>
      </c>
      <c r="V39" s="299">
        <v>0</v>
      </c>
    </row>
    <row r="40" spans="1:22">
      <c r="B40" s="349"/>
      <c r="C40" s="339"/>
      <c r="D40" s="339" t="s">
        <v>1911</v>
      </c>
      <c r="E40" s="339"/>
      <c r="F40" s="339"/>
      <c r="G40" s="339"/>
      <c r="H40" s="339"/>
      <c r="I40" s="576" t="s">
        <v>498</v>
      </c>
      <c r="J40" s="297">
        <v>0.36199999999999999</v>
      </c>
      <c r="K40" s="298">
        <v>0.34499999999999997</v>
      </c>
      <c r="L40" s="298">
        <v>0.66300000000000003</v>
      </c>
      <c r="M40" s="298">
        <v>0.42</v>
      </c>
      <c r="N40" s="298">
        <v>0.41299999999999998</v>
      </c>
      <c r="O40" s="298">
        <v>0.437</v>
      </c>
      <c r="P40" s="298">
        <v>0.437</v>
      </c>
      <c r="Q40" s="299">
        <v>0.437</v>
      </c>
      <c r="R40" s="460">
        <v>0.43481500000000001</v>
      </c>
      <c r="S40" s="298">
        <v>0.43264092500000001</v>
      </c>
      <c r="T40" s="298">
        <v>0.43047772037499998</v>
      </c>
      <c r="U40" s="298">
        <v>0.42832533177312498</v>
      </c>
      <c r="V40" s="299">
        <v>0.42618370511425935</v>
      </c>
    </row>
    <row r="41" spans="1:22">
      <c r="B41" s="349"/>
      <c r="C41" s="339"/>
      <c r="D41" s="339" t="s">
        <v>1912</v>
      </c>
      <c r="E41" s="339"/>
      <c r="F41" s="339"/>
      <c r="G41" s="339"/>
      <c r="H41" s="339"/>
      <c r="I41" s="576" t="s">
        <v>498</v>
      </c>
      <c r="J41" s="297">
        <v>0.18099999999999999</v>
      </c>
      <c r="K41" s="298">
        <v>0.221</v>
      </c>
      <c r="L41" s="298">
        <v>0.39200000000000002</v>
      </c>
      <c r="M41" s="298">
        <v>0.16</v>
      </c>
      <c r="N41" s="298">
        <v>0.221</v>
      </c>
      <c r="O41" s="298">
        <v>0.22900000000000001</v>
      </c>
      <c r="P41" s="298">
        <v>0.22900000000000001</v>
      </c>
      <c r="Q41" s="299">
        <v>0.22900000000000001</v>
      </c>
      <c r="R41" s="460">
        <v>0.227855</v>
      </c>
      <c r="S41" s="298">
        <v>0.22671572500000001</v>
      </c>
      <c r="T41" s="298">
        <v>0.22558214637500001</v>
      </c>
      <c r="U41" s="298">
        <v>0.224454235643125</v>
      </c>
      <c r="V41" s="299">
        <v>0.22333196446490938</v>
      </c>
    </row>
    <row r="42" spans="1:22">
      <c r="B42" s="349"/>
      <c r="C42" s="339"/>
      <c r="D42" s="339" t="s">
        <v>1913</v>
      </c>
      <c r="E42" s="339"/>
      <c r="F42" s="339"/>
      <c r="G42" s="339"/>
      <c r="H42" s="339"/>
      <c r="I42" s="576" t="s">
        <v>498</v>
      </c>
      <c r="J42" s="297">
        <v>0</v>
      </c>
      <c r="K42" s="298">
        <v>0.22600000000000001</v>
      </c>
      <c r="L42" s="298">
        <v>0.115</v>
      </c>
      <c r="M42" s="298">
        <v>0.442</v>
      </c>
      <c r="N42" s="298">
        <v>0.47499999999999998</v>
      </c>
      <c r="O42" s="298">
        <v>0.246</v>
      </c>
      <c r="P42" s="298">
        <v>0.246</v>
      </c>
      <c r="Q42" s="299">
        <v>0.246</v>
      </c>
      <c r="R42" s="460">
        <v>0.24476999999999999</v>
      </c>
      <c r="S42" s="298">
        <v>0.24354614999999999</v>
      </c>
      <c r="T42" s="298">
        <v>0.24232841924999998</v>
      </c>
      <c r="U42" s="298">
        <v>0.24111677715374999</v>
      </c>
      <c r="V42" s="299">
        <v>0.23991119326798124</v>
      </c>
    </row>
    <row r="43" spans="1:22">
      <c r="B43" s="349"/>
      <c r="C43" s="339"/>
      <c r="D43" s="339" t="s">
        <v>85</v>
      </c>
      <c r="E43" s="339"/>
      <c r="F43" s="339"/>
      <c r="G43" s="293" t="s">
        <v>41</v>
      </c>
      <c r="H43" s="339"/>
      <c r="I43" s="576" t="s">
        <v>498</v>
      </c>
      <c r="J43" s="297">
        <v>0</v>
      </c>
      <c r="K43" s="298">
        <v>0</v>
      </c>
      <c r="L43" s="298">
        <v>3.0000000000000001E-3</v>
      </c>
      <c r="M43" s="298">
        <v>0.128</v>
      </c>
      <c r="N43" s="298">
        <v>5.0000000000000001E-3</v>
      </c>
      <c r="O43" s="298">
        <v>0.02</v>
      </c>
      <c r="P43" s="298">
        <v>0.02</v>
      </c>
      <c r="Q43" s="299">
        <v>0.02</v>
      </c>
      <c r="R43" s="460">
        <v>1.9900000000000001E-2</v>
      </c>
      <c r="S43" s="298">
        <v>1.9800500000000002E-2</v>
      </c>
      <c r="T43" s="298">
        <v>1.9701497500000002E-2</v>
      </c>
      <c r="U43" s="298">
        <v>1.9602990012500002E-2</v>
      </c>
      <c r="V43" s="299">
        <v>1.95049750624375E-2</v>
      </c>
    </row>
    <row r="44" spans="1:22">
      <c r="B44" s="349"/>
      <c r="C44" s="339"/>
      <c r="D44" s="339" t="s">
        <v>85</v>
      </c>
      <c r="E44" s="339"/>
      <c r="F44" s="339"/>
      <c r="G44" s="293" t="s">
        <v>1917</v>
      </c>
      <c r="H44" s="339"/>
      <c r="I44" s="576" t="s">
        <v>498</v>
      </c>
      <c r="J44" s="297">
        <v>0</v>
      </c>
      <c r="K44" s="298">
        <v>0</v>
      </c>
      <c r="L44" s="298">
        <v>0</v>
      </c>
      <c r="M44" s="298">
        <v>0</v>
      </c>
      <c r="N44" s="298">
        <v>0</v>
      </c>
      <c r="O44" s="298">
        <v>1.7999999999999999E-2</v>
      </c>
      <c r="P44" s="298">
        <v>1.7999999999999999E-2</v>
      </c>
      <c r="Q44" s="299">
        <v>1.7999999999999999E-2</v>
      </c>
      <c r="R44" s="460">
        <v>1.7909999999999999E-2</v>
      </c>
      <c r="S44" s="298">
        <v>1.7820449999999998E-2</v>
      </c>
      <c r="T44" s="298">
        <v>1.7731347749999998E-2</v>
      </c>
      <c r="U44" s="298">
        <v>1.7642691011249996E-2</v>
      </c>
      <c r="V44" s="299">
        <v>1.7554477556193746E-2</v>
      </c>
    </row>
    <row r="45" spans="1:22">
      <c r="B45" s="349"/>
      <c r="C45" s="339"/>
      <c r="D45" s="339" t="s">
        <v>85</v>
      </c>
      <c r="E45" s="339"/>
      <c r="F45" s="339"/>
      <c r="G45" s="293" t="s">
        <v>1918</v>
      </c>
      <c r="H45" s="339"/>
      <c r="I45" s="576" t="s">
        <v>498</v>
      </c>
      <c r="J45" s="297">
        <v>0</v>
      </c>
      <c r="K45" s="298">
        <v>0</v>
      </c>
      <c r="L45" s="298">
        <v>0.13400000000000001</v>
      </c>
      <c r="M45" s="298">
        <v>8.0000000000000002E-3</v>
      </c>
      <c r="N45" s="298">
        <v>6.0000000000000001E-3</v>
      </c>
      <c r="O45" s="298">
        <v>6.0000000000000001E-3</v>
      </c>
      <c r="P45" s="298">
        <v>6.0000000000000001E-3</v>
      </c>
      <c r="Q45" s="299">
        <v>6.0000000000000001E-3</v>
      </c>
      <c r="R45" s="460">
        <v>5.9700000000000005E-3</v>
      </c>
      <c r="S45" s="298">
        <v>5.9401500000000008E-3</v>
      </c>
      <c r="T45" s="298">
        <v>5.9104492500000006E-3</v>
      </c>
      <c r="U45" s="298">
        <v>5.8808970037500007E-3</v>
      </c>
      <c r="V45" s="299">
        <v>5.8514925187312505E-3</v>
      </c>
    </row>
    <row r="46" spans="1:22">
      <c r="B46" s="349"/>
      <c r="C46" s="339"/>
      <c r="D46" s="339" t="s">
        <v>85</v>
      </c>
      <c r="E46" s="339"/>
      <c r="F46" s="339"/>
      <c r="G46" s="293" t="s">
        <v>1919</v>
      </c>
      <c r="H46" s="339"/>
      <c r="I46" s="576" t="s">
        <v>498</v>
      </c>
      <c r="J46" s="297">
        <v>0.107</v>
      </c>
      <c r="K46" s="298">
        <v>1.0999999999999999E-2</v>
      </c>
      <c r="L46" s="298">
        <v>0.156</v>
      </c>
      <c r="M46" s="298">
        <v>9.6000000000000002E-2</v>
      </c>
      <c r="N46" s="298">
        <v>2.1999999999999999E-2</v>
      </c>
      <c r="O46" s="298">
        <v>9.7000000000000003E-2</v>
      </c>
      <c r="P46" s="298">
        <v>9.7000000000000003E-2</v>
      </c>
      <c r="Q46" s="299">
        <v>9.7000000000000003E-2</v>
      </c>
      <c r="R46" s="460">
        <v>9.6515000000000004E-2</v>
      </c>
      <c r="S46" s="298">
        <v>9.6032425000000005E-2</v>
      </c>
      <c r="T46" s="298">
        <v>9.5552262875000002E-2</v>
      </c>
      <c r="U46" s="298">
        <v>9.5074501560624997E-2</v>
      </c>
      <c r="V46" s="299">
        <v>9.4599129052821876E-2</v>
      </c>
    </row>
    <row r="47" spans="1:22">
      <c r="B47" s="349"/>
      <c r="C47" s="339"/>
      <c r="D47" s="339" t="s">
        <v>85</v>
      </c>
      <c r="E47" s="339"/>
      <c r="F47" s="339"/>
      <c r="G47" s="293" t="s">
        <v>85</v>
      </c>
      <c r="H47" s="339"/>
      <c r="I47" s="576" t="s">
        <v>498</v>
      </c>
      <c r="J47" s="297">
        <v>0</v>
      </c>
      <c r="K47" s="298">
        <v>0</v>
      </c>
      <c r="L47" s="298">
        <v>0</v>
      </c>
      <c r="M47" s="298">
        <v>1E-3</v>
      </c>
      <c r="N47" s="298">
        <v>0</v>
      </c>
      <c r="O47" s="298">
        <v>2E-3</v>
      </c>
      <c r="P47" s="298">
        <v>2E-3</v>
      </c>
      <c r="Q47" s="299">
        <v>2E-3</v>
      </c>
      <c r="R47" s="460">
        <v>1.99E-3</v>
      </c>
      <c r="S47" s="298">
        <v>1.9800500000000001E-3</v>
      </c>
      <c r="T47" s="298">
        <v>1.9701497500000001E-3</v>
      </c>
      <c r="U47" s="298">
        <v>1.9602990012500001E-3</v>
      </c>
      <c r="V47" s="299">
        <v>1.9504975062437501E-3</v>
      </c>
    </row>
    <row r="48" spans="1:22">
      <c r="B48" s="349"/>
      <c r="C48" s="339"/>
      <c r="D48" s="339" t="s">
        <v>85</v>
      </c>
      <c r="E48" s="339"/>
      <c r="F48" s="339"/>
      <c r="G48" s="293"/>
      <c r="H48" s="339"/>
      <c r="I48" s="576" t="s">
        <v>498</v>
      </c>
      <c r="J48" s="297">
        <v>0</v>
      </c>
      <c r="K48" s="298">
        <v>0</v>
      </c>
      <c r="L48" s="298">
        <v>0</v>
      </c>
      <c r="M48" s="298">
        <v>0</v>
      </c>
      <c r="N48" s="298">
        <v>0</v>
      </c>
      <c r="O48" s="298">
        <v>0</v>
      </c>
      <c r="P48" s="298">
        <v>0</v>
      </c>
      <c r="Q48" s="299">
        <v>0</v>
      </c>
      <c r="R48" s="460">
        <v>0</v>
      </c>
      <c r="S48" s="298">
        <v>0</v>
      </c>
      <c r="T48" s="298">
        <v>0</v>
      </c>
      <c r="U48" s="298">
        <v>0</v>
      </c>
      <c r="V48" s="299">
        <v>0</v>
      </c>
    </row>
    <row r="49" spans="1:22">
      <c r="B49" s="349"/>
      <c r="C49" s="339"/>
      <c r="D49" s="339" t="s">
        <v>85</v>
      </c>
      <c r="E49" s="339"/>
      <c r="F49" s="339"/>
      <c r="G49" s="293"/>
      <c r="H49" s="339"/>
      <c r="I49" s="576" t="s">
        <v>498</v>
      </c>
      <c r="J49" s="297">
        <v>0</v>
      </c>
      <c r="K49" s="298">
        <v>0</v>
      </c>
      <c r="L49" s="298">
        <v>0</v>
      </c>
      <c r="M49" s="298">
        <v>0</v>
      </c>
      <c r="N49" s="298">
        <v>0</v>
      </c>
      <c r="O49" s="298">
        <v>0</v>
      </c>
      <c r="P49" s="298">
        <v>0</v>
      </c>
      <c r="Q49" s="299">
        <v>0</v>
      </c>
      <c r="R49" s="460">
        <v>0</v>
      </c>
      <c r="S49" s="298">
        <v>0</v>
      </c>
      <c r="T49" s="298">
        <v>0</v>
      </c>
      <c r="U49" s="298">
        <v>0</v>
      </c>
      <c r="V49" s="299">
        <v>0</v>
      </c>
    </row>
    <row r="50" spans="1:22">
      <c r="B50" s="349"/>
      <c r="C50" s="339"/>
      <c r="D50" s="339" t="s">
        <v>85</v>
      </c>
      <c r="E50" s="339"/>
      <c r="F50" s="339"/>
      <c r="G50" s="293"/>
      <c r="H50" s="339"/>
      <c r="I50" s="576" t="s">
        <v>498</v>
      </c>
      <c r="J50" s="297">
        <v>0</v>
      </c>
      <c r="K50" s="298">
        <v>0</v>
      </c>
      <c r="L50" s="298">
        <v>0</v>
      </c>
      <c r="M50" s="298">
        <v>0</v>
      </c>
      <c r="N50" s="298">
        <v>0</v>
      </c>
      <c r="O50" s="298">
        <v>0</v>
      </c>
      <c r="P50" s="298">
        <v>0</v>
      </c>
      <c r="Q50" s="299">
        <v>0</v>
      </c>
      <c r="R50" s="460">
        <v>0</v>
      </c>
      <c r="S50" s="298">
        <v>0</v>
      </c>
      <c r="T50" s="298">
        <v>0</v>
      </c>
      <c r="U50" s="298">
        <v>0</v>
      </c>
      <c r="V50" s="299">
        <v>0</v>
      </c>
    </row>
    <row r="51" spans="1:22" ht="15">
      <c r="B51" s="349"/>
      <c r="C51" s="339" t="s">
        <v>1710</v>
      </c>
      <c r="D51" s="623"/>
      <c r="E51" s="623"/>
      <c r="F51" s="623"/>
      <c r="G51" s="625"/>
      <c r="H51" s="339"/>
      <c r="I51" s="576" t="s">
        <v>498</v>
      </c>
      <c r="J51" s="631">
        <f t="shared" ref="J51:V51" si="2">SUM(J37:J50)</f>
        <v>0.89700000000000002</v>
      </c>
      <c r="K51" s="632">
        <f t="shared" si="2"/>
        <v>1.079</v>
      </c>
      <c r="L51" s="632">
        <f t="shared" si="2"/>
        <v>1.7599999999999996</v>
      </c>
      <c r="M51" s="632">
        <f t="shared" si="2"/>
        <v>1.5670000000000002</v>
      </c>
      <c r="N51" s="632">
        <f t="shared" si="2"/>
        <v>1.3929999999999998</v>
      </c>
      <c r="O51" s="632">
        <f t="shared" si="2"/>
        <v>1.2390000000000001</v>
      </c>
      <c r="P51" s="632">
        <f t="shared" si="2"/>
        <v>1.2390000000000001</v>
      </c>
      <c r="Q51" s="633">
        <f t="shared" si="2"/>
        <v>1.2390000000000001</v>
      </c>
      <c r="R51" s="989">
        <f t="shared" si="2"/>
        <v>1.2328049999999999</v>
      </c>
      <c r="S51" s="632">
        <f t="shared" si="2"/>
        <v>1.2266409750000002</v>
      </c>
      <c r="T51" s="632">
        <f t="shared" si="2"/>
        <v>1.220507770125</v>
      </c>
      <c r="U51" s="632">
        <f t="shared" si="2"/>
        <v>1.2144052312743747</v>
      </c>
      <c r="V51" s="633">
        <f t="shared" si="2"/>
        <v>1.2083332051180029</v>
      </c>
    </row>
    <row r="52" spans="1:22">
      <c r="B52" s="349"/>
      <c r="C52" s="339"/>
      <c r="D52" s="339"/>
      <c r="E52" s="339"/>
      <c r="F52" s="339"/>
      <c r="G52" s="339"/>
      <c r="H52" s="339"/>
      <c r="I52" s="339"/>
      <c r="J52" s="349"/>
      <c r="K52" s="339"/>
      <c r="L52" s="339"/>
      <c r="M52" s="339"/>
      <c r="N52" s="339"/>
      <c r="O52" s="339"/>
      <c r="P52" s="339"/>
      <c r="Q52" s="353"/>
      <c r="R52" s="339"/>
      <c r="S52" s="339"/>
      <c r="T52" s="339"/>
      <c r="U52" s="339"/>
      <c r="V52" s="353"/>
    </row>
    <row r="53" spans="1:22">
      <c r="B53" s="349"/>
      <c r="C53" s="339"/>
      <c r="D53" s="339" t="s">
        <v>1894</v>
      </c>
      <c r="E53" s="339"/>
      <c r="F53" s="339"/>
      <c r="G53" s="339"/>
      <c r="H53" s="339"/>
      <c r="I53" s="576" t="s">
        <v>498</v>
      </c>
      <c r="J53" s="297">
        <v>0</v>
      </c>
      <c r="K53" s="298">
        <v>0</v>
      </c>
      <c r="L53" s="298">
        <v>0</v>
      </c>
      <c r="M53" s="298">
        <v>0</v>
      </c>
      <c r="N53" s="298">
        <v>0</v>
      </c>
      <c r="O53" s="298">
        <v>0</v>
      </c>
      <c r="P53" s="298">
        <v>0</v>
      </c>
      <c r="Q53" s="299">
        <v>0</v>
      </c>
      <c r="R53" s="460">
        <v>0</v>
      </c>
      <c r="S53" s="298">
        <v>0</v>
      </c>
      <c r="T53" s="298">
        <v>0</v>
      </c>
      <c r="U53" s="298">
        <v>0</v>
      </c>
      <c r="V53" s="299">
        <v>0</v>
      </c>
    </row>
    <row r="54" spans="1:22">
      <c r="B54" s="349"/>
      <c r="C54" s="339"/>
      <c r="D54" s="339" t="s">
        <v>1914</v>
      </c>
      <c r="E54" s="339"/>
      <c r="F54" s="339"/>
      <c r="G54" s="339"/>
      <c r="H54" s="339"/>
      <c r="I54" s="576" t="s">
        <v>498</v>
      </c>
      <c r="J54" s="297">
        <v>0</v>
      </c>
      <c r="K54" s="298">
        <v>0</v>
      </c>
      <c r="L54" s="298">
        <v>0</v>
      </c>
      <c r="M54" s="298">
        <v>0</v>
      </c>
      <c r="N54" s="298">
        <v>0</v>
      </c>
      <c r="O54" s="298">
        <v>0</v>
      </c>
      <c r="P54" s="298">
        <v>0</v>
      </c>
      <c r="Q54" s="299">
        <v>0</v>
      </c>
      <c r="R54" s="460">
        <v>0</v>
      </c>
      <c r="S54" s="298">
        <v>0</v>
      </c>
      <c r="T54" s="298">
        <v>0</v>
      </c>
      <c r="U54" s="298">
        <v>0</v>
      </c>
      <c r="V54" s="299">
        <v>0</v>
      </c>
    </row>
    <row r="55" spans="1:22">
      <c r="B55" s="349"/>
      <c r="C55" s="339"/>
      <c r="D55" s="339"/>
      <c r="E55" s="339"/>
      <c r="F55" s="339"/>
      <c r="G55" s="339"/>
      <c r="H55" s="339"/>
      <c r="I55" s="339"/>
      <c r="J55" s="349"/>
      <c r="K55" s="339"/>
      <c r="L55" s="339"/>
      <c r="M55" s="339"/>
      <c r="N55" s="339"/>
      <c r="O55" s="339"/>
      <c r="P55" s="339"/>
      <c r="Q55" s="353"/>
      <c r="R55" s="339"/>
      <c r="S55" s="339"/>
      <c r="T55" s="339"/>
      <c r="U55" s="339"/>
      <c r="V55" s="353"/>
    </row>
    <row r="56" spans="1:22" ht="15.75" thickBot="1">
      <c r="B56" s="357" t="s">
        <v>1701</v>
      </c>
      <c r="C56" s="358"/>
      <c r="D56" s="358"/>
      <c r="E56" s="358"/>
      <c r="F56" s="358"/>
      <c r="G56" s="626"/>
      <c r="H56" s="358"/>
      <c r="I56" s="581" t="s">
        <v>498</v>
      </c>
      <c r="J56" s="637">
        <f t="shared" ref="J56:V56" si="3">SUM(J51+J53+J54)</f>
        <v>0.89700000000000002</v>
      </c>
      <c r="K56" s="638">
        <f t="shared" si="3"/>
        <v>1.079</v>
      </c>
      <c r="L56" s="638">
        <f t="shared" si="3"/>
        <v>1.7599999999999996</v>
      </c>
      <c r="M56" s="638">
        <f t="shared" si="3"/>
        <v>1.5670000000000002</v>
      </c>
      <c r="N56" s="638">
        <f t="shared" si="3"/>
        <v>1.3929999999999998</v>
      </c>
      <c r="O56" s="638">
        <f t="shared" si="3"/>
        <v>1.2390000000000001</v>
      </c>
      <c r="P56" s="638">
        <f t="shared" si="3"/>
        <v>1.2390000000000001</v>
      </c>
      <c r="Q56" s="639">
        <f t="shared" si="3"/>
        <v>1.2390000000000001</v>
      </c>
      <c r="R56" s="1141">
        <f t="shared" si="3"/>
        <v>1.2328049999999999</v>
      </c>
      <c r="S56" s="638">
        <f t="shared" si="3"/>
        <v>1.2266409750000002</v>
      </c>
      <c r="T56" s="638">
        <f t="shared" si="3"/>
        <v>1.220507770125</v>
      </c>
      <c r="U56" s="638">
        <f t="shared" si="3"/>
        <v>1.2144052312743747</v>
      </c>
      <c r="V56" s="639">
        <f t="shared" si="3"/>
        <v>1.2083332051180029</v>
      </c>
    </row>
    <row r="57" spans="1:22" ht="15" thickBot="1">
      <c r="J57" s="338">
        <v>0.89700000000000002</v>
      </c>
      <c r="K57" s="338">
        <v>1.079</v>
      </c>
      <c r="L57" s="338">
        <v>1.7599999999999996</v>
      </c>
      <c r="M57" s="338">
        <v>1.5670000000000002</v>
      </c>
      <c r="N57" s="338">
        <v>1.3929999999999998</v>
      </c>
      <c r="O57" s="338">
        <v>1.2390000000000001</v>
      </c>
    </row>
    <row r="58" spans="1:22" ht="30" customHeight="1" thickBot="1">
      <c r="A58" s="258"/>
      <c r="B58" s="640" t="s">
        <v>1920</v>
      </c>
      <c r="C58" s="558"/>
      <c r="D58" s="558"/>
      <c r="E58" s="558"/>
      <c r="F58" s="558"/>
      <c r="G58" s="559"/>
      <c r="H58" s="294"/>
      <c r="I58" s="105" t="s">
        <v>1864</v>
      </c>
      <c r="J58" s="106"/>
      <c r="K58" s="106"/>
      <c r="L58" s="106"/>
      <c r="M58" s="106"/>
      <c r="N58" s="106"/>
      <c r="O58" s="106"/>
      <c r="P58" s="106"/>
      <c r="Q58" s="106"/>
      <c r="R58" s="105"/>
      <c r="S58" s="105"/>
      <c r="T58" s="105"/>
      <c r="U58" s="105"/>
      <c r="V58" s="187"/>
    </row>
    <row r="59" spans="1:22" ht="30" customHeight="1">
      <c r="A59" s="258"/>
      <c r="B59" s="560"/>
      <c r="C59" s="561"/>
      <c r="D59" s="561"/>
      <c r="E59" s="561"/>
      <c r="F59" s="561"/>
      <c r="G59" s="561"/>
      <c r="H59" s="259"/>
      <c r="I59" s="562"/>
      <c r="J59" s="563" t="s">
        <v>1666</v>
      </c>
      <c r="K59" s="564"/>
      <c r="L59" s="564"/>
      <c r="M59" s="564"/>
      <c r="N59" s="564"/>
      <c r="O59" s="564"/>
      <c r="P59" s="564"/>
      <c r="Q59" s="565"/>
      <c r="R59" s="567" t="s">
        <v>2</v>
      </c>
      <c r="S59" s="567"/>
      <c r="T59" s="567"/>
      <c r="U59" s="567"/>
      <c r="V59" s="568"/>
    </row>
    <row r="60" spans="1:22" ht="15">
      <c r="B60" s="572"/>
      <c r="C60" s="623"/>
      <c r="D60" s="339"/>
      <c r="E60" s="339"/>
      <c r="F60" s="339"/>
      <c r="G60" s="339"/>
      <c r="H60" s="259"/>
      <c r="I60" s="571" t="s">
        <v>1745</v>
      </c>
      <c r="J60" s="158" t="s">
        <v>453</v>
      </c>
      <c r="K60" s="137" t="s">
        <v>455</v>
      </c>
      <c r="L60" s="137" t="s">
        <v>457</v>
      </c>
      <c r="M60" s="137" t="s">
        <v>459</v>
      </c>
      <c r="N60" s="137" t="s">
        <v>461</v>
      </c>
      <c r="O60" s="137" t="s">
        <v>463</v>
      </c>
      <c r="P60" s="137" t="s">
        <v>465</v>
      </c>
      <c r="Q60" s="138" t="s">
        <v>467</v>
      </c>
      <c r="R60" s="242" t="s">
        <v>469</v>
      </c>
      <c r="S60" s="121" t="s">
        <v>471</v>
      </c>
      <c r="T60" s="121" t="s">
        <v>473</v>
      </c>
      <c r="U60" s="121" t="s">
        <v>475</v>
      </c>
      <c r="V60" s="122" t="s">
        <v>477</v>
      </c>
    </row>
    <row r="61" spans="1:22" ht="15">
      <c r="B61" s="572"/>
      <c r="C61" s="623" t="s">
        <v>1916</v>
      </c>
      <c r="D61" s="591"/>
      <c r="E61" s="591"/>
      <c r="F61" s="591"/>
      <c r="G61" s="339"/>
      <c r="H61" s="259"/>
      <c r="I61" s="260"/>
      <c r="J61" s="295"/>
      <c r="K61" s="259"/>
      <c r="L61" s="259"/>
      <c r="M61" s="259"/>
      <c r="N61" s="259"/>
      <c r="O61" s="259"/>
      <c r="P61" s="259"/>
      <c r="Q61" s="296"/>
      <c r="R61" s="259"/>
      <c r="S61" s="259"/>
      <c r="T61" s="259"/>
      <c r="U61" s="259"/>
      <c r="V61" s="296"/>
    </row>
    <row r="62" spans="1:22">
      <c r="B62" s="349"/>
      <c r="C62" s="339"/>
      <c r="D62" s="339" t="s">
        <v>1908</v>
      </c>
      <c r="E62" s="339"/>
      <c r="F62" s="339"/>
      <c r="G62" s="339"/>
      <c r="H62" s="339"/>
      <c r="I62" s="576" t="s">
        <v>498</v>
      </c>
      <c r="J62" s="297"/>
      <c r="K62" s="298"/>
      <c r="L62" s="298"/>
      <c r="M62" s="298"/>
      <c r="N62" s="298"/>
      <c r="O62" s="298"/>
      <c r="P62" s="298">
        <v>0</v>
      </c>
      <c r="Q62" s="299">
        <v>0</v>
      </c>
      <c r="R62" s="460">
        <v>0</v>
      </c>
      <c r="S62" s="298">
        <v>0</v>
      </c>
      <c r="T62" s="298">
        <v>0</v>
      </c>
      <c r="U62" s="298">
        <v>0</v>
      </c>
      <c r="V62" s="299">
        <v>0</v>
      </c>
    </row>
    <row r="63" spans="1:22">
      <c r="B63" s="349"/>
      <c r="C63" s="339"/>
      <c r="D63" s="339" t="s">
        <v>1909</v>
      </c>
      <c r="E63" s="339"/>
      <c r="F63" s="339"/>
      <c r="G63" s="339"/>
      <c r="H63" s="339"/>
      <c r="I63" s="576" t="s">
        <v>498</v>
      </c>
      <c r="J63" s="297"/>
      <c r="K63" s="298"/>
      <c r="L63" s="298"/>
      <c r="M63" s="298"/>
      <c r="N63" s="298"/>
      <c r="O63" s="298"/>
      <c r="P63" s="298">
        <v>0</v>
      </c>
      <c r="Q63" s="299">
        <v>0</v>
      </c>
      <c r="R63" s="460">
        <v>0</v>
      </c>
      <c r="S63" s="298">
        <v>0</v>
      </c>
      <c r="T63" s="298">
        <v>0</v>
      </c>
      <c r="U63" s="298">
        <v>0</v>
      </c>
      <c r="V63" s="299">
        <v>0</v>
      </c>
    </row>
    <row r="64" spans="1:22">
      <c r="B64" s="349"/>
      <c r="C64" s="339"/>
      <c r="D64" s="339" t="s">
        <v>1910</v>
      </c>
      <c r="E64" s="339"/>
      <c r="F64" s="339"/>
      <c r="G64" s="339"/>
      <c r="H64" s="339"/>
      <c r="I64" s="576" t="s">
        <v>498</v>
      </c>
      <c r="J64" s="297"/>
      <c r="K64" s="298"/>
      <c r="L64" s="298"/>
      <c r="M64" s="298"/>
      <c r="N64" s="298"/>
      <c r="O64" s="298"/>
      <c r="P64" s="298">
        <v>0</v>
      </c>
      <c r="Q64" s="299">
        <v>0</v>
      </c>
      <c r="R64" s="460">
        <v>0</v>
      </c>
      <c r="S64" s="298">
        <v>0</v>
      </c>
      <c r="T64" s="298">
        <v>0</v>
      </c>
      <c r="U64" s="298">
        <v>0</v>
      </c>
      <c r="V64" s="299">
        <v>0</v>
      </c>
    </row>
    <row r="65" spans="2:22">
      <c r="B65" s="349"/>
      <c r="C65" s="339"/>
      <c r="D65" s="339" t="s">
        <v>1911</v>
      </c>
      <c r="E65" s="339"/>
      <c r="F65" s="339"/>
      <c r="G65" s="339"/>
      <c r="H65" s="339"/>
      <c r="I65" s="576" t="s">
        <v>498</v>
      </c>
      <c r="J65" s="297">
        <v>1.0349999999999999</v>
      </c>
      <c r="K65" s="298">
        <v>1.036</v>
      </c>
      <c r="L65" s="298">
        <v>0.48</v>
      </c>
      <c r="M65" s="298">
        <v>0.753</v>
      </c>
      <c r="N65" s="298">
        <v>1.0269999999999999</v>
      </c>
      <c r="O65" s="298">
        <v>0.98899999999999999</v>
      </c>
      <c r="P65" s="298">
        <v>0.98899999999999999</v>
      </c>
      <c r="Q65" s="299">
        <v>0.98899999999999999</v>
      </c>
      <c r="R65" s="460">
        <v>0.98405500000000001</v>
      </c>
      <c r="S65" s="298">
        <v>0.97913472499999998</v>
      </c>
      <c r="T65" s="298">
        <v>0.974239051375</v>
      </c>
      <c r="U65" s="298">
        <v>0.96936785611812504</v>
      </c>
      <c r="V65" s="299">
        <v>0.96452101683753444</v>
      </c>
    </row>
    <row r="66" spans="2:22">
      <c r="B66" s="349"/>
      <c r="C66" s="339"/>
      <c r="D66" s="339" t="s">
        <v>1912</v>
      </c>
      <c r="E66" s="339"/>
      <c r="F66" s="339"/>
      <c r="G66" s="339"/>
      <c r="H66" s="339"/>
      <c r="I66" s="576" t="s">
        <v>498</v>
      </c>
      <c r="J66" s="297">
        <v>0.38100000000000001</v>
      </c>
      <c r="K66" s="298">
        <v>0.374</v>
      </c>
      <c r="L66" s="298">
        <v>0.29899999999999999</v>
      </c>
      <c r="M66" s="298">
        <v>0.33500000000000002</v>
      </c>
      <c r="N66" s="298">
        <v>0.31</v>
      </c>
      <c r="O66" s="298">
        <v>0.34100000000000003</v>
      </c>
      <c r="P66" s="298">
        <v>0.34100000000000003</v>
      </c>
      <c r="Q66" s="299">
        <v>0.34100000000000003</v>
      </c>
      <c r="R66" s="460">
        <v>0.33929500000000001</v>
      </c>
      <c r="S66" s="298">
        <v>0.33759852500000004</v>
      </c>
      <c r="T66" s="298">
        <v>0.33591053237500001</v>
      </c>
      <c r="U66" s="298">
        <v>0.33423097971312499</v>
      </c>
      <c r="V66" s="299">
        <v>0.33255982481455937</v>
      </c>
    </row>
    <row r="67" spans="2:22">
      <c r="B67" s="349"/>
      <c r="C67" s="339"/>
      <c r="D67" s="339" t="s">
        <v>1913</v>
      </c>
      <c r="E67" s="339"/>
      <c r="F67" s="339"/>
      <c r="G67" s="339"/>
      <c r="H67" s="339"/>
      <c r="I67" s="576" t="s">
        <v>498</v>
      </c>
      <c r="J67" s="297">
        <v>0.76020399999999999</v>
      </c>
      <c r="K67" s="298">
        <v>0.98899999999999988</v>
      </c>
      <c r="L67" s="298">
        <v>0.84099999999999997</v>
      </c>
      <c r="M67" s="298">
        <v>0.56899999999999995</v>
      </c>
      <c r="N67" s="298">
        <v>0.49099999999999999</v>
      </c>
      <c r="O67" s="298">
        <v>0.61699999999999999</v>
      </c>
      <c r="P67" s="298">
        <v>0.61699999999999999</v>
      </c>
      <c r="Q67" s="299">
        <v>0.61699999999999999</v>
      </c>
      <c r="R67" s="460">
        <v>0.61391499999999999</v>
      </c>
      <c r="S67" s="298">
        <v>0.61084542499999994</v>
      </c>
      <c r="T67" s="298">
        <v>0.60779119787499991</v>
      </c>
      <c r="U67" s="298">
        <v>0.60475224188562493</v>
      </c>
      <c r="V67" s="299">
        <v>0.60172848067619678</v>
      </c>
    </row>
    <row r="68" spans="2:22">
      <c r="B68" s="349"/>
      <c r="C68" s="339"/>
      <c r="D68" s="339" t="s">
        <v>85</v>
      </c>
      <c r="E68" s="339"/>
      <c r="F68" s="339"/>
      <c r="G68" s="293" t="s">
        <v>41</v>
      </c>
      <c r="H68" s="339"/>
      <c r="I68" s="576" t="s">
        <v>498</v>
      </c>
      <c r="J68" s="297">
        <v>0</v>
      </c>
      <c r="K68" s="298">
        <v>0</v>
      </c>
      <c r="L68" s="298">
        <v>0.121</v>
      </c>
      <c r="M68" s="298">
        <v>0.23</v>
      </c>
      <c r="N68" s="298">
        <v>0.20399999999999999</v>
      </c>
      <c r="O68" s="298">
        <v>0.32300000000000001</v>
      </c>
      <c r="P68" s="298">
        <v>0.32300000000000001</v>
      </c>
      <c r="Q68" s="299">
        <v>0.32300000000000001</v>
      </c>
      <c r="R68" s="460">
        <v>0.32138500000000003</v>
      </c>
      <c r="S68" s="298">
        <v>0.31977807500000005</v>
      </c>
      <c r="T68" s="298">
        <v>0.31817918462500006</v>
      </c>
      <c r="U68" s="298">
        <v>0.31658828870187505</v>
      </c>
      <c r="V68" s="299">
        <v>0.31500534725836565</v>
      </c>
    </row>
    <row r="69" spans="2:22">
      <c r="B69" s="349"/>
      <c r="C69" s="339"/>
      <c r="D69" s="339" t="s">
        <v>85</v>
      </c>
      <c r="E69" s="339"/>
      <c r="F69" s="339"/>
      <c r="G69" s="293" t="s">
        <v>1917</v>
      </c>
      <c r="H69" s="339"/>
      <c r="I69" s="576" t="s">
        <v>498</v>
      </c>
      <c r="J69" s="297">
        <v>0</v>
      </c>
      <c r="K69" s="298">
        <v>0</v>
      </c>
      <c r="L69" s="298">
        <v>1.4E-2</v>
      </c>
      <c r="M69" s="298">
        <v>5.0999999999999997E-2</v>
      </c>
      <c r="N69" s="298">
        <v>1.4E-2</v>
      </c>
      <c r="O69" s="298">
        <v>4.4999999999999998E-2</v>
      </c>
      <c r="P69" s="298">
        <v>4.4999999999999998E-2</v>
      </c>
      <c r="Q69" s="299">
        <v>4.4999999999999998E-2</v>
      </c>
      <c r="R69" s="460">
        <v>4.4774999999999995E-2</v>
      </c>
      <c r="S69" s="298">
        <v>4.4551124999999997E-2</v>
      </c>
      <c r="T69" s="298">
        <v>4.4328369374999996E-2</v>
      </c>
      <c r="U69" s="298">
        <v>4.4106727528124993E-2</v>
      </c>
      <c r="V69" s="299">
        <v>4.3886193890484371E-2</v>
      </c>
    </row>
    <row r="70" spans="2:22">
      <c r="B70" s="349"/>
      <c r="C70" s="339"/>
      <c r="D70" s="339" t="s">
        <v>85</v>
      </c>
      <c r="E70" s="339"/>
      <c r="F70" s="339"/>
      <c r="G70" s="293" t="s">
        <v>1918</v>
      </c>
      <c r="H70" s="339"/>
      <c r="I70" s="576" t="s">
        <v>498</v>
      </c>
      <c r="J70" s="297">
        <v>0</v>
      </c>
      <c r="K70" s="298">
        <v>4.2000000000000003E-2</v>
      </c>
      <c r="L70" s="298">
        <v>0.14000000000000001</v>
      </c>
      <c r="M70" s="298">
        <v>0.151</v>
      </c>
      <c r="N70" s="298">
        <v>0.17599999999999999</v>
      </c>
      <c r="O70" s="298">
        <v>0.11</v>
      </c>
      <c r="P70" s="298">
        <v>0.11</v>
      </c>
      <c r="Q70" s="299">
        <v>0.11</v>
      </c>
      <c r="R70" s="460">
        <v>0.10945000000000001</v>
      </c>
      <c r="S70" s="298">
        <v>0.10890275000000001</v>
      </c>
      <c r="T70" s="298">
        <v>0.10835823625</v>
      </c>
      <c r="U70" s="298">
        <v>0.10781644506875</v>
      </c>
      <c r="V70" s="299">
        <v>0.10727736284340625</v>
      </c>
    </row>
    <row r="71" spans="2:22">
      <c r="B71" s="349"/>
      <c r="C71" s="339"/>
      <c r="D71" s="339" t="s">
        <v>85</v>
      </c>
      <c r="E71" s="339"/>
      <c r="F71" s="339"/>
      <c r="G71" s="293" t="s">
        <v>1919</v>
      </c>
      <c r="H71" s="339"/>
      <c r="I71" s="576" t="s">
        <v>498</v>
      </c>
      <c r="J71" s="297">
        <v>0.06</v>
      </c>
      <c r="K71" s="298">
        <v>6.8000000000000005E-2</v>
      </c>
      <c r="L71" s="298">
        <v>9.5000000000000001E-2</v>
      </c>
      <c r="M71" s="298">
        <v>0.23899999999999999</v>
      </c>
      <c r="N71" s="298">
        <v>0.35499999999999998</v>
      </c>
      <c r="O71" s="298">
        <v>0.38400000000000001</v>
      </c>
      <c r="P71" s="298">
        <v>0.38400000000000001</v>
      </c>
      <c r="Q71" s="299">
        <v>0.38400000000000001</v>
      </c>
      <c r="R71" s="460">
        <v>0.38208000000000003</v>
      </c>
      <c r="S71" s="298">
        <v>0.38016960000000005</v>
      </c>
      <c r="T71" s="298">
        <v>0.37826875200000004</v>
      </c>
      <c r="U71" s="298">
        <v>0.37637740824000004</v>
      </c>
      <c r="V71" s="299">
        <v>0.37449552119880003</v>
      </c>
    </row>
    <row r="72" spans="2:22">
      <c r="B72" s="349"/>
      <c r="C72" s="339"/>
      <c r="D72" s="339" t="s">
        <v>85</v>
      </c>
      <c r="E72" s="339"/>
      <c r="F72" s="339"/>
      <c r="G72" s="293" t="s">
        <v>85</v>
      </c>
      <c r="H72" s="339"/>
      <c r="I72" s="576" t="s">
        <v>498</v>
      </c>
      <c r="J72" s="297">
        <v>0</v>
      </c>
      <c r="K72" s="298">
        <v>1.2E-2</v>
      </c>
      <c r="L72" s="298">
        <v>4.0000000000000001E-3</v>
      </c>
      <c r="M72" s="298">
        <v>0.216</v>
      </c>
      <c r="N72" s="298">
        <v>0.188</v>
      </c>
      <c r="O72" s="298">
        <v>0.126</v>
      </c>
      <c r="P72" s="298">
        <v>0.126</v>
      </c>
      <c r="Q72" s="299">
        <v>0.126</v>
      </c>
      <c r="R72" s="460">
        <v>0.12537000000000001</v>
      </c>
      <c r="S72" s="298">
        <v>0.12474315000000001</v>
      </c>
      <c r="T72" s="298">
        <v>0.12411943425000001</v>
      </c>
      <c r="U72" s="298">
        <v>0.12349883707875001</v>
      </c>
      <c r="V72" s="299">
        <v>0.12288134289335625</v>
      </c>
    </row>
    <row r="73" spans="2:22">
      <c r="B73" s="349"/>
      <c r="C73" s="339"/>
      <c r="D73" s="339" t="s">
        <v>85</v>
      </c>
      <c r="E73" s="339"/>
      <c r="F73" s="339"/>
      <c r="G73" s="293" t="s">
        <v>1921</v>
      </c>
      <c r="H73" s="339"/>
      <c r="I73" s="576" t="s">
        <v>498</v>
      </c>
      <c r="J73" s="297">
        <v>2.7E-2</v>
      </c>
      <c r="K73" s="298">
        <v>0</v>
      </c>
      <c r="L73" s="298">
        <v>0.14599999999999999</v>
      </c>
      <c r="M73" s="298">
        <v>8.8999999999999996E-2</v>
      </c>
      <c r="N73" s="298">
        <v>0.14199999999999999</v>
      </c>
      <c r="O73" s="298">
        <v>0.22600000000000001</v>
      </c>
      <c r="P73" s="298">
        <v>0.22600000000000001</v>
      </c>
      <c r="Q73" s="299">
        <v>0.22600000000000001</v>
      </c>
      <c r="R73" s="460">
        <v>0.22487000000000001</v>
      </c>
      <c r="S73" s="298">
        <v>0.22374565000000002</v>
      </c>
      <c r="T73" s="298">
        <v>0.22262692175000001</v>
      </c>
      <c r="U73" s="298">
        <v>0.22151378714125</v>
      </c>
      <c r="V73" s="299">
        <v>0.22040621820554376</v>
      </c>
    </row>
    <row r="74" spans="2:22">
      <c r="B74" s="349"/>
      <c r="C74" s="339"/>
      <c r="D74" s="339" t="s">
        <v>85</v>
      </c>
      <c r="E74" s="339"/>
      <c r="F74" s="339"/>
      <c r="G74" s="293"/>
      <c r="H74" s="339"/>
      <c r="I74" s="576" t="s">
        <v>498</v>
      </c>
      <c r="J74" s="297">
        <v>0</v>
      </c>
      <c r="K74" s="298">
        <v>0</v>
      </c>
      <c r="L74" s="298">
        <v>0</v>
      </c>
      <c r="M74" s="298">
        <v>0</v>
      </c>
      <c r="N74" s="298">
        <v>0</v>
      </c>
      <c r="O74" s="298">
        <v>0</v>
      </c>
      <c r="P74" s="298">
        <v>0</v>
      </c>
      <c r="Q74" s="299">
        <v>0</v>
      </c>
      <c r="R74" s="460">
        <v>0</v>
      </c>
      <c r="S74" s="298">
        <v>0</v>
      </c>
      <c r="T74" s="298">
        <v>0</v>
      </c>
      <c r="U74" s="298">
        <v>0</v>
      </c>
      <c r="V74" s="299">
        <v>0</v>
      </c>
    </row>
    <row r="75" spans="2:22">
      <c r="B75" s="349"/>
      <c r="C75" s="339"/>
      <c r="D75" s="339" t="s">
        <v>85</v>
      </c>
      <c r="E75" s="339"/>
      <c r="F75" s="339"/>
      <c r="G75" s="293"/>
      <c r="H75" s="339"/>
      <c r="I75" s="576" t="s">
        <v>498</v>
      </c>
      <c r="J75" s="297">
        <v>0</v>
      </c>
      <c r="K75" s="298">
        <v>0</v>
      </c>
      <c r="L75" s="298">
        <v>0</v>
      </c>
      <c r="M75" s="298">
        <v>0</v>
      </c>
      <c r="N75" s="298">
        <v>0</v>
      </c>
      <c r="O75" s="298">
        <v>0</v>
      </c>
      <c r="P75" s="298">
        <v>0</v>
      </c>
      <c r="Q75" s="299">
        <v>0</v>
      </c>
      <c r="R75" s="460">
        <v>0</v>
      </c>
      <c r="S75" s="298">
        <v>0</v>
      </c>
      <c r="T75" s="298">
        <v>0</v>
      </c>
      <c r="U75" s="298">
        <v>0</v>
      </c>
      <c r="V75" s="299">
        <v>0</v>
      </c>
    </row>
    <row r="76" spans="2:22" ht="15">
      <c r="B76" s="349"/>
      <c r="C76" s="339" t="s">
        <v>1710</v>
      </c>
      <c r="D76" s="623"/>
      <c r="E76" s="623"/>
      <c r="F76" s="623"/>
      <c r="G76" s="625"/>
      <c r="H76" s="339"/>
      <c r="I76" s="576" t="s">
        <v>498</v>
      </c>
      <c r="J76" s="631">
        <f t="shared" ref="J76:V76" si="4">SUM(J62:J75)</f>
        <v>2.263204</v>
      </c>
      <c r="K76" s="632">
        <f t="shared" si="4"/>
        <v>2.5209999999999999</v>
      </c>
      <c r="L76" s="632">
        <f t="shared" si="4"/>
        <v>2.14</v>
      </c>
      <c r="M76" s="632">
        <f t="shared" si="4"/>
        <v>2.633</v>
      </c>
      <c r="N76" s="632">
        <f t="shared" si="4"/>
        <v>2.907</v>
      </c>
      <c r="O76" s="632">
        <f t="shared" si="4"/>
        <v>3.1609999999999996</v>
      </c>
      <c r="P76" s="632">
        <f t="shared" si="4"/>
        <v>3.1609999999999996</v>
      </c>
      <c r="Q76" s="633">
        <f t="shared" si="4"/>
        <v>3.1609999999999996</v>
      </c>
      <c r="R76" s="989">
        <f t="shared" si="4"/>
        <v>3.1451950000000006</v>
      </c>
      <c r="S76" s="632">
        <f t="shared" si="4"/>
        <v>3.1294690249999997</v>
      </c>
      <c r="T76" s="632">
        <f t="shared" si="4"/>
        <v>3.1138216798749996</v>
      </c>
      <c r="U76" s="632">
        <f t="shared" si="4"/>
        <v>3.0982525714756251</v>
      </c>
      <c r="V76" s="633">
        <f t="shared" si="4"/>
        <v>3.0827613086182475</v>
      </c>
    </row>
    <row r="77" spans="2:22">
      <c r="B77" s="349"/>
      <c r="C77" s="339"/>
      <c r="D77" s="339"/>
      <c r="E77" s="339"/>
      <c r="F77" s="339"/>
      <c r="G77" s="339"/>
      <c r="H77" s="339"/>
      <c r="I77" s="339"/>
      <c r="J77" s="349"/>
      <c r="K77" s="339"/>
      <c r="L77" s="339"/>
      <c r="M77" s="339"/>
      <c r="N77" s="339"/>
      <c r="O77" s="339"/>
      <c r="P77" s="339"/>
      <c r="Q77" s="353"/>
      <c r="R77" s="339"/>
      <c r="S77" s="339"/>
      <c r="T77" s="339"/>
      <c r="U77" s="339"/>
      <c r="V77" s="353"/>
    </row>
    <row r="78" spans="2:22">
      <c r="B78" s="349"/>
      <c r="C78" s="339"/>
      <c r="D78" s="339" t="s">
        <v>1894</v>
      </c>
      <c r="E78" s="339"/>
      <c r="F78" s="339"/>
      <c r="G78" s="339"/>
      <c r="H78" s="339"/>
      <c r="I78" s="576" t="s">
        <v>498</v>
      </c>
      <c r="J78" s="297">
        <v>0</v>
      </c>
      <c r="K78" s="298">
        <v>0</v>
      </c>
      <c r="L78" s="298">
        <v>0</v>
      </c>
      <c r="M78" s="298">
        <v>0</v>
      </c>
      <c r="N78" s="298">
        <v>0</v>
      </c>
      <c r="O78" s="298">
        <v>0</v>
      </c>
      <c r="P78" s="298">
        <v>0</v>
      </c>
      <c r="Q78" s="299">
        <v>0</v>
      </c>
      <c r="R78" s="460">
        <v>0</v>
      </c>
      <c r="S78" s="298">
        <v>0</v>
      </c>
      <c r="T78" s="298">
        <v>0</v>
      </c>
      <c r="U78" s="298">
        <v>0</v>
      </c>
      <c r="V78" s="299">
        <v>0</v>
      </c>
    </row>
    <row r="79" spans="2:22">
      <c r="B79" s="349"/>
      <c r="C79" s="339"/>
      <c r="D79" s="339" t="s">
        <v>1914</v>
      </c>
      <c r="E79" s="339"/>
      <c r="F79" s="339"/>
      <c r="G79" s="339"/>
      <c r="H79" s="339"/>
      <c r="I79" s="576" t="s">
        <v>498</v>
      </c>
      <c r="J79" s="297">
        <v>0</v>
      </c>
      <c r="K79" s="298">
        <v>0</v>
      </c>
      <c r="L79" s="298">
        <v>0</v>
      </c>
      <c r="M79" s="298">
        <v>0</v>
      </c>
      <c r="N79" s="298">
        <v>0</v>
      </c>
      <c r="O79" s="298">
        <v>0</v>
      </c>
      <c r="P79" s="298">
        <v>0</v>
      </c>
      <c r="Q79" s="299">
        <v>0</v>
      </c>
      <c r="R79" s="460">
        <v>0</v>
      </c>
      <c r="S79" s="298">
        <v>0</v>
      </c>
      <c r="T79" s="298">
        <v>0</v>
      </c>
      <c r="U79" s="298">
        <v>0</v>
      </c>
      <c r="V79" s="299">
        <v>0</v>
      </c>
    </row>
    <row r="80" spans="2:22">
      <c r="B80" s="349"/>
      <c r="C80" s="339"/>
      <c r="D80" s="339"/>
      <c r="E80" s="339"/>
      <c r="F80" s="339"/>
      <c r="G80" s="339"/>
      <c r="H80" s="339"/>
      <c r="I80" s="339"/>
      <c r="J80" s="349"/>
      <c r="K80" s="339"/>
      <c r="L80" s="339"/>
      <c r="M80" s="339"/>
      <c r="N80" s="339"/>
      <c r="O80" s="339"/>
      <c r="P80" s="339"/>
      <c r="Q80" s="353"/>
      <c r="R80" s="339"/>
      <c r="S80" s="339"/>
      <c r="T80" s="339"/>
      <c r="U80" s="339"/>
      <c r="V80" s="353"/>
    </row>
    <row r="81" spans="1:22" ht="15.75" thickBot="1">
      <c r="B81" s="357" t="s">
        <v>1701</v>
      </c>
      <c r="C81" s="358"/>
      <c r="D81" s="358"/>
      <c r="E81" s="358"/>
      <c r="F81" s="358"/>
      <c r="G81" s="626"/>
      <c r="H81" s="358"/>
      <c r="I81" s="581" t="s">
        <v>498</v>
      </c>
      <c r="J81" s="637">
        <f t="shared" ref="J81:V81" si="5">SUM(J76+J78+J79)</f>
        <v>2.263204</v>
      </c>
      <c r="K81" s="638">
        <f t="shared" si="5"/>
        <v>2.5209999999999999</v>
      </c>
      <c r="L81" s="638">
        <f t="shared" si="5"/>
        <v>2.14</v>
      </c>
      <c r="M81" s="638">
        <f t="shared" si="5"/>
        <v>2.633</v>
      </c>
      <c r="N81" s="638">
        <f t="shared" si="5"/>
        <v>2.907</v>
      </c>
      <c r="O81" s="638">
        <f t="shared" si="5"/>
        <v>3.1609999999999996</v>
      </c>
      <c r="P81" s="638">
        <f t="shared" si="5"/>
        <v>3.1609999999999996</v>
      </c>
      <c r="Q81" s="639">
        <f t="shared" si="5"/>
        <v>3.1609999999999996</v>
      </c>
      <c r="R81" s="1141">
        <f t="shared" si="5"/>
        <v>3.1451950000000006</v>
      </c>
      <c r="S81" s="638">
        <f t="shared" si="5"/>
        <v>3.1294690249999997</v>
      </c>
      <c r="T81" s="638">
        <f t="shared" si="5"/>
        <v>3.1138216798749996</v>
      </c>
      <c r="U81" s="638">
        <f t="shared" si="5"/>
        <v>3.0982525714756251</v>
      </c>
      <c r="V81" s="639">
        <f t="shared" si="5"/>
        <v>3.0827613086182475</v>
      </c>
    </row>
    <row r="82" spans="1:22" ht="15.75" thickBot="1">
      <c r="B82" s="339"/>
      <c r="C82" s="339"/>
      <c r="D82" s="339"/>
      <c r="E82" s="339"/>
      <c r="F82" s="339"/>
      <c r="G82" s="630"/>
      <c r="H82" s="339"/>
      <c r="I82" s="551"/>
      <c r="J82" s="2547">
        <v>2.263204</v>
      </c>
      <c r="K82" s="338">
        <v>2.5209999999999999</v>
      </c>
      <c r="L82" s="338">
        <v>2.14</v>
      </c>
      <c r="M82" s="338">
        <v>2.633</v>
      </c>
      <c r="N82" s="338">
        <v>2.907</v>
      </c>
      <c r="O82" s="338">
        <v>3.1609999999999996</v>
      </c>
    </row>
    <row r="83" spans="1:22" ht="30" customHeight="1" thickBot="1">
      <c r="A83" s="258"/>
      <c r="B83" s="640" t="s">
        <v>1922</v>
      </c>
      <c r="C83" s="558"/>
      <c r="D83" s="558"/>
      <c r="E83" s="558"/>
      <c r="F83" s="558"/>
      <c r="G83" s="559"/>
      <c r="H83" s="294"/>
      <c r="I83" s="105" t="s">
        <v>1864</v>
      </c>
      <c r="J83" s="106"/>
      <c r="K83" s="106"/>
      <c r="L83" s="106"/>
      <c r="M83" s="106"/>
      <c r="N83" s="106"/>
      <c r="O83" s="106"/>
      <c r="P83" s="106"/>
      <c r="Q83" s="106"/>
      <c r="R83" s="105"/>
      <c r="S83" s="105"/>
      <c r="T83" s="105"/>
      <c r="U83" s="105"/>
      <c r="V83" s="187"/>
    </row>
    <row r="84" spans="1:22" ht="30" customHeight="1">
      <c r="A84" s="258"/>
      <c r="B84" s="560"/>
      <c r="C84" s="561"/>
      <c r="D84" s="561"/>
      <c r="E84" s="561"/>
      <c r="F84" s="561"/>
      <c r="G84" s="561"/>
      <c r="H84" s="259"/>
      <c r="I84" s="562"/>
      <c r="J84" s="563" t="s">
        <v>1666</v>
      </c>
      <c r="K84" s="564"/>
      <c r="L84" s="564"/>
      <c r="M84" s="564"/>
      <c r="N84" s="564"/>
      <c r="O84" s="564"/>
      <c r="P84" s="564"/>
      <c r="Q84" s="565"/>
      <c r="R84" s="567" t="s">
        <v>2</v>
      </c>
      <c r="S84" s="567"/>
      <c r="T84" s="567"/>
      <c r="U84" s="567"/>
      <c r="V84" s="568"/>
    </row>
    <row r="85" spans="1:22" ht="15">
      <c r="B85" s="572"/>
      <c r="C85" s="623"/>
      <c r="D85" s="339"/>
      <c r="E85" s="339"/>
      <c r="F85" s="339"/>
      <c r="G85" s="339"/>
      <c r="H85" s="259"/>
      <c r="I85" s="571" t="s">
        <v>1745</v>
      </c>
      <c r="J85" s="158" t="s">
        <v>453</v>
      </c>
      <c r="K85" s="137" t="s">
        <v>455</v>
      </c>
      <c r="L85" s="137" t="s">
        <v>457</v>
      </c>
      <c r="M85" s="137" t="s">
        <v>459</v>
      </c>
      <c r="N85" s="137" t="s">
        <v>461</v>
      </c>
      <c r="O85" s="137" t="s">
        <v>463</v>
      </c>
      <c r="P85" s="137" t="s">
        <v>465</v>
      </c>
      <c r="Q85" s="138" t="s">
        <v>467</v>
      </c>
      <c r="R85" s="242" t="s">
        <v>469</v>
      </c>
      <c r="S85" s="121" t="s">
        <v>471</v>
      </c>
      <c r="T85" s="121" t="s">
        <v>473</v>
      </c>
      <c r="U85" s="121" t="s">
        <v>475</v>
      </c>
      <c r="V85" s="122" t="s">
        <v>477</v>
      </c>
    </row>
    <row r="86" spans="1:22" ht="15">
      <c r="B86" s="572"/>
      <c r="C86" s="623" t="s">
        <v>1916</v>
      </c>
      <c r="D86" s="591"/>
      <c r="E86" s="591"/>
      <c r="F86" s="591"/>
      <c r="G86" s="339"/>
      <c r="H86" s="259"/>
      <c r="I86" s="260"/>
      <c r="J86" s="295"/>
      <c r="K86" s="259"/>
      <c r="L86" s="259"/>
      <c r="M86" s="259"/>
      <c r="N86" s="259"/>
      <c r="O86" s="259"/>
      <c r="P86" s="259"/>
      <c r="Q86" s="296"/>
      <c r="R86" s="259"/>
      <c r="S86" s="259"/>
      <c r="T86" s="259"/>
      <c r="U86" s="259"/>
      <c r="V86" s="296"/>
    </row>
    <row r="87" spans="1:22">
      <c r="B87" s="349"/>
      <c r="C87" s="339"/>
      <c r="D87" s="339" t="s">
        <v>1908</v>
      </c>
      <c r="E87" s="339"/>
      <c r="F87" s="339"/>
      <c r="G87" s="339"/>
      <c r="H87" s="339"/>
      <c r="I87" s="576" t="s">
        <v>498</v>
      </c>
      <c r="J87" s="297">
        <v>0</v>
      </c>
      <c r="K87" s="298">
        <v>0</v>
      </c>
      <c r="L87" s="298">
        <v>0</v>
      </c>
      <c r="M87" s="298">
        <v>0</v>
      </c>
      <c r="N87" s="298">
        <v>0</v>
      </c>
      <c r="O87" s="298">
        <v>0</v>
      </c>
      <c r="P87" s="298">
        <v>0</v>
      </c>
      <c r="Q87" s="299">
        <v>0</v>
      </c>
      <c r="R87" s="460">
        <v>0</v>
      </c>
      <c r="S87" s="298">
        <v>0</v>
      </c>
      <c r="T87" s="298">
        <v>0</v>
      </c>
      <c r="U87" s="298">
        <v>0</v>
      </c>
      <c r="V87" s="299">
        <v>0</v>
      </c>
    </row>
    <row r="88" spans="1:22">
      <c r="B88" s="349"/>
      <c r="C88" s="339"/>
      <c r="D88" s="339" t="s">
        <v>1909</v>
      </c>
      <c r="E88" s="339"/>
      <c r="F88" s="339"/>
      <c r="G88" s="339"/>
      <c r="H88" s="339"/>
      <c r="I88" s="576" t="s">
        <v>498</v>
      </c>
      <c r="J88" s="297">
        <v>0</v>
      </c>
      <c r="K88" s="298">
        <v>0</v>
      </c>
      <c r="L88" s="298">
        <v>0</v>
      </c>
      <c r="M88" s="298">
        <v>0</v>
      </c>
      <c r="N88" s="298">
        <v>0</v>
      </c>
      <c r="O88" s="298">
        <v>0</v>
      </c>
      <c r="P88" s="298">
        <v>0</v>
      </c>
      <c r="Q88" s="299">
        <v>0</v>
      </c>
      <c r="R88" s="460">
        <v>0</v>
      </c>
      <c r="S88" s="298">
        <v>0</v>
      </c>
      <c r="T88" s="298">
        <v>0</v>
      </c>
      <c r="U88" s="298">
        <v>0</v>
      </c>
      <c r="V88" s="299">
        <v>0</v>
      </c>
    </row>
    <row r="89" spans="1:22">
      <c r="B89" s="349"/>
      <c r="C89" s="339"/>
      <c r="D89" s="339" t="s">
        <v>1910</v>
      </c>
      <c r="E89" s="339"/>
      <c r="F89" s="339"/>
      <c r="G89" s="339"/>
      <c r="H89" s="339"/>
      <c r="I89" s="576" t="s">
        <v>498</v>
      </c>
      <c r="J89" s="297">
        <v>0</v>
      </c>
      <c r="K89" s="298">
        <v>0</v>
      </c>
      <c r="L89" s="298">
        <v>0</v>
      </c>
      <c r="M89" s="298">
        <v>0</v>
      </c>
      <c r="N89" s="298">
        <v>0</v>
      </c>
      <c r="O89" s="298">
        <v>0</v>
      </c>
      <c r="P89" s="298">
        <v>0</v>
      </c>
      <c r="Q89" s="299">
        <v>0</v>
      </c>
      <c r="R89" s="460">
        <v>0</v>
      </c>
      <c r="S89" s="298">
        <v>0</v>
      </c>
      <c r="T89" s="298">
        <v>0</v>
      </c>
      <c r="U89" s="298">
        <v>0</v>
      </c>
      <c r="V89" s="299">
        <v>0</v>
      </c>
    </row>
    <row r="90" spans="1:22">
      <c r="B90" s="349"/>
      <c r="C90" s="339"/>
      <c r="D90" s="339" t="s">
        <v>1911</v>
      </c>
      <c r="E90" s="339"/>
      <c r="F90" s="339"/>
      <c r="G90" s="339"/>
      <c r="H90" s="339"/>
      <c r="I90" s="576" t="s">
        <v>498</v>
      </c>
      <c r="J90" s="297">
        <v>0</v>
      </c>
      <c r="K90" s="298">
        <v>0</v>
      </c>
      <c r="L90" s="298">
        <v>0</v>
      </c>
      <c r="M90" s="298">
        <v>0</v>
      </c>
      <c r="N90" s="298">
        <v>0</v>
      </c>
      <c r="O90" s="298">
        <v>0</v>
      </c>
      <c r="P90" s="298">
        <v>0</v>
      </c>
      <c r="Q90" s="299">
        <v>0</v>
      </c>
      <c r="R90" s="460">
        <v>0</v>
      </c>
      <c r="S90" s="298">
        <v>0</v>
      </c>
      <c r="T90" s="298">
        <v>0</v>
      </c>
      <c r="U90" s="298">
        <v>0</v>
      </c>
      <c r="V90" s="299">
        <v>0</v>
      </c>
    </row>
    <row r="91" spans="1:22">
      <c r="B91" s="349"/>
      <c r="C91" s="339"/>
      <c r="D91" s="339" t="s">
        <v>1912</v>
      </c>
      <c r="E91" s="339"/>
      <c r="F91" s="339"/>
      <c r="G91" s="339"/>
      <c r="H91" s="339"/>
      <c r="I91" s="576" t="s">
        <v>498</v>
      </c>
      <c r="J91" s="297">
        <v>0</v>
      </c>
      <c r="K91" s="298">
        <v>0</v>
      </c>
      <c r="L91" s="298">
        <v>0</v>
      </c>
      <c r="M91" s="298">
        <v>0</v>
      </c>
      <c r="N91" s="298">
        <v>0</v>
      </c>
      <c r="O91" s="298">
        <v>0</v>
      </c>
      <c r="P91" s="298">
        <v>0</v>
      </c>
      <c r="Q91" s="299">
        <v>0</v>
      </c>
      <c r="R91" s="460">
        <v>0</v>
      </c>
      <c r="S91" s="298">
        <v>0</v>
      </c>
      <c r="T91" s="298">
        <v>0</v>
      </c>
      <c r="U91" s="298">
        <v>0</v>
      </c>
      <c r="V91" s="299">
        <v>0</v>
      </c>
    </row>
    <row r="92" spans="1:22">
      <c r="B92" s="349"/>
      <c r="C92" s="339"/>
      <c r="D92" s="339" t="s">
        <v>1913</v>
      </c>
      <c r="E92" s="339"/>
      <c r="F92" s="339"/>
      <c r="G92" s="339"/>
      <c r="H92" s="339"/>
      <c r="I92" s="576" t="s">
        <v>498</v>
      </c>
      <c r="J92" s="297">
        <v>0</v>
      </c>
      <c r="K92" s="298">
        <v>0</v>
      </c>
      <c r="L92" s="298">
        <v>0</v>
      </c>
      <c r="M92" s="298">
        <v>0</v>
      </c>
      <c r="N92" s="298">
        <v>0</v>
      </c>
      <c r="O92" s="298">
        <v>0</v>
      </c>
      <c r="P92" s="298">
        <v>0</v>
      </c>
      <c r="Q92" s="299">
        <v>0</v>
      </c>
      <c r="R92" s="460">
        <v>0</v>
      </c>
      <c r="S92" s="298">
        <v>0</v>
      </c>
      <c r="T92" s="298">
        <v>0</v>
      </c>
      <c r="U92" s="298">
        <v>0</v>
      </c>
      <c r="V92" s="299">
        <v>0</v>
      </c>
    </row>
    <row r="93" spans="1:22">
      <c r="B93" s="349"/>
      <c r="C93" s="339"/>
      <c r="D93" s="339" t="s">
        <v>85</v>
      </c>
      <c r="E93" s="339"/>
      <c r="F93" s="339"/>
      <c r="G93" s="293"/>
      <c r="H93" s="339"/>
      <c r="I93" s="576" t="s">
        <v>498</v>
      </c>
      <c r="J93" s="297">
        <v>0</v>
      </c>
      <c r="K93" s="298">
        <v>0</v>
      </c>
      <c r="L93" s="298">
        <v>0</v>
      </c>
      <c r="M93" s="298">
        <v>0</v>
      </c>
      <c r="N93" s="298">
        <v>0</v>
      </c>
      <c r="O93" s="298">
        <v>0</v>
      </c>
      <c r="P93" s="298">
        <v>0</v>
      </c>
      <c r="Q93" s="299">
        <v>0</v>
      </c>
      <c r="R93" s="460">
        <v>0</v>
      </c>
      <c r="S93" s="298">
        <v>0</v>
      </c>
      <c r="T93" s="298">
        <v>0</v>
      </c>
      <c r="U93" s="298">
        <v>0</v>
      </c>
      <c r="V93" s="299">
        <v>0</v>
      </c>
    </row>
    <row r="94" spans="1:22">
      <c r="B94" s="349"/>
      <c r="C94" s="339"/>
      <c r="D94" s="339" t="s">
        <v>85</v>
      </c>
      <c r="E94" s="339"/>
      <c r="F94" s="339"/>
      <c r="G94" s="293"/>
      <c r="H94" s="339"/>
      <c r="I94" s="576" t="s">
        <v>498</v>
      </c>
      <c r="J94" s="297">
        <v>0</v>
      </c>
      <c r="K94" s="298">
        <v>0</v>
      </c>
      <c r="L94" s="298">
        <v>0</v>
      </c>
      <c r="M94" s="298">
        <v>0</v>
      </c>
      <c r="N94" s="298">
        <v>0</v>
      </c>
      <c r="O94" s="298">
        <v>0</v>
      </c>
      <c r="P94" s="298">
        <v>0</v>
      </c>
      <c r="Q94" s="299">
        <v>0</v>
      </c>
      <c r="R94" s="460">
        <v>0</v>
      </c>
      <c r="S94" s="298">
        <v>0</v>
      </c>
      <c r="T94" s="298">
        <v>0</v>
      </c>
      <c r="U94" s="298">
        <v>0</v>
      </c>
      <c r="V94" s="299">
        <v>0</v>
      </c>
    </row>
    <row r="95" spans="1:22">
      <c r="B95" s="349"/>
      <c r="C95" s="339"/>
      <c r="D95" s="339" t="s">
        <v>85</v>
      </c>
      <c r="E95" s="339"/>
      <c r="F95" s="339"/>
      <c r="G95" s="293"/>
      <c r="H95" s="339"/>
      <c r="I95" s="576" t="s">
        <v>498</v>
      </c>
      <c r="J95" s="297">
        <v>0</v>
      </c>
      <c r="K95" s="298">
        <v>0</v>
      </c>
      <c r="L95" s="298">
        <v>0</v>
      </c>
      <c r="M95" s="298">
        <v>0</v>
      </c>
      <c r="N95" s="298">
        <v>0</v>
      </c>
      <c r="O95" s="298">
        <v>0</v>
      </c>
      <c r="P95" s="298">
        <v>0</v>
      </c>
      <c r="Q95" s="299">
        <v>0</v>
      </c>
      <c r="R95" s="460">
        <v>0</v>
      </c>
      <c r="S95" s="298">
        <v>0</v>
      </c>
      <c r="T95" s="298">
        <v>0</v>
      </c>
      <c r="U95" s="298">
        <v>0</v>
      </c>
      <c r="V95" s="299">
        <v>0</v>
      </c>
    </row>
    <row r="96" spans="1:22">
      <c r="B96" s="349"/>
      <c r="C96" s="339"/>
      <c r="D96" s="339" t="s">
        <v>85</v>
      </c>
      <c r="E96" s="339"/>
      <c r="F96" s="339"/>
      <c r="G96" s="293"/>
      <c r="H96" s="339"/>
      <c r="I96" s="576" t="s">
        <v>498</v>
      </c>
      <c r="J96" s="297">
        <v>0</v>
      </c>
      <c r="K96" s="298">
        <v>0</v>
      </c>
      <c r="L96" s="298">
        <v>0</v>
      </c>
      <c r="M96" s="298">
        <v>0</v>
      </c>
      <c r="N96" s="298">
        <v>0</v>
      </c>
      <c r="O96" s="298">
        <v>0</v>
      </c>
      <c r="P96" s="298">
        <v>0</v>
      </c>
      <c r="Q96" s="299">
        <v>0</v>
      </c>
      <c r="R96" s="460">
        <v>0</v>
      </c>
      <c r="S96" s="298">
        <v>0</v>
      </c>
      <c r="T96" s="298">
        <v>0</v>
      </c>
      <c r="U96" s="298">
        <v>0</v>
      </c>
      <c r="V96" s="299">
        <v>0</v>
      </c>
    </row>
    <row r="97" spans="1:22">
      <c r="B97" s="349"/>
      <c r="C97" s="339"/>
      <c r="D97" s="339" t="s">
        <v>85</v>
      </c>
      <c r="E97" s="339"/>
      <c r="F97" s="339"/>
      <c r="G97" s="293"/>
      <c r="H97" s="339"/>
      <c r="I97" s="576" t="s">
        <v>498</v>
      </c>
      <c r="J97" s="297">
        <v>0</v>
      </c>
      <c r="K97" s="298">
        <v>0</v>
      </c>
      <c r="L97" s="298">
        <v>0</v>
      </c>
      <c r="M97" s="298">
        <v>0</v>
      </c>
      <c r="N97" s="298">
        <v>0</v>
      </c>
      <c r="O97" s="298">
        <v>0</v>
      </c>
      <c r="P97" s="298">
        <v>0</v>
      </c>
      <c r="Q97" s="299">
        <v>0</v>
      </c>
      <c r="R97" s="460">
        <v>0</v>
      </c>
      <c r="S97" s="298">
        <v>0</v>
      </c>
      <c r="T97" s="298">
        <v>0</v>
      </c>
      <c r="U97" s="298">
        <v>0</v>
      </c>
      <c r="V97" s="299">
        <v>0</v>
      </c>
    </row>
    <row r="98" spans="1:22">
      <c r="B98" s="349"/>
      <c r="C98" s="339"/>
      <c r="D98" s="339" t="s">
        <v>85</v>
      </c>
      <c r="E98" s="339"/>
      <c r="F98" s="339"/>
      <c r="G98" s="293"/>
      <c r="H98" s="339"/>
      <c r="I98" s="576" t="s">
        <v>498</v>
      </c>
      <c r="J98" s="297">
        <v>0</v>
      </c>
      <c r="K98" s="298">
        <v>0</v>
      </c>
      <c r="L98" s="298">
        <v>0</v>
      </c>
      <c r="M98" s="298">
        <v>0</v>
      </c>
      <c r="N98" s="298">
        <v>0</v>
      </c>
      <c r="O98" s="298">
        <v>0</v>
      </c>
      <c r="P98" s="298">
        <v>0</v>
      </c>
      <c r="Q98" s="299">
        <v>0</v>
      </c>
      <c r="R98" s="460">
        <v>0</v>
      </c>
      <c r="S98" s="298">
        <v>0</v>
      </c>
      <c r="T98" s="298">
        <v>0</v>
      </c>
      <c r="U98" s="298">
        <v>0</v>
      </c>
      <c r="V98" s="299">
        <v>0</v>
      </c>
    </row>
    <row r="99" spans="1:22">
      <c r="B99" s="349"/>
      <c r="C99" s="339"/>
      <c r="D99" s="339" t="s">
        <v>85</v>
      </c>
      <c r="E99" s="339"/>
      <c r="F99" s="339"/>
      <c r="G99" s="293"/>
      <c r="H99" s="339"/>
      <c r="I99" s="576" t="s">
        <v>498</v>
      </c>
      <c r="J99" s="297">
        <v>0</v>
      </c>
      <c r="K99" s="298">
        <v>0</v>
      </c>
      <c r="L99" s="298">
        <v>0</v>
      </c>
      <c r="M99" s="298">
        <v>0</v>
      </c>
      <c r="N99" s="298">
        <v>0</v>
      </c>
      <c r="O99" s="298">
        <v>0</v>
      </c>
      <c r="P99" s="298">
        <v>0</v>
      </c>
      <c r="Q99" s="299">
        <v>0</v>
      </c>
      <c r="R99" s="460">
        <v>0</v>
      </c>
      <c r="S99" s="298">
        <v>0</v>
      </c>
      <c r="T99" s="298">
        <v>0</v>
      </c>
      <c r="U99" s="298">
        <v>0</v>
      </c>
      <c r="V99" s="299">
        <v>0</v>
      </c>
    </row>
    <row r="100" spans="1:22">
      <c r="B100" s="349"/>
      <c r="C100" s="339"/>
      <c r="D100" s="339" t="s">
        <v>85</v>
      </c>
      <c r="E100" s="339"/>
      <c r="F100" s="339"/>
      <c r="G100" s="293"/>
      <c r="H100" s="339"/>
      <c r="I100" s="576" t="s">
        <v>498</v>
      </c>
      <c r="J100" s="297">
        <v>0</v>
      </c>
      <c r="K100" s="298">
        <v>0</v>
      </c>
      <c r="L100" s="298">
        <v>0</v>
      </c>
      <c r="M100" s="298">
        <v>0</v>
      </c>
      <c r="N100" s="298">
        <v>0</v>
      </c>
      <c r="O100" s="298">
        <v>0</v>
      </c>
      <c r="P100" s="298">
        <v>0</v>
      </c>
      <c r="Q100" s="299">
        <v>0</v>
      </c>
      <c r="R100" s="460">
        <v>0</v>
      </c>
      <c r="S100" s="298">
        <v>0</v>
      </c>
      <c r="T100" s="298">
        <v>0</v>
      </c>
      <c r="U100" s="298">
        <v>0</v>
      </c>
      <c r="V100" s="299">
        <v>0</v>
      </c>
    </row>
    <row r="101" spans="1:22" ht="15">
      <c r="B101" s="349"/>
      <c r="C101" s="339" t="s">
        <v>1710</v>
      </c>
      <c r="D101" s="623"/>
      <c r="E101" s="623"/>
      <c r="F101" s="623"/>
      <c r="G101" s="625"/>
      <c r="H101" s="339"/>
      <c r="I101" s="576" t="s">
        <v>498</v>
      </c>
      <c r="J101" s="631">
        <f t="shared" ref="J101:V101" si="6">SUM(J87:J100)</f>
        <v>0</v>
      </c>
      <c r="K101" s="632">
        <f t="shared" si="6"/>
        <v>0</v>
      </c>
      <c r="L101" s="632">
        <f t="shared" si="6"/>
        <v>0</v>
      </c>
      <c r="M101" s="632">
        <f t="shared" si="6"/>
        <v>0</v>
      </c>
      <c r="N101" s="632">
        <f t="shared" si="6"/>
        <v>0</v>
      </c>
      <c r="O101" s="632">
        <f t="shared" si="6"/>
        <v>0</v>
      </c>
      <c r="P101" s="632">
        <f t="shared" si="6"/>
        <v>0</v>
      </c>
      <c r="Q101" s="633">
        <f t="shared" si="6"/>
        <v>0</v>
      </c>
      <c r="R101" s="989">
        <f t="shared" si="6"/>
        <v>0</v>
      </c>
      <c r="S101" s="632">
        <f t="shared" si="6"/>
        <v>0</v>
      </c>
      <c r="T101" s="632">
        <f t="shared" si="6"/>
        <v>0</v>
      </c>
      <c r="U101" s="632">
        <f t="shared" si="6"/>
        <v>0</v>
      </c>
      <c r="V101" s="633">
        <f t="shared" si="6"/>
        <v>0</v>
      </c>
    </row>
    <row r="102" spans="1:22">
      <c r="B102" s="349"/>
      <c r="C102" s="339"/>
      <c r="D102" s="339"/>
      <c r="E102" s="339"/>
      <c r="F102" s="339"/>
      <c r="G102" s="339"/>
      <c r="H102" s="339"/>
      <c r="I102" s="339"/>
      <c r="J102" s="349"/>
      <c r="K102" s="339"/>
      <c r="L102" s="339"/>
      <c r="M102" s="339"/>
      <c r="N102" s="339"/>
      <c r="O102" s="339"/>
      <c r="P102" s="339"/>
      <c r="Q102" s="353"/>
      <c r="R102" s="339"/>
      <c r="S102" s="339"/>
      <c r="T102" s="339"/>
      <c r="U102" s="339"/>
      <c r="V102" s="353"/>
    </row>
    <row r="103" spans="1:22">
      <c r="B103" s="349"/>
      <c r="C103" s="339"/>
      <c r="D103" s="339" t="s">
        <v>1894</v>
      </c>
      <c r="E103" s="339"/>
      <c r="F103" s="339"/>
      <c r="G103" s="339"/>
      <c r="H103" s="339"/>
      <c r="I103" s="576" t="s">
        <v>498</v>
      </c>
      <c r="J103" s="297">
        <v>0</v>
      </c>
      <c r="K103" s="298">
        <v>0</v>
      </c>
      <c r="L103" s="298">
        <v>0</v>
      </c>
      <c r="M103" s="298">
        <v>0</v>
      </c>
      <c r="N103" s="298">
        <v>0</v>
      </c>
      <c r="O103" s="298">
        <v>0</v>
      </c>
      <c r="P103" s="298">
        <v>0</v>
      </c>
      <c r="Q103" s="299">
        <v>0</v>
      </c>
      <c r="R103" s="460">
        <v>0</v>
      </c>
      <c r="S103" s="298">
        <v>0</v>
      </c>
      <c r="T103" s="298">
        <v>0</v>
      </c>
      <c r="U103" s="298">
        <v>0</v>
      </c>
      <c r="V103" s="299">
        <v>0</v>
      </c>
    </row>
    <row r="104" spans="1:22">
      <c r="B104" s="349"/>
      <c r="C104" s="339"/>
      <c r="D104" s="339" t="s">
        <v>1914</v>
      </c>
      <c r="E104" s="339"/>
      <c r="F104" s="339"/>
      <c r="G104" s="339"/>
      <c r="H104" s="339"/>
      <c r="I104" s="576" t="s">
        <v>498</v>
      </c>
      <c r="J104" s="297">
        <v>0</v>
      </c>
      <c r="K104" s="298">
        <v>0</v>
      </c>
      <c r="L104" s="298">
        <v>0</v>
      </c>
      <c r="M104" s="298">
        <v>0</v>
      </c>
      <c r="N104" s="298">
        <v>0</v>
      </c>
      <c r="O104" s="298">
        <v>0</v>
      </c>
      <c r="P104" s="298">
        <v>0</v>
      </c>
      <c r="Q104" s="299">
        <v>0</v>
      </c>
      <c r="R104" s="460">
        <v>0</v>
      </c>
      <c r="S104" s="298">
        <v>0</v>
      </c>
      <c r="T104" s="298">
        <v>0</v>
      </c>
      <c r="U104" s="298">
        <v>0</v>
      </c>
      <c r="V104" s="299">
        <v>0</v>
      </c>
    </row>
    <row r="105" spans="1:22">
      <c r="B105" s="349"/>
      <c r="C105" s="339"/>
      <c r="D105" s="339"/>
      <c r="E105" s="339"/>
      <c r="F105" s="339"/>
      <c r="G105" s="339"/>
      <c r="H105" s="339"/>
      <c r="I105" s="339"/>
      <c r="J105" s="349"/>
      <c r="K105" s="339"/>
      <c r="L105" s="339"/>
      <c r="M105" s="339"/>
      <c r="N105" s="339"/>
      <c r="O105" s="339"/>
      <c r="P105" s="339"/>
      <c r="Q105" s="353"/>
      <c r="R105" s="339"/>
      <c r="S105" s="339"/>
      <c r="T105" s="339"/>
      <c r="U105" s="339"/>
      <c r="V105" s="353"/>
    </row>
    <row r="106" spans="1:22" ht="15.75" thickBot="1">
      <c r="B106" s="357" t="s">
        <v>1701</v>
      </c>
      <c r="C106" s="358"/>
      <c r="D106" s="358"/>
      <c r="E106" s="358"/>
      <c r="F106" s="358"/>
      <c r="G106" s="626"/>
      <c r="H106" s="358"/>
      <c r="I106" s="581" t="s">
        <v>498</v>
      </c>
      <c r="J106" s="637">
        <f t="shared" ref="J106:V106" si="7">SUM(J101+J103+J104)</f>
        <v>0</v>
      </c>
      <c r="K106" s="638">
        <f t="shared" si="7"/>
        <v>0</v>
      </c>
      <c r="L106" s="638">
        <f t="shared" si="7"/>
        <v>0</v>
      </c>
      <c r="M106" s="638">
        <f t="shared" si="7"/>
        <v>0</v>
      </c>
      <c r="N106" s="638">
        <f t="shared" si="7"/>
        <v>0</v>
      </c>
      <c r="O106" s="638">
        <f t="shared" si="7"/>
        <v>0</v>
      </c>
      <c r="P106" s="638">
        <f t="shared" si="7"/>
        <v>0</v>
      </c>
      <c r="Q106" s="639">
        <f t="shared" si="7"/>
        <v>0</v>
      </c>
      <c r="R106" s="1141">
        <f t="shared" si="7"/>
        <v>0</v>
      </c>
      <c r="S106" s="638">
        <f t="shared" si="7"/>
        <v>0</v>
      </c>
      <c r="T106" s="638">
        <f t="shared" si="7"/>
        <v>0</v>
      </c>
      <c r="U106" s="638">
        <f t="shared" si="7"/>
        <v>0</v>
      </c>
      <c r="V106" s="639">
        <f t="shared" si="7"/>
        <v>0</v>
      </c>
    </row>
    <row r="107" spans="1:22" ht="14.25" customHeight="1" thickBot="1"/>
    <row r="108" spans="1:22" ht="30" customHeight="1" thickBot="1">
      <c r="A108" s="258"/>
      <c r="B108" s="640" t="s">
        <v>1923</v>
      </c>
      <c r="C108" s="558"/>
      <c r="D108" s="558"/>
      <c r="E108" s="558"/>
      <c r="F108" s="558"/>
      <c r="G108" s="559"/>
      <c r="H108" s="294"/>
      <c r="I108" s="105" t="s">
        <v>1864</v>
      </c>
      <c r="J108" s="106"/>
      <c r="K108" s="106"/>
      <c r="L108" s="106"/>
      <c r="M108" s="106"/>
      <c r="N108" s="106"/>
      <c r="O108" s="106"/>
      <c r="P108" s="106"/>
      <c r="Q108" s="106"/>
      <c r="R108" s="105"/>
      <c r="S108" s="105"/>
      <c r="T108" s="105"/>
      <c r="U108" s="105"/>
      <c r="V108" s="187"/>
    </row>
    <row r="109" spans="1:22" ht="30" customHeight="1">
      <c r="A109" s="258"/>
      <c r="B109" s="560"/>
      <c r="C109" s="561"/>
      <c r="D109" s="561"/>
      <c r="E109" s="561"/>
      <c r="F109" s="561"/>
      <c r="G109" s="561"/>
      <c r="H109" s="259"/>
      <c r="I109" s="562"/>
      <c r="J109" s="563" t="s">
        <v>1666</v>
      </c>
      <c r="K109" s="564"/>
      <c r="L109" s="564"/>
      <c r="M109" s="564"/>
      <c r="N109" s="564"/>
      <c r="O109" s="564"/>
      <c r="P109" s="564"/>
      <c r="Q109" s="565"/>
      <c r="R109" s="567" t="s">
        <v>2</v>
      </c>
      <c r="S109" s="567"/>
      <c r="T109" s="567"/>
      <c r="U109" s="567"/>
      <c r="V109" s="568"/>
    </row>
    <row r="110" spans="1:22" ht="15">
      <c r="B110" s="572"/>
      <c r="C110" s="623"/>
      <c r="D110" s="339"/>
      <c r="E110" s="339"/>
      <c r="F110" s="339"/>
      <c r="G110" s="339"/>
      <c r="H110" s="259"/>
      <c r="I110" s="571" t="s">
        <v>1745</v>
      </c>
      <c r="J110" s="158" t="s">
        <v>453</v>
      </c>
      <c r="K110" s="137" t="s">
        <v>455</v>
      </c>
      <c r="L110" s="137" t="s">
        <v>457</v>
      </c>
      <c r="M110" s="137" t="s">
        <v>459</v>
      </c>
      <c r="N110" s="137" t="s">
        <v>461</v>
      </c>
      <c r="O110" s="137" t="s">
        <v>463</v>
      </c>
      <c r="P110" s="137" t="s">
        <v>465</v>
      </c>
      <c r="Q110" s="138" t="s">
        <v>467</v>
      </c>
      <c r="R110" s="242" t="s">
        <v>469</v>
      </c>
      <c r="S110" s="121" t="s">
        <v>471</v>
      </c>
      <c r="T110" s="121" t="s">
        <v>473</v>
      </c>
      <c r="U110" s="121" t="s">
        <v>475</v>
      </c>
      <c r="V110" s="122" t="s">
        <v>477</v>
      </c>
    </row>
    <row r="111" spans="1:22" ht="14.25" customHeight="1">
      <c r="B111" s="572"/>
      <c r="C111" s="623" t="s">
        <v>1916</v>
      </c>
      <c r="D111" s="591"/>
      <c r="E111" s="591"/>
      <c r="F111" s="591"/>
      <c r="G111" s="339"/>
      <c r="H111" s="259"/>
      <c r="I111" s="260"/>
      <c r="J111" s="295"/>
      <c r="K111" s="259"/>
      <c r="L111" s="259"/>
      <c r="M111" s="259"/>
      <c r="N111" s="259"/>
      <c r="O111" s="259"/>
      <c r="P111" s="259"/>
      <c r="Q111" s="296"/>
      <c r="R111" s="259"/>
      <c r="S111" s="259"/>
      <c r="T111" s="259"/>
      <c r="U111" s="259"/>
      <c r="V111" s="296"/>
    </row>
    <row r="112" spans="1:22" ht="14.25" customHeight="1">
      <c r="B112" s="349"/>
      <c r="C112" s="339"/>
      <c r="D112" s="339" t="s">
        <v>1908</v>
      </c>
      <c r="E112" s="339"/>
      <c r="F112" s="339"/>
      <c r="G112" s="339"/>
      <c r="H112" s="339"/>
      <c r="I112" s="576" t="s">
        <v>498</v>
      </c>
      <c r="J112" s="297">
        <v>0</v>
      </c>
      <c r="K112" s="298">
        <v>0</v>
      </c>
      <c r="L112" s="298">
        <v>0</v>
      </c>
      <c r="M112" s="298">
        <v>0</v>
      </c>
      <c r="N112" s="298">
        <v>0</v>
      </c>
      <c r="O112" s="298">
        <v>0</v>
      </c>
      <c r="P112" s="298">
        <v>0</v>
      </c>
      <c r="Q112" s="299">
        <v>0</v>
      </c>
      <c r="R112" s="460">
        <v>0</v>
      </c>
      <c r="S112" s="298">
        <v>0</v>
      </c>
      <c r="T112" s="298">
        <v>0</v>
      </c>
      <c r="U112" s="298">
        <v>0</v>
      </c>
      <c r="V112" s="299">
        <v>0</v>
      </c>
    </row>
    <row r="113" spans="2:22" ht="14.25" customHeight="1">
      <c r="B113" s="349"/>
      <c r="C113" s="339"/>
      <c r="D113" s="339" t="s">
        <v>1909</v>
      </c>
      <c r="E113" s="339"/>
      <c r="F113" s="339"/>
      <c r="G113" s="339"/>
      <c r="H113" s="339"/>
      <c r="I113" s="576" t="s">
        <v>498</v>
      </c>
      <c r="J113" s="297">
        <v>0</v>
      </c>
      <c r="K113" s="298">
        <v>0</v>
      </c>
      <c r="L113" s="298">
        <v>0</v>
      </c>
      <c r="M113" s="298">
        <v>0</v>
      </c>
      <c r="N113" s="298">
        <v>0</v>
      </c>
      <c r="O113" s="298">
        <v>0</v>
      </c>
      <c r="P113" s="298">
        <v>0</v>
      </c>
      <c r="Q113" s="299">
        <v>0</v>
      </c>
      <c r="R113" s="460">
        <v>0</v>
      </c>
      <c r="S113" s="298">
        <v>0</v>
      </c>
      <c r="T113" s="298">
        <v>0</v>
      </c>
      <c r="U113" s="298">
        <v>0</v>
      </c>
      <c r="V113" s="299">
        <v>0</v>
      </c>
    </row>
    <row r="114" spans="2:22" ht="14.25" customHeight="1">
      <c r="B114" s="349"/>
      <c r="C114" s="339"/>
      <c r="D114" s="339" t="s">
        <v>1910</v>
      </c>
      <c r="E114" s="339"/>
      <c r="F114" s="339"/>
      <c r="G114" s="339"/>
      <c r="H114" s="339"/>
      <c r="I114" s="576" t="s">
        <v>498</v>
      </c>
      <c r="J114" s="297">
        <v>0</v>
      </c>
      <c r="K114" s="298">
        <v>0</v>
      </c>
      <c r="L114" s="298">
        <v>0</v>
      </c>
      <c r="M114" s="298">
        <v>0</v>
      </c>
      <c r="N114" s="298">
        <v>0</v>
      </c>
      <c r="O114" s="298">
        <v>0</v>
      </c>
      <c r="P114" s="298">
        <v>0</v>
      </c>
      <c r="Q114" s="299">
        <v>0</v>
      </c>
      <c r="R114" s="460">
        <v>0</v>
      </c>
      <c r="S114" s="298">
        <v>0</v>
      </c>
      <c r="T114" s="298">
        <v>0</v>
      </c>
      <c r="U114" s="298">
        <v>0</v>
      </c>
      <c r="V114" s="299">
        <v>0</v>
      </c>
    </row>
    <row r="115" spans="2:22" ht="14.25" customHeight="1">
      <c r="B115" s="349"/>
      <c r="C115" s="339"/>
      <c r="D115" s="339" t="s">
        <v>1911</v>
      </c>
      <c r="E115" s="339"/>
      <c r="F115" s="339"/>
      <c r="G115" s="339"/>
      <c r="H115" s="339"/>
      <c r="I115" s="576" t="s">
        <v>498</v>
      </c>
      <c r="J115" s="297">
        <v>0</v>
      </c>
      <c r="K115" s="298">
        <v>0</v>
      </c>
      <c r="L115" s="298">
        <v>0</v>
      </c>
      <c r="M115" s="298">
        <v>0</v>
      </c>
      <c r="N115" s="298">
        <v>0</v>
      </c>
      <c r="O115" s="298">
        <v>0</v>
      </c>
      <c r="P115" s="298">
        <v>0</v>
      </c>
      <c r="Q115" s="299">
        <v>0</v>
      </c>
      <c r="R115" s="460">
        <v>0</v>
      </c>
      <c r="S115" s="298">
        <v>0</v>
      </c>
      <c r="T115" s="298">
        <v>0</v>
      </c>
      <c r="U115" s="298">
        <v>0</v>
      </c>
      <c r="V115" s="299">
        <v>0</v>
      </c>
    </row>
    <row r="116" spans="2:22" ht="14.25" customHeight="1">
      <c r="B116" s="349"/>
      <c r="C116" s="339"/>
      <c r="D116" s="339" t="s">
        <v>1912</v>
      </c>
      <c r="E116" s="339"/>
      <c r="F116" s="339"/>
      <c r="G116" s="339"/>
      <c r="H116" s="339"/>
      <c r="I116" s="576" t="s">
        <v>498</v>
      </c>
      <c r="J116" s="297">
        <v>0</v>
      </c>
      <c r="K116" s="298">
        <v>0</v>
      </c>
      <c r="L116" s="298">
        <v>0</v>
      </c>
      <c r="M116" s="298">
        <v>0</v>
      </c>
      <c r="N116" s="298">
        <v>0</v>
      </c>
      <c r="O116" s="298">
        <v>0</v>
      </c>
      <c r="P116" s="298">
        <v>0</v>
      </c>
      <c r="Q116" s="299">
        <v>0</v>
      </c>
      <c r="R116" s="460">
        <v>0</v>
      </c>
      <c r="S116" s="298">
        <v>0</v>
      </c>
      <c r="T116" s="298">
        <v>0</v>
      </c>
      <c r="U116" s="298">
        <v>0</v>
      </c>
      <c r="V116" s="299">
        <v>0</v>
      </c>
    </row>
    <row r="117" spans="2:22" ht="14.25" customHeight="1">
      <c r="B117" s="349"/>
      <c r="C117" s="339"/>
      <c r="D117" s="339" t="s">
        <v>1913</v>
      </c>
      <c r="E117" s="339"/>
      <c r="F117" s="339"/>
      <c r="G117" s="339"/>
      <c r="H117" s="339"/>
      <c r="I117" s="576" t="s">
        <v>498</v>
      </c>
      <c r="J117" s="297">
        <v>0</v>
      </c>
      <c r="K117" s="298">
        <v>0</v>
      </c>
      <c r="L117" s="298">
        <v>0</v>
      </c>
      <c r="M117" s="298">
        <v>0</v>
      </c>
      <c r="N117" s="298">
        <v>0</v>
      </c>
      <c r="O117" s="298">
        <v>0</v>
      </c>
      <c r="P117" s="298">
        <v>0</v>
      </c>
      <c r="Q117" s="299">
        <v>0</v>
      </c>
      <c r="R117" s="460">
        <v>0</v>
      </c>
      <c r="S117" s="298">
        <v>0</v>
      </c>
      <c r="T117" s="298">
        <v>0</v>
      </c>
      <c r="U117" s="298">
        <v>0</v>
      </c>
      <c r="V117" s="299">
        <v>0</v>
      </c>
    </row>
    <row r="118" spans="2:22" ht="14.25" customHeight="1">
      <c r="B118" s="349"/>
      <c r="C118" s="339"/>
      <c r="D118" s="339" t="s">
        <v>85</v>
      </c>
      <c r="E118" s="339"/>
      <c r="F118" s="339"/>
      <c r="G118" s="293"/>
      <c r="H118" s="339"/>
      <c r="I118" s="576" t="s">
        <v>498</v>
      </c>
      <c r="J118" s="297">
        <v>0</v>
      </c>
      <c r="K118" s="298">
        <v>0</v>
      </c>
      <c r="L118" s="298">
        <v>0</v>
      </c>
      <c r="M118" s="298">
        <v>0</v>
      </c>
      <c r="N118" s="298">
        <v>0</v>
      </c>
      <c r="O118" s="298">
        <v>0</v>
      </c>
      <c r="P118" s="298">
        <v>0</v>
      </c>
      <c r="Q118" s="299">
        <v>0</v>
      </c>
      <c r="R118" s="460">
        <v>0</v>
      </c>
      <c r="S118" s="298">
        <v>0</v>
      </c>
      <c r="T118" s="298">
        <v>0</v>
      </c>
      <c r="U118" s="298">
        <v>0</v>
      </c>
      <c r="V118" s="299">
        <v>0</v>
      </c>
    </row>
    <row r="119" spans="2:22" ht="14.25" customHeight="1">
      <c r="B119" s="349"/>
      <c r="C119" s="339"/>
      <c r="D119" s="339" t="s">
        <v>85</v>
      </c>
      <c r="E119" s="339"/>
      <c r="F119" s="339"/>
      <c r="G119" s="293"/>
      <c r="H119" s="339"/>
      <c r="I119" s="576" t="s">
        <v>498</v>
      </c>
      <c r="J119" s="297">
        <v>0</v>
      </c>
      <c r="K119" s="298">
        <v>0</v>
      </c>
      <c r="L119" s="298">
        <v>0</v>
      </c>
      <c r="M119" s="298">
        <v>0</v>
      </c>
      <c r="N119" s="298">
        <v>0</v>
      </c>
      <c r="O119" s="298">
        <v>0</v>
      </c>
      <c r="P119" s="298">
        <v>0</v>
      </c>
      <c r="Q119" s="299">
        <v>0</v>
      </c>
      <c r="R119" s="460">
        <v>0</v>
      </c>
      <c r="S119" s="298">
        <v>0</v>
      </c>
      <c r="T119" s="298">
        <v>0</v>
      </c>
      <c r="U119" s="298">
        <v>0</v>
      </c>
      <c r="V119" s="299">
        <v>0</v>
      </c>
    </row>
    <row r="120" spans="2:22" ht="14.25" customHeight="1">
      <c r="B120" s="349"/>
      <c r="C120" s="339"/>
      <c r="D120" s="339" t="s">
        <v>85</v>
      </c>
      <c r="E120" s="339"/>
      <c r="F120" s="339"/>
      <c r="G120" s="293"/>
      <c r="H120" s="339"/>
      <c r="I120" s="576" t="s">
        <v>498</v>
      </c>
      <c r="J120" s="297">
        <v>0</v>
      </c>
      <c r="K120" s="298">
        <v>0</v>
      </c>
      <c r="L120" s="298">
        <v>0</v>
      </c>
      <c r="M120" s="298">
        <v>0</v>
      </c>
      <c r="N120" s="298">
        <v>0</v>
      </c>
      <c r="O120" s="298">
        <v>0</v>
      </c>
      <c r="P120" s="298">
        <v>0</v>
      </c>
      <c r="Q120" s="299">
        <v>0</v>
      </c>
      <c r="R120" s="460">
        <v>0</v>
      </c>
      <c r="S120" s="298">
        <v>0</v>
      </c>
      <c r="T120" s="298">
        <v>0</v>
      </c>
      <c r="U120" s="298">
        <v>0</v>
      </c>
      <c r="V120" s="299">
        <v>0</v>
      </c>
    </row>
    <row r="121" spans="2:22" ht="14.25" customHeight="1">
      <c r="B121" s="349"/>
      <c r="C121" s="339"/>
      <c r="D121" s="339" t="s">
        <v>85</v>
      </c>
      <c r="E121" s="339"/>
      <c r="F121" s="339"/>
      <c r="G121" s="293"/>
      <c r="H121" s="339"/>
      <c r="I121" s="576" t="s">
        <v>498</v>
      </c>
      <c r="J121" s="297">
        <v>0</v>
      </c>
      <c r="K121" s="298">
        <v>0</v>
      </c>
      <c r="L121" s="298">
        <v>0</v>
      </c>
      <c r="M121" s="298">
        <v>0</v>
      </c>
      <c r="N121" s="298">
        <v>0</v>
      </c>
      <c r="O121" s="298">
        <v>0</v>
      </c>
      <c r="P121" s="298">
        <v>0</v>
      </c>
      <c r="Q121" s="299">
        <v>0</v>
      </c>
      <c r="R121" s="460">
        <v>0</v>
      </c>
      <c r="S121" s="298">
        <v>0</v>
      </c>
      <c r="T121" s="298">
        <v>0</v>
      </c>
      <c r="U121" s="298">
        <v>0</v>
      </c>
      <c r="V121" s="299">
        <v>0</v>
      </c>
    </row>
    <row r="122" spans="2:22" ht="14.25" customHeight="1">
      <c r="B122" s="349"/>
      <c r="C122" s="339"/>
      <c r="D122" s="339" t="s">
        <v>85</v>
      </c>
      <c r="E122" s="339"/>
      <c r="F122" s="339"/>
      <c r="G122" s="293"/>
      <c r="H122" s="339"/>
      <c r="I122" s="576" t="s">
        <v>498</v>
      </c>
      <c r="J122" s="297">
        <v>0</v>
      </c>
      <c r="K122" s="298">
        <v>0</v>
      </c>
      <c r="L122" s="298">
        <v>0</v>
      </c>
      <c r="M122" s="298">
        <v>0</v>
      </c>
      <c r="N122" s="298">
        <v>0</v>
      </c>
      <c r="O122" s="298">
        <v>0</v>
      </c>
      <c r="P122" s="298">
        <v>0</v>
      </c>
      <c r="Q122" s="299">
        <v>0</v>
      </c>
      <c r="R122" s="460">
        <v>0</v>
      </c>
      <c r="S122" s="298">
        <v>0</v>
      </c>
      <c r="T122" s="298">
        <v>0</v>
      </c>
      <c r="U122" s="298">
        <v>0</v>
      </c>
      <c r="V122" s="299">
        <v>0</v>
      </c>
    </row>
    <row r="123" spans="2:22" ht="14.25" customHeight="1">
      <c r="B123" s="349"/>
      <c r="C123" s="339"/>
      <c r="D123" s="339" t="s">
        <v>85</v>
      </c>
      <c r="E123" s="339"/>
      <c r="F123" s="339"/>
      <c r="G123" s="293"/>
      <c r="H123" s="339"/>
      <c r="I123" s="576" t="s">
        <v>498</v>
      </c>
      <c r="J123" s="297">
        <v>0</v>
      </c>
      <c r="K123" s="298">
        <v>0</v>
      </c>
      <c r="L123" s="298">
        <v>0</v>
      </c>
      <c r="M123" s="298">
        <v>0</v>
      </c>
      <c r="N123" s="298">
        <v>0</v>
      </c>
      <c r="O123" s="298">
        <v>0</v>
      </c>
      <c r="P123" s="298">
        <v>0</v>
      </c>
      <c r="Q123" s="299">
        <v>0</v>
      </c>
      <c r="R123" s="460">
        <v>0</v>
      </c>
      <c r="S123" s="298">
        <v>0</v>
      </c>
      <c r="T123" s="298">
        <v>0</v>
      </c>
      <c r="U123" s="298">
        <v>0</v>
      </c>
      <c r="V123" s="299">
        <v>0</v>
      </c>
    </row>
    <row r="124" spans="2:22" ht="14.25" customHeight="1">
      <c r="B124" s="349"/>
      <c r="C124" s="339"/>
      <c r="D124" s="339" t="s">
        <v>85</v>
      </c>
      <c r="E124" s="339"/>
      <c r="F124" s="339"/>
      <c r="G124" s="293"/>
      <c r="H124" s="339"/>
      <c r="I124" s="576" t="s">
        <v>498</v>
      </c>
      <c r="J124" s="297">
        <v>0</v>
      </c>
      <c r="K124" s="298">
        <v>0</v>
      </c>
      <c r="L124" s="298">
        <v>0</v>
      </c>
      <c r="M124" s="298">
        <v>0</v>
      </c>
      <c r="N124" s="298">
        <v>0</v>
      </c>
      <c r="O124" s="298">
        <v>0</v>
      </c>
      <c r="P124" s="298">
        <v>0</v>
      </c>
      <c r="Q124" s="299">
        <v>0</v>
      </c>
      <c r="R124" s="460">
        <v>0</v>
      </c>
      <c r="S124" s="298">
        <v>0</v>
      </c>
      <c r="T124" s="298">
        <v>0</v>
      </c>
      <c r="U124" s="298">
        <v>0</v>
      </c>
      <c r="V124" s="299">
        <v>0</v>
      </c>
    </row>
    <row r="125" spans="2:22" ht="14.25" customHeight="1">
      <c r="B125" s="349"/>
      <c r="C125" s="339"/>
      <c r="D125" s="339" t="s">
        <v>85</v>
      </c>
      <c r="E125" s="339"/>
      <c r="F125" s="339"/>
      <c r="G125" s="293"/>
      <c r="H125" s="339"/>
      <c r="I125" s="576" t="s">
        <v>498</v>
      </c>
      <c r="J125" s="297">
        <v>0</v>
      </c>
      <c r="K125" s="298">
        <v>0</v>
      </c>
      <c r="L125" s="298">
        <v>0</v>
      </c>
      <c r="M125" s="298">
        <v>0</v>
      </c>
      <c r="N125" s="298">
        <v>0</v>
      </c>
      <c r="O125" s="298">
        <v>0</v>
      </c>
      <c r="P125" s="298">
        <v>0</v>
      </c>
      <c r="Q125" s="299">
        <v>0</v>
      </c>
      <c r="R125" s="460">
        <v>0</v>
      </c>
      <c r="S125" s="298">
        <v>0</v>
      </c>
      <c r="T125" s="298">
        <v>0</v>
      </c>
      <c r="U125" s="298">
        <v>0</v>
      </c>
      <c r="V125" s="299">
        <v>0</v>
      </c>
    </row>
    <row r="126" spans="2:22" ht="14.25" customHeight="1">
      <c r="B126" s="349"/>
      <c r="C126" s="339" t="s">
        <v>1710</v>
      </c>
      <c r="E126" s="623"/>
      <c r="F126" s="623"/>
      <c r="G126" s="625"/>
      <c r="H126" s="339"/>
      <c r="I126" s="576" t="s">
        <v>498</v>
      </c>
      <c r="J126" s="631">
        <f t="shared" ref="J126:V126" si="8">SUM(J112:J125)</f>
        <v>0</v>
      </c>
      <c r="K126" s="632">
        <f t="shared" si="8"/>
        <v>0</v>
      </c>
      <c r="L126" s="632">
        <f t="shared" si="8"/>
        <v>0</v>
      </c>
      <c r="M126" s="632">
        <f t="shared" si="8"/>
        <v>0</v>
      </c>
      <c r="N126" s="632">
        <f t="shared" si="8"/>
        <v>0</v>
      </c>
      <c r="O126" s="632">
        <f t="shared" si="8"/>
        <v>0</v>
      </c>
      <c r="P126" s="632">
        <f t="shared" si="8"/>
        <v>0</v>
      </c>
      <c r="Q126" s="633">
        <f t="shared" si="8"/>
        <v>0</v>
      </c>
      <c r="R126" s="989">
        <f t="shared" si="8"/>
        <v>0</v>
      </c>
      <c r="S126" s="632">
        <f t="shared" si="8"/>
        <v>0</v>
      </c>
      <c r="T126" s="632">
        <f t="shared" si="8"/>
        <v>0</v>
      </c>
      <c r="U126" s="632">
        <f t="shared" si="8"/>
        <v>0</v>
      </c>
      <c r="V126" s="633">
        <f t="shared" si="8"/>
        <v>0</v>
      </c>
    </row>
    <row r="127" spans="2:22" ht="14.25" customHeight="1">
      <c r="B127" s="349"/>
      <c r="C127" s="339"/>
      <c r="D127" s="339"/>
      <c r="E127" s="339"/>
      <c r="F127" s="339"/>
      <c r="G127" s="339"/>
      <c r="H127" s="339"/>
      <c r="I127" s="339"/>
      <c r="J127" s="349"/>
      <c r="K127" s="339"/>
      <c r="L127" s="339"/>
      <c r="M127" s="339"/>
      <c r="N127" s="339"/>
      <c r="O127" s="339"/>
      <c r="P127" s="339"/>
      <c r="Q127" s="353"/>
      <c r="R127" s="339"/>
      <c r="S127" s="339"/>
      <c r="T127" s="339"/>
      <c r="U127" s="339"/>
      <c r="V127" s="353"/>
    </row>
    <row r="128" spans="2:22" ht="14.25" customHeight="1">
      <c r="B128" s="349"/>
      <c r="C128" s="339"/>
      <c r="D128" s="339" t="s">
        <v>1894</v>
      </c>
      <c r="E128" s="339"/>
      <c r="F128" s="339"/>
      <c r="G128" s="339"/>
      <c r="H128" s="339"/>
      <c r="I128" s="576" t="s">
        <v>498</v>
      </c>
      <c r="J128" s="297">
        <v>0</v>
      </c>
      <c r="K128" s="298">
        <v>0</v>
      </c>
      <c r="L128" s="298">
        <v>0</v>
      </c>
      <c r="M128" s="298">
        <v>0</v>
      </c>
      <c r="N128" s="298">
        <v>0</v>
      </c>
      <c r="O128" s="298">
        <v>0</v>
      </c>
      <c r="P128" s="298">
        <v>0</v>
      </c>
      <c r="Q128" s="299">
        <v>0</v>
      </c>
      <c r="R128" s="460">
        <v>0</v>
      </c>
      <c r="S128" s="298">
        <v>0</v>
      </c>
      <c r="T128" s="298">
        <v>0</v>
      </c>
      <c r="U128" s="298">
        <v>0</v>
      </c>
      <c r="V128" s="299">
        <v>0</v>
      </c>
    </row>
    <row r="129" spans="2:22" ht="14.25" customHeight="1">
      <c r="B129" s="349"/>
      <c r="C129" s="339"/>
      <c r="D129" s="339" t="s">
        <v>1914</v>
      </c>
      <c r="E129" s="339"/>
      <c r="F129" s="339"/>
      <c r="G129" s="339"/>
      <c r="H129" s="339"/>
      <c r="I129" s="576" t="s">
        <v>498</v>
      </c>
      <c r="J129" s="297">
        <v>0</v>
      </c>
      <c r="K129" s="298">
        <v>0</v>
      </c>
      <c r="L129" s="298">
        <v>0</v>
      </c>
      <c r="M129" s="298">
        <v>0</v>
      </c>
      <c r="N129" s="298">
        <v>0</v>
      </c>
      <c r="O129" s="298">
        <v>0</v>
      </c>
      <c r="P129" s="298">
        <v>0</v>
      </c>
      <c r="Q129" s="299">
        <v>0</v>
      </c>
      <c r="R129" s="460">
        <v>0</v>
      </c>
      <c r="S129" s="298">
        <v>0</v>
      </c>
      <c r="T129" s="298">
        <v>0</v>
      </c>
      <c r="U129" s="298">
        <v>0</v>
      </c>
      <c r="V129" s="299">
        <v>0</v>
      </c>
    </row>
    <row r="130" spans="2:22" ht="14.25" customHeight="1">
      <c r="B130" s="349"/>
      <c r="C130" s="339"/>
      <c r="D130" s="339"/>
      <c r="E130" s="339"/>
      <c r="F130" s="339"/>
      <c r="G130" s="339"/>
      <c r="H130" s="339"/>
      <c r="I130" s="339"/>
      <c r="J130" s="349"/>
      <c r="K130" s="339"/>
      <c r="L130" s="339"/>
      <c r="M130" s="339"/>
      <c r="N130" s="339"/>
      <c r="O130" s="339"/>
      <c r="P130" s="339"/>
      <c r="Q130" s="353"/>
      <c r="R130" s="339"/>
      <c r="S130" s="339"/>
      <c r="T130" s="339"/>
      <c r="U130" s="339"/>
      <c r="V130" s="353"/>
    </row>
    <row r="131" spans="2:22" ht="14.25" customHeight="1" thickBot="1">
      <c r="B131" s="357" t="s">
        <v>1701</v>
      </c>
      <c r="C131" s="358"/>
      <c r="D131" s="358"/>
      <c r="E131" s="358"/>
      <c r="F131" s="358"/>
      <c r="G131" s="626"/>
      <c r="H131" s="358"/>
      <c r="I131" s="581" t="s">
        <v>498</v>
      </c>
      <c r="J131" s="637">
        <f t="shared" ref="J131:V131" si="9">SUM(J126+J128+J129)</f>
        <v>0</v>
      </c>
      <c r="K131" s="638">
        <f t="shared" si="9"/>
        <v>0</v>
      </c>
      <c r="L131" s="638">
        <f t="shared" si="9"/>
        <v>0</v>
      </c>
      <c r="M131" s="638">
        <f t="shared" si="9"/>
        <v>0</v>
      </c>
      <c r="N131" s="638">
        <f t="shared" si="9"/>
        <v>0</v>
      </c>
      <c r="O131" s="638">
        <f t="shared" si="9"/>
        <v>0</v>
      </c>
      <c r="P131" s="638">
        <f t="shared" si="9"/>
        <v>0</v>
      </c>
      <c r="Q131" s="639">
        <f t="shared" si="9"/>
        <v>0</v>
      </c>
      <c r="R131" s="1141">
        <f t="shared" si="9"/>
        <v>0</v>
      </c>
      <c r="S131" s="638">
        <f t="shared" si="9"/>
        <v>0</v>
      </c>
      <c r="T131" s="638">
        <f t="shared" si="9"/>
        <v>0</v>
      </c>
      <c r="U131" s="638">
        <f t="shared" si="9"/>
        <v>0</v>
      </c>
      <c r="V131" s="639">
        <f t="shared" si="9"/>
        <v>0</v>
      </c>
    </row>
    <row r="132" spans="2:22" ht="14.25" customHeight="1" thickBot="1"/>
    <row r="133" spans="2:22" ht="30" customHeight="1">
      <c r="B133" s="640" t="s">
        <v>1924</v>
      </c>
      <c r="C133" s="558"/>
      <c r="D133" s="558"/>
      <c r="E133" s="558"/>
      <c r="F133" s="558"/>
      <c r="G133" s="559"/>
      <c r="H133" s="294"/>
      <c r="I133" s="106" t="s">
        <v>1925</v>
      </c>
      <c r="J133" s="106"/>
      <c r="K133" s="107"/>
      <c r="L133" s="107"/>
    </row>
    <row r="134" spans="2:22" ht="40.9" customHeight="1">
      <c r="B134" s="560"/>
      <c r="C134" s="561"/>
      <c r="D134" s="561"/>
      <c r="E134" s="561"/>
      <c r="F134" s="561"/>
      <c r="G134" s="561"/>
      <c r="H134" s="259"/>
      <c r="I134" s="1404" t="s">
        <v>1897</v>
      </c>
      <c r="J134" s="1402" t="s">
        <v>1926</v>
      </c>
      <c r="K134" s="1402" t="s">
        <v>1927</v>
      </c>
      <c r="L134" s="1403" t="s">
        <v>1928</v>
      </c>
    </row>
    <row r="135" spans="2:22" ht="15">
      <c r="B135" s="572"/>
      <c r="C135" s="623" t="s">
        <v>1929</v>
      </c>
      <c r="D135" s="339"/>
      <c r="E135" s="339"/>
      <c r="F135" s="339"/>
      <c r="G135" s="339"/>
      <c r="H135" s="259"/>
      <c r="I135" s="339"/>
      <c r="J135" s="339"/>
      <c r="K135" s="339"/>
      <c r="L135" s="296"/>
    </row>
    <row r="136" spans="2:22">
      <c r="B136" s="349"/>
      <c r="C136" s="339"/>
      <c r="D136" s="339" t="s">
        <v>85</v>
      </c>
      <c r="E136" s="339"/>
      <c r="F136" s="339"/>
      <c r="G136" s="293" t="s">
        <v>3654</v>
      </c>
      <c r="H136" s="339"/>
      <c r="I136" s="1542" t="s">
        <v>1930</v>
      </c>
      <c r="J136" s="1542" t="s">
        <v>1931</v>
      </c>
      <c r="K136" s="1542" t="s">
        <v>3671</v>
      </c>
      <c r="L136" s="2549">
        <v>500</v>
      </c>
    </row>
    <row r="137" spans="2:22">
      <c r="B137" s="349"/>
      <c r="C137" s="339"/>
      <c r="D137" s="339" t="s">
        <v>85</v>
      </c>
      <c r="E137" s="339"/>
      <c r="F137" s="339"/>
      <c r="G137" s="293" t="s">
        <v>3655</v>
      </c>
      <c r="H137" s="339"/>
      <c r="I137" s="1542" t="s">
        <v>1930</v>
      </c>
      <c r="J137" s="1542" t="s">
        <v>1931</v>
      </c>
      <c r="K137" s="1542" t="s">
        <v>3672</v>
      </c>
      <c r="L137" s="2549">
        <v>225</v>
      </c>
    </row>
    <row r="138" spans="2:22">
      <c r="B138" s="349"/>
      <c r="C138" s="339"/>
      <c r="D138" s="339" t="s">
        <v>85</v>
      </c>
      <c r="E138" s="339"/>
      <c r="F138" s="339"/>
      <c r="G138" s="293" t="s">
        <v>3656</v>
      </c>
      <c r="H138" s="339"/>
      <c r="I138" s="1542" t="s">
        <v>1930</v>
      </c>
      <c r="J138" s="1542" t="s">
        <v>1931</v>
      </c>
      <c r="K138" s="1542" t="s">
        <v>3673</v>
      </c>
      <c r="L138" s="2549">
        <v>400</v>
      </c>
    </row>
    <row r="139" spans="2:22">
      <c r="B139" s="349"/>
      <c r="C139" s="339"/>
      <c r="D139" s="339" t="s">
        <v>85</v>
      </c>
      <c r="E139" s="339"/>
      <c r="F139" s="339"/>
      <c r="G139" s="293" t="s">
        <v>3657</v>
      </c>
      <c r="H139" s="339"/>
      <c r="I139" s="1542" t="s">
        <v>1930</v>
      </c>
      <c r="J139" s="1542" t="s">
        <v>1932</v>
      </c>
      <c r="K139" s="1542" t="s">
        <v>3674</v>
      </c>
      <c r="L139" s="2549">
        <v>500</v>
      </c>
    </row>
    <row r="140" spans="2:22">
      <c r="B140" s="349"/>
      <c r="C140" s="339"/>
      <c r="D140" s="339" t="s">
        <v>85</v>
      </c>
      <c r="E140" s="339"/>
      <c r="F140" s="339"/>
      <c r="G140" s="293" t="s">
        <v>3658</v>
      </c>
      <c r="H140" s="339"/>
      <c r="I140" s="1542" t="s">
        <v>1930</v>
      </c>
      <c r="J140" s="1542" t="s">
        <v>1931</v>
      </c>
      <c r="K140" s="1542" t="s">
        <v>3675</v>
      </c>
      <c r="L140" s="2549">
        <v>1280</v>
      </c>
    </row>
    <row r="141" spans="2:22">
      <c r="B141" s="349"/>
      <c r="C141" s="339"/>
      <c r="D141" s="339" t="s">
        <v>85</v>
      </c>
      <c r="E141" s="339"/>
      <c r="F141" s="339"/>
      <c r="G141" s="293" t="s">
        <v>3659</v>
      </c>
      <c r="H141" s="339"/>
      <c r="I141" s="1542" t="s">
        <v>1930</v>
      </c>
      <c r="J141" s="1542" t="s">
        <v>1931</v>
      </c>
      <c r="K141" s="1542" t="s">
        <v>3676</v>
      </c>
      <c r="L141" s="2549">
        <v>1263</v>
      </c>
    </row>
    <row r="142" spans="2:22">
      <c r="B142" s="349"/>
      <c r="C142" s="339"/>
      <c r="D142" s="339" t="s">
        <v>85</v>
      </c>
      <c r="E142" s="339"/>
      <c r="F142" s="339"/>
      <c r="G142" s="293" t="s">
        <v>3660</v>
      </c>
      <c r="H142" s="339"/>
      <c r="I142" s="1542" t="s">
        <v>1930</v>
      </c>
      <c r="J142" s="1542" t="s">
        <v>1931</v>
      </c>
      <c r="K142" s="1542" t="s">
        <v>3677</v>
      </c>
      <c r="L142" s="2549">
        <v>1078</v>
      </c>
    </row>
    <row r="143" spans="2:22">
      <c r="B143" s="349"/>
      <c r="C143" s="339"/>
      <c r="D143" s="339" t="s">
        <v>85</v>
      </c>
      <c r="E143" s="339"/>
      <c r="F143" s="339"/>
      <c r="G143" s="293" t="s">
        <v>3661</v>
      </c>
      <c r="H143" s="339"/>
      <c r="I143" s="1542" t="s">
        <v>1930</v>
      </c>
      <c r="J143" s="1542" t="s">
        <v>1931</v>
      </c>
      <c r="K143" s="1542" t="s">
        <v>3678</v>
      </c>
      <c r="L143" s="2549">
        <v>780</v>
      </c>
    </row>
    <row r="144" spans="2:22">
      <c r="B144" s="349"/>
      <c r="C144" s="339"/>
      <c r="D144" s="339" t="s">
        <v>85</v>
      </c>
      <c r="E144" s="339"/>
      <c r="F144" s="339"/>
      <c r="G144" s="293" t="s">
        <v>3662</v>
      </c>
      <c r="H144" s="339"/>
      <c r="I144" s="1542" t="s">
        <v>1930</v>
      </c>
      <c r="J144" s="1542" t="s">
        <v>1931</v>
      </c>
      <c r="K144" s="1542" t="s">
        <v>3679</v>
      </c>
      <c r="L144" s="2549">
        <v>640</v>
      </c>
    </row>
    <row r="145" spans="2:12">
      <c r="B145" s="349"/>
      <c r="C145" s="339"/>
      <c r="D145" s="339" t="s">
        <v>85</v>
      </c>
      <c r="E145" s="339"/>
      <c r="F145" s="339"/>
      <c r="G145" s="293" t="s">
        <v>3663</v>
      </c>
      <c r="H145" s="339"/>
      <c r="I145" s="1542" t="s">
        <v>1930</v>
      </c>
      <c r="J145" s="1542" t="s">
        <v>1932</v>
      </c>
      <c r="K145" s="1542" t="s">
        <v>3674</v>
      </c>
      <c r="L145" s="2549">
        <v>330</v>
      </c>
    </row>
    <row r="146" spans="2:12">
      <c r="B146" s="349"/>
      <c r="C146" s="339"/>
      <c r="D146" s="339" t="s">
        <v>85</v>
      </c>
      <c r="E146" s="339"/>
      <c r="F146" s="339"/>
      <c r="G146" s="293" t="s">
        <v>3664</v>
      </c>
      <c r="H146" s="339"/>
      <c r="I146" s="1542" t="s">
        <v>1930</v>
      </c>
      <c r="J146" s="1542" t="s">
        <v>1931</v>
      </c>
      <c r="K146" s="1542" t="s">
        <v>3680</v>
      </c>
      <c r="L146" s="2549">
        <v>300</v>
      </c>
    </row>
    <row r="147" spans="2:12">
      <c r="B147" s="349"/>
      <c r="C147" s="339"/>
      <c r="D147" s="339" t="s">
        <v>85</v>
      </c>
      <c r="E147" s="339"/>
      <c r="F147" s="339"/>
      <c r="G147" s="293" t="s">
        <v>3665</v>
      </c>
      <c r="H147" s="339"/>
      <c r="I147" s="1542" t="s">
        <v>1930</v>
      </c>
      <c r="J147" s="1542" t="s">
        <v>1931</v>
      </c>
      <c r="K147" s="1542" t="s">
        <v>3681</v>
      </c>
      <c r="L147" s="2549">
        <v>1343</v>
      </c>
    </row>
    <row r="148" spans="2:12">
      <c r="B148" s="349"/>
      <c r="C148" s="339"/>
      <c r="D148" s="339" t="s">
        <v>85</v>
      </c>
      <c r="E148" s="339"/>
      <c r="F148" s="339"/>
      <c r="G148" s="293" t="s">
        <v>3666</v>
      </c>
      <c r="H148" s="339"/>
      <c r="I148" s="1542" t="s">
        <v>1930</v>
      </c>
      <c r="J148" s="1542" t="s">
        <v>1931</v>
      </c>
      <c r="K148" s="1542" t="s">
        <v>3682</v>
      </c>
      <c r="L148" s="2549">
        <v>233</v>
      </c>
    </row>
    <row r="149" spans="2:12">
      <c r="B149" s="349"/>
      <c r="C149" s="339"/>
      <c r="D149" s="339" t="s">
        <v>85</v>
      </c>
      <c r="E149" s="339"/>
      <c r="F149" s="339"/>
      <c r="G149" s="293" t="s">
        <v>3667</v>
      </c>
      <c r="H149" s="339"/>
      <c r="I149" s="1542" t="s">
        <v>1930</v>
      </c>
      <c r="J149" s="1542" t="s">
        <v>1931</v>
      </c>
      <c r="K149" s="1542" t="s">
        <v>3683</v>
      </c>
      <c r="L149" s="2549">
        <v>1220</v>
      </c>
    </row>
    <row r="150" spans="2:12">
      <c r="B150" s="349"/>
      <c r="C150" s="339"/>
      <c r="D150" s="339" t="s">
        <v>85</v>
      </c>
      <c r="E150" s="339"/>
      <c r="F150" s="339"/>
      <c r="G150" s="293" t="s">
        <v>3668</v>
      </c>
      <c r="H150" s="339"/>
      <c r="I150" s="1542" t="s">
        <v>1933</v>
      </c>
      <c r="J150" s="1542" t="s">
        <v>1931</v>
      </c>
      <c r="K150" s="1542" t="s">
        <v>3679</v>
      </c>
      <c r="L150" s="2549">
        <v>3700</v>
      </c>
    </row>
    <row r="151" spans="2:12">
      <c r="B151" s="349"/>
      <c r="C151" s="339"/>
      <c r="D151" s="339" t="s">
        <v>85</v>
      </c>
      <c r="E151" s="339"/>
      <c r="F151" s="339"/>
      <c r="G151" s="293" t="s">
        <v>3669</v>
      </c>
      <c r="H151" s="339"/>
      <c r="I151" s="1542" t="s">
        <v>1930</v>
      </c>
      <c r="J151" s="1542" t="s">
        <v>1931</v>
      </c>
      <c r="K151" s="1542" t="s">
        <v>3684</v>
      </c>
      <c r="L151" s="2549">
        <v>745</v>
      </c>
    </row>
    <row r="152" spans="2:12">
      <c r="B152" s="349"/>
      <c r="C152" s="339"/>
      <c r="D152" s="339" t="s">
        <v>85</v>
      </c>
      <c r="E152" s="339"/>
      <c r="F152" s="339"/>
      <c r="G152" s="293" t="s">
        <v>3670</v>
      </c>
      <c r="H152" s="339"/>
      <c r="I152" s="1542" t="s">
        <v>1930</v>
      </c>
      <c r="J152" s="1542" t="s">
        <v>1931</v>
      </c>
      <c r="K152" s="1542" t="s">
        <v>3685</v>
      </c>
      <c r="L152" s="2549">
        <v>632</v>
      </c>
    </row>
    <row r="153" spans="2:12">
      <c r="B153" s="349"/>
      <c r="C153" s="339"/>
      <c r="D153" s="339" t="s">
        <v>85</v>
      </c>
      <c r="E153" s="339"/>
      <c r="F153" s="339"/>
      <c r="G153" s="293"/>
      <c r="H153" s="339"/>
      <c r="I153" s="1542"/>
      <c r="J153" s="1542"/>
      <c r="K153" s="1542"/>
      <c r="L153" s="1543"/>
    </row>
    <row r="154" spans="2:12">
      <c r="B154" s="349"/>
      <c r="C154" s="339"/>
      <c r="D154" s="339" t="s">
        <v>85</v>
      </c>
      <c r="E154" s="339"/>
      <c r="F154" s="339"/>
      <c r="G154" s="293"/>
      <c r="H154" s="339"/>
      <c r="I154" s="1542"/>
      <c r="J154" s="1542"/>
      <c r="K154" s="1542"/>
      <c r="L154" s="1543"/>
    </row>
    <row r="155" spans="2:12">
      <c r="B155" s="349"/>
      <c r="C155" s="339"/>
      <c r="D155" s="339" t="s">
        <v>85</v>
      </c>
      <c r="E155" s="339"/>
      <c r="F155" s="339"/>
      <c r="G155" s="293"/>
      <c r="H155" s="339"/>
      <c r="I155" s="1542"/>
      <c r="J155" s="1542"/>
      <c r="K155" s="1542"/>
      <c r="L155" s="1543"/>
    </row>
    <row r="156" spans="2:12">
      <c r="B156" s="349"/>
      <c r="C156" s="339"/>
      <c r="D156" s="339" t="s">
        <v>85</v>
      </c>
      <c r="E156" s="339"/>
      <c r="F156" s="339"/>
      <c r="G156" s="293"/>
      <c r="H156" s="339"/>
      <c r="I156" s="1542"/>
      <c r="J156" s="1542"/>
      <c r="K156" s="1542"/>
      <c r="L156" s="1543"/>
    </row>
    <row r="157" spans="2:12">
      <c r="B157" s="349"/>
      <c r="C157" s="339"/>
      <c r="D157" s="339" t="s">
        <v>85</v>
      </c>
      <c r="E157" s="339"/>
      <c r="F157" s="339"/>
      <c r="G157" s="293"/>
      <c r="H157" s="339"/>
      <c r="I157" s="1542"/>
      <c r="J157" s="1542"/>
      <c r="K157" s="1542"/>
      <c r="L157" s="1543"/>
    </row>
    <row r="158" spans="2:12">
      <c r="B158" s="349"/>
      <c r="C158" s="339"/>
      <c r="D158" s="339" t="s">
        <v>85</v>
      </c>
      <c r="E158" s="339"/>
      <c r="F158" s="339"/>
      <c r="G158" s="293"/>
      <c r="H158" s="339"/>
      <c r="I158" s="1542"/>
      <c r="J158" s="1542"/>
      <c r="K158" s="1542"/>
      <c r="L158" s="1543"/>
    </row>
    <row r="159" spans="2:12">
      <c r="B159" s="349"/>
      <c r="C159" s="339"/>
      <c r="D159" s="339" t="s">
        <v>85</v>
      </c>
      <c r="E159" s="339"/>
      <c r="F159" s="339"/>
      <c r="G159" s="293"/>
      <c r="H159" s="339"/>
      <c r="I159" s="1542"/>
      <c r="J159" s="1542"/>
      <c r="K159" s="1542"/>
      <c r="L159" s="1543"/>
    </row>
    <row r="160" spans="2:12">
      <c r="B160" s="349"/>
      <c r="C160" s="339"/>
      <c r="D160" s="339" t="s">
        <v>85</v>
      </c>
      <c r="E160" s="339"/>
      <c r="F160" s="339"/>
      <c r="G160" s="293"/>
      <c r="H160" s="339"/>
      <c r="I160" s="1542"/>
      <c r="J160" s="1542"/>
      <c r="K160" s="1542"/>
      <c r="L160" s="1543"/>
    </row>
    <row r="161" spans="2:12">
      <c r="B161" s="349"/>
      <c r="C161" s="339"/>
      <c r="D161" s="339" t="s">
        <v>85</v>
      </c>
      <c r="E161" s="339"/>
      <c r="F161" s="339"/>
      <c r="G161" s="293"/>
      <c r="H161" s="339"/>
      <c r="I161" s="1542"/>
      <c r="J161" s="1542"/>
      <c r="K161" s="1542"/>
      <c r="L161" s="1543"/>
    </row>
    <row r="162" spans="2:12">
      <c r="B162" s="349"/>
      <c r="C162" s="339"/>
      <c r="D162" s="339" t="s">
        <v>85</v>
      </c>
      <c r="E162" s="339"/>
      <c r="F162" s="339"/>
      <c r="G162" s="293"/>
      <c r="H162" s="339"/>
      <c r="I162" s="1542"/>
      <c r="J162" s="1542"/>
      <c r="K162" s="1542"/>
      <c r="L162" s="1543"/>
    </row>
    <row r="163" spans="2:12">
      <c r="B163" s="349"/>
      <c r="C163" s="339"/>
      <c r="D163" s="339" t="s">
        <v>85</v>
      </c>
      <c r="E163" s="339"/>
      <c r="F163" s="339"/>
      <c r="G163" s="293"/>
      <c r="H163" s="339"/>
      <c r="I163" s="1542"/>
      <c r="J163" s="1542"/>
      <c r="K163" s="1542"/>
      <c r="L163" s="1543"/>
    </row>
    <row r="164" spans="2:12">
      <c r="B164" s="349"/>
      <c r="C164" s="339"/>
      <c r="D164" s="339" t="s">
        <v>85</v>
      </c>
      <c r="E164" s="339"/>
      <c r="F164" s="339"/>
      <c r="G164" s="293"/>
      <c r="H164" s="339"/>
      <c r="I164" s="1542"/>
      <c r="J164" s="1542"/>
      <c r="K164" s="1542"/>
      <c r="L164" s="1543"/>
    </row>
    <row r="165" spans="2:12">
      <c r="B165" s="349"/>
      <c r="C165" s="339"/>
      <c r="D165" s="339" t="s">
        <v>85</v>
      </c>
      <c r="E165" s="339"/>
      <c r="F165" s="339"/>
      <c r="G165" s="293"/>
      <c r="H165" s="339"/>
      <c r="I165" s="1542"/>
      <c r="J165" s="1542"/>
      <c r="K165" s="1542"/>
      <c r="L165" s="1543"/>
    </row>
    <row r="166" spans="2:12">
      <c r="B166" s="349"/>
      <c r="C166" s="339"/>
      <c r="D166" s="339" t="s">
        <v>85</v>
      </c>
      <c r="E166" s="339"/>
      <c r="F166" s="339"/>
      <c r="G166" s="293"/>
      <c r="H166" s="339"/>
      <c r="I166" s="1542"/>
      <c r="J166" s="1542"/>
      <c r="K166" s="1542"/>
      <c r="L166" s="1543"/>
    </row>
    <row r="167" spans="2:12">
      <c r="B167" s="349"/>
      <c r="C167" s="339"/>
      <c r="D167" s="339" t="s">
        <v>85</v>
      </c>
      <c r="E167" s="339"/>
      <c r="F167" s="339"/>
      <c r="G167" s="293"/>
      <c r="H167" s="339"/>
      <c r="I167" s="1542"/>
      <c r="J167" s="1542"/>
      <c r="K167" s="1542"/>
      <c r="L167" s="1543"/>
    </row>
    <row r="168" spans="2:12">
      <c r="B168" s="349"/>
      <c r="C168" s="339"/>
      <c r="D168" s="339" t="s">
        <v>85</v>
      </c>
      <c r="E168" s="339"/>
      <c r="F168" s="339"/>
      <c r="G168" s="293"/>
      <c r="H168" s="339"/>
      <c r="I168" s="1542"/>
      <c r="J168" s="1542"/>
      <c r="K168" s="1542"/>
      <c r="L168" s="1543"/>
    </row>
    <row r="169" spans="2:12">
      <c r="B169" s="349"/>
      <c r="C169" s="339"/>
      <c r="D169" s="339" t="s">
        <v>85</v>
      </c>
      <c r="E169" s="339"/>
      <c r="F169" s="339"/>
      <c r="G169" s="293"/>
      <c r="H169" s="339"/>
      <c r="I169" s="1542"/>
      <c r="J169" s="1542"/>
      <c r="K169" s="1542"/>
      <c r="L169" s="1543"/>
    </row>
    <row r="170" spans="2:12">
      <c r="B170" s="349"/>
      <c r="C170" s="339"/>
      <c r="D170" s="339" t="s">
        <v>85</v>
      </c>
      <c r="E170" s="339"/>
      <c r="F170" s="339"/>
      <c r="G170" s="293"/>
      <c r="H170" s="339"/>
      <c r="I170" s="1542"/>
      <c r="J170" s="1542"/>
      <c r="K170" s="1542"/>
      <c r="L170" s="1543"/>
    </row>
    <row r="171" spans="2:12">
      <c r="B171" s="349"/>
      <c r="C171" s="339"/>
      <c r="D171" s="339" t="s">
        <v>85</v>
      </c>
      <c r="E171" s="339"/>
      <c r="F171" s="339"/>
      <c r="G171" s="293"/>
      <c r="H171" s="339"/>
      <c r="I171" s="1542"/>
      <c r="J171" s="1542"/>
      <c r="K171" s="1542"/>
      <c r="L171" s="1543"/>
    </row>
    <row r="172" spans="2:12">
      <c r="B172" s="349"/>
      <c r="C172" s="339"/>
      <c r="D172" s="339" t="s">
        <v>85</v>
      </c>
      <c r="E172" s="339"/>
      <c r="F172" s="339"/>
      <c r="G172" s="293"/>
      <c r="H172" s="339"/>
      <c r="I172" s="1542"/>
      <c r="J172" s="1542"/>
      <c r="K172" s="1542"/>
      <c r="L172" s="1543"/>
    </row>
    <row r="173" spans="2:12">
      <c r="B173" s="349"/>
      <c r="C173" s="339"/>
      <c r="D173" s="339" t="s">
        <v>85</v>
      </c>
      <c r="E173" s="339"/>
      <c r="F173" s="339"/>
      <c r="G173" s="293"/>
      <c r="H173" s="339"/>
      <c r="I173" s="1542"/>
      <c r="J173" s="1542"/>
      <c r="K173" s="1542"/>
      <c r="L173" s="1543"/>
    </row>
    <row r="174" spans="2:12">
      <c r="B174" s="349"/>
      <c r="C174" s="339"/>
      <c r="D174" s="339" t="s">
        <v>85</v>
      </c>
      <c r="E174" s="339"/>
      <c r="F174" s="339"/>
      <c r="G174" s="293"/>
      <c r="H174" s="339"/>
      <c r="I174" s="1542"/>
      <c r="J174" s="1542"/>
      <c r="K174" s="1542"/>
      <c r="L174" s="1543"/>
    </row>
    <row r="175" spans="2:12">
      <c r="B175" s="349"/>
      <c r="C175" s="339"/>
      <c r="D175" s="339" t="s">
        <v>85</v>
      </c>
      <c r="E175" s="339"/>
      <c r="F175" s="339"/>
      <c r="G175" s="293"/>
      <c r="H175" s="339"/>
      <c r="I175" s="1542"/>
      <c r="J175" s="1542"/>
      <c r="K175" s="1542"/>
      <c r="L175" s="1543"/>
    </row>
    <row r="176" spans="2:12">
      <c r="B176" s="349"/>
      <c r="C176" s="339"/>
      <c r="D176" s="339" t="s">
        <v>85</v>
      </c>
      <c r="E176" s="339"/>
      <c r="F176" s="339"/>
      <c r="G176" s="293"/>
      <c r="H176" s="339"/>
      <c r="I176" s="1542"/>
      <c r="J176" s="1542"/>
      <c r="K176" s="1542"/>
      <c r="L176" s="1543"/>
    </row>
    <row r="177" spans="2:12">
      <c r="B177" s="349"/>
      <c r="C177" s="339"/>
      <c r="D177" s="339" t="s">
        <v>85</v>
      </c>
      <c r="E177" s="339"/>
      <c r="F177" s="339"/>
      <c r="G177" s="293"/>
      <c r="H177" s="339"/>
      <c r="I177" s="1542"/>
      <c r="J177" s="1542"/>
      <c r="K177" s="1542"/>
      <c r="L177" s="1543"/>
    </row>
    <row r="178" spans="2:12">
      <c r="B178" s="349"/>
      <c r="C178" s="339"/>
      <c r="D178" s="339" t="s">
        <v>85</v>
      </c>
      <c r="E178" s="339"/>
      <c r="F178" s="339"/>
      <c r="G178" s="293"/>
      <c r="H178" s="339"/>
      <c r="I178" s="1542"/>
      <c r="J178" s="1542"/>
      <c r="K178" s="1542"/>
      <c r="L178" s="1543"/>
    </row>
    <row r="179" spans="2:12">
      <c r="B179" s="349"/>
      <c r="C179" s="339"/>
      <c r="D179" s="339" t="s">
        <v>85</v>
      </c>
      <c r="E179" s="339"/>
      <c r="F179" s="339"/>
      <c r="G179" s="293"/>
      <c r="H179" s="339"/>
      <c r="I179" s="1542"/>
      <c r="J179" s="1542"/>
      <c r="K179" s="1542"/>
      <c r="L179" s="1543"/>
    </row>
    <row r="180" spans="2:12">
      <c r="B180" s="349"/>
      <c r="C180" s="339"/>
      <c r="D180" s="339" t="s">
        <v>85</v>
      </c>
      <c r="E180" s="339"/>
      <c r="F180" s="339"/>
      <c r="G180" s="293"/>
      <c r="H180" s="339"/>
      <c r="I180" s="1542"/>
      <c r="J180" s="1542"/>
      <c r="K180" s="1542"/>
      <c r="L180" s="1543"/>
    </row>
    <row r="181" spans="2:12">
      <c r="B181" s="349"/>
      <c r="C181" s="339"/>
      <c r="D181" s="339" t="s">
        <v>85</v>
      </c>
      <c r="E181" s="339"/>
      <c r="F181" s="339"/>
      <c r="G181" s="293"/>
      <c r="H181" s="339"/>
      <c r="I181" s="1542"/>
      <c r="J181" s="1542"/>
      <c r="K181" s="1542"/>
      <c r="L181" s="1543"/>
    </row>
    <row r="182" spans="2:12">
      <c r="B182" s="349"/>
      <c r="C182" s="339"/>
      <c r="D182" s="339" t="s">
        <v>85</v>
      </c>
      <c r="E182" s="339"/>
      <c r="F182" s="339"/>
      <c r="G182" s="293"/>
      <c r="H182" s="339"/>
      <c r="I182" s="1542"/>
      <c r="J182" s="1542"/>
      <c r="K182" s="1542"/>
      <c r="L182" s="1543"/>
    </row>
    <row r="183" spans="2:12">
      <c r="B183" s="349"/>
      <c r="C183" s="339"/>
      <c r="D183" s="339" t="s">
        <v>85</v>
      </c>
      <c r="E183" s="339"/>
      <c r="F183" s="339"/>
      <c r="G183" s="293"/>
      <c r="H183" s="339"/>
      <c r="I183" s="1542"/>
      <c r="J183" s="1542"/>
      <c r="K183" s="1542"/>
      <c r="L183" s="1543"/>
    </row>
    <row r="184" spans="2:12">
      <c r="B184" s="349"/>
      <c r="C184" s="339"/>
      <c r="D184" s="339" t="s">
        <v>85</v>
      </c>
      <c r="E184" s="339"/>
      <c r="F184" s="339"/>
      <c r="G184" s="293"/>
      <c r="H184" s="339"/>
      <c r="I184" s="1542"/>
      <c r="J184" s="1542"/>
      <c r="K184" s="1542"/>
      <c r="L184" s="1543"/>
    </row>
    <row r="185" spans="2:12">
      <c r="B185" s="349"/>
      <c r="C185" s="339"/>
      <c r="D185" s="339" t="s">
        <v>85</v>
      </c>
      <c r="E185" s="339"/>
      <c r="F185" s="339"/>
      <c r="G185" s="293"/>
      <c r="H185" s="339"/>
      <c r="I185" s="1542"/>
      <c r="J185" s="1542"/>
      <c r="K185" s="1542"/>
      <c r="L185" s="1543"/>
    </row>
    <row r="186" spans="2:12">
      <c r="B186" s="349"/>
      <c r="C186" s="339"/>
      <c r="D186" s="339" t="s">
        <v>85</v>
      </c>
      <c r="E186" s="339"/>
      <c r="F186" s="339"/>
      <c r="G186" s="293"/>
      <c r="H186" s="339"/>
      <c r="I186" s="1542"/>
      <c r="J186" s="1542"/>
      <c r="K186" s="1542"/>
      <c r="L186" s="1543"/>
    </row>
    <row r="187" spans="2:12">
      <c r="B187" s="349"/>
      <c r="C187" s="339"/>
      <c r="D187" s="339" t="s">
        <v>85</v>
      </c>
      <c r="E187" s="339"/>
      <c r="F187" s="339"/>
      <c r="G187" s="293"/>
      <c r="H187" s="339"/>
      <c r="I187" s="1542"/>
      <c r="J187" s="1542"/>
      <c r="K187" s="1542"/>
      <c r="L187" s="1543"/>
    </row>
    <row r="188" spans="2:12">
      <c r="B188" s="349"/>
      <c r="C188" s="339"/>
      <c r="D188" s="339" t="s">
        <v>85</v>
      </c>
      <c r="E188" s="339"/>
      <c r="F188" s="339"/>
      <c r="G188" s="293"/>
      <c r="H188" s="339"/>
      <c r="I188" s="1542"/>
      <c r="J188" s="1542"/>
      <c r="K188" s="1542"/>
      <c r="L188" s="1543"/>
    </row>
    <row r="189" spans="2:12">
      <c r="B189" s="349"/>
      <c r="C189" s="339"/>
      <c r="D189" s="339" t="s">
        <v>85</v>
      </c>
      <c r="E189" s="339"/>
      <c r="F189" s="339"/>
      <c r="G189" s="293"/>
      <c r="H189" s="339"/>
      <c r="I189" s="1542"/>
      <c r="J189" s="1542"/>
      <c r="K189" s="1542"/>
      <c r="L189" s="1543"/>
    </row>
    <row r="190" spans="2:12">
      <c r="B190" s="349"/>
      <c r="C190" s="339"/>
      <c r="D190" s="339" t="s">
        <v>85</v>
      </c>
      <c r="E190" s="339"/>
      <c r="F190" s="339"/>
      <c r="G190" s="293"/>
      <c r="H190" s="339"/>
      <c r="I190" s="1542"/>
      <c r="J190" s="1542"/>
      <c r="K190" s="1542"/>
      <c r="L190" s="1543"/>
    </row>
    <row r="191" spans="2:12">
      <c r="B191" s="349"/>
      <c r="C191" s="339"/>
      <c r="D191" s="339" t="s">
        <v>85</v>
      </c>
      <c r="E191" s="339"/>
      <c r="F191" s="339"/>
      <c r="G191" s="293"/>
      <c r="H191" s="339"/>
      <c r="I191" s="1542"/>
      <c r="J191" s="1542"/>
      <c r="K191" s="1542"/>
      <c r="L191" s="1543"/>
    </row>
    <row r="192" spans="2:12">
      <c r="B192" s="349"/>
      <c r="C192" s="339"/>
      <c r="D192" s="339" t="s">
        <v>85</v>
      </c>
      <c r="E192" s="339"/>
      <c r="F192" s="339"/>
      <c r="G192" s="293"/>
      <c r="H192" s="339"/>
      <c r="I192" s="1542"/>
      <c r="J192" s="1542"/>
      <c r="K192" s="1542"/>
      <c r="L192" s="1543"/>
    </row>
    <row r="193" spans="2:12">
      <c r="B193" s="349"/>
      <c r="C193" s="339"/>
      <c r="D193" s="339" t="s">
        <v>85</v>
      </c>
      <c r="E193" s="339"/>
      <c r="F193" s="339"/>
      <c r="G193" s="293"/>
      <c r="H193" s="339"/>
      <c r="I193" s="1542"/>
      <c r="J193" s="1542"/>
      <c r="K193" s="1542"/>
      <c r="L193" s="1543"/>
    </row>
    <row r="194" spans="2:12">
      <c r="B194" s="349"/>
      <c r="C194" s="339"/>
      <c r="D194" s="339" t="s">
        <v>85</v>
      </c>
      <c r="E194" s="339"/>
      <c r="F194" s="339"/>
      <c r="G194" s="293"/>
      <c r="H194" s="339"/>
      <c r="I194" s="1542"/>
      <c r="J194" s="1542"/>
      <c r="K194" s="1542"/>
      <c r="L194" s="1543"/>
    </row>
    <row r="195" spans="2:12">
      <c r="B195" s="349"/>
      <c r="C195" s="339"/>
      <c r="D195" s="339" t="s">
        <v>85</v>
      </c>
      <c r="E195" s="339"/>
      <c r="F195" s="339"/>
      <c r="G195" s="293"/>
      <c r="H195" s="339"/>
      <c r="I195" s="1542"/>
      <c r="J195" s="1542"/>
      <c r="K195" s="1542"/>
      <c r="L195" s="1543"/>
    </row>
    <row r="196" spans="2:12">
      <c r="B196" s="349"/>
      <c r="C196" s="339"/>
      <c r="D196" s="339" t="s">
        <v>85</v>
      </c>
      <c r="E196" s="339"/>
      <c r="F196" s="339"/>
      <c r="G196" s="293"/>
      <c r="H196" s="339"/>
      <c r="I196" s="1542"/>
      <c r="J196" s="1542"/>
      <c r="K196" s="1542"/>
      <c r="L196" s="1543"/>
    </row>
    <row r="197" spans="2:12">
      <c r="B197" s="349"/>
      <c r="C197" s="339"/>
      <c r="D197" s="339" t="s">
        <v>85</v>
      </c>
      <c r="E197" s="339"/>
      <c r="F197" s="339"/>
      <c r="G197" s="293"/>
      <c r="H197" s="339"/>
      <c r="I197" s="1542"/>
      <c r="J197" s="1542"/>
      <c r="K197" s="1542"/>
      <c r="L197" s="1543"/>
    </row>
    <row r="198" spans="2:12">
      <c r="B198" s="349"/>
      <c r="C198" s="339"/>
      <c r="D198" s="339" t="s">
        <v>85</v>
      </c>
      <c r="E198" s="339"/>
      <c r="F198" s="339"/>
      <c r="G198" s="293"/>
      <c r="H198" s="339"/>
      <c r="I198" s="1542"/>
      <c r="J198" s="1542"/>
      <c r="K198" s="1542"/>
      <c r="L198" s="1543"/>
    </row>
    <row r="199" spans="2:12">
      <c r="B199" s="349"/>
      <c r="C199" s="339"/>
      <c r="D199" s="339" t="s">
        <v>85</v>
      </c>
      <c r="E199" s="339"/>
      <c r="F199" s="339"/>
      <c r="G199" s="293"/>
      <c r="H199" s="339"/>
      <c r="I199" s="1542"/>
      <c r="J199" s="1542"/>
      <c r="K199" s="1542"/>
      <c r="L199" s="1543"/>
    </row>
    <row r="200" spans="2:12">
      <c r="B200" s="349"/>
      <c r="C200" s="339"/>
      <c r="D200" s="339" t="s">
        <v>85</v>
      </c>
      <c r="E200" s="339"/>
      <c r="F200" s="339"/>
      <c r="G200" s="293"/>
      <c r="H200" s="339"/>
      <c r="I200" s="1542"/>
      <c r="J200" s="1542"/>
      <c r="K200" s="1542"/>
      <c r="L200" s="1543"/>
    </row>
    <row r="201" spans="2:12">
      <c r="B201" s="349"/>
      <c r="C201" s="339"/>
      <c r="D201" s="339" t="s">
        <v>85</v>
      </c>
      <c r="E201" s="339"/>
      <c r="F201" s="339"/>
      <c r="G201" s="293"/>
      <c r="H201" s="339"/>
      <c r="I201" s="1542"/>
      <c r="J201" s="1542"/>
      <c r="K201" s="1542"/>
      <c r="L201" s="1543"/>
    </row>
    <row r="202" spans="2:12">
      <c r="B202" s="349"/>
      <c r="C202" s="339"/>
      <c r="D202" s="339" t="s">
        <v>85</v>
      </c>
      <c r="E202" s="339"/>
      <c r="F202" s="339"/>
      <c r="G202" s="293"/>
      <c r="H202" s="339"/>
      <c r="I202" s="1542"/>
      <c r="J202" s="1542"/>
      <c r="K202" s="1542"/>
      <c r="L202" s="1543"/>
    </row>
    <row r="203" spans="2:12">
      <c r="B203" s="349"/>
      <c r="C203" s="339"/>
      <c r="D203" s="339" t="s">
        <v>85</v>
      </c>
      <c r="E203" s="339"/>
      <c r="F203" s="339"/>
      <c r="G203" s="293"/>
      <c r="H203" s="339"/>
      <c r="I203" s="1542"/>
      <c r="J203" s="1542"/>
      <c r="K203" s="1542"/>
      <c r="L203" s="1543"/>
    </row>
    <row r="204" spans="2:12">
      <c r="B204" s="349"/>
      <c r="C204" s="339"/>
      <c r="D204" s="339" t="s">
        <v>85</v>
      </c>
      <c r="E204" s="339"/>
      <c r="F204" s="339"/>
      <c r="G204" s="293"/>
      <c r="H204" s="339"/>
      <c r="I204" s="1542"/>
      <c r="J204" s="1542"/>
      <c r="K204" s="1542"/>
      <c r="L204" s="1543"/>
    </row>
    <row r="205" spans="2:12">
      <c r="B205" s="349"/>
      <c r="C205" s="339"/>
      <c r="D205" s="339" t="s">
        <v>85</v>
      </c>
      <c r="E205" s="339"/>
      <c r="F205" s="339"/>
      <c r="G205" s="293"/>
      <c r="H205" s="339"/>
      <c r="I205" s="1542"/>
      <c r="J205" s="1542"/>
      <c r="K205" s="1542"/>
      <c r="L205" s="1543"/>
    </row>
    <row r="206" spans="2:12">
      <c r="B206" s="349"/>
      <c r="C206" s="339"/>
      <c r="D206" s="339" t="s">
        <v>85</v>
      </c>
      <c r="E206" s="339"/>
      <c r="F206" s="339"/>
      <c r="G206" s="293"/>
      <c r="H206" s="339"/>
      <c r="I206" s="1542"/>
      <c r="J206" s="1542"/>
      <c r="K206" s="1542"/>
      <c r="L206" s="1543"/>
    </row>
    <row r="207" spans="2:12">
      <c r="B207" s="349"/>
      <c r="C207" s="339"/>
      <c r="D207" s="339" t="s">
        <v>85</v>
      </c>
      <c r="E207" s="339"/>
      <c r="F207" s="339"/>
      <c r="G207" s="293"/>
      <c r="H207" s="339"/>
      <c r="I207" s="1542"/>
      <c r="J207" s="1542"/>
      <c r="K207" s="1542"/>
      <c r="L207" s="1543"/>
    </row>
    <row r="208" spans="2:12">
      <c r="B208" s="349"/>
      <c r="C208" s="339"/>
      <c r="D208" s="339" t="s">
        <v>85</v>
      </c>
      <c r="E208" s="339"/>
      <c r="F208" s="339"/>
      <c r="G208" s="293"/>
      <c r="H208" s="339"/>
      <c r="I208" s="1542"/>
      <c r="J208" s="1542"/>
      <c r="K208" s="1542"/>
      <c r="L208" s="1543"/>
    </row>
    <row r="209" spans="2:12">
      <c r="B209" s="349"/>
      <c r="C209" s="339"/>
      <c r="D209" s="339" t="s">
        <v>85</v>
      </c>
      <c r="E209" s="339"/>
      <c r="F209" s="339"/>
      <c r="G209" s="293"/>
      <c r="H209" s="339"/>
      <c r="I209" s="1542"/>
      <c r="J209" s="1542"/>
      <c r="K209" s="1542"/>
      <c r="L209" s="1543"/>
    </row>
    <row r="210" spans="2:12">
      <c r="B210" s="349"/>
      <c r="C210" s="339"/>
      <c r="D210" s="339" t="s">
        <v>85</v>
      </c>
      <c r="E210" s="339"/>
      <c r="F210" s="339"/>
      <c r="G210" s="293"/>
      <c r="H210" s="339"/>
      <c r="I210" s="1542"/>
      <c r="J210" s="1542"/>
      <c r="K210" s="1542"/>
      <c r="L210" s="1543"/>
    </row>
    <row r="211" spans="2:12">
      <c r="B211" s="349"/>
      <c r="C211" s="339"/>
      <c r="D211" s="339" t="s">
        <v>85</v>
      </c>
      <c r="E211" s="339"/>
      <c r="F211" s="339"/>
      <c r="G211" s="293"/>
      <c r="H211" s="339"/>
      <c r="I211" s="1542"/>
      <c r="J211" s="1542"/>
      <c r="K211" s="1542"/>
      <c r="L211" s="1543"/>
    </row>
    <row r="212" spans="2:12">
      <c r="B212" s="349"/>
      <c r="C212" s="339"/>
      <c r="D212" s="339" t="s">
        <v>85</v>
      </c>
      <c r="E212" s="339"/>
      <c r="F212" s="339"/>
      <c r="G212" s="293"/>
      <c r="H212" s="339"/>
      <c r="I212" s="1542"/>
      <c r="J212" s="1542"/>
      <c r="K212" s="1542"/>
      <c r="L212" s="1543"/>
    </row>
    <row r="213" spans="2:12">
      <c r="B213" s="349"/>
      <c r="C213" s="339"/>
      <c r="D213" s="339" t="s">
        <v>85</v>
      </c>
      <c r="E213" s="339"/>
      <c r="F213" s="339"/>
      <c r="G213" s="293"/>
      <c r="H213" s="339"/>
      <c r="I213" s="1542"/>
      <c r="J213" s="1542"/>
      <c r="K213" s="1542"/>
      <c r="L213" s="1543"/>
    </row>
    <row r="214" spans="2:12">
      <c r="B214" s="349"/>
      <c r="C214" s="339"/>
      <c r="D214" s="339" t="s">
        <v>85</v>
      </c>
      <c r="E214" s="339"/>
      <c r="F214" s="339"/>
      <c r="G214" s="293"/>
      <c r="H214" s="339"/>
      <c r="I214" s="1542"/>
      <c r="J214" s="1542"/>
      <c r="K214" s="1542"/>
      <c r="L214" s="1543"/>
    </row>
    <row r="215" spans="2:12">
      <c r="B215" s="349"/>
      <c r="C215" s="339"/>
      <c r="D215" s="339" t="s">
        <v>85</v>
      </c>
      <c r="E215" s="339"/>
      <c r="F215" s="339"/>
      <c r="G215" s="293"/>
      <c r="H215" s="339"/>
      <c r="I215" s="1542"/>
      <c r="J215" s="1542"/>
      <c r="K215" s="1542"/>
      <c r="L215" s="1543"/>
    </row>
    <row r="216" spans="2:12">
      <c r="B216" s="349"/>
      <c r="C216" s="339"/>
      <c r="D216" s="339" t="s">
        <v>85</v>
      </c>
      <c r="E216" s="339"/>
      <c r="F216" s="339"/>
      <c r="G216" s="293"/>
      <c r="H216" s="339"/>
      <c r="I216" s="1542"/>
      <c r="J216" s="1542"/>
      <c r="K216" s="1542"/>
      <c r="L216" s="1543"/>
    </row>
    <row r="217" spans="2:12">
      <c r="B217" s="349"/>
      <c r="C217" s="339"/>
      <c r="D217" s="339" t="s">
        <v>85</v>
      </c>
      <c r="E217" s="339"/>
      <c r="F217" s="339"/>
      <c r="G217" s="293"/>
      <c r="H217" s="339"/>
      <c r="I217" s="1542"/>
      <c r="J217" s="1542"/>
      <c r="K217" s="1542"/>
      <c r="L217" s="1543"/>
    </row>
    <row r="218" spans="2:12">
      <c r="B218" s="349"/>
      <c r="C218" s="339"/>
      <c r="D218" s="339" t="s">
        <v>85</v>
      </c>
      <c r="E218" s="339"/>
      <c r="F218" s="339"/>
      <c r="G218" s="293"/>
      <c r="H218" s="339"/>
      <c r="I218" s="1542"/>
      <c r="J218" s="1542"/>
      <c r="K218" s="1542"/>
      <c r="L218" s="1543"/>
    </row>
    <row r="219" spans="2:12">
      <c r="B219" s="349"/>
      <c r="C219" s="339"/>
      <c r="D219" s="339" t="s">
        <v>85</v>
      </c>
      <c r="E219" s="339"/>
      <c r="F219" s="339"/>
      <c r="G219" s="293"/>
      <c r="H219" s="339"/>
      <c r="I219" s="1542"/>
      <c r="J219" s="1542"/>
      <c r="K219" s="1542"/>
      <c r="L219" s="1543"/>
    </row>
    <row r="220" spans="2:12">
      <c r="B220" s="349"/>
      <c r="C220" s="339"/>
      <c r="D220" s="339" t="s">
        <v>85</v>
      </c>
      <c r="E220" s="339"/>
      <c r="F220" s="339"/>
      <c r="G220" s="293"/>
      <c r="H220" s="339"/>
      <c r="I220" s="1542"/>
      <c r="J220" s="1542"/>
      <c r="K220" s="1542"/>
      <c r="L220" s="1543"/>
    </row>
    <row r="221" spans="2:12">
      <c r="B221" s="349"/>
      <c r="C221" s="339"/>
      <c r="D221" s="339" t="s">
        <v>85</v>
      </c>
      <c r="E221" s="339"/>
      <c r="F221" s="339"/>
      <c r="G221" s="293"/>
      <c r="H221" s="339"/>
      <c r="I221" s="1542"/>
      <c r="J221" s="1542"/>
      <c r="K221" s="1542"/>
      <c r="L221" s="1543"/>
    </row>
    <row r="222" spans="2:12">
      <c r="B222" s="349"/>
      <c r="C222" s="339"/>
      <c r="D222" s="339" t="s">
        <v>85</v>
      </c>
      <c r="E222" s="339"/>
      <c r="F222" s="339"/>
      <c r="G222" s="293"/>
      <c r="H222" s="339"/>
      <c r="I222" s="1542"/>
      <c r="J222" s="1542"/>
      <c r="K222" s="1542"/>
      <c r="L222" s="1543"/>
    </row>
    <row r="223" spans="2:12">
      <c r="B223" s="349"/>
      <c r="C223" s="339"/>
      <c r="D223" s="339" t="s">
        <v>85</v>
      </c>
      <c r="E223" s="339"/>
      <c r="F223" s="339"/>
      <c r="G223" s="293"/>
      <c r="H223" s="339"/>
      <c r="I223" s="1542"/>
      <c r="J223" s="1542"/>
      <c r="K223" s="1542"/>
      <c r="L223" s="1543"/>
    </row>
    <row r="224" spans="2:12">
      <c r="B224" s="349"/>
      <c r="C224" s="339"/>
      <c r="D224" s="339" t="s">
        <v>85</v>
      </c>
      <c r="E224" s="339"/>
      <c r="F224" s="339"/>
      <c r="G224" s="293"/>
      <c r="H224" s="339"/>
      <c r="I224" s="1542"/>
      <c r="J224" s="1542"/>
      <c r="K224" s="1542"/>
      <c r="L224" s="1543"/>
    </row>
    <row r="225" spans="2:12">
      <c r="B225" s="349"/>
      <c r="C225" s="339"/>
      <c r="D225" s="339" t="s">
        <v>85</v>
      </c>
      <c r="E225" s="339"/>
      <c r="F225" s="339"/>
      <c r="G225" s="293"/>
      <c r="H225" s="339"/>
      <c r="I225" s="1542"/>
      <c r="J225" s="1542"/>
      <c r="K225" s="1542"/>
      <c r="L225" s="1543"/>
    </row>
    <row r="226" spans="2:12">
      <c r="B226" s="349"/>
      <c r="C226" s="339"/>
      <c r="D226" s="339" t="s">
        <v>85</v>
      </c>
      <c r="E226" s="339"/>
      <c r="F226" s="339"/>
      <c r="G226" s="293"/>
      <c r="H226" s="339"/>
      <c r="I226" s="1542"/>
      <c r="J226" s="1542"/>
      <c r="K226" s="1542"/>
      <c r="L226" s="1543"/>
    </row>
    <row r="227" spans="2:12">
      <c r="B227" s="349"/>
      <c r="C227" s="339"/>
      <c r="D227" s="339" t="s">
        <v>85</v>
      </c>
      <c r="E227" s="339"/>
      <c r="F227" s="339"/>
      <c r="G227" s="293"/>
      <c r="H227" s="339"/>
      <c r="I227" s="1542"/>
      <c r="J227" s="1542"/>
      <c r="K227" s="1542"/>
      <c r="L227" s="1543"/>
    </row>
    <row r="228" spans="2:12">
      <c r="B228" s="349"/>
      <c r="C228" s="339"/>
      <c r="D228" s="339" t="s">
        <v>85</v>
      </c>
      <c r="E228" s="339"/>
      <c r="F228" s="339"/>
      <c r="G228" s="293"/>
      <c r="H228" s="339"/>
      <c r="I228" s="1542"/>
      <c r="J228" s="1542"/>
      <c r="K228" s="1542"/>
      <c r="L228" s="1543"/>
    </row>
    <row r="229" spans="2:12">
      <c r="B229" s="349"/>
      <c r="C229" s="339"/>
      <c r="D229" s="339" t="s">
        <v>85</v>
      </c>
      <c r="E229" s="339"/>
      <c r="F229" s="339"/>
      <c r="G229" s="293"/>
      <c r="H229" s="339"/>
      <c r="I229" s="1542"/>
      <c r="J229" s="1542"/>
      <c r="K229" s="1542"/>
      <c r="L229" s="1543"/>
    </row>
    <row r="230" spans="2:12">
      <c r="B230" s="349"/>
      <c r="C230" s="339"/>
      <c r="D230" s="339" t="s">
        <v>85</v>
      </c>
      <c r="E230" s="339"/>
      <c r="F230" s="339"/>
      <c r="G230" s="293"/>
      <c r="H230" s="339"/>
      <c r="I230" s="1542"/>
      <c r="J230" s="1542"/>
      <c r="K230" s="1542"/>
      <c r="L230" s="1543"/>
    </row>
    <row r="231" spans="2:12">
      <c r="B231" s="349"/>
      <c r="C231" s="339"/>
      <c r="D231" s="339" t="s">
        <v>85</v>
      </c>
      <c r="E231" s="339"/>
      <c r="F231" s="339"/>
      <c r="G231" s="293"/>
      <c r="H231" s="339"/>
      <c r="I231" s="1542"/>
      <c r="J231" s="1542"/>
      <c r="K231" s="1542"/>
      <c r="L231" s="1543"/>
    </row>
    <row r="232" spans="2:12">
      <c r="B232" s="349"/>
      <c r="C232" s="339"/>
      <c r="D232" s="339" t="s">
        <v>85</v>
      </c>
      <c r="E232" s="339"/>
      <c r="F232" s="339"/>
      <c r="G232" s="293"/>
      <c r="H232" s="339"/>
      <c r="I232" s="1542"/>
      <c r="J232" s="1542"/>
      <c r="K232" s="1542"/>
      <c r="L232" s="1543"/>
    </row>
    <row r="233" spans="2:12">
      <c r="B233" s="349"/>
      <c r="C233" s="339"/>
      <c r="D233" s="339" t="s">
        <v>85</v>
      </c>
      <c r="E233" s="339"/>
      <c r="F233" s="339"/>
      <c r="G233" s="293"/>
      <c r="H233" s="339"/>
      <c r="I233" s="1542"/>
      <c r="J233" s="1542"/>
      <c r="K233" s="1542"/>
      <c r="L233" s="1543"/>
    </row>
    <row r="234" spans="2:12">
      <c r="B234" s="349"/>
      <c r="C234" s="339"/>
      <c r="D234" s="339" t="s">
        <v>85</v>
      </c>
      <c r="E234" s="339"/>
      <c r="F234" s="339"/>
      <c r="G234" s="293"/>
      <c r="H234" s="339"/>
      <c r="I234" s="1542"/>
      <c r="J234" s="1542"/>
      <c r="K234" s="1542"/>
      <c r="L234" s="1543"/>
    </row>
    <row r="235" spans="2:12">
      <c r="B235" s="349"/>
      <c r="C235" s="339"/>
      <c r="D235" s="339" t="s">
        <v>85</v>
      </c>
      <c r="E235" s="339"/>
      <c r="F235" s="339"/>
      <c r="G235" s="293"/>
      <c r="H235" s="339"/>
      <c r="I235" s="1542"/>
      <c r="J235" s="1542"/>
      <c r="K235" s="1542"/>
      <c r="L235" s="1543"/>
    </row>
    <row r="236" spans="2:12">
      <c r="B236" s="349"/>
      <c r="C236" s="339"/>
      <c r="D236" s="339" t="s">
        <v>85</v>
      </c>
      <c r="E236" s="339"/>
      <c r="F236" s="339"/>
      <c r="G236" s="293"/>
      <c r="H236" s="339"/>
      <c r="I236" s="1542"/>
      <c r="J236" s="1542"/>
      <c r="K236" s="1542"/>
      <c r="L236" s="1543"/>
    </row>
    <row r="237" spans="2:12">
      <c r="B237" s="349"/>
      <c r="C237" s="339"/>
      <c r="D237" s="339" t="s">
        <v>85</v>
      </c>
      <c r="E237" s="339"/>
      <c r="F237" s="339"/>
      <c r="G237" s="293"/>
      <c r="H237" s="339"/>
      <c r="I237" s="1542"/>
      <c r="J237" s="1542"/>
      <c r="K237" s="1542"/>
      <c r="L237" s="1543"/>
    </row>
    <row r="238" spans="2:12">
      <c r="B238" s="349"/>
      <c r="C238" s="339"/>
      <c r="D238" s="339" t="s">
        <v>85</v>
      </c>
      <c r="E238" s="339"/>
      <c r="F238" s="339"/>
      <c r="G238" s="293"/>
      <c r="H238" s="339"/>
      <c r="I238" s="1542"/>
      <c r="J238" s="1542"/>
      <c r="K238" s="1542"/>
      <c r="L238" s="1543"/>
    </row>
    <row r="239" spans="2:12">
      <c r="B239" s="349"/>
      <c r="C239" s="339"/>
      <c r="D239" s="339" t="s">
        <v>85</v>
      </c>
      <c r="E239" s="339"/>
      <c r="F239" s="339"/>
      <c r="G239" s="293"/>
      <c r="H239" s="339"/>
      <c r="I239" s="1542"/>
      <c r="J239" s="1542"/>
      <c r="K239" s="1542"/>
      <c r="L239" s="1543"/>
    </row>
    <row r="240" spans="2:12">
      <c r="B240" s="349"/>
      <c r="C240" s="339"/>
      <c r="D240" s="339" t="s">
        <v>85</v>
      </c>
      <c r="E240" s="339"/>
      <c r="F240" s="339"/>
      <c r="G240" s="293"/>
      <c r="H240" s="339"/>
      <c r="I240" s="1542"/>
      <c r="J240" s="1542"/>
      <c r="K240" s="1542"/>
      <c r="L240" s="1543"/>
    </row>
    <row r="241" spans="2:12">
      <c r="B241" s="349"/>
      <c r="C241" s="339"/>
      <c r="D241" s="339" t="s">
        <v>85</v>
      </c>
      <c r="E241" s="339"/>
      <c r="F241" s="339"/>
      <c r="G241" s="293"/>
      <c r="H241" s="339"/>
      <c r="I241" s="1542"/>
      <c r="J241" s="1542"/>
      <c r="K241" s="1542"/>
      <c r="L241" s="1543"/>
    </row>
    <row r="242" spans="2:12">
      <c r="B242" s="349"/>
      <c r="C242" s="339"/>
      <c r="D242" s="339" t="s">
        <v>85</v>
      </c>
      <c r="E242" s="339"/>
      <c r="F242" s="339"/>
      <c r="G242" s="293"/>
      <c r="H242" s="339"/>
      <c r="I242" s="1542"/>
      <c r="J242" s="1542"/>
      <c r="K242" s="1542"/>
      <c r="L242" s="1543"/>
    </row>
    <row r="243" spans="2:12">
      <c r="B243" s="349"/>
      <c r="C243" s="339"/>
      <c r="D243" s="339" t="s">
        <v>85</v>
      </c>
      <c r="E243" s="339"/>
      <c r="F243" s="339"/>
      <c r="G243" s="293"/>
      <c r="H243" s="339"/>
      <c r="I243" s="1542"/>
      <c r="J243" s="1542"/>
      <c r="K243" s="1542"/>
      <c r="L243" s="1543"/>
    </row>
    <row r="244" spans="2:12">
      <c r="B244" s="349"/>
      <c r="C244" s="339"/>
      <c r="D244" s="339" t="s">
        <v>85</v>
      </c>
      <c r="E244" s="339"/>
      <c r="F244" s="339"/>
      <c r="G244" s="293"/>
      <c r="H244" s="339"/>
      <c r="I244" s="1542"/>
      <c r="J244" s="1542"/>
      <c r="K244" s="1542"/>
      <c r="L244" s="1543"/>
    </row>
    <row r="245" spans="2:12">
      <c r="B245" s="349"/>
      <c r="C245" s="339"/>
      <c r="D245" s="339" t="s">
        <v>85</v>
      </c>
      <c r="E245" s="339"/>
      <c r="F245" s="339"/>
      <c r="G245" s="293"/>
      <c r="H245" s="339"/>
      <c r="I245" s="1542"/>
      <c r="J245" s="1542"/>
      <c r="K245" s="1542"/>
      <c r="L245" s="1543"/>
    </row>
    <row r="246" spans="2:12">
      <c r="B246" s="349"/>
      <c r="C246" s="339"/>
      <c r="D246" s="339" t="s">
        <v>85</v>
      </c>
      <c r="E246" s="339"/>
      <c r="F246" s="339"/>
      <c r="G246" s="293"/>
      <c r="H246" s="339"/>
      <c r="I246" s="1542"/>
      <c r="J246" s="1542"/>
      <c r="K246" s="1542"/>
      <c r="L246" s="1543"/>
    </row>
    <row r="247" spans="2:12">
      <c r="B247" s="349"/>
      <c r="C247" s="339"/>
      <c r="D247" s="339" t="s">
        <v>85</v>
      </c>
      <c r="E247" s="339"/>
      <c r="F247" s="339"/>
      <c r="G247" s="293"/>
      <c r="H247" s="339"/>
      <c r="I247" s="1542"/>
      <c r="J247" s="1542"/>
      <c r="K247" s="1542"/>
      <c r="L247" s="1543"/>
    </row>
    <row r="248" spans="2:12">
      <c r="B248" s="349"/>
      <c r="C248" s="339"/>
      <c r="D248" s="339" t="s">
        <v>85</v>
      </c>
      <c r="E248" s="339"/>
      <c r="F248" s="339"/>
      <c r="G248" s="293"/>
      <c r="H248" s="339"/>
      <c r="I248" s="1542"/>
      <c r="J248" s="1542"/>
      <c r="K248" s="1542"/>
      <c r="L248" s="1543"/>
    </row>
    <row r="249" spans="2:12">
      <c r="B249" s="349"/>
      <c r="C249" s="339"/>
      <c r="D249" s="339" t="s">
        <v>85</v>
      </c>
      <c r="E249" s="339"/>
      <c r="F249" s="339"/>
      <c r="G249" s="293"/>
      <c r="H249" s="339"/>
      <c r="I249" s="1542"/>
      <c r="J249" s="1542"/>
      <c r="K249" s="1542"/>
      <c r="L249" s="1543"/>
    </row>
    <row r="250" spans="2:12">
      <c r="B250" s="349"/>
      <c r="C250" s="339"/>
      <c r="D250" s="339" t="s">
        <v>85</v>
      </c>
      <c r="E250" s="339"/>
      <c r="F250" s="339"/>
      <c r="G250" s="293"/>
      <c r="H250" s="339"/>
      <c r="I250" s="1542"/>
      <c r="J250" s="1542"/>
      <c r="K250" s="1542"/>
      <c r="L250" s="1543"/>
    </row>
    <row r="251" spans="2:12">
      <c r="B251" s="349"/>
      <c r="C251" s="339"/>
      <c r="D251" s="339" t="s">
        <v>85</v>
      </c>
      <c r="E251" s="339"/>
      <c r="F251" s="339"/>
      <c r="G251" s="293"/>
      <c r="H251" s="339"/>
      <c r="I251" s="1542"/>
      <c r="J251" s="1542"/>
      <c r="K251" s="1542"/>
      <c r="L251" s="1543"/>
    </row>
    <row r="252" spans="2:12">
      <c r="B252" s="349"/>
      <c r="C252" s="339"/>
      <c r="D252" s="339" t="s">
        <v>85</v>
      </c>
      <c r="E252" s="339"/>
      <c r="F252" s="339"/>
      <c r="G252" s="293"/>
      <c r="H252" s="339"/>
      <c r="I252" s="1542"/>
      <c r="J252" s="1542"/>
      <c r="K252" s="1542"/>
      <c r="L252" s="1543"/>
    </row>
    <row r="253" spans="2:12">
      <c r="B253" s="349"/>
      <c r="C253" s="339"/>
      <c r="D253" s="339" t="s">
        <v>85</v>
      </c>
      <c r="E253" s="339"/>
      <c r="F253" s="339"/>
      <c r="G253" s="293"/>
      <c r="H253" s="339"/>
      <c r="I253" s="1542"/>
      <c r="J253" s="1542"/>
      <c r="K253" s="1542"/>
      <c r="L253" s="1543"/>
    </row>
    <row r="254" spans="2:12">
      <c r="B254" s="349"/>
      <c r="C254" s="339"/>
      <c r="D254" s="339" t="s">
        <v>85</v>
      </c>
      <c r="E254" s="339"/>
      <c r="F254" s="339"/>
      <c r="G254" s="293"/>
      <c r="H254" s="339"/>
      <c r="I254" s="1542"/>
      <c r="J254" s="1542"/>
      <c r="K254" s="1542"/>
      <c r="L254" s="1543"/>
    </row>
    <row r="255" spans="2:12">
      <c r="B255" s="349"/>
      <c r="C255" s="339"/>
      <c r="D255" s="339" t="s">
        <v>85</v>
      </c>
      <c r="E255" s="339"/>
      <c r="F255" s="339"/>
      <c r="G255" s="293"/>
      <c r="H255" s="339"/>
      <c r="I255" s="1542"/>
      <c r="J255" s="1542"/>
      <c r="K255" s="1542"/>
      <c r="L255" s="1543"/>
    </row>
    <row r="256" spans="2:12">
      <c r="B256" s="349"/>
      <c r="C256" s="339"/>
      <c r="D256" s="339" t="s">
        <v>85</v>
      </c>
      <c r="E256" s="339"/>
      <c r="F256" s="339"/>
      <c r="G256" s="293"/>
      <c r="H256" s="339"/>
      <c r="I256" s="1542"/>
      <c r="J256" s="1542"/>
      <c r="K256" s="1542"/>
      <c r="L256" s="1543"/>
    </row>
    <row r="257" spans="2:12" ht="15" thickBot="1">
      <c r="B257" s="357"/>
      <c r="C257" s="358"/>
      <c r="D257" s="358" t="s">
        <v>85</v>
      </c>
      <c r="E257" s="358"/>
      <c r="F257" s="358"/>
      <c r="G257" s="949"/>
      <c r="H257" s="358"/>
      <c r="I257" s="1544"/>
      <c r="J257" s="1544"/>
      <c r="K257" s="1544"/>
      <c r="L257" s="1545"/>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0000000}">
          <x14:formula1>
            <xm:f>List!$A$35:$A$39</xm:f>
          </x14:formula1>
          <xm:sqref>I136:I257</xm:sqref>
        </x14:dataValidation>
        <x14:dataValidation type="list" allowBlank="1" showInputMessage="1" showErrorMessage="1" xr:uid="{00000000-0002-0000-1600-000001000000}">
          <x14:formula1>
            <xm:f>List!$B$36:$B$39</xm:f>
          </x14:formula1>
          <xm:sqref>J136:J257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B050"/>
  </sheetPr>
  <dimension ref="A1:BK110"/>
  <sheetViews>
    <sheetView showGridLines="0" topLeftCell="A10" zoomScale="80" zoomScaleNormal="80" workbookViewId="0">
      <pane xSplit="7" topLeftCell="H1" activePane="topRight" state="frozen"/>
      <selection pane="topRight" activeCell="V49" sqref="I49:V49"/>
    </sheetView>
  </sheetViews>
  <sheetFormatPr defaultColWidth="11.125" defaultRowHeight="14.25"/>
  <cols>
    <col min="1" max="1" width="11.125" style="338"/>
    <col min="2" max="6" width="4.375" style="338" customWidth="1"/>
    <col min="7" max="7" width="37.375" style="338" customWidth="1"/>
    <col min="8" max="22" width="15.625" style="338" customWidth="1"/>
    <col min="23" max="44" width="11.125" style="338"/>
    <col min="45" max="46" width="17.375" style="338" customWidth="1"/>
    <col min="47" max="47" width="27.125" style="338" customWidth="1"/>
    <col min="48" max="16384" width="11.125" style="338"/>
  </cols>
  <sheetData>
    <row r="1" spans="1:63" s="2" customFormat="1" ht="25.15" customHeight="1">
      <c r="A1" s="1" t="s">
        <v>0</v>
      </c>
      <c r="E1" s="3"/>
      <c r="H1" s="4" t="s">
        <v>1</v>
      </c>
      <c r="J1" s="3"/>
    </row>
    <row r="2" spans="1:63" s="2" customFormat="1" ht="25.15" customHeight="1">
      <c r="A2" s="5" t="s">
        <v>6</v>
      </c>
      <c r="B2" s="6"/>
      <c r="D2" s="7"/>
      <c r="E2" s="3"/>
    </row>
    <row r="3" spans="1:63" s="9" customFormat="1" ht="25.15" customHeight="1" thickBot="1">
      <c r="A3" s="8" t="s">
        <v>2</v>
      </c>
      <c r="D3" s="10"/>
      <c r="E3" s="11"/>
    </row>
    <row r="4" spans="1:63" ht="25.15" customHeight="1">
      <c r="A4" s="549"/>
      <c r="B4" s="550" t="s">
        <v>1934</v>
      </c>
      <c r="C4" s="550"/>
      <c r="D4" s="550"/>
      <c r="E4" s="550"/>
      <c r="F4" s="550"/>
      <c r="G4" s="550"/>
      <c r="H4" s="551"/>
      <c r="I4" s="552"/>
      <c r="J4" s="549"/>
      <c r="K4" s="549"/>
      <c r="L4" s="549"/>
      <c r="M4" s="549"/>
      <c r="N4" s="549"/>
      <c r="O4" s="549"/>
      <c r="P4" s="549"/>
      <c r="Q4" s="549"/>
      <c r="R4" s="551"/>
      <c r="S4" s="551"/>
      <c r="T4" s="551"/>
      <c r="U4" s="551"/>
      <c r="V4" s="551"/>
    </row>
    <row r="5" spans="1:63" s="553" customFormat="1" ht="25.15" customHeight="1">
      <c r="B5" s="95" t="s">
        <v>1663</v>
      </c>
      <c r="C5" s="95"/>
      <c r="D5" s="95"/>
      <c r="F5" s="95" t="s">
        <v>463</v>
      </c>
      <c r="G5" s="95"/>
      <c r="H5" s="95"/>
      <c r="J5" s="95"/>
      <c r="K5" s="554"/>
      <c r="L5" s="555"/>
      <c r="M5" s="555"/>
      <c r="N5" s="555"/>
      <c r="O5" s="555"/>
      <c r="P5" s="555"/>
      <c r="Q5" s="555"/>
      <c r="R5" s="555"/>
      <c r="S5" s="555"/>
      <c r="T5" s="556"/>
      <c r="U5" s="556"/>
      <c r="V5" s="556"/>
      <c r="W5" s="556"/>
      <c r="X5" s="556"/>
      <c r="Y5" s="556"/>
      <c r="Z5" s="556"/>
      <c r="AA5" s="556"/>
      <c r="AB5" s="556"/>
      <c r="AC5" s="556"/>
      <c r="AD5" s="556"/>
      <c r="AE5" s="556"/>
      <c r="AF5" s="556"/>
      <c r="AG5" s="556"/>
      <c r="AH5" s="555"/>
      <c r="AI5" s="556"/>
      <c r="AJ5" s="556"/>
      <c r="AK5" s="556"/>
      <c r="AL5" s="556"/>
      <c r="AM5" s="556"/>
      <c r="AN5" s="556"/>
      <c r="AO5" s="556"/>
      <c r="AP5" s="556"/>
      <c r="AQ5" s="556"/>
      <c r="AR5" s="556"/>
      <c r="AS5" s="556"/>
      <c r="AT5" s="556"/>
      <c r="AU5" s="556"/>
      <c r="AV5" s="555"/>
      <c r="AW5" s="555"/>
      <c r="AX5" s="556"/>
      <c r="AY5" s="556"/>
      <c r="AZ5" s="556"/>
      <c r="BA5" s="556"/>
      <c r="BB5" s="556"/>
      <c r="BC5" s="556"/>
      <c r="BD5" s="556"/>
      <c r="BE5" s="556"/>
      <c r="BF5" s="556"/>
      <c r="BG5" s="556"/>
      <c r="BH5" s="556"/>
      <c r="BI5" s="556"/>
      <c r="BJ5" s="556"/>
      <c r="BK5" s="555"/>
    </row>
    <row r="6" spans="1:63" s="553" customFormat="1" ht="15" customHeight="1">
      <c r="B6" s="95"/>
      <c r="C6" s="95"/>
      <c r="D6" s="95"/>
      <c r="F6" s="95"/>
      <c r="G6" s="95"/>
      <c r="H6" s="95"/>
      <c r="J6" s="95"/>
      <c r="K6" s="554"/>
      <c r="L6" s="555"/>
      <c r="M6" s="555"/>
      <c r="N6" s="555"/>
      <c r="O6" s="555"/>
      <c r="P6" s="555"/>
      <c r="Q6" s="555"/>
      <c r="R6" s="555"/>
      <c r="S6" s="555"/>
      <c r="T6" s="556"/>
      <c r="U6" s="556"/>
      <c r="V6" s="556"/>
      <c r="W6" s="556"/>
      <c r="X6" s="556"/>
      <c r="Y6" s="556"/>
      <c r="Z6" s="556"/>
      <c r="AA6" s="556"/>
      <c r="AB6" s="556"/>
      <c r="AC6" s="556"/>
      <c r="AD6" s="556"/>
      <c r="AE6" s="556"/>
      <c r="AF6" s="556"/>
      <c r="AG6" s="556"/>
      <c r="AH6" s="555"/>
      <c r="AI6" s="556"/>
      <c r="AJ6" s="556"/>
      <c r="AK6" s="556"/>
      <c r="AL6" s="556"/>
      <c r="AM6" s="556"/>
      <c r="AN6" s="556"/>
      <c r="AO6" s="556"/>
      <c r="AP6" s="556"/>
      <c r="AQ6" s="556"/>
      <c r="AR6" s="556"/>
      <c r="AS6" s="556"/>
      <c r="AT6" s="556"/>
      <c r="AU6" s="556"/>
      <c r="AV6" s="555"/>
      <c r="AW6" s="555"/>
      <c r="AX6" s="556"/>
      <c r="AY6" s="556"/>
      <c r="AZ6" s="556"/>
      <c r="BA6" s="556"/>
      <c r="BB6" s="556"/>
      <c r="BC6" s="556"/>
      <c r="BD6" s="556"/>
      <c r="BE6" s="556"/>
      <c r="BF6" s="556"/>
      <c r="BG6" s="556"/>
      <c r="BH6" s="556"/>
      <c r="BI6" s="556"/>
      <c r="BJ6" s="556"/>
      <c r="BK6" s="555"/>
    </row>
    <row r="7" spans="1:63" ht="15" customHeight="1" thickBot="1">
      <c r="A7" s="258"/>
      <c r="B7" s="258"/>
      <c r="C7" s="258"/>
      <c r="D7" s="258"/>
      <c r="E7" s="258"/>
      <c r="F7" s="258"/>
      <c r="G7" s="258"/>
      <c r="H7" s="259"/>
      <c r="I7" s="260"/>
      <c r="J7" s="259"/>
      <c r="K7" s="259"/>
      <c r="L7" s="259"/>
      <c r="M7" s="259"/>
      <c r="N7" s="259"/>
      <c r="O7" s="259"/>
      <c r="P7" s="259"/>
      <c r="Q7" s="259"/>
      <c r="R7" s="259"/>
      <c r="S7" s="259"/>
      <c r="T7" s="259"/>
      <c r="U7" s="259"/>
      <c r="V7" s="259"/>
    </row>
    <row r="8" spans="1:63" ht="30" customHeight="1" thickBot="1">
      <c r="A8" s="251"/>
      <c r="B8" s="640" t="s">
        <v>1935</v>
      </c>
      <c r="C8" s="558"/>
      <c r="D8" s="558"/>
      <c r="E8" s="558"/>
      <c r="F8" s="558"/>
      <c r="G8" s="558"/>
      <c r="H8" s="559"/>
      <c r="I8" s="105" t="s">
        <v>1864</v>
      </c>
      <c r="J8" s="106"/>
      <c r="K8" s="106"/>
      <c r="L8" s="106"/>
      <c r="M8" s="106"/>
      <c r="N8" s="106"/>
      <c r="O8" s="106"/>
      <c r="P8" s="106"/>
      <c r="Q8" s="106"/>
      <c r="R8" s="105"/>
      <c r="S8" s="105"/>
      <c r="T8" s="105"/>
      <c r="U8" s="105"/>
      <c r="V8" s="187"/>
    </row>
    <row r="9" spans="1:63" ht="30" customHeight="1">
      <c r="A9" s="251"/>
      <c r="B9" s="560"/>
      <c r="C9" s="561"/>
      <c r="D9" s="561"/>
      <c r="E9" s="561"/>
      <c r="F9" s="561"/>
      <c r="G9" s="561"/>
      <c r="H9" s="561"/>
      <c r="I9" s="562"/>
      <c r="J9" s="563" t="s">
        <v>1666</v>
      </c>
      <c r="K9" s="564"/>
      <c r="L9" s="564"/>
      <c r="M9" s="564"/>
      <c r="N9" s="564"/>
      <c r="O9" s="564"/>
      <c r="P9" s="564"/>
      <c r="Q9" s="565"/>
      <c r="R9" s="566" t="s">
        <v>2</v>
      </c>
      <c r="S9" s="567"/>
      <c r="T9" s="567"/>
      <c r="U9" s="567"/>
      <c r="V9" s="568"/>
    </row>
    <row r="10" spans="1:63" ht="15">
      <c r="A10" s="251"/>
      <c r="B10" s="569"/>
      <c r="C10" s="570"/>
      <c r="D10" s="570"/>
      <c r="E10" s="570"/>
      <c r="F10" s="570"/>
      <c r="G10" s="570"/>
      <c r="H10" s="561"/>
      <c r="I10" s="571" t="s">
        <v>1745</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63" ht="15">
      <c r="A11" s="251"/>
      <c r="B11" s="569"/>
      <c r="C11" s="867" t="s">
        <v>1936</v>
      </c>
      <c r="D11" s="570"/>
      <c r="E11" s="570"/>
      <c r="F11" s="570"/>
      <c r="G11" s="570"/>
      <c r="H11" s="561"/>
      <c r="I11" s="551"/>
      <c r="J11" s="619"/>
      <c r="K11" s="92"/>
      <c r="L11" s="92"/>
      <c r="M11" s="92"/>
      <c r="N11" s="92"/>
      <c r="O11" s="92"/>
      <c r="P11" s="92"/>
      <c r="Q11" s="618"/>
      <c r="R11" s="619"/>
      <c r="S11" s="92"/>
      <c r="T11" s="92"/>
      <c r="U11" s="92"/>
      <c r="V11" s="618"/>
    </row>
    <row r="12" spans="1:63" ht="15">
      <c r="A12" s="251"/>
      <c r="B12" s="572"/>
      <c r="C12" s="339"/>
      <c r="D12" s="623" t="s">
        <v>1937</v>
      </c>
      <c r="E12" s="573"/>
      <c r="F12" s="573"/>
      <c r="G12" s="573"/>
      <c r="H12" s="561"/>
      <c r="I12" s="551"/>
      <c r="J12" s="574"/>
      <c r="K12" s="551"/>
      <c r="L12" s="551"/>
      <c r="M12" s="551"/>
      <c r="N12" s="551"/>
      <c r="O12" s="551"/>
      <c r="P12" s="551"/>
      <c r="Q12" s="575"/>
      <c r="R12" s="574"/>
      <c r="S12" s="551"/>
      <c r="T12" s="551"/>
      <c r="U12" s="551"/>
      <c r="V12" s="575"/>
    </row>
    <row r="13" spans="1:63" ht="15">
      <c r="A13" s="251"/>
      <c r="B13" s="997"/>
      <c r="C13" s="339"/>
      <c r="D13" s="573"/>
      <c r="E13" s="561" t="s">
        <v>1938</v>
      </c>
      <c r="F13" s="573"/>
      <c r="G13" s="573"/>
      <c r="H13" s="561"/>
      <c r="I13" s="576" t="s">
        <v>498</v>
      </c>
      <c r="J13" s="297">
        <v>0.36693905673964072</v>
      </c>
      <c r="K13" s="298">
        <v>0.27707589864097237</v>
      </c>
      <c r="L13" s="298">
        <v>0.31523444190312205</v>
      </c>
      <c r="M13" s="298">
        <v>0.29534093510747483</v>
      </c>
      <c r="N13" s="298">
        <v>0.21014460166732724</v>
      </c>
      <c r="O13" s="298">
        <v>0.22023232000000001</v>
      </c>
      <c r="P13" s="298">
        <v>0.26023807466948101</v>
      </c>
      <c r="Q13" s="299">
        <v>0.26023807466948101</v>
      </c>
      <c r="R13" s="297">
        <v>0.26023807466948101</v>
      </c>
      <c r="S13" s="298">
        <v>0.26023807466948101</v>
      </c>
      <c r="T13" s="298">
        <v>0.26023807466948101</v>
      </c>
      <c r="U13" s="298">
        <v>0.26023807466948101</v>
      </c>
      <c r="V13" s="299">
        <v>0.26023807466948101</v>
      </c>
    </row>
    <row r="14" spans="1:63" ht="15">
      <c r="A14" s="251"/>
      <c r="B14" s="577"/>
      <c r="C14" s="339"/>
      <c r="D14" s="622"/>
      <c r="E14" s="561" t="s">
        <v>1939</v>
      </c>
      <c r="F14" s="573"/>
      <c r="G14" s="573"/>
      <c r="H14" s="561"/>
      <c r="I14" s="576" t="s">
        <v>498</v>
      </c>
      <c r="J14" s="297">
        <v>0</v>
      </c>
      <c r="K14" s="298">
        <v>0</v>
      </c>
      <c r="L14" s="298">
        <v>0</v>
      </c>
      <c r="M14" s="298">
        <v>0</v>
      </c>
      <c r="N14" s="298">
        <v>0</v>
      </c>
      <c r="O14" s="298">
        <v>0</v>
      </c>
      <c r="P14" s="298">
        <v>0</v>
      </c>
      <c r="Q14" s="299">
        <v>0</v>
      </c>
      <c r="R14" s="297">
        <v>0</v>
      </c>
      <c r="S14" s="298">
        <v>0</v>
      </c>
      <c r="T14" s="298">
        <v>0</v>
      </c>
      <c r="U14" s="298">
        <v>0</v>
      </c>
      <c r="V14" s="299">
        <v>0</v>
      </c>
    </row>
    <row r="15" spans="1:63" ht="15">
      <c r="A15" s="251"/>
      <c r="B15" s="577"/>
      <c r="C15" s="339"/>
      <c r="D15" s="622"/>
      <c r="E15" s="561" t="s">
        <v>1940</v>
      </c>
      <c r="F15" s="573"/>
      <c r="G15" s="573"/>
      <c r="H15" s="561"/>
      <c r="I15" s="576" t="s">
        <v>498</v>
      </c>
      <c r="J15" s="297">
        <v>5.7261904637055903E-3</v>
      </c>
      <c r="K15" s="298">
        <v>5.6161211844155817E-3</v>
      </c>
      <c r="L15" s="298">
        <v>5.5562293614287534E-3</v>
      </c>
      <c r="M15" s="298">
        <v>5.2739643611882598E-3</v>
      </c>
      <c r="N15" s="298">
        <v>5.5134728709240908E-3</v>
      </c>
      <c r="O15" s="298">
        <v>6.6214400000000001E-3</v>
      </c>
      <c r="P15" s="298">
        <v>5.741276648385276E-3</v>
      </c>
      <c r="Q15" s="299">
        <v>5.741276648385276E-3</v>
      </c>
      <c r="R15" s="297">
        <v>5.741276648385276E-3</v>
      </c>
      <c r="S15" s="298">
        <v>5.741276648385276E-3</v>
      </c>
      <c r="T15" s="298">
        <v>5.741276648385276E-3</v>
      </c>
      <c r="U15" s="298">
        <v>5.741276648385276E-3</v>
      </c>
      <c r="V15" s="299">
        <v>5.741276648385276E-3</v>
      </c>
    </row>
    <row r="16" spans="1:63" ht="15">
      <c r="A16" s="251"/>
      <c r="B16" s="577"/>
      <c r="C16" s="339"/>
      <c r="D16" s="622"/>
      <c r="E16" s="561" t="s">
        <v>1941</v>
      </c>
      <c r="F16" s="573"/>
      <c r="G16" s="573"/>
      <c r="H16" s="561"/>
      <c r="I16" s="576" t="s">
        <v>498</v>
      </c>
      <c r="J16" s="297">
        <v>0</v>
      </c>
      <c r="K16" s="298">
        <v>0</v>
      </c>
      <c r="L16" s="298">
        <v>0</v>
      </c>
      <c r="M16" s="298">
        <v>0</v>
      </c>
      <c r="N16" s="298">
        <v>0</v>
      </c>
      <c r="O16" s="298">
        <v>0</v>
      </c>
      <c r="P16" s="298">
        <v>0</v>
      </c>
      <c r="Q16" s="299">
        <v>0</v>
      </c>
      <c r="R16" s="297">
        <v>0</v>
      </c>
      <c r="S16" s="298">
        <v>0</v>
      </c>
      <c r="T16" s="298">
        <v>0</v>
      </c>
      <c r="U16" s="298">
        <v>0</v>
      </c>
      <c r="V16" s="299">
        <v>0</v>
      </c>
    </row>
    <row r="17" spans="1:22" ht="15">
      <c r="A17" s="251"/>
      <c r="B17" s="577"/>
      <c r="C17" s="339"/>
      <c r="D17" s="622"/>
      <c r="E17" s="561" t="s">
        <v>1942</v>
      </c>
      <c r="F17" s="578"/>
      <c r="G17" s="578"/>
      <c r="H17" s="561"/>
      <c r="I17" s="576" t="s">
        <v>498</v>
      </c>
      <c r="J17" s="297">
        <v>0</v>
      </c>
      <c r="K17" s="298">
        <v>0</v>
      </c>
      <c r="L17" s="298">
        <v>0</v>
      </c>
      <c r="M17" s="298">
        <v>0</v>
      </c>
      <c r="N17" s="298">
        <v>0</v>
      </c>
      <c r="O17" s="298">
        <v>0</v>
      </c>
      <c r="P17" s="298">
        <v>0</v>
      </c>
      <c r="Q17" s="299">
        <v>0</v>
      </c>
      <c r="R17" s="297">
        <v>0</v>
      </c>
      <c r="S17" s="298">
        <v>0</v>
      </c>
      <c r="T17" s="298">
        <v>0</v>
      </c>
      <c r="U17" s="298">
        <v>0</v>
      </c>
      <c r="V17" s="299">
        <v>0</v>
      </c>
    </row>
    <row r="18" spans="1:22" ht="15">
      <c r="A18" s="251"/>
      <c r="B18" s="577"/>
      <c r="C18" s="339"/>
      <c r="D18" s="622"/>
      <c r="E18" s="561" t="s">
        <v>1943</v>
      </c>
      <c r="F18" s="578"/>
      <c r="G18" s="578"/>
      <c r="H18" s="561"/>
      <c r="I18" s="576" t="s">
        <v>498</v>
      </c>
      <c r="J18" s="297">
        <v>0</v>
      </c>
      <c r="K18" s="298">
        <v>0</v>
      </c>
      <c r="L18" s="298">
        <v>0</v>
      </c>
      <c r="M18" s="298">
        <v>0</v>
      </c>
      <c r="N18" s="298">
        <v>0</v>
      </c>
      <c r="O18" s="298">
        <v>0</v>
      </c>
      <c r="P18" s="298">
        <v>0</v>
      </c>
      <c r="Q18" s="299">
        <v>0</v>
      </c>
      <c r="R18" s="297">
        <v>0</v>
      </c>
      <c r="S18" s="298">
        <v>0</v>
      </c>
      <c r="T18" s="298">
        <v>0</v>
      </c>
      <c r="U18" s="298">
        <v>0</v>
      </c>
      <c r="V18" s="299">
        <v>0</v>
      </c>
    </row>
    <row r="19" spans="1:22" ht="15">
      <c r="A19" s="251"/>
      <c r="B19" s="560"/>
      <c r="C19" s="339"/>
      <c r="D19" s="561"/>
      <c r="E19" s="561" t="s">
        <v>1944</v>
      </c>
      <c r="F19" s="561"/>
      <c r="G19" s="561"/>
      <c r="H19" s="551"/>
      <c r="I19" s="576" t="s">
        <v>498</v>
      </c>
      <c r="J19" s="297">
        <v>0.38172455769946723</v>
      </c>
      <c r="K19" s="298">
        <v>0.31356676612987</v>
      </c>
      <c r="L19" s="298">
        <v>0.32997734176435811</v>
      </c>
      <c r="M19" s="298">
        <v>0.32857129397113866</v>
      </c>
      <c r="N19" s="298">
        <v>0.31023650227945349</v>
      </c>
      <c r="O19" s="298">
        <v>0.30635412639999998</v>
      </c>
      <c r="P19" s="298">
        <v>0.3187848161037376</v>
      </c>
      <c r="Q19" s="299">
        <v>0.3187848161037376</v>
      </c>
      <c r="R19" s="297">
        <v>0.3187848161037376</v>
      </c>
      <c r="S19" s="298">
        <v>0.3187848161037376</v>
      </c>
      <c r="T19" s="298">
        <v>0.3187848161037376</v>
      </c>
      <c r="U19" s="298">
        <v>0.3187848161037376</v>
      </c>
      <c r="V19" s="299">
        <v>0.3187848161037376</v>
      </c>
    </row>
    <row r="20" spans="1:22">
      <c r="B20" s="349"/>
      <c r="C20" s="339"/>
      <c r="D20" s="339"/>
      <c r="E20" s="339" t="s">
        <v>1945</v>
      </c>
      <c r="F20" s="339"/>
      <c r="G20" s="339"/>
      <c r="H20" s="339"/>
      <c r="I20" s="576" t="s">
        <v>498</v>
      </c>
      <c r="J20" s="297">
        <v>0</v>
      </c>
      <c r="K20" s="298">
        <v>0</v>
      </c>
      <c r="L20" s="298">
        <v>0</v>
      </c>
      <c r="M20" s="298">
        <v>0</v>
      </c>
      <c r="N20" s="298">
        <v>0</v>
      </c>
      <c r="O20" s="298">
        <v>0</v>
      </c>
      <c r="P20" s="298">
        <v>0</v>
      </c>
      <c r="Q20" s="299">
        <v>0</v>
      </c>
      <c r="R20" s="297">
        <v>0</v>
      </c>
      <c r="S20" s="298">
        <v>0</v>
      </c>
      <c r="T20" s="298">
        <v>0</v>
      </c>
      <c r="U20" s="298">
        <v>0</v>
      </c>
      <c r="V20" s="299">
        <v>0</v>
      </c>
    </row>
    <row r="21" spans="1:22">
      <c r="B21" s="349"/>
      <c r="C21" s="339"/>
      <c r="D21" s="339"/>
      <c r="E21" s="339" t="s">
        <v>1946</v>
      </c>
      <c r="F21" s="339"/>
      <c r="G21" s="339"/>
      <c r="H21" s="339"/>
      <c r="I21" s="576" t="s">
        <v>498</v>
      </c>
      <c r="J21" s="297">
        <v>0</v>
      </c>
      <c r="K21" s="298">
        <v>0</v>
      </c>
      <c r="L21" s="298">
        <v>0</v>
      </c>
      <c r="M21" s="298">
        <v>0</v>
      </c>
      <c r="N21" s="298">
        <v>0</v>
      </c>
      <c r="O21" s="298">
        <v>0</v>
      </c>
      <c r="P21" s="298">
        <v>0</v>
      </c>
      <c r="Q21" s="299">
        <v>0</v>
      </c>
      <c r="R21" s="297">
        <v>0</v>
      </c>
      <c r="S21" s="298">
        <v>0</v>
      </c>
      <c r="T21" s="298">
        <v>0</v>
      </c>
      <c r="U21" s="298">
        <v>0</v>
      </c>
      <c r="V21" s="299">
        <v>0</v>
      </c>
    </row>
    <row r="22" spans="1:22">
      <c r="B22" s="349"/>
      <c r="C22" s="339"/>
      <c r="D22" s="339"/>
      <c r="E22" s="339" t="s">
        <v>1947</v>
      </c>
      <c r="F22" s="339"/>
      <c r="G22" s="339"/>
      <c r="H22" s="339"/>
      <c r="I22" s="576" t="s">
        <v>498</v>
      </c>
      <c r="J22" s="297">
        <v>0.15162148295314792</v>
      </c>
      <c r="K22" s="298">
        <v>5.1481110857142839E-2</v>
      </c>
      <c r="L22" s="298">
        <v>4.9983131702428359E-2</v>
      </c>
      <c r="M22" s="298">
        <v>4.5897281578311785E-2</v>
      </c>
      <c r="N22" s="298">
        <v>2.5792726043598582E-2</v>
      </c>
      <c r="O22" s="298">
        <v>2.4024009999999998E-2</v>
      </c>
      <c r="P22" s="298">
        <v>3.6424287331084687E-2</v>
      </c>
      <c r="Q22" s="299">
        <v>3.6424287331084687E-2</v>
      </c>
      <c r="R22" s="297">
        <v>3.6424287331084687E-2</v>
      </c>
      <c r="S22" s="298">
        <v>3.6424287331084687E-2</v>
      </c>
      <c r="T22" s="298">
        <v>3.6424287331084687E-2</v>
      </c>
      <c r="U22" s="298">
        <v>3.6424287331084687E-2</v>
      </c>
      <c r="V22" s="299">
        <v>3.6424287331084687E-2</v>
      </c>
    </row>
    <row r="23" spans="1:22">
      <c r="B23" s="349"/>
      <c r="C23" s="339"/>
      <c r="D23" s="339"/>
      <c r="E23" s="339" t="s">
        <v>1948</v>
      </c>
      <c r="F23" s="339"/>
      <c r="G23" s="339"/>
      <c r="H23" s="339"/>
      <c r="I23" s="576" t="s">
        <v>498</v>
      </c>
      <c r="J23" s="297">
        <v>0</v>
      </c>
      <c r="K23" s="298">
        <v>0</v>
      </c>
      <c r="L23" s="298">
        <v>0</v>
      </c>
      <c r="M23" s="298">
        <v>0</v>
      </c>
      <c r="N23" s="298">
        <v>0</v>
      </c>
      <c r="O23" s="298">
        <v>0</v>
      </c>
      <c r="P23" s="298">
        <v>0</v>
      </c>
      <c r="Q23" s="299">
        <v>0</v>
      </c>
      <c r="R23" s="297">
        <v>0</v>
      </c>
      <c r="S23" s="298">
        <v>0</v>
      </c>
      <c r="T23" s="298">
        <v>0</v>
      </c>
      <c r="U23" s="298">
        <v>0</v>
      </c>
      <c r="V23" s="299">
        <v>0</v>
      </c>
    </row>
    <row r="24" spans="1:22">
      <c r="B24" s="349"/>
      <c r="C24" s="339"/>
      <c r="D24" s="339"/>
      <c r="E24" s="339" t="s">
        <v>1949</v>
      </c>
      <c r="F24" s="339"/>
      <c r="G24" s="339"/>
      <c r="H24" s="339"/>
      <c r="I24" s="576" t="s">
        <v>498</v>
      </c>
      <c r="J24" s="297">
        <v>0</v>
      </c>
      <c r="K24" s="298">
        <v>0</v>
      </c>
      <c r="L24" s="298">
        <v>0</v>
      </c>
      <c r="M24" s="298">
        <v>0</v>
      </c>
      <c r="N24" s="298">
        <v>0</v>
      </c>
      <c r="O24" s="298">
        <v>0</v>
      </c>
      <c r="P24" s="298">
        <v>0</v>
      </c>
      <c r="Q24" s="299">
        <v>0</v>
      </c>
      <c r="R24" s="297">
        <v>0</v>
      </c>
      <c r="S24" s="298">
        <v>0</v>
      </c>
      <c r="T24" s="298">
        <v>0</v>
      </c>
      <c r="U24" s="298">
        <v>0</v>
      </c>
      <c r="V24" s="299">
        <v>0</v>
      </c>
    </row>
    <row r="25" spans="1:22">
      <c r="B25" s="349"/>
      <c r="C25" s="339"/>
      <c r="D25" s="339"/>
      <c r="E25" s="339" t="s">
        <v>1950</v>
      </c>
      <c r="F25" s="339"/>
      <c r="G25" s="339"/>
      <c r="H25" s="339"/>
      <c r="I25" s="576" t="s">
        <v>498</v>
      </c>
      <c r="J25" s="297">
        <v>0.34416790599563812</v>
      </c>
      <c r="K25" s="298">
        <v>0.35568767501298693</v>
      </c>
      <c r="L25" s="298">
        <v>0.19681042387254266</v>
      </c>
      <c r="M25" s="298">
        <v>0.11192286784506698</v>
      </c>
      <c r="N25" s="298">
        <v>0.10351049617879435</v>
      </c>
      <c r="O25" s="298">
        <v>0.10531808000000002</v>
      </c>
      <c r="P25" s="298">
        <v>0.129390466974101</v>
      </c>
      <c r="Q25" s="299">
        <v>0.129390466974101</v>
      </c>
      <c r="R25" s="297">
        <v>0.129390466974101</v>
      </c>
      <c r="S25" s="298">
        <v>0.129390466974101</v>
      </c>
      <c r="T25" s="298">
        <v>0.129390466974101</v>
      </c>
      <c r="U25" s="298">
        <v>0.129390466974101</v>
      </c>
      <c r="V25" s="299">
        <v>0.129390466974101</v>
      </c>
    </row>
    <row r="26" spans="1:22" ht="15">
      <c r="B26" s="349"/>
      <c r="C26" s="339"/>
      <c r="D26" s="623" t="s">
        <v>1951</v>
      </c>
      <c r="E26" s="339"/>
      <c r="F26" s="339"/>
      <c r="G26" s="339"/>
      <c r="H26" s="339"/>
      <c r="I26" s="339"/>
      <c r="J26" s="349"/>
      <c r="K26" s="339"/>
      <c r="L26" s="339"/>
      <c r="M26" s="339"/>
      <c r="N26" s="339"/>
      <c r="O26" s="339"/>
      <c r="P26" s="339"/>
      <c r="Q26" s="353"/>
      <c r="R26" s="349"/>
      <c r="S26" s="339"/>
      <c r="T26" s="339"/>
      <c r="U26" s="339"/>
      <c r="V26" s="353"/>
    </row>
    <row r="27" spans="1:22">
      <c r="B27" s="349"/>
      <c r="C27" s="339"/>
      <c r="D27" s="339"/>
      <c r="E27" s="339" t="s">
        <v>1952</v>
      </c>
      <c r="F27" s="339"/>
      <c r="G27" s="339"/>
      <c r="H27" s="339"/>
      <c r="I27" s="576" t="s">
        <v>498</v>
      </c>
      <c r="J27" s="297">
        <v>0.15866319409850907</v>
      </c>
      <c r="K27" s="298">
        <v>0.15210328207792204</v>
      </c>
      <c r="L27" s="298">
        <v>0.11359802659642809</v>
      </c>
      <c r="M27" s="298">
        <v>0.1029027102704987</v>
      </c>
      <c r="N27" s="298">
        <v>9.746022746693439E-2</v>
      </c>
      <c r="O27" s="298">
        <v>0.10234336000000001</v>
      </c>
      <c r="P27" s="298">
        <v>0.10407608108346529</v>
      </c>
      <c r="Q27" s="299">
        <v>0.10407608108346529</v>
      </c>
      <c r="R27" s="297">
        <v>0.10407608108346529</v>
      </c>
      <c r="S27" s="298">
        <v>0.10407608108346529</v>
      </c>
      <c r="T27" s="298">
        <v>0.10407608108346529</v>
      </c>
      <c r="U27" s="298">
        <v>0.10407608108346529</v>
      </c>
      <c r="V27" s="299">
        <v>0.10407608108346529</v>
      </c>
    </row>
    <row r="28" spans="1:22">
      <c r="B28" s="349"/>
      <c r="C28" s="339"/>
      <c r="D28" s="339"/>
      <c r="E28" s="339" t="s">
        <v>1953</v>
      </c>
      <c r="F28" s="339"/>
      <c r="G28" s="339"/>
      <c r="H28" s="339"/>
      <c r="I28" s="576" t="s">
        <v>498</v>
      </c>
      <c r="J28" s="297">
        <v>0.6512348696118504</v>
      </c>
      <c r="K28" s="298">
        <v>0.52677316986184508</v>
      </c>
      <c r="L28" s="298">
        <v>0.57786070673709355</v>
      </c>
      <c r="M28" s="298">
        <v>0.54432914391377829</v>
      </c>
      <c r="N28" s="298">
        <v>0.45419342321707623</v>
      </c>
      <c r="O28" s="298">
        <v>0.47184124960000001</v>
      </c>
      <c r="P28" s="298">
        <v>0.51205613086698709</v>
      </c>
      <c r="Q28" s="299">
        <v>0.51205613086698709</v>
      </c>
      <c r="R28" s="297">
        <v>0.51205613086698709</v>
      </c>
      <c r="S28" s="298">
        <v>0.51205613086698709</v>
      </c>
      <c r="T28" s="298">
        <v>0.51205613086698709</v>
      </c>
      <c r="U28" s="298">
        <v>0.51205613086698709</v>
      </c>
      <c r="V28" s="299">
        <v>0.51205613086698709</v>
      </c>
    </row>
    <row r="29" spans="1:22">
      <c r="B29" s="349"/>
      <c r="C29" s="339"/>
      <c r="D29" s="339"/>
      <c r="E29" s="339" t="s">
        <v>1954</v>
      </c>
      <c r="F29" s="339"/>
      <c r="G29" s="339"/>
      <c r="H29" s="339"/>
      <c r="I29" s="576" t="s">
        <v>498</v>
      </c>
      <c r="J29" s="297">
        <v>0</v>
      </c>
      <c r="K29" s="298">
        <v>0</v>
      </c>
      <c r="L29" s="298">
        <v>0</v>
      </c>
      <c r="M29" s="298">
        <v>0</v>
      </c>
      <c r="N29" s="298">
        <v>0</v>
      </c>
      <c r="O29" s="298">
        <v>0</v>
      </c>
      <c r="P29" s="298">
        <v>0</v>
      </c>
      <c r="Q29" s="299">
        <v>0</v>
      </c>
      <c r="R29" s="297">
        <v>0</v>
      </c>
      <c r="S29" s="298">
        <v>0</v>
      </c>
      <c r="T29" s="298">
        <v>0</v>
      </c>
      <c r="U29" s="298">
        <v>0</v>
      </c>
      <c r="V29" s="299">
        <v>0</v>
      </c>
    </row>
    <row r="30" spans="1:22">
      <c r="B30" s="349"/>
      <c r="C30" s="339"/>
      <c r="D30" s="339"/>
      <c r="E30" s="339" t="s">
        <v>1955</v>
      </c>
      <c r="F30" s="339"/>
      <c r="G30" s="339"/>
      <c r="H30" s="339"/>
      <c r="I30" s="576" t="s">
        <v>498</v>
      </c>
      <c r="J30" s="297">
        <v>3.2607473473879059E-2</v>
      </c>
      <c r="K30" s="298">
        <v>3.1980690077922071E-2</v>
      </c>
      <c r="L30" s="298">
        <v>3.1639639419247072E-2</v>
      </c>
      <c r="M30" s="298">
        <v>2.5286804190315169E-2</v>
      </c>
      <c r="N30" s="298">
        <v>7.5160486620978642E-2</v>
      </c>
      <c r="O30" s="298">
        <v>7.2931999999999997E-2</v>
      </c>
      <c r="P30" s="298">
        <v>5.125473255763522E-2</v>
      </c>
      <c r="Q30" s="299">
        <v>5.125473255763522E-2</v>
      </c>
      <c r="R30" s="297">
        <v>5.125473255763522E-2</v>
      </c>
      <c r="S30" s="298">
        <v>5.125473255763522E-2</v>
      </c>
      <c r="T30" s="298">
        <v>5.125473255763522E-2</v>
      </c>
      <c r="U30" s="298">
        <v>5.125473255763522E-2</v>
      </c>
      <c r="V30" s="299">
        <v>5.125473255763522E-2</v>
      </c>
    </row>
    <row r="31" spans="1:22">
      <c r="B31" s="349"/>
      <c r="C31" s="339"/>
      <c r="D31" s="339"/>
      <c r="E31" s="339" t="s">
        <v>1950</v>
      </c>
      <c r="F31" s="339"/>
      <c r="G31" s="339"/>
      <c r="H31" s="339"/>
      <c r="I31" s="576" t="s">
        <v>498</v>
      </c>
      <c r="J31" s="297">
        <v>0</v>
      </c>
      <c r="K31" s="298">
        <v>0</v>
      </c>
      <c r="L31" s="298">
        <v>0</v>
      </c>
      <c r="M31" s="298">
        <v>0</v>
      </c>
      <c r="N31" s="298">
        <v>0</v>
      </c>
      <c r="O31" s="298">
        <v>0</v>
      </c>
      <c r="P31" s="298">
        <v>0</v>
      </c>
      <c r="Q31" s="299">
        <v>0</v>
      </c>
      <c r="R31" s="297">
        <v>0</v>
      </c>
      <c r="S31" s="298">
        <v>0</v>
      </c>
      <c r="T31" s="298">
        <v>0</v>
      </c>
      <c r="U31" s="298">
        <v>0</v>
      </c>
      <c r="V31" s="299">
        <v>0</v>
      </c>
    </row>
    <row r="32" spans="1:22" ht="15">
      <c r="B32" s="349"/>
      <c r="C32" s="339"/>
      <c r="D32" s="623" t="s">
        <v>1956</v>
      </c>
      <c r="E32" s="339"/>
      <c r="F32" s="339"/>
      <c r="G32" s="339"/>
      <c r="H32" s="339"/>
      <c r="I32" s="339"/>
      <c r="J32" s="349"/>
      <c r="K32" s="339"/>
      <c r="L32" s="339"/>
      <c r="M32" s="339"/>
      <c r="N32" s="339"/>
      <c r="O32" s="339"/>
      <c r="P32" s="339"/>
      <c r="Q32" s="353"/>
      <c r="R32" s="349"/>
      <c r="S32" s="339"/>
      <c r="T32" s="339"/>
      <c r="U32" s="339"/>
      <c r="V32" s="353"/>
    </row>
    <row r="33" spans="2:22">
      <c r="B33" s="349"/>
      <c r="C33" s="339"/>
      <c r="D33" s="339"/>
      <c r="E33" s="339" t="s">
        <v>1957</v>
      </c>
      <c r="F33" s="339"/>
      <c r="G33" s="339"/>
      <c r="H33" s="339"/>
      <c r="I33" s="576" t="s">
        <v>498</v>
      </c>
      <c r="J33" s="297">
        <v>8.7802064292691034E-3</v>
      </c>
      <c r="K33" s="298">
        <v>9.0977185101693472E-3</v>
      </c>
      <c r="L33" s="298">
        <v>1.0628461785892329E-2</v>
      </c>
      <c r="M33" s="298">
        <v>1.0313791646540268E-2</v>
      </c>
      <c r="N33" s="298">
        <v>1.0503850520302066E-2</v>
      </c>
      <c r="O33" s="298">
        <v>9.4155300000000001E-3</v>
      </c>
      <c r="P33" s="298">
        <v>1.0215408488183666E-2</v>
      </c>
      <c r="Q33" s="299">
        <v>1.0215408488183666E-2</v>
      </c>
      <c r="R33" s="297">
        <v>1.0215408488183666E-2</v>
      </c>
      <c r="S33" s="298">
        <v>1.0215408488183666E-2</v>
      </c>
      <c r="T33" s="298">
        <v>1.0215408488183666E-2</v>
      </c>
      <c r="U33" s="298">
        <v>1.0215408488183666E-2</v>
      </c>
      <c r="V33" s="299">
        <v>1.0215408488183666E-2</v>
      </c>
    </row>
    <row r="34" spans="2:22">
      <c r="B34" s="349"/>
      <c r="C34" s="339"/>
      <c r="D34" s="339"/>
      <c r="E34" s="339" t="s">
        <v>1958</v>
      </c>
      <c r="F34" s="339"/>
      <c r="G34" s="339"/>
      <c r="H34" s="339"/>
      <c r="I34" s="576" t="s">
        <v>498</v>
      </c>
      <c r="J34" s="297">
        <v>7.0905386235416076E-2</v>
      </c>
      <c r="K34" s="298">
        <v>3.7596608899480508E-2</v>
      </c>
      <c r="L34" s="298">
        <v>4.9709033123474224E-2</v>
      </c>
      <c r="M34" s="298">
        <v>5.8053165378577444E-2</v>
      </c>
      <c r="N34" s="298">
        <v>6.4368507573442743E-2</v>
      </c>
      <c r="O34" s="298">
        <v>6.2460000000000002E-2</v>
      </c>
      <c r="P34" s="298">
        <v>5.8647676518873607E-2</v>
      </c>
      <c r="Q34" s="299">
        <v>5.8647676518873607E-2</v>
      </c>
      <c r="R34" s="297">
        <v>5.8647676518873607E-2</v>
      </c>
      <c r="S34" s="298">
        <v>5.8647676518873607E-2</v>
      </c>
      <c r="T34" s="298">
        <v>5.8647676518873607E-2</v>
      </c>
      <c r="U34" s="298">
        <v>5.8647676518873607E-2</v>
      </c>
      <c r="V34" s="299">
        <v>5.8647676518873607E-2</v>
      </c>
    </row>
    <row r="35" spans="2:22">
      <c r="B35" s="349"/>
      <c r="C35" s="339"/>
      <c r="D35" s="339"/>
      <c r="E35" s="339" t="s">
        <v>1959</v>
      </c>
      <c r="F35" s="339"/>
      <c r="G35" s="339"/>
      <c r="H35" s="339"/>
      <c r="I35" s="576" t="s">
        <v>498</v>
      </c>
      <c r="J35" s="297">
        <v>0</v>
      </c>
      <c r="K35" s="298">
        <v>0</v>
      </c>
      <c r="L35" s="298">
        <v>0</v>
      </c>
      <c r="M35" s="298">
        <v>0</v>
      </c>
      <c r="N35" s="298">
        <v>0</v>
      </c>
      <c r="O35" s="298">
        <v>0</v>
      </c>
      <c r="P35" s="298">
        <v>0</v>
      </c>
      <c r="Q35" s="299">
        <v>0</v>
      </c>
      <c r="R35" s="297">
        <v>0</v>
      </c>
      <c r="S35" s="298">
        <v>0</v>
      </c>
      <c r="T35" s="298">
        <v>0</v>
      </c>
      <c r="U35" s="298">
        <v>0</v>
      </c>
      <c r="V35" s="299">
        <v>0</v>
      </c>
    </row>
    <row r="36" spans="2:22">
      <c r="B36" s="349"/>
      <c r="C36" s="339"/>
      <c r="D36" s="339"/>
      <c r="E36" s="339" t="s">
        <v>1960</v>
      </c>
      <c r="F36" s="339"/>
      <c r="G36" s="339"/>
      <c r="H36" s="339"/>
      <c r="I36" s="576" t="s">
        <v>498</v>
      </c>
      <c r="J36" s="297">
        <v>8.9814475858945753E-2</v>
      </c>
      <c r="K36" s="298">
        <v>0.12523085967880515</v>
      </c>
      <c r="L36" s="298">
        <v>0.11108090618013618</v>
      </c>
      <c r="M36" s="298">
        <v>0.12603844689651003</v>
      </c>
      <c r="N36" s="298">
        <v>0.16715613077829672</v>
      </c>
      <c r="O36" s="298">
        <v>0.16220000000000001</v>
      </c>
      <c r="P36" s="298">
        <v>0.14161887096373574</v>
      </c>
      <c r="Q36" s="299">
        <v>0.14161887096373574</v>
      </c>
      <c r="R36" s="297">
        <v>0.14161887096373574</v>
      </c>
      <c r="S36" s="298">
        <v>0.14161887096373574</v>
      </c>
      <c r="T36" s="298">
        <v>0.14161887096373574</v>
      </c>
      <c r="U36" s="298">
        <v>0.14161887096373574</v>
      </c>
      <c r="V36" s="299">
        <v>0.14161887096373574</v>
      </c>
    </row>
    <row r="37" spans="2:22">
      <c r="B37" s="349"/>
      <c r="C37" s="339"/>
      <c r="D37" s="339"/>
      <c r="E37" s="339" t="s">
        <v>1961</v>
      </c>
      <c r="F37" s="339"/>
      <c r="G37" s="339"/>
      <c r="H37" s="339"/>
      <c r="I37" s="576" t="s">
        <v>498</v>
      </c>
      <c r="J37" s="297">
        <v>0</v>
      </c>
      <c r="K37" s="298">
        <v>0</v>
      </c>
      <c r="L37" s="298">
        <v>0</v>
      </c>
      <c r="M37" s="298">
        <v>0</v>
      </c>
      <c r="N37" s="298">
        <v>0</v>
      </c>
      <c r="O37" s="298">
        <v>0</v>
      </c>
      <c r="P37" s="298">
        <v>0</v>
      </c>
      <c r="Q37" s="299">
        <v>0</v>
      </c>
      <c r="R37" s="297">
        <v>0</v>
      </c>
      <c r="S37" s="298">
        <v>0</v>
      </c>
      <c r="T37" s="298">
        <v>0</v>
      </c>
      <c r="U37" s="298">
        <v>0</v>
      </c>
      <c r="V37" s="299">
        <v>0</v>
      </c>
    </row>
    <row r="38" spans="2:22">
      <c r="B38" s="349"/>
      <c r="C38" s="339"/>
      <c r="D38" s="339"/>
      <c r="E38" s="339" t="s">
        <v>1962</v>
      </c>
      <c r="F38" s="339"/>
      <c r="G38" s="339"/>
      <c r="H38" s="339"/>
      <c r="I38" s="576" t="s">
        <v>498</v>
      </c>
      <c r="J38" s="297">
        <v>0</v>
      </c>
      <c r="K38" s="298">
        <v>0</v>
      </c>
      <c r="L38" s="298">
        <v>0</v>
      </c>
      <c r="M38" s="298">
        <v>0</v>
      </c>
      <c r="N38" s="298">
        <v>0</v>
      </c>
      <c r="O38" s="298">
        <v>0</v>
      </c>
      <c r="P38" s="298">
        <v>0</v>
      </c>
      <c r="Q38" s="299">
        <v>0</v>
      </c>
      <c r="R38" s="297">
        <v>0</v>
      </c>
      <c r="S38" s="298">
        <v>0</v>
      </c>
      <c r="T38" s="298">
        <v>0</v>
      </c>
      <c r="U38" s="298">
        <v>0</v>
      </c>
      <c r="V38" s="299">
        <v>0</v>
      </c>
    </row>
    <row r="39" spans="2:22">
      <c r="B39" s="349"/>
      <c r="C39" s="339"/>
      <c r="D39" s="339"/>
      <c r="E39" s="339" t="s">
        <v>1963</v>
      </c>
      <c r="F39" s="339"/>
      <c r="G39" s="339"/>
      <c r="H39" s="339"/>
      <c r="I39" s="576" t="s">
        <v>498</v>
      </c>
      <c r="J39" s="297">
        <v>1.9683779718987966E-3</v>
      </c>
      <c r="K39" s="298">
        <v>1.9305416571428564E-3</v>
      </c>
      <c r="L39" s="298">
        <v>1.909953842991134E-3</v>
      </c>
      <c r="M39" s="298">
        <v>1.9316308756490755E-3</v>
      </c>
      <c r="N39" s="298">
        <v>1.8194460474049499E-3</v>
      </c>
      <c r="O39" s="298">
        <v>1.9998944E-3</v>
      </c>
      <c r="P39" s="298">
        <v>1.9152312915112898E-3</v>
      </c>
      <c r="Q39" s="299">
        <v>1.9152312915112898E-3</v>
      </c>
      <c r="R39" s="297">
        <v>1.9152312915112898E-3</v>
      </c>
      <c r="S39" s="298">
        <v>1.9152312915112898E-3</v>
      </c>
      <c r="T39" s="298">
        <v>1.9152312915112898E-3</v>
      </c>
      <c r="U39" s="298">
        <v>1.9152312915112898E-3</v>
      </c>
      <c r="V39" s="299">
        <v>1.9152312915112898E-3</v>
      </c>
    </row>
    <row r="40" spans="2:22">
      <c r="B40" s="349"/>
      <c r="C40" s="339"/>
      <c r="D40" s="339"/>
      <c r="E40" s="339" t="s">
        <v>1964</v>
      </c>
      <c r="F40" s="339"/>
      <c r="G40" s="339"/>
      <c r="H40" s="339"/>
      <c r="I40" s="576" t="s">
        <v>498</v>
      </c>
      <c r="J40" s="297">
        <v>1.2347098187365179E-3</v>
      </c>
      <c r="K40" s="298">
        <v>1.3455290337662332E-2</v>
      </c>
      <c r="L40" s="298">
        <v>1.0417930052678914E-2</v>
      </c>
      <c r="M40" s="298">
        <v>9.9513602825745655E-3</v>
      </c>
      <c r="N40" s="298">
        <v>8.8875121567942705E-3</v>
      </c>
      <c r="O40" s="298">
        <v>1.030288E-2</v>
      </c>
      <c r="P40" s="298">
        <v>9.8899206230119371E-3</v>
      </c>
      <c r="Q40" s="299">
        <v>9.8899206230119371E-3</v>
      </c>
      <c r="R40" s="297">
        <v>9.8899206230119371E-3</v>
      </c>
      <c r="S40" s="298">
        <v>9.8899206230119371E-3</v>
      </c>
      <c r="T40" s="298">
        <v>9.8899206230119371E-3</v>
      </c>
      <c r="U40" s="298">
        <v>9.8899206230119371E-3</v>
      </c>
      <c r="V40" s="299">
        <v>9.8899206230119371E-3</v>
      </c>
    </row>
    <row r="41" spans="2:22">
      <c r="B41" s="349"/>
      <c r="C41" s="339"/>
      <c r="D41" s="339"/>
      <c r="E41" s="339" t="s">
        <v>1950</v>
      </c>
      <c r="F41" s="339"/>
      <c r="G41" s="339"/>
      <c r="H41" s="339"/>
      <c r="I41" s="576" t="s">
        <v>498</v>
      </c>
      <c r="J41" s="297">
        <v>0</v>
      </c>
      <c r="K41" s="298">
        <v>0</v>
      </c>
      <c r="L41" s="298">
        <v>0</v>
      </c>
      <c r="M41" s="298">
        <v>0</v>
      </c>
      <c r="N41" s="298">
        <v>0</v>
      </c>
      <c r="O41" s="298">
        <v>0</v>
      </c>
      <c r="P41" s="298">
        <v>0</v>
      </c>
      <c r="Q41" s="299">
        <v>0</v>
      </c>
      <c r="R41" s="297">
        <v>0</v>
      </c>
      <c r="S41" s="298">
        <v>0</v>
      </c>
      <c r="T41" s="298">
        <v>0</v>
      </c>
      <c r="U41" s="298">
        <v>0</v>
      </c>
      <c r="V41" s="299">
        <v>0</v>
      </c>
    </row>
    <row r="42" spans="2:22" ht="15">
      <c r="B42" s="349"/>
      <c r="C42" s="339"/>
      <c r="D42" s="623" t="s">
        <v>1965</v>
      </c>
      <c r="E42" s="339"/>
      <c r="F42" s="339"/>
      <c r="G42" s="339"/>
      <c r="H42" s="339"/>
      <c r="I42" s="576" t="s">
        <v>498</v>
      </c>
      <c r="J42" s="297">
        <v>0</v>
      </c>
      <c r="K42" s="298">
        <v>0</v>
      </c>
      <c r="L42" s="298">
        <v>0</v>
      </c>
      <c r="M42" s="298">
        <v>0</v>
      </c>
      <c r="N42" s="298">
        <v>0</v>
      </c>
      <c r="O42" s="298">
        <v>0</v>
      </c>
      <c r="P42" s="298">
        <v>0</v>
      </c>
      <c r="Q42" s="299">
        <v>0</v>
      </c>
      <c r="R42" s="297">
        <v>0</v>
      </c>
      <c r="S42" s="298">
        <v>0</v>
      </c>
      <c r="T42" s="298">
        <v>0</v>
      </c>
      <c r="U42" s="298">
        <v>0</v>
      </c>
      <c r="V42" s="299">
        <v>0</v>
      </c>
    </row>
    <row r="43" spans="2:22" ht="15">
      <c r="B43" s="349"/>
      <c r="C43" s="339"/>
      <c r="D43" s="623" t="s">
        <v>1966</v>
      </c>
      <c r="E43" s="339"/>
      <c r="F43" s="339"/>
      <c r="G43" s="339"/>
      <c r="H43" s="339"/>
      <c r="I43" s="576" t="s">
        <v>498</v>
      </c>
      <c r="J43" s="297">
        <v>0.11254305156654071</v>
      </c>
      <c r="K43" s="298">
        <v>0.15823598044675322</v>
      </c>
      <c r="L43" s="298">
        <v>0.13104314531671588</v>
      </c>
      <c r="M43" s="298">
        <v>0.1282942881294529</v>
      </c>
      <c r="N43" s="298">
        <v>0.13397223798507135</v>
      </c>
      <c r="O43" s="298">
        <v>0.13</v>
      </c>
      <c r="P43" s="298">
        <v>0.13082741785781005</v>
      </c>
      <c r="Q43" s="299">
        <v>0.13082741785781005</v>
      </c>
      <c r="R43" s="297">
        <v>0.13082741785781005</v>
      </c>
      <c r="S43" s="298">
        <v>0.13082741785781005</v>
      </c>
      <c r="T43" s="298">
        <v>0.13082741785781005</v>
      </c>
      <c r="U43" s="298">
        <v>0.13082741785781005</v>
      </c>
      <c r="V43" s="299">
        <v>0.13082741785781005</v>
      </c>
    </row>
    <row r="44" spans="2:22">
      <c r="B44" s="349"/>
      <c r="C44" s="339" t="s">
        <v>1710</v>
      </c>
      <c r="D44" s="339"/>
      <c r="E44" s="339"/>
      <c r="F44" s="339"/>
      <c r="G44" s="339"/>
      <c r="H44" s="339"/>
      <c r="I44" s="576" t="s">
        <v>498</v>
      </c>
      <c r="J44" s="302">
        <f t="shared" ref="J44:V44" si="0">SUM(J13:J25,J27:J31,J33:J43)</f>
        <v>2.377930938916645</v>
      </c>
      <c r="K44" s="303">
        <f t="shared" si="0"/>
        <v>2.0598317133730903</v>
      </c>
      <c r="L44" s="303">
        <f t="shared" si="0"/>
        <v>1.9354493716585373</v>
      </c>
      <c r="M44" s="303">
        <f t="shared" si="0"/>
        <v>1.7941076844470771</v>
      </c>
      <c r="N44" s="303">
        <f t="shared" si="0"/>
        <v>1.6687196214063995</v>
      </c>
      <c r="O44" s="303">
        <f t="shared" si="0"/>
        <v>1.6860448904000003</v>
      </c>
      <c r="P44" s="303">
        <f t="shared" si="0"/>
        <v>1.7710803919780034</v>
      </c>
      <c r="Q44" s="304">
        <f t="shared" si="0"/>
        <v>1.7710803919780034</v>
      </c>
      <c r="R44" s="302">
        <f t="shared" si="0"/>
        <v>1.7710803919780034</v>
      </c>
      <c r="S44" s="303">
        <f t="shared" si="0"/>
        <v>1.7710803919780034</v>
      </c>
      <c r="T44" s="303">
        <f t="shared" si="0"/>
        <v>1.7710803919780034</v>
      </c>
      <c r="U44" s="303">
        <f t="shared" si="0"/>
        <v>1.7710803919780034</v>
      </c>
      <c r="V44" s="304">
        <f t="shared" si="0"/>
        <v>1.7710803919780034</v>
      </c>
    </row>
    <row r="45" spans="2:22">
      <c r="B45" s="349"/>
      <c r="C45" s="339"/>
      <c r="D45" s="339"/>
      <c r="E45" s="339"/>
      <c r="F45" s="339"/>
      <c r="G45" s="339"/>
      <c r="H45" s="339"/>
      <c r="I45" s="339"/>
      <c r="J45" s="349"/>
      <c r="K45" s="339"/>
      <c r="L45" s="339"/>
      <c r="M45" s="339"/>
      <c r="N45" s="339"/>
      <c r="O45" s="339"/>
      <c r="P45" s="339"/>
      <c r="Q45" s="353"/>
      <c r="R45" s="349"/>
      <c r="S45" s="339"/>
      <c r="T45" s="339"/>
      <c r="U45" s="339"/>
      <c r="V45" s="353"/>
    </row>
    <row r="46" spans="2:22" ht="15">
      <c r="B46" s="349"/>
      <c r="C46" s="623" t="s">
        <v>1967</v>
      </c>
      <c r="D46" s="339"/>
      <c r="E46" s="339"/>
      <c r="F46" s="339"/>
      <c r="G46" s="339"/>
      <c r="H46" s="339"/>
      <c r="I46" s="576" t="s">
        <v>498</v>
      </c>
      <c r="J46" s="944">
        <v>1.9628304473496914</v>
      </c>
      <c r="K46" s="994">
        <v>1.9195012073181814</v>
      </c>
      <c r="L46" s="994">
        <v>0.76951412108112538</v>
      </c>
      <c r="M46" s="994">
        <v>1.128733094961357</v>
      </c>
      <c r="N46" s="994">
        <v>1.7442406550190648</v>
      </c>
      <c r="O46" s="994">
        <v>1.30637</v>
      </c>
      <c r="P46" s="994">
        <v>1.6472190750853954</v>
      </c>
      <c r="Q46" s="995">
        <v>1.6472190750853954</v>
      </c>
      <c r="R46" s="944">
        <v>1.6472190750853954</v>
      </c>
      <c r="S46" s="994">
        <v>1.6472190750853954</v>
      </c>
      <c r="T46" s="994">
        <v>1.6472190750853954</v>
      </c>
      <c r="U46" s="994">
        <v>1.6472190750853954</v>
      </c>
      <c r="V46" s="995">
        <v>1.6472190750853954</v>
      </c>
    </row>
    <row r="47" spans="2:22">
      <c r="B47" s="349"/>
      <c r="C47" s="339"/>
      <c r="D47" s="339"/>
      <c r="E47" s="339"/>
      <c r="F47" s="339"/>
      <c r="G47" s="339"/>
      <c r="H47" s="339"/>
      <c r="I47" s="339"/>
      <c r="J47" s="349"/>
      <c r="K47" s="339"/>
      <c r="L47" s="339"/>
      <c r="M47" s="339"/>
      <c r="N47" s="339"/>
      <c r="O47" s="339"/>
      <c r="P47" s="339"/>
      <c r="Q47" s="353"/>
      <c r="R47" s="349"/>
      <c r="S47" s="339"/>
      <c r="T47" s="339"/>
      <c r="U47" s="339"/>
      <c r="V47" s="353"/>
    </row>
    <row r="48" spans="2:22" ht="15" thickBot="1">
      <c r="B48" s="357" t="s">
        <v>1701</v>
      </c>
      <c r="C48" s="358"/>
      <c r="D48" s="358"/>
      <c r="E48" s="358"/>
      <c r="F48" s="358"/>
      <c r="G48" s="358"/>
      <c r="H48" s="358"/>
      <c r="I48" s="581" t="s">
        <v>498</v>
      </c>
      <c r="J48" s="637">
        <f t="shared" ref="J48:V48" si="1">SUM(J44,J46)</f>
        <v>4.3407613862663368</v>
      </c>
      <c r="K48" s="638">
        <f t="shared" si="1"/>
        <v>3.979332920691272</v>
      </c>
      <c r="L48" s="638">
        <f t="shared" si="1"/>
        <v>2.7049634927396626</v>
      </c>
      <c r="M48" s="638">
        <f t="shared" si="1"/>
        <v>2.9228407794084341</v>
      </c>
      <c r="N48" s="638">
        <f t="shared" si="1"/>
        <v>3.4129602764254643</v>
      </c>
      <c r="O48" s="638">
        <f t="shared" si="1"/>
        <v>2.9924148904000001</v>
      </c>
      <c r="P48" s="638">
        <f t="shared" si="1"/>
        <v>3.4182994670633988</v>
      </c>
      <c r="Q48" s="719">
        <f t="shared" si="1"/>
        <v>3.4182994670633988</v>
      </c>
      <c r="R48" s="717">
        <f t="shared" si="1"/>
        <v>3.4182994670633988</v>
      </c>
      <c r="S48" s="638">
        <f t="shared" si="1"/>
        <v>3.4182994670633988</v>
      </c>
      <c r="T48" s="638">
        <f t="shared" si="1"/>
        <v>3.4182994670633988</v>
      </c>
      <c r="U48" s="638">
        <f t="shared" si="1"/>
        <v>3.4182994670633988</v>
      </c>
      <c r="V48" s="639">
        <f t="shared" si="1"/>
        <v>3.4182994670633988</v>
      </c>
    </row>
    <row r="49" spans="1:22" ht="15" thickBot="1">
      <c r="J49" s="2547"/>
      <c r="K49" s="2547"/>
      <c r="L49" s="2547"/>
      <c r="M49" s="2547"/>
      <c r="N49" s="2547"/>
      <c r="O49" s="2547"/>
      <c r="P49" s="2547"/>
      <c r="Q49" s="2547"/>
      <c r="R49" s="2547"/>
      <c r="S49" s="2547"/>
      <c r="T49" s="2547"/>
      <c r="U49" s="2547"/>
      <c r="V49" s="2547"/>
    </row>
    <row r="50" spans="1:22" ht="30" customHeight="1" thickBot="1">
      <c r="A50" s="251"/>
      <c r="B50" s="640" t="s">
        <v>1968</v>
      </c>
      <c r="C50" s="558"/>
      <c r="D50" s="558"/>
      <c r="E50" s="558"/>
      <c r="F50" s="558"/>
      <c r="G50" s="558"/>
      <c r="H50" s="559"/>
      <c r="I50" s="105" t="s">
        <v>1864</v>
      </c>
      <c r="J50" s="106"/>
      <c r="K50" s="106"/>
      <c r="L50" s="106"/>
      <c r="M50" s="106"/>
      <c r="N50" s="106"/>
      <c r="O50" s="106"/>
      <c r="P50" s="106"/>
      <c r="Q50" s="106"/>
      <c r="R50" s="105"/>
      <c r="S50" s="105"/>
      <c r="T50" s="105"/>
      <c r="U50" s="105"/>
      <c r="V50" s="187"/>
    </row>
    <row r="51" spans="1:22" ht="30" customHeight="1">
      <c r="A51" s="251"/>
      <c r="B51" s="560"/>
      <c r="C51" s="561"/>
      <c r="D51" s="561"/>
      <c r="E51" s="561"/>
      <c r="F51" s="561"/>
      <c r="G51" s="561"/>
      <c r="H51" s="561"/>
      <c r="I51" s="562"/>
      <c r="J51" s="563" t="s">
        <v>930</v>
      </c>
      <c r="K51" s="564"/>
      <c r="L51" s="564"/>
      <c r="M51" s="564"/>
      <c r="N51" s="564"/>
      <c r="O51" s="564"/>
      <c r="P51" s="564"/>
      <c r="Q51" s="565"/>
      <c r="R51" s="566" t="s">
        <v>931</v>
      </c>
      <c r="S51" s="567"/>
      <c r="T51" s="567"/>
      <c r="U51" s="567"/>
      <c r="V51" s="568"/>
    </row>
    <row r="52" spans="1:22" ht="15">
      <c r="B52" s="569"/>
      <c r="C52" s="570"/>
      <c r="D52" s="570"/>
      <c r="E52" s="570"/>
      <c r="F52" s="570"/>
      <c r="G52" s="570"/>
      <c r="H52" s="561"/>
      <c r="I52" s="571" t="s">
        <v>1745</v>
      </c>
      <c r="J52" s="158" t="s">
        <v>453</v>
      </c>
      <c r="K52" s="137" t="s">
        <v>455</v>
      </c>
      <c r="L52" s="137" t="s">
        <v>457</v>
      </c>
      <c r="M52" s="137" t="s">
        <v>459</v>
      </c>
      <c r="N52" s="137" t="s">
        <v>461</v>
      </c>
      <c r="O52" s="137" t="s">
        <v>463</v>
      </c>
      <c r="P52" s="137" t="s">
        <v>465</v>
      </c>
      <c r="Q52" s="138" t="s">
        <v>467</v>
      </c>
      <c r="R52" s="120" t="s">
        <v>469</v>
      </c>
      <c r="S52" s="121" t="s">
        <v>471</v>
      </c>
      <c r="T52" s="121" t="s">
        <v>473</v>
      </c>
      <c r="U52" s="121" t="s">
        <v>475</v>
      </c>
      <c r="V52" s="122" t="s">
        <v>477</v>
      </c>
    </row>
    <row r="53" spans="1:22" ht="15">
      <c r="B53" s="572"/>
      <c r="C53" s="623" t="s">
        <v>1969</v>
      </c>
      <c r="D53" s="623"/>
      <c r="E53" s="573"/>
      <c r="F53" s="573"/>
      <c r="G53" s="573"/>
      <c r="H53" s="561"/>
      <c r="I53" s="551"/>
      <c r="J53" s="574"/>
      <c r="K53" s="551"/>
      <c r="L53" s="551"/>
      <c r="M53" s="551"/>
      <c r="N53" s="551"/>
      <c r="O53" s="551"/>
      <c r="P53" s="551"/>
      <c r="Q53" s="575"/>
      <c r="R53" s="574"/>
      <c r="S53" s="551"/>
      <c r="T53" s="551"/>
      <c r="U53" s="551"/>
      <c r="V53" s="575"/>
    </row>
    <row r="54" spans="1:22" ht="15">
      <c r="B54" s="997"/>
      <c r="C54" s="339"/>
      <c r="D54" s="867" t="s">
        <v>1970</v>
      </c>
      <c r="E54" s="561"/>
      <c r="F54" s="573"/>
      <c r="G54" s="573"/>
      <c r="H54" s="561"/>
      <c r="I54" s="551"/>
      <c r="J54" s="574"/>
      <c r="K54" s="551"/>
      <c r="L54" s="551"/>
      <c r="M54" s="551"/>
      <c r="N54" s="551"/>
      <c r="O54" s="551"/>
      <c r="P54" s="551"/>
      <c r="Q54" s="575"/>
      <c r="R54" s="574"/>
      <c r="S54" s="551"/>
      <c r="T54" s="551"/>
      <c r="U54" s="551"/>
      <c r="V54" s="575"/>
    </row>
    <row r="55" spans="1:22">
      <c r="B55" s="349"/>
      <c r="C55" s="339"/>
      <c r="D55" s="339"/>
      <c r="E55" s="339" t="s">
        <v>1971</v>
      </c>
      <c r="F55" s="339"/>
      <c r="G55" s="339"/>
      <c r="H55" s="339"/>
      <c r="I55" s="576" t="s">
        <v>498</v>
      </c>
      <c r="J55" s="297">
        <v>0</v>
      </c>
      <c r="K55" s="298">
        <v>0</v>
      </c>
      <c r="L55" s="298">
        <v>0</v>
      </c>
      <c r="M55" s="298">
        <v>0</v>
      </c>
      <c r="N55" s="298">
        <v>0</v>
      </c>
      <c r="O55" s="298">
        <v>0</v>
      </c>
      <c r="P55" s="298">
        <v>0</v>
      </c>
      <c r="Q55" s="299">
        <v>0</v>
      </c>
      <c r="R55" s="297">
        <v>0</v>
      </c>
      <c r="S55" s="298">
        <v>0</v>
      </c>
      <c r="T55" s="298">
        <v>0</v>
      </c>
      <c r="U55" s="298">
        <v>0</v>
      </c>
      <c r="V55" s="299">
        <v>0</v>
      </c>
    </row>
    <row r="56" spans="1:22">
      <c r="B56" s="349"/>
      <c r="C56" s="339"/>
      <c r="D56" s="339"/>
      <c r="E56" s="339" t="s">
        <v>1972</v>
      </c>
      <c r="F56" s="339"/>
      <c r="G56" s="339"/>
      <c r="H56" s="339"/>
      <c r="I56" s="576" t="s">
        <v>498</v>
      </c>
      <c r="J56" s="297">
        <v>0</v>
      </c>
      <c r="K56" s="298">
        <v>0</v>
      </c>
      <c r="L56" s="298">
        <v>0</v>
      </c>
      <c r="M56" s="298">
        <v>0</v>
      </c>
      <c r="N56" s="298">
        <v>0</v>
      </c>
      <c r="O56" s="298">
        <v>0</v>
      </c>
      <c r="P56" s="298">
        <v>0</v>
      </c>
      <c r="Q56" s="299">
        <v>0</v>
      </c>
      <c r="R56" s="297">
        <v>0</v>
      </c>
      <c r="S56" s="298">
        <v>0</v>
      </c>
      <c r="T56" s="298">
        <v>0</v>
      </c>
      <c r="U56" s="298">
        <v>0</v>
      </c>
      <c r="V56" s="299">
        <v>0</v>
      </c>
    </row>
    <row r="57" spans="1:22">
      <c r="B57" s="349"/>
      <c r="C57" s="339"/>
      <c r="D57" s="339"/>
      <c r="E57" s="339" t="s">
        <v>1726</v>
      </c>
      <c r="F57" s="339"/>
      <c r="G57" s="339"/>
      <c r="H57" s="339"/>
      <c r="I57" s="576" t="s">
        <v>498</v>
      </c>
      <c r="J57" s="297">
        <v>0</v>
      </c>
      <c r="K57" s="298">
        <v>0</v>
      </c>
      <c r="L57" s="298">
        <v>0</v>
      </c>
      <c r="M57" s="298">
        <v>0</v>
      </c>
      <c r="N57" s="298">
        <v>0</v>
      </c>
      <c r="O57" s="298">
        <v>0</v>
      </c>
      <c r="P57" s="298">
        <v>0</v>
      </c>
      <c r="Q57" s="299">
        <v>0</v>
      </c>
      <c r="R57" s="297">
        <v>0</v>
      </c>
      <c r="S57" s="298">
        <v>0</v>
      </c>
      <c r="T57" s="298">
        <v>0</v>
      </c>
      <c r="U57" s="298">
        <v>0</v>
      </c>
      <c r="V57" s="299">
        <v>0</v>
      </c>
    </row>
    <row r="58" spans="1:22">
      <c r="B58" s="349"/>
      <c r="C58" s="339"/>
      <c r="D58" s="339"/>
      <c r="E58" s="339" t="s">
        <v>1973</v>
      </c>
      <c r="F58" s="339"/>
      <c r="G58" s="339"/>
      <c r="H58" s="339"/>
      <c r="I58" s="576" t="s">
        <v>498</v>
      </c>
      <c r="J58" s="297">
        <v>0</v>
      </c>
      <c r="K58" s="298">
        <v>0</v>
      </c>
      <c r="L58" s="298">
        <v>0</v>
      </c>
      <c r="M58" s="298">
        <v>0</v>
      </c>
      <c r="N58" s="298">
        <v>0</v>
      </c>
      <c r="O58" s="298">
        <v>0</v>
      </c>
      <c r="P58" s="298">
        <v>0</v>
      </c>
      <c r="Q58" s="299">
        <v>0</v>
      </c>
      <c r="R58" s="297">
        <v>0</v>
      </c>
      <c r="S58" s="298">
        <v>0</v>
      </c>
      <c r="T58" s="298">
        <v>0</v>
      </c>
      <c r="U58" s="298">
        <v>0</v>
      </c>
      <c r="V58" s="299">
        <v>0</v>
      </c>
    </row>
    <row r="59" spans="1:22">
      <c r="B59" s="349"/>
      <c r="C59" s="339"/>
      <c r="D59" s="339"/>
      <c r="E59" s="339" t="s">
        <v>1974</v>
      </c>
      <c r="F59" s="339"/>
      <c r="G59" s="339"/>
      <c r="H59" s="339"/>
      <c r="I59" s="576" t="s">
        <v>498</v>
      </c>
      <c r="J59" s="297">
        <v>0</v>
      </c>
      <c r="K59" s="298">
        <v>0</v>
      </c>
      <c r="L59" s="298">
        <v>0</v>
      </c>
      <c r="M59" s="298">
        <v>0</v>
      </c>
      <c r="N59" s="298">
        <v>0</v>
      </c>
      <c r="O59" s="298">
        <v>0</v>
      </c>
      <c r="P59" s="298">
        <v>0</v>
      </c>
      <c r="Q59" s="299">
        <v>0</v>
      </c>
      <c r="R59" s="297">
        <v>0</v>
      </c>
      <c r="S59" s="298">
        <v>0</v>
      </c>
      <c r="T59" s="298">
        <v>0</v>
      </c>
      <c r="U59" s="298">
        <v>0</v>
      </c>
      <c r="V59" s="299">
        <v>0</v>
      </c>
    </row>
    <row r="60" spans="1:22">
      <c r="B60" s="349"/>
      <c r="C60" s="339"/>
      <c r="D60" s="339" t="s">
        <v>1710</v>
      </c>
      <c r="E60" s="339"/>
      <c r="F60" s="339"/>
      <c r="G60" s="339"/>
      <c r="H60" s="339"/>
      <c r="I60" s="576" t="s">
        <v>498</v>
      </c>
      <c r="J60" s="302">
        <f t="shared" ref="J60:V60" si="2">SUM(J55:J59)</f>
        <v>0</v>
      </c>
      <c r="K60" s="303">
        <f t="shared" si="2"/>
        <v>0</v>
      </c>
      <c r="L60" s="303">
        <f t="shared" si="2"/>
        <v>0</v>
      </c>
      <c r="M60" s="303">
        <f t="shared" si="2"/>
        <v>0</v>
      </c>
      <c r="N60" s="303">
        <f t="shared" si="2"/>
        <v>0</v>
      </c>
      <c r="O60" s="303">
        <f t="shared" si="2"/>
        <v>0</v>
      </c>
      <c r="P60" s="303">
        <f t="shared" si="2"/>
        <v>0</v>
      </c>
      <c r="Q60" s="304">
        <f t="shared" si="2"/>
        <v>0</v>
      </c>
      <c r="R60" s="302">
        <f t="shared" si="2"/>
        <v>0</v>
      </c>
      <c r="S60" s="303">
        <f t="shared" si="2"/>
        <v>0</v>
      </c>
      <c r="T60" s="303">
        <f t="shared" si="2"/>
        <v>0</v>
      </c>
      <c r="U60" s="303">
        <f t="shared" si="2"/>
        <v>0</v>
      </c>
      <c r="V60" s="304">
        <f t="shared" si="2"/>
        <v>0</v>
      </c>
    </row>
    <row r="61" spans="1:22" ht="15">
      <c r="B61" s="349"/>
      <c r="C61" s="339"/>
      <c r="D61" s="623" t="s">
        <v>1975</v>
      </c>
      <c r="E61" s="339"/>
      <c r="F61" s="339"/>
      <c r="G61" s="339"/>
      <c r="H61" s="339"/>
      <c r="I61" s="551"/>
      <c r="J61" s="574"/>
      <c r="K61" s="551"/>
      <c r="L61" s="551"/>
      <c r="M61" s="551"/>
      <c r="N61" s="551"/>
      <c r="O61" s="551"/>
      <c r="P61" s="551"/>
      <c r="Q61" s="575"/>
      <c r="R61" s="574"/>
      <c r="S61" s="551"/>
      <c r="T61" s="551"/>
      <c r="U61" s="551"/>
      <c r="V61" s="575"/>
    </row>
    <row r="62" spans="1:22">
      <c r="B62" s="349"/>
      <c r="C62" s="339"/>
      <c r="D62" s="339"/>
      <c r="E62" s="339" t="s">
        <v>1976</v>
      </c>
      <c r="F62" s="339"/>
      <c r="G62" s="339"/>
      <c r="H62" s="339"/>
      <c r="I62" s="576" t="s">
        <v>498</v>
      </c>
      <c r="J62" s="297">
        <v>0</v>
      </c>
      <c r="K62" s="298">
        <v>0</v>
      </c>
      <c r="L62" s="298">
        <v>0</v>
      </c>
      <c r="M62" s="298">
        <v>0</v>
      </c>
      <c r="N62" s="298">
        <v>0</v>
      </c>
      <c r="O62" s="298">
        <v>0</v>
      </c>
      <c r="P62" s="298">
        <v>0</v>
      </c>
      <c r="Q62" s="299">
        <v>0</v>
      </c>
      <c r="R62" s="297">
        <v>0</v>
      </c>
      <c r="S62" s="298">
        <v>0</v>
      </c>
      <c r="T62" s="298">
        <v>0</v>
      </c>
      <c r="U62" s="298">
        <v>0</v>
      </c>
      <c r="V62" s="299">
        <v>0</v>
      </c>
    </row>
    <row r="63" spans="1:22">
      <c r="B63" s="349"/>
      <c r="C63" s="339"/>
      <c r="D63" s="339"/>
      <c r="E63" s="339" t="s">
        <v>1977</v>
      </c>
      <c r="F63" s="339"/>
      <c r="G63" s="339"/>
      <c r="H63" s="339"/>
      <c r="I63" s="576" t="s">
        <v>498</v>
      </c>
      <c r="J63" s="297">
        <v>0</v>
      </c>
      <c r="K63" s="298">
        <v>0</v>
      </c>
      <c r="L63" s="298">
        <v>0</v>
      </c>
      <c r="M63" s="298">
        <v>0</v>
      </c>
      <c r="N63" s="298">
        <v>0</v>
      </c>
      <c r="O63" s="298">
        <v>0</v>
      </c>
      <c r="P63" s="298">
        <v>0</v>
      </c>
      <c r="Q63" s="299">
        <v>0</v>
      </c>
      <c r="R63" s="297">
        <v>0</v>
      </c>
      <c r="S63" s="298">
        <v>0</v>
      </c>
      <c r="T63" s="298">
        <v>0</v>
      </c>
      <c r="U63" s="298">
        <v>0</v>
      </c>
      <c r="V63" s="299">
        <v>0</v>
      </c>
    </row>
    <row r="64" spans="1:22" ht="15">
      <c r="B64" s="349"/>
      <c r="C64" s="339"/>
      <c r="D64" s="339"/>
      <c r="E64" s="623" t="s">
        <v>1978</v>
      </c>
      <c r="F64" s="339"/>
      <c r="G64" s="339"/>
      <c r="H64" s="339"/>
      <c r="I64" s="576" t="s">
        <v>498</v>
      </c>
      <c r="J64" s="302">
        <f t="shared" ref="J64:V64" si="3">SUM(J62:J63)</f>
        <v>0</v>
      </c>
      <c r="K64" s="303">
        <f t="shared" si="3"/>
        <v>0</v>
      </c>
      <c r="L64" s="303">
        <f t="shared" si="3"/>
        <v>0</v>
      </c>
      <c r="M64" s="303">
        <f t="shared" si="3"/>
        <v>0</v>
      </c>
      <c r="N64" s="303">
        <f t="shared" si="3"/>
        <v>0</v>
      </c>
      <c r="O64" s="303">
        <f t="shared" si="3"/>
        <v>0</v>
      </c>
      <c r="P64" s="303">
        <f t="shared" si="3"/>
        <v>0</v>
      </c>
      <c r="Q64" s="304">
        <f t="shared" si="3"/>
        <v>0</v>
      </c>
      <c r="R64" s="302">
        <f t="shared" si="3"/>
        <v>0</v>
      </c>
      <c r="S64" s="303">
        <f t="shared" si="3"/>
        <v>0</v>
      </c>
      <c r="T64" s="303">
        <f t="shared" si="3"/>
        <v>0</v>
      </c>
      <c r="U64" s="303">
        <f t="shared" si="3"/>
        <v>0</v>
      </c>
      <c r="V64" s="304">
        <f t="shared" si="3"/>
        <v>0</v>
      </c>
    </row>
    <row r="65" spans="2:22">
      <c r="B65" s="349"/>
      <c r="C65" s="339"/>
      <c r="D65" s="339"/>
      <c r="E65" s="339" t="s">
        <v>1979</v>
      </c>
      <c r="F65" s="339"/>
      <c r="G65" s="339"/>
      <c r="H65" s="339"/>
      <c r="I65" s="576" t="s">
        <v>498</v>
      </c>
      <c r="J65" s="297">
        <v>0</v>
      </c>
      <c r="K65" s="298">
        <v>0</v>
      </c>
      <c r="L65" s="298">
        <v>0</v>
      </c>
      <c r="M65" s="298">
        <v>0</v>
      </c>
      <c r="N65" s="298">
        <v>0</v>
      </c>
      <c r="O65" s="298">
        <v>0</v>
      </c>
      <c r="P65" s="298">
        <v>0</v>
      </c>
      <c r="Q65" s="299">
        <v>0</v>
      </c>
      <c r="R65" s="297">
        <v>0</v>
      </c>
      <c r="S65" s="298">
        <v>0</v>
      </c>
      <c r="T65" s="298">
        <v>0</v>
      </c>
      <c r="U65" s="298">
        <v>0</v>
      </c>
      <c r="V65" s="299">
        <v>0</v>
      </c>
    </row>
    <row r="66" spans="2:22">
      <c r="B66" s="349"/>
      <c r="C66" s="339"/>
      <c r="D66" s="339"/>
      <c r="E66" s="339" t="s">
        <v>1980</v>
      </c>
      <c r="F66" s="339"/>
      <c r="G66" s="339"/>
      <c r="H66" s="339"/>
      <c r="I66" s="576" t="s">
        <v>498</v>
      </c>
      <c r="J66" s="297">
        <v>0</v>
      </c>
      <c r="K66" s="298">
        <v>0</v>
      </c>
      <c r="L66" s="298">
        <v>0</v>
      </c>
      <c r="M66" s="298">
        <v>0</v>
      </c>
      <c r="N66" s="298">
        <v>0</v>
      </c>
      <c r="O66" s="298">
        <v>0</v>
      </c>
      <c r="P66" s="298">
        <v>0</v>
      </c>
      <c r="Q66" s="299">
        <v>0</v>
      </c>
      <c r="R66" s="297">
        <v>0</v>
      </c>
      <c r="S66" s="298">
        <v>0</v>
      </c>
      <c r="T66" s="298">
        <v>0</v>
      </c>
      <c r="U66" s="298">
        <v>0</v>
      </c>
      <c r="V66" s="299">
        <v>0</v>
      </c>
    </row>
    <row r="67" spans="2:22" ht="15">
      <c r="B67" s="349"/>
      <c r="C67" s="339"/>
      <c r="D67" s="339"/>
      <c r="E67" s="623" t="s">
        <v>1981</v>
      </c>
      <c r="F67" s="339"/>
      <c r="G67" s="339"/>
      <c r="H67" s="339"/>
      <c r="I67" s="576" t="s">
        <v>498</v>
      </c>
      <c r="J67" s="302">
        <f t="shared" ref="J67:V67" si="4">SUM(J64:J66)</f>
        <v>0</v>
      </c>
      <c r="K67" s="303">
        <f t="shared" si="4"/>
        <v>0</v>
      </c>
      <c r="L67" s="303">
        <f t="shared" si="4"/>
        <v>0</v>
      </c>
      <c r="M67" s="303">
        <f t="shared" si="4"/>
        <v>0</v>
      </c>
      <c r="N67" s="303">
        <f t="shared" si="4"/>
        <v>0</v>
      </c>
      <c r="O67" s="303">
        <f t="shared" si="4"/>
        <v>0</v>
      </c>
      <c r="P67" s="303">
        <f t="shared" si="4"/>
        <v>0</v>
      </c>
      <c r="Q67" s="304">
        <f t="shared" si="4"/>
        <v>0</v>
      </c>
      <c r="R67" s="302">
        <f t="shared" si="4"/>
        <v>0</v>
      </c>
      <c r="S67" s="303">
        <f t="shared" si="4"/>
        <v>0</v>
      </c>
      <c r="T67" s="303">
        <f t="shared" si="4"/>
        <v>0</v>
      </c>
      <c r="U67" s="303">
        <f t="shared" si="4"/>
        <v>0</v>
      </c>
      <c r="V67" s="304">
        <f t="shared" si="4"/>
        <v>0</v>
      </c>
    </row>
    <row r="68" spans="2:22">
      <c r="B68" s="349"/>
      <c r="C68" s="339"/>
      <c r="D68" s="339"/>
      <c r="E68" s="339" t="s">
        <v>1982</v>
      </c>
      <c r="F68" s="339"/>
      <c r="G68" s="339"/>
      <c r="H68" s="339"/>
      <c r="I68" s="576" t="s">
        <v>498</v>
      </c>
      <c r="J68" s="297">
        <v>0</v>
      </c>
      <c r="K68" s="298">
        <v>0</v>
      </c>
      <c r="L68" s="298">
        <v>0</v>
      </c>
      <c r="M68" s="298">
        <v>0</v>
      </c>
      <c r="N68" s="298">
        <v>0</v>
      </c>
      <c r="O68" s="298">
        <v>0</v>
      </c>
      <c r="P68" s="298">
        <v>0</v>
      </c>
      <c r="Q68" s="299">
        <v>0</v>
      </c>
      <c r="R68" s="297">
        <v>0</v>
      </c>
      <c r="S68" s="298">
        <v>0</v>
      </c>
      <c r="T68" s="298">
        <v>0</v>
      </c>
      <c r="U68" s="298">
        <v>0</v>
      </c>
      <c r="V68" s="299">
        <v>0</v>
      </c>
    </row>
    <row r="69" spans="2:22">
      <c r="B69" s="349"/>
      <c r="C69" s="339"/>
      <c r="D69" s="339"/>
      <c r="E69" s="339" t="s">
        <v>1983</v>
      </c>
      <c r="F69" s="339"/>
      <c r="G69" s="339"/>
      <c r="H69" s="339"/>
      <c r="I69" s="576" t="s">
        <v>498</v>
      </c>
      <c r="J69" s="297">
        <v>0</v>
      </c>
      <c r="K69" s="298">
        <v>0</v>
      </c>
      <c r="L69" s="298">
        <v>0</v>
      </c>
      <c r="M69" s="298">
        <v>0</v>
      </c>
      <c r="N69" s="298">
        <v>0</v>
      </c>
      <c r="O69" s="298">
        <v>0</v>
      </c>
      <c r="P69" s="298">
        <v>0</v>
      </c>
      <c r="Q69" s="299">
        <v>0</v>
      </c>
      <c r="R69" s="297">
        <v>0</v>
      </c>
      <c r="S69" s="298">
        <v>0</v>
      </c>
      <c r="T69" s="298">
        <v>0</v>
      </c>
      <c r="U69" s="298">
        <v>0</v>
      </c>
      <c r="V69" s="299">
        <v>0</v>
      </c>
    </row>
    <row r="70" spans="2:22" ht="15">
      <c r="B70" s="349"/>
      <c r="C70" s="339"/>
      <c r="D70" s="339"/>
      <c r="E70" s="623" t="s">
        <v>1984</v>
      </c>
      <c r="F70" s="339"/>
      <c r="G70" s="339"/>
      <c r="H70" s="339"/>
      <c r="I70" s="576" t="s">
        <v>498</v>
      </c>
      <c r="J70" s="302">
        <f t="shared" ref="J70:V70" si="5">SUM(J67:J69)</f>
        <v>0</v>
      </c>
      <c r="K70" s="303">
        <f t="shared" si="5"/>
        <v>0</v>
      </c>
      <c r="L70" s="303">
        <f t="shared" si="5"/>
        <v>0</v>
      </c>
      <c r="M70" s="303">
        <f t="shared" si="5"/>
        <v>0</v>
      </c>
      <c r="N70" s="303">
        <f t="shared" si="5"/>
        <v>0</v>
      </c>
      <c r="O70" s="303">
        <f t="shared" si="5"/>
        <v>0</v>
      </c>
      <c r="P70" s="303">
        <f t="shared" si="5"/>
        <v>0</v>
      </c>
      <c r="Q70" s="304">
        <f t="shared" si="5"/>
        <v>0</v>
      </c>
      <c r="R70" s="302">
        <f t="shared" si="5"/>
        <v>0</v>
      </c>
      <c r="S70" s="303">
        <f t="shared" si="5"/>
        <v>0</v>
      </c>
      <c r="T70" s="303">
        <f t="shared" si="5"/>
        <v>0</v>
      </c>
      <c r="U70" s="303">
        <f t="shared" si="5"/>
        <v>0</v>
      </c>
      <c r="V70" s="304">
        <f t="shared" si="5"/>
        <v>0</v>
      </c>
    </row>
    <row r="71" spans="2:22">
      <c r="B71" s="349"/>
      <c r="C71" s="339"/>
      <c r="D71" s="339"/>
      <c r="E71" s="339" t="s">
        <v>1985</v>
      </c>
      <c r="F71" s="339"/>
      <c r="G71" s="339"/>
      <c r="H71" s="339"/>
      <c r="I71" s="576" t="s">
        <v>498</v>
      </c>
      <c r="J71" s="297">
        <v>0</v>
      </c>
      <c r="K71" s="298">
        <v>0</v>
      </c>
      <c r="L71" s="298">
        <v>0</v>
      </c>
      <c r="M71" s="298">
        <v>0</v>
      </c>
      <c r="N71" s="298">
        <v>0</v>
      </c>
      <c r="O71" s="298">
        <v>0</v>
      </c>
      <c r="P71" s="298">
        <v>0</v>
      </c>
      <c r="Q71" s="299">
        <v>0</v>
      </c>
      <c r="R71" s="297">
        <v>0</v>
      </c>
      <c r="S71" s="298">
        <v>0</v>
      </c>
      <c r="T71" s="298">
        <v>0</v>
      </c>
      <c r="U71" s="298">
        <v>0</v>
      </c>
      <c r="V71" s="299">
        <v>0</v>
      </c>
    </row>
    <row r="72" spans="2:22" ht="15">
      <c r="B72" s="349"/>
      <c r="C72" s="339"/>
      <c r="D72" s="339"/>
      <c r="E72" s="623" t="s">
        <v>1986</v>
      </c>
      <c r="F72" s="339"/>
      <c r="G72" s="339"/>
      <c r="H72" s="339"/>
      <c r="I72" s="576" t="s">
        <v>498</v>
      </c>
      <c r="J72" s="302">
        <f t="shared" ref="J72:V72" si="6">SUM(J70:J71)</f>
        <v>0</v>
      </c>
      <c r="K72" s="303">
        <f t="shared" si="6"/>
        <v>0</v>
      </c>
      <c r="L72" s="303">
        <f t="shared" si="6"/>
        <v>0</v>
      </c>
      <c r="M72" s="303">
        <f t="shared" si="6"/>
        <v>0</v>
      </c>
      <c r="N72" s="303">
        <f t="shared" si="6"/>
        <v>0</v>
      </c>
      <c r="O72" s="303">
        <f t="shared" si="6"/>
        <v>0</v>
      </c>
      <c r="P72" s="303">
        <f t="shared" si="6"/>
        <v>0</v>
      </c>
      <c r="Q72" s="304">
        <f t="shared" si="6"/>
        <v>0</v>
      </c>
      <c r="R72" s="302">
        <f t="shared" si="6"/>
        <v>0</v>
      </c>
      <c r="S72" s="303">
        <f t="shared" si="6"/>
        <v>0</v>
      </c>
      <c r="T72" s="303">
        <f t="shared" si="6"/>
        <v>0</v>
      </c>
      <c r="U72" s="303">
        <f t="shared" si="6"/>
        <v>0</v>
      </c>
      <c r="V72" s="304">
        <f t="shared" si="6"/>
        <v>0</v>
      </c>
    </row>
    <row r="73" spans="2:22">
      <c r="B73" s="349"/>
      <c r="C73" s="339"/>
      <c r="D73" s="339"/>
      <c r="E73" s="339" t="s">
        <v>1987</v>
      </c>
      <c r="F73" s="339"/>
      <c r="G73" s="339"/>
      <c r="H73" s="339"/>
      <c r="I73" s="576" t="s">
        <v>498</v>
      </c>
      <c r="J73" s="297">
        <v>0</v>
      </c>
      <c r="K73" s="298">
        <v>0</v>
      </c>
      <c r="L73" s="298">
        <v>0</v>
      </c>
      <c r="M73" s="298">
        <v>0</v>
      </c>
      <c r="N73" s="298">
        <v>0</v>
      </c>
      <c r="O73" s="298">
        <v>0</v>
      </c>
      <c r="P73" s="298">
        <v>0</v>
      </c>
      <c r="Q73" s="299">
        <v>0</v>
      </c>
      <c r="R73" s="297">
        <v>0</v>
      </c>
      <c r="S73" s="298">
        <v>0</v>
      </c>
      <c r="T73" s="298">
        <v>0</v>
      </c>
      <c r="U73" s="298">
        <v>0</v>
      </c>
      <c r="V73" s="299">
        <v>0</v>
      </c>
    </row>
    <row r="74" spans="2:22" ht="15">
      <c r="B74" s="349"/>
      <c r="C74" s="339"/>
      <c r="D74" s="339"/>
      <c r="E74" s="623" t="s">
        <v>1988</v>
      </c>
      <c r="F74" s="339"/>
      <c r="G74" s="339"/>
      <c r="H74" s="339"/>
      <c r="I74" s="576" t="s">
        <v>498</v>
      </c>
      <c r="J74" s="302">
        <f t="shared" ref="J74:V74" si="7">SUM(J72:J73)</f>
        <v>0</v>
      </c>
      <c r="K74" s="303">
        <f t="shared" si="7"/>
        <v>0</v>
      </c>
      <c r="L74" s="303">
        <f t="shared" si="7"/>
        <v>0</v>
      </c>
      <c r="M74" s="303">
        <f t="shared" si="7"/>
        <v>0</v>
      </c>
      <c r="N74" s="303">
        <f t="shared" si="7"/>
        <v>0</v>
      </c>
      <c r="O74" s="303">
        <f t="shared" si="7"/>
        <v>0</v>
      </c>
      <c r="P74" s="303">
        <f t="shared" si="7"/>
        <v>0</v>
      </c>
      <c r="Q74" s="304">
        <f t="shared" si="7"/>
        <v>0</v>
      </c>
      <c r="R74" s="302">
        <f t="shared" si="7"/>
        <v>0</v>
      </c>
      <c r="S74" s="303">
        <f t="shared" si="7"/>
        <v>0</v>
      </c>
      <c r="T74" s="303">
        <f t="shared" si="7"/>
        <v>0</v>
      </c>
      <c r="U74" s="303">
        <f t="shared" si="7"/>
        <v>0</v>
      </c>
      <c r="V74" s="304">
        <f t="shared" si="7"/>
        <v>0</v>
      </c>
    </row>
    <row r="75" spans="2:22" ht="15">
      <c r="B75" s="349"/>
      <c r="C75" s="339"/>
      <c r="D75" s="623" t="s">
        <v>1989</v>
      </c>
      <c r="E75" s="339"/>
      <c r="F75" s="339"/>
      <c r="G75" s="339"/>
      <c r="H75" s="339"/>
      <c r="I75" s="551"/>
      <c r="J75" s="574"/>
      <c r="K75" s="551"/>
      <c r="L75" s="551"/>
      <c r="M75" s="551"/>
      <c r="N75" s="551"/>
      <c r="O75" s="551"/>
      <c r="P75" s="551"/>
      <c r="Q75" s="575"/>
      <c r="R75" s="574"/>
      <c r="S75" s="551"/>
      <c r="T75" s="551"/>
      <c r="U75" s="551"/>
      <c r="V75" s="575"/>
    </row>
    <row r="76" spans="2:22" ht="15">
      <c r="B76" s="349"/>
      <c r="C76" s="339"/>
      <c r="D76" s="623"/>
      <c r="E76" s="339" t="s">
        <v>1990</v>
      </c>
      <c r="F76" s="339"/>
      <c r="G76" s="339"/>
      <c r="H76" s="339"/>
      <c r="I76" s="576" t="s">
        <v>498</v>
      </c>
      <c r="J76" s="297">
        <v>0</v>
      </c>
      <c r="K76" s="298">
        <v>0</v>
      </c>
      <c r="L76" s="298">
        <v>0</v>
      </c>
      <c r="M76" s="298">
        <v>0</v>
      </c>
      <c r="N76" s="298">
        <v>0</v>
      </c>
      <c r="O76" s="298">
        <v>0</v>
      </c>
      <c r="P76" s="298">
        <v>0</v>
      </c>
      <c r="Q76" s="299">
        <v>0</v>
      </c>
      <c r="R76" s="297">
        <v>0</v>
      </c>
      <c r="S76" s="298">
        <v>0</v>
      </c>
      <c r="T76" s="298">
        <v>0</v>
      </c>
      <c r="U76" s="298">
        <v>0</v>
      </c>
      <c r="V76" s="299">
        <v>0</v>
      </c>
    </row>
    <row r="77" spans="2:22" ht="15">
      <c r="B77" s="349"/>
      <c r="C77" s="339"/>
      <c r="D77" s="623"/>
      <c r="E77" s="339" t="s">
        <v>1991</v>
      </c>
      <c r="F77" s="339"/>
      <c r="G77" s="339"/>
      <c r="H77" s="339"/>
      <c r="I77" s="576" t="s">
        <v>498</v>
      </c>
      <c r="J77" s="297">
        <v>0</v>
      </c>
      <c r="K77" s="298">
        <v>0</v>
      </c>
      <c r="L77" s="298">
        <v>0</v>
      </c>
      <c r="M77" s="298">
        <v>0</v>
      </c>
      <c r="N77" s="298">
        <v>0</v>
      </c>
      <c r="O77" s="298">
        <v>0</v>
      </c>
      <c r="P77" s="298">
        <v>0</v>
      </c>
      <c r="Q77" s="299">
        <v>0</v>
      </c>
      <c r="R77" s="297">
        <v>0</v>
      </c>
      <c r="S77" s="298">
        <v>0</v>
      </c>
      <c r="T77" s="298">
        <v>0</v>
      </c>
      <c r="U77" s="298">
        <v>0</v>
      </c>
      <c r="V77" s="299">
        <v>0</v>
      </c>
    </row>
    <row r="78" spans="2:22" ht="15">
      <c r="B78" s="349"/>
      <c r="C78" s="339"/>
      <c r="D78" s="623"/>
      <c r="E78" s="339" t="s">
        <v>1992</v>
      </c>
      <c r="F78" s="339"/>
      <c r="G78" s="339"/>
      <c r="H78" s="339"/>
      <c r="I78" s="576" t="s">
        <v>498</v>
      </c>
      <c r="J78" s="297">
        <v>0</v>
      </c>
      <c r="K78" s="298">
        <v>0</v>
      </c>
      <c r="L78" s="298">
        <v>0</v>
      </c>
      <c r="M78" s="298">
        <v>0</v>
      </c>
      <c r="N78" s="298">
        <v>0</v>
      </c>
      <c r="O78" s="298">
        <v>0</v>
      </c>
      <c r="P78" s="298">
        <v>0</v>
      </c>
      <c r="Q78" s="299">
        <v>0</v>
      </c>
      <c r="R78" s="297">
        <v>0</v>
      </c>
      <c r="S78" s="298">
        <v>0</v>
      </c>
      <c r="T78" s="298">
        <v>0</v>
      </c>
      <c r="U78" s="298">
        <v>0</v>
      </c>
      <c r="V78" s="299">
        <v>0</v>
      </c>
    </row>
    <row r="79" spans="2:22" ht="15">
      <c r="B79" s="349"/>
      <c r="C79" s="339"/>
      <c r="D79" s="623"/>
      <c r="E79" s="339" t="s">
        <v>1993</v>
      </c>
      <c r="F79" s="339"/>
      <c r="G79" s="339"/>
      <c r="H79" s="339"/>
      <c r="I79" s="576" t="s">
        <v>498</v>
      </c>
      <c r="J79" s="297">
        <v>0</v>
      </c>
      <c r="K79" s="298">
        <v>0</v>
      </c>
      <c r="L79" s="298">
        <v>0</v>
      </c>
      <c r="M79" s="298">
        <v>0</v>
      </c>
      <c r="N79" s="298">
        <v>0</v>
      </c>
      <c r="O79" s="298">
        <v>0</v>
      </c>
      <c r="P79" s="298">
        <v>0</v>
      </c>
      <c r="Q79" s="299">
        <v>0</v>
      </c>
      <c r="R79" s="297">
        <v>0</v>
      </c>
      <c r="S79" s="298">
        <v>0</v>
      </c>
      <c r="T79" s="298">
        <v>0</v>
      </c>
      <c r="U79" s="298">
        <v>0</v>
      </c>
      <c r="V79" s="299">
        <v>0</v>
      </c>
    </row>
    <row r="80" spans="2:22">
      <c r="B80" s="349"/>
      <c r="C80" s="339"/>
      <c r="D80" s="339"/>
      <c r="E80" s="339" t="s">
        <v>1994</v>
      </c>
      <c r="F80" s="339"/>
      <c r="G80" s="339"/>
      <c r="H80" s="339"/>
      <c r="I80" s="576" t="s">
        <v>498</v>
      </c>
      <c r="J80" s="297">
        <v>0</v>
      </c>
      <c r="K80" s="298">
        <v>0</v>
      </c>
      <c r="L80" s="298">
        <v>0</v>
      </c>
      <c r="M80" s="298">
        <v>0</v>
      </c>
      <c r="N80" s="298">
        <v>0</v>
      </c>
      <c r="O80" s="298">
        <v>0</v>
      </c>
      <c r="P80" s="298">
        <v>0</v>
      </c>
      <c r="Q80" s="299">
        <v>0</v>
      </c>
      <c r="R80" s="297">
        <v>0</v>
      </c>
      <c r="S80" s="298">
        <v>0</v>
      </c>
      <c r="T80" s="298">
        <v>0</v>
      </c>
      <c r="U80" s="298">
        <v>0</v>
      </c>
      <c r="V80" s="299">
        <v>0</v>
      </c>
    </row>
    <row r="81" spans="2:22" ht="15">
      <c r="B81" s="349"/>
      <c r="C81" s="339"/>
      <c r="D81" s="623" t="s">
        <v>1995</v>
      </c>
      <c r="E81" s="339"/>
      <c r="F81" s="339"/>
      <c r="G81" s="339"/>
      <c r="H81" s="339"/>
      <c r="I81" s="551"/>
      <c r="J81" s="574"/>
      <c r="K81" s="551"/>
      <c r="L81" s="551"/>
      <c r="M81" s="551"/>
      <c r="N81" s="551"/>
      <c r="O81" s="551"/>
      <c r="P81" s="551"/>
      <c r="Q81" s="575"/>
      <c r="R81" s="574"/>
      <c r="S81" s="551"/>
      <c r="T81" s="551"/>
      <c r="U81" s="551"/>
      <c r="V81" s="575"/>
    </row>
    <row r="82" spans="2:22">
      <c r="B82" s="349"/>
      <c r="C82" s="339"/>
      <c r="D82" s="339"/>
      <c r="E82" s="339" t="s">
        <v>1995</v>
      </c>
      <c r="F82" s="339"/>
      <c r="G82" s="339"/>
      <c r="H82" s="339"/>
      <c r="I82" s="576" t="s">
        <v>498</v>
      </c>
      <c r="J82" s="297">
        <v>0</v>
      </c>
      <c r="K82" s="298">
        <v>0</v>
      </c>
      <c r="L82" s="298">
        <v>0</v>
      </c>
      <c r="M82" s="298">
        <v>0</v>
      </c>
      <c r="N82" s="298">
        <v>0</v>
      </c>
      <c r="O82" s="298">
        <v>0</v>
      </c>
      <c r="P82" s="298">
        <v>0</v>
      </c>
      <c r="Q82" s="299">
        <v>0</v>
      </c>
      <c r="R82" s="297">
        <v>0</v>
      </c>
      <c r="S82" s="298">
        <v>0</v>
      </c>
      <c r="T82" s="298">
        <v>0</v>
      </c>
      <c r="U82" s="298">
        <v>0</v>
      </c>
      <c r="V82" s="299">
        <v>0</v>
      </c>
    </row>
    <row r="83" spans="2:22">
      <c r="B83" s="349"/>
      <c r="C83" s="339"/>
      <c r="D83" s="339"/>
      <c r="E83" s="339" t="s">
        <v>1996</v>
      </c>
      <c r="F83" s="339"/>
      <c r="G83" s="339"/>
      <c r="H83" s="339"/>
      <c r="I83" s="576" t="s">
        <v>498</v>
      </c>
      <c r="J83" s="297">
        <v>0</v>
      </c>
      <c r="K83" s="298">
        <v>0</v>
      </c>
      <c r="L83" s="298">
        <v>0</v>
      </c>
      <c r="M83" s="298">
        <v>0</v>
      </c>
      <c r="N83" s="298">
        <v>0</v>
      </c>
      <c r="O83" s="298">
        <v>0</v>
      </c>
      <c r="P83" s="298">
        <v>0</v>
      </c>
      <c r="Q83" s="299">
        <v>0</v>
      </c>
      <c r="R83" s="297">
        <v>0</v>
      </c>
      <c r="S83" s="298">
        <v>0</v>
      </c>
      <c r="T83" s="298">
        <v>0</v>
      </c>
      <c r="U83" s="298">
        <v>0</v>
      </c>
      <c r="V83" s="299">
        <v>0</v>
      </c>
    </row>
    <row r="84" spans="2:22" ht="15">
      <c r="B84" s="349"/>
      <c r="C84" s="339"/>
      <c r="D84" s="623"/>
      <c r="E84" s="339"/>
      <c r="F84" s="339"/>
      <c r="G84" s="339"/>
      <c r="H84" s="339"/>
      <c r="I84" s="551"/>
      <c r="J84" s="574"/>
      <c r="K84" s="551"/>
      <c r="L84" s="551"/>
      <c r="M84" s="551"/>
      <c r="N84" s="551"/>
      <c r="O84" s="551"/>
      <c r="P84" s="551"/>
      <c r="Q84" s="575"/>
      <c r="R84" s="574"/>
      <c r="S84" s="551"/>
      <c r="T84" s="551"/>
      <c r="U84" s="551"/>
      <c r="V84" s="575"/>
    </row>
    <row r="85" spans="2:22" ht="15">
      <c r="B85" s="349"/>
      <c r="C85" s="623" t="s">
        <v>1997</v>
      </c>
      <c r="D85" s="623"/>
      <c r="E85" s="573"/>
      <c r="F85" s="573"/>
      <c r="G85" s="573"/>
      <c r="H85" s="339"/>
      <c r="I85" s="551"/>
      <c r="J85" s="574"/>
      <c r="K85" s="551"/>
      <c r="L85" s="551"/>
      <c r="M85" s="551"/>
      <c r="N85" s="551"/>
      <c r="O85" s="551"/>
      <c r="P85" s="551"/>
      <c r="Q85" s="575"/>
      <c r="R85" s="574"/>
      <c r="S85" s="551"/>
      <c r="T85" s="551"/>
      <c r="U85" s="551"/>
      <c r="V85" s="575"/>
    </row>
    <row r="86" spans="2:22" ht="15">
      <c r="B86" s="349"/>
      <c r="C86" s="339"/>
      <c r="D86" s="867" t="s">
        <v>1970</v>
      </c>
      <c r="E86" s="561"/>
      <c r="F86" s="573"/>
      <c r="G86" s="573"/>
      <c r="H86" s="339"/>
      <c r="I86" s="551"/>
      <c r="J86" s="574"/>
      <c r="K86" s="551"/>
      <c r="L86" s="551"/>
      <c r="M86" s="551"/>
      <c r="N86" s="551"/>
      <c r="O86" s="551"/>
      <c r="P86" s="551"/>
      <c r="Q86" s="575"/>
      <c r="R86" s="574"/>
      <c r="S86" s="551"/>
      <c r="T86" s="551"/>
      <c r="U86" s="551"/>
      <c r="V86" s="575"/>
    </row>
    <row r="87" spans="2:22">
      <c r="B87" s="349"/>
      <c r="C87" s="339"/>
      <c r="D87" s="339"/>
      <c r="E87" s="339" t="s">
        <v>1972</v>
      </c>
      <c r="F87" s="339"/>
      <c r="G87" s="339"/>
      <c r="H87" s="339"/>
      <c r="I87" s="576" t="s">
        <v>498</v>
      </c>
      <c r="J87" s="297">
        <v>0</v>
      </c>
      <c r="K87" s="298">
        <v>0</v>
      </c>
      <c r="L87" s="298">
        <v>0</v>
      </c>
      <c r="M87" s="298">
        <v>0</v>
      </c>
      <c r="N87" s="298">
        <v>0</v>
      </c>
      <c r="O87" s="298">
        <v>0</v>
      </c>
      <c r="P87" s="298">
        <v>0</v>
      </c>
      <c r="Q87" s="299">
        <v>0</v>
      </c>
      <c r="R87" s="297">
        <v>0</v>
      </c>
      <c r="S87" s="298">
        <v>0</v>
      </c>
      <c r="T87" s="298">
        <v>0</v>
      </c>
      <c r="U87" s="298">
        <v>0</v>
      </c>
      <c r="V87" s="299">
        <v>0</v>
      </c>
    </row>
    <row r="88" spans="2:22">
      <c r="B88" s="349"/>
      <c r="C88" s="339"/>
      <c r="D88" s="339"/>
      <c r="E88" s="339" t="s">
        <v>1726</v>
      </c>
      <c r="F88" s="339"/>
      <c r="G88" s="339"/>
      <c r="H88" s="339"/>
      <c r="I88" s="576" t="s">
        <v>498</v>
      </c>
      <c r="J88" s="297">
        <v>0</v>
      </c>
      <c r="K88" s="298">
        <v>0</v>
      </c>
      <c r="L88" s="298">
        <v>0</v>
      </c>
      <c r="M88" s="298">
        <v>0</v>
      </c>
      <c r="N88" s="298">
        <v>0</v>
      </c>
      <c r="O88" s="298">
        <v>0</v>
      </c>
      <c r="P88" s="298">
        <v>0</v>
      </c>
      <c r="Q88" s="299">
        <v>0</v>
      </c>
      <c r="R88" s="297">
        <v>0</v>
      </c>
      <c r="S88" s="298">
        <v>0</v>
      </c>
      <c r="T88" s="298">
        <v>0</v>
      </c>
      <c r="U88" s="298">
        <v>0</v>
      </c>
      <c r="V88" s="299">
        <v>0</v>
      </c>
    </row>
    <row r="89" spans="2:22">
      <c r="B89" s="349"/>
      <c r="C89" s="339"/>
      <c r="D89" s="339"/>
      <c r="E89" s="339" t="s">
        <v>1973</v>
      </c>
      <c r="F89" s="339"/>
      <c r="G89" s="339"/>
      <c r="H89" s="339"/>
      <c r="I89" s="576" t="s">
        <v>498</v>
      </c>
      <c r="J89" s="297">
        <v>0</v>
      </c>
      <c r="K89" s="298">
        <v>0</v>
      </c>
      <c r="L89" s="298">
        <v>0</v>
      </c>
      <c r="M89" s="298">
        <v>0</v>
      </c>
      <c r="N89" s="298">
        <v>0</v>
      </c>
      <c r="O89" s="298">
        <v>0</v>
      </c>
      <c r="P89" s="298">
        <v>0</v>
      </c>
      <c r="Q89" s="299">
        <v>0</v>
      </c>
      <c r="R89" s="297">
        <v>0</v>
      </c>
      <c r="S89" s="298">
        <v>0</v>
      </c>
      <c r="T89" s="298">
        <v>0</v>
      </c>
      <c r="U89" s="298">
        <v>0</v>
      </c>
      <c r="V89" s="299">
        <v>0</v>
      </c>
    </row>
    <row r="90" spans="2:22">
      <c r="B90" s="349"/>
      <c r="C90" s="339"/>
      <c r="D90" s="339"/>
      <c r="E90" s="339" t="s">
        <v>1974</v>
      </c>
      <c r="F90" s="339"/>
      <c r="G90" s="339"/>
      <c r="H90" s="339"/>
      <c r="I90" s="576" t="s">
        <v>498</v>
      </c>
      <c r="J90" s="297">
        <v>0</v>
      </c>
      <c r="K90" s="298">
        <v>0</v>
      </c>
      <c r="L90" s="298">
        <v>0</v>
      </c>
      <c r="M90" s="298">
        <v>0</v>
      </c>
      <c r="N90" s="298">
        <v>0</v>
      </c>
      <c r="O90" s="298">
        <v>0</v>
      </c>
      <c r="P90" s="298">
        <v>0</v>
      </c>
      <c r="Q90" s="299">
        <v>0</v>
      </c>
      <c r="R90" s="297">
        <v>0</v>
      </c>
      <c r="S90" s="298">
        <v>0</v>
      </c>
      <c r="T90" s="298">
        <v>0</v>
      </c>
      <c r="U90" s="298">
        <v>0</v>
      </c>
      <c r="V90" s="299">
        <v>0</v>
      </c>
    </row>
    <row r="91" spans="2:22">
      <c r="B91" s="349"/>
      <c r="C91" s="339"/>
      <c r="D91" s="339" t="s">
        <v>1710</v>
      </c>
      <c r="E91" s="339"/>
      <c r="F91" s="339"/>
      <c r="G91" s="339"/>
      <c r="H91" s="339"/>
      <c r="I91" s="576" t="s">
        <v>498</v>
      </c>
      <c r="J91" s="302">
        <f t="shared" ref="J91:V91" si="8">SUM(J87:J90)</f>
        <v>0</v>
      </c>
      <c r="K91" s="303">
        <f t="shared" si="8"/>
        <v>0</v>
      </c>
      <c r="L91" s="303">
        <f t="shared" si="8"/>
        <v>0</v>
      </c>
      <c r="M91" s="303">
        <f t="shared" si="8"/>
        <v>0</v>
      </c>
      <c r="N91" s="303">
        <f t="shared" si="8"/>
        <v>0</v>
      </c>
      <c r="O91" s="303">
        <f t="shared" si="8"/>
        <v>0</v>
      </c>
      <c r="P91" s="303">
        <f t="shared" si="8"/>
        <v>0</v>
      </c>
      <c r="Q91" s="304">
        <f t="shared" si="8"/>
        <v>0</v>
      </c>
      <c r="R91" s="302">
        <f t="shared" si="8"/>
        <v>0</v>
      </c>
      <c r="S91" s="303">
        <f t="shared" si="8"/>
        <v>0</v>
      </c>
      <c r="T91" s="303">
        <f t="shared" si="8"/>
        <v>0</v>
      </c>
      <c r="U91" s="303">
        <f t="shared" si="8"/>
        <v>0</v>
      </c>
      <c r="V91" s="304">
        <f t="shared" si="8"/>
        <v>0</v>
      </c>
    </row>
    <row r="92" spans="2:22" ht="15">
      <c r="B92" s="349"/>
      <c r="C92" s="339"/>
      <c r="D92" s="623" t="s">
        <v>1975</v>
      </c>
      <c r="E92" s="339"/>
      <c r="F92" s="339"/>
      <c r="G92" s="339"/>
      <c r="H92" s="339"/>
      <c r="I92" s="551"/>
      <c r="J92" s="574"/>
      <c r="K92" s="551"/>
      <c r="L92" s="551"/>
      <c r="M92" s="551"/>
      <c r="N92" s="551"/>
      <c r="O92" s="551"/>
      <c r="P92" s="551"/>
      <c r="Q92" s="575"/>
      <c r="R92" s="574"/>
      <c r="S92" s="551"/>
      <c r="T92" s="551"/>
      <c r="U92" s="551"/>
      <c r="V92" s="575"/>
    </row>
    <row r="93" spans="2:22">
      <c r="B93" s="349"/>
      <c r="C93" s="339"/>
      <c r="D93" s="339"/>
      <c r="E93" s="339" t="s">
        <v>1976</v>
      </c>
      <c r="F93" s="339"/>
      <c r="G93" s="339"/>
      <c r="H93" s="339"/>
      <c r="I93" s="576" t="s">
        <v>498</v>
      </c>
      <c r="J93" s="297">
        <v>0</v>
      </c>
      <c r="K93" s="298">
        <v>0</v>
      </c>
      <c r="L93" s="298">
        <v>0</v>
      </c>
      <c r="M93" s="298">
        <v>0</v>
      </c>
      <c r="N93" s="298">
        <v>0</v>
      </c>
      <c r="O93" s="298">
        <v>0</v>
      </c>
      <c r="P93" s="298">
        <v>0</v>
      </c>
      <c r="Q93" s="299">
        <v>0</v>
      </c>
      <c r="R93" s="297">
        <v>0</v>
      </c>
      <c r="S93" s="298">
        <v>0</v>
      </c>
      <c r="T93" s="298">
        <v>0</v>
      </c>
      <c r="U93" s="298">
        <v>0</v>
      </c>
      <c r="V93" s="299">
        <v>0</v>
      </c>
    </row>
    <row r="94" spans="2:22">
      <c r="B94" s="349"/>
      <c r="C94" s="339"/>
      <c r="D94" s="339"/>
      <c r="E94" s="339" t="s">
        <v>1977</v>
      </c>
      <c r="F94" s="339"/>
      <c r="G94" s="339"/>
      <c r="H94" s="339"/>
      <c r="I94" s="576" t="s">
        <v>498</v>
      </c>
      <c r="J94" s="297">
        <v>0</v>
      </c>
      <c r="K94" s="298">
        <v>0</v>
      </c>
      <c r="L94" s="298">
        <v>0</v>
      </c>
      <c r="M94" s="298">
        <v>0</v>
      </c>
      <c r="N94" s="298">
        <v>0</v>
      </c>
      <c r="O94" s="298">
        <v>0</v>
      </c>
      <c r="P94" s="298">
        <v>0</v>
      </c>
      <c r="Q94" s="299">
        <v>0</v>
      </c>
      <c r="R94" s="297">
        <v>0</v>
      </c>
      <c r="S94" s="298">
        <v>0</v>
      </c>
      <c r="T94" s="298">
        <v>0</v>
      </c>
      <c r="U94" s="298">
        <v>0</v>
      </c>
      <c r="V94" s="299">
        <v>0</v>
      </c>
    </row>
    <row r="95" spans="2:22" ht="15">
      <c r="B95" s="349"/>
      <c r="C95" s="339"/>
      <c r="D95" s="339"/>
      <c r="E95" s="623" t="s">
        <v>1978</v>
      </c>
      <c r="F95" s="339"/>
      <c r="G95" s="339"/>
      <c r="H95" s="339"/>
      <c r="I95" s="576" t="s">
        <v>498</v>
      </c>
      <c r="J95" s="302">
        <f t="shared" ref="J95:V95" si="9">SUM(J93:J94)</f>
        <v>0</v>
      </c>
      <c r="K95" s="303">
        <f t="shared" si="9"/>
        <v>0</v>
      </c>
      <c r="L95" s="303">
        <f t="shared" si="9"/>
        <v>0</v>
      </c>
      <c r="M95" s="303">
        <f t="shared" si="9"/>
        <v>0</v>
      </c>
      <c r="N95" s="303">
        <f t="shared" si="9"/>
        <v>0</v>
      </c>
      <c r="O95" s="303">
        <f t="shared" si="9"/>
        <v>0</v>
      </c>
      <c r="P95" s="303">
        <f t="shared" si="9"/>
        <v>0</v>
      </c>
      <c r="Q95" s="304">
        <f t="shared" si="9"/>
        <v>0</v>
      </c>
      <c r="R95" s="302">
        <f t="shared" si="9"/>
        <v>0</v>
      </c>
      <c r="S95" s="303">
        <f t="shared" si="9"/>
        <v>0</v>
      </c>
      <c r="T95" s="303">
        <f t="shared" si="9"/>
        <v>0</v>
      </c>
      <c r="U95" s="303">
        <f t="shared" si="9"/>
        <v>0</v>
      </c>
      <c r="V95" s="304">
        <f t="shared" si="9"/>
        <v>0</v>
      </c>
    </row>
    <row r="96" spans="2:22">
      <c r="B96" s="349"/>
      <c r="C96" s="339"/>
      <c r="D96" s="339"/>
      <c r="E96" s="339" t="s">
        <v>1979</v>
      </c>
      <c r="F96" s="339"/>
      <c r="G96" s="339"/>
      <c r="H96" s="339"/>
      <c r="I96" s="576" t="s">
        <v>498</v>
      </c>
      <c r="J96" s="297">
        <v>0</v>
      </c>
      <c r="K96" s="298">
        <v>0</v>
      </c>
      <c r="L96" s="298">
        <v>0</v>
      </c>
      <c r="M96" s="298">
        <v>0</v>
      </c>
      <c r="N96" s="298">
        <v>0</v>
      </c>
      <c r="O96" s="298">
        <v>0</v>
      </c>
      <c r="P96" s="298">
        <v>0</v>
      </c>
      <c r="Q96" s="299">
        <v>0</v>
      </c>
      <c r="R96" s="297">
        <v>0</v>
      </c>
      <c r="S96" s="298">
        <v>0</v>
      </c>
      <c r="T96" s="298">
        <v>0</v>
      </c>
      <c r="U96" s="298">
        <v>0</v>
      </c>
      <c r="V96" s="299">
        <v>0</v>
      </c>
    </row>
    <row r="97" spans="2:22">
      <c r="B97" s="349"/>
      <c r="C97" s="339"/>
      <c r="D97" s="339"/>
      <c r="E97" s="339" t="s">
        <v>1980</v>
      </c>
      <c r="F97" s="339"/>
      <c r="G97" s="339"/>
      <c r="H97" s="339"/>
      <c r="I97" s="576" t="s">
        <v>498</v>
      </c>
      <c r="J97" s="297">
        <v>0</v>
      </c>
      <c r="K97" s="298">
        <v>0</v>
      </c>
      <c r="L97" s="298">
        <v>0</v>
      </c>
      <c r="M97" s="298">
        <v>0</v>
      </c>
      <c r="N97" s="298">
        <v>0</v>
      </c>
      <c r="O97" s="298">
        <v>0</v>
      </c>
      <c r="P97" s="298">
        <v>0</v>
      </c>
      <c r="Q97" s="299">
        <v>0</v>
      </c>
      <c r="R97" s="297">
        <v>0</v>
      </c>
      <c r="S97" s="298">
        <v>0</v>
      </c>
      <c r="T97" s="298">
        <v>0</v>
      </c>
      <c r="U97" s="298">
        <v>0</v>
      </c>
      <c r="V97" s="299">
        <v>0</v>
      </c>
    </row>
    <row r="98" spans="2:22" ht="15">
      <c r="B98" s="349"/>
      <c r="C98" s="339"/>
      <c r="D98" s="339"/>
      <c r="E98" s="623" t="s">
        <v>1981</v>
      </c>
      <c r="F98" s="339"/>
      <c r="G98" s="339"/>
      <c r="H98" s="339"/>
      <c r="I98" s="576" t="s">
        <v>498</v>
      </c>
      <c r="J98" s="302">
        <f t="shared" ref="J98:V98" si="10">SUM(J95:J97)</f>
        <v>0</v>
      </c>
      <c r="K98" s="303">
        <f t="shared" si="10"/>
        <v>0</v>
      </c>
      <c r="L98" s="303">
        <f t="shared" si="10"/>
        <v>0</v>
      </c>
      <c r="M98" s="303">
        <f t="shared" si="10"/>
        <v>0</v>
      </c>
      <c r="N98" s="303">
        <f t="shared" si="10"/>
        <v>0</v>
      </c>
      <c r="O98" s="303">
        <f t="shared" si="10"/>
        <v>0</v>
      </c>
      <c r="P98" s="303">
        <f t="shared" si="10"/>
        <v>0</v>
      </c>
      <c r="Q98" s="304">
        <f t="shared" si="10"/>
        <v>0</v>
      </c>
      <c r="R98" s="302">
        <f t="shared" si="10"/>
        <v>0</v>
      </c>
      <c r="S98" s="303">
        <f t="shared" si="10"/>
        <v>0</v>
      </c>
      <c r="T98" s="303">
        <f t="shared" si="10"/>
        <v>0</v>
      </c>
      <c r="U98" s="303">
        <f t="shared" si="10"/>
        <v>0</v>
      </c>
      <c r="V98" s="304">
        <f t="shared" si="10"/>
        <v>0</v>
      </c>
    </row>
    <row r="99" spans="2:22">
      <c r="B99" s="349"/>
      <c r="C99" s="339"/>
      <c r="D99" s="339"/>
      <c r="E99" s="339" t="s">
        <v>1982</v>
      </c>
      <c r="F99" s="339"/>
      <c r="G99" s="339"/>
      <c r="H99" s="339"/>
      <c r="I99" s="576" t="s">
        <v>498</v>
      </c>
      <c r="J99" s="297">
        <v>0</v>
      </c>
      <c r="K99" s="298">
        <v>0</v>
      </c>
      <c r="L99" s="298">
        <v>0</v>
      </c>
      <c r="M99" s="298">
        <v>0</v>
      </c>
      <c r="N99" s="298">
        <v>0</v>
      </c>
      <c r="O99" s="298">
        <v>0</v>
      </c>
      <c r="P99" s="298">
        <v>0</v>
      </c>
      <c r="Q99" s="299">
        <v>0</v>
      </c>
      <c r="R99" s="297">
        <v>0</v>
      </c>
      <c r="S99" s="298">
        <v>0</v>
      </c>
      <c r="T99" s="298">
        <v>0</v>
      </c>
      <c r="U99" s="298">
        <v>0</v>
      </c>
      <c r="V99" s="299">
        <v>0</v>
      </c>
    </row>
    <row r="100" spans="2:22">
      <c r="B100" s="349"/>
      <c r="C100" s="339"/>
      <c r="D100" s="339"/>
      <c r="E100" s="339" t="s">
        <v>1983</v>
      </c>
      <c r="F100" s="339"/>
      <c r="G100" s="339"/>
      <c r="H100" s="339"/>
      <c r="I100" s="576" t="s">
        <v>498</v>
      </c>
      <c r="J100" s="297">
        <v>0</v>
      </c>
      <c r="K100" s="298">
        <v>0</v>
      </c>
      <c r="L100" s="298">
        <v>0</v>
      </c>
      <c r="M100" s="298">
        <v>0</v>
      </c>
      <c r="N100" s="298">
        <v>0</v>
      </c>
      <c r="O100" s="298">
        <v>0</v>
      </c>
      <c r="P100" s="298">
        <v>0</v>
      </c>
      <c r="Q100" s="299">
        <v>0</v>
      </c>
      <c r="R100" s="297">
        <v>0</v>
      </c>
      <c r="S100" s="298">
        <v>0</v>
      </c>
      <c r="T100" s="298">
        <v>0</v>
      </c>
      <c r="U100" s="298">
        <v>0</v>
      </c>
      <c r="V100" s="299">
        <v>0</v>
      </c>
    </row>
    <row r="101" spans="2:22" ht="15">
      <c r="B101" s="349"/>
      <c r="C101" s="339"/>
      <c r="D101" s="339"/>
      <c r="E101" s="623" t="s">
        <v>1984</v>
      </c>
      <c r="F101" s="339"/>
      <c r="G101" s="339"/>
      <c r="H101" s="339"/>
      <c r="I101" s="576" t="s">
        <v>498</v>
      </c>
      <c r="J101" s="302">
        <f t="shared" ref="J101:V101" si="11">SUM(J98:J100)</f>
        <v>0</v>
      </c>
      <c r="K101" s="303">
        <f t="shared" si="11"/>
        <v>0</v>
      </c>
      <c r="L101" s="303">
        <f t="shared" si="11"/>
        <v>0</v>
      </c>
      <c r="M101" s="303">
        <f t="shared" si="11"/>
        <v>0</v>
      </c>
      <c r="N101" s="303">
        <f t="shared" si="11"/>
        <v>0</v>
      </c>
      <c r="O101" s="303">
        <f t="shared" si="11"/>
        <v>0</v>
      </c>
      <c r="P101" s="303">
        <f t="shared" si="11"/>
        <v>0</v>
      </c>
      <c r="Q101" s="304">
        <f t="shared" si="11"/>
        <v>0</v>
      </c>
      <c r="R101" s="302">
        <f t="shared" si="11"/>
        <v>0</v>
      </c>
      <c r="S101" s="303">
        <f t="shared" si="11"/>
        <v>0</v>
      </c>
      <c r="T101" s="303">
        <f t="shared" si="11"/>
        <v>0</v>
      </c>
      <c r="U101" s="303">
        <f t="shared" si="11"/>
        <v>0</v>
      </c>
      <c r="V101" s="304">
        <f t="shared" si="11"/>
        <v>0</v>
      </c>
    </row>
    <row r="102" spans="2:22">
      <c r="B102" s="349"/>
      <c r="C102" s="339"/>
      <c r="D102" s="339"/>
      <c r="E102" s="339" t="s">
        <v>1985</v>
      </c>
      <c r="F102" s="339"/>
      <c r="G102" s="339"/>
      <c r="H102" s="339"/>
      <c r="I102" s="576" t="s">
        <v>498</v>
      </c>
      <c r="J102" s="297">
        <v>0</v>
      </c>
      <c r="K102" s="298">
        <v>0</v>
      </c>
      <c r="L102" s="298">
        <v>0</v>
      </c>
      <c r="M102" s="298">
        <v>0</v>
      </c>
      <c r="N102" s="298">
        <v>0</v>
      </c>
      <c r="O102" s="298">
        <v>0</v>
      </c>
      <c r="P102" s="298">
        <v>0</v>
      </c>
      <c r="Q102" s="299">
        <v>0</v>
      </c>
      <c r="R102" s="297">
        <v>0</v>
      </c>
      <c r="S102" s="298">
        <v>0</v>
      </c>
      <c r="T102" s="298">
        <v>0</v>
      </c>
      <c r="U102" s="298">
        <v>0</v>
      </c>
      <c r="V102" s="299">
        <v>0</v>
      </c>
    </row>
    <row r="103" spans="2:22" ht="15">
      <c r="B103" s="349"/>
      <c r="C103" s="339"/>
      <c r="D103" s="339"/>
      <c r="E103" s="623" t="s">
        <v>1986</v>
      </c>
      <c r="F103" s="339"/>
      <c r="G103" s="339"/>
      <c r="H103" s="339"/>
      <c r="I103" s="576" t="s">
        <v>498</v>
      </c>
      <c r="J103" s="302">
        <f t="shared" ref="J103:V103" si="12">SUM(J101:J102)</f>
        <v>0</v>
      </c>
      <c r="K103" s="303">
        <f t="shared" si="12"/>
        <v>0</v>
      </c>
      <c r="L103" s="303">
        <f t="shared" si="12"/>
        <v>0</v>
      </c>
      <c r="M103" s="303">
        <f t="shared" si="12"/>
        <v>0</v>
      </c>
      <c r="N103" s="303">
        <f t="shared" si="12"/>
        <v>0</v>
      </c>
      <c r="O103" s="303">
        <f t="shared" si="12"/>
        <v>0</v>
      </c>
      <c r="P103" s="303">
        <f t="shared" si="12"/>
        <v>0</v>
      </c>
      <c r="Q103" s="304">
        <f t="shared" si="12"/>
        <v>0</v>
      </c>
      <c r="R103" s="302">
        <f t="shared" si="12"/>
        <v>0</v>
      </c>
      <c r="S103" s="303">
        <f t="shared" si="12"/>
        <v>0</v>
      </c>
      <c r="T103" s="303">
        <f t="shared" si="12"/>
        <v>0</v>
      </c>
      <c r="U103" s="303">
        <f t="shared" si="12"/>
        <v>0</v>
      </c>
      <c r="V103" s="304">
        <f t="shared" si="12"/>
        <v>0</v>
      </c>
    </row>
    <row r="104" spans="2:22">
      <c r="B104" s="349"/>
      <c r="C104" s="339"/>
      <c r="D104" s="339"/>
      <c r="E104" s="339" t="s">
        <v>1987</v>
      </c>
      <c r="F104" s="339"/>
      <c r="G104" s="339"/>
      <c r="H104" s="339"/>
      <c r="I104" s="576" t="s">
        <v>498</v>
      </c>
      <c r="J104" s="297">
        <v>0</v>
      </c>
      <c r="K104" s="298">
        <v>0</v>
      </c>
      <c r="L104" s="298">
        <v>0</v>
      </c>
      <c r="M104" s="298">
        <v>0</v>
      </c>
      <c r="N104" s="298">
        <v>0</v>
      </c>
      <c r="O104" s="298">
        <v>0</v>
      </c>
      <c r="P104" s="298">
        <v>0</v>
      </c>
      <c r="Q104" s="299">
        <v>0</v>
      </c>
      <c r="R104" s="297">
        <v>0</v>
      </c>
      <c r="S104" s="298">
        <v>0</v>
      </c>
      <c r="T104" s="298">
        <v>0</v>
      </c>
      <c r="U104" s="298">
        <v>0</v>
      </c>
      <c r="V104" s="299">
        <v>0</v>
      </c>
    </row>
    <row r="105" spans="2:22" ht="15">
      <c r="B105" s="349"/>
      <c r="C105" s="339"/>
      <c r="D105" s="339"/>
      <c r="E105" s="623" t="s">
        <v>1988</v>
      </c>
      <c r="F105" s="339"/>
      <c r="G105" s="339"/>
      <c r="H105" s="339"/>
      <c r="I105" s="576" t="s">
        <v>498</v>
      </c>
      <c r="J105" s="302">
        <f t="shared" ref="J105:V105" si="13">SUM(J103:J104)</f>
        <v>0</v>
      </c>
      <c r="K105" s="303">
        <f t="shared" si="13"/>
        <v>0</v>
      </c>
      <c r="L105" s="303">
        <f t="shared" si="13"/>
        <v>0</v>
      </c>
      <c r="M105" s="303">
        <f t="shared" si="13"/>
        <v>0</v>
      </c>
      <c r="N105" s="303">
        <f t="shared" si="13"/>
        <v>0</v>
      </c>
      <c r="O105" s="303">
        <f t="shared" si="13"/>
        <v>0</v>
      </c>
      <c r="P105" s="303">
        <f t="shared" si="13"/>
        <v>0</v>
      </c>
      <c r="Q105" s="304">
        <f t="shared" si="13"/>
        <v>0</v>
      </c>
      <c r="R105" s="302">
        <f t="shared" si="13"/>
        <v>0</v>
      </c>
      <c r="S105" s="303">
        <f t="shared" si="13"/>
        <v>0</v>
      </c>
      <c r="T105" s="303">
        <f t="shared" si="13"/>
        <v>0</v>
      </c>
      <c r="U105" s="303">
        <f t="shared" si="13"/>
        <v>0</v>
      </c>
      <c r="V105" s="304">
        <f t="shared" si="13"/>
        <v>0</v>
      </c>
    </row>
    <row r="106" spans="2:22" ht="15">
      <c r="B106" s="349"/>
      <c r="C106" s="339"/>
      <c r="D106" s="623" t="s">
        <v>1989</v>
      </c>
      <c r="E106" s="339"/>
      <c r="F106" s="339"/>
      <c r="G106" s="339"/>
      <c r="H106" s="339"/>
      <c r="I106" s="551"/>
      <c r="J106" s="574"/>
      <c r="K106" s="551"/>
      <c r="L106" s="551"/>
      <c r="M106" s="551"/>
      <c r="N106" s="551"/>
      <c r="O106" s="551"/>
      <c r="P106" s="551"/>
      <c r="Q106" s="575"/>
      <c r="R106" s="574"/>
      <c r="S106" s="551"/>
      <c r="T106" s="551"/>
      <c r="U106" s="551"/>
      <c r="V106" s="575"/>
    </row>
    <row r="107" spans="2:22">
      <c r="B107" s="349"/>
      <c r="C107" s="339"/>
      <c r="D107" s="339"/>
      <c r="E107" s="339" t="s">
        <v>1994</v>
      </c>
      <c r="F107" s="339"/>
      <c r="G107" s="339"/>
      <c r="H107" s="339"/>
      <c r="I107" s="576" t="s">
        <v>498</v>
      </c>
      <c r="J107" s="297">
        <v>0</v>
      </c>
      <c r="K107" s="298">
        <v>0</v>
      </c>
      <c r="L107" s="298">
        <v>0</v>
      </c>
      <c r="M107" s="298">
        <v>0</v>
      </c>
      <c r="N107" s="298">
        <v>0</v>
      </c>
      <c r="O107" s="298">
        <v>0</v>
      </c>
      <c r="P107" s="298">
        <v>0</v>
      </c>
      <c r="Q107" s="299">
        <v>0</v>
      </c>
      <c r="R107" s="297">
        <v>0</v>
      </c>
      <c r="S107" s="298">
        <v>0</v>
      </c>
      <c r="T107" s="298">
        <v>0</v>
      </c>
      <c r="U107" s="298">
        <v>0</v>
      </c>
      <c r="V107" s="299">
        <v>0</v>
      </c>
    </row>
    <row r="108" spans="2:22" ht="15">
      <c r="B108" s="349"/>
      <c r="C108" s="339"/>
      <c r="D108" s="623" t="s">
        <v>1995</v>
      </c>
      <c r="E108" s="339"/>
      <c r="F108" s="339"/>
      <c r="G108" s="339"/>
      <c r="H108" s="339"/>
      <c r="I108" s="551"/>
      <c r="J108" s="574"/>
      <c r="K108" s="551"/>
      <c r="L108" s="551"/>
      <c r="M108" s="551"/>
      <c r="N108" s="551"/>
      <c r="O108" s="551"/>
      <c r="P108" s="551"/>
      <c r="Q108" s="575"/>
      <c r="R108" s="574"/>
      <c r="S108" s="551"/>
      <c r="T108" s="551"/>
      <c r="U108" s="551"/>
      <c r="V108" s="575"/>
    </row>
    <row r="109" spans="2:22">
      <c r="B109" s="349"/>
      <c r="C109" s="339"/>
      <c r="D109" s="339"/>
      <c r="E109" s="339" t="s">
        <v>1995</v>
      </c>
      <c r="F109" s="339"/>
      <c r="G109" s="339"/>
      <c r="H109" s="339"/>
      <c r="I109" s="576" t="s">
        <v>498</v>
      </c>
      <c r="J109" s="297">
        <v>0</v>
      </c>
      <c r="K109" s="298">
        <v>0</v>
      </c>
      <c r="L109" s="298">
        <v>0</v>
      </c>
      <c r="M109" s="298">
        <v>0</v>
      </c>
      <c r="N109" s="298">
        <v>0</v>
      </c>
      <c r="O109" s="298">
        <v>0</v>
      </c>
      <c r="P109" s="298">
        <v>0</v>
      </c>
      <c r="Q109" s="299">
        <v>0</v>
      </c>
      <c r="R109" s="297">
        <v>0</v>
      </c>
      <c r="S109" s="298">
        <v>0</v>
      </c>
      <c r="T109" s="298">
        <v>0</v>
      </c>
      <c r="U109" s="298">
        <v>0</v>
      </c>
      <c r="V109" s="299">
        <v>0</v>
      </c>
    </row>
    <row r="110" spans="2:22" ht="15" thickBot="1">
      <c r="B110" s="357"/>
      <c r="C110" s="358"/>
      <c r="D110" s="358"/>
      <c r="E110" s="358" t="s">
        <v>1996</v>
      </c>
      <c r="F110" s="358"/>
      <c r="G110" s="358"/>
      <c r="H110" s="358"/>
      <c r="I110" s="581" t="s">
        <v>498</v>
      </c>
      <c r="J110" s="645">
        <v>0</v>
      </c>
      <c r="K110" s="484">
        <v>0</v>
      </c>
      <c r="L110" s="484">
        <v>0</v>
      </c>
      <c r="M110" s="484">
        <v>0</v>
      </c>
      <c r="N110" s="484">
        <v>0</v>
      </c>
      <c r="O110" s="484">
        <v>0</v>
      </c>
      <c r="P110" s="484">
        <v>0</v>
      </c>
      <c r="Q110" s="646">
        <v>0</v>
      </c>
      <c r="R110" s="645">
        <v>0</v>
      </c>
      <c r="S110" s="484">
        <v>0</v>
      </c>
      <c r="T110" s="484">
        <v>0</v>
      </c>
      <c r="U110" s="484">
        <v>0</v>
      </c>
      <c r="V110" s="646">
        <v>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50"/>
  </sheetPr>
  <dimension ref="A1:BK19"/>
  <sheetViews>
    <sheetView showGridLines="0" zoomScale="80" zoomScaleNormal="80" workbookViewId="0">
      <pane xSplit="7" topLeftCell="J1" activePane="topRight" state="frozen"/>
      <selection pane="topRight" activeCell="J19" sqref="J19:P21"/>
    </sheetView>
  </sheetViews>
  <sheetFormatPr defaultColWidth="11.125" defaultRowHeight="14.25"/>
  <cols>
    <col min="1" max="1" width="11.125" style="338"/>
    <col min="2" max="6" width="4.375" style="338" customWidth="1"/>
    <col min="7" max="7" width="38.25" style="338" customWidth="1"/>
    <col min="8" max="8" width="11.125" style="338"/>
    <col min="9" max="22" width="15.625" style="338" customWidth="1"/>
    <col min="23" max="44" width="11.125" style="338"/>
    <col min="45" max="46" width="17.375" style="338" customWidth="1"/>
    <col min="47" max="47" width="27.125" style="338" customWidth="1"/>
    <col min="48" max="16384" width="11.125" style="338"/>
  </cols>
  <sheetData>
    <row r="1" spans="1:63" s="2" customFormat="1" ht="25.15" customHeight="1">
      <c r="A1" s="1" t="s">
        <v>0</v>
      </c>
      <c r="E1" s="3"/>
      <c r="H1" s="4" t="s">
        <v>1</v>
      </c>
      <c r="J1" s="3"/>
    </row>
    <row r="2" spans="1:63" s="2" customFormat="1" ht="25.15" customHeight="1">
      <c r="A2" s="5" t="str">
        <f>Fixed_Data!I12</f>
        <v>MASTER</v>
      </c>
      <c r="B2" s="6"/>
      <c r="D2" s="7"/>
      <c r="E2" s="3"/>
    </row>
    <row r="3" spans="1:63" s="9" customFormat="1" ht="25.15" customHeight="1" thickBot="1">
      <c r="A3" s="8" t="str">
        <f>Fixed_Data!A3</f>
        <v>RIIO-GD2</v>
      </c>
      <c r="D3" s="10"/>
      <c r="E3" s="11"/>
    </row>
    <row r="4" spans="1:63" ht="25.15" customHeight="1">
      <c r="A4" s="549"/>
      <c r="B4" s="550" t="s">
        <v>1998</v>
      </c>
      <c r="C4" s="550"/>
      <c r="D4" s="550"/>
      <c r="E4" s="550"/>
      <c r="F4" s="550"/>
      <c r="G4" s="251"/>
      <c r="H4" s="551"/>
      <c r="I4" s="552"/>
      <c r="J4" s="549"/>
      <c r="K4" s="549"/>
      <c r="L4" s="549"/>
      <c r="M4" s="549"/>
      <c r="N4" s="549"/>
      <c r="O4" s="549"/>
      <c r="P4" s="549"/>
      <c r="Q4" s="549"/>
      <c r="R4" s="551"/>
      <c r="S4" s="551"/>
      <c r="T4" s="551"/>
      <c r="U4" s="551"/>
      <c r="V4" s="551"/>
    </row>
    <row r="5" spans="1:63" s="553" customFormat="1" ht="25.15" customHeight="1">
      <c r="B5" s="95" t="s">
        <v>1663</v>
      </c>
      <c r="C5" s="95"/>
      <c r="D5" s="95"/>
      <c r="F5" s="95" t="s">
        <v>463</v>
      </c>
      <c r="G5" s="95"/>
      <c r="H5" s="95"/>
      <c r="J5" s="95"/>
      <c r="K5" s="554"/>
      <c r="L5" s="555"/>
      <c r="M5" s="555"/>
      <c r="N5" s="555"/>
      <c r="O5" s="555"/>
      <c r="P5" s="555"/>
      <c r="Q5" s="555"/>
      <c r="R5" s="555"/>
      <c r="S5" s="555"/>
      <c r="T5" s="556"/>
      <c r="U5" s="556"/>
      <c r="V5" s="556"/>
      <c r="W5" s="556"/>
      <c r="X5" s="556"/>
      <c r="Y5" s="556"/>
      <c r="Z5" s="556"/>
      <c r="AA5" s="556"/>
      <c r="AB5" s="556"/>
      <c r="AC5" s="556"/>
      <c r="AD5" s="556"/>
      <c r="AE5" s="556"/>
      <c r="AF5" s="556"/>
      <c r="AG5" s="556"/>
      <c r="AH5" s="555"/>
      <c r="AI5" s="556"/>
      <c r="AJ5" s="556"/>
      <c r="AK5" s="556"/>
      <c r="AL5" s="556"/>
      <c r="AM5" s="556"/>
      <c r="AN5" s="556"/>
      <c r="AO5" s="556"/>
      <c r="AP5" s="556"/>
      <c r="AQ5" s="556"/>
      <c r="AR5" s="556"/>
      <c r="AS5" s="556"/>
      <c r="AT5" s="556"/>
      <c r="AU5" s="556"/>
      <c r="AV5" s="555"/>
      <c r="AW5" s="555"/>
      <c r="AX5" s="556"/>
      <c r="AY5" s="556"/>
      <c r="AZ5" s="556"/>
      <c r="BA5" s="556"/>
      <c r="BB5" s="556"/>
      <c r="BC5" s="556"/>
      <c r="BD5" s="556"/>
      <c r="BE5" s="556"/>
      <c r="BF5" s="556"/>
      <c r="BG5" s="556"/>
      <c r="BH5" s="556"/>
      <c r="BI5" s="556"/>
      <c r="BJ5" s="556"/>
      <c r="BK5" s="555"/>
    </row>
    <row r="6" spans="1:63" ht="15" customHeight="1">
      <c r="A6" s="258"/>
      <c r="B6" s="258"/>
      <c r="C6" s="258"/>
      <c r="D6" s="258"/>
      <c r="E6" s="258"/>
      <c r="F6" s="258"/>
      <c r="G6" s="259"/>
      <c r="H6" s="259"/>
      <c r="I6" s="260"/>
      <c r="J6" s="259"/>
      <c r="K6" s="259"/>
      <c r="L6" s="259"/>
      <c r="M6" s="259"/>
      <c r="N6" s="259"/>
      <c r="O6" s="259"/>
      <c r="P6" s="259"/>
      <c r="Q6" s="259"/>
      <c r="R6" s="259"/>
      <c r="S6" s="259"/>
      <c r="T6" s="259"/>
      <c r="U6" s="259"/>
      <c r="V6" s="259"/>
    </row>
    <row r="7" spans="1:63" ht="15" customHeight="1" thickBot="1">
      <c r="A7" s="258"/>
      <c r="B7" s="258"/>
      <c r="C7" s="258"/>
      <c r="D7" s="258"/>
      <c r="E7" s="258"/>
      <c r="F7" s="258"/>
      <c r="G7" s="259"/>
      <c r="H7" s="259"/>
      <c r="I7" s="260"/>
      <c r="J7" s="259"/>
      <c r="K7" s="259"/>
      <c r="L7" s="259"/>
      <c r="M7" s="259"/>
      <c r="N7" s="259"/>
      <c r="O7" s="259"/>
      <c r="P7" s="259"/>
      <c r="Q7" s="259"/>
      <c r="R7" s="259"/>
      <c r="S7" s="259"/>
      <c r="T7" s="259"/>
      <c r="U7" s="259"/>
      <c r="V7" s="259"/>
    </row>
    <row r="8" spans="1:63" ht="30" customHeight="1" thickBot="1">
      <c r="A8" s="251"/>
      <c r="B8" s="582" t="s">
        <v>1999</v>
      </c>
      <c r="C8" s="558"/>
      <c r="D8" s="558"/>
      <c r="E8" s="558"/>
      <c r="F8" s="558"/>
      <c r="G8" s="559"/>
      <c r="H8" s="559"/>
      <c r="I8" s="105" t="s">
        <v>1864</v>
      </c>
      <c r="J8" s="106"/>
      <c r="K8" s="106"/>
      <c r="L8" s="106"/>
      <c r="M8" s="106"/>
      <c r="N8" s="106"/>
      <c r="O8" s="106"/>
      <c r="P8" s="106"/>
      <c r="Q8" s="106"/>
      <c r="R8" s="105"/>
      <c r="S8" s="105"/>
      <c r="T8" s="105"/>
      <c r="U8" s="105"/>
      <c r="V8" s="187"/>
    </row>
    <row r="9" spans="1:63" ht="30" customHeight="1">
      <c r="A9" s="251"/>
      <c r="B9" s="560"/>
      <c r="C9" s="561"/>
      <c r="D9" s="561"/>
      <c r="E9" s="561"/>
      <c r="F9" s="561"/>
      <c r="G9" s="561"/>
      <c r="H9" s="561"/>
      <c r="I9" s="562"/>
      <c r="J9" s="563" t="s">
        <v>930</v>
      </c>
      <c r="K9" s="564"/>
      <c r="L9" s="564"/>
      <c r="M9" s="564"/>
      <c r="N9" s="564"/>
      <c r="O9" s="564"/>
      <c r="P9" s="564"/>
      <c r="Q9" s="565"/>
      <c r="R9" s="566" t="s">
        <v>931</v>
      </c>
      <c r="S9" s="567"/>
      <c r="T9" s="567"/>
      <c r="U9" s="567"/>
      <c r="V9" s="568"/>
    </row>
    <row r="10" spans="1:63" ht="15">
      <c r="A10" s="251"/>
      <c r="B10" s="569"/>
      <c r="C10" s="570"/>
      <c r="D10" s="570"/>
      <c r="E10" s="570"/>
      <c r="F10" s="570"/>
      <c r="G10" s="561"/>
      <c r="H10" s="561"/>
      <c r="I10" s="571" t="s">
        <v>1745</v>
      </c>
      <c r="J10" s="584" t="s">
        <v>453</v>
      </c>
      <c r="K10" s="585" t="s">
        <v>455</v>
      </c>
      <c r="L10" s="585" t="s">
        <v>457</v>
      </c>
      <c r="M10" s="585" t="s">
        <v>459</v>
      </c>
      <c r="N10" s="585" t="s">
        <v>461</v>
      </c>
      <c r="O10" s="585" t="s">
        <v>463</v>
      </c>
      <c r="P10" s="585" t="s">
        <v>465</v>
      </c>
      <c r="Q10" s="586" t="s">
        <v>467</v>
      </c>
      <c r="R10" s="584" t="s">
        <v>469</v>
      </c>
      <c r="S10" s="585" t="s">
        <v>471</v>
      </c>
      <c r="T10" s="585" t="s">
        <v>473</v>
      </c>
      <c r="U10" s="585" t="s">
        <v>475</v>
      </c>
      <c r="V10" s="586" t="s">
        <v>477</v>
      </c>
    </row>
    <row r="11" spans="1:63" ht="15">
      <c r="A11" s="251"/>
      <c r="B11" s="572"/>
      <c r="C11" s="867" t="s">
        <v>2000</v>
      </c>
      <c r="D11" s="573"/>
      <c r="E11" s="573"/>
      <c r="F11" s="573"/>
      <c r="G11" s="561"/>
      <c r="H11" s="561"/>
      <c r="I11" s="551"/>
      <c r="J11" s="574"/>
      <c r="K11" s="551"/>
      <c r="L11" s="551"/>
      <c r="M11" s="551"/>
      <c r="N11" s="551"/>
      <c r="O11" s="551"/>
      <c r="P11" s="551"/>
      <c r="Q11" s="575"/>
      <c r="R11" s="574"/>
      <c r="S11" s="551"/>
      <c r="T11" s="551"/>
      <c r="U11" s="551"/>
      <c r="V11" s="575"/>
    </row>
    <row r="12" spans="1:63">
      <c r="B12" s="349"/>
      <c r="C12" s="339"/>
      <c r="D12" s="622" t="s">
        <v>2001</v>
      </c>
      <c r="E12" s="622"/>
      <c r="F12" s="622"/>
      <c r="G12" s="583"/>
      <c r="H12" s="339"/>
      <c r="I12" s="576" t="s">
        <v>498</v>
      </c>
      <c r="J12" s="297">
        <v>0.84107877647429363</v>
      </c>
      <c r="K12" s="298">
        <v>0.92872646497503097</v>
      </c>
      <c r="L12" s="298">
        <v>0.89685476166886424</v>
      </c>
      <c r="M12" s="298">
        <v>0.74249282203022193</v>
      </c>
      <c r="N12" s="298">
        <v>0.66487500764893537</v>
      </c>
      <c r="O12" s="298">
        <v>0.47568393940012932</v>
      </c>
      <c r="P12" s="298">
        <v>0.47568393940012932</v>
      </c>
      <c r="Q12" s="299">
        <v>0.47330551970312867</v>
      </c>
      <c r="R12" s="297">
        <v>0.47093899210461304</v>
      </c>
      <c r="S12" s="298">
        <v>0.46858429714409</v>
      </c>
      <c r="T12" s="298">
        <v>0.46624137565836954</v>
      </c>
      <c r="U12" s="298">
        <v>0.46391016878007768</v>
      </c>
      <c r="V12" s="299">
        <v>0.46159061793617728</v>
      </c>
    </row>
    <row r="13" spans="1:63">
      <c r="B13" s="349"/>
      <c r="C13" s="339"/>
      <c r="D13" s="622" t="s">
        <v>2002</v>
      </c>
      <c r="E13" s="622"/>
      <c r="F13" s="622"/>
      <c r="G13" s="583"/>
      <c r="H13" s="339"/>
      <c r="I13" s="576" t="s">
        <v>498</v>
      </c>
      <c r="J13" s="297">
        <v>1.8539393661547914</v>
      </c>
      <c r="K13" s="298">
        <v>1.4962461158883382</v>
      </c>
      <c r="L13" s="298">
        <v>1.962378932718803</v>
      </c>
      <c r="M13" s="298">
        <v>2.6880702298011503</v>
      </c>
      <c r="N13" s="298">
        <v>2.5724396120305562</v>
      </c>
      <c r="O13" s="298">
        <v>2.0296405390111492</v>
      </c>
      <c r="P13" s="298">
        <v>2.3857496403163907</v>
      </c>
      <c r="Q13" s="299">
        <v>2.3738208921148085</v>
      </c>
      <c r="R13" s="297">
        <v>2.3619517876542346</v>
      </c>
      <c r="S13" s="298">
        <v>2.3501420287159633</v>
      </c>
      <c r="T13" s="298">
        <v>2.3383913185723837</v>
      </c>
      <c r="U13" s="298">
        <v>2.326699361979522</v>
      </c>
      <c r="V13" s="299">
        <v>2.3150658651696245</v>
      </c>
    </row>
    <row r="14" spans="1:63">
      <c r="B14" s="349"/>
      <c r="C14" s="339"/>
      <c r="D14" s="622" t="s">
        <v>2003</v>
      </c>
      <c r="E14" s="622"/>
      <c r="F14" s="622"/>
      <c r="G14" s="583"/>
      <c r="H14" s="339"/>
      <c r="I14" s="576" t="s">
        <v>498</v>
      </c>
      <c r="J14" s="297">
        <v>0.36437372809146823</v>
      </c>
      <c r="K14" s="298">
        <v>0.38565284112361348</v>
      </c>
      <c r="L14" s="298">
        <v>0.32760786329178976</v>
      </c>
      <c r="M14" s="298">
        <v>0.46051198567755453</v>
      </c>
      <c r="N14" s="298">
        <v>0.3721433822785748</v>
      </c>
      <c r="O14" s="298">
        <v>0.41183305491246269</v>
      </c>
      <c r="P14" s="298">
        <v>0.41183305491246269</v>
      </c>
      <c r="Q14" s="299">
        <v>0.4097738896379004</v>
      </c>
      <c r="R14" s="297">
        <v>0.40772502018971091</v>
      </c>
      <c r="S14" s="298">
        <v>0.40568639508876236</v>
      </c>
      <c r="T14" s="298">
        <v>0.40365796311331853</v>
      </c>
      <c r="U14" s="298">
        <v>0.40163967329775191</v>
      </c>
      <c r="V14" s="299">
        <v>0.39963147493126316</v>
      </c>
    </row>
    <row r="15" spans="1:63">
      <c r="B15" s="349"/>
      <c r="C15" s="339"/>
      <c r="D15" s="622" t="s">
        <v>2004</v>
      </c>
      <c r="E15" s="622"/>
      <c r="F15" s="622"/>
      <c r="G15" s="583"/>
      <c r="H15" s="339"/>
      <c r="I15" s="576" t="s">
        <v>498</v>
      </c>
      <c r="J15" s="297">
        <v>1.1949774971614064</v>
      </c>
      <c r="K15" s="298">
        <v>1.4725030876985366</v>
      </c>
      <c r="L15" s="298">
        <v>1.4250643272226802</v>
      </c>
      <c r="M15" s="298">
        <v>1.1165140596289604</v>
      </c>
      <c r="N15" s="298">
        <v>1.5986666839282941</v>
      </c>
      <c r="O15" s="298">
        <v>1.2874364693026934</v>
      </c>
      <c r="P15" s="298">
        <v>1.2874364693026934</v>
      </c>
      <c r="Q15" s="299">
        <v>1.2809992869561799</v>
      </c>
      <c r="R15" s="297">
        <v>1.2745942905213989</v>
      </c>
      <c r="S15" s="298">
        <v>1.2682213190687919</v>
      </c>
      <c r="T15" s="298">
        <v>1.2618802124734478</v>
      </c>
      <c r="U15" s="298">
        <v>1.2555708114110806</v>
      </c>
      <c r="V15" s="299">
        <v>1.2492929573540252</v>
      </c>
    </row>
    <row r="16" spans="1:63">
      <c r="B16" s="349"/>
      <c r="C16" s="339"/>
      <c r="D16" s="622" t="s">
        <v>2005</v>
      </c>
      <c r="E16" s="622"/>
      <c r="F16" s="622"/>
      <c r="G16" s="583"/>
      <c r="H16" s="339"/>
      <c r="I16" s="576" t="s">
        <v>498</v>
      </c>
      <c r="J16" s="297">
        <v>0</v>
      </c>
      <c r="K16" s="298">
        <v>0</v>
      </c>
      <c r="L16" s="298">
        <v>0</v>
      </c>
      <c r="M16" s="298">
        <v>0</v>
      </c>
      <c r="N16" s="298">
        <v>0</v>
      </c>
      <c r="O16" s="298">
        <v>0</v>
      </c>
      <c r="P16" s="298">
        <v>0</v>
      </c>
      <c r="Q16" s="299">
        <v>0</v>
      </c>
      <c r="R16" s="297">
        <v>0</v>
      </c>
      <c r="S16" s="298">
        <v>0</v>
      </c>
      <c r="T16" s="298">
        <v>0</v>
      </c>
      <c r="U16" s="298">
        <v>0</v>
      </c>
      <c r="V16" s="299">
        <v>0</v>
      </c>
    </row>
    <row r="17" spans="2:22">
      <c r="B17" s="349"/>
      <c r="C17" s="339"/>
      <c r="D17" s="622" t="s">
        <v>2006</v>
      </c>
      <c r="E17" s="622"/>
      <c r="F17" s="622"/>
      <c r="G17" s="583"/>
      <c r="H17" s="339"/>
      <c r="I17" s="576" t="s">
        <v>498</v>
      </c>
      <c r="J17" s="297">
        <v>0.1</v>
      </c>
      <c r="K17" s="298">
        <v>0.1</v>
      </c>
      <c r="L17" s="298">
        <v>0.1</v>
      </c>
      <c r="M17" s="298">
        <v>0.1</v>
      </c>
      <c r="N17" s="298">
        <v>0.1</v>
      </c>
      <c r="O17" s="298">
        <v>0.1</v>
      </c>
      <c r="P17" s="298">
        <v>0.1</v>
      </c>
      <c r="Q17" s="299">
        <v>9.9500000000000005E-2</v>
      </c>
      <c r="R17" s="297">
        <v>9.9002500000000007E-2</v>
      </c>
      <c r="S17" s="298">
        <v>9.8507487500000004E-2</v>
      </c>
      <c r="T17" s="298">
        <v>9.8014950062500009E-2</v>
      </c>
      <c r="U17" s="298">
        <v>9.7524875312187509E-2</v>
      </c>
      <c r="V17" s="299">
        <v>9.7037250935626568E-2</v>
      </c>
    </row>
    <row r="18" spans="2:22" ht="15.75" thickBot="1">
      <c r="B18" s="357" t="s">
        <v>1701</v>
      </c>
      <c r="C18" s="644"/>
      <c r="D18" s="358"/>
      <c r="E18" s="358"/>
      <c r="F18" s="358"/>
      <c r="G18" s="694"/>
      <c r="H18" s="644"/>
      <c r="I18" s="581" t="s">
        <v>498</v>
      </c>
      <c r="J18" s="637">
        <f>SUM(J12:J17)</f>
        <v>4.3543693678819597</v>
      </c>
      <c r="K18" s="638">
        <f t="shared" ref="K18:V18" si="0">SUM(K12:K17)</f>
        <v>4.3831285096855188</v>
      </c>
      <c r="L18" s="638">
        <f t="shared" si="0"/>
        <v>4.7119058849021362</v>
      </c>
      <c r="M18" s="638">
        <f t="shared" si="0"/>
        <v>5.107589097137887</v>
      </c>
      <c r="N18" s="638">
        <f t="shared" si="0"/>
        <v>5.3081246858863604</v>
      </c>
      <c r="O18" s="638">
        <f t="shared" si="0"/>
        <v>4.304594002626434</v>
      </c>
      <c r="P18" s="638">
        <f t="shared" si="0"/>
        <v>4.6607031039316755</v>
      </c>
      <c r="Q18" s="719">
        <f t="shared" si="0"/>
        <v>4.637399588412018</v>
      </c>
      <c r="R18" s="717">
        <f t="shared" si="0"/>
        <v>4.6142125904699576</v>
      </c>
      <c r="S18" s="638">
        <f t="shared" si="0"/>
        <v>4.5911415275176077</v>
      </c>
      <c r="T18" s="638">
        <f t="shared" si="0"/>
        <v>4.5681858198800187</v>
      </c>
      <c r="U18" s="638">
        <f t="shared" si="0"/>
        <v>4.5453448907806191</v>
      </c>
      <c r="V18" s="639">
        <f t="shared" si="0"/>
        <v>4.5226181663267164</v>
      </c>
    </row>
    <row r="19" spans="2:22">
      <c r="J19" s="2547"/>
      <c r="K19" s="2547"/>
      <c r="L19" s="2547"/>
      <c r="M19" s="2547"/>
      <c r="N19" s="2547"/>
      <c r="O19" s="2547"/>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B050"/>
  </sheetPr>
  <dimension ref="A1:BE218"/>
  <sheetViews>
    <sheetView showGridLines="0" topLeftCell="A160" zoomScale="80" zoomScaleNormal="80" workbookViewId="0">
      <pane xSplit="7" topLeftCell="H1" activePane="topRight" state="frozen"/>
      <selection pane="topRight" activeCell="R170" sqref="R170:S198"/>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17" width="15.625" style="173" customWidth="1"/>
    <col min="18" max="18" width="11.875" style="173" customWidth="1"/>
    <col min="19" max="19" width="11.875" style="175"/>
    <col min="20" max="32" width="11.875" style="173"/>
    <col min="33" max="33" width="11.875" style="173" customWidth="1"/>
    <col min="34" max="34" width="11.875" style="175"/>
    <col min="35" max="40" width="11.875" style="173"/>
    <col min="41" max="41" width="11.875" style="173" customWidth="1"/>
    <col min="42" max="45" width="14.125" style="173" customWidth="1"/>
    <col min="46" max="46" width="11.875" style="173" customWidth="1"/>
    <col min="47" max="47" width="11.875" style="173"/>
    <col min="48" max="48" width="11.875" style="175"/>
    <col min="49" max="16384" width="11.875" style="173"/>
  </cols>
  <sheetData>
    <row r="1" spans="1:57" s="2" customFormat="1" ht="25.15" customHeight="1">
      <c r="A1" s="1" t="s">
        <v>0</v>
      </c>
      <c r="E1" s="3"/>
      <c r="H1" s="4" t="s">
        <v>1</v>
      </c>
    </row>
    <row r="2" spans="1:57" s="2" customFormat="1" ht="25.15" customHeight="1">
      <c r="A2" s="5" t="str">
        <f>Fixed_Data!I12</f>
        <v>MASTER</v>
      </c>
      <c r="B2" s="6"/>
      <c r="D2" s="7"/>
      <c r="E2" s="3"/>
    </row>
    <row r="3" spans="1:57" s="9" customFormat="1" ht="25.15" customHeight="1" thickBot="1">
      <c r="A3" s="8" t="str">
        <f>Fixed_Data!A3</f>
        <v>RIIO-GD2</v>
      </c>
      <c r="D3" s="10"/>
      <c r="E3" s="11"/>
    </row>
    <row r="4" spans="1:57" s="89" customFormat="1" ht="25.15" customHeight="1">
      <c r="B4" s="90" t="s">
        <v>2007</v>
      </c>
      <c r="C4" s="90"/>
      <c r="D4" s="90"/>
      <c r="E4" s="90"/>
      <c r="F4" s="90"/>
      <c r="G4" s="91"/>
      <c r="H4" s="92"/>
      <c r="I4" s="93"/>
      <c r="J4" s="94"/>
      <c r="K4" s="94"/>
      <c r="L4" s="94"/>
      <c r="M4" s="92"/>
      <c r="N4" s="92"/>
      <c r="O4" s="92"/>
      <c r="P4" s="92"/>
      <c r="Q4" s="92"/>
      <c r="R4" s="92"/>
      <c r="S4" s="93"/>
      <c r="T4" s="94"/>
      <c r="U4" s="94"/>
      <c r="V4" s="94"/>
      <c r="W4" s="94"/>
      <c r="X4" s="94"/>
      <c r="Y4" s="94"/>
      <c r="Z4" s="94"/>
      <c r="AA4" s="94"/>
      <c r="AB4" s="92"/>
      <c r="AC4" s="92"/>
      <c r="AD4" s="92"/>
      <c r="AE4" s="92"/>
      <c r="AF4" s="92"/>
      <c r="AG4" s="92"/>
      <c r="AH4" s="93"/>
      <c r="AI4" s="94"/>
      <c r="AJ4" s="94"/>
      <c r="AK4" s="94"/>
      <c r="AL4" s="94"/>
      <c r="AM4" s="94"/>
      <c r="AN4" s="94"/>
      <c r="AO4" s="92"/>
      <c r="AP4" s="92"/>
      <c r="AQ4" s="92"/>
      <c r="AR4" s="92"/>
      <c r="AS4" s="92"/>
      <c r="AT4" s="92"/>
      <c r="AU4" s="92"/>
      <c r="AV4" s="92"/>
      <c r="AW4" s="92"/>
      <c r="AX4" s="92"/>
      <c r="AY4" s="94"/>
      <c r="AZ4" s="92"/>
      <c r="BA4" s="92"/>
      <c r="BB4" s="92"/>
      <c r="BC4" s="92"/>
      <c r="BD4" s="92"/>
      <c r="BE4" s="92"/>
    </row>
    <row r="5" spans="1:57" s="89" customFormat="1" ht="25.15" customHeight="1">
      <c r="B5" s="95" t="s">
        <v>2008</v>
      </c>
      <c r="C5" s="95"/>
      <c r="D5" s="95"/>
      <c r="E5" s="95"/>
      <c r="F5" s="95" t="s">
        <v>463</v>
      </c>
      <c r="G5" s="95"/>
      <c r="H5" s="95"/>
      <c r="I5" s="93"/>
      <c r="J5" s="94"/>
      <c r="K5" s="94"/>
      <c r="L5" s="94"/>
      <c r="M5" s="92"/>
      <c r="N5" s="92"/>
      <c r="O5" s="92"/>
      <c r="P5" s="92"/>
      <c r="Q5" s="92"/>
      <c r="R5" s="92"/>
      <c r="S5" s="93"/>
      <c r="T5" s="94"/>
      <c r="U5" s="94"/>
      <c r="V5" s="94"/>
      <c r="W5" s="94"/>
      <c r="X5" s="94"/>
      <c r="Y5" s="94"/>
      <c r="Z5" s="94"/>
      <c r="AA5" s="94"/>
      <c r="AB5" s="92"/>
      <c r="AC5" s="92"/>
      <c r="AD5" s="92"/>
      <c r="AE5" s="92"/>
      <c r="AF5" s="92"/>
      <c r="AG5" s="92"/>
      <c r="AH5" s="93"/>
      <c r="AI5" s="94"/>
      <c r="AJ5" s="94"/>
      <c r="AK5" s="94"/>
      <c r="AL5" s="94"/>
      <c r="AM5" s="94"/>
      <c r="AN5" s="94"/>
      <c r="AO5" s="92"/>
      <c r="AP5" s="92"/>
      <c r="AQ5" s="92"/>
      <c r="AR5" s="92"/>
      <c r="AS5" s="92"/>
      <c r="AT5" s="92"/>
      <c r="AU5" s="92"/>
      <c r="AV5" s="92"/>
      <c r="AW5" s="92"/>
      <c r="AX5" s="92"/>
      <c r="AY5" s="94"/>
      <c r="AZ5" s="92"/>
      <c r="BA5" s="92"/>
      <c r="BB5" s="92"/>
      <c r="BC5" s="92"/>
      <c r="BD5" s="92"/>
      <c r="BE5" s="92"/>
    </row>
    <row r="6" spans="1:57" s="89" customFormat="1" ht="15" customHeight="1">
      <c r="B6" s="95"/>
      <c r="C6" s="95"/>
      <c r="D6" s="95"/>
      <c r="E6" s="95"/>
      <c r="F6" s="95"/>
      <c r="G6" s="95"/>
      <c r="H6" s="95"/>
      <c r="I6" s="93"/>
      <c r="J6" s="94"/>
      <c r="K6" s="94"/>
      <c r="L6" s="94"/>
      <c r="M6" s="92"/>
      <c r="N6" s="92"/>
      <c r="O6" s="92"/>
      <c r="P6" s="92"/>
      <c r="Q6" s="92"/>
      <c r="R6" s="92"/>
      <c r="S6" s="93"/>
      <c r="T6" s="94"/>
      <c r="U6" s="94"/>
      <c r="V6" s="94"/>
      <c r="W6" s="94"/>
      <c r="X6" s="94"/>
      <c r="Y6" s="94"/>
      <c r="Z6" s="94"/>
      <c r="AA6" s="94"/>
      <c r="AB6" s="92"/>
      <c r="AC6" s="92"/>
      <c r="AD6" s="92"/>
      <c r="AE6" s="92"/>
      <c r="AF6" s="92"/>
      <c r="AG6" s="92"/>
      <c r="AH6" s="93"/>
      <c r="AI6" s="94"/>
      <c r="AJ6" s="94"/>
      <c r="AK6" s="94"/>
      <c r="AL6" s="94"/>
      <c r="AM6" s="94"/>
      <c r="AN6" s="94"/>
      <c r="AO6" s="92"/>
      <c r="AP6" s="92"/>
      <c r="AQ6" s="92"/>
      <c r="AR6" s="92"/>
      <c r="AS6" s="92"/>
      <c r="AT6" s="92"/>
      <c r="AU6" s="92"/>
      <c r="AV6" s="92"/>
      <c r="AW6" s="92"/>
      <c r="AX6" s="92"/>
      <c r="AY6" s="94"/>
      <c r="AZ6" s="92"/>
      <c r="BA6" s="92"/>
      <c r="BB6" s="92"/>
      <c r="BC6" s="92"/>
      <c r="BD6" s="92"/>
      <c r="BE6" s="92"/>
    </row>
    <row r="7" spans="1:57" s="99" customFormat="1" ht="15" customHeight="1" thickBot="1">
      <c r="A7" s="89"/>
      <c r="B7" s="95"/>
      <c r="C7" s="95"/>
      <c r="D7" s="95"/>
      <c r="E7" s="95"/>
      <c r="F7" s="95"/>
      <c r="G7" s="95"/>
      <c r="H7" s="95"/>
      <c r="I7" s="96"/>
      <c r="J7" s="97"/>
      <c r="K7" s="97"/>
      <c r="L7" s="97"/>
      <c r="M7" s="97"/>
      <c r="N7" s="97"/>
      <c r="O7" s="97"/>
      <c r="P7" s="97"/>
      <c r="Q7" s="97"/>
      <c r="R7" s="97"/>
      <c r="S7" s="96"/>
      <c r="T7" s="97"/>
      <c r="U7" s="97"/>
      <c r="V7" s="97"/>
      <c r="W7" s="97"/>
      <c r="X7" s="97"/>
      <c r="Y7" s="97"/>
      <c r="Z7" s="97"/>
      <c r="AA7" s="97"/>
      <c r="AB7" s="97"/>
      <c r="AC7" s="97"/>
      <c r="AD7" s="97"/>
      <c r="AE7" s="97"/>
      <c r="AF7" s="97"/>
      <c r="AG7" s="97"/>
      <c r="AH7" s="96"/>
      <c r="AI7" s="97"/>
      <c r="AJ7" s="97"/>
      <c r="AK7" s="97"/>
      <c r="AL7" s="97"/>
      <c r="AM7" s="97"/>
      <c r="AN7" s="97"/>
      <c r="AO7" s="97"/>
      <c r="AP7" s="97"/>
      <c r="AQ7" s="97"/>
      <c r="AR7" s="97"/>
      <c r="AS7" s="97"/>
      <c r="AT7" s="97"/>
      <c r="AU7" s="97"/>
      <c r="AV7" s="96"/>
      <c r="AW7" s="98"/>
      <c r="AX7" s="98"/>
      <c r="AY7" s="98"/>
      <c r="AZ7" s="98"/>
      <c r="BA7" s="98"/>
      <c r="BB7" s="98"/>
      <c r="BC7" s="98"/>
      <c r="BD7" s="98"/>
      <c r="BE7" s="98"/>
    </row>
    <row r="8" spans="1:57" s="100" customFormat="1" ht="30" customHeight="1" thickBot="1">
      <c r="A8" s="89"/>
      <c r="B8" s="621" t="s">
        <v>1668</v>
      </c>
      <c r="C8" s="102"/>
      <c r="D8" s="102"/>
      <c r="E8" s="102"/>
      <c r="F8" s="102"/>
      <c r="G8" s="103"/>
      <c r="H8" s="103"/>
      <c r="I8" s="105" t="s">
        <v>1704</v>
      </c>
      <c r="J8" s="106"/>
      <c r="K8" s="106"/>
      <c r="L8" s="106"/>
      <c r="M8" s="105"/>
      <c r="N8" s="105"/>
      <c r="O8" s="105"/>
      <c r="P8" s="105"/>
      <c r="Q8" s="187"/>
    </row>
    <row r="9" spans="1:57" s="157" customFormat="1" ht="30" customHeight="1">
      <c r="A9" s="99"/>
      <c r="B9" s="109"/>
      <c r="C9" s="110"/>
      <c r="D9" s="110"/>
      <c r="E9" s="110"/>
      <c r="F9" s="110"/>
      <c r="G9" s="111"/>
      <c r="H9" s="111"/>
      <c r="I9" s="117"/>
      <c r="J9" s="695" t="s">
        <v>1666</v>
      </c>
      <c r="K9" s="152"/>
      <c r="L9" s="153"/>
      <c r="M9" s="696" t="s">
        <v>2</v>
      </c>
      <c r="N9" s="155"/>
      <c r="O9" s="155"/>
      <c r="P9" s="155"/>
      <c r="Q9" s="156"/>
    </row>
    <row r="10" spans="1:57" s="98" customFormat="1" ht="15" customHeight="1">
      <c r="A10" s="99"/>
      <c r="B10" s="115"/>
      <c r="C10" s="116"/>
      <c r="D10" s="116"/>
      <c r="E10" s="116"/>
      <c r="F10" s="116"/>
      <c r="G10" s="117"/>
      <c r="H10" s="117"/>
      <c r="I10" s="119" t="s">
        <v>1667</v>
      </c>
      <c r="J10" s="158" t="s">
        <v>463</v>
      </c>
      <c r="K10" s="137" t="s">
        <v>465</v>
      </c>
      <c r="L10" s="138" t="s">
        <v>467</v>
      </c>
      <c r="M10" s="120" t="s">
        <v>469</v>
      </c>
      <c r="N10" s="121" t="s">
        <v>471</v>
      </c>
      <c r="O10" s="121" t="s">
        <v>473</v>
      </c>
      <c r="P10" s="121" t="s">
        <v>475</v>
      </c>
      <c r="Q10" s="122" t="s">
        <v>477</v>
      </c>
    </row>
    <row r="11" spans="1:57" s="98" customFormat="1" ht="15" customHeight="1">
      <c r="A11" s="99"/>
      <c r="B11" s="161"/>
      <c r="C11" s="186" t="s">
        <v>1669</v>
      </c>
      <c r="D11" s="186"/>
      <c r="E11" s="186"/>
      <c r="F11" s="162"/>
      <c r="G11" s="163"/>
      <c r="H11" s="163"/>
      <c r="I11" s="117"/>
      <c r="J11" s="159"/>
      <c r="K11" s="117"/>
      <c r="L11" s="160"/>
      <c r="M11" s="159"/>
      <c r="N11" s="117"/>
      <c r="O11" s="117"/>
      <c r="P11" s="117"/>
      <c r="Q11" s="160"/>
    </row>
    <row r="12" spans="1:57" s="98" customFormat="1" ht="15" customHeight="1">
      <c r="A12" s="99"/>
      <c r="B12" s="161"/>
      <c r="C12" s="185"/>
      <c r="D12" s="185" t="s">
        <v>2009</v>
      </c>
      <c r="E12" s="162"/>
      <c r="F12" s="185"/>
      <c r="G12" s="185"/>
      <c r="H12" s="163"/>
      <c r="I12" s="164" t="s">
        <v>498</v>
      </c>
      <c r="J12" s="143">
        <v>10.323568538829923</v>
      </c>
      <c r="K12" s="117"/>
      <c r="L12" s="160"/>
      <c r="M12" s="143">
        <v>10.301282754562202</v>
      </c>
      <c r="N12" s="117"/>
      <c r="O12" s="117"/>
      <c r="P12" s="117"/>
      <c r="Q12" s="144">
        <v>10.096797147681066</v>
      </c>
    </row>
    <row r="13" spans="1:57" s="98" customFormat="1" ht="15" customHeight="1">
      <c r="A13" s="99"/>
      <c r="B13" s="161"/>
      <c r="C13" s="185"/>
      <c r="D13" s="185" t="s">
        <v>2010</v>
      </c>
      <c r="E13" s="162"/>
      <c r="F13" s="185"/>
      <c r="G13" s="185"/>
      <c r="H13" s="163"/>
      <c r="I13" s="164" t="s">
        <v>498</v>
      </c>
      <c r="J13" s="143">
        <v>0</v>
      </c>
      <c r="K13" s="117"/>
      <c r="L13" s="160"/>
      <c r="M13" s="143">
        <v>0</v>
      </c>
      <c r="N13" s="117"/>
      <c r="O13" s="117"/>
      <c r="P13" s="117"/>
      <c r="Q13" s="144">
        <v>0</v>
      </c>
    </row>
    <row r="14" spans="1:57" s="98" customFormat="1" ht="15" customHeight="1">
      <c r="A14" s="99"/>
      <c r="B14" s="161"/>
      <c r="C14" s="185"/>
      <c r="D14" s="185" t="s">
        <v>2011</v>
      </c>
      <c r="E14" s="162"/>
      <c r="F14" s="185"/>
      <c r="G14" s="185"/>
      <c r="H14" s="163"/>
      <c r="I14" s="164" t="s">
        <v>498</v>
      </c>
      <c r="J14" s="143">
        <v>0</v>
      </c>
      <c r="K14" s="117"/>
      <c r="L14" s="160"/>
      <c r="M14" s="143">
        <v>0</v>
      </c>
      <c r="N14" s="117"/>
      <c r="O14" s="117"/>
      <c r="P14" s="117"/>
      <c r="Q14" s="144">
        <v>0</v>
      </c>
    </row>
    <row r="15" spans="1:57" s="98" customFormat="1" ht="15" customHeight="1">
      <c r="A15" s="99"/>
      <c r="B15" s="161"/>
      <c r="C15" s="185"/>
      <c r="D15" s="185" t="s">
        <v>2012</v>
      </c>
      <c r="E15" s="162"/>
      <c r="F15" s="185"/>
      <c r="G15" s="185"/>
      <c r="H15" s="163"/>
      <c r="I15" s="164" t="s">
        <v>498</v>
      </c>
      <c r="J15" s="143">
        <v>4.2463973840555429</v>
      </c>
      <c r="K15" s="117"/>
      <c r="L15" s="160"/>
      <c r="M15" s="143">
        <v>7.2662996408386782</v>
      </c>
      <c r="N15" s="117"/>
      <c r="O15" s="117"/>
      <c r="P15" s="117"/>
      <c r="Q15" s="144">
        <v>6.6243467462163359</v>
      </c>
    </row>
    <row r="16" spans="1:57" s="98" customFormat="1" ht="15" customHeight="1">
      <c r="A16" s="99"/>
      <c r="B16" s="161"/>
      <c r="C16" s="185"/>
      <c r="D16" s="162" t="s">
        <v>1710</v>
      </c>
      <c r="E16" s="162"/>
      <c r="F16" s="185"/>
      <c r="G16" s="185"/>
      <c r="H16" s="163"/>
      <c r="I16" s="164" t="s">
        <v>498</v>
      </c>
      <c r="J16" s="128">
        <f t="shared" ref="J16" si="0">SUM(J12:J15)</f>
        <v>14.569965922885466</v>
      </c>
      <c r="K16" s="117"/>
      <c r="L16" s="160"/>
      <c r="M16" s="128">
        <f t="shared" ref="M16" si="1">SUM(M12:M15)</f>
        <v>17.56758239540088</v>
      </c>
      <c r="N16" s="117"/>
      <c r="O16" s="117"/>
      <c r="P16" s="117"/>
      <c r="Q16" s="130">
        <f t="shared" ref="Q16" si="2">SUM(Q12:Q15)</f>
        <v>16.721143893897402</v>
      </c>
    </row>
    <row r="17" spans="1:17" s="98" customFormat="1" ht="15" customHeight="1">
      <c r="A17" s="99"/>
      <c r="B17" s="181"/>
      <c r="C17" s="185"/>
      <c r="D17" s="185"/>
      <c r="E17" s="182"/>
      <c r="F17" s="185"/>
      <c r="G17" s="184"/>
      <c r="H17" s="184"/>
      <c r="I17" s="117"/>
      <c r="J17" s="716"/>
      <c r="K17" s="117"/>
      <c r="L17" s="160"/>
      <c r="M17" s="714"/>
      <c r="N17" s="117"/>
      <c r="O17" s="117"/>
      <c r="P17" s="117"/>
      <c r="Q17" s="715"/>
    </row>
    <row r="18" spans="1:17" s="98" customFormat="1" ht="15" customHeight="1">
      <c r="A18" s="99"/>
      <c r="B18" s="161"/>
      <c r="C18" s="186" t="s">
        <v>40</v>
      </c>
      <c r="D18" s="186"/>
      <c r="E18" s="186"/>
      <c r="F18" s="162"/>
      <c r="G18" s="163"/>
      <c r="H18" s="163"/>
      <c r="I18" s="117"/>
      <c r="J18" s="713"/>
      <c r="K18" s="117"/>
      <c r="L18" s="160"/>
      <c r="M18" s="713"/>
      <c r="N18" s="117"/>
      <c r="O18" s="117"/>
      <c r="P18" s="117"/>
      <c r="Q18" s="715"/>
    </row>
    <row r="19" spans="1:17" s="98" customFormat="1" ht="15" customHeight="1">
      <c r="A19" s="99"/>
      <c r="B19" s="161"/>
      <c r="C19" s="185"/>
      <c r="D19" s="185" t="s">
        <v>2009</v>
      </c>
      <c r="E19" s="162"/>
      <c r="F19" s="185"/>
      <c r="G19" s="185"/>
      <c r="H19" s="163"/>
      <c r="I19" s="164" t="s">
        <v>498</v>
      </c>
      <c r="J19" s="143">
        <v>9.7077375016722378</v>
      </c>
      <c r="K19" s="117"/>
      <c r="L19" s="160"/>
      <c r="M19" s="143">
        <v>9.9151065817271622</v>
      </c>
      <c r="N19" s="117"/>
      <c r="O19" s="117"/>
      <c r="P19" s="117"/>
      <c r="Q19" s="144">
        <v>9.3334522287222832</v>
      </c>
    </row>
    <row r="20" spans="1:17" s="98" customFormat="1" ht="15" customHeight="1">
      <c r="A20" s="99"/>
      <c r="B20" s="161"/>
      <c r="C20" s="185"/>
      <c r="D20" s="185" t="s">
        <v>2010</v>
      </c>
      <c r="E20" s="162"/>
      <c r="F20" s="185"/>
      <c r="G20" s="185"/>
      <c r="H20" s="163"/>
      <c r="I20" s="164" t="s">
        <v>498</v>
      </c>
      <c r="J20" s="143">
        <v>0</v>
      </c>
      <c r="K20" s="117"/>
      <c r="L20" s="160"/>
      <c r="M20" s="143">
        <v>0</v>
      </c>
      <c r="N20" s="117"/>
      <c r="O20" s="117"/>
      <c r="P20" s="117"/>
      <c r="Q20" s="144">
        <v>0</v>
      </c>
    </row>
    <row r="21" spans="1:17" s="98" customFormat="1" ht="15" customHeight="1">
      <c r="A21" s="99"/>
      <c r="B21" s="161"/>
      <c r="C21" s="185"/>
      <c r="D21" s="185" t="s">
        <v>2011</v>
      </c>
      <c r="E21" s="162"/>
      <c r="F21" s="185"/>
      <c r="G21" s="185"/>
      <c r="H21" s="163"/>
      <c r="I21" s="164" t="s">
        <v>498</v>
      </c>
      <c r="J21" s="143">
        <v>0</v>
      </c>
      <c r="K21" s="117"/>
      <c r="L21" s="160"/>
      <c r="M21" s="143">
        <v>0</v>
      </c>
      <c r="N21" s="117"/>
      <c r="O21" s="117"/>
      <c r="P21" s="117"/>
      <c r="Q21" s="144">
        <v>0</v>
      </c>
    </row>
    <row r="22" spans="1:17" s="98" customFormat="1" ht="15" customHeight="1">
      <c r="A22" s="99"/>
      <c r="B22" s="161"/>
      <c r="C22" s="185"/>
      <c r="D22" s="185" t="s">
        <v>2012</v>
      </c>
      <c r="E22" s="162"/>
      <c r="F22" s="185"/>
      <c r="G22" s="185"/>
      <c r="H22" s="163"/>
      <c r="I22" s="164" t="s">
        <v>498</v>
      </c>
      <c r="J22" s="143">
        <v>0.85347032403945811</v>
      </c>
      <c r="K22" s="117"/>
      <c r="L22" s="160"/>
      <c r="M22" s="143">
        <v>0.87026352761096248</v>
      </c>
      <c r="N22" s="117"/>
      <c r="O22" s="117"/>
      <c r="P22" s="117"/>
      <c r="Q22" s="144">
        <v>0.81921086721605008</v>
      </c>
    </row>
    <row r="23" spans="1:17" s="98" customFormat="1" ht="15" customHeight="1">
      <c r="A23" s="99"/>
      <c r="B23" s="161"/>
      <c r="C23" s="185"/>
      <c r="D23" s="162" t="s">
        <v>1710</v>
      </c>
      <c r="E23" s="162"/>
      <c r="F23" s="185"/>
      <c r="G23" s="185"/>
      <c r="H23" s="163"/>
      <c r="I23" s="164" t="s">
        <v>498</v>
      </c>
      <c r="J23" s="128">
        <f t="shared" ref="J23" si="3">SUM(J19:J22)</f>
        <v>10.561207825711696</v>
      </c>
      <c r="K23" s="117"/>
      <c r="L23" s="160"/>
      <c r="M23" s="128">
        <f t="shared" ref="M23" si="4">SUM(M19:M22)</f>
        <v>10.785370109338125</v>
      </c>
      <c r="N23" s="117"/>
      <c r="O23" s="117"/>
      <c r="P23" s="117"/>
      <c r="Q23" s="130">
        <f t="shared" ref="Q23" si="5">SUM(Q19:Q22)</f>
        <v>10.152663095938333</v>
      </c>
    </row>
    <row r="24" spans="1:17" s="98" customFormat="1" ht="15" customHeight="1">
      <c r="A24" s="99"/>
      <c r="B24" s="161"/>
      <c r="C24" s="185"/>
      <c r="D24" s="162"/>
      <c r="E24" s="162"/>
      <c r="F24" s="185"/>
      <c r="G24" s="185"/>
      <c r="H24" s="163"/>
      <c r="I24" s="96"/>
      <c r="J24" s="758"/>
      <c r="K24" s="117"/>
      <c r="L24" s="160"/>
      <c r="M24" s="758"/>
      <c r="N24" s="117"/>
      <c r="O24" s="117"/>
      <c r="P24" s="117"/>
      <c r="Q24" s="759"/>
    </row>
    <row r="25" spans="1:17" s="98" customFormat="1" ht="15" customHeight="1">
      <c r="A25" s="99"/>
      <c r="B25" s="161"/>
      <c r="C25" s="186" t="s">
        <v>1670</v>
      </c>
      <c r="D25" s="186"/>
      <c r="E25" s="186"/>
      <c r="F25" s="162"/>
      <c r="G25" s="163"/>
      <c r="H25" s="163"/>
      <c r="I25" s="117"/>
      <c r="J25" s="760"/>
      <c r="K25" s="117"/>
      <c r="L25" s="160"/>
      <c r="M25" s="760"/>
      <c r="N25" s="117"/>
      <c r="O25" s="117"/>
      <c r="P25" s="117"/>
      <c r="Q25" s="761"/>
    </row>
    <row r="26" spans="1:17" s="98" customFormat="1" ht="15" customHeight="1">
      <c r="A26" s="99"/>
      <c r="B26" s="161"/>
      <c r="C26" s="185"/>
      <c r="D26" s="185" t="s">
        <v>2009</v>
      </c>
      <c r="E26" s="162"/>
      <c r="F26" s="185"/>
      <c r="G26" s="185"/>
      <c r="H26" s="163"/>
      <c r="I26" s="164" t="s">
        <v>498</v>
      </c>
      <c r="J26" s="143">
        <v>8.0638270301881878</v>
      </c>
      <c r="K26" s="117"/>
      <c r="L26" s="160"/>
      <c r="M26" s="143">
        <v>8.0584961701531963</v>
      </c>
      <c r="N26" s="117"/>
      <c r="O26" s="117"/>
      <c r="P26" s="117"/>
      <c r="Q26" s="144">
        <v>7.7016278274903831</v>
      </c>
    </row>
    <row r="27" spans="1:17" s="98" customFormat="1" ht="15" customHeight="1">
      <c r="A27" s="99"/>
      <c r="B27" s="161"/>
      <c r="C27" s="185"/>
      <c r="D27" s="185" t="s">
        <v>2010</v>
      </c>
      <c r="E27" s="162"/>
      <c r="F27" s="185"/>
      <c r="G27" s="185"/>
      <c r="H27" s="163"/>
      <c r="I27" s="164" t="s">
        <v>498</v>
      </c>
      <c r="J27" s="143">
        <v>0</v>
      </c>
      <c r="K27" s="117"/>
      <c r="L27" s="160"/>
      <c r="M27" s="143">
        <v>0</v>
      </c>
      <c r="N27" s="117"/>
      <c r="O27" s="117"/>
      <c r="P27" s="117"/>
      <c r="Q27" s="144">
        <v>0</v>
      </c>
    </row>
    <row r="28" spans="1:17" s="98" customFormat="1" ht="15" customHeight="1">
      <c r="A28" s="99"/>
      <c r="B28" s="161"/>
      <c r="C28" s="185"/>
      <c r="D28" s="185" t="s">
        <v>2011</v>
      </c>
      <c r="E28" s="162"/>
      <c r="F28" s="185"/>
      <c r="G28" s="185"/>
      <c r="H28" s="163"/>
      <c r="I28" s="164" t="s">
        <v>498</v>
      </c>
      <c r="J28" s="143">
        <v>0</v>
      </c>
      <c r="K28" s="117"/>
      <c r="L28" s="160"/>
      <c r="M28" s="143">
        <v>0</v>
      </c>
      <c r="N28" s="117"/>
      <c r="O28" s="117"/>
      <c r="P28" s="117"/>
      <c r="Q28" s="144">
        <v>0</v>
      </c>
    </row>
    <row r="29" spans="1:17" s="98" customFormat="1" ht="15" customHeight="1">
      <c r="A29" s="99"/>
      <c r="B29" s="161"/>
      <c r="C29" s="185"/>
      <c r="D29" s="185" t="s">
        <v>2012</v>
      </c>
      <c r="E29" s="162"/>
      <c r="F29" s="185"/>
      <c r="G29" s="185"/>
      <c r="H29" s="163"/>
      <c r="I29" s="164" t="s">
        <v>498</v>
      </c>
      <c r="J29" s="143">
        <v>7.9962027593851115</v>
      </c>
      <c r="K29" s="117"/>
      <c r="L29" s="160"/>
      <c r="M29" s="143">
        <v>7.5925938298468001</v>
      </c>
      <c r="N29" s="117"/>
      <c r="O29" s="117"/>
      <c r="P29" s="117"/>
      <c r="Q29" s="144">
        <v>6.4420726805916475</v>
      </c>
    </row>
    <row r="30" spans="1:17" s="98" customFormat="1" ht="15" customHeight="1">
      <c r="A30" s="99"/>
      <c r="B30" s="161"/>
      <c r="C30" s="185"/>
      <c r="D30" s="162" t="s">
        <v>1710</v>
      </c>
      <c r="E30" s="162"/>
      <c r="F30" s="185"/>
      <c r="G30" s="185"/>
      <c r="H30" s="163"/>
      <c r="I30" s="164" t="s">
        <v>498</v>
      </c>
      <c r="J30" s="128">
        <f t="shared" ref="J30" si="6">SUM(J26:J29)</f>
        <v>16.060029789573299</v>
      </c>
      <c r="K30" s="117"/>
      <c r="L30" s="160"/>
      <c r="M30" s="128">
        <f t="shared" ref="M30" si="7">SUM(M26:M29)</f>
        <v>15.651089999999996</v>
      </c>
      <c r="N30" s="117"/>
      <c r="O30" s="117"/>
      <c r="P30" s="117"/>
      <c r="Q30" s="130">
        <f t="shared" ref="Q30" si="8">SUM(Q26:Q29)</f>
        <v>14.143700508082031</v>
      </c>
    </row>
    <row r="31" spans="1:17" s="98" customFormat="1" ht="15" customHeight="1">
      <c r="A31" s="99"/>
      <c r="B31" s="181"/>
      <c r="C31" s="185"/>
      <c r="D31" s="185"/>
      <c r="E31" s="182"/>
      <c r="F31" s="185"/>
      <c r="G31" s="184"/>
      <c r="H31" s="184"/>
      <c r="I31" s="117"/>
      <c r="J31" s="716"/>
      <c r="K31" s="117"/>
      <c r="L31" s="160"/>
      <c r="M31" s="714"/>
      <c r="N31" s="117"/>
      <c r="O31" s="117"/>
      <c r="P31" s="117"/>
      <c r="Q31" s="715"/>
    </row>
    <row r="32" spans="1:17" s="98" customFormat="1" ht="15" customHeight="1">
      <c r="A32" s="99"/>
      <c r="B32" s="161"/>
      <c r="C32" s="186" t="s">
        <v>41</v>
      </c>
      <c r="D32" s="186"/>
      <c r="E32" s="186"/>
      <c r="F32" s="162"/>
      <c r="G32" s="163"/>
      <c r="H32" s="163"/>
      <c r="I32" s="117"/>
      <c r="J32" s="713"/>
      <c r="K32" s="117"/>
      <c r="L32" s="160"/>
      <c r="M32" s="713"/>
      <c r="N32" s="117"/>
      <c r="O32" s="117"/>
      <c r="P32" s="117"/>
      <c r="Q32" s="715"/>
    </row>
    <row r="33" spans="1:17" s="98" customFormat="1" ht="15" customHeight="1">
      <c r="A33" s="99"/>
      <c r="B33" s="161"/>
      <c r="C33" s="185"/>
      <c r="D33" s="185" t="s">
        <v>2009</v>
      </c>
      <c r="E33" s="162"/>
      <c r="F33" s="185"/>
      <c r="G33" s="185"/>
      <c r="H33" s="163"/>
      <c r="I33" s="164" t="s">
        <v>498</v>
      </c>
      <c r="J33" s="143">
        <v>4.0319359659135268</v>
      </c>
      <c r="K33" s="117"/>
      <c r="L33" s="160"/>
      <c r="M33" s="143">
        <v>8.7870179029182491</v>
      </c>
      <c r="N33" s="117"/>
      <c r="O33" s="117"/>
      <c r="P33" s="117"/>
      <c r="Q33" s="144">
        <v>9.8844586988468954</v>
      </c>
    </row>
    <row r="34" spans="1:17" s="98" customFormat="1" ht="15" customHeight="1">
      <c r="A34" s="99"/>
      <c r="B34" s="161"/>
      <c r="C34" s="185"/>
      <c r="D34" s="185" t="s">
        <v>2010</v>
      </c>
      <c r="E34" s="162"/>
      <c r="F34" s="185"/>
      <c r="G34" s="185"/>
      <c r="H34" s="163"/>
      <c r="I34" s="164" t="s">
        <v>498</v>
      </c>
      <c r="J34" s="143">
        <v>0</v>
      </c>
      <c r="K34" s="117"/>
      <c r="L34" s="160"/>
      <c r="M34" s="143">
        <v>0</v>
      </c>
      <c r="N34" s="117"/>
      <c r="O34" s="117"/>
      <c r="P34" s="117"/>
      <c r="Q34" s="144">
        <v>0</v>
      </c>
    </row>
    <row r="35" spans="1:17" s="98" customFormat="1" ht="15" customHeight="1">
      <c r="A35" s="99"/>
      <c r="B35" s="161"/>
      <c r="C35" s="185"/>
      <c r="D35" s="185" t="s">
        <v>2011</v>
      </c>
      <c r="E35" s="162"/>
      <c r="F35" s="185"/>
      <c r="G35" s="185"/>
      <c r="H35" s="163"/>
      <c r="I35" s="164" t="s">
        <v>498</v>
      </c>
      <c r="J35" s="143">
        <v>0</v>
      </c>
      <c r="K35" s="117"/>
      <c r="L35" s="160"/>
      <c r="M35" s="143">
        <v>0</v>
      </c>
      <c r="N35" s="117"/>
      <c r="O35" s="117"/>
      <c r="P35" s="117"/>
      <c r="Q35" s="144">
        <v>0</v>
      </c>
    </row>
    <row r="36" spans="1:17" s="98" customFormat="1" ht="15" customHeight="1">
      <c r="A36" s="99"/>
      <c r="B36" s="161"/>
      <c r="C36" s="185"/>
      <c r="D36" s="185" t="s">
        <v>2012</v>
      </c>
      <c r="E36" s="162"/>
      <c r="F36" s="185"/>
      <c r="G36" s="185"/>
      <c r="H36" s="163"/>
      <c r="I36" s="164" t="s">
        <v>498</v>
      </c>
      <c r="J36" s="143">
        <v>7.9566433790419699</v>
      </c>
      <c r="K36" s="117"/>
      <c r="L36" s="160"/>
      <c r="M36" s="143">
        <v>7.6381043740069767</v>
      </c>
      <c r="N36" s="117"/>
      <c r="O36" s="117"/>
      <c r="P36" s="117"/>
      <c r="Q36" s="144">
        <v>7.0483505309709606</v>
      </c>
    </row>
    <row r="37" spans="1:17" s="98" customFormat="1" ht="15" customHeight="1">
      <c r="A37" s="99"/>
      <c r="B37" s="161"/>
      <c r="C37" s="185"/>
      <c r="D37" s="162" t="s">
        <v>1710</v>
      </c>
      <c r="E37" s="162"/>
      <c r="F37" s="185"/>
      <c r="G37" s="185"/>
      <c r="H37" s="163"/>
      <c r="I37" s="164" t="s">
        <v>498</v>
      </c>
      <c r="J37" s="128">
        <f t="shared" ref="J37" si="9">SUM(J33:J36)</f>
        <v>11.988579344955497</v>
      </c>
      <c r="K37" s="117"/>
      <c r="L37" s="160"/>
      <c r="M37" s="128">
        <f t="shared" ref="M37" si="10">SUM(M33:M36)</f>
        <v>16.425122276925226</v>
      </c>
      <c r="N37" s="117"/>
      <c r="O37" s="117"/>
      <c r="P37" s="117"/>
      <c r="Q37" s="130">
        <f t="shared" ref="Q37" si="11">SUM(Q33:Q36)</f>
        <v>16.932809229817856</v>
      </c>
    </row>
    <row r="38" spans="1:17" s="98" customFormat="1" ht="15" customHeight="1">
      <c r="A38" s="99"/>
      <c r="B38" s="181"/>
      <c r="C38" s="185"/>
      <c r="D38" s="185"/>
      <c r="E38" s="182"/>
      <c r="F38" s="185"/>
      <c r="G38" s="184"/>
      <c r="H38" s="184"/>
      <c r="I38" s="117"/>
      <c r="J38" s="716"/>
      <c r="K38" s="117"/>
      <c r="L38" s="160"/>
      <c r="M38" s="714"/>
      <c r="N38" s="117"/>
      <c r="O38" s="117"/>
      <c r="P38" s="117"/>
      <c r="Q38" s="715"/>
    </row>
    <row r="39" spans="1:17" s="98" customFormat="1" ht="15" customHeight="1">
      <c r="A39" s="99"/>
      <c r="B39" s="161"/>
      <c r="C39" s="186" t="s">
        <v>58</v>
      </c>
      <c r="D39" s="186"/>
      <c r="E39" s="186"/>
      <c r="F39" s="162"/>
      <c r="G39" s="163"/>
      <c r="H39" s="163"/>
      <c r="I39" s="117"/>
      <c r="J39" s="713"/>
      <c r="K39" s="117"/>
      <c r="L39" s="160"/>
      <c r="M39" s="713"/>
      <c r="N39" s="117"/>
      <c r="O39" s="117"/>
      <c r="P39" s="117"/>
      <c r="Q39" s="715"/>
    </row>
    <row r="40" spans="1:17" s="98" customFormat="1" ht="15" customHeight="1">
      <c r="A40" s="99"/>
      <c r="B40" s="161"/>
      <c r="C40" s="185"/>
      <c r="D40" s="185" t="s">
        <v>2009</v>
      </c>
      <c r="E40" s="162"/>
      <c r="F40" s="185"/>
      <c r="G40" s="185"/>
      <c r="H40" s="163"/>
      <c r="I40" s="164" t="s">
        <v>498</v>
      </c>
      <c r="J40" s="143">
        <v>0</v>
      </c>
      <c r="K40" s="117"/>
      <c r="L40" s="160"/>
      <c r="M40" s="143">
        <v>0</v>
      </c>
      <c r="N40" s="117"/>
      <c r="O40" s="117"/>
      <c r="P40" s="117"/>
      <c r="Q40" s="144">
        <v>0</v>
      </c>
    </row>
    <row r="41" spans="1:17" s="98" customFormat="1" ht="15" customHeight="1">
      <c r="A41" s="99"/>
      <c r="B41" s="161"/>
      <c r="C41" s="185"/>
      <c r="D41" s="185" t="s">
        <v>2010</v>
      </c>
      <c r="E41" s="162"/>
      <c r="F41" s="185"/>
      <c r="G41" s="185"/>
      <c r="H41" s="163"/>
      <c r="I41" s="164" t="s">
        <v>498</v>
      </c>
      <c r="J41" s="143">
        <v>0</v>
      </c>
      <c r="K41" s="117"/>
      <c r="L41" s="160"/>
      <c r="M41" s="143">
        <v>0</v>
      </c>
      <c r="N41" s="117"/>
      <c r="O41" s="117"/>
      <c r="P41" s="117"/>
      <c r="Q41" s="144">
        <v>0</v>
      </c>
    </row>
    <row r="42" spans="1:17" s="98" customFormat="1" ht="15" customHeight="1">
      <c r="A42" s="99"/>
      <c r="B42" s="161"/>
      <c r="C42" s="185"/>
      <c r="D42" s="185" t="s">
        <v>2011</v>
      </c>
      <c r="E42" s="162"/>
      <c r="F42" s="185"/>
      <c r="G42" s="185"/>
      <c r="H42" s="163"/>
      <c r="I42" s="164" t="s">
        <v>498</v>
      </c>
      <c r="J42" s="143">
        <v>0</v>
      </c>
      <c r="K42" s="117"/>
      <c r="L42" s="160"/>
      <c r="M42" s="143">
        <v>0</v>
      </c>
      <c r="N42" s="117"/>
      <c r="O42" s="117"/>
      <c r="P42" s="117"/>
      <c r="Q42" s="144">
        <v>0</v>
      </c>
    </row>
    <row r="43" spans="1:17" s="98" customFormat="1" ht="15" customHeight="1">
      <c r="A43" s="99"/>
      <c r="B43" s="161"/>
      <c r="C43" s="185"/>
      <c r="D43" s="185" t="s">
        <v>2012</v>
      </c>
      <c r="E43" s="162"/>
      <c r="F43" s="185"/>
      <c r="G43" s="185"/>
      <c r="H43" s="163"/>
      <c r="I43" s="164" t="s">
        <v>498</v>
      </c>
      <c r="J43" s="143">
        <v>0</v>
      </c>
      <c r="K43" s="117"/>
      <c r="L43" s="160"/>
      <c r="M43" s="143">
        <v>0</v>
      </c>
      <c r="N43" s="117"/>
      <c r="O43" s="117"/>
      <c r="P43" s="117"/>
      <c r="Q43" s="144">
        <v>0</v>
      </c>
    </row>
    <row r="44" spans="1:17" s="98" customFormat="1" ht="15" customHeight="1">
      <c r="A44" s="99"/>
      <c r="B44" s="161"/>
      <c r="C44" s="185"/>
      <c r="D44" s="162" t="s">
        <v>1710</v>
      </c>
      <c r="E44" s="162"/>
      <c r="F44" s="185"/>
      <c r="G44" s="185"/>
      <c r="H44" s="163"/>
      <c r="I44" s="164" t="s">
        <v>498</v>
      </c>
      <c r="J44" s="128">
        <f t="shared" ref="J44" si="12">SUM(J40:J43)</f>
        <v>0</v>
      </c>
      <c r="K44" s="117"/>
      <c r="L44" s="160"/>
      <c r="M44" s="128">
        <f t="shared" ref="M44" si="13">SUM(M40:M43)</f>
        <v>0</v>
      </c>
      <c r="N44" s="117"/>
      <c r="O44" s="117"/>
      <c r="P44" s="117"/>
      <c r="Q44" s="130">
        <f t="shared" ref="Q44" si="14">SUM(Q40:Q43)</f>
        <v>0</v>
      </c>
    </row>
    <row r="45" spans="1:17" s="98" customFormat="1" ht="15" customHeight="1">
      <c r="A45" s="99"/>
      <c r="B45" s="181"/>
      <c r="C45" s="185"/>
      <c r="D45" s="185"/>
      <c r="E45" s="182"/>
      <c r="F45" s="185"/>
      <c r="G45" s="184"/>
      <c r="H45" s="184"/>
      <c r="I45" s="117"/>
      <c r="J45" s="716"/>
      <c r="K45" s="117"/>
      <c r="L45" s="160"/>
      <c r="M45" s="714"/>
      <c r="N45" s="117"/>
      <c r="O45" s="117"/>
      <c r="P45" s="117"/>
      <c r="Q45" s="715"/>
    </row>
    <row r="46" spans="1:17" s="98" customFormat="1" ht="15" customHeight="1">
      <c r="A46" s="99"/>
      <c r="B46" s="161"/>
      <c r="C46" s="186" t="s">
        <v>1713</v>
      </c>
      <c r="D46" s="186"/>
      <c r="E46" s="186"/>
      <c r="F46" s="162"/>
      <c r="G46" s="163"/>
      <c r="H46" s="163"/>
      <c r="I46" s="117"/>
      <c r="J46" s="713"/>
      <c r="K46" s="117"/>
      <c r="L46" s="160"/>
      <c r="M46" s="713"/>
      <c r="N46" s="117"/>
      <c r="O46" s="117"/>
      <c r="P46" s="117"/>
      <c r="Q46" s="715"/>
    </row>
    <row r="47" spans="1:17" s="98" customFormat="1" ht="15" customHeight="1">
      <c r="A47" s="99"/>
      <c r="B47" s="161"/>
      <c r="C47" s="185"/>
      <c r="D47" s="185" t="s">
        <v>2009</v>
      </c>
      <c r="E47" s="162"/>
      <c r="F47" s="185"/>
      <c r="G47" s="185"/>
      <c r="H47" s="163"/>
      <c r="I47" s="164" t="s">
        <v>498</v>
      </c>
      <c r="J47" s="143">
        <v>0.83379734762429236</v>
      </c>
      <c r="K47" s="117"/>
      <c r="L47" s="160"/>
      <c r="M47" s="143">
        <v>0.63831831675576378</v>
      </c>
      <c r="N47" s="117"/>
      <c r="O47" s="117"/>
      <c r="P47" s="117"/>
      <c r="Q47" s="144">
        <v>0.62564737940795245</v>
      </c>
    </row>
    <row r="48" spans="1:17" s="98" customFormat="1" ht="15" customHeight="1">
      <c r="A48" s="99"/>
      <c r="B48" s="161"/>
      <c r="C48" s="185"/>
      <c r="D48" s="185" t="s">
        <v>2010</v>
      </c>
      <c r="E48" s="162"/>
      <c r="F48" s="185"/>
      <c r="G48" s="185"/>
      <c r="H48" s="163"/>
      <c r="I48" s="164" t="s">
        <v>498</v>
      </c>
      <c r="J48" s="143">
        <v>0</v>
      </c>
      <c r="K48" s="117"/>
      <c r="L48" s="160"/>
      <c r="M48" s="143">
        <v>0</v>
      </c>
      <c r="N48" s="117"/>
      <c r="O48" s="117"/>
      <c r="P48" s="117"/>
      <c r="Q48" s="144">
        <v>0</v>
      </c>
    </row>
    <row r="49" spans="1:17" s="98" customFormat="1" ht="15" customHeight="1">
      <c r="A49" s="99"/>
      <c r="B49" s="161"/>
      <c r="C49" s="185"/>
      <c r="D49" s="185" t="s">
        <v>2011</v>
      </c>
      <c r="E49" s="162"/>
      <c r="F49" s="185"/>
      <c r="G49" s="185"/>
      <c r="H49" s="163"/>
      <c r="I49" s="164" t="s">
        <v>498</v>
      </c>
      <c r="J49" s="143">
        <v>0</v>
      </c>
      <c r="K49" s="117"/>
      <c r="L49" s="160"/>
      <c r="M49" s="143">
        <v>0</v>
      </c>
      <c r="N49" s="117"/>
      <c r="O49" s="117"/>
      <c r="P49" s="117"/>
      <c r="Q49" s="144">
        <v>0</v>
      </c>
    </row>
    <row r="50" spans="1:17" s="98" customFormat="1" ht="15" customHeight="1">
      <c r="A50" s="99"/>
      <c r="B50" s="161"/>
      <c r="C50" s="185"/>
      <c r="D50" s="185" t="s">
        <v>2012</v>
      </c>
      <c r="E50" s="162"/>
      <c r="F50" s="185"/>
      <c r="G50" s="185"/>
      <c r="H50" s="163"/>
      <c r="I50" s="164" t="s">
        <v>498</v>
      </c>
      <c r="J50" s="143">
        <v>4.8855505963040455</v>
      </c>
      <c r="K50" s="117"/>
      <c r="L50" s="160"/>
      <c r="M50" s="143">
        <v>2.9989183793505694</v>
      </c>
      <c r="N50" s="117"/>
      <c r="O50" s="117"/>
      <c r="P50" s="117"/>
      <c r="Q50" s="144">
        <v>2.9619630682608808</v>
      </c>
    </row>
    <row r="51" spans="1:17" s="98" customFormat="1" ht="15" customHeight="1" thickBot="1">
      <c r="A51" s="99"/>
      <c r="B51" s="191"/>
      <c r="C51" s="192"/>
      <c r="D51" s="193" t="s">
        <v>1710</v>
      </c>
      <c r="E51" s="193"/>
      <c r="F51" s="192"/>
      <c r="G51" s="192"/>
      <c r="H51" s="194"/>
      <c r="I51" s="195" t="s">
        <v>498</v>
      </c>
      <c r="J51" s="177">
        <f t="shared" ref="J51" si="15">SUM(J47:J50)</f>
        <v>5.7193479439283381</v>
      </c>
      <c r="K51" s="145"/>
      <c r="L51" s="2471"/>
      <c r="M51" s="177">
        <f t="shared" ref="M51" si="16">SUM(M47:M50)</f>
        <v>3.6372366961063332</v>
      </c>
      <c r="N51" s="145"/>
      <c r="O51" s="145"/>
      <c r="P51" s="145"/>
      <c r="Q51" s="179">
        <f t="shared" ref="Q51" si="17">SUM(Q47:Q50)</f>
        <v>3.5876104476688333</v>
      </c>
    </row>
    <row r="52" spans="1:17" s="99" customFormat="1" ht="15" customHeight="1" thickBot="1">
      <c r="B52" s="150"/>
      <c r="C52" s="150"/>
      <c r="D52" s="150"/>
      <c r="E52" s="150"/>
      <c r="F52" s="150"/>
      <c r="G52" s="97"/>
      <c r="H52" s="97"/>
      <c r="I52" s="98"/>
      <c r="J52" s="722"/>
      <c r="K52" s="722"/>
      <c r="L52" s="722"/>
      <c r="M52" s="722"/>
      <c r="N52" s="722"/>
      <c r="O52" s="722"/>
      <c r="P52" s="722"/>
      <c r="Q52" s="722"/>
    </row>
    <row r="53" spans="1:17" s="100" customFormat="1" ht="30" customHeight="1" thickBot="1">
      <c r="A53" s="89"/>
      <c r="B53" s="621" t="s">
        <v>1675</v>
      </c>
      <c r="C53" s="102"/>
      <c r="D53" s="102"/>
      <c r="E53" s="102"/>
      <c r="F53" s="102"/>
      <c r="G53" s="103"/>
      <c r="H53" s="103"/>
      <c r="I53" s="105" t="s">
        <v>1704</v>
      </c>
      <c r="J53" s="723"/>
      <c r="K53" s="723"/>
      <c r="L53" s="723"/>
      <c r="M53" s="724"/>
      <c r="N53" s="724"/>
      <c r="O53" s="724"/>
      <c r="P53" s="724"/>
      <c r="Q53" s="993"/>
    </row>
    <row r="54" spans="1:17" s="157" customFormat="1" ht="30" customHeight="1">
      <c r="A54" s="99"/>
      <c r="B54" s="109"/>
      <c r="C54" s="110"/>
      <c r="D54" s="110"/>
      <c r="E54" s="110"/>
      <c r="F54" s="110"/>
      <c r="G54" s="111"/>
      <c r="H54" s="111"/>
      <c r="I54" s="117"/>
      <c r="J54" s="695" t="s">
        <v>1666</v>
      </c>
      <c r="K54" s="726"/>
      <c r="L54" s="727"/>
      <c r="M54" s="728" t="s">
        <v>2</v>
      </c>
      <c r="N54" s="729"/>
      <c r="O54" s="729"/>
      <c r="P54" s="729"/>
      <c r="Q54" s="730"/>
    </row>
    <row r="55" spans="1:17" s="98" customFormat="1" ht="15" customHeight="1">
      <c r="A55" s="99"/>
      <c r="B55" s="115"/>
      <c r="C55" s="116"/>
      <c r="D55" s="116"/>
      <c r="E55" s="116"/>
      <c r="F55" s="116"/>
      <c r="G55" s="117"/>
      <c r="H55" s="117"/>
      <c r="I55" s="119" t="s">
        <v>1667</v>
      </c>
      <c r="J55" s="731" t="s">
        <v>463</v>
      </c>
      <c r="K55" s="732" t="s">
        <v>465</v>
      </c>
      <c r="L55" s="733" t="s">
        <v>467</v>
      </c>
      <c r="M55" s="734" t="s">
        <v>469</v>
      </c>
      <c r="N55" s="735" t="s">
        <v>471</v>
      </c>
      <c r="O55" s="735" t="s">
        <v>473</v>
      </c>
      <c r="P55" s="735" t="s">
        <v>475</v>
      </c>
      <c r="Q55" s="736" t="s">
        <v>477</v>
      </c>
    </row>
    <row r="56" spans="1:17" s="98" customFormat="1" ht="15" customHeight="1">
      <c r="A56" s="99"/>
      <c r="B56" s="161"/>
      <c r="C56" s="186" t="s">
        <v>1775</v>
      </c>
      <c r="D56" s="186"/>
      <c r="E56" s="186"/>
      <c r="F56" s="162"/>
      <c r="G56" s="163"/>
      <c r="H56" s="163"/>
      <c r="I56" s="117"/>
      <c r="J56" s="713"/>
      <c r="K56" s="721"/>
      <c r="L56" s="715"/>
      <c r="M56" s="713"/>
      <c r="N56" s="721"/>
      <c r="O56" s="721"/>
      <c r="P56" s="721"/>
      <c r="Q56" s="715"/>
    </row>
    <row r="57" spans="1:17" s="98" customFormat="1" ht="15" customHeight="1">
      <c r="A57" s="99"/>
      <c r="B57" s="161"/>
      <c r="C57" s="185"/>
      <c r="D57" s="185" t="s">
        <v>2009</v>
      </c>
      <c r="E57" s="162"/>
      <c r="F57" s="185"/>
      <c r="G57" s="185"/>
      <c r="H57" s="163"/>
      <c r="I57" s="164" t="s">
        <v>498</v>
      </c>
      <c r="J57" s="143">
        <v>0.9273228043591788</v>
      </c>
      <c r="K57" s="721"/>
      <c r="L57" s="715"/>
      <c r="M57" s="143">
        <v>1.0117653147766823</v>
      </c>
      <c r="N57" s="721"/>
      <c r="O57" s="721"/>
      <c r="P57" s="721"/>
      <c r="Q57" s="144">
        <v>0.99168126802806111</v>
      </c>
    </row>
    <row r="58" spans="1:17" s="98" customFormat="1" ht="15" customHeight="1">
      <c r="A58" s="99"/>
      <c r="B58" s="161"/>
      <c r="C58" s="185"/>
      <c r="D58" s="185" t="s">
        <v>2010</v>
      </c>
      <c r="E58" s="162"/>
      <c r="F58" s="185"/>
      <c r="G58" s="185"/>
      <c r="H58" s="163"/>
      <c r="I58" s="164" t="s">
        <v>498</v>
      </c>
      <c r="J58" s="143">
        <v>0</v>
      </c>
      <c r="K58" s="721"/>
      <c r="L58" s="715"/>
      <c r="M58" s="143">
        <v>0</v>
      </c>
      <c r="N58" s="721"/>
      <c r="O58" s="721"/>
      <c r="P58" s="721"/>
      <c r="Q58" s="144">
        <v>0</v>
      </c>
    </row>
    <row r="59" spans="1:17" s="98" customFormat="1" ht="15" customHeight="1">
      <c r="A59" s="99"/>
      <c r="B59" s="161"/>
      <c r="C59" s="185"/>
      <c r="D59" s="185" t="s">
        <v>2011</v>
      </c>
      <c r="E59" s="162"/>
      <c r="F59" s="185"/>
      <c r="G59" s="185"/>
      <c r="H59" s="163"/>
      <c r="I59" s="164" t="s">
        <v>498</v>
      </c>
      <c r="J59" s="143">
        <v>0</v>
      </c>
      <c r="K59" s="721"/>
      <c r="L59" s="715"/>
      <c r="M59" s="143">
        <v>0</v>
      </c>
      <c r="N59" s="721"/>
      <c r="O59" s="721"/>
      <c r="P59" s="721"/>
      <c r="Q59" s="144">
        <v>0</v>
      </c>
    </row>
    <row r="60" spans="1:17" s="98" customFormat="1" ht="15" customHeight="1">
      <c r="A60" s="99"/>
      <c r="B60" s="161"/>
      <c r="C60" s="185"/>
      <c r="D60" s="185" t="s">
        <v>2012</v>
      </c>
      <c r="E60" s="162"/>
      <c r="F60" s="185"/>
      <c r="G60" s="185"/>
      <c r="H60" s="163"/>
      <c r="I60" s="164" t="s">
        <v>498</v>
      </c>
      <c r="J60" s="143">
        <v>4.9235379589907771</v>
      </c>
      <c r="K60" s="721"/>
      <c r="L60" s="715"/>
      <c r="M60" s="143">
        <v>6.1922346852233163</v>
      </c>
      <c r="N60" s="721"/>
      <c r="O60" s="721"/>
      <c r="P60" s="721"/>
      <c r="Q60" s="144">
        <v>6.0701097544494393</v>
      </c>
    </row>
    <row r="61" spans="1:17" s="98" customFormat="1" ht="15" customHeight="1">
      <c r="A61" s="99"/>
      <c r="B61" s="161"/>
      <c r="C61" s="185"/>
      <c r="D61" s="162" t="s">
        <v>1710</v>
      </c>
      <c r="E61" s="162"/>
      <c r="F61" s="185"/>
      <c r="G61" s="185"/>
      <c r="H61" s="163"/>
      <c r="I61" s="164" t="s">
        <v>498</v>
      </c>
      <c r="J61" s="128">
        <f t="shared" ref="J61" si="18">SUM(J57:J60)</f>
        <v>5.8508607633499556</v>
      </c>
      <c r="K61" s="721"/>
      <c r="L61" s="715"/>
      <c r="M61" s="128">
        <f t="shared" ref="M61" si="19">SUM(M57:M60)</f>
        <v>7.2039999999999988</v>
      </c>
      <c r="N61" s="721"/>
      <c r="O61" s="721"/>
      <c r="P61" s="721"/>
      <c r="Q61" s="130">
        <f t="shared" ref="Q61" si="20">SUM(Q57:Q60)</f>
        <v>7.0617910224775002</v>
      </c>
    </row>
    <row r="62" spans="1:17" s="98" customFormat="1" ht="15" customHeight="1">
      <c r="A62" s="99"/>
      <c r="B62" s="181"/>
      <c r="C62" s="185"/>
      <c r="D62" s="185"/>
      <c r="E62" s="182"/>
      <c r="F62" s="185"/>
      <c r="G62" s="184"/>
      <c r="H62" s="184"/>
      <c r="I62" s="117"/>
      <c r="J62" s="716"/>
      <c r="K62" s="721"/>
      <c r="L62" s="715"/>
      <c r="M62" s="714"/>
      <c r="N62" s="721"/>
      <c r="O62" s="721"/>
      <c r="P62" s="721"/>
      <c r="Q62" s="715"/>
    </row>
    <row r="63" spans="1:17" s="98" customFormat="1" ht="15" customHeight="1">
      <c r="A63" s="99"/>
      <c r="B63" s="161"/>
      <c r="C63" s="186" t="s">
        <v>118</v>
      </c>
      <c r="D63" s="186"/>
      <c r="E63" s="186"/>
      <c r="F63" s="162"/>
      <c r="G63" s="163"/>
      <c r="H63" s="163"/>
      <c r="I63" s="117"/>
      <c r="J63" s="713"/>
      <c r="K63" s="721"/>
      <c r="L63" s="715"/>
      <c r="M63" s="713"/>
      <c r="N63" s="721"/>
      <c r="O63" s="721"/>
      <c r="P63" s="721"/>
      <c r="Q63" s="715"/>
    </row>
    <row r="64" spans="1:17" s="98" customFormat="1" ht="15" customHeight="1">
      <c r="A64" s="99"/>
      <c r="B64" s="161"/>
      <c r="C64" s="185"/>
      <c r="D64" s="185" t="s">
        <v>2009</v>
      </c>
      <c r="E64" s="162"/>
      <c r="F64" s="185"/>
      <c r="G64" s="185"/>
      <c r="H64" s="163"/>
      <c r="I64" s="164" t="s">
        <v>498</v>
      </c>
      <c r="J64" s="143">
        <v>0.23128027861497552</v>
      </c>
      <c r="K64" s="721"/>
      <c r="L64" s="715"/>
      <c r="M64" s="143">
        <v>0.22602034584078182</v>
      </c>
      <c r="N64" s="721"/>
      <c r="O64" s="721"/>
      <c r="P64" s="721"/>
      <c r="Q64" s="144">
        <v>0.22153372910693211</v>
      </c>
    </row>
    <row r="65" spans="1:17" s="98" customFormat="1" ht="15" customHeight="1">
      <c r="A65" s="99"/>
      <c r="B65" s="161"/>
      <c r="C65" s="185"/>
      <c r="D65" s="185" t="s">
        <v>2010</v>
      </c>
      <c r="E65" s="162"/>
      <c r="F65" s="185"/>
      <c r="G65" s="185"/>
      <c r="H65" s="163"/>
      <c r="I65" s="164" t="s">
        <v>498</v>
      </c>
      <c r="J65" s="143">
        <v>0</v>
      </c>
      <c r="K65" s="721"/>
      <c r="L65" s="715"/>
      <c r="M65" s="143">
        <v>0</v>
      </c>
      <c r="N65" s="721"/>
      <c r="O65" s="721"/>
      <c r="P65" s="721"/>
      <c r="Q65" s="144">
        <v>0</v>
      </c>
    </row>
    <row r="66" spans="1:17" s="98" customFormat="1" ht="15" customHeight="1">
      <c r="A66" s="99"/>
      <c r="B66" s="161"/>
      <c r="C66" s="185"/>
      <c r="D66" s="185" t="s">
        <v>2011</v>
      </c>
      <c r="E66" s="162"/>
      <c r="F66" s="185"/>
      <c r="G66" s="185"/>
      <c r="H66" s="163"/>
      <c r="I66" s="164" t="s">
        <v>498</v>
      </c>
      <c r="J66" s="143">
        <v>0</v>
      </c>
      <c r="K66" s="721"/>
      <c r="L66" s="715"/>
      <c r="M66" s="143">
        <v>0</v>
      </c>
      <c r="N66" s="721"/>
      <c r="O66" s="721"/>
      <c r="P66" s="721"/>
      <c r="Q66" s="144">
        <v>0</v>
      </c>
    </row>
    <row r="67" spans="1:17" s="98" customFormat="1" ht="15" customHeight="1">
      <c r="A67" s="99"/>
      <c r="B67" s="161"/>
      <c r="C67" s="185"/>
      <c r="D67" s="185" t="s">
        <v>2012</v>
      </c>
      <c r="E67" s="162"/>
      <c r="F67" s="185"/>
      <c r="G67" s="185"/>
      <c r="H67" s="163"/>
      <c r="I67" s="164" t="s">
        <v>498</v>
      </c>
      <c r="J67" s="143">
        <v>2.591660367651845</v>
      </c>
      <c r="K67" s="721"/>
      <c r="L67" s="715"/>
      <c r="M67" s="143">
        <v>2.5599796541592181</v>
      </c>
      <c r="N67" s="721"/>
      <c r="O67" s="721"/>
      <c r="P67" s="721"/>
      <c r="Q67" s="144">
        <v>2.5091627796343188</v>
      </c>
    </row>
    <row r="68" spans="1:17" s="98" customFormat="1" ht="15" customHeight="1">
      <c r="A68" s="99"/>
      <c r="B68" s="161"/>
      <c r="C68" s="185"/>
      <c r="D68" s="162" t="s">
        <v>1710</v>
      </c>
      <c r="E68" s="162"/>
      <c r="F68" s="185"/>
      <c r="G68" s="185"/>
      <c r="H68" s="163"/>
      <c r="I68" s="164" t="s">
        <v>498</v>
      </c>
      <c r="J68" s="128">
        <f t="shared" ref="J68" si="21">SUM(J64:J67)</f>
        <v>2.8229406462668205</v>
      </c>
      <c r="K68" s="721"/>
      <c r="L68" s="715"/>
      <c r="M68" s="128">
        <f t="shared" ref="M68" si="22">SUM(M64:M67)</f>
        <v>2.786</v>
      </c>
      <c r="N68" s="721"/>
      <c r="O68" s="721"/>
      <c r="P68" s="721"/>
      <c r="Q68" s="130">
        <f t="shared" ref="Q68" si="23">SUM(Q64:Q67)</f>
        <v>2.7306965087412509</v>
      </c>
    </row>
    <row r="69" spans="1:17" s="98" customFormat="1" ht="15" customHeight="1">
      <c r="A69" s="99"/>
      <c r="B69" s="181"/>
      <c r="C69" s="185"/>
      <c r="D69" s="185"/>
      <c r="E69" s="182"/>
      <c r="F69" s="185"/>
      <c r="G69" s="184"/>
      <c r="H69" s="184"/>
      <c r="I69" s="117"/>
      <c r="J69" s="716"/>
      <c r="K69" s="721"/>
      <c r="L69" s="715"/>
      <c r="M69" s="714"/>
      <c r="N69" s="721"/>
      <c r="O69" s="721"/>
      <c r="P69" s="721"/>
      <c r="Q69" s="715"/>
    </row>
    <row r="70" spans="1:17" s="98" customFormat="1" ht="15" customHeight="1">
      <c r="A70" s="99"/>
      <c r="B70" s="161"/>
      <c r="C70" s="186" t="s">
        <v>1716</v>
      </c>
      <c r="D70" s="186"/>
      <c r="E70" s="186"/>
      <c r="F70" s="162"/>
      <c r="G70" s="163"/>
      <c r="H70" s="163"/>
      <c r="I70" s="117"/>
      <c r="J70" s="713"/>
      <c r="K70" s="721"/>
      <c r="L70" s="715"/>
      <c r="M70" s="713"/>
      <c r="N70" s="721"/>
      <c r="O70" s="721"/>
      <c r="P70" s="721"/>
      <c r="Q70" s="715"/>
    </row>
    <row r="71" spans="1:17" s="98" customFormat="1" ht="15" customHeight="1">
      <c r="A71" s="99"/>
      <c r="B71" s="161"/>
      <c r="C71" s="185"/>
      <c r="D71" s="185" t="s">
        <v>2009</v>
      </c>
      <c r="E71" s="162"/>
      <c r="F71" s="185"/>
      <c r="G71" s="185"/>
      <c r="H71" s="163"/>
      <c r="I71" s="164" t="s">
        <v>498</v>
      </c>
      <c r="J71" s="143">
        <v>1.1637749398648369</v>
      </c>
      <c r="K71" s="721"/>
      <c r="L71" s="715"/>
      <c r="M71" s="143">
        <v>1.0832877021191296</v>
      </c>
      <c r="N71" s="721"/>
      <c r="O71" s="721"/>
      <c r="P71" s="721"/>
      <c r="Q71" s="144">
        <v>1.0617839002652687</v>
      </c>
    </row>
    <row r="72" spans="1:17" s="98" customFormat="1" ht="15" customHeight="1">
      <c r="A72" s="99"/>
      <c r="B72" s="161"/>
      <c r="C72" s="185"/>
      <c r="D72" s="185" t="s">
        <v>2010</v>
      </c>
      <c r="E72" s="162"/>
      <c r="F72" s="185"/>
      <c r="G72" s="185"/>
      <c r="H72" s="163"/>
      <c r="I72" s="164" t="s">
        <v>498</v>
      </c>
      <c r="J72" s="143">
        <v>0</v>
      </c>
      <c r="K72" s="721"/>
      <c r="L72" s="715"/>
      <c r="M72" s="143">
        <v>0</v>
      </c>
      <c r="N72" s="721"/>
      <c r="O72" s="721"/>
      <c r="P72" s="721"/>
      <c r="Q72" s="144">
        <v>0</v>
      </c>
    </row>
    <row r="73" spans="1:17" s="98" customFormat="1" ht="15" customHeight="1">
      <c r="A73" s="99"/>
      <c r="B73" s="161"/>
      <c r="C73" s="185"/>
      <c r="D73" s="185" t="s">
        <v>2011</v>
      </c>
      <c r="E73" s="162"/>
      <c r="F73" s="185"/>
      <c r="G73" s="185"/>
      <c r="H73" s="163"/>
      <c r="I73" s="164" t="s">
        <v>498</v>
      </c>
      <c r="J73" s="143">
        <v>0</v>
      </c>
      <c r="K73" s="721"/>
      <c r="L73" s="715"/>
      <c r="M73" s="143">
        <v>0</v>
      </c>
      <c r="N73" s="721"/>
      <c r="O73" s="721"/>
      <c r="P73" s="721"/>
      <c r="Q73" s="144">
        <v>0</v>
      </c>
    </row>
    <row r="74" spans="1:17" s="98" customFormat="1" ht="15" customHeight="1">
      <c r="A74" s="99"/>
      <c r="B74" s="161"/>
      <c r="C74" s="185"/>
      <c r="D74" s="185" t="s">
        <v>2012</v>
      </c>
      <c r="E74" s="162"/>
      <c r="F74" s="185"/>
      <c r="G74" s="185"/>
      <c r="H74" s="163"/>
      <c r="I74" s="164" t="s">
        <v>498</v>
      </c>
      <c r="J74" s="143">
        <v>0.11252455019950869</v>
      </c>
      <c r="K74" s="721"/>
      <c r="L74" s="715"/>
      <c r="M74" s="143">
        <v>0.10474229788087008</v>
      </c>
      <c r="N74" s="721"/>
      <c r="O74" s="721"/>
      <c r="P74" s="721"/>
      <c r="Q74" s="144">
        <v>0.10266311096224978</v>
      </c>
    </row>
    <row r="75" spans="1:17" s="98" customFormat="1" ht="15" customHeight="1">
      <c r="A75" s="99"/>
      <c r="B75" s="161"/>
      <c r="C75" s="185"/>
      <c r="D75" s="162" t="s">
        <v>1710</v>
      </c>
      <c r="E75" s="162"/>
      <c r="F75" s="185"/>
      <c r="G75" s="185"/>
      <c r="H75" s="163"/>
      <c r="I75" s="164" t="s">
        <v>498</v>
      </c>
      <c r="J75" s="128">
        <f t="shared" ref="J75" si="24">SUM(J71:J74)</f>
        <v>1.2762994900643456</v>
      </c>
      <c r="K75" s="721"/>
      <c r="L75" s="715"/>
      <c r="M75" s="128">
        <f t="shared" ref="M75" si="25">SUM(M71:M74)</f>
        <v>1.1880299999999997</v>
      </c>
      <c r="N75" s="721"/>
      <c r="O75" s="721"/>
      <c r="P75" s="721"/>
      <c r="Q75" s="130">
        <f t="shared" ref="Q75" si="26">SUM(Q71:Q74)</f>
        <v>1.1644470112275185</v>
      </c>
    </row>
    <row r="76" spans="1:17" s="98" customFormat="1" ht="15" customHeight="1">
      <c r="A76" s="99"/>
      <c r="B76" s="181"/>
      <c r="C76" s="185"/>
      <c r="D76" s="185"/>
      <c r="E76" s="182"/>
      <c r="F76" s="185"/>
      <c r="G76" s="184"/>
      <c r="H76" s="184"/>
      <c r="I76" s="117"/>
      <c r="J76" s="716"/>
      <c r="K76" s="721"/>
      <c r="L76" s="715"/>
      <c r="M76" s="714"/>
      <c r="N76" s="721"/>
      <c r="O76" s="721"/>
      <c r="P76" s="721"/>
      <c r="Q76" s="715"/>
    </row>
    <row r="77" spans="1:17" s="98" customFormat="1" ht="15" customHeight="1">
      <c r="A77" s="99"/>
      <c r="B77" s="161"/>
      <c r="C77" s="186" t="s">
        <v>1717</v>
      </c>
      <c r="D77" s="186"/>
      <c r="E77" s="186"/>
      <c r="F77" s="162"/>
      <c r="G77" s="163"/>
      <c r="H77" s="163"/>
      <c r="I77" s="117"/>
      <c r="J77" s="713"/>
      <c r="K77" s="721"/>
      <c r="L77" s="715"/>
      <c r="M77" s="713"/>
      <c r="N77" s="721"/>
      <c r="O77" s="721"/>
      <c r="P77" s="721"/>
      <c r="Q77" s="715"/>
    </row>
    <row r="78" spans="1:17" s="98" customFormat="1" ht="15" customHeight="1">
      <c r="A78" s="99"/>
      <c r="B78" s="161"/>
      <c r="C78" s="185"/>
      <c r="D78" s="185" t="s">
        <v>2009</v>
      </c>
      <c r="E78" s="162"/>
      <c r="F78" s="185"/>
      <c r="G78" s="185"/>
      <c r="H78" s="163"/>
      <c r="I78" s="164" t="s">
        <v>498</v>
      </c>
      <c r="J78" s="143">
        <v>2.5746830558617293</v>
      </c>
      <c r="K78" s="721"/>
      <c r="L78" s="715"/>
      <c r="M78" s="143">
        <v>2.4479900015795919</v>
      </c>
      <c r="N78" s="721"/>
      <c r="O78" s="721"/>
      <c r="P78" s="721"/>
      <c r="Q78" s="144">
        <v>2.3993961775832306</v>
      </c>
    </row>
    <row r="79" spans="1:17" s="98" customFormat="1" ht="15" customHeight="1">
      <c r="A79" s="99"/>
      <c r="B79" s="161"/>
      <c r="C79" s="185"/>
      <c r="D79" s="185" t="s">
        <v>2010</v>
      </c>
      <c r="E79" s="162"/>
      <c r="F79" s="185"/>
      <c r="G79" s="185"/>
      <c r="H79" s="163"/>
      <c r="I79" s="164" t="s">
        <v>498</v>
      </c>
      <c r="J79" s="143">
        <v>0</v>
      </c>
      <c r="K79" s="721"/>
      <c r="L79" s="715"/>
      <c r="M79" s="143">
        <v>0</v>
      </c>
      <c r="N79" s="721"/>
      <c r="O79" s="721"/>
      <c r="P79" s="721"/>
      <c r="Q79" s="144">
        <v>0</v>
      </c>
    </row>
    <row r="80" spans="1:17" s="98" customFormat="1" ht="15" customHeight="1">
      <c r="A80" s="99"/>
      <c r="B80" s="161"/>
      <c r="C80" s="185"/>
      <c r="D80" s="185" t="s">
        <v>2011</v>
      </c>
      <c r="E80" s="162"/>
      <c r="F80" s="185"/>
      <c r="G80" s="185"/>
      <c r="H80" s="163"/>
      <c r="I80" s="164" t="s">
        <v>498</v>
      </c>
      <c r="J80" s="143">
        <v>0</v>
      </c>
      <c r="K80" s="721"/>
      <c r="L80" s="715"/>
      <c r="M80" s="143">
        <v>0</v>
      </c>
      <c r="N80" s="721"/>
      <c r="O80" s="721"/>
      <c r="P80" s="721"/>
      <c r="Q80" s="144">
        <v>0</v>
      </c>
    </row>
    <row r="81" spans="1:17" s="98" customFormat="1" ht="15" customHeight="1">
      <c r="A81" s="99"/>
      <c r="B81" s="161"/>
      <c r="C81" s="185"/>
      <c r="D81" s="185" t="s">
        <v>2012</v>
      </c>
      <c r="E81" s="162"/>
      <c r="F81" s="185"/>
      <c r="G81" s="185"/>
      <c r="H81" s="163"/>
      <c r="I81" s="164" t="s">
        <v>498</v>
      </c>
      <c r="J81" s="143">
        <v>1.2416271454133105</v>
      </c>
      <c r="K81" s="721"/>
      <c r="L81" s="715"/>
      <c r="M81" s="143">
        <v>1.2335099984204074</v>
      </c>
      <c r="N81" s="721"/>
      <c r="O81" s="721"/>
      <c r="P81" s="721"/>
      <c r="Q81" s="144">
        <v>1.209024208967707</v>
      </c>
    </row>
    <row r="82" spans="1:17" s="98" customFormat="1" ht="15" customHeight="1">
      <c r="A82" s="99"/>
      <c r="B82" s="161"/>
      <c r="C82" s="185"/>
      <c r="D82" s="162" t="s">
        <v>1710</v>
      </c>
      <c r="E82" s="162"/>
      <c r="F82" s="185"/>
      <c r="G82" s="185"/>
      <c r="H82" s="163"/>
      <c r="I82" s="164" t="s">
        <v>498</v>
      </c>
      <c r="J82" s="128">
        <f t="shared" ref="J82" si="27">SUM(J78:J81)</f>
        <v>3.8163102012750398</v>
      </c>
      <c r="K82" s="721"/>
      <c r="L82" s="715"/>
      <c r="M82" s="128">
        <f t="shared" ref="M82" si="28">SUM(M78:M81)</f>
        <v>3.6814999999999993</v>
      </c>
      <c r="N82" s="721"/>
      <c r="O82" s="721"/>
      <c r="P82" s="721"/>
      <c r="Q82" s="130">
        <f t="shared" ref="Q82" si="29">SUM(Q78:Q81)</f>
        <v>3.6084203865509377</v>
      </c>
    </row>
    <row r="83" spans="1:17" s="98" customFormat="1" ht="15" customHeight="1">
      <c r="A83" s="99"/>
      <c r="B83" s="181"/>
      <c r="C83" s="185"/>
      <c r="D83" s="185"/>
      <c r="E83" s="182"/>
      <c r="F83" s="185"/>
      <c r="G83" s="184"/>
      <c r="H83" s="184"/>
      <c r="I83" s="117"/>
      <c r="J83" s="716"/>
      <c r="K83" s="721"/>
      <c r="L83" s="715"/>
      <c r="M83" s="714"/>
      <c r="N83" s="721"/>
      <c r="O83" s="721"/>
      <c r="P83" s="721"/>
      <c r="Q83" s="715"/>
    </row>
    <row r="84" spans="1:17" s="98" customFormat="1" ht="15" customHeight="1">
      <c r="A84" s="99"/>
      <c r="B84" s="161"/>
      <c r="C84" s="186" t="s">
        <v>1718</v>
      </c>
      <c r="D84" s="186"/>
      <c r="E84" s="186"/>
      <c r="F84" s="162"/>
      <c r="G84" s="163"/>
      <c r="H84" s="163"/>
      <c r="I84" s="117"/>
      <c r="J84" s="713"/>
      <c r="K84" s="721"/>
      <c r="L84" s="715"/>
      <c r="M84" s="713"/>
      <c r="N84" s="721"/>
      <c r="O84" s="721"/>
      <c r="P84" s="721"/>
      <c r="Q84" s="715"/>
    </row>
    <row r="85" spans="1:17" s="98" customFormat="1" ht="15" customHeight="1">
      <c r="A85" s="99"/>
      <c r="B85" s="161"/>
      <c r="C85" s="185"/>
      <c r="D85" s="185" t="s">
        <v>2009</v>
      </c>
      <c r="E85" s="162"/>
      <c r="F85" s="185"/>
      <c r="G85" s="185"/>
      <c r="H85" s="163"/>
      <c r="I85" s="164" t="s">
        <v>498</v>
      </c>
      <c r="J85" s="143">
        <v>0.1848568161517524</v>
      </c>
      <c r="K85" s="721"/>
      <c r="L85" s="715"/>
      <c r="M85" s="143">
        <v>0.1848568161517524</v>
      </c>
      <c r="N85" s="721"/>
      <c r="O85" s="721"/>
      <c r="P85" s="721"/>
      <c r="Q85" s="144">
        <v>0.1848568161517524</v>
      </c>
    </row>
    <row r="86" spans="1:17" s="98" customFormat="1" ht="15" customHeight="1">
      <c r="A86" s="99"/>
      <c r="B86" s="161"/>
      <c r="C86" s="185"/>
      <c r="D86" s="185" t="s">
        <v>2010</v>
      </c>
      <c r="E86" s="162"/>
      <c r="F86" s="185"/>
      <c r="G86" s="185"/>
      <c r="H86" s="163"/>
      <c r="I86" s="164" t="s">
        <v>498</v>
      </c>
      <c r="J86" s="143">
        <v>0</v>
      </c>
      <c r="K86" s="721"/>
      <c r="L86" s="715"/>
      <c r="M86" s="143">
        <v>0</v>
      </c>
      <c r="N86" s="721"/>
      <c r="O86" s="721"/>
      <c r="P86" s="721"/>
      <c r="Q86" s="144">
        <v>0</v>
      </c>
    </row>
    <row r="87" spans="1:17" s="98" customFormat="1" ht="15" customHeight="1">
      <c r="A87" s="99"/>
      <c r="B87" s="161"/>
      <c r="C87" s="185"/>
      <c r="D87" s="185" t="s">
        <v>2011</v>
      </c>
      <c r="E87" s="162"/>
      <c r="F87" s="185"/>
      <c r="G87" s="185"/>
      <c r="H87" s="163"/>
      <c r="I87" s="164" t="s">
        <v>498</v>
      </c>
      <c r="J87" s="143">
        <v>0</v>
      </c>
      <c r="K87" s="721"/>
      <c r="L87" s="715"/>
      <c r="M87" s="143">
        <v>0</v>
      </c>
      <c r="N87" s="721"/>
      <c r="O87" s="721"/>
      <c r="P87" s="721"/>
      <c r="Q87" s="144">
        <v>0</v>
      </c>
    </row>
    <row r="88" spans="1:17" s="98" customFormat="1" ht="15" customHeight="1">
      <c r="A88" s="99"/>
      <c r="B88" s="161"/>
      <c r="C88" s="185"/>
      <c r="D88" s="185" t="s">
        <v>2012</v>
      </c>
      <c r="E88" s="162"/>
      <c r="F88" s="185"/>
      <c r="G88" s="185"/>
      <c r="H88" s="163"/>
      <c r="I88" s="164" t="s">
        <v>498</v>
      </c>
      <c r="J88" s="143">
        <v>2.6893224233388664</v>
      </c>
      <c r="K88" s="721"/>
      <c r="L88" s="715"/>
      <c r="M88" s="143">
        <v>3.1152070000022651</v>
      </c>
      <c r="N88" s="721"/>
      <c r="O88" s="721"/>
      <c r="P88" s="721"/>
      <c r="Q88" s="144">
        <v>3.1152070000022651</v>
      </c>
    </row>
    <row r="89" spans="1:17" s="98" customFormat="1" ht="15" customHeight="1">
      <c r="A89" s="99"/>
      <c r="B89" s="161"/>
      <c r="C89" s="185"/>
      <c r="D89" s="162" t="s">
        <v>1710</v>
      </c>
      <c r="E89" s="162"/>
      <c r="F89" s="185"/>
      <c r="G89" s="185"/>
      <c r="H89" s="163"/>
      <c r="I89" s="164" t="s">
        <v>498</v>
      </c>
      <c r="J89" s="128">
        <f t="shared" ref="J89" si="30">SUM(J85:J88)</f>
        <v>2.8741792394906187</v>
      </c>
      <c r="K89" s="721"/>
      <c r="L89" s="715"/>
      <c r="M89" s="128">
        <f t="shared" ref="M89" si="31">SUM(M85:M88)</f>
        <v>3.3000638161540174</v>
      </c>
      <c r="N89" s="721"/>
      <c r="O89" s="721"/>
      <c r="P89" s="721"/>
      <c r="Q89" s="130">
        <f t="shared" ref="Q89" si="32">SUM(Q85:Q88)</f>
        <v>3.3000638161540174</v>
      </c>
    </row>
    <row r="90" spans="1:17" s="98" customFormat="1" ht="15" customHeight="1">
      <c r="A90" s="99"/>
      <c r="B90" s="181"/>
      <c r="C90" s="185"/>
      <c r="D90" s="185"/>
      <c r="E90" s="182"/>
      <c r="F90" s="185"/>
      <c r="G90" s="184"/>
      <c r="H90" s="184"/>
      <c r="I90" s="117"/>
      <c r="J90" s="716"/>
      <c r="K90" s="721"/>
      <c r="L90" s="715"/>
      <c r="M90" s="714"/>
      <c r="N90" s="721"/>
      <c r="O90" s="721"/>
      <c r="P90" s="721"/>
      <c r="Q90" s="715"/>
    </row>
    <row r="91" spans="1:17" s="98" customFormat="1" ht="15" customHeight="1">
      <c r="A91" s="99"/>
      <c r="B91" s="161"/>
      <c r="C91" s="186" t="s">
        <v>1719</v>
      </c>
      <c r="D91" s="186"/>
      <c r="E91" s="186"/>
      <c r="F91" s="162"/>
      <c r="G91" s="163"/>
      <c r="H91" s="163"/>
      <c r="I91" s="117"/>
      <c r="J91" s="713"/>
      <c r="K91" s="721"/>
      <c r="L91" s="715"/>
      <c r="M91" s="713"/>
      <c r="N91" s="721"/>
      <c r="O91" s="721"/>
      <c r="P91" s="721"/>
      <c r="Q91" s="715"/>
    </row>
    <row r="92" spans="1:17" s="98" customFormat="1" ht="15" customHeight="1">
      <c r="A92" s="99"/>
      <c r="B92" s="161"/>
      <c r="C92" s="185"/>
      <c r="D92" s="185" t="s">
        <v>2009</v>
      </c>
      <c r="E92" s="162"/>
      <c r="F92" s="185"/>
      <c r="G92" s="185"/>
      <c r="H92" s="163"/>
      <c r="I92" s="164" t="s">
        <v>498</v>
      </c>
      <c r="J92" s="143">
        <v>0.20959303991237349</v>
      </c>
      <c r="K92" s="721"/>
      <c r="L92" s="715"/>
      <c r="M92" s="143">
        <v>0.21194118921942892</v>
      </c>
      <c r="N92" s="721"/>
      <c r="O92" s="721"/>
      <c r="P92" s="721"/>
      <c r="Q92" s="144">
        <v>0.21194118921942892</v>
      </c>
    </row>
    <row r="93" spans="1:17" s="98" customFormat="1" ht="15" customHeight="1">
      <c r="A93" s="99"/>
      <c r="B93" s="161"/>
      <c r="C93" s="185"/>
      <c r="D93" s="185" t="s">
        <v>2010</v>
      </c>
      <c r="E93" s="162"/>
      <c r="F93" s="185"/>
      <c r="G93" s="185"/>
      <c r="H93" s="163"/>
      <c r="I93" s="164" t="s">
        <v>498</v>
      </c>
      <c r="J93" s="143">
        <v>0</v>
      </c>
      <c r="K93" s="721"/>
      <c r="L93" s="715"/>
      <c r="M93" s="143">
        <v>0</v>
      </c>
      <c r="N93" s="721"/>
      <c r="O93" s="721"/>
      <c r="P93" s="721"/>
      <c r="Q93" s="144">
        <v>0</v>
      </c>
    </row>
    <row r="94" spans="1:17" s="98" customFormat="1" ht="15" customHeight="1">
      <c r="A94" s="99"/>
      <c r="B94" s="161"/>
      <c r="C94" s="185"/>
      <c r="D94" s="185" t="s">
        <v>2011</v>
      </c>
      <c r="E94" s="162"/>
      <c r="F94" s="185"/>
      <c r="G94" s="185"/>
      <c r="H94" s="163"/>
      <c r="I94" s="164" t="s">
        <v>498</v>
      </c>
      <c r="J94" s="143">
        <v>0</v>
      </c>
      <c r="K94" s="721"/>
      <c r="L94" s="715"/>
      <c r="M94" s="143">
        <v>0</v>
      </c>
      <c r="N94" s="721"/>
      <c r="O94" s="721"/>
      <c r="P94" s="721"/>
      <c r="Q94" s="144">
        <v>0</v>
      </c>
    </row>
    <row r="95" spans="1:17" s="98" customFormat="1" ht="15" customHeight="1">
      <c r="A95" s="99"/>
      <c r="B95" s="161"/>
      <c r="C95" s="185"/>
      <c r="D95" s="185" t="s">
        <v>2012</v>
      </c>
      <c r="E95" s="162"/>
      <c r="F95" s="185"/>
      <c r="G95" s="185"/>
      <c r="H95" s="163"/>
      <c r="I95" s="164" t="s">
        <v>498</v>
      </c>
      <c r="J95" s="143">
        <v>0.11824246724229298</v>
      </c>
      <c r="K95" s="721"/>
      <c r="L95" s="715"/>
      <c r="M95" s="143">
        <v>0.11962771703582251</v>
      </c>
      <c r="N95" s="721"/>
      <c r="O95" s="721"/>
      <c r="P95" s="721"/>
      <c r="Q95" s="144">
        <v>0.11962771703582251</v>
      </c>
    </row>
    <row r="96" spans="1:17" s="98" customFormat="1" ht="15" customHeight="1">
      <c r="A96" s="99"/>
      <c r="B96" s="161"/>
      <c r="C96" s="185"/>
      <c r="D96" s="162" t="s">
        <v>1710</v>
      </c>
      <c r="E96" s="162"/>
      <c r="F96" s="185"/>
      <c r="G96" s="185"/>
      <c r="H96" s="163"/>
      <c r="I96" s="164" t="s">
        <v>498</v>
      </c>
      <c r="J96" s="128">
        <f t="shared" ref="J96" si="33">SUM(J92:J95)</f>
        <v>0.32783550715466647</v>
      </c>
      <c r="K96" s="721"/>
      <c r="L96" s="715"/>
      <c r="M96" s="128">
        <f t="shared" ref="M96" si="34">SUM(M92:M95)</f>
        <v>0.33156890625525143</v>
      </c>
      <c r="N96" s="721"/>
      <c r="O96" s="721"/>
      <c r="P96" s="721"/>
      <c r="Q96" s="130">
        <f t="shared" ref="Q96" si="35">SUM(Q92:Q95)</f>
        <v>0.33156890625525143</v>
      </c>
    </row>
    <row r="97" spans="1:17" s="98" customFormat="1" ht="15" customHeight="1">
      <c r="A97" s="99"/>
      <c r="B97" s="181"/>
      <c r="C97" s="185"/>
      <c r="D97" s="185"/>
      <c r="E97" s="182"/>
      <c r="F97" s="185"/>
      <c r="G97" s="184"/>
      <c r="H97" s="184"/>
      <c r="I97" s="117"/>
      <c r="J97" s="716"/>
      <c r="K97" s="721"/>
      <c r="L97" s="715"/>
      <c r="M97" s="714"/>
      <c r="N97" s="721"/>
      <c r="O97" s="721"/>
      <c r="P97" s="721"/>
      <c r="Q97" s="715"/>
    </row>
    <row r="98" spans="1:17" s="98" customFormat="1" ht="15" customHeight="1">
      <c r="A98" s="99"/>
      <c r="B98" s="161"/>
      <c r="C98" s="186" t="s">
        <v>1720</v>
      </c>
      <c r="D98" s="186"/>
      <c r="E98" s="186"/>
      <c r="F98" s="162"/>
      <c r="G98" s="163"/>
      <c r="H98" s="163"/>
      <c r="I98" s="117"/>
      <c r="J98" s="713"/>
      <c r="K98" s="721"/>
      <c r="L98" s="715"/>
      <c r="M98" s="713"/>
      <c r="N98" s="721"/>
      <c r="O98" s="721"/>
      <c r="P98" s="721"/>
      <c r="Q98" s="715"/>
    </row>
    <row r="99" spans="1:17" s="98" customFormat="1" ht="15" customHeight="1">
      <c r="A99" s="99"/>
      <c r="B99" s="161"/>
      <c r="C99" s="185"/>
      <c r="D99" s="185" t="s">
        <v>2009</v>
      </c>
      <c r="E99" s="162"/>
      <c r="F99" s="185"/>
      <c r="G99" s="185"/>
      <c r="H99" s="163"/>
      <c r="I99" s="164" t="s">
        <v>498</v>
      </c>
      <c r="J99" s="143">
        <v>3.2303825533575883</v>
      </c>
      <c r="K99" s="721"/>
      <c r="L99" s="715"/>
      <c r="M99" s="143">
        <v>3.2252241593396276</v>
      </c>
      <c r="N99" s="721"/>
      <c r="O99" s="721"/>
      <c r="P99" s="721"/>
      <c r="Q99" s="144">
        <v>3.1612018491804212</v>
      </c>
    </row>
    <row r="100" spans="1:17" s="98" customFormat="1" ht="15" customHeight="1">
      <c r="A100" s="99"/>
      <c r="B100" s="161"/>
      <c r="C100" s="185"/>
      <c r="D100" s="185" t="s">
        <v>2010</v>
      </c>
      <c r="E100" s="162"/>
      <c r="F100" s="185"/>
      <c r="G100" s="185"/>
      <c r="H100" s="163"/>
      <c r="I100" s="164" t="s">
        <v>498</v>
      </c>
      <c r="J100" s="143">
        <v>0</v>
      </c>
      <c r="K100" s="721"/>
      <c r="L100" s="715"/>
      <c r="M100" s="143">
        <v>0</v>
      </c>
      <c r="N100" s="721"/>
      <c r="O100" s="721"/>
      <c r="P100" s="721"/>
      <c r="Q100" s="144">
        <v>0</v>
      </c>
    </row>
    <row r="101" spans="1:17" s="98" customFormat="1" ht="15" customHeight="1">
      <c r="A101" s="99"/>
      <c r="B101" s="161"/>
      <c r="C101" s="185"/>
      <c r="D101" s="185" t="s">
        <v>2011</v>
      </c>
      <c r="E101" s="162"/>
      <c r="F101" s="185"/>
      <c r="G101" s="185"/>
      <c r="H101" s="163"/>
      <c r="I101" s="164" t="s">
        <v>498</v>
      </c>
      <c r="J101" s="143">
        <v>0</v>
      </c>
      <c r="K101" s="721"/>
      <c r="L101" s="715"/>
      <c r="M101" s="143">
        <v>0</v>
      </c>
      <c r="N101" s="721"/>
      <c r="O101" s="721"/>
      <c r="P101" s="721"/>
      <c r="Q101" s="144">
        <v>0</v>
      </c>
    </row>
    <row r="102" spans="1:17" s="98" customFormat="1" ht="15" customHeight="1">
      <c r="A102" s="99"/>
      <c r="B102" s="161"/>
      <c r="C102" s="185"/>
      <c r="D102" s="185" t="s">
        <v>2012</v>
      </c>
      <c r="E102" s="162"/>
      <c r="F102" s="185"/>
      <c r="G102" s="185"/>
      <c r="H102" s="163"/>
      <c r="I102" s="164" t="s">
        <v>498</v>
      </c>
      <c r="J102" s="143">
        <v>1.024872954282444</v>
      </c>
      <c r="K102" s="721"/>
      <c r="L102" s="715"/>
      <c r="M102" s="143">
        <v>1.3401420876314178</v>
      </c>
      <c r="N102" s="721"/>
      <c r="O102" s="721"/>
      <c r="P102" s="721"/>
      <c r="Q102" s="144">
        <v>1.3135395979584787</v>
      </c>
    </row>
    <row r="103" spans="1:17" s="98" customFormat="1" ht="15" customHeight="1">
      <c r="A103" s="99"/>
      <c r="B103" s="161"/>
      <c r="C103" s="185"/>
      <c r="D103" s="162" t="s">
        <v>1710</v>
      </c>
      <c r="E103" s="162"/>
      <c r="F103" s="185"/>
      <c r="G103" s="185"/>
      <c r="H103" s="163"/>
      <c r="I103" s="164" t="s">
        <v>498</v>
      </c>
      <c r="J103" s="128">
        <f t="shared" ref="J103" si="36">SUM(J99:J102)</f>
        <v>4.2552555076400322</v>
      </c>
      <c r="K103" s="721"/>
      <c r="L103" s="715"/>
      <c r="M103" s="128">
        <f t="shared" ref="M103" si="37">SUM(M99:M102)</f>
        <v>4.5653662469710454</v>
      </c>
      <c r="N103" s="721"/>
      <c r="O103" s="721"/>
      <c r="P103" s="721"/>
      <c r="Q103" s="130">
        <f t="shared" ref="Q103" si="38">SUM(Q99:Q102)</f>
        <v>4.4747414471389</v>
      </c>
    </row>
    <row r="104" spans="1:17" s="98" customFormat="1" ht="15" customHeight="1">
      <c r="A104" s="99"/>
      <c r="B104" s="181"/>
      <c r="C104" s="185"/>
      <c r="D104" s="185"/>
      <c r="E104" s="182"/>
      <c r="F104" s="185"/>
      <c r="G104" s="184"/>
      <c r="H104" s="184"/>
      <c r="I104" s="117"/>
      <c r="J104" s="716"/>
      <c r="K104" s="721"/>
      <c r="L104" s="715"/>
      <c r="M104" s="714"/>
      <c r="N104" s="721"/>
      <c r="O104" s="721"/>
      <c r="P104" s="721"/>
      <c r="Q104" s="715"/>
    </row>
    <row r="105" spans="1:17" s="98" customFormat="1" ht="15" customHeight="1">
      <c r="A105" s="99"/>
      <c r="B105" s="161"/>
      <c r="C105" s="186" t="s">
        <v>1721</v>
      </c>
      <c r="D105" s="186"/>
      <c r="E105" s="186"/>
      <c r="F105" s="162"/>
      <c r="G105" s="163"/>
      <c r="H105" s="163"/>
      <c r="I105" s="117"/>
      <c r="J105" s="713"/>
      <c r="K105" s="721"/>
      <c r="L105" s="715"/>
      <c r="M105" s="713"/>
      <c r="N105" s="721"/>
      <c r="O105" s="721"/>
      <c r="P105" s="721"/>
      <c r="Q105" s="715"/>
    </row>
    <row r="106" spans="1:17" s="98" customFormat="1" ht="15" customHeight="1">
      <c r="A106" s="99"/>
      <c r="B106" s="161"/>
      <c r="C106" s="185"/>
      <c r="D106" s="185" t="s">
        <v>2009</v>
      </c>
      <c r="E106" s="162"/>
      <c r="F106" s="185"/>
      <c r="G106" s="185"/>
      <c r="H106" s="163"/>
      <c r="I106" s="164" t="s">
        <v>498</v>
      </c>
      <c r="J106" s="143">
        <v>0</v>
      </c>
      <c r="K106" s="721"/>
      <c r="L106" s="715"/>
      <c r="M106" s="143">
        <v>0</v>
      </c>
      <c r="N106" s="721"/>
      <c r="O106" s="721"/>
      <c r="P106" s="721"/>
      <c r="Q106" s="144">
        <v>0</v>
      </c>
    </row>
    <row r="107" spans="1:17" s="98" customFormat="1" ht="15" customHeight="1">
      <c r="A107" s="99"/>
      <c r="B107" s="161"/>
      <c r="C107" s="185"/>
      <c r="D107" s="185" t="s">
        <v>2010</v>
      </c>
      <c r="E107" s="162"/>
      <c r="F107" s="185"/>
      <c r="G107" s="185"/>
      <c r="H107" s="163"/>
      <c r="I107" s="164" t="s">
        <v>498</v>
      </c>
      <c r="J107" s="143">
        <v>0</v>
      </c>
      <c r="K107" s="721"/>
      <c r="L107" s="715"/>
      <c r="M107" s="143">
        <v>0</v>
      </c>
      <c r="N107" s="721"/>
      <c r="O107" s="721"/>
      <c r="P107" s="721"/>
      <c r="Q107" s="144">
        <v>0</v>
      </c>
    </row>
    <row r="108" spans="1:17" s="98" customFormat="1" ht="15" customHeight="1">
      <c r="A108" s="99"/>
      <c r="B108" s="161"/>
      <c r="C108" s="185"/>
      <c r="D108" s="185" t="s">
        <v>2011</v>
      </c>
      <c r="E108" s="162"/>
      <c r="F108" s="185"/>
      <c r="G108" s="185"/>
      <c r="H108" s="163"/>
      <c r="I108" s="164" t="s">
        <v>498</v>
      </c>
      <c r="J108" s="143">
        <v>0</v>
      </c>
      <c r="K108" s="721"/>
      <c r="L108" s="715"/>
      <c r="M108" s="143">
        <v>0</v>
      </c>
      <c r="N108" s="721"/>
      <c r="O108" s="721"/>
      <c r="P108" s="721"/>
      <c r="Q108" s="144">
        <v>0</v>
      </c>
    </row>
    <row r="109" spans="1:17" s="98" customFormat="1" ht="15" customHeight="1">
      <c r="A109" s="99"/>
      <c r="B109" s="161"/>
      <c r="C109" s="185"/>
      <c r="D109" s="185" t="s">
        <v>2012</v>
      </c>
      <c r="E109" s="162"/>
      <c r="F109" s="185"/>
      <c r="G109" s="185"/>
      <c r="H109" s="163"/>
      <c r="I109" s="164" t="s">
        <v>498</v>
      </c>
      <c r="J109" s="143">
        <v>0</v>
      </c>
      <c r="K109" s="721"/>
      <c r="L109" s="715"/>
      <c r="M109" s="143">
        <v>0</v>
      </c>
      <c r="N109" s="721"/>
      <c r="O109" s="721"/>
      <c r="P109" s="721"/>
      <c r="Q109" s="144">
        <v>0</v>
      </c>
    </row>
    <row r="110" spans="1:17" s="98" customFormat="1" ht="15" customHeight="1" thickBot="1">
      <c r="A110" s="99"/>
      <c r="B110" s="191"/>
      <c r="C110" s="192"/>
      <c r="D110" s="193" t="s">
        <v>1710</v>
      </c>
      <c r="E110" s="193"/>
      <c r="F110" s="192"/>
      <c r="G110" s="192"/>
      <c r="H110" s="194"/>
      <c r="I110" s="195" t="s">
        <v>498</v>
      </c>
      <c r="J110" s="177">
        <f t="shared" ref="J110" si="39">SUM(J106:J109)</f>
        <v>0</v>
      </c>
      <c r="K110" s="1373"/>
      <c r="L110" s="970"/>
      <c r="M110" s="177">
        <f t="shared" ref="M110" si="40">SUM(M106:M109)</f>
        <v>0</v>
      </c>
      <c r="N110" s="1373"/>
      <c r="O110" s="1373"/>
      <c r="P110" s="1373"/>
      <c r="Q110" s="179">
        <f t="shared" ref="Q110" si="41">SUM(Q106:Q109)</f>
        <v>0</v>
      </c>
    </row>
    <row r="111" spans="1:17" s="99" customFormat="1" ht="15" customHeight="1" thickBot="1">
      <c r="B111" s="150"/>
      <c r="C111" s="150"/>
      <c r="D111" s="150"/>
      <c r="E111" s="150"/>
      <c r="F111" s="150"/>
      <c r="G111" s="97"/>
      <c r="H111" s="97"/>
      <c r="I111" s="98"/>
      <c r="J111" s="98"/>
      <c r="K111" s="98"/>
      <c r="L111" s="98"/>
      <c r="M111" s="98"/>
      <c r="N111" s="98"/>
      <c r="O111" s="98"/>
      <c r="P111" s="98"/>
      <c r="Q111" s="98"/>
    </row>
    <row r="112" spans="1:17" s="100" customFormat="1" ht="30" customHeight="1" thickBot="1">
      <c r="A112" s="89"/>
      <c r="B112" s="621" t="s">
        <v>1676</v>
      </c>
      <c r="C112" s="102"/>
      <c r="D112" s="102"/>
      <c r="E112" s="102"/>
      <c r="F112" s="102"/>
      <c r="G112" s="103"/>
      <c r="H112" s="103"/>
      <c r="I112" s="105" t="s">
        <v>1704</v>
      </c>
      <c r="J112" s="106"/>
      <c r="K112" s="106"/>
      <c r="L112" s="106"/>
      <c r="M112" s="105"/>
      <c r="N112" s="105"/>
      <c r="O112" s="105"/>
      <c r="P112" s="105"/>
      <c r="Q112" s="187"/>
    </row>
    <row r="113" spans="1:17" s="157" customFormat="1" ht="30" customHeight="1">
      <c r="A113" s="99"/>
      <c r="B113" s="123"/>
      <c r="C113" s="127"/>
      <c r="D113" s="127"/>
      <c r="E113" s="127"/>
      <c r="F113" s="127"/>
      <c r="G113" s="117"/>
      <c r="H113" s="111"/>
      <c r="I113" s="117"/>
      <c r="J113" s="695" t="s">
        <v>1666</v>
      </c>
      <c r="K113" s="152"/>
      <c r="L113" s="153"/>
      <c r="M113" s="696" t="s">
        <v>2</v>
      </c>
      <c r="N113" s="155"/>
      <c r="O113" s="155"/>
      <c r="P113" s="155"/>
      <c r="Q113" s="156"/>
    </row>
    <row r="114" spans="1:17" s="98" customFormat="1" ht="15" customHeight="1">
      <c r="A114" s="99"/>
      <c r="B114" s="115"/>
      <c r="C114" s="116"/>
      <c r="D114" s="116"/>
      <c r="E114" s="116"/>
      <c r="F114" s="116"/>
      <c r="G114" s="117"/>
      <c r="H114" s="117"/>
      <c r="I114" s="119" t="s">
        <v>1667</v>
      </c>
      <c r="J114" s="158" t="s">
        <v>463</v>
      </c>
      <c r="K114" s="137" t="s">
        <v>465</v>
      </c>
      <c r="L114" s="138" t="s">
        <v>467</v>
      </c>
      <c r="M114" s="120" t="s">
        <v>469</v>
      </c>
      <c r="N114" s="121" t="s">
        <v>471</v>
      </c>
      <c r="O114" s="121" t="s">
        <v>473</v>
      </c>
      <c r="P114" s="121" t="s">
        <v>475</v>
      </c>
      <c r="Q114" s="122" t="s">
        <v>477</v>
      </c>
    </row>
    <row r="115" spans="1:17" s="98" customFormat="1" ht="15" customHeight="1">
      <c r="A115" s="99"/>
      <c r="B115" s="161"/>
      <c r="C115" s="186" t="s">
        <v>1676</v>
      </c>
      <c r="D115" s="186"/>
      <c r="E115" s="186"/>
      <c r="F115" s="162"/>
      <c r="G115" s="163"/>
      <c r="H115" s="163"/>
      <c r="I115" s="117"/>
      <c r="J115" s="159"/>
      <c r="K115" s="117"/>
      <c r="L115" s="160"/>
      <c r="M115" s="159"/>
      <c r="N115" s="117"/>
      <c r="O115" s="117"/>
      <c r="P115" s="117"/>
      <c r="Q115" s="160"/>
    </row>
    <row r="116" spans="1:17" s="98" customFormat="1" ht="15" customHeight="1">
      <c r="A116" s="99"/>
      <c r="B116" s="161"/>
      <c r="C116" s="185"/>
      <c r="D116" s="185" t="s">
        <v>2009</v>
      </c>
      <c r="E116" s="162"/>
      <c r="F116" s="185"/>
      <c r="G116" s="185"/>
      <c r="H116" s="163"/>
      <c r="I116" s="164" t="s">
        <v>498</v>
      </c>
      <c r="J116" s="143">
        <v>0.95552602581890633</v>
      </c>
      <c r="K116" s="117"/>
      <c r="L116" s="160"/>
      <c r="M116" s="143">
        <v>2.0516534621150537</v>
      </c>
      <c r="N116" s="117"/>
      <c r="O116" s="117"/>
      <c r="P116" s="117"/>
      <c r="Q116" s="144">
        <v>1.8731989621150538</v>
      </c>
    </row>
    <row r="117" spans="1:17" s="98" customFormat="1" ht="15" customHeight="1">
      <c r="A117" s="99"/>
      <c r="B117" s="161"/>
      <c r="C117" s="185"/>
      <c r="D117" s="185" t="s">
        <v>2010</v>
      </c>
      <c r="E117" s="162"/>
      <c r="F117" s="185"/>
      <c r="G117" s="185"/>
      <c r="H117" s="163"/>
      <c r="I117" s="164" t="s">
        <v>498</v>
      </c>
      <c r="J117" s="143">
        <v>0</v>
      </c>
      <c r="K117" s="117"/>
      <c r="L117" s="160"/>
      <c r="M117" s="143">
        <v>0</v>
      </c>
      <c r="N117" s="117"/>
      <c r="O117" s="117"/>
      <c r="P117" s="117"/>
      <c r="Q117" s="144">
        <v>0</v>
      </c>
    </row>
    <row r="118" spans="1:17" s="98" customFormat="1" ht="15" customHeight="1">
      <c r="A118" s="99"/>
      <c r="B118" s="161"/>
      <c r="C118" s="185"/>
      <c r="D118" s="185" t="s">
        <v>2011</v>
      </c>
      <c r="E118" s="162"/>
      <c r="F118" s="185"/>
      <c r="G118" s="185"/>
      <c r="H118" s="163"/>
      <c r="I118" s="164" t="s">
        <v>498</v>
      </c>
      <c r="J118" s="143">
        <v>0</v>
      </c>
      <c r="K118" s="117"/>
      <c r="L118" s="160"/>
      <c r="M118" s="143">
        <v>0</v>
      </c>
      <c r="N118" s="117"/>
      <c r="O118" s="117"/>
      <c r="P118" s="117"/>
      <c r="Q118" s="144">
        <v>0</v>
      </c>
    </row>
    <row r="119" spans="1:17" s="98" customFormat="1" ht="15" customHeight="1">
      <c r="A119" s="99"/>
      <c r="B119" s="161"/>
      <c r="C119" s="185"/>
      <c r="D119" s="185" t="s">
        <v>2012</v>
      </c>
      <c r="E119" s="162"/>
      <c r="F119" s="185"/>
      <c r="G119" s="185"/>
      <c r="H119" s="163"/>
      <c r="I119" s="164" t="s">
        <v>498</v>
      </c>
      <c r="J119" s="143">
        <v>1.0496709609769961</v>
      </c>
      <c r="K119" s="117"/>
      <c r="L119" s="160"/>
      <c r="M119" s="143">
        <v>1.6964752502651166</v>
      </c>
      <c r="N119" s="117"/>
      <c r="O119" s="117"/>
      <c r="P119" s="117"/>
      <c r="Q119" s="144">
        <v>1.5929752502651167</v>
      </c>
    </row>
    <row r="120" spans="1:17" s="98" customFormat="1" ht="15" customHeight="1" thickBot="1">
      <c r="A120" s="99"/>
      <c r="B120" s="191"/>
      <c r="C120" s="192"/>
      <c r="D120" s="193" t="s">
        <v>1710</v>
      </c>
      <c r="E120" s="193"/>
      <c r="F120" s="192"/>
      <c r="G120" s="192"/>
      <c r="H120" s="194"/>
      <c r="I120" s="195" t="s">
        <v>498</v>
      </c>
      <c r="J120" s="177">
        <f t="shared" ref="J120" si="42">SUM(J116:J119)</f>
        <v>2.0051969867959025</v>
      </c>
      <c r="K120" s="145"/>
      <c r="L120" s="2471"/>
      <c r="M120" s="177">
        <f t="shared" ref="M120" si="43">SUM(M116:M119)</f>
        <v>3.7481287123801703</v>
      </c>
      <c r="N120" s="145"/>
      <c r="O120" s="145"/>
      <c r="P120" s="145"/>
      <c r="Q120" s="179">
        <f t="shared" ref="Q120" si="44">SUM(Q116:Q119)</f>
        <v>3.4661742123801704</v>
      </c>
    </row>
    <row r="121" spans="1:17" s="99" customFormat="1" ht="15" customHeight="1" thickBot="1">
      <c r="B121" s="150"/>
      <c r="C121" s="150"/>
      <c r="D121" s="150"/>
      <c r="E121" s="150"/>
      <c r="F121" s="150"/>
      <c r="G121" s="97"/>
      <c r="H121" s="97"/>
      <c r="I121" s="98"/>
      <c r="J121" s="98"/>
      <c r="K121" s="98"/>
      <c r="L121" s="98"/>
      <c r="M121" s="98"/>
      <c r="N121" s="98"/>
      <c r="O121" s="98"/>
      <c r="P121" s="98"/>
      <c r="Q121" s="98"/>
    </row>
    <row r="122" spans="1:17" s="100" customFormat="1" ht="30" customHeight="1" thickBot="1">
      <c r="A122" s="89"/>
      <c r="B122" s="621" t="s">
        <v>62</v>
      </c>
      <c r="C122" s="102"/>
      <c r="D122" s="102"/>
      <c r="E122" s="102"/>
      <c r="F122" s="102"/>
      <c r="G122" s="103"/>
      <c r="H122" s="103"/>
      <c r="I122" s="105" t="s">
        <v>1704</v>
      </c>
      <c r="J122" s="106"/>
      <c r="K122" s="106"/>
      <c r="L122" s="106"/>
      <c r="M122" s="105"/>
      <c r="N122" s="105"/>
      <c r="O122" s="105"/>
      <c r="P122" s="105"/>
      <c r="Q122" s="187"/>
    </row>
    <row r="123" spans="1:17" s="157" customFormat="1" ht="30" customHeight="1">
      <c r="A123" s="99"/>
      <c r="B123" s="109"/>
      <c r="C123" s="110"/>
      <c r="D123" s="110"/>
      <c r="E123" s="110"/>
      <c r="F123" s="110"/>
      <c r="G123" s="111"/>
      <c r="H123" s="111"/>
      <c r="I123" s="117"/>
      <c r="J123" s="695" t="s">
        <v>1666</v>
      </c>
      <c r="K123" s="152"/>
      <c r="L123" s="153"/>
      <c r="M123" s="696" t="s">
        <v>2</v>
      </c>
      <c r="N123" s="155"/>
      <c r="O123" s="155"/>
      <c r="P123" s="155"/>
      <c r="Q123" s="156"/>
    </row>
    <row r="124" spans="1:17" s="98" customFormat="1" ht="15" customHeight="1">
      <c r="A124" s="99"/>
      <c r="B124" s="115"/>
      <c r="C124" s="116"/>
      <c r="D124" s="116"/>
      <c r="E124" s="116"/>
      <c r="F124" s="116"/>
      <c r="G124" s="117"/>
      <c r="H124" s="117"/>
      <c r="I124" s="119" t="s">
        <v>1667</v>
      </c>
      <c r="J124" s="158" t="s">
        <v>463</v>
      </c>
      <c r="K124" s="137" t="s">
        <v>465</v>
      </c>
      <c r="L124" s="138" t="s">
        <v>467</v>
      </c>
      <c r="M124" s="120" t="s">
        <v>469</v>
      </c>
      <c r="N124" s="121" t="s">
        <v>471</v>
      </c>
      <c r="O124" s="121" t="s">
        <v>473</v>
      </c>
      <c r="P124" s="121" t="s">
        <v>475</v>
      </c>
      <c r="Q124" s="122" t="s">
        <v>477</v>
      </c>
    </row>
    <row r="125" spans="1:17" s="98" customFormat="1" ht="15" customHeight="1">
      <c r="A125" s="99"/>
      <c r="B125" s="161"/>
      <c r="C125" s="186" t="s">
        <v>64</v>
      </c>
      <c r="D125" s="186"/>
      <c r="E125" s="186"/>
      <c r="F125" s="162"/>
      <c r="G125" s="163"/>
      <c r="H125" s="163"/>
      <c r="I125" s="117"/>
      <c r="J125" s="159"/>
      <c r="K125" s="117"/>
      <c r="L125" s="160"/>
      <c r="M125" s="159"/>
      <c r="N125" s="117"/>
      <c r="O125" s="117"/>
      <c r="P125" s="117"/>
      <c r="Q125" s="160"/>
    </row>
    <row r="126" spans="1:17" s="98" customFormat="1" ht="15" customHeight="1">
      <c r="A126" s="99"/>
      <c r="B126" s="161"/>
      <c r="C126" s="185"/>
      <c r="D126" s="185" t="s">
        <v>2009</v>
      </c>
      <c r="E126" s="162"/>
      <c r="F126" s="185"/>
      <c r="G126" s="185"/>
      <c r="H126" s="163"/>
      <c r="I126" s="164" t="s">
        <v>498</v>
      </c>
      <c r="J126" s="143">
        <v>3.08435E-3</v>
      </c>
      <c r="K126" s="117"/>
      <c r="L126" s="160"/>
      <c r="M126" s="143">
        <v>3.08435E-3</v>
      </c>
      <c r="N126" s="117"/>
      <c r="O126" s="117"/>
      <c r="P126" s="117"/>
      <c r="Q126" s="144">
        <v>3.08435E-3</v>
      </c>
    </row>
    <row r="127" spans="1:17" s="98" customFormat="1" ht="15" customHeight="1">
      <c r="A127" s="99"/>
      <c r="B127" s="161"/>
      <c r="C127" s="185"/>
      <c r="D127" s="185" t="s">
        <v>2010</v>
      </c>
      <c r="E127" s="162"/>
      <c r="F127" s="185"/>
      <c r="G127" s="185"/>
      <c r="H127" s="163"/>
      <c r="I127" s="164" t="s">
        <v>498</v>
      </c>
      <c r="J127" s="143">
        <v>0</v>
      </c>
      <c r="K127" s="117"/>
      <c r="L127" s="160"/>
      <c r="M127" s="143">
        <v>0</v>
      </c>
      <c r="N127" s="117"/>
      <c r="O127" s="117"/>
      <c r="P127" s="117"/>
      <c r="Q127" s="144">
        <v>0</v>
      </c>
    </row>
    <row r="128" spans="1:17" s="98" customFormat="1" ht="15" customHeight="1">
      <c r="A128" s="99"/>
      <c r="B128" s="161"/>
      <c r="C128" s="185"/>
      <c r="D128" s="185" t="s">
        <v>2011</v>
      </c>
      <c r="E128" s="162"/>
      <c r="F128" s="185"/>
      <c r="G128" s="185"/>
      <c r="H128" s="163"/>
      <c r="I128" s="164" t="s">
        <v>498</v>
      </c>
      <c r="J128" s="143">
        <v>0</v>
      </c>
      <c r="K128" s="117"/>
      <c r="L128" s="160"/>
      <c r="M128" s="143">
        <v>0</v>
      </c>
      <c r="N128" s="117"/>
      <c r="O128" s="117"/>
      <c r="P128" s="117"/>
      <c r="Q128" s="144">
        <v>0</v>
      </c>
    </row>
    <row r="129" spans="1:20" s="98" customFormat="1" ht="15" customHeight="1">
      <c r="A129" s="99"/>
      <c r="B129" s="161"/>
      <c r="C129" s="185"/>
      <c r="D129" s="185" t="s">
        <v>2012</v>
      </c>
      <c r="E129" s="162"/>
      <c r="F129" s="185"/>
      <c r="G129" s="185"/>
      <c r="H129" s="163"/>
      <c r="I129" s="164" t="s">
        <v>498</v>
      </c>
      <c r="J129" s="143">
        <v>15.843355879517782</v>
      </c>
      <c r="K129" s="117"/>
      <c r="L129" s="160"/>
      <c r="M129" s="143">
        <v>11.103929599215503</v>
      </c>
      <c r="N129" s="117"/>
      <c r="O129" s="117"/>
      <c r="P129" s="117"/>
      <c r="Q129" s="144">
        <v>15.348117720336946</v>
      </c>
    </row>
    <row r="130" spans="1:20" s="98" customFormat="1" ht="15" customHeight="1">
      <c r="A130" s="99"/>
      <c r="B130" s="161"/>
      <c r="C130" s="185"/>
      <c r="D130" s="162" t="s">
        <v>1710</v>
      </c>
      <c r="E130" s="162"/>
      <c r="F130" s="185"/>
      <c r="G130" s="185"/>
      <c r="H130" s="163"/>
      <c r="I130" s="164" t="s">
        <v>498</v>
      </c>
      <c r="J130" s="128">
        <f t="shared" ref="J130:Q130" si="45">SUM(J126:J129)</f>
        <v>15.846440229517782</v>
      </c>
      <c r="K130" s="117"/>
      <c r="L130" s="160"/>
      <c r="M130" s="128">
        <f t="shared" si="45"/>
        <v>11.107013949215503</v>
      </c>
      <c r="N130" s="117"/>
      <c r="O130" s="117"/>
      <c r="P130" s="117"/>
      <c r="Q130" s="130">
        <f t="shared" si="45"/>
        <v>15.351202070336946</v>
      </c>
      <c r="R130" s="117"/>
      <c r="S130" s="117"/>
      <c r="T130" s="117"/>
    </row>
    <row r="131" spans="1:20" s="98" customFormat="1" ht="15" customHeight="1">
      <c r="A131" s="99"/>
      <c r="B131" s="181"/>
      <c r="C131" s="185"/>
      <c r="D131" s="185"/>
      <c r="E131" s="182"/>
      <c r="F131" s="185"/>
      <c r="G131" s="184"/>
      <c r="H131" s="184"/>
      <c r="I131" s="117"/>
      <c r="J131" s="716"/>
      <c r="K131" s="117"/>
      <c r="L131" s="160"/>
      <c r="M131" s="714"/>
      <c r="N131" s="117"/>
      <c r="O131" s="117"/>
      <c r="P131" s="117"/>
      <c r="Q131" s="715"/>
    </row>
    <row r="132" spans="1:20" s="98" customFormat="1" ht="15" customHeight="1">
      <c r="A132" s="99"/>
      <c r="B132" s="161"/>
      <c r="C132" s="186" t="s">
        <v>65</v>
      </c>
      <c r="D132" s="186"/>
      <c r="E132" s="186"/>
      <c r="F132" s="162"/>
      <c r="G132" s="163"/>
      <c r="H132" s="163"/>
      <c r="I132" s="117"/>
      <c r="J132" s="713"/>
      <c r="K132" s="117"/>
      <c r="L132" s="160"/>
      <c r="M132" s="713"/>
      <c r="N132" s="117"/>
      <c r="O132" s="117"/>
      <c r="P132" s="117"/>
      <c r="Q132" s="715"/>
    </row>
    <row r="133" spans="1:20" s="98" customFormat="1" ht="15" customHeight="1">
      <c r="A133" s="99"/>
      <c r="B133" s="161"/>
      <c r="C133" s="185"/>
      <c r="D133" s="185" t="s">
        <v>2009</v>
      </c>
      <c r="E133" s="162"/>
      <c r="F133" s="185"/>
      <c r="G133" s="185"/>
      <c r="H133" s="163"/>
      <c r="I133" s="164" t="s">
        <v>498</v>
      </c>
      <c r="J133" s="143">
        <v>1.7688000000000001E-3</v>
      </c>
      <c r="K133" s="117"/>
      <c r="L133" s="160"/>
      <c r="M133" s="143">
        <v>1.7688000000000001E-3</v>
      </c>
      <c r="N133" s="117"/>
      <c r="O133" s="117"/>
      <c r="P133" s="117"/>
      <c r="Q133" s="144">
        <v>1.7688000000000001E-3</v>
      </c>
    </row>
    <row r="134" spans="1:20" s="98" customFormat="1" ht="15" customHeight="1">
      <c r="A134" s="99"/>
      <c r="B134" s="161"/>
      <c r="C134" s="185"/>
      <c r="D134" s="185" t="s">
        <v>2010</v>
      </c>
      <c r="E134" s="162"/>
      <c r="F134" s="185"/>
      <c r="G134" s="185"/>
      <c r="H134" s="163"/>
      <c r="I134" s="164" t="s">
        <v>498</v>
      </c>
      <c r="J134" s="143">
        <v>0</v>
      </c>
      <c r="K134" s="117"/>
      <c r="L134" s="160"/>
      <c r="M134" s="143">
        <v>0</v>
      </c>
      <c r="N134" s="117"/>
      <c r="O134" s="117"/>
      <c r="P134" s="117"/>
      <c r="Q134" s="144">
        <v>0</v>
      </c>
    </row>
    <row r="135" spans="1:20" s="98" customFormat="1" ht="15" customHeight="1">
      <c r="A135" s="99"/>
      <c r="B135" s="161"/>
      <c r="C135" s="185"/>
      <c r="D135" s="185" t="s">
        <v>2011</v>
      </c>
      <c r="E135" s="162"/>
      <c r="F135" s="185"/>
      <c r="G135" s="185"/>
      <c r="H135" s="163"/>
      <c r="I135" s="164" t="s">
        <v>498</v>
      </c>
      <c r="J135" s="143">
        <v>0</v>
      </c>
      <c r="K135" s="117"/>
      <c r="L135" s="160"/>
      <c r="M135" s="143">
        <v>0</v>
      </c>
      <c r="N135" s="117"/>
      <c r="O135" s="117"/>
      <c r="P135" s="117"/>
      <c r="Q135" s="144">
        <v>0</v>
      </c>
    </row>
    <row r="136" spans="1:20" s="98" customFormat="1" ht="15" customHeight="1">
      <c r="A136" s="99"/>
      <c r="B136" s="161"/>
      <c r="C136" s="185"/>
      <c r="D136" s="185" t="s">
        <v>2012</v>
      </c>
      <c r="E136" s="162"/>
      <c r="F136" s="185"/>
      <c r="G136" s="185"/>
      <c r="H136" s="163"/>
      <c r="I136" s="164" t="s">
        <v>498</v>
      </c>
      <c r="J136" s="143">
        <v>2.361340825903413</v>
      </c>
      <c r="K136" s="117"/>
      <c r="L136" s="160"/>
      <c r="M136" s="143">
        <v>5.4935269448006689</v>
      </c>
      <c r="N136" s="117"/>
      <c r="O136" s="117"/>
      <c r="P136" s="117"/>
      <c r="Q136" s="144">
        <v>6.7101992214964454</v>
      </c>
    </row>
    <row r="137" spans="1:20" s="98" customFormat="1" ht="15" customHeight="1">
      <c r="A137" s="99"/>
      <c r="B137" s="161"/>
      <c r="C137" s="185"/>
      <c r="D137" s="162" t="s">
        <v>1710</v>
      </c>
      <c r="E137" s="162"/>
      <c r="F137" s="185"/>
      <c r="G137" s="185"/>
      <c r="H137" s="163"/>
      <c r="I137" s="164" t="s">
        <v>498</v>
      </c>
      <c r="J137" s="128">
        <f t="shared" ref="J137:Q137" si="46">SUM(J133:J136)</f>
        <v>2.3631096259034128</v>
      </c>
      <c r="K137" s="117"/>
      <c r="L137" s="160"/>
      <c r="M137" s="128">
        <f t="shared" si="46"/>
        <v>5.4952957448006687</v>
      </c>
      <c r="N137" s="117"/>
      <c r="O137" s="117"/>
      <c r="P137" s="117"/>
      <c r="Q137" s="130">
        <f t="shared" si="46"/>
        <v>6.7119680214964452</v>
      </c>
    </row>
    <row r="138" spans="1:20" s="98" customFormat="1" ht="15" customHeight="1">
      <c r="A138" s="99"/>
      <c r="B138" s="181"/>
      <c r="C138" s="185"/>
      <c r="D138" s="185"/>
      <c r="E138" s="182"/>
      <c r="F138" s="185"/>
      <c r="G138" s="184"/>
      <c r="H138" s="184"/>
      <c r="I138" s="117"/>
      <c r="J138" s="716"/>
      <c r="K138" s="117"/>
      <c r="L138" s="160"/>
      <c r="M138" s="714"/>
      <c r="N138" s="117"/>
      <c r="O138" s="117"/>
      <c r="P138" s="117"/>
      <c r="Q138" s="715"/>
    </row>
    <row r="139" spans="1:20" s="98" customFormat="1" ht="15" customHeight="1">
      <c r="A139" s="99"/>
      <c r="B139" s="161"/>
      <c r="C139" s="186" t="s">
        <v>66</v>
      </c>
      <c r="D139" s="186"/>
      <c r="E139" s="186"/>
      <c r="F139" s="162"/>
      <c r="G139" s="163"/>
      <c r="H139" s="163"/>
      <c r="I139" s="117"/>
      <c r="J139" s="713"/>
      <c r="K139" s="117"/>
      <c r="L139" s="160"/>
      <c r="M139" s="713"/>
      <c r="N139" s="117"/>
      <c r="O139" s="117"/>
      <c r="P139" s="117"/>
      <c r="Q139" s="715"/>
    </row>
    <row r="140" spans="1:20" s="98" customFormat="1" ht="15" customHeight="1">
      <c r="A140" s="99"/>
      <c r="B140" s="161"/>
      <c r="C140" s="185"/>
      <c r="D140" s="185" t="s">
        <v>2009</v>
      </c>
      <c r="E140" s="162"/>
      <c r="F140" s="185"/>
      <c r="G140" s="185"/>
      <c r="H140" s="163"/>
      <c r="I140" s="164" t="s">
        <v>498</v>
      </c>
      <c r="J140" s="143">
        <v>-3.3004990000000005E-2</v>
      </c>
      <c r="K140" s="117"/>
      <c r="L140" s="160"/>
      <c r="M140" s="143">
        <v>0</v>
      </c>
      <c r="N140" s="117"/>
      <c r="O140" s="117"/>
      <c r="P140" s="117"/>
      <c r="Q140" s="144">
        <v>0</v>
      </c>
    </row>
    <row r="141" spans="1:20" s="98" customFormat="1" ht="15" customHeight="1">
      <c r="A141" s="99"/>
      <c r="B141" s="161"/>
      <c r="C141" s="185"/>
      <c r="D141" s="185" t="s">
        <v>2010</v>
      </c>
      <c r="E141" s="162"/>
      <c r="F141" s="185"/>
      <c r="G141" s="185"/>
      <c r="H141" s="163"/>
      <c r="I141" s="164" t="s">
        <v>498</v>
      </c>
      <c r="J141" s="143">
        <v>0</v>
      </c>
      <c r="K141" s="117"/>
      <c r="L141" s="160"/>
      <c r="M141" s="143">
        <v>0</v>
      </c>
      <c r="N141" s="117"/>
      <c r="O141" s="117"/>
      <c r="P141" s="117"/>
      <c r="Q141" s="144">
        <v>0</v>
      </c>
    </row>
    <row r="142" spans="1:20" s="98" customFormat="1" ht="15" customHeight="1">
      <c r="A142" s="99"/>
      <c r="B142" s="161"/>
      <c r="C142" s="185"/>
      <c r="D142" s="185" t="s">
        <v>2011</v>
      </c>
      <c r="E142" s="162"/>
      <c r="F142" s="185"/>
      <c r="G142" s="185"/>
      <c r="H142" s="163"/>
      <c r="I142" s="164" t="s">
        <v>498</v>
      </c>
      <c r="J142" s="143">
        <v>0</v>
      </c>
      <c r="K142" s="117"/>
      <c r="L142" s="160"/>
      <c r="M142" s="143"/>
      <c r="N142" s="117"/>
      <c r="O142" s="117"/>
      <c r="P142" s="117"/>
      <c r="Q142" s="144">
        <v>0</v>
      </c>
    </row>
    <row r="143" spans="1:20" s="98" customFormat="1" ht="15" customHeight="1">
      <c r="A143" s="99"/>
      <c r="B143" s="161"/>
      <c r="C143" s="185"/>
      <c r="D143" s="185" t="s">
        <v>2012</v>
      </c>
      <c r="E143" s="162"/>
      <c r="F143" s="185"/>
      <c r="G143" s="185"/>
      <c r="H143" s="163"/>
      <c r="I143" s="164" t="s">
        <v>498</v>
      </c>
      <c r="J143" s="143">
        <v>2.6619957041453719</v>
      </c>
      <c r="K143" s="117"/>
      <c r="L143" s="160"/>
      <c r="M143" s="143">
        <v>1.5780157144503115</v>
      </c>
      <c r="N143" s="117"/>
      <c r="O143" s="117"/>
      <c r="P143" s="117"/>
      <c r="Q143" s="144">
        <v>1.5780157144503115</v>
      </c>
    </row>
    <row r="144" spans="1:20" s="98" customFormat="1" ht="15" customHeight="1">
      <c r="A144" s="99"/>
      <c r="B144" s="161"/>
      <c r="C144" s="185"/>
      <c r="D144" s="162" t="s">
        <v>1710</v>
      </c>
      <c r="E144" s="162"/>
      <c r="F144" s="185"/>
      <c r="G144" s="185"/>
      <c r="H144" s="163"/>
      <c r="I144" s="164" t="s">
        <v>498</v>
      </c>
      <c r="J144" s="128">
        <f t="shared" ref="J144:Q144" si="47">SUM(J140:J143)</f>
        <v>2.6289907141453721</v>
      </c>
      <c r="K144" s="117"/>
      <c r="L144" s="160"/>
      <c r="M144" s="128">
        <f t="shared" si="47"/>
        <v>1.5780157144503115</v>
      </c>
      <c r="N144" s="117"/>
      <c r="O144" s="117"/>
      <c r="P144" s="117"/>
      <c r="Q144" s="130">
        <f t="shared" si="47"/>
        <v>1.5780157144503115</v>
      </c>
    </row>
    <row r="145" spans="1:17" s="98" customFormat="1" ht="15" customHeight="1">
      <c r="A145" s="99"/>
      <c r="B145" s="181"/>
      <c r="C145" s="185"/>
      <c r="D145" s="185"/>
      <c r="E145" s="182"/>
      <c r="F145" s="185"/>
      <c r="G145" s="184"/>
      <c r="H145" s="184"/>
      <c r="I145" s="117"/>
      <c r="J145" s="716"/>
      <c r="K145" s="117"/>
      <c r="L145" s="160"/>
      <c r="M145" s="714"/>
      <c r="N145" s="117"/>
      <c r="O145" s="117"/>
      <c r="P145" s="117"/>
      <c r="Q145" s="715"/>
    </row>
    <row r="146" spans="1:17" s="98" customFormat="1" ht="15" customHeight="1">
      <c r="A146" s="99"/>
      <c r="B146" s="161"/>
      <c r="C146" s="186" t="s">
        <v>67</v>
      </c>
      <c r="D146" s="186"/>
      <c r="E146" s="186"/>
      <c r="F146" s="162"/>
      <c r="G146" s="163"/>
      <c r="H146" s="163"/>
      <c r="I146" s="117"/>
      <c r="J146" s="713"/>
      <c r="K146" s="117"/>
      <c r="L146" s="160"/>
      <c r="M146" s="713"/>
      <c r="N146" s="117"/>
      <c r="O146" s="117"/>
      <c r="P146" s="117"/>
      <c r="Q146" s="715"/>
    </row>
    <row r="147" spans="1:17" s="98" customFormat="1" ht="15" customHeight="1">
      <c r="A147" s="99"/>
      <c r="B147" s="161"/>
      <c r="C147" s="185"/>
      <c r="D147" s="185" t="s">
        <v>2009</v>
      </c>
      <c r="E147" s="162"/>
      <c r="F147" s="185"/>
      <c r="G147" s="185"/>
      <c r="H147" s="163"/>
      <c r="I147" s="164" t="s">
        <v>498</v>
      </c>
      <c r="J147" s="143">
        <v>3.2180012300048828</v>
      </c>
      <c r="K147" s="117"/>
      <c r="L147" s="160"/>
      <c r="M147" s="143">
        <v>3</v>
      </c>
      <c r="N147" s="117"/>
      <c r="O147" s="117"/>
      <c r="P147" s="117"/>
      <c r="Q147" s="144">
        <v>2.6</v>
      </c>
    </row>
    <row r="148" spans="1:17" s="98" customFormat="1" ht="15" customHeight="1">
      <c r="A148" s="99"/>
      <c r="B148" s="161"/>
      <c r="C148" s="185"/>
      <c r="D148" s="185" t="s">
        <v>2010</v>
      </c>
      <c r="E148" s="162"/>
      <c r="F148" s="185"/>
      <c r="G148" s="185"/>
      <c r="H148" s="163"/>
      <c r="I148" s="164" t="s">
        <v>498</v>
      </c>
      <c r="J148" s="143">
        <v>0</v>
      </c>
      <c r="K148" s="117"/>
      <c r="L148" s="160"/>
      <c r="M148" s="143">
        <v>0</v>
      </c>
      <c r="N148" s="117"/>
      <c r="O148" s="117"/>
      <c r="P148" s="117"/>
      <c r="Q148" s="144">
        <v>0</v>
      </c>
    </row>
    <row r="149" spans="1:17" s="98" customFormat="1" ht="15" customHeight="1">
      <c r="A149" s="99"/>
      <c r="B149" s="161"/>
      <c r="C149" s="185"/>
      <c r="D149" s="185" t="s">
        <v>2011</v>
      </c>
      <c r="E149" s="162"/>
      <c r="F149" s="185"/>
      <c r="G149" s="185"/>
      <c r="H149" s="163"/>
      <c r="I149" s="164" t="s">
        <v>498</v>
      </c>
      <c r="J149" s="143">
        <v>0</v>
      </c>
      <c r="K149" s="117"/>
      <c r="L149" s="160"/>
      <c r="M149" s="143">
        <v>0</v>
      </c>
      <c r="N149" s="117"/>
      <c r="O149" s="117"/>
      <c r="P149" s="117"/>
      <c r="Q149" s="144">
        <v>0</v>
      </c>
    </row>
    <row r="150" spans="1:17" s="98" customFormat="1" ht="15" customHeight="1">
      <c r="A150" s="99"/>
      <c r="B150" s="161"/>
      <c r="C150" s="185"/>
      <c r="D150" s="185" t="s">
        <v>2012</v>
      </c>
      <c r="E150" s="162"/>
      <c r="F150" s="185"/>
      <c r="G150" s="185"/>
      <c r="H150" s="163"/>
      <c r="I150" s="164" t="s">
        <v>498</v>
      </c>
      <c r="J150" s="143">
        <v>12.743581208711243</v>
      </c>
      <c r="K150" s="117"/>
      <c r="L150" s="160"/>
      <c r="M150" s="143">
        <v>10.94912881063939</v>
      </c>
      <c r="N150" s="117"/>
      <c r="O150" s="117"/>
      <c r="P150" s="117"/>
      <c r="Q150" s="144">
        <v>7.2628278706533305</v>
      </c>
    </row>
    <row r="151" spans="1:17" s="98" customFormat="1" ht="15" customHeight="1">
      <c r="A151" s="99"/>
      <c r="B151" s="161"/>
      <c r="C151" s="185"/>
      <c r="D151" s="162" t="s">
        <v>1710</v>
      </c>
      <c r="E151" s="162"/>
      <c r="F151" s="185"/>
      <c r="G151" s="185"/>
      <c r="H151" s="163"/>
      <c r="I151" s="164" t="s">
        <v>498</v>
      </c>
      <c r="J151" s="128">
        <f t="shared" ref="J151:Q151" si="48">SUM(J147:J150)</f>
        <v>15.961582438716125</v>
      </c>
      <c r="K151" s="117"/>
      <c r="L151" s="160"/>
      <c r="M151" s="128">
        <f t="shared" si="48"/>
        <v>13.94912881063939</v>
      </c>
      <c r="N151" s="117"/>
      <c r="O151" s="117"/>
      <c r="P151" s="117"/>
      <c r="Q151" s="130">
        <f t="shared" si="48"/>
        <v>9.8628278706533301</v>
      </c>
    </row>
    <row r="152" spans="1:17" s="98" customFormat="1" ht="15" customHeight="1">
      <c r="A152" s="99"/>
      <c r="B152" s="181"/>
      <c r="C152" s="185"/>
      <c r="D152" s="185"/>
      <c r="E152" s="182"/>
      <c r="F152" s="185"/>
      <c r="G152" s="184"/>
      <c r="H152" s="184"/>
      <c r="I152" s="117"/>
      <c r="J152" s="716"/>
      <c r="K152" s="117"/>
      <c r="L152" s="160"/>
      <c r="M152" s="714"/>
      <c r="N152" s="117"/>
      <c r="O152" s="117"/>
      <c r="P152" s="117"/>
      <c r="Q152" s="715"/>
    </row>
    <row r="153" spans="1:17" s="98" customFormat="1" ht="15" customHeight="1">
      <c r="A153" s="99"/>
      <c r="B153" s="161"/>
      <c r="C153" s="186" t="s">
        <v>68</v>
      </c>
      <c r="D153" s="186"/>
      <c r="E153" s="186"/>
      <c r="F153" s="162"/>
      <c r="G153" s="163"/>
      <c r="H153" s="163"/>
      <c r="I153" s="117"/>
      <c r="J153" s="713"/>
      <c r="K153" s="117"/>
      <c r="L153" s="160"/>
      <c r="M153" s="713"/>
      <c r="N153" s="117"/>
      <c r="O153" s="117"/>
      <c r="P153" s="117"/>
      <c r="Q153" s="715"/>
    </row>
    <row r="154" spans="1:17" s="98" customFormat="1" ht="15" customHeight="1">
      <c r="A154" s="99"/>
      <c r="B154" s="161"/>
      <c r="C154" s="185"/>
      <c r="D154" s="185" t="s">
        <v>2009</v>
      </c>
      <c r="E154" s="162"/>
      <c r="F154" s="185"/>
      <c r="G154" s="185"/>
      <c r="H154" s="163"/>
      <c r="I154" s="164" t="s">
        <v>498</v>
      </c>
      <c r="J154" s="143">
        <v>4.1961980600000004</v>
      </c>
      <c r="K154" s="117"/>
      <c r="L154" s="160"/>
      <c r="M154" s="143">
        <v>4</v>
      </c>
      <c r="N154" s="117"/>
      <c r="O154" s="117"/>
      <c r="P154" s="117"/>
      <c r="Q154" s="144">
        <v>3.7</v>
      </c>
    </row>
    <row r="155" spans="1:17" s="98" customFormat="1" ht="15" customHeight="1">
      <c r="A155" s="99"/>
      <c r="B155" s="161"/>
      <c r="C155" s="185"/>
      <c r="D155" s="185" t="s">
        <v>2010</v>
      </c>
      <c r="E155" s="162"/>
      <c r="F155" s="185"/>
      <c r="G155" s="185"/>
      <c r="H155" s="163"/>
      <c r="I155" s="164" t="s">
        <v>498</v>
      </c>
      <c r="J155" s="143">
        <v>0</v>
      </c>
      <c r="K155" s="117"/>
      <c r="L155" s="160"/>
      <c r="M155" s="143">
        <v>0</v>
      </c>
      <c r="N155" s="117"/>
      <c r="O155" s="117"/>
      <c r="P155" s="117"/>
      <c r="Q155" s="144">
        <v>0</v>
      </c>
    </row>
    <row r="156" spans="1:17" s="98" customFormat="1" ht="15" customHeight="1">
      <c r="A156" s="99"/>
      <c r="B156" s="161"/>
      <c r="C156" s="185"/>
      <c r="D156" s="185" t="s">
        <v>2011</v>
      </c>
      <c r="E156" s="162"/>
      <c r="F156" s="185"/>
      <c r="G156" s="185"/>
      <c r="H156" s="163"/>
      <c r="I156" s="164" t="s">
        <v>498</v>
      </c>
      <c r="J156" s="143">
        <v>0</v>
      </c>
      <c r="K156" s="117"/>
      <c r="L156" s="160"/>
      <c r="M156" s="143">
        <v>0</v>
      </c>
      <c r="N156" s="117"/>
      <c r="O156" s="117"/>
      <c r="P156" s="117"/>
      <c r="Q156" s="144">
        <v>0</v>
      </c>
    </row>
    <row r="157" spans="1:17" s="98" customFormat="1" ht="15" customHeight="1">
      <c r="A157" s="99"/>
      <c r="B157" s="161"/>
      <c r="C157" s="185"/>
      <c r="D157" s="185" t="s">
        <v>2012</v>
      </c>
      <c r="E157" s="162"/>
      <c r="F157" s="185"/>
      <c r="G157" s="185"/>
      <c r="H157" s="163"/>
      <c r="I157" s="164" t="s">
        <v>498</v>
      </c>
      <c r="J157" s="143">
        <v>24.43317800043344</v>
      </c>
      <c r="K157" s="117"/>
      <c r="L157" s="160"/>
      <c r="M157" s="143">
        <v>21.218496087185919</v>
      </c>
      <c r="N157" s="117"/>
      <c r="O157" s="117"/>
      <c r="P157" s="117"/>
      <c r="Q157" s="144">
        <v>16.846264786495073</v>
      </c>
    </row>
    <row r="158" spans="1:17" s="98" customFormat="1" ht="15" customHeight="1" thickBot="1">
      <c r="A158" s="99"/>
      <c r="B158" s="191"/>
      <c r="C158" s="192"/>
      <c r="D158" s="193" t="s">
        <v>1710</v>
      </c>
      <c r="E158" s="193"/>
      <c r="F158" s="192"/>
      <c r="G158" s="192"/>
      <c r="H158" s="194"/>
      <c r="I158" s="195" t="s">
        <v>498</v>
      </c>
      <c r="J158" s="177">
        <f t="shared" ref="J158" si="49">SUM(J154:J157)</f>
        <v>28.62937606043344</v>
      </c>
      <c r="K158" s="145"/>
      <c r="L158" s="2471"/>
      <c r="M158" s="177">
        <f t="shared" ref="M158" si="50">SUM(M154:M157)</f>
        <v>25.218496087185919</v>
      </c>
      <c r="N158" s="145"/>
      <c r="O158" s="145"/>
      <c r="P158" s="145"/>
      <c r="Q158" s="179">
        <f t="shared" ref="Q158" si="51">SUM(Q154:Q157)</f>
        <v>20.546264786495072</v>
      </c>
    </row>
    <row r="159" spans="1:17" s="99" customFormat="1" ht="15" customHeight="1" thickBot="1">
      <c r="B159" s="150"/>
      <c r="C159" s="150"/>
      <c r="D159" s="150"/>
      <c r="E159" s="150"/>
      <c r="F159" s="150"/>
      <c r="G159" s="97"/>
      <c r="H159" s="97"/>
      <c r="I159" s="98"/>
      <c r="J159" s="98"/>
      <c r="K159" s="98"/>
      <c r="L159" s="98"/>
      <c r="M159" s="98"/>
      <c r="N159" s="98"/>
      <c r="O159" s="98"/>
      <c r="P159" s="98"/>
      <c r="Q159" s="98"/>
    </row>
    <row r="160" spans="1:17" s="100" customFormat="1" ht="30" customHeight="1" thickBot="1">
      <c r="A160" s="89"/>
      <c r="B160" s="621" t="s">
        <v>71</v>
      </c>
      <c r="C160" s="102"/>
      <c r="D160" s="102"/>
      <c r="E160" s="102"/>
      <c r="F160" s="102"/>
      <c r="G160" s="103"/>
      <c r="H160" s="103"/>
      <c r="I160" s="105" t="s">
        <v>1704</v>
      </c>
      <c r="J160" s="106"/>
      <c r="K160" s="106"/>
      <c r="L160" s="106"/>
      <c r="M160" s="105"/>
      <c r="N160" s="105"/>
      <c r="O160" s="105"/>
      <c r="P160" s="105"/>
      <c r="Q160" s="187"/>
    </row>
    <row r="161" spans="1:17" s="157" customFormat="1" ht="30" customHeight="1">
      <c r="A161" s="99"/>
      <c r="B161" s="109"/>
      <c r="C161" s="110"/>
      <c r="D161" s="110"/>
      <c r="E161" s="110"/>
      <c r="F161" s="110"/>
      <c r="G161" s="111"/>
      <c r="H161" s="111"/>
      <c r="I161" s="117"/>
      <c r="J161" s="695" t="s">
        <v>1666</v>
      </c>
      <c r="K161" s="152"/>
      <c r="L161" s="153"/>
      <c r="M161" s="696" t="s">
        <v>2</v>
      </c>
      <c r="N161" s="155"/>
      <c r="O161" s="155"/>
      <c r="P161" s="155"/>
      <c r="Q161" s="156"/>
    </row>
    <row r="162" spans="1:17" s="98" customFormat="1" ht="15" customHeight="1">
      <c r="A162" s="99"/>
      <c r="B162" s="115"/>
      <c r="C162" s="116"/>
      <c r="D162" s="116"/>
      <c r="E162" s="116"/>
      <c r="F162" s="116"/>
      <c r="G162" s="117"/>
      <c r="H162" s="117"/>
      <c r="I162" s="119" t="s">
        <v>1667</v>
      </c>
      <c r="J162" s="158" t="s">
        <v>463</v>
      </c>
      <c r="K162" s="137" t="s">
        <v>465</v>
      </c>
      <c r="L162" s="138" t="s">
        <v>467</v>
      </c>
      <c r="M162" s="120" t="s">
        <v>469</v>
      </c>
      <c r="N162" s="121" t="s">
        <v>471</v>
      </c>
      <c r="O162" s="121" t="s">
        <v>473</v>
      </c>
      <c r="P162" s="121" t="s">
        <v>475</v>
      </c>
      <c r="Q162" s="122" t="s">
        <v>477</v>
      </c>
    </row>
    <row r="163" spans="1:17" s="98" customFormat="1" ht="15" customHeight="1">
      <c r="A163" s="99"/>
      <c r="B163" s="161"/>
      <c r="C163" s="186" t="s">
        <v>1682</v>
      </c>
      <c r="D163" s="186"/>
      <c r="E163" s="186"/>
      <c r="F163" s="162"/>
      <c r="G163" s="163"/>
      <c r="H163" s="163"/>
      <c r="I163" s="117"/>
      <c r="J163" s="159"/>
      <c r="K163" s="117"/>
      <c r="L163" s="160"/>
      <c r="M163" s="159"/>
      <c r="N163" s="117"/>
      <c r="O163" s="117"/>
      <c r="P163" s="117"/>
      <c r="Q163" s="160"/>
    </row>
    <row r="164" spans="1:17" s="98" customFormat="1" ht="15" customHeight="1">
      <c r="A164" s="99"/>
      <c r="B164" s="161"/>
      <c r="C164" s="185"/>
      <c r="D164" s="185" t="s">
        <v>2009</v>
      </c>
      <c r="E164" s="162"/>
      <c r="F164" s="185"/>
      <c r="G164" s="185"/>
      <c r="H164" s="163"/>
      <c r="I164" s="164" t="s">
        <v>498</v>
      </c>
      <c r="J164" s="143">
        <v>16.98904000173351</v>
      </c>
      <c r="K164" s="117"/>
      <c r="L164" s="160"/>
      <c r="M164" s="143">
        <v>16.276267259517752</v>
      </c>
      <c r="N164" s="117"/>
      <c r="O164" s="117"/>
      <c r="P164" s="117"/>
      <c r="Q164" s="144">
        <v>15.953175226455357</v>
      </c>
    </row>
    <row r="165" spans="1:17" s="98" customFormat="1" ht="15" customHeight="1">
      <c r="A165" s="99"/>
      <c r="B165" s="161"/>
      <c r="C165" s="185"/>
      <c r="D165" s="185" t="s">
        <v>2010</v>
      </c>
      <c r="E165" s="162"/>
      <c r="F165" s="185"/>
      <c r="G165" s="185"/>
      <c r="H165" s="163"/>
      <c r="I165" s="164" t="s">
        <v>498</v>
      </c>
      <c r="J165" s="143">
        <v>0</v>
      </c>
      <c r="K165" s="117"/>
      <c r="L165" s="160"/>
      <c r="M165" s="143">
        <v>0</v>
      </c>
      <c r="N165" s="117"/>
      <c r="O165" s="117"/>
      <c r="P165" s="117"/>
      <c r="Q165" s="144">
        <v>0</v>
      </c>
    </row>
    <row r="166" spans="1:17" s="98" customFormat="1" ht="15" customHeight="1">
      <c r="A166" s="99"/>
      <c r="B166" s="161"/>
      <c r="C166" s="185"/>
      <c r="D166" s="185" t="s">
        <v>2011</v>
      </c>
      <c r="E166" s="162"/>
      <c r="F166" s="185"/>
      <c r="G166" s="185"/>
      <c r="H166" s="163"/>
      <c r="I166" s="164" t="s">
        <v>498</v>
      </c>
      <c r="J166" s="143">
        <v>0</v>
      </c>
      <c r="K166" s="117"/>
      <c r="L166" s="160"/>
      <c r="M166" s="143">
        <v>0</v>
      </c>
      <c r="N166" s="117"/>
      <c r="O166" s="117"/>
      <c r="P166" s="117"/>
      <c r="Q166" s="144">
        <v>0</v>
      </c>
    </row>
    <row r="167" spans="1:17" s="98" customFormat="1" ht="15" customHeight="1">
      <c r="A167" s="99"/>
      <c r="B167" s="161"/>
      <c r="C167" s="185"/>
      <c r="D167" s="185" t="s">
        <v>2012</v>
      </c>
      <c r="E167" s="162"/>
      <c r="F167" s="185"/>
      <c r="G167" s="185"/>
      <c r="H167" s="163"/>
      <c r="I167" s="164" t="s">
        <v>498</v>
      </c>
      <c r="J167" s="143">
        <v>51.1959093691341</v>
      </c>
      <c r="K167" s="117"/>
      <c r="L167" s="160"/>
      <c r="M167" s="143">
        <v>49.047992317461748</v>
      </c>
      <c r="N167" s="117"/>
      <c r="O167" s="117"/>
      <c r="P167" s="117"/>
      <c r="Q167" s="144">
        <v>48.074365176618954</v>
      </c>
    </row>
    <row r="168" spans="1:17" s="98" customFormat="1" ht="15" customHeight="1">
      <c r="A168" s="99"/>
      <c r="B168" s="161"/>
      <c r="C168" s="185"/>
      <c r="D168" s="162" t="s">
        <v>1710</v>
      </c>
      <c r="E168" s="162"/>
      <c r="F168" s="185"/>
      <c r="G168" s="185"/>
      <c r="H168" s="163"/>
      <c r="I168" s="164" t="s">
        <v>498</v>
      </c>
      <c r="J168" s="128">
        <f t="shared" ref="J168:M168" si="52">SUM(J164:J167)</f>
        <v>68.184949370867614</v>
      </c>
      <c r="K168" s="117"/>
      <c r="L168" s="160"/>
      <c r="M168" s="128">
        <f t="shared" si="52"/>
        <v>65.3242595769795</v>
      </c>
      <c r="N168" s="117"/>
      <c r="O168" s="117"/>
      <c r="P168" s="117"/>
      <c r="Q168" s="130">
        <f t="shared" ref="Q168" si="53">SUM(Q164:Q167)</f>
        <v>64.027540403074312</v>
      </c>
    </row>
    <row r="169" spans="1:17" s="98" customFormat="1" ht="15" customHeight="1">
      <c r="A169" s="99"/>
      <c r="B169" s="181"/>
      <c r="C169" s="185"/>
      <c r="D169" s="185"/>
      <c r="E169" s="182"/>
      <c r="F169" s="185"/>
      <c r="G169" s="184"/>
      <c r="H169" s="184"/>
      <c r="I169" s="117"/>
      <c r="J169" s="716"/>
      <c r="K169" s="117"/>
      <c r="L169" s="160"/>
      <c r="M169" s="714"/>
      <c r="N169" s="117"/>
      <c r="O169" s="117"/>
      <c r="P169" s="117"/>
      <c r="Q169" s="715"/>
    </row>
    <row r="170" spans="1:17" s="98" customFormat="1" ht="15" customHeight="1">
      <c r="A170" s="99"/>
      <c r="B170" s="161"/>
      <c r="C170" s="186" t="s">
        <v>2013</v>
      </c>
      <c r="D170" s="186"/>
      <c r="E170" s="186"/>
      <c r="F170" s="162"/>
      <c r="G170" s="163"/>
      <c r="H170" s="163"/>
      <c r="I170" s="117"/>
      <c r="J170" s="713"/>
      <c r="K170" s="117"/>
      <c r="L170" s="160"/>
      <c r="M170" s="713"/>
      <c r="N170" s="117"/>
      <c r="O170" s="117"/>
      <c r="P170" s="117"/>
      <c r="Q170" s="715"/>
    </row>
    <row r="171" spans="1:17" s="98" customFormat="1" ht="15" customHeight="1">
      <c r="A171" s="99"/>
      <c r="B171" s="161"/>
      <c r="C171" s="185"/>
      <c r="D171" s="185" t="s">
        <v>2009</v>
      </c>
      <c r="E171" s="162"/>
      <c r="F171" s="185"/>
      <c r="G171" s="185"/>
      <c r="H171" s="163"/>
      <c r="I171" s="164" t="s">
        <v>498</v>
      </c>
      <c r="J171" s="143">
        <v>0.40969978992988854</v>
      </c>
      <c r="K171" s="117"/>
      <c r="L171" s="160"/>
      <c r="M171" s="143">
        <v>0.2054856444375219</v>
      </c>
      <c r="N171" s="117"/>
      <c r="O171" s="117"/>
      <c r="P171" s="117"/>
      <c r="Q171" s="144">
        <v>0.20140665178104336</v>
      </c>
    </row>
    <row r="172" spans="1:17" s="98" customFormat="1" ht="15" customHeight="1">
      <c r="A172" s="99"/>
      <c r="B172" s="161"/>
      <c r="C172" s="185"/>
      <c r="D172" s="185" t="s">
        <v>2010</v>
      </c>
      <c r="E172" s="162"/>
      <c r="F172" s="185"/>
      <c r="G172" s="185"/>
      <c r="H172" s="163"/>
      <c r="I172" s="164" t="s">
        <v>498</v>
      </c>
      <c r="J172" s="143">
        <v>0</v>
      </c>
      <c r="K172" s="117"/>
      <c r="L172" s="160"/>
      <c r="M172" s="143">
        <v>0</v>
      </c>
      <c r="N172" s="117"/>
      <c r="O172" s="117"/>
      <c r="P172" s="117"/>
      <c r="Q172" s="144">
        <v>0</v>
      </c>
    </row>
    <row r="173" spans="1:17" s="98" customFormat="1" ht="15" customHeight="1">
      <c r="A173" s="99"/>
      <c r="B173" s="161"/>
      <c r="C173" s="185"/>
      <c r="D173" s="185" t="s">
        <v>2011</v>
      </c>
      <c r="E173" s="162"/>
      <c r="F173" s="185"/>
      <c r="G173" s="185"/>
      <c r="H173" s="163"/>
      <c r="I173" s="164" t="s">
        <v>498</v>
      </c>
      <c r="J173" s="143">
        <v>0</v>
      </c>
      <c r="K173" s="117"/>
      <c r="L173" s="160"/>
      <c r="M173" s="143">
        <v>0</v>
      </c>
      <c r="N173" s="117"/>
      <c r="O173" s="117"/>
      <c r="P173" s="117"/>
      <c r="Q173" s="144">
        <v>0</v>
      </c>
    </row>
    <row r="174" spans="1:17" s="98" customFormat="1" ht="15" customHeight="1">
      <c r="A174" s="99"/>
      <c r="B174" s="161"/>
      <c r="C174" s="185"/>
      <c r="D174" s="185" t="s">
        <v>2012</v>
      </c>
      <c r="E174" s="162"/>
      <c r="F174" s="185"/>
      <c r="G174" s="185"/>
      <c r="H174" s="163"/>
      <c r="I174" s="164" t="s">
        <v>498</v>
      </c>
      <c r="J174" s="143">
        <v>1.1260596642546885</v>
      </c>
      <c r="K174" s="117"/>
      <c r="L174" s="160"/>
      <c r="M174" s="143">
        <v>0.56477718922939057</v>
      </c>
      <c r="N174" s="117"/>
      <c r="O174" s="117"/>
      <c r="P174" s="117"/>
      <c r="Q174" s="144">
        <v>0.55356607998757823</v>
      </c>
    </row>
    <row r="175" spans="1:17" s="98" customFormat="1" ht="15" customHeight="1">
      <c r="A175" s="99"/>
      <c r="B175" s="161"/>
      <c r="C175" s="185"/>
      <c r="D175" s="162" t="s">
        <v>1710</v>
      </c>
      <c r="E175" s="162"/>
      <c r="F175" s="185"/>
      <c r="G175" s="185"/>
      <c r="H175" s="163"/>
      <c r="I175" s="164" t="s">
        <v>498</v>
      </c>
      <c r="J175" s="128">
        <f t="shared" ref="J175:M175" si="54">SUM(J171:J174)</f>
        <v>1.5357594541845772</v>
      </c>
      <c r="K175" s="117"/>
      <c r="L175" s="160"/>
      <c r="M175" s="128">
        <f t="shared" si="54"/>
        <v>0.77026283366691251</v>
      </c>
      <c r="N175" s="117"/>
      <c r="O175" s="117"/>
      <c r="P175" s="117"/>
      <c r="Q175" s="130">
        <f t="shared" ref="Q175" si="55">SUM(Q171:Q174)</f>
        <v>0.75497273176862156</v>
      </c>
    </row>
    <row r="176" spans="1:17" s="98" customFormat="1" ht="15" customHeight="1">
      <c r="A176" s="99"/>
      <c r="B176" s="161"/>
      <c r="C176" s="185"/>
      <c r="D176" s="162"/>
      <c r="E176" s="162"/>
      <c r="F176" s="185"/>
      <c r="G176" s="185"/>
      <c r="H176" s="163"/>
      <c r="I176" s="96"/>
      <c r="J176" s="758"/>
      <c r="K176" s="117"/>
      <c r="L176" s="160"/>
      <c r="M176" s="758"/>
      <c r="N176" s="117"/>
      <c r="O176" s="117"/>
      <c r="P176" s="117"/>
      <c r="Q176" s="759"/>
    </row>
    <row r="177" spans="1:17" s="98" customFormat="1" ht="15" customHeight="1">
      <c r="A177" s="99"/>
      <c r="B177" s="161"/>
      <c r="C177" s="186" t="s">
        <v>1685</v>
      </c>
      <c r="D177" s="186"/>
      <c r="E177" s="186"/>
      <c r="F177" s="162"/>
      <c r="G177" s="163"/>
      <c r="H177" s="163"/>
      <c r="I177" s="117"/>
      <c r="J177" s="713"/>
      <c r="K177" s="117"/>
      <c r="L177" s="160"/>
      <c r="M177" s="713"/>
      <c r="N177" s="117"/>
      <c r="O177" s="117"/>
      <c r="P177" s="117"/>
      <c r="Q177" s="715"/>
    </row>
    <row r="178" spans="1:17" s="98" customFormat="1" ht="15" customHeight="1">
      <c r="A178" s="99"/>
      <c r="B178" s="161"/>
      <c r="C178" s="185"/>
      <c r="D178" s="185" t="s">
        <v>2009</v>
      </c>
      <c r="E178" s="162"/>
      <c r="F178" s="185"/>
      <c r="G178" s="185"/>
      <c r="H178" s="163"/>
      <c r="I178" s="164" t="s">
        <v>498</v>
      </c>
      <c r="J178" s="143">
        <v>4.7860633001571982</v>
      </c>
      <c r="K178" s="117"/>
      <c r="L178" s="160"/>
      <c r="M178" s="143">
        <v>4.6054705993602214</v>
      </c>
      <c r="N178" s="117"/>
      <c r="O178" s="117"/>
      <c r="P178" s="117"/>
      <c r="Q178" s="144">
        <v>4.5140497081060413</v>
      </c>
    </row>
    <row r="179" spans="1:17" s="98" customFormat="1" ht="15" customHeight="1">
      <c r="A179" s="99"/>
      <c r="B179" s="161"/>
      <c r="C179" s="185"/>
      <c r="D179" s="185" t="s">
        <v>2010</v>
      </c>
      <c r="E179" s="162"/>
      <c r="F179" s="185"/>
      <c r="G179" s="185"/>
      <c r="H179" s="163"/>
      <c r="I179" s="164" t="s">
        <v>498</v>
      </c>
      <c r="J179" s="143">
        <v>0</v>
      </c>
      <c r="K179" s="117"/>
      <c r="L179" s="160"/>
      <c r="M179" s="143">
        <v>0</v>
      </c>
      <c r="N179" s="117"/>
      <c r="O179" s="117"/>
      <c r="P179" s="117"/>
      <c r="Q179" s="144">
        <v>0</v>
      </c>
    </row>
    <row r="180" spans="1:17" s="98" customFormat="1" ht="15" customHeight="1">
      <c r="A180" s="99"/>
      <c r="B180" s="161"/>
      <c r="C180" s="185"/>
      <c r="D180" s="185" t="s">
        <v>2011</v>
      </c>
      <c r="E180" s="162"/>
      <c r="F180" s="185"/>
      <c r="G180" s="185"/>
      <c r="H180" s="163"/>
      <c r="I180" s="164" t="s">
        <v>498</v>
      </c>
      <c r="J180" s="143">
        <v>0</v>
      </c>
      <c r="K180" s="117"/>
      <c r="L180" s="160"/>
      <c r="M180" s="143">
        <v>0</v>
      </c>
      <c r="N180" s="117"/>
      <c r="O180" s="117"/>
      <c r="P180" s="117"/>
      <c r="Q180" s="144">
        <v>0</v>
      </c>
    </row>
    <row r="181" spans="1:17" s="98" customFormat="1" ht="15" customHeight="1">
      <c r="A181" s="99"/>
      <c r="B181" s="161"/>
      <c r="C181" s="185"/>
      <c r="D181" s="185" t="s">
        <v>2012</v>
      </c>
      <c r="E181" s="162"/>
      <c r="F181" s="185"/>
      <c r="G181" s="185"/>
      <c r="H181" s="163"/>
      <c r="I181" s="164" t="s">
        <v>498</v>
      </c>
      <c r="J181" s="143">
        <v>13.058415112102825</v>
      </c>
      <c r="K181" s="117"/>
      <c r="L181" s="160"/>
      <c r="M181" s="143">
        <v>12.56568145913479</v>
      </c>
      <c r="N181" s="117"/>
      <c r="O181" s="117"/>
      <c r="P181" s="117"/>
      <c r="Q181" s="144">
        <v>12.316246407183788</v>
      </c>
    </row>
    <row r="182" spans="1:17" s="98" customFormat="1" ht="15" customHeight="1">
      <c r="A182" s="99"/>
      <c r="B182" s="161"/>
      <c r="C182" s="185"/>
      <c r="D182" s="162" t="s">
        <v>1710</v>
      </c>
      <c r="E182" s="162"/>
      <c r="F182" s="185"/>
      <c r="G182" s="185"/>
      <c r="H182" s="163"/>
      <c r="I182" s="164" t="s">
        <v>498</v>
      </c>
      <c r="J182" s="128">
        <f t="shared" ref="J182:M182" si="56">SUM(J178:J181)</f>
        <v>17.844478412260024</v>
      </c>
      <c r="K182" s="117"/>
      <c r="L182" s="160"/>
      <c r="M182" s="128">
        <f t="shared" si="56"/>
        <v>17.171152058495011</v>
      </c>
      <c r="N182" s="117"/>
      <c r="O182" s="117"/>
      <c r="P182" s="117"/>
      <c r="Q182" s="130">
        <f t="shared" ref="Q182" si="57">SUM(Q178:Q181)</f>
        <v>16.83029611528983</v>
      </c>
    </row>
    <row r="183" spans="1:17" s="98" customFormat="1" ht="15" customHeight="1">
      <c r="A183" s="99"/>
      <c r="B183" s="181"/>
      <c r="C183" s="185"/>
      <c r="D183" s="185"/>
      <c r="E183" s="182"/>
      <c r="F183" s="185"/>
      <c r="G183" s="184"/>
      <c r="H183" s="184"/>
      <c r="I183" s="117"/>
      <c r="J183" s="716"/>
      <c r="K183" s="117"/>
      <c r="L183" s="160"/>
      <c r="M183" s="714"/>
      <c r="N183" s="117"/>
      <c r="O183" s="117"/>
      <c r="P183" s="117"/>
      <c r="Q183" s="715"/>
    </row>
    <row r="184" spans="1:17" s="98" customFormat="1" ht="15" customHeight="1">
      <c r="A184" s="99"/>
      <c r="B184" s="161"/>
      <c r="C184" s="186" t="s">
        <v>2014</v>
      </c>
      <c r="D184" s="186"/>
      <c r="E184" s="186"/>
      <c r="F184" s="162"/>
      <c r="G184" s="163"/>
      <c r="H184" s="163"/>
      <c r="I184" s="117"/>
      <c r="J184" s="713"/>
      <c r="K184" s="117"/>
      <c r="L184" s="160"/>
      <c r="M184" s="713"/>
      <c r="N184" s="117"/>
      <c r="O184" s="117"/>
      <c r="P184" s="117"/>
      <c r="Q184" s="715"/>
    </row>
    <row r="185" spans="1:17" s="98" customFormat="1" ht="15" customHeight="1">
      <c r="A185" s="99"/>
      <c r="B185" s="161"/>
      <c r="C185" s="185"/>
      <c r="D185" s="185" t="s">
        <v>2009</v>
      </c>
      <c r="E185" s="162"/>
      <c r="F185" s="185"/>
      <c r="G185" s="185"/>
      <c r="H185" s="163"/>
      <c r="I185" s="164" t="s">
        <v>498</v>
      </c>
      <c r="J185" s="143">
        <v>6.47074E-3</v>
      </c>
      <c r="K185" s="117"/>
      <c r="L185" s="160"/>
      <c r="M185" s="143">
        <v>6.47074E-3</v>
      </c>
      <c r="N185" s="117"/>
      <c r="O185" s="117"/>
      <c r="P185" s="117"/>
      <c r="Q185" s="144">
        <v>6.47074E-3</v>
      </c>
    </row>
    <row r="186" spans="1:17" s="98" customFormat="1" ht="15" customHeight="1">
      <c r="A186" s="99"/>
      <c r="B186" s="161"/>
      <c r="C186" s="185"/>
      <c r="D186" s="185" t="s">
        <v>2010</v>
      </c>
      <c r="E186" s="162"/>
      <c r="F186" s="185"/>
      <c r="G186" s="185"/>
      <c r="H186" s="163"/>
      <c r="I186" s="164" t="s">
        <v>498</v>
      </c>
      <c r="J186" s="143">
        <v>0</v>
      </c>
      <c r="K186" s="117"/>
      <c r="L186" s="160"/>
      <c r="M186" s="143">
        <v>0</v>
      </c>
      <c r="N186" s="117"/>
      <c r="O186" s="117"/>
      <c r="P186" s="117"/>
      <c r="Q186" s="144">
        <v>0</v>
      </c>
    </row>
    <row r="187" spans="1:17" s="98" customFormat="1" ht="15" customHeight="1">
      <c r="A187" s="99"/>
      <c r="B187" s="161"/>
      <c r="C187" s="185"/>
      <c r="D187" s="185" t="s">
        <v>2011</v>
      </c>
      <c r="E187" s="162"/>
      <c r="F187" s="185"/>
      <c r="G187" s="185"/>
      <c r="H187" s="163"/>
      <c r="I187" s="164" t="s">
        <v>498</v>
      </c>
      <c r="J187" s="143">
        <v>0</v>
      </c>
      <c r="K187" s="117"/>
      <c r="L187" s="160"/>
      <c r="M187" s="143">
        <v>0</v>
      </c>
      <c r="N187" s="117"/>
      <c r="O187" s="117"/>
      <c r="P187" s="117"/>
      <c r="Q187" s="144">
        <v>0</v>
      </c>
    </row>
    <row r="188" spans="1:17" s="98" customFormat="1" ht="15" customHeight="1">
      <c r="A188" s="99"/>
      <c r="B188" s="161"/>
      <c r="C188" s="185"/>
      <c r="D188" s="185" t="s">
        <v>2012</v>
      </c>
      <c r="E188" s="162"/>
      <c r="F188" s="185"/>
      <c r="G188" s="185"/>
      <c r="H188" s="163"/>
      <c r="I188" s="164" t="s">
        <v>498</v>
      </c>
      <c r="J188" s="143">
        <v>0</v>
      </c>
      <c r="K188" s="117"/>
      <c r="L188" s="160"/>
      <c r="M188" s="143">
        <v>0.56168801689320935</v>
      </c>
      <c r="N188" s="117"/>
      <c r="O188" s="117"/>
      <c r="P188" s="117"/>
      <c r="Q188" s="144">
        <v>0.55040978184459988</v>
      </c>
    </row>
    <row r="189" spans="1:17" s="98" customFormat="1" ht="15" customHeight="1">
      <c r="A189" s="99"/>
      <c r="B189" s="161"/>
      <c r="C189" s="185"/>
      <c r="D189" s="162" t="s">
        <v>1710</v>
      </c>
      <c r="E189" s="162"/>
      <c r="F189" s="185"/>
      <c r="G189" s="185"/>
      <c r="H189" s="163"/>
      <c r="I189" s="164" t="s">
        <v>498</v>
      </c>
      <c r="J189" s="128">
        <f t="shared" ref="J189:M189" si="58">SUM(J185:J188)</f>
        <v>6.47074E-3</v>
      </c>
      <c r="K189" s="117"/>
      <c r="L189" s="160"/>
      <c r="M189" s="128">
        <f t="shared" si="58"/>
        <v>0.56815875689320938</v>
      </c>
      <c r="N189" s="117"/>
      <c r="O189" s="117"/>
      <c r="P189" s="117"/>
      <c r="Q189" s="130">
        <f t="shared" ref="Q189" si="59">SUM(Q185:Q188)</f>
        <v>0.55688052184459991</v>
      </c>
    </row>
    <row r="190" spans="1:17" s="98" customFormat="1" ht="15" customHeight="1">
      <c r="A190" s="99"/>
      <c r="B190" s="181"/>
      <c r="C190" s="185"/>
      <c r="D190" s="185"/>
      <c r="E190" s="182"/>
      <c r="F190" s="185"/>
      <c r="G190" s="184"/>
      <c r="H190" s="184"/>
      <c r="I190" s="117"/>
      <c r="J190" s="716"/>
      <c r="K190" s="117"/>
      <c r="L190" s="160"/>
      <c r="M190" s="714"/>
      <c r="N190" s="117"/>
      <c r="O190" s="117"/>
      <c r="P190" s="117"/>
      <c r="Q190" s="715"/>
    </row>
    <row r="191" spans="1:17" s="98" customFormat="1" ht="15" customHeight="1">
      <c r="A191" s="99"/>
      <c r="B191" s="161"/>
      <c r="C191" s="186" t="s">
        <v>2015</v>
      </c>
      <c r="D191" s="186"/>
      <c r="E191" s="186"/>
      <c r="F191" s="162"/>
      <c r="G191" s="163"/>
      <c r="H191" s="163"/>
      <c r="I191" s="117"/>
      <c r="J191" s="713"/>
      <c r="K191" s="117"/>
      <c r="L191" s="160"/>
      <c r="M191" s="713"/>
      <c r="N191" s="117"/>
      <c r="O191" s="117"/>
      <c r="P191" s="117"/>
      <c r="Q191" s="715"/>
    </row>
    <row r="192" spans="1:17" s="98" customFormat="1" ht="15" customHeight="1">
      <c r="A192" s="99"/>
      <c r="B192" s="161"/>
      <c r="C192" s="185"/>
      <c r="D192" s="185" t="s">
        <v>2009</v>
      </c>
      <c r="E192" s="162"/>
      <c r="F192" s="185"/>
      <c r="G192" s="185"/>
      <c r="H192" s="163"/>
      <c r="I192" s="164" t="s">
        <v>498</v>
      </c>
      <c r="J192" s="143">
        <v>6.3074953735845503</v>
      </c>
      <c r="K192" s="117"/>
      <c r="L192" s="160"/>
      <c r="M192" s="143">
        <v>47.776940612885795</v>
      </c>
      <c r="N192" s="117"/>
      <c r="O192" s="117"/>
      <c r="P192" s="117"/>
      <c r="Q192" s="144">
        <v>46.595773697452394</v>
      </c>
    </row>
    <row r="193" spans="1:17" s="98" customFormat="1" ht="15" customHeight="1">
      <c r="A193" s="99"/>
      <c r="B193" s="161"/>
      <c r="C193" s="185"/>
      <c r="D193" s="185" t="s">
        <v>2010</v>
      </c>
      <c r="E193" s="162"/>
      <c r="F193" s="185"/>
      <c r="G193" s="185"/>
      <c r="H193" s="163"/>
      <c r="I193" s="164" t="s">
        <v>498</v>
      </c>
      <c r="J193" s="143">
        <v>0</v>
      </c>
      <c r="K193" s="117"/>
      <c r="L193" s="160"/>
      <c r="M193" s="143">
        <v>0</v>
      </c>
      <c r="N193" s="117"/>
      <c r="O193" s="117"/>
      <c r="P193" s="117"/>
      <c r="Q193" s="144">
        <v>0</v>
      </c>
    </row>
    <row r="194" spans="1:17" s="98" customFormat="1" ht="15" customHeight="1">
      <c r="A194" s="99"/>
      <c r="B194" s="161"/>
      <c r="C194" s="185"/>
      <c r="D194" s="185" t="s">
        <v>2011</v>
      </c>
      <c r="E194" s="162"/>
      <c r="F194" s="185"/>
      <c r="G194" s="185"/>
      <c r="H194" s="163"/>
      <c r="I194" s="164" t="s">
        <v>498</v>
      </c>
      <c r="J194" s="143">
        <v>0</v>
      </c>
      <c r="K194" s="117"/>
      <c r="L194" s="160"/>
      <c r="M194" s="143">
        <v>0</v>
      </c>
      <c r="N194" s="117"/>
      <c r="O194" s="117"/>
      <c r="P194" s="117"/>
      <c r="Q194" s="144">
        <v>0</v>
      </c>
    </row>
    <row r="195" spans="1:17" s="98" customFormat="1" ht="15" customHeight="1">
      <c r="A195" s="99"/>
      <c r="B195" s="161"/>
      <c r="C195" s="185"/>
      <c r="D195" s="185" t="s">
        <v>2012</v>
      </c>
      <c r="E195" s="162"/>
      <c r="F195" s="185"/>
      <c r="G195" s="185"/>
      <c r="H195" s="163"/>
      <c r="I195" s="164" t="s">
        <v>498</v>
      </c>
      <c r="J195" s="143">
        <v>5.8960370825457566</v>
      </c>
      <c r="K195" s="117"/>
      <c r="L195" s="160"/>
      <c r="M195" s="143">
        <v>44.660296498017729</v>
      </c>
      <c r="N195" s="117"/>
      <c r="O195" s="117"/>
      <c r="P195" s="117"/>
      <c r="Q195" s="144">
        <v>43.5561809146378</v>
      </c>
    </row>
    <row r="196" spans="1:17" s="98" customFormat="1" ht="15" customHeight="1" thickBot="1">
      <c r="A196" s="99"/>
      <c r="B196" s="191"/>
      <c r="C196" s="192"/>
      <c r="D196" s="193" t="s">
        <v>1710</v>
      </c>
      <c r="E196" s="193"/>
      <c r="F196" s="192"/>
      <c r="G196" s="192"/>
      <c r="H196" s="194"/>
      <c r="I196" s="195" t="s">
        <v>498</v>
      </c>
      <c r="J196" s="177">
        <f t="shared" ref="J196" si="60">SUM(J192:J195)</f>
        <v>12.203532456130308</v>
      </c>
      <c r="K196" s="145"/>
      <c r="L196" s="2471"/>
      <c r="M196" s="177">
        <f t="shared" ref="M196" si="61">SUM(M192:M195)</f>
        <v>92.437237110903524</v>
      </c>
      <c r="N196" s="145"/>
      <c r="O196" s="145"/>
      <c r="P196" s="145"/>
      <c r="Q196" s="179">
        <f t="shared" ref="Q196" si="62">SUM(Q192:Q195)</f>
        <v>90.151954612090194</v>
      </c>
    </row>
    <row r="197" spans="1:17" s="99" customFormat="1" ht="15" customHeight="1">
      <c r="B197" s="150"/>
      <c r="C197" s="150"/>
      <c r="D197" s="150"/>
      <c r="E197" s="150"/>
      <c r="F197" s="150"/>
      <c r="G197" s="97"/>
      <c r="H197" s="97"/>
      <c r="I197" s="98"/>
      <c r="J197" s="98"/>
      <c r="K197" s="98"/>
      <c r="L197" s="98"/>
      <c r="M197" s="98"/>
      <c r="N197" s="98"/>
      <c r="O197" s="98"/>
      <c r="P197" s="98"/>
      <c r="Q197" s="98"/>
    </row>
    <row r="198" spans="1:17" s="98" customFormat="1" ht="15" customHeight="1"/>
    <row r="199" spans="1:17" s="98" customFormat="1" ht="15" customHeight="1"/>
    <row r="200" spans="1:17" s="98" customFormat="1" ht="15" customHeight="1"/>
    <row r="201" spans="1:17" s="98" customFormat="1" ht="15" customHeight="1"/>
    <row r="202" spans="1:17" s="98" customFormat="1" ht="15" customHeight="1"/>
    <row r="203" spans="1:17" s="98" customFormat="1" ht="15" customHeight="1"/>
    <row r="204" spans="1:17" s="98" customFormat="1" ht="15" customHeight="1"/>
    <row r="216" spans="8:9">
      <c r="H216" s="174"/>
      <c r="I216" s="174"/>
    </row>
    <row r="217" spans="8:9">
      <c r="H217" s="174"/>
      <c r="I217" s="174"/>
    </row>
    <row r="218" spans="8:9">
      <c r="H218" s="174"/>
      <c r="I218" s="174"/>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B050"/>
  </sheetPr>
  <dimension ref="A1:AL198"/>
  <sheetViews>
    <sheetView showGridLines="0" topLeftCell="A163" zoomScale="80" zoomScaleNormal="80" workbookViewId="0">
      <pane xSplit="7" topLeftCell="J1" activePane="topRight" state="frozen"/>
      <selection pane="topRight" activeCell="P195" sqref="P195:P198"/>
    </sheetView>
  </sheetViews>
  <sheetFormatPr defaultColWidth="11.875" defaultRowHeight="12.75"/>
  <cols>
    <col min="1" max="1" width="11.875" style="173" customWidth="1"/>
    <col min="2" max="6" width="4.375" style="174" customWidth="1"/>
    <col min="7" max="7" width="38.125" style="173" customWidth="1"/>
    <col min="8" max="8" width="11.875" style="173"/>
    <col min="9" max="9" width="15.625" style="175" customWidth="1"/>
    <col min="10" max="22" width="15.625" style="173" customWidth="1"/>
    <col min="23" max="25" width="11.875" style="173" customWidth="1"/>
    <col min="26" max="26" width="58.125" style="173" bestFit="1" customWidth="1"/>
    <col min="27" max="27" width="11.875" style="173" customWidth="1"/>
    <col min="28" max="28" width="11.875" style="173"/>
    <col min="29" max="29" width="11.875" style="175"/>
    <col min="30" max="16384" width="11.875" style="173"/>
  </cols>
  <sheetData>
    <row r="1" spans="1:38" s="2" customFormat="1" ht="25.15" customHeight="1">
      <c r="A1" s="1" t="s">
        <v>0</v>
      </c>
      <c r="E1" s="3"/>
      <c r="H1" s="4" t="s">
        <v>1</v>
      </c>
      <c r="J1" s="3"/>
    </row>
    <row r="2" spans="1:38" s="2" customFormat="1" ht="25.15" customHeight="1">
      <c r="A2" s="5" t="str">
        <f>Fixed_Data!I12</f>
        <v>MASTER</v>
      </c>
      <c r="B2" s="6"/>
      <c r="D2" s="7"/>
      <c r="E2" s="3"/>
    </row>
    <row r="3" spans="1:38" s="9" customFormat="1" ht="25.15" customHeight="1" thickBot="1">
      <c r="A3" s="8" t="str">
        <f>Fixed_Data!A3</f>
        <v>RIIO-GD2</v>
      </c>
      <c r="D3" s="10"/>
      <c r="E3" s="11"/>
    </row>
    <row r="4" spans="1:38" s="89" customFormat="1" ht="25.15" customHeight="1">
      <c r="B4" s="90" t="s">
        <v>2016</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row>
    <row r="5" spans="1:38" s="89" customFormat="1" ht="25.15" customHeight="1">
      <c r="B5" s="95" t="s">
        <v>1663</v>
      </c>
      <c r="C5" s="95"/>
      <c r="D5" s="95"/>
      <c r="F5" s="95" t="s">
        <v>463</v>
      </c>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row>
    <row r="6" spans="1:38"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row>
    <row r="7" spans="1:38"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row>
    <row r="8" spans="1:38" s="100" customFormat="1" ht="30" customHeight="1" thickBot="1">
      <c r="A8" s="89"/>
      <c r="B8" s="621" t="s">
        <v>2017</v>
      </c>
      <c r="C8" s="762"/>
      <c r="D8" s="762"/>
      <c r="E8" s="762"/>
      <c r="F8" s="762"/>
      <c r="G8" s="763"/>
      <c r="H8" s="103"/>
      <c r="I8" s="105" t="s">
        <v>2018</v>
      </c>
      <c r="J8" s="106"/>
      <c r="K8" s="106"/>
      <c r="L8" s="106"/>
      <c r="M8" s="106"/>
      <c r="N8" s="106"/>
      <c r="O8" s="106"/>
      <c r="P8" s="106"/>
      <c r="Q8" s="106"/>
      <c r="R8" s="105"/>
      <c r="S8" s="105"/>
      <c r="T8" s="105"/>
      <c r="U8" s="105"/>
      <c r="V8" s="187"/>
    </row>
    <row r="9" spans="1:38" s="157" customFormat="1" ht="30" customHeight="1">
      <c r="A9" s="99"/>
      <c r="B9" s="109"/>
      <c r="C9" s="127"/>
      <c r="D9" s="127"/>
      <c r="E9" s="127"/>
      <c r="F9" s="127"/>
      <c r="G9" s="117"/>
      <c r="H9" s="111"/>
      <c r="I9" s="117"/>
      <c r="J9" s="695" t="s">
        <v>1666</v>
      </c>
      <c r="K9" s="152"/>
      <c r="L9" s="152"/>
      <c r="M9" s="152"/>
      <c r="N9" s="152"/>
      <c r="O9" s="152"/>
      <c r="P9" s="152"/>
      <c r="Q9" s="153"/>
      <c r="R9" s="696" t="s">
        <v>2</v>
      </c>
      <c r="S9" s="155"/>
      <c r="T9" s="155"/>
      <c r="U9" s="155"/>
      <c r="V9" s="156"/>
    </row>
    <row r="10" spans="1:38"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38" s="98" customFormat="1" ht="15" customHeight="1">
      <c r="A11" s="99"/>
      <c r="B11" s="161"/>
      <c r="C11" s="186" t="s">
        <v>2019</v>
      </c>
      <c r="D11" s="162"/>
      <c r="E11" s="162"/>
      <c r="F11" s="162"/>
      <c r="G11" s="163"/>
      <c r="H11" s="163"/>
      <c r="I11" s="117"/>
      <c r="J11" s="159"/>
      <c r="K11" s="117"/>
      <c r="L11" s="117"/>
      <c r="M11" s="117"/>
      <c r="N11" s="117"/>
      <c r="O11" s="117"/>
      <c r="P11" s="117"/>
      <c r="Q11" s="160"/>
      <c r="R11" s="159"/>
      <c r="S11" s="117"/>
      <c r="T11" s="117"/>
      <c r="U11" s="117"/>
      <c r="V11" s="160"/>
    </row>
    <row r="12" spans="1:38" s="98" customFormat="1" ht="15" customHeight="1">
      <c r="A12" s="99"/>
      <c r="B12" s="161"/>
      <c r="C12" s="185"/>
      <c r="D12" s="162" t="s">
        <v>1668</v>
      </c>
      <c r="E12" s="162"/>
      <c r="F12" s="162"/>
      <c r="G12" s="163"/>
      <c r="H12" s="163"/>
      <c r="I12" s="164" t="s">
        <v>2020</v>
      </c>
      <c r="J12" s="1062">
        <v>1</v>
      </c>
      <c r="K12" s="188">
        <v>0</v>
      </c>
      <c r="L12" s="188">
        <v>0</v>
      </c>
      <c r="M12" s="188">
        <v>0</v>
      </c>
      <c r="N12" s="188">
        <v>0</v>
      </c>
      <c r="O12" s="188">
        <v>0</v>
      </c>
      <c r="P12" s="188">
        <v>0</v>
      </c>
      <c r="Q12" s="189">
        <v>0</v>
      </c>
      <c r="R12" s="190">
        <v>0</v>
      </c>
      <c r="S12" s="188">
        <v>0</v>
      </c>
      <c r="T12" s="188">
        <v>0</v>
      </c>
      <c r="U12" s="188">
        <v>0</v>
      </c>
      <c r="V12" s="189">
        <v>0</v>
      </c>
    </row>
    <row r="13" spans="1:38" s="98" customFormat="1" ht="15" customHeight="1">
      <c r="A13" s="99"/>
      <c r="B13" s="161"/>
      <c r="C13" s="185"/>
      <c r="D13" s="162" t="s">
        <v>1674</v>
      </c>
      <c r="E13" s="162"/>
      <c r="F13" s="162"/>
      <c r="G13" s="163"/>
      <c r="H13" s="163"/>
      <c r="I13" s="164" t="s">
        <v>2020</v>
      </c>
      <c r="J13" s="1062">
        <v>1</v>
      </c>
      <c r="K13" s="188">
        <v>0</v>
      </c>
      <c r="L13" s="188">
        <v>0</v>
      </c>
      <c r="M13" s="188">
        <v>0</v>
      </c>
      <c r="N13" s="188">
        <v>0</v>
      </c>
      <c r="O13" s="188">
        <v>0</v>
      </c>
      <c r="P13" s="188">
        <v>0</v>
      </c>
      <c r="Q13" s="189">
        <v>0</v>
      </c>
      <c r="R13" s="190">
        <v>0</v>
      </c>
      <c r="S13" s="188">
        <v>0</v>
      </c>
      <c r="T13" s="188">
        <v>0</v>
      </c>
      <c r="U13" s="188">
        <v>0</v>
      </c>
      <c r="V13" s="189">
        <v>0</v>
      </c>
    </row>
    <row r="14" spans="1:38" s="98" customFormat="1" ht="15" customHeight="1">
      <c r="A14" s="99"/>
      <c r="B14" s="161"/>
      <c r="C14" s="185"/>
      <c r="D14" s="162" t="s">
        <v>62</v>
      </c>
      <c r="E14" s="162"/>
      <c r="F14" s="162"/>
      <c r="G14" s="163"/>
      <c r="H14" s="163"/>
      <c r="I14" s="164" t="s">
        <v>2020</v>
      </c>
      <c r="J14" s="1062">
        <v>1</v>
      </c>
      <c r="K14" s="188">
        <v>0</v>
      </c>
      <c r="L14" s="188">
        <v>0</v>
      </c>
      <c r="M14" s="188">
        <v>0</v>
      </c>
      <c r="N14" s="188">
        <v>0</v>
      </c>
      <c r="O14" s="188">
        <v>0</v>
      </c>
      <c r="P14" s="188">
        <v>0</v>
      </c>
      <c r="Q14" s="189">
        <v>0</v>
      </c>
      <c r="R14" s="190">
        <v>0</v>
      </c>
      <c r="S14" s="188">
        <v>0</v>
      </c>
      <c r="T14" s="188">
        <v>0</v>
      </c>
      <c r="U14" s="188">
        <v>0</v>
      </c>
      <c r="V14" s="189">
        <v>0</v>
      </c>
    </row>
    <row r="15" spans="1:38" s="98" customFormat="1" ht="15" customHeight="1">
      <c r="A15" s="99"/>
      <c r="B15" s="161"/>
      <c r="C15" s="185"/>
      <c r="D15" s="162" t="s">
        <v>2021</v>
      </c>
      <c r="E15" s="162"/>
      <c r="F15" s="162"/>
      <c r="G15" s="163"/>
      <c r="H15" s="163"/>
      <c r="I15" s="164" t="s">
        <v>2020</v>
      </c>
      <c r="J15" s="1062">
        <v>1</v>
      </c>
      <c r="K15" s="188">
        <v>0</v>
      </c>
      <c r="L15" s="188">
        <v>0</v>
      </c>
      <c r="M15" s="188">
        <v>0</v>
      </c>
      <c r="N15" s="188">
        <v>0</v>
      </c>
      <c r="O15" s="188">
        <v>0</v>
      </c>
      <c r="P15" s="188">
        <v>0</v>
      </c>
      <c r="Q15" s="189">
        <v>0</v>
      </c>
      <c r="R15" s="190">
        <v>0</v>
      </c>
      <c r="S15" s="188">
        <v>0</v>
      </c>
      <c r="T15" s="188">
        <v>0</v>
      </c>
      <c r="U15" s="188">
        <v>0</v>
      </c>
      <c r="V15" s="189">
        <v>0</v>
      </c>
    </row>
    <row r="16" spans="1:38" s="98" customFormat="1" ht="15" customHeight="1">
      <c r="A16" s="99"/>
      <c r="B16" s="161"/>
      <c r="C16" s="185"/>
      <c r="D16" s="162" t="s">
        <v>2022</v>
      </c>
      <c r="E16" s="162"/>
      <c r="F16" s="162"/>
      <c r="G16" s="163"/>
      <c r="H16" s="163"/>
      <c r="I16" s="164" t="s">
        <v>2020</v>
      </c>
      <c r="J16" s="1062">
        <v>1</v>
      </c>
      <c r="K16" s="188">
        <v>0</v>
      </c>
      <c r="L16" s="188">
        <v>0</v>
      </c>
      <c r="M16" s="188">
        <v>0</v>
      </c>
      <c r="N16" s="188">
        <v>0</v>
      </c>
      <c r="O16" s="188">
        <v>0</v>
      </c>
      <c r="P16" s="188">
        <v>0</v>
      </c>
      <c r="Q16" s="189">
        <v>0</v>
      </c>
      <c r="R16" s="190">
        <v>0</v>
      </c>
      <c r="S16" s="188">
        <v>0</v>
      </c>
      <c r="T16" s="188">
        <v>0</v>
      </c>
      <c r="U16" s="188">
        <v>0</v>
      </c>
      <c r="V16" s="189">
        <v>0</v>
      </c>
    </row>
    <row r="17" spans="1:24" s="98" customFormat="1" ht="15" customHeight="1">
      <c r="A17" s="99"/>
      <c r="B17" s="161"/>
      <c r="C17" s="185"/>
      <c r="D17" s="776" t="s">
        <v>85</v>
      </c>
      <c r="E17" s="776"/>
      <c r="F17" s="784"/>
      <c r="G17" s="293"/>
      <c r="H17" s="163"/>
      <c r="I17" s="164" t="s">
        <v>2020</v>
      </c>
      <c r="J17" s="1062">
        <v>1</v>
      </c>
      <c r="K17" s="188">
        <v>0</v>
      </c>
      <c r="L17" s="188">
        <v>0</v>
      </c>
      <c r="M17" s="188">
        <v>0</v>
      </c>
      <c r="N17" s="188">
        <v>0</v>
      </c>
      <c r="O17" s="188">
        <v>0</v>
      </c>
      <c r="P17" s="188">
        <v>0</v>
      </c>
      <c r="Q17" s="189">
        <v>0</v>
      </c>
      <c r="R17" s="190">
        <v>0</v>
      </c>
      <c r="S17" s="188">
        <v>0</v>
      </c>
      <c r="T17" s="188">
        <v>0</v>
      </c>
      <c r="U17" s="188">
        <v>0</v>
      </c>
      <c r="V17" s="189">
        <v>0</v>
      </c>
    </row>
    <row r="18" spans="1:24" s="98" customFormat="1" ht="15" customHeight="1">
      <c r="A18" s="99"/>
      <c r="B18" s="161"/>
      <c r="C18" s="185"/>
      <c r="D18" s="776" t="s">
        <v>85</v>
      </c>
      <c r="E18" s="776"/>
      <c r="F18" s="784"/>
      <c r="G18" s="293"/>
      <c r="H18" s="163"/>
      <c r="I18" s="164" t="s">
        <v>2020</v>
      </c>
      <c r="J18" s="1062">
        <v>1</v>
      </c>
      <c r="K18" s="188">
        <v>0</v>
      </c>
      <c r="L18" s="188">
        <v>0</v>
      </c>
      <c r="M18" s="188">
        <v>0</v>
      </c>
      <c r="N18" s="188">
        <v>0</v>
      </c>
      <c r="O18" s="188">
        <v>0</v>
      </c>
      <c r="P18" s="188">
        <v>0</v>
      </c>
      <c r="Q18" s="189">
        <v>0</v>
      </c>
      <c r="R18" s="190">
        <v>0</v>
      </c>
      <c r="S18" s="188">
        <v>0</v>
      </c>
      <c r="T18" s="188">
        <v>0</v>
      </c>
      <c r="U18" s="188">
        <v>0</v>
      </c>
      <c r="V18" s="189">
        <v>0</v>
      </c>
    </row>
    <row r="19" spans="1:24" s="98" customFormat="1" ht="15" customHeight="1">
      <c r="A19" s="99"/>
      <c r="B19" s="161"/>
      <c r="C19" s="185"/>
      <c r="D19" s="776" t="s">
        <v>85</v>
      </c>
      <c r="E19" s="776"/>
      <c r="F19" s="784"/>
      <c r="G19" s="293"/>
      <c r="H19" s="163"/>
      <c r="I19" s="164" t="s">
        <v>2020</v>
      </c>
      <c r="J19" s="1062">
        <v>1</v>
      </c>
      <c r="K19" s="188">
        <v>0</v>
      </c>
      <c r="L19" s="188">
        <v>0</v>
      </c>
      <c r="M19" s="188">
        <v>0</v>
      </c>
      <c r="N19" s="188">
        <v>0</v>
      </c>
      <c r="O19" s="188">
        <v>0</v>
      </c>
      <c r="P19" s="188">
        <v>0</v>
      </c>
      <c r="Q19" s="189">
        <v>0</v>
      </c>
      <c r="R19" s="190">
        <v>0</v>
      </c>
      <c r="S19" s="188">
        <v>0</v>
      </c>
      <c r="T19" s="188">
        <v>0</v>
      </c>
      <c r="U19" s="188">
        <v>0</v>
      </c>
      <c r="V19" s="189">
        <v>0</v>
      </c>
    </row>
    <row r="20" spans="1:24" s="98" customFormat="1" ht="15" customHeight="1">
      <c r="A20" s="99"/>
      <c r="B20" s="161"/>
      <c r="C20" s="185"/>
      <c r="D20" s="776" t="s">
        <v>85</v>
      </c>
      <c r="E20" s="776"/>
      <c r="F20" s="784"/>
      <c r="G20" s="293"/>
      <c r="H20" s="163"/>
      <c r="I20" s="164" t="s">
        <v>2020</v>
      </c>
      <c r="J20" s="1062">
        <v>1</v>
      </c>
      <c r="K20" s="188">
        <v>0</v>
      </c>
      <c r="L20" s="188">
        <v>0</v>
      </c>
      <c r="M20" s="188">
        <v>0</v>
      </c>
      <c r="N20" s="188">
        <v>0</v>
      </c>
      <c r="O20" s="188">
        <v>0</v>
      </c>
      <c r="P20" s="188">
        <v>0</v>
      </c>
      <c r="Q20" s="189">
        <v>0</v>
      </c>
      <c r="R20" s="190">
        <v>0</v>
      </c>
      <c r="S20" s="188">
        <v>0</v>
      </c>
      <c r="T20" s="188">
        <v>0</v>
      </c>
      <c r="U20" s="188">
        <v>0</v>
      </c>
      <c r="V20" s="189">
        <v>0</v>
      </c>
    </row>
    <row r="21" spans="1:24" s="98" customFormat="1" ht="15" customHeight="1" thickBot="1">
      <c r="A21" s="99"/>
      <c r="B21" s="191"/>
      <c r="C21" s="192"/>
      <c r="D21" s="798" t="s">
        <v>85</v>
      </c>
      <c r="E21" s="798"/>
      <c r="F21" s="785"/>
      <c r="G21" s="949"/>
      <c r="H21" s="194"/>
      <c r="I21" s="195" t="s">
        <v>2020</v>
      </c>
      <c r="J21" s="1063">
        <v>1</v>
      </c>
      <c r="K21" s="196">
        <v>0</v>
      </c>
      <c r="L21" s="196">
        <v>0</v>
      </c>
      <c r="M21" s="196">
        <v>0</v>
      </c>
      <c r="N21" s="196">
        <v>0</v>
      </c>
      <c r="O21" s="196">
        <v>0</v>
      </c>
      <c r="P21" s="196">
        <v>0</v>
      </c>
      <c r="Q21" s="197">
        <v>0</v>
      </c>
      <c r="R21" s="198">
        <v>0</v>
      </c>
      <c r="S21" s="196">
        <v>0</v>
      </c>
      <c r="T21" s="196">
        <v>0</v>
      </c>
      <c r="U21" s="196">
        <v>0</v>
      </c>
      <c r="V21" s="197">
        <v>0</v>
      </c>
    </row>
    <row r="22" spans="1:24" s="99" customFormat="1" ht="15" customHeight="1" thickBot="1">
      <c r="B22" s="150"/>
      <c r="C22" s="95"/>
      <c r="D22" s="95"/>
      <c r="E22" s="95"/>
      <c r="F22" s="95"/>
      <c r="G22" s="97"/>
      <c r="H22" s="97"/>
      <c r="I22" s="98"/>
      <c r="J22" s="98"/>
      <c r="K22" s="98"/>
      <c r="L22" s="98"/>
      <c r="M22" s="98"/>
      <c r="N22" s="98"/>
      <c r="O22" s="98"/>
      <c r="P22" s="98"/>
      <c r="Q22" s="98"/>
      <c r="R22" s="98"/>
      <c r="S22" s="98"/>
      <c r="T22" s="98"/>
      <c r="U22" s="98"/>
      <c r="V22" s="98"/>
      <c r="W22" s="98"/>
      <c r="X22" s="98"/>
    </row>
    <row r="23" spans="1:24" s="100" customFormat="1" ht="30" customHeight="1" thickBot="1">
      <c r="A23" s="89"/>
      <c r="B23" s="621" t="s">
        <v>2023</v>
      </c>
      <c r="C23" s="762"/>
      <c r="D23" s="762"/>
      <c r="E23" s="762"/>
      <c r="F23" s="762"/>
      <c r="G23" s="763"/>
      <c r="H23" s="103"/>
      <c r="I23" s="105" t="s">
        <v>2024</v>
      </c>
      <c r="J23" s="106"/>
      <c r="K23" s="106"/>
      <c r="L23" s="106"/>
      <c r="M23" s="106"/>
      <c r="N23" s="106"/>
      <c r="O23" s="106"/>
      <c r="P23" s="106"/>
      <c r="Q23" s="106"/>
      <c r="R23" s="105"/>
      <c r="S23" s="105"/>
      <c r="T23" s="105"/>
      <c r="U23" s="105"/>
      <c r="V23" s="187"/>
    </row>
    <row r="24" spans="1:24" s="157" customFormat="1" ht="30" customHeight="1">
      <c r="A24" s="99"/>
      <c r="B24" s="109"/>
      <c r="C24" s="127"/>
      <c r="D24" s="127"/>
      <c r="E24" s="127"/>
      <c r="F24" s="127"/>
      <c r="G24" s="117"/>
      <c r="H24" s="111"/>
      <c r="I24" s="117"/>
      <c r="J24" s="695" t="s">
        <v>1666</v>
      </c>
      <c r="K24" s="152"/>
      <c r="L24" s="152"/>
      <c r="M24" s="152"/>
      <c r="N24" s="152"/>
      <c r="O24" s="152"/>
      <c r="P24" s="152"/>
      <c r="Q24" s="153"/>
      <c r="R24" s="696" t="s">
        <v>2</v>
      </c>
      <c r="S24" s="155"/>
      <c r="T24" s="155"/>
      <c r="U24" s="155"/>
      <c r="V24" s="156"/>
    </row>
    <row r="25" spans="1:24" s="98" customFormat="1" ht="15" customHeight="1">
      <c r="A25" s="99"/>
      <c r="B25" s="115"/>
      <c r="C25" s="116"/>
      <c r="D25" s="116"/>
      <c r="E25" s="116"/>
      <c r="F25" s="116"/>
      <c r="G25" s="117"/>
      <c r="H25" s="117"/>
      <c r="I25" s="119" t="s">
        <v>1667</v>
      </c>
      <c r="J25" s="158" t="s">
        <v>453</v>
      </c>
      <c r="K25" s="137" t="s">
        <v>455</v>
      </c>
      <c r="L25" s="137" t="s">
        <v>457</v>
      </c>
      <c r="M25" s="137" t="s">
        <v>459</v>
      </c>
      <c r="N25" s="137" t="s">
        <v>461</v>
      </c>
      <c r="O25" s="137" t="s">
        <v>463</v>
      </c>
      <c r="P25" s="137" t="s">
        <v>465</v>
      </c>
      <c r="Q25" s="138" t="s">
        <v>467</v>
      </c>
      <c r="R25" s="120" t="s">
        <v>469</v>
      </c>
      <c r="S25" s="121" t="s">
        <v>471</v>
      </c>
      <c r="T25" s="121" t="s">
        <v>473</v>
      </c>
      <c r="U25" s="121" t="s">
        <v>475</v>
      </c>
      <c r="V25" s="122" t="s">
        <v>477</v>
      </c>
    </row>
    <row r="26" spans="1:24" s="98" customFormat="1" ht="15" customHeight="1">
      <c r="A26" s="99"/>
      <c r="B26" s="161"/>
      <c r="C26" s="186" t="s">
        <v>1781</v>
      </c>
      <c r="D26" s="162"/>
      <c r="E26" s="162"/>
      <c r="F26" s="162"/>
      <c r="G26" s="163"/>
      <c r="H26" s="163"/>
      <c r="I26" s="117"/>
      <c r="J26" s="117"/>
      <c r="K26" s="117"/>
      <c r="L26" s="117"/>
      <c r="M26" s="117"/>
      <c r="N26" s="117"/>
      <c r="O26" s="117"/>
      <c r="P26" s="117"/>
      <c r="Q26" s="160"/>
      <c r="R26" s="159"/>
      <c r="S26" s="117"/>
      <c r="T26" s="117"/>
      <c r="U26" s="117"/>
      <c r="V26" s="160"/>
    </row>
    <row r="27" spans="1:24" s="98" customFormat="1" ht="15" customHeight="1">
      <c r="A27" s="99"/>
      <c r="B27" s="161"/>
      <c r="C27" s="185"/>
      <c r="D27" s="162" t="s">
        <v>1782</v>
      </c>
      <c r="E27" s="162"/>
      <c r="F27" s="162"/>
      <c r="G27" s="163"/>
      <c r="H27" s="163"/>
      <c r="I27" s="164" t="s">
        <v>627</v>
      </c>
      <c r="J27" s="188">
        <v>1.0100044344734804E-2</v>
      </c>
      <c r="K27" s="188">
        <v>1.1532979112234802E-2</v>
      </c>
      <c r="L27" s="188">
        <v>2.6171993897356149E-2</v>
      </c>
      <c r="M27" s="188">
        <v>3.1377815276349863E-2</v>
      </c>
      <c r="N27" s="188">
        <v>3.6847949836804117E-2</v>
      </c>
      <c r="O27" s="188">
        <v>2.6966937262230282E-2</v>
      </c>
      <c r="P27" s="188">
        <v>3.4996404126333196E-2</v>
      </c>
      <c r="Q27" s="189">
        <v>3.565488746160321E-2</v>
      </c>
      <c r="R27" s="190">
        <v>3.3962534667992511E-2</v>
      </c>
      <c r="S27" s="188">
        <v>3.4241245814392106E-2</v>
      </c>
      <c r="T27" s="188">
        <v>3.4308323725338513E-2</v>
      </c>
      <c r="U27" s="188">
        <v>3.4783047766481556E-2</v>
      </c>
      <c r="V27" s="189">
        <v>3.4656115724811982E-2</v>
      </c>
    </row>
    <row r="28" spans="1:24" s="98" customFormat="1" ht="15" customHeight="1">
      <c r="A28" s="99"/>
      <c r="B28" s="161"/>
      <c r="C28" s="185"/>
      <c r="D28" s="162" t="s">
        <v>2025</v>
      </c>
      <c r="E28" s="162"/>
      <c r="F28" s="162"/>
      <c r="G28" s="163"/>
      <c r="H28" s="163"/>
      <c r="I28" s="164" t="s">
        <v>627</v>
      </c>
      <c r="J28" s="188">
        <v>0</v>
      </c>
      <c r="K28" s="188">
        <v>0</v>
      </c>
      <c r="L28" s="188">
        <v>0</v>
      </c>
      <c r="M28" s="188">
        <v>0</v>
      </c>
      <c r="N28" s="188">
        <v>0</v>
      </c>
      <c r="O28" s="188">
        <v>0</v>
      </c>
      <c r="P28" s="188">
        <v>0</v>
      </c>
      <c r="Q28" s="189">
        <v>0</v>
      </c>
      <c r="R28" s="190">
        <v>0</v>
      </c>
      <c r="S28" s="188">
        <v>0</v>
      </c>
      <c r="T28" s="188">
        <v>0</v>
      </c>
      <c r="U28" s="188">
        <v>0</v>
      </c>
      <c r="V28" s="189">
        <v>0</v>
      </c>
    </row>
    <row r="29" spans="1:24" s="98" customFormat="1" ht="15" customHeight="1">
      <c r="A29" s="99"/>
      <c r="B29" s="161"/>
      <c r="C29" s="185"/>
      <c r="D29" s="162" t="s">
        <v>2026</v>
      </c>
      <c r="E29" s="162"/>
      <c r="F29" s="162"/>
      <c r="G29" s="163"/>
      <c r="H29" s="163"/>
      <c r="I29" s="164" t="s">
        <v>627</v>
      </c>
      <c r="J29" s="188">
        <v>0</v>
      </c>
      <c r="K29" s="188">
        <v>0</v>
      </c>
      <c r="L29" s="188">
        <v>0</v>
      </c>
      <c r="M29" s="188">
        <v>0</v>
      </c>
      <c r="N29" s="188">
        <v>0</v>
      </c>
      <c r="O29" s="188">
        <v>0</v>
      </c>
      <c r="P29" s="188">
        <v>0</v>
      </c>
      <c r="Q29" s="189">
        <v>0</v>
      </c>
      <c r="R29" s="190">
        <v>0</v>
      </c>
      <c r="S29" s="188">
        <v>0</v>
      </c>
      <c r="T29" s="188">
        <v>0</v>
      </c>
      <c r="U29" s="188">
        <v>0</v>
      </c>
      <c r="V29" s="189">
        <v>0</v>
      </c>
    </row>
    <row r="30" spans="1:24" s="98" customFormat="1" ht="15" customHeight="1">
      <c r="A30" s="99"/>
      <c r="B30" s="161"/>
      <c r="C30" s="185"/>
      <c r="D30" s="162" t="s">
        <v>1783</v>
      </c>
      <c r="E30" s="162"/>
      <c r="F30" s="162"/>
      <c r="G30" s="163"/>
      <c r="H30" s="163"/>
      <c r="I30" s="164" t="s">
        <v>627</v>
      </c>
      <c r="J30" s="188">
        <v>0.76975732294176347</v>
      </c>
      <c r="K30" s="188">
        <v>0.78693360809148793</v>
      </c>
      <c r="L30" s="188">
        <v>0.8477353646572926</v>
      </c>
      <c r="M30" s="188">
        <v>0.81823196539952792</v>
      </c>
      <c r="N30" s="188">
        <v>0.81003121008348911</v>
      </c>
      <c r="O30" s="188">
        <v>0.81883561888806655</v>
      </c>
      <c r="P30" s="188">
        <v>0.82390130990483756</v>
      </c>
      <c r="Q30" s="189">
        <v>0.82344166973964683</v>
      </c>
      <c r="R30" s="190">
        <v>0.85658886544642709</v>
      </c>
      <c r="S30" s="188">
        <v>0.8564806536536359</v>
      </c>
      <c r="T30" s="188">
        <v>0.85724871501980948</v>
      </c>
      <c r="U30" s="188">
        <v>0.85631575938444038</v>
      </c>
      <c r="V30" s="189">
        <v>0.85785764152436317</v>
      </c>
    </row>
    <row r="31" spans="1:24" s="98" customFormat="1" ht="15" customHeight="1">
      <c r="A31" s="99"/>
      <c r="B31" s="161"/>
      <c r="C31" s="185"/>
      <c r="D31" s="162" t="s">
        <v>2027</v>
      </c>
      <c r="E31" s="162"/>
      <c r="F31" s="162"/>
      <c r="G31" s="163"/>
      <c r="H31" s="163"/>
      <c r="I31" s="164" t="s">
        <v>627</v>
      </c>
      <c r="J31" s="188">
        <v>0</v>
      </c>
      <c r="K31" s="188">
        <v>0</v>
      </c>
      <c r="L31" s="188">
        <v>0</v>
      </c>
      <c r="M31" s="188">
        <v>0</v>
      </c>
      <c r="N31" s="188">
        <v>0</v>
      </c>
      <c r="O31" s="188">
        <v>0</v>
      </c>
      <c r="P31" s="188">
        <v>0</v>
      </c>
      <c r="Q31" s="189">
        <v>0</v>
      </c>
      <c r="R31" s="190">
        <v>0</v>
      </c>
      <c r="S31" s="188">
        <v>0</v>
      </c>
      <c r="T31" s="188">
        <v>0</v>
      </c>
      <c r="U31" s="188">
        <v>0</v>
      </c>
      <c r="V31" s="189">
        <v>0</v>
      </c>
    </row>
    <row r="32" spans="1:24" s="98" customFormat="1" ht="15" customHeight="1">
      <c r="A32" s="99"/>
      <c r="B32" s="161"/>
      <c r="C32" s="185"/>
      <c r="D32" s="162" t="s">
        <v>2028</v>
      </c>
      <c r="E32" s="162"/>
      <c r="F32" s="162"/>
      <c r="G32" s="163"/>
      <c r="H32" s="163"/>
      <c r="I32" s="164" t="s">
        <v>627</v>
      </c>
      <c r="J32" s="188">
        <v>0</v>
      </c>
      <c r="K32" s="188">
        <v>0</v>
      </c>
      <c r="L32" s="188">
        <v>0</v>
      </c>
      <c r="M32" s="188">
        <v>0</v>
      </c>
      <c r="N32" s="188">
        <v>0</v>
      </c>
      <c r="O32" s="188">
        <v>0</v>
      </c>
      <c r="P32" s="188">
        <v>0</v>
      </c>
      <c r="Q32" s="189">
        <v>0</v>
      </c>
      <c r="R32" s="190">
        <v>0</v>
      </c>
      <c r="S32" s="188">
        <v>0</v>
      </c>
      <c r="T32" s="188">
        <v>0</v>
      </c>
      <c r="U32" s="188">
        <v>0</v>
      </c>
      <c r="V32" s="189">
        <v>0</v>
      </c>
    </row>
    <row r="33" spans="1:23" s="98" customFormat="1" ht="15" customHeight="1">
      <c r="A33" s="99"/>
      <c r="B33" s="161"/>
      <c r="C33" s="185"/>
      <c r="D33" s="162" t="s">
        <v>1784</v>
      </c>
      <c r="E33" s="162"/>
      <c r="F33" s="162"/>
      <c r="G33" s="163"/>
      <c r="H33" s="163"/>
      <c r="I33" s="164" t="s">
        <v>627</v>
      </c>
      <c r="J33" s="188">
        <v>4.4015920334614787E-2</v>
      </c>
      <c r="K33" s="188">
        <v>3.6975430002255817E-2</v>
      </c>
      <c r="L33" s="188">
        <v>3.0555326468510467E-2</v>
      </c>
      <c r="M33" s="188">
        <v>3.6549450245906848E-2</v>
      </c>
      <c r="N33" s="188">
        <v>4.0621216980251972E-2</v>
      </c>
      <c r="O33" s="188">
        <v>4.6265091555296997E-2</v>
      </c>
      <c r="P33" s="188">
        <v>3.8831284829951657E-2</v>
      </c>
      <c r="Q33" s="189">
        <v>3.9392454024276012E-2</v>
      </c>
      <c r="R33" s="190">
        <v>3.7353118359350596E-2</v>
      </c>
      <c r="S33" s="188">
        <v>3.7416975132704679E-2</v>
      </c>
      <c r="T33" s="188">
        <v>3.7252411743946674E-2</v>
      </c>
      <c r="U33" s="188">
        <v>3.7531982262851558E-2</v>
      </c>
      <c r="V33" s="189">
        <v>3.7165132642996923E-2</v>
      </c>
    </row>
    <row r="34" spans="1:23" s="98" customFormat="1" ht="15" customHeight="1">
      <c r="A34" s="99"/>
      <c r="B34" s="161"/>
      <c r="C34" s="185"/>
      <c r="D34" s="162" t="s">
        <v>2029</v>
      </c>
      <c r="E34" s="162"/>
      <c r="F34" s="162"/>
      <c r="G34" s="163"/>
      <c r="H34" s="163"/>
      <c r="I34" s="164" t="s">
        <v>627</v>
      </c>
      <c r="J34" s="188">
        <v>0</v>
      </c>
      <c r="K34" s="188">
        <v>0</v>
      </c>
      <c r="L34" s="188">
        <v>0</v>
      </c>
      <c r="M34" s="188">
        <v>0</v>
      </c>
      <c r="N34" s="188">
        <v>0</v>
      </c>
      <c r="O34" s="188">
        <v>0</v>
      </c>
      <c r="P34" s="188">
        <v>0</v>
      </c>
      <c r="Q34" s="189">
        <v>0</v>
      </c>
      <c r="R34" s="190">
        <v>0</v>
      </c>
      <c r="S34" s="188">
        <v>0</v>
      </c>
      <c r="T34" s="188">
        <v>0</v>
      </c>
      <c r="U34" s="188">
        <v>0</v>
      </c>
      <c r="V34" s="189">
        <v>0</v>
      </c>
    </row>
    <row r="35" spans="1:23" s="98" customFormat="1" ht="15" customHeight="1">
      <c r="A35" s="99"/>
      <c r="B35" s="161"/>
      <c r="C35" s="185"/>
      <c r="D35" s="162" t="s">
        <v>2030</v>
      </c>
      <c r="E35" s="162"/>
      <c r="F35" s="162"/>
      <c r="G35" s="163"/>
      <c r="H35" s="163"/>
      <c r="I35" s="164" t="s">
        <v>627</v>
      </c>
      <c r="J35" s="188">
        <v>0</v>
      </c>
      <c r="K35" s="188">
        <v>0</v>
      </c>
      <c r="L35" s="188">
        <v>0</v>
      </c>
      <c r="M35" s="188">
        <v>0</v>
      </c>
      <c r="N35" s="188">
        <v>0</v>
      </c>
      <c r="O35" s="188">
        <v>0</v>
      </c>
      <c r="P35" s="188">
        <v>0</v>
      </c>
      <c r="Q35" s="189">
        <v>0</v>
      </c>
      <c r="R35" s="190">
        <v>0</v>
      </c>
      <c r="S35" s="188">
        <v>0</v>
      </c>
      <c r="T35" s="188">
        <v>0</v>
      </c>
      <c r="U35" s="188">
        <v>0</v>
      </c>
      <c r="V35" s="189">
        <v>0</v>
      </c>
    </row>
    <row r="36" spans="1:23" s="98" customFormat="1" ht="15" customHeight="1">
      <c r="A36" s="99"/>
      <c r="B36" s="161"/>
      <c r="C36" s="185"/>
      <c r="D36" s="162" t="s">
        <v>1785</v>
      </c>
      <c r="E36" s="162"/>
      <c r="F36" s="162"/>
      <c r="G36" s="163"/>
      <c r="H36" s="163"/>
      <c r="I36" s="164" t="s">
        <v>627</v>
      </c>
      <c r="J36" s="188">
        <v>0</v>
      </c>
      <c r="K36" s="188">
        <v>0</v>
      </c>
      <c r="L36" s="188">
        <v>0</v>
      </c>
      <c r="M36" s="188">
        <v>0</v>
      </c>
      <c r="N36" s="188">
        <v>0</v>
      </c>
      <c r="O36" s="188">
        <v>0</v>
      </c>
      <c r="P36" s="188">
        <v>0</v>
      </c>
      <c r="Q36" s="189">
        <v>0</v>
      </c>
      <c r="R36" s="190">
        <v>0</v>
      </c>
      <c r="S36" s="188">
        <v>0</v>
      </c>
      <c r="T36" s="188">
        <v>0</v>
      </c>
      <c r="U36" s="188">
        <v>0</v>
      </c>
      <c r="V36" s="189">
        <v>0</v>
      </c>
    </row>
    <row r="37" spans="1:23" s="98" customFormat="1" ht="15" customHeight="1">
      <c r="A37" s="99"/>
      <c r="B37" s="161"/>
      <c r="C37" s="185"/>
      <c r="D37" s="162" t="s">
        <v>1786</v>
      </c>
      <c r="E37" s="162"/>
      <c r="F37" s="162"/>
      <c r="G37" s="163"/>
      <c r="H37" s="163"/>
      <c r="I37" s="164" t="s">
        <v>627</v>
      </c>
      <c r="J37" s="188">
        <v>7.4961197581189618E-2</v>
      </c>
      <c r="K37" s="188">
        <v>6.718834043415578E-2</v>
      </c>
      <c r="L37" s="188">
        <v>5.3528508555171189E-2</v>
      </c>
      <c r="M37" s="188">
        <v>4.3254505964867795E-2</v>
      </c>
      <c r="N37" s="188">
        <v>5.3615252118318218E-2</v>
      </c>
      <c r="O37" s="188">
        <v>6.5824845061728671E-2</v>
      </c>
      <c r="P37" s="188">
        <v>6.370927497597223E-2</v>
      </c>
      <c r="Q37" s="189">
        <v>6.401912118889605E-2</v>
      </c>
      <c r="R37" s="190">
        <v>6.0116189787946708E-2</v>
      </c>
      <c r="S37" s="188">
        <v>5.9741402071192488E-2</v>
      </c>
      <c r="T37" s="188">
        <v>5.9006030631836126E-2</v>
      </c>
      <c r="U37" s="188">
        <v>5.8975620658677987E-2</v>
      </c>
      <c r="V37" s="189">
        <v>5.7933542724457873E-2</v>
      </c>
    </row>
    <row r="38" spans="1:23" s="98" customFormat="1" ht="15" customHeight="1">
      <c r="A38" s="99"/>
      <c r="B38" s="161"/>
      <c r="C38" s="185"/>
      <c r="D38" s="162" t="s">
        <v>1787</v>
      </c>
      <c r="E38" s="162"/>
      <c r="F38" s="162"/>
      <c r="G38" s="163"/>
      <c r="H38" s="163"/>
      <c r="I38" s="164" t="s">
        <v>627</v>
      </c>
      <c r="J38" s="188">
        <v>0.10116551479769731</v>
      </c>
      <c r="K38" s="188">
        <v>9.7369642359865685E-2</v>
      </c>
      <c r="L38" s="188">
        <v>4.2008806421669501E-2</v>
      </c>
      <c r="M38" s="188">
        <v>7.0586263113347578E-2</v>
      </c>
      <c r="N38" s="188">
        <v>5.8884370981136566E-2</v>
      </c>
      <c r="O38" s="188">
        <v>4.2107507232677428E-2</v>
      </c>
      <c r="P38" s="188">
        <v>3.8561726162905374E-2</v>
      </c>
      <c r="Q38" s="189">
        <v>3.7491867585577952E-2</v>
      </c>
      <c r="R38" s="190">
        <v>1.1979291738283071E-2</v>
      </c>
      <c r="S38" s="188">
        <v>1.2119723328074877E-2</v>
      </c>
      <c r="T38" s="188">
        <v>1.2184518879069312E-2</v>
      </c>
      <c r="U38" s="188">
        <v>1.2393589927548574E-2</v>
      </c>
      <c r="V38" s="189">
        <v>1.2387567383369972E-2</v>
      </c>
    </row>
    <row r="39" spans="1:23" s="98" customFormat="1" ht="15" customHeight="1">
      <c r="A39" s="99"/>
      <c r="B39" s="161"/>
      <c r="C39" s="185"/>
      <c r="D39" s="162" t="s">
        <v>2031</v>
      </c>
      <c r="E39" s="162"/>
      <c r="F39" s="162"/>
      <c r="G39" s="163"/>
      <c r="H39" s="163"/>
      <c r="I39" s="164" t="s">
        <v>627</v>
      </c>
      <c r="J39" s="188">
        <v>0</v>
      </c>
      <c r="K39" s="188">
        <v>0</v>
      </c>
      <c r="L39" s="188">
        <v>0</v>
      </c>
      <c r="M39" s="188">
        <v>0</v>
      </c>
      <c r="N39" s="188">
        <v>0</v>
      </c>
      <c r="O39" s="188">
        <v>0</v>
      </c>
      <c r="P39" s="188">
        <v>0</v>
      </c>
      <c r="Q39" s="189">
        <v>0</v>
      </c>
      <c r="R39" s="190">
        <v>0</v>
      </c>
      <c r="S39" s="188">
        <v>0</v>
      </c>
      <c r="T39" s="188">
        <v>0</v>
      </c>
      <c r="U39" s="188">
        <v>0</v>
      </c>
      <c r="V39" s="189">
        <v>0</v>
      </c>
    </row>
    <row r="40" spans="1:23" s="98" customFormat="1" ht="15" customHeight="1">
      <c r="A40" s="99"/>
      <c r="B40" s="161"/>
      <c r="C40" s="185"/>
      <c r="D40" s="162" t="s">
        <v>2032</v>
      </c>
      <c r="E40" s="162"/>
      <c r="F40" s="162"/>
      <c r="G40" s="163"/>
      <c r="H40" s="163"/>
      <c r="I40" s="164" t="s">
        <v>627</v>
      </c>
      <c r="J40" s="188">
        <v>0</v>
      </c>
      <c r="K40" s="188">
        <v>0</v>
      </c>
      <c r="L40" s="188">
        <v>0</v>
      </c>
      <c r="M40" s="188">
        <v>0</v>
      </c>
      <c r="N40" s="188">
        <v>0</v>
      </c>
      <c r="O40" s="188">
        <v>0</v>
      </c>
      <c r="P40" s="188">
        <v>0</v>
      </c>
      <c r="Q40" s="189">
        <v>0</v>
      </c>
      <c r="R40" s="190">
        <v>0</v>
      </c>
      <c r="S40" s="188">
        <v>0</v>
      </c>
      <c r="T40" s="188">
        <v>0</v>
      </c>
      <c r="U40" s="188">
        <v>0</v>
      </c>
      <c r="V40" s="189">
        <v>0</v>
      </c>
    </row>
    <row r="41" spans="1:23" s="98" customFormat="1" ht="15" customHeight="1">
      <c r="A41" s="99"/>
      <c r="B41" s="181"/>
      <c r="C41" s="182" t="s">
        <v>1710</v>
      </c>
      <c r="D41" s="183"/>
      <c r="E41" s="183"/>
      <c r="F41" s="183"/>
      <c r="G41" s="184"/>
      <c r="H41" s="184"/>
      <c r="I41" s="164" t="s">
        <v>627</v>
      </c>
      <c r="J41" s="876">
        <f t="shared" ref="J41:O41" si="0">SUM(J27:J40)</f>
        <v>0.99999999999999989</v>
      </c>
      <c r="K41" s="876">
        <f t="shared" si="0"/>
        <v>1</v>
      </c>
      <c r="L41" s="876">
        <f t="shared" si="0"/>
        <v>0.99999999999999989</v>
      </c>
      <c r="M41" s="876">
        <f t="shared" si="0"/>
        <v>1</v>
      </c>
      <c r="N41" s="876">
        <f t="shared" si="0"/>
        <v>0.99999999999999989</v>
      </c>
      <c r="O41" s="876">
        <f t="shared" si="0"/>
        <v>1</v>
      </c>
      <c r="P41" s="876">
        <f>SUM(P27:P40)</f>
        <v>1</v>
      </c>
      <c r="Q41" s="228">
        <f t="shared" ref="Q41:V41" si="1">SUM(Q27:Q40)</f>
        <v>1</v>
      </c>
      <c r="R41" s="875">
        <f t="shared" si="1"/>
        <v>1</v>
      </c>
      <c r="S41" s="876">
        <f t="shared" si="1"/>
        <v>1.0000000000000002</v>
      </c>
      <c r="T41" s="876">
        <f t="shared" si="1"/>
        <v>1</v>
      </c>
      <c r="U41" s="876">
        <f t="shared" si="1"/>
        <v>1</v>
      </c>
      <c r="V41" s="228">
        <f t="shared" si="1"/>
        <v>0.99999999999999989</v>
      </c>
      <c r="W41" s="185"/>
    </row>
    <row r="42" spans="1:23" s="98" customFormat="1" ht="15" customHeight="1">
      <c r="A42" s="99"/>
      <c r="B42" s="161"/>
      <c r="C42" s="116"/>
      <c r="D42" s="116"/>
      <c r="E42" s="116"/>
      <c r="F42" s="116"/>
      <c r="G42" s="117"/>
      <c r="H42" s="117"/>
      <c r="I42" s="117"/>
      <c r="J42" s="1003"/>
      <c r="K42" s="1003"/>
      <c r="L42" s="1003"/>
      <c r="M42" s="1003"/>
      <c r="N42" s="1003"/>
      <c r="O42" s="1003"/>
      <c r="P42" s="1003"/>
      <c r="Q42" s="1004"/>
      <c r="R42" s="1005"/>
      <c r="S42" s="1003"/>
      <c r="T42" s="1003"/>
      <c r="U42" s="1003"/>
      <c r="V42" s="1004"/>
    </row>
    <row r="43" spans="1:23" s="98" customFormat="1" ht="15" customHeight="1">
      <c r="A43" s="99"/>
      <c r="B43" s="161"/>
      <c r="C43" s="186" t="s">
        <v>1788</v>
      </c>
      <c r="D43" s="162"/>
      <c r="E43" s="162"/>
      <c r="F43" s="162"/>
      <c r="G43" s="163"/>
      <c r="H43" s="163"/>
      <c r="I43" s="117"/>
      <c r="J43" s="117"/>
      <c r="K43" s="117"/>
      <c r="L43" s="117"/>
      <c r="M43" s="117"/>
      <c r="N43" s="117"/>
      <c r="O43" s="117"/>
      <c r="P43" s="117"/>
      <c r="Q43" s="160"/>
      <c r="R43" s="159"/>
      <c r="S43" s="117"/>
      <c r="T43" s="117"/>
      <c r="U43" s="117"/>
      <c r="V43" s="160"/>
    </row>
    <row r="44" spans="1:23" s="98" customFormat="1" ht="15" customHeight="1">
      <c r="A44" s="99"/>
      <c r="B44" s="161"/>
      <c r="C44" s="185"/>
      <c r="D44" s="162" t="s">
        <v>1782</v>
      </c>
      <c r="E44" s="162"/>
      <c r="F44" s="162"/>
      <c r="G44" s="163"/>
      <c r="H44" s="163"/>
      <c r="I44" s="164" t="s">
        <v>627</v>
      </c>
      <c r="J44" s="188">
        <v>0.24204132530090056</v>
      </c>
      <c r="K44" s="188">
        <v>0.23976846870246005</v>
      </c>
      <c r="L44" s="188">
        <v>0.31917918679287299</v>
      </c>
      <c r="M44" s="188">
        <v>0.32576879384210988</v>
      </c>
      <c r="N44" s="188">
        <v>0.31992212412053761</v>
      </c>
      <c r="O44" s="188">
        <v>0.33246139821493348</v>
      </c>
      <c r="P44" s="188">
        <v>0.29621619451268671</v>
      </c>
      <c r="Q44" s="189">
        <v>0.28214686836159619</v>
      </c>
      <c r="R44" s="190">
        <v>0.28112842822446293</v>
      </c>
      <c r="S44" s="188">
        <v>0.2832148862741406</v>
      </c>
      <c r="T44" s="188">
        <v>0.28330567675411383</v>
      </c>
      <c r="U44" s="188">
        <v>0.28259276604641254</v>
      </c>
      <c r="V44" s="189">
        <v>0.28287885900852128</v>
      </c>
    </row>
    <row r="45" spans="1:23" s="98" customFormat="1" ht="15" customHeight="1">
      <c r="A45" s="99"/>
      <c r="B45" s="161"/>
      <c r="C45" s="185"/>
      <c r="D45" s="162" t="s">
        <v>2025</v>
      </c>
      <c r="E45" s="162"/>
      <c r="F45" s="162"/>
      <c r="G45" s="163"/>
      <c r="H45" s="163"/>
      <c r="I45" s="164" t="s">
        <v>627</v>
      </c>
      <c r="J45" s="188">
        <v>0</v>
      </c>
      <c r="K45" s="188">
        <v>0</v>
      </c>
      <c r="L45" s="188">
        <v>0</v>
      </c>
      <c r="M45" s="188">
        <v>0</v>
      </c>
      <c r="N45" s="188">
        <v>0</v>
      </c>
      <c r="O45" s="188">
        <v>0</v>
      </c>
      <c r="P45" s="188">
        <v>0</v>
      </c>
      <c r="Q45" s="189">
        <v>0</v>
      </c>
      <c r="R45" s="190">
        <v>0</v>
      </c>
      <c r="S45" s="188">
        <v>0</v>
      </c>
      <c r="T45" s="188">
        <v>0</v>
      </c>
      <c r="U45" s="188">
        <v>0</v>
      </c>
      <c r="V45" s="189">
        <v>0</v>
      </c>
    </row>
    <row r="46" spans="1:23" s="98" customFormat="1" ht="15" customHeight="1">
      <c r="A46" s="99"/>
      <c r="B46" s="161"/>
      <c r="C46" s="185"/>
      <c r="D46" s="162" t="s">
        <v>2026</v>
      </c>
      <c r="E46" s="162"/>
      <c r="F46" s="162"/>
      <c r="G46" s="163"/>
      <c r="H46" s="163"/>
      <c r="I46" s="164" t="s">
        <v>627</v>
      </c>
      <c r="J46" s="188">
        <v>0</v>
      </c>
      <c r="K46" s="188">
        <v>0</v>
      </c>
      <c r="L46" s="188">
        <v>0</v>
      </c>
      <c r="M46" s="188">
        <v>0</v>
      </c>
      <c r="N46" s="188">
        <v>0</v>
      </c>
      <c r="O46" s="188">
        <v>0</v>
      </c>
      <c r="P46" s="188">
        <v>0</v>
      </c>
      <c r="Q46" s="189">
        <v>0</v>
      </c>
      <c r="R46" s="190">
        <v>0</v>
      </c>
      <c r="S46" s="188">
        <v>0</v>
      </c>
      <c r="T46" s="188">
        <v>0</v>
      </c>
      <c r="U46" s="188">
        <v>0</v>
      </c>
      <c r="V46" s="189">
        <v>0</v>
      </c>
    </row>
    <row r="47" spans="1:23" s="98" customFormat="1" ht="15" customHeight="1">
      <c r="A47" s="99"/>
      <c r="B47" s="161"/>
      <c r="C47" s="185"/>
      <c r="D47" s="162" t="s">
        <v>1783</v>
      </c>
      <c r="E47" s="162"/>
      <c r="F47" s="162"/>
      <c r="G47" s="163"/>
      <c r="H47" s="163"/>
      <c r="I47" s="164" t="s">
        <v>627</v>
      </c>
      <c r="J47" s="188">
        <v>0.55631676206580605</v>
      </c>
      <c r="K47" s="188">
        <v>0.52888575563058882</v>
      </c>
      <c r="L47" s="188">
        <v>0.2694204659519655</v>
      </c>
      <c r="M47" s="188">
        <v>0.43465217968631331</v>
      </c>
      <c r="N47" s="188">
        <v>0.4141451126547655</v>
      </c>
      <c r="O47" s="188">
        <v>0.41596794472972248</v>
      </c>
      <c r="P47" s="188">
        <v>0.44673026260635396</v>
      </c>
      <c r="Q47" s="189">
        <v>0.47248024437118441</v>
      </c>
      <c r="R47" s="190">
        <v>0.47386182651454217</v>
      </c>
      <c r="S47" s="188">
        <v>0.46942817108874779</v>
      </c>
      <c r="T47" s="188">
        <v>0.46872673770158935</v>
      </c>
      <c r="U47" s="188">
        <v>0.46953124498224358</v>
      </c>
      <c r="V47" s="189">
        <v>0.46845888682867193</v>
      </c>
    </row>
    <row r="48" spans="1:23" s="98" customFormat="1" ht="15" customHeight="1">
      <c r="A48" s="99"/>
      <c r="B48" s="161"/>
      <c r="C48" s="185"/>
      <c r="D48" s="162" t="s">
        <v>2027</v>
      </c>
      <c r="E48" s="162"/>
      <c r="F48" s="162"/>
      <c r="G48" s="163"/>
      <c r="H48" s="163"/>
      <c r="I48" s="164" t="s">
        <v>627</v>
      </c>
      <c r="J48" s="188">
        <v>0</v>
      </c>
      <c r="K48" s="188">
        <v>0</v>
      </c>
      <c r="L48" s="188">
        <v>0</v>
      </c>
      <c r="M48" s="188">
        <v>0</v>
      </c>
      <c r="N48" s="188">
        <v>0</v>
      </c>
      <c r="O48" s="188">
        <v>0</v>
      </c>
      <c r="P48" s="188">
        <v>0</v>
      </c>
      <c r="Q48" s="189">
        <v>0</v>
      </c>
      <c r="R48" s="190">
        <v>0</v>
      </c>
      <c r="S48" s="188">
        <v>0</v>
      </c>
      <c r="T48" s="188">
        <v>0</v>
      </c>
      <c r="U48" s="188">
        <v>0</v>
      </c>
      <c r="V48" s="189">
        <v>0</v>
      </c>
    </row>
    <row r="49" spans="1:23" s="98" customFormat="1" ht="15" customHeight="1">
      <c r="A49" s="99"/>
      <c r="B49" s="161"/>
      <c r="C49" s="185"/>
      <c r="D49" s="162" t="s">
        <v>2028</v>
      </c>
      <c r="E49" s="162"/>
      <c r="F49" s="162"/>
      <c r="G49" s="163"/>
      <c r="H49" s="163"/>
      <c r="I49" s="164" t="s">
        <v>627</v>
      </c>
      <c r="J49" s="188">
        <v>0</v>
      </c>
      <c r="K49" s="188">
        <v>0</v>
      </c>
      <c r="L49" s="188">
        <v>0</v>
      </c>
      <c r="M49" s="188">
        <v>0</v>
      </c>
      <c r="N49" s="188">
        <v>0</v>
      </c>
      <c r="O49" s="188">
        <v>0</v>
      </c>
      <c r="P49" s="188">
        <v>0</v>
      </c>
      <c r="Q49" s="189">
        <v>0</v>
      </c>
      <c r="R49" s="190">
        <v>0</v>
      </c>
      <c r="S49" s="188">
        <v>0</v>
      </c>
      <c r="T49" s="188">
        <v>0</v>
      </c>
      <c r="U49" s="188">
        <v>0</v>
      </c>
      <c r="V49" s="189">
        <v>0</v>
      </c>
    </row>
    <row r="50" spans="1:23" s="98" customFormat="1" ht="15" customHeight="1">
      <c r="A50" s="99"/>
      <c r="B50" s="161"/>
      <c r="C50" s="185"/>
      <c r="D50" s="162" t="s">
        <v>1784</v>
      </c>
      <c r="E50" s="162"/>
      <c r="F50" s="162"/>
      <c r="G50" s="163"/>
      <c r="H50" s="163"/>
      <c r="I50" s="164" t="s">
        <v>627</v>
      </c>
      <c r="J50" s="188">
        <v>1.3588914235157663E-2</v>
      </c>
      <c r="K50" s="188">
        <v>5.7882824384995011E-3</v>
      </c>
      <c r="L50" s="188">
        <v>0.2357934290153422</v>
      </c>
      <c r="M50" s="188">
        <v>6.0562435542098926E-3</v>
      </c>
      <c r="N50" s="188">
        <v>7.7301245609236345E-3</v>
      </c>
      <c r="O50" s="188">
        <v>5.715646763611206E-3</v>
      </c>
      <c r="P50" s="188">
        <v>4.990794527311047E-3</v>
      </c>
      <c r="Q50" s="189">
        <v>4.7616557473240872E-3</v>
      </c>
      <c r="R50" s="190">
        <v>4.7438288794265466E-3</v>
      </c>
      <c r="S50" s="188">
        <v>4.7783894906066049E-3</v>
      </c>
      <c r="T50" s="188">
        <v>4.7792714056852318E-3</v>
      </c>
      <c r="U50" s="188">
        <v>4.7665936696459884E-3</v>
      </c>
      <c r="V50" s="189">
        <v>4.7707645466769219E-3</v>
      </c>
    </row>
    <row r="51" spans="1:23" s="98" customFormat="1" ht="15" customHeight="1">
      <c r="A51" s="99"/>
      <c r="B51" s="161"/>
      <c r="C51" s="185"/>
      <c r="D51" s="162" t="s">
        <v>2029</v>
      </c>
      <c r="E51" s="162"/>
      <c r="F51" s="162"/>
      <c r="G51" s="163"/>
      <c r="H51" s="163"/>
      <c r="I51" s="164" t="s">
        <v>627</v>
      </c>
      <c r="J51" s="188">
        <v>0</v>
      </c>
      <c r="K51" s="188">
        <v>0</v>
      </c>
      <c r="L51" s="188">
        <v>0</v>
      </c>
      <c r="M51" s="188">
        <v>0</v>
      </c>
      <c r="N51" s="188">
        <v>0</v>
      </c>
      <c r="O51" s="188">
        <v>0</v>
      </c>
      <c r="P51" s="188">
        <v>0</v>
      </c>
      <c r="Q51" s="189">
        <v>0</v>
      </c>
      <c r="R51" s="190">
        <v>0</v>
      </c>
      <c r="S51" s="188">
        <v>0</v>
      </c>
      <c r="T51" s="188">
        <v>0</v>
      </c>
      <c r="U51" s="188">
        <v>0</v>
      </c>
      <c r="V51" s="189">
        <v>0</v>
      </c>
    </row>
    <row r="52" spans="1:23" s="98" customFormat="1" ht="15" customHeight="1">
      <c r="A52" s="99"/>
      <c r="B52" s="161"/>
      <c r="C52" s="185"/>
      <c r="D52" s="162" t="s">
        <v>2030</v>
      </c>
      <c r="E52" s="162"/>
      <c r="F52" s="162"/>
      <c r="G52" s="163"/>
      <c r="H52" s="163"/>
      <c r="I52" s="164" t="s">
        <v>627</v>
      </c>
      <c r="J52" s="188">
        <v>0</v>
      </c>
      <c r="K52" s="188">
        <v>0</v>
      </c>
      <c r="L52" s="188">
        <v>0</v>
      </c>
      <c r="M52" s="188">
        <v>0</v>
      </c>
      <c r="N52" s="188">
        <v>0</v>
      </c>
      <c r="O52" s="188">
        <v>0</v>
      </c>
      <c r="P52" s="188">
        <v>0</v>
      </c>
      <c r="Q52" s="189">
        <v>0</v>
      </c>
      <c r="R52" s="190">
        <v>0</v>
      </c>
      <c r="S52" s="188">
        <v>0</v>
      </c>
      <c r="T52" s="188">
        <v>0</v>
      </c>
      <c r="U52" s="188">
        <v>0</v>
      </c>
      <c r="V52" s="189">
        <v>0</v>
      </c>
    </row>
    <row r="53" spans="1:23" s="98" customFormat="1" ht="15" customHeight="1">
      <c r="A53" s="99"/>
      <c r="B53" s="161"/>
      <c r="C53" s="185"/>
      <c r="D53" s="162" t="s">
        <v>1785</v>
      </c>
      <c r="E53" s="162"/>
      <c r="F53" s="162"/>
      <c r="G53" s="163"/>
      <c r="H53" s="163"/>
      <c r="I53" s="164" t="s">
        <v>627</v>
      </c>
      <c r="J53" s="188">
        <v>0</v>
      </c>
      <c r="K53" s="188">
        <v>0</v>
      </c>
      <c r="L53" s="188">
        <v>0</v>
      </c>
      <c r="M53" s="188">
        <v>0</v>
      </c>
      <c r="N53" s="188">
        <v>0</v>
      </c>
      <c r="O53" s="188">
        <v>0</v>
      </c>
      <c r="P53" s="188">
        <v>0</v>
      </c>
      <c r="Q53" s="189">
        <v>0</v>
      </c>
      <c r="R53" s="190">
        <v>0</v>
      </c>
      <c r="S53" s="188">
        <v>0</v>
      </c>
      <c r="T53" s="188">
        <v>0</v>
      </c>
      <c r="U53" s="188">
        <v>0</v>
      </c>
      <c r="V53" s="189">
        <v>0</v>
      </c>
    </row>
    <row r="54" spans="1:23" s="98" customFormat="1" ht="15" customHeight="1">
      <c r="A54" s="99"/>
      <c r="B54" s="161"/>
      <c r="C54" s="185"/>
      <c r="D54" s="162" t="s">
        <v>1786</v>
      </c>
      <c r="E54" s="162"/>
      <c r="F54" s="162"/>
      <c r="G54" s="163"/>
      <c r="H54" s="163"/>
      <c r="I54" s="164" t="s">
        <v>627</v>
      </c>
      <c r="J54" s="188">
        <v>3.9906424615411083E-5</v>
      </c>
      <c r="K54" s="188">
        <v>8.1629624132685237E-4</v>
      </c>
      <c r="L54" s="188">
        <v>3.9120078234937552E-4</v>
      </c>
      <c r="M54" s="188">
        <v>-9.2912809587315611E-5</v>
      </c>
      <c r="N54" s="188">
        <v>2.7021155879608325E-3</v>
      </c>
      <c r="O54" s="188">
        <v>1.1135956809874888E-3</v>
      </c>
      <c r="P54" s="188">
        <v>1.1902789869823783E-3</v>
      </c>
      <c r="Q54" s="189">
        <v>1.1369152464977927E-3</v>
      </c>
      <c r="R54" s="190">
        <v>1.1379639490706772E-3</v>
      </c>
      <c r="S54" s="188">
        <v>1.1516236941484762E-3</v>
      </c>
      <c r="T54" s="188">
        <v>1.1572320560193387E-3</v>
      </c>
      <c r="U54" s="188">
        <v>1.1595694538779006E-3</v>
      </c>
      <c r="V54" s="189">
        <v>1.1660217308420396E-3</v>
      </c>
    </row>
    <row r="55" spans="1:23" s="98" customFormat="1" ht="15" customHeight="1">
      <c r="A55" s="99"/>
      <c r="B55" s="161"/>
      <c r="C55" s="185"/>
      <c r="D55" s="162" t="s">
        <v>1787</v>
      </c>
      <c r="E55" s="162"/>
      <c r="F55" s="162"/>
      <c r="G55" s="163"/>
      <c r="H55" s="163"/>
      <c r="I55" s="164" t="s">
        <v>627</v>
      </c>
      <c r="J55" s="188">
        <v>0.1880130919735204</v>
      </c>
      <c r="K55" s="188">
        <v>0.2247411969871248</v>
      </c>
      <c r="L55" s="188">
        <v>0.17521571745746994</v>
      </c>
      <c r="M55" s="188">
        <v>0.2336156957269542</v>
      </c>
      <c r="N55" s="188">
        <v>0.25550052307581234</v>
      </c>
      <c r="O55" s="188">
        <v>0.24474141461074536</v>
      </c>
      <c r="P55" s="188">
        <v>0.25087246936666585</v>
      </c>
      <c r="Q55" s="189">
        <v>0.2394743162733976</v>
      </c>
      <c r="R55" s="190">
        <v>0.2391279524324976</v>
      </c>
      <c r="S55" s="188">
        <v>0.24142692945235653</v>
      </c>
      <c r="T55" s="188">
        <v>0.24203108208259225</v>
      </c>
      <c r="U55" s="188">
        <v>0.24194982584782002</v>
      </c>
      <c r="V55" s="189">
        <v>0.24272546788528782</v>
      </c>
    </row>
    <row r="56" spans="1:23" s="98" customFormat="1" ht="15" customHeight="1">
      <c r="A56" s="99"/>
      <c r="B56" s="161"/>
      <c r="C56" s="185"/>
      <c r="D56" s="162" t="s">
        <v>2031</v>
      </c>
      <c r="E56" s="162"/>
      <c r="F56" s="162"/>
      <c r="G56" s="163"/>
      <c r="H56" s="163"/>
      <c r="I56" s="164" t="s">
        <v>627</v>
      </c>
      <c r="J56" s="188">
        <v>0</v>
      </c>
      <c r="K56" s="188">
        <v>0</v>
      </c>
      <c r="L56" s="188">
        <v>0</v>
      </c>
      <c r="M56" s="188">
        <v>0</v>
      </c>
      <c r="N56" s="188">
        <v>0</v>
      </c>
      <c r="O56" s="188">
        <v>0</v>
      </c>
      <c r="P56" s="188">
        <v>0</v>
      </c>
      <c r="Q56" s="189">
        <v>0</v>
      </c>
      <c r="R56" s="190">
        <v>0</v>
      </c>
      <c r="S56" s="188">
        <v>0</v>
      </c>
      <c r="T56" s="188">
        <v>0</v>
      </c>
      <c r="U56" s="188">
        <v>0</v>
      </c>
      <c r="V56" s="189">
        <v>0</v>
      </c>
    </row>
    <row r="57" spans="1:23" s="98" customFormat="1" ht="15" customHeight="1">
      <c r="A57" s="99"/>
      <c r="B57" s="161"/>
      <c r="C57" s="185"/>
      <c r="D57" s="162" t="s">
        <v>2032</v>
      </c>
      <c r="E57" s="162"/>
      <c r="F57" s="162"/>
      <c r="G57" s="163"/>
      <c r="H57" s="163"/>
      <c r="I57" s="164" t="s">
        <v>627</v>
      </c>
      <c r="J57" s="188">
        <v>0</v>
      </c>
      <c r="K57" s="188">
        <v>0</v>
      </c>
      <c r="L57" s="188">
        <v>0</v>
      </c>
      <c r="M57" s="188">
        <v>0</v>
      </c>
      <c r="N57" s="188">
        <v>0</v>
      </c>
      <c r="O57" s="188">
        <v>0</v>
      </c>
      <c r="P57" s="188">
        <v>0</v>
      </c>
      <c r="Q57" s="189">
        <v>0</v>
      </c>
      <c r="R57" s="190">
        <v>0</v>
      </c>
      <c r="S57" s="188">
        <v>0</v>
      </c>
      <c r="T57" s="188">
        <v>0</v>
      </c>
      <c r="U57" s="188">
        <v>0</v>
      </c>
      <c r="V57" s="189">
        <v>0</v>
      </c>
    </row>
    <row r="58" spans="1:23" s="98" customFormat="1" ht="15" customHeight="1">
      <c r="A58" s="99"/>
      <c r="B58" s="181"/>
      <c r="C58" s="182" t="s">
        <v>1710</v>
      </c>
      <c r="D58" s="183"/>
      <c r="E58" s="183"/>
      <c r="F58" s="183"/>
      <c r="G58" s="184"/>
      <c r="H58" s="184"/>
      <c r="I58" s="164" t="s">
        <v>627</v>
      </c>
      <c r="J58" s="876">
        <f t="shared" ref="J58:O58" si="2">SUM(J44:J57)</f>
        <v>1</v>
      </c>
      <c r="K58" s="876">
        <f t="shared" si="2"/>
        <v>1</v>
      </c>
      <c r="L58" s="876">
        <f t="shared" si="2"/>
        <v>1</v>
      </c>
      <c r="M58" s="876">
        <f t="shared" si="2"/>
        <v>0.99999999999999989</v>
      </c>
      <c r="N58" s="876">
        <f t="shared" si="2"/>
        <v>1</v>
      </c>
      <c r="O58" s="876">
        <f t="shared" si="2"/>
        <v>1</v>
      </c>
      <c r="P58" s="876">
        <f>SUM(P44:P57)</f>
        <v>1</v>
      </c>
      <c r="Q58" s="228">
        <f t="shared" ref="Q58:V58" si="3">SUM(Q44:Q57)</f>
        <v>1.0000000000000002</v>
      </c>
      <c r="R58" s="875">
        <f t="shared" si="3"/>
        <v>1</v>
      </c>
      <c r="S58" s="876">
        <f t="shared" si="3"/>
        <v>1</v>
      </c>
      <c r="T58" s="876">
        <f t="shared" si="3"/>
        <v>1</v>
      </c>
      <c r="U58" s="876">
        <f t="shared" si="3"/>
        <v>0.99999999999999989</v>
      </c>
      <c r="V58" s="228">
        <f t="shared" si="3"/>
        <v>1</v>
      </c>
      <c r="W58" s="185"/>
    </row>
    <row r="59" spans="1:23" s="98" customFormat="1" ht="15" customHeight="1">
      <c r="A59" s="99"/>
      <c r="B59" s="161"/>
      <c r="C59" s="116"/>
      <c r="D59" s="116"/>
      <c r="E59" s="116"/>
      <c r="F59" s="116"/>
      <c r="G59" s="117"/>
      <c r="H59" s="117"/>
      <c r="I59" s="117"/>
      <c r="J59" s="117"/>
      <c r="K59" s="117"/>
      <c r="L59" s="117"/>
      <c r="M59" s="117"/>
      <c r="N59" s="117"/>
      <c r="O59" s="117"/>
      <c r="P59" s="117"/>
      <c r="Q59" s="160"/>
      <c r="R59" s="159"/>
      <c r="S59" s="117"/>
      <c r="T59" s="117"/>
      <c r="U59" s="117"/>
      <c r="V59" s="160"/>
    </row>
    <row r="60" spans="1:23" s="98" customFormat="1" ht="15" customHeight="1">
      <c r="A60" s="99"/>
      <c r="B60" s="161"/>
      <c r="C60" s="186" t="s">
        <v>62</v>
      </c>
      <c r="D60" s="162"/>
      <c r="E60" s="162"/>
      <c r="F60" s="162"/>
      <c r="G60" s="163"/>
      <c r="H60" s="163"/>
      <c r="I60" s="117"/>
      <c r="J60" s="117"/>
      <c r="K60" s="117"/>
      <c r="L60" s="117"/>
      <c r="M60" s="117"/>
      <c r="N60" s="117"/>
      <c r="O60" s="117"/>
      <c r="P60" s="117"/>
      <c r="Q60" s="160"/>
      <c r="R60" s="159"/>
      <c r="S60" s="117"/>
      <c r="T60" s="117"/>
      <c r="U60" s="117"/>
      <c r="V60" s="160"/>
    </row>
    <row r="61" spans="1:23" s="98" customFormat="1" ht="15" customHeight="1">
      <c r="A61" s="99"/>
      <c r="B61" s="161"/>
      <c r="C61" s="185"/>
      <c r="D61" s="162" t="s">
        <v>1782</v>
      </c>
      <c r="E61" s="162"/>
      <c r="F61" s="162"/>
      <c r="G61" s="163"/>
      <c r="H61" s="163"/>
      <c r="I61" s="164" t="s">
        <v>627</v>
      </c>
      <c r="J61" s="188">
        <v>0</v>
      </c>
      <c r="K61" s="188">
        <v>0</v>
      </c>
      <c r="L61" s="188">
        <v>0</v>
      </c>
      <c r="M61" s="188">
        <v>0</v>
      </c>
      <c r="N61" s="188">
        <v>0</v>
      </c>
      <c r="O61" s="188">
        <v>0</v>
      </c>
      <c r="P61" s="188">
        <v>0</v>
      </c>
      <c r="Q61" s="189">
        <v>0</v>
      </c>
      <c r="R61" s="190">
        <v>0</v>
      </c>
      <c r="S61" s="188">
        <v>0</v>
      </c>
      <c r="T61" s="188">
        <v>0</v>
      </c>
      <c r="U61" s="188">
        <v>0</v>
      </c>
      <c r="V61" s="189">
        <v>0</v>
      </c>
    </row>
    <row r="62" spans="1:23" s="98" customFormat="1" ht="15" customHeight="1">
      <c r="A62" s="99"/>
      <c r="B62" s="161"/>
      <c r="C62" s="185"/>
      <c r="D62" s="162" t="s">
        <v>2025</v>
      </c>
      <c r="E62" s="162"/>
      <c r="F62" s="162"/>
      <c r="G62" s="163"/>
      <c r="H62" s="163"/>
      <c r="I62" s="164" t="s">
        <v>627</v>
      </c>
      <c r="J62" s="188">
        <v>0</v>
      </c>
      <c r="K62" s="188">
        <v>0</v>
      </c>
      <c r="L62" s="188">
        <v>0</v>
      </c>
      <c r="M62" s="188">
        <v>0</v>
      </c>
      <c r="N62" s="188">
        <v>0</v>
      </c>
      <c r="O62" s="188">
        <v>0</v>
      </c>
      <c r="P62" s="188">
        <v>0</v>
      </c>
      <c r="Q62" s="189">
        <v>0</v>
      </c>
      <c r="R62" s="190">
        <v>0</v>
      </c>
      <c r="S62" s="188">
        <v>0</v>
      </c>
      <c r="T62" s="188">
        <v>0</v>
      </c>
      <c r="U62" s="188">
        <v>0</v>
      </c>
      <c r="V62" s="189">
        <v>0</v>
      </c>
    </row>
    <row r="63" spans="1:23" s="98" customFormat="1" ht="15" customHeight="1">
      <c r="A63" s="99"/>
      <c r="B63" s="161"/>
      <c r="C63" s="185"/>
      <c r="D63" s="162" t="s">
        <v>2026</v>
      </c>
      <c r="E63" s="162"/>
      <c r="F63" s="162"/>
      <c r="G63" s="163"/>
      <c r="H63" s="163"/>
      <c r="I63" s="164" t="s">
        <v>627</v>
      </c>
      <c r="J63" s="188">
        <v>0</v>
      </c>
      <c r="K63" s="188">
        <v>0</v>
      </c>
      <c r="L63" s="188">
        <v>0</v>
      </c>
      <c r="M63" s="188">
        <v>0</v>
      </c>
      <c r="N63" s="188">
        <v>0</v>
      </c>
      <c r="O63" s="188">
        <v>0</v>
      </c>
      <c r="P63" s="188">
        <v>0</v>
      </c>
      <c r="Q63" s="189">
        <v>0</v>
      </c>
      <c r="R63" s="190">
        <v>0</v>
      </c>
      <c r="S63" s="188">
        <v>0</v>
      </c>
      <c r="T63" s="188">
        <v>0</v>
      </c>
      <c r="U63" s="188">
        <v>0</v>
      </c>
      <c r="V63" s="189">
        <v>0</v>
      </c>
    </row>
    <row r="64" spans="1:23" s="98" customFormat="1" ht="15" customHeight="1">
      <c r="A64" s="99"/>
      <c r="B64" s="161"/>
      <c r="C64" s="185"/>
      <c r="D64" s="162" t="s">
        <v>1783</v>
      </c>
      <c r="E64" s="162"/>
      <c r="F64" s="162"/>
      <c r="G64" s="163"/>
      <c r="H64" s="163"/>
      <c r="I64" s="164" t="s">
        <v>627</v>
      </c>
      <c r="J64" s="188">
        <v>0</v>
      </c>
      <c r="K64" s="188">
        <v>0</v>
      </c>
      <c r="L64" s="188">
        <v>0</v>
      </c>
      <c r="M64" s="188">
        <v>0</v>
      </c>
      <c r="N64" s="188">
        <v>0</v>
      </c>
      <c r="O64" s="188">
        <v>0</v>
      </c>
      <c r="P64" s="188">
        <v>0</v>
      </c>
      <c r="Q64" s="189">
        <v>0</v>
      </c>
      <c r="R64" s="190">
        <v>0</v>
      </c>
      <c r="S64" s="188">
        <v>0</v>
      </c>
      <c r="T64" s="188">
        <v>0</v>
      </c>
      <c r="U64" s="188">
        <v>0</v>
      </c>
      <c r="V64" s="189">
        <v>0</v>
      </c>
    </row>
    <row r="65" spans="1:23" s="98" customFormat="1" ht="15" customHeight="1">
      <c r="A65" s="99"/>
      <c r="B65" s="161"/>
      <c r="C65" s="185"/>
      <c r="D65" s="162" t="s">
        <v>2027</v>
      </c>
      <c r="E65" s="162"/>
      <c r="F65" s="162"/>
      <c r="G65" s="163"/>
      <c r="H65" s="163"/>
      <c r="I65" s="164" t="s">
        <v>627</v>
      </c>
      <c r="J65" s="188">
        <v>0.56653150343282077</v>
      </c>
      <c r="K65" s="188">
        <v>0.4752394810531646</v>
      </c>
      <c r="L65" s="188">
        <v>0.54469533440378282</v>
      </c>
      <c r="M65" s="188">
        <v>0.52421721141154098</v>
      </c>
      <c r="N65" s="188">
        <v>0.53649309010748747</v>
      </c>
      <c r="O65" s="188">
        <v>0.60359820867555025</v>
      </c>
      <c r="P65" s="188">
        <v>0.54301564118501355</v>
      </c>
      <c r="Q65" s="189">
        <v>0.54301564118501355</v>
      </c>
      <c r="R65" s="190">
        <v>0.54301564118501355</v>
      </c>
      <c r="S65" s="188">
        <v>0.54301564118501355</v>
      </c>
      <c r="T65" s="188">
        <v>0.54301564118501355</v>
      </c>
      <c r="U65" s="188">
        <v>0.54301564118501355</v>
      </c>
      <c r="V65" s="189">
        <v>0.54301564118501355</v>
      </c>
    </row>
    <row r="66" spans="1:23" s="98" customFormat="1" ht="15" customHeight="1">
      <c r="A66" s="99"/>
      <c r="B66" s="161"/>
      <c r="C66" s="185"/>
      <c r="D66" s="162" t="s">
        <v>2028</v>
      </c>
      <c r="E66" s="162"/>
      <c r="F66" s="162"/>
      <c r="G66" s="163"/>
      <c r="H66" s="163"/>
      <c r="I66" s="164" t="s">
        <v>627</v>
      </c>
      <c r="J66" s="188">
        <v>0</v>
      </c>
      <c r="K66" s="188">
        <v>0</v>
      </c>
      <c r="L66" s="188">
        <v>0</v>
      </c>
      <c r="M66" s="188">
        <v>0</v>
      </c>
      <c r="N66" s="188">
        <v>0</v>
      </c>
      <c r="O66" s="188">
        <v>0</v>
      </c>
      <c r="P66" s="188">
        <v>0</v>
      </c>
      <c r="Q66" s="189">
        <v>0</v>
      </c>
      <c r="R66" s="190">
        <v>0</v>
      </c>
      <c r="S66" s="188">
        <v>0</v>
      </c>
      <c r="T66" s="188">
        <v>0</v>
      </c>
      <c r="U66" s="188">
        <v>0</v>
      </c>
      <c r="V66" s="189">
        <v>0</v>
      </c>
    </row>
    <row r="67" spans="1:23" s="98" customFormat="1" ht="15" customHeight="1">
      <c r="A67" s="99"/>
      <c r="B67" s="161"/>
      <c r="C67" s="185"/>
      <c r="D67" s="162" t="s">
        <v>1784</v>
      </c>
      <c r="E67" s="162"/>
      <c r="F67" s="162"/>
      <c r="G67" s="163"/>
      <c r="H67" s="163"/>
      <c r="I67" s="164" t="s">
        <v>627</v>
      </c>
      <c r="J67" s="188">
        <v>0</v>
      </c>
      <c r="K67" s="188">
        <v>0</v>
      </c>
      <c r="L67" s="188">
        <v>0</v>
      </c>
      <c r="M67" s="188">
        <v>0</v>
      </c>
      <c r="N67" s="188">
        <v>0</v>
      </c>
      <c r="O67" s="188">
        <v>0</v>
      </c>
      <c r="P67" s="188">
        <v>0</v>
      </c>
      <c r="Q67" s="189">
        <v>0</v>
      </c>
      <c r="R67" s="190">
        <v>0</v>
      </c>
      <c r="S67" s="188">
        <v>0</v>
      </c>
      <c r="T67" s="188">
        <v>0</v>
      </c>
      <c r="U67" s="188">
        <v>0</v>
      </c>
      <c r="V67" s="189">
        <v>0</v>
      </c>
    </row>
    <row r="68" spans="1:23" s="98" customFormat="1" ht="15" customHeight="1">
      <c r="A68" s="99"/>
      <c r="B68" s="161"/>
      <c r="C68" s="185"/>
      <c r="D68" s="162" t="s">
        <v>2029</v>
      </c>
      <c r="E68" s="162"/>
      <c r="F68" s="162"/>
      <c r="G68" s="163"/>
      <c r="H68" s="163"/>
      <c r="I68" s="164" t="s">
        <v>627</v>
      </c>
      <c r="J68" s="188">
        <v>0.18080984485633453</v>
      </c>
      <c r="K68" s="188">
        <v>0.21897851342172284</v>
      </c>
      <c r="L68" s="188">
        <v>0.1406789452334882</v>
      </c>
      <c r="M68" s="188">
        <v>8.9676343231422179E-2</v>
      </c>
      <c r="N68" s="188">
        <v>0.12900277510884264</v>
      </c>
      <c r="O68" s="188">
        <v>5.3099058795151595E-2</v>
      </c>
      <c r="P68" s="188">
        <v>0.12990835054448896</v>
      </c>
      <c r="Q68" s="189">
        <v>0.12990835054448896</v>
      </c>
      <c r="R68" s="190">
        <v>0.12990835054448896</v>
      </c>
      <c r="S68" s="188">
        <v>0.12990835054448896</v>
      </c>
      <c r="T68" s="188">
        <v>0.12990835054448896</v>
      </c>
      <c r="U68" s="188">
        <v>0.12990835054448896</v>
      </c>
      <c r="V68" s="189">
        <v>0.12990835054448896</v>
      </c>
    </row>
    <row r="69" spans="1:23" s="98" customFormat="1" ht="15" customHeight="1">
      <c r="A69" s="99"/>
      <c r="B69" s="161"/>
      <c r="C69" s="185"/>
      <c r="D69" s="162" t="s">
        <v>2030</v>
      </c>
      <c r="E69" s="162"/>
      <c r="F69" s="162"/>
      <c r="G69" s="163"/>
      <c r="H69" s="163"/>
      <c r="I69" s="164" t="s">
        <v>627</v>
      </c>
      <c r="J69" s="188">
        <v>0</v>
      </c>
      <c r="K69" s="188">
        <v>0</v>
      </c>
      <c r="L69" s="188">
        <v>0</v>
      </c>
      <c r="M69" s="188">
        <v>0</v>
      </c>
      <c r="N69" s="188">
        <v>0</v>
      </c>
      <c r="O69" s="188">
        <v>0</v>
      </c>
      <c r="P69" s="188">
        <v>0</v>
      </c>
      <c r="Q69" s="189">
        <v>0</v>
      </c>
      <c r="R69" s="190">
        <v>0</v>
      </c>
      <c r="S69" s="188">
        <v>0</v>
      </c>
      <c r="T69" s="188">
        <v>0</v>
      </c>
      <c r="U69" s="188">
        <v>0</v>
      </c>
      <c r="V69" s="189">
        <v>0</v>
      </c>
    </row>
    <row r="70" spans="1:23" s="98" customFormat="1" ht="15" customHeight="1">
      <c r="A70" s="99"/>
      <c r="B70" s="161"/>
      <c r="C70" s="185"/>
      <c r="D70" s="162" t="s">
        <v>1785</v>
      </c>
      <c r="E70" s="162"/>
      <c r="F70" s="162"/>
      <c r="G70" s="163"/>
      <c r="H70" s="163"/>
      <c r="I70" s="164" t="s">
        <v>627</v>
      </c>
      <c r="J70" s="188">
        <v>5.2211185084924623E-2</v>
      </c>
      <c r="K70" s="188">
        <v>6.3188973652810079E-2</v>
      </c>
      <c r="L70" s="188">
        <v>6.5016501936913842E-2</v>
      </c>
      <c r="M70" s="188">
        <v>7.9787788561816744E-2</v>
      </c>
      <c r="N70" s="188">
        <v>6.9124319213301338E-2</v>
      </c>
      <c r="O70" s="188">
        <v>7.0942514749090121E-2</v>
      </c>
      <c r="P70" s="188">
        <v>6.7589316443025751E-2</v>
      </c>
      <c r="Q70" s="189">
        <v>6.7589316443025751E-2</v>
      </c>
      <c r="R70" s="190">
        <v>6.7589316443025751E-2</v>
      </c>
      <c r="S70" s="188">
        <v>6.7589316443025751E-2</v>
      </c>
      <c r="T70" s="188">
        <v>6.7589316443025751E-2</v>
      </c>
      <c r="U70" s="188">
        <v>6.7589316443025751E-2</v>
      </c>
      <c r="V70" s="189">
        <v>6.7589316443025751E-2</v>
      </c>
    </row>
    <row r="71" spans="1:23" s="98" customFormat="1" ht="15" customHeight="1">
      <c r="A71" s="99"/>
      <c r="B71" s="161"/>
      <c r="C71" s="185"/>
      <c r="D71" s="162" t="s">
        <v>1786</v>
      </c>
      <c r="E71" s="162"/>
      <c r="F71" s="162"/>
      <c r="G71" s="163"/>
      <c r="H71" s="163"/>
      <c r="I71" s="164" t="s">
        <v>627</v>
      </c>
      <c r="J71" s="188">
        <v>1.0547369317908601E-3</v>
      </c>
      <c r="K71" s="188">
        <v>1.27650318768233E-3</v>
      </c>
      <c r="L71" s="188">
        <v>1.3134217439648834E-3</v>
      </c>
      <c r="M71" s="188">
        <v>1.6118218187383623E-3</v>
      </c>
      <c r="N71" s="188">
        <v>1.3964052384672029E-3</v>
      </c>
      <c r="O71" s="188">
        <v>1.4331352605437835E-3</v>
      </c>
      <c r="P71" s="188">
        <v>1.365396095319475E-3</v>
      </c>
      <c r="Q71" s="189">
        <v>1.365396095319475E-3</v>
      </c>
      <c r="R71" s="190">
        <v>1.365396095319475E-3</v>
      </c>
      <c r="S71" s="188">
        <v>1.365396095319475E-3</v>
      </c>
      <c r="T71" s="188">
        <v>1.365396095319475E-3</v>
      </c>
      <c r="U71" s="188">
        <v>1.365396095319475E-3</v>
      </c>
      <c r="V71" s="189">
        <v>1.365396095319475E-3</v>
      </c>
    </row>
    <row r="72" spans="1:23" s="98" customFormat="1" ht="15" customHeight="1">
      <c r="A72" s="99"/>
      <c r="B72" s="161"/>
      <c r="C72" s="185"/>
      <c r="D72" s="162" t="s">
        <v>1787</v>
      </c>
      <c r="E72" s="162"/>
      <c r="F72" s="162"/>
      <c r="G72" s="163"/>
      <c r="H72" s="163"/>
      <c r="I72" s="164" t="s">
        <v>627</v>
      </c>
      <c r="J72" s="188">
        <v>0</v>
      </c>
      <c r="K72" s="188">
        <v>0</v>
      </c>
      <c r="L72" s="188">
        <v>0</v>
      </c>
      <c r="M72" s="188">
        <v>0</v>
      </c>
      <c r="N72" s="188">
        <v>0</v>
      </c>
      <c r="O72" s="188">
        <v>0</v>
      </c>
      <c r="P72" s="188">
        <v>0</v>
      </c>
      <c r="Q72" s="189">
        <v>0</v>
      </c>
      <c r="R72" s="190">
        <v>0</v>
      </c>
      <c r="S72" s="188">
        <v>0</v>
      </c>
      <c r="T72" s="188">
        <v>0</v>
      </c>
      <c r="U72" s="188">
        <v>0</v>
      </c>
      <c r="V72" s="189">
        <v>0</v>
      </c>
    </row>
    <row r="73" spans="1:23" s="98" customFormat="1" ht="15" customHeight="1">
      <c r="A73" s="99"/>
      <c r="B73" s="161"/>
      <c r="C73" s="185"/>
      <c r="D73" s="162" t="s">
        <v>2031</v>
      </c>
      <c r="E73" s="162"/>
      <c r="F73" s="162"/>
      <c r="G73" s="163"/>
      <c r="H73" s="163"/>
      <c r="I73" s="164" t="s">
        <v>627</v>
      </c>
      <c r="J73" s="188">
        <v>0.19939272969412933</v>
      </c>
      <c r="K73" s="188">
        <v>0.24131652868462006</v>
      </c>
      <c r="L73" s="188">
        <v>0.24829579668185026</v>
      </c>
      <c r="M73" s="188">
        <v>0.30470683497648166</v>
      </c>
      <c r="N73" s="188">
        <v>0.26398341033190131</v>
      </c>
      <c r="O73" s="188">
        <v>0.27092703688259007</v>
      </c>
      <c r="P73" s="188">
        <v>0.25812128726467998</v>
      </c>
      <c r="Q73" s="189">
        <v>0.25812128726467998</v>
      </c>
      <c r="R73" s="190">
        <v>0.25812128726467998</v>
      </c>
      <c r="S73" s="188">
        <v>0.25812128726467998</v>
      </c>
      <c r="T73" s="188">
        <v>0.25812128726467998</v>
      </c>
      <c r="U73" s="188">
        <v>0.25812128726467998</v>
      </c>
      <c r="V73" s="189">
        <v>0.25812128726467998</v>
      </c>
    </row>
    <row r="74" spans="1:23" s="98" customFormat="1" ht="15" customHeight="1">
      <c r="A74" s="99"/>
      <c r="B74" s="161"/>
      <c r="C74" s="185"/>
      <c r="D74" s="162" t="s">
        <v>2032</v>
      </c>
      <c r="E74" s="162"/>
      <c r="F74" s="162"/>
      <c r="G74" s="163"/>
      <c r="H74" s="163"/>
      <c r="I74" s="164" t="s">
        <v>627</v>
      </c>
      <c r="J74" s="188">
        <v>0</v>
      </c>
      <c r="K74" s="188">
        <v>0</v>
      </c>
      <c r="L74" s="188">
        <v>0</v>
      </c>
      <c r="M74" s="188">
        <v>0</v>
      </c>
      <c r="N74" s="188">
        <v>0</v>
      </c>
      <c r="O74" s="188">
        <v>0</v>
      </c>
      <c r="P74" s="188">
        <v>0</v>
      </c>
      <c r="Q74" s="189">
        <v>0</v>
      </c>
      <c r="R74" s="190">
        <v>0</v>
      </c>
      <c r="S74" s="188">
        <v>0</v>
      </c>
      <c r="T74" s="188">
        <v>0</v>
      </c>
      <c r="U74" s="188">
        <v>0</v>
      </c>
      <c r="V74" s="189">
        <v>0</v>
      </c>
    </row>
    <row r="75" spans="1:23" s="98" customFormat="1" ht="15" customHeight="1">
      <c r="A75" s="99"/>
      <c r="B75" s="181"/>
      <c r="C75" s="182" t="s">
        <v>1710</v>
      </c>
      <c r="D75" s="183"/>
      <c r="E75" s="183"/>
      <c r="F75" s="183"/>
      <c r="G75" s="184"/>
      <c r="H75" s="184"/>
      <c r="I75" s="164" t="s">
        <v>627</v>
      </c>
      <c r="J75" s="876">
        <f t="shared" ref="J75:O75" si="4">SUM(J61:J74)</f>
        <v>1</v>
      </c>
      <c r="K75" s="876">
        <f t="shared" si="4"/>
        <v>0.99999999999999989</v>
      </c>
      <c r="L75" s="876">
        <f t="shared" si="4"/>
        <v>1</v>
      </c>
      <c r="M75" s="876">
        <f t="shared" si="4"/>
        <v>0.99999999999999989</v>
      </c>
      <c r="N75" s="876">
        <f t="shared" si="4"/>
        <v>0.99999999999999989</v>
      </c>
      <c r="O75" s="876">
        <f t="shared" si="4"/>
        <v>0.99999995436292588</v>
      </c>
      <c r="P75" s="876">
        <f>SUM(P61:P74)</f>
        <v>0.99999999153252772</v>
      </c>
      <c r="Q75" s="228">
        <f t="shared" ref="Q75:V75" si="5">SUM(Q61:Q74)</f>
        <v>0.99999999153252772</v>
      </c>
      <c r="R75" s="875">
        <f t="shared" si="5"/>
        <v>0.99999999153252772</v>
      </c>
      <c r="S75" s="876">
        <f t="shared" si="5"/>
        <v>0.99999999153252772</v>
      </c>
      <c r="T75" s="876">
        <f t="shared" si="5"/>
        <v>0.99999999153252772</v>
      </c>
      <c r="U75" s="876">
        <f t="shared" si="5"/>
        <v>0.99999999153252772</v>
      </c>
      <c r="V75" s="228">
        <f t="shared" si="5"/>
        <v>0.99999999153252772</v>
      </c>
      <c r="W75" s="185"/>
    </row>
    <row r="76" spans="1:23" s="98" customFormat="1" ht="15" customHeight="1">
      <c r="A76" s="99"/>
      <c r="B76" s="161"/>
      <c r="C76" s="116"/>
      <c r="D76" s="116"/>
      <c r="E76" s="116"/>
      <c r="F76" s="116"/>
      <c r="G76" s="117"/>
      <c r="H76" s="117"/>
      <c r="I76" s="117"/>
      <c r="J76" s="117"/>
      <c r="K76" s="117"/>
      <c r="L76" s="117"/>
      <c r="M76" s="117"/>
      <c r="N76" s="117"/>
      <c r="O76" s="117"/>
      <c r="P76" s="117"/>
      <c r="Q76" s="160"/>
      <c r="R76" s="159"/>
      <c r="S76" s="117"/>
      <c r="T76" s="117"/>
      <c r="U76" s="117"/>
      <c r="V76" s="160"/>
    </row>
    <row r="77" spans="1:23" s="98" customFormat="1" ht="15" customHeight="1">
      <c r="A77" s="99"/>
      <c r="B77" s="161"/>
      <c r="C77" s="186" t="s">
        <v>2033</v>
      </c>
      <c r="D77" s="162"/>
      <c r="E77" s="162"/>
      <c r="F77" s="162"/>
      <c r="G77" s="163"/>
      <c r="H77" s="163"/>
      <c r="I77" s="117"/>
      <c r="J77" s="117"/>
      <c r="K77" s="117"/>
      <c r="L77" s="117"/>
      <c r="M77" s="117"/>
      <c r="N77" s="117"/>
      <c r="O77" s="117"/>
      <c r="P77" s="117"/>
      <c r="Q77" s="160"/>
      <c r="R77" s="159"/>
      <c r="S77" s="117"/>
      <c r="T77" s="117"/>
      <c r="U77" s="117"/>
      <c r="V77" s="160"/>
    </row>
    <row r="78" spans="1:23" s="98" customFormat="1" ht="15" customHeight="1">
      <c r="A78" s="99"/>
      <c r="B78" s="161"/>
      <c r="C78" s="185"/>
      <c r="D78" s="162" t="s">
        <v>1782</v>
      </c>
      <c r="E78" s="162"/>
      <c r="F78" s="162"/>
      <c r="G78" s="163"/>
      <c r="H78" s="163"/>
      <c r="I78" s="164" t="s">
        <v>627</v>
      </c>
      <c r="J78" s="188">
        <v>0</v>
      </c>
      <c r="K78" s="188">
        <v>0</v>
      </c>
      <c r="L78" s="188">
        <v>0</v>
      </c>
      <c r="M78" s="188">
        <v>0</v>
      </c>
      <c r="N78" s="188">
        <v>0</v>
      </c>
      <c r="O78" s="188">
        <v>0</v>
      </c>
      <c r="P78" s="188">
        <v>0</v>
      </c>
      <c r="Q78" s="189">
        <v>0</v>
      </c>
      <c r="R78" s="190">
        <v>0</v>
      </c>
      <c r="S78" s="188">
        <v>0</v>
      </c>
      <c r="T78" s="188">
        <v>0</v>
      </c>
      <c r="U78" s="188">
        <v>0</v>
      </c>
      <c r="V78" s="189">
        <v>0</v>
      </c>
    </row>
    <row r="79" spans="1:23" s="98" customFormat="1" ht="15" customHeight="1">
      <c r="A79" s="99"/>
      <c r="B79" s="161"/>
      <c r="C79" s="185"/>
      <c r="D79" s="162" t="s">
        <v>2025</v>
      </c>
      <c r="E79" s="162"/>
      <c r="F79" s="162"/>
      <c r="G79" s="163"/>
      <c r="H79" s="163"/>
      <c r="I79" s="164" t="s">
        <v>627</v>
      </c>
      <c r="J79" s="188">
        <v>0</v>
      </c>
      <c r="K79" s="188">
        <v>0</v>
      </c>
      <c r="L79" s="188">
        <v>0</v>
      </c>
      <c r="M79" s="188">
        <v>0</v>
      </c>
      <c r="N79" s="188">
        <v>0</v>
      </c>
      <c r="O79" s="188">
        <v>0</v>
      </c>
      <c r="P79" s="188">
        <v>0</v>
      </c>
      <c r="Q79" s="189">
        <v>0</v>
      </c>
      <c r="R79" s="190">
        <v>0</v>
      </c>
      <c r="S79" s="188">
        <v>0</v>
      </c>
      <c r="T79" s="188">
        <v>0</v>
      </c>
      <c r="U79" s="188">
        <v>0</v>
      </c>
      <c r="V79" s="189">
        <v>0</v>
      </c>
    </row>
    <row r="80" spans="1:23" s="98" customFormat="1" ht="15" customHeight="1">
      <c r="A80" s="99"/>
      <c r="B80" s="161"/>
      <c r="C80" s="185"/>
      <c r="D80" s="162" t="s">
        <v>2026</v>
      </c>
      <c r="E80" s="162"/>
      <c r="F80" s="162"/>
      <c r="G80" s="163"/>
      <c r="H80" s="163"/>
      <c r="I80" s="164" t="s">
        <v>627</v>
      </c>
      <c r="J80" s="188">
        <v>6.8487596840240764E-2</v>
      </c>
      <c r="K80" s="188">
        <v>9.4914209390732557E-2</v>
      </c>
      <c r="L80" s="188">
        <v>9.3080927386684872E-2</v>
      </c>
      <c r="M80" s="188">
        <v>9.0062803433641744E-2</v>
      </c>
      <c r="N80" s="188">
        <v>7.8750040437167004E-2</v>
      </c>
      <c r="O80" s="188">
        <v>7.3301802307653097E-2</v>
      </c>
      <c r="P80" s="188">
        <v>8.3055246251622583E-2</v>
      </c>
      <c r="Q80" s="189">
        <v>8.3055246251622583E-2</v>
      </c>
      <c r="R80" s="190">
        <v>8.3055246251622583E-2</v>
      </c>
      <c r="S80" s="188">
        <v>8.3055246251622583E-2</v>
      </c>
      <c r="T80" s="188">
        <v>8.3055246251622583E-2</v>
      </c>
      <c r="U80" s="188">
        <v>8.3055246251622583E-2</v>
      </c>
      <c r="V80" s="189">
        <v>8.3055246251622583E-2</v>
      </c>
    </row>
    <row r="81" spans="1:23" s="98" customFormat="1" ht="15" customHeight="1">
      <c r="A81" s="99"/>
      <c r="B81" s="161"/>
      <c r="C81" s="185"/>
      <c r="D81" s="162" t="s">
        <v>1783</v>
      </c>
      <c r="E81" s="162"/>
      <c r="F81" s="162"/>
      <c r="G81" s="163"/>
      <c r="H81" s="163"/>
      <c r="I81" s="164" t="s">
        <v>627</v>
      </c>
      <c r="J81" s="188">
        <v>0</v>
      </c>
      <c r="K81" s="188">
        <v>0</v>
      </c>
      <c r="L81" s="188">
        <v>0</v>
      </c>
      <c r="M81" s="188">
        <v>0</v>
      </c>
      <c r="N81" s="188">
        <v>0</v>
      </c>
      <c r="O81" s="188">
        <v>0</v>
      </c>
      <c r="P81" s="188">
        <v>0</v>
      </c>
      <c r="Q81" s="189">
        <v>0</v>
      </c>
      <c r="R81" s="190">
        <v>0</v>
      </c>
      <c r="S81" s="188">
        <v>0</v>
      </c>
      <c r="T81" s="188">
        <v>0</v>
      </c>
      <c r="U81" s="188">
        <v>0</v>
      </c>
      <c r="V81" s="189">
        <v>0</v>
      </c>
    </row>
    <row r="82" spans="1:23" s="98" customFormat="1" ht="15" customHeight="1">
      <c r="A82" s="99"/>
      <c r="B82" s="161"/>
      <c r="C82" s="185"/>
      <c r="D82" s="162" t="s">
        <v>2027</v>
      </c>
      <c r="E82" s="162"/>
      <c r="F82" s="162"/>
      <c r="G82" s="163"/>
      <c r="H82" s="163"/>
      <c r="I82" s="164" t="s">
        <v>627</v>
      </c>
      <c r="J82" s="188">
        <v>0</v>
      </c>
      <c r="K82" s="188">
        <v>0</v>
      </c>
      <c r="L82" s="188">
        <v>0</v>
      </c>
      <c r="M82" s="188">
        <v>0</v>
      </c>
      <c r="N82" s="188">
        <v>0</v>
      </c>
      <c r="O82" s="188">
        <v>0</v>
      </c>
      <c r="P82" s="188">
        <v>0</v>
      </c>
      <c r="Q82" s="189">
        <v>0</v>
      </c>
      <c r="R82" s="190">
        <v>0</v>
      </c>
      <c r="S82" s="188">
        <v>0</v>
      </c>
      <c r="T82" s="188">
        <v>0</v>
      </c>
      <c r="U82" s="188">
        <v>0</v>
      </c>
      <c r="V82" s="189">
        <v>0</v>
      </c>
    </row>
    <row r="83" spans="1:23" s="98" customFormat="1" ht="15" customHeight="1">
      <c r="A83" s="99"/>
      <c r="B83" s="161"/>
      <c r="C83" s="185"/>
      <c r="D83" s="162" t="s">
        <v>2028</v>
      </c>
      <c r="E83" s="162"/>
      <c r="F83" s="162"/>
      <c r="G83" s="163"/>
      <c r="H83" s="163"/>
      <c r="I83" s="164" t="s">
        <v>627</v>
      </c>
      <c r="J83" s="188">
        <v>0.53228611399565362</v>
      </c>
      <c r="K83" s="188">
        <v>0.54581321278125972</v>
      </c>
      <c r="L83" s="188">
        <v>0.56911370140151563</v>
      </c>
      <c r="M83" s="188">
        <v>0.55855872704162157</v>
      </c>
      <c r="N83" s="188">
        <v>0.60451704330904865</v>
      </c>
      <c r="O83" s="188">
        <v>0.63311676976517428</v>
      </c>
      <c r="P83" s="188">
        <v>0.57500823852268601</v>
      </c>
      <c r="Q83" s="189">
        <v>0.57500823852268601</v>
      </c>
      <c r="R83" s="190">
        <v>0.57500823852268601</v>
      </c>
      <c r="S83" s="188">
        <v>0.57500823852268601</v>
      </c>
      <c r="T83" s="188">
        <v>0.57500823852268601</v>
      </c>
      <c r="U83" s="188">
        <v>0.57500823852268601</v>
      </c>
      <c r="V83" s="189">
        <v>0.57500823852268601</v>
      </c>
    </row>
    <row r="84" spans="1:23" s="98" customFormat="1" ht="15" customHeight="1">
      <c r="A84" s="99"/>
      <c r="B84" s="161"/>
      <c r="C84" s="185"/>
      <c r="D84" s="162" t="s">
        <v>1784</v>
      </c>
      <c r="E84" s="162"/>
      <c r="F84" s="162"/>
      <c r="G84" s="163"/>
      <c r="H84" s="163"/>
      <c r="I84" s="164" t="s">
        <v>627</v>
      </c>
      <c r="J84" s="188">
        <v>0</v>
      </c>
      <c r="K84" s="188">
        <v>0</v>
      </c>
      <c r="L84" s="188">
        <v>0</v>
      </c>
      <c r="M84" s="188">
        <v>0</v>
      </c>
      <c r="N84" s="188">
        <v>0</v>
      </c>
      <c r="O84" s="188">
        <v>0</v>
      </c>
      <c r="P84" s="188">
        <v>0</v>
      </c>
      <c r="Q84" s="189">
        <v>0</v>
      </c>
      <c r="R84" s="190">
        <v>0</v>
      </c>
      <c r="S84" s="188">
        <v>0</v>
      </c>
      <c r="T84" s="188">
        <v>0</v>
      </c>
      <c r="U84" s="188">
        <v>0</v>
      </c>
      <c r="V84" s="189">
        <v>0</v>
      </c>
    </row>
    <row r="85" spans="1:23" s="98" customFormat="1" ht="15" customHeight="1">
      <c r="A85" s="99"/>
      <c r="B85" s="161"/>
      <c r="C85" s="185"/>
      <c r="D85" s="162" t="s">
        <v>2029</v>
      </c>
      <c r="E85" s="162"/>
      <c r="F85" s="162"/>
      <c r="G85" s="163"/>
      <c r="H85" s="163"/>
      <c r="I85" s="164" t="s">
        <v>627</v>
      </c>
      <c r="J85" s="188">
        <v>0</v>
      </c>
      <c r="K85" s="188">
        <v>0</v>
      </c>
      <c r="L85" s="188">
        <v>0</v>
      </c>
      <c r="M85" s="188">
        <v>0</v>
      </c>
      <c r="N85" s="188">
        <v>0</v>
      </c>
      <c r="O85" s="188">
        <v>0</v>
      </c>
      <c r="P85" s="188">
        <v>0</v>
      </c>
      <c r="Q85" s="189">
        <v>0</v>
      </c>
      <c r="R85" s="190">
        <v>0</v>
      </c>
      <c r="S85" s="188">
        <v>0</v>
      </c>
      <c r="T85" s="188">
        <v>0</v>
      </c>
      <c r="U85" s="188">
        <v>0</v>
      </c>
      <c r="V85" s="189">
        <v>0</v>
      </c>
    </row>
    <row r="86" spans="1:23" s="98" customFormat="1" ht="15" customHeight="1">
      <c r="A86" s="99"/>
      <c r="B86" s="161"/>
      <c r="C86" s="185"/>
      <c r="D86" s="162" t="s">
        <v>2030</v>
      </c>
      <c r="E86" s="162"/>
      <c r="F86" s="162"/>
      <c r="G86" s="163"/>
      <c r="H86" s="163"/>
      <c r="I86" s="164" t="s">
        <v>627</v>
      </c>
      <c r="J86" s="188">
        <v>0.13505281424087176</v>
      </c>
      <c r="K86" s="188">
        <v>0.1049522243912463</v>
      </c>
      <c r="L86" s="188">
        <v>7.5734258551564029E-2</v>
      </c>
      <c r="M86" s="188">
        <v>7.7387757537189558E-2</v>
      </c>
      <c r="N86" s="188">
        <v>7.1850577149687164E-2</v>
      </c>
      <c r="O86" s="188">
        <v>8.1253415031256118E-2</v>
      </c>
      <c r="P86" s="188">
        <v>9.0818890600536648E-2</v>
      </c>
      <c r="Q86" s="189">
        <v>9.0818890600536648E-2</v>
      </c>
      <c r="R86" s="190">
        <v>9.0818890600536648E-2</v>
      </c>
      <c r="S86" s="188">
        <v>9.0818890600536648E-2</v>
      </c>
      <c r="T86" s="188">
        <v>9.0818890600536648E-2</v>
      </c>
      <c r="U86" s="188">
        <v>9.0818890600536648E-2</v>
      </c>
      <c r="V86" s="189">
        <v>9.0818890600536648E-2</v>
      </c>
    </row>
    <row r="87" spans="1:23" s="98" customFormat="1" ht="15" customHeight="1">
      <c r="A87" s="99"/>
      <c r="B87" s="161"/>
      <c r="C87" s="185"/>
      <c r="D87" s="162" t="s">
        <v>1785</v>
      </c>
      <c r="E87" s="162"/>
      <c r="F87" s="162"/>
      <c r="G87" s="163"/>
      <c r="H87" s="163"/>
      <c r="I87" s="164" t="s">
        <v>627</v>
      </c>
      <c r="J87" s="188">
        <v>2.6299503958858446E-2</v>
      </c>
      <c r="K87" s="188">
        <v>2.5305661152779206E-2</v>
      </c>
      <c r="L87" s="188">
        <v>2.6074604661799092E-2</v>
      </c>
      <c r="M87" s="188">
        <v>2.7265516572124969E-2</v>
      </c>
      <c r="N87" s="188">
        <v>2.4368820350150977E-2</v>
      </c>
      <c r="O87" s="188">
        <v>2.1129262406161621E-2</v>
      </c>
      <c r="P87" s="188">
        <v>2.4989890320430683E-2</v>
      </c>
      <c r="Q87" s="189">
        <v>2.4989890320430683E-2</v>
      </c>
      <c r="R87" s="190">
        <v>2.4989890320430683E-2</v>
      </c>
      <c r="S87" s="188">
        <v>2.4989890320430683E-2</v>
      </c>
      <c r="T87" s="188">
        <v>2.4989890320430683E-2</v>
      </c>
      <c r="U87" s="188">
        <v>2.4989890320430683E-2</v>
      </c>
      <c r="V87" s="189">
        <v>2.4989890320430683E-2</v>
      </c>
    </row>
    <row r="88" spans="1:23" s="98" customFormat="1" ht="15" customHeight="1">
      <c r="A88" s="99"/>
      <c r="B88" s="161"/>
      <c r="C88" s="185"/>
      <c r="D88" s="162" t="s">
        <v>1786</v>
      </c>
      <c r="E88" s="162"/>
      <c r="F88" s="162"/>
      <c r="G88" s="163"/>
      <c r="H88" s="163"/>
      <c r="I88" s="164" t="s">
        <v>627</v>
      </c>
      <c r="J88" s="188">
        <v>1.9296878604884073E-2</v>
      </c>
      <c r="K88" s="188">
        <v>1.8565704304941949E-2</v>
      </c>
      <c r="L88" s="188">
        <v>1.9134851999873234E-2</v>
      </c>
      <c r="M88" s="188">
        <v>1.9999239428370619E-2</v>
      </c>
      <c r="N88" s="188">
        <v>1.7880331323701409E-2</v>
      </c>
      <c r="O88" s="188">
        <v>1.5503344315362299E-2</v>
      </c>
      <c r="P88" s="188">
        <v>1.8335105075839148E-2</v>
      </c>
      <c r="Q88" s="189">
        <v>1.8335105075839148E-2</v>
      </c>
      <c r="R88" s="190">
        <v>1.8335105075839148E-2</v>
      </c>
      <c r="S88" s="188">
        <v>1.8335105075839148E-2</v>
      </c>
      <c r="T88" s="188">
        <v>1.8335105075839148E-2</v>
      </c>
      <c r="U88" s="188">
        <v>1.8335105075839148E-2</v>
      </c>
      <c r="V88" s="189">
        <v>1.8335105075839148E-2</v>
      </c>
    </row>
    <row r="89" spans="1:23" s="98" customFormat="1" ht="15" customHeight="1">
      <c r="A89" s="99"/>
      <c r="B89" s="161"/>
      <c r="C89" s="185"/>
      <c r="D89" s="162" t="s">
        <v>1787</v>
      </c>
      <c r="E89" s="162"/>
      <c r="F89" s="162"/>
      <c r="G89" s="163"/>
      <c r="H89" s="163"/>
      <c r="I89" s="164" t="s">
        <v>627</v>
      </c>
      <c r="J89" s="188">
        <v>0</v>
      </c>
      <c r="K89" s="188">
        <v>0</v>
      </c>
      <c r="L89" s="188">
        <v>0</v>
      </c>
      <c r="M89" s="188">
        <v>0</v>
      </c>
      <c r="N89" s="188">
        <v>0</v>
      </c>
      <c r="O89" s="188">
        <v>0</v>
      </c>
      <c r="P89" s="188">
        <v>0</v>
      </c>
      <c r="Q89" s="189">
        <v>0</v>
      </c>
      <c r="R89" s="190">
        <v>0</v>
      </c>
      <c r="S89" s="188">
        <v>0</v>
      </c>
      <c r="T89" s="188">
        <v>0</v>
      </c>
      <c r="U89" s="188">
        <v>0</v>
      </c>
      <c r="V89" s="189">
        <v>0</v>
      </c>
    </row>
    <row r="90" spans="1:23" s="98" customFormat="1" ht="15" customHeight="1">
      <c r="A90" s="99"/>
      <c r="B90" s="161"/>
      <c r="C90" s="185"/>
      <c r="D90" s="162" t="s">
        <v>2031</v>
      </c>
      <c r="E90" s="162"/>
      <c r="F90" s="162"/>
      <c r="G90" s="163"/>
      <c r="H90" s="163"/>
      <c r="I90" s="164" t="s">
        <v>627</v>
      </c>
      <c r="J90" s="188">
        <v>0</v>
      </c>
      <c r="K90" s="188">
        <v>0</v>
      </c>
      <c r="L90" s="188">
        <v>0</v>
      </c>
      <c r="M90" s="188">
        <v>0</v>
      </c>
      <c r="N90" s="188">
        <v>0</v>
      </c>
      <c r="O90" s="188">
        <v>0</v>
      </c>
      <c r="P90" s="188">
        <v>0</v>
      </c>
      <c r="Q90" s="189">
        <v>0</v>
      </c>
      <c r="R90" s="190">
        <v>0</v>
      </c>
      <c r="S90" s="188">
        <v>0</v>
      </c>
      <c r="T90" s="188">
        <v>0</v>
      </c>
      <c r="U90" s="188">
        <v>0</v>
      </c>
      <c r="V90" s="189">
        <v>0</v>
      </c>
    </row>
    <row r="91" spans="1:23" s="98" customFormat="1" ht="15" customHeight="1">
      <c r="A91" s="99"/>
      <c r="B91" s="161"/>
      <c r="C91" s="185"/>
      <c r="D91" s="162" t="s">
        <v>2032</v>
      </c>
      <c r="E91" s="162"/>
      <c r="F91" s="162"/>
      <c r="G91" s="163"/>
      <c r="H91" s="163"/>
      <c r="I91" s="164" t="s">
        <v>627</v>
      </c>
      <c r="J91" s="188">
        <v>0.21857709235949133</v>
      </c>
      <c r="K91" s="188">
        <v>0.21044898797904038</v>
      </c>
      <c r="L91" s="188">
        <v>0.21686165599856333</v>
      </c>
      <c r="M91" s="188">
        <v>0.22672595598705164</v>
      </c>
      <c r="N91" s="188">
        <v>0.202633187430245</v>
      </c>
      <c r="O91" s="188">
        <v>0.17569540617439253</v>
      </c>
      <c r="P91" s="188">
        <v>0.20779262922888506</v>
      </c>
      <c r="Q91" s="189">
        <v>0.20779262922888506</v>
      </c>
      <c r="R91" s="190">
        <v>0.20779262922888506</v>
      </c>
      <c r="S91" s="188">
        <v>0.20779262922888506</v>
      </c>
      <c r="T91" s="188">
        <v>0.20779262922888506</v>
      </c>
      <c r="U91" s="188">
        <v>0.20779262922888506</v>
      </c>
      <c r="V91" s="189">
        <v>0.20779262922888506</v>
      </c>
    </row>
    <row r="92" spans="1:23" s="98" customFormat="1" ht="15" customHeight="1">
      <c r="A92" s="99"/>
      <c r="B92" s="181"/>
      <c r="C92" s="182" t="s">
        <v>1710</v>
      </c>
      <c r="D92" s="183"/>
      <c r="E92" s="183"/>
      <c r="F92" s="183"/>
      <c r="G92" s="184"/>
      <c r="H92" s="184"/>
      <c r="I92" s="164" t="s">
        <v>627</v>
      </c>
      <c r="J92" s="876">
        <f t="shared" ref="J92:O92" si="6">SUM(J78:J91)</f>
        <v>1</v>
      </c>
      <c r="K92" s="876">
        <f t="shared" si="6"/>
        <v>1.0000000000000002</v>
      </c>
      <c r="L92" s="876">
        <f t="shared" si="6"/>
        <v>1</v>
      </c>
      <c r="M92" s="876">
        <f t="shared" si="6"/>
        <v>1</v>
      </c>
      <c r="N92" s="876">
        <f t="shared" si="6"/>
        <v>1.0000000000000002</v>
      </c>
      <c r="O92" s="876">
        <f t="shared" si="6"/>
        <v>0.99999999999999989</v>
      </c>
      <c r="P92" s="876">
        <f>SUM(P78:P91)</f>
        <v>1</v>
      </c>
      <c r="Q92" s="228">
        <f t="shared" ref="Q92:V92" si="7">SUM(Q78:Q91)</f>
        <v>1</v>
      </c>
      <c r="R92" s="875">
        <f t="shared" si="7"/>
        <v>1</v>
      </c>
      <c r="S92" s="876">
        <f t="shared" si="7"/>
        <v>1</v>
      </c>
      <c r="T92" s="876">
        <f t="shared" si="7"/>
        <v>1</v>
      </c>
      <c r="U92" s="876">
        <f t="shared" si="7"/>
        <v>1</v>
      </c>
      <c r="V92" s="228">
        <f t="shared" si="7"/>
        <v>1</v>
      </c>
      <c r="W92" s="185"/>
    </row>
    <row r="93" spans="1:23" s="98" customFormat="1" ht="15" customHeight="1">
      <c r="A93" s="99"/>
      <c r="B93" s="161"/>
      <c r="C93" s="116"/>
      <c r="D93" s="116"/>
      <c r="E93" s="116"/>
      <c r="F93" s="116"/>
      <c r="G93" s="117"/>
      <c r="H93" s="117"/>
      <c r="I93" s="117"/>
      <c r="J93" s="117"/>
      <c r="K93" s="117"/>
      <c r="L93" s="117"/>
      <c r="M93" s="117"/>
      <c r="N93" s="117"/>
      <c r="O93" s="117"/>
      <c r="P93" s="117"/>
      <c r="Q93" s="160"/>
      <c r="R93" s="159"/>
      <c r="S93" s="117"/>
      <c r="T93" s="117"/>
      <c r="U93" s="117"/>
      <c r="V93" s="160"/>
    </row>
    <row r="94" spans="1:23" s="98" customFormat="1" ht="15" customHeight="1">
      <c r="A94" s="99"/>
      <c r="B94" s="161"/>
      <c r="C94" s="186" t="s">
        <v>2034</v>
      </c>
      <c r="D94" s="162"/>
      <c r="E94" s="162"/>
      <c r="F94" s="162"/>
      <c r="G94" s="163"/>
      <c r="H94" s="163"/>
      <c r="I94" s="117"/>
      <c r="J94" s="117"/>
      <c r="K94" s="117"/>
      <c r="L94" s="117"/>
      <c r="M94" s="117"/>
      <c r="N94" s="117"/>
      <c r="O94" s="117"/>
      <c r="P94" s="117"/>
      <c r="Q94" s="160"/>
      <c r="R94" s="159"/>
      <c r="S94" s="117"/>
      <c r="T94" s="117"/>
      <c r="U94" s="117"/>
      <c r="V94" s="160"/>
    </row>
    <row r="95" spans="1:23" s="98" customFormat="1" ht="15" customHeight="1">
      <c r="A95" s="99"/>
      <c r="B95" s="161"/>
      <c r="C95" s="185"/>
      <c r="D95" s="162" t="s">
        <v>1782</v>
      </c>
      <c r="E95" s="162"/>
      <c r="F95" s="162"/>
      <c r="G95" s="163"/>
      <c r="H95" s="163"/>
      <c r="I95" s="164" t="s">
        <v>627</v>
      </c>
      <c r="J95" s="188">
        <v>0</v>
      </c>
      <c r="K95" s="188">
        <v>0</v>
      </c>
      <c r="L95" s="188">
        <v>0</v>
      </c>
      <c r="M95" s="188">
        <v>0</v>
      </c>
      <c r="N95" s="188">
        <v>0</v>
      </c>
      <c r="O95" s="188">
        <v>0</v>
      </c>
      <c r="P95" s="188">
        <v>0</v>
      </c>
      <c r="Q95" s="189">
        <v>0</v>
      </c>
      <c r="R95" s="190">
        <v>0</v>
      </c>
      <c r="S95" s="188">
        <v>0</v>
      </c>
      <c r="T95" s="188">
        <v>0</v>
      </c>
      <c r="U95" s="188">
        <v>0</v>
      </c>
      <c r="V95" s="189">
        <v>0</v>
      </c>
    </row>
    <row r="96" spans="1:23" s="98" customFormat="1" ht="15" customHeight="1">
      <c r="A96" s="99"/>
      <c r="B96" s="161"/>
      <c r="C96" s="185"/>
      <c r="D96" s="162" t="s">
        <v>2025</v>
      </c>
      <c r="E96" s="162"/>
      <c r="F96" s="162"/>
      <c r="G96" s="163"/>
      <c r="H96" s="163"/>
      <c r="I96" s="164" t="s">
        <v>627</v>
      </c>
      <c r="J96" s="188">
        <v>0</v>
      </c>
      <c r="K96" s="188">
        <v>0</v>
      </c>
      <c r="L96" s="188">
        <v>0</v>
      </c>
      <c r="M96" s="188">
        <v>0</v>
      </c>
      <c r="N96" s="188">
        <v>0</v>
      </c>
      <c r="O96" s="188">
        <v>0</v>
      </c>
      <c r="P96" s="188">
        <v>0</v>
      </c>
      <c r="Q96" s="189">
        <v>0</v>
      </c>
      <c r="R96" s="190">
        <v>0</v>
      </c>
      <c r="S96" s="188">
        <v>0</v>
      </c>
      <c r="T96" s="188">
        <v>0</v>
      </c>
      <c r="U96" s="188">
        <v>0</v>
      </c>
      <c r="V96" s="189">
        <v>0</v>
      </c>
    </row>
    <row r="97" spans="1:24" s="98" customFormat="1" ht="15" customHeight="1">
      <c r="A97" s="99"/>
      <c r="B97" s="161"/>
      <c r="C97" s="185"/>
      <c r="D97" s="162" t="s">
        <v>2026</v>
      </c>
      <c r="E97" s="162"/>
      <c r="F97" s="162"/>
      <c r="G97" s="163"/>
      <c r="H97" s="163"/>
      <c r="I97" s="164" t="s">
        <v>627</v>
      </c>
      <c r="J97" s="188">
        <v>6.8487596840240764E-2</v>
      </c>
      <c r="K97" s="188">
        <v>9.4914209390732557E-2</v>
      </c>
      <c r="L97" s="188">
        <v>9.3080927386684872E-2</v>
      </c>
      <c r="M97" s="188">
        <v>9.0062803433641744E-2</v>
      </c>
      <c r="N97" s="188">
        <v>7.8750040437167004E-2</v>
      </c>
      <c r="O97" s="188">
        <v>7.3301802307653097E-2</v>
      </c>
      <c r="P97" s="188">
        <v>8.3055246251622583E-2</v>
      </c>
      <c r="Q97" s="189">
        <v>8.3055246251622583E-2</v>
      </c>
      <c r="R97" s="190">
        <v>8.3055246251622583E-2</v>
      </c>
      <c r="S97" s="188">
        <v>8.3055246251622583E-2</v>
      </c>
      <c r="T97" s="188">
        <v>8.3055246251622583E-2</v>
      </c>
      <c r="U97" s="188">
        <v>8.3055246251622583E-2</v>
      </c>
      <c r="V97" s="189">
        <v>8.3055246251622583E-2</v>
      </c>
    </row>
    <row r="98" spans="1:24" s="98" customFormat="1" ht="15" customHeight="1">
      <c r="A98" s="99"/>
      <c r="B98" s="161"/>
      <c r="C98" s="185"/>
      <c r="D98" s="162" t="s">
        <v>1783</v>
      </c>
      <c r="E98" s="162"/>
      <c r="F98" s="162"/>
      <c r="G98" s="163"/>
      <c r="H98" s="163"/>
      <c r="I98" s="164" t="s">
        <v>627</v>
      </c>
      <c r="J98" s="188">
        <v>0</v>
      </c>
      <c r="K98" s="188">
        <v>0</v>
      </c>
      <c r="L98" s="188">
        <v>0</v>
      </c>
      <c r="M98" s="188">
        <v>0</v>
      </c>
      <c r="N98" s="188">
        <v>0</v>
      </c>
      <c r="O98" s="188">
        <v>0</v>
      </c>
      <c r="P98" s="188">
        <v>0</v>
      </c>
      <c r="Q98" s="189">
        <v>0</v>
      </c>
      <c r="R98" s="190">
        <v>0</v>
      </c>
      <c r="S98" s="188">
        <v>0</v>
      </c>
      <c r="T98" s="188">
        <v>0</v>
      </c>
      <c r="U98" s="188">
        <v>0</v>
      </c>
      <c r="V98" s="189">
        <v>0</v>
      </c>
    </row>
    <row r="99" spans="1:24" s="98" customFormat="1" ht="15" customHeight="1">
      <c r="A99" s="99"/>
      <c r="B99" s="161"/>
      <c r="C99" s="185"/>
      <c r="D99" s="162" t="s">
        <v>2027</v>
      </c>
      <c r="E99" s="162"/>
      <c r="F99" s="162"/>
      <c r="G99" s="163"/>
      <c r="H99" s="163"/>
      <c r="I99" s="164" t="s">
        <v>627</v>
      </c>
      <c r="J99" s="188">
        <v>0</v>
      </c>
      <c r="K99" s="188">
        <v>0</v>
      </c>
      <c r="L99" s="188">
        <v>0</v>
      </c>
      <c r="M99" s="188">
        <v>0</v>
      </c>
      <c r="N99" s="188">
        <v>0</v>
      </c>
      <c r="O99" s="188">
        <v>0</v>
      </c>
      <c r="P99" s="188">
        <v>0</v>
      </c>
      <c r="Q99" s="189">
        <v>0</v>
      </c>
      <c r="R99" s="190">
        <v>0</v>
      </c>
      <c r="S99" s="188">
        <v>0</v>
      </c>
      <c r="T99" s="188">
        <v>0</v>
      </c>
      <c r="U99" s="188">
        <v>0</v>
      </c>
      <c r="V99" s="189">
        <v>0</v>
      </c>
    </row>
    <row r="100" spans="1:24" s="98" customFormat="1" ht="15" customHeight="1">
      <c r="A100" s="99"/>
      <c r="B100" s="161"/>
      <c r="C100" s="185"/>
      <c r="D100" s="162" t="s">
        <v>2028</v>
      </c>
      <c r="E100" s="162"/>
      <c r="F100" s="162"/>
      <c r="G100" s="163"/>
      <c r="H100" s="163"/>
      <c r="I100" s="164" t="s">
        <v>627</v>
      </c>
      <c r="J100" s="188">
        <v>0.53228611399565362</v>
      </c>
      <c r="K100" s="188">
        <v>0.54581321278125972</v>
      </c>
      <c r="L100" s="188">
        <v>0.56911370140151563</v>
      </c>
      <c r="M100" s="188">
        <v>0.55855872704162157</v>
      </c>
      <c r="N100" s="188">
        <v>0.60451704330904865</v>
      </c>
      <c r="O100" s="188">
        <v>0.63311676976517428</v>
      </c>
      <c r="P100" s="188">
        <v>0.57500823852268601</v>
      </c>
      <c r="Q100" s="189">
        <v>0.57500823852268601</v>
      </c>
      <c r="R100" s="190">
        <v>0.57500823852268601</v>
      </c>
      <c r="S100" s="188">
        <v>0.57500823852268601</v>
      </c>
      <c r="T100" s="188">
        <v>0.57500823852268601</v>
      </c>
      <c r="U100" s="188">
        <v>0.57500823852268601</v>
      </c>
      <c r="V100" s="189">
        <v>0.57500823852268601</v>
      </c>
    </row>
    <row r="101" spans="1:24" s="98" customFormat="1" ht="15" customHeight="1">
      <c r="A101" s="99"/>
      <c r="B101" s="161"/>
      <c r="C101" s="185"/>
      <c r="D101" s="162" t="s">
        <v>1784</v>
      </c>
      <c r="E101" s="162"/>
      <c r="F101" s="162"/>
      <c r="G101" s="163"/>
      <c r="H101" s="163"/>
      <c r="I101" s="164" t="s">
        <v>627</v>
      </c>
      <c r="J101" s="188">
        <v>0</v>
      </c>
      <c r="K101" s="188">
        <v>0</v>
      </c>
      <c r="L101" s="188">
        <v>0</v>
      </c>
      <c r="M101" s="188">
        <v>0</v>
      </c>
      <c r="N101" s="188">
        <v>0</v>
      </c>
      <c r="O101" s="188">
        <v>0</v>
      </c>
      <c r="P101" s="188">
        <v>0</v>
      </c>
      <c r="Q101" s="189">
        <v>0</v>
      </c>
      <c r="R101" s="190">
        <v>0</v>
      </c>
      <c r="S101" s="188">
        <v>0</v>
      </c>
      <c r="T101" s="188">
        <v>0</v>
      </c>
      <c r="U101" s="188">
        <v>0</v>
      </c>
      <c r="V101" s="189">
        <v>0</v>
      </c>
    </row>
    <row r="102" spans="1:24" s="98" customFormat="1" ht="15" customHeight="1">
      <c r="A102" s="99"/>
      <c r="B102" s="161"/>
      <c r="C102" s="185"/>
      <c r="D102" s="162" t="s">
        <v>2029</v>
      </c>
      <c r="E102" s="162"/>
      <c r="F102" s="162"/>
      <c r="G102" s="163"/>
      <c r="H102" s="163"/>
      <c r="I102" s="164" t="s">
        <v>627</v>
      </c>
      <c r="J102" s="188">
        <v>0</v>
      </c>
      <c r="K102" s="188">
        <v>0</v>
      </c>
      <c r="L102" s="188">
        <v>0</v>
      </c>
      <c r="M102" s="188">
        <v>0</v>
      </c>
      <c r="N102" s="188">
        <v>0</v>
      </c>
      <c r="O102" s="188">
        <v>0</v>
      </c>
      <c r="P102" s="188">
        <v>0</v>
      </c>
      <c r="Q102" s="189">
        <v>0</v>
      </c>
      <c r="R102" s="190">
        <v>0</v>
      </c>
      <c r="S102" s="188">
        <v>0</v>
      </c>
      <c r="T102" s="188">
        <v>0</v>
      </c>
      <c r="U102" s="188">
        <v>0</v>
      </c>
      <c r="V102" s="189">
        <v>0</v>
      </c>
    </row>
    <row r="103" spans="1:24" s="98" customFormat="1" ht="15" customHeight="1">
      <c r="A103" s="99"/>
      <c r="B103" s="161"/>
      <c r="C103" s="185"/>
      <c r="D103" s="162" t="s">
        <v>2030</v>
      </c>
      <c r="E103" s="162"/>
      <c r="F103" s="162"/>
      <c r="G103" s="163"/>
      <c r="H103" s="163"/>
      <c r="I103" s="164" t="s">
        <v>627</v>
      </c>
      <c r="J103" s="188">
        <v>0.13505281424087176</v>
      </c>
      <c r="K103" s="188">
        <v>0.1049522243912463</v>
      </c>
      <c r="L103" s="188">
        <v>7.5734258551564029E-2</v>
      </c>
      <c r="M103" s="188">
        <v>7.7387757537189558E-2</v>
      </c>
      <c r="N103" s="188">
        <v>7.1850577149687164E-2</v>
      </c>
      <c r="O103" s="188">
        <v>8.1253415031256118E-2</v>
      </c>
      <c r="P103" s="188">
        <v>9.0818890600536648E-2</v>
      </c>
      <c r="Q103" s="189">
        <v>9.0818890600536648E-2</v>
      </c>
      <c r="R103" s="190">
        <v>9.0818890600536648E-2</v>
      </c>
      <c r="S103" s="188">
        <v>9.0818890600536648E-2</v>
      </c>
      <c r="T103" s="188">
        <v>9.0818890600536648E-2</v>
      </c>
      <c r="U103" s="188">
        <v>9.0818890600536648E-2</v>
      </c>
      <c r="V103" s="189">
        <v>9.0818890600536648E-2</v>
      </c>
    </row>
    <row r="104" spans="1:24" s="98" customFormat="1" ht="15" customHeight="1">
      <c r="A104" s="99"/>
      <c r="B104" s="161"/>
      <c r="C104" s="185"/>
      <c r="D104" s="162" t="s">
        <v>1785</v>
      </c>
      <c r="E104" s="162"/>
      <c r="F104" s="162"/>
      <c r="G104" s="163"/>
      <c r="H104" s="163"/>
      <c r="I104" s="164" t="s">
        <v>627</v>
      </c>
      <c r="J104" s="188">
        <v>2.6299503958858446E-2</v>
      </c>
      <c r="K104" s="188">
        <v>2.5305661152779206E-2</v>
      </c>
      <c r="L104" s="188">
        <v>2.6074604661799092E-2</v>
      </c>
      <c r="M104" s="188">
        <v>2.7265516572124969E-2</v>
      </c>
      <c r="N104" s="188">
        <v>2.4368820350150977E-2</v>
      </c>
      <c r="O104" s="188">
        <v>2.1129262406161621E-2</v>
      </c>
      <c r="P104" s="188">
        <v>2.4989890320430683E-2</v>
      </c>
      <c r="Q104" s="189">
        <v>2.4989890320430683E-2</v>
      </c>
      <c r="R104" s="190">
        <v>2.4989890320430683E-2</v>
      </c>
      <c r="S104" s="188">
        <v>2.4989890320430683E-2</v>
      </c>
      <c r="T104" s="188">
        <v>2.4989890320430683E-2</v>
      </c>
      <c r="U104" s="188">
        <v>2.4989890320430683E-2</v>
      </c>
      <c r="V104" s="189">
        <v>2.4989890320430683E-2</v>
      </c>
    </row>
    <row r="105" spans="1:24" s="98" customFormat="1" ht="15" customHeight="1">
      <c r="A105" s="99"/>
      <c r="B105" s="161"/>
      <c r="C105" s="185"/>
      <c r="D105" s="162" t="s">
        <v>1786</v>
      </c>
      <c r="E105" s="162"/>
      <c r="F105" s="162"/>
      <c r="G105" s="163"/>
      <c r="H105" s="163"/>
      <c r="I105" s="164" t="s">
        <v>627</v>
      </c>
      <c r="J105" s="188">
        <v>1.9296878604884073E-2</v>
      </c>
      <c r="K105" s="188">
        <v>1.8565704304941949E-2</v>
      </c>
      <c r="L105" s="188">
        <v>1.9134851999873234E-2</v>
      </c>
      <c r="M105" s="188">
        <v>1.9999239428370619E-2</v>
      </c>
      <c r="N105" s="188">
        <v>1.7880331323701409E-2</v>
      </c>
      <c r="O105" s="188">
        <v>1.5503344315362299E-2</v>
      </c>
      <c r="P105" s="188">
        <v>1.8335105075839148E-2</v>
      </c>
      <c r="Q105" s="189">
        <v>1.8335105075839148E-2</v>
      </c>
      <c r="R105" s="190">
        <v>1.8335105075839148E-2</v>
      </c>
      <c r="S105" s="188">
        <v>1.8335105075839148E-2</v>
      </c>
      <c r="T105" s="188">
        <v>1.8335105075839148E-2</v>
      </c>
      <c r="U105" s="188">
        <v>1.8335105075839148E-2</v>
      </c>
      <c r="V105" s="189">
        <v>1.8335105075839148E-2</v>
      </c>
    </row>
    <row r="106" spans="1:24" s="98" customFormat="1" ht="15" customHeight="1">
      <c r="A106" s="99"/>
      <c r="B106" s="161"/>
      <c r="C106" s="185"/>
      <c r="D106" s="162" t="s">
        <v>1787</v>
      </c>
      <c r="E106" s="162"/>
      <c r="F106" s="162"/>
      <c r="G106" s="163"/>
      <c r="H106" s="163"/>
      <c r="I106" s="164" t="s">
        <v>627</v>
      </c>
      <c r="J106" s="188">
        <v>0</v>
      </c>
      <c r="K106" s="188">
        <v>0</v>
      </c>
      <c r="L106" s="188">
        <v>0</v>
      </c>
      <c r="M106" s="188">
        <v>0</v>
      </c>
      <c r="N106" s="188">
        <v>0</v>
      </c>
      <c r="O106" s="188">
        <v>0</v>
      </c>
      <c r="P106" s="188">
        <v>0</v>
      </c>
      <c r="Q106" s="189">
        <v>0</v>
      </c>
      <c r="R106" s="190">
        <v>0</v>
      </c>
      <c r="S106" s="188">
        <v>0</v>
      </c>
      <c r="T106" s="188">
        <v>0</v>
      </c>
      <c r="U106" s="188">
        <v>0</v>
      </c>
      <c r="V106" s="189">
        <v>0</v>
      </c>
    </row>
    <row r="107" spans="1:24" s="98" customFormat="1" ht="15" customHeight="1">
      <c r="A107" s="99"/>
      <c r="B107" s="161"/>
      <c r="C107" s="185"/>
      <c r="D107" s="162" t="s">
        <v>2031</v>
      </c>
      <c r="E107" s="162"/>
      <c r="F107" s="162"/>
      <c r="G107" s="163"/>
      <c r="H107" s="163"/>
      <c r="I107" s="164" t="s">
        <v>627</v>
      </c>
      <c r="J107" s="188">
        <v>0</v>
      </c>
      <c r="K107" s="188">
        <v>0</v>
      </c>
      <c r="L107" s="188">
        <v>0</v>
      </c>
      <c r="M107" s="188">
        <v>0</v>
      </c>
      <c r="N107" s="188">
        <v>0</v>
      </c>
      <c r="O107" s="188">
        <v>0</v>
      </c>
      <c r="P107" s="188">
        <v>0</v>
      </c>
      <c r="Q107" s="189">
        <v>0</v>
      </c>
      <c r="R107" s="190">
        <v>0</v>
      </c>
      <c r="S107" s="188">
        <v>0</v>
      </c>
      <c r="T107" s="188">
        <v>0</v>
      </c>
      <c r="U107" s="188">
        <v>0</v>
      </c>
      <c r="V107" s="189">
        <v>0</v>
      </c>
    </row>
    <row r="108" spans="1:24" s="98" customFormat="1" ht="15" customHeight="1">
      <c r="A108" s="99"/>
      <c r="B108" s="161"/>
      <c r="C108" s="185"/>
      <c r="D108" s="162" t="s">
        <v>2032</v>
      </c>
      <c r="E108" s="162"/>
      <c r="F108" s="162"/>
      <c r="G108" s="163"/>
      <c r="H108" s="163"/>
      <c r="I108" s="164" t="s">
        <v>627</v>
      </c>
      <c r="J108" s="188">
        <v>0.21857709235949133</v>
      </c>
      <c r="K108" s="188">
        <v>0.21044898797904038</v>
      </c>
      <c r="L108" s="188">
        <v>0.21686165599856333</v>
      </c>
      <c r="M108" s="188">
        <v>0.22672595598705164</v>
      </c>
      <c r="N108" s="188">
        <v>0.202633187430245</v>
      </c>
      <c r="O108" s="188">
        <v>0.17569540617439253</v>
      </c>
      <c r="P108" s="188">
        <v>0.20779262922888506</v>
      </c>
      <c r="Q108" s="189">
        <v>0.20779262922888506</v>
      </c>
      <c r="R108" s="190">
        <v>0.20779262922888506</v>
      </c>
      <c r="S108" s="188">
        <v>0.20779262922888506</v>
      </c>
      <c r="T108" s="188">
        <v>0.20779262922888506</v>
      </c>
      <c r="U108" s="188">
        <v>0.20779262922888506</v>
      </c>
      <c r="V108" s="189">
        <v>0.20779262922888506</v>
      </c>
    </row>
    <row r="109" spans="1:24" s="98" customFormat="1" ht="15" customHeight="1" thickBot="1">
      <c r="A109" s="99"/>
      <c r="B109" s="239"/>
      <c r="C109" s="240" t="s">
        <v>1710</v>
      </c>
      <c r="D109" s="512"/>
      <c r="E109" s="512"/>
      <c r="F109" s="512"/>
      <c r="G109" s="241"/>
      <c r="H109" s="241"/>
      <c r="I109" s="195" t="s">
        <v>627</v>
      </c>
      <c r="J109" s="2458">
        <f t="shared" ref="J109:O109" si="8">SUM(J95:J108)</f>
        <v>1</v>
      </c>
      <c r="K109" s="2458">
        <f t="shared" si="8"/>
        <v>1.0000000000000002</v>
      </c>
      <c r="L109" s="2458">
        <f t="shared" si="8"/>
        <v>1</v>
      </c>
      <c r="M109" s="2458">
        <f t="shared" si="8"/>
        <v>1</v>
      </c>
      <c r="N109" s="2458">
        <f t="shared" si="8"/>
        <v>1.0000000000000002</v>
      </c>
      <c r="O109" s="2458">
        <f t="shared" si="8"/>
        <v>0.99999999999999989</v>
      </c>
      <c r="P109" s="2458">
        <f>SUM(P95:P108)</f>
        <v>1</v>
      </c>
      <c r="Q109" s="2459">
        <f t="shared" ref="Q109:V109" si="9">SUM(Q95:Q108)</f>
        <v>1</v>
      </c>
      <c r="R109" s="2460">
        <f t="shared" si="9"/>
        <v>1</v>
      </c>
      <c r="S109" s="2458">
        <f t="shared" si="9"/>
        <v>1</v>
      </c>
      <c r="T109" s="2458">
        <f t="shared" si="9"/>
        <v>1</v>
      </c>
      <c r="U109" s="2458">
        <f t="shared" si="9"/>
        <v>1</v>
      </c>
      <c r="V109" s="2459">
        <f t="shared" si="9"/>
        <v>1</v>
      </c>
      <c r="W109" s="185"/>
    </row>
    <row r="110" spans="1:24" s="99" customFormat="1" ht="15" customHeight="1" thickBot="1">
      <c r="B110" s="150"/>
      <c r="C110" s="95"/>
      <c r="D110" s="95"/>
      <c r="E110" s="95"/>
      <c r="F110" s="95"/>
      <c r="G110" s="97"/>
      <c r="H110" s="97"/>
      <c r="I110" s="98"/>
      <c r="J110" s="98"/>
      <c r="K110" s="98"/>
      <c r="L110" s="98"/>
      <c r="M110" s="98"/>
      <c r="N110" s="98"/>
      <c r="O110" s="98"/>
      <c r="P110" s="98"/>
      <c r="Q110" s="98"/>
      <c r="R110" s="98"/>
      <c r="S110" s="98"/>
      <c r="T110" s="98"/>
      <c r="U110" s="98"/>
      <c r="V110" s="98"/>
      <c r="W110" s="98"/>
      <c r="X110" s="98"/>
    </row>
    <row r="111" spans="1:24" s="100" customFormat="1" ht="30" customHeight="1" thickBot="1">
      <c r="A111" s="89"/>
      <c r="B111" s="621" t="s">
        <v>2035</v>
      </c>
      <c r="C111" s="762"/>
      <c r="D111" s="762"/>
      <c r="E111" s="762"/>
      <c r="F111" s="762"/>
      <c r="G111" s="763"/>
      <c r="H111" s="103"/>
      <c r="I111" s="105" t="s">
        <v>2036</v>
      </c>
      <c r="J111" s="106"/>
      <c r="K111" s="106"/>
      <c r="L111" s="106"/>
      <c r="M111" s="106"/>
      <c r="N111" s="106"/>
      <c r="O111" s="106"/>
      <c r="P111" s="106"/>
      <c r="Q111" s="106"/>
      <c r="R111" s="105"/>
      <c r="S111" s="105"/>
      <c r="T111" s="105"/>
      <c r="U111" s="105"/>
      <c r="V111" s="187"/>
    </row>
    <row r="112" spans="1:24" s="157" customFormat="1" ht="30" customHeight="1">
      <c r="A112" s="99"/>
      <c r="B112" s="109"/>
      <c r="C112" s="127"/>
      <c r="D112" s="127"/>
      <c r="E112" s="127"/>
      <c r="F112" s="127"/>
      <c r="G112" s="117"/>
      <c r="H112" s="111"/>
      <c r="I112" s="117"/>
      <c r="J112" s="151"/>
      <c r="K112" s="152"/>
      <c r="L112" s="152"/>
      <c r="M112" s="152"/>
      <c r="N112" s="152"/>
      <c r="O112" s="152"/>
      <c r="P112" s="152"/>
      <c r="Q112" s="153"/>
      <c r="R112" s="154" t="s">
        <v>2</v>
      </c>
      <c r="S112" s="155"/>
      <c r="T112" s="155"/>
      <c r="U112" s="155"/>
      <c r="V112" s="156"/>
    </row>
    <row r="113" spans="1:23" s="98" customFormat="1" ht="15" customHeight="1">
      <c r="A113" s="99"/>
      <c r="B113" s="115"/>
      <c r="C113" s="116"/>
      <c r="D113" s="116"/>
      <c r="E113" s="116"/>
      <c r="F113" s="116"/>
      <c r="G113" s="117"/>
      <c r="H113" s="117"/>
      <c r="I113" s="119" t="s">
        <v>1667</v>
      </c>
      <c r="J113" s="158" t="s">
        <v>453</v>
      </c>
      <c r="K113" s="137" t="s">
        <v>455</v>
      </c>
      <c r="L113" s="137" t="s">
        <v>457</v>
      </c>
      <c r="M113" s="137" t="s">
        <v>459</v>
      </c>
      <c r="N113" s="137" t="s">
        <v>461</v>
      </c>
      <c r="O113" s="137" t="s">
        <v>463</v>
      </c>
      <c r="P113" s="137" t="s">
        <v>465</v>
      </c>
      <c r="Q113" s="138" t="s">
        <v>467</v>
      </c>
      <c r="R113" s="120" t="s">
        <v>469</v>
      </c>
      <c r="S113" s="121" t="s">
        <v>471</v>
      </c>
      <c r="T113" s="121" t="s">
        <v>473</v>
      </c>
      <c r="U113" s="121" t="s">
        <v>475</v>
      </c>
      <c r="V113" s="122" t="s">
        <v>477</v>
      </c>
    </row>
    <row r="114" spans="1:23" s="98" customFormat="1" ht="15" customHeight="1">
      <c r="A114" s="99"/>
      <c r="B114" s="161"/>
      <c r="C114" s="186" t="s">
        <v>1747</v>
      </c>
      <c r="D114" s="162"/>
      <c r="E114" s="162"/>
      <c r="F114" s="162"/>
      <c r="G114" s="163"/>
      <c r="H114" s="163"/>
      <c r="I114" s="117"/>
      <c r="J114" s="159"/>
      <c r="K114" s="117"/>
      <c r="L114" s="117"/>
      <c r="M114" s="117"/>
      <c r="N114" s="117"/>
      <c r="O114" s="117"/>
      <c r="P114" s="117"/>
      <c r="Q114" s="160"/>
      <c r="R114" s="159"/>
      <c r="S114" s="117"/>
      <c r="T114" s="117"/>
      <c r="U114" s="117"/>
      <c r="V114" s="160"/>
    </row>
    <row r="115" spans="1:23" s="98" customFormat="1" ht="15" customHeight="1">
      <c r="A115" s="99"/>
      <c r="B115" s="161"/>
      <c r="C115" s="185"/>
      <c r="D115" s="162" t="s">
        <v>2037</v>
      </c>
      <c r="E115" s="162"/>
      <c r="F115" s="162"/>
      <c r="G115" s="163"/>
      <c r="H115" s="163"/>
      <c r="I115" s="164" t="s">
        <v>498</v>
      </c>
      <c r="J115" s="141">
        <v>0</v>
      </c>
      <c r="K115" s="141">
        <v>0</v>
      </c>
      <c r="L115" s="141">
        <v>0</v>
      </c>
      <c r="M115" s="141">
        <v>0</v>
      </c>
      <c r="N115" s="141">
        <v>0</v>
      </c>
      <c r="O115" s="141">
        <v>0</v>
      </c>
      <c r="P115" s="141">
        <v>0</v>
      </c>
      <c r="Q115" s="144">
        <v>0</v>
      </c>
      <c r="R115" s="143">
        <v>0</v>
      </c>
      <c r="S115" s="141">
        <v>0</v>
      </c>
      <c r="T115" s="141">
        <v>0</v>
      </c>
      <c r="U115" s="141">
        <v>0</v>
      </c>
      <c r="V115" s="144">
        <v>0</v>
      </c>
    </row>
    <row r="116" spans="1:23" s="98" customFormat="1" ht="15" customHeight="1">
      <c r="A116" s="99"/>
      <c r="B116" s="161"/>
      <c r="C116" s="185"/>
      <c r="D116" s="162" t="s">
        <v>2038</v>
      </c>
      <c r="E116" s="162"/>
      <c r="F116" s="162"/>
      <c r="G116" s="163"/>
      <c r="H116" s="163"/>
      <c r="I116" s="164" t="s">
        <v>498</v>
      </c>
      <c r="J116" s="141">
        <v>0</v>
      </c>
      <c r="K116" s="141">
        <v>0</v>
      </c>
      <c r="L116" s="141">
        <v>0</v>
      </c>
      <c r="M116" s="141">
        <v>0</v>
      </c>
      <c r="N116" s="141">
        <v>0</v>
      </c>
      <c r="O116" s="141">
        <v>0</v>
      </c>
      <c r="P116" s="141">
        <v>0</v>
      </c>
      <c r="Q116" s="144">
        <v>0</v>
      </c>
      <c r="R116" s="143">
        <v>0</v>
      </c>
      <c r="S116" s="141">
        <v>0</v>
      </c>
      <c r="T116" s="141">
        <v>0</v>
      </c>
      <c r="U116" s="141">
        <v>0</v>
      </c>
      <c r="V116" s="144">
        <v>0</v>
      </c>
    </row>
    <row r="117" spans="1:23" s="98" customFormat="1" ht="15" customHeight="1">
      <c r="A117" s="99"/>
      <c r="B117" s="161"/>
      <c r="C117" s="185"/>
      <c r="D117" s="162" t="s">
        <v>2039</v>
      </c>
      <c r="E117" s="162"/>
      <c r="F117" s="162"/>
      <c r="G117" s="163"/>
      <c r="H117" s="163"/>
      <c r="I117" s="164" t="s">
        <v>498</v>
      </c>
      <c r="J117" s="141">
        <v>0</v>
      </c>
      <c r="K117" s="141">
        <v>0</v>
      </c>
      <c r="L117" s="141">
        <v>0</v>
      </c>
      <c r="M117" s="141">
        <v>0</v>
      </c>
      <c r="N117" s="141">
        <v>0</v>
      </c>
      <c r="O117" s="141">
        <v>0</v>
      </c>
      <c r="P117" s="141">
        <v>0</v>
      </c>
      <c r="Q117" s="144">
        <v>0</v>
      </c>
      <c r="R117" s="143">
        <v>0</v>
      </c>
      <c r="S117" s="141">
        <v>0</v>
      </c>
      <c r="T117" s="141">
        <v>0</v>
      </c>
      <c r="U117" s="141">
        <v>0</v>
      </c>
      <c r="V117" s="144">
        <v>0</v>
      </c>
    </row>
    <row r="118" spans="1:23" s="98" customFormat="1" ht="15" customHeight="1">
      <c r="A118" s="99"/>
      <c r="B118" s="161"/>
      <c r="C118" s="185"/>
      <c r="D118" s="162" t="s">
        <v>1709</v>
      </c>
      <c r="E118" s="162"/>
      <c r="F118" s="162"/>
      <c r="G118" s="163"/>
      <c r="H118" s="163"/>
      <c r="I118" s="164" t="s">
        <v>498</v>
      </c>
      <c r="J118" s="141">
        <v>0</v>
      </c>
      <c r="K118" s="141">
        <v>0</v>
      </c>
      <c r="L118" s="141">
        <v>0</v>
      </c>
      <c r="M118" s="141">
        <v>0</v>
      </c>
      <c r="N118" s="141">
        <v>0</v>
      </c>
      <c r="O118" s="141">
        <v>0</v>
      </c>
      <c r="P118" s="141">
        <v>0</v>
      </c>
      <c r="Q118" s="144">
        <v>0</v>
      </c>
      <c r="R118" s="143">
        <v>0</v>
      </c>
      <c r="S118" s="141">
        <v>0</v>
      </c>
      <c r="T118" s="141">
        <v>0</v>
      </c>
      <c r="U118" s="141">
        <v>0</v>
      </c>
      <c r="V118" s="144">
        <v>0</v>
      </c>
    </row>
    <row r="119" spans="1:23" s="98" customFormat="1" ht="15" customHeight="1">
      <c r="A119" s="99"/>
      <c r="B119" s="181"/>
      <c r="C119" s="182" t="s">
        <v>1710</v>
      </c>
      <c r="D119" s="183"/>
      <c r="E119" s="183"/>
      <c r="F119" s="183"/>
      <c r="G119" s="184"/>
      <c r="H119" s="184"/>
      <c r="I119" s="164" t="s">
        <v>498</v>
      </c>
      <c r="J119" s="129">
        <f t="shared" ref="J119" si="10">SUM(J115:J118)</f>
        <v>0</v>
      </c>
      <c r="K119" s="129">
        <f t="shared" ref="K119:O119" si="11">SUM(K115:K118)</f>
        <v>0</v>
      </c>
      <c r="L119" s="129">
        <f t="shared" si="11"/>
        <v>0</v>
      </c>
      <c r="M119" s="129">
        <f t="shared" si="11"/>
        <v>0</v>
      </c>
      <c r="N119" s="129">
        <f t="shared" si="11"/>
        <v>0</v>
      </c>
      <c r="O119" s="129">
        <f t="shared" si="11"/>
        <v>0</v>
      </c>
      <c r="P119" s="129">
        <f>SUM(P115:P118)</f>
        <v>0</v>
      </c>
      <c r="Q119" s="130">
        <f t="shared" ref="Q119:V119" si="12">SUM(Q115:Q118)</f>
        <v>0</v>
      </c>
      <c r="R119" s="128">
        <f t="shared" si="12"/>
        <v>0</v>
      </c>
      <c r="S119" s="129">
        <f t="shared" si="12"/>
        <v>0</v>
      </c>
      <c r="T119" s="129">
        <f t="shared" si="12"/>
        <v>0</v>
      </c>
      <c r="U119" s="129">
        <f t="shared" si="12"/>
        <v>0</v>
      </c>
      <c r="V119" s="130">
        <f t="shared" si="12"/>
        <v>0</v>
      </c>
      <c r="W119" s="185"/>
    </row>
    <row r="120" spans="1:23" s="98" customFormat="1" ht="15" customHeight="1">
      <c r="A120" s="99"/>
      <c r="B120" s="161"/>
      <c r="C120" s="116"/>
      <c r="D120" s="116"/>
      <c r="E120" s="116"/>
      <c r="F120" s="116"/>
      <c r="G120" s="117"/>
      <c r="H120" s="117"/>
      <c r="I120" s="117"/>
      <c r="J120" s="117"/>
      <c r="K120" s="117"/>
      <c r="L120" s="117"/>
      <c r="M120" s="117"/>
      <c r="N120" s="117"/>
      <c r="O120" s="117"/>
      <c r="P120" s="117"/>
      <c r="Q120" s="160"/>
      <c r="R120" s="159"/>
      <c r="S120" s="117"/>
      <c r="T120" s="117"/>
      <c r="U120" s="117"/>
      <c r="V120" s="160"/>
    </row>
    <row r="121" spans="1:23" s="98" customFormat="1" ht="15" customHeight="1">
      <c r="A121" s="99"/>
      <c r="B121" s="161"/>
      <c r="C121" s="186" t="s">
        <v>1748</v>
      </c>
      <c r="D121" s="162"/>
      <c r="E121" s="162"/>
      <c r="F121" s="162"/>
      <c r="G121" s="163"/>
      <c r="H121" s="163"/>
      <c r="I121" s="117"/>
      <c r="J121" s="117"/>
      <c r="K121" s="117"/>
      <c r="L121" s="117"/>
      <c r="M121" s="117"/>
      <c r="N121" s="117"/>
      <c r="O121" s="117"/>
      <c r="P121" s="117"/>
      <c r="Q121" s="160"/>
      <c r="R121" s="159"/>
      <c r="S121" s="117"/>
      <c r="T121" s="117"/>
      <c r="U121" s="117"/>
      <c r="V121" s="160"/>
    </row>
    <row r="122" spans="1:23" s="98" customFormat="1" ht="15" customHeight="1">
      <c r="A122" s="99"/>
      <c r="B122" s="161"/>
      <c r="C122" s="185"/>
      <c r="D122" s="162" t="s">
        <v>40</v>
      </c>
      <c r="E122" s="162"/>
      <c r="F122" s="162"/>
      <c r="G122" s="163"/>
      <c r="H122" s="163"/>
      <c r="I122" s="164" t="s">
        <v>498</v>
      </c>
      <c r="J122" s="141">
        <v>0</v>
      </c>
      <c r="K122" s="141">
        <v>0</v>
      </c>
      <c r="L122" s="141">
        <v>0</v>
      </c>
      <c r="M122" s="141">
        <v>0</v>
      </c>
      <c r="N122" s="141">
        <v>0</v>
      </c>
      <c r="O122" s="141">
        <v>0</v>
      </c>
      <c r="P122" s="141">
        <v>0</v>
      </c>
      <c r="Q122" s="144">
        <v>0</v>
      </c>
      <c r="R122" s="143">
        <v>0</v>
      </c>
      <c r="S122" s="141">
        <v>0</v>
      </c>
      <c r="T122" s="141">
        <v>0</v>
      </c>
      <c r="U122" s="141">
        <v>0</v>
      </c>
      <c r="V122" s="144">
        <v>0</v>
      </c>
    </row>
    <row r="123" spans="1:23" s="98" customFormat="1" ht="15" customHeight="1">
      <c r="A123" s="99"/>
      <c r="B123" s="161"/>
      <c r="C123" s="185"/>
      <c r="D123" s="162" t="s">
        <v>1670</v>
      </c>
      <c r="E123" s="162"/>
      <c r="F123" s="162"/>
      <c r="G123" s="163"/>
      <c r="H123" s="163"/>
      <c r="I123" s="164" t="s">
        <v>498</v>
      </c>
      <c r="J123" s="141">
        <v>0</v>
      </c>
      <c r="K123" s="141">
        <v>0</v>
      </c>
      <c r="L123" s="141">
        <v>0</v>
      </c>
      <c r="M123" s="141">
        <v>0</v>
      </c>
      <c r="N123" s="141">
        <v>0</v>
      </c>
      <c r="O123" s="141">
        <v>0</v>
      </c>
      <c r="P123" s="141">
        <v>0</v>
      </c>
      <c r="Q123" s="144">
        <v>0</v>
      </c>
      <c r="R123" s="143">
        <v>0</v>
      </c>
      <c r="S123" s="141">
        <v>0</v>
      </c>
      <c r="T123" s="141">
        <v>0</v>
      </c>
      <c r="U123" s="141">
        <v>0</v>
      </c>
      <c r="V123" s="144">
        <v>0</v>
      </c>
    </row>
    <row r="124" spans="1:23" s="98" customFormat="1" ht="15" customHeight="1">
      <c r="A124" s="99"/>
      <c r="B124" s="161"/>
      <c r="C124" s="185"/>
      <c r="D124" s="162" t="s">
        <v>41</v>
      </c>
      <c r="E124" s="162"/>
      <c r="F124" s="162"/>
      <c r="G124" s="163"/>
      <c r="H124" s="163"/>
      <c r="I124" s="164" t="s">
        <v>498</v>
      </c>
      <c r="J124" s="141">
        <v>0</v>
      </c>
      <c r="K124" s="141">
        <v>0</v>
      </c>
      <c r="L124" s="141">
        <v>0</v>
      </c>
      <c r="M124" s="141">
        <v>0</v>
      </c>
      <c r="N124" s="141">
        <v>0</v>
      </c>
      <c r="O124" s="141">
        <v>0</v>
      </c>
      <c r="P124" s="141">
        <v>0</v>
      </c>
      <c r="Q124" s="144">
        <v>0</v>
      </c>
      <c r="R124" s="143">
        <v>0</v>
      </c>
      <c r="S124" s="141">
        <v>0</v>
      </c>
      <c r="T124" s="141">
        <v>0</v>
      </c>
      <c r="U124" s="141">
        <v>0</v>
      </c>
      <c r="V124" s="144">
        <v>0</v>
      </c>
    </row>
    <row r="125" spans="1:23" s="98" customFormat="1" ht="15" customHeight="1">
      <c r="A125" s="99"/>
      <c r="B125" s="161"/>
      <c r="C125" s="185"/>
      <c r="D125" s="162" t="s">
        <v>58</v>
      </c>
      <c r="E125" s="162"/>
      <c r="F125" s="162"/>
      <c r="G125" s="163"/>
      <c r="H125" s="163"/>
      <c r="I125" s="164" t="s">
        <v>498</v>
      </c>
      <c r="J125" s="141">
        <v>0</v>
      </c>
      <c r="K125" s="141">
        <v>0</v>
      </c>
      <c r="L125" s="141">
        <v>0</v>
      </c>
      <c r="M125" s="141">
        <v>0</v>
      </c>
      <c r="N125" s="141">
        <v>0</v>
      </c>
      <c r="O125" s="141">
        <v>0</v>
      </c>
      <c r="P125" s="141">
        <v>0</v>
      </c>
      <c r="Q125" s="144">
        <v>0</v>
      </c>
      <c r="R125" s="143">
        <v>0</v>
      </c>
      <c r="S125" s="141">
        <v>0</v>
      </c>
      <c r="T125" s="141">
        <v>0</v>
      </c>
      <c r="U125" s="141">
        <v>0</v>
      </c>
      <c r="V125" s="144">
        <v>0</v>
      </c>
    </row>
    <row r="126" spans="1:23" s="98" customFormat="1" ht="15" customHeight="1">
      <c r="A126" s="99"/>
      <c r="B126" s="161"/>
      <c r="C126" s="185"/>
      <c r="D126" s="162" t="s">
        <v>1713</v>
      </c>
      <c r="E126" s="162"/>
      <c r="F126" s="162"/>
      <c r="G126" s="163"/>
      <c r="H126" s="163"/>
      <c r="I126" s="164" t="s">
        <v>498</v>
      </c>
      <c r="J126" s="141">
        <v>0</v>
      </c>
      <c r="K126" s="141">
        <v>0</v>
      </c>
      <c r="L126" s="141">
        <v>0</v>
      </c>
      <c r="M126" s="141">
        <v>0</v>
      </c>
      <c r="N126" s="141">
        <v>0</v>
      </c>
      <c r="O126" s="141">
        <v>0</v>
      </c>
      <c r="P126" s="141">
        <v>0</v>
      </c>
      <c r="Q126" s="144">
        <v>0</v>
      </c>
      <c r="R126" s="143">
        <v>0</v>
      </c>
      <c r="S126" s="141">
        <v>0</v>
      </c>
      <c r="T126" s="141">
        <v>0</v>
      </c>
      <c r="U126" s="141">
        <v>0</v>
      </c>
      <c r="V126" s="144">
        <v>0</v>
      </c>
    </row>
    <row r="127" spans="1:23" s="98" customFormat="1" ht="15" customHeight="1">
      <c r="A127" s="99"/>
      <c r="B127" s="181"/>
      <c r="C127" s="182" t="s">
        <v>1710</v>
      </c>
      <c r="D127" s="183"/>
      <c r="E127" s="183"/>
      <c r="F127" s="183"/>
      <c r="G127" s="184"/>
      <c r="H127" s="184"/>
      <c r="I127" s="164" t="s">
        <v>498</v>
      </c>
      <c r="J127" s="129">
        <f t="shared" ref="J127" si="13">SUM(J122:J126)</f>
        <v>0</v>
      </c>
      <c r="K127" s="129">
        <f t="shared" ref="K127:O127" si="14">SUM(K122:K126)</f>
        <v>0</v>
      </c>
      <c r="L127" s="129">
        <f t="shared" si="14"/>
        <v>0</v>
      </c>
      <c r="M127" s="129">
        <f t="shared" si="14"/>
        <v>0</v>
      </c>
      <c r="N127" s="129">
        <f t="shared" si="14"/>
        <v>0</v>
      </c>
      <c r="O127" s="129">
        <f t="shared" si="14"/>
        <v>0</v>
      </c>
      <c r="P127" s="129">
        <f>SUM(P122:P126)</f>
        <v>0</v>
      </c>
      <c r="Q127" s="130">
        <f t="shared" ref="Q127:V127" si="15">SUM(Q122:Q126)</f>
        <v>0</v>
      </c>
      <c r="R127" s="128">
        <f t="shared" si="15"/>
        <v>0</v>
      </c>
      <c r="S127" s="129">
        <f t="shared" si="15"/>
        <v>0</v>
      </c>
      <c r="T127" s="129">
        <f t="shared" si="15"/>
        <v>0</v>
      </c>
      <c r="U127" s="129">
        <f t="shared" si="15"/>
        <v>0</v>
      </c>
      <c r="V127" s="130">
        <f t="shared" si="15"/>
        <v>0</v>
      </c>
      <c r="W127" s="185"/>
    </row>
    <row r="128" spans="1:23" s="98" customFormat="1" ht="15" customHeight="1">
      <c r="A128" s="99"/>
      <c r="B128" s="161"/>
      <c r="C128" s="116"/>
      <c r="D128" s="116"/>
      <c r="E128" s="116"/>
      <c r="F128" s="116"/>
      <c r="G128" s="117"/>
      <c r="H128" s="117"/>
      <c r="I128" s="117"/>
      <c r="J128" s="117"/>
      <c r="K128" s="117"/>
      <c r="L128" s="117"/>
      <c r="M128" s="117"/>
      <c r="N128" s="117"/>
      <c r="O128" s="117"/>
      <c r="P128" s="117"/>
      <c r="Q128" s="160"/>
      <c r="R128" s="159"/>
      <c r="S128" s="117"/>
      <c r="T128" s="117"/>
      <c r="U128" s="117"/>
      <c r="V128" s="160"/>
    </row>
    <row r="129" spans="1:24" s="98" customFormat="1" ht="15" customHeight="1">
      <c r="A129" s="99"/>
      <c r="B129" s="161"/>
      <c r="C129" s="186" t="s">
        <v>1749</v>
      </c>
      <c r="D129" s="162"/>
      <c r="E129" s="162"/>
      <c r="F129" s="162"/>
      <c r="G129" s="163"/>
      <c r="H129" s="163"/>
      <c r="I129" s="117"/>
      <c r="J129" s="117"/>
      <c r="K129" s="117"/>
      <c r="L129" s="117"/>
      <c r="M129" s="117"/>
      <c r="N129" s="117"/>
      <c r="O129" s="117"/>
      <c r="P129" s="117"/>
      <c r="Q129" s="160"/>
      <c r="R129" s="159"/>
      <c r="S129" s="117"/>
      <c r="T129" s="117"/>
      <c r="U129" s="117"/>
      <c r="V129" s="160"/>
    </row>
    <row r="130" spans="1:24" s="98" customFormat="1" ht="15" customHeight="1">
      <c r="A130" s="99"/>
      <c r="B130" s="161"/>
      <c r="C130" s="185"/>
      <c r="D130" s="185" t="s">
        <v>1775</v>
      </c>
      <c r="E130" s="185"/>
      <c r="F130" s="185"/>
      <c r="G130" s="163"/>
      <c r="H130" s="163"/>
      <c r="I130" s="164" t="s">
        <v>498</v>
      </c>
      <c r="J130" s="141">
        <v>0</v>
      </c>
      <c r="K130" s="141">
        <v>0</v>
      </c>
      <c r="L130" s="141">
        <v>0</v>
      </c>
      <c r="M130" s="141">
        <v>0</v>
      </c>
      <c r="N130" s="141">
        <v>0</v>
      </c>
      <c r="O130" s="141">
        <v>0</v>
      </c>
      <c r="P130" s="141">
        <v>0</v>
      </c>
      <c r="Q130" s="144">
        <v>0</v>
      </c>
      <c r="R130" s="143">
        <v>0</v>
      </c>
      <c r="S130" s="141">
        <v>0</v>
      </c>
      <c r="T130" s="141">
        <v>0</v>
      </c>
      <c r="U130" s="141">
        <v>0</v>
      </c>
      <c r="V130" s="144">
        <v>0</v>
      </c>
    </row>
    <row r="131" spans="1:24" s="98" customFormat="1" ht="15" customHeight="1">
      <c r="A131" s="99"/>
      <c r="B131" s="161"/>
      <c r="C131" s="185"/>
      <c r="D131" s="185" t="s">
        <v>118</v>
      </c>
      <c r="E131" s="185"/>
      <c r="F131" s="185"/>
      <c r="G131" s="163"/>
      <c r="H131" s="163"/>
      <c r="I131" s="164" t="s">
        <v>498</v>
      </c>
      <c r="J131" s="141">
        <v>0</v>
      </c>
      <c r="K131" s="141">
        <v>0</v>
      </c>
      <c r="L131" s="141">
        <v>0</v>
      </c>
      <c r="M131" s="141">
        <v>0</v>
      </c>
      <c r="N131" s="141">
        <v>0</v>
      </c>
      <c r="O131" s="141">
        <v>0</v>
      </c>
      <c r="P131" s="141">
        <v>0</v>
      </c>
      <c r="Q131" s="144">
        <v>0</v>
      </c>
      <c r="R131" s="143">
        <v>0</v>
      </c>
      <c r="S131" s="141">
        <v>0</v>
      </c>
      <c r="T131" s="141">
        <v>0</v>
      </c>
      <c r="U131" s="141">
        <v>0</v>
      </c>
      <c r="V131" s="144">
        <v>0</v>
      </c>
    </row>
    <row r="132" spans="1:24" s="98" customFormat="1" ht="15" customHeight="1">
      <c r="A132" s="99"/>
      <c r="B132" s="161"/>
      <c r="C132" s="185"/>
      <c r="D132" s="185" t="s">
        <v>2040</v>
      </c>
      <c r="E132" s="185"/>
      <c r="F132" s="185"/>
      <c r="G132" s="163"/>
      <c r="H132" s="163"/>
      <c r="I132" s="164" t="s">
        <v>498</v>
      </c>
      <c r="J132" s="141">
        <v>0</v>
      </c>
      <c r="K132" s="141">
        <v>0</v>
      </c>
      <c r="L132" s="141">
        <v>0</v>
      </c>
      <c r="M132" s="141">
        <v>0</v>
      </c>
      <c r="N132" s="141">
        <v>0</v>
      </c>
      <c r="O132" s="141">
        <v>0</v>
      </c>
      <c r="P132" s="141">
        <v>0</v>
      </c>
      <c r="Q132" s="144">
        <v>0</v>
      </c>
      <c r="R132" s="143">
        <v>0</v>
      </c>
      <c r="S132" s="141">
        <v>0</v>
      </c>
      <c r="T132" s="141">
        <v>0</v>
      </c>
      <c r="U132" s="141">
        <v>0</v>
      </c>
      <c r="V132" s="144">
        <v>0</v>
      </c>
    </row>
    <row r="133" spans="1:24" s="98" customFormat="1" ht="15" customHeight="1">
      <c r="A133" s="99"/>
      <c r="B133" s="161"/>
      <c r="C133" s="185"/>
      <c r="D133" s="185" t="s">
        <v>1717</v>
      </c>
      <c r="E133" s="185"/>
      <c r="F133" s="185"/>
      <c r="G133" s="163"/>
      <c r="H133" s="163"/>
      <c r="I133" s="164" t="s">
        <v>498</v>
      </c>
      <c r="J133" s="141">
        <v>0</v>
      </c>
      <c r="K133" s="141">
        <v>0</v>
      </c>
      <c r="L133" s="141">
        <v>0</v>
      </c>
      <c r="M133" s="141">
        <v>0</v>
      </c>
      <c r="N133" s="141">
        <v>0</v>
      </c>
      <c r="O133" s="141">
        <v>0</v>
      </c>
      <c r="P133" s="141">
        <v>0</v>
      </c>
      <c r="Q133" s="144">
        <v>0</v>
      </c>
      <c r="R133" s="143">
        <v>0</v>
      </c>
      <c r="S133" s="141">
        <v>0</v>
      </c>
      <c r="T133" s="141">
        <v>0</v>
      </c>
      <c r="U133" s="141">
        <v>0</v>
      </c>
      <c r="V133" s="144">
        <v>0</v>
      </c>
    </row>
    <row r="134" spans="1:24" s="98" customFormat="1" ht="15" customHeight="1">
      <c r="A134" s="99"/>
      <c r="B134" s="161"/>
      <c r="C134" s="185"/>
      <c r="D134" s="185" t="s">
        <v>1718</v>
      </c>
      <c r="E134" s="185"/>
      <c r="F134" s="185"/>
      <c r="G134" s="163"/>
      <c r="H134" s="163"/>
      <c r="I134" s="164" t="s">
        <v>498</v>
      </c>
      <c r="J134" s="141">
        <v>0</v>
      </c>
      <c r="K134" s="141">
        <v>0</v>
      </c>
      <c r="L134" s="141">
        <v>0</v>
      </c>
      <c r="M134" s="141">
        <v>0</v>
      </c>
      <c r="N134" s="141">
        <v>0</v>
      </c>
      <c r="O134" s="141">
        <v>0</v>
      </c>
      <c r="P134" s="141">
        <v>0</v>
      </c>
      <c r="Q134" s="144">
        <v>0</v>
      </c>
      <c r="R134" s="143">
        <v>0</v>
      </c>
      <c r="S134" s="141">
        <v>0</v>
      </c>
      <c r="T134" s="141">
        <v>0</v>
      </c>
      <c r="U134" s="141">
        <v>0</v>
      </c>
      <c r="V134" s="144">
        <v>0</v>
      </c>
    </row>
    <row r="135" spans="1:24" s="98" customFormat="1" ht="15" customHeight="1">
      <c r="A135" s="99"/>
      <c r="B135" s="161"/>
      <c r="C135" s="185"/>
      <c r="D135" s="185" t="s">
        <v>1719</v>
      </c>
      <c r="E135" s="185"/>
      <c r="F135" s="185"/>
      <c r="G135" s="163"/>
      <c r="H135" s="163"/>
      <c r="I135" s="164" t="s">
        <v>498</v>
      </c>
      <c r="J135" s="141">
        <v>0</v>
      </c>
      <c r="K135" s="141">
        <v>0</v>
      </c>
      <c r="L135" s="141">
        <v>0</v>
      </c>
      <c r="M135" s="141">
        <v>0</v>
      </c>
      <c r="N135" s="141">
        <v>0</v>
      </c>
      <c r="O135" s="141">
        <v>0</v>
      </c>
      <c r="P135" s="141">
        <v>0</v>
      </c>
      <c r="Q135" s="144">
        <v>0</v>
      </c>
      <c r="R135" s="143">
        <v>0</v>
      </c>
      <c r="S135" s="141">
        <v>0</v>
      </c>
      <c r="T135" s="141">
        <v>0</v>
      </c>
      <c r="U135" s="141">
        <v>0</v>
      </c>
      <c r="V135" s="144">
        <v>0</v>
      </c>
    </row>
    <row r="136" spans="1:24" s="98" customFormat="1" ht="15" customHeight="1">
      <c r="A136" s="99"/>
      <c r="B136" s="161"/>
      <c r="C136" s="185"/>
      <c r="D136" s="185" t="s">
        <v>2041</v>
      </c>
      <c r="E136" s="185"/>
      <c r="F136" s="185"/>
      <c r="G136" s="163"/>
      <c r="H136" s="163"/>
      <c r="I136" s="164" t="s">
        <v>498</v>
      </c>
      <c r="J136" s="141">
        <v>0</v>
      </c>
      <c r="K136" s="141">
        <v>0</v>
      </c>
      <c r="L136" s="141">
        <v>0</v>
      </c>
      <c r="M136" s="141">
        <v>0</v>
      </c>
      <c r="N136" s="141">
        <v>0</v>
      </c>
      <c r="O136" s="141">
        <v>0</v>
      </c>
      <c r="P136" s="141">
        <v>0</v>
      </c>
      <c r="Q136" s="144">
        <v>0</v>
      </c>
      <c r="R136" s="143">
        <v>0</v>
      </c>
      <c r="S136" s="141">
        <v>0</v>
      </c>
      <c r="T136" s="141">
        <v>0</v>
      </c>
      <c r="U136" s="141">
        <v>0</v>
      </c>
      <c r="V136" s="144">
        <v>0</v>
      </c>
    </row>
    <row r="137" spans="1:24" s="98" customFormat="1" ht="15" customHeight="1">
      <c r="A137" s="99"/>
      <c r="B137" s="161"/>
      <c r="C137" s="185"/>
      <c r="D137" s="185" t="s">
        <v>1721</v>
      </c>
      <c r="E137" s="185"/>
      <c r="F137" s="185"/>
      <c r="G137" s="163"/>
      <c r="H137" s="163"/>
      <c r="I137" s="164" t="s">
        <v>498</v>
      </c>
      <c r="J137" s="141">
        <v>0</v>
      </c>
      <c r="K137" s="141">
        <v>0</v>
      </c>
      <c r="L137" s="141">
        <v>0</v>
      </c>
      <c r="M137" s="141">
        <v>0</v>
      </c>
      <c r="N137" s="141">
        <v>0</v>
      </c>
      <c r="O137" s="141">
        <v>0</v>
      </c>
      <c r="P137" s="141">
        <v>0</v>
      </c>
      <c r="Q137" s="144">
        <v>0</v>
      </c>
      <c r="R137" s="143">
        <v>0</v>
      </c>
      <c r="S137" s="141">
        <v>0</v>
      </c>
      <c r="T137" s="141">
        <v>0</v>
      </c>
      <c r="U137" s="141">
        <v>0</v>
      </c>
      <c r="V137" s="144">
        <v>0</v>
      </c>
    </row>
    <row r="138" spans="1:24" s="98" customFormat="1" ht="15" customHeight="1">
      <c r="A138" s="99"/>
      <c r="B138" s="181"/>
      <c r="C138" s="182" t="s">
        <v>1710</v>
      </c>
      <c r="D138" s="183"/>
      <c r="E138" s="183"/>
      <c r="F138" s="183"/>
      <c r="G138" s="184"/>
      <c r="H138" s="184"/>
      <c r="I138" s="164" t="s">
        <v>498</v>
      </c>
      <c r="J138" s="129">
        <f t="shared" ref="J138" si="16">SUM(J130:J137)</f>
        <v>0</v>
      </c>
      <c r="K138" s="129">
        <f t="shared" ref="K138:O138" si="17">SUM(K130:K137)</f>
        <v>0</v>
      </c>
      <c r="L138" s="129">
        <f t="shared" si="17"/>
        <v>0</v>
      </c>
      <c r="M138" s="129">
        <f t="shared" si="17"/>
        <v>0</v>
      </c>
      <c r="N138" s="129">
        <f t="shared" si="17"/>
        <v>0</v>
      </c>
      <c r="O138" s="129">
        <f t="shared" si="17"/>
        <v>0</v>
      </c>
      <c r="P138" s="129">
        <f>SUM(P130:P137)</f>
        <v>0</v>
      </c>
      <c r="Q138" s="130">
        <f t="shared" ref="Q138:V138" si="18">SUM(Q130:Q137)</f>
        <v>0</v>
      </c>
      <c r="R138" s="128">
        <f t="shared" si="18"/>
        <v>0</v>
      </c>
      <c r="S138" s="129">
        <f t="shared" si="18"/>
        <v>0</v>
      </c>
      <c r="T138" s="129">
        <f t="shared" si="18"/>
        <v>0</v>
      </c>
      <c r="U138" s="129">
        <f t="shared" si="18"/>
        <v>0</v>
      </c>
      <c r="V138" s="130">
        <f t="shared" si="18"/>
        <v>0</v>
      </c>
      <c r="W138" s="185"/>
    </row>
    <row r="139" spans="1:24" s="98" customFormat="1" ht="15" customHeight="1">
      <c r="A139" s="99"/>
      <c r="B139" s="161"/>
      <c r="C139" s="116"/>
      <c r="D139" s="116"/>
      <c r="E139" s="116"/>
      <c r="F139" s="116"/>
      <c r="G139" s="117"/>
      <c r="H139" s="117"/>
      <c r="I139" s="117"/>
      <c r="J139" s="117"/>
      <c r="K139" s="117"/>
      <c r="L139" s="117"/>
      <c r="M139" s="117"/>
      <c r="N139" s="117"/>
      <c r="O139" s="117"/>
      <c r="P139" s="117"/>
      <c r="Q139" s="160"/>
      <c r="R139" s="159"/>
      <c r="S139" s="117"/>
      <c r="T139" s="117"/>
      <c r="U139" s="117"/>
      <c r="V139" s="160"/>
    </row>
    <row r="140" spans="1:24" s="98" customFormat="1" ht="15" customHeight="1">
      <c r="A140" s="99"/>
      <c r="B140" s="161"/>
      <c r="C140" s="186" t="s">
        <v>1676</v>
      </c>
      <c r="D140" s="162"/>
      <c r="E140" s="162"/>
      <c r="F140" s="162"/>
      <c r="G140" s="163"/>
      <c r="H140" s="163"/>
      <c r="I140" s="117"/>
      <c r="J140" s="117"/>
      <c r="K140" s="117"/>
      <c r="L140" s="117"/>
      <c r="M140" s="117"/>
      <c r="N140" s="117"/>
      <c r="O140" s="117"/>
      <c r="P140" s="117"/>
      <c r="Q140" s="160"/>
      <c r="R140" s="159"/>
      <c r="S140" s="117"/>
      <c r="T140" s="117"/>
      <c r="U140" s="117"/>
      <c r="V140" s="160"/>
    </row>
    <row r="141" spans="1:24" s="98" customFormat="1" ht="15" customHeight="1">
      <c r="A141" s="99"/>
      <c r="B141" s="161"/>
      <c r="C141" s="185"/>
      <c r="D141" s="162" t="s">
        <v>2042</v>
      </c>
      <c r="E141" s="162"/>
      <c r="F141" s="162"/>
      <c r="G141" s="163"/>
      <c r="H141" s="163"/>
      <c r="I141" s="164" t="s">
        <v>498</v>
      </c>
      <c r="J141" s="141">
        <v>0</v>
      </c>
      <c r="K141" s="141">
        <v>0</v>
      </c>
      <c r="L141" s="141">
        <v>0</v>
      </c>
      <c r="M141" s="141">
        <v>0</v>
      </c>
      <c r="N141" s="141">
        <v>0</v>
      </c>
      <c r="O141" s="141">
        <v>0</v>
      </c>
      <c r="P141" s="141">
        <v>0</v>
      </c>
      <c r="Q141" s="144">
        <v>0</v>
      </c>
      <c r="R141" s="143">
        <v>0</v>
      </c>
      <c r="S141" s="141">
        <v>0</v>
      </c>
      <c r="T141" s="141">
        <v>0</v>
      </c>
      <c r="U141" s="141">
        <v>0</v>
      </c>
      <c r="V141" s="144">
        <v>0</v>
      </c>
    </row>
    <row r="142" spans="1:24" s="98" customFormat="1" ht="15" customHeight="1">
      <c r="A142" s="99"/>
      <c r="B142" s="161"/>
      <c r="C142" s="116"/>
      <c r="D142" s="116"/>
      <c r="E142" s="116"/>
      <c r="F142" s="116"/>
      <c r="G142" s="117"/>
      <c r="H142" s="117"/>
      <c r="I142" s="117"/>
      <c r="J142" s="117"/>
      <c r="K142" s="117"/>
      <c r="L142" s="117"/>
      <c r="M142" s="117"/>
      <c r="N142" s="117"/>
      <c r="O142" s="117"/>
      <c r="P142" s="117"/>
      <c r="Q142" s="160"/>
      <c r="R142" s="159"/>
      <c r="S142" s="117"/>
      <c r="T142" s="117"/>
      <c r="U142" s="117"/>
      <c r="V142" s="160"/>
    </row>
    <row r="143" spans="1:24" s="98" customFormat="1" ht="15" customHeight="1" thickBot="1">
      <c r="A143" s="99"/>
      <c r="B143" s="131" t="s">
        <v>1701</v>
      </c>
      <c r="C143" s="132"/>
      <c r="D143" s="132"/>
      <c r="E143" s="132"/>
      <c r="F143" s="132"/>
      <c r="G143" s="145"/>
      <c r="H143" s="133"/>
      <c r="I143" s="195" t="s">
        <v>498</v>
      </c>
      <c r="J143" s="718">
        <f t="shared" ref="J143" si="19">SUM(J119,J127,J138,J141)</f>
        <v>0</v>
      </c>
      <c r="K143" s="718">
        <f t="shared" ref="K143:O143" si="20">SUM(K119,K127,K138,K141)</f>
        <v>0</v>
      </c>
      <c r="L143" s="718">
        <f t="shared" si="20"/>
        <v>0</v>
      </c>
      <c r="M143" s="718">
        <f t="shared" si="20"/>
        <v>0</v>
      </c>
      <c r="N143" s="718">
        <f t="shared" si="20"/>
        <v>0</v>
      </c>
      <c r="O143" s="718">
        <f t="shared" si="20"/>
        <v>0</v>
      </c>
      <c r="P143" s="718">
        <f>SUM(P119,P127,P138,P141)</f>
        <v>0</v>
      </c>
      <c r="Q143" s="719">
        <f t="shared" ref="Q143:V143" si="21">SUM(Q119,Q127,Q138,Q141)</f>
        <v>0</v>
      </c>
      <c r="R143" s="717">
        <f t="shared" si="21"/>
        <v>0</v>
      </c>
      <c r="S143" s="718">
        <f t="shared" si="21"/>
        <v>0</v>
      </c>
      <c r="T143" s="718">
        <f t="shared" si="21"/>
        <v>0</v>
      </c>
      <c r="U143" s="718">
        <f t="shared" si="21"/>
        <v>0</v>
      </c>
      <c r="V143" s="719">
        <f t="shared" si="21"/>
        <v>0</v>
      </c>
    </row>
    <row r="144" spans="1:24" s="99" customFormat="1" ht="15" customHeight="1" thickBot="1">
      <c r="B144" s="150"/>
      <c r="C144" s="150"/>
      <c r="D144" s="150"/>
      <c r="E144" s="150"/>
      <c r="F144" s="150"/>
      <c r="G144" s="97"/>
      <c r="H144" s="97"/>
      <c r="I144" s="98"/>
      <c r="J144" s="98"/>
      <c r="K144" s="98"/>
      <c r="L144" s="98"/>
      <c r="M144" s="98"/>
      <c r="N144" s="98"/>
      <c r="O144" s="98"/>
      <c r="P144" s="98"/>
      <c r="Q144" s="98"/>
      <c r="R144" s="98"/>
      <c r="S144" s="98"/>
      <c r="T144" s="98"/>
      <c r="U144" s="98"/>
      <c r="V144" s="98"/>
      <c r="W144" s="98"/>
      <c r="X144" s="98"/>
    </row>
    <row r="145" spans="1:24" s="100" customFormat="1" ht="30" customHeight="1" thickBot="1">
      <c r="A145" s="89"/>
      <c r="B145" s="621" t="s">
        <v>2043</v>
      </c>
      <c r="C145" s="762"/>
      <c r="D145" s="762"/>
      <c r="E145" s="762"/>
      <c r="F145" s="762"/>
      <c r="G145" s="763"/>
      <c r="H145" s="103"/>
      <c r="I145" s="105" t="s">
        <v>2036</v>
      </c>
      <c r="J145" s="106"/>
      <c r="K145" s="106"/>
      <c r="L145" s="106"/>
      <c r="M145" s="106"/>
      <c r="N145" s="106"/>
      <c r="O145" s="106"/>
      <c r="P145" s="106"/>
      <c r="Q145" s="106"/>
      <c r="R145" s="105"/>
      <c r="S145" s="105"/>
      <c r="T145" s="105"/>
      <c r="U145" s="105"/>
      <c r="V145" s="187"/>
    </row>
    <row r="146" spans="1:24" s="157" customFormat="1" ht="30" customHeight="1">
      <c r="A146" s="99"/>
      <c r="B146" s="109"/>
      <c r="C146" s="127"/>
      <c r="D146" s="127"/>
      <c r="E146" s="127"/>
      <c r="F146" s="127"/>
      <c r="G146" s="117"/>
      <c r="H146" s="111"/>
      <c r="I146" s="117"/>
      <c r="J146" s="151"/>
      <c r="K146" s="152"/>
      <c r="L146" s="152"/>
      <c r="M146" s="152"/>
      <c r="N146" s="152"/>
      <c r="O146" s="152"/>
      <c r="P146" s="152"/>
      <c r="Q146" s="153"/>
      <c r="R146" s="154" t="s">
        <v>2</v>
      </c>
      <c r="S146" s="155"/>
      <c r="T146" s="155"/>
      <c r="U146" s="155"/>
      <c r="V146" s="156"/>
    </row>
    <row r="147" spans="1:24" s="98" customFormat="1" ht="15" customHeight="1">
      <c r="A147" s="99"/>
      <c r="B147" s="115"/>
      <c r="C147" s="116"/>
      <c r="D147" s="116"/>
      <c r="E147" s="116"/>
      <c r="F147" s="116"/>
      <c r="G147" s="117"/>
      <c r="H147" s="117"/>
      <c r="I147" s="119" t="s">
        <v>1667</v>
      </c>
      <c r="J147" s="158" t="s">
        <v>453</v>
      </c>
      <c r="K147" s="137" t="s">
        <v>455</v>
      </c>
      <c r="L147" s="137" t="s">
        <v>457</v>
      </c>
      <c r="M147" s="137" t="s">
        <v>459</v>
      </c>
      <c r="N147" s="137" t="s">
        <v>461</v>
      </c>
      <c r="O147" s="137" t="s">
        <v>463</v>
      </c>
      <c r="P147" s="137" t="s">
        <v>465</v>
      </c>
      <c r="Q147" s="138" t="s">
        <v>467</v>
      </c>
      <c r="R147" s="120" t="s">
        <v>469</v>
      </c>
      <c r="S147" s="121" t="s">
        <v>471</v>
      </c>
      <c r="T147" s="121" t="s">
        <v>473</v>
      </c>
      <c r="U147" s="121" t="s">
        <v>475</v>
      </c>
      <c r="V147" s="122" t="s">
        <v>477</v>
      </c>
    </row>
    <row r="148" spans="1:24" s="98" customFormat="1" ht="15" customHeight="1">
      <c r="A148" s="99"/>
      <c r="B148" s="161"/>
      <c r="C148" s="186" t="s">
        <v>1897</v>
      </c>
      <c r="D148" s="162"/>
      <c r="E148" s="162"/>
      <c r="F148" s="162"/>
      <c r="G148" s="163"/>
      <c r="H148" s="163"/>
      <c r="I148" s="117"/>
      <c r="J148" s="159"/>
      <c r="K148" s="117"/>
      <c r="L148" s="117"/>
      <c r="M148" s="117"/>
      <c r="N148" s="117"/>
      <c r="O148" s="117"/>
      <c r="P148" s="117"/>
      <c r="Q148" s="160"/>
      <c r="R148" s="159"/>
      <c r="S148" s="117"/>
      <c r="T148" s="117"/>
      <c r="U148" s="117"/>
      <c r="V148" s="160"/>
    </row>
    <row r="149" spans="1:24" s="98" customFormat="1" ht="15" customHeight="1">
      <c r="A149" s="99"/>
      <c r="B149" s="161"/>
      <c r="C149" s="185"/>
      <c r="D149" s="162" t="s">
        <v>64</v>
      </c>
      <c r="E149" s="162"/>
      <c r="F149" s="162"/>
      <c r="G149" s="163"/>
      <c r="H149" s="163"/>
      <c r="I149" s="164" t="s">
        <v>498</v>
      </c>
      <c r="J149" s="141">
        <v>0</v>
      </c>
      <c r="K149" s="141">
        <v>0</v>
      </c>
      <c r="L149" s="141">
        <v>0</v>
      </c>
      <c r="M149" s="141">
        <v>0</v>
      </c>
      <c r="N149" s="141">
        <v>0</v>
      </c>
      <c r="O149" s="141">
        <v>0</v>
      </c>
      <c r="P149" s="141">
        <v>0</v>
      </c>
      <c r="Q149" s="144">
        <v>0</v>
      </c>
      <c r="R149" s="143">
        <v>0</v>
      </c>
      <c r="S149" s="141">
        <v>0</v>
      </c>
      <c r="T149" s="141">
        <v>0</v>
      </c>
      <c r="U149" s="141">
        <v>0</v>
      </c>
      <c r="V149" s="144">
        <v>0</v>
      </c>
    </row>
    <row r="150" spans="1:24" s="98" customFormat="1" ht="15" customHeight="1">
      <c r="A150" s="99"/>
      <c r="B150" s="161"/>
      <c r="C150" s="185"/>
      <c r="D150" s="162" t="s">
        <v>172</v>
      </c>
      <c r="E150" s="162"/>
      <c r="F150" s="162"/>
      <c r="G150" s="163"/>
      <c r="H150" s="163"/>
      <c r="I150" s="164" t="s">
        <v>498</v>
      </c>
      <c r="J150" s="141">
        <v>0</v>
      </c>
      <c r="K150" s="141">
        <v>0</v>
      </c>
      <c r="L150" s="141">
        <v>0</v>
      </c>
      <c r="M150" s="141">
        <v>0</v>
      </c>
      <c r="N150" s="141">
        <v>0</v>
      </c>
      <c r="O150" s="141">
        <v>0</v>
      </c>
      <c r="P150" s="141">
        <v>0</v>
      </c>
      <c r="Q150" s="144">
        <v>0</v>
      </c>
      <c r="R150" s="143">
        <v>0</v>
      </c>
      <c r="S150" s="141">
        <v>0</v>
      </c>
      <c r="T150" s="141">
        <v>0</v>
      </c>
      <c r="U150" s="141">
        <v>0</v>
      </c>
      <c r="V150" s="144">
        <v>0</v>
      </c>
    </row>
    <row r="151" spans="1:24" s="98" customFormat="1" ht="15" customHeight="1">
      <c r="A151" s="99"/>
      <c r="B151" s="161"/>
      <c r="C151" s="185"/>
      <c r="D151" s="162" t="s">
        <v>2044</v>
      </c>
      <c r="E151" s="162"/>
      <c r="F151" s="162"/>
      <c r="G151" s="163"/>
      <c r="H151" s="163"/>
      <c r="I151" s="164" t="s">
        <v>498</v>
      </c>
      <c r="J151" s="141">
        <v>0</v>
      </c>
      <c r="K151" s="141">
        <v>0</v>
      </c>
      <c r="L151" s="141">
        <v>0</v>
      </c>
      <c r="M151" s="141">
        <v>0</v>
      </c>
      <c r="N151" s="141">
        <v>0</v>
      </c>
      <c r="O151" s="141">
        <v>0</v>
      </c>
      <c r="P151" s="141">
        <v>0</v>
      </c>
      <c r="Q151" s="144">
        <v>0</v>
      </c>
      <c r="R151" s="143">
        <v>0</v>
      </c>
      <c r="S151" s="141">
        <v>0</v>
      </c>
      <c r="T151" s="141">
        <v>0</v>
      </c>
      <c r="U151" s="141">
        <v>0</v>
      </c>
      <c r="V151" s="144">
        <v>0</v>
      </c>
    </row>
    <row r="152" spans="1:24" s="98" customFormat="1" ht="15" customHeight="1">
      <c r="A152" s="99"/>
      <c r="B152" s="161"/>
      <c r="C152" s="185"/>
      <c r="D152" s="162" t="s">
        <v>66</v>
      </c>
      <c r="E152" s="162"/>
      <c r="F152" s="162"/>
      <c r="G152" s="163"/>
      <c r="H152" s="163"/>
      <c r="I152" s="164" t="s">
        <v>498</v>
      </c>
      <c r="J152" s="141">
        <v>0</v>
      </c>
      <c r="K152" s="141">
        <v>0</v>
      </c>
      <c r="L152" s="141">
        <v>0</v>
      </c>
      <c r="M152" s="141">
        <v>0</v>
      </c>
      <c r="N152" s="141">
        <v>0</v>
      </c>
      <c r="O152" s="141">
        <v>0</v>
      </c>
      <c r="P152" s="141">
        <v>0</v>
      </c>
      <c r="Q152" s="144">
        <v>0</v>
      </c>
      <c r="R152" s="143">
        <v>0</v>
      </c>
      <c r="S152" s="141">
        <v>0</v>
      </c>
      <c r="T152" s="141">
        <v>0</v>
      </c>
      <c r="U152" s="141">
        <v>0</v>
      </c>
      <c r="V152" s="144">
        <v>0</v>
      </c>
    </row>
    <row r="153" spans="1:24" s="98" customFormat="1" ht="15" customHeight="1">
      <c r="A153" s="99"/>
      <c r="B153" s="161"/>
      <c r="C153" s="185"/>
      <c r="D153" s="162" t="s">
        <v>67</v>
      </c>
      <c r="E153" s="162"/>
      <c r="F153" s="162"/>
      <c r="G153" s="163"/>
      <c r="H153" s="163"/>
      <c r="I153" s="164" t="s">
        <v>498</v>
      </c>
      <c r="J153" s="141">
        <v>0</v>
      </c>
      <c r="K153" s="141">
        <v>0</v>
      </c>
      <c r="L153" s="141">
        <v>0</v>
      </c>
      <c r="M153" s="141">
        <v>0</v>
      </c>
      <c r="N153" s="141">
        <v>0</v>
      </c>
      <c r="O153" s="141">
        <v>0</v>
      </c>
      <c r="P153" s="141">
        <v>0</v>
      </c>
      <c r="Q153" s="144">
        <v>0</v>
      </c>
      <c r="R153" s="143">
        <v>0</v>
      </c>
      <c r="S153" s="141">
        <v>0</v>
      </c>
      <c r="T153" s="141">
        <v>0</v>
      </c>
      <c r="U153" s="141">
        <v>0</v>
      </c>
      <c r="V153" s="144">
        <v>0</v>
      </c>
    </row>
    <row r="154" spans="1:24" s="98" customFormat="1" ht="15" customHeight="1">
      <c r="A154" s="99"/>
      <c r="B154" s="161"/>
      <c r="C154" s="185"/>
      <c r="D154" s="162" t="s">
        <v>68</v>
      </c>
      <c r="E154" s="162"/>
      <c r="F154" s="162"/>
      <c r="G154" s="163"/>
      <c r="H154" s="163"/>
      <c r="I154" s="164" t="s">
        <v>498</v>
      </c>
      <c r="J154" s="141">
        <v>0</v>
      </c>
      <c r="K154" s="141">
        <v>0</v>
      </c>
      <c r="L154" s="141">
        <v>0</v>
      </c>
      <c r="M154" s="141">
        <v>0</v>
      </c>
      <c r="N154" s="141">
        <v>0</v>
      </c>
      <c r="O154" s="141">
        <v>0</v>
      </c>
      <c r="P154" s="141">
        <v>0</v>
      </c>
      <c r="Q154" s="144">
        <v>0</v>
      </c>
      <c r="R154" s="143">
        <v>0</v>
      </c>
      <c r="S154" s="141">
        <v>0</v>
      </c>
      <c r="T154" s="141">
        <v>0</v>
      </c>
      <c r="U154" s="141">
        <v>0</v>
      </c>
      <c r="V154" s="144">
        <v>0</v>
      </c>
    </row>
    <row r="155" spans="1:24" s="98" customFormat="1" ht="15" customHeight="1" thickBot="1">
      <c r="A155" s="99"/>
      <c r="B155" s="239"/>
      <c r="C155" s="240" t="s">
        <v>1701</v>
      </c>
      <c r="D155" s="512"/>
      <c r="E155" s="512"/>
      <c r="F155" s="512"/>
      <c r="G155" s="241"/>
      <c r="H155" s="241"/>
      <c r="I155" s="195" t="s">
        <v>498</v>
      </c>
      <c r="J155" s="178">
        <f t="shared" ref="J155" si="22">SUM(J149:J154)</f>
        <v>0</v>
      </c>
      <c r="K155" s="178">
        <f t="shared" ref="K155:O155" si="23">SUM(K149:K154)</f>
        <v>0</v>
      </c>
      <c r="L155" s="178">
        <f t="shared" si="23"/>
        <v>0</v>
      </c>
      <c r="M155" s="178">
        <f t="shared" si="23"/>
        <v>0</v>
      </c>
      <c r="N155" s="178">
        <f t="shared" si="23"/>
        <v>0</v>
      </c>
      <c r="O155" s="178">
        <f t="shared" si="23"/>
        <v>0</v>
      </c>
      <c r="P155" s="178">
        <f>SUM(P149:P154)</f>
        <v>0</v>
      </c>
      <c r="Q155" s="179">
        <f t="shared" ref="Q155:V155" si="24">SUM(Q149:Q154)</f>
        <v>0</v>
      </c>
      <c r="R155" s="177">
        <f t="shared" si="24"/>
        <v>0</v>
      </c>
      <c r="S155" s="178">
        <f t="shared" si="24"/>
        <v>0</v>
      </c>
      <c r="T155" s="178">
        <f t="shared" si="24"/>
        <v>0</v>
      </c>
      <c r="U155" s="178">
        <f t="shared" si="24"/>
        <v>0</v>
      </c>
      <c r="V155" s="179">
        <f t="shared" si="24"/>
        <v>0</v>
      </c>
      <c r="W155" s="185"/>
    </row>
    <row r="156" spans="1:24" s="99" customFormat="1" ht="15" customHeight="1" thickBot="1">
      <c r="B156" s="150"/>
      <c r="C156" s="150"/>
      <c r="D156" s="150"/>
      <c r="E156" s="150"/>
      <c r="F156" s="150"/>
      <c r="G156" s="97"/>
      <c r="H156" s="97"/>
      <c r="I156" s="98"/>
      <c r="J156" s="98"/>
      <c r="K156" s="98"/>
      <c r="L156" s="98"/>
      <c r="M156" s="98"/>
      <c r="N156" s="98"/>
      <c r="O156" s="98"/>
      <c r="P156" s="98"/>
      <c r="Q156" s="98"/>
      <c r="R156" s="98"/>
      <c r="S156" s="98"/>
      <c r="T156" s="98"/>
      <c r="U156" s="98"/>
      <c r="V156" s="98"/>
      <c r="W156" s="98"/>
      <c r="X156" s="98"/>
    </row>
    <row r="157" spans="1:24" s="100" customFormat="1" ht="30" customHeight="1" thickBot="1">
      <c r="A157" s="89"/>
      <c r="B157" s="621" t="s">
        <v>2045</v>
      </c>
      <c r="C157" s="762"/>
      <c r="D157" s="762"/>
      <c r="E157" s="762"/>
      <c r="F157" s="762"/>
      <c r="G157" s="763"/>
      <c r="H157" s="103"/>
      <c r="I157" s="105" t="s">
        <v>2036</v>
      </c>
      <c r="J157" s="106"/>
      <c r="K157" s="106"/>
      <c r="L157" s="106"/>
      <c r="M157" s="106"/>
      <c r="N157" s="106"/>
      <c r="O157" s="106"/>
      <c r="P157" s="106"/>
      <c r="Q157" s="106"/>
      <c r="R157" s="105"/>
      <c r="S157" s="105"/>
      <c r="T157" s="105"/>
      <c r="U157" s="105"/>
      <c r="V157" s="187"/>
    </row>
    <row r="158" spans="1:24" s="157" customFormat="1" ht="30" customHeight="1">
      <c r="A158" s="99"/>
      <c r="B158" s="109"/>
      <c r="C158" s="127"/>
      <c r="D158" s="127"/>
      <c r="E158" s="127"/>
      <c r="F158" s="127"/>
      <c r="G158" s="117"/>
      <c r="H158" s="111"/>
      <c r="I158" s="117"/>
      <c r="J158" s="151"/>
      <c r="K158" s="152"/>
      <c r="L158" s="152"/>
      <c r="M158" s="152"/>
      <c r="N158" s="152"/>
      <c r="O158" s="152"/>
      <c r="P158" s="152"/>
      <c r="Q158" s="153"/>
      <c r="R158" s="154" t="s">
        <v>2</v>
      </c>
      <c r="S158" s="155"/>
      <c r="T158" s="155"/>
      <c r="U158" s="155"/>
      <c r="V158" s="156"/>
    </row>
    <row r="159" spans="1:24" s="98" customFormat="1" ht="15" customHeight="1">
      <c r="A159" s="99"/>
      <c r="B159" s="115"/>
      <c r="C159" s="116"/>
      <c r="D159" s="116"/>
      <c r="E159" s="116"/>
      <c r="F159" s="116"/>
      <c r="G159" s="117"/>
      <c r="H159" s="117"/>
      <c r="I159" s="119" t="s">
        <v>1667</v>
      </c>
      <c r="J159" s="158" t="s">
        <v>453</v>
      </c>
      <c r="K159" s="137" t="s">
        <v>455</v>
      </c>
      <c r="L159" s="137" t="s">
        <v>457</v>
      </c>
      <c r="M159" s="137" t="s">
        <v>459</v>
      </c>
      <c r="N159" s="137" t="s">
        <v>461</v>
      </c>
      <c r="O159" s="137" t="s">
        <v>463</v>
      </c>
      <c r="P159" s="137" t="s">
        <v>465</v>
      </c>
      <c r="Q159" s="138" t="s">
        <v>467</v>
      </c>
      <c r="R159" s="120" t="s">
        <v>469</v>
      </c>
      <c r="S159" s="121" t="s">
        <v>471</v>
      </c>
      <c r="T159" s="121" t="s">
        <v>473</v>
      </c>
      <c r="U159" s="121" t="s">
        <v>475</v>
      </c>
      <c r="V159" s="122" t="s">
        <v>477</v>
      </c>
    </row>
    <row r="160" spans="1:24" s="98" customFormat="1" ht="15" customHeight="1">
      <c r="A160" s="99"/>
      <c r="B160" s="161"/>
      <c r="C160" s="186" t="s">
        <v>1897</v>
      </c>
      <c r="D160" s="162"/>
      <c r="E160" s="162"/>
      <c r="F160" s="162"/>
      <c r="G160" s="163"/>
      <c r="H160" s="163"/>
      <c r="I160" s="117"/>
      <c r="J160" s="159"/>
      <c r="K160" s="117"/>
      <c r="L160" s="117"/>
      <c r="M160" s="117"/>
      <c r="N160" s="117"/>
      <c r="O160" s="117"/>
      <c r="P160" s="117"/>
      <c r="Q160" s="160"/>
      <c r="R160" s="159"/>
      <c r="S160" s="117"/>
      <c r="T160" s="117"/>
      <c r="U160" s="117"/>
      <c r="V160" s="160"/>
    </row>
    <row r="161" spans="1:24" s="98" customFormat="1" ht="15" customHeight="1">
      <c r="A161" s="99"/>
      <c r="B161" s="161"/>
      <c r="C161" s="185"/>
      <c r="D161" s="162" t="s">
        <v>2046</v>
      </c>
      <c r="E161" s="162"/>
      <c r="F161" s="162"/>
      <c r="G161" s="163"/>
      <c r="H161" s="163"/>
      <c r="I161" s="164" t="s">
        <v>498</v>
      </c>
      <c r="J161" s="141">
        <v>0</v>
      </c>
      <c r="K161" s="141">
        <v>0</v>
      </c>
      <c r="L161" s="141">
        <v>0</v>
      </c>
      <c r="M161" s="141">
        <v>0</v>
      </c>
      <c r="N161" s="141">
        <v>0</v>
      </c>
      <c r="O161" s="141">
        <v>0</v>
      </c>
      <c r="P161" s="141">
        <v>0</v>
      </c>
      <c r="Q161" s="144">
        <v>0</v>
      </c>
      <c r="R161" s="143">
        <v>0</v>
      </c>
      <c r="S161" s="141">
        <v>0</v>
      </c>
      <c r="T161" s="141">
        <v>0</v>
      </c>
      <c r="U161" s="141">
        <v>0</v>
      </c>
      <c r="V161" s="144">
        <v>0</v>
      </c>
    </row>
    <row r="162" spans="1:24" s="98" customFormat="1" ht="15" customHeight="1">
      <c r="A162" s="99"/>
      <c r="B162" s="161"/>
      <c r="C162" s="185"/>
      <c r="D162" s="162" t="s">
        <v>2047</v>
      </c>
      <c r="E162" s="162"/>
      <c r="F162" s="162"/>
      <c r="G162" s="163"/>
      <c r="H162" s="163"/>
      <c r="I162" s="164" t="s">
        <v>498</v>
      </c>
      <c r="J162" s="141">
        <v>0</v>
      </c>
      <c r="K162" s="141">
        <v>0</v>
      </c>
      <c r="L162" s="141">
        <v>0</v>
      </c>
      <c r="M162" s="141">
        <v>0</v>
      </c>
      <c r="N162" s="141">
        <v>0</v>
      </c>
      <c r="O162" s="141">
        <v>0</v>
      </c>
      <c r="P162" s="141">
        <v>0</v>
      </c>
      <c r="Q162" s="144">
        <v>0</v>
      </c>
      <c r="R162" s="143">
        <v>0</v>
      </c>
      <c r="S162" s="141">
        <v>0</v>
      </c>
      <c r="T162" s="141">
        <v>0</v>
      </c>
      <c r="U162" s="141">
        <v>0</v>
      </c>
      <c r="V162" s="144">
        <v>0</v>
      </c>
    </row>
    <row r="163" spans="1:24" s="98" customFormat="1" ht="15" customHeight="1">
      <c r="A163" s="99"/>
      <c r="B163" s="161"/>
      <c r="C163" s="185"/>
      <c r="D163" s="162" t="s">
        <v>2048</v>
      </c>
      <c r="E163" s="162"/>
      <c r="F163" s="162"/>
      <c r="G163" s="163"/>
      <c r="H163" s="163"/>
      <c r="I163" s="164" t="s">
        <v>498</v>
      </c>
      <c r="J163" s="141">
        <v>0</v>
      </c>
      <c r="K163" s="141">
        <v>0</v>
      </c>
      <c r="L163" s="141">
        <v>0</v>
      </c>
      <c r="M163" s="141">
        <v>0</v>
      </c>
      <c r="N163" s="141">
        <v>0</v>
      </c>
      <c r="O163" s="141">
        <v>0</v>
      </c>
      <c r="P163" s="141">
        <v>0</v>
      </c>
      <c r="Q163" s="144">
        <v>0</v>
      </c>
      <c r="R163" s="143">
        <v>0</v>
      </c>
      <c r="S163" s="141">
        <v>0</v>
      </c>
      <c r="T163" s="141">
        <v>0</v>
      </c>
      <c r="U163" s="141">
        <v>0</v>
      </c>
      <c r="V163" s="144">
        <v>0</v>
      </c>
    </row>
    <row r="164" spans="1:24" s="98" customFormat="1" ht="15" customHeight="1">
      <c r="A164" s="99"/>
      <c r="B164" s="161"/>
      <c r="C164" s="185"/>
      <c r="D164" s="162" t="s">
        <v>2049</v>
      </c>
      <c r="E164" s="162"/>
      <c r="F164" s="162"/>
      <c r="G164" s="163"/>
      <c r="H164" s="163"/>
      <c r="I164" s="164" t="s">
        <v>498</v>
      </c>
      <c r="J164" s="141">
        <v>0</v>
      </c>
      <c r="K164" s="141">
        <v>0</v>
      </c>
      <c r="L164" s="141">
        <v>0</v>
      </c>
      <c r="M164" s="141">
        <v>0</v>
      </c>
      <c r="N164" s="141">
        <v>0</v>
      </c>
      <c r="O164" s="141">
        <v>0</v>
      </c>
      <c r="P164" s="141">
        <v>0</v>
      </c>
      <c r="Q164" s="144">
        <v>0</v>
      </c>
      <c r="R164" s="143">
        <v>0</v>
      </c>
      <c r="S164" s="141">
        <v>0</v>
      </c>
      <c r="T164" s="141">
        <v>0</v>
      </c>
      <c r="U164" s="141">
        <v>0</v>
      </c>
      <c r="V164" s="144">
        <v>0</v>
      </c>
    </row>
    <row r="165" spans="1:24" s="98" customFormat="1" ht="15" customHeight="1">
      <c r="A165" s="99"/>
      <c r="B165" s="161"/>
      <c r="C165" s="185"/>
      <c r="D165" s="162" t="s">
        <v>2022</v>
      </c>
      <c r="E165" s="162"/>
      <c r="F165" s="162"/>
      <c r="G165" s="163"/>
      <c r="H165" s="163"/>
      <c r="I165" s="164" t="s">
        <v>498</v>
      </c>
      <c r="J165" s="141">
        <v>0</v>
      </c>
      <c r="K165" s="141">
        <v>0</v>
      </c>
      <c r="L165" s="141">
        <v>0</v>
      </c>
      <c r="M165" s="141">
        <v>0</v>
      </c>
      <c r="N165" s="141">
        <v>0</v>
      </c>
      <c r="O165" s="141">
        <v>0</v>
      </c>
      <c r="P165" s="141">
        <v>0</v>
      </c>
      <c r="Q165" s="144">
        <v>0</v>
      </c>
      <c r="R165" s="143">
        <v>0</v>
      </c>
      <c r="S165" s="141">
        <v>0</v>
      </c>
      <c r="T165" s="141">
        <v>0</v>
      </c>
      <c r="U165" s="141">
        <v>0</v>
      </c>
      <c r="V165" s="144">
        <v>0</v>
      </c>
    </row>
    <row r="166" spans="1:24" s="98" customFormat="1" ht="15" customHeight="1">
      <c r="A166" s="99"/>
      <c r="B166" s="161"/>
      <c r="C166" s="185"/>
      <c r="D166" s="162" t="s">
        <v>2050</v>
      </c>
      <c r="E166" s="162"/>
      <c r="F166" s="162"/>
      <c r="G166" s="163"/>
      <c r="H166" s="163"/>
      <c r="I166" s="164" t="s">
        <v>498</v>
      </c>
      <c r="J166" s="141">
        <v>0</v>
      </c>
      <c r="K166" s="141">
        <v>0</v>
      </c>
      <c r="L166" s="141">
        <v>0</v>
      </c>
      <c r="M166" s="141">
        <v>0</v>
      </c>
      <c r="N166" s="141">
        <v>0</v>
      </c>
      <c r="O166" s="141">
        <v>0</v>
      </c>
      <c r="P166" s="141">
        <v>0</v>
      </c>
      <c r="Q166" s="144">
        <v>0</v>
      </c>
      <c r="R166" s="143">
        <v>0</v>
      </c>
      <c r="S166" s="141">
        <v>0</v>
      </c>
      <c r="T166" s="141">
        <v>0</v>
      </c>
      <c r="U166" s="141">
        <v>0</v>
      </c>
      <c r="V166" s="144">
        <v>0</v>
      </c>
    </row>
    <row r="167" spans="1:24" s="98" customFormat="1" ht="15" customHeight="1">
      <c r="A167" s="99"/>
      <c r="B167" s="161"/>
      <c r="C167" s="185"/>
      <c r="D167" s="162" t="s">
        <v>2015</v>
      </c>
      <c r="E167" s="162"/>
      <c r="F167" s="162"/>
      <c r="G167" s="163"/>
      <c r="H167" s="163"/>
      <c r="I167" s="164" t="s">
        <v>498</v>
      </c>
      <c r="J167" s="141">
        <v>0</v>
      </c>
      <c r="K167" s="141">
        <v>0</v>
      </c>
      <c r="L167" s="141">
        <v>0</v>
      </c>
      <c r="M167" s="141">
        <v>0</v>
      </c>
      <c r="N167" s="141">
        <v>0</v>
      </c>
      <c r="O167" s="141">
        <v>0</v>
      </c>
      <c r="P167" s="141">
        <v>0</v>
      </c>
      <c r="Q167" s="144">
        <v>0</v>
      </c>
      <c r="R167" s="143">
        <v>0</v>
      </c>
      <c r="S167" s="141">
        <v>0</v>
      </c>
      <c r="T167" s="141">
        <v>0</v>
      </c>
      <c r="U167" s="141">
        <v>0</v>
      </c>
      <c r="V167" s="144">
        <v>0</v>
      </c>
    </row>
    <row r="168" spans="1:24" s="98" customFormat="1" ht="15" customHeight="1" thickBot="1">
      <c r="A168" s="99"/>
      <c r="B168" s="239"/>
      <c r="C168" s="240" t="s">
        <v>1701</v>
      </c>
      <c r="D168" s="512"/>
      <c r="E168" s="512"/>
      <c r="F168" s="512"/>
      <c r="G168" s="241"/>
      <c r="H168" s="241"/>
      <c r="I168" s="195" t="s">
        <v>498</v>
      </c>
      <c r="J168" s="178">
        <f t="shared" ref="J168" si="25">SUM(J161:J167)</f>
        <v>0</v>
      </c>
      <c r="K168" s="178">
        <f t="shared" ref="K168:O168" si="26">SUM(K161:K167)</f>
        <v>0</v>
      </c>
      <c r="L168" s="178">
        <f t="shared" si="26"/>
        <v>0</v>
      </c>
      <c r="M168" s="178">
        <f t="shared" si="26"/>
        <v>0</v>
      </c>
      <c r="N168" s="178">
        <f t="shared" si="26"/>
        <v>0</v>
      </c>
      <c r="O168" s="178">
        <f t="shared" si="26"/>
        <v>0</v>
      </c>
      <c r="P168" s="178">
        <f>SUM(P161:P167)</f>
        <v>0</v>
      </c>
      <c r="Q168" s="179">
        <f t="shared" ref="Q168:V168" si="27">SUM(Q161:Q167)</f>
        <v>0</v>
      </c>
      <c r="R168" s="177">
        <f t="shared" si="27"/>
        <v>0</v>
      </c>
      <c r="S168" s="178">
        <f t="shared" si="27"/>
        <v>0</v>
      </c>
      <c r="T168" s="178">
        <f t="shared" si="27"/>
        <v>0</v>
      </c>
      <c r="U168" s="178">
        <f t="shared" si="27"/>
        <v>0</v>
      </c>
      <c r="V168" s="179">
        <f t="shared" si="27"/>
        <v>0</v>
      </c>
      <c r="W168" s="185"/>
    </row>
    <row r="169" spans="1:24" s="99" customFormat="1" ht="15" customHeight="1" thickBot="1">
      <c r="B169" s="150"/>
      <c r="C169" s="150"/>
      <c r="D169" s="150"/>
      <c r="E169" s="150"/>
      <c r="F169" s="150"/>
      <c r="G169" s="97"/>
      <c r="H169" s="97"/>
      <c r="I169" s="98"/>
      <c r="J169" s="98"/>
      <c r="K169" s="98"/>
      <c r="L169" s="98"/>
      <c r="M169" s="98"/>
      <c r="N169" s="98"/>
      <c r="O169" s="98"/>
      <c r="P169" s="98"/>
      <c r="Q169" s="98"/>
      <c r="R169" s="98"/>
      <c r="S169" s="98"/>
      <c r="T169" s="98"/>
      <c r="U169" s="98"/>
      <c r="V169" s="98"/>
      <c r="W169" s="98"/>
      <c r="X169" s="98"/>
    </row>
    <row r="170" spans="1:24" s="100" customFormat="1" ht="30" customHeight="1" thickBot="1">
      <c r="A170" s="89"/>
      <c r="B170" s="621" t="s">
        <v>2051</v>
      </c>
      <c r="C170" s="762"/>
      <c r="D170" s="762"/>
      <c r="E170" s="762"/>
      <c r="F170" s="762"/>
      <c r="G170" s="763"/>
      <c r="H170" s="103"/>
      <c r="I170" s="105" t="s">
        <v>2052</v>
      </c>
      <c r="J170" s="106"/>
      <c r="K170" s="106"/>
      <c r="L170" s="106"/>
      <c r="M170" s="106"/>
      <c r="N170" s="106"/>
      <c r="O170" s="106"/>
      <c r="P170" s="106"/>
      <c r="Q170" s="106"/>
      <c r="R170" s="105"/>
      <c r="S170" s="105"/>
      <c r="T170" s="105"/>
      <c r="U170" s="105"/>
      <c r="V170" s="187"/>
    </row>
    <row r="171" spans="1:24" s="157" customFormat="1" ht="30" customHeight="1">
      <c r="A171" s="99"/>
      <c r="B171" s="109"/>
      <c r="C171" s="127"/>
      <c r="D171" s="127"/>
      <c r="E171" s="127"/>
      <c r="F171" s="127"/>
      <c r="G171" s="117"/>
      <c r="H171" s="111"/>
      <c r="I171" s="117"/>
      <c r="J171" s="695" t="s">
        <v>1666</v>
      </c>
      <c r="K171" s="152"/>
      <c r="L171" s="152"/>
      <c r="M171" s="152"/>
      <c r="N171" s="152"/>
      <c r="O171" s="152"/>
      <c r="P171" s="152"/>
      <c r="Q171" s="153"/>
      <c r="R171" s="696" t="s">
        <v>2</v>
      </c>
      <c r="S171" s="155"/>
      <c r="T171" s="155"/>
      <c r="U171" s="155"/>
      <c r="V171" s="156"/>
    </row>
    <row r="172" spans="1:24" s="98" customFormat="1" ht="15" customHeight="1">
      <c r="A172" s="99"/>
      <c r="B172" s="115"/>
      <c r="C172" s="116"/>
      <c r="D172" s="116"/>
      <c r="E172" s="116"/>
      <c r="F172" s="116"/>
      <c r="G172" s="117"/>
      <c r="H172" s="117"/>
      <c r="I172" s="119" t="s">
        <v>1667</v>
      </c>
      <c r="J172" s="158" t="s">
        <v>453</v>
      </c>
      <c r="K172" s="137" t="s">
        <v>455</v>
      </c>
      <c r="L172" s="137" t="s">
        <v>457</v>
      </c>
      <c r="M172" s="137" t="s">
        <v>459</v>
      </c>
      <c r="N172" s="137" t="s">
        <v>461</v>
      </c>
      <c r="O172" s="137" t="s">
        <v>463</v>
      </c>
      <c r="P172" s="137" t="s">
        <v>465</v>
      </c>
      <c r="Q172" s="138" t="s">
        <v>467</v>
      </c>
      <c r="R172" s="120" t="s">
        <v>469</v>
      </c>
      <c r="S172" s="121" t="s">
        <v>471</v>
      </c>
      <c r="T172" s="121" t="s">
        <v>473</v>
      </c>
      <c r="U172" s="121" t="s">
        <v>475</v>
      </c>
      <c r="V172" s="122" t="s">
        <v>477</v>
      </c>
    </row>
    <row r="173" spans="1:24" s="98" customFormat="1" ht="15" customHeight="1">
      <c r="A173" s="99"/>
      <c r="B173" s="161"/>
      <c r="C173" s="186" t="s">
        <v>2019</v>
      </c>
      <c r="D173" s="162"/>
      <c r="E173" s="162"/>
      <c r="F173" s="162"/>
      <c r="G173" s="163"/>
      <c r="H173" s="163"/>
      <c r="I173" s="117"/>
      <c r="J173" s="159"/>
      <c r="K173" s="117"/>
      <c r="L173" s="117"/>
      <c r="M173" s="117"/>
      <c r="N173" s="117"/>
      <c r="O173" s="117"/>
      <c r="P173" s="117"/>
      <c r="Q173" s="160"/>
      <c r="R173" s="159"/>
      <c r="S173" s="117"/>
      <c r="T173" s="117"/>
      <c r="U173" s="117"/>
      <c r="V173" s="160"/>
    </row>
    <row r="174" spans="1:24" s="98" customFormat="1" ht="15" customHeight="1">
      <c r="A174" s="99"/>
      <c r="B174" s="161"/>
      <c r="C174" s="185"/>
      <c r="D174" s="162" t="s">
        <v>1668</v>
      </c>
      <c r="E174" s="162"/>
      <c r="F174" s="162"/>
      <c r="G174" s="163"/>
      <c r="H174" s="163"/>
      <c r="I174" s="164" t="s">
        <v>2020</v>
      </c>
      <c r="J174" s="1062">
        <v>1</v>
      </c>
      <c r="K174" s="188">
        <v>0</v>
      </c>
      <c r="L174" s="188">
        <v>0</v>
      </c>
      <c r="M174" s="188">
        <v>0</v>
      </c>
      <c r="N174" s="188">
        <v>0</v>
      </c>
      <c r="O174" s="188">
        <v>0</v>
      </c>
      <c r="P174" s="188">
        <v>0.995</v>
      </c>
      <c r="Q174" s="189">
        <v>0.995</v>
      </c>
      <c r="R174" s="190">
        <v>0.995</v>
      </c>
      <c r="S174" s="188">
        <v>0.995</v>
      </c>
      <c r="T174" s="188">
        <v>0.995</v>
      </c>
      <c r="U174" s="188">
        <v>0.995</v>
      </c>
      <c r="V174" s="189">
        <v>0.995</v>
      </c>
    </row>
    <row r="175" spans="1:24" s="98" customFormat="1" ht="15" customHeight="1">
      <c r="A175" s="99"/>
      <c r="B175" s="161"/>
      <c r="C175" s="185"/>
      <c r="D175" s="162" t="s">
        <v>1674</v>
      </c>
      <c r="E175" s="162"/>
      <c r="F175" s="162"/>
      <c r="G175" s="163"/>
      <c r="H175" s="163"/>
      <c r="I175" s="164" t="s">
        <v>2020</v>
      </c>
      <c r="J175" s="1062">
        <v>1</v>
      </c>
      <c r="K175" s="188">
        <v>0</v>
      </c>
      <c r="L175" s="188">
        <v>0</v>
      </c>
      <c r="M175" s="188">
        <v>0</v>
      </c>
      <c r="N175" s="188">
        <v>0</v>
      </c>
      <c r="O175" s="188">
        <v>0</v>
      </c>
      <c r="P175" s="188">
        <v>0.99579491160238953</v>
      </c>
      <c r="Q175" s="189">
        <v>0.99579491160238953</v>
      </c>
      <c r="R175" s="190">
        <v>0.99579491160238953</v>
      </c>
      <c r="S175" s="188">
        <v>0.99579491160238953</v>
      </c>
      <c r="T175" s="188">
        <v>0.99579491160238953</v>
      </c>
      <c r="U175" s="188">
        <v>0.99579491160238953</v>
      </c>
      <c r="V175" s="189">
        <v>0.99579491160238953</v>
      </c>
    </row>
    <row r="176" spans="1:24" s="98" customFormat="1" ht="15" customHeight="1">
      <c r="A176" s="99"/>
      <c r="B176" s="161"/>
      <c r="C176" s="185"/>
      <c r="D176" s="162" t="s">
        <v>62</v>
      </c>
      <c r="E176" s="162"/>
      <c r="F176" s="162"/>
      <c r="G176" s="163"/>
      <c r="H176" s="163"/>
      <c r="I176" s="164" t="s">
        <v>2020</v>
      </c>
      <c r="J176" s="1062">
        <v>1</v>
      </c>
      <c r="K176" s="188">
        <v>0</v>
      </c>
      <c r="L176" s="188">
        <v>0</v>
      </c>
      <c r="M176" s="188">
        <v>0</v>
      </c>
      <c r="N176" s="188">
        <v>0</v>
      </c>
      <c r="O176" s="188">
        <v>0</v>
      </c>
      <c r="P176" s="188">
        <v>0.995</v>
      </c>
      <c r="Q176" s="189">
        <v>0.995</v>
      </c>
      <c r="R176" s="190">
        <v>0.995</v>
      </c>
      <c r="S176" s="188">
        <v>0.995</v>
      </c>
      <c r="T176" s="188">
        <v>0.995</v>
      </c>
      <c r="U176" s="188">
        <v>0.995</v>
      </c>
      <c r="V176" s="189">
        <v>0.995</v>
      </c>
    </row>
    <row r="177" spans="1:22" s="98" customFormat="1" ht="15" customHeight="1">
      <c r="A177" s="99"/>
      <c r="B177" s="161"/>
      <c r="C177" s="185"/>
      <c r="D177" s="162" t="s">
        <v>2021</v>
      </c>
      <c r="E177" s="162"/>
      <c r="F177" s="162"/>
      <c r="G177" s="163"/>
      <c r="H177" s="163"/>
      <c r="I177" s="164" t="s">
        <v>2020</v>
      </c>
      <c r="J177" s="1062">
        <v>1</v>
      </c>
      <c r="K177" s="188">
        <v>0</v>
      </c>
      <c r="L177" s="188">
        <v>0</v>
      </c>
      <c r="M177" s="188">
        <v>0</v>
      </c>
      <c r="N177" s="188">
        <v>0</v>
      </c>
      <c r="O177" s="188">
        <v>0</v>
      </c>
      <c r="P177" s="188">
        <v>0.995</v>
      </c>
      <c r="Q177" s="189">
        <v>0.995</v>
      </c>
      <c r="R177" s="190">
        <v>0.995</v>
      </c>
      <c r="S177" s="188">
        <v>0.995</v>
      </c>
      <c r="T177" s="188">
        <v>0.995</v>
      </c>
      <c r="U177" s="188">
        <v>0.995</v>
      </c>
      <c r="V177" s="189">
        <v>0.995</v>
      </c>
    </row>
    <row r="178" spans="1:22" s="98" customFormat="1" ht="15" customHeight="1">
      <c r="A178" s="99"/>
      <c r="B178" s="161"/>
      <c r="C178" s="185"/>
      <c r="D178" s="162" t="s">
        <v>2022</v>
      </c>
      <c r="E178" s="162"/>
      <c r="F178" s="162"/>
      <c r="G178" s="163"/>
      <c r="H178" s="163"/>
      <c r="I178" s="164" t="s">
        <v>2020</v>
      </c>
      <c r="J178" s="1062">
        <v>1</v>
      </c>
      <c r="K178" s="188">
        <v>0</v>
      </c>
      <c r="L178" s="188">
        <v>0</v>
      </c>
      <c r="M178" s="188">
        <v>0</v>
      </c>
      <c r="N178" s="188">
        <v>0</v>
      </c>
      <c r="O178" s="188">
        <v>0</v>
      </c>
      <c r="P178" s="188">
        <v>0.995</v>
      </c>
      <c r="Q178" s="189">
        <v>0.995</v>
      </c>
      <c r="R178" s="190">
        <v>0.995</v>
      </c>
      <c r="S178" s="188">
        <v>0.995</v>
      </c>
      <c r="T178" s="188">
        <v>0.995</v>
      </c>
      <c r="U178" s="188">
        <v>0.995</v>
      </c>
      <c r="V178" s="189">
        <v>0.995</v>
      </c>
    </row>
    <row r="179" spans="1:22" s="98" customFormat="1" ht="15" customHeight="1">
      <c r="A179" s="99"/>
      <c r="B179" s="161"/>
      <c r="C179" s="185"/>
      <c r="D179" s="776" t="s">
        <v>85</v>
      </c>
      <c r="E179" s="776"/>
      <c r="F179" s="784"/>
      <c r="G179" s="293"/>
      <c r="H179" s="163"/>
      <c r="I179" s="164" t="s">
        <v>2020</v>
      </c>
      <c r="J179" s="1062">
        <v>1</v>
      </c>
      <c r="K179" s="188">
        <v>0</v>
      </c>
      <c r="L179" s="188">
        <v>0</v>
      </c>
      <c r="M179" s="188">
        <v>0</v>
      </c>
      <c r="N179" s="188">
        <v>0</v>
      </c>
      <c r="O179" s="188">
        <v>0</v>
      </c>
      <c r="P179" s="188">
        <v>0</v>
      </c>
      <c r="Q179" s="189">
        <v>0</v>
      </c>
      <c r="R179" s="190">
        <v>0</v>
      </c>
      <c r="S179" s="188">
        <v>0</v>
      </c>
      <c r="T179" s="188">
        <v>0</v>
      </c>
      <c r="U179" s="188">
        <v>0</v>
      </c>
      <c r="V179" s="189">
        <v>0</v>
      </c>
    </row>
    <row r="180" spans="1:22" s="98" customFormat="1" ht="15" customHeight="1">
      <c r="A180" s="99"/>
      <c r="B180" s="161"/>
      <c r="C180" s="185"/>
      <c r="D180" s="776" t="s">
        <v>85</v>
      </c>
      <c r="E180" s="776"/>
      <c r="F180" s="784"/>
      <c r="G180" s="293"/>
      <c r="H180" s="163"/>
      <c r="I180" s="164" t="s">
        <v>2020</v>
      </c>
      <c r="J180" s="1062">
        <v>1</v>
      </c>
      <c r="K180" s="188">
        <v>0</v>
      </c>
      <c r="L180" s="188">
        <v>0</v>
      </c>
      <c r="M180" s="188">
        <v>0</v>
      </c>
      <c r="N180" s="188">
        <v>0</v>
      </c>
      <c r="O180" s="188">
        <v>0</v>
      </c>
      <c r="P180" s="188">
        <v>0</v>
      </c>
      <c r="Q180" s="189">
        <v>0</v>
      </c>
      <c r="R180" s="190">
        <v>0</v>
      </c>
      <c r="S180" s="188">
        <v>0</v>
      </c>
      <c r="T180" s="188">
        <v>0</v>
      </c>
      <c r="U180" s="188">
        <v>0</v>
      </c>
      <c r="V180" s="189">
        <v>0</v>
      </c>
    </row>
    <row r="181" spans="1:22" s="98" customFormat="1" ht="15" customHeight="1">
      <c r="A181" s="99"/>
      <c r="B181" s="161"/>
      <c r="C181" s="185"/>
      <c r="D181" s="776" t="s">
        <v>85</v>
      </c>
      <c r="E181" s="776"/>
      <c r="F181" s="784"/>
      <c r="G181" s="293"/>
      <c r="H181" s="163"/>
      <c r="I181" s="164" t="s">
        <v>2020</v>
      </c>
      <c r="J181" s="1062">
        <v>1</v>
      </c>
      <c r="K181" s="188">
        <v>0</v>
      </c>
      <c r="L181" s="188">
        <v>0</v>
      </c>
      <c r="M181" s="188">
        <v>0</v>
      </c>
      <c r="N181" s="188">
        <v>0</v>
      </c>
      <c r="O181" s="188">
        <v>0</v>
      </c>
      <c r="P181" s="188">
        <v>0</v>
      </c>
      <c r="Q181" s="189">
        <v>0</v>
      </c>
      <c r="R181" s="190">
        <v>0</v>
      </c>
      <c r="S181" s="188">
        <v>0</v>
      </c>
      <c r="T181" s="188">
        <v>0</v>
      </c>
      <c r="U181" s="188">
        <v>0</v>
      </c>
      <c r="V181" s="189">
        <v>0</v>
      </c>
    </row>
    <row r="182" spans="1:22" s="98" customFormat="1" ht="15" customHeight="1">
      <c r="A182" s="99"/>
      <c r="B182" s="161"/>
      <c r="C182" s="185"/>
      <c r="D182" s="776" t="s">
        <v>85</v>
      </c>
      <c r="E182" s="776"/>
      <c r="F182" s="784"/>
      <c r="G182" s="293"/>
      <c r="H182" s="163"/>
      <c r="I182" s="164" t="s">
        <v>2020</v>
      </c>
      <c r="J182" s="1062">
        <v>1</v>
      </c>
      <c r="K182" s="188">
        <v>0</v>
      </c>
      <c r="L182" s="188">
        <v>0</v>
      </c>
      <c r="M182" s="188">
        <v>0</v>
      </c>
      <c r="N182" s="188">
        <v>0</v>
      </c>
      <c r="O182" s="188">
        <v>0</v>
      </c>
      <c r="P182" s="188">
        <v>0</v>
      </c>
      <c r="Q182" s="189">
        <v>0</v>
      </c>
      <c r="R182" s="190">
        <v>0</v>
      </c>
      <c r="S182" s="188">
        <v>0</v>
      </c>
      <c r="T182" s="188">
        <v>0</v>
      </c>
      <c r="U182" s="188">
        <v>0</v>
      </c>
      <c r="V182" s="189">
        <v>0</v>
      </c>
    </row>
    <row r="183" spans="1:22" s="98" customFormat="1" ht="15" customHeight="1">
      <c r="A183" s="99"/>
      <c r="B183" s="161"/>
      <c r="C183" s="185"/>
      <c r="D183" s="776" t="s">
        <v>85</v>
      </c>
      <c r="E183" s="776"/>
      <c r="F183" s="784"/>
      <c r="G183" s="293"/>
      <c r="H183" s="163"/>
      <c r="I183" s="164" t="s">
        <v>2020</v>
      </c>
      <c r="J183" s="1062">
        <v>1</v>
      </c>
      <c r="K183" s="188">
        <v>0</v>
      </c>
      <c r="L183" s="188">
        <v>0</v>
      </c>
      <c r="M183" s="188">
        <v>0</v>
      </c>
      <c r="N183" s="188">
        <v>0</v>
      </c>
      <c r="O183" s="188">
        <v>0</v>
      </c>
      <c r="P183" s="188">
        <v>0</v>
      </c>
      <c r="Q183" s="189">
        <v>0</v>
      </c>
      <c r="R183" s="190">
        <v>0</v>
      </c>
      <c r="S183" s="188">
        <v>0</v>
      </c>
      <c r="T183" s="188">
        <v>0</v>
      </c>
      <c r="U183" s="188">
        <v>0</v>
      </c>
      <c r="V183" s="189">
        <v>0</v>
      </c>
    </row>
    <row r="184" spans="1:22" s="98" customFormat="1" ht="15" customHeight="1">
      <c r="A184" s="99"/>
      <c r="B184" s="161"/>
      <c r="C184" s="185"/>
      <c r="D184" s="776" t="s">
        <v>85</v>
      </c>
      <c r="E184" s="776"/>
      <c r="F184" s="784"/>
      <c r="G184" s="293"/>
      <c r="H184" s="163"/>
      <c r="I184" s="164" t="s">
        <v>2020</v>
      </c>
      <c r="J184" s="1062">
        <v>1</v>
      </c>
      <c r="K184" s="188">
        <v>0</v>
      </c>
      <c r="L184" s="188">
        <v>0</v>
      </c>
      <c r="M184" s="188">
        <v>0</v>
      </c>
      <c r="N184" s="188">
        <v>0</v>
      </c>
      <c r="O184" s="188">
        <v>0</v>
      </c>
      <c r="P184" s="188">
        <v>0</v>
      </c>
      <c r="Q184" s="189">
        <v>0</v>
      </c>
      <c r="R184" s="190">
        <v>0</v>
      </c>
      <c r="S184" s="188">
        <v>0</v>
      </c>
      <c r="T184" s="188">
        <v>0</v>
      </c>
      <c r="U184" s="188">
        <v>0</v>
      </c>
      <c r="V184" s="189">
        <v>0</v>
      </c>
    </row>
    <row r="185" spans="1:22" s="98" customFormat="1" ht="15" customHeight="1">
      <c r="A185" s="99"/>
      <c r="B185" s="161"/>
      <c r="C185" s="185"/>
      <c r="D185" s="776" t="s">
        <v>85</v>
      </c>
      <c r="E185" s="776"/>
      <c r="F185" s="784"/>
      <c r="G185" s="293"/>
      <c r="H185" s="163"/>
      <c r="I185" s="164" t="s">
        <v>2020</v>
      </c>
      <c r="J185" s="1062">
        <v>1</v>
      </c>
      <c r="K185" s="188">
        <v>0</v>
      </c>
      <c r="L185" s="188">
        <v>0</v>
      </c>
      <c r="M185" s="188">
        <v>0</v>
      </c>
      <c r="N185" s="188">
        <v>0</v>
      </c>
      <c r="O185" s="188">
        <v>0</v>
      </c>
      <c r="P185" s="188">
        <v>0</v>
      </c>
      <c r="Q185" s="189">
        <v>0</v>
      </c>
      <c r="R185" s="190">
        <v>0</v>
      </c>
      <c r="S185" s="188">
        <v>0</v>
      </c>
      <c r="T185" s="188">
        <v>0</v>
      </c>
      <c r="U185" s="188">
        <v>0</v>
      </c>
      <c r="V185" s="189">
        <v>0</v>
      </c>
    </row>
    <row r="186" spans="1:22" s="98" customFormat="1" ht="15" customHeight="1">
      <c r="A186" s="99"/>
      <c r="B186" s="161"/>
      <c r="C186" s="185"/>
      <c r="D186" s="776" t="s">
        <v>85</v>
      </c>
      <c r="E186" s="776"/>
      <c r="F186" s="784"/>
      <c r="G186" s="293"/>
      <c r="H186" s="163"/>
      <c r="I186" s="164" t="s">
        <v>2020</v>
      </c>
      <c r="J186" s="1062">
        <v>1</v>
      </c>
      <c r="K186" s="188">
        <v>0</v>
      </c>
      <c r="L186" s="188">
        <v>0</v>
      </c>
      <c r="M186" s="188">
        <v>0</v>
      </c>
      <c r="N186" s="188">
        <v>0</v>
      </c>
      <c r="O186" s="188">
        <v>0</v>
      </c>
      <c r="P186" s="188">
        <v>0</v>
      </c>
      <c r="Q186" s="189">
        <v>0</v>
      </c>
      <c r="R186" s="190">
        <v>0</v>
      </c>
      <c r="S186" s="188">
        <v>0</v>
      </c>
      <c r="T186" s="188">
        <v>0</v>
      </c>
      <c r="U186" s="188">
        <v>0</v>
      </c>
      <c r="V186" s="189">
        <v>0</v>
      </c>
    </row>
    <row r="187" spans="1:22" s="98" customFormat="1" ht="15" customHeight="1">
      <c r="A187" s="99"/>
      <c r="B187" s="161"/>
      <c r="C187" s="185"/>
      <c r="D187" s="776" t="s">
        <v>85</v>
      </c>
      <c r="E187" s="776"/>
      <c r="F187" s="784"/>
      <c r="G187" s="293"/>
      <c r="H187" s="163"/>
      <c r="I187" s="164" t="s">
        <v>2020</v>
      </c>
      <c r="J187" s="1062">
        <v>1</v>
      </c>
      <c r="K187" s="188">
        <v>0</v>
      </c>
      <c r="L187" s="188">
        <v>0</v>
      </c>
      <c r="M187" s="188">
        <v>0</v>
      </c>
      <c r="N187" s="188">
        <v>0</v>
      </c>
      <c r="O187" s="188">
        <v>0</v>
      </c>
      <c r="P187" s="188">
        <v>0</v>
      </c>
      <c r="Q187" s="189">
        <v>0</v>
      </c>
      <c r="R187" s="190">
        <v>0</v>
      </c>
      <c r="S187" s="188">
        <v>0</v>
      </c>
      <c r="T187" s="188">
        <v>0</v>
      </c>
      <c r="U187" s="188">
        <v>0</v>
      </c>
      <c r="V187" s="189">
        <v>0</v>
      </c>
    </row>
    <row r="188" spans="1:22" s="98" customFormat="1" ht="15" customHeight="1">
      <c r="A188" s="99"/>
      <c r="B188" s="161"/>
      <c r="C188" s="185"/>
      <c r="D188" s="776" t="s">
        <v>85</v>
      </c>
      <c r="E188" s="776"/>
      <c r="F188" s="784"/>
      <c r="G188" s="293"/>
      <c r="H188" s="163"/>
      <c r="I188" s="164" t="s">
        <v>2020</v>
      </c>
      <c r="J188" s="1062">
        <v>1</v>
      </c>
      <c r="K188" s="188">
        <v>0</v>
      </c>
      <c r="L188" s="188">
        <v>0</v>
      </c>
      <c r="M188" s="188">
        <v>0</v>
      </c>
      <c r="N188" s="188">
        <v>0</v>
      </c>
      <c r="O188" s="188">
        <v>0</v>
      </c>
      <c r="P188" s="188">
        <v>0</v>
      </c>
      <c r="Q188" s="189">
        <v>0</v>
      </c>
      <c r="R188" s="190">
        <v>0</v>
      </c>
      <c r="S188" s="188">
        <v>0</v>
      </c>
      <c r="T188" s="188">
        <v>0</v>
      </c>
      <c r="U188" s="188">
        <v>0</v>
      </c>
      <c r="V188" s="189">
        <v>0</v>
      </c>
    </row>
    <row r="189" spans="1:22" s="98" customFormat="1" ht="15" customHeight="1">
      <c r="A189" s="99"/>
      <c r="B189" s="161"/>
      <c r="C189" s="185"/>
      <c r="D189" s="776" t="s">
        <v>85</v>
      </c>
      <c r="E189" s="776"/>
      <c r="F189" s="784"/>
      <c r="G189" s="293"/>
      <c r="H189" s="163"/>
      <c r="I189" s="164" t="s">
        <v>2020</v>
      </c>
      <c r="J189" s="1062">
        <v>1</v>
      </c>
      <c r="K189" s="188">
        <v>0</v>
      </c>
      <c r="L189" s="188">
        <v>0</v>
      </c>
      <c r="M189" s="188">
        <v>0</v>
      </c>
      <c r="N189" s="188">
        <v>0</v>
      </c>
      <c r="O189" s="188">
        <v>0</v>
      </c>
      <c r="P189" s="188">
        <v>0</v>
      </c>
      <c r="Q189" s="189">
        <v>0</v>
      </c>
      <c r="R189" s="190">
        <v>0</v>
      </c>
      <c r="S189" s="188">
        <v>0</v>
      </c>
      <c r="T189" s="188">
        <v>0</v>
      </c>
      <c r="U189" s="188">
        <v>0</v>
      </c>
      <c r="V189" s="189">
        <v>0</v>
      </c>
    </row>
    <row r="190" spans="1:22" s="98" customFormat="1" ht="15" customHeight="1">
      <c r="A190" s="99"/>
      <c r="B190" s="161"/>
      <c r="C190" s="185"/>
      <c r="D190" s="776" t="s">
        <v>85</v>
      </c>
      <c r="E190" s="776"/>
      <c r="F190" s="784"/>
      <c r="G190" s="293"/>
      <c r="H190" s="163"/>
      <c r="I190" s="164" t="s">
        <v>2020</v>
      </c>
      <c r="J190" s="1062">
        <v>1</v>
      </c>
      <c r="K190" s="188">
        <v>0</v>
      </c>
      <c r="L190" s="188">
        <v>0</v>
      </c>
      <c r="M190" s="188">
        <v>0</v>
      </c>
      <c r="N190" s="188">
        <v>0</v>
      </c>
      <c r="O190" s="188">
        <v>0</v>
      </c>
      <c r="P190" s="188">
        <v>0</v>
      </c>
      <c r="Q190" s="189">
        <v>0</v>
      </c>
      <c r="R190" s="190">
        <v>0</v>
      </c>
      <c r="S190" s="188">
        <v>0</v>
      </c>
      <c r="T190" s="188">
        <v>0</v>
      </c>
      <c r="U190" s="188">
        <v>0</v>
      </c>
      <c r="V190" s="189">
        <v>0</v>
      </c>
    </row>
    <row r="191" spans="1:22" s="98" customFormat="1" ht="15" customHeight="1">
      <c r="A191" s="99"/>
      <c r="B191" s="161"/>
      <c r="C191" s="185"/>
      <c r="D191" s="776" t="s">
        <v>85</v>
      </c>
      <c r="E191" s="776"/>
      <c r="F191" s="784"/>
      <c r="G191" s="293"/>
      <c r="H191" s="163"/>
      <c r="I191" s="164" t="s">
        <v>2020</v>
      </c>
      <c r="J191" s="1062">
        <v>1</v>
      </c>
      <c r="K191" s="188">
        <v>0</v>
      </c>
      <c r="L191" s="188">
        <v>0</v>
      </c>
      <c r="M191" s="188">
        <v>0</v>
      </c>
      <c r="N191" s="188">
        <v>0</v>
      </c>
      <c r="O191" s="188">
        <v>0</v>
      </c>
      <c r="P191" s="188">
        <v>0</v>
      </c>
      <c r="Q191" s="189">
        <v>0</v>
      </c>
      <c r="R191" s="190">
        <v>0</v>
      </c>
      <c r="S191" s="188">
        <v>0</v>
      </c>
      <c r="T191" s="188">
        <v>0</v>
      </c>
      <c r="U191" s="188">
        <v>0</v>
      </c>
      <c r="V191" s="189">
        <v>0</v>
      </c>
    </row>
    <row r="192" spans="1:22" s="98" customFormat="1" ht="15" customHeight="1">
      <c r="A192" s="99"/>
      <c r="B192" s="161"/>
      <c r="C192" s="185"/>
      <c r="D192" s="776" t="s">
        <v>85</v>
      </c>
      <c r="E192" s="776"/>
      <c r="F192" s="784"/>
      <c r="G192" s="293"/>
      <c r="H192" s="163"/>
      <c r="I192" s="164" t="s">
        <v>2020</v>
      </c>
      <c r="J192" s="1062">
        <v>1</v>
      </c>
      <c r="K192" s="188">
        <v>0</v>
      </c>
      <c r="L192" s="188">
        <v>0</v>
      </c>
      <c r="M192" s="188">
        <v>0</v>
      </c>
      <c r="N192" s="188">
        <v>0</v>
      </c>
      <c r="O192" s="188">
        <v>0</v>
      </c>
      <c r="P192" s="188">
        <v>0</v>
      </c>
      <c r="Q192" s="189">
        <v>0</v>
      </c>
      <c r="R192" s="190">
        <v>0</v>
      </c>
      <c r="S192" s="188">
        <v>0</v>
      </c>
      <c r="T192" s="188">
        <v>0</v>
      </c>
      <c r="U192" s="188">
        <v>0</v>
      </c>
      <c r="V192" s="189">
        <v>0</v>
      </c>
    </row>
    <row r="193" spans="1:29" s="98" customFormat="1" ht="15" customHeight="1" thickBot="1">
      <c r="A193" s="99"/>
      <c r="B193" s="191"/>
      <c r="C193" s="192"/>
      <c r="D193" s="798" t="s">
        <v>85</v>
      </c>
      <c r="E193" s="798"/>
      <c r="F193" s="785"/>
      <c r="G193" s="949"/>
      <c r="H193" s="194"/>
      <c r="I193" s="195" t="s">
        <v>2020</v>
      </c>
      <c r="J193" s="1063">
        <v>1</v>
      </c>
      <c r="K193" s="196">
        <v>0</v>
      </c>
      <c r="L193" s="196">
        <v>0</v>
      </c>
      <c r="M193" s="196">
        <v>0</v>
      </c>
      <c r="N193" s="196">
        <v>0</v>
      </c>
      <c r="O193" s="196">
        <v>0</v>
      </c>
      <c r="P193" s="196">
        <v>0</v>
      </c>
      <c r="Q193" s="197">
        <v>0</v>
      </c>
      <c r="R193" s="198">
        <v>0</v>
      </c>
      <c r="S193" s="196">
        <v>0</v>
      </c>
      <c r="T193" s="196">
        <v>0</v>
      </c>
      <c r="U193" s="196">
        <v>0</v>
      </c>
      <c r="V193" s="197">
        <v>0</v>
      </c>
    </row>
    <row r="194" spans="1:29" s="99" customFormat="1" ht="15" customHeight="1">
      <c r="B194" s="150"/>
      <c r="C194" s="95"/>
      <c r="D194" s="95"/>
      <c r="E194" s="95"/>
      <c r="F194" s="95"/>
      <c r="G194" s="97"/>
      <c r="H194" s="97"/>
      <c r="I194" s="98"/>
      <c r="J194" s="98"/>
      <c r="K194" s="98"/>
      <c r="L194" s="98"/>
      <c r="M194" s="98"/>
      <c r="N194" s="98"/>
      <c r="O194" s="98"/>
      <c r="P194" s="98"/>
      <c r="Q194" s="98"/>
      <c r="R194" s="98"/>
      <c r="S194" s="98"/>
      <c r="T194" s="98"/>
      <c r="U194" s="98"/>
      <c r="V194" s="98"/>
      <c r="W194" s="98"/>
      <c r="X194" s="98"/>
    </row>
    <row r="195" spans="1:29">
      <c r="AB195" s="175"/>
      <c r="AC195" s="173"/>
    </row>
    <row r="196" spans="1:29">
      <c r="AB196" s="175"/>
      <c r="AC196" s="173"/>
    </row>
    <row r="197" spans="1:29">
      <c r="AB197" s="175"/>
      <c r="AC197" s="173"/>
    </row>
    <row r="198" spans="1:29">
      <c r="AB198" s="175"/>
      <c r="AC198" s="173"/>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00B050"/>
  </sheetPr>
  <dimension ref="A1:AK279"/>
  <sheetViews>
    <sheetView showGridLines="0" topLeftCell="A232" zoomScale="80" zoomScaleNormal="80" workbookViewId="0">
      <pane xSplit="7" topLeftCell="K1" activePane="topRight" state="frozen"/>
      <selection pane="topRight" activeCell="K213" sqref="K213:V269"/>
    </sheetView>
  </sheetViews>
  <sheetFormatPr defaultColWidth="11.875" defaultRowHeight="12.75"/>
  <cols>
    <col min="1" max="1" width="11.875" style="173" customWidth="1"/>
    <col min="2" max="6" width="4.375" style="174" customWidth="1"/>
    <col min="7" max="7" width="38.125" style="173" customWidth="1"/>
    <col min="8" max="8" width="15.625" style="173" customWidth="1"/>
    <col min="9" max="9" width="15.625" style="175" customWidth="1"/>
    <col min="10" max="22" width="15.625" style="173" customWidth="1"/>
    <col min="23" max="23" width="4.375" style="173" customWidth="1"/>
    <col min="24" max="24" width="15.625" style="173" customWidth="1"/>
    <col min="25" max="26" width="11.875" style="173" customWidth="1"/>
    <col min="27" max="27" width="11.875" style="173"/>
    <col min="28" max="28" width="11.875" style="175"/>
    <col min="29" max="16384" width="11.875" style="173"/>
  </cols>
  <sheetData>
    <row r="1" spans="1:37" s="2" customFormat="1" ht="25.15" customHeight="1">
      <c r="A1" s="1" t="s">
        <v>0</v>
      </c>
      <c r="E1" s="3"/>
      <c r="H1" s="4" t="s">
        <v>1</v>
      </c>
      <c r="J1" s="3"/>
    </row>
    <row r="2" spans="1:37" s="2" customFormat="1" ht="25.15" customHeight="1">
      <c r="A2" s="5" t="str">
        <f>Fixed_Data!I12</f>
        <v>MASTER</v>
      </c>
      <c r="B2" s="6"/>
      <c r="D2" s="7"/>
      <c r="E2" s="3"/>
    </row>
    <row r="3" spans="1:37" s="9" customFormat="1" ht="25.15" customHeight="1" thickBot="1">
      <c r="A3" s="8" t="str">
        <f>Fixed_Data!A3</f>
        <v>RIIO-GD2</v>
      </c>
      <c r="D3" s="10"/>
      <c r="E3" s="11"/>
    </row>
    <row r="4" spans="1:37" s="89" customFormat="1" ht="25.15" customHeight="1">
      <c r="B4" s="90" t="s">
        <v>2053</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4"/>
      <c r="AF4" s="92"/>
      <c r="AG4" s="92"/>
      <c r="AH4" s="92"/>
      <c r="AI4" s="92"/>
      <c r="AJ4" s="92"/>
      <c r="AK4" s="92"/>
    </row>
    <row r="5" spans="1:37" s="89" customFormat="1" ht="25.15" customHeight="1">
      <c r="B5" s="95" t="s">
        <v>1663</v>
      </c>
      <c r="C5" s="95"/>
      <c r="D5" s="95"/>
      <c r="E5" s="95"/>
      <c r="F5" s="95" t="s">
        <v>463</v>
      </c>
      <c r="H5" s="95"/>
      <c r="I5" s="93"/>
      <c r="J5" s="94"/>
      <c r="K5" s="94"/>
      <c r="L5" s="94"/>
      <c r="M5" s="94"/>
      <c r="N5" s="94"/>
      <c r="O5" s="94"/>
      <c r="P5" s="94"/>
      <c r="Q5" s="94"/>
      <c r="R5" s="92"/>
      <c r="S5" s="92"/>
      <c r="T5" s="92"/>
      <c r="U5" s="92"/>
      <c r="V5" s="92"/>
      <c r="W5" s="92"/>
      <c r="X5" s="92"/>
      <c r="Y5" s="92"/>
      <c r="Z5" s="92"/>
      <c r="AA5" s="92"/>
      <c r="AB5" s="92"/>
      <c r="AC5" s="92"/>
      <c r="AD5" s="92"/>
      <c r="AE5" s="94"/>
      <c r="AF5" s="92"/>
      <c r="AG5" s="92"/>
      <c r="AH5" s="92"/>
      <c r="AI5" s="92"/>
      <c r="AJ5" s="92"/>
      <c r="AK5" s="92"/>
    </row>
    <row r="6" spans="1:37"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4"/>
      <c r="AF6" s="92"/>
      <c r="AG6" s="92"/>
      <c r="AH6" s="92"/>
      <c r="AI6" s="92"/>
      <c r="AJ6" s="92"/>
      <c r="AK6" s="92"/>
    </row>
    <row r="7" spans="1:37"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6"/>
      <c r="AC7" s="98"/>
      <c r="AD7" s="98"/>
      <c r="AE7" s="98"/>
      <c r="AF7" s="98"/>
      <c r="AG7" s="98"/>
      <c r="AH7" s="98"/>
      <c r="AI7" s="98"/>
      <c r="AJ7" s="98"/>
      <c r="AK7" s="98"/>
    </row>
    <row r="8" spans="1:37" s="100" customFormat="1" ht="30" customHeight="1" thickBot="1">
      <c r="A8" s="89"/>
      <c r="B8" s="621" t="s">
        <v>1669</v>
      </c>
      <c r="C8" s="102"/>
      <c r="D8" s="102"/>
      <c r="E8" s="102"/>
      <c r="F8" s="102"/>
      <c r="G8" s="103"/>
      <c r="H8" s="103"/>
      <c r="I8" s="105" t="s">
        <v>2054</v>
      </c>
      <c r="J8" s="106"/>
      <c r="K8" s="106"/>
      <c r="L8" s="106"/>
      <c r="M8" s="106"/>
      <c r="N8" s="106"/>
      <c r="O8" s="106"/>
      <c r="P8" s="106"/>
      <c r="Q8" s="106"/>
      <c r="R8" s="105"/>
      <c r="S8" s="105"/>
      <c r="T8" s="105"/>
      <c r="U8" s="105"/>
      <c r="V8" s="105"/>
    </row>
    <row r="9" spans="1:37" s="157" customFormat="1" ht="30" customHeight="1">
      <c r="A9" s="99"/>
      <c r="B9" s="109"/>
      <c r="C9" s="127"/>
      <c r="D9" s="127"/>
      <c r="E9" s="127"/>
      <c r="F9" s="127"/>
      <c r="G9" s="117"/>
      <c r="H9" s="111"/>
      <c r="I9" s="117"/>
      <c r="J9" s="695" t="s">
        <v>1666</v>
      </c>
      <c r="K9" s="152"/>
      <c r="L9" s="152"/>
      <c r="M9" s="152"/>
      <c r="N9" s="152"/>
      <c r="O9" s="152"/>
      <c r="P9" s="152"/>
      <c r="Q9" s="153"/>
      <c r="R9" s="696" t="s">
        <v>2</v>
      </c>
      <c r="S9" s="155"/>
      <c r="T9" s="155"/>
      <c r="U9" s="155"/>
      <c r="V9" s="156"/>
    </row>
    <row r="10" spans="1:37"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37" s="98" customFormat="1" ht="15" customHeight="1">
      <c r="A11" s="99"/>
      <c r="B11" s="161"/>
      <c r="C11" s="186" t="s">
        <v>2037</v>
      </c>
      <c r="D11" s="162"/>
      <c r="E11" s="162"/>
      <c r="F11" s="162"/>
      <c r="G11" s="163"/>
      <c r="H11" s="163"/>
      <c r="I11" s="117"/>
      <c r="J11" s="159"/>
      <c r="K11" s="117"/>
      <c r="L11" s="117"/>
      <c r="M11" s="117"/>
      <c r="N11" s="117"/>
      <c r="O11" s="117"/>
      <c r="P11" s="117"/>
      <c r="Q11" s="160"/>
      <c r="R11" s="159"/>
      <c r="S11" s="117"/>
      <c r="T11" s="117"/>
      <c r="U11" s="117"/>
      <c r="V11" s="160"/>
    </row>
    <row r="12" spans="1:37" s="98" customFormat="1" ht="15" customHeight="1">
      <c r="A12" s="99"/>
      <c r="B12" s="161"/>
      <c r="D12" s="162" t="s">
        <v>2055</v>
      </c>
      <c r="E12" s="162"/>
      <c r="F12" s="162"/>
      <c r="G12" s="163"/>
      <c r="H12" s="163"/>
      <c r="I12" s="164" t="s">
        <v>164</v>
      </c>
      <c r="J12" s="190">
        <v>43.583333333333336</v>
      </c>
      <c r="K12" s="188">
        <v>87.006849315068493</v>
      </c>
      <c r="L12" s="188">
        <v>140.79166666666666</v>
      </c>
      <c r="M12" s="188">
        <v>160</v>
      </c>
      <c r="N12" s="188">
        <v>150</v>
      </c>
      <c r="O12" s="188">
        <v>103</v>
      </c>
      <c r="P12" s="188">
        <v>103</v>
      </c>
      <c r="Q12" s="189">
        <v>102.48500000000001</v>
      </c>
      <c r="R12" s="190">
        <v>101.97257500000003</v>
      </c>
      <c r="S12" s="188">
        <v>101.46271212500004</v>
      </c>
      <c r="T12" s="188">
        <v>100.95539856437503</v>
      </c>
      <c r="U12" s="188">
        <v>100.45062157155317</v>
      </c>
      <c r="V12" s="189">
        <v>99.948368463695417</v>
      </c>
    </row>
    <row r="13" spans="1:37" s="98" customFormat="1" ht="15" customHeight="1">
      <c r="A13" s="99"/>
      <c r="B13" s="161"/>
      <c r="D13" s="162" t="s">
        <v>2056</v>
      </c>
      <c r="E13" s="162"/>
      <c r="F13" s="162"/>
      <c r="G13" s="163"/>
      <c r="H13" s="163"/>
      <c r="I13" s="164" t="s">
        <v>164</v>
      </c>
      <c r="J13" s="190">
        <v>0</v>
      </c>
      <c r="K13" s="188">
        <v>0</v>
      </c>
      <c r="L13" s="188">
        <v>0</v>
      </c>
      <c r="M13" s="188">
        <v>0</v>
      </c>
      <c r="N13" s="188">
        <v>0</v>
      </c>
      <c r="O13" s="188">
        <v>0</v>
      </c>
      <c r="P13" s="188">
        <v>0</v>
      </c>
      <c r="Q13" s="189">
        <v>0</v>
      </c>
      <c r="R13" s="190">
        <v>0</v>
      </c>
      <c r="S13" s="188">
        <v>0</v>
      </c>
      <c r="T13" s="188">
        <v>0</v>
      </c>
      <c r="U13" s="188">
        <v>0</v>
      </c>
      <c r="V13" s="189">
        <v>0</v>
      </c>
    </row>
    <row r="14" spans="1:37" s="98" customFormat="1" ht="15" customHeight="1">
      <c r="A14" s="99"/>
      <c r="B14" s="161"/>
      <c r="D14" s="162" t="s">
        <v>2057</v>
      </c>
      <c r="E14" s="162"/>
      <c r="F14" s="162"/>
      <c r="G14" s="163"/>
      <c r="H14" s="163"/>
      <c r="I14" s="164" t="s">
        <v>164</v>
      </c>
      <c r="J14" s="190">
        <v>0</v>
      </c>
      <c r="K14" s="188">
        <v>0</v>
      </c>
      <c r="L14" s="188">
        <v>0</v>
      </c>
      <c r="M14" s="188">
        <v>0</v>
      </c>
      <c r="N14" s="188">
        <v>0</v>
      </c>
      <c r="O14" s="188">
        <v>0</v>
      </c>
      <c r="P14" s="188">
        <v>0</v>
      </c>
      <c r="Q14" s="189">
        <v>0</v>
      </c>
      <c r="R14" s="190">
        <v>0</v>
      </c>
      <c r="S14" s="188">
        <v>0</v>
      </c>
      <c r="T14" s="188">
        <v>0</v>
      </c>
      <c r="U14" s="188">
        <v>0</v>
      </c>
      <c r="V14" s="189">
        <v>0</v>
      </c>
    </row>
    <row r="15" spans="1:37" s="98" customFormat="1" ht="15" customHeight="1">
      <c r="A15" s="99"/>
      <c r="B15" s="161"/>
      <c r="D15" s="162" t="s">
        <v>131</v>
      </c>
      <c r="E15" s="162"/>
      <c r="F15" s="162"/>
      <c r="G15" s="163"/>
      <c r="H15" s="163"/>
      <c r="I15" s="164" t="s">
        <v>164</v>
      </c>
      <c r="J15" s="190">
        <v>0</v>
      </c>
      <c r="K15" s="188">
        <v>0</v>
      </c>
      <c r="L15" s="188">
        <v>0</v>
      </c>
      <c r="M15" s="188">
        <v>0</v>
      </c>
      <c r="N15" s="188">
        <v>0</v>
      </c>
      <c r="O15" s="188">
        <v>0</v>
      </c>
      <c r="P15" s="188">
        <v>0</v>
      </c>
      <c r="Q15" s="189">
        <v>0</v>
      </c>
      <c r="R15" s="190">
        <v>0</v>
      </c>
      <c r="S15" s="188">
        <v>0</v>
      </c>
      <c r="T15" s="188">
        <v>0</v>
      </c>
      <c r="U15" s="188">
        <v>0</v>
      </c>
      <c r="V15" s="189">
        <v>0</v>
      </c>
    </row>
    <row r="16" spans="1:37" s="98" customFormat="1" ht="15" customHeight="1">
      <c r="A16" s="99"/>
      <c r="B16" s="181"/>
      <c r="C16" s="182" t="s">
        <v>1710</v>
      </c>
      <c r="D16" s="183"/>
      <c r="E16" s="183"/>
      <c r="F16" s="183"/>
      <c r="G16" s="184"/>
      <c r="H16" s="184"/>
      <c r="I16" s="164" t="s">
        <v>164</v>
      </c>
      <c r="J16" s="875">
        <f>SUM(J12:J15)</f>
        <v>43.583333333333336</v>
      </c>
      <c r="K16" s="876">
        <f t="shared" ref="K16:V16" si="0">SUM(K12:K15)</f>
        <v>87.006849315068493</v>
      </c>
      <c r="L16" s="876">
        <f t="shared" si="0"/>
        <v>140.79166666666666</v>
      </c>
      <c r="M16" s="876">
        <f t="shared" si="0"/>
        <v>160</v>
      </c>
      <c r="N16" s="876">
        <f t="shared" si="0"/>
        <v>150</v>
      </c>
      <c r="O16" s="876">
        <f t="shared" si="0"/>
        <v>103</v>
      </c>
      <c r="P16" s="876">
        <f t="shared" si="0"/>
        <v>103</v>
      </c>
      <c r="Q16" s="228">
        <f t="shared" si="0"/>
        <v>102.48500000000001</v>
      </c>
      <c r="R16" s="875">
        <f t="shared" si="0"/>
        <v>101.97257500000003</v>
      </c>
      <c r="S16" s="876">
        <f t="shared" si="0"/>
        <v>101.46271212500004</v>
      </c>
      <c r="T16" s="876">
        <f t="shared" si="0"/>
        <v>100.95539856437503</v>
      </c>
      <c r="U16" s="876">
        <f t="shared" si="0"/>
        <v>100.45062157155317</v>
      </c>
      <c r="V16" s="228">
        <f t="shared" si="0"/>
        <v>99.948368463695417</v>
      </c>
      <c r="W16" s="185"/>
    </row>
    <row r="17" spans="1:23" s="98" customFormat="1" ht="15" customHeight="1">
      <c r="A17" s="99"/>
      <c r="B17" s="161"/>
      <c r="C17" s="116"/>
      <c r="D17" s="116"/>
      <c r="E17" s="116"/>
      <c r="F17" s="116"/>
      <c r="G17" s="117"/>
      <c r="H17" s="117"/>
      <c r="I17" s="117"/>
      <c r="J17" s="1005"/>
      <c r="K17" s="1003"/>
      <c r="L17" s="1003"/>
      <c r="M17" s="1003"/>
      <c r="N17" s="1003"/>
      <c r="O17" s="1003"/>
      <c r="P17" s="1003"/>
      <c r="Q17" s="1004"/>
      <c r="R17" s="1005"/>
      <c r="S17" s="1003"/>
      <c r="T17" s="1003"/>
      <c r="U17" s="1003"/>
      <c r="V17" s="1004"/>
    </row>
    <row r="18" spans="1:23" s="98" customFormat="1" ht="15" customHeight="1">
      <c r="A18" s="99"/>
      <c r="B18" s="161"/>
      <c r="C18" s="186" t="s">
        <v>2038</v>
      </c>
      <c r="D18" s="162"/>
      <c r="E18" s="162"/>
      <c r="F18" s="162"/>
      <c r="G18" s="163"/>
      <c r="H18" s="163"/>
      <c r="I18" s="117"/>
      <c r="J18" s="1005"/>
      <c r="K18" s="1003"/>
      <c r="L18" s="1003"/>
      <c r="M18" s="1003"/>
      <c r="N18" s="1003"/>
      <c r="O18" s="1003"/>
      <c r="P18" s="1003"/>
      <c r="Q18" s="1004"/>
      <c r="R18" s="1005"/>
      <c r="S18" s="1003"/>
      <c r="T18" s="1003"/>
      <c r="U18" s="1003"/>
      <c r="V18" s="1004"/>
    </row>
    <row r="19" spans="1:23" s="98" customFormat="1" ht="15" customHeight="1">
      <c r="A19" s="99"/>
      <c r="B19" s="161"/>
      <c r="D19" s="162" t="s">
        <v>2055</v>
      </c>
      <c r="E19" s="162"/>
      <c r="F19" s="162"/>
      <c r="G19" s="163"/>
      <c r="H19" s="163"/>
      <c r="I19" s="164" t="s">
        <v>164</v>
      </c>
      <c r="J19" s="190">
        <v>184</v>
      </c>
      <c r="K19" s="188">
        <v>274</v>
      </c>
      <c r="L19" s="188">
        <v>253</v>
      </c>
      <c r="M19" s="188">
        <v>284</v>
      </c>
      <c r="N19" s="188">
        <v>185</v>
      </c>
      <c r="O19" s="188">
        <v>182</v>
      </c>
      <c r="P19" s="188">
        <v>181.01744636969556</v>
      </c>
      <c r="Q19" s="189">
        <v>181.11495947657198</v>
      </c>
      <c r="R19" s="190">
        <v>180.20938467918913</v>
      </c>
      <c r="S19" s="188">
        <v>179.30833775579316</v>
      </c>
      <c r="T19" s="188">
        <v>178.41179606701419</v>
      </c>
      <c r="U19" s="188">
        <v>177.51973708667913</v>
      </c>
      <c r="V19" s="189">
        <v>176.63213840124575</v>
      </c>
    </row>
    <row r="20" spans="1:23" s="98" customFormat="1" ht="15" customHeight="1">
      <c r="A20" s="99"/>
      <c r="B20" s="161"/>
      <c r="D20" s="162" t="s">
        <v>2056</v>
      </c>
      <c r="E20" s="162"/>
      <c r="F20" s="162"/>
      <c r="G20" s="163"/>
      <c r="H20" s="163"/>
      <c r="I20" s="164" t="s">
        <v>164</v>
      </c>
      <c r="J20" s="190">
        <v>0</v>
      </c>
      <c r="K20" s="188">
        <v>0</v>
      </c>
      <c r="L20" s="188">
        <v>0</v>
      </c>
      <c r="M20" s="188">
        <v>0</v>
      </c>
      <c r="N20" s="188">
        <v>0</v>
      </c>
      <c r="O20" s="188">
        <v>0</v>
      </c>
      <c r="P20" s="188">
        <v>0</v>
      </c>
      <c r="Q20" s="189">
        <v>0</v>
      </c>
      <c r="R20" s="190">
        <v>0</v>
      </c>
      <c r="S20" s="188">
        <v>0</v>
      </c>
      <c r="T20" s="188">
        <v>0</v>
      </c>
      <c r="U20" s="188">
        <v>0</v>
      </c>
      <c r="V20" s="189">
        <v>0</v>
      </c>
    </row>
    <row r="21" spans="1:23" s="98" customFormat="1" ht="15" customHeight="1">
      <c r="A21" s="99"/>
      <c r="B21" s="161"/>
      <c r="D21" s="162" t="s">
        <v>2057</v>
      </c>
      <c r="E21" s="162"/>
      <c r="F21" s="162"/>
      <c r="G21" s="163"/>
      <c r="H21" s="163"/>
      <c r="I21" s="164" t="s">
        <v>164</v>
      </c>
      <c r="J21" s="190">
        <v>0</v>
      </c>
      <c r="K21" s="188">
        <v>0</v>
      </c>
      <c r="L21" s="188">
        <v>0</v>
      </c>
      <c r="M21" s="188">
        <v>0</v>
      </c>
      <c r="N21" s="188">
        <v>0</v>
      </c>
      <c r="O21" s="188">
        <v>0</v>
      </c>
      <c r="P21" s="188">
        <v>0</v>
      </c>
      <c r="Q21" s="189">
        <v>0</v>
      </c>
      <c r="R21" s="190">
        <v>0</v>
      </c>
      <c r="S21" s="188">
        <v>0</v>
      </c>
      <c r="T21" s="188">
        <v>0</v>
      </c>
      <c r="U21" s="188">
        <v>0</v>
      </c>
      <c r="V21" s="189">
        <v>0</v>
      </c>
    </row>
    <row r="22" spans="1:23" s="98" customFormat="1" ht="15" customHeight="1">
      <c r="A22" s="99"/>
      <c r="B22" s="161"/>
      <c r="D22" s="162" t="s">
        <v>131</v>
      </c>
      <c r="E22" s="162"/>
      <c r="F22" s="162"/>
      <c r="G22" s="163"/>
      <c r="H22" s="163"/>
      <c r="I22" s="164" t="s">
        <v>164</v>
      </c>
      <c r="J22" s="190">
        <v>0</v>
      </c>
      <c r="K22" s="188">
        <v>0</v>
      </c>
      <c r="L22" s="188">
        <v>0</v>
      </c>
      <c r="M22" s="188">
        <v>0</v>
      </c>
      <c r="N22" s="188">
        <v>0</v>
      </c>
      <c r="O22" s="188">
        <v>0</v>
      </c>
      <c r="P22" s="188">
        <v>0</v>
      </c>
      <c r="Q22" s="189">
        <v>0</v>
      </c>
      <c r="R22" s="190">
        <v>0</v>
      </c>
      <c r="S22" s="188">
        <v>0</v>
      </c>
      <c r="T22" s="188">
        <v>0</v>
      </c>
      <c r="U22" s="188">
        <v>0</v>
      </c>
      <c r="V22" s="189">
        <v>0</v>
      </c>
    </row>
    <row r="23" spans="1:23" s="98" customFormat="1" ht="15" customHeight="1">
      <c r="A23" s="99"/>
      <c r="B23" s="181"/>
      <c r="C23" s="182" t="s">
        <v>1710</v>
      </c>
      <c r="D23" s="183"/>
      <c r="E23" s="183"/>
      <c r="F23" s="183"/>
      <c r="G23" s="184"/>
      <c r="H23" s="184"/>
      <c r="I23" s="164" t="s">
        <v>164</v>
      </c>
      <c r="J23" s="875">
        <f>SUM(J19:J22)</f>
        <v>184</v>
      </c>
      <c r="K23" s="876">
        <f t="shared" ref="K23:V23" si="1">SUM(K19:K22)</f>
        <v>274</v>
      </c>
      <c r="L23" s="876">
        <f t="shared" si="1"/>
        <v>253</v>
      </c>
      <c r="M23" s="876">
        <f t="shared" si="1"/>
        <v>284</v>
      </c>
      <c r="N23" s="876">
        <f t="shared" si="1"/>
        <v>185</v>
      </c>
      <c r="O23" s="876">
        <f t="shared" si="1"/>
        <v>182</v>
      </c>
      <c r="P23" s="876">
        <f t="shared" si="1"/>
        <v>181.01744636969556</v>
      </c>
      <c r="Q23" s="228">
        <f t="shared" si="1"/>
        <v>181.11495947657198</v>
      </c>
      <c r="R23" s="875">
        <f t="shared" si="1"/>
        <v>180.20938467918913</v>
      </c>
      <c r="S23" s="876">
        <f t="shared" si="1"/>
        <v>179.30833775579316</v>
      </c>
      <c r="T23" s="876">
        <f t="shared" si="1"/>
        <v>178.41179606701419</v>
      </c>
      <c r="U23" s="876">
        <f t="shared" si="1"/>
        <v>177.51973708667913</v>
      </c>
      <c r="V23" s="228">
        <f t="shared" si="1"/>
        <v>176.63213840124575</v>
      </c>
      <c r="W23" s="185"/>
    </row>
    <row r="24" spans="1:23" s="98" customFormat="1" ht="15" customHeight="1">
      <c r="A24" s="99"/>
      <c r="B24" s="161"/>
      <c r="C24" s="116"/>
      <c r="D24" s="116"/>
      <c r="E24" s="116"/>
      <c r="F24" s="116"/>
      <c r="G24" s="117"/>
      <c r="H24" s="117"/>
      <c r="I24" s="117"/>
      <c r="J24" s="1005"/>
      <c r="K24" s="1003"/>
      <c r="L24" s="1003"/>
      <c r="M24" s="1003"/>
      <c r="N24" s="1003"/>
      <c r="O24" s="1003"/>
      <c r="P24" s="1003"/>
      <c r="Q24" s="1004"/>
      <c r="R24" s="1005"/>
      <c r="S24" s="1003"/>
      <c r="T24" s="1003"/>
      <c r="U24" s="1003"/>
      <c r="V24" s="1004"/>
    </row>
    <row r="25" spans="1:23" s="98" customFormat="1" ht="15" customHeight="1">
      <c r="A25" s="99"/>
      <c r="B25" s="161"/>
      <c r="C25" s="186" t="s">
        <v>2039</v>
      </c>
      <c r="D25" s="162"/>
      <c r="E25" s="162"/>
      <c r="F25" s="162"/>
      <c r="G25" s="163"/>
      <c r="H25" s="163"/>
      <c r="I25" s="117"/>
      <c r="J25" s="1005"/>
      <c r="K25" s="1003"/>
      <c r="L25" s="1003"/>
      <c r="M25" s="1003"/>
      <c r="N25" s="1003"/>
      <c r="O25" s="1003"/>
      <c r="P25" s="1003"/>
      <c r="Q25" s="1004"/>
      <c r="R25" s="1005"/>
      <c r="S25" s="1003"/>
      <c r="T25" s="1003"/>
      <c r="U25" s="1003"/>
      <c r="V25" s="1004"/>
    </row>
    <row r="26" spans="1:23" s="98" customFormat="1" ht="15" customHeight="1">
      <c r="A26" s="99"/>
      <c r="B26" s="161"/>
      <c r="D26" s="162" t="s">
        <v>2055</v>
      </c>
      <c r="E26" s="162"/>
      <c r="F26" s="162"/>
      <c r="G26" s="163"/>
      <c r="H26" s="163"/>
      <c r="I26" s="164" t="s">
        <v>164</v>
      </c>
      <c r="J26" s="190">
        <v>18</v>
      </c>
      <c r="K26" s="188">
        <v>27.905479452054795</v>
      </c>
      <c r="L26" s="188">
        <v>47.25</v>
      </c>
      <c r="M26" s="188">
        <v>66</v>
      </c>
      <c r="N26" s="188">
        <v>16</v>
      </c>
      <c r="O26" s="188">
        <v>16</v>
      </c>
      <c r="P26" s="188">
        <v>18</v>
      </c>
      <c r="Q26" s="189">
        <v>18</v>
      </c>
      <c r="R26" s="190">
        <v>18</v>
      </c>
      <c r="S26" s="188">
        <v>18</v>
      </c>
      <c r="T26" s="188">
        <v>18</v>
      </c>
      <c r="U26" s="188">
        <v>18</v>
      </c>
      <c r="V26" s="189">
        <v>18</v>
      </c>
    </row>
    <row r="27" spans="1:23" s="98" customFormat="1" ht="15" customHeight="1">
      <c r="A27" s="99"/>
      <c r="B27" s="161"/>
      <c r="D27" s="162" t="s">
        <v>2056</v>
      </c>
      <c r="E27" s="162"/>
      <c r="F27" s="162"/>
      <c r="G27" s="163"/>
      <c r="H27" s="163"/>
      <c r="I27" s="164" t="s">
        <v>164</v>
      </c>
      <c r="J27" s="190">
        <v>0</v>
      </c>
      <c r="K27" s="188">
        <v>0</v>
      </c>
      <c r="L27" s="188">
        <v>0</v>
      </c>
      <c r="M27" s="188">
        <v>0</v>
      </c>
      <c r="N27" s="188">
        <v>0</v>
      </c>
      <c r="O27" s="188">
        <v>0</v>
      </c>
      <c r="P27" s="188">
        <v>0</v>
      </c>
      <c r="Q27" s="189">
        <v>0</v>
      </c>
      <c r="R27" s="190">
        <v>0</v>
      </c>
      <c r="S27" s="188">
        <v>0</v>
      </c>
      <c r="T27" s="188">
        <v>0</v>
      </c>
      <c r="U27" s="188">
        <v>0</v>
      </c>
      <c r="V27" s="189">
        <v>0</v>
      </c>
    </row>
    <row r="28" spans="1:23" s="98" customFormat="1" ht="15" customHeight="1">
      <c r="A28" s="99"/>
      <c r="B28" s="161"/>
      <c r="D28" s="162" t="s">
        <v>2057</v>
      </c>
      <c r="E28" s="162"/>
      <c r="F28" s="162"/>
      <c r="G28" s="163"/>
      <c r="H28" s="163"/>
      <c r="I28" s="164" t="s">
        <v>164</v>
      </c>
      <c r="J28" s="190">
        <v>0</v>
      </c>
      <c r="K28" s="188">
        <v>0</v>
      </c>
      <c r="L28" s="188">
        <v>0</v>
      </c>
      <c r="M28" s="188">
        <v>0</v>
      </c>
      <c r="N28" s="188">
        <v>0</v>
      </c>
      <c r="O28" s="188">
        <v>0</v>
      </c>
      <c r="P28" s="188">
        <v>0</v>
      </c>
      <c r="Q28" s="189">
        <v>0</v>
      </c>
      <c r="R28" s="190">
        <v>0</v>
      </c>
      <c r="S28" s="188">
        <v>0</v>
      </c>
      <c r="T28" s="188">
        <v>0</v>
      </c>
      <c r="U28" s="188">
        <v>0</v>
      </c>
      <c r="V28" s="189">
        <v>0</v>
      </c>
    </row>
    <row r="29" spans="1:23" s="98" customFormat="1" ht="15" customHeight="1">
      <c r="A29" s="99"/>
      <c r="B29" s="161"/>
      <c r="D29" s="162" t="s">
        <v>131</v>
      </c>
      <c r="E29" s="162"/>
      <c r="F29" s="162"/>
      <c r="G29" s="163"/>
      <c r="H29" s="163"/>
      <c r="I29" s="164" t="s">
        <v>164</v>
      </c>
      <c r="J29" s="190">
        <v>0</v>
      </c>
      <c r="K29" s="188">
        <v>0</v>
      </c>
      <c r="L29" s="188">
        <v>0</v>
      </c>
      <c r="M29" s="188">
        <v>0</v>
      </c>
      <c r="N29" s="188">
        <v>0</v>
      </c>
      <c r="O29" s="188">
        <v>0</v>
      </c>
      <c r="P29" s="188">
        <v>0</v>
      </c>
      <c r="Q29" s="189">
        <v>0</v>
      </c>
      <c r="R29" s="190">
        <v>0</v>
      </c>
      <c r="S29" s="188">
        <v>0</v>
      </c>
      <c r="T29" s="188">
        <v>0</v>
      </c>
      <c r="U29" s="188">
        <v>0</v>
      </c>
      <c r="V29" s="189">
        <v>0</v>
      </c>
    </row>
    <row r="30" spans="1:23" s="98" customFormat="1" ht="15" customHeight="1">
      <c r="A30" s="99"/>
      <c r="B30" s="181"/>
      <c r="C30" s="182" t="s">
        <v>1710</v>
      </c>
      <c r="D30" s="183"/>
      <c r="E30" s="183"/>
      <c r="F30" s="183"/>
      <c r="G30" s="184"/>
      <c r="H30" s="184"/>
      <c r="I30" s="164" t="s">
        <v>164</v>
      </c>
      <c r="J30" s="875">
        <f>SUM(J26:J29)</f>
        <v>18</v>
      </c>
      <c r="K30" s="876">
        <f t="shared" ref="K30:V30" si="2">SUM(K26:K29)</f>
        <v>27.905479452054795</v>
      </c>
      <c r="L30" s="876">
        <f t="shared" si="2"/>
        <v>47.25</v>
      </c>
      <c r="M30" s="876">
        <f t="shared" si="2"/>
        <v>66</v>
      </c>
      <c r="N30" s="876">
        <f t="shared" si="2"/>
        <v>16</v>
      </c>
      <c r="O30" s="876">
        <f t="shared" si="2"/>
        <v>16</v>
      </c>
      <c r="P30" s="876">
        <f t="shared" si="2"/>
        <v>18</v>
      </c>
      <c r="Q30" s="228">
        <f t="shared" si="2"/>
        <v>18</v>
      </c>
      <c r="R30" s="875">
        <f t="shared" si="2"/>
        <v>18</v>
      </c>
      <c r="S30" s="876">
        <f t="shared" si="2"/>
        <v>18</v>
      </c>
      <c r="T30" s="876">
        <f t="shared" si="2"/>
        <v>18</v>
      </c>
      <c r="U30" s="876">
        <f t="shared" si="2"/>
        <v>18</v>
      </c>
      <c r="V30" s="228">
        <f t="shared" si="2"/>
        <v>18</v>
      </c>
      <c r="W30" s="185"/>
    </row>
    <row r="31" spans="1:23" s="98" customFormat="1" ht="15" customHeight="1">
      <c r="A31" s="99"/>
      <c r="B31" s="161"/>
      <c r="C31" s="116"/>
      <c r="D31" s="116"/>
      <c r="E31" s="116"/>
      <c r="F31" s="116"/>
      <c r="G31" s="117"/>
      <c r="H31" s="117"/>
      <c r="I31" s="117"/>
      <c r="J31" s="1005"/>
      <c r="K31" s="1003"/>
      <c r="L31" s="1003"/>
      <c r="M31" s="1003"/>
      <c r="N31" s="1003"/>
      <c r="O31" s="1003"/>
      <c r="P31" s="1003"/>
      <c r="Q31" s="1004"/>
      <c r="R31" s="1005"/>
      <c r="S31" s="1003"/>
      <c r="T31" s="1003"/>
      <c r="U31" s="1003"/>
      <c r="V31" s="1004"/>
    </row>
    <row r="32" spans="1:23" s="98" customFormat="1" ht="15" customHeight="1">
      <c r="A32" s="99"/>
      <c r="B32" s="161"/>
      <c r="C32" s="186" t="s">
        <v>1709</v>
      </c>
      <c r="D32" s="162"/>
      <c r="E32" s="162"/>
      <c r="F32" s="162"/>
      <c r="G32" s="163"/>
      <c r="H32" s="163"/>
      <c r="I32" s="117"/>
      <c r="J32" s="1005"/>
      <c r="K32" s="1003"/>
      <c r="L32" s="1003"/>
      <c r="M32" s="1003"/>
      <c r="N32" s="1003"/>
      <c r="O32" s="1003"/>
      <c r="P32" s="1003"/>
      <c r="Q32" s="1004"/>
      <c r="R32" s="1005"/>
      <c r="S32" s="1003"/>
      <c r="T32" s="1003"/>
      <c r="U32" s="1003"/>
      <c r="V32" s="1004"/>
    </row>
    <row r="33" spans="1:24" s="98" customFormat="1" ht="15" customHeight="1">
      <c r="A33" s="99"/>
      <c r="B33" s="161"/>
      <c r="D33" s="162" t="s">
        <v>2055</v>
      </c>
      <c r="E33" s="162"/>
      <c r="F33" s="162"/>
      <c r="G33" s="163"/>
      <c r="H33" s="163"/>
      <c r="I33" s="164" t="s">
        <v>164</v>
      </c>
      <c r="J33" s="190">
        <v>22.416666666666668</v>
      </c>
      <c r="K33" s="188">
        <v>26.402739726027399</v>
      </c>
      <c r="L33" s="188">
        <v>29.583333333333336</v>
      </c>
      <c r="M33" s="188">
        <v>25</v>
      </c>
      <c r="N33" s="188">
        <v>26</v>
      </c>
      <c r="O33" s="188">
        <v>28</v>
      </c>
      <c r="P33" s="188">
        <v>28</v>
      </c>
      <c r="Q33" s="189">
        <v>28</v>
      </c>
      <c r="R33" s="190">
        <v>28</v>
      </c>
      <c r="S33" s="188">
        <v>28</v>
      </c>
      <c r="T33" s="188">
        <v>28</v>
      </c>
      <c r="U33" s="188">
        <v>28</v>
      </c>
      <c r="V33" s="189">
        <v>28</v>
      </c>
    </row>
    <row r="34" spans="1:24" s="98" customFormat="1" ht="15" customHeight="1">
      <c r="A34" s="99"/>
      <c r="B34" s="161"/>
      <c r="D34" s="162" t="s">
        <v>2056</v>
      </c>
      <c r="E34" s="162"/>
      <c r="F34" s="162"/>
      <c r="G34" s="163"/>
      <c r="H34" s="163"/>
      <c r="I34" s="164" t="s">
        <v>164</v>
      </c>
      <c r="J34" s="190">
        <v>0</v>
      </c>
      <c r="K34" s="188">
        <v>0</v>
      </c>
      <c r="L34" s="188">
        <v>0</v>
      </c>
      <c r="M34" s="188">
        <v>0</v>
      </c>
      <c r="N34" s="188">
        <v>0</v>
      </c>
      <c r="O34" s="188">
        <v>0</v>
      </c>
      <c r="P34" s="188">
        <v>0</v>
      </c>
      <c r="Q34" s="189">
        <v>0</v>
      </c>
      <c r="R34" s="190">
        <v>0</v>
      </c>
      <c r="S34" s="188">
        <v>0</v>
      </c>
      <c r="T34" s="188">
        <v>0</v>
      </c>
      <c r="U34" s="188">
        <v>0</v>
      </c>
      <c r="V34" s="189">
        <v>0</v>
      </c>
    </row>
    <row r="35" spans="1:24" s="98" customFormat="1" ht="15" customHeight="1">
      <c r="A35" s="99"/>
      <c r="B35" s="161"/>
      <c r="D35" s="162" t="s">
        <v>2057</v>
      </c>
      <c r="E35" s="162"/>
      <c r="F35" s="162"/>
      <c r="G35" s="163"/>
      <c r="H35" s="163"/>
      <c r="I35" s="164" t="s">
        <v>164</v>
      </c>
      <c r="J35" s="190">
        <v>0</v>
      </c>
      <c r="K35" s="188">
        <v>0</v>
      </c>
      <c r="L35" s="188">
        <v>0</v>
      </c>
      <c r="M35" s="188">
        <v>0</v>
      </c>
      <c r="N35" s="188">
        <v>0</v>
      </c>
      <c r="O35" s="188">
        <v>0</v>
      </c>
      <c r="P35" s="188">
        <v>0</v>
      </c>
      <c r="Q35" s="189">
        <v>0</v>
      </c>
      <c r="R35" s="190">
        <v>0</v>
      </c>
      <c r="S35" s="188">
        <v>0</v>
      </c>
      <c r="T35" s="188">
        <v>0</v>
      </c>
      <c r="U35" s="188">
        <v>0</v>
      </c>
      <c r="V35" s="189">
        <v>0</v>
      </c>
    </row>
    <row r="36" spans="1:24" s="98" customFormat="1" ht="15" customHeight="1">
      <c r="A36" s="99"/>
      <c r="B36" s="161"/>
      <c r="D36" s="162" t="s">
        <v>131</v>
      </c>
      <c r="E36" s="162"/>
      <c r="F36" s="162"/>
      <c r="G36" s="163"/>
      <c r="H36" s="163"/>
      <c r="I36" s="164" t="s">
        <v>164</v>
      </c>
      <c r="J36" s="190">
        <v>0</v>
      </c>
      <c r="K36" s="188">
        <v>0</v>
      </c>
      <c r="L36" s="188">
        <v>0</v>
      </c>
      <c r="M36" s="188">
        <v>0</v>
      </c>
      <c r="N36" s="188">
        <v>0</v>
      </c>
      <c r="O36" s="188">
        <v>0</v>
      </c>
      <c r="P36" s="188">
        <v>0</v>
      </c>
      <c r="Q36" s="189">
        <v>0</v>
      </c>
      <c r="R36" s="190">
        <v>0</v>
      </c>
      <c r="S36" s="188">
        <v>0</v>
      </c>
      <c r="T36" s="188">
        <v>0</v>
      </c>
      <c r="U36" s="188">
        <v>0</v>
      </c>
      <c r="V36" s="189">
        <v>0</v>
      </c>
    </row>
    <row r="37" spans="1:24" s="98" customFormat="1" ht="15" customHeight="1">
      <c r="A37" s="99"/>
      <c r="B37" s="181"/>
      <c r="C37" s="182" t="s">
        <v>1710</v>
      </c>
      <c r="D37" s="183"/>
      <c r="E37" s="183"/>
      <c r="F37" s="183"/>
      <c r="G37" s="184"/>
      <c r="H37" s="184"/>
      <c r="I37" s="164" t="s">
        <v>164</v>
      </c>
      <c r="J37" s="875">
        <f>SUM(J33:J36)</f>
        <v>22.416666666666668</v>
      </c>
      <c r="K37" s="876">
        <f t="shared" ref="K37:V37" si="3">SUM(K33:K36)</f>
        <v>26.402739726027399</v>
      </c>
      <c r="L37" s="876">
        <f t="shared" si="3"/>
        <v>29.583333333333336</v>
      </c>
      <c r="M37" s="876">
        <f t="shared" si="3"/>
        <v>25</v>
      </c>
      <c r="N37" s="876">
        <f t="shared" si="3"/>
        <v>26</v>
      </c>
      <c r="O37" s="876">
        <f t="shared" si="3"/>
        <v>28</v>
      </c>
      <c r="P37" s="876">
        <f t="shared" si="3"/>
        <v>28</v>
      </c>
      <c r="Q37" s="228">
        <f t="shared" si="3"/>
        <v>28</v>
      </c>
      <c r="R37" s="875">
        <f t="shared" si="3"/>
        <v>28</v>
      </c>
      <c r="S37" s="876">
        <f t="shared" si="3"/>
        <v>28</v>
      </c>
      <c r="T37" s="876">
        <f t="shared" si="3"/>
        <v>28</v>
      </c>
      <c r="U37" s="876">
        <f t="shared" si="3"/>
        <v>28</v>
      </c>
      <c r="V37" s="228">
        <f t="shared" si="3"/>
        <v>28</v>
      </c>
      <c r="W37" s="185"/>
    </row>
    <row r="38" spans="1:24" s="98" customFormat="1" ht="15" customHeight="1">
      <c r="A38" s="99"/>
      <c r="B38" s="161"/>
      <c r="C38" s="116"/>
      <c r="D38" s="116"/>
      <c r="E38" s="116"/>
      <c r="F38" s="116"/>
      <c r="G38" s="117"/>
      <c r="H38" s="117"/>
      <c r="I38" s="117"/>
      <c r="J38" s="1005"/>
      <c r="K38" s="1003"/>
      <c r="L38" s="1003"/>
      <c r="M38" s="1003"/>
      <c r="N38" s="1003"/>
      <c r="O38" s="1003"/>
      <c r="P38" s="1003"/>
      <c r="Q38" s="1004"/>
      <c r="R38" s="1005"/>
      <c r="S38" s="1003"/>
      <c r="T38" s="1003"/>
      <c r="U38" s="1003"/>
      <c r="V38" s="1004"/>
    </row>
    <row r="39" spans="1:24" s="98" customFormat="1" ht="15" customHeight="1" thickBot="1">
      <c r="A39" s="99"/>
      <c r="B39" s="131" t="s">
        <v>1701</v>
      </c>
      <c r="C39" s="132"/>
      <c r="D39" s="132"/>
      <c r="E39" s="132"/>
      <c r="F39" s="132"/>
      <c r="G39" s="145"/>
      <c r="H39" s="133"/>
      <c r="I39" s="146" t="s">
        <v>164</v>
      </c>
      <c r="J39" s="1002">
        <f>SUM(J16,J23,J30,J37)</f>
        <v>268</v>
      </c>
      <c r="K39" s="1000">
        <f t="shared" ref="K39:V39" si="4">SUM(K16,K23,K30,K37)</f>
        <v>415.3150684931507</v>
      </c>
      <c r="L39" s="1000">
        <f t="shared" si="4"/>
        <v>470.62499999999994</v>
      </c>
      <c r="M39" s="1000">
        <f t="shared" si="4"/>
        <v>535</v>
      </c>
      <c r="N39" s="1000">
        <f t="shared" si="4"/>
        <v>377</v>
      </c>
      <c r="O39" s="1000">
        <f t="shared" si="4"/>
        <v>329</v>
      </c>
      <c r="P39" s="1000">
        <f t="shared" si="4"/>
        <v>330.01744636969556</v>
      </c>
      <c r="Q39" s="1001">
        <f t="shared" si="4"/>
        <v>329.599959476572</v>
      </c>
      <c r="R39" s="1002">
        <f t="shared" si="4"/>
        <v>328.18195967918916</v>
      </c>
      <c r="S39" s="1000">
        <f t="shared" si="4"/>
        <v>326.77104988079321</v>
      </c>
      <c r="T39" s="1000">
        <f t="shared" si="4"/>
        <v>325.36719463138922</v>
      </c>
      <c r="U39" s="1000">
        <f t="shared" si="4"/>
        <v>323.97035865823227</v>
      </c>
      <c r="V39" s="1001">
        <f t="shared" si="4"/>
        <v>322.58050686494119</v>
      </c>
    </row>
    <row r="40" spans="1:24" s="99" customFormat="1" ht="15" customHeight="1" thickBot="1">
      <c r="B40" s="150"/>
      <c r="C40" s="95"/>
      <c r="D40" s="95"/>
      <c r="E40" s="95"/>
      <c r="F40" s="95"/>
      <c r="G40" s="97"/>
      <c r="H40" s="97"/>
      <c r="I40" s="98"/>
      <c r="J40" s="1006"/>
      <c r="K40" s="1006"/>
      <c r="L40" s="1006"/>
      <c r="M40" s="1006"/>
      <c r="N40" s="1006"/>
      <c r="O40" s="1006"/>
      <c r="P40" s="1006"/>
      <c r="Q40" s="1006"/>
      <c r="R40" s="1006"/>
      <c r="S40" s="1006"/>
      <c r="T40" s="1006"/>
      <c r="U40" s="1006"/>
      <c r="V40" s="1006"/>
      <c r="W40" s="98"/>
      <c r="X40" s="98"/>
    </row>
    <row r="41" spans="1:24" s="100" customFormat="1" ht="30" customHeight="1" thickBot="1">
      <c r="A41" s="89"/>
      <c r="B41" s="621" t="s">
        <v>1711</v>
      </c>
      <c r="C41" s="762"/>
      <c r="D41" s="762"/>
      <c r="E41" s="762"/>
      <c r="F41" s="762"/>
      <c r="G41" s="763"/>
      <c r="H41" s="103"/>
      <c r="I41" s="105" t="s">
        <v>2054</v>
      </c>
      <c r="J41" s="1007"/>
      <c r="K41" s="1007"/>
      <c r="L41" s="1007"/>
      <c r="M41" s="1007"/>
      <c r="N41" s="1007"/>
      <c r="O41" s="1007"/>
      <c r="P41" s="1007"/>
      <c r="Q41" s="1007"/>
      <c r="R41" s="1008"/>
      <c r="S41" s="1008"/>
      <c r="T41" s="1008"/>
      <c r="U41" s="1008"/>
      <c r="V41" s="1008"/>
    </row>
    <row r="42" spans="1:24" s="157" customFormat="1" ht="30" customHeight="1">
      <c r="A42" s="99"/>
      <c r="B42" s="109"/>
      <c r="C42" s="127"/>
      <c r="D42" s="127"/>
      <c r="E42" s="127"/>
      <c r="F42" s="127"/>
      <c r="G42" s="117"/>
      <c r="H42" s="111"/>
      <c r="I42" s="117"/>
      <c r="J42" s="1009" t="s">
        <v>1666</v>
      </c>
      <c r="K42" s="1010"/>
      <c r="L42" s="1010"/>
      <c r="M42" s="1010"/>
      <c r="N42" s="1010"/>
      <c r="O42" s="1010"/>
      <c r="P42" s="1010"/>
      <c r="Q42" s="1011"/>
      <c r="R42" s="1012" t="s">
        <v>2</v>
      </c>
      <c r="S42" s="1013"/>
      <c r="T42" s="1013"/>
      <c r="U42" s="1013"/>
      <c r="V42" s="1014"/>
    </row>
    <row r="43" spans="1:24" s="98" customFormat="1" ht="15" customHeight="1">
      <c r="A43" s="99"/>
      <c r="B43" s="115"/>
      <c r="C43" s="116"/>
      <c r="D43" s="116"/>
      <c r="E43" s="116"/>
      <c r="F43" s="116"/>
      <c r="G43" s="117"/>
      <c r="H43" s="117"/>
      <c r="I43" s="119" t="s">
        <v>1667</v>
      </c>
      <c r="J43" s="1015" t="s">
        <v>453</v>
      </c>
      <c r="K43" s="1016" t="s">
        <v>455</v>
      </c>
      <c r="L43" s="1016" t="s">
        <v>457</v>
      </c>
      <c r="M43" s="1016" t="s">
        <v>459</v>
      </c>
      <c r="N43" s="1016" t="s">
        <v>461</v>
      </c>
      <c r="O43" s="1016" t="s">
        <v>463</v>
      </c>
      <c r="P43" s="1016" t="s">
        <v>465</v>
      </c>
      <c r="Q43" s="1017" t="s">
        <v>467</v>
      </c>
      <c r="R43" s="1018" t="s">
        <v>469</v>
      </c>
      <c r="S43" s="1019" t="s">
        <v>471</v>
      </c>
      <c r="T43" s="1019" t="s">
        <v>473</v>
      </c>
      <c r="U43" s="1019" t="s">
        <v>475</v>
      </c>
      <c r="V43" s="1020" t="s">
        <v>477</v>
      </c>
    </row>
    <row r="44" spans="1:24" s="98" customFormat="1" ht="15" customHeight="1">
      <c r="A44" s="99"/>
      <c r="B44" s="161"/>
      <c r="C44" s="186" t="s">
        <v>40</v>
      </c>
      <c r="D44" s="162"/>
      <c r="E44" s="162"/>
      <c r="F44" s="162"/>
      <c r="G44" s="163"/>
      <c r="H44" s="163"/>
      <c r="I44" s="117"/>
      <c r="J44" s="1005"/>
      <c r="K44" s="1003"/>
      <c r="L44" s="1003"/>
      <c r="M44" s="1003"/>
      <c r="N44" s="1003"/>
      <c r="O44" s="1003"/>
      <c r="P44" s="1003"/>
      <c r="Q44" s="1004"/>
      <c r="R44" s="1005"/>
      <c r="S44" s="1003"/>
      <c r="T44" s="1003"/>
      <c r="U44" s="1003"/>
      <c r="V44" s="1004"/>
    </row>
    <row r="45" spans="1:24" s="98" customFormat="1" ht="15" customHeight="1">
      <c r="A45" s="99"/>
      <c r="B45" s="161"/>
      <c r="D45" s="162" t="s">
        <v>2055</v>
      </c>
      <c r="E45" s="162"/>
      <c r="F45" s="162"/>
      <c r="G45" s="163"/>
      <c r="H45" s="163"/>
      <c r="I45" s="164" t="s">
        <v>164</v>
      </c>
      <c r="J45" s="190">
        <v>190</v>
      </c>
      <c r="K45" s="188">
        <v>205</v>
      </c>
      <c r="L45" s="188">
        <v>210</v>
      </c>
      <c r="M45" s="188">
        <v>201</v>
      </c>
      <c r="N45" s="188">
        <v>198</v>
      </c>
      <c r="O45" s="188">
        <v>201</v>
      </c>
      <c r="P45" s="188">
        <v>211.08481129806597</v>
      </c>
      <c r="Q45" s="189">
        <v>209.88481129806598</v>
      </c>
      <c r="R45" s="190">
        <v>208.38481129806598</v>
      </c>
      <c r="S45" s="188">
        <v>206.88481129806598</v>
      </c>
      <c r="T45" s="188">
        <v>205.38481129806598</v>
      </c>
      <c r="U45" s="188">
        <v>203.88481129806598</v>
      </c>
      <c r="V45" s="189">
        <v>202.38481129806598</v>
      </c>
    </row>
    <row r="46" spans="1:24" s="98" customFormat="1" ht="15" customHeight="1">
      <c r="A46" s="99"/>
      <c r="B46" s="161"/>
      <c r="D46" s="162" t="s">
        <v>2056</v>
      </c>
      <c r="E46" s="162"/>
      <c r="F46" s="162"/>
      <c r="G46" s="163"/>
      <c r="H46" s="163"/>
      <c r="I46" s="164" t="s">
        <v>164</v>
      </c>
      <c r="J46" s="190">
        <v>0</v>
      </c>
      <c r="K46" s="188">
        <v>0</v>
      </c>
      <c r="L46" s="188">
        <v>0</v>
      </c>
      <c r="M46" s="188">
        <v>0</v>
      </c>
      <c r="N46" s="188">
        <v>0</v>
      </c>
      <c r="O46" s="188">
        <v>0</v>
      </c>
      <c r="P46" s="188">
        <v>0</v>
      </c>
      <c r="Q46" s="189">
        <v>0</v>
      </c>
      <c r="R46" s="190">
        <v>0</v>
      </c>
      <c r="S46" s="188">
        <v>0</v>
      </c>
      <c r="T46" s="188">
        <v>0</v>
      </c>
      <c r="U46" s="188">
        <v>0</v>
      </c>
      <c r="V46" s="189">
        <v>0</v>
      </c>
    </row>
    <row r="47" spans="1:24" s="98" customFormat="1" ht="15" customHeight="1">
      <c r="A47" s="99"/>
      <c r="B47" s="161"/>
      <c r="D47" s="162" t="s">
        <v>2057</v>
      </c>
      <c r="E47" s="162"/>
      <c r="F47" s="162"/>
      <c r="G47" s="163"/>
      <c r="H47" s="163"/>
      <c r="I47" s="164" t="s">
        <v>164</v>
      </c>
      <c r="J47" s="190">
        <v>0</v>
      </c>
      <c r="K47" s="188">
        <v>0</v>
      </c>
      <c r="L47" s="188">
        <v>0</v>
      </c>
      <c r="M47" s="188">
        <v>0</v>
      </c>
      <c r="N47" s="188">
        <v>0</v>
      </c>
      <c r="O47" s="188">
        <v>0</v>
      </c>
      <c r="P47" s="188">
        <v>0</v>
      </c>
      <c r="Q47" s="189">
        <v>0</v>
      </c>
      <c r="R47" s="190">
        <v>0</v>
      </c>
      <c r="S47" s="188">
        <v>0</v>
      </c>
      <c r="T47" s="188">
        <v>0</v>
      </c>
      <c r="U47" s="188">
        <v>0</v>
      </c>
      <c r="V47" s="189">
        <v>0</v>
      </c>
    </row>
    <row r="48" spans="1:24" s="98" customFormat="1" ht="15" customHeight="1">
      <c r="A48" s="99"/>
      <c r="B48" s="161"/>
      <c r="D48" s="162" t="s">
        <v>131</v>
      </c>
      <c r="E48" s="162"/>
      <c r="F48" s="162"/>
      <c r="G48" s="163"/>
      <c r="H48" s="163"/>
      <c r="I48" s="164" t="s">
        <v>164</v>
      </c>
      <c r="J48" s="190">
        <v>0</v>
      </c>
      <c r="K48" s="188">
        <v>0</v>
      </c>
      <c r="L48" s="188">
        <v>0</v>
      </c>
      <c r="M48" s="188">
        <v>0</v>
      </c>
      <c r="N48" s="188">
        <v>0</v>
      </c>
      <c r="O48" s="188">
        <v>0</v>
      </c>
      <c r="P48" s="188">
        <v>0</v>
      </c>
      <c r="Q48" s="189">
        <v>0</v>
      </c>
      <c r="R48" s="190">
        <v>0</v>
      </c>
      <c r="S48" s="188">
        <v>0</v>
      </c>
      <c r="T48" s="188">
        <v>0</v>
      </c>
      <c r="U48" s="188">
        <v>0</v>
      </c>
      <c r="V48" s="189">
        <v>0</v>
      </c>
    </row>
    <row r="49" spans="1:23" s="98" customFormat="1" ht="15" customHeight="1">
      <c r="A49" s="99"/>
      <c r="B49" s="181"/>
      <c r="C49" s="182" t="s">
        <v>1710</v>
      </c>
      <c r="D49" s="183"/>
      <c r="E49" s="183"/>
      <c r="F49" s="183"/>
      <c r="G49" s="184"/>
      <c r="H49" s="184"/>
      <c r="I49" s="164" t="s">
        <v>164</v>
      </c>
      <c r="J49" s="875">
        <f>SUM(J45:J48)</f>
        <v>190</v>
      </c>
      <c r="K49" s="876">
        <f t="shared" ref="K49:V49" si="5">SUM(K45:K48)</f>
        <v>205</v>
      </c>
      <c r="L49" s="876">
        <f t="shared" si="5"/>
        <v>210</v>
      </c>
      <c r="M49" s="876">
        <f t="shared" si="5"/>
        <v>201</v>
      </c>
      <c r="N49" s="876">
        <f t="shared" si="5"/>
        <v>198</v>
      </c>
      <c r="O49" s="876">
        <f t="shared" si="5"/>
        <v>201</v>
      </c>
      <c r="P49" s="876">
        <f t="shared" si="5"/>
        <v>211.08481129806597</v>
      </c>
      <c r="Q49" s="228">
        <f t="shared" si="5"/>
        <v>209.88481129806598</v>
      </c>
      <c r="R49" s="875">
        <f t="shared" si="5"/>
        <v>208.38481129806598</v>
      </c>
      <c r="S49" s="876">
        <f t="shared" si="5"/>
        <v>206.88481129806598</v>
      </c>
      <c r="T49" s="876">
        <f t="shared" si="5"/>
        <v>205.38481129806598</v>
      </c>
      <c r="U49" s="876">
        <f t="shared" si="5"/>
        <v>203.88481129806598</v>
      </c>
      <c r="V49" s="228">
        <f t="shared" si="5"/>
        <v>202.38481129806598</v>
      </c>
      <c r="W49" s="185"/>
    </row>
    <row r="50" spans="1:23" s="98" customFormat="1" ht="15" customHeight="1">
      <c r="A50" s="99"/>
      <c r="B50" s="161"/>
      <c r="C50" s="116"/>
      <c r="D50" s="116"/>
      <c r="E50" s="116"/>
      <c r="F50" s="116"/>
      <c r="G50" s="117"/>
      <c r="H50" s="117"/>
      <c r="I50" s="117"/>
      <c r="J50" s="1005"/>
      <c r="K50" s="1003"/>
      <c r="L50" s="1003"/>
      <c r="M50" s="1003"/>
      <c r="N50" s="1003"/>
      <c r="O50" s="1003"/>
      <c r="P50" s="1003"/>
      <c r="Q50" s="1004"/>
      <c r="R50" s="1005"/>
      <c r="S50" s="1003"/>
      <c r="T50" s="1003"/>
      <c r="U50" s="1003"/>
      <c r="V50" s="1004"/>
    </row>
    <row r="51" spans="1:23" s="98" customFormat="1" ht="15" customHeight="1">
      <c r="A51" s="99"/>
      <c r="B51" s="161"/>
      <c r="C51" s="186" t="s">
        <v>1770</v>
      </c>
      <c r="D51" s="162"/>
      <c r="E51" s="162"/>
      <c r="F51" s="162"/>
      <c r="G51" s="163"/>
      <c r="H51" s="163"/>
      <c r="I51" s="117"/>
      <c r="J51" s="1005"/>
      <c r="K51" s="1003"/>
      <c r="L51" s="1003"/>
      <c r="M51" s="1003"/>
      <c r="N51" s="1003"/>
      <c r="O51" s="1003"/>
      <c r="P51" s="1003"/>
      <c r="Q51" s="1004"/>
      <c r="R51" s="1005"/>
      <c r="S51" s="1003"/>
      <c r="T51" s="1003"/>
      <c r="U51" s="1003"/>
      <c r="V51" s="1004"/>
    </row>
    <row r="52" spans="1:23" s="98" customFormat="1" ht="15" customHeight="1">
      <c r="A52" s="99"/>
      <c r="B52" s="161"/>
      <c r="D52" s="162" t="s">
        <v>2055</v>
      </c>
      <c r="E52" s="162"/>
      <c r="F52" s="162"/>
      <c r="G52" s="163"/>
      <c r="H52" s="163"/>
      <c r="I52" s="164" t="s">
        <v>164</v>
      </c>
      <c r="J52" s="190">
        <v>318</v>
      </c>
      <c r="K52" s="188">
        <v>307</v>
      </c>
      <c r="L52" s="188">
        <v>319</v>
      </c>
      <c r="M52" s="188">
        <v>312</v>
      </c>
      <c r="N52" s="188">
        <v>260</v>
      </c>
      <c r="O52" s="188">
        <v>292</v>
      </c>
      <c r="P52" s="188">
        <v>299.34489929285058</v>
      </c>
      <c r="Q52" s="189">
        <v>295.57032664736465</v>
      </c>
      <c r="R52" s="190">
        <v>291.98284456393679</v>
      </c>
      <c r="S52" s="188">
        <v>288.57777577851556</v>
      </c>
      <c r="T52" s="188">
        <v>285.35055995865076</v>
      </c>
      <c r="U52" s="188">
        <v>282.29675078020335</v>
      </c>
      <c r="V52" s="189">
        <v>279.41201307713806</v>
      </c>
    </row>
    <row r="53" spans="1:23" s="98" customFormat="1" ht="15" customHeight="1">
      <c r="A53" s="99"/>
      <c r="B53" s="161"/>
      <c r="D53" s="162" t="s">
        <v>2056</v>
      </c>
      <c r="E53" s="162"/>
      <c r="F53" s="162"/>
      <c r="G53" s="163"/>
      <c r="H53" s="163"/>
      <c r="I53" s="164" t="s">
        <v>164</v>
      </c>
      <c r="J53" s="190">
        <v>0</v>
      </c>
      <c r="K53" s="188">
        <v>0</v>
      </c>
      <c r="L53" s="188">
        <v>0</v>
      </c>
      <c r="M53" s="188">
        <v>0</v>
      </c>
      <c r="N53" s="188">
        <v>0</v>
      </c>
      <c r="O53" s="188">
        <v>0</v>
      </c>
      <c r="P53" s="188">
        <v>0</v>
      </c>
      <c r="Q53" s="189">
        <v>0</v>
      </c>
      <c r="R53" s="190">
        <v>0</v>
      </c>
      <c r="S53" s="188">
        <v>0</v>
      </c>
      <c r="T53" s="188">
        <v>0</v>
      </c>
      <c r="U53" s="188">
        <v>0</v>
      </c>
      <c r="V53" s="189">
        <v>0</v>
      </c>
    </row>
    <row r="54" spans="1:23" s="98" customFormat="1" ht="15" customHeight="1">
      <c r="A54" s="99"/>
      <c r="B54" s="161"/>
      <c r="D54" s="162" t="s">
        <v>2057</v>
      </c>
      <c r="E54" s="162"/>
      <c r="F54" s="162"/>
      <c r="G54" s="163"/>
      <c r="H54" s="163"/>
      <c r="I54" s="164" t="s">
        <v>164</v>
      </c>
      <c r="J54" s="190">
        <v>38.066342020126861</v>
      </c>
      <c r="K54" s="188">
        <v>38.066342020126861</v>
      </c>
      <c r="L54" s="188">
        <v>38.066342020126861</v>
      </c>
      <c r="M54" s="188">
        <v>38.066342020126861</v>
      </c>
      <c r="N54" s="188">
        <v>38.066342020126861</v>
      </c>
      <c r="O54" s="188">
        <v>38.066342020126861</v>
      </c>
      <c r="P54" s="188">
        <v>39.023853830349594</v>
      </c>
      <c r="Q54" s="189">
        <v>37.243680320086767</v>
      </c>
      <c r="R54" s="190">
        <v>35.487896718467894</v>
      </c>
      <c r="S54" s="188">
        <v>33.755893277776899</v>
      </c>
      <c r="T54" s="188">
        <v>32.047075493990583</v>
      </c>
      <c r="U54" s="188">
        <v>30.360863725686311</v>
      </c>
      <c r="V54" s="189">
        <v>28.696692822477043</v>
      </c>
    </row>
    <row r="55" spans="1:23" s="98" customFormat="1" ht="15" customHeight="1">
      <c r="A55" s="99"/>
      <c r="B55" s="161"/>
      <c r="D55" s="162" t="s">
        <v>131</v>
      </c>
      <c r="E55" s="162"/>
      <c r="F55" s="162"/>
      <c r="G55" s="163"/>
      <c r="H55" s="163"/>
      <c r="I55" s="164" t="s">
        <v>164</v>
      </c>
      <c r="J55" s="190">
        <v>0</v>
      </c>
      <c r="K55" s="188">
        <v>0</v>
      </c>
      <c r="L55" s="188">
        <v>0</v>
      </c>
      <c r="M55" s="188">
        <v>0</v>
      </c>
      <c r="N55" s="188">
        <v>0</v>
      </c>
      <c r="O55" s="188">
        <v>0</v>
      </c>
      <c r="P55" s="188">
        <v>0</v>
      </c>
      <c r="Q55" s="189">
        <v>0</v>
      </c>
      <c r="R55" s="190">
        <v>0</v>
      </c>
      <c r="S55" s="188">
        <v>0</v>
      </c>
      <c r="T55" s="188">
        <v>0</v>
      </c>
      <c r="U55" s="188">
        <v>0</v>
      </c>
      <c r="V55" s="189">
        <v>0</v>
      </c>
    </row>
    <row r="56" spans="1:23" s="98" customFormat="1" ht="15" customHeight="1">
      <c r="A56" s="99"/>
      <c r="B56" s="181"/>
      <c r="C56" s="182" t="s">
        <v>1710</v>
      </c>
      <c r="D56" s="183"/>
      <c r="E56" s="183"/>
      <c r="F56" s="183"/>
      <c r="G56" s="184"/>
      <c r="H56" s="184"/>
      <c r="I56" s="164" t="s">
        <v>164</v>
      </c>
      <c r="J56" s="875">
        <f>SUM(J52:J55)</f>
        <v>356.06634202012685</v>
      </c>
      <c r="K56" s="876">
        <f t="shared" ref="K56:V56" si="6">SUM(K52:K55)</f>
        <v>345.06634202012685</v>
      </c>
      <c r="L56" s="876">
        <f t="shared" si="6"/>
        <v>357.06634202012685</v>
      </c>
      <c r="M56" s="876">
        <f t="shared" si="6"/>
        <v>350.06634202012685</v>
      </c>
      <c r="N56" s="876">
        <f t="shared" si="6"/>
        <v>298.06634202012685</v>
      </c>
      <c r="O56" s="876">
        <f t="shared" si="6"/>
        <v>330.06634202012685</v>
      </c>
      <c r="P56" s="876">
        <f t="shared" si="6"/>
        <v>338.36875312320018</v>
      </c>
      <c r="Q56" s="228">
        <f t="shared" si="6"/>
        <v>332.81400696745141</v>
      </c>
      <c r="R56" s="875">
        <f t="shared" si="6"/>
        <v>327.47074128240467</v>
      </c>
      <c r="S56" s="876">
        <f t="shared" si="6"/>
        <v>322.33366905629248</v>
      </c>
      <c r="T56" s="876">
        <f t="shared" si="6"/>
        <v>317.39763545264134</v>
      </c>
      <c r="U56" s="876">
        <f t="shared" si="6"/>
        <v>312.65761450588968</v>
      </c>
      <c r="V56" s="228">
        <f t="shared" si="6"/>
        <v>308.10870589961507</v>
      </c>
      <c r="W56" s="185"/>
    </row>
    <row r="57" spans="1:23" s="98" customFormat="1" ht="15" customHeight="1">
      <c r="A57" s="99"/>
      <c r="B57" s="161"/>
      <c r="C57" s="116"/>
      <c r="D57" s="116"/>
      <c r="E57" s="116"/>
      <c r="F57" s="116"/>
      <c r="G57" s="117"/>
      <c r="H57" s="117"/>
      <c r="I57" s="117"/>
      <c r="J57" s="1005"/>
      <c r="K57" s="1003"/>
      <c r="L57" s="1003"/>
      <c r="M57" s="1003"/>
      <c r="N57" s="1003"/>
      <c r="O57" s="1003"/>
      <c r="P57" s="1003"/>
      <c r="Q57" s="1004"/>
      <c r="R57" s="1005"/>
      <c r="S57" s="1003"/>
      <c r="T57" s="1003"/>
      <c r="U57" s="1003"/>
      <c r="V57" s="1004"/>
    </row>
    <row r="58" spans="1:23" s="98" customFormat="1" ht="15" customHeight="1">
      <c r="A58" s="99"/>
      <c r="B58" s="161"/>
      <c r="C58" s="186" t="s">
        <v>41</v>
      </c>
      <c r="D58" s="162"/>
      <c r="E58" s="162"/>
      <c r="F58" s="162"/>
      <c r="G58" s="163"/>
      <c r="H58" s="163"/>
      <c r="I58" s="117"/>
      <c r="J58" s="1005"/>
      <c r="K58" s="1003"/>
      <c r="L58" s="1003"/>
      <c r="M58" s="1003"/>
      <c r="N58" s="1003"/>
      <c r="O58" s="1003"/>
      <c r="P58" s="1003"/>
      <c r="Q58" s="1004"/>
      <c r="R58" s="1005"/>
      <c r="S58" s="1003"/>
      <c r="T58" s="1003"/>
      <c r="U58" s="1003"/>
      <c r="V58" s="1004"/>
    </row>
    <row r="59" spans="1:23" s="98" customFormat="1" ht="15" customHeight="1">
      <c r="A59" s="99"/>
      <c r="B59" s="161"/>
      <c r="D59" s="162" t="s">
        <v>2055</v>
      </c>
      <c r="E59" s="162"/>
      <c r="F59" s="162"/>
      <c r="G59" s="163"/>
      <c r="H59" s="163"/>
      <c r="I59" s="164" t="s">
        <v>164</v>
      </c>
      <c r="J59" s="190">
        <v>116</v>
      </c>
      <c r="K59" s="188">
        <v>122</v>
      </c>
      <c r="L59" s="188">
        <v>70</v>
      </c>
      <c r="M59" s="188">
        <v>64</v>
      </c>
      <c r="N59" s="188">
        <v>78</v>
      </c>
      <c r="O59" s="188">
        <v>56</v>
      </c>
      <c r="P59" s="188">
        <v>128.49614509439814</v>
      </c>
      <c r="Q59" s="189">
        <v>142.17221042309032</v>
      </c>
      <c r="R59" s="190">
        <v>160.65459777809204</v>
      </c>
      <c r="S59" s="188">
        <v>168.68732766699665</v>
      </c>
      <c r="T59" s="188">
        <v>170.16162521289843</v>
      </c>
      <c r="U59" s="188">
        <v>159.95192770012451</v>
      </c>
      <c r="V59" s="189">
        <v>167.68878666478309</v>
      </c>
    </row>
    <row r="60" spans="1:23" s="98" customFormat="1" ht="15" customHeight="1">
      <c r="A60" s="99"/>
      <c r="B60" s="161"/>
      <c r="D60" s="162" t="s">
        <v>2056</v>
      </c>
      <c r="E60" s="162"/>
      <c r="F60" s="162"/>
      <c r="G60" s="163"/>
      <c r="H60" s="163"/>
      <c r="I60" s="164" t="s">
        <v>164</v>
      </c>
      <c r="J60" s="190">
        <v>0</v>
      </c>
      <c r="K60" s="188">
        <v>0</v>
      </c>
      <c r="L60" s="188">
        <v>0</v>
      </c>
      <c r="M60" s="188">
        <v>0</v>
      </c>
      <c r="N60" s="188">
        <v>0</v>
      </c>
      <c r="O60" s="188">
        <v>0</v>
      </c>
      <c r="P60" s="188">
        <v>0</v>
      </c>
      <c r="Q60" s="189">
        <v>0</v>
      </c>
      <c r="R60" s="190">
        <v>0</v>
      </c>
      <c r="S60" s="188">
        <v>0</v>
      </c>
      <c r="T60" s="188">
        <v>0</v>
      </c>
      <c r="U60" s="188">
        <v>0</v>
      </c>
      <c r="V60" s="189">
        <v>0</v>
      </c>
    </row>
    <row r="61" spans="1:23" s="98" customFormat="1" ht="15" customHeight="1">
      <c r="A61" s="99"/>
      <c r="B61" s="161"/>
      <c r="D61" s="162" t="s">
        <v>2057</v>
      </c>
      <c r="E61" s="162"/>
      <c r="F61" s="162"/>
      <c r="G61" s="163"/>
      <c r="H61" s="163"/>
      <c r="I61" s="164" t="s">
        <v>164</v>
      </c>
      <c r="J61" s="190">
        <v>0</v>
      </c>
      <c r="K61" s="188">
        <v>0</v>
      </c>
      <c r="L61" s="188">
        <v>73.710000000000008</v>
      </c>
      <c r="M61" s="188">
        <v>73.710000000000008</v>
      </c>
      <c r="N61" s="188">
        <v>73.710000000000008</v>
      </c>
      <c r="O61" s="188">
        <v>73.710000000000008</v>
      </c>
      <c r="P61" s="188">
        <v>0</v>
      </c>
      <c r="Q61" s="189">
        <v>0</v>
      </c>
      <c r="R61" s="190">
        <v>0</v>
      </c>
      <c r="S61" s="188">
        <v>0</v>
      </c>
      <c r="T61" s="188">
        <v>0</v>
      </c>
      <c r="U61" s="188">
        <v>0</v>
      </c>
      <c r="V61" s="189">
        <v>0</v>
      </c>
    </row>
    <row r="62" spans="1:23" s="98" customFormat="1" ht="15" customHeight="1">
      <c r="A62" s="99"/>
      <c r="B62" s="161"/>
      <c r="D62" s="162" t="s">
        <v>131</v>
      </c>
      <c r="E62" s="162"/>
      <c r="F62" s="162"/>
      <c r="G62" s="163"/>
      <c r="H62" s="163"/>
      <c r="I62" s="164" t="s">
        <v>164</v>
      </c>
      <c r="J62" s="190">
        <v>0</v>
      </c>
      <c r="K62" s="188">
        <v>0</v>
      </c>
      <c r="L62" s="188">
        <v>0</v>
      </c>
      <c r="M62" s="188">
        <v>0</v>
      </c>
      <c r="N62" s="188">
        <v>0</v>
      </c>
      <c r="O62" s="188">
        <v>0</v>
      </c>
      <c r="P62" s="188">
        <v>0</v>
      </c>
      <c r="Q62" s="189">
        <v>0</v>
      </c>
      <c r="R62" s="190">
        <v>0</v>
      </c>
      <c r="S62" s="188">
        <v>0</v>
      </c>
      <c r="T62" s="188">
        <v>0</v>
      </c>
      <c r="U62" s="188">
        <v>0</v>
      </c>
      <c r="V62" s="189">
        <v>0</v>
      </c>
    </row>
    <row r="63" spans="1:23" s="98" customFormat="1" ht="15" customHeight="1">
      <c r="A63" s="99"/>
      <c r="B63" s="181"/>
      <c r="C63" s="182" t="s">
        <v>1710</v>
      </c>
      <c r="D63" s="183"/>
      <c r="E63" s="183"/>
      <c r="F63" s="183"/>
      <c r="G63" s="184"/>
      <c r="H63" s="184"/>
      <c r="I63" s="164" t="s">
        <v>164</v>
      </c>
      <c r="J63" s="875">
        <f>SUM(J59:J62)</f>
        <v>116</v>
      </c>
      <c r="K63" s="876">
        <f t="shared" ref="K63" si="7">SUM(K59:K62)</f>
        <v>122</v>
      </c>
      <c r="L63" s="876">
        <f t="shared" ref="L63" si="8">SUM(L59:L62)</f>
        <v>143.71</v>
      </c>
      <c r="M63" s="876">
        <f t="shared" ref="M63" si="9">SUM(M59:M62)</f>
        <v>137.71</v>
      </c>
      <c r="N63" s="876">
        <f t="shared" ref="N63" si="10">SUM(N59:N62)</f>
        <v>151.71</v>
      </c>
      <c r="O63" s="876">
        <f t="shared" ref="O63" si="11">SUM(O59:O62)</f>
        <v>129.71</v>
      </c>
      <c r="P63" s="876">
        <f t="shared" ref="P63" si="12">SUM(P59:P62)</f>
        <v>128.49614509439814</v>
      </c>
      <c r="Q63" s="228">
        <f t="shared" ref="Q63" si="13">SUM(Q59:Q62)</f>
        <v>142.17221042309032</v>
      </c>
      <c r="R63" s="875">
        <f t="shared" ref="R63" si="14">SUM(R59:R62)</f>
        <v>160.65459777809204</v>
      </c>
      <c r="S63" s="876">
        <f t="shared" ref="S63" si="15">SUM(S59:S62)</f>
        <v>168.68732766699665</v>
      </c>
      <c r="T63" s="876">
        <f t="shared" ref="T63" si="16">SUM(T59:T62)</f>
        <v>170.16162521289843</v>
      </c>
      <c r="U63" s="876">
        <f t="shared" ref="U63" si="17">SUM(U59:U62)</f>
        <v>159.95192770012451</v>
      </c>
      <c r="V63" s="228">
        <f t="shared" ref="V63" si="18">SUM(V59:V62)</f>
        <v>167.68878666478309</v>
      </c>
      <c r="W63" s="185"/>
    </row>
    <row r="64" spans="1:23" s="98" customFormat="1" ht="15" customHeight="1">
      <c r="A64" s="99"/>
      <c r="B64" s="161"/>
      <c r="C64" s="116"/>
      <c r="D64" s="116"/>
      <c r="E64" s="116"/>
      <c r="F64" s="116"/>
      <c r="G64" s="117"/>
      <c r="H64" s="117"/>
      <c r="I64" s="117"/>
      <c r="J64" s="1005"/>
      <c r="K64" s="1003"/>
      <c r="L64" s="1003"/>
      <c r="M64" s="1003"/>
      <c r="N64" s="1003"/>
      <c r="O64" s="1003"/>
      <c r="P64" s="1003"/>
      <c r="Q64" s="1004"/>
      <c r="R64" s="1005"/>
      <c r="S64" s="1003"/>
      <c r="T64" s="1003"/>
      <c r="U64" s="1003"/>
      <c r="V64" s="1004"/>
    </row>
    <row r="65" spans="1:24" s="98" customFormat="1" ht="15" customHeight="1">
      <c r="A65" s="99"/>
      <c r="B65" s="161"/>
      <c r="C65" s="186" t="s">
        <v>58</v>
      </c>
      <c r="D65" s="162"/>
      <c r="E65" s="162"/>
      <c r="F65" s="162"/>
      <c r="G65" s="163"/>
      <c r="H65" s="163"/>
      <c r="I65" s="117"/>
      <c r="J65" s="1005"/>
      <c r="K65" s="1003"/>
      <c r="L65" s="1003"/>
      <c r="M65" s="1003"/>
      <c r="N65" s="1003"/>
      <c r="O65" s="1003"/>
      <c r="P65" s="1003"/>
      <c r="Q65" s="1004"/>
      <c r="R65" s="1005"/>
      <c r="S65" s="1003"/>
      <c r="T65" s="1003"/>
      <c r="U65" s="1003"/>
      <c r="V65" s="1004"/>
    </row>
    <row r="66" spans="1:24" s="98" customFormat="1" ht="15" customHeight="1">
      <c r="A66" s="99"/>
      <c r="B66" s="161"/>
      <c r="D66" s="162" t="s">
        <v>2055</v>
      </c>
      <c r="E66" s="162"/>
      <c r="F66" s="162"/>
      <c r="G66" s="163"/>
      <c r="H66" s="163"/>
      <c r="I66" s="164" t="s">
        <v>164</v>
      </c>
      <c r="J66" s="190">
        <v>0</v>
      </c>
      <c r="K66" s="188">
        <v>0</v>
      </c>
      <c r="L66" s="188">
        <v>0</v>
      </c>
      <c r="M66" s="188">
        <v>0</v>
      </c>
      <c r="N66" s="188">
        <v>0</v>
      </c>
      <c r="O66" s="188">
        <v>0</v>
      </c>
      <c r="P66" s="188">
        <v>0</v>
      </c>
      <c r="Q66" s="189">
        <v>0</v>
      </c>
      <c r="R66" s="190">
        <v>0</v>
      </c>
      <c r="S66" s="188">
        <v>0</v>
      </c>
      <c r="T66" s="188">
        <v>0</v>
      </c>
      <c r="U66" s="188">
        <v>0</v>
      </c>
      <c r="V66" s="189">
        <v>0</v>
      </c>
    </row>
    <row r="67" spans="1:24" s="98" customFormat="1" ht="15" customHeight="1">
      <c r="A67" s="99"/>
      <c r="B67" s="161"/>
      <c r="D67" s="162" t="s">
        <v>2056</v>
      </c>
      <c r="E67" s="162"/>
      <c r="F67" s="162"/>
      <c r="G67" s="163"/>
      <c r="H67" s="163"/>
      <c r="I67" s="164" t="s">
        <v>164</v>
      </c>
      <c r="J67" s="190">
        <v>0</v>
      </c>
      <c r="K67" s="188">
        <v>0</v>
      </c>
      <c r="L67" s="188">
        <v>0</v>
      </c>
      <c r="M67" s="188">
        <v>0</v>
      </c>
      <c r="N67" s="188">
        <v>0</v>
      </c>
      <c r="O67" s="188">
        <v>0</v>
      </c>
      <c r="P67" s="188">
        <v>0</v>
      </c>
      <c r="Q67" s="189">
        <v>0</v>
      </c>
      <c r="R67" s="190">
        <v>0</v>
      </c>
      <c r="S67" s="188">
        <v>0</v>
      </c>
      <c r="T67" s="188">
        <v>0</v>
      </c>
      <c r="U67" s="188">
        <v>0</v>
      </c>
      <c r="V67" s="189">
        <v>0</v>
      </c>
    </row>
    <row r="68" spans="1:24" s="98" customFormat="1" ht="15" customHeight="1">
      <c r="A68" s="99"/>
      <c r="B68" s="161"/>
      <c r="D68" s="162" t="s">
        <v>2057</v>
      </c>
      <c r="E68" s="162"/>
      <c r="F68" s="162"/>
      <c r="G68" s="163"/>
      <c r="H68" s="163"/>
      <c r="I68" s="164" t="s">
        <v>164</v>
      </c>
      <c r="J68" s="190">
        <v>0</v>
      </c>
      <c r="K68" s="188">
        <v>0</v>
      </c>
      <c r="L68" s="188">
        <v>0</v>
      </c>
      <c r="M68" s="188">
        <v>0</v>
      </c>
      <c r="N68" s="188">
        <v>0</v>
      </c>
      <c r="O68" s="188">
        <v>0</v>
      </c>
      <c r="P68" s="188">
        <v>0</v>
      </c>
      <c r="Q68" s="189">
        <v>0</v>
      </c>
      <c r="R68" s="190">
        <v>0</v>
      </c>
      <c r="S68" s="188">
        <v>0</v>
      </c>
      <c r="T68" s="188">
        <v>0</v>
      </c>
      <c r="U68" s="188">
        <v>0</v>
      </c>
      <c r="V68" s="189">
        <v>0</v>
      </c>
    </row>
    <row r="69" spans="1:24" s="98" customFormat="1" ht="15" customHeight="1">
      <c r="A69" s="99"/>
      <c r="B69" s="161"/>
      <c r="D69" s="162" t="s">
        <v>131</v>
      </c>
      <c r="E69" s="162"/>
      <c r="F69" s="162"/>
      <c r="G69" s="163"/>
      <c r="H69" s="163"/>
      <c r="I69" s="164" t="s">
        <v>164</v>
      </c>
      <c r="J69" s="190">
        <v>0</v>
      </c>
      <c r="K69" s="188">
        <v>0</v>
      </c>
      <c r="L69" s="188">
        <v>0</v>
      </c>
      <c r="M69" s="188">
        <v>0</v>
      </c>
      <c r="N69" s="188">
        <v>0</v>
      </c>
      <c r="O69" s="188">
        <v>0</v>
      </c>
      <c r="P69" s="188">
        <v>0</v>
      </c>
      <c r="Q69" s="189">
        <v>0</v>
      </c>
      <c r="R69" s="190">
        <v>0</v>
      </c>
      <c r="S69" s="188">
        <v>0</v>
      </c>
      <c r="T69" s="188">
        <v>0</v>
      </c>
      <c r="U69" s="188">
        <v>0</v>
      </c>
      <c r="V69" s="189">
        <v>0</v>
      </c>
    </row>
    <row r="70" spans="1:24" s="98" customFormat="1" ht="15" customHeight="1">
      <c r="A70" s="99"/>
      <c r="B70" s="181"/>
      <c r="C70" s="182" t="s">
        <v>1710</v>
      </c>
      <c r="D70" s="183"/>
      <c r="E70" s="183"/>
      <c r="F70" s="183"/>
      <c r="G70" s="184"/>
      <c r="H70" s="184"/>
      <c r="I70" s="164" t="s">
        <v>164</v>
      </c>
      <c r="J70" s="875">
        <f>SUM(J66:J69)</f>
        <v>0</v>
      </c>
      <c r="K70" s="876">
        <f t="shared" ref="K70" si="19">SUM(K66:K69)</f>
        <v>0</v>
      </c>
      <c r="L70" s="876">
        <f t="shared" ref="L70" si="20">SUM(L66:L69)</f>
        <v>0</v>
      </c>
      <c r="M70" s="876">
        <f t="shared" ref="M70" si="21">SUM(M66:M69)</f>
        <v>0</v>
      </c>
      <c r="N70" s="876">
        <f t="shared" ref="N70" si="22">SUM(N66:N69)</f>
        <v>0</v>
      </c>
      <c r="O70" s="876">
        <f t="shared" ref="O70" si="23">SUM(O66:O69)</f>
        <v>0</v>
      </c>
      <c r="P70" s="876">
        <f t="shared" ref="P70" si="24">SUM(P66:P69)</f>
        <v>0</v>
      </c>
      <c r="Q70" s="228">
        <f t="shared" ref="Q70" si="25">SUM(Q66:Q69)</f>
        <v>0</v>
      </c>
      <c r="R70" s="875">
        <f t="shared" ref="R70" si="26">SUM(R66:R69)</f>
        <v>0</v>
      </c>
      <c r="S70" s="876">
        <f t="shared" ref="S70" si="27">SUM(S66:S69)</f>
        <v>0</v>
      </c>
      <c r="T70" s="876">
        <f t="shared" ref="T70" si="28">SUM(T66:T69)</f>
        <v>0</v>
      </c>
      <c r="U70" s="876">
        <f t="shared" ref="U70" si="29">SUM(U66:U69)</f>
        <v>0</v>
      </c>
      <c r="V70" s="228">
        <f t="shared" ref="V70" si="30">SUM(V66:V69)</f>
        <v>0</v>
      </c>
      <c r="W70" s="185"/>
    </row>
    <row r="71" spans="1:24" s="98" customFormat="1" ht="15" customHeight="1">
      <c r="A71" s="99"/>
      <c r="B71" s="161"/>
      <c r="C71" s="116"/>
      <c r="D71" s="116"/>
      <c r="E71" s="116"/>
      <c r="F71" s="116"/>
      <c r="G71" s="117"/>
      <c r="H71" s="117"/>
      <c r="I71" s="117"/>
      <c r="J71" s="1005"/>
      <c r="K71" s="1003"/>
      <c r="L71" s="1003"/>
      <c r="M71" s="1003"/>
      <c r="N71" s="1003"/>
      <c r="O71" s="1003"/>
      <c r="P71" s="1003"/>
      <c r="Q71" s="1004"/>
      <c r="R71" s="1005"/>
      <c r="S71" s="1003"/>
      <c r="T71" s="1003"/>
      <c r="U71" s="1003"/>
      <c r="V71" s="1004"/>
    </row>
    <row r="72" spans="1:24" s="98" customFormat="1" ht="15" customHeight="1">
      <c r="A72" s="99"/>
      <c r="B72" s="161"/>
      <c r="C72" s="186" t="s">
        <v>1713</v>
      </c>
      <c r="D72" s="162"/>
      <c r="E72" s="162"/>
      <c r="F72" s="162"/>
      <c r="G72" s="163"/>
      <c r="H72" s="163"/>
      <c r="I72" s="117"/>
      <c r="J72" s="1005"/>
      <c r="K72" s="1003"/>
      <c r="L72" s="1003"/>
      <c r="M72" s="1003"/>
      <c r="N72" s="1003"/>
      <c r="O72" s="1003"/>
      <c r="P72" s="1003"/>
      <c r="Q72" s="1004"/>
      <c r="R72" s="1005"/>
      <c r="S72" s="1003"/>
      <c r="T72" s="1003"/>
      <c r="U72" s="1003"/>
      <c r="V72" s="1004"/>
    </row>
    <row r="73" spans="1:24" s="98" customFormat="1" ht="15" customHeight="1">
      <c r="A73" s="99"/>
      <c r="B73" s="161"/>
      <c r="D73" s="162" t="s">
        <v>2055</v>
      </c>
      <c r="E73" s="162"/>
      <c r="F73" s="162"/>
      <c r="G73" s="163"/>
      <c r="H73" s="163"/>
      <c r="I73" s="164" t="s">
        <v>164</v>
      </c>
      <c r="J73" s="190">
        <v>1</v>
      </c>
      <c r="K73" s="188">
        <v>1</v>
      </c>
      <c r="L73" s="188">
        <v>0</v>
      </c>
      <c r="M73" s="188">
        <v>0</v>
      </c>
      <c r="N73" s="188">
        <v>0</v>
      </c>
      <c r="O73" s="188">
        <v>0</v>
      </c>
      <c r="P73" s="188">
        <v>0</v>
      </c>
      <c r="Q73" s="189">
        <v>0</v>
      </c>
      <c r="R73" s="190">
        <v>0</v>
      </c>
      <c r="S73" s="188">
        <v>0</v>
      </c>
      <c r="T73" s="188">
        <v>0</v>
      </c>
      <c r="U73" s="188">
        <v>0</v>
      </c>
      <c r="V73" s="189">
        <v>0</v>
      </c>
    </row>
    <row r="74" spans="1:24" s="98" customFormat="1" ht="15" customHeight="1">
      <c r="A74" s="99"/>
      <c r="B74" s="161"/>
      <c r="D74" s="162" t="s">
        <v>2056</v>
      </c>
      <c r="E74" s="162"/>
      <c r="F74" s="162"/>
      <c r="G74" s="163"/>
      <c r="H74" s="163"/>
      <c r="I74" s="164" t="s">
        <v>164</v>
      </c>
      <c r="J74" s="190">
        <v>0</v>
      </c>
      <c r="K74" s="188">
        <v>0</v>
      </c>
      <c r="L74" s="188">
        <v>0</v>
      </c>
      <c r="M74" s="188">
        <v>0</v>
      </c>
      <c r="N74" s="188">
        <v>0</v>
      </c>
      <c r="O74" s="188">
        <v>0</v>
      </c>
      <c r="P74" s="188">
        <v>0</v>
      </c>
      <c r="Q74" s="189">
        <v>0</v>
      </c>
      <c r="R74" s="190">
        <v>0</v>
      </c>
      <c r="S74" s="188">
        <v>0</v>
      </c>
      <c r="T74" s="188">
        <v>0</v>
      </c>
      <c r="U74" s="188">
        <v>0</v>
      </c>
      <c r="V74" s="189">
        <v>0</v>
      </c>
    </row>
    <row r="75" spans="1:24" s="98" customFormat="1" ht="15" customHeight="1">
      <c r="A75" s="99"/>
      <c r="B75" s="161"/>
      <c r="D75" s="162" t="s">
        <v>2057</v>
      </c>
      <c r="E75" s="162"/>
      <c r="F75" s="162"/>
      <c r="G75" s="163"/>
      <c r="H75" s="163"/>
      <c r="I75" s="164" t="s">
        <v>164</v>
      </c>
      <c r="J75" s="190">
        <v>0</v>
      </c>
      <c r="K75" s="188">
        <v>0</v>
      </c>
      <c r="L75" s="188">
        <v>0</v>
      </c>
      <c r="M75" s="188">
        <v>0</v>
      </c>
      <c r="N75" s="188">
        <v>0</v>
      </c>
      <c r="O75" s="188">
        <v>0</v>
      </c>
      <c r="P75" s="188">
        <v>0</v>
      </c>
      <c r="Q75" s="189">
        <v>0</v>
      </c>
      <c r="R75" s="190">
        <v>0</v>
      </c>
      <c r="S75" s="188">
        <v>0</v>
      </c>
      <c r="T75" s="188">
        <v>0</v>
      </c>
      <c r="U75" s="188">
        <v>0</v>
      </c>
      <c r="V75" s="189">
        <v>0</v>
      </c>
    </row>
    <row r="76" spans="1:24" s="98" customFormat="1" ht="15" customHeight="1">
      <c r="A76" s="99"/>
      <c r="B76" s="161"/>
      <c r="D76" s="162" t="s">
        <v>131</v>
      </c>
      <c r="E76" s="162"/>
      <c r="F76" s="162"/>
      <c r="G76" s="163"/>
      <c r="H76" s="163"/>
      <c r="I76" s="164" t="s">
        <v>164</v>
      </c>
      <c r="J76" s="190">
        <v>0</v>
      </c>
      <c r="K76" s="188">
        <v>0</v>
      </c>
      <c r="L76" s="188">
        <v>0</v>
      </c>
      <c r="M76" s="188">
        <v>0</v>
      </c>
      <c r="N76" s="188">
        <v>0</v>
      </c>
      <c r="O76" s="188">
        <v>0</v>
      </c>
      <c r="P76" s="188">
        <v>0</v>
      </c>
      <c r="Q76" s="189">
        <v>0</v>
      </c>
      <c r="R76" s="190">
        <v>0</v>
      </c>
      <c r="S76" s="188">
        <v>0</v>
      </c>
      <c r="T76" s="188">
        <v>0</v>
      </c>
      <c r="U76" s="188">
        <v>0</v>
      </c>
      <c r="V76" s="189">
        <v>0</v>
      </c>
    </row>
    <row r="77" spans="1:24" s="98" customFormat="1" ht="15" customHeight="1">
      <c r="A77" s="99"/>
      <c r="B77" s="181"/>
      <c r="C77" s="182" t="s">
        <v>1710</v>
      </c>
      <c r="D77" s="183"/>
      <c r="E77" s="183"/>
      <c r="F77" s="183"/>
      <c r="G77" s="184"/>
      <c r="H77" s="184"/>
      <c r="I77" s="164" t="s">
        <v>164</v>
      </c>
      <c r="J77" s="875">
        <f>SUM(J73:J76)</f>
        <v>1</v>
      </c>
      <c r="K77" s="876">
        <f t="shared" ref="K77" si="31">SUM(K73:K76)</f>
        <v>1</v>
      </c>
      <c r="L77" s="876">
        <f t="shared" ref="L77" si="32">SUM(L73:L76)</f>
        <v>0</v>
      </c>
      <c r="M77" s="876">
        <f t="shared" ref="M77" si="33">SUM(M73:M76)</f>
        <v>0</v>
      </c>
      <c r="N77" s="876">
        <f t="shared" ref="N77" si="34">SUM(N73:N76)</f>
        <v>0</v>
      </c>
      <c r="O77" s="876">
        <f t="shared" ref="O77" si="35">SUM(O73:O76)</f>
        <v>0</v>
      </c>
      <c r="P77" s="876">
        <f t="shared" ref="P77" si="36">SUM(P73:P76)</f>
        <v>0</v>
      </c>
      <c r="Q77" s="228">
        <f t="shared" ref="Q77" si="37">SUM(Q73:Q76)</f>
        <v>0</v>
      </c>
      <c r="R77" s="875">
        <f t="shared" ref="R77" si="38">SUM(R73:R76)</f>
        <v>0</v>
      </c>
      <c r="S77" s="876">
        <f t="shared" ref="S77" si="39">SUM(S73:S76)</f>
        <v>0</v>
      </c>
      <c r="T77" s="876">
        <f t="shared" ref="T77" si="40">SUM(T73:T76)</f>
        <v>0</v>
      </c>
      <c r="U77" s="876">
        <f t="shared" ref="U77" si="41">SUM(U73:U76)</f>
        <v>0</v>
      </c>
      <c r="V77" s="228">
        <f t="shared" ref="V77" si="42">SUM(V73:V76)</f>
        <v>0</v>
      </c>
      <c r="W77" s="185"/>
    </row>
    <row r="78" spans="1:24" s="98" customFormat="1" ht="15" customHeight="1">
      <c r="A78" s="99"/>
      <c r="B78" s="161"/>
      <c r="C78" s="116"/>
      <c r="D78" s="116"/>
      <c r="E78" s="116"/>
      <c r="F78" s="116"/>
      <c r="G78" s="117"/>
      <c r="H78" s="117"/>
      <c r="I78" s="117"/>
      <c r="J78" s="1005"/>
      <c r="K78" s="1003"/>
      <c r="L78" s="1003"/>
      <c r="M78" s="1003"/>
      <c r="N78" s="1003"/>
      <c r="O78" s="1003"/>
      <c r="P78" s="1003"/>
      <c r="Q78" s="1004"/>
      <c r="R78" s="1005"/>
      <c r="S78" s="1003"/>
      <c r="T78" s="1003"/>
      <c r="U78" s="1003"/>
      <c r="V78" s="1004"/>
    </row>
    <row r="79" spans="1:24" s="98" customFormat="1" ht="15" customHeight="1" thickBot="1">
      <c r="A79" s="99"/>
      <c r="B79" s="131" t="s">
        <v>1701</v>
      </c>
      <c r="C79" s="132"/>
      <c r="D79" s="132"/>
      <c r="E79" s="132"/>
      <c r="F79" s="132"/>
      <c r="G79" s="145"/>
      <c r="H79" s="133"/>
      <c r="I79" s="146" t="s">
        <v>164</v>
      </c>
      <c r="J79" s="1002">
        <f>SUM(J49,J56,J63,J70,J77)</f>
        <v>663.06634202012685</v>
      </c>
      <c r="K79" s="1000">
        <f t="shared" ref="K79:V79" si="43">SUM(K49,K56,K63,K70,K77)</f>
        <v>673.06634202012685</v>
      </c>
      <c r="L79" s="1000">
        <f t="shared" si="43"/>
        <v>710.77634202012689</v>
      </c>
      <c r="M79" s="1000">
        <f t="shared" si="43"/>
        <v>688.77634202012689</v>
      </c>
      <c r="N79" s="1000">
        <f t="shared" si="43"/>
        <v>647.77634202012689</v>
      </c>
      <c r="O79" s="1000">
        <f t="shared" si="43"/>
        <v>660.77634202012689</v>
      </c>
      <c r="P79" s="1000">
        <f t="shared" si="43"/>
        <v>677.94970951566427</v>
      </c>
      <c r="Q79" s="1001">
        <f t="shared" si="43"/>
        <v>684.87102868860768</v>
      </c>
      <c r="R79" s="1002">
        <f t="shared" si="43"/>
        <v>696.51015035856267</v>
      </c>
      <c r="S79" s="1000">
        <f t="shared" si="43"/>
        <v>697.90580802135514</v>
      </c>
      <c r="T79" s="1000">
        <f t="shared" si="43"/>
        <v>692.94407196360578</v>
      </c>
      <c r="U79" s="1000">
        <f t="shared" si="43"/>
        <v>676.49435350408021</v>
      </c>
      <c r="V79" s="1001">
        <f t="shared" si="43"/>
        <v>678.1823038624641</v>
      </c>
    </row>
    <row r="80" spans="1:24" s="99" customFormat="1" ht="15" customHeight="1" thickBot="1">
      <c r="B80" s="150"/>
      <c r="C80" s="95"/>
      <c r="D80" s="95"/>
      <c r="E80" s="95"/>
      <c r="F80" s="95"/>
      <c r="G80" s="97"/>
      <c r="H80" s="97"/>
      <c r="I80" s="98"/>
      <c r="J80" s="1006"/>
      <c r="K80" s="1006"/>
      <c r="L80" s="1006"/>
      <c r="M80" s="1006"/>
      <c r="N80" s="1006"/>
      <c r="O80" s="1006"/>
      <c r="P80" s="1006"/>
      <c r="Q80" s="1006"/>
      <c r="R80" s="1006"/>
      <c r="S80" s="1006"/>
      <c r="T80" s="1006"/>
      <c r="U80" s="1006"/>
      <c r="V80" s="1006"/>
      <c r="W80" s="98"/>
      <c r="X80" s="98"/>
    </row>
    <row r="81" spans="1:23" s="100" customFormat="1" ht="30" customHeight="1" thickBot="1">
      <c r="A81" s="89"/>
      <c r="B81" s="621" t="s">
        <v>1675</v>
      </c>
      <c r="C81" s="762"/>
      <c r="D81" s="762"/>
      <c r="E81" s="762"/>
      <c r="F81" s="762"/>
      <c r="G81" s="763"/>
      <c r="H81" s="103"/>
      <c r="I81" s="105" t="s">
        <v>2054</v>
      </c>
      <c r="J81" s="1007"/>
      <c r="K81" s="1007"/>
      <c r="L81" s="1007"/>
      <c r="M81" s="1007"/>
      <c r="N81" s="1007"/>
      <c r="O81" s="1007"/>
      <c r="P81" s="1007"/>
      <c r="Q81" s="1007"/>
      <c r="R81" s="1008"/>
      <c r="S81" s="1008"/>
      <c r="T81" s="1008"/>
      <c r="U81" s="1008"/>
      <c r="V81" s="1008"/>
    </row>
    <row r="82" spans="1:23" s="157" customFormat="1" ht="30" customHeight="1">
      <c r="A82" s="99"/>
      <c r="B82" s="109"/>
      <c r="C82" s="127"/>
      <c r="D82" s="127"/>
      <c r="E82" s="127"/>
      <c r="F82" s="127"/>
      <c r="G82" s="117"/>
      <c r="H82" s="111"/>
      <c r="I82" s="117"/>
      <c r="J82" s="1009" t="s">
        <v>1666</v>
      </c>
      <c r="K82" s="1010"/>
      <c r="L82" s="1010"/>
      <c r="M82" s="1010"/>
      <c r="N82" s="1010"/>
      <c r="O82" s="1010"/>
      <c r="P82" s="1010"/>
      <c r="Q82" s="1011"/>
      <c r="R82" s="1012" t="s">
        <v>2</v>
      </c>
      <c r="S82" s="1013"/>
      <c r="T82" s="1013"/>
      <c r="U82" s="1013"/>
      <c r="V82" s="1014"/>
    </row>
    <row r="83" spans="1:23" s="98" customFormat="1" ht="15" customHeight="1">
      <c r="A83" s="99"/>
      <c r="B83" s="115"/>
      <c r="C83" s="116"/>
      <c r="D83" s="116"/>
      <c r="E83" s="116"/>
      <c r="F83" s="116"/>
      <c r="G83" s="117"/>
      <c r="H83" s="117"/>
      <c r="I83" s="119" t="s">
        <v>1667</v>
      </c>
      <c r="J83" s="1015" t="s">
        <v>453</v>
      </c>
      <c r="K83" s="1016" t="s">
        <v>455</v>
      </c>
      <c r="L83" s="1016" t="s">
        <v>457</v>
      </c>
      <c r="M83" s="1016" t="s">
        <v>459</v>
      </c>
      <c r="N83" s="1016" t="s">
        <v>461</v>
      </c>
      <c r="O83" s="1016" t="s">
        <v>463</v>
      </c>
      <c r="P83" s="1016" t="s">
        <v>465</v>
      </c>
      <c r="Q83" s="1017" t="s">
        <v>467</v>
      </c>
      <c r="R83" s="1018" t="s">
        <v>469</v>
      </c>
      <c r="S83" s="1019" t="s">
        <v>471</v>
      </c>
      <c r="T83" s="1019" t="s">
        <v>473</v>
      </c>
      <c r="U83" s="1019" t="s">
        <v>475</v>
      </c>
      <c r="V83" s="1020" t="s">
        <v>477</v>
      </c>
    </row>
    <row r="84" spans="1:23" s="98" customFormat="1" ht="15" customHeight="1">
      <c r="A84" s="99"/>
      <c r="B84" s="161"/>
      <c r="C84" s="186" t="s">
        <v>1775</v>
      </c>
      <c r="D84" s="162"/>
      <c r="E84" s="162"/>
      <c r="F84" s="162"/>
      <c r="G84" s="163"/>
      <c r="H84" s="163"/>
      <c r="I84" s="117"/>
      <c r="J84" s="1005"/>
      <c r="K84" s="1003"/>
      <c r="L84" s="1003"/>
      <c r="M84" s="1003"/>
      <c r="N84" s="1003"/>
      <c r="O84" s="1003"/>
      <c r="P84" s="1003"/>
      <c r="Q84" s="1004"/>
      <c r="R84" s="1005"/>
      <c r="S84" s="1003"/>
      <c r="T84" s="1003"/>
      <c r="U84" s="1003"/>
      <c r="V84" s="1004"/>
    </row>
    <row r="85" spans="1:23" s="98" customFormat="1" ht="15" customHeight="1">
      <c r="A85" s="99"/>
      <c r="B85" s="161"/>
      <c r="D85" s="162" t="s">
        <v>2055</v>
      </c>
      <c r="E85" s="162"/>
      <c r="F85" s="162"/>
      <c r="G85" s="163"/>
      <c r="H85" s="163"/>
      <c r="I85" s="164" t="s">
        <v>164</v>
      </c>
      <c r="J85" s="190">
        <v>10.508333333333333</v>
      </c>
      <c r="K85" s="188">
        <v>18.715068493150685</v>
      </c>
      <c r="L85" s="188">
        <v>45</v>
      </c>
      <c r="M85" s="188">
        <v>41</v>
      </c>
      <c r="N85" s="188">
        <v>47</v>
      </c>
      <c r="O85" s="188">
        <v>56</v>
      </c>
      <c r="P85" s="188">
        <v>58</v>
      </c>
      <c r="Q85" s="189">
        <v>58</v>
      </c>
      <c r="R85" s="190">
        <v>57.71</v>
      </c>
      <c r="S85" s="188">
        <v>57.42145</v>
      </c>
      <c r="T85" s="188">
        <v>57.134342750000002</v>
      </c>
      <c r="U85" s="188">
        <v>56.848671036250003</v>
      </c>
      <c r="V85" s="189">
        <v>56.56442768106875</v>
      </c>
    </row>
    <row r="86" spans="1:23" s="98" customFormat="1" ht="15" customHeight="1">
      <c r="A86" s="99"/>
      <c r="B86" s="161"/>
      <c r="D86" s="162" t="s">
        <v>2056</v>
      </c>
      <c r="E86" s="162"/>
      <c r="F86" s="162"/>
      <c r="G86" s="163"/>
      <c r="H86" s="163"/>
      <c r="I86" s="164" t="s">
        <v>164</v>
      </c>
      <c r="J86" s="190">
        <v>0</v>
      </c>
      <c r="K86" s="188">
        <v>0</v>
      </c>
      <c r="L86" s="188">
        <v>0</v>
      </c>
      <c r="M86" s="188">
        <v>0</v>
      </c>
      <c r="N86" s="188">
        <v>0</v>
      </c>
      <c r="O86" s="188">
        <v>0</v>
      </c>
      <c r="P86" s="188">
        <v>0</v>
      </c>
      <c r="Q86" s="189">
        <v>0</v>
      </c>
      <c r="R86" s="190">
        <v>0</v>
      </c>
      <c r="S86" s="188">
        <v>0</v>
      </c>
      <c r="T86" s="188">
        <v>0</v>
      </c>
      <c r="U86" s="188">
        <v>0</v>
      </c>
      <c r="V86" s="189">
        <v>0</v>
      </c>
    </row>
    <row r="87" spans="1:23" s="98" customFormat="1" ht="15" customHeight="1">
      <c r="A87" s="99"/>
      <c r="B87" s="161"/>
      <c r="D87" s="162" t="s">
        <v>2057</v>
      </c>
      <c r="E87" s="162"/>
      <c r="F87" s="162"/>
      <c r="G87" s="163"/>
      <c r="H87" s="163"/>
      <c r="I87" s="164" t="s">
        <v>164</v>
      </c>
      <c r="J87" s="190">
        <v>0</v>
      </c>
      <c r="K87" s="188">
        <v>0</v>
      </c>
      <c r="L87" s="188">
        <v>0</v>
      </c>
      <c r="M87" s="188">
        <v>0</v>
      </c>
      <c r="N87" s="188">
        <v>0</v>
      </c>
      <c r="O87" s="188">
        <v>0</v>
      </c>
      <c r="P87" s="188">
        <v>0</v>
      </c>
      <c r="Q87" s="189">
        <v>0</v>
      </c>
      <c r="R87" s="190">
        <v>0</v>
      </c>
      <c r="S87" s="188">
        <v>0</v>
      </c>
      <c r="T87" s="188">
        <v>0</v>
      </c>
      <c r="U87" s="188">
        <v>0</v>
      </c>
      <c r="V87" s="189">
        <v>0</v>
      </c>
    </row>
    <row r="88" spans="1:23" s="98" customFormat="1" ht="15" customHeight="1">
      <c r="A88" s="99"/>
      <c r="B88" s="161"/>
      <c r="D88" s="162" t="s">
        <v>131</v>
      </c>
      <c r="E88" s="162"/>
      <c r="F88" s="162"/>
      <c r="G88" s="163"/>
      <c r="H88" s="163"/>
      <c r="I88" s="164" t="s">
        <v>164</v>
      </c>
      <c r="J88" s="190">
        <v>0</v>
      </c>
      <c r="K88" s="188">
        <v>0</v>
      </c>
      <c r="L88" s="188">
        <v>0</v>
      </c>
      <c r="M88" s="188">
        <v>0</v>
      </c>
      <c r="N88" s="188">
        <v>0</v>
      </c>
      <c r="O88" s="188">
        <v>0</v>
      </c>
      <c r="P88" s="188">
        <v>0</v>
      </c>
      <c r="Q88" s="189">
        <v>0</v>
      </c>
      <c r="R88" s="190">
        <v>0</v>
      </c>
      <c r="S88" s="188">
        <v>0</v>
      </c>
      <c r="T88" s="188">
        <v>0</v>
      </c>
      <c r="U88" s="188">
        <v>0</v>
      </c>
      <c r="V88" s="189">
        <v>0</v>
      </c>
    </row>
    <row r="89" spans="1:23" s="98" customFormat="1" ht="15" customHeight="1">
      <c r="A89" s="99"/>
      <c r="B89" s="181"/>
      <c r="C89" s="182" t="s">
        <v>1710</v>
      </c>
      <c r="D89" s="183"/>
      <c r="E89" s="183"/>
      <c r="F89" s="183"/>
      <c r="G89" s="184"/>
      <c r="H89" s="184"/>
      <c r="I89" s="164" t="s">
        <v>164</v>
      </c>
      <c r="J89" s="875">
        <f>SUM(J85:J88)</f>
        <v>10.508333333333333</v>
      </c>
      <c r="K89" s="876">
        <f t="shared" ref="K89:V89" si="44">SUM(K85:K88)</f>
        <v>18.715068493150685</v>
      </c>
      <c r="L89" s="876">
        <f t="shared" si="44"/>
        <v>45</v>
      </c>
      <c r="M89" s="876">
        <f t="shared" si="44"/>
        <v>41</v>
      </c>
      <c r="N89" s="876">
        <f t="shared" si="44"/>
        <v>47</v>
      </c>
      <c r="O89" s="876">
        <f t="shared" si="44"/>
        <v>56</v>
      </c>
      <c r="P89" s="876">
        <f t="shared" si="44"/>
        <v>58</v>
      </c>
      <c r="Q89" s="228">
        <f t="shared" si="44"/>
        <v>58</v>
      </c>
      <c r="R89" s="875">
        <f t="shared" si="44"/>
        <v>57.71</v>
      </c>
      <c r="S89" s="876">
        <f t="shared" si="44"/>
        <v>57.42145</v>
      </c>
      <c r="T89" s="876">
        <f t="shared" si="44"/>
        <v>57.134342750000002</v>
      </c>
      <c r="U89" s="876">
        <f t="shared" si="44"/>
        <v>56.848671036250003</v>
      </c>
      <c r="V89" s="228">
        <f t="shared" si="44"/>
        <v>56.56442768106875</v>
      </c>
      <c r="W89" s="185"/>
    </row>
    <row r="90" spans="1:23" s="98" customFormat="1" ht="15" customHeight="1">
      <c r="A90" s="99"/>
      <c r="B90" s="161"/>
      <c r="C90" s="116"/>
      <c r="D90" s="116"/>
      <c r="E90" s="116"/>
      <c r="F90" s="116"/>
      <c r="G90" s="117"/>
      <c r="H90" s="117"/>
      <c r="I90" s="117"/>
      <c r="J90" s="1005"/>
      <c r="K90" s="1003"/>
      <c r="L90" s="1003"/>
      <c r="M90" s="1003"/>
      <c r="N90" s="1003"/>
      <c r="O90" s="1003"/>
      <c r="P90" s="1003"/>
      <c r="Q90" s="1004"/>
      <c r="R90" s="1005"/>
      <c r="S90" s="1003"/>
      <c r="T90" s="1003"/>
      <c r="U90" s="1003"/>
      <c r="V90" s="1004"/>
    </row>
    <row r="91" spans="1:23" s="98" customFormat="1" ht="15" customHeight="1">
      <c r="A91" s="99"/>
      <c r="B91" s="161"/>
      <c r="C91" s="186" t="s">
        <v>118</v>
      </c>
      <c r="D91" s="162"/>
      <c r="E91" s="162"/>
      <c r="F91" s="162"/>
      <c r="G91" s="163"/>
      <c r="H91" s="163"/>
      <c r="I91" s="117"/>
      <c r="J91" s="1005"/>
      <c r="K91" s="1003"/>
      <c r="L91" s="1003"/>
      <c r="M91" s="1003"/>
      <c r="N91" s="1003"/>
      <c r="O91" s="1003"/>
      <c r="P91" s="1003"/>
      <c r="Q91" s="1004"/>
      <c r="R91" s="1005"/>
      <c r="S91" s="1003"/>
      <c r="T91" s="1003"/>
      <c r="U91" s="1003"/>
      <c r="V91" s="1004"/>
    </row>
    <row r="92" spans="1:23" s="98" customFormat="1" ht="15" customHeight="1">
      <c r="A92" s="99"/>
      <c r="B92" s="161"/>
      <c r="D92" s="162" t="s">
        <v>2055</v>
      </c>
      <c r="E92" s="162"/>
      <c r="F92" s="162"/>
      <c r="G92" s="163"/>
      <c r="H92" s="163"/>
      <c r="I92" s="164" t="s">
        <v>164</v>
      </c>
      <c r="J92" s="190">
        <v>5.0999999999999996</v>
      </c>
      <c r="K92" s="188">
        <v>5.0999999999999996</v>
      </c>
      <c r="L92" s="188">
        <v>5</v>
      </c>
      <c r="M92" s="188">
        <v>5</v>
      </c>
      <c r="N92" s="188">
        <v>5</v>
      </c>
      <c r="O92" s="188">
        <v>4</v>
      </c>
      <c r="P92" s="188">
        <v>3.9286726535176197</v>
      </c>
      <c r="Q92" s="189">
        <v>3.9286726535176197</v>
      </c>
      <c r="R92" s="190">
        <v>3.9090292902500314</v>
      </c>
      <c r="S92" s="188">
        <v>3.8894841437987808</v>
      </c>
      <c r="T92" s="188">
        <v>3.8700367230797879</v>
      </c>
      <c r="U92" s="188">
        <v>3.8506865394643883</v>
      </c>
      <c r="V92" s="189">
        <v>3.8314331067670664</v>
      </c>
    </row>
    <row r="93" spans="1:23" s="98" customFormat="1" ht="15" customHeight="1">
      <c r="A93" s="99"/>
      <c r="B93" s="161"/>
      <c r="D93" s="162" t="s">
        <v>2056</v>
      </c>
      <c r="E93" s="162"/>
      <c r="F93" s="162"/>
      <c r="G93" s="163"/>
      <c r="H93" s="163"/>
      <c r="I93" s="164" t="s">
        <v>164</v>
      </c>
      <c r="J93" s="190">
        <v>0</v>
      </c>
      <c r="K93" s="188">
        <v>0</v>
      </c>
      <c r="L93" s="188">
        <v>0</v>
      </c>
      <c r="M93" s="188">
        <v>0</v>
      </c>
      <c r="N93" s="188">
        <v>0</v>
      </c>
      <c r="O93" s="188">
        <v>0</v>
      </c>
      <c r="P93" s="188">
        <v>0</v>
      </c>
      <c r="Q93" s="189">
        <v>0</v>
      </c>
      <c r="R93" s="190">
        <v>0</v>
      </c>
      <c r="S93" s="188">
        <v>0</v>
      </c>
      <c r="T93" s="188">
        <v>0</v>
      </c>
      <c r="U93" s="188">
        <v>0</v>
      </c>
      <c r="V93" s="189">
        <v>0</v>
      </c>
    </row>
    <row r="94" spans="1:23" s="98" customFormat="1" ht="15" customHeight="1">
      <c r="A94" s="99"/>
      <c r="B94" s="161"/>
      <c r="D94" s="162" t="s">
        <v>2057</v>
      </c>
      <c r="E94" s="162"/>
      <c r="F94" s="162"/>
      <c r="G94" s="163"/>
      <c r="H94" s="163"/>
      <c r="I94" s="164" t="s">
        <v>164</v>
      </c>
      <c r="J94" s="190">
        <v>0</v>
      </c>
      <c r="K94" s="188">
        <v>0</v>
      </c>
      <c r="L94" s="188">
        <v>0</v>
      </c>
      <c r="M94" s="188">
        <v>0</v>
      </c>
      <c r="N94" s="188">
        <v>0</v>
      </c>
      <c r="O94" s="188">
        <v>0</v>
      </c>
      <c r="P94" s="188">
        <v>0</v>
      </c>
      <c r="Q94" s="189">
        <v>0</v>
      </c>
      <c r="R94" s="190">
        <v>0</v>
      </c>
      <c r="S94" s="188">
        <v>0</v>
      </c>
      <c r="T94" s="188">
        <v>0</v>
      </c>
      <c r="U94" s="188">
        <v>0</v>
      </c>
      <c r="V94" s="189">
        <v>0</v>
      </c>
    </row>
    <row r="95" spans="1:23" s="98" customFormat="1" ht="15" customHeight="1">
      <c r="A95" s="99"/>
      <c r="B95" s="161"/>
      <c r="D95" s="162" t="s">
        <v>131</v>
      </c>
      <c r="E95" s="162"/>
      <c r="F95" s="162"/>
      <c r="G95" s="163"/>
      <c r="H95" s="163"/>
      <c r="I95" s="164" t="s">
        <v>164</v>
      </c>
      <c r="J95" s="190">
        <v>0</v>
      </c>
      <c r="K95" s="188">
        <v>0</v>
      </c>
      <c r="L95" s="188">
        <v>0</v>
      </c>
      <c r="M95" s="188">
        <v>0</v>
      </c>
      <c r="N95" s="188">
        <v>0</v>
      </c>
      <c r="O95" s="188">
        <v>0</v>
      </c>
      <c r="P95" s="188">
        <v>0</v>
      </c>
      <c r="Q95" s="189">
        <v>0</v>
      </c>
      <c r="R95" s="190">
        <v>0</v>
      </c>
      <c r="S95" s="188">
        <v>0</v>
      </c>
      <c r="T95" s="188">
        <v>0</v>
      </c>
      <c r="U95" s="188">
        <v>0</v>
      </c>
      <c r="V95" s="189">
        <v>0</v>
      </c>
    </row>
    <row r="96" spans="1:23" s="98" customFormat="1" ht="15" customHeight="1">
      <c r="A96" s="99"/>
      <c r="B96" s="181"/>
      <c r="C96" s="182" t="s">
        <v>1710</v>
      </c>
      <c r="D96" s="183"/>
      <c r="E96" s="183"/>
      <c r="F96" s="183"/>
      <c r="G96" s="184"/>
      <c r="H96" s="184"/>
      <c r="I96" s="164" t="s">
        <v>164</v>
      </c>
      <c r="J96" s="875">
        <f>SUM(J92:J95)</f>
        <v>5.0999999999999996</v>
      </c>
      <c r="K96" s="876">
        <f t="shared" ref="K96" si="45">SUM(K92:K95)</f>
        <v>5.0999999999999996</v>
      </c>
      <c r="L96" s="876">
        <f t="shared" ref="L96" si="46">SUM(L92:L95)</f>
        <v>5</v>
      </c>
      <c r="M96" s="876">
        <f t="shared" ref="M96" si="47">SUM(M92:M95)</f>
        <v>5</v>
      </c>
      <c r="N96" s="876">
        <f t="shared" ref="N96" si="48">SUM(N92:N95)</f>
        <v>5</v>
      </c>
      <c r="O96" s="876">
        <f t="shared" ref="O96" si="49">SUM(O92:O95)</f>
        <v>4</v>
      </c>
      <c r="P96" s="876">
        <f t="shared" ref="P96" si="50">SUM(P92:P95)</f>
        <v>3.9286726535176197</v>
      </c>
      <c r="Q96" s="228">
        <f t="shared" ref="Q96" si="51">SUM(Q92:Q95)</f>
        <v>3.9286726535176197</v>
      </c>
      <c r="R96" s="875">
        <f t="shared" ref="R96" si="52">SUM(R92:R95)</f>
        <v>3.9090292902500314</v>
      </c>
      <c r="S96" s="876">
        <f t="shared" ref="S96" si="53">SUM(S92:S95)</f>
        <v>3.8894841437987808</v>
      </c>
      <c r="T96" s="876">
        <f t="shared" ref="T96" si="54">SUM(T92:T95)</f>
        <v>3.8700367230797879</v>
      </c>
      <c r="U96" s="876">
        <f t="shared" ref="U96" si="55">SUM(U92:U95)</f>
        <v>3.8506865394643883</v>
      </c>
      <c r="V96" s="228">
        <f t="shared" ref="V96" si="56">SUM(V92:V95)</f>
        <v>3.8314331067670664</v>
      </c>
      <c r="W96" s="185"/>
    </row>
    <row r="97" spans="1:23" s="98" customFormat="1" ht="15" customHeight="1">
      <c r="A97" s="99"/>
      <c r="B97" s="161"/>
      <c r="C97" s="116"/>
      <c r="D97" s="116"/>
      <c r="E97" s="116"/>
      <c r="F97" s="116"/>
      <c r="G97" s="117"/>
      <c r="H97" s="117"/>
      <c r="I97" s="117"/>
      <c r="J97" s="1005"/>
      <c r="K97" s="1003"/>
      <c r="L97" s="1003"/>
      <c r="M97" s="1003"/>
      <c r="N97" s="1003"/>
      <c r="O97" s="1003"/>
      <c r="P97" s="1003"/>
      <c r="Q97" s="1004"/>
      <c r="R97" s="1005"/>
      <c r="S97" s="1003"/>
      <c r="T97" s="1003"/>
      <c r="U97" s="1003"/>
      <c r="V97" s="1004"/>
    </row>
    <row r="98" spans="1:23" s="98" customFormat="1" ht="15" customHeight="1">
      <c r="A98" s="99"/>
      <c r="B98" s="161"/>
      <c r="C98" s="186" t="s">
        <v>1716</v>
      </c>
      <c r="D98" s="162"/>
      <c r="E98" s="162"/>
      <c r="F98" s="162"/>
      <c r="G98" s="163"/>
      <c r="H98" s="163"/>
      <c r="I98" s="117"/>
      <c r="J98" s="1005"/>
      <c r="K98" s="1003"/>
      <c r="L98" s="1003"/>
      <c r="M98" s="1003"/>
      <c r="N98" s="1003"/>
      <c r="O98" s="1003"/>
      <c r="P98" s="1003"/>
      <c r="Q98" s="1004"/>
      <c r="R98" s="1005"/>
      <c r="S98" s="1003"/>
      <c r="T98" s="1003"/>
      <c r="U98" s="1003"/>
      <c r="V98" s="1004"/>
    </row>
    <row r="99" spans="1:23" s="98" customFormat="1" ht="15" customHeight="1">
      <c r="A99" s="99"/>
      <c r="B99" s="161"/>
      <c r="D99" s="162" t="s">
        <v>2055</v>
      </c>
      <c r="E99" s="162"/>
      <c r="F99" s="162"/>
      <c r="G99" s="163"/>
      <c r="H99" s="163"/>
      <c r="I99" s="164" t="s">
        <v>164</v>
      </c>
      <c r="J99" s="190">
        <v>9.25</v>
      </c>
      <c r="K99" s="188">
        <v>10</v>
      </c>
      <c r="L99" s="188">
        <v>10</v>
      </c>
      <c r="M99" s="188">
        <v>15</v>
      </c>
      <c r="N99" s="188">
        <v>13</v>
      </c>
      <c r="O99" s="188">
        <v>11</v>
      </c>
      <c r="P99" s="188">
        <v>10.342400120628826</v>
      </c>
      <c r="Q99" s="189">
        <v>10.290688120025681</v>
      </c>
      <c r="R99" s="190">
        <v>10.239234679425552</v>
      </c>
      <c r="S99" s="188">
        <v>10.188038506028423</v>
      </c>
      <c r="T99" s="188">
        <v>10.137098313498281</v>
      </c>
      <c r="U99" s="188">
        <v>10.086412821930789</v>
      </c>
      <c r="V99" s="189">
        <v>10.035980757821136</v>
      </c>
    </row>
    <row r="100" spans="1:23" s="98" customFormat="1" ht="15" customHeight="1">
      <c r="A100" s="99"/>
      <c r="B100" s="161"/>
      <c r="D100" s="162" t="s">
        <v>2056</v>
      </c>
      <c r="E100" s="162"/>
      <c r="F100" s="162"/>
      <c r="G100" s="163"/>
      <c r="H100" s="163"/>
      <c r="I100" s="164" t="s">
        <v>164</v>
      </c>
      <c r="J100" s="190">
        <v>0</v>
      </c>
      <c r="K100" s="188">
        <v>0</v>
      </c>
      <c r="L100" s="188">
        <v>0</v>
      </c>
      <c r="M100" s="188">
        <v>0</v>
      </c>
      <c r="N100" s="188">
        <v>0</v>
      </c>
      <c r="O100" s="188">
        <v>0</v>
      </c>
      <c r="P100" s="188">
        <v>0</v>
      </c>
      <c r="Q100" s="189">
        <v>0</v>
      </c>
      <c r="R100" s="190">
        <v>0</v>
      </c>
      <c r="S100" s="188">
        <v>0</v>
      </c>
      <c r="T100" s="188">
        <v>0</v>
      </c>
      <c r="U100" s="188">
        <v>0</v>
      </c>
      <c r="V100" s="189">
        <v>0</v>
      </c>
    </row>
    <row r="101" spans="1:23" s="98" customFormat="1" ht="15" customHeight="1">
      <c r="A101" s="99"/>
      <c r="B101" s="161"/>
      <c r="D101" s="162" t="s">
        <v>2057</v>
      </c>
      <c r="E101" s="162"/>
      <c r="F101" s="162"/>
      <c r="G101" s="163"/>
      <c r="H101" s="163"/>
      <c r="I101" s="164" t="s">
        <v>164</v>
      </c>
      <c r="J101" s="190">
        <v>0</v>
      </c>
      <c r="K101" s="188">
        <v>0</v>
      </c>
      <c r="L101" s="188">
        <v>0</v>
      </c>
      <c r="M101" s="188">
        <v>0</v>
      </c>
      <c r="N101" s="188">
        <v>0</v>
      </c>
      <c r="O101" s="188">
        <v>0</v>
      </c>
      <c r="P101" s="188">
        <v>0</v>
      </c>
      <c r="Q101" s="189">
        <v>0</v>
      </c>
      <c r="R101" s="190">
        <v>0</v>
      </c>
      <c r="S101" s="188">
        <v>0</v>
      </c>
      <c r="T101" s="188">
        <v>0</v>
      </c>
      <c r="U101" s="188">
        <v>0</v>
      </c>
      <c r="V101" s="189">
        <v>0</v>
      </c>
    </row>
    <row r="102" spans="1:23" s="98" customFormat="1" ht="15" customHeight="1">
      <c r="A102" s="99"/>
      <c r="B102" s="161"/>
      <c r="D102" s="162" t="s">
        <v>131</v>
      </c>
      <c r="E102" s="162"/>
      <c r="F102" s="162"/>
      <c r="G102" s="163"/>
      <c r="H102" s="163"/>
      <c r="I102" s="164" t="s">
        <v>164</v>
      </c>
      <c r="J102" s="190">
        <v>0</v>
      </c>
      <c r="K102" s="188">
        <v>0</v>
      </c>
      <c r="L102" s="188">
        <v>0</v>
      </c>
      <c r="M102" s="188">
        <v>0</v>
      </c>
      <c r="N102" s="188">
        <v>0</v>
      </c>
      <c r="O102" s="188">
        <v>0</v>
      </c>
      <c r="P102" s="188">
        <v>0</v>
      </c>
      <c r="Q102" s="189">
        <v>0</v>
      </c>
      <c r="R102" s="190">
        <v>0</v>
      </c>
      <c r="S102" s="188">
        <v>0</v>
      </c>
      <c r="T102" s="188">
        <v>0</v>
      </c>
      <c r="U102" s="188">
        <v>0</v>
      </c>
      <c r="V102" s="189">
        <v>0</v>
      </c>
    </row>
    <row r="103" spans="1:23" s="98" customFormat="1" ht="15" customHeight="1">
      <c r="A103" s="99"/>
      <c r="B103" s="181"/>
      <c r="C103" s="182" t="s">
        <v>1710</v>
      </c>
      <c r="D103" s="183"/>
      <c r="E103" s="183"/>
      <c r="F103" s="183"/>
      <c r="G103" s="184"/>
      <c r="H103" s="184"/>
      <c r="I103" s="164" t="s">
        <v>164</v>
      </c>
      <c r="J103" s="875">
        <f>SUM(J99:J102)</f>
        <v>9.25</v>
      </c>
      <c r="K103" s="876">
        <f t="shared" ref="K103" si="57">SUM(K99:K102)</f>
        <v>10</v>
      </c>
      <c r="L103" s="876">
        <f t="shared" ref="L103" si="58">SUM(L99:L102)</f>
        <v>10</v>
      </c>
      <c r="M103" s="876">
        <f t="shared" ref="M103" si="59">SUM(M99:M102)</f>
        <v>15</v>
      </c>
      <c r="N103" s="876">
        <f t="shared" ref="N103" si="60">SUM(N99:N102)</f>
        <v>13</v>
      </c>
      <c r="O103" s="876">
        <f t="shared" ref="O103" si="61">SUM(O99:O102)</f>
        <v>11</v>
      </c>
      <c r="P103" s="876">
        <f t="shared" ref="P103" si="62">SUM(P99:P102)</f>
        <v>10.342400120628826</v>
      </c>
      <c r="Q103" s="228">
        <f t="shared" ref="Q103" si="63">SUM(Q99:Q102)</f>
        <v>10.290688120025681</v>
      </c>
      <c r="R103" s="875">
        <f t="shared" ref="R103" si="64">SUM(R99:R102)</f>
        <v>10.239234679425552</v>
      </c>
      <c r="S103" s="876">
        <f t="shared" ref="S103" si="65">SUM(S99:S102)</f>
        <v>10.188038506028423</v>
      </c>
      <c r="T103" s="876">
        <f t="shared" ref="T103" si="66">SUM(T99:T102)</f>
        <v>10.137098313498281</v>
      </c>
      <c r="U103" s="876">
        <f t="shared" ref="U103" si="67">SUM(U99:U102)</f>
        <v>10.086412821930789</v>
      </c>
      <c r="V103" s="228">
        <f t="shared" ref="V103" si="68">SUM(V99:V102)</f>
        <v>10.035980757821136</v>
      </c>
      <c r="W103" s="185"/>
    </row>
    <row r="104" spans="1:23" s="98" customFormat="1" ht="15" customHeight="1">
      <c r="A104" s="99"/>
      <c r="B104" s="161"/>
      <c r="C104" s="116"/>
      <c r="D104" s="116"/>
      <c r="E104" s="116"/>
      <c r="F104" s="116"/>
      <c r="G104" s="117"/>
      <c r="H104" s="117"/>
      <c r="I104" s="117"/>
      <c r="J104" s="1005"/>
      <c r="K104" s="1003"/>
      <c r="L104" s="1003"/>
      <c r="M104" s="1003"/>
      <c r="N104" s="1003"/>
      <c r="O104" s="1003"/>
      <c r="P104" s="1003"/>
      <c r="Q104" s="1004"/>
      <c r="R104" s="1005"/>
      <c r="S104" s="1003"/>
      <c r="T104" s="1003"/>
      <c r="U104" s="1003"/>
      <c r="V104" s="1004"/>
    </row>
    <row r="105" spans="1:23" s="98" customFormat="1" ht="15" customHeight="1">
      <c r="A105" s="99"/>
      <c r="B105" s="161"/>
      <c r="C105" s="186" t="s">
        <v>1717</v>
      </c>
      <c r="D105" s="162"/>
      <c r="E105" s="162"/>
      <c r="F105" s="162"/>
      <c r="G105" s="163"/>
      <c r="H105" s="163"/>
      <c r="I105" s="117"/>
      <c r="J105" s="1005"/>
      <c r="K105" s="1003"/>
      <c r="L105" s="1003"/>
      <c r="M105" s="1003"/>
      <c r="N105" s="1003"/>
      <c r="O105" s="1003"/>
      <c r="P105" s="1003"/>
      <c r="Q105" s="1004"/>
      <c r="R105" s="1005"/>
      <c r="S105" s="1003"/>
      <c r="T105" s="1003"/>
      <c r="U105" s="1003"/>
      <c r="V105" s="1004"/>
    </row>
    <row r="106" spans="1:23" s="98" customFormat="1" ht="15" customHeight="1">
      <c r="A106" s="99"/>
      <c r="B106" s="161"/>
      <c r="D106" s="162" t="s">
        <v>2055</v>
      </c>
      <c r="E106" s="162"/>
      <c r="F106" s="162"/>
      <c r="G106" s="163"/>
      <c r="H106" s="163"/>
      <c r="I106" s="164" t="s">
        <v>164</v>
      </c>
      <c r="J106" s="190">
        <v>41.958333333333343</v>
      </c>
      <c r="K106" s="188">
        <v>48.554794520547944</v>
      </c>
      <c r="L106" s="188">
        <v>56.750000000000007</v>
      </c>
      <c r="M106" s="188">
        <v>46</v>
      </c>
      <c r="N106" s="188">
        <v>50</v>
      </c>
      <c r="O106" s="188">
        <v>54</v>
      </c>
      <c r="P106" s="188">
        <v>51.581737722160028</v>
      </c>
      <c r="Q106" s="189">
        <v>51.581737722160014</v>
      </c>
      <c r="R106" s="190">
        <v>51.323829033549217</v>
      </c>
      <c r="S106" s="188">
        <v>51.067209888381498</v>
      </c>
      <c r="T106" s="188">
        <v>50.811873838939583</v>
      </c>
      <c r="U106" s="188">
        <v>50.557814469744869</v>
      </c>
      <c r="V106" s="189">
        <v>50.305025397396157</v>
      </c>
    </row>
    <row r="107" spans="1:23" s="98" customFormat="1" ht="15" customHeight="1">
      <c r="A107" s="99"/>
      <c r="B107" s="161"/>
      <c r="D107" s="162" t="s">
        <v>2056</v>
      </c>
      <c r="E107" s="162"/>
      <c r="F107" s="162"/>
      <c r="G107" s="163"/>
      <c r="H107" s="163"/>
      <c r="I107" s="164" t="s">
        <v>164</v>
      </c>
      <c r="J107" s="190">
        <v>0</v>
      </c>
      <c r="K107" s="188">
        <v>0</v>
      </c>
      <c r="L107" s="188">
        <v>0</v>
      </c>
      <c r="M107" s="188">
        <v>0</v>
      </c>
      <c r="N107" s="188">
        <v>0</v>
      </c>
      <c r="O107" s="188">
        <v>0</v>
      </c>
      <c r="P107" s="188">
        <v>0</v>
      </c>
      <c r="Q107" s="189">
        <v>0</v>
      </c>
      <c r="R107" s="190">
        <v>0</v>
      </c>
      <c r="S107" s="188">
        <v>0</v>
      </c>
      <c r="T107" s="188">
        <v>0</v>
      </c>
      <c r="U107" s="188">
        <v>0</v>
      </c>
      <c r="V107" s="189">
        <v>0</v>
      </c>
    </row>
    <row r="108" spans="1:23" s="98" customFormat="1" ht="15" customHeight="1">
      <c r="A108" s="99"/>
      <c r="B108" s="161"/>
      <c r="D108" s="162" t="s">
        <v>2057</v>
      </c>
      <c r="E108" s="162"/>
      <c r="F108" s="162"/>
      <c r="G108" s="163"/>
      <c r="H108" s="163"/>
      <c r="I108" s="164" t="s">
        <v>164</v>
      </c>
      <c r="J108" s="190">
        <v>0</v>
      </c>
      <c r="K108" s="188">
        <v>0</v>
      </c>
      <c r="L108" s="188">
        <v>0</v>
      </c>
      <c r="M108" s="188">
        <v>0</v>
      </c>
      <c r="N108" s="188">
        <v>0</v>
      </c>
      <c r="O108" s="188">
        <v>0</v>
      </c>
      <c r="P108" s="188">
        <v>0</v>
      </c>
      <c r="Q108" s="189">
        <v>0</v>
      </c>
      <c r="R108" s="190">
        <v>0</v>
      </c>
      <c r="S108" s="188">
        <v>0</v>
      </c>
      <c r="T108" s="188">
        <v>0</v>
      </c>
      <c r="U108" s="188">
        <v>0</v>
      </c>
      <c r="V108" s="189">
        <v>0</v>
      </c>
    </row>
    <row r="109" spans="1:23" s="98" customFormat="1" ht="15" customHeight="1">
      <c r="A109" s="99"/>
      <c r="B109" s="161"/>
      <c r="D109" s="162" t="s">
        <v>131</v>
      </c>
      <c r="E109" s="162"/>
      <c r="F109" s="162"/>
      <c r="G109" s="163"/>
      <c r="H109" s="163"/>
      <c r="I109" s="164" t="s">
        <v>164</v>
      </c>
      <c r="J109" s="190">
        <v>0</v>
      </c>
      <c r="K109" s="188">
        <v>0</v>
      </c>
      <c r="L109" s="188">
        <v>0</v>
      </c>
      <c r="M109" s="188">
        <v>0</v>
      </c>
      <c r="N109" s="188">
        <v>0</v>
      </c>
      <c r="O109" s="188">
        <v>0</v>
      </c>
      <c r="P109" s="188">
        <v>0</v>
      </c>
      <c r="Q109" s="189">
        <v>0</v>
      </c>
      <c r="R109" s="190">
        <v>0</v>
      </c>
      <c r="S109" s="188">
        <v>0</v>
      </c>
      <c r="T109" s="188">
        <v>0</v>
      </c>
      <c r="U109" s="188">
        <v>0</v>
      </c>
      <c r="V109" s="189">
        <v>0</v>
      </c>
    </row>
    <row r="110" spans="1:23" s="98" customFormat="1" ht="15" customHeight="1">
      <c r="A110" s="99"/>
      <c r="B110" s="181"/>
      <c r="C110" s="182" t="s">
        <v>1710</v>
      </c>
      <c r="D110" s="183"/>
      <c r="E110" s="183"/>
      <c r="F110" s="183"/>
      <c r="G110" s="184"/>
      <c r="H110" s="184"/>
      <c r="I110" s="164" t="s">
        <v>164</v>
      </c>
      <c r="J110" s="875">
        <f>SUM(J106:J109)</f>
        <v>41.958333333333343</v>
      </c>
      <c r="K110" s="876">
        <f t="shared" ref="K110" si="69">SUM(K106:K109)</f>
        <v>48.554794520547944</v>
      </c>
      <c r="L110" s="876">
        <f t="shared" ref="L110" si="70">SUM(L106:L109)</f>
        <v>56.750000000000007</v>
      </c>
      <c r="M110" s="876">
        <f t="shared" ref="M110" si="71">SUM(M106:M109)</f>
        <v>46</v>
      </c>
      <c r="N110" s="876">
        <f t="shared" ref="N110" si="72">SUM(N106:N109)</f>
        <v>50</v>
      </c>
      <c r="O110" s="876">
        <f t="shared" ref="O110" si="73">SUM(O106:O109)</f>
        <v>54</v>
      </c>
      <c r="P110" s="876">
        <f t="shared" ref="P110" si="74">SUM(P106:P109)</f>
        <v>51.581737722160028</v>
      </c>
      <c r="Q110" s="228">
        <f t="shared" ref="Q110" si="75">SUM(Q106:Q109)</f>
        <v>51.581737722160014</v>
      </c>
      <c r="R110" s="875">
        <f t="shared" ref="R110" si="76">SUM(R106:R109)</f>
        <v>51.323829033549217</v>
      </c>
      <c r="S110" s="876">
        <f t="shared" ref="S110" si="77">SUM(S106:S109)</f>
        <v>51.067209888381498</v>
      </c>
      <c r="T110" s="876">
        <f t="shared" ref="T110" si="78">SUM(T106:T109)</f>
        <v>50.811873838939583</v>
      </c>
      <c r="U110" s="876">
        <f t="shared" ref="U110" si="79">SUM(U106:U109)</f>
        <v>50.557814469744869</v>
      </c>
      <c r="V110" s="228">
        <f t="shared" ref="V110" si="80">SUM(V106:V109)</f>
        <v>50.305025397396157</v>
      </c>
      <c r="W110" s="185"/>
    </row>
    <row r="111" spans="1:23" s="98" customFormat="1" ht="15" customHeight="1">
      <c r="A111" s="99"/>
      <c r="B111" s="161"/>
      <c r="C111" s="116"/>
      <c r="D111" s="116"/>
      <c r="E111" s="116"/>
      <c r="F111" s="116"/>
      <c r="G111" s="117"/>
      <c r="H111" s="117"/>
      <c r="I111" s="117"/>
      <c r="J111" s="1005"/>
      <c r="K111" s="1003"/>
      <c r="L111" s="1003"/>
      <c r="M111" s="1003"/>
      <c r="N111" s="1003"/>
      <c r="O111" s="1003"/>
      <c r="P111" s="1003"/>
      <c r="Q111" s="1004"/>
      <c r="R111" s="1005"/>
      <c r="S111" s="1003"/>
      <c r="T111" s="1003"/>
      <c r="U111" s="1003"/>
      <c r="V111" s="1004"/>
    </row>
    <row r="112" spans="1:23" s="98" customFormat="1" ht="15" customHeight="1">
      <c r="A112" s="99"/>
      <c r="B112" s="161"/>
      <c r="C112" s="186" t="s">
        <v>1718</v>
      </c>
      <c r="D112" s="162"/>
      <c r="E112" s="162"/>
      <c r="F112" s="162"/>
      <c r="G112" s="163"/>
      <c r="H112" s="163"/>
      <c r="I112" s="117"/>
      <c r="J112" s="1005"/>
      <c r="K112" s="1003"/>
      <c r="L112" s="1003"/>
      <c r="M112" s="1003"/>
      <c r="N112" s="1003"/>
      <c r="O112" s="1003"/>
      <c r="P112" s="1003"/>
      <c r="Q112" s="1004"/>
      <c r="R112" s="1005"/>
      <c r="S112" s="1003"/>
      <c r="T112" s="1003"/>
      <c r="U112" s="1003"/>
      <c r="V112" s="1004"/>
    </row>
    <row r="113" spans="1:23" s="98" customFormat="1" ht="15" customHeight="1">
      <c r="A113" s="99"/>
      <c r="B113" s="161"/>
      <c r="D113" s="162" t="s">
        <v>2055</v>
      </c>
      <c r="E113" s="162"/>
      <c r="F113" s="162"/>
      <c r="G113" s="163"/>
      <c r="H113" s="163"/>
      <c r="I113" s="164" t="s">
        <v>164</v>
      </c>
      <c r="J113" s="190">
        <v>3.1</v>
      </c>
      <c r="K113" s="188">
        <v>3.1</v>
      </c>
      <c r="L113" s="188">
        <v>3</v>
      </c>
      <c r="M113" s="188">
        <v>3</v>
      </c>
      <c r="N113" s="188">
        <v>3</v>
      </c>
      <c r="O113" s="188">
        <v>3</v>
      </c>
      <c r="P113" s="188">
        <v>3</v>
      </c>
      <c r="Q113" s="189">
        <v>3</v>
      </c>
      <c r="R113" s="190">
        <v>3</v>
      </c>
      <c r="S113" s="188">
        <v>3</v>
      </c>
      <c r="T113" s="188">
        <v>3</v>
      </c>
      <c r="U113" s="188">
        <v>3</v>
      </c>
      <c r="V113" s="189">
        <v>3</v>
      </c>
    </row>
    <row r="114" spans="1:23" s="98" customFormat="1" ht="15" customHeight="1">
      <c r="A114" s="99"/>
      <c r="B114" s="161"/>
      <c r="D114" s="162" t="s">
        <v>2056</v>
      </c>
      <c r="E114" s="162"/>
      <c r="F114" s="162"/>
      <c r="G114" s="163"/>
      <c r="H114" s="163"/>
      <c r="I114" s="164" t="s">
        <v>164</v>
      </c>
      <c r="J114" s="190">
        <v>0</v>
      </c>
      <c r="K114" s="188">
        <v>0</v>
      </c>
      <c r="L114" s="188">
        <v>0</v>
      </c>
      <c r="M114" s="188">
        <v>0</v>
      </c>
      <c r="N114" s="188">
        <v>0</v>
      </c>
      <c r="O114" s="188">
        <v>0</v>
      </c>
      <c r="P114" s="188">
        <v>0</v>
      </c>
      <c r="Q114" s="189">
        <v>0</v>
      </c>
      <c r="R114" s="190">
        <v>0</v>
      </c>
      <c r="S114" s="188">
        <v>0</v>
      </c>
      <c r="T114" s="188">
        <v>0</v>
      </c>
      <c r="U114" s="188">
        <v>0</v>
      </c>
      <c r="V114" s="189">
        <v>0</v>
      </c>
    </row>
    <row r="115" spans="1:23" s="98" customFormat="1" ht="15" customHeight="1">
      <c r="A115" s="99"/>
      <c r="B115" s="161"/>
      <c r="D115" s="162" t="s">
        <v>2057</v>
      </c>
      <c r="E115" s="162"/>
      <c r="F115" s="162"/>
      <c r="G115" s="163"/>
      <c r="H115" s="163"/>
      <c r="I115" s="164" t="s">
        <v>164</v>
      </c>
      <c r="J115" s="190">
        <v>0</v>
      </c>
      <c r="K115" s="188">
        <v>0</v>
      </c>
      <c r="L115" s="188">
        <v>0</v>
      </c>
      <c r="M115" s="188">
        <v>0</v>
      </c>
      <c r="N115" s="188">
        <v>0</v>
      </c>
      <c r="O115" s="188">
        <v>0</v>
      </c>
      <c r="P115" s="188">
        <v>0</v>
      </c>
      <c r="Q115" s="189">
        <v>0</v>
      </c>
      <c r="R115" s="190">
        <v>0</v>
      </c>
      <c r="S115" s="188">
        <v>0</v>
      </c>
      <c r="T115" s="188">
        <v>0</v>
      </c>
      <c r="U115" s="188">
        <v>0</v>
      </c>
      <c r="V115" s="189">
        <v>0</v>
      </c>
    </row>
    <row r="116" spans="1:23" s="98" customFormat="1" ht="15" customHeight="1">
      <c r="A116" s="99"/>
      <c r="B116" s="161"/>
      <c r="D116" s="162" t="s">
        <v>131</v>
      </c>
      <c r="E116" s="162"/>
      <c r="F116" s="162"/>
      <c r="G116" s="163"/>
      <c r="H116" s="163"/>
      <c r="I116" s="164" t="s">
        <v>164</v>
      </c>
      <c r="J116" s="190">
        <v>0</v>
      </c>
      <c r="K116" s="188">
        <v>0</v>
      </c>
      <c r="L116" s="188">
        <v>0</v>
      </c>
      <c r="M116" s="188">
        <v>0</v>
      </c>
      <c r="N116" s="188">
        <v>0</v>
      </c>
      <c r="O116" s="188">
        <v>0</v>
      </c>
      <c r="P116" s="188">
        <v>0</v>
      </c>
      <c r="Q116" s="189">
        <v>0</v>
      </c>
      <c r="R116" s="190">
        <v>0</v>
      </c>
      <c r="S116" s="188">
        <v>0</v>
      </c>
      <c r="T116" s="188">
        <v>0</v>
      </c>
      <c r="U116" s="188">
        <v>0</v>
      </c>
      <c r="V116" s="189">
        <v>0</v>
      </c>
    </row>
    <row r="117" spans="1:23" s="98" customFormat="1" ht="15" customHeight="1">
      <c r="A117" s="99"/>
      <c r="B117" s="181"/>
      <c r="C117" s="182" t="s">
        <v>1710</v>
      </c>
      <c r="D117" s="183"/>
      <c r="E117" s="183"/>
      <c r="F117" s="183"/>
      <c r="G117" s="184"/>
      <c r="H117" s="184"/>
      <c r="I117" s="164" t="s">
        <v>164</v>
      </c>
      <c r="J117" s="875">
        <f>SUM(J113:J116)</f>
        <v>3.1</v>
      </c>
      <c r="K117" s="876">
        <f t="shared" ref="K117" si="81">SUM(K113:K116)</f>
        <v>3.1</v>
      </c>
      <c r="L117" s="876">
        <f t="shared" ref="L117" si="82">SUM(L113:L116)</f>
        <v>3</v>
      </c>
      <c r="M117" s="876">
        <f t="shared" ref="M117" si="83">SUM(M113:M116)</f>
        <v>3</v>
      </c>
      <c r="N117" s="876">
        <f t="shared" ref="N117" si="84">SUM(N113:N116)</f>
        <v>3</v>
      </c>
      <c r="O117" s="876">
        <f t="shared" ref="O117" si="85">SUM(O113:O116)</f>
        <v>3</v>
      </c>
      <c r="P117" s="876">
        <f t="shared" ref="P117" si="86">SUM(P113:P116)</f>
        <v>3</v>
      </c>
      <c r="Q117" s="228">
        <f t="shared" ref="Q117" si="87">SUM(Q113:Q116)</f>
        <v>3</v>
      </c>
      <c r="R117" s="875">
        <f t="shared" ref="R117" si="88">SUM(R113:R116)</f>
        <v>3</v>
      </c>
      <c r="S117" s="876">
        <f t="shared" ref="S117" si="89">SUM(S113:S116)</f>
        <v>3</v>
      </c>
      <c r="T117" s="876">
        <f t="shared" ref="T117" si="90">SUM(T113:T116)</f>
        <v>3</v>
      </c>
      <c r="U117" s="876">
        <f t="shared" ref="U117" si="91">SUM(U113:U116)</f>
        <v>3</v>
      </c>
      <c r="V117" s="228">
        <f t="shared" ref="V117" si="92">SUM(V113:V116)</f>
        <v>3</v>
      </c>
      <c r="W117" s="185"/>
    </row>
    <row r="118" spans="1:23" s="98" customFormat="1" ht="15" customHeight="1">
      <c r="A118" s="99"/>
      <c r="B118" s="161"/>
      <c r="C118" s="116"/>
      <c r="D118" s="116"/>
      <c r="E118" s="116"/>
      <c r="F118" s="116"/>
      <c r="G118" s="117"/>
      <c r="H118" s="117"/>
      <c r="I118" s="117"/>
      <c r="J118" s="1005"/>
      <c r="K118" s="1003"/>
      <c r="L118" s="1003"/>
      <c r="M118" s="1003"/>
      <c r="N118" s="1003"/>
      <c r="O118" s="1003"/>
      <c r="P118" s="1003"/>
      <c r="Q118" s="1004"/>
      <c r="R118" s="1005"/>
      <c r="S118" s="1003"/>
      <c r="T118" s="1003"/>
      <c r="U118" s="1003"/>
      <c r="V118" s="1004"/>
    </row>
    <row r="119" spans="1:23" s="98" customFormat="1" ht="15" customHeight="1">
      <c r="A119" s="99"/>
      <c r="B119" s="161"/>
      <c r="C119" s="186" t="s">
        <v>1719</v>
      </c>
      <c r="D119" s="162"/>
      <c r="E119" s="162"/>
      <c r="F119" s="162"/>
      <c r="G119" s="163"/>
      <c r="H119" s="163"/>
      <c r="I119" s="117"/>
      <c r="J119" s="1005"/>
      <c r="K119" s="1003"/>
      <c r="L119" s="1003"/>
      <c r="M119" s="1003"/>
      <c r="N119" s="1003"/>
      <c r="O119" s="1003"/>
      <c r="P119" s="1003"/>
      <c r="Q119" s="1004"/>
      <c r="R119" s="1005"/>
      <c r="S119" s="1003"/>
      <c r="T119" s="1003"/>
      <c r="U119" s="1003"/>
      <c r="V119" s="1004"/>
    </row>
    <row r="120" spans="1:23" s="98" customFormat="1" ht="15" customHeight="1">
      <c r="A120" s="99"/>
      <c r="B120" s="161"/>
      <c r="D120" s="162" t="s">
        <v>2055</v>
      </c>
      <c r="E120" s="162"/>
      <c r="F120" s="162"/>
      <c r="G120" s="163"/>
      <c r="H120" s="163"/>
      <c r="I120" s="164" t="s">
        <v>164</v>
      </c>
      <c r="J120" s="190">
        <v>5</v>
      </c>
      <c r="K120" s="188">
        <v>9</v>
      </c>
      <c r="L120" s="188">
        <v>7.541666666666667</v>
      </c>
      <c r="M120" s="188">
        <v>15</v>
      </c>
      <c r="N120" s="188">
        <v>61</v>
      </c>
      <c r="O120" s="188">
        <v>41</v>
      </c>
      <c r="P120" s="188">
        <v>40.795000000000002</v>
      </c>
      <c r="Q120" s="189">
        <v>40.591025000000002</v>
      </c>
      <c r="R120" s="190">
        <v>40.388069874999999</v>
      </c>
      <c r="S120" s="188">
        <v>40.186129525624999</v>
      </c>
      <c r="T120" s="188">
        <v>39.985198877996872</v>
      </c>
      <c r="U120" s="188">
        <v>39.785272883606886</v>
      </c>
      <c r="V120" s="189">
        <v>39.586346519188851</v>
      </c>
    </row>
    <row r="121" spans="1:23" s="98" customFormat="1" ht="15" customHeight="1">
      <c r="A121" s="99"/>
      <c r="B121" s="161"/>
      <c r="D121" s="162" t="s">
        <v>2056</v>
      </c>
      <c r="E121" s="162"/>
      <c r="F121" s="162"/>
      <c r="G121" s="163"/>
      <c r="H121" s="163"/>
      <c r="I121" s="164" t="s">
        <v>164</v>
      </c>
      <c r="J121" s="190">
        <v>0</v>
      </c>
      <c r="K121" s="188">
        <v>0</v>
      </c>
      <c r="L121" s="188">
        <v>0</v>
      </c>
      <c r="M121" s="188">
        <v>0</v>
      </c>
      <c r="N121" s="188">
        <v>0</v>
      </c>
      <c r="O121" s="188">
        <v>0</v>
      </c>
      <c r="P121" s="188">
        <v>0</v>
      </c>
      <c r="Q121" s="189">
        <v>0</v>
      </c>
      <c r="R121" s="190">
        <v>0</v>
      </c>
      <c r="S121" s="188">
        <v>0</v>
      </c>
      <c r="T121" s="188">
        <v>0</v>
      </c>
      <c r="U121" s="188">
        <v>0</v>
      </c>
      <c r="V121" s="189">
        <v>0</v>
      </c>
    </row>
    <row r="122" spans="1:23" s="98" customFormat="1" ht="15" customHeight="1">
      <c r="A122" s="99"/>
      <c r="B122" s="161"/>
      <c r="D122" s="162" t="s">
        <v>2057</v>
      </c>
      <c r="E122" s="162"/>
      <c r="F122" s="162"/>
      <c r="G122" s="163"/>
      <c r="H122" s="163"/>
      <c r="I122" s="164" t="s">
        <v>164</v>
      </c>
      <c r="J122" s="190">
        <v>0</v>
      </c>
      <c r="K122" s="188">
        <v>0</v>
      </c>
      <c r="L122" s="188">
        <v>0</v>
      </c>
      <c r="M122" s="188">
        <v>0</v>
      </c>
      <c r="N122" s="188">
        <v>0</v>
      </c>
      <c r="O122" s="188">
        <v>0</v>
      </c>
      <c r="P122" s="188">
        <v>0</v>
      </c>
      <c r="Q122" s="189">
        <v>0</v>
      </c>
      <c r="R122" s="190">
        <v>0</v>
      </c>
      <c r="S122" s="188">
        <v>0</v>
      </c>
      <c r="T122" s="188">
        <v>0</v>
      </c>
      <c r="U122" s="188">
        <v>0</v>
      </c>
      <c r="V122" s="189">
        <v>0</v>
      </c>
    </row>
    <row r="123" spans="1:23" s="98" customFormat="1" ht="15" customHeight="1">
      <c r="A123" s="99"/>
      <c r="B123" s="161"/>
      <c r="D123" s="162" t="s">
        <v>131</v>
      </c>
      <c r="E123" s="162"/>
      <c r="F123" s="162"/>
      <c r="G123" s="163"/>
      <c r="H123" s="163"/>
      <c r="I123" s="164" t="s">
        <v>164</v>
      </c>
      <c r="J123" s="190">
        <v>0</v>
      </c>
      <c r="K123" s="188">
        <v>0</v>
      </c>
      <c r="L123" s="188">
        <v>0</v>
      </c>
      <c r="M123" s="188">
        <v>0</v>
      </c>
      <c r="N123" s="188">
        <v>0</v>
      </c>
      <c r="O123" s="188">
        <v>0</v>
      </c>
      <c r="P123" s="188">
        <v>0</v>
      </c>
      <c r="Q123" s="189">
        <v>0</v>
      </c>
      <c r="R123" s="190">
        <v>0</v>
      </c>
      <c r="S123" s="188">
        <v>0</v>
      </c>
      <c r="T123" s="188">
        <v>0</v>
      </c>
      <c r="U123" s="188">
        <v>0</v>
      </c>
      <c r="V123" s="189">
        <v>0</v>
      </c>
    </row>
    <row r="124" spans="1:23" s="98" customFormat="1" ht="15" customHeight="1">
      <c r="A124" s="99"/>
      <c r="B124" s="181"/>
      <c r="C124" s="182" t="s">
        <v>1710</v>
      </c>
      <c r="D124" s="183"/>
      <c r="E124" s="183"/>
      <c r="F124" s="183"/>
      <c r="G124" s="184"/>
      <c r="H124" s="184"/>
      <c r="I124" s="164" t="s">
        <v>164</v>
      </c>
      <c r="J124" s="875">
        <f>SUM(J120:J123)</f>
        <v>5</v>
      </c>
      <c r="K124" s="876">
        <f t="shared" ref="K124" si="93">SUM(K120:K123)</f>
        <v>9</v>
      </c>
      <c r="L124" s="876">
        <f t="shared" ref="L124" si="94">SUM(L120:L123)</f>
        <v>7.541666666666667</v>
      </c>
      <c r="M124" s="876">
        <f t="shared" ref="M124" si="95">SUM(M120:M123)</f>
        <v>15</v>
      </c>
      <c r="N124" s="876">
        <f t="shared" ref="N124" si="96">SUM(N120:N123)</f>
        <v>61</v>
      </c>
      <c r="O124" s="876">
        <f t="shared" ref="O124" si="97">SUM(O120:O123)</f>
        <v>41</v>
      </c>
      <c r="P124" s="876">
        <f t="shared" ref="P124" si="98">SUM(P120:P123)</f>
        <v>40.795000000000002</v>
      </c>
      <c r="Q124" s="228">
        <f t="shared" ref="Q124" si="99">SUM(Q120:Q123)</f>
        <v>40.591025000000002</v>
      </c>
      <c r="R124" s="875">
        <f t="shared" ref="R124" si="100">SUM(R120:R123)</f>
        <v>40.388069874999999</v>
      </c>
      <c r="S124" s="876">
        <f t="shared" ref="S124" si="101">SUM(S120:S123)</f>
        <v>40.186129525624999</v>
      </c>
      <c r="T124" s="876">
        <f t="shared" ref="T124" si="102">SUM(T120:T123)</f>
        <v>39.985198877996872</v>
      </c>
      <c r="U124" s="876">
        <f t="shared" ref="U124" si="103">SUM(U120:U123)</f>
        <v>39.785272883606886</v>
      </c>
      <c r="V124" s="228">
        <f t="shared" ref="V124" si="104">SUM(V120:V123)</f>
        <v>39.586346519188851</v>
      </c>
      <c r="W124" s="185"/>
    </row>
    <row r="125" spans="1:23" s="98" customFormat="1" ht="15" customHeight="1">
      <c r="A125" s="99"/>
      <c r="B125" s="161"/>
      <c r="C125" s="116"/>
      <c r="D125" s="116"/>
      <c r="E125" s="116"/>
      <c r="F125" s="116"/>
      <c r="G125" s="117"/>
      <c r="H125" s="117"/>
      <c r="I125" s="117"/>
      <c r="J125" s="1005"/>
      <c r="K125" s="1003"/>
      <c r="L125" s="1003"/>
      <c r="M125" s="1003"/>
      <c r="N125" s="1003"/>
      <c r="O125" s="1003"/>
      <c r="P125" s="1003"/>
      <c r="Q125" s="1004"/>
      <c r="R125" s="1005"/>
      <c r="S125" s="1003"/>
      <c r="T125" s="1003"/>
      <c r="U125" s="1003"/>
      <c r="V125" s="1004"/>
    </row>
    <row r="126" spans="1:23" s="98" customFormat="1" ht="15" customHeight="1">
      <c r="A126" s="99"/>
      <c r="B126" s="161"/>
      <c r="C126" s="186" t="s">
        <v>1720</v>
      </c>
      <c r="D126" s="162"/>
      <c r="E126" s="162"/>
      <c r="F126" s="162"/>
      <c r="G126" s="163"/>
      <c r="H126" s="163"/>
      <c r="I126" s="117"/>
      <c r="J126" s="1005"/>
      <c r="K126" s="1003"/>
      <c r="L126" s="1003"/>
      <c r="M126" s="1003"/>
      <c r="N126" s="1003"/>
      <c r="O126" s="1003"/>
      <c r="P126" s="1003"/>
      <c r="Q126" s="1004"/>
      <c r="R126" s="1005"/>
      <c r="S126" s="1003"/>
      <c r="T126" s="1003"/>
      <c r="U126" s="1003"/>
      <c r="V126" s="1004"/>
    </row>
    <row r="127" spans="1:23" s="98" customFormat="1" ht="15" customHeight="1">
      <c r="A127" s="99"/>
      <c r="B127" s="161"/>
      <c r="D127" s="162" t="s">
        <v>2055</v>
      </c>
      <c r="E127" s="162"/>
      <c r="F127" s="162"/>
      <c r="G127" s="163"/>
      <c r="H127" s="163"/>
      <c r="I127" s="164" t="s">
        <v>164</v>
      </c>
      <c r="J127" s="190">
        <v>13.591666666666667</v>
      </c>
      <c r="K127" s="188">
        <v>12.4013698630137</v>
      </c>
      <c r="L127" s="188">
        <v>17.666666666666668</v>
      </c>
      <c r="M127" s="188">
        <v>23</v>
      </c>
      <c r="N127" s="188">
        <v>47</v>
      </c>
      <c r="O127" s="188">
        <v>59</v>
      </c>
      <c r="P127" s="188">
        <v>58.704999999999998</v>
      </c>
      <c r="Q127" s="189">
        <v>58.411474999999996</v>
      </c>
      <c r="R127" s="190">
        <v>58.119417624999997</v>
      </c>
      <c r="S127" s="188">
        <v>57.828820536875</v>
      </c>
      <c r="T127" s="188">
        <v>57.539676434190625</v>
      </c>
      <c r="U127" s="188">
        <v>57.251978052019673</v>
      </c>
      <c r="V127" s="189">
        <v>56.965718161759575</v>
      </c>
    </row>
    <row r="128" spans="1:23" s="98" customFormat="1" ht="15" customHeight="1">
      <c r="A128" s="99"/>
      <c r="B128" s="161"/>
      <c r="D128" s="162" t="s">
        <v>2056</v>
      </c>
      <c r="E128" s="162"/>
      <c r="F128" s="162"/>
      <c r="G128" s="163"/>
      <c r="H128" s="163"/>
      <c r="I128" s="164" t="s">
        <v>164</v>
      </c>
      <c r="J128" s="190">
        <v>0</v>
      </c>
      <c r="K128" s="188">
        <v>0</v>
      </c>
      <c r="L128" s="188">
        <v>0</v>
      </c>
      <c r="M128" s="188">
        <v>0</v>
      </c>
      <c r="N128" s="188">
        <v>0</v>
      </c>
      <c r="O128" s="188">
        <v>0</v>
      </c>
      <c r="P128" s="188">
        <v>0</v>
      </c>
      <c r="Q128" s="189">
        <v>0</v>
      </c>
      <c r="R128" s="190">
        <v>0</v>
      </c>
      <c r="S128" s="188">
        <v>0</v>
      </c>
      <c r="T128" s="188">
        <v>0</v>
      </c>
      <c r="U128" s="188">
        <v>0</v>
      </c>
      <c r="V128" s="189">
        <v>0</v>
      </c>
    </row>
    <row r="129" spans="1:24" s="98" customFormat="1" ht="15" customHeight="1">
      <c r="A129" s="99"/>
      <c r="B129" s="161"/>
      <c r="D129" s="162" t="s">
        <v>2057</v>
      </c>
      <c r="E129" s="162"/>
      <c r="F129" s="162"/>
      <c r="G129" s="163"/>
      <c r="H129" s="163"/>
      <c r="I129" s="164" t="s">
        <v>164</v>
      </c>
      <c r="J129" s="190">
        <v>0</v>
      </c>
      <c r="K129" s="188">
        <v>0</v>
      </c>
      <c r="L129" s="188">
        <v>0</v>
      </c>
      <c r="M129" s="188">
        <v>0</v>
      </c>
      <c r="N129" s="188">
        <v>0</v>
      </c>
      <c r="O129" s="188">
        <v>0</v>
      </c>
      <c r="P129" s="188">
        <v>0</v>
      </c>
      <c r="Q129" s="189">
        <v>0</v>
      </c>
      <c r="R129" s="190">
        <v>0</v>
      </c>
      <c r="S129" s="188">
        <v>0</v>
      </c>
      <c r="T129" s="188">
        <v>0</v>
      </c>
      <c r="U129" s="188">
        <v>0</v>
      </c>
      <c r="V129" s="189">
        <v>0</v>
      </c>
    </row>
    <row r="130" spans="1:24" s="98" customFormat="1" ht="15" customHeight="1">
      <c r="A130" s="99"/>
      <c r="B130" s="161"/>
      <c r="D130" s="162" t="s">
        <v>131</v>
      </c>
      <c r="E130" s="162"/>
      <c r="F130" s="162"/>
      <c r="G130" s="163"/>
      <c r="H130" s="163"/>
      <c r="I130" s="164" t="s">
        <v>164</v>
      </c>
      <c r="J130" s="190">
        <v>0</v>
      </c>
      <c r="K130" s="188">
        <v>0</v>
      </c>
      <c r="L130" s="188">
        <v>0</v>
      </c>
      <c r="M130" s="188">
        <v>0</v>
      </c>
      <c r="N130" s="188">
        <v>0</v>
      </c>
      <c r="O130" s="188">
        <v>0</v>
      </c>
      <c r="P130" s="188">
        <v>0</v>
      </c>
      <c r="Q130" s="189">
        <v>0</v>
      </c>
      <c r="R130" s="190">
        <v>0</v>
      </c>
      <c r="S130" s="188">
        <v>0</v>
      </c>
      <c r="T130" s="188">
        <v>0</v>
      </c>
      <c r="U130" s="188">
        <v>0</v>
      </c>
      <c r="V130" s="189">
        <v>0</v>
      </c>
    </row>
    <row r="131" spans="1:24" s="98" customFormat="1" ht="15" customHeight="1">
      <c r="A131" s="99"/>
      <c r="B131" s="181"/>
      <c r="C131" s="182" t="s">
        <v>1710</v>
      </c>
      <c r="D131" s="183"/>
      <c r="E131" s="183"/>
      <c r="F131" s="183"/>
      <c r="G131" s="184"/>
      <c r="H131" s="184"/>
      <c r="I131" s="164" t="s">
        <v>164</v>
      </c>
      <c r="J131" s="875">
        <f>SUM(J127:J130)</f>
        <v>13.591666666666667</v>
      </c>
      <c r="K131" s="876">
        <f t="shared" ref="K131" si="105">SUM(K127:K130)</f>
        <v>12.4013698630137</v>
      </c>
      <c r="L131" s="876">
        <f t="shared" ref="L131" si="106">SUM(L127:L130)</f>
        <v>17.666666666666668</v>
      </c>
      <c r="M131" s="876">
        <f t="shared" ref="M131" si="107">SUM(M127:M130)</f>
        <v>23</v>
      </c>
      <c r="N131" s="876">
        <f t="shared" ref="N131" si="108">SUM(N127:N130)</f>
        <v>47</v>
      </c>
      <c r="O131" s="876">
        <f t="shared" ref="O131" si="109">SUM(O127:O130)</f>
        <v>59</v>
      </c>
      <c r="P131" s="876">
        <f t="shared" ref="P131" si="110">SUM(P127:P130)</f>
        <v>58.704999999999998</v>
      </c>
      <c r="Q131" s="228">
        <f t="shared" ref="Q131" si="111">SUM(Q127:Q130)</f>
        <v>58.411474999999996</v>
      </c>
      <c r="R131" s="875">
        <f t="shared" ref="R131" si="112">SUM(R127:R130)</f>
        <v>58.119417624999997</v>
      </c>
      <c r="S131" s="876">
        <f t="shared" ref="S131" si="113">SUM(S127:S130)</f>
        <v>57.828820536875</v>
      </c>
      <c r="T131" s="876">
        <f t="shared" ref="T131" si="114">SUM(T127:T130)</f>
        <v>57.539676434190625</v>
      </c>
      <c r="U131" s="876">
        <f t="shared" ref="U131" si="115">SUM(U127:U130)</f>
        <v>57.251978052019673</v>
      </c>
      <c r="V131" s="228">
        <f t="shared" ref="V131" si="116">SUM(V127:V130)</f>
        <v>56.965718161759575</v>
      </c>
      <c r="W131" s="185"/>
    </row>
    <row r="132" spans="1:24" s="98" customFormat="1" ht="15" customHeight="1">
      <c r="A132" s="99"/>
      <c r="B132" s="161"/>
      <c r="C132" s="116"/>
      <c r="D132" s="116"/>
      <c r="E132" s="116"/>
      <c r="F132" s="116"/>
      <c r="G132" s="117"/>
      <c r="H132" s="117"/>
      <c r="I132" s="117"/>
      <c r="J132" s="1005"/>
      <c r="K132" s="1003"/>
      <c r="L132" s="1003"/>
      <c r="M132" s="1003"/>
      <c r="N132" s="1003"/>
      <c r="O132" s="1003"/>
      <c r="P132" s="1003"/>
      <c r="Q132" s="1004"/>
      <c r="R132" s="1005"/>
      <c r="S132" s="1003"/>
      <c r="T132" s="1003"/>
      <c r="U132" s="1003"/>
      <c r="V132" s="1004"/>
    </row>
    <row r="133" spans="1:24" s="98" customFormat="1" ht="15" customHeight="1">
      <c r="A133" s="99"/>
      <c r="B133" s="161"/>
      <c r="C133" s="186" t="s">
        <v>1721</v>
      </c>
      <c r="D133" s="162"/>
      <c r="E133" s="162"/>
      <c r="F133" s="162"/>
      <c r="G133" s="163"/>
      <c r="H133" s="163"/>
      <c r="I133" s="117"/>
      <c r="J133" s="1005"/>
      <c r="K133" s="1003"/>
      <c r="L133" s="1003"/>
      <c r="M133" s="1003"/>
      <c r="N133" s="1003"/>
      <c r="O133" s="1003"/>
      <c r="P133" s="1003"/>
      <c r="Q133" s="1004"/>
      <c r="R133" s="1005"/>
      <c r="S133" s="1003"/>
      <c r="T133" s="1003"/>
      <c r="U133" s="1003"/>
      <c r="V133" s="1004"/>
    </row>
    <row r="134" spans="1:24" s="98" customFormat="1" ht="15" customHeight="1">
      <c r="A134" s="99"/>
      <c r="B134" s="161"/>
      <c r="D134" s="162" t="s">
        <v>2055</v>
      </c>
      <c r="E134" s="162"/>
      <c r="F134" s="162"/>
      <c r="G134" s="163"/>
      <c r="H134" s="163"/>
      <c r="I134" s="164" t="s">
        <v>164</v>
      </c>
      <c r="J134" s="190">
        <v>0</v>
      </c>
      <c r="K134" s="188">
        <v>0</v>
      </c>
      <c r="L134" s="188">
        <v>0</v>
      </c>
      <c r="M134" s="188">
        <v>0</v>
      </c>
      <c r="N134" s="188">
        <v>0</v>
      </c>
      <c r="O134" s="188">
        <v>0</v>
      </c>
      <c r="P134" s="188">
        <v>0</v>
      </c>
      <c r="Q134" s="189">
        <v>0</v>
      </c>
      <c r="R134" s="190">
        <v>0</v>
      </c>
      <c r="S134" s="188">
        <v>0</v>
      </c>
      <c r="T134" s="188">
        <v>0</v>
      </c>
      <c r="U134" s="188">
        <v>0</v>
      </c>
      <c r="V134" s="189">
        <v>0</v>
      </c>
    </row>
    <row r="135" spans="1:24" s="98" customFormat="1" ht="15" customHeight="1">
      <c r="A135" s="99"/>
      <c r="B135" s="161"/>
      <c r="D135" s="162" t="s">
        <v>2056</v>
      </c>
      <c r="E135" s="162"/>
      <c r="F135" s="162"/>
      <c r="G135" s="163"/>
      <c r="H135" s="163"/>
      <c r="I135" s="164" t="s">
        <v>164</v>
      </c>
      <c r="J135" s="190">
        <v>0</v>
      </c>
      <c r="K135" s="188">
        <v>0</v>
      </c>
      <c r="L135" s="188">
        <v>0</v>
      </c>
      <c r="M135" s="188">
        <v>0</v>
      </c>
      <c r="N135" s="188">
        <v>0</v>
      </c>
      <c r="O135" s="188">
        <v>0</v>
      </c>
      <c r="P135" s="188">
        <v>0</v>
      </c>
      <c r="Q135" s="189">
        <v>0</v>
      </c>
      <c r="R135" s="190">
        <v>0</v>
      </c>
      <c r="S135" s="188">
        <v>0</v>
      </c>
      <c r="T135" s="188">
        <v>0</v>
      </c>
      <c r="U135" s="188">
        <v>0</v>
      </c>
      <c r="V135" s="189">
        <v>0</v>
      </c>
    </row>
    <row r="136" spans="1:24" s="98" customFormat="1" ht="15" customHeight="1">
      <c r="A136" s="99"/>
      <c r="B136" s="161"/>
      <c r="D136" s="162" t="s">
        <v>2057</v>
      </c>
      <c r="E136" s="162"/>
      <c r="F136" s="162"/>
      <c r="G136" s="163"/>
      <c r="H136" s="163"/>
      <c r="I136" s="164" t="s">
        <v>164</v>
      </c>
      <c r="J136" s="190">
        <v>0</v>
      </c>
      <c r="K136" s="188">
        <v>0</v>
      </c>
      <c r="L136" s="188">
        <v>0</v>
      </c>
      <c r="M136" s="188">
        <v>0</v>
      </c>
      <c r="N136" s="188">
        <v>0</v>
      </c>
      <c r="O136" s="188">
        <v>0</v>
      </c>
      <c r="P136" s="188">
        <v>0</v>
      </c>
      <c r="Q136" s="189">
        <v>0</v>
      </c>
      <c r="R136" s="190">
        <v>0</v>
      </c>
      <c r="S136" s="188">
        <v>0</v>
      </c>
      <c r="T136" s="188">
        <v>0</v>
      </c>
      <c r="U136" s="188">
        <v>0</v>
      </c>
      <c r="V136" s="189">
        <v>0</v>
      </c>
    </row>
    <row r="137" spans="1:24" s="98" customFormat="1" ht="15" customHeight="1">
      <c r="A137" s="99"/>
      <c r="B137" s="161"/>
      <c r="D137" s="162" t="s">
        <v>131</v>
      </c>
      <c r="E137" s="162"/>
      <c r="F137" s="162"/>
      <c r="G137" s="163"/>
      <c r="H137" s="163"/>
      <c r="I137" s="164" t="s">
        <v>164</v>
      </c>
      <c r="J137" s="190">
        <v>0</v>
      </c>
      <c r="K137" s="188">
        <v>0</v>
      </c>
      <c r="L137" s="188">
        <v>0</v>
      </c>
      <c r="M137" s="188">
        <v>0</v>
      </c>
      <c r="N137" s="188">
        <v>0</v>
      </c>
      <c r="O137" s="188">
        <v>0</v>
      </c>
      <c r="P137" s="188">
        <v>0</v>
      </c>
      <c r="Q137" s="189">
        <v>0</v>
      </c>
      <c r="R137" s="190">
        <v>0</v>
      </c>
      <c r="S137" s="188">
        <v>0</v>
      </c>
      <c r="T137" s="188">
        <v>0</v>
      </c>
      <c r="U137" s="188">
        <v>0</v>
      </c>
      <c r="V137" s="189">
        <v>0</v>
      </c>
    </row>
    <row r="138" spans="1:24" s="98" customFormat="1" ht="15" customHeight="1">
      <c r="A138" s="99"/>
      <c r="B138" s="181"/>
      <c r="C138" s="182" t="s">
        <v>1710</v>
      </c>
      <c r="D138" s="183"/>
      <c r="E138" s="183"/>
      <c r="F138" s="183"/>
      <c r="G138" s="184"/>
      <c r="H138" s="184"/>
      <c r="I138" s="164" t="s">
        <v>164</v>
      </c>
      <c r="J138" s="875">
        <f>SUM(J134:J137)</f>
        <v>0</v>
      </c>
      <c r="K138" s="876">
        <f t="shared" ref="K138" si="117">SUM(K134:K137)</f>
        <v>0</v>
      </c>
      <c r="L138" s="876">
        <f t="shared" ref="L138" si="118">SUM(L134:L137)</f>
        <v>0</v>
      </c>
      <c r="M138" s="876">
        <f t="shared" ref="M138" si="119">SUM(M134:M137)</f>
        <v>0</v>
      </c>
      <c r="N138" s="876">
        <f t="shared" ref="N138" si="120">SUM(N134:N137)</f>
        <v>0</v>
      </c>
      <c r="O138" s="876">
        <f t="shared" ref="O138" si="121">SUM(O134:O137)</f>
        <v>0</v>
      </c>
      <c r="P138" s="876">
        <f t="shared" ref="P138" si="122">SUM(P134:P137)</f>
        <v>0</v>
      </c>
      <c r="Q138" s="228">
        <f t="shared" ref="Q138" si="123">SUM(Q134:Q137)</f>
        <v>0</v>
      </c>
      <c r="R138" s="875">
        <f t="shared" ref="R138" si="124">SUM(R134:R137)</f>
        <v>0</v>
      </c>
      <c r="S138" s="876">
        <f t="shared" ref="S138" si="125">SUM(S134:S137)</f>
        <v>0</v>
      </c>
      <c r="T138" s="876">
        <f t="shared" ref="T138" si="126">SUM(T134:T137)</f>
        <v>0</v>
      </c>
      <c r="U138" s="876">
        <f t="shared" ref="U138" si="127">SUM(U134:U137)</f>
        <v>0</v>
      </c>
      <c r="V138" s="228">
        <f t="shared" ref="V138" si="128">SUM(V134:V137)</f>
        <v>0</v>
      </c>
      <c r="W138" s="185"/>
    </row>
    <row r="139" spans="1:24" s="98" customFormat="1" ht="15" customHeight="1">
      <c r="A139" s="99"/>
      <c r="B139" s="161"/>
      <c r="C139" s="116"/>
      <c r="D139" s="116"/>
      <c r="E139" s="116"/>
      <c r="F139" s="116"/>
      <c r="G139" s="117"/>
      <c r="H139" s="117"/>
      <c r="I139" s="117"/>
      <c r="J139" s="1005"/>
      <c r="K139" s="1003"/>
      <c r="L139" s="1003"/>
      <c r="M139" s="1003"/>
      <c r="N139" s="1003"/>
      <c r="O139" s="1003"/>
      <c r="P139" s="1003"/>
      <c r="Q139" s="1004"/>
      <c r="R139" s="1005"/>
      <c r="S139" s="1003"/>
      <c r="T139" s="1003"/>
      <c r="U139" s="1003"/>
      <c r="V139" s="1004"/>
    </row>
    <row r="140" spans="1:24" s="98" customFormat="1" ht="15" customHeight="1" thickBot="1">
      <c r="A140" s="99"/>
      <c r="B140" s="131" t="s">
        <v>1701</v>
      </c>
      <c r="C140" s="132"/>
      <c r="D140" s="132"/>
      <c r="E140" s="132"/>
      <c r="F140" s="132"/>
      <c r="G140" s="145"/>
      <c r="H140" s="133"/>
      <c r="I140" s="146" t="s">
        <v>164</v>
      </c>
      <c r="J140" s="1002">
        <f>SUM(J89,J96,J103,J110,J117,J124,J131,J138)</f>
        <v>88.50833333333334</v>
      </c>
      <c r="K140" s="1000">
        <f t="shared" ref="K140:V140" si="129">SUM(K89,K96,K103,K110,K117,K124,K131,K138)</f>
        <v>106.87123287671231</v>
      </c>
      <c r="L140" s="1000">
        <f t="shared" si="129"/>
        <v>144.95833333333334</v>
      </c>
      <c r="M140" s="1000">
        <f t="shared" si="129"/>
        <v>148</v>
      </c>
      <c r="N140" s="1000">
        <f t="shared" si="129"/>
        <v>226</v>
      </c>
      <c r="O140" s="1000">
        <f t="shared" si="129"/>
        <v>228</v>
      </c>
      <c r="P140" s="1000">
        <f t="shared" si="129"/>
        <v>226.35281049630646</v>
      </c>
      <c r="Q140" s="1001">
        <f t="shared" si="129"/>
        <v>225.80359849570331</v>
      </c>
      <c r="R140" s="1002">
        <f t="shared" si="129"/>
        <v>224.68958050322482</v>
      </c>
      <c r="S140" s="1000">
        <f t="shared" si="129"/>
        <v>223.58113260070871</v>
      </c>
      <c r="T140" s="1000">
        <f t="shared" si="129"/>
        <v>222.47822693770516</v>
      </c>
      <c r="U140" s="1000">
        <f t="shared" si="129"/>
        <v>221.38083580301659</v>
      </c>
      <c r="V140" s="1001">
        <f t="shared" si="129"/>
        <v>220.28893162400155</v>
      </c>
    </row>
    <row r="141" spans="1:24" s="99" customFormat="1" ht="15" customHeight="1" thickBot="1">
      <c r="B141" s="150"/>
      <c r="C141" s="95"/>
      <c r="D141" s="95"/>
      <c r="E141" s="95"/>
      <c r="F141" s="95"/>
      <c r="G141" s="97"/>
      <c r="H141" s="97"/>
      <c r="I141" s="98"/>
      <c r="J141" s="1006"/>
      <c r="K141" s="1006"/>
      <c r="L141" s="1006"/>
      <c r="M141" s="1006"/>
      <c r="N141" s="1006"/>
      <c r="O141" s="1006"/>
      <c r="P141" s="1006"/>
      <c r="Q141" s="1006"/>
      <c r="R141" s="1006"/>
      <c r="S141" s="1006"/>
      <c r="T141" s="1006"/>
      <c r="U141" s="1006"/>
      <c r="V141" s="1006"/>
      <c r="W141" s="98"/>
      <c r="X141" s="98"/>
    </row>
    <row r="142" spans="1:24" s="100" customFormat="1" ht="30" customHeight="1" thickBot="1">
      <c r="A142" s="89"/>
      <c r="B142" s="621" t="s">
        <v>2042</v>
      </c>
      <c r="C142" s="762"/>
      <c r="D142" s="762"/>
      <c r="E142" s="762"/>
      <c r="F142" s="762"/>
      <c r="G142" s="763"/>
      <c r="H142" s="103"/>
      <c r="I142" s="105" t="s">
        <v>2054</v>
      </c>
      <c r="J142" s="1007"/>
      <c r="K142" s="1007"/>
      <c r="L142" s="1007"/>
      <c r="M142" s="1007"/>
      <c r="N142" s="1007"/>
      <c r="O142" s="1007"/>
      <c r="P142" s="1007"/>
      <c r="Q142" s="1007"/>
      <c r="R142" s="1008"/>
      <c r="S142" s="1008"/>
      <c r="T142" s="1008"/>
      <c r="U142" s="1008"/>
      <c r="V142" s="1008"/>
    </row>
    <row r="143" spans="1:24" s="157" customFormat="1" ht="30" customHeight="1">
      <c r="A143" s="99"/>
      <c r="B143" s="109"/>
      <c r="C143" s="127"/>
      <c r="D143" s="127"/>
      <c r="E143" s="127"/>
      <c r="F143" s="127"/>
      <c r="G143" s="117"/>
      <c r="H143" s="111"/>
      <c r="I143" s="117"/>
      <c r="J143" s="1009" t="s">
        <v>1666</v>
      </c>
      <c r="K143" s="1010"/>
      <c r="L143" s="1010"/>
      <c r="M143" s="1010"/>
      <c r="N143" s="1010"/>
      <c r="O143" s="1010"/>
      <c r="P143" s="1010"/>
      <c r="Q143" s="1011"/>
      <c r="R143" s="1012" t="s">
        <v>2</v>
      </c>
      <c r="S143" s="1013"/>
      <c r="T143" s="1013"/>
      <c r="U143" s="1013"/>
      <c r="V143" s="1014"/>
    </row>
    <row r="144" spans="1:24" s="98" customFormat="1" ht="15" customHeight="1">
      <c r="A144" s="99"/>
      <c r="B144" s="115"/>
      <c r="C144" s="116"/>
      <c r="D144" s="116"/>
      <c r="E144" s="116"/>
      <c r="F144" s="116"/>
      <c r="G144" s="117"/>
      <c r="H144" s="117"/>
      <c r="I144" s="119" t="s">
        <v>1667</v>
      </c>
      <c r="J144" s="1015" t="s">
        <v>453</v>
      </c>
      <c r="K144" s="1016" t="s">
        <v>455</v>
      </c>
      <c r="L144" s="1016" t="s">
        <v>457</v>
      </c>
      <c r="M144" s="1016" t="s">
        <v>459</v>
      </c>
      <c r="N144" s="1016" t="s">
        <v>461</v>
      </c>
      <c r="O144" s="1016" t="s">
        <v>463</v>
      </c>
      <c r="P144" s="1016" t="s">
        <v>465</v>
      </c>
      <c r="Q144" s="1017" t="s">
        <v>467</v>
      </c>
      <c r="R144" s="1018" t="s">
        <v>469</v>
      </c>
      <c r="S144" s="1019" t="s">
        <v>471</v>
      </c>
      <c r="T144" s="1019" t="s">
        <v>473</v>
      </c>
      <c r="U144" s="1019" t="s">
        <v>475</v>
      </c>
      <c r="V144" s="1020" t="s">
        <v>477</v>
      </c>
    </row>
    <row r="145" spans="1:28" s="98" customFormat="1" ht="15" customHeight="1">
      <c r="A145" s="99"/>
      <c r="B145" s="161"/>
      <c r="C145" s="186" t="s">
        <v>2042</v>
      </c>
      <c r="D145" s="162"/>
      <c r="E145" s="162"/>
      <c r="F145" s="162"/>
      <c r="G145" s="163"/>
      <c r="H145" s="163"/>
      <c r="I145" s="117"/>
      <c r="J145" s="1005"/>
      <c r="K145" s="1003"/>
      <c r="L145" s="1003"/>
      <c r="M145" s="1003"/>
      <c r="N145" s="1003"/>
      <c r="O145" s="1003"/>
      <c r="P145" s="1003"/>
      <c r="Q145" s="1004"/>
      <c r="R145" s="1005"/>
      <c r="S145" s="1003"/>
      <c r="T145" s="1003"/>
      <c r="U145" s="1003"/>
      <c r="V145" s="1004"/>
    </row>
    <row r="146" spans="1:28" s="98" customFormat="1" ht="15" customHeight="1">
      <c r="A146" s="99"/>
      <c r="B146" s="161"/>
      <c r="D146" s="162" t="s">
        <v>2055</v>
      </c>
      <c r="E146" s="162"/>
      <c r="F146" s="162"/>
      <c r="G146" s="163"/>
      <c r="H146" s="163"/>
      <c r="I146" s="164" t="s">
        <v>164</v>
      </c>
      <c r="J146" s="190">
        <v>3.9166666666666665</v>
      </c>
      <c r="K146" s="188">
        <v>8.8493150684931514</v>
      </c>
      <c r="L146" s="188">
        <v>14.833333333333334</v>
      </c>
      <c r="M146" s="188">
        <v>6</v>
      </c>
      <c r="N146" s="188">
        <v>8</v>
      </c>
      <c r="O146" s="188">
        <v>7</v>
      </c>
      <c r="P146" s="188">
        <v>7</v>
      </c>
      <c r="Q146" s="189">
        <v>7</v>
      </c>
      <c r="R146" s="190">
        <v>7</v>
      </c>
      <c r="S146" s="188">
        <v>7</v>
      </c>
      <c r="T146" s="188">
        <v>7</v>
      </c>
      <c r="U146" s="188">
        <v>7</v>
      </c>
      <c r="V146" s="189">
        <v>7</v>
      </c>
    </row>
    <row r="147" spans="1:28" s="98" customFormat="1" ht="15" customHeight="1">
      <c r="A147" s="99"/>
      <c r="B147" s="161"/>
      <c r="D147" s="162" t="s">
        <v>2057</v>
      </c>
      <c r="E147" s="162"/>
      <c r="F147" s="162"/>
      <c r="G147" s="163"/>
      <c r="H147" s="163"/>
      <c r="I147" s="164" t="s">
        <v>164</v>
      </c>
      <c r="J147" s="190">
        <v>0</v>
      </c>
      <c r="K147" s="188">
        <v>0</v>
      </c>
      <c r="L147" s="188">
        <v>0</v>
      </c>
      <c r="M147" s="188">
        <v>0</v>
      </c>
      <c r="N147" s="188">
        <v>0</v>
      </c>
      <c r="O147" s="188">
        <v>0</v>
      </c>
      <c r="P147" s="188">
        <v>0</v>
      </c>
      <c r="Q147" s="189">
        <v>0</v>
      </c>
      <c r="R147" s="190">
        <v>0</v>
      </c>
      <c r="S147" s="188">
        <v>0</v>
      </c>
      <c r="T147" s="188">
        <v>0</v>
      </c>
      <c r="U147" s="188">
        <v>0</v>
      </c>
      <c r="V147" s="189">
        <v>0</v>
      </c>
    </row>
    <row r="148" spans="1:28" s="98" customFormat="1" ht="15" customHeight="1">
      <c r="A148" s="99"/>
      <c r="B148" s="161"/>
      <c r="D148" s="162" t="s">
        <v>131</v>
      </c>
      <c r="E148" s="162"/>
      <c r="F148" s="162"/>
      <c r="G148" s="163"/>
      <c r="H148" s="163"/>
      <c r="I148" s="164" t="s">
        <v>164</v>
      </c>
      <c r="J148" s="190">
        <v>0</v>
      </c>
      <c r="K148" s="188">
        <v>0</v>
      </c>
      <c r="L148" s="188">
        <v>0</v>
      </c>
      <c r="M148" s="188">
        <v>0</v>
      </c>
      <c r="N148" s="188">
        <v>0</v>
      </c>
      <c r="O148" s="188">
        <v>0</v>
      </c>
      <c r="P148" s="188">
        <v>0</v>
      </c>
      <c r="Q148" s="189">
        <v>0</v>
      </c>
      <c r="R148" s="190">
        <v>0</v>
      </c>
      <c r="S148" s="188">
        <v>0</v>
      </c>
      <c r="T148" s="188">
        <v>0</v>
      </c>
      <c r="U148" s="188">
        <v>0</v>
      </c>
      <c r="V148" s="189">
        <v>0</v>
      </c>
    </row>
    <row r="149" spans="1:28" s="98" customFormat="1" ht="15" customHeight="1">
      <c r="A149" s="99"/>
      <c r="B149" s="161"/>
      <c r="D149" s="162" t="s">
        <v>2056</v>
      </c>
      <c r="E149" s="162"/>
      <c r="F149" s="162"/>
      <c r="G149" s="163"/>
      <c r="H149" s="163"/>
      <c r="I149" s="117"/>
      <c r="J149" s="1005"/>
      <c r="K149" s="1003"/>
      <c r="L149" s="1003"/>
      <c r="M149" s="1003"/>
      <c r="N149" s="1003"/>
      <c r="O149" s="1003"/>
      <c r="P149" s="1003"/>
      <c r="Q149" s="1004"/>
      <c r="R149" s="1005"/>
      <c r="S149" s="1003"/>
      <c r="T149" s="1003"/>
      <c r="U149" s="1003"/>
      <c r="V149" s="1004"/>
    </row>
    <row r="150" spans="1:28" s="98" customFormat="1" ht="15" customHeight="1">
      <c r="A150" s="99"/>
      <c r="B150" s="161"/>
      <c r="D150" s="162"/>
      <c r="E150" s="162" t="s">
        <v>2058</v>
      </c>
      <c r="F150" s="162"/>
      <c r="H150" s="163"/>
      <c r="I150" s="164" t="s">
        <v>164</v>
      </c>
      <c r="J150" s="190">
        <v>6</v>
      </c>
      <c r="K150" s="188">
        <v>0</v>
      </c>
      <c r="L150" s="188">
        <v>0</v>
      </c>
      <c r="M150" s="188">
        <v>0</v>
      </c>
      <c r="N150" s="188">
        <v>0</v>
      </c>
      <c r="O150" s="188">
        <v>0</v>
      </c>
      <c r="P150" s="188">
        <v>16</v>
      </c>
      <c r="Q150" s="189">
        <v>35</v>
      </c>
      <c r="R150" s="190">
        <v>36</v>
      </c>
      <c r="S150" s="188">
        <v>30</v>
      </c>
      <c r="T150" s="188">
        <v>30</v>
      </c>
      <c r="U150" s="188">
        <v>30</v>
      </c>
      <c r="V150" s="189">
        <v>28</v>
      </c>
    </row>
    <row r="151" spans="1:28" s="98" customFormat="1" ht="15" customHeight="1">
      <c r="A151" s="99"/>
      <c r="B151" s="161"/>
      <c r="D151" s="162"/>
      <c r="E151" s="162" t="s">
        <v>2059</v>
      </c>
      <c r="F151" s="162"/>
      <c r="H151" s="163"/>
      <c r="I151" s="164" t="s">
        <v>164</v>
      </c>
      <c r="J151" s="190">
        <v>28</v>
      </c>
      <c r="K151" s="188">
        <v>6</v>
      </c>
      <c r="L151" s="188">
        <v>0</v>
      </c>
      <c r="M151" s="188">
        <v>0</v>
      </c>
      <c r="N151" s="188">
        <v>9</v>
      </c>
      <c r="O151" s="188">
        <v>15</v>
      </c>
      <c r="P151" s="188">
        <v>11</v>
      </c>
      <c r="Q151" s="189">
        <v>13</v>
      </c>
      <c r="R151" s="190">
        <v>13</v>
      </c>
      <c r="S151" s="188">
        <v>12</v>
      </c>
      <c r="T151" s="188">
        <v>12</v>
      </c>
      <c r="U151" s="188">
        <v>12</v>
      </c>
      <c r="V151" s="189">
        <v>14</v>
      </c>
    </row>
    <row r="152" spans="1:28" s="98" customFormat="1" ht="15" customHeight="1">
      <c r="A152" s="99"/>
      <c r="B152" s="161"/>
      <c r="D152" s="162"/>
      <c r="E152" s="162" t="s">
        <v>2060</v>
      </c>
      <c r="F152" s="162"/>
      <c r="H152" s="163"/>
      <c r="I152" s="164" t="s">
        <v>164</v>
      </c>
      <c r="J152" s="190">
        <v>4.5</v>
      </c>
      <c r="K152" s="188">
        <v>13</v>
      </c>
      <c r="L152" s="188">
        <v>7</v>
      </c>
      <c r="M152" s="188">
        <v>5</v>
      </c>
      <c r="N152" s="188">
        <v>6</v>
      </c>
      <c r="O152" s="188">
        <v>6</v>
      </c>
      <c r="P152" s="188">
        <v>13</v>
      </c>
      <c r="Q152" s="189">
        <v>18</v>
      </c>
      <c r="R152" s="190">
        <v>18</v>
      </c>
      <c r="S152" s="188">
        <v>18</v>
      </c>
      <c r="T152" s="188">
        <v>18</v>
      </c>
      <c r="U152" s="188">
        <v>18</v>
      </c>
      <c r="V152" s="189">
        <v>18</v>
      </c>
    </row>
    <row r="153" spans="1:28" s="98" customFormat="1" ht="15" customHeight="1">
      <c r="A153" s="99"/>
      <c r="B153" s="161"/>
      <c r="D153" s="162"/>
      <c r="E153" s="162"/>
      <c r="F153" s="162"/>
      <c r="G153" s="163"/>
      <c r="H153" s="163"/>
      <c r="I153" s="117"/>
      <c r="J153" s="1005"/>
      <c r="K153" s="1003"/>
      <c r="L153" s="1003"/>
      <c r="M153" s="1003"/>
      <c r="N153" s="1003"/>
      <c r="O153" s="1003"/>
      <c r="P153" s="1003"/>
      <c r="Q153" s="1004"/>
      <c r="R153" s="1005"/>
      <c r="S153" s="1003"/>
      <c r="T153" s="1003"/>
      <c r="U153" s="1003"/>
      <c r="V153" s="1004"/>
    </row>
    <row r="154" spans="1:28" s="98" customFormat="1" ht="15" customHeight="1" thickBot="1">
      <c r="A154" s="99"/>
      <c r="B154" s="131" t="s">
        <v>1701</v>
      </c>
      <c r="C154" s="132"/>
      <c r="D154" s="132"/>
      <c r="E154" s="132"/>
      <c r="F154" s="132"/>
      <c r="G154" s="145"/>
      <c r="H154" s="133"/>
      <c r="I154" s="146" t="s">
        <v>164</v>
      </c>
      <c r="J154" s="1002">
        <f>SUM(J146:J148,J150:J152)</f>
        <v>42.416666666666664</v>
      </c>
      <c r="K154" s="1000">
        <f t="shared" ref="K154:V154" si="130">SUM(K146:K148,K150:K152)</f>
        <v>27.849315068493151</v>
      </c>
      <c r="L154" s="1000">
        <f t="shared" si="130"/>
        <v>21.833333333333336</v>
      </c>
      <c r="M154" s="1000">
        <f t="shared" si="130"/>
        <v>11</v>
      </c>
      <c r="N154" s="1000">
        <f t="shared" si="130"/>
        <v>23</v>
      </c>
      <c r="O154" s="1000">
        <f t="shared" si="130"/>
        <v>28</v>
      </c>
      <c r="P154" s="1000">
        <f t="shared" si="130"/>
        <v>47</v>
      </c>
      <c r="Q154" s="1001">
        <f t="shared" si="130"/>
        <v>73</v>
      </c>
      <c r="R154" s="1002">
        <f t="shared" si="130"/>
        <v>74</v>
      </c>
      <c r="S154" s="1000">
        <f t="shared" si="130"/>
        <v>67</v>
      </c>
      <c r="T154" s="1000">
        <f t="shared" si="130"/>
        <v>67</v>
      </c>
      <c r="U154" s="1000">
        <f t="shared" si="130"/>
        <v>67</v>
      </c>
      <c r="V154" s="1001">
        <f t="shared" si="130"/>
        <v>67</v>
      </c>
    </row>
    <row r="155" spans="1:28" s="99" customFormat="1" ht="15" customHeight="1" thickBot="1">
      <c r="B155" s="150"/>
      <c r="C155" s="95"/>
      <c r="D155" s="95"/>
      <c r="E155" s="95"/>
      <c r="F155" s="95"/>
      <c r="G155" s="97"/>
      <c r="H155" s="97"/>
      <c r="I155" s="98"/>
      <c r="J155" s="1006"/>
      <c r="K155" s="1006"/>
      <c r="L155" s="1006"/>
      <c r="M155" s="1006"/>
      <c r="N155" s="1006"/>
      <c r="O155" s="1006"/>
      <c r="P155" s="1006"/>
      <c r="Q155" s="1006"/>
      <c r="R155" s="1006"/>
      <c r="S155" s="1006"/>
      <c r="T155" s="1006"/>
      <c r="U155" s="1006"/>
      <c r="V155" s="1006"/>
      <c r="W155" s="98"/>
      <c r="X155" s="98"/>
      <c r="AA155" s="173"/>
      <c r="AB155" s="98"/>
    </row>
    <row r="156" spans="1:28" s="100" customFormat="1" ht="30" customHeight="1" thickBot="1">
      <c r="A156" s="89"/>
      <c r="B156" s="621" t="s">
        <v>1723</v>
      </c>
      <c r="C156" s="762"/>
      <c r="D156" s="762"/>
      <c r="E156" s="762"/>
      <c r="F156" s="762"/>
      <c r="G156" s="763"/>
      <c r="H156" s="103"/>
      <c r="I156" s="105" t="s">
        <v>2054</v>
      </c>
      <c r="J156" s="1007"/>
      <c r="K156" s="1007"/>
      <c r="L156" s="1007"/>
      <c r="M156" s="1007"/>
      <c r="N156" s="1007"/>
      <c r="O156" s="1007"/>
      <c r="P156" s="1007"/>
      <c r="Q156" s="1007"/>
      <c r="R156" s="1008"/>
      <c r="S156" s="1008"/>
      <c r="T156" s="1008"/>
      <c r="U156" s="1008"/>
      <c r="V156" s="1008"/>
    </row>
    <row r="157" spans="1:28" s="157" customFormat="1" ht="30" customHeight="1">
      <c r="A157" s="99"/>
      <c r="B157" s="109"/>
      <c r="C157" s="127"/>
      <c r="D157" s="127"/>
      <c r="E157" s="127"/>
      <c r="F157" s="127"/>
      <c r="G157" s="117"/>
      <c r="H157" s="111"/>
      <c r="I157" s="117"/>
      <c r="J157" s="1009" t="s">
        <v>1666</v>
      </c>
      <c r="K157" s="1010"/>
      <c r="L157" s="1010"/>
      <c r="M157" s="1010"/>
      <c r="N157" s="1010"/>
      <c r="O157" s="1010"/>
      <c r="P157" s="1010"/>
      <c r="Q157" s="1011"/>
      <c r="R157" s="1012" t="s">
        <v>2</v>
      </c>
      <c r="S157" s="1013"/>
      <c r="T157" s="1013"/>
      <c r="U157" s="1013"/>
      <c r="V157" s="1014"/>
    </row>
    <row r="158" spans="1:28" s="98" customFormat="1" ht="15" customHeight="1">
      <c r="A158" s="99"/>
      <c r="B158" s="115"/>
      <c r="C158" s="116"/>
      <c r="D158" s="116"/>
      <c r="E158" s="116"/>
      <c r="F158" s="116"/>
      <c r="G158" s="117"/>
      <c r="H158" s="117"/>
      <c r="I158" s="119" t="s">
        <v>1667</v>
      </c>
      <c r="J158" s="1015" t="s">
        <v>453</v>
      </c>
      <c r="K158" s="1016" t="s">
        <v>455</v>
      </c>
      <c r="L158" s="1016" t="s">
        <v>457</v>
      </c>
      <c r="M158" s="1016" t="s">
        <v>459</v>
      </c>
      <c r="N158" s="1016" t="s">
        <v>461</v>
      </c>
      <c r="O158" s="1016" t="s">
        <v>463</v>
      </c>
      <c r="P158" s="1016" t="s">
        <v>465</v>
      </c>
      <c r="Q158" s="1017" t="s">
        <v>467</v>
      </c>
      <c r="R158" s="1018" t="s">
        <v>469</v>
      </c>
      <c r="S158" s="1019" t="s">
        <v>471</v>
      </c>
      <c r="T158" s="1019" t="s">
        <v>473</v>
      </c>
      <c r="U158" s="1019" t="s">
        <v>475</v>
      </c>
      <c r="V158" s="1020" t="s">
        <v>477</v>
      </c>
    </row>
    <row r="159" spans="1:28" s="98" customFormat="1" ht="15" customHeight="1">
      <c r="A159" s="99"/>
      <c r="B159" s="161"/>
      <c r="C159" s="186" t="s">
        <v>1724</v>
      </c>
      <c r="D159" s="162"/>
      <c r="E159" s="162"/>
      <c r="F159" s="162"/>
      <c r="G159" s="163"/>
      <c r="H159" s="163"/>
      <c r="I159" s="117"/>
      <c r="J159" s="1005"/>
      <c r="K159" s="1003"/>
      <c r="L159" s="1003"/>
      <c r="M159" s="1003"/>
      <c r="N159" s="1003"/>
      <c r="O159" s="1003"/>
      <c r="P159" s="1003"/>
      <c r="Q159" s="1004"/>
      <c r="R159" s="1005"/>
      <c r="S159" s="1003"/>
      <c r="T159" s="1003"/>
      <c r="U159" s="1003"/>
      <c r="V159" s="1004"/>
    </row>
    <row r="160" spans="1:28" s="98" customFormat="1" ht="15" customHeight="1">
      <c r="A160" s="99"/>
      <c r="B160" s="161"/>
      <c r="D160" s="162" t="s">
        <v>2055</v>
      </c>
      <c r="E160" s="162"/>
      <c r="F160" s="162"/>
      <c r="G160" s="163"/>
      <c r="H160" s="163"/>
      <c r="I160" s="164" t="s">
        <v>164</v>
      </c>
      <c r="J160" s="190">
        <v>13</v>
      </c>
      <c r="K160" s="188">
        <v>2</v>
      </c>
      <c r="L160" s="188">
        <v>0</v>
      </c>
      <c r="M160" s="188">
        <v>7</v>
      </c>
      <c r="N160" s="188">
        <v>3</v>
      </c>
      <c r="O160" s="188">
        <v>0</v>
      </c>
      <c r="P160" s="188">
        <v>3</v>
      </c>
      <c r="Q160" s="189">
        <v>3</v>
      </c>
      <c r="R160" s="190">
        <v>3</v>
      </c>
      <c r="S160" s="188">
        <v>3</v>
      </c>
      <c r="T160" s="188">
        <v>3</v>
      </c>
      <c r="U160" s="188">
        <v>3</v>
      </c>
      <c r="V160" s="189">
        <v>3</v>
      </c>
    </row>
    <row r="161" spans="1:23" s="98" customFormat="1" ht="15" customHeight="1">
      <c r="A161" s="99"/>
      <c r="B161" s="161"/>
      <c r="D161" s="162" t="s">
        <v>2056</v>
      </c>
      <c r="E161" s="162"/>
      <c r="F161" s="162"/>
      <c r="G161" s="163"/>
      <c r="H161" s="163"/>
      <c r="I161" s="164" t="s">
        <v>164</v>
      </c>
      <c r="J161" s="190">
        <v>0</v>
      </c>
      <c r="K161" s="188">
        <v>0</v>
      </c>
      <c r="L161" s="188">
        <v>0</v>
      </c>
      <c r="M161" s="188">
        <v>0</v>
      </c>
      <c r="N161" s="188">
        <v>0</v>
      </c>
      <c r="O161" s="188">
        <v>0</v>
      </c>
      <c r="P161" s="188">
        <v>0</v>
      </c>
      <c r="Q161" s="189">
        <v>0</v>
      </c>
      <c r="R161" s="190">
        <v>0</v>
      </c>
      <c r="S161" s="188">
        <v>0</v>
      </c>
      <c r="T161" s="188">
        <v>0</v>
      </c>
      <c r="U161" s="188">
        <v>0</v>
      </c>
      <c r="V161" s="189">
        <v>0</v>
      </c>
    </row>
    <row r="162" spans="1:23" s="98" customFormat="1" ht="15" customHeight="1">
      <c r="A162" s="99"/>
      <c r="B162" s="161"/>
      <c r="D162" s="162" t="s">
        <v>2057</v>
      </c>
      <c r="E162" s="162"/>
      <c r="F162" s="162"/>
      <c r="G162" s="163"/>
      <c r="H162" s="163"/>
      <c r="I162" s="164" t="s">
        <v>164</v>
      </c>
      <c r="J162" s="190">
        <v>0</v>
      </c>
      <c r="K162" s="188">
        <v>0</v>
      </c>
      <c r="L162" s="188">
        <v>0</v>
      </c>
      <c r="M162" s="188">
        <v>0</v>
      </c>
      <c r="N162" s="188">
        <v>0</v>
      </c>
      <c r="O162" s="188">
        <v>0</v>
      </c>
      <c r="P162" s="188">
        <v>0</v>
      </c>
      <c r="Q162" s="189">
        <v>0</v>
      </c>
      <c r="R162" s="190">
        <v>0</v>
      </c>
      <c r="S162" s="188">
        <v>0</v>
      </c>
      <c r="T162" s="188">
        <v>0</v>
      </c>
      <c r="U162" s="188">
        <v>0</v>
      </c>
      <c r="V162" s="189">
        <v>0</v>
      </c>
    </row>
    <row r="163" spans="1:23" s="98" customFormat="1" ht="15" customHeight="1">
      <c r="A163" s="99"/>
      <c r="B163" s="161"/>
      <c r="D163" s="162" t="s">
        <v>131</v>
      </c>
      <c r="E163" s="162"/>
      <c r="F163" s="162"/>
      <c r="G163" s="163"/>
      <c r="H163" s="163"/>
      <c r="I163" s="164" t="s">
        <v>164</v>
      </c>
      <c r="J163" s="190">
        <v>0</v>
      </c>
      <c r="K163" s="188">
        <v>0</v>
      </c>
      <c r="L163" s="188">
        <v>0</v>
      </c>
      <c r="M163" s="188">
        <v>0</v>
      </c>
      <c r="N163" s="188">
        <v>0</v>
      </c>
      <c r="O163" s="188">
        <v>0</v>
      </c>
      <c r="P163" s="188">
        <v>0</v>
      </c>
      <c r="Q163" s="189">
        <v>0</v>
      </c>
      <c r="R163" s="190">
        <v>0</v>
      </c>
      <c r="S163" s="188">
        <v>0</v>
      </c>
      <c r="T163" s="188">
        <v>0</v>
      </c>
      <c r="U163" s="188">
        <v>0</v>
      </c>
      <c r="V163" s="189">
        <v>0</v>
      </c>
    </row>
    <row r="164" spans="1:23" s="98" customFormat="1" ht="15" customHeight="1">
      <c r="A164" s="99"/>
      <c r="B164" s="181"/>
      <c r="C164" s="182" t="s">
        <v>1710</v>
      </c>
      <c r="D164" s="183"/>
      <c r="E164" s="183"/>
      <c r="F164" s="183"/>
      <c r="G164" s="184"/>
      <c r="H164" s="184"/>
      <c r="I164" s="164" t="s">
        <v>164</v>
      </c>
      <c r="J164" s="875">
        <f>SUM(J160:J163)</f>
        <v>13</v>
      </c>
      <c r="K164" s="876">
        <f t="shared" ref="K164:V164" si="131">SUM(K160:K163)</f>
        <v>2</v>
      </c>
      <c r="L164" s="876">
        <f t="shared" si="131"/>
        <v>0</v>
      </c>
      <c r="M164" s="876">
        <f t="shared" si="131"/>
        <v>7</v>
      </c>
      <c r="N164" s="876">
        <f t="shared" si="131"/>
        <v>3</v>
      </c>
      <c r="O164" s="876">
        <f t="shared" si="131"/>
        <v>0</v>
      </c>
      <c r="P164" s="876">
        <f t="shared" si="131"/>
        <v>3</v>
      </c>
      <c r="Q164" s="228">
        <f t="shared" si="131"/>
        <v>3</v>
      </c>
      <c r="R164" s="875">
        <f t="shared" si="131"/>
        <v>3</v>
      </c>
      <c r="S164" s="876">
        <f t="shared" si="131"/>
        <v>3</v>
      </c>
      <c r="T164" s="876">
        <f t="shared" si="131"/>
        <v>3</v>
      </c>
      <c r="U164" s="876">
        <f t="shared" si="131"/>
        <v>3</v>
      </c>
      <c r="V164" s="228">
        <f t="shared" si="131"/>
        <v>3</v>
      </c>
      <c r="W164" s="185"/>
    </row>
    <row r="165" spans="1:23" s="98" customFormat="1" ht="15" customHeight="1">
      <c r="A165" s="99"/>
      <c r="B165" s="161"/>
      <c r="C165" s="116"/>
      <c r="D165" s="116"/>
      <c r="E165" s="116"/>
      <c r="F165" s="116"/>
      <c r="G165" s="117"/>
      <c r="H165" s="117"/>
      <c r="I165" s="117"/>
      <c r="J165" s="1005"/>
      <c r="K165" s="1003"/>
      <c r="L165" s="1003"/>
      <c r="M165" s="1003"/>
      <c r="N165" s="1003"/>
      <c r="O165" s="1003"/>
      <c r="P165" s="1003"/>
      <c r="Q165" s="1004"/>
      <c r="R165" s="1005"/>
      <c r="S165" s="1003"/>
      <c r="T165" s="1003"/>
      <c r="U165" s="1003"/>
      <c r="V165" s="1004"/>
    </row>
    <row r="166" spans="1:23" s="98" customFormat="1" ht="15" customHeight="1">
      <c r="A166" s="99"/>
      <c r="B166" s="161"/>
      <c r="C166" s="186" t="s">
        <v>1725</v>
      </c>
      <c r="D166" s="162"/>
      <c r="E166" s="162"/>
      <c r="F166" s="162"/>
      <c r="G166" s="163"/>
      <c r="H166" s="163"/>
      <c r="I166" s="117"/>
      <c r="J166" s="1005"/>
      <c r="K166" s="1003"/>
      <c r="L166" s="1003"/>
      <c r="M166" s="1003"/>
      <c r="N166" s="1003"/>
      <c r="O166" s="1003"/>
      <c r="P166" s="1003"/>
      <c r="Q166" s="1004"/>
      <c r="R166" s="1005"/>
      <c r="S166" s="1003"/>
      <c r="T166" s="1003"/>
      <c r="U166" s="1003"/>
      <c r="V166" s="1004"/>
    </row>
    <row r="167" spans="1:23" s="98" customFormat="1" ht="15" customHeight="1">
      <c r="A167" s="99"/>
      <c r="B167" s="161"/>
      <c r="D167" s="162" t="s">
        <v>2055</v>
      </c>
      <c r="E167" s="162"/>
      <c r="F167" s="162"/>
      <c r="G167" s="163"/>
      <c r="H167" s="163"/>
      <c r="I167" s="164" t="s">
        <v>164</v>
      </c>
      <c r="J167" s="190">
        <v>12</v>
      </c>
      <c r="K167" s="188">
        <v>3</v>
      </c>
      <c r="L167" s="188">
        <v>3</v>
      </c>
      <c r="M167" s="188">
        <v>3</v>
      </c>
      <c r="N167" s="188">
        <v>3</v>
      </c>
      <c r="O167" s="188">
        <v>3</v>
      </c>
      <c r="P167" s="188">
        <v>3</v>
      </c>
      <c r="Q167" s="189">
        <v>3</v>
      </c>
      <c r="R167" s="190">
        <v>3</v>
      </c>
      <c r="S167" s="188">
        <v>3</v>
      </c>
      <c r="T167" s="188">
        <v>3</v>
      </c>
      <c r="U167" s="188">
        <v>3</v>
      </c>
      <c r="V167" s="189">
        <v>3</v>
      </c>
    </row>
    <row r="168" spans="1:23" s="98" customFormat="1" ht="15" customHeight="1">
      <c r="A168" s="99"/>
      <c r="B168" s="161"/>
      <c r="D168" s="162" t="s">
        <v>2056</v>
      </c>
      <c r="E168" s="162"/>
      <c r="F168" s="162"/>
      <c r="G168" s="163"/>
      <c r="H168" s="163"/>
      <c r="I168" s="164" t="s">
        <v>164</v>
      </c>
      <c r="J168" s="190">
        <v>0</v>
      </c>
      <c r="K168" s="188">
        <v>0</v>
      </c>
      <c r="L168" s="188">
        <v>0</v>
      </c>
      <c r="M168" s="188">
        <v>0</v>
      </c>
      <c r="N168" s="188">
        <v>0</v>
      </c>
      <c r="O168" s="188">
        <v>0</v>
      </c>
      <c r="P168" s="188">
        <v>0</v>
      </c>
      <c r="Q168" s="189">
        <v>0</v>
      </c>
      <c r="R168" s="190">
        <v>0</v>
      </c>
      <c r="S168" s="188">
        <v>0</v>
      </c>
      <c r="T168" s="188">
        <v>0</v>
      </c>
      <c r="U168" s="188">
        <v>0</v>
      </c>
      <c r="V168" s="189">
        <v>0</v>
      </c>
    </row>
    <row r="169" spans="1:23" s="98" customFormat="1" ht="15" customHeight="1">
      <c r="A169" s="99"/>
      <c r="B169" s="161"/>
      <c r="D169" s="162" t="s">
        <v>2057</v>
      </c>
      <c r="E169" s="162"/>
      <c r="F169" s="162"/>
      <c r="G169" s="163"/>
      <c r="H169" s="163"/>
      <c r="I169" s="164" t="s">
        <v>164</v>
      </c>
      <c r="J169" s="190">
        <v>0</v>
      </c>
      <c r="K169" s="188">
        <v>0</v>
      </c>
      <c r="L169" s="188">
        <v>0</v>
      </c>
      <c r="M169" s="188">
        <v>0</v>
      </c>
      <c r="N169" s="188">
        <v>0</v>
      </c>
      <c r="O169" s="188">
        <v>0</v>
      </c>
      <c r="P169" s="188">
        <v>0</v>
      </c>
      <c r="Q169" s="189">
        <v>0</v>
      </c>
      <c r="R169" s="190">
        <v>0</v>
      </c>
      <c r="S169" s="188">
        <v>0</v>
      </c>
      <c r="T169" s="188">
        <v>0</v>
      </c>
      <c r="U169" s="188">
        <v>0</v>
      </c>
      <c r="V169" s="189">
        <v>0</v>
      </c>
    </row>
    <row r="170" spans="1:23" s="98" customFormat="1" ht="15" customHeight="1">
      <c r="A170" s="99"/>
      <c r="B170" s="161"/>
      <c r="D170" s="162" t="s">
        <v>131</v>
      </c>
      <c r="E170" s="162"/>
      <c r="F170" s="162"/>
      <c r="G170" s="163"/>
      <c r="H170" s="163"/>
      <c r="I170" s="164" t="s">
        <v>164</v>
      </c>
      <c r="J170" s="190">
        <v>0</v>
      </c>
      <c r="K170" s="188">
        <v>0</v>
      </c>
      <c r="L170" s="188">
        <v>0</v>
      </c>
      <c r="M170" s="188">
        <v>0</v>
      </c>
      <c r="N170" s="188">
        <v>0</v>
      </c>
      <c r="O170" s="188">
        <v>0</v>
      </c>
      <c r="P170" s="188">
        <v>0</v>
      </c>
      <c r="Q170" s="189">
        <v>0</v>
      </c>
      <c r="R170" s="190">
        <v>0</v>
      </c>
      <c r="S170" s="188">
        <v>0</v>
      </c>
      <c r="T170" s="188">
        <v>0</v>
      </c>
      <c r="U170" s="188">
        <v>0</v>
      </c>
      <c r="V170" s="189">
        <v>0</v>
      </c>
    </row>
    <row r="171" spans="1:23" s="98" customFormat="1" ht="15" customHeight="1">
      <c r="A171" s="99"/>
      <c r="B171" s="181"/>
      <c r="C171" s="182" t="s">
        <v>1710</v>
      </c>
      <c r="D171" s="183"/>
      <c r="E171" s="183"/>
      <c r="F171" s="183"/>
      <c r="G171" s="184"/>
      <c r="H171" s="184"/>
      <c r="I171" s="164" t="s">
        <v>164</v>
      </c>
      <c r="J171" s="875">
        <f>SUM(J167:J170)</f>
        <v>12</v>
      </c>
      <c r="K171" s="876">
        <f t="shared" ref="K171" si="132">SUM(K167:K170)</f>
        <v>3</v>
      </c>
      <c r="L171" s="876">
        <f t="shared" ref="L171" si="133">SUM(L167:L170)</f>
        <v>3</v>
      </c>
      <c r="M171" s="876">
        <f t="shared" ref="M171" si="134">SUM(M167:M170)</f>
        <v>3</v>
      </c>
      <c r="N171" s="876">
        <f t="shared" ref="N171" si="135">SUM(N167:N170)</f>
        <v>3</v>
      </c>
      <c r="O171" s="876">
        <f t="shared" ref="O171" si="136">SUM(O167:O170)</f>
        <v>3</v>
      </c>
      <c r="P171" s="876">
        <f t="shared" ref="P171" si="137">SUM(P167:P170)</f>
        <v>3</v>
      </c>
      <c r="Q171" s="228">
        <f t="shared" ref="Q171" si="138">SUM(Q167:Q170)</f>
        <v>3</v>
      </c>
      <c r="R171" s="875">
        <f t="shared" ref="R171" si="139">SUM(R167:R170)</f>
        <v>3</v>
      </c>
      <c r="S171" s="876">
        <f t="shared" ref="S171" si="140">SUM(S167:S170)</f>
        <v>3</v>
      </c>
      <c r="T171" s="876">
        <f t="shared" ref="T171" si="141">SUM(T167:T170)</f>
        <v>3</v>
      </c>
      <c r="U171" s="876">
        <f t="shared" ref="U171" si="142">SUM(U167:U170)</f>
        <v>3</v>
      </c>
      <c r="V171" s="228">
        <f t="shared" ref="V171" si="143">SUM(V167:V170)</f>
        <v>3</v>
      </c>
      <c r="W171" s="185"/>
    </row>
    <row r="172" spans="1:23" s="98" customFormat="1" ht="15" customHeight="1">
      <c r="A172" s="99"/>
      <c r="B172" s="161"/>
      <c r="C172" s="116"/>
      <c r="D172" s="116"/>
      <c r="E172" s="116"/>
      <c r="F172" s="116"/>
      <c r="G172" s="117"/>
      <c r="H172" s="117"/>
      <c r="I172" s="117"/>
      <c r="J172" s="1005"/>
      <c r="K172" s="1003"/>
      <c r="L172" s="1003"/>
      <c r="M172" s="1003"/>
      <c r="N172" s="1003"/>
      <c r="O172" s="1003"/>
      <c r="P172" s="1003"/>
      <c r="Q172" s="1004"/>
      <c r="R172" s="1005"/>
      <c r="S172" s="1003"/>
      <c r="T172" s="1003"/>
      <c r="U172" s="1003"/>
      <c r="V172" s="1004"/>
    </row>
    <row r="173" spans="1:23" s="98" customFormat="1" ht="15" customHeight="1">
      <c r="A173" s="99"/>
      <c r="B173" s="161"/>
      <c r="C173" s="186" t="s">
        <v>1726</v>
      </c>
      <c r="D173" s="162"/>
      <c r="E173" s="162"/>
      <c r="F173" s="162"/>
      <c r="G173" s="163"/>
      <c r="H173" s="163"/>
      <c r="I173" s="117"/>
      <c r="J173" s="1005"/>
      <c r="K173" s="1003"/>
      <c r="L173" s="1003"/>
      <c r="M173" s="1003"/>
      <c r="N173" s="1003"/>
      <c r="O173" s="1003"/>
      <c r="P173" s="1003"/>
      <c r="Q173" s="1004"/>
      <c r="R173" s="1005"/>
      <c r="S173" s="1003"/>
      <c r="T173" s="1003"/>
      <c r="U173" s="1003"/>
      <c r="V173" s="1004"/>
    </row>
    <row r="174" spans="1:23" s="98" customFormat="1" ht="15" customHeight="1">
      <c r="A174" s="99"/>
      <c r="B174" s="161"/>
      <c r="D174" s="162" t="s">
        <v>2055</v>
      </c>
      <c r="E174" s="162"/>
      <c r="F174" s="162"/>
      <c r="G174" s="163"/>
      <c r="H174" s="163"/>
      <c r="I174" s="164" t="s">
        <v>164</v>
      </c>
      <c r="J174" s="190">
        <v>4</v>
      </c>
      <c r="K174" s="188">
        <v>3</v>
      </c>
      <c r="L174" s="188">
        <v>3</v>
      </c>
      <c r="M174" s="188">
        <v>2</v>
      </c>
      <c r="N174" s="188">
        <v>4</v>
      </c>
      <c r="O174" s="188">
        <v>2</v>
      </c>
      <c r="P174" s="188">
        <v>2</v>
      </c>
      <c r="Q174" s="189">
        <v>2</v>
      </c>
      <c r="R174" s="190">
        <v>2</v>
      </c>
      <c r="S174" s="188">
        <v>2</v>
      </c>
      <c r="T174" s="188">
        <v>2</v>
      </c>
      <c r="U174" s="188">
        <v>2</v>
      </c>
      <c r="V174" s="189">
        <v>2</v>
      </c>
    </row>
    <row r="175" spans="1:23" s="98" customFormat="1" ht="15" customHeight="1">
      <c r="A175" s="99"/>
      <c r="B175" s="161"/>
      <c r="D175" s="162" t="s">
        <v>2056</v>
      </c>
      <c r="E175" s="162"/>
      <c r="F175" s="162"/>
      <c r="G175" s="163"/>
      <c r="H175" s="163"/>
      <c r="I175" s="164" t="s">
        <v>164</v>
      </c>
      <c r="J175" s="190">
        <v>0</v>
      </c>
      <c r="K175" s="188">
        <v>0</v>
      </c>
      <c r="L175" s="188">
        <v>0</v>
      </c>
      <c r="M175" s="188">
        <v>0</v>
      </c>
      <c r="N175" s="188">
        <v>0</v>
      </c>
      <c r="O175" s="188">
        <v>0</v>
      </c>
      <c r="P175" s="188">
        <v>0</v>
      </c>
      <c r="Q175" s="189">
        <v>0</v>
      </c>
      <c r="R175" s="190">
        <v>0</v>
      </c>
      <c r="S175" s="188">
        <v>0</v>
      </c>
      <c r="T175" s="188">
        <v>0</v>
      </c>
      <c r="U175" s="188">
        <v>0</v>
      </c>
      <c r="V175" s="189">
        <v>0</v>
      </c>
    </row>
    <row r="176" spans="1:23" s="98" customFormat="1" ht="15" customHeight="1">
      <c r="A176" s="99"/>
      <c r="B176" s="161"/>
      <c r="D176" s="162" t="s">
        <v>2057</v>
      </c>
      <c r="E176" s="162"/>
      <c r="F176" s="162"/>
      <c r="G176" s="163"/>
      <c r="H176" s="163"/>
      <c r="I176" s="164" t="s">
        <v>164</v>
      </c>
      <c r="J176" s="190">
        <v>0</v>
      </c>
      <c r="K176" s="188">
        <v>0</v>
      </c>
      <c r="L176" s="188">
        <v>0</v>
      </c>
      <c r="M176" s="188">
        <v>0</v>
      </c>
      <c r="N176" s="188">
        <v>0</v>
      </c>
      <c r="O176" s="188">
        <v>0</v>
      </c>
      <c r="P176" s="188">
        <v>0</v>
      </c>
      <c r="Q176" s="189">
        <v>0</v>
      </c>
      <c r="R176" s="190">
        <v>0</v>
      </c>
      <c r="S176" s="188">
        <v>0</v>
      </c>
      <c r="T176" s="188">
        <v>0</v>
      </c>
      <c r="U176" s="188">
        <v>0</v>
      </c>
      <c r="V176" s="189">
        <v>0</v>
      </c>
    </row>
    <row r="177" spans="1:28" s="98" customFormat="1" ht="15" customHeight="1">
      <c r="A177" s="99"/>
      <c r="B177" s="161"/>
      <c r="D177" s="162" t="s">
        <v>131</v>
      </c>
      <c r="E177" s="162"/>
      <c r="F177" s="162"/>
      <c r="G177" s="163"/>
      <c r="H177" s="163"/>
      <c r="I177" s="164" t="s">
        <v>164</v>
      </c>
      <c r="J177" s="190">
        <v>0</v>
      </c>
      <c r="K177" s="188">
        <v>0</v>
      </c>
      <c r="L177" s="188">
        <v>0</v>
      </c>
      <c r="M177" s="188">
        <v>0</v>
      </c>
      <c r="N177" s="188">
        <v>0</v>
      </c>
      <c r="O177" s="188">
        <v>0</v>
      </c>
      <c r="P177" s="188">
        <v>0</v>
      </c>
      <c r="Q177" s="189">
        <v>0</v>
      </c>
      <c r="R177" s="190">
        <v>0</v>
      </c>
      <c r="S177" s="188">
        <v>0</v>
      </c>
      <c r="T177" s="188">
        <v>0</v>
      </c>
      <c r="U177" s="188">
        <v>0</v>
      </c>
      <c r="V177" s="189">
        <v>0</v>
      </c>
    </row>
    <row r="178" spans="1:28" s="98" customFormat="1" ht="15" customHeight="1">
      <c r="A178" s="99"/>
      <c r="B178" s="181"/>
      <c r="C178" s="182" t="s">
        <v>1710</v>
      </c>
      <c r="D178" s="183"/>
      <c r="E178" s="183"/>
      <c r="F178" s="183"/>
      <c r="G178" s="184"/>
      <c r="H178" s="184"/>
      <c r="I178" s="164" t="s">
        <v>164</v>
      </c>
      <c r="J178" s="875">
        <f>SUM(J174:J177)</f>
        <v>4</v>
      </c>
      <c r="K178" s="876">
        <f t="shared" ref="K178" si="144">SUM(K174:K177)</f>
        <v>3</v>
      </c>
      <c r="L178" s="876">
        <f t="shared" ref="L178" si="145">SUM(L174:L177)</f>
        <v>3</v>
      </c>
      <c r="M178" s="876">
        <f t="shared" ref="M178" si="146">SUM(M174:M177)</f>
        <v>2</v>
      </c>
      <c r="N178" s="876">
        <f t="shared" ref="N178" si="147">SUM(N174:N177)</f>
        <v>4</v>
      </c>
      <c r="O178" s="876">
        <f t="shared" ref="O178" si="148">SUM(O174:O177)</f>
        <v>2</v>
      </c>
      <c r="P178" s="876">
        <f t="shared" ref="P178" si="149">SUM(P174:P177)</f>
        <v>2</v>
      </c>
      <c r="Q178" s="228">
        <f t="shared" ref="Q178" si="150">SUM(Q174:Q177)</f>
        <v>2</v>
      </c>
      <c r="R178" s="875">
        <f t="shared" ref="R178" si="151">SUM(R174:R177)</f>
        <v>2</v>
      </c>
      <c r="S178" s="876">
        <f t="shared" ref="S178" si="152">SUM(S174:S177)</f>
        <v>2</v>
      </c>
      <c r="T178" s="876">
        <f t="shared" ref="T178" si="153">SUM(T174:T177)</f>
        <v>2</v>
      </c>
      <c r="U178" s="876">
        <f t="shared" ref="U178" si="154">SUM(U174:U177)</f>
        <v>2</v>
      </c>
      <c r="V178" s="228">
        <f t="shared" ref="V178" si="155">SUM(V174:V177)</f>
        <v>2</v>
      </c>
      <c r="W178" s="185"/>
    </row>
    <row r="179" spans="1:28" s="98" customFormat="1" ht="15" customHeight="1">
      <c r="A179" s="99"/>
      <c r="B179" s="161"/>
      <c r="C179" s="116"/>
      <c r="D179" s="116"/>
      <c r="E179" s="116"/>
      <c r="F179" s="116"/>
      <c r="G179" s="117"/>
      <c r="H179" s="117"/>
      <c r="I179" s="117"/>
      <c r="J179" s="1005"/>
      <c r="K179" s="1003"/>
      <c r="L179" s="1003"/>
      <c r="M179" s="1003"/>
      <c r="N179" s="1003"/>
      <c r="O179" s="1003"/>
      <c r="P179" s="1003"/>
      <c r="Q179" s="1004"/>
      <c r="R179" s="1005"/>
      <c r="S179" s="1003"/>
      <c r="T179" s="1003"/>
      <c r="U179" s="1003"/>
      <c r="V179" s="1004"/>
    </row>
    <row r="180" spans="1:28" s="98" customFormat="1" ht="15" customHeight="1">
      <c r="A180" s="99"/>
      <c r="B180" s="161"/>
      <c r="C180" s="186" t="s">
        <v>1727</v>
      </c>
      <c r="D180" s="162"/>
      <c r="E180" s="162"/>
      <c r="F180" s="162"/>
      <c r="G180" s="163"/>
      <c r="H180" s="163"/>
      <c r="I180" s="117"/>
      <c r="J180" s="1005"/>
      <c r="K180" s="1003"/>
      <c r="L180" s="1003"/>
      <c r="M180" s="1003"/>
      <c r="N180" s="1003"/>
      <c r="O180" s="1003"/>
      <c r="P180" s="1003"/>
      <c r="Q180" s="1004"/>
      <c r="R180" s="1005"/>
      <c r="S180" s="1003"/>
      <c r="T180" s="1003"/>
      <c r="U180" s="1003"/>
      <c r="V180" s="1004"/>
    </row>
    <row r="181" spans="1:28" s="98" customFormat="1" ht="15" customHeight="1">
      <c r="A181" s="99"/>
      <c r="B181" s="161"/>
      <c r="D181" s="162" t="s">
        <v>2055</v>
      </c>
      <c r="E181" s="162"/>
      <c r="F181" s="162"/>
      <c r="G181" s="163"/>
      <c r="H181" s="163"/>
      <c r="I181" s="164" t="s">
        <v>164</v>
      </c>
      <c r="J181" s="190">
        <v>3</v>
      </c>
      <c r="K181" s="188">
        <v>0</v>
      </c>
      <c r="L181" s="188">
        <v>0</v>
      </c>
      <c r="M181" s="188">
        <v>0</v>
      </c>
      <c r="N181" s="188">
        <v>0</v>
      </c>
      <c r="O181" s="188">
        <v>0</v>
      </c>
      <c r="P181" s="188">
        <v>0</v>
      </c>
      <c r="Q181" s="189">
        <v>0</v>
      </c>
      <c r="R181" s="190">
        <v>0</v>
      </c>
      <c r="S181" s="188">
        <v>0</v>
      </c>
      <c r="T181" s="188">
        <v>0</v>
      </c>
      <c r="U181" s="188">
        <v>0</v>
      </c>
      <c r="V181" s="189">
        <v>0</v>
      </c>
    </row>
    <row r="182" spans="1:28" s="98" customFormat="1" ht="15" customHeight="1">
      <c r="A182" s="99"/>
      <c r="B182" s="161"/>
      <c r="D182" s="162" t="s">
        <v>2056</v>
      </c>
      <c r="E182" s="162"/>
      <c r="F182" s="162"/>
      <c r="G182" s="163"/>
      <c r="H182" s="163"/>
      <c r="I182" s="164" t="s">
        <v>164</v>
      </c>
      <c r="J182" s="190">
        <v>0</v>
      </c>
      <c r="K182" s="188">
        <v>0</v>
      </c>
      <c r="L182" s="188">
        <v>0</v>
      </c>
      <c r="M182" s="188">
        <v>0</v>
      </c>
      <c r="N182" s="188">
        <v>0</v>
      </c>
      <c r="O182" s="188">
        <v>0</v>
      </c>
      <c r="P182" s="188">
        <v>0</v>
      </c>
      <c r="Q182" s="189">
        <v>0</v>
      </c>
      <c r="R182" s="190">
        <v>0</v>
      </c>
      <c r="S182" s="188">
        <v>0</v>
      </c>
      <c r="T182" s="188">
        <v>0</v>
      </c>
      <c r="U182" s="188">
        <v>0</v>
      </c>
      <c r="V182" s="189">
        <v>0</v>
      </c>
    </row>
    <row r="183" spans="1:28" s="98" customFormat="1" ht="15" customHeight="1">
      <c r="A183" s="99"/>
      <c r="B183" s="161"/>
      <c r="D183" s="162" t="s">
        <v>2057</v>
      </c>
      <c r="E183" s="162"/>
      <c r="F183" s="162"/>
      <c r="G183" s="163"/>
      <c r="H183" s="163"/>
      <c r="I183" s="164" t="s">
        <v>164</v>
      </c>
      <c r="J183" s="190">
        <v>0</v>
      </c>
      <c r="K183" s="188">
        <v>0</v>
      </c>
      <c r="L183" s="188">
        <v>0</v>
      </c>
      <c r="M183" s="188">
        <v>0</v>
      </c>
      <c r="N183" s="188">
        <v>0</v>
      </c>
      <c r="O183" s="188">
        <v>0</v>
      </c>
      <c r="P183" s="188">
        <v>0</v>
      </c>
      <c r="Q183" s="189">
        <v>0</v>
      </c>
      <c r="R183" s="190">
        <v>0</v>
      </c>
      <c r="S183" s="188">
        <v>0</v>
      </c>
      <c r="T183" s="188">
        <v>0</v>
      </c>
      <c r="U183" s="188">
        <v>0</v>
      </c>
      <c r="V183" s="189">
        <v>0</v>
      </c>
    </row>
    <row r="184" spans="1:28" s="98" customFormat="1" ht="15" customHeight="1">
      <c r="A184" s="99"/>
      <c r="B184" s="161"/>
      <c r="D184" s="162" t="s">
        <v>131</v>
      </c>
      <c r="E184" s="162"/>
      <c r="F184" s="162"/>
      <c r="G184" s="163"/>
      <c r="H184" s="163"/>
      <c r="I184" s="164" t="s">
        <v>164</v>
      </c>
      <c r="J184" s="190">
        <v>0</v>
      </c>
      <c r="K184" s="188">
        <v>0</v>
      </c>
      <c r="L184" s="188">
        <v>0</v>
      </c>
      <c r="M184" s="188">
        <v>0</v>
      </c>
      <c r="N184" s="188">
        <v>0</v>
      </c>
      <c r="O184" s="188">
        <v>0</v>
      </c>
      <c r="P184" s="188">
        <v>0</v>
      </c>
      <c r="Q184" s="189">
        <v>0</v>
      </c>
      <c r="R184" s="190">
        <v>0</v>
      </c>
      <c r="S184" s="188">
        <v>0</v>
      </c>
      <c r="T184" s="188">
        <v>0</v>
      </c>
      <c r="U184" s="188">
        <v>0</v>
      </c>
      <c r="V184" s="189">
        <v>0</v>
      </c>
    </row>
    <row r="185" spans="1:28" s="98" customFormat="1" ht="15" customHeight="1">
      <c r="A185" s="99"/>
      <c r="B185" s="181"/>
      <c r="C185" s="182" t="s">
        <v>1710</v>
      </c>
      <c r="D185" s="183"/>
      <c r="E185" s="183"/>
      <c r="F185" s="183"/>
      <c r="G185" s="184"/>
      <c r="H185" s="184"/>
      <c r="I185" s="164" t="s">
        <v>164</v>
      </c>
      <c r="J185" s="875">
        <f>SUM(J181:J184)</f>
        <v>3</v>
      </c>
      <c r="K185" s="876">
        <f t="shared" ref="K185" si="156">SUM(K181:K184)</f>
        <v>0</v>
      </c>
      <c r="L185" s="876">
        <f t="shared" ref="L185" si="157">SUM(L181:L184)</f>
        <v>0</v>
      </c>
      <c r="M185" s="876">
        <f t="shared" ref="M185" si="158">SUM(M181:M184)</f>
        <v>0</v>
      </c>
      <c r="N185" s="876">
        <f t="shared" ref="N185" si="159">SUM(N181:N184)</f>
        <v>0</v>
      </c>
      <c r="O185" s="876">
        <f t="shared" ref="O185" si="160">SUM(O181:O184)</f>
        <v>0</v>
      </c>
      <c r="P185" s="876">
        <f t="shared" ref="P185" si="161">SUM(P181:P184)</f>
        <v>0</v>
      </c>
      <c r="Q185" s="228">
        <f t="shared" ref="Q185" si="162">SUM(Q181:Q184)</f>
        <v>0</v>
      </c>
      <c r="R185" s="875">
        <f t="shared" ref="R185" si="163">SUM(R181:R184)</f>
        <v>0</v>
      </c>
      <c r="S185" s="876">
        <f t="shared" ref="S185" si="164">SUM(S181:S184)</f>
        <v>0</v>
      </c>
      <c r="T185" s="876">
        <f t="shared" ref="T185" si="165">SUM(T181:T184)</f>
        <v>0</v>
      </c>
      <c r="U185" s="876">
        <f t="shared" ref="U185" si="166">SUM(U181:U184)</f>
        <v>0</v>
      </c>
      <c r="V185" s="228">
        <f t="shared" ref="V185" si="167">SUM(V181:V184)</f>
        <v>0</v>
      </c>
      <c r="W185" s="185"/>
    </row>
    <row r="186" spans="1:28" s="98" customFormat="1" ht="15" customHeight="1">
      <c r="A186" s="99"/>
      <c r="B186" s="161"/>
      <c r="C186" s="116"/>
      <c r="D186" s="116"/>
      <c r="E186" s="116"/>
      <c r="F186" s="116"/>
      <c r="G186" s="117"/>
      <c r="H186" s="117"/>
      <c r="I186" s="117"/>
      <c r="J186" s="1005"/>
      <c r="K186" s="1003"/>
      <c r="L186" s="1003"/>
      <c r="M186" s="1003"/>
      <c r="N186" s="1003"/>
      <c r="O186" s="1003"/>
      <c r="P186" s="1003"/>
      <c r="Q186" s="1004"/>
      <c r="R186" s="1005"/>
      <c r="S186" s="1003"/>
      <c r="T186" s="1003"/>
      <c r="U186" s="1003"/>
      <c r="V186" s="1004"/>
    </row>
    <row r="187" spans="1:28" s="98" customFormat="1" ht="15" customHeight="1" thickBot="1">
      <c r="A187" s="99"/>
      <c r="B187" s="131" t="s">
        <v>1701</v>
      </c>
      <c r="C187" s="132"/>
      <c r="D187" s="132"/>
      <c r="E187" s="132"/>
      <c r="F187" s="132"/>
      <c r="G187" s="145"/>
      <c r="H187" s="133"/>
      <c r="I187" s="146" t="s">
        <v>164</v>
      </c>
      <c r="J187" s="1002">
        <f>SUM(J164,J171,J178,J185)</f>
        <v>32</v>
      </c>
      <c r="K187" s="1000">
        <f t="shared" ref="K187:V187" si="168">SUM(K164,K171,K178,K185)</f>
        <v>8</v>
      </c>
      <c r="L187" s="1000">
        <f t="shared" si="168"/>
        <v>6</v>
      </c>
      <c r="M187" s="1000">
        <f t="shared" si="168"/>
        <v>12</v>
      </c>
      <c r="N187" s="1000">
        <f t="shared" si="168"/>
        <v>10</v>
      </c>
      <c r="O187" s="1000">
        <f t="shared" si="168"/>
        <v>5</v>
      </c>
      <c r="P187" s="1000">
        <f t="shared" si="168"/>
        <v>8</v>
      </c>
      <c r="Q187" s="1001">
        <f t="shared" si="168"/>
        <v>8</v>
      </c>
      <c r="R187" s="1002">
        <f t="shared" si="168"/>
        <v>8</v>
      </c>
      <c r="S187" s="1000">
        <f t="shared" si="168"/>
        <v>8</v>
      </c>
      <c r="T187" s="1000">
        <f t="shared" si="168"/>
        <v>8</v>
      </c>
      <c r="U187" s="1000">
        <f t="shared" si="168"/>
        <v>8</v>
      </c>
      <c r="V187" s="1001">
        <f t="shared" si="168"/>
        <v>8</v>
      </c>
    </row>
    <row r="188" spans="1:28" s="99" customFormat="1" ht="15" customHeight="1" thickBot="1">
      <c r="B188" s="150"/>
      <c r="C188" s="150"/>
      <c r="D188" s="150"/>
      <c r="E188" s="150"/>
      <c r="F188" s="150"/>
      <c r="G188" s="97"/>
      <c r="H188" s="97"/>
      <c r="I188" s="98"/>
      <c r="J188" s="1006"/>
      <c r="K188" s="1006"/>
      <c r="L188" s="1006"/>
      <c r="M188" s="1006"/>
      <c r="N188" s="1006"/>
      <c r="O188" s="1006"/>
      <c r="P188" s="1006"/>
      <c r="Q188" s="1006"/>
      <c r="R188" s="1006"/>
      <c r="S188" s="1006"/>
      <c r="T188" s="1006"/>
      <c r="U188" s="1006"/>
      <c r="V188" s="1006"/>
      <c r="W188" s="98"/>
      <c r="X188" s="98"/>
      <c r="AA188" s="173"/>
      <c r="AB188" s="98"/>
    </row>
    <row r="189" spans="1:28" s="100" customFormat="1" ht="30" customHeight="1" thickBot="1">
      <c r="A189" s="89"/>
      <c r="B189" s="621" t="s">
        <v>62</v>
      </c>
      <c r="C189" s="762"/>
      <c r="D189" s="762"/>
      <c r="E189" s="762"/>
      <c r="F189" s="762"/>
      <c r="G189" s="763"/>
      <c r="H189" s="103"/>
      <c r="I189" s="105" t="s">
        <v>2054</v>
      </c>
      <c r="J189" s="1007"/>
      <c r="K189" s="1007"/>
      <c r="L189" s="1007"/>
      <c r="M189" s="1007"/>
      <c r="N189" s="1007"/>
      <c r="O189" s="1007"/>
      <c r="P189" s="1007"/>
      <c r="Q189" s="1007"/>
      <c r="R189" s="1008"/>
      <c r="S189" s="1008"/>
      <c r="T189" s="1008"/>
      <c r="U189" s="1008"/>
      <c r="V189" s="1008"/>
    </row>
    <row r="190" spans="1:28" s="157" customFormat="1" ht="30" customHeight="1">
      <c r="A190" s="99"/>
      <c r="B190" s="109"/>
      <c r="C190" s="127"/>
      <c r="D190" s="127"/>
      <c r="E190" s="127"/>
      <c r="F190" s="127"/>
      <c r="G190" s="117"/>
      <c r="H190" s="111"/>
      <c r="I190" s="117"/>
      <c r="J190" s="1009" t="s">
        <v>1666</v>
      </c>
      <c r="K190" s="1010"/>
      <c r="L190" s="1010"/>
      <c r="M190" s="1010"/>
      <c r="N190" s="1010"/>
      <c r="O190" s="1010"/>
      <c r="P190" s="1010"/>
      <c r="Q190" s="1011"/>
      <c r="R190" s="1012" t="s">
        <v>2</v>
      </c>
      <c r="S190" s="1013"/>
      <c r="T190" s="1013"/>
      <c r="U190" s="1013"/>
      <c r="V190" s="1014"/>
    </row>
    <row r="191" spans="1:28" s="98" customFormat="1" ht="15" customHeight="1">
      <c r="A191" s="99"/>
      <c r="B191" s="115"/>
      <c r="C191" s="116"/>
      <c r="D191" s="116"/>
      <c r="E191" s="116"/>
      <c r="F191" s="116"/>
      <c r="G191" s="117"/>
      <c r="H191" s="117"/>
      <c r="I191" s="119" t="s">
        <v>1667</v>
      </c>
      <c r="J191" s="1015" t="s">
        <v>453</v>
      </c>
      <c r="K191" s="1016" t="s">
        <v>455</v>
      </c>
      <c r="L191" s="1016" t="s">
        <v>457</v>
      </c>
      <c r="M191" s="1016" t="s">
        <v>459</v>
      </c>
      <c r="N191" s="1016" t="s">
        <v>461</v>
      </c>
      <c r="O191" s="1016" t="s">
        <v>463</v>
      </c>
      <c r="P191" s="1016" t="s">
        <v>465</v>
      </c>
      <c r="Q191" s="1017" t="s">
        <v>467</v>
      </c>
      <c r="R191" s="1018" t="s">
        <v>469</v>
      </c>
      <c r="S191" s="1019" t="s">
        <v>471</v>
      </c>
      <c r="T191" s="1019" t="s">
        <v>473</v>
      </c>
      <c r="U191" s="1019" t="s">
        <v>475</v>
      </c>
      <c r="V191" s="1020" t="s">
        <v>477</v>
      </c>
    </row>
    <row r="192" spans="1:28" s="98" customFormat="1" ht="15" customHeight="1">
      <c r="A192" s="99"/>
      <c r="B192" s="161"/>
      <c r="C192" s="186" t="s">
        <v>62</v>
      </c>
      <c r="D192" s="162"/>
      <c r="E192" s="162"/>
      <c r="F192" s="162"/>
      <c r="G192" s="163"/>
      <c r="H192" s="163"/>
      <c r="I192" s="117"/>
      <c r="J192" s="1005"/>
      <c r="K192" s="1003"/>
      <c r="L192" s="1003"/>
      <c r="M192" s="1003"/>
      <c r="N192" s="1003"/>
      <c r="O192" s="1003"/>
      <c r="P192" s="1003"/>
      <c r="Q192" s="1004"/>
      <c r="R192" s="1005"/>
      <c r="S192" s="1003"/>
      <c r="T192" s="1003"/>
      <c r="U192" s="1003"/>
      <c r="V192" s="1004"/>
    </row>
    <row r="193" spans="1:22" s="98" customFormat="1" ht="15" customHeight="1">
      <c r="A193" s="99"/>
      <c r="B193" s="161"/>
      <c r="D193" s="162" t="s">
        <v>2055</v>
      </c>
      <c r="E193" s="162"/>
      <c r="F193" s="162"/>
      <c r="G193" s="163"/>
      <c r="H193" s="163"/>
      <c r="I193" s="164" t="s">
        <v>164</v>
      </c>
      <c r="J193" s="190">
        <v>138</v>
      </c>
      <c r="K193" s="188">
        <v>141</v>
      </c>
      <c r="L193" s="188">
        <v>153</v>
      </c>
      <c r="M193" s="188">
        <v>164</v>
      </c>
      <c r="N193" s="188">
        <v>166</v>
      </c>
      <c r="O193" s="188">
        <v>154</v>
      </c>
      <c r="P193" s="188">
        <v>156.93095337203442</v>
      </c>
      <c r="Q193" s="189">
        <v>157.09351056497371</v>
      </c>
      <c r="R193" s="190">
        <v>134.97863337475559</v>
      </c>
      <c r="S193" s="188">
        <v>154.51314992026096</v>
      </c>
      <c r="T193" s="188">
        <v>156.79369375035793</v>
      </c>
      <c r="U193" s="188">
        <v>146.67611691676498</v>
      </c>
      <c r="V193" s="189">
        <v>127.21697430428699</v>
      </c>
    </row>
    <row r="194" spans="1:22" s="98" customFormat="1" ht="15" customHeight="1">
      <c r="A194" s="99"/>
      <c r="B194" s="161"/>
      <c r="D194" s="162" t="s">
        <v>2056</v>
      </c>
      <c r="E194" s="162"/>
      <c r="F194" s="162"/>
      <c r="G194" s="163"/>
      <c r="H194" s="163"/>
      <c r="I194" s="164" t="s">
        <v>164</v>
      </c>
      <c r="J194" s="190">
        <v>0</v>
      </c>
      <c r="K194" s="188">
        <v>0</v>
      </c>
      <c r="L194" s="188">
        <v>0</v>
      </c>
      <c r="M194" s="188">
        <v>0</v>
      </c>
      <c r="N194" s="188">
        <v>0</v>
      </c>
      <c r="O194" s="188">
        <v>0</v>
      </c>
      <c r="P194" s="188">
        <v>0</v>
      </c>
      <c r="Q194" s="189">
        <v>0</v>
      </c>
      <c r="R194" s="190">
        <v>0</v>
      </c>
      <c r="S194" s="188">
        <v>0</v>
      </c>
      <c r="T194" s="188">
        <v>0</v>
      </c>
      <c r="U194" s="188">
        <v>0</v>
      </c>
      <c r="V194" s="189">
        <v>0</v>
      </c>
    </row>
    <row r="195" spans="1:22" s="98" customFormat="1" ht="15" customHeight="1">
      <c r="A195" s="99"/>
      <c r="B195" s="161"/>
      <c r="D195" s="162" t="s">
        <v>2057</v>
      </c>
      <c r="E195" s="162"/>
      <c r="F195" s="162"/>
      <c r="G195" s="163"/>
      <c r="H195" s="163"/>
      <c r="I195" s="164" t="s">
        <v>164</v>
      </c>
      <c r="J195" s="190">
        <v>194.17977412927078</v>
      </c>
      <c r="K195" s="188">
        <v>187.4477290654936</v>
      </c>
      <c r="L195" s="188">
        <v>260.37122501270181</v>
      </c>
      <c r="M195" s="188">
        <v>218.07678179141703</v>
      </c>
      <c r="N195" s="188">
        <v>185.30314205930281</v>
      </c>
      <c r="O195" s="188">
        <v>226.01695412134069</v>
      </c>
      <c r="P195" s="188">
        <v>230.3185460292556</v>
      </c>
      <c r="Q195" s="189">
        <v>230.55712188392215</v>
      </c>
      <c r="R195" s="190">
        <v>198.10038692742467</v>
      </c>
      <c r="S195" s="188">
        <v>226.77007478358084</v>
      </c>
      <c r="T195" s="188">
        <v>230.11709796681939</v>
      </c>
      <c r="U195" s="188">
        <v>215.26811160956407</v>
      </c>
      <c r="V195" s="189">
        <v>186.70904574537536</v>
      </c>
    </row>
    <row r="196" spans="1:22" s="98" customFormat="1" ht="15" customHeight="1">
      <c r="A196" s="99"/>
      <c r="B196" s="161"/>
      <c r="D196" s="162" t="s">
        <v>131</v>
      </c>
      <c r="E196" s="162"/>
      <c r="F196" s="162"/>
      <c r="G196" s="163"/>
      <c r="H196" s="163"/>
      <c r="I196" s="164" t="s">
        <v>164</v>
      </c>
      <c r="J196" s="190">
        <v>0</v>
      </c>
      <c r="K196" s="188">
        <v>0</v>
      </c>
      <c r="L196" s="188">
        <v>0</v>
      </c>
      <c r="M196" s="188">
        <v>0</v>
      </c>
      <c r="N196" s="188">
        <v>0</v>
      </c>
      <c r="O196" s="188">
        <v>0</v>
      </c>
      <c r="P196" s="188">
        <v>0</v>
      </c>
      <c r="Q196" s="189">
        <v>0</v>
      </c>
      <c r="R196" s="190">
        <v>0</v>
      </c>
      <c r="S196" s="188">
        <v>0</v>
      </c>
      <c r="T196" s="188">
        <v>0</v>
      </c>
      <c r="U196" s="188">
        <v>0</v>
      </c>
      <c r="V196" s="189">
        <v>0</v>
      </c>
    </row>
    <row r="197" spans="1:22" s="98" customFormat="1" ht="15" customHeight="1" thickBot="1">
      <c r="A197" s="99"/>
      <c r="B197" s="131" t="s">
        <v>1701</v>
      </c>
      <c r="C197" s="132"/>
      <c r="D197" s="132"/>
      <c r="E197" s="132"/>
      <c r="F197" s="132"/>
      <c r="G197" s="145"/>
      <c r="H197" s="133"/>
      <c r="I197" s="146" t="s">
        <v>164</v>
      </c>
      <c r="J197" s="1002">
        <f>SUM(J193:J196)</f>
        <v>332.17977412927075</v>
      </c>
      <c r="K197" s="1000">
        <f t="shared" ref="K197:V197" si="169">SUM(K193:K196)</f>
        <v>328.4477290654936</v>
      </c>
      <c r="L197" s="1000">
        <f t="shared" si="169"/>
        <v>413.37122501270181</v>
      </c>
      <c r="M197" s="1000">
        <f t="shared" si="169"/>
        <v>382.07678179141703</v>
      </c>
      <c r="N197" s="1000">
        <f t="shared" si="169"/>
        <v>351.30314205930279</v>
      </c>
      <c r="O197" s="1000">
        <f t="shared" si="169"/>
        <v>380.01695412134069</v>
      </c>
      <c r="P197" s="1000">
        <f t="shared" si="169"/>
        <v>387.24949940129</v>
      </c>
      <c r="Q197" s="1001">
        <f t="shared" si="169"/>
        <v>387.65063244889586</v>
      </c>
      <c r="R197" s="1002">
        <f t="shared" si="169"/>
        <v>333.07902030218025</v>
      </c>
      <c r="S197" s="1000">
        <f t="shared" si="169"/>
        <v>381.28322470384182</v>
      </c>
      <c r="T197" s="1000">
        <f t="shared" si="169"/>
        <v>386.91079171717729</v>
      </c>
      <c r="U197" s="1000">
        <f t="shared" si="169"/>
        <v>361.94422852632908</v>
      </c>
      <c r="V197" s="1001">
        <f t="shared" si="169"/>
        <v>313.92602004966238</v>
      </c>
    </row>
    <row r="198" spans="1:22" ht="13.5" thickBot="1"/>
    <row r="199" spans="1:22" s="100" customFormat="1" ht="30" customHeight="1" thickBot="1">
      <c r="A199" s="89"/>
      <c r="B199" s="621" t="s">
        <v>71</v>
      </c>
      <c r="C199" s="762"/>
      <c r="D199" s="762"/>
      <c r="E199" s="762"/>
      <c r="F199" s="762"/>
      <c r="G199" s="763"/>
      <c r="H199" s="103"/>
      <c r="I199" s="105" t="s">
        <v>2054</v>
      </c>
      <c r="J199" s="106"/>
      <c r="K199" s="106"/>
      <c r="L199" s="106"/>
      <c r="M199" s="106"/>
      <c r="N199" s="106"/>
      <c r="O199" s="106"/>
      <c r="P199" s="106"/>
      <c r="Q199" s="106"/>
      <c r="R199" s="105"/>
      <c r="S199" s="105"/>
      <c r="T199" s="105"/>
      <c r="U199" s="105"/>
      <c r="V199" s="105"/>
    </row>
    <row r="200" spans="1:22" s="157" customFormat="1" ht="30" customHeight="1">
      <c r="A200" s="99"/>
      <c r="B200" s="109"/>
      <c r="C200" s="127"/>
      <c r="D200" s="127"/>
      <c r="E200" s="127"/>
      <c r="F200" s="127"/>
      <c r="G200" s="117"/>
      <c r="H200" s="111"/>
      <c r="I200" s="117"/>
      <c r="J200" s="695" t="s">
        <v>1666</v>
      </c>
      <c r="K200" s="152"/>
      <c r="L200" s="152"/>
      <c r="M200" s="152"/>
      <c r="N200" s="152"/>
      <c r="O200" s="152"/>
      <c r="P200" s="152"/>
      <c r="Q200" s="153"/>
      <c r="R200" s="696" t="s">
        <v>2</v>
      </c>
      <c r="S200" s="155"/>
      <c r="T200" s="155"/>
      <c r="U200" s="155"/>
      <c r="V200" s="156"/>
    </row>
    <row r="201" spans="1:22" s="98" customFormat="1" ht="15" customHeight="1">
      <c r="A201" s="99"/>
      <c r="B201" s="115"/>
      <c r="C201" s="116"/>
      <c r="D201" s="116"/>
      <c r="E201" s="116"/>
      <c r="F201" s="116"/>
      <c r="G201" s="117"/>
      <c r="H201" s="117"/>
      <c r="I201" s="119" t="s">
        <v>1667</v>
      </c>
      <c r="J201" s="158" t="s">
        <v>453</v>
      </c>
      <c r="K201" s="137" t="s">
        <v>455</v>
      </c>
      <c r="L201" s="137" t="s">
        <v>457</v>
      </c>
      <c r="M201" s="137" t="s">
        <v>459</v>
      </c>
      <c r="N201" s="137" t="s">
        <v>461</v>
      </c>
      <c r="O201" s="137" t="s">
        <v>463</v>
      </c>
      <c r="P201" s="137" t="s">
        <v>465</v>
      </c>
      <c r="Q201" s="138" t="s">
        <v>467</v>
      </c>
      <c r="R201" s="120" t="s">
        <v>469</v>
      </c>
      <c r="S201" s="121" t="s">
        <v>471</v>
      </c>
      <c r="T201" s="121" t="s">
        <v>473</v>
      </c>
      <c r="U201" s="121" t="s">
        <v>475</v>
      </c>
      <c r="V201" s="122" t="s">
        <v>477</v>
      </c>
    </row>
    <row r="202" spans="1:22" s="98" customFormat="1" ht="15" customHeight="1">
      <c r="A202" s="99"/>
      <c r="B202" s="161"/>
      <c r="C202" s="186" t="s">
        <v>71</v>
      </c>
      <c r="D202" s="162"/>
      <c r="E202" s="162"/>
      <c r="F202" s="162"/>
      <c r="G202" s="163"/>
      <c r="H202" s="163"/>
      <c r="I202" s="117"/>
      <c r="J202" s="159"/>
      <c r="K202" s="117"/>
      <c r="L202" s="117"/>
      <c r="M202" s="117"/>
      <c r="N202" s="117"/>
      <c r="O202" s="117"/>
      <c r="P202" s="117"/>
      <c r="Q202" s="160"/>
      <c r="R202" s="159"/>
      <c r="S202" s="117"/>
      <c r="T202" s="117"/>
      <c r="U202" s="117"/>
      <c r="V202" s="160"/>
    </row>
    <row r="203" spans="1:22" s="98" customFormat="1" ht="15" customHeight="1">
      <c r="A203" s="99"/>
      <c r="B203" s="161"/>
      <c r="D203" s="162" t="s">
        <v>2055</v>
      </c>
      <c r="E203" s="162"/>
      <c r="F203" s="162"/>
      <c r="G203" s="163"/>
      <c r="H203" s="163"/>
      <c r="I203" s="164" t="s">
        <v>164</v>
      </c>
      <c r="J203" s="190">
        <v>131.5</v>
      </c>
      <c r="K203" s="188">
        <v>109</v>
      </c>
      <c r="L203" s="188">
        <v>99.000000000000028</v>
      </c>
      <c r="M203" s="188">
        <v>79.564623487782995</v>
      </c>
      <c r="N203" s="188">
        <v>100.99999999999999</v>
      </c>
      <c r="O203" s="188">
        <v>100</v>
      </c>
      <c r="P203" s="188">
        <v>94.52987900345579</v>
      </c>
      <c r="Q203" s="189">
        <v>88.942966810332365</v>
      </c>
      <c r="R203" s="190">
        <v>92.620277028857956</v>
      </c>
      <c r="S203" s="188">
        <v>92.620277028857956</v>
      </c>
      <c r="T203" s="188">
        <v>92.620277028857956</v>
      </c>
      <c r="U203" s="188">
        <v>92.620277028857956</v>
      </c>
      <c r="V203" s="189">
        <v>92.620277028857956</v>
      </c>
    </row>
    <row r="204" spans="1:22" s="98" customFormat="1" ht="15" customHeight="1">
      <c r="A204" s="99"/>
      <c r="B204" s="161"/>
      <c r="D204" s="162" t="s">
        <v>2056</v>
      </c>
      <c r="E204" s="162"/>
      <c r="F204" s="162"/>
      <c r="G204" s="163"/>
      <c r="H204" s="163"/>
      <c r="I204" s="164" t="s">
        <v>164</v>
      </c>
      <c r="J204" s="190">
        <v>0</v>
      </c>
      <c r="K204" s="188">
        <v>0</v>
      </c>
      <c r="L204" s="188">
        <v>0</v>
      </c>
      <c r="M204" s="188">
        <v>0</v>
      </c>
      <c r="N204" s="188">
        <v>0</v>
      </c>
      <c r="O204" s="188">
        <v>0</v>
      </c>
      <c r="P204" s="188"/>
      <c r="Q204" s="189"/>
      <c r="R204" s="190"/>
      <c r="S204" s="188"/>
      <c r="T204" s="188"/>
      <c r="U204" s="188"/>
      <c r="V204" s="189"/>
    </row>
    <row r="205" spans="1:22" s="98" customFormat="1" ht="15" customHeight="1">
      <c r="A205" s="99"/>
      <c r="B205" s="161"/>
      <c r="D205" s="162" t="s">
        <v>2057</v>
      </c>
      <c r="E205" s="162"/>
      <c r="F205" s="162"/>
      <c r="G205" s="163"/>
      <c r="H205" s="163"/>
      <c r="I205" s="164" t="s">
        <v>164</v>
      </c>
      <c r="J205" s="190">
        <v>741.30173917132015</v>
      </c>
      <c r="K205" s="188">
        <v>751.10538573513509</v>
      </c>
      <c r="L205" s="188">
        <v>729.71396909036559</v>
      </c>
      <c r="M205" s="188">
        <v>699.88241443914524</v>
      </c>
      <c r="N205" s="188">
        <v>755.25740972708945</v>
      </c>
      <c r="O205" s="188">
        <v>832.32359438514595</v>
      </c>
      <c r="P205" s="188">
        <v>786.7944866894926</v>
      </c>
      <c r="Q205" s="189">
        <v>740.29329830854579</v>
      </c>
      <c r="R205" s="190">
        <v>810.90041889607028</v>
      </c>
      <c r="S205" s="188">
        <v>810.90041889607028</v>
      </c>
      <c r="T205" s="188">
        <v>810.90041889607028</v>
      </c>
      <c r="U205" s="188">
        <v>810.90041889607028</v>
      </c>
      <c r="V205" s="189">
        <v>810.90041889607028</v>
      </c>
    </row>
    <row r="206" spans="1:22" s="98" customFormat="1" ht="15" customHeight="1">
      <c r="A206" s="99"/>
      <c r="B206" s="161"/>
      <c r="D206" s="162" t="s">
        <v>131</v>
      </c>
      <c r="E206" s="162"/>
      <c r="F206" s="162"/>
      <c r="G206" s="163"/>
      <c r="H206" s="163"/>
      <c r="I206" s="164" t="s">
        <v>164</v>
      </c>
      <c r="J206" s="190">
        <v>0</v>
      </c>
      <c r="K206" s="188">
        <v>0</v>
      </c>
      <c r="L206" s="188">
        <v>0</v>
      </c>
      <c r="M206" s="188">
        <v>0</v>
      </c>
      <c r="N206" s="188">
        <v>0</v>
      </c>
      <c r="O206" s="188">
        <v>0</v>
      </c>
      <c r="P206" s="188">
        <v>0</v>
      </c>
      <c r="Q206" s="189">
        <v>0</v>
      </c>
      <c r="R206" s="190">
        <v>0</v>
      </c>
      <c r="S206" s="188">
        <v>0</v>
      </c>
      <c r="T206" s="188">
        <v>0</v>
      </c>
      <c r="U206" s="188">
        <v>0</v>
      </c>
      <c r="V206" s="189">
        <v>0</v>
      </c>
    </row>
    <row r="207" spans="1:22" s="98" customFormat="1" ht="15" customHeight="1" thickBot="1">
      <c r="A207" s="99"/>
      <c r="B207" s="131" t="s">
        <v>1701</v>
      </c>
      <c r="C207" s="132"/>
      <c r="D207" s="132"/>
      <c r="E207" s="132"/>
      <c r="F207" s="132"/>
      <c r="G207" s="145"/>
      <c r="H207" s="133"/>
      <c r="I207" s="146" t="s">
        <v>164</v>
      </c>
      <c r="J207" s="1002">
        <f>SUM(J203:J206)</f>
        <v>872.80173917132015</v>
      </c>
      <c r="K207" s="1000">
        <f t="shared" ref="K207" si="170">SUM(K203:K206)</f>
        <v>860.10538573513509</v>
      </c>
      <c r="L207" s="1000">
        <f t="shared" ref="L207" si="171">SUM(L203:L206)</f>
        <v>828.71396909036559</v>
      </c>
      <c r="M207" s="1000">
        <f t="shared" ref="M207" si="172">SUM(M203:M206)</f>
        <v>779.44703792692826</v>
      </c>
      <c r="N207" s="1000">
        <f t="shared" ref="N207" si="173">SUM(N203:N206)</f>
        <v>856.25740972708945</v>
      </c>
      <c r="O207" s="1000">
        <f t="shared" ref="O207" si="174">SUM(O203:O206)</f>
        <v>932.32359438514595</v>
      </c>
      <c r="P207" s="1000">
        <f t="shared" ref="P207" si="175">SUM(P203:P206)</f>
        <v>881.32436569294839</v>
      </c>
      <c r="Q207" s="1001">
        <f t="shared" ref="Q207" si="176">SUM(Q203:Q206)</f>
        <v>829.23626511887812</v>
      </c>
      <c r="R207" s="1002">
        <f t="shared" ref="R207" si="177">SUM(R203:R206)</f>
        <v>903.52069592492819</v>
      </c>
      <c r="S207" s="1000">
        <f t="shared" ref="S207" si="178">SUM(S203:S206)</f>
        <v>903.52069592492819</v>
      </c>
      <c r="T207" s="1000">
        <f t="shared" ref="T207" si="179">SUM(T203:T206)</f>
        <v>903.52069592492819</v>
      </c>
      <c r="U207" s="1000">
        <f t="shared" ref="U207" si="180">SUM(U203:U206)</f>
        <v>903.52069592492819</v>
      </c>
      <c r="V207" s="1001">
        <f t="shared" ref="V207" si="181">SUM(V203:V206)</f>
        <v>903.52069592492819</v>
      </c>
    </row>
    <row r="208" spans="1:22" ht="13.5" thickBot="1"/>
    <row r="209" spans="1:24" s="100" customFormat="1" ht="30" customHeight="1" thickBot="1">
      <c r="A209" s="89"/>
      <c r="B209" s="621" t="s">
        <v>2061</v>
      </c>
      <c r="C209" s="762"/>
      <c r="D209" s="762"/>
      <c r="E209" s="762"/>
      <c r="F209" s="762"/>
      <c r="G209" s="763"/>
      <c r="H209" s="103"/>
      <c r="I209" s="105" t="s">
        <v>2054</v>
      </c>
      <c r="J209" s="106"/>
      <c r="K209" s="106"/>
      <c r="L209" s="106"/>
      <c r="M209" s="106"/>
      <c r="N209" s="106"/>
      <c r="O209" s="106"/>
      <c r="P209" s="106"/>
      <c r="Q209" s="106"/>
      <c r="R209" s="105"/>
      <c r="S209" s="105"/>
      <c r="T209" s="105"/>
      <c r="U209" s="105"/>
      <c r="V209" s="105"/>
      <c r="W209" s="439"/>
      <c r="X209" s="589" t="s">
        <v>2062</v>
      </c>
    </row>
    <row r="210" spans="1:24" s="157" customFormat="1" ht="30" customHeight="1">
      <c r="A210" s="99"/>
      <c r="B210" s="109"/>
      <c r="C210" s="127"/>
      <c r="D210" s="127"/>
      <c r="E210" s="127"/>
      <c r="F210" s="127"/>
      <c r="G210" s="117"/>
      <c r="H210" s="111"/>
      <c r="I210" s="117"/>
      <c r="J210" s="695" t="s">
        <v>1666</v>
      </c>
      <c r="K210" s="152"/>
      <c r="L210" s="152"/>
      <c r="M210" s="152"/>
      <c r="N210" s="152"/>
      <c r="O210" s="152"/>
      <c r="P210" s="152"/>
      <c r="Q210" s="153"/>
      <c r="R210" s="696" t="s">
        <v>2</v>
      </c>
      <c r="S210" s="155"/>
      <c r="T210" s="155"/>
      <c r="U210" s="155"/>
      <c r="V210" s="156"/>
      <c r="W210" s="441"/>
      <c r="X210" s="599" t="s">
        <v>2063</v>
      </c>
    </row>
    <row r="211" spans="1:24" s="98" customFormat="1" ht="15" customHeight="1">
      <c r="A211" s="99"/>
      <c r="B211" s="115"/>
      <c r="C211" s="116"/>
      <c r="D211" s="116"/>
      <c r="E211" s="116"/>
      <c r="F211" s="116"/>
      <c r="G211" s="117"/>
      <c r="H211" s="117"/>
      <c r="I211" s="119" t="s">
        <v>1667</v>
      </c>
      <c r="J211" s="158" t="s">
        <v>453</v>
      </c>
      <c r="K211" s="137" t="s">
        <v>455</v>
      </c>
      <c r="L211" s="137" t="s">
        <v>457</v>
      </c>
      <c r="M211" s="137" t="s">
        <v>459</v>
      </c>
      <c r="N211" s="137" t="s">
        <v>461</v>
      </c>
      <c r="O211" s="137" t="s">
        <v>463</v>
      </c>
      <c r="P211" s="137" t="s">
        <v>465</v>
      </c>
      <c r="Q211" s="138" t="s">
        <v>467</v>
      </c>
      <c r="R211" s="120" t="s">
        <v>469</v>
      </c>
      <c r="S211" s="121" t="s">
        <v>471</v>
      </c>
      <c r="T211" s="121" t="s">
        <v>473</v>
      </c>
      <c r="U211" s="121" t="s">
        <v>475</v>
      </c>
      <c r="V211" s="138" t="s">
        <v>477</v>
      </c>
      <c r="W211" s="441"/>
      <c r="X211" s="446"/>
    </row>
    <row r="212" spans="1:24" s="98" customFormat="1" ht="15" customHeight="1">
      <c r="A212" s="99"/>
      <c r="B212" s="161"/>
      <c r="C212" s="186" t="s">
        <v>2064</v>
      </c>
      <c r="D212" s="162"/>
      <c r="E212" s="162"/>
      <c r="F212" s="162"/>
      <c r="G212" s="163"/>
      <c r="H212" s="163"/>
      <c r="I212" s="117"/>
      <c r="J212" s="159"/>
      <c r="K212" s="117"/>
      <c r="L212" s="117"/>
      <c r="M212" s="117"/>
      <c r="N212" s="117"/>
      <c r="O212" s="117"/>
      <c r="P212" s="117"/>
      <c r="Q212" s="160"/>
      <c r="R212" s="159"/>
      <c r="S212" s="117"/>
      <c r="T212" s="117"/>
      <c r="U212" s="117"/>
      <c r="V212" s="160"/>
      <c r="W212" s="441"/>
      <c r="X212" s="210"/>
    </row>
    <row r="213" spans="1:24" s="98" customFormat="1" ht="15" customHeight="1">
      <c r="A213" s="99"/>
      <c r="B213" s="161"/>
      <c r="C213" s="185"/>
      <c r="D213" s="162" t="s">
        <v>2065</v>
      </c>
      <c r="E213" s="162"/>
      <c r="F213" s="162"/>
      <c r="G213" s="163"/>
      <c r="H213" s="163"/>
      <c r="I213" s="164" t="s">
        <v>164</v>
      </c>
      <c r="J213" s="190">
        <v>0</v>
      </c>
      <c r="K213" s="188">
        <v>0</v>
      </c>
      <c r="L213" s="188">
        <v>0</v>
      </c>
      <c r="M213" s="188">
        <v>0</v>
      </c>
      <c r="N213" s="188">
        <v>0</v>
      </c>
      <c r="O213" s="188">
        <v>43</v>
      </c>
      <c r="P213" s="188">
        <v>43.479034932116157</v>
      </c>
      <c r="Q213" s="189">
        <v>43.086218358625004</v>
      </c>
      <c r="R213" s="190">
        <v>42.901077443160702</v>
      </c>
      <c r="S213" s="188">
        <v>43.271175136999261</v>
      </c>
      <c r="T213" s="188">
        <v>43.173203774917461</v>
      </c>
      <c r="U213" s="188">
        <v>42.402323600549394</v>
      </c>
      <c r="V213" s="189">
        <v>41.878869452522494</v>
      </c>
      <c r="W213" s="441"/>
      <c r="X213" s="1128">
        <v>111</v>
      </c>
    </row>
    <row r="214" spans="1:24" s="98" customFormat="1" ht="15" customHeight="1">
      <c r="A214" s="99"/>
      <c r="B214" s="161"/>
      <c r="C214" s="185"/>
      <c r="D214" s="162" t="s">
        <v>2066</v>
      </c>
      <c r="E214" s="162"/>
      <c r="F214" s="162"/>
      <c r="G214" s="163"/>
      <c r="H214" s="163"/>
      <c r="I214" s="164" t="s">
        <v>164</v>
      </c>
      <c r="J214" s="190">
        <v>0</v>
      </c>
      <c r="K214" s="188">
        <v>0</v>
      </c>
      <c r="L214" s="188">
        <v>0</v>
      </c>
      <c r="M214" s="188">
        <v>0</v>
      </c>
      <c r="N214" s="188">
        <v>0</v>
      </c>
      <c r="O214" s="188">
        <v>0</v>
      </c>
      <c r="P214" s="188">
        <v>0</v>
      </c>
      <c r="Q214" s="189">
        <v>0</v>
      </c>
      <c r="R214" s="190">
        <v>0</v>
      </c>
      <c r="S214" s="188">
        <v>0</v>
      </c>
      <c r="T214" s="188">
        <v>0</v>
      </c>
      <c r="U214" s="188">
        <v>0</v>
      </c>
      <c r="V214" s="189">
        <v>0</v>
      </c>
      <c r="W214" s="441"/>
      <c r="X214" s="1128">
        <v>112</v>
      </c>
    </row>
    <row r="215" spans="1:24" s="98" customFormat="1" ht="15" customHeight="1">
      <c r="A215" s="99"/>
      <c r="B215" s="161"/>
      <c r="C215" s="185"/>
      <c r="D215" s="162" t="s">
        <v>2067</v>
      </c>
      <c r="E215" s="162"/>
      <c r="F215" s="162"/>
      <c r="G215" s="163"/>
      <c r="H215" s="163"/>
      <c r="I215" s="164" t="s">
        <v>164</v>
      </c>
      <c r="J215" s="190">
        <v>0</v>
      </c>
      <c r="K215" s="188">
        <v>0</v>
      </c>
      <c r="L215" s="188">
        <v>0</v>
      </c>
      <c r="M215" s="188">
        <v>0</v>
      </c>
      <c r="N215" s="188">
        <v>0</v>
      </c>
      <c r="O215" s="188">
        <v>117</v>
      </c>
      <c r="P215" s="188">
        <v>118.3034206292463</v>
      </c>
      <c r="Q215" s="189">
        <v>117.23459413858433</v>
      </c>
      <c r="R215" s="190">
        <v>116.73083862441402</v>
      </c>
      <c r="S215" s="188">
        <v>117.73784862857941</v>
      </c>
      <c r="T215" s="188">
        <v>117.47127538756614</v>
      </c>
      <c r="U215" s="188">
        <v>115.37376421544838</v>
      </c>
      <c r="V215" s="189">
        <v>113.94948199872402</v>
      </c>
      <c r="W215" s="441"/>
      <c r="X215" s="1128">
        <v>113</v>
      </c>
    </row>
    <row r="216" spans="1:24" s="98" customFormat="1" ht="15" customHeight="1">
      <c r="A216" s="99"/>
      <c r="B216" s="161"/>
      <c r="C216" s="185"/>
      <c r="D216" s="162" t="s">
        <v>2068</v>
      </c>
      <c r="E216" s="162"/>
      <c r="F216" s="162"/>
      <c r="G216" s="163"/>
      <c r="H216" s="163"/>
      <c r="I216" s="164" t="s">
        <v>164</v>
      </c>
      <c r="J216" s="190">
        <v>0</v>
      </c>
      <c r="K216" s="188">
        <v>0</v>
      </c>
      <c r="L216" s="188">
        <v>0</v>
      </c>
      <c r="M216" s="188">
        <v>0</v>
      </c>
      <c r="N216" s="188">
        <v>0</v>
      </c>
      <c r="O216" s="188">
        <v>0</v>
      </c>
      <c r="P216" s="188">
        <v>0</v>
      </c>
      <c r="Q216" s="189">
        <v>0</v>
      </c>
      <c r="R216" s="190">
        <v>0</v>
      </c>
      <c r="S216" s="188">
        <v>0</v>
      </c>
      <c r="T216" s="188">
        <v>0</v>
      </c>
      <c r="U216" s="188">
        <v>0</v>
      </c>
      <c r="V216" s="189">
        <v>0</v>
      </c>
      <c r="W216" s="441"/>
      <c r="X216" s="1128">
        <v>114</v>
      </c>
    </row>
    <row r="217" spans="1:24" s="98" customFormat="1" ht="15" customHeight="1">
      <c r="A217" s="99"/>
      <c r="B217" s="161"/>
      <c r="C217" s="185"/>
      <c r="D217" s="162" t="s">
        <v>2069</v>
      </c>
      <c r="E217" s="162"/>
      <c r="F217" s="162"/>
      <c r="G217" s="163"/>
      <c r="H217" s="163"/>
      <c r="I217" s="164" t="s">
        <v>164</v>
      </c>
      <c r="J217" s="190">
        <v>0</v>
      </c>
      <c r="K217" s="188">
        <v>0</v>
      </c>
      <c r="L217" s="188">
        <v>0</v>
      </c>
      <c r="M217" s="188">
        <v>0</v>
      </c>
      <c r="N217" s="188">
        <v>0</v>
      </c>
      <c r="O217" s="188">
        <v>114</v>
      </c>
      <c r="P217" s="188">
        <v>115.26999958747075</v>
      </c>
      <c r="Q217" s="189">
        <v>114.22857890426162</v>
      </c>
      <c r="R217" s="190">
        <v>113.73774019814697</v>
      </c>
      <c r="S217" s="188">
        <v>114.71892943297478</v>
      </c>
      <c r="T217" s="188">
        <v>114.45919140326953</v>
      </c>
      <c r="U217" s="188">
        <v>112.41546256889838</v>
      </c>
      <c r="V217" s="189">
        <v>111.02770040901309</v>
      </c>
      <c r="W217" s="441"/>
      <c r="X217" s="1128">
        <v>115</v>
      </c>
    </row>
    <row r="218" spans="1:24" s="98" customFormat="1" ht="15" customHeight="1">
      <c r="A218" s="99"/>
      <c r="B218" s="161"/>
      <c r="C218" s="185"/>
      <c r="D218" s="162" t="s">
        <v>2070</v>
      </c>
      <c r="E218" s="162"/>
      <c r="F218" s="162"/>
      <c r="G218" s="163"/>
      <c r="H218" s="163"/>
      <c r="I218" s="164" t="s">
        <v>164</v>
      </c>
      <c r="J218" s="190">
        <v>0</v>
      </c>
      <c r="K218" s="188">
        <v>0</v>
      </c>
      <c r="L218" s="188">
        <v>0</v>
      </c>
      <c r="M218" s="188">
        <v>0</v>
      </c>
      <c r="N218" s="188">
        <v>0</v>
      </c>
      <c r="O218" s="188">
        <v>0</v>
      </c>
      <c r="P218" s="188">
        <v>0</v>
      </c>
      <c r="Q218" s="189">
        <v>0</v>
      </c>
      <c r="R218" s="190">
        <v>0</v>
      </c>
      <c r="S218" s="188">
        <v>0</v>
      </c>
      <c r="T218" s="188">
        <v>0</v>
      </c>
      <c r="U218" s="188">
        <v>0</v>
      </c>
      <c r="V218" s="189">
        <v>0</v>
      </c>
      <c r="W218" s="441"/>
      <c r="X218" s="1128">
        <v>116</v>
      </c>
    </row>
    <row r="219" spans="1:24" s="98" customFormat="1" ht="15" customHeight="1">
      <c r="A219" s="99"/>
      <c r="B219" s="161"/>
      <c r="C219" s="185"/>
      <c r="D219" s="162" t="s">
        <v>2071</v>
      </c>
      <c r="E219" s="162"/>
      <c r="F219" s="162"/>
      <c r="G219" s="163"/>
      <c r="H219" s="163"/>
      <c r="I219" s="164" t="s">
        <v>164</v>
      </c>
      <c r="J219" s="190">
        <v>0</v>
      </c>
      <c r="K219" s="188">
        <v>0</v>
      </c>
      <c r="L219" s="188">
        <v>0</v>
      </c>
      <c r="M219" s="188">
        <v>0</v>
      </c>
      <c r="N219" s="188">
        <v>0</v>
      </c>
      <c r="O219" s="188">
        <v>0</v>
      </c>
      <c r="P219" s="188">
        <v>0</v>
      </c>
      <c r="Q219" s="189">
        <v>0</v>
      </c>
      <c r="R219" s="190">
        <v>0</v>
      </c>
      <c r="S219" s="188">
        <v>0</v>
      </c>
      <c r="T219" s="188">
        <v>0</v>
      </c>
      <c r="U219" s="188">
        <v>0</v>
      </c>
      <c r="V219" s="189">
        <v>0</v>
      </c>
      <c r="W219" s="441"/>
      <c r="X219" s="1128">
        <v>117</v>
      </c>
    </row>
    <row r="220" spans="1:24" s="98" customFormat="1" ht="15" customHeight="1">
      <c r="A220" s="99"/>
      <c r="B220" s="161"/>
      <c r="C220" s="185"/>
      <c r="D220" s="162" t="s">
        <v>2072</v>
      </c>
      <c r="E220" s="162"/>
      <c r="F220" s="162"/>
      <c r="G220" s="163"/>
      <c r="H220" s="163"/>
      <c r="I220" s="164" t="s">
        <v>164</v>
      </c>
      <c r="J220" s="190">
        <v>0</v>
      </c>
      <c r="K220" s="188">
        <v>0</v>
      </c>
      <c r="L220" s="188">
        <v>0</v>
      </c>
      <c r="M220" s="188">
        <v>0</v>
      </c>
      <c r="N220" s="188">
        <v>0</v>
      </c>
      <c r="O220" s="188">
        <v>0</v>
      </c>
      <c r="P220" s="188">
        <v>0</v>
      </c>
      <c r="Q220" s="189">
        <v>0</v>
      </c>
      <c r="R220" s="190">
        <v>0</v>
      </c>
      <c r="S220" s="188">
        <v>0</v>
      </c>
      <c r="T220" s="188">
        <v>0</v>
      </c>
      <c r="U220" s="188">
        <v>0</v>
      </c>
      <c r="V220" s="189">
        <v>0</v>
      </c>
      <c r="W220" s="441"/>
      <c r="X220" s="1128">
        <v>118</v>
      </c>
    </row>
    <row r="221" spans="1:24" s="98" customFormat="1" ht="15" customHeight="1">
      <c r="A221" s="99"/>
      <c r="B221" s="161"/>
      <c r="C221" s="185"/>
      <c r="D221" s="162" t="s">
        <v>2073</v>
      </c>
      <c r="E221" s="162"/>
      <c r="F221" s="162"/>
      <c r="G221" s="163"/>
      <c r="H221" s="163"/>
      <c r="I221" s="164" t="s">
        <v>164</v>
      </c>
      <c r="J221" s="190">
        <v>0</v>
      </c>
      <c r="K221" s="188">
        <v>0</v>
      </c>
      <c r="L221" s="188">
        <v>0</v>
      </c>
      <c r="M221" s="188">
        <v>0</v>
      </c>
      <c r="N221" s="188">
        <v>0</v>
      </c>
      <c r="O221" s="188">
        <v>0</v>
      </c>
      <c r="P221" s="188">
        <v>0</v>
      </c>
      <c r="Q221" s="189">
        <v>0</v>
      </c>
      <c r="R221" s="190">
        <v>0</v>
      </c>
      <c r="S221" s="188">
        <v>0</v>
      </c>
      <c r="T221" s="188">
        <v>0</v>
      </c>
      <c r="U221" s="188">
        <v>0</v>
      </c>
      <c r="V221" s="189">
        <v>0</v>
      </c>
      <c r="W221" s="441"/>
      <c r="X221" s="1128">
        <v>123</v>
      </c>
    </row>
    <row r="222" spans="1:24" s="98" customFormat="1" ht="15" customHeight="1">
      <c r="A222" s="99"/>
      <c r="B222" s="161"/>
      <c r="C222" s="185"/>
      <c r="D222" s="162" t="s">
        <v>2074</v>
      </c>
      <c r="E222" s="162"/>
      <c r="F222" s="162"/>
      <c r="G222" s="163"/>
      <c r="H222" s="163"/>
      <c r="I222" s="164" t="s">
        <v>164</v>
      </c>
      <c r="J222" s="190">
        <v>0</v>
      </c>
      <c r="K222" s="188">
        <v>0</v>
      </c>
      <c r="L222" s="188">
        <v>0</v>
      </c>
      <c r="M222" s="188">
        <v>0</v>
      </c>
      <c r="N222" s="188">
        <v>0</v>
      </c>
      <c r="O222" s="188">
        <v>0</v>
      </c>
      <c r="P222" s="188">
        <v>0</v>
      </c>
      <c r="Q222" s="189">
        <v>0</v>
      </c>
      <c r="R222" s="190">
        <v>0</v>
      </c>
      <c r="S222" s="188">
        <v>0</v>
      </c>
      <c r="T222" s="188">
        <v>0</v>
      </c>
      <c r="U222" s="188">
        <v>0</v>
      </c>
      <c r="V222" s="189">
        <v>0</v>
      </c>
      <c r="W222" s="441"/>
      <c r="X222" s="1128">
        <v>212</v>
      </c>
    </row>
    <row r="223" spans="1:24" s="98" customFormat="1" ht="15" customHeight="1">
      <c r="A223" s="99"/>
      <c r="B223" s="161"/>
      <c r="C223" s="185"/>
      <c r="D223" s="162" t="s">
        <v>2075</v>
      </c>
      <c r="E223" s="162"/>
      <c r="F223" s="162"/>
      <c r="G223" s="163"/>
      <c r="H223" s="163"/>
      <c r="I223" s="164" t="s">
        <v>164</v>
      </c>
      <c r="J223" s="190">
        <v>0</v>
      </c>
      <c r="K223" s="188">
        <v>0</v>
      </c>
      <c r="L223" s="188">
        <v>0</v>
      </c>
      <c r="M223" s="188">
        <v>0</v>
      </c>
      <c r="N223" s="188">
        <v>0</v>
      </c>
      <c r="O223" s="188">
        <v>0</v>
      </c>
      <c r="P223" s="188">
        <v>0</v>
      </c>
      <c r="Q223" s="189">
        <v>0</v>
      </c>
      <c r="R223" s="190">
        <v>0</v>
      </c>
      <c r="S223" s="188">
        <v>0</v>
      </c>
      <c r="T223" s="188">
        <v>0</v>
      </c>
      <c r="U223" s="188">
        <v>0</v>
      </c>
      <c r="V223" s="189">
        <v>0</v>
      </c>
      <c r="W223" s="441"/>
      <c r="X223" s="1128">
        <v>213</v>
      </c>
    </row>
    <row r="224" spans="1:24" s="98" customFormat="1" ht="15" customHeight="1">
      <c r="A224" s="99"/>
      <c r="B224" s="161"/>
      <c r="C224" s="185"/>
      <c r="D224" s="162" t="s">
        <v>2076</v>
      </c>
      <c r="E224" s="162"/>
      <c r="F224" s="162"/>
      <c r="G224" s="163"/>
      <c r="H224" s="163"/>
      <c r="I224" s="164" t="s">
        <v>164</v>
      </c>
      <c r="J224" s="190">
        <v>0</v>
      </c>
      <c r="K224" s="188">
        <v>0</v>
      </c>
      <c r="L224" s="188">
        <v>0</v>
      </c>
      <c r="M224" s="188">
        <v>0</v>
      </c>
      <c r="N224" s="188">
        <v>0</v>
      </c>
      <c r="O224" s="188">
        <v>0</v>
      </c>
      <c r="P224" s="188">
        <v>0</v>
      </c>
      <c r="Q224" s="189">
        <v>0</v>
      </c>
      <c r="R224" s="190">
        <v>0</v>
      </c>
      <c r="S224" s="188">
        <v>0</v>
      </c>
      <c r="T224" s="188">
        <v>0</v>
      </c>
      <c r="U224" s="188">
        <v>0</v>
      </c>
      <c r="V224" s="189">
        <v>0</v>
      </c>
      <c r="W224" s="441"/>
      <c r="X224" s="1128">
        <v>214</v>
      </c>
    </row>
    <row r="225" spans="1:24" s="98" customFormat="1" ht="15" customHeight="1">
      <c r="A225" s="99"/>
      <c r="B225" s="161"/>
      <c r="C225" s="185"/>
      <c r="D225" s="162" t="s">
        <v>2077</v>
      </c>
      <c r="E225" s="162"/>
      <c r="F225" s="162"/>
      <c r="G225" s="163"/>
      <c r="H225" s="163"/>
      <c r="I225" s="164" t="s">
        <v>164</v>
      </c>
      <c r="J225" s="190">
        <v>0</v>
      </c>
      <c r="K225" s="188">
        <v>0</v>
      </c>
      <c r="L225" s="188">
        <v>0</v>
      </c>
      <c r="M225" s="188">
        <v>0</v>
      </c>
      <c r="N225" s="188">
        <v>0</v>
      </c>
      <c r="O225" s="188">
        <v>0</v>
      </c>
      <c r="P225" s="188">
        <v>0</v>
      </c>
      <c r="Q225" s="189">
        <v>0</v>
      </c>
      <c r="R225" s="190">
        <v>0</v>
      </c>
      <c r="S225" s="188">
        <v>0</v>
      </c>
      <c r="T225" s="188">
        <v>0</v>
      </c>
      <c r="U225" s="188">
        <v>0</v>
      </c>
      <c r="V225" s="189">
        <v>0</v>
      </c>
      <c r="W225" s="441"/>
      <c r="X225" s="1128">
        <v>231</v>
      </c>
    </row>
    <row r="226" spans="1:24" s="98" customFormat="1" ht="15" customHeight="1">
      <c r="A226" s="99"/>
      <c r="B226" s="161"/>
      <c r="C226" s="185"/>
      <c r="D226" s="162" t="s">
        <v>2078</v>
      </c>
      <c r="E226" s="162"/>
      <c r="F226" s="162"/>
      <c r="G226" s="163"/>
      <c r="H226" s="163"/>
      <c r="I226" s="164" t="s">
        <v>164</v>
      </c>
      <c r="J226" s="190">
        <v>0</v>
      </c>
      <c r="K226" s="188">
        <v>0</v>
      </c>
      <c r="L226" s="188">
        <v>0</v>
      </c>
      <c r="M226" s="188">
        <v>0</v>
      </c>
      <c r="N226" s="188">
        <v>0</v>
      </c>
      <c r="O226" s="188">
        <v>1</v>
      </c>
      <c r="P226" s="188">
        <v>1.0111403472585152</v>
      </c>
      <c r="Q226" s="189">
        <v>1.002005078107558</v>
      </c>
      <c r="R226" s="190">
        <v>0.99769947542234172</v>
      </c>
      <c r="S226" s="188">
        <v>1.0063063985348664</v>
      </c>
      <c r="T226" s="188">
        <v>1.004027994765522</v>
      </c>
      <c r="U226" s="188">
        <v>0.98610054884998555</v>
      </c>
      <c r="V226" s="189">
        <v>0.97392719657029014</v>
      </c>
      <c r="W226" s="441"/>
      <c r="X226" s="1128">
        <v>241</v>
      </c>
    </row>
    <row r="227" spans="1:24" s="98" customFormat="1" ht="15" customHeight="1">
      <c r="A227" s="99"/>
      <c r="B227" s="161"/>
      <c r="C227" s="185"/>
      <c r="D227" s="162" t="s">
        <v>2079</v>
      </c>
      <c r="E227" s="162"/>
      <c r="F227" s="162"/>
      <c r="G227" s="163"/>
      <c r="H227" s="163"/>
      <c r="I227" s="164" t="s">
        <v>164</v>
      </c>
      <c r="J227" s="190">
        <v>0</v>
      </c>
      <c r="K227" s="188">
        <v>0</v>
      </c>
      <c r="L227" s="188">
        <v>0</v>
      </c>
      <c r="M227" s="188">
        <v>0</v>
      </c>
      <c r="N227" s="188">
        <v>0</v>
      </c>
      <c r="O227" s="188">
        <v>0</v>
      </c>
      <c r="P227" s="188">
        <v>0</v>
      </c>
      <c r="Q227" s="189">
        <v>0</v>
      </c>
      <c r="R227" s="190">
        <v>0</v>
      </c>
      <c r="S227" s="188">
        <v>0</v>
      </c>
      <c r="T227" s="188">
        <v>0</v>
      </c>
      <c r="U227" s="188">
        <v>0</v>
      </c>
      <c r="V227" s="189">
        <v>0</v>
      </c>
      <c r="W227" s="441"/>
      <c r="X227" s="1128">
        <v>242</v>
      </c>
    </row>
    <row r="228" spans="1:24" s="98" customFormat="1" ht="15" customHeight="1">
      <c r="A228" s="99"/>
      <c r="B228" s="161"/>
      <c r="C228" s="185"/>
      <c r="D228" s="162" t="s">
        <v>2080</v>
      </c>
      <c r="E228" s="162"/>
      <c r="F228" s="162"/>
      <c r="G228" s="163"/>
      <c r="H228" s="163"/>
      <c r="I228" s="164" t="s">
        <v>164</v>
      </c>
      <c r="J228" s="190">
        <v>0</v>
      </c>
      <c r="K228" s="188">
        <v>0</v>
      </c>
      <c r="L228" s="188">
        <v>0</v>
      </c>
      <c r="M228" s="188">
        <v>0</v>
      </c>
      <c r="N228" s="188">
        <v>0</v>
      </c>
      <c r="O228" s="188">
        <v>0</v>
      </c>
      <c r="P228" s="188">
        <v>0</v>
      </c>
      <c r="Q228" s="189">
        <v>0</v>
      </c>
      <c r="R228" s="190">
        <v>0</v>
      </c>
      <c r="S228" s="188">
        <v>0</v>
      </c>
      <c r="T228" s="188">
        <v>0</v>
      </c>
      <c r="U228" s="188">
        <v>0</v>
      </c>
      <c r="V228" s="189">
        <v>0</v>
      </c>
      <c r="W228" s="441"/>
      <c r="X228" s="1128">
        <v>243</v>
      </c>
    </row>
    <row r="229" spans="1:24" s="98" customFormat="1" ht="15" customHeight="1">
      <c r="A229" s="99"/>
      <c r="B229" s="161"/>
      <c r="C229" s="185"/>
      <c r="D229" s="162" t="s">
        <v>2081</v>
      </c>
      <c r="E229" s="162"/>
      <c r="F229" s="162"/>
      <c r="G229" s="163"/>
      <c r="H229" s="163"/>
      <c r="I229" s="164" t="s">
        <v>164</v>
      </c>
      <c r="J229" s="190">
        <v>0</v>
      </c>
      <c r="K229" s="188">
        <v>0</v>
      </c>
      <c r="L229" s="188">
        <v>0</v>
      </c>
      <c r="M229" s="188">
        <v>0</v>
      </c>
      <c r="N229" s="188">
        <v>0</v>
      </c>
      <c r="O229" s="188">
        <v>214</v>
      </c>
      <c r="P229" s="188">
        <v>246.38403431332225</v>
      </c>
      <c r="Q229" s="189">
        <v>254.42908671501743</v>
      </c>
      <c r="R229" s="190">
        <v>253.33580826474622</v>
      </c>
      <c r="S229" s="188">
        <v>255.5212778145432</v>
      </c>
      <c r="T229" s="188">
        <v>254.94274562656551</v>
      </c>
      <c r="U229" s="188">
        <v>250.39060932398564</v>
      </c>
      <c r="V229" s="189">
        <v>247.29955223210672</v>
      </c>
      <c r="W229" s="441"/>
      <c r="X229" s="1128">
        <v>311</v>
      </c>
    </row>
    <row r="230" spans="1:24" s="98" customFormat="1" ht="15" customHeight="1">
      <c r="A230" s="99"/>
      <c r="B230" s="161"/>
      <c r="C230" s="185"/>
      <c r="D230" s="162" t="s">
        <v>2082</v>
      </c>
      <c r="E230" s="162"/>
      <c r="F230" s="162"/>
      <c r="G230" s="163"/>
      <c r="H230" s="163"/>
      <c r="I230" s="164" t="s">
        <v>164</v>
      </c>
      <c r="J230" s="190">
        <v>0</v>
      </c>
      <c r="K230" s="188">
        <v>0</v>
      </c>
      <c r="L230" s="188">
        <v>0</v>
      </c>
      <c r="M230" s="188">
        <v>0</v>
      </c>
      <c r="N230" s="188">
        <v>0</v>
      </c>
      <c r="O230" s="188">
        <v>0</v>
      </c>
      <c r="P230" s="188">
        <v>0</v>
      </c>
      <c r="Q230" s="189">
        <v>0</v>
      </c>
      <c r="R230" s="190">
        <v>0</v>
      </c>
      <c r="S230" s="188">
        <v>0</v>
      </c>
      <c r="T230" s="188">
        <v>0</v>
      </c>
      <c r="U230" s="188">
        <v>0</v>
      </c>
      <c r="V230" s="189">
        <v>0</v>
      </c>
      <c r="W230" s="441"/>
      <c r="X230" s="1128">
        <v>312</v>
      </c>
    </row>
    <row r="231" spans="1:24" s="98" customFormat="1" ht="15" customHeight="1">
      <c r="A231" s="99"/>
      <c r="B231" s="161"/>
      <c r="C231" s="185"/>
      <c r="D231" s="162" t="s">
        <v>2083</v>
      </c>
      <c r="E231" s="162"/>
      <c r="F231" s="162"/>
      <c r="G231" s="163"/>
      <c r="H231" s="163"/>
      <c r="I231" s="164" t="s">
        <v>164</v>
      </c>
      <c r="J231" s="190">
        <v>0</v>
      </c>
      <c r="K231" s="188">
        <v>0</v>
      </c>
      <c r="L231" s="188">
        <v>0</v>
      </c>
      <c r="M231" s="188">
        <v>0</v>
      </c>
      <c r="N231" s="188">
        <v>0</v>
      </c>
      <c r="O231" s="188">
        <v>32</v>
      </c>
      <c r="P231" s="188">
        <v>32.356491112272487</v>
      </c>
      <c r="Q231" s="189">
        <v>32.064162499441856</v>
      </c>
      <c r="R231" s="190">
        <v>31.926383213514935</v>
      </c>
      <c r="S231" s="188">
        <v>32.201804753115724</v>
      </c>
      <c r="T231" s="188">
        <v>32.128895832496703</v>
      </c>
      <c r="U231" s="188">
        <v>31.555217563199538</v>
      </c>
      <c r="V231" s="189">
        <v>31.165670290249285</v>
      </c>
      <c r="W231" s="441"/>
      <c r="X231" s="1128">
        <v>313</v>
      </c>
    </row>
    <row r="232" spans="1:24" s="98" customFormat="1" ht="15" customHeight="1">
      <c r="A232" s="99"/>
      <c r="B232" s="161"/>
      <c r="C232" s="185"/>
      <c r="D232" s="162" t="s">
        <v>2084</v>
      </c>
      <c r="E232" s="162"/>
      <c r="F232" s="162"/>
      <c r="G232" s="163"/>
      <c r="H232" s="163"/>
      <c r="I232" s="164" t="s">
        <v>164</v>
      </c>
      <c r="J232" s="190">
        <v>0</v>
      </c>
      <c r="K232" s="188">
        <v>0</v>
      </c>
      <c r="L232" s="188">
        <v>0</v>
      </c>
      <c r="M232" s="188">
        <v>0</v>
      </c>
      <c r="N232" s="188">
        <v>0</v>
      </c>
      <c r="O232" s="188">
        <v>0</v>
      </c>
      <c r="P232" s="188">
        <v>0</v>
      </c>
      <c r="Q232" s="189">
        <v>0</v>
      </c>
      <c r="R232" s="190">
        <v>0</v>
      </c>
      <c r="S232" s="188">
        <v>0</v>
      </c>
      <c r="T232" s="188">
        <v>0</v>
      </c>
      <c r="U232" s="188">
        <v>0</v>
      </c>
      <c r="V232" s="189">
        <v>0</v>
      </c>
      <c r="W232" s="441"/>
      <c r="X232" s="1128">
        <v>331</v>
      </c>
    </row>
    <row r="233" spans="1:24" s="98" customFormat="1" ht="15" customHeight="1">
      <c r="A233" s="99"/>
      <c r="B233" s="161"/>
      <c r="C233" s="185"/>
      <c r="D233" s="162" t="s">
        <v>2085</v>
      </c>
      <c r="E233" s="162"/>
      <c r="F233" s="162"/>
      <c r="G233" s="163"/>
      <c r="H233" s="163"/>
      <c r="I233" s="164" t="s">
        <v>164</v>
      </c>
      <c r="J233" s="190">
        <v>0</v>
      </c>
      <c r="K233" s="188">
        <v>0</v>
      </c>
      <c r="L233" s="188">
        <v>0</v>
      </c>
      <c r="M233" s="188">
        <v>0</v>
      </c>
      <c r="N233" s="188">
        <v>0</v>
      </c>
      <c r="O233" s="188">
        <v>0</v>
      </c>
      <c r="P233" s="188">
        <v>0</v>
      </c>
      <c r="Q233" s="189">
        <v>0</v>
      </c>
      <c r="R233" s="190">
        <v>0</v>
      </c>
      <c r="S233" s="188">
        <v>0</v>
      </c>
      <c r="T233" s="188">
        <v>0</v>
      </c>
      <c r="U233" s="188">
        <v>0</v>
      </c>
      <c r="V233" s="189">
        <v>0</v>
      </c>
      <c r="W233" s="441"/>
      <c r="X233" s="1128">
        <v>343</v>
      </c>
    </row>
    <row r="234" spans="1:24" s="98" customFormat="1" ht="15" customHeight="1">
      <c r="A234" s="99"/>
      <c r="B234" s="161"/>
      <c r="C234" s="185"/>
      <c r="D234" s="162" t="s">
        <v>2086</v>
      </c>
      <c r="E234" s="162"/>
      <c r="F234" s="162"/>
      <c r="G234" s="163"/>
      <c r="H234" s="163"/>
      <c r="I234" s="164" t="s">
        <v>164</v>
      </c>
      <c r="J234" s="190">
        <v>0</v>
      </c>
      <c r="K234" s="188">
        <v>0</v>
      </c>
      <c r="L234" s="188">
        <v>0</v>
      </c>
      <c r="M234" s="188">
        <v>0</v>
      </c>
      <c r="N234" s="188">
        <v>0</v>
      </c>
      <c r="O234" s="188">
        <v>0</v>
      </c>
      <c r="P234" s="188">
        <v>0</v>
      </c>
      <c r="Q234" s="189">
        <v>0</v>
      </c>
      <c r="R234" s="190">
        <v>0</v>
      </c>
      <c r="S234" s="188">
        <v>0</v>
      </c>
      <c r="T234" s="188">
        <v>0</v>
      </c>
      <c r="U234" s="188">
        <v>0</v>
      </c>
      <c r="V234" s="189">
        <v>0</v>
      </c>
      <c r="W234" s="441"/>
      <c r="X234" s="1128">
        <v>351</v>
      </c>
    </row>
    <row r="235" spans="1:24" s="98" customFormat="1" ht="15" customHeight="1">
      <c r="A235" s="99"/>
      <c r="B235" s="161"/>
      <c r="C235" s="185"/>
      <c r="D235" s="162" t="s">
        <v>2087</v>
      </c>
      <c r="E235" s="162"/>
      <c r="F235" s="162"/>
      <c r="G235" s="163"/>
      <c r="H235" s="163"/>
      <c r="I235" s="164" t="s">
        <v>164</v>
      </c>
      <c r="J235" s="190">
        <v>0</v>
      </c>
      <c r="K235" s="188">
        <v>0</v>
      </c>
      <c r="L235" s="188">
        <v>0</v>
      </c>
      <c r="M235" s="188">
        <v>0</v>
      </c>
      <c r="N235" s="188">
        <v>0</v>
      </c>
      <c r="O235" s="188">
        <v>0</v>
      </c>
      <c r="P235" s="188">
        <v>0</v>
      </c>
      <c r="Q235" s="189">
        <v>0</v>
      </c>
      <c r="R235" s="190">
        <v>0</v>
      </c>
      <c r="S235" s="188">
        <v>0</v>
      </c>
      <c r="T235" s="188">
        <v>0</v>
      </c>
      <c r="U235" s="188">
        <v>0</v>
      </c>
      <c r="V235" s="189">
        <v>0</v>
      </c>
      <c r="W235" s="441"/>
      <c r="X235" s="1128">
        <v>352</v>
      </c>
    </row>
    <row r="236" spans="1:24" s="98" customFormat="1" ht="15" customHeight="1">
      <c r="A236" s="99"/>
      <c r="B236" s="161"/>
      <c r="C236" s="185"/>
      <c r="D236" s="162" t="s">
        <v>2088</v>
      </c>
      <c r="E236" s="162"/>
      <c r="F236" s="162"/>
      <c r="G236" s="163"/>
      <c r="H236" s="163"/>
      <c r="I236" s="164" t="s">
        <v>164</v>
      </c>
      <c r="J236" s="190">
        <v>0</v>
      </c>
      <c r="K236" s="188">
        <v>0</v>
      </c>
      <c r="L236" s="188">
        <v>0</v>
      </c>
      <c r="M236" s="188">
        <v>0</v>
      </c>
      <c r="N236" s="188">
        <v>0</v>
      </c>
      <c r="O236" s="188">
        <v>123</v>
      </c>
      <c r="P236" s="188">
        <v>124.37026271279738</v>
      </c>
      <c r="Q236" s="189">
        <v>125.24662460722965</v>
      </c>
      <c r="R236" s="190">
        <v>124.7084415031663</v>
      </c>
      <c r="S236" s="188">
        <v>125.78427244619266</v>
      </c>
      <c r="T236" s="188">
        <v>125.49948109349641</v>
      </c>
      <c r="U236" s="188">
        <v>123.25862210205268</v>
      </c>
      <c r="V236" s="189">
        <v>121.73700178644894</v>
      </c>
      <c r="W236" s="441"/>
      <c r="X236" s="1128">
        <v>353</v>
      </c>
    </row>
    <row r="237" spans="1:24" s="98" customFormat="1" ht="15" customHeight="1">
      <c r="A237" s="99"/>
      <c r="B237" s="161"/>
      <c r="C237" s="185"/>
      <c r="D237" s="162" t="s">
        <v>2089</v>
      </c>
      <c r="E237" s="162"/>
      <c r="F237" s="162"/>
      <c r="G237" s="163"/>
      <c r="H237" s="163"/>
      <c r="I237" s="164" t="s">
        <v>164</v>
      </c>
      <c r="J237" s="190">
        <v>0</v>
      </c>
      <c r="K237" s="188">
        <v>0</v>
      </c>
      <c r="L237" s="188">
        <v>0</v>
      </c>
      <c r="M237" s="188">
        <v>0</v>
      </c>
      <c r="N237" s="188">
        <v>0</v>
      </c>
      <c r="O237" s="188">
        <v>42</v>
      </c>
      <c r="P237" s="188">
        <v>42.467894584857639</v>
      </c>
      <c r="Q237" s="189">
        <v>42.084213280517439</v>
      </c>
      <c r="R237" s="190">
        <v>41.903377967738358</v>
      </c>
      <c r="S237" s="188">
        <v>42.264868738464386</v>
      </c>
      <c r="T237" s="188">
        <v>42.169175780151924</v>
      </c>
      <c r="U237" s="188">
        <v>41.41622305169939</v>
      </c>
      <c r="V237" s="189">
        <v>40.904942255952186</v>
      </c>
      <c r="W237" s="441"/>
      <c r="X237" s="1128">
        <v>354</v>
      </c>
    </row>
    <row r="238" spans="1:24" s="98" customFormat="1" ht="15" customHeight="1">
      <c r="A238" s="99"/>
      <c r="B238" s="161"/>
      <c r="C238" s="185"/>
      <c r="D238" s="162" t="s">
        <v>2090</v>
      </c>
      <c r="E238" s="162"/>
      <c r="F238" s="162"/>
      <c r="G238" s="163"/>
      <c r="H238" s="163"/>
      <c r="I238" s="164" t="s">
        <v>164</v>
      </c>
      <c r="J238" s="190">
        <v>0</v>
      </c>
      <c r="K238" s="188">
        <v>0</v>
      </c>
      <c r="L238" s="188">
        <v>0</v>
      </c>
      <c r="M238" s="188">
        <v>0</v>
      </c>
      <c r="N238" s="188">
        <v>0</v>
      </c>
      <c r="O238" s="188">
        <v>0</v>
      </c>
      <c r="P238" s="188">
        <v>0</v>
      </c>
      <c r="Q238" s="189">
        <v>0</v>
      </c>
      <c r="R238" s="190">
        <v>0</v>
      </c>
      <c r="S238" s="188">
        <v>0</v>
      </c>
      <c r="T238" s="188">
        <v>0</v>
      </c>
      <c r="U238" s="188">
        <v>0</v>
      </c>
      <c r="V238" s="189">
        <v>0</v>
      </c>
      <c r="W238" s="441"/>
      <c r="X238" s="1128">
        <v>355</v>
      </c>
    </row>
    <row r="239" spans="1:24" s="98" customFormat="1" ht="15" customHeight="1">
      <c r="A239" s="99"/>
      <c r="B239" s="161"/>
      <c r="C239" s="185"/>
      <c r="D239" s="162" t="s">
        <v>2091</v>
      </c>
      <c r="E239" s="162"/>
      <c r="F239" s="162"/>
      <c r="G239" s="163"/>
      <c r="H239" s="163"/>
      <c r="I239" s="164" t="s">
        <v>164</v>
      </c>
      <c r="J239" s="190">
        <v>0</v>
      </c>
      <c r="K239" s="188">
        <v>0</v>
      </c>
      <c r="L239" s="188">
        <v>0</v>
      </c>
      <c r="M239" s="188">
        <v>0</v>
      </c>
      <c r="N239" s="188">
        <v>0</v>
      </c>
      <c r="O239" s="188">
        <v>0</v>
      </c>
      <c r="P239" s="188">
        <v>0</v>
      </c>
      <c r="Q239" s="189">
        <v>0</v>
      </c>
      <c r="R239" s="190">
        <v>0</v>
      </c>
      <c r="S239" s="188">
        <v>0</v>
      </c>
      <c r="T239" s="188">
        <v>0</v>
      </c>
      <c r="U239" s="188">
        <v>0</v>
      </c>
      <c r="V239" s="189">
        <v>0</v>
      </c>
      <c r="W239" s="441"/>
      <c r="X239" s="1128">
        <v>356</v>
      </c>
    </row>
    <row r="240" spans="1:24" s="98" customFormat="1" ht="15" customHeight="1">
      <c r="A240" s="99"/>
      <c r="B240" s="161"/>
      <c r="C240" s="185"/>
      <c r="D240" s="162" t="s">
        <v>2092</v>
      </c>
      <c r="E240" s="162"/>
      <c r="F240" s="162"/>
      <c r="G240" s="163"/>
      <c r="H240" s="163"/>
      <c r="I240" s="164" t="s">
        <v>164</v>
      </c>
      <c r="J240" s="190">
        <v>0</v>
      </c>
      <c r="K240" s="188">
        <v>0</v>
      </c>
      <c r="L240" s="188">
        <v>0</v>
      </c>
      <c r="M240" s="188">
        <v>0</v>
      </c>
      <c r="N240" s="188">
        <v>0</v>
      </c>
      <c r="O240" s="188">
        <v>0</v>
      </c>
      <c r="P240" s="188">
        <v>0</v>
      </c>
      <c r="Q240" s="189">
        <v>0</v>
      </c>
      <c r="R240" s="190">
        <v>0</v>
      </c>
      <c r="S240" s="188">
        <v>0</v>
      </c>
      <c r="T240" s="188">
        <v>0</v>
      </c>
      <c r="U240" s="188">
        <v>0</v>
      </c>
      <c r="V240" s="189">
        <v>0</v>
      </c>
      <c r="W240" s="441"/>
      <c r="X240" s="1128">
        <v>412</v>
      </c>
    </row>
    <row r="241" spans="1:24" s="98" customFormat="1" ht="15" customHeight="1">
      <c r="A241" s="99"/>
      <c r="B241" s="161"/>
      <c r="C241" s="185"/>
      <c r="D241" s="162" t="s">
        <v>2093</v>
      </c>
      <c r="E241" s="162"/>
      <c r="F241" s="162"/>
      <c r="G241" s="163"/>
      <c r="H241" s="163"/>
      <c r="I241" s="164" t="s">
        <v>164</v>
      </c>
      <c r="J241" s="190">
        <v>0</v>
      </c>
      <c r="K241" s="188">
        <v>0</v>
      </c>
      <c r="L241" s="188">
        <v>0</v>
      </c>
      <c r="M241" s="188">
        <v>0</v>
      </c>
      <c r="N241" s="188">
        <v>0</v>
      </c>
      <c r="O241" s="188">
        <v>0</v>
      </c>
      <c r="P241" s="188">
        <v>0</v>
      </c>
      <c r="Q241" s="189">
        <v>0</v>
      </c>
      <c r="R241" s="190">
        <v>0</v>
      </c>
      <c r="S241" s="188">
        <v>0</v>
      </c>
      <c r="T241" s="188">
        <v>0</v>
      </c>
      <c r="U241" s="188">
        <v>0</v>
      </c>
      <c r="V241" s="189">
        <v>0</v>
      </c>
      <c r="W241" s="441"/>
      <c r="X241" s="1128">
        <v>413</v>
      </c>
    </row>
    <row r="242" spans="1:24" s="98" customFormat="1" ht="15" customHeight="1">
      <c r="A242" s="99"/>
      <c r="B242" s="161"/>
      <c r="C242" s="185"/>
      <c r="D242" s="162" t="s">
        <v>2094</v>
      </c>
      <c r="E242" s="162"/>
      <c r="F242" s="162"/>
      <c r="G242" s="163"/>
      <c r="H242" s="163"/>
      <c r="I242" s="164" t="s">
        <v>164</v>
      </c>
      <c r="J242" s="190">
        <v>0</v>
      </c>
      <c r="K242" s="188">
        <v>0</v>
      </c>
      <c r="L242" s="188">
        <v>0</v>
      </c>
      <c r="M242" s="188">
        <v>0</v>
      </c>
      <c r="N242" s="188">
        <v>0</v>
      </c>
      <c r="O242" s="188">
        <v>0</v>
      </c>
      <c r="P242" s="188">
        <v>0</v>
      </c>
      <c r="Q242" s="189">
        <v>0</v>
      </c>
      <c r="R242" s="190">
        <v>0</v>
      </c>
      <c r="S242" s="188">
        <v>0</v>
      </c>
      <c r="T242" s="188">
        <v>0</v>
      </c>
      <c r="U242" s="188">
        <v>0</v>
      </c>
      <c r="V242" s="189">
        <v>0</v>
      </c>
      <c r="W242" s="441"/>
      <c r="X242" s="1128">
        <v>414</v>
      </c>
    </row>
    <row r="243" spans="1:24" s="98" customFormat="1" ht="15" customHeight="1">
      <c r="A243" s="99"/>
      <c r="B243" s="161"/>
      <c r="C243" s="185"/>
      <c r="D243" s="162" t="s">
        <v>2095</v>
      </c>
      <c r="E243" s="162"/>
      <c r="F243" s="162"/>
      <c r="G243" s="163"/>
      <c r="H243" s="163"/>
      <c r="I243" s="164" t="s">
        <v>164</v>
      </c>
      <c r="J243" s="190">
        <v>0</v>
      </c>
      <c r="K243" s="188">
        <v>0</v>
      </c>
      <c r="L243" s="188">
        <v>0</v>
      </c>
      <c r="M243" s="188">
        <v>0</v>
      </c>
      <c r="N243" s="188">
        <v>0</v>
      </c>
      <c r="O243" s="188">
        <v>201</v>
      </c>
      <c r="P243" s="188">
        <v>203.23920979896155</v>
      </c>
      <c r="Q243" s="189">
        <v>204.40302069961916</v>
      </c>
      <c r="R243" s="190">
        <v>203.52470359921807</v>
      </c>
      <c r="S243" s="188">
        <v>205.28046424511427</v>
      </c>
      <c r="T243" s="188">
        <v>204.81568355387572</v>
      </c>
      <c r="U243" s="188">
        <v>201.15859220910374</v>
      </c>
      <c r="V243" s="189">
        <v>198.6753014230832</v>
      </c>
      <c r="W243" s="441"/>
      <c r="X243" s="1128">
        <v>415</v>
      </c>
    </row>
    <row r="244" spans="1:24" s="98" customFormat="1" ht="15" customHeight="1">
      <c r="A244" s="99"/>
      <c r="B244" s="161"/>
      <c r="C244" s="185"/>
      <c r="D244" s="162" t="s">
        <v>2096</v>
      </c>
      <c r="E244" s="162"/>
      <c r="F244" s="162"/>
      <c r="G244" s="163"/>
      <c r="H244" s="163"/>
      <c r="I244" s="164" t="s">
        <v>164</v>
      </c>
      <c r="J244" s="190">
        <v>0</v>
      </c>
      <c r="K244" s="188">
        <v>0</v>
      </c>
      <c r="L244" s="188">
        <v>0</v>
      </c>
      <c r="M244" s="188">
        <v>0</v>
      </c>
      <c r="N244" s="188">
        <v>0</v>
      </c>
      <c r="O244" s="188">
        <v>0</v>
      </c>
      <c r="P244" s="188">
        <v>0</v>
      </c>
      <c r="Q244" s="189">
        <v>0</v>
      </c>
      <c r="R244" s="190">
        <v>0</v>
      </c>
      <c r="S244" s="188">
        <v>0</v>
      </c>
      <c r="T244" s="188">
        <v>0</v>
      </c>
      <c r="U244" s="188">
        <v>0</v>
      </c>
      <c r="V244" s="189">
        <v>0</v>
      </c>
      <c r="W244" s="441"/>
      <c r="X244" s="1128">
        <v>416</v>
      </c>
    </row>
    <row r="245" spans="1:24" s="98" customFormat="1" ht="15" customHeight="1">
      <c r="A245" s="99"/>
      <c r="B245" s="161"/>
      <c r="C245" s="185"/>
      <c r="D245" s="162" t="s">
        <v>2097</v>
      </c>
      <c r="E245" s="162"/>
      <c r="F245" s="162"/>
      <c r="G245" s="163"/>
      <c r="H245" s="163"/>
      <c r="I245" s="164" t="s">
        <v>164</v>
      </c>
      <c r="J245" s="190">
        <v>0</v>
      </c>
      <c r="K245" s="188">
        <v>0</v>
      </c>
      <c r="L245" s="188">
        <v>0</v>
      </c>
      <c r="M245" s="188">
        <v>0</v>
      </c>
      <c r="N245" s="188">
        <v>0</v>
      </c>
      <c r="O245" s="188">
        <v>0</v>
      </c>
      <c r="P245" s="188">
        <v>0</v>
      </c>
      <c r="Q245" s="189">
        <v>0</v>
      </c>
      <c r="R245" s="190">
        <v>0</v>
      </c>
      <c r="S245" s="188">
        <v>0</v>
      </c>
      <c r="T245" s="188">
        <v>0</v>
      </c>
      <c r="U245" s="188">
        <v>0</v>
      </c>
      <c r="V245" s="189">
        <v>0</v>
      </c>
      <c r="W245" s="441"/>
      <c r="X245" s="1128">
        <v>421</v>
      </c>
    </row>
    <row r="246" spans="1:24" s="98" customFormat="1" ht="15" customHeight="1">
      <c r="A246" s="99"/>
      <c r="B246" s="161"/>
      <c r="C246" s="185"/>
      <c r="D246" s="162" t="s">
        <v>2098</v>
      </c>
      <c r="E246" s="162"/>
      <c r="F246" s="162"/>
      <c r="G246" s="163"/>
      <c r="H246" s="163"/>
      <c r="I246" s="164" t="s">
        <v>164</v>
      </c>
      <c r="J246" s="190">
        <v>0</v>
      </c>
      <c r="K246" s="188">
        <v>0</v>
      </c>
      <c r="L246" s="188">
        <v>0</v>
      </c>
      <c r="M246" s="188">
        <v>0</v>
      </c>
      <c r="N246" s="188">
        <v>0</v>
      </c>
      <c r="O246" s="188">
        <v>0</v>
      </c>
      <c r="P246" s="188">
        <v>0</v>
      </c>
      <c r="Q246" s="189">
        <v>0</v>
      </c>
      <c r="R246" s="190">
        <v>0</v>
      </c>
      <c r="S246" s="188">
        <v>0</v>
      </c>
      <c r="T246" s="188">
        <v>0</v>
      </c>
      <c r="U246" s="188">
        <v>0</v>
      </c>
      <c r="V246" s="189">
        <v>0</v>
      </c>
      <c r="W246" s="441"/>
      <c r="X246" s="1128">
        <v>511</v>
      </c>
    </row>
    <row r="247" spans="1:24" s="98" customFormat="1" ht="15" customHeight="1">
      <c r="A247" s="99"/>
      <c r="B247" s="161"/>
      <c r="C247" s="185"/>
      <c r="D247" s="162" t="s">
        <v>2099</v>
      </c>
      <c r="E247" s="162"/>
      <c r="F247" s="162"/>
      <c r="G247" s="163"/>
      <c r="H247" s="163"/>
      <c r="I247" s="164" t="s">
        <v>164</v>
      </c>
      <c r="J247" s="190">
        <v>0</v>
      </c>
      <c r="K247" s="188">
        <v>0</v>
      </c>
      <c r="L247" s="188">
        <v>0</v>
      </c>
      <c r="M247" s="188">
        <v>0</v>
      </c>
      <c r="N247" s="188">
        <v>0</v>
      </c>
      <c r="O247" s="188">
        <v>0</v>
      </c>
      <c r="P247" s="188">
        <v>0</v>
      </c>
      <c r="Q247" s="189">
        <v>0</v>
      </c>
      <c r="R247" s="190">
        <v>0</v>
      </c>
      <c r="S247" s="188">
        <v>0</v>
      </c>
      <c r="T247" s="188">
        <v>0</v>
      </c>
      <c r="U247" s="188">
        <v>0</v>
      </c>
      <c r="V247" s="189">
        <v>0</v>
      </c>
      <c r="W247" s="441"/>
      <c r="X247" s="1128">
        <v>521</v>
      </c>
    </row>
    <row r="248" spans="1:24" s="98" customFormat="1" ht="15" customHeight="1">
      <c r="A248" s="99"/>
      <c r="B248" s="161"/>
      <c r="C248" s="185"/>
      <c r="D248" s="162" t="s">
        <v>2100</v>
      </c>
      <c r="E248" s="162"/>
      <c r="F248" s="162"/>
      <c r="G248" s="163"/>
      <c r="H248" s="163"/>
      <c r="I248" s="164" t="s">
        <v>164</v>
      </c>
      <c r="J248" s="190">
        <v>0</v>
      </c>
      <c r="K248" s="188">
        <v>0</v>
      </c>
      <c r="L248" s="188">
        <v>0</v>
      </c>
      <c r="M248" s="188">
        <v>0</v>
      </c>
      <c r="N248" s="188">
        <v>0</v>
      </c>
      <c r="O248" s="188">
        <v>0</v>
      </c>
      <c r="P248" s="188">
        <v>0</v>
      </c>
      <c r="Q248" s="189">
        <v>0</v>
      </c>
      <c r="R248" s="190">
        <v>0</v>
      </c>
      <c r="S248" s="188">
        <v>0</v>
      </c>
      <c r="T248" s="188">
        <v>0</v>
      </c>
      <c r="U248" s="188">
        <v>0</v>
      </c>
      <c r="V248" s="189">
        <v>0</v>
      </c>
      <c r="W248" s="441"/>
      <c r="X248" s="1128">
        <v>522</v>
      </c>
    </row>
    <row r="249" spans="1:24" s="98" customFormat="1" ht="15" customHeight="1">
      <c r="A249" s="99"/>
      <c r="B249" s="161"/>
      <c r="C249" s="185"/>
      <c r="D249" s="162" t="s">
        <v>2101</v>
      </c>
      <c r="E249" s="162"/>
      <c r="F249" s="162"/>
      <c r="G249" s="163"/>
      <c r="H249" s="163"/>
      <c r="I249" s="164" t="s">
        <v>164</v>
      </c>
      <c r="J249" s="190">
        <v>0</v>
      </c>
      <c r="K249" s="188">
        <v>0</v>
      </c>
      <c r="L249" s="188">
        <v>0</v>
      </c>
      <c r="M249" s="188">
        <v>0</v>
      </c>
      <c r="N249" s="188">
        <v>0</v>
      </c>
      <c r="O249" s="188">
        <v>0</v>
      </c>
      <c r="P249" s="188">
        <v>0</v>
      </c>
      <c r="Q249" s="189">
        <v>0</v>
      </c>
      <c r="R249" s="190">
        <v>0</v>
      </c>
      <c r="S249" s="188">
        <v>0</v>
      </c>
      <c r="T249" s="188">
        <v>0</v>
      </c>
      <c r="U249" s="188">
        <v>0</v>
      </c>
      <c r="V249" s="189">
        <v>0</v>
      </c>
      <c r="W249" s="441"/>
      <c r="X249" s="1128">
        <v>523</v>
      </c>
    </row>
    <row r="250" spans="1:24" s="98" customFormat="1" ht="15" customHeight="1">
      <c r="A250" s="99"/>
      <c r="B250" s="161"/>
      <c r="C250" s="185"/>
      <c r="D250" s="162" t="s">
        <v>2102</v>
      </c>
      <c r="E250" s="162"/>
      <c r="F250" s="162"/>
      <c r="G250" s="163"/>
      <c r="H250" s="163"/>
      <c r="I250" s="164" t="s">
        <v>164</v>
      </c>
      <c r="J250" s="190">
        <v>0</v>
      </c>
      <c r="K250" s="188">
        <v>0</v>
      </c>
      <c r="L250" s="188">
        <v>0</v>
      </c>
      <c r="M250" s="188">
        <v>0</v>
      </c>
      <c r="N250" s="188">
        <v>0</v>
      </c>
      <c r="O250" s="188">
        <v>0</v>
      </c>
      <c r="P250" s="188">
        <v>0</v>
      </c>
      <c r="Q250" s="189">
        <v>0</v>
      </c>
      <c r="R250" s="190">
        <v>0</v>
      </c>
      <c r="S250" s="188">
        <v>0</v>
      </c>
      <c r="T250" s="188">
        <v>0</v>
      </c>
      <c r="U250" s="188">
        <v>0</v>
      </c>
      <c r="V250" s="189">
        <v>0</v>
      </c>
      <c r="W250" s="441"/>
      <c r="X250" s="1128">
        <v>524</v>
      </c>
    </row>
    <row r="251" spans="1:24" s="98" customFormat="1" ht="15" customHeight="1">
      <c r="A251" s="99"/>
      <c r="B251" s="161"/>
      <c r="C251" s="185"/>
      <c r="D251" s="162" t="s">
        <v>2103</v>
      </c>
      <c r="E251" s="162"/>
      <c r="F251" s="162"/>
      <c r="G251" s="163"/>
      <c r="H251" s="163"/>
      <c r="I251" s="164" t="s">
        <v>164</v>
      </c>
      <c r="J251" s="190">
        <v>0</v>
      </c>
      <c r="K251" s="188">
        <v>0</v>
      </c>
      <c r="L251" s="188">
        <v>0</v>
      </c>
      <c r="M251" s="188">
        <v>0</v>
      </c>
      <c r="N251" s="188">
        <v>0</v>
      </c>
      <c r="O251" s="188">
        <v>0</v>
      </c>
      <c r="P251" s="188">
        <v>0</v>
      </c>
      <c r="Q251" s="189">
        <v>0</v>
      </c>
      <c r="R251" s="190">
        <v>0</v>
      </c>
      <c r="S251" s="188">
        <v>0</v>
      </c>
      <c r="T251" s="188">
        <v>0</v>
      </c>
      <c r="U251" s="188">
        <v>0</v>
      </c>
      <c r="V251" s="189">
        <v>0</v>
      </c>
      <c r="W251" s="441"/>
      <c r="X251" s="1128">
        <v>531</v>
      </c>
    </row>
    <row r="252" spans="1:24" s="98" customFormat="1" ht="15" customHeight="1">
      <c r="A252" s="99"/>
      <c r="B252" s="161"/>
      <c r="C252" s="185"/>
      <c r="D252" s="162" t="s">
        <v>2104</v>
      </c>
      <c r="E252" s="162"/>
      <c r="F252" s="162"/>
      <c r="G252" s="163"/>
      <c r="H252" s="163"/>
      <c r="I252" s="164" t="s">
        <v>164</v>
      </c>
      <c r="J252" s="190">
        <v>0</v>
      </c>
      <c r="K252" s="188">
        <v>0</v>
      </c>
      <c r="L252" s="188">
        <v>0</v>
      </c>
      <c r="M252" s="188">
        <v>0</v>
      </c>
      <c r="N252" s="188">
        <v>0</v>
      </c>
      <c r="O252" s="188">
        <v>0</v>
      </c>
      <c r="P252" s="188">
        <v>0</v>
      </c>
      <c r="Q252" s="189">
        <v>0</v>
      </c>
      <c r="R252" s="190">
        <v>0</v>
      </c>
      <c r="S252" s="188">
        <v>0</v>
      </c>
      <c r="T252" s="188">
        <v>0</v>
      </c>
      <c r="U252" s="188">
        <v>0</v>
      </c>
      <c r="V252" s="189">
        <v>0</v>
      </c>
      <c r="W252" s="441"/>
      <c r="X252" s="1128">
        <v>532</v>
      </c>
    </row>
    <row r="253" spans="1:24" s="98" customFormat="1" ht="15" customHeight="1">
      <c r="A253" s="99"/>
      <c r="B253" s="161"/>
      <c r="C253" s="185"/>
      <c r="D253" s="162" t="s">
        <v>2105</v>
      </c>
      <c r="E253" s="162"/>
      <c r="F253" s="162"/>
      <c r="G253" s="163"/>
      <c r="H253" s="163"/>
      <c r="I253" s="164" t="s">
        <v>164</v>
      </c>
      <c r="J253" s="190">
        <v>0</v>
      </c>
      <c r="K253" s="188">
        <v>0</v>
      </c>
      <c r="L253" s="188">
        <v>0</v>
      </c>
      <c r="M253" s="188">
        <v>0</v>
      </c>
      <c r="N253" s="188">
        <v>0</v>
      </c>
      <c r="O253" s="188">
        <v>212</v>
      </c>
      <c r="P253" s="188">
        <v>244.36175361880524</v>
      </c>
      <c r="Q253" s="189">
        <v>257.42507655880229</v>
      </c>
      <c r="R253" s="190">
        <v>256.31892437944714</v>
      </c>
      <c r="S253" s="188">
        <v>258.53012858348364</v>
      </c>
      <c r="T253" s="188">
        <v>257.94478398037739</v>
      </c>
      <c r="U253" s="188">
        <v>253.33904471004669</v>
      </c>
      <c r="V253" s="189">
        <v>250.21158935972414</v>
      </c>
      <c r="W253" s="441"/>
      <c r="X253" s="1128">
        <v>541</v>
      </c>
    </row>
    <row r="254" spans="1:24" s="98" customFormat="1" ht="15" customHeight="1">
      <c r="A254" s="99"/>
      <c r="B254" s="161"/>
      <c r="C254" s="185"/>
      <c r="D254" s="162" t="s">
        <v>2106</v>
      </c>
      <c r="E254" s="162"/>
      <c r="F254" s="162"/>
      <c r="G254" s="163"/>
      <c r="H254" s="163"/>
      <c r="I254" s="164" t="s">
        <v>164</v>
      </c>
      <c r="J254" s="190">
        <v>0</v>
      </c>
      <c r="K254" s="188">
        <v>0</v>
      </c>
      <c r="L254" s="188">
        <v>0</v>
      </c>
      <c r="M254" s="188">
        <v>0</v>
      </c>
      <c r="N254" s="188">
        <v>0</v>
      </c>
      <c r="O254" s="188">
        <v>0</v>
      </c>
      <c r="P254" s="188">
        <v>0</v>
      </c>
      <c r="Q254" s="189">
        <v>0</v>
      </c>
      <c r="R254" s="190">
        <v>0</v>
      </c>
      <c r="S254" s="188">
        <v>0</v>
      </c>
      <c r="T254" s="188">
        <v>0</v>
      </c>
      <c r="U254" s="188">
        <v>0</v>
      </c>
      <c r="V254" s="189">
        <v>0</v>
      </c>
      <c r="W254" s="441"/>
      <c r="X254" s="1128">
        <v>629</v>
      </c>
    </row>
    <row r="255" spans="1:24" s="98" customFormat="1" ht="15" customHeight="1">
      <c r="A255" s="99"/>
      <c r="B255" s="161"/>
      <c r="C255" s="185"/>
      <c r="D255" s="162" t="s">
        <v>2107</v>
      </c>
      <c r="E255" s="162"/>
      <c r="F255" s="162"/>
      <c r="G255" s="163"/>
      <c r="H255" s="163"/>
      <c r="I255" s="164" t="s">
        <v>164</v>
      </c>
      <c r="J255" s="190">
        <v>0</v>
      </c>
      <c r="K255" s="188">
        <v>0</v>
      </c>
      <c r="L255" s="188">
        <v>0</v>
      </c>
      <c r="M255" s="188">
        <v>0</v>
      </c>
      <c r="N255" s="188">
        <v>0</v>
      </c>
      <c r="O255" s="188">
        <v>12</v>
      </c>
      <c r="P255" s="188">
        <v>12.133684167102183</v>
      </c>
      <c r="Q255" s="189">
        <v>12.024060937290697</v>
      </c>
      <c r="R255" s="190">
        <v>11.972393705068102</v>
      </c>
      <c r="S255" s="188">
        <v>12.075676782418398</v>
      </c>
      <c r="T255" s="188">
        <v>12.048335937186266</v>
      </c>
      <c r="U255" s="188">
        <v>11.833206586199831</v>
      </c>
      <c r="V255" s="189">
        <v>11.687126358843486</v>
      </c>
      <c r="W255" s="441"/>
      <c r="X255" s="1128">
        <v>721</v>
      </c>
    </row>
    <row r="256" spans="1:24" s="98" customFormat="1" ht="15" customHeight="1">
      <c r="A256" s="99"/>
      <c r="B256" s="161"/>
      <c r="C256" s="185"/>
      <c r="D256" s="162" t="s">
        <v>2108</v>
      </c>
      <c r="E256" s="162"/>
      <c r="F256" s="162"/>
      <c r="G256" s="163"/>
      <c r="H256" s="163"/>
      <c r="I256" s="164" t="s">
        <v>164</v>
      </c>
      <c r="J256" s="190">
        <v>0</v>
      </c>
      <c r="K256" s="188">
        <v>0</v>
      </c>
      <c r="L256" s="188">
        <v>0</v>
      </c>
      <c r="M256" s="188">
        <v>0</v>
      </c>
      <c r="N256" s="188">
        <v>0</v>
      </c>
      <c r="O256" s="188">
        <v>251</v>
      </c>
      <c r="P256" s="188">
        <v>283.79622716188737</v>
      </c>
      <c r="Q256" s="189">
        <v>296.5032746049971</v>
      </c>
      <c r="R256" s="190">
        <v>295.22920392091856</v>
      </c>
      <c r="S256" s="188">
        <v>297.77607812634358</v>
      </c>
      <c r="T256" s="188">
        <v>297.10187577623287</v>
      </c>
      <c r="U256" s="188">
        <v>291.79696611519626</v>
      </c>
      <c r="V256" s="189">
        <v>288.19475002596556</v>
      </c>
      <c r="W256" s="441"/>
      <c r="X256" s="1128">
        <v>812</v>
      </c>
    </row>
    <row r="257" spans="1:24" s="98" customFormat="1" ht="15" customHeight="1">
      <c r="A257" s="99"/>
      <c r="B257" s="161"/>
      <c r="C257" s="185"/>
      <c r="D257" s="162" t="s">
        <v>2109</v>
      </c>
      <c r="E257" s="162"/>
      <c r="F257" s="162"/>
      <c r="G257" s="163"/>
      <c r="H257" s="163"/>
      <c r="I257" s="164" t="s">
        <v>164</v>
      </c>
      <c r="J257" s="190">
        <v>0</v>
      </c>
      <c r="K257" s="188">
        <v>0</v>
      </c>
      <c r="L257" s="188">
        <v>0</v>
      </c>
      <c r="M257" s="188">
        <v>0</v>
      </c>
      <c r="N257" s="188">
        <v>0</v>
      </c>
      <c r="O257" s="188">
        <v>0</v>
      </c>
      <c r="P257" s="188">
        <v>0</v>
      </c>
      <c r="Q257" s="189">
        <v>0</v>
      </c>
      <c r="R257" s="190">
        <v>0</v>
      </c>
      <c r="S257" s="188">
        <v>0</v>
      </c>
      <c r="T257" s="188">
        <v>0</v>
      </c>
      <c r="U257" s="188">
        <v>0</v>
      </c>
      <c r="V257" s="189">
        <v>0</v>
      </c>
      <c r="W257" s="441"/>
      <c r="X257" s="1128">
        <v>813</v>
      </c>
    </row>
    <row r="258" spans="1:24" s="98" customFormat="1" ht="15" customHeight="1">
      <c r="A258" s="99"/>
      <c r="B258" s="161"/>
      <c r="C258" s="185"/>
      <c r="D258" s="162" t="s">
        <v>2110</v>
      </c>
      <c r="E258" s="162"/>
      <c r="F258" s="162"/>
      <c r="G258" s="163"/>
      <c r="H258" s="163"/>
      <c r="I258" s="164" t="s">
        <v>164</v>
      </c>
      <c r="J258" s="190">
        <v>0</v>
      </c>
      <c r="K258" s="188">
        <v>0</v>
      </c>
      <c r="L258" s="188">
        <v>0</v>
      </c>
      <c r="M258" s="188">
        <v>0</v>
      </c>
      <c r="N258" s="188">
        <v>0</v>
      </c>
      <c r="O258" s="188">
        <v>0</v>
      </c>
      <c r="P258" s="188">
        <v>0</v>
      </c>
      <c r="Q258" s="189">
        <v>0</v>
      </c>
      <c r="R258" s="190">
        <v>0</v>
      </c>
      <c r="S258" s="188">
        <v>0</v>
      </c>
      <c r="T258" s="188">
        <v>0</v>
      </c>
      <c r="U258" s="188">
        <v>0</v>
      </c>
      <c r="V258" s="189">
        <v>0</v>
      </c>
      <c r="W258" s="441"/>
      <c r="X258" s="1128">
        <v>814</v>
      </c>
    </row>
    <row r="259" spans="1:24" s="98" customFormat="1" ht="15" customHeight="1">
      <c r="A259" s="99"/>
      <c r="B259" s="161"/>
      <c r="C259" s="185"/>
      <c r="D259" s="162" t="s">
        <v>2111</v>
      </c>
      <c r="E259" s="162"/>
      <c r="F259" s="162"/>
      <c r="G259" s="163"/>
      <c r="H259" s="163"/>
      <c r="I259" s="164" t="s">
        <v>164</v>
      </c>
      <c r="J259" s="190">
        <v>0</v>
      </c>
      <c r="K259" s="188">
        <v>0</v>
      </c>
      <c r="L259" s="188">
        <v>0</v>
      </c>
      <c r="M259" s="188">
        <v>0</v>
      </c>
      <c r="N259" s="188">
        <v>0</v>
      </c>
      <c r="O259" s="188">
        <v>0</v>
      </c>
      <c r="P259" s="188">
        <v>0</v>
      </c>
      <c r="Q259" s="189">
        <v>0</v>
      </c>
      <c r="R259" s="190">
        <v>0</v>
      </c>
      <c r="S259" s="188">
        <v>0</v>
      </c>
      <c r="T259" s="188">
        <v>0</v>
      </c>
      <c r="U259" s="188">
        <v>0</v>
      </c>
      <c r="V259" s="189">
        <v>0</v>
      </c>
      <c r="W259" s="441"/>
      <c r="X259" s="1128">
        <v>821</v>
      </c>
    </row>
    <row r="260" spans="1:24" s="98" customFormat="1" ht="15" customHeight="1">
      <c r="A260" s="99"/>
      <c r="B260" s="161"/>
      <c r="C260" s="185"/>
      <c r="D260" s="162" t="s">
        <v>2112</v>
      </c>
      <c r="E260" s="162"/>
      <c r="F260" s="162"/>
      <c r="G260" s="163"/>
      <c r="H260" s="163"/>
      <c r="I260" s="164" t="s">
        <v>164</v>
      </c>
      <c r="J260" s="190">
        <v>0</v>
      </c>
      <c r="K260" s="188">
        <v>0</v>
      </c>
      <c r="L260" s="188">
        <v>0</v>
      </c>
      <c r="M260" s="188">
        <v>0</v>
      </c>
      <c r="N260" s="188">
        <v>0</v>
      </c>
      <c r="O260" s="188">
        <v>0</v>
      </c>
      <c r="P260" s="188">
        <v>0</v>
      </c>
      <c r="Q260" s="189">
        <v>0</v>
      </c>
      <c r="R260" s="190">
        <v>0</v>
      </c>
      <c r="S260" s="188">
        <v>0</v>
      </c>
      <c r="T260" s="188">
        <v>0</v>
      </c>
      <c r="U260" s="188">
        <v>0</v>
      </c>
      <c r="V260" s="189">
        <v>0</v>
      </c>
      <c r="W260" s="441"/>
      <c r="X260" s="1128">
        <v>822</v>
      </c>
    </row>
    <row r="261" spans="1:24" s="98" customFormat="1" ht="15" customHeight="1">
      <c r="A261" s="99"/>
      <c r="B261" s="161"/>
      <c r="C261" s="185"/>
      <c r="D261" s="162" t="s">
        <v>2113</v>
      </c>
      <c r="E261" s="162"/>
      <c r="F261" s="162"/>
      <c r="G261" s="163"/>
      <c r="H261" s="163"/>
      <c r="I261" s="164" t="s">
        <v>164</v>
      </c>
      <c r="J261" s="190">
        <v>0</v>
      </c>
      <c r="K261" s="188">
        <v>0</v>
      </c>
      <c r="L261" s="188">
        <v>0</v>
      </c>
      <c r="M261" s="188">
        <v>0</v>
      </c>
      <c r="N261" s="188">
        <v>0</v>
      </c>
      <c r="O261" s="188">
        <v>0</v>
      </c>
      <c r="P261" s="188">
        <v>0</v>
      </c>
      <c r="Q261" s="189">
        <v>0</v>
      </c>
      <c r="R261" s="190">
        <v>0</v>
      </c>
      <c r="S261" s="188">
        <v>0</v>
      </c>
      <c r="T261" s="188">
        <v>0</v>
      </c>
      <c r="U261" s="188">
        <v>0</v>
      </c>
      <c r="V261" s="189">
        <v>0</v>
      </c>
      <c r="W261" s="441"/>
      <c r="X261" s="1128">
        <v>912</v>
      </c>
    </row>
    <row r="262" spans="1:24" s="98" customFormat="1" ht="15" customHeight="1">
      <c r="A262" s="99"/>
      <c r="B262" s="161"/>
      <c r="C262" s="185"/>
      <c r="D262" s="162" t="s">
        <v>2114</v>
      </c>
      <c r="E262" s="162"/>
      <c r="F262" s="162"/>
      <c r="G262" s="163"/>
      <c r="H262" s="163"/>
      <c r="I262" s="164" t="s">
        <v>164</v>
      </c>
      <c r="J262" s="190">
        <v>0</v>
      </c>
      <c r="K262" s="188">
        <v>0</v>
      </c>
      <c r="L262" s="188">
        <v>0</v>
      </c>
      <c r="M262" s="188">
        <v>0</v>
      </c>
      <c r="N262" s="188">
        <v>0</v>
      </c>
      <c r="O262" s="188">
        <v>0</v>
      </c>
      <c r="P262" s="188">
        <v>0</v>
      </c>
      <c r="Q262" s="189">
        <v>0</v>
      </c>
      <c r="R262" s="190">
        <v>0</v>
      </c>
      <c r="S262" s="188">
        <v>0</v>
      </c>
      <c r="T262" s="188">
        <v>0</v>
      </c>
      <c r="U262" s="188">
        <v>0</v>
      </c>
      <c r="V262" s="189">
        <v>0</v>
      </c>
      <c r="W262" s="441"/>
      <c r="X262" s="1128">
        <v>913</v>
      </c>
    </row>
    <row r="263" spans="1:24" s="98" customFormat="1" ht="15" customHeight="1">
      <c r="A263" s="99"/>
      <c r="B263" s="161"/>
      <c r="C263" s="185"/>
      <c r="D263" s="162" t="s">
        <v>2115</v>
      </c>
      <c r="E263" s="162"/>
      <c r="F263" s="162"/>
      <c r="G263" s="163"/>
      <c r="H263" s="163"/>
      <c r="I263" s="164" t="s">
        <v>164</v>
      </c>
      <c r="J263" s="190">
        <v>0</v>
      </c>
      <c r="K263" s="188">
        <v>0</v>
      </c>
      <c r="L263" s="188">
        <v>0</v>
      </c>
      <c r="M263" s="188">
        <v>0</v>
      </c>
      <c r="N263" s="188">
        <v>0</v>
      </c>
      <c r="O263" s="188">
        <v>0</v>
      </c>
      <c r="P263" s="188">
        <v>0</v>
      </c>
      <c r="Q263" s="189">
        <v>0</v>
      </c>
      <c r="R263" s="190">
        <v>0</v>
      </c>
      <c r="S263" s="188">
        <v>0</v>
      </c>
      <c r="T263" s="188">
        <v>0</v>
      </c>
      <c r="U263" s="188">
        <v>0</v>
      </c>
      <c r="V263" s="189">
        <v>0</v>
      </c>
      <c r="W263" s="441"/>
      <c r="X263" s="1128">
        <v>914</v>
      </c>
    </row>
    <row r="264" spans="1:24" s="98" customFormat="1" ht="15" customHeight="1">
      <c r="A264" s="99"/>
      <c r="B264" s="161"/>
      <c r="C264" s="185"/>
      <c r="D264" s="162" t="s">
        <v>2116</v>
      </c>
      <c r="E264" s="162"/>
      <c r="F264" s="162"/>
      <c r="G264" s="163"/>
      <c r="H264" s="163"/>
      <c r="I264" s="164" t="s">
        <v>164</v>
      </c>
      <c r="J264" s="190">
        <v>0</v>
      </c>
      <c r="K264" s="188">
        <v>0</v>
      </c>
      <c r="L264" s="188">
        <v>0</v>
      </c>
      <c r="M264" s="188">
        <v>0</v>
      </c>
      <c r="N264" s="188">
        <v>0</v>
      </c>
      <c r="O264" s="188">
        <v>0</v>
      </c>
      <c r="P264" s="188">
        <v>0</v>
      </c>
      <c r="Q264" s="189">
        <v>0</v>
      </c>
      <c r="R264" s="190">
        <v>0</v>
      </c>
      <c r="S264" s="188">
        <v>0</v>
      </c>
      <c r="T264" s="188">
        <v>0</v>
      </c>
      <c r="U264" s="188">
        <v>0</v>
      </c>
      <c r="V264" s="189">
        <v>0</v>
      </c>
      <c r="W264" s="441"/>
      <c r="X264" s="1128">
        <v>921</v>
      </c>
    </row>
    <row r="265" spans="1:24" s="98" customFormat="1" ht="15" customHeight="1">
      <c r="A265" s="99"/>
      <c r="B265" s="161"/>
      <c r="C265" s="185"/>
      <c r="D265" s="162" t="s">
        <v>2117</v>
      </c>
      <c r="E265" s="162"/>
      <c r="F265" s="162"/>
      <c r="G265" s="163"/>
      <c r="H265" s="163"/>
      <c r="I265" s="164" t="s">
        <v>164</v>
      </c>
      <c r="J265" s="190">
        <v>0</v>
      </c>
      <c r="K265" s="188">
        <v>0</v>
      </c>
      <c r="L265" s="188">
        <v>0</v>
      </c>
      <c r="M265" s="188">
        <v>0</v>
      </c>
      <c r="N265" s="188">
        <v>0</v>
      </c>
      <c r="O265" s="188">
        <v>0</v>
      </c>
      <c r="P265" s="188">
        <v>0</v>
      </c>
      <c r="Q265" s="189">
        <v>0</v>
      </c>
      <c r="R265" s="190">
        <v>0</v>
      </c>
      <c r="S265" s="188">
        <v>0</v>
      </c>
      <c r="T265" s="188">
        <v>0</v>
      </c>
      <c r="U265" s="188">
        <v>0</v>
      </c>
      <c r="V265" s="189">
        <v>0</v>
      </c>
      <c r="W265" s="441"/>
      <c r="X265" s="1128">
        <v>924</v>
      </c>
    </row>
    <row r="266" spans="1:24" s="98" customFormat="1" ht="15" customHeight="1">
      <c r="A266" s="99"/>
      <c r="B266" s="161"/>
      <c r="C266" s="185"/>
      <c r="D266" s="162" t="s">
        <v>85</v>
      </c>
      <c r="E266" s="162"/>
      <c r="F266" s="162"/>
      <c r="G266" s="170"/>
      <c r="H266" s="163"/>
      <c r="I266" s="164" t="s">
        <v>164</v>
      </c>
      <c r="J266" s="190">
        <v>0</v>
      </c>
      <c r="K266" s="188">
        <v>0</v>
      </c>
      <c r="L266" s="188">
        <v>0</v>
      </c>
      <c r="M266" s="188">
        <v>0</v>
      </c>
      <c r="N266" s="188">
        <v>0</v>
      </c>
      <c r="O266" s="188">
        <v>0</v>
      </c>
      <c r="P266" s="188">
        <v>0</v>
      </c>
      <c r="Q266" s="189">
        <v>0</v>
      </c>
      <c r="R266" s="190">
        <v>0</v>
      </c>
      <c r="S266" s="188">
        <v>0</v>
      </c>
      <c r="T266" s="188">
        <v>0</v>
      </c>
      <c r="U266" s="188">
        <v>0</v>
      </c>
      <c r="V266" s="189">
        <v>0</v>
      </c>
      <c r="W266" s="441"/>
      <c r="X266" s="786"/>
    </row>
    <row r="267" spans="1:24" s="98" customFormat="1" ht="15" customHeight="1">
      <c r="A267" s="99"/>
      <c r="B267" s="161"/>
      <c r="C267" s="185"/>
      <c r="D267" s="162" t="s">
        <v>85</v>
      </c>
      <c r="E267" s="162"/>
      <c r="F267" s="162"/>
      <c r="G267" s="170"/>
      <c r="H267" s="163"/>
      <c r="I267" s="164" t="s">
        <v>164</v>
      </c>
      <c r="J267" s="190">
        <v>0</v>
      </c>
      <c r="K267" s="188">
        <v>0</v>
      </c>
      <c r="L267" s="188">
        <v>0</v>
      </c>
      <c r="M267" s="188">
        <v>0</v>
      </c>
      <c r="N267" s="188">
        <v>0</v>
      </c>
      <c r="O267" s="188">
        <v>0</v>
      </c>
      <c r="P267" s="188">
        <v>0</v>
      </c>
      <c r="Q267" s="189">
        <v>0</v>
      </c>
      <c r="R267" s="190">
        <v>0</v>
      </c>
      <c r="S267" s="188">
        <v>0</v>
      </c>
      <c r="T267" s="188">
        <v>0</v>
      </c>
      <c r="U267" s="188">
        <v>0</v>
      </c>
      <c r="V267" s="189">
        <v>0</v>
      </c>
      <c r="W267" s="441"/>
      <c r="X267" s="786"/>
    </row>
    <row r="268" spans="1:24" s="98" customFormat="1" ht="15" customHeight="1">
      <c r="A268" s="99"/>
      <c r="B268" s="161"/>
      <c r="C268" s="185"/>
      <c r="D268" s="162" t="s">
        <v>85</v>
      </c>
      <c r="E268" s="162"/>
      <c r="F268" s="162"/>
      <c r="G268" s="170"/>
      <c r="H268" s="163"/>
      <c r="I268" s="164" t="s">
        <v>164</v>
      </c>
      <c r="J268" s="190">
        <v>0</v>
      </c>
      <c r="K268" s="188">
        <v>0</v>
      </c>
      <c r="L268" s="188">
        <v>0</v>
      </c>
      <c r="M268" s="188">
        <v>0</v>
      </c>
      <c r="N268" s="188">
        <v>0</v>
      </c>
      <c r="O268" s="188">
        <v>0</v>
      </c>
      <c r="P268" s="188">
        <v>0</v>
      </c>
      <c r="Q268" s="189">
        <v>0</v>
      </c>
      <c r="R268" s="190">
        <v>0</v>
      </c>
      <c r="S268" s="188">
        <v>0</v>
      </c>
      <c r="T268" s="188">
        <v>0</v>
      </c>
      <c r="U268" s="188">
        <v>0</v>
      </c>
      <c r="V268" s="189">
        <v>0</v>
      </c>
      <c r="W268" s="441"/>
      <c r="X268" s="786"/>
    </row>
    <row r="269" spans="1:24" s="98" customFormat="1" ht="15" customHeight="1">
      <c r="A269" s="99"/>
      <c r="B269" s="161"/>
      <c r="C269" s="185"/>
      <c r="D269" s="162" t="s">
        <v>85</v>
      </c>
      <c r="E269" s="162"/>
      <c r="F269" s="162"/>
      <c r="G269" s="170"/>
      <c r="H269" s="163"/>
      <c r="I269" s="164" t="s">
        <v>164</v>
      </c>
      <c r="J269" s="190">
        <v>0</v>
      </c>
      <c r="K269" s="188">
        <v>0</v>
      </c>
      <c r="L269" s="188">
        <v>0</v>
      </c>
      <c r="M269" s="188">
        <v>0</v>
      </c>
      <c r="N269" s="188">
        <v>0</v>
      </c>
      <c r="O269" s="188">
        <v>0</v>
      </c>
      <c r="P269" s="188">
        <v>0</v>
      </c>
      <c r="Q269" s="189">
        <v>0</v>
      </c>
      <c r="R269" s="190">
        <v>0</v>
      </c>
      <c r="S269" s="188">
        <v>0</v>
      </c>
      <c r="T269" s="188">
        <v>0</v>
      </c>
      <c r="U269" s="188">
        <v>0</v>
      </c>
      <c r="V269" s="189">
        <v>0</v>
      </c>
      <c r="W269" s="441"/>
      <c r="X269" s="786"/>
    </row>
    <row r="270" spans="1:24" s="98" customFormat="1" ht="15" customHeight="1">
      <c r="A270" s="99"/>
      <c r="B270" s="161"/>
      <c r="C270" s="185"/>
      <c r="D270" s="162" t="s">
        <v>85</v>
      </c>
      <c r="E270" s="162"/>
      <c r="F270" s="162"/>
      <c r="G270" s="170"/>
      <c r="H270" s="163"/>
      <c r="I270" s="164" t="s">
        <v>164</v>
      </c>
      <c r="J270" s="190">
        <v>0</v>
      </c>
      <c r="K270" s="188">
        <v>0</v>
      </c>
      <c r="L270" s="188">
        <v>0</v>
      </c>
      <c r="M270" s="188">
        <v>0</v>
      </c>
      <c r="N270" s="188">
        <v>0</v>
      </c>
      <c r="O270" s="188">
        <v>0</v>
      </c>
      <c r="P270" s="188">
        <v>0</v>
      </c>
      <c r="Q270" s="189">
        <v>0</v>
      </c>
      <c r="R270" s="190">
        <f t="shared" ref="R270:R275" si="182">Q270*R$279/Q$279</f>
        <v>0</v>
      </c>
      <c r="S270" s="188">
        <f t="shared" ref="S270:V275" si="183">R270*S$279/R$279</f>
        <v>0</v>
      </c>
      <c r="T270" s="188">
        <f t="shared" si="183"/>
        <v>0</v>
      </c>
      <c r="U270" s="188">
        <f t="shared" si="183"/>
        <v>0</v>
      </c>
      <c r="V270" s="189">
        <f t="shared" si="183"/>
        <v>0</v>
      </c>
      <c r="W270" s="441"/>
      <c r="X270" s="786"/>
    </row>
    <row r="271" spans="1:24" s="98" customFormat="1" ht="15" customHeight="1">
      <c r="A271" s="99"/>
      <c r="B271" s="161"/>
      <c r="C271" s="185"/>
      <c r="D271" s="162" t="s">
        <v>85</v>
      </c>
      <c r="E271" s="162"/>
      <c r="F271" s="162"/>
      <c r="G271" s="170"/>
      <c r="H271" s="163"/>
      <c r="I271" s="164" t="s">
        <v>164</v>
      </c>
      <c r="J271" s="190">
        <v>0</v>
      </c>
      <c r="K271" s="188">
        <v>0</v>
      </c>
      <c r="L271" s="188">
        <v>0</v>
      </c>
      <c r="M271" s="188">
        <v>0</v>
      </c>
      <c r="N271" s="188">
        <v>0</v>
      </c>
      <c r="O271" s="188">
        <v>0</v>
      </c>
      <c r="P271" s="188">
        <v>0</v>
      </c>
      <c r="Q271" s="189">
        <v>0</v>
      </c>
      <c r="R271" s="190">
        <f t="shared" si="182"/>
        <v>0</v>
      </c>
      <c r="S271" s="188">
        <f t="shared" si="183"/>
        <v>0</v>
      </c>
      <c r="T271" s="188">
        <f t="shared" si="183"/>
        <v>0</v>
      </c>
      <c r="U271" s="188">
        <f t="shared" si="183"/>
        <v>0</v>
      </c>
      <c r="V271" s="189">
        <f t="shared" si="183"/>
        <v>0</v>
      </c>
      <c r="W271" s="441"/>
      <c r="X271" s="786"/>
    </row>
    <row r="272" spans="1:24" s="98" customFormat="1" ht="15" customHeight="1">
      <c r="A272" s="99"/>
      <c r="B272" s="161"/>
      <c r="C272" s="185"/>
      <c r="D272" s="162" t="s">
        <v>85</v>
      </c>
      <c r="E272" s="162"/>
      <c r="F272" s="162"/>
      <c r="G272" s="170"/>
      <c r="H272" s="163"/>
      <c r="I272" s="164" t="s">
        <v>164</v>
      </c>
      <c r="J272" s="190">
        <v>0</v>
      </c>
      <c r="K272" s="188">
        <v>0</v>
      </c>
      <c r="L272" s="188">
        <v>0</v>
      </c>
      <c r="M272" s="188">
        <v>0</v>
      </c>
      <c r="N272" s="188">
        <v>0</v>
      </c>
      <c r="O272" s="188">
        <v>0</v>
      </c>
      <c r="P272" s="188">
        <v>0</v>
      </c>
      <c r="Q272" s="189">
        <v>0</v>
      </c>
      <c r="R272" s="190">
        <f t="shared" si="182"/>
        <v>0</v>
      </c>
      <c r="S272" s="188">
        <f t="shared" si="183"/>
        <v>0</v>
      </c>
      <c r="T272" s="188">
        <f t="shared" si="183"/>
        <v>0</v>
      </c>
      <c r="U272" s="188">
        <f t="shared" si="183"/>
        <v>0</v>
      </c>
      <c r="V272" s="189">
        <f t="shared" si="183"/>
        <v>0</v>
      </c>
      <c r="W272" s="441"/>
      <c r="X272" s="786"/>
    </row>
    <row r="273" spans="1:24" s="98" customFormat="1" ht="15" customHeight="1">
      <c r="A273" s="99"/>
      <c r="B273" s="161"/>
      <c r="C273" s="185"/>
      <c r="D273" s="162" t="s">
        <v>85</v>
      </c>
      <c r="E273" s="162"/>
      <c r="F273" s="162"/>
      <c r="G273" s="170"/>
      <c r="H273" s="163"/>
      <c r="I273" s="164" t="s">
        <v>164</v>
      </c>
      <c r="J273" s="190">
        <v>0</v>
      </c>
      <c r="K273" s="188">
        <v>0</v>
      </c>
      <c r="L273" s="188">
        <v>0</v>
      </c>
      <c r="M273" s="188">
        <v>0</v>
      </c>
      <c r="N273" s="188">
        <v>0</v>
      </c>
      <c r="O273" s="188">
        <v>0</v>
      </c>
      <c r="P273" s="188">
        <v>0</v>
      </c>
      <c r="Q273" s="189">
        <v>0</v>
      </c>
      <c r="R273" s="190">
        <f t="shared" si="182"/>
        <v>0</v>
      </c>
      <c r="S273" s="188">
        <f t="shared" si="183"/>
        <v>0</v>
      </c>
      <c r="T273" s="188">
        <f t="shared" si="183"/>
        <v>0</v>
      </c>
      <c r="U273" s="188">
        <f t="shared" si="183"/>
        <v>0</v>
      </c>
      <c r="V273" s="189">
        <f t="shared" si="183"/>
        <v>0</v>
      </c>
      <c r="W273" s="441"/>
      <c r="X273" s="786"/>
    </row>
    <row r="274" spans="1:24" s="98" customFormat="1" ht="15" customHeight="1">
      <c r="A274" s="99"/>
      <c r="B274" s="161"/>
      <c r="C274" s="185"/>
      <c r="D274" s="162" t="s">
        <v>85</v>
      </c>
      <c r="E274" s="162"/>
      <c r="F274" s="162"/>
      <c r="G274" s="170"/>
      <c r="H274" s="163"/>
      <c r="I274" s="164" t="s">
        <v>164</v>
      </c>
      <c r="J274" s="190">
        <v>0</v>
      </c>
      <c r="K274" s="188">
        <v>0</v>
      </c>
      <c r="L274" s="188">
        <v>0</v>
      </c>
      <c r="M274" s="188">
        <v>0</v>
      </c>
      <c r="N274" s="188">
        <v>0</v>
      </c>
      <c r="O274" s="188">
        <v>0</v>
      </c>
      <c r="P274" s="188">
        <v>0</v>
      </c>
      <c r="Q274" s="189">
        <v>0</v>
      </c>
      <c r="R274" s="190">
        <f t="shared" si="182"/>
        <v>0</v>
      </c>
      <c r="S274" s="188">
        <f t="shared" si="183"/>
        <v>0</v>
      </c>
      <c r="T274" s="188">
        <f t="shared" si="183"/>
        <v>0</v>
      </c>
      <c r="U274" s="188">
        <f t="shared" si="183"/>
        <v>0</v>
      </c>
      <c r="V274" s="189">
        <f t="shared" si="183"/>
        <v>0</v>
      </c>
      <c r="W274" s="441"/>
      <c r="X274" s="786"/>
    </row>
    <row r="275" spans="1:24" s="98" customFormat="1" ht="15" customHeight="1">
      <c r="A275" s="99"/>
      <c r="B275" s="161"/>
      <c r="C275" s="185"/>
      <c r="D275" s="162" t="s">
        <v>85</v>
      </c>
      <c r="E275" s="162"/>
      <c r="F275" s="162"/>
      <c r="G275" s="170"/>
      <c r="H275" s="163"/>
      <c r="I275" s="164" t="s">
        <v>164</v>
      </c>
      <c r="J275" s="190">
        <v>0</v>
      </c>
      <c r="K275" s="188">
        <v>0</v>
      </c>
      <c r="L275" s="188">
        <v>0</v>
      </c>
      <c r="M275" s="188">
        <v>0</v>
      </c>
      <c r="N275" s="188">
        <v>0</v>
      </c>
      <c r="O275" s="188">
        <v>0</v>
      </c>
      <c r="P275" s="188">
        <v>0</v>
      </c>
      <c r="Q275" s="189">
        <v>0</v>
      </c>
      <c r="R275" s="190">
        <f t="shared" si="182"/>
        <v>0</v>
      </c>
      <c r="S275" s="188">
        <f t="shared" si="183"/>
        <v>0</v>
      </c>
      <c r="T275" s="188">
        <f t="shared" si="183"/>
        <v>0</v>
      </c>
      <c r="U275" s="188">
        <f t="shared" si="183"/>
        <v>0</v>
      </c>
      <c r="V275" s="189">
        <f t="shared" si="183"/>
        <v>0</v>
      </c>
      <c r="W275" s="441"/>
      <c r="X275" s="786"/>
    </row>
    <row r="276" spans="1:24" s="98" customFormat="1" ht="15" customHeight="1">
      <c r="A276" s="99"/>
      <c r="B276" s="161"/>
      <c r="C276" s="116"/>
      <c r="D276" s="116"/>
      <c r="E276" s="116"/>
      <c r="F276" s="116"/>
      <c r="G276" s="117"/>
      <c r="H276" s="117"/>
      <c r="I276" s="117"/>
      <c r="J276" s="1005"/>
      <c r="K276" s="1003"/>
      <c r="L276" s="1003"/>
      <c r="M276" s="1003"/>
      <c r="N276" s="1003"/>
      <c r="O276" s="1003"/>
      <c r="P276" s="1003"/>
      <c r="Q276" s="1004"/>
      <c r="R276" s="1005"/>
      <c r="S276" s="1003"/>
      <c r="T276" s="1003"/>
      <c r="U276" s="1003"/>
      <c r="V276" s="1004"/>
      <c r="W276" s="185"/>
      <c r="X276" s="215"/>
    </row>
    <row r="277" spans="1:24" s="98" customFormat="1" ht="15" customHeight="1" thickBot="1">
      <c r="A277" s="99"/>
      <c r="B277" s="131" t="s">
        <v>1701</v>
      </c>
      <c r="C277" s="132"/>
      <c r="D277" s="132"/>
      <c r="E277" s="132"/>
      <c r="F277" s="132"/>
      <c r="G277" s="145"/>
      <c r="H277" s="133"/>
      <c r="I277" s="146" t="s">
        <v>164</v>
      </c>
      <c r="J277" s="1002">
        <f>SUM(J213:J275)</f>
        <v>0</v>
      </c>
      <c r="K277" s="1000">
        <f t="shared" ref="K277:V277" si="184">SUM(K213:K275)</f>
        <v>0</v>
      </c>
      <c r="L277" s="1000">
        <f t="shared" si="184"/>
        <v>0</v>
      </c>
      <c r="M277" s="1000">
        <f t="shared" si="184"/>
        <v>0</v>
      </c>
      <c r="N277" s="1000">
        <f t="shared" si="184"/>
        <v>0</v>
      </c>
      <c r="O277" s="1000">
        <f t="shared" si="184"/>
        <v>1362</v>
      </c>
      <c r="P277" s="1000">
        <f t="shared" si="184"/>
        <v>1467.1731529660981</v>
      </c>
      <c r="Q277" s="1001">
        <f t="shared" si="184"/>
        <v>1499.7309163824943</v>
      </c>
      <c r="R277" s="1002">
        <f t="shared" si="184"/>
        <v>1493.2865922949616</v>
      </c>
      <c r="S277" s="1000">
        <f t="shared" si="184"/>
        <v>1506.1688310867644</v>
      </c>
      <c r="T277" s="1000">
        <f t="shared" si="184"/>
        <v>1502.7586761409016</v>
      </c>
      <c r="U277" s="1000">
        <f t="shared" si="184"/>
        <v>1475.9261325952298</v>
      </c>
      <c r="V277" s="1001">
        <f t="shared" si="184"/>
        <v>1457.7059127892032</v>
      </c>
      <c r="W277" s="192"/>
      <c r="X277" s="217"/>
    </row>
    <row r="279" spans="1:24">
      <c r="O279" s="2725">
        <f>SUM(O203,O193,O187,O154,O140,O59,O52,O45,O33,O26,O19,O12)</f>
        <v>1393</v>
      </c>
      <c r="P279" s="2725">
        <f t="shared" ref="P279:V279" si="185">SUM(P203,P193,P187,P154,P140,P59,P52,P45,P33,P26,P19,P12)</f>
        <v>1501.7569449268069</v>
      </c>
      <c r="Q279" s="2725">
        <f t="shared" si="185"/>
        <v>1530.0673837161025</v>
      </c>
      <c r="R279" s="2725">
        <f t="shared" si="185"/>
        <v>1523.4927042261222</v>
      </c>
      <c r="S279" s="2725">
        <f t="shared" si="185"/>
        <v>1536.635524174199</v>
      </c>
      <c r="T279" s="2725">
        <f t="shared" si="185"/>
        <v>1533.1563888179255</v>
      </c>
      <c r="U279" s="2725">
        <f t="shared" si="185"/>
        <v>1505.7810781852659</v>
      </c>
      <c r="V279" s="2725">
        <f t="shared" si="185"/>
        <v>1487.1923008620749</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B050"/>
  </sheetPr>
  <dimension ref="A1:AL72"/>
  <sheetViews>
    <sheetView showGridLines="0" topLeftCell="A31" zoomScale="70" zoomScaleNormal="70" workbookViewId="0">
      <pane xSplit="7" topLeftCell="V1" activePane="topRight" state="frozen"/>
      <selection activeCell="Q61" sqref="Q61"/>
      <selection pane="topRight" activeCell="R51" sqref="R51"/>
    </sheetView>
  </sheetViews>
  <sheetFormatPr defaultColWidth="11.875" defaultRowHeight="12.75"/>
  <cols>
    <col min="1" max="1" width="11.875" style="173" customWidth="1"/>
    <col min="2" max="6" width="4.375" style="174" customWidth="1"/>
    <col min="7" max="7" width="38.125" style="173" customWidth="1"/>
    <col min="8" max="8" width="15.625" style="173" customWidth="1"/>
    <col min="9" max="9" width="15.625" style="175" customWidth="1"/>
    <col min="10" max="22" width="15.625" style="173" customWidth="1"/>
    <col min="23" max="23" width="4.375" style="173" customWidth="1"/>
    <col min="24" max="28" width="15.625" style="173" customWidth="1"/>
    <col min="29" max="29" width="15.625" style="175" customWidth="1"/>
    <col min="30" max="41" width="15.625" style="173" customWidth="1"/>
    <col min="42" max="16384" width="11.875" style="173"/>
  </cols>
  <sheetData>
    <row r="1" spans="1:38" s="2" customFormat="1" ht="25.15" customHeight="1">
      <c r="A1" s="1" t="s">
        <v>0</v>
      </c>
      <c r="E1" s="3"/>
      <c r="H1" s="4" t="s">
        <v>1</v>
      </c>
      <c r="J1" s="3"/>
    </row>
    <row r="2" spans="1:38" s="2" customFormat="1" ht="25.15" customHeight="1">
      <c r="A2" s="5" t="str">
        <f>Fixed_Data!I12</f>
        <v>MASTER</v>
      </c>
      <c r="B2" s="6"/>
      <c r="D2" s="7"/>
      <c r="E2" s="3"/>
    </row>
    <row r="3" spans="1:38" s="9" customFormat="1" ht="25.15" customHeight="1" thickBot="1">
      <c r="A3" s="8" t="str">
        <f>Fixed_Data!A3</f>
        <v>RIIO-GD2</v>
      </c>
      <c r="D3" s="10"/>
      <c r="E3" s="11"/>
    </row>
    <row r="4" spans="1:38" s="89" customFormat="1" ht="25.15" customHeight="1">
      <c r="B4" s="90" t="s">
        <v>2118</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row>
    <row r="5" spans="1:38" s="89" customFormat="1" ht="25.15" customHeight="1">
      <c r="B5" s="95" t="s">
        <v>1663</v>
      </c>
      <c r="C5" s="95"/>
      <c r="D5" s="95"/>
      <c r="E5" s="95"/>
      <c r="F5" s="95" t="s">
        <v>463</v>
      </c>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row>
    <row r="6" spans="1:38"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row>
    <row r="7" spans="1:38"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row>
    <row r="8" spans="1:38"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row>
    <row r="9" spans="1:38"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row>
    <row r="10" spans="1:38" s="89" customFormat="1" ht="15" customHeight="1">
      <c r="B10" s="115"/>
      <c r="C10" s="116"/>
      <c r="D10" s="116"/>
      <c r="E10" s="116"/>
      <c r="F10" s="116"/>
      <c r="G10" s="117"/>
      <c r="H10" s="118"/>
      <c r="I10" s="119" t="s">
        <v>1745</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row>
    <row r="11" spans="1:38" s="89" customFormat="1" ht="15" customHeight="1">
      <c r="B11" s="123"/>
      <c r="C11" s="116" t="s">
        <v>1806</v>
      </c>
      <c r="D11" s="116"/>
      <c r="E11" s="116"/>
      <c r="F11" s="116"/>
      <c r="G11" s="117"/>
      <c r="H11" s="118"/>
      <c r="I11" s="119" t="s">
        <v>498</v>
      </c>
      <c r="J11" s="710">
        <f>SUM(J12:J14)</f>
        <v>1.4303112130673548</v>
      </c>
      <c r="K11" s="711">
        <f t="shared" ref="K11:V11" si="0">SUM(K12:K14)</f>
        <v>0.57066325714285693</v>
      </c>
      <c r="L11" s="711">
        <f t="shared" si="0"/>
        <v>0.16951621155287161</v>
      </c>
      <c r="M11" s="711">
        <f t="shared" si="0"/>
        <v>0.16786484380056768</v>
      </c>
      <c r="N11" s="711">
        <f t="shared" si="0"/>
        <v>0.30981324275743144</v>
      </c>
      <c r="O11" s="711">
        <f t="shared" si="0"/>
        <v>0.79363131468062909</v>
      </c>
      <c r="P11" s="711">
        <f t="shared" si="0"/>
        <v>1.3278015846616487</v>
      </c>
      <c r="Q11" s="712">
        <f t="shared" si="0"/>
        <v>2.2162730846616485</v>
      </c>
      <c r="R11" s="710">
        <f t="shared" si="0"/>
        <v>2.2833105846616486</v>
      </c>
      <c r="S11" s="711">
        <f t="shared" si="0"/>
        <v>2.0567480846616486</v>
      </c>
      <c r="T11" s="711">
        <f t="shared" si="0"/>
        <v>2.0193560846616485</v>
      </c>
      <c r="U11" s="711">
        <f t="shared" si="0"/>
        <v>2.0567480846616486</v>
      </c>
      <c r="V11" s="712">
        <f t="shared" si="0"/>
        <v>2.0013560846616487</v>
      </c>
      <c r="AG11" s="92"/>
      <c r="AH11" s="92"/>
      <c r="AI11" s="92"/>
      <c r="AJ11" s="92"/>
      <c r="AK11" s="92"/>
      <c r="AL11" s="92"/>
    </row>
    <row r="12" spans="1:38" s="89" customFormat="1" ht="15" customHeight="1">
      <c r="B12" s="123"/>
      <c r="C12" s="127"/>
      <c r="D12" s="127" t="s">
        <v>2119</v>
      </c>
      <c r="E12" s="127"/>
      <c r="F12" s="127"/>
      <c r="G12" s="117"/>
      <c r="H12" s="118"/>
      <c r="I12" s="119" t="s">
        <v>498</v>
      </c>
      <c r="J12" s="128">
        <f>J31</f>
        <v>1.0289209549575147</v>
      </c>
      <c r="K12" s="129">
        <f t="shared" ref="K12:V12" si="1">K31</f>
        <v>0.49891642597402575</v>
      </c>
      <c r="L12" s="129">
        <f t="shared" si="1"/>
        <v>0.1501223065375305</v>
      </c>
      <c r="M12" s="129">
        <f t="shared" si="1"/>
        <v>0.14452627390502348</v>
      </c>
      <c r="N12" s="129">
        <f t="shared" si="1"/>
        <v>0.26360058073682829</v>
      </c>
      <c r="O12" s="129">
        <f t="shared" si="1"/>
        <v>0.45656585999999993</v>
      </c>
      <c r="P12" s="129">
        <f t="shared" si="1"/>
        <v>0.78492450000000002</v>
      </c>
      <c r="Q12" s="130">
        <f t="shared" si="1"/>
        <v>1.3928959999999999</v>
      </c>
      <c r="R12" s="128">
        <f t="shared" si="1"/>
        <v>1.4464334999999999</v>
      </c>
      <c r="S12" s="129">
        <f t="shared" si="1"/>
        <v>1.3053710000000001</v>
      </c>
      <c r="T12" s="129">
        <f t="shared" si="1"/>
        <v>1.267979</v>
      </c>
      <c r="U12" s="129">
        <f t="shared" si="1"/>
        <v>1.3053710000000001</v>
      </c>
      <c r="V12" s="130">
        <f t="shared" si="1"/>
        <v>1.267979</v>
      </c>
      <c r="AG12" s="92"/>
      <c r="AH12" s="92"/>
      <c r="AI12" s="92"/>
      <c r="AJ12" s="92"/>
      <c r="AK12" s="92"/>
      <c r="AL12" s="92"/>
    </row>
    <row r="13" spans="1:38" s="89" customFormat="1" ht="15" customHeight="1">
      <c r="B13" s="123"/>
      <c r="C13" s="127"/>
      <c r="D13" s="127" t="s">
        <v>2120</v>
      </c>
      <c r="E13" s="127"/>
      <c r="F13" s="127"/>
      <c r="G13" s="117"/>
      <c r="H13" s="118"/>
      <c r="I13" s="119" t="s">
        <v>498</v>
      </c>
      <c r="J13" s="128">
        <f>J44</f>
        <v>0.30141106754251512</v>
      </c>
      <c r="K13" s="129">
        <f t="shared" ref="K13:V13" si="2">K44</f>
        <v>2.9802529870129858E-2</v>
      </c>
      <c r="L13" s="129">
        <f t="shared" si="2"/>
        <v>9.415679316510342E-3</v>
      </c>
      <c r="M13" s="129">
        <f t="shared" si="2"/>
        <v>9.2547222980316358E-3</v>
      </c>
      <c r="N13" s="129">
        <f t="shared" si="2"/>
        <v>1.035528107948841E-2</v>
      </c>
      <c r="O13" s="129">
        <f t="shared" si="2"/>
        <v>0.12668837001898048</v>
      </c>
      <c r="P13" s="129">
        <f t="shared" si="2"/>
        <v>0.33250000000000002</v>
      </c>
      <c r="Q13" s="130">
        <f t="shared" si="2"/>
        <v>0.61299999999999999</v>
      </c>
      <c r="R13" s="128">
        <f t="shared" si="2"/>
        <v>0.62649999999999995</v>
      </c>
      <c r="S13" s="129">
        <f t="shared" si="2"/>
        <v>0.54100000000000004</v>
      </c>
      <c r="T13" s="129">
        <f t="shared" si="2"/>
        <v>0.54100000000000004</v>
      </c>
      <c r="U13" s="129">
        <f t="shared" si="2"/>
        <v>0.54100000000000004</v>
      </c>
      <c r="V13" s="130">
        <f t="shared" si="2"/>
        <v>0.52300000000000002</v>
      </c>
      <c r="AG13" s="92"/>
      <c r="AH13" s="92"/>
      <c r="AI13" s="92"/>
      <c r="AJ13" s="92"/>
      <c r="AK13" s="92"/>
      <c r="AL13" s="92"/>
    </row>
    <row r="14" spans="1:38" s="89" customFormat="1" ht="15" customHeight="1" thickBot="1">
      <c r="B14" s="176"/>
      <c r="C14" s="132"/>
      <c r="D14" s="132" t="s">
        <v>2121</v>
      </c>
      <c r="E14" s="132"/>
      <c r="F14" s="132"/>
      <c r="G14" s="145"/>
      <c r="H14" s="133"/>
      <c r="I14" s="146" t="s">
        <v>498</v>
      </c>
      <c r="J14" s="177">
        <f>J55</f>
        <v>9.9979190567325071E-2</v>
      </c>
      <c r="K14" s="178">
        <f t="shared" ref="K14:V14" si="3">K55</f>
        <v>4.1944301298701282E-2</v>
      </c>
      <c r="L14" s="178">
        <f t="shared" si="3"/>
        <v>9.9782256988307817E-3</v>
      </c>
      <c r="M14" s="178">
        <f t="shared" si="3"/>
        <v>1.4083847597512538E-2</v>
      </c>
      <c r="N14" s="178">
        <f t="shared" si="3"/>
        <v>3.5857380941114715E-2</v>
      </c>
      <c r="O14" s="178">
        <f t="shared" si="3"/>
        <v>0.21037708466164862</v>
      </c>
      <c r="P14" s="178">
        <f t="shared" si="3"/>
        <v>0.21037708466164862</v>
      </c>
      <c r="Q14" s="179">
        <f t="shared" si="3"/>
        <v>0.21037708466164862</v>
      </c>
      <c r="R14" s="177">
        <f t="shared" si="3"/>
        <v>0.21037708466164862</v>
      </c>
      <c r="S14" s="178">
        <f t="shared" si="3"/>
        <v>0.21037708466164862</v>
      </c>
      <c r="T14" s="178">
        <f t="shared" si="3"/>
        <v>0.21037708466164862</v>
      </c>
      <c r="U14" s="178">
        <f t="shared" si="3"/>
        <v>0.21037708466164862</v>
      </c>
      <c r="V14" s="179">
        <f t="shared" si="3"/>
        <v>0.21037708466164862</v>
      </c>
      <c r="AG14" s="92"/>
      <c r="AH14" s="92"/>
      <c r="AI14" s="92"/>
      <c r="AJ14" s="92"/>
      <c r="AK14" s="92"/>
      <c r="AL14" s="92"/>
    </row>
    <row r="15" spans="1:38" s="89" customFormat="1" ht="15" customHeight="1" thickBot="1">
      <c r="B15" s="134"/>
      <c r="C15" s="134"/>
      <c r="D15" s="134"/>
      <c r="E15" s="134"/>
      <c r="F15" s="134"/>
      <c r="H15" s="114"/>
      <c r="I15" s="93"/>
      <c r="J15" s="2555">
        <v>0</v>
      </c>
      <c r="K15" s="2556">
        <v>0</v>
      </c>
      <c r="L15" s="2556">
        <v>0</v>
      </c>
      <c r="M15" s="2556">
        <v>0</v>
      </c>
      <c r="N15" s="2556">
        <v>0</v>
      </c>
      <c r="O15" s="2556">
        <v>0</v>
      </c>
      <c r="P15" s="2555">
        <v>0</v>
      </c>
      <c r="Q15" s="2555">
        <v>0</v>
      </c>
      <c r="R15" s="2555">
        <v>0</v>
      </c>
      <c r="S15" s="2555">
        <v>0</v>
      </c>
      <c r="T15" s="2555">
        <v>0</v>
      </c>
      <c r="U15" s="2555">
        <v>0</v>
      </c>
      <c r="V15" s="2555">
        <v>0</v>
      </c>
      <c r="AG15" s="92"/>
      <c r="AH15" s="92"/>
      <c r="AI15" s="92"/>
      <c r="AJ15" s="92"/>
      <c r="AK15" s="92"/>
      <c r="AL15" s="92"/>
    </row>
    <row r="16" spans="1:38" s="100" customFormat="1" ht="30" customHeight="1" thickBot="1">
      <c r="A16" s="89"/>
      <c r="B16" s="621" t="s">
        <v>2119</v>
      </c>
      <c r="C16" s="102"/>
      <c r="D16" s="102"/>
      <c r="E16" s="102"/>
      <c r="F16" s="102"/>
      <c r="G16" s="103"/>
      <c r="H16" s="103"/>
      <c r="I16" s="105" t="s">
        <v>1864</v>
      </c>
      <c r="J16" s="106"/>
      <c r="K16" s="106"/>
      <c r="L16" s="106"/>
      <c r="M16" s="106"/>
      <c r="N16" s="106"/>
      <c r="O16" s="106"/>
      <c r="P16" s="106"/>
      <c r="Q16" s="106"/>
      <c r="R16" s="105"/>
      <c r="S16" s="105"/>
      <c r="T16" s="105"/>
      <c r="U16" s="105"/>
      <c r="V16" s="105"/>
    </row>
    <row r="17" spans="1:24" s="157" customFormat="1" ht="30" customHeight="1">
      <c r="A17" s="99"/>
      <c r="B17" s="123"/>
      <c r="C17" s="127"/>
      <c r="D17" s="127"/>
      <c r="E17" s="127"/>
      <c r="F17" s="127"/>
      <c r="G17" s="117"/>
      <c r="H17" s="111"/>
      <c r="I17" s="117"/>
      <c r="J17" s="695" t="s">
        <v>1666</v>
      </c>
      <c r="K17" s="152"/>
      <c r="L17" s="152"/>
      <c r="M17" s="152"/>
      <c r="N17" s="152"/>
      <c r="O17" s="152"/>
      <c r="P17" s="152"/>
      <c r="Q17" s="153"/>
      <c r="R17" s="696" t="s">
        <v>2</v>
      </c>
      <c r="S17" s="155"/>
      <c r="T17" s="155"/>
      <c r="U17" s="155"/>
      <c r="V17" s="156"/>
    </row>
    <row r="18" spans="1:24" s="98" customFormat="1" ht="15" customHeight="1">
      <c r="A18" s="99"/>
      <c r="B18" s="115"/>
      <c r="C18" s="116"/>
      <c r="D18" s="116"/>
      <c r="E18" s="116"/>
      <c r="F18" s="116"/>
      <c r="G18" s="117"/>
      <c r="H18" s="117"/>
      <c r="I18" s="119" t="s">
        <v>1667</v>
      </c>
      <c r="J18" s="158" t="s">
        <v>453</v>
      </c>
      <c r="K18" s="137" t="s">
        <v>455</v>
      </c>
      <c r="L18" s="137" t="s">
        <v>457</v>
      </c>
      <c r="M18" s="137" t="s">
        <v>459</v>
      </c>
      <c r="N18" s="137" t="s">
        <v>461</v>
      </c>
      <c r="O18" s="137" t="s">
        <v>463</v>
      </c>
      <c r="P18" s="137" t="s">
        <v>465</v>
      </c>
      <c r="Q18" s="138" t="s">
        <v>467</v>
      </c>
      <c r="R18" s="120" t="s">
        <v>469</v>
      </c>
      <c r="S18" s="121" t="s">
        <v>471</v>
      </c>
      <c r="T18" s="121" t="s">
        <v>473</v>
      </c>
      <c r="U18" s="121" t="s">
        <v>475</v>
      </c>
      <c r="V18" s="122" t="s">
        <v>477</v>
      </c>
    </row>
    <row r="19" spans="1:24" s="98" customFormat="1" ht="15" customHeight="1">
      <c r="A19" s="99"/>
      <c r="B19" s="161"/>
      <c r="C19" s="186" t="s">
        <v>2122</v>
      </c>
      <c r="D19" s="162"/>
      <c r="E19" s="162"/>
      <c r="F19" s="162"/>
      <c r="G19" s="163"/>
      <c r="H19" s="163"/>
      <c r="I19" s="117"/>
      <c r="J19" s="159"/>
      <c r="K19" s="117"/>
      <c r="L19" s="117"/>
      <c r="M19" s="117"/>
      <c r="N19" s="117"/>
      <c r="O19" s="117"/>
      <c r="P19" s="117"/>
      <c r="Q19" s="160"/>
      <c r="R19" s="159"/>
      <c r="S19" s="117"/>
      <c r="T19" s="117"/>
      <c r="U19" s="117"/>
      <c r="V19" s="160"/>
    </row>
    <row r="20" spans="1:24" s="98" customFormat="1" ht="15" customHeight="1">
      <c r="A20" s="99"/>
      <c r="B20" s="161"/>
      <c r="D20" s="162" t="s">
        <v>2123</v>
      </c>
      <c r="E20" s="162"/>
      <c r="F20" s="162"/>
      <c r="G20" s="163"/>
      <c r="H20" s="163"/>
      <c r="I20" s="119" t="s">
        <v>498</v>
      </c>
      <c r="J20" s="143">
        <v>0.20887187938792287</v>
      </c>
      <c r="K20" s="141">
        <v>0</v>
      </c>
      <c r="L20" s="141">
        <v>0</v>
      </c>
      <c r="M20" s="141">
        <v>0</v>
      </c>
      <c r="N20" s="141">
        <v>0</v>
      </c>
      <c r="O20" s="141">
        <v>0</v>
      </c>
      <c r="P20" s="141">
        <v>0.258328</v>
      </c>
      <c r="Q20" s="144">
        <v>0.71466050000000003</v>
      </c>
      <c r="R20" s="143">
        <v>0.75885000000000002</v>
      </c>
      <c r="S20" s="141">
        <v>0.64328099999999999</v>
      </c>
      <c r="T20" s="141">
        <v>0.60588900000000001</v>
      </c>
      <c r="U20" s="141">
        <v>0.64328099999999999</v>
      </c>
      <c r="V20" s="144">
        <v>0.57359800000000005</v>
      </c>
    </row>
    <row r="21" spans="1:24" s="98" customFormat="1" ht="15" customHeight="1">
      <c r="A21" s="99"/>
      <c r="B21" s="161"/>
      <c r="D21" s="162" t="s">
        <v>2124</v>
      </c>
      <c r="E21" s="162"/>
      <c r="F21" s="162"/>
      <c r="G21" s="163"/>
      <c r="H21" s="163"/>
      <c r="I21" s="119" t="s">
        <v>498</v>
      </c>
      <c r="J21" s="143">
        <v>0.7018152620919782</v>
      </c>
      <c r="K21" s="141">
        <v>0.16888100259740255</v>
      </c>
      <c r="L21" s="141">
        <v>0</v>
      </c>
      <c r="M21" s="141">
        <v>0</v>
      </c>
      <c r="N21" s="141">
        <v>0.13291562986075342</v>
      </c>
      <c r="O21" s="141">
        <v>0.32696544999999994</v>
      </c>
      <c r="P21" s="141">
        <v>0.2243405</v>
      </c>
      <c r="Q21" s="144">
        <v>0.26597949999999998</v>
      </c>
      <c r="R21" s="143">
        <v>0.2753275</v>
      </c>
      <c r="S21" s="141">
        <v>0.249834</v>
      </c>
      <c r="T21" s="141">
        <v>0.249834</v>
      </c>
      <c r="U21" s="141">
        <v>0.249834</v>
      </c>
      <c r="V21" s="144">
        <v>0.28212500000000001</v>
      </c>
    </row>
    <row r="22" spans="1:24" s="98" customFormat="1" ht="15" customHeight="1">
      <c r="A22" s="99"/>
      <c r="B22" s="161"/>
      <c r="D22" s="162" t="s">
        <v>2060</v>
      </c>
      <c r="E22" s="162"/>
      <c r="F22" s="162"/>
      <c r="G22" s="163"/>
      <c r="H22" s="163"/>
      <c r="I22" s="119" t="s">
        <v>498</v>
      </c>
      <c r="J22" s="143">
        <v>0.11823381347761368</v>
      </c>
      <c r="K22" s="141">
        <v>0.33003542337662323</v>
      </c>
      <c r="L22" s="141">
        <v>0.1501223065375305</v>
      </c>
      <c r="M22" s="141">
        <v>0.14452627390502348</v>
      </c>
      <c r="N22" s="141">
        <v>0.13068495087607487</v>
      </c>
      <c r="O22" s="141">
        <v>0.12960041</v>
      </c>
      <c r="P22" s="141">
        <v>0.30225600000000002</v>
      </c>
      <c r="Q22" s="144">
        <v>0.41225600000000001</v>
      </c>
      <c r="R22" s="143">
        <v>0.41225600000000001</v>
      </c>
      <c r="S22" s="141">
        <v>0.41225600000000001</v>
      </c>
      <c r="T22" s="141">
        <v>0.41225600000000001</v>
      </c>
      <c r="U22" s="141">
        <v>0.41225600000000001</v>
      </c>
      <c r="V22" s="144">
        <v>0.41225600000000001</v>
      </c>
    </row>
    <row r="23" spans="1:24" s="98" customFormat="1" ht="15" customHeight="1">
      <c r="A23" s="99"/>
      <c r="B23" s="181"/>
      <c r="C23" s="182" t="s">
        <v>1710</v>
      </c>
      <c r="D23" s="183"/>
      <c r="E23" s="183"/>
      <c r="F23" s="183"/>
      <c r="G23" s="184"/>
      <c r="H23" s="184"/>
      <c r="I23" s="119" t="s">
        <v>498</v>
      </c>
      <c r="J23" s="128">
        <f>SUM(J20:J22)</f>
        <v>1.0289209549575147</v>
      </c>
      <c r="K23" s="129">
        <f t="shared" ref="K23:V23" si="4">SUM(K20:K22)</f>
        <v>0.49891642597402575</v>
      </c>
      <c r="L23" s="129">
        <f t="shared" si="4"/>
        <v>0.1501223065375305</v>
      </c>
      <c r="M23" s="129">
        <f t="shared" si="4"/>
        <v>0.14452627390502348</v>
      </c>
      <c r="N23" s="129">
        <f t="shared" si="4"/>
        <v>0.26360058073682829</v>
      </c>
      <c r="O23" s="129">
        <f t="shared" si="4"/>
        <v>0.45656585999999993</v>
      </c>
      <c r="P23" s="129">
        <f t="shared" si="4"/>
        <v>0.78492450000000002</v>
      </c>
      <c r="Q23" s="130">
        <f t="shared" si="4"/>
        <v>1.3928959999999999</v>
      </c>
      <c r="R23" s="128">
        <f t="shared" si="4"/>
        <v>1.4464334999999999</v>
      </c>
      <c r="S23" s="129">
        <f t="shared" si="4"/>
        <v>1.3053710000000001</v>
      </c>
      <c r="T23" s="129">
        <f t="shared" si="4"/>
        <v>1.267979</v>
      </c>
      <c r="U23" s="129">
        <f t="shared" si="4"/>
        <v>1.3053710000000001</v>
      </c>
      <c r="V23" s="130">
        <f t="shared" si="4"/>
        <v>1.267979</v>
      </c>
      <c r="W23" s="185"/>
    </row>
    <row r="24" spans="1:24" s="98" customFormat="1" ht="15" customHeight="1">
      <c r="A24" s="99"/>
      <c r="B24" s="161"/>
      <c r="C24" s="116"/>
      <c r="D24" s="116"/>
      <c r="E24" s="116"/>
      <c r="F24" s="116"/>
      <c r="G24" s="117"/>
      <c r="H24" s="117"/>
      <c r="I24" s="117"/>
      <c r="J24" s="713"/>
      <c r="K24" s="721"/>
      <c r="L24" s="721"/>
      <c r="M24" s="721"/>
      <c r="N24" s="721"/>
      <c r="O24" s="721"/>
      <c r="P24" s="721"/>
      <c r="Q24" s="715"/>
      <c r="R24" s="713"/>
      <c r="S24" s="721"/>
      <c r="T24" s="721"/>
      <c r="U24" s="721"/>
      <c r="V24" s="715"/>
    </row>
    <row r="25" spans="1:24" s="98" customFormat="1" ht="15" customHeight="1">
      <c r="A25" s="99"/>
      <c r="B25" s="161"/>
      <c r="C25" s="186" t="s">
        <v>2125</v>
      </c>
      <c r="D25" s="162"/>
      <c r="E25" s="162"/>
      <c r="F25" s="162"/>
      <c r="G25" s="163"/>
      <c r="H25" s="163"/>
      <c r="I25" s="117"/>
      <c r="J25" s="713"/>
      <c r="K25" s="721"/>
      <c r="L25" s="721"/>
      <c r="M25" s="721"/>
      <c r="N25" s="721"/>
      <c r="O25" s="721"/>
      <c r="P25" s="721"/>
      <c r="Q25" s="715"/>
      <c r="R25" s="713"/>
      <c r="S25" s="721"/>
      <c r="T25" s="721"/>
      <c r="U25" s="721"/>
      <c r="V25" s="715"/>
    </row>
    <row r="26" spans="1:24" s="98" customFormat="1" ht="15" customHeight="1">
      <c r="A26" s="99"/>
      <c r="B26" s="161"/>
      <c r="D26" s="162" t="s">
        <v>2123</v>
      </c>
      <c r="E26" s="162"/>
      <c r="F26" s="162"/>
      <c r="G26" s="163"/>
      <c r="H26" s="163"/>
      <c r="I26" s="119" t="s">
        <v>498</v>
      </c>
      <c r="J26" s="143">
        <v>0</v>
      </c>
      <c r="K26" s="141">
        <v>0</v>
      </c>
      <c r="L26" s="141">
        <v>0</v>
      </c>
      <c r="M26" s="141">
        <v>0</v>
      </c>
      <c r="N26" s="141">
        <v>0</v>
      </c>
      <c r="O26" s="141">
        <v>0</v>
      </c>
      <c r="P26" s="141">
        <v>0</v>
      </c>
      <c r="Q26" s="144">
        <v>0</v>
      </c>
      <c r="R26" s="143">
        <v>0</v>
      </c>
      <c r="S26" s="141">
        <v>0</v>
      </c>
      <c r="T26" s="141">
        <v>0</v>
      </c>
      <c r="U26" s="141">
        <v>0</v>
      </c>
      <c r="V26" s="144">
        <v>0</v>
      </c>
    </row>
    <row r="27" spans="1:24" s="98" customFormat="1" ht="15" customHeight="1">
      <c r="A27" s="99"/>
      <c r="B27" s="161"/>
      <c r="D27" s="162" t="s">
        <v>2124</v>
      </c>
      <c r="E27" s="162"/>
      <c r="F27" s="162"/>
      <c r="G27" s="163"/>
      <c r="H27" s="163"/>
      <c r="I27" s="119" t="s">
        <v>498</v>
      </c>
      <c r="J27" s="143">
        <v>0</v>
      </c>
      <c r="K27" s="141">
        <v>0</v>
      </c>
      <c r="L27" s="141">
        <v>0</v>
      </c>
      <c r="M27" s="141">
        <v>0</v>
      </c>
      <c r="N27" s="141">
        <v>0</v>
      </c>
      <c r="O27" s="141">
        <v>0</v>
      </c>
      <c r="P27" s="141">
        <v>0</v>
      </c>
      <c r="Q27" s="144">
        <v>0</v>
      </c>
      <c r="R27" s="143">
        <v>0</v>
      </c>
      <c r="S27" s="141">
        <v>0</v>
      </c>
      <c r="T27" s="141">
        <v>0</v>
      </c>
      <c r="U27" s="141">
        <v>0</v>
      </c>
      <c r="V27" s="144">
        <v>0</v>
      </c>
    </row>
    <row r="28" spans="1:24" s="98" customFormat="1" ht="15" customHeight="1">
      <c r="A28" s="99"/>
      <c r="B28" s="161"/>
      <c r="D28" s="162" t="s">
        <v>2060</v>
      </c>
      <c r="E28" s="162"/>
      <c r="F28" s="162"/>
      <c r="G28" s="163"/>
      <c r="H28" s="163"/>
      <c r="I28" s="119" t="s">
        <v>498</v>
      </c>
      <c r="J28" s="143">
        <v>0</v>
      </c>
      <c r="K28" s="141">
        <v>0</v>
      </c>
      <c r="L28" s="141">
        <v>0</v>
      </c>
      <c r="M28" s="141">
        <v>0</v>
      </c>
      <c r="N28" s="141">
        <v>0</v>
      </c>
      <c r="O28" s="141">
        <v>0</v>
      </c>
      <c r="P28" s="141">
        <v>0</v>
      </c>
      <c r="Q28" s="144">
        <v>0</v>
      </c>
      <c r="R28" s="143">
        <v>0</v>
      </c>
      <c r="S28" s="141">
        <v>0</v>
      </c>
      <c r="T28" s="141">
        <v>0</v>
      </c>
      <c r="U28" s="141">
        <v>0</v>
      </c>
      <c r="V28" s="144">
        <v>0</v>
      </c>
    </row>
    <row r="29" spans="1:24" s="98" customFormat="1" ht="15" customHeight="1">
      <c r="A29" s="99"/>
      <c r="B29" s="181"/>
      <c r="C29" s="182" t="s">
        <v>1710</v>
      </c>
      <c r="D29" s="183"/>
      <c r="E29" s="183"/>
      <c r="F29" s="183"/>
      <c r="G29" s="184"/>
      <c r="H29" s="184"/>
      <c r="I29" s="119" t="s">
        <v>498</v>
      </c>
      <c r="J29" s="128">
        <f>SUM(J26:J28)</f>
        <v>0</v>
      </c>
      <c r="K29" s="129">
        <f t="shared" ref="K29" si="5">SUM(K26:K28)</f>
        <v>0</v>
      </c>
      <c r="L29" s="129">
        <f t="shared" ref="L29" si="6">SUM(L26:L28)</f>
        <v>0</v>
      </c>
      <c r="M29" s="129">
        <f t="shared" ref="M29" si="7">SUM(M26:M28)</f>
        <v>0</v>
      </c>
      <c r="N29" s="129">
        <f t="shared" ref="N29" si="8">SUM(N26:N28)</f>
        <v>0</v>
      </c>
      <c r="O29" s="129">
        <f t="shared" ref="O29" si="9">SUM(O26:O28)</f>
        <v>0</v>
      </c>
      <c r="P29" s="129">
        <f t="shared" ref="P29" si="10">SUM(P26:P28)</f>
        <v>0</v>
      </c>
      <c r="Q29" s="130">
        <f t="shared" ref="Q29" si="11">SUM(Q26:Q28)</f>
        <v>0</v>
      </c>
      <c r="R29" s="128">
        <f t="shared" ref="R29" si="12">SUM(R26:R28)</f>
        <v>0</v>
      </c>
      <c r="S29" s="129">
        <f t="shared" ref="S29" si="13">SUM(S26:S28)</f>
        <v>0</v>
      </c>
      <c r="T29" s="129">
        <f t="shared" ref="T29" si="14">SUM(T26:T28)</f>
        <v>0</v>
      </c>
      <c r="U29" s="129">
        <f t="shared" ref="U29" si="15">SUM(U26:U28)</f>
        <v>0</v>
      </c>
      <c r="V29" s="130">
        <f t="shared" ref="V29" si="16">SUM(V26:V28)</f>
        <v>0</v>
      </c>
      <c r="W29" s="185"/>
    </row>
    <row r="30" spans="1:24" s="98" customFormat="1" ht="15" customHeight="1">
      <c r="A30" s="99"/>
      <c r="B30" s="161"/>
      <c r="C30" s="116"/>
      <c r="D30" s="116"/>
      <c r="E30" s="116"/>
      <c r="F30" s="116"/>
      <c r="G30" s="117"/>
      <c r="H30" s="117"/>
      <c r="I30" s="117"/>
      <c r="J30" s="713"/>
      <c r="K30" s="721"/>
      <c r="L30" s="721"/>
      <c r="M30" s="721"/>
      <c r="N30" s="721"/>
      <c r="O30" s="721"/>
      <c r="P30" s="721"/>
      <c r="Q30" s="715"/>
      <c r="R30" s="713"/>
      <c r="S30" s="721"/>
      <c r="T30" s="721"/>
      <c r="U30" s="721"/>
      <c r="V30" s="715"/>
    </row>
    <row r="31" spans="1:24" s="98" customFormat="1" ht="15" customHeight="1" thickBot="1">
      <c r="A31" s="99"/>
      <c r="B31" s="131" t="s">
        <v>1701</v>
      </c>
      <c r="C31" s="132"/>
      <c r="D31" s="132"/>
      <c r="E31" s="132"/>
      <c r="F31" s="132"/>
      <c r="G31" s="145"/>
      <c r="H31" s="133"/>
      <c r="I31" s="146" t="s">
        <v>498</v>
      </c>
      <c r="J31" s="717">
        <f>SUM(J23,J29)</f>
        <v>1.0289209549575147</v>
      </c>
      <c r="K31" s="718">
        <f t="shared" ref="K31:V31" si="17">SUM(K23,K29)</f>
        <v>0.49891642597402575</v>
      </c>
      <c r="L31" s="718">
        <f t="shared" si="17"/>
        <v>0.1501223065375305</v>
      </c>
      <c r="M31" s="718">
        <f t="shared" si="17"/>
        <v>0.14452627390502348</v>
      </c>
      <c r="N31" s="718">
        <f t="shared" si="17"/>
        <v>0.26360058073682829</v>
      </c>
      <c r="O31" s="718">
        <f t="shared" si="17"/>
        <v>0.45656585999999993</v>
      </c>
      <c r="P31" s="718">
        <f t="shared" si="17"/>
        <v>0.78492450000000002</v>
      </c>
      <c r="Q31" s="719">
        <f t="shared" si="17"/>
        <v>1.3928959999999999</v>
      </c>
      <c r="R31" s="717">
        <f t="shared" si="17"/>
        <v>1.4464334999999999</v>
      </c>
      <c r="S31" s="718">
        <f t="shared" si="17"/>
        <v>1.3053710000000001</v>
      </c>
      <c r="T31" s="718">
        <f t="shared" si="17"/>
        <v>1.267979</v>
      </c>
      <c r="U31" s="718">
        <f t="shared" si="17"/>
        <v>1.3053710000000001</v>
      </c>
      <c r="V31" s="719">
        <f t="shared" si="17"/>
        <v>1.267979</v>
      </c>
    </row>
    <row r="32" spans="1:24" s="99" customFormat="1" ht="15" customHeight="1" thickBot="1">
      <c r="B32" s="150"/>
      <c r="C32" s="150"/>
      <c r="D32" s="150"/>
      <c r="E32" s="150"/>
      <c r="F32" s="150"/>
      <c r="G32" s="97"/>
      <c r="H32" s="97"/>
      <c r="I32" s="98"/>
      <c r="J32" s="98"/>
      <c r="K32" s="98"/>
      <c r="L32" s="98"/>
      <c r="M32" s="98"/>
      <c r="N32" s="98"/>
      <c r="O32" s="98"/>
      <c r="P32" s="98"/>
      <c r="Q32" s="98"/>
      <c r="R32" s="98"/>
      <c r="S32" s="98"/>
      <c r="T32" s="98"/>
      <c r="U32" s="98"/>
      <c r="V32" s="98"/>
      <c r="W32" s="98"/>
      <c r="X32" s="98"/>
    </row>
    <row r="33" spans="1:24" s="100" customFormat="1" ht="30" customHeight="1" thickBot="1">
      <c r="A33" s="89"/>
      <c r="B33" s="621" t="s">
        <v>2120</v>
      </c>
      <c r="C33" s="102"/>
      <c r="D33" s="102"/>
      <c r="E33" s="102"/>
      <c r="F33" s="102"/>
      <c r="G33" s="103"/>
      <c r="H33" s="103"/>
      <c r="I33" s="105" t="s">
        <v>1864</v>
      </c>
      <c r="J33" s="106"/>
      <c r="K33" s="106"/>
      <c r="L33" s="106"/>
      <c r="M33" s="106"/>
      <c r="N33" s="106"/>
      <c r="O33" s="106"/>
      <c r="P33" s="106"/>
      <c r="Q33" s="106"/>
      <c r="R33" s="105"/>
      <c r="S33" s="105"/>
      <c r="T33" s="105"/>
      <c r="U33" s="105"/>
      <c r="V33" s="105"/>
    </row>
    <row r="34" spans="1:24" s="157" customFormat="1" ht="30" customHeight="1">
      <c r="A34" s="99"/>
      <c r="B34" s="109"/>
      <c r="C34" s="110"/>
      <c r="D34" s="110"/>
      <c r="E34" s="110"/>
      <c r="F34" s="110"/>
      <c r="G34" s="111"/>
      <c r="H34" s="111"/>
      <c r="I34" s="117"/>
      <c r="J34" s="695" t="s">
        <v>1666</v>
      </c>
      <c r="K34" s="152"/>
      <c r="L34" s="152"/>
      <c r="M34" s="152"/>
      <c r="N34" s="152"/>
      <c r="O34" s="152"/>
      <c r="P34" s="152"/>
      <c r="Q34" s="153"/>
      <c r="R34" s="696" t="s">
        <v>2</v>
      </c>
      <c r="S34" s="155"/>
      <c r="T34" s="155"/>
      <c r="U34" s="155"/>
      <c r="V34" s="156"/>
    </row>
    <row r="35" spans="1:24" s="98" customFormat="1" ht="15" customHeight="1">
      <c r="A35" s="99"/>
      <c r="B35" s="115"/>
      <c r="C35" s="116"/>
      <c r="D35" s="116"/>
      <c r="E35" s="116"/>
      <c r="F35" s="116"/>
      <c r="G35" s="117"/>
      <c r="H35" s="117"/>
      <c r="I35" s="119" t="s">
        <v>1667</v>
      </c>
      <c r="J35" s="158" t="s">
        <v>453</v>
      </c>
      <c r="K35" s="137" t="s">
        <v>455</v>
      </c>
      <c r="L35" s="137" t="s">
        <v>457</v>
      </c>
      <c r="M35" s="137" t="s">
        <v>459</v>
      </c>
      <c r="N35" s="137" t="s">
        <v>461</v>
      </c>
      <c r="O35" s="137" t="s">
        <v>463</v>
      </c>
      <c r="P35" s="137" t="s">
        <v>465</v>
      </c>
      <c r="Q35" s="138" t="s">
        <v>467</v>
      </c>
      <c r="R35" s="120" t="s">
        <v>469</v>
      </c>
      <c r="S35" s="121" t="s">
        <v>471</v>
      </c>
      <c r="T35" s="121" t="s">
        <v>473</v>
      </c>
      <c r="U35" s="121" t="s">
        <v>475</v>
      </c>
      <c r="V35" s="122" t="s">
        <v>477</v>
      </c>
    </row>
    <row r="36" spans="1:24" s="98" customFormat="1" ht="15" customHeight="1">
      <c r="A36" s="99"/>
      <c r="B36" s="161"/>
      <c r="C36" s="186" t="s">
        <v>1897</v>
      </c>
      <c r="D36" s="162"/>
      <c r="E36" s="162"/>
      <c r="F36" s="162"/>
      <c r="G36" s="163"/>
      <c r="H36" s="163"/>
      <c r="I36" s="117"/>
      <c r="J36" s="159"/>
      <c r="K36" s="117"/>
      <c r="L36" s="117"/>
      <c r="M36" s="117"/>
      <c r="N36" s="117"/>
      <c r="O36" s="117"/>
      <c r="P36" s="117"/>
      <c r="Q36" s="160"/>
      <c r="R36" s="159"/>
      <c r="S36" s="117"/>
      <c r="T36" s="117"/>
      <c r="U36" s="117"/>
      <c r="V36" s="160"/>
    </row>
    <row r="37" spans="1:24" s="98" customFormat="1" ht="15" customHeight="1">
      <c r="A37" s="99"/>
      <c r="B37" s="161"/>
      <c r="D37" s="162" t="s">
        <v>2123</v>
      </c>
      <c r="E37" s="162"/>
      <c r="F37" s="162"/>
      <c r="G37" s="163"/>
      <c r="H37" s="163"/>
      <c r="I37" s="119" t="s">
        <v>498</v>
      </c>
      <c r="J37" s="143">
        <v>4.8646598987975326E-2</v>
      </c>
      <c r="K37" s="141">
        <v>-2.8698732467532455E-2</v>
      </c>
      <c r="L37" s="141">
        <v>0</v>
      </c>
      <c r="M37" s="141">
        <v>0</v>
      </c>
      <c r="N37" s="141">
        <v>0</v>
      </c>
      <c r="O37" s="141">
        <v>1.6199999999999999E-2</v>
      </c>
      <c r="P37" s="141">
        <v>0.216</v>
      </c>
      <c r="Q37" s="144">
        <v>0.47249999999999998</v>
      </c>
      <c r="R37" s="143">
        <v>0.48599999999999999</v>
      </c>
      <c r="S37" s="141">
        <v>0.40500000000000003</v>
      </c>
      <c r="T37" s="141">
        <v>0.40500000000000003</v>
      </c>
      <c r="U37" s="141">
        <v>0.40500000000000003</v>
      </c>
      <c r="V37" s="144">
        <v>0.378</v>
      </c>
    </row>
    <row r="38" spans="1:24" s="98" customFormat="1" ht="15" customHeight="1">
      <c r="A38" s="99"/>
      <c r="B38" s="161"/>
      <c r="D38" s="162" t="s">
        <v>2124</v>
      </c>
      <c r="E38" s="162"/>
      <c r="F38" s="162"/>
      <c r="G38" s="163"/>
      <c r="H38" s="163"/>
      <c r="I38" s="119" t="s">
        <v>498</v>
      </c>
      <c r="J38" s="143">
        <v>0.25001310606428229</v>
      </c>
      <c r="K38" s="141">
        <v>5.8501262337662313E-2</v>
      </c>
      <c r="L38" s="141">
        <v>7.0938022664782203E-3</v>
      </c>
      <c r="M38" s="141">
        <v>9.2547222980316358E-3</v>
      </c>
      <c r="N38" s="141">
        <v>0</v>
      </c>
      <c r="O38" s="141">
        <v>9.3409109989032735E-2</v>
      </c>
      <c r="P38" s="141">
        <v>4.9500000000000002E-2</v>
      </c>
      <c r="Q38" s="144">
        <v>5.8500000000000003E-2</v>
      </c>
      <c r="R38" s="143">
        <v>5.8500000000000003E-2</v>
      </c>
      <c r="S38" s="141">
        <v>5.3999999999999999E-2</v>
      </c>
      <c r="T38" s="141">
        <v>5.3999999999999999E-2</v>
      </c>
      <c r="U38" s="141">
        <v>5.3999999999999999E-2</v>
      </c>
      <c r="V38" s="144">
        <v>6.3E-2</v>
      </c>
    </row>
    <row r="39" spans="1:24" s="98" customFormat="1" ht="15" customHeight="1">
      <c r="A39" s="99"/>
      <c r="B39" s="161"/>
      <c r="D39" s="162" t="s">
        <v>2060</v>
      </c>
      <c r="E39" s="162"/>
      <c r="F39" s="162"/>
      <c r="G39" s="163"/>
      <c r="H39" s="163"/>
      <c r="I39" s="119" t="s">
        <v>498</v>
      </c>
      <c r="J39" s="143">
        <v>2.7513624902575336E-3</v>
      </c>
      <c r="K39" s="141">
        <v>0</v>
      </c>
      <c r="L39" s="141">
        <v>2.3218770500321208E-3</v>
      </c>
      <c r="M39" s="141">
        <v>0</v>
      </c>
      <c r="N39" s="141">
        <v>1.035528107948841E-2</v>
      </c>
      <c r="O39" s="141">
        <v>1.7079260029947755E-2</v>
      </c>
      <c r="P39" s="141">
        <v>6.7000000000000004E-2</v>
      </c>
      <c r="Q39" s="144">
        <v>8.2000000000000003E-2</v>
      </c>
      <c r="R39" s="143">
        <v>8.2000000000000003E-2</v>
      </c>
      <c r="S39" s="141">
        <v>8.2000000000000003E-2</v>
      </c>
      <c r="T39" s="141">
        <v>8.2000000000000003E-2</v>
      </c>
      <c r="U39" s="141">
        <v>8.2000000000000003E-2</v>
      </c>
      <c r="V39" s="144">
        <v>8.2000000000000003E-2</v>
      </c>
    </row>
    <row r="40" spans="1:24" s="98" customFormat="1" ht="15" customHeight="1">
      <c r="A40" s="99"/>
      <c r="B40" s="161"/>
      <c r="D40" s="162" t="s">
        <v>2126</v>
      </c>
      <c r="E40" s="162"/>
      <c r="F40" s="162"/>
      <c r="G40" s="163"/>
      <c r="H40" s="163"/>
      <c r="I40" s="117"/>
      <c r="J40" s="713"/>
      <c r="K40" s="721"/>
      <c r="L40" s="721"/>
      <c r="M40" s="721"/>
      <c r="N40" s="721"/>
      <c r="O40" s="721"/>
      <c r="P40" s="721"/>
      <c r="Q40" s="715"/>
      <c r="R40" s="713"/>
      <c r="S40" s="721"/>
      <c r="T40" s="721"/>
      <c r="U40" s="721"/>
      <c r="V40" s="715"/>
    </row>
    <row r="41" spans="1:24" s="98" customFormat="1" ht="15" customHeight="1">
      <c r="A41" s="99"/>
      <c r="B41" s="161"/>
      <c r="D41" s="162"/>
      <c r="E41" s="162" t="s">
        <v>85</v>
      </c>
      <c r="F41" s="162"/>
      <c r="G41" s="767"/>
      <c r="H41" s="163"/>
      <c r="I41" s="119" t="s">
        <v>498</v>
      </c>
      <c r="J41" s="143">
        <v>0</v>
      </c>
      <c r="K41" s="141">
        <v>0</v>
      </c>
      <c r="L41" s="141">
        <v>0</v>
      </c>
      <c r="M41" s="141">
        <v>0</v>
      </c>
      <c r="N41" s="141">
        <v>0</v>
      </c>
      <c r="O41" s="141">
        <v>0</v>
      </c>
      <c r="P41" s="141">
        <v>0</v>
      </c>
      <c r="Q41" s="144">
        <v>0</v>
      </c>
      <c r="R41" s="143">
        <v>0</v>
      </c>
      <c r="S41" s="141">
        <v>0</v>
      </c>
      <c r="T41" s="141">
        <v>0</v>
      </c>
      <c r="U41" s="141">
        <v>0</v>
      </c>
      <c r="V41" s="144">
        <v>0</v>
      </c>
    </row>
    <row r="42" spans="1:24" s="98" customFormat="1" ht="15" customHeight="1">
      <c r="A42" s="99"/>
      <c r="B42" s="161"/>
      <c r="D42" s="162"/>
      <c r="E42" s="162" t="s">
        <v>85</v>
      </c>
      <c r="F42" s="162"/>
      <c r="G42" s="767"/>
      <c r="H42" s="163"/>
      <c r="I42" s="119" t="s">
        <v>498</v>
      </c>
      <c r="J42" s="143">
        <v>0</v>
      </c>
      <c r="K42" s="141">
        <v>0</v>
      </c>
      <c r="L42" s="141">
        <v>0</v>
      </c>
      <c r="M42" s="141">
        <v>0</v>
      </c>
      <c r="N42" s="141">
        <v>0</v>
      </c>
      <c r="O42" s="141">
        <v>0</v>
      </c>
      <c r="P42" s="141">
        <v>0</v>
      </c>
      <c r="Q42" s="144">
        <v>0</v>
      </c>
      <c r="R42" s="143">
        <v>0</v>
      </c>
      <c r="S42" s="141">
        <v>0</v>
      </c>
      <c r="T42" s="141">
        <v>0</v>
      </c>
      <c r="U42" s="141">
        <v>0</v>
      </c>
      <c r="V42" s="144">
        <v>0</v>
      </c>
    </row>
    <row r="43" spans="1:24" s="98" customFormat="1" ht="15" customHeight="1">
      <c r="A43" s="99"/>
      <c r="B43" s="161"/>
      <c r="D43" s="162"/>
      <c r="E43" s="162" t="s">
        <v>85</v>
      </c>
      <c r="F43" s="162"/>
      <c r="G43" s="767"/>
      <c r="H43" s="163"/>
      <c r="I43" s="119" t="s">
        <v>498</v>
      </c>
      <c r="J43" s="143">
        <v>0</v>
      </c>
      <c r="K43" s="141">
        <v>0</v>
      </c>
      <c r="L43" s="141">
        <v>0</v>
      </c>
      <c r="M43" s="141">
        <v>0</v>
      </c>
      <c r="N43" s="141">
        <v>0</v>
      </c>
      <c r="O43" s="141">
        <v>0</v>
      </c>
      <c r="P43" s="141">
        <v>0</v>
      </c>
      <c r="Q43" s="144">
        <v>0</v>
      </c>
      <c r="R43" s="143">
        <v>0</v>
      </c>
      <c r="S43" s="141">
        <v>0</v>
      </c>
      <c r="T43" s="141">
        <v>0</v>
      </c>
      <c r="U43" s="141">
        <v>0</v>
      </c>
      <c r="V43" s="144">
        <v>0</v>
      </c>
    </row>
    <row r="44" spans="1:24" s="98" customFormat="1" ht="15" customHeight="1" thickBot="1">
      <c r="A44" s="99"/>
      <c r="B44" s="131" t="s">
        <v>1701</v>
      </c>
      <c r="C44" s="132"/>
      <c r="D44" s="132"/>
      <c r="E44" s="132"/>
      <c r="F44" s="132"/>
      <c r="G44" s="145"/>
      <c r="H44" s="133"/>
      <c r="I44" s="146" t="s">
        <v>498</v>
      </c>
      <c r="J44" s="717">
        <f t="shared" ref="J44:V44" si="18">SUM(J37:J39,J41:J43)</f>
        <v>0.30141106754251512</v>
      </c>
      <c r="K44" s="718">
        <f t="shared" si="18"/>
        <v>2.9802529870129858E-2</v>
      </c>
      <c r="L44" s="718">
        <f t="shared" si="18"/>
        <v>9.415679316510342E-3</v>
      </c>
      <c r="M44" s="718">
        <f t="shared" si="18"/>
        <v>9.2547222980316358E-3</v>
      </c>
      <c r="N44" s="718">
        <f t="shared" si="18"/>
        <v>1.035528107948841E-2</v>
      </c>
      <c r="O44" s="718">
        <f t="shared" si="18"/>
        <v>0.12668837001898048</v>
      </c>
      <c r="P44" s="718">
        <f t="shared" si="18"/>
        <v>0.33250000000000002</v>
      </c>
      <c r="Q44" s="719">
        <f t="shared" si="18"/>
        <v>0.61299999999999999</v>
      </c>
      <c r="R44" s="717">
        <f t="shared" si="18"/>
        <v>0.62649999999999995</v>
      </c>
      <c r="S44" s="718">
        <f t="shared" si="18"/>
        <v>0.54100000000000004</v>
      </c>
      <c r="T44" s="718">
        <f t="shared" si="18"/>
        <v>0.54100000000000004</v>
      </c>
      <c r="U44" s="718">
        <f t="shared" si="18"/>
        <v>0.54100000000000004</v>
      </c>
      <c r="V44" s="719">
        <f t="shared" si="18"/>
        <v>0.52300000000000002</v>
      </c>
    </row>
    <row r="45" spans="1:24" s="99" customFormat="1" ht="15" customHeight="1" thickBot="1">
      <c r="B45" s="150"/>
      <c r="C45" s="150"/>
      <c r="D45" s="150"/>
      <c r="E45" s="150"/>
      <c r="F45" s="150"/>
      <c r="G45" s="97"/>
      <c r="H45" s="97"/>
      <c r="I45" s="98"/>
      <c r="J45" s="98"/>
      <c r="K45" s="98"/>
      <c r="L45" s="98"/>
      <c r="M45" s="98"/>
      <c r="N45" s="98"/>
      <c r="O45" s="98"/>
      <c r="P45" s="98"/>
      <c r="Q45" s="98"/>
      <c r="R45" s="98"/>
      <c r="S45" s="98"/>
      <c r="T45" s="98"/>
      <c r="U45" s="98"/>
      <c r="V45" s="98"/>
      <c r="W45" s="98"/>
      <c r="X45" s="98"/>
    </row>
    <row r="46" spans="1:24" s="100" customFormat="1" ht="30" customHeight="1" thickBot="1">
      <c r="A46" s="89"/>
      <c r="B46" s="621" t="s">
        <v>2121</v>
      </c>
      <c r="C46" s="102"/>
      <c r="D46" s="102"/>
      <c r="E46" s="102"/>
      <c r="F46" s="102"/>
      <c r="G46" s="103"/>
      <c r="H46" s="103"/>
      <c r="I46" s="105" t="s">
        <v>1864</v>
      </c>
      <c r="J46" s="106"/>
      <c r="K46" s="106"/>
      <c r="L46" s="106"/>
      <c r="M46" s="106"/>
      <c r="N46" s="106"/>
      <c r="O46" s="106"/>
      <c r="P46" s="106"/>
      <c r="Q46" s="106"/>
      <c r="R46" s="105"/>
      <c r="S46" s="105"/>
      <c r="T46" s="105"/>
      <c r="U46" s="105"/>
      <c r="V46" s="105"/>
    </row>
    <row r="47" spans="1:24" s="157" customFormat="1" ht="30" customHeight="1">
      <c r="A47" s="99"/>
      <c r="B47" s="109"/>
      <c r="C47" s="110"/>
      <c r="D47" s="110"/>
      <c r="E47" s="110"/>
      <c r="F47" s="110"/>
      <c r="G47" s="111"/>
      <c r="H47" s="111"/>
      <c r="I47" s="117"/>
      <c r="J47" s="695" t="s">
        <v>1666</v>
      </c>
      <c r="K47" s="152"/>
      <c r="L47" s="152"/>
      <c r="M47" s="152"/>
      <c r="N47" s="152"/>
      <c r="O47" s="152"/>
      <c r="P47" s="152"/>
      <c r="Q47" s="153"/>
      <c r="R47" s="696" t="s">
        <v>2</v>
      </c>
      <c r="S47" s="155"/>
      <c r="T47" s="155"/>
      <c r="U47" s="155"/>
      <c r="V47" s="156"/>
    </row>
    <row r="48" spans="1:24" s="98" customFormat="1" ht="15" customHeight="1">
      <c r="A48" s="99"/>
      <c r="B48" s="115"/>
      <c r="C48" s="116"/>
      <c r="D48" s="116"/>
      <c r="E48" s="116"/>
      <c r="F48" s="116"/>
      <c r="G48" s="117"/>
      <c r="H48" s="117"/>
      <c r="I48" s="119" t="s">
        <v>1667</v>
      </c>
      <c r="J48" s="158" t="s">
        <v>453</v>
      </c>
      <c r="K48" s="137" t="s">
        <v>455</v>
      </c>
      <c r="L48" s="137" t="s">
        <v>457</v>
      </c>
      <c r="M48" s="137" t="s">
        <v>459</v>
      </c>
      <c r="N48" s="137" t="s">
        <v>461</v>
      </c>
      <c r="O48" s="137" t="s">
        <v>463</v>
      </c>
      <c r="P48" s="137" t="s">
        <v>465</v>
      </c>
      <c r="Q48" s="138" t="s">
        <v>467</v>
      </c>
      <c r="R48" s="120" t="s">
        <v>469</v>
      </c>
      <c r="S48" s="121" t="s">
        <v>471</v>
      </c>
      <c r="T48" s="121" t="s">
        <v>473</v>
      </c>
      <c r="U48" s="121" t="s">
        <v>475</v>
      </c>
      <c r="V48" s="122" t="s">
        <v>477</v>
      </c>
    </row>
    <row r="49" spans="1:37" s="98" customFormat="1" ht="15" customHeight="1">
      <c r="A49" s="99"/>
      <c r="B49" s="161"/>
      <c r="C49" s="186" t="s">
        <v>1897</v>
      </c>
      <c r="D49" s="162"/>
      <c r="E49" s="162"/>
      <c r="F49" s="162"/>
      <c r="G49" s="163"/>
      <c r="H49" s="163"/>
      <c r="I49" s="117"/>
      <c r="J49" s="159"/>
      <c r="K49" s="117"/>
      <c r="L49" s="117"/>
      <c r="M49" s="117"/>
      <c r="N49" s="117"/>
      <c r="O49" s="117"/>
      <c r="P49" s="117"/>
      <c r="Q49" s="160"/>
      <c r="R49" s="159"/>
      <c r="S49" s="117"/>
      <c r="T49" s="117"/>
      <c r="U49" s="117"/>
      <c r="V49" s="160"/>
    </row>
    <row r="50" spans="1:37" s="98" customFormat="1" ht="15" customHeight="1">
      <c r="A50" s="99"/>
      <c r="B50" s="161"/>
      <c r="D50" s="162" t="s">
        <v>2127</v>
      </c>
      <c r="E50" s="162"/>
      <c r="F50" s="162"/>
      <c r="G50" s="163"/>
      <c r="H50" s="163"/>
      <c r="I50" s="119" t="s">
        <v>498</v>
      </c>
      <c r="J50" s="143">
        <v>0</v>
      </c>
      <c r="K50" s="141">
        <v>0</v>
      </c>
      <c r="L50" s="141">
        <v>0</v>
      </c>
      <c r="M50" s="141">
        <v>0</v>
      </c>
      <c r="N50" s="141">
        <v>0</v>
      </c>
      <c r="O50" s="141">
        <v>0</v>
      </c>
      <c r="P50" s="141">
        <v>0</v>
      </c>
      <c r="Q50" s="144">
        <v>0</v>
      </c>
      <c r="R50" s="143">
        <v>0</v>
      </c>
      <c r="S50" s="141">
        <v>0</v>
      </c>
      <c r="T50" s="141">
        <v>0</v>
      </c>
      <c r="U50" s="141">
        <v>0</v>
      </c>
      <c r="V50" s="144">
        <v>0</v>
      </c>
    </row>
    <row r="51" spans="1:37" s="98" customFormat="1" ht="15" customHeight="1">
      <c r="A51" s="99"/>
      <c r="B51" s="161"/>
      <c r="D51" s="162" t="s">
        <v>2128</v>
      </c>
      <c r="E51" s="162"/>
      <c r="F51" s="162"/>
      <c r="G51" s="163"/>
      <c r="H51" s="163"/>
      <c r="I51" s="119" t="s">
        <v>498</v>
      </c>
      <c r="J51" s="143">
        <v>9.9979190567325071E-2</v>
      </c>
      <c r="K51" s="141">
        <v>4.1944301298701282E-2</v>
      </c>
      <c r="L51" s="141">
        <v>9.9782256988307817E-3</v>
      </c>
      <c r="M51" s="141">
        <v>1.4083847597512538E-2</v>
      </c>
      <c r="N51" s="141">
        <v>3.5857380941114715E-2</v>
      </c>
      <c r="O51" s="141">
        <v>0.21037708466164862</v>
      </c>
      <c r="P51" s="141">
        <v>0.21037708466164862</v>
      </c>
      <c r="Q51" s="144">
        <v>0.21037708466164862</v>
      </c>
      <c r="R51" s="143">
        <v>0.21037708466164862</v>
      </c>
      <c r="S51" s="141">
        <v>0.21037708466164862</v>
      </c>
      <c r="T51" s="141">
        <v>0.21037708466164862</v>
      </c>
      <c r="U51" s="141">
        <v>0.21037708466164862</v>
      </c>
      <c r="V51" s="144">
        <v>0.21037708466164862</v>
      </c>
    </row>
    <row r="52" spans="1:37" s="98" customFormat="1" ht="15" customHeight="1">
      <c r="A52" s="99"/>
      <c r="B52" s="161"/>
      <c r="D52" s="162" t="s">
        <v>85</v>
      </c>
      <c r="E52" s="162"/>
      <c r="F52" s="162"/>
      <c r="G52" s="767"/>
      <c r="H52" s="163"/>
      <c r="I52" s="119" t="s">
        <v>498</v>
      </c>
      <c r="J52" s="143">
        <v>0</v>
      </c>
      <c r="K52" s="141">
        <v>0</v>
      </c>
      <c r="L52" s="141">
        <v>0</v>
      </c>
      <c r="M52" s="141">
        <v>0</v>
      </c>
      <c r="N52" s="141">
        <v>0</v>
      </c>
      <c r="O52" s="141">
        <v>0</v>
      </c>
      <c r="P52" s="141">
        <v>0</v>
      </c>
      <c r="Q52" s="144">
        <v>0</v>
      </c>
      <c r="R52" s="143">
        <v>0</v>
      </c>
      <c r="S52" s="141">
        <v>0</v>
      </c>
      <c r="T52" s="141">
        <v>0</v>
      </c>
      <c r="U52" s="141">
        <v>0</v>
      </c>
      <c r="V52" s="144">
        <v>0</v>
      </c>
    </row>
    <row r="53" spans="1:37" s="98" customFormat="1" ht="15" customHeight="1">
      <c r="A53" s="99"/>
      <c r="B53" s="161"/>
      <c r="D53" s="162" t="s">
        <v>85</v>
      </c>
      <c r="E53" s="162"/>
      <c r="F53" s="162"/>
      <c r="G53" s="767"/>
      <c r="H53" s="163"/>
      <c r="I53" s="119" t="s">
        <v>498</v>
      </c>
      <c r="J53" s="143">
        <v>0</v>
      </c>
      <c r="K53" s="141">
        <v>0</v>
      </c>
      <c r="L53" s="141">
        <v>0</v>
      </c>
      <c r="M53" s="141">
        <v>0</v>
      </c>
      <c r="N53" s="141">
        <v>0</v>
      </c>
      <c r="O53" s="141">
        <v>0</v>
      </c>
      <c r="P53" s="141">
        <v>0</v>
      </c>
      <c r="Q53" s="144">
        <v>0</v>
      </c>
      <c r="R53" s="143">
        <v>0</v>
      </c>
      <c r="S53" s="141">
        <v>0</v>
      </c>
      <c r="T53" s="141">
        <v>0</v>
      </c>
      <c r="U53" s="141">
        <v>0</v>
      </c>
      <c r="V53" s="144">
        <v>0</v>
      </c>
    </row>
    <row r="54" spans="1:37" s="98" customFormat="1" ht="15" customHeight="1">
      <c r="A54" s="99"/>
      <c r="B54" s="161"/>
      <c r="D54" s="162" t="s">
        <v>85</v>
      </c>
      <c r="E54" s="162"/>
      <c r="F54" s="162"/>
      <c r="G54" s="767"/>
      <c r="H54" s="163"/>
      <c r="I54" s="119" t="s">
        <v>498</v>
      </c>
      <c r="J54" s="143">
        <v>0</v>
      </c>
      <c r="K54" s="141">
        <v>0</v>
      </c>
      <c r="L54" s="141">
        <v>0</v>
      </c>
      <c r="M54" s="141">
        <v>0</v>
      </c>
      <c r="N54" s="141">
        <v>0</v>
      </c>
      <c r="O54" s="141">
        <v>0</v>
      </c>
      <c r="P54" s="141">
        <v>0</v>
      </c>
      <c r="Q54" s="144">
        <v>0</v>
      </c>
      <c r="R54" s="143">
        <v>0</v>
      </c>
      <c r="S54" s="141">
        <v>0</v>
      </c>
      <c r="T54" s="141">
        <v>0</v>
      </c>
      <c r="U54" s="141">
        <v>0</v>
      </c>
      <c r="V54" s="144">
        <v>0</v>
      </c>
    </row>
    <row r="55" spans="1:37" s="98" customFormat="1" ht="15" customHeight="1" thickBot="1">
      <c r="A55" s="99"/>
      <c r="B55" s="131" t="s">
        <v>1701</v>
      </c>
      <c r="C55" s="132"/>
      <c r="D55" s="132"/>
      <c r="E55" s="132"/>
      <c r="F55" s="132"/>
      <c r="G55" s="145"/>
      <c r="H55" s="133"/>
      <c r="I55" s="146" t="s">
        <v>498</v>
      </c>
      <c r="J55" s="717">
        <f>SUM(J50:J54)</f>
        <v>9.9979190567325071E-2</v>
      </c>
      <c r="K55" s="718">
        <f t="shared" ref="K55:V55" si="19">SUM(K50:K54)</f>
        <v>4.1944301298701282E-2</v>
      </c>
      <c r="L55" s="718">
        <f t="shared" si="19"/>
        <v>9.9782256988307817E-3</v>
      </c>
      <c r="M55" s="718">
        <f t="shared" si="19"/>
        <v>1.4083847597512538E-2</v>
      </c>
      <c r="N55" s="718">
        <f t="shared" si="19"/>
        <v>3.5857380941114715E-2</v>
      </c>
      <c r="O55" s="718">
        <f t="shared" si="19"/>
        <v>0.21037708466164862</v>
      </c>
      <c r="P55" s="718">
        <f t="shared" si="19"/>
        <v>0.21037708466164862</v>
      </c>
      <c r="Q55" s="719">
        <f t="shared" si="19"/>
        <v>0.21037708466164862</v>
      </c>
      <c r="R55" s="717">
        <f t="shared" si="19"/>
        <v>0.21037708466164862</v>
      </c>
      <c r="S55" s="718">
        <f t="shared" si="19"/>
        <v>0.21037708466164862</v>
      </c>
      <c r="T55" s="718">
        <f t="shared" si="19"/>
        <v>0.21037708466164862</v>
      </c>
      <c r="U55" s="718">
        <f t="shared" si="19"/>
        <v>0.21037708466164862</v>
      </c>
      <c r="V55" s="719">
        <f t="shared" si="19"/>
        <v>0.21037708466164862</v>
      </c>
    </row>
    <row r="56" spans="1:37" s="99" customFormat="1" ht="15" customHeight="1" thickBot="1">
      <c r="B56" s="150"/>
      <c r="C56" s="150"/>
      <c r="D56" s="150"/>
      <c r="E56" s="150"/>
      <c r="F56" s="150"/>
      <c r="G56" s="97"/>
      <c r="H56" s="97"/>
      <c r="I56" s="98"/>
      <c r="J56" s="98"/>
      <c r="K56" s="98"/>
      <c r="L56" s="98"/>
      <c r="M56" s="98"/>
      <c r="N56" s="98"/>
      <c r="O56" s="98"/>
      <c r="P56" s="98"/>
      <c r="Q56" s="98"/>
      <c r="R56" s="98"/>
      <c r="S56" s="98"/>
      <c r="T56" s="98"/>
      <c r="U56" s="98"/>
      <c r="V56" s="98"/>
      <c r="W56" s="98"/>
      <c r="X56" s="98"/>
    </row>
    <row r="57" spans="1:37" s="100" customFormat="1" ht="30" customHeight="1" thickBot="1">
      <c r="A57" s="89"/>
      <c r="B57" s="621" t="s">
        <v>2129</v>
      </c>
      <c r="C57" s="102"/>
      <c r="D57" s="102"/>
      <c r="E57" s="102"/>
      <c r="F57" s="102"/>
      <c r="G57" s="103"/>
      <c r="H57" s="103"/>
      <c r="I57" s="1689"/>
      <c r="J57" s="1689"/>
      <c r="K57" s="1689"/>
      <c r="L57" s="1689"/>
      <c r="M57" s="1689"/>
      <c r="N57" s="1689"/>
      <c r="O57" s="1689"/>
      <c r="P57" s="1689"/>
      <c r="Q57" s="1689"/>
      <c r="R57" s="1689"/>
      <c r="S57" s="1689"/>
      <c r="T57" s="1689"/>
      <c r="U57" s="1689"/>
      <c r="V57" s="1689"/>
      <c r="W57" s="103"/>
      <c r="X57" s="105" t="s">
        <v>2130</v>
      </c>
      <c r="Y57" s="106"/>
      <c r="Z57" s="106"/>
      <c r="AA57" s="106"/>
      <c r="AB57" s="106"/>
      <c r="AC57" s="106"/>
      <c r="AD57" s="106"/>
      <c r="AE57" s="106"/>
      <c r="AF57" s="106"/>
      <c r="AG57" s="105"/>
      <c r="AH57" s="105"/>
      <c r="AI57" s="105"/>
      <c r="AJ57" s="105"/>
      <c r="AK57" s="187"/>
    </row>
    <row r="58" spans="1:37" s="157" customFormat="1" ht="30" customHeight="1">
      <c r="A58" s="99"/>
      <c r="B58" s="109"/>
      <c r="C58" s="110"/>
      <c r="D58" s="110"/>
      <c r="E58" s="110"/>
      <c r="F58" s="110"/>
      <c r="G58" s="111"/>
      <c r="H58" s="222"/>
      <c r="I58" s="1690"/>
      <c r="J58" s="1690"/>
      <c r="K58" s="1690"/>
      <c r="L58" s="1690"/>
      <c r="M58" s="1690"/>
      <c r="N58" s="1690"/>
      <c r="O58" s="1690"/>
      <c r="P58" s="1690"/>
      <c r="Q58" s="1690"/>
      <c r="R58" s="1690"/>
      <c r="S58" s="1690"/>
      <c r="T58" s="1690"/>
      <c r="U58" s="1690"/>
      <c r="V58" s="1690"/>
      <c r="W58" s="111"/>
      <c r="X58" s="117"/>
      <c r="Y58" s="695" t="s">
        <v>1666</v>
      </c>
      <c r="Z58" s="152"/>
      <c r="AA58" s="152"/>
      <c r="AB58" s="152"/>
      <c r="AC58" s="152"/>
      <c r="AD58" s="152"/>
      <c r="AE58" s="152"/>
      <c r="AF58" s="153"/>
      <c r="AG58" s="696" t="s">
        <v>2</v>
      </c>
      <c r="AH58" s="155"/>
      <c r="AI58" s="155"/>
      <c r="AJ58" s="155"/>
      <c r="AK58" s="156"/>
    </row>
    <row r="59" spans="1:37" s="98" customFormat="1" ht="15" customHeight="1">
      <c r="A59" s="99"/>
      <c r="B59" s="115"/>
      <c r="C59" s="116"/>
      <c r="D59" s="116"/>
      <c r="E59" s="116"/>
      <c r="F59" s="116"/>
      <c r="G59" s="117"/>
      <c r="H59" s="185"/>
      <c r="I59" s="1691"/>
      <c r="J59" s="1691"/>
      <c r="K59" s="1691"/>
      <c r="L59" s="1691"/>
      <c r="M59" s="1691"/>
      <c r="N59" s="1691"/>
      <c r="O59" s="1691"/>
      <c r="P59" s="1691"/>
      <c r="Q59" s="1691"/>
      <c r="R59" s="1691"/>
      <c r="S59" s="1691"/>
      <c r="T59" s="1691"/>
      <c r="U59" s="1691"/>
      <c r="V59" s="1691"/>
      <c r="W59" s="117"/>
      <c r="X59" s="119" t="s">
        <v>1667</v>
      </c>
      <c r="Y59" s="158" t="s">
        <v>453</v>
      </c>
      <c r="Z59" s="137" t="s">
        <v>455</v>
      </c>
      <c r="AA59" s="137" t="s">
        <v>457</v>
      </c>
      <c r="AB59" s="137" t="s">
        <v>459</v>
      </c>
      <c r="AC59" s="137" t="s">
        <v>461</v>
      </c>
      <c r="AD59" s="137" t="s">
        <v>463</v>
      </c>
      <c r="AE59" s="137" t="s">
        <v>465</v>
      </c>
      <c r="AF59" s="138" t="s">
        <v>467</v>
      </c>
      <c r="AG59" s="120" t="s">
        <v>469</v>
      </c>
      <c r="AH59" s="121" t="s">
        <v>471</v>
      </c>
      <c r="AI59" s="121" t="s">
        <v>473</v>
      </c>
      <c r="AJ59" s="121" t="s">
        <v>475</v>
      </c>
      <c r="AK59" s="122" t="s">
        <v>477</v>
      </c>
    </row>
    <row r="60" spans="1:37" s="98" customFormat="1" ht="15" customHeight="1">
      <c r="A60" s="99"/>
      <c r="B60" s="161"/>
      <c r="C60" s="186" t="s">
        <v>2131</v>
      </c>
      <c r="D60" s="162"/>
      <c r="E60" s="162"/>
      <c r="F60" s="162"/>
      <c r="G60" s="163"/>
      <c r="H60" s="185"/>
      <c r="I60" s="1691"/>
      <c r="J60" s="1691"/>
      <c r="K60" s="1691"/>
      <c r="L60" s="1691"/>
      <c r="M60" s="1691"/>
      <c r="N60" s="1691"/>
      <c r="O60" s="1691"/>
      <c r="P60" s="1691"/>
      <c r="Q60" s="1691"/>
      <c r="R60" s="1691"/>
      <c r="S60" s="1691"/>
      <c r="T60" s="1691"/>
      <c r="U60" s="1691"/>
      <c r="V60" s="1691"/>
      <c r="W60" s="163"/>
      <c r="X60" s="117"/>
      <c r="Y60" s="159"/>
      <c r="Z60" s="117"/>
      <c r="AA60" s="117"/>
      <c r="AB60" s="117"/>
      <c r="AC60" s="117"/>
      <c r="AD60" s="117"/>
      <c r="AE60" s="117"/>
      <c r="AF60" s="160"/>
      <c r="AG60" s="159"/>
      <c r="AH60" s="117"/>
      <c r="AI60" s="117"/>
      <c r="AJ60" s="117"/>
      <c r="AK60" s="160"/>
    </row>
    <row r="61" spans="1:37" s="98" customFormat="1" ht="15" customHeight="1">
      <c r="A61" s="99"/>
      <c r="B61" s="161"/>
      <c r="C61" s="185"/>
      <c r="D61" s="162" t="s">
        <v>85</v>
      </c>
      <c r="E61" s="162"/>
      <c r="F61" s="162"/>
      <c r="G61" s="767" t="s">
        <v>3699</v>
      </c>
      <c r="H61" s="185"/>
      <c r="I61" s="1691"/>
      <c r="J61" s="1691"/>
      <c r="K61" s="1691"/>
      <c r="L61" s="1691"/>
      <c r="M61" s="1691"/>
      <c r="N61" s="1691"/>
      <c r="O61" s="1691"/>
      <c r="P61" s="1691"/>
      <c r="Q61" s="1691"/>
      <c r="R61" s="1691"/>
      <c r="S61" s="1691"/>
      <c r="T61" s="1691"/>
      <c r="U61" s="1691"/>
      <c r="V61" s="1691"/>
      <c r="W61" s="163"/>
      <c r="X61" s="119" t="s">
        <v>498</v>
      </c>
      <c r="Y61" s="143">
        <v>-4.1098921743275597E-3</v>
      </c>
      <c r="Z61" s="141">
        <v>1.1037974025974021E-3</v>
      </c>
      <c r="AA61" s="141">
        <v>0</v>
      </c>
      <c r="AB61" s="141">
        <v>0</v>
      </c>
      <c r="AC61" s="141">
        <v>0</v>
      </c>
      <c r="AD61" s="141">
        <v>0</v>
      </c>
      <c r="AE61" s="141">
        <v>0</v>
      </c>
      <c r="AF61" s="144">
        <v>0</v>
      </c>
      <c r="AG61" s="143">
        <v>0</v>
      </c>
      <c r="AH61" s="141">
        <v>0</v>
      </c>
      <c r="AI61" s="141">
        <v>0</v>
      </c>
      <c r="AJ61" s="141">
        <v>0</v>
      </c>
      <c r="AK61" s="144">
        <v>0</v>
      </c>
    </row>
    <row r="62" spans="1:37" s="98" customFormat="1" ht="15" customHeight="1">
      <c r="A62" s="99"/>
      <c r="B62" s="161"/>
      <c r="C62" s="185"/>
      <c r="D62" s="162" t="s">
        <v>85</v>
      </c>
      <c r="E62" s="162"/>
      <c r="F62" s="162"/>
      <c r="G62" s="767"/>
      <c r="H62" s="185"/>
      <c r="I62" s="1691"/>
      <c r="J62" s="1691"/>
      <c r="K62" s="1691"/>
      <c r="L62" s="1691"/>
      <c r="M62" s="1691"/>
      <c r="N62" s="1691"/>
      <c r="O62" s="1691"/>
      <c r="P62" s="1691"/>
      <c r="Q62" s="1691"/>
      <c r="R62" s="1691"/>
      <c r="S62" s="1691"/>
      <c r="T62" s="1691"/>
      <c r="U62" s="1691"/>
      <c r="V62" s="1691"/>
      <c r="W62" s="163"/>
      <c r="X62" s="119" t="s">
        <v>498</v>
      </c>
      <c r="Y62" s="143">
        <v>0</v>
      </c>
      <c r="Z62" s="141">
        <v>0</v>
      </c>
      <c r="AA62" s="141">
        <v>0</v>
      </c>
      <c r="AB62" s="141">
        <v>0</v>
      </c>
      <c r="AC62" s="141">
        <v>0</v>
      </c>
      <c r="AD62" s="141">
        <v>0</v>
      </c>
      <c r="AE62" s="141">
        <v>0</v>
      </c>
      <c r="AF62" s="144">
        <v>0</v>
      </c>
      <c r="AG62" s="143">
        <v>0</v>
      </c>
      <c r="AH62" s="141">
        <v>0</v>
      </c>
      <c r="AI62" s="141">
        <v>0</v>
      </c>
      <c r="AJ62" s="141">
        <v>0</v>
      </c>
      <c r="AK62" s="144">
        <v>0</v>
      </c>
    </row>
    <row r="63" spans="1:37" s="98" customFormat="1" ht="15" customHeight="1">
      <c r="A63" s="99"/>
      <c r="B63" s="161"/>
      <c r="C63" s="185"/>
      <c r="D63" s="162" t="s">
        <v>85</v>
      </c>
      <c r="E63" s="162"/>
      <c r="F63" s="162"/>
      <c r="G63" s="767"/>
      <c r="H63" s="185"/>
      <c r="I63" s="1691"/>
      <c r="J63" s="1691"/>
      <c r="K63" s="1691"/>
      <c r="L63" s="1691"/>
      <c r="M63" s="1691"/>
      <c r="N63" s="1691"/>
      <c r="O63" s="1691"/>
      <c r="P63" s="1691"/>
      <c r="Q63" s="1691"/>
      <c r="R63" s="1691"/>
      <c r="S63" s="1691"/>
      <c r="T63" s="1691"/>
      <c r="U63" s="1691"/>
      <c r="V63" s="1691"/>
      <c r="W63" s="163"/>
      <c r="X63" s="119" t="s">
        <v>498</v>
      </c>
      <c r="Y63" s="143">
        <v>0</v>
      </c>
      <c r="Z63" s="141">
        <v>0</v>
      </c>
      <c r="AA63" s="141">
        <v>0</v>
      </c>
      <c r="AB63" s="141">
        <v>0</v>
      </c>
      <c r="AC63" s="141">
        <v>0</v>
      </c>
      <c r="AD63" s="141">
        <v>0</v>
      </c>
      <c r="AE63" s="141">
        <v>0</v>
      </c>
      <c r="AF63" s="144">
        <v>0</v>
      </c>
      <c r="AG63" s="143">
        <v>0</v>
      </c>
      <c r="AH63" s="141">
        <v>0</v>
      </c>
      <c r="AI63" s="141">
        <v>0</v>
      </c>
      <c r="AJ63" s="141">
        <v>0</v>
      </c>
      <c r="AK63" s="144">
        <v>0</v>
      </c>
    </row>
    <row r="64" spans="1:37" s="98" customFormat="1" ht="15" customHeight="1">
      <c r="A64" s="99"/>
      <c r="B64" s="161"/>
      <c r="C64" s="185"/>
      <c r="D64" s="162" t="s">
        <v>85</v>
      </c>
      <c r="E64" s="162"/>
      <c r="F64" s="162"/>
      <c r="G64" s="767"/>
      <c r="H64" s="185"/>
      <c r="I64" s="1691"/>
      <c r="J64" s="1691"/>
      <c r="K64" s="1691"/>
      <c r="L64" s="1691"/>
      <c r="M64" s="1691"/>
      <c r="N64" s="1691"/>
      <c r="O64" s="1691"/>
      <c r="P64" s="1691"/>
      <c r="Q64" s="1691"/>
      <c r="R64" s="1691"/>
      <c r="S64" s="1691"/>
      <c r="T64" s="1691"/>
      <c r="U64" s="1691"/>
      <c r="V64" s="1691"/>
      <c r="W64" s="163"/>
      <c r="X64" s="119" t="s">
        <v>498</v>
      </c>
      <c r="Y64" s="143">
        <v>0</v>
      </c>
      <c r="Z64" s="141">
        <v>0</v>
      </c>
      <c r="AA64" s="141">
        <v>0</v>
      </c>
      <c r="AB64" s="141">
        <v>0</v>
      </c>
      <c r="AC64" s="141">
        <v>0</v>
      </c>
      <c r="AD64" s="141">
        <v>0</v>
      </c>
      <c r="AE64" s="141">
        <v>0</v>
      </c>
      <c r="AF64" s="144">
        <v>0</v>
      </c>
      <c r="AG64" s="143">
        <v>0</v>
      </c>
      <c r="AH64" s="141">
        <v>0</v>
      </c>
      <c r="AI64" s="141">
        <v>0</v>
      </c>
      <c r="AJ64" s="141">
        <v>0</v>
      </c>
      <c r="AK64" s="144">
        <v>0</v>
      </c>
    </row>
    <row r="65" spans="1:37" s="98" customFormat="1" ht="15" customHeight="1">
      <c r="A65" s="99"/>
      <c r="B65" s="161"/>
      <c r="C65" s="185"/>
      <c r="D65" s="162" t="s">
        <v>85</v>
      </c>
      <c r="E65" s="162"/>
      <c r="F65" s="162"/>
      <c r="G65" s="767"/>
      <c r="H65" s="185"/>
      <c r="I65" s="1691"/>
      <c r="J65" s="1691"/>
      <c r="K65" s="1691"/>
      <c r="L65" s="1691"/>
      <c r="M65" s="1691"/>
      <c r="N65" s="1691"/>
      <c r="O65" s="1691"/>
      <c r="P65" s="1691"/>
      <c r="Q65" s="1691"/>
      <c r="R65" s="1691"/>
      <c r="S65" s="1691"/>
      <c r="T65" s="1691"/>
      <c r="U65" s="1691"/>
      <c r="V65" s="1691"/>
      <c r="W65" s="163"/>
      <c r="X65" s="119" t="s">
        <v>498</v>
      </c>
      <c r="Y65" s="143">
        <v>0</v>
      </c>
      <c r="Z65" s="141">
        <v>0</v>
      </c>
      <c r="AA65" s="141">
        <v>0</v>
      </c>
      <c r="AB65" s="141">
        <v>0</v>
      </c>
      <c r="AC65" s="141">
        <v>0</v>
      </c>
      <c r="AD65" s="141">
        <v>0</v>
      </c>
      <c r="AE65" s="141">
        <v>0</v>
      </c>
      <c r="AF65" s="144">
        <v>0</v>
      </c>
      <c r="AG65" s="143">
        <v>0</v>
      </c>
      <c r="AH65" s="141">
        <v>0</v>
      </c>
      <c r="AI65" s="141">
        <v>0</v>
      </c>
      <c r="AJ65" s="141">
        <v>0</v>
      </c>
      <c r="AK65" s="144">
        <v>0</v>
      </c>
    </row>
    <row r="66" spans="1:37" s="98" customFormat="1" ht="15" customHeight="1">
      <c r="A66" s="99"/>
      <c r="B66" s="161"/>
      <c r="C66" s="185"/>
      <c r="D66" s="162" t="s">
        <v>85</v>
      </c>
      <c r="E66" s="162"/>
      <c r="F66" s="162"/>
      <c r="G66" s="767"/>
      <c r="H66" s="185"/>
      <c r="I66" s="1691"/>
      <c r="J66" s="1691"/>
      <c r="K66" s="1691"/>
      <c r="L66" s="1691"/>
      <c r="M66" s="1691"/>
      <c r="N66" s="1691"/>
      <c r="O66" s="1691"/>
      <c r="P66" s="1691"/>
      <c r="Q66" s="1691"/>
      <c r="R66" s="1691"/>
      <c r="S66" s="1691"/>
      <c r="T66" s="1691"/>
      <c r="U66" s="1691"/>
      <c r="V66" s="1691"/>
      <c r="W66" s="163"/>
      <c r="X66" s="119" t="s">
        <v>498</v>
      </c>
      <c r="Y66" s="143">
        <v>0</v>
      </c>
      <c r="Z66" s="141">
        <v>0</v>
      </c>
      <c r="AA66" s="141">
        <v>0</v>
      </c>
      <c r="AB66" s="141">
        <v>0</v>
      </c>
      <c r="AC66" s="141">
        <v>0</v>
      </c>
      <c r="AD66" s="141">
        <v>0</v>
      </c>
      <c r="AE66" s="141">
        <v>0</v>
      </c>
      <c r="AF66" s="144">
        <v>0</v>
      </c>
      <c r="AG66" s="143">
        <v>0</v>
      </c>
      <c r="AH66" s="141">
        <v>0</v>
      </c>
      <c r="AI66" s="141">
        <v>0</v>
      </c>
      <c r="AJ66" s="141">
        <v>0</v>
      </c>
      <c r="AK66" s="144">
        <v>0</v>
      </c>
    </row>
    <row r="67" spans="1:37" s="98" customFormat="1" ht="15" customHeight="1">
      <c r="A67" s="99"/>
      <c r="B67" s="161"/>
      <c r="C67" s="185"/>
      <c r="D67" s="162" t="s">
        <v>85</v>
      </c>
      <c r="E67" s="162"/>
      <c r="F67" s="162"/>
      <c r="G67" s="767"/>
      <c r="H67" s="185"/>
      <c r="I67" s="1691"/>
      <c r="J67" s="1691"/>
      <c r="K67" s="1691"/>
      <c r="L67" s="1691"/>
      <c r="M67" s="1691"/>
      <c r="N67" s="1691"/>
      <c r="O67" s="1691"/>
      <c r="P67" s="1691"/>
      <c r="Q67" s="1691"/>
      <c r="R67" s="1691"/>
      <c r="S67" s="1691"/>
      <c r="T67" s="1691"/>
      <c r="U67" s="1691"/>
      <c r="V67" s="1691"/>
      <c r="W67" s="163"/>
      <c r="X67" s="119" t="s">
        <v>498</v>
      </c>
      <c r="Y67" s="143">
        <v>0</v>
      </c>
      <c r="Z67" s="141">
        <v>0</v>
      </c>
      <c r="AA67" s="141">
        <v>0</v>
      </c>
      <c r="AB67" s="141">
        <v>0</v>
      </c>
      <c r="AC67" s="141">
        <v>0</v>
      </c>
      <c r="AD67" s="141">
        <v>0</v>
      </c>
      <c r="AE67" s="141">
        <v>0</v>
      </c>
      <c r="AF67" s="144">
        <v>0</v>
      </c>
      <c r="AG67" s="143">
        <v>0</v>
      </c>
      <c r="AH67" s="141">
        <v>0</v>
      </c>
      <c r="AI67" s="141">
        <v>0</v>
      </c>
      <c r="AJ67" s="141">
        <v>0</v>
      </c>
      <c r="AK67" s="144">
        <v>0</v>
      </c>
    </row>
    <row r="68" spans="1:37" s="98" customFormat="1" ht="15" customHeight="1">
      <c r="A68" s="99"/>
      <c r="B68" s="161"/>
      <c r="C68" s="185"/>
      <c r="D68" s="162" t="s">
        <v>85</v>
      </c>
      <c r="E68" s="162"/>
      <c r="F68" s="162"/>
      <c r="G68" s="767"/>
      <c r="H68" s="185"/>
      <c r="I68" s="1691"/>
      <c r="J68" s="1691"/>
      <c r="K68" s="1691"/>
      <c r="L68" s="1691"/>
      <c r="M68" s="1691"/>
      <c r="N68" s="1691"/>
      <c r="O68" s="1691"/>
      <c r="P68" s="1691"/>
      <c r="Q68" s="1691"/>
      <c r="R68" s="1691"/>
      <c r="S68" s="1691"/>
      <c r="T68" s="1691"/>
      <c r="U68" s="1691"/>
      <c r="V68" s="1691"/>
      <c r="W68" s="163"/>
      <c r="X68" s="119" t="s">
        <v>498</v>
      </c>
      <c r="Y68" s="143">
        <v>0</v>
      </c>
      <c r="Z68" s="141">
        <v>0</v>
      </c>
      <c r="AA68" s="141">
        <v>0</v>
      </c>
      <c r="AB68" s="141">
        <v>0</v>
      </c>
      <c r="AC68" s="141">
        <v>0</v>
      </c>
      <c r="AD68" s="141">
        <v>0</v>
      </c>
      <c r="AE68" s="141">
        <v>0</v>
      </c>
      <c r="AF68" s="144">
        <v>0</v>
      </c>
      <c r="AG68" s="143">
        <v>0</v>
      </c>
      <c r="AH68" s="141">
        <v>0</v>
      </c>
      <c r="AI68" s="141">
        <v>0</v>
      </c>
      <c r="AJ68" s="141">
        <v>0</v>
      </c>
      <c r="AK68" s="144">
        <v>0</v>
      </c>
    </row>
    <row r="69" spans="1:37" s="98" customFormat="1" ht="15" customHeight="1">
      <c r="A69" s="99"/>
      <c r="B69" s="161"/>
      <c r="C69" s="185"/>
      <c r="D69" s="162" t="s">
        <v>85</v>
      </c>
      <c r="E69" s="162"/>
      <c r="F69" s="162"/>
      <c r="G69" s="767"/>
      <c r="H69" s="185"/>
      <c r="I69" s="1691"/>
      <c r="J69" s="1691"/>
      <c r="K69" s="1691"/>
      <c r="L69" s="1691"/>
      <c r="M69" s="1691"/>
      <c r="N69" s="1691"/>
      <c r="O69" s="1691"/>
      <c r="P69" s="1691"/>
      <c r="Q69" s="1691"/>
      <c r="R69" s="1691"/>
      <c r="S69" s="1691"/>
      <c r="T69" s="1691"/>
      <c r="U69" s="1691"/>
      <c r="V69" s="1691"/>
      <c r="W69" s="163"/>
      <c r="X69" s="119" t="s">
        <v>498</v>
      </c>
      <c r="Y69" s="143">
        <v>0</v>
      </c>
      <c r="Z69" s="141">
        <v>0</v>
      </c>
      <c r="AA69" s="141">
        <v>0</v>
      </c>
      <c r="AB69" s="141">
        <v>0</v>
      </c>
      <c r="AC69" s="141">
        <v>0</v>
      </c>
      <c r="AD69" s="141">
        <v>0</v>
      </c>
      <c r="AE69" s="141">
        <v>0</v>
      </c>
      <c r="AF69" s="144">
        <v>0</v>
      </c>
      <c r="AG69" s="143">
        <v>0</v>
      </c>
      <c r="AH69" s="141">
        <v>0</v>
      </c>
      <c r="AI69" s="141">
        <v>0</v>
      </c>
      <c r="AJ69" s="141">
        <v>0</v>
      </c>
      <c r="AK69" s="144">
        <v>0</v>
      </c>
    </row>
    <row r="70" spans="1:37" s="98" customFormat="1" ht="15" customHeight="1">
      <c r="A70" s="99"/>
      <c r="B70" s="161"/>
      <c r="C70" s="185"/>
      <c r="D70" s="162" t="s">
        <v>85</v>
      </c>
      <c r="E70" s="162"/>
      <c r="F70" s="162"/>
      <c r="G70" s="767"/>
      <c r="H70" s="185"/>
      <c r="I70" s="1691"/>
      <c r="J70" s="1691"/>
      <c r="K70" s="1691"/>
      <c r="L70" s="1691"/>
      <c r="M70" s="1691"/>
      <c r="N70" s="1691"/>
      <c r="O70" s="1691"/>
      <c r="P70" s="1691"/>
      <c r="Q70" s="1691"/>
      <c r="R70" s="1691"/>
      <c r="S70" s="1691"/>
      <c r="T70" s="1691"/>
      <c r="U70" s="1691"/>
      <c r="V70" s="1691"/>
      <c r="W70" s="163"/>
      <c r="X70" s="119" t="s">
        <v>498</v>
      </c>
      <c r="Y70" s="143">
        <v>0</v>
      </c>
      <c r="Z70" s="141">
        <v>0</v>
      </c>
      <c r="AA70" s="141">
        <v>0</v>
      </c>
      <c r="AB70" s="141">
        <v>0</v>
      </c>
      <c r="AC70" s="141">
        <v>0</v>
      </c>
      <c r="AD70" s="141">
        <v>0</v>
      </c>
      <c r="AE70" s="141">
        <v>0</v>
      </c>
      <c r="AF70" s="144">
        <v>0</v>
      </c>
      <c r="AG70" s="143">
        <v>0</v>
      </c>
      <c r="AH70" s="141">
        <v>0</v>
      </c>
      <c r="AI70" s="141">
        <v>0</v>
      </c>
      <c r="AJ70" s="141">
        <v>0</v>
      </c>
      <c r="AK70" s="144">
        <v>0</v>
      </c>
    </row>
    <row r="71" spans="1:37" s="98" customFormat="1" ht="15" customHeight="1" thickBot="1">
      <c r="A71" s="99"/>
      <c r="B71" s="131" t="s">
        <v>1701</v>
      </c>
      <c r="C71" s="132"/>
      <c r="D71" s="132"/>
      <c r="E71" s="132"/>
      <c r="F71" s="132"/>
      <c r="G71" s="145"/>
      <c r="H71" s="192"/>
      <c r="I71" s="1692"/>
      <c r="J71" s="1692"/>
      <c r="K71" s="1692"/>
      <c r="L71" s="1692"/>
      <c r="M71" s="1692"/>
      <c r="N71" s="1692"/>
      <c r="O71" s="1692"/>
      <c r="P71" s="1692"/>
      <c r="Q71" s="1692"/>
      <c r="R71" s="1692"/>
      <c r="S71" s="1692"/>
      <c r="T71" s="1692"/>
      <c r="U71" s="1692"/>
      <c r="V71" s="1692"/>
      <c r="W71" s="133"/>
      <c r="X71" s="146" t="s">
        <v>498</v>
      </c>
      <c r="Y71" s="717">
        <f>SUM(Y61:Y70)</f>
        <v>-4.1098921743275597E-3</v>
      </c>
      <c r="Z71" s="718">
        <f t="shared" ref="Z71:AK71" si="20">SUM(Z61:Z70)</f>
        <v>1.1037974025974021E-3</v>
      </c>
      <c r="AA71" s="718">
        <f t="shared" si="20"/>
        <v>0</v>
      </c>
      <c r="AB71" s="718">
        <f t="shared" si="20"/>
        <v>0</v>
      </c>
      <c r="AC71" s="718">
        <f t="shared" si="20"/>
        <v>0</v>
      </c>
      <c r="AD71" s="718">
        <f t="shared" si="20"/>
        <v>0</v>
      </c>
      <c r="AE71" s="718">
        <f t="shared" si="20"/>
        <v>0</v>
      </c>
      <c r="AF71" s="719">
        <f t="shared" si="20"/>
        <v>0</v>
      </c>
      <c r="AG71" s="717">
        <f t="shared" si="20"/>
        <v>0</v>
      </c>
      <c r="AH71" s="718">
        <f t="shared" si="20"/>
        <v>0</v>
      </c>
      <c r="AI71" s="718">
        <f t="shared" si="20"/>
        <v>0</v>
      </c>
      <c r="AJ71" s="718">
        <f t="shared" si="20"/>
        <v>0</v>
      </c>
      <c r="AK71" s="719">
        <f t="shared" si="20"/>
        <v>0</v>
      </c>
    </row>
    <row r="72" spans="1:37" s="99" customFormat="1" ht="15" customHeight="1">
      <c r="B72" s="150"/>
      <c r="C72" s="150"/>
      <c r="D72" s="150"/>
      <c r="E72" s="150"/>
      <c r="F72" s="150"/>
      <c r="G72" s="97"/>
      <c r="H72" s="97"/>
      <c r="I72" s="98"/>
      <c r="J72" s="98"/>
      <c r="K72" s="98"/>
      <c r="L72" s="98"/>
      <c r="M72" s="98"/>
      <c r="N72" s="98"/>
      <c r="O72" s="98"/>
      <c r="P72" s="98"/>
      <c r="Q72" s="98"/>
      <c r="R72" s="98"/>
      <c r="S72" s="98"/>
      <c r="T72" s="98"/>
      <c r="U72" s="98"/>
      <c r="V72" s="98"/>
      <c r="W72" s="98"/>
      <c r="X72" s="98"/>
    </row>
  </sheetData>
  <mergeCells count="2">
    <mergeCell ref="J9:Q9"/>
    <mergeCell ref="R9:V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62"/>
  <sheetViews>
    <sheetView zoomScale="80" zoomScaleNormal="80" zoomScaleSheetLayoutView="80" workbookViewId="0">
      <pane ySplit="5" topLeftCell="A144" activePane="bottomLeft" state="frozen"/>
      <selection activeCell="B28" sqref="B28:B48"/>
      <selection pane="bottomLeft" activeCell="B163" sqref="B163"/>
    </sheetView>
  </sheetViews>
  <sheetFormatPr defaultColWidth="9" defaultRowHeight="14.25"/>
  <cols>
    <col min="1" max="1" width="9" style="20"/>
    <col min="2" max="3" width="15.375" style="21" customWidth="1"/>
    <col min="4" max="4" width="31.25" style="20" customWidth="1"/>
    <col min="5" max="5" width="97.75" style="23" customWidth="1"/>
    <col min="6" max="6" width="21.25" style="20" customWidth="1"/>
    <col min="7" max="7" width="25.125" style="20" customWidth="1"/>
    <col min="8" max="16384" width="9" style="20"/>
  </cols>
  <sheetData>
    <row r="1" spans="1:8" s="2" customFormat="1" ht="26.25">
      <c r="A1" s="1" t="s">
        <v>3</v>
      </c>
      <c r="H1" s="3"/>
    </row>
    <row r="2" spans="1:8" s="2" customFormat="1" ht="26.25">
      <c r="A2" s="5" t="str">
        <f>Fixed_Data!I12</f>
        <v>MASTER</v>
      </c>
      <c r="D2" s="6"/>
      <c r="F2" s="7"/>
      <c r="G2" s="7"/>
    </row>
    <row r="3" spans="1:8" s="9" customFormat="1" ht="27" thickBot="1">
      <c r="A3" s="8" t="str">
        <f>Fixed_Data!A3</f>
        <v>RIIO-GD2</v>
      </c>
      <c r="F3" s="10"/>
      <c r="G3" s="10"/>
    </row>
    <row r="4" spans="1:8" s="1022" customFormat="1" ht="26.25">
      <c r="B4" s="1021"/>
      <c r="C4" s="1021"/>
      <c r="F4" s="1023"/>
      <c r="G4" s="1023"/>
    </row>
    <row r="5" spans="1:8" ht="30">
      <c r="B5" s="33" t="s">
        <v>104</v>
      </c>
      <c r="C5" s="33" t="s">
        <v>105</v>
      </c>
      <c r="D5" s="34" t="s">
        <v>106</v>
      </c>
      <c r="E5" s="35" t="s">
        <v>107</v>
      </c>
      <c r="F5" s="34" t="s">
        <v>108</v>
      </c>
      <c r="G5" s="34" t="s">
        <v>109</v>
      </c>
    </row>
    <row r="6" spans="1:8">
      <c r="B6" s="36" t="s">
        <v>110</v>
      </c>
      <c r="C6" s="1378"/>
      <c r="D6" s="36" t="s">
        <v>111</v>
      </c>
      <c r="E6" s="1337" t="s">
        <v>112</v>
      </c>
      <c r="F6" s="36"/>
      <c r="G6" s="36"/>
    </row>
    <row r="7" spans="1:8">
      <c r="B7" s="36"/>
      <c r="C7" s="1378">
        <v>2.0099999999999998</v>
      </c>
      <c r="D7" s="1338" t="s">
        <v>113</v>
      </c>
      <c r="E7" s="1337" t="s">
        <v>114</v>
      </c>
      <c r="F7" s="36"/>
      <c r="G7" s="1338" t="s">
        <v>115</v>
      </c>
    </row>
    <row r="8" spans="1:8">
      <c r="B8" s="36"/>
      <c r="C8" s="1378">
        <v>5.07</v>
      </c>
      <c r="D8" s="1338" t="s">
        <v>92</v>
      </c>
      <c r="E8" s="1337" t="s">
        <v>116</v>
      </c>
      <c r="F8" s="36"/>
      <c r="G8" s="1338" t="s">
        <v>115</v>
      </c>
    </row>
    <row r="9" spans="1:8">
      <c r="B9" s="36"/>
      <c r="C9" s="1378">
        <v>5.0199999999999996</v>
      </c>
      <c r="D9" s="1338" t="s">
        <v>87</v>
      </c>
      <c r="E9" s="1337" t="s">
        <v>117</v>
      </c>
      <c r="F9" s="36"/>
      <c r="G9" s="1338" t="s">
        <v>115</v>
      </c>
    </row>
    <row r="10" spans="1:8">
      <c r="B10" s="36"/>
      <c r="C10" s="1378">
        <v>2.1</v>
      </c>
      <c r="D10" s="1338" t="s">
        <v>118</v>
      </c>
      <c r="E10" s="1337" t="s">
        <v>119</v>
      </c>
      <c r="F10" s="36"/>
      <c r="G10" s="1338" t="s">
        <v>115</v>
      </c>
    </row>
    <row r="11" spans="1:8">
      <c r="B11" s="36"/>
      <c r="C11" s="1378">
        <v>5.0999999999999996</v>
      </c>
      <c r="D11" s="1338" t="s">
        <v>120</v>
      </c>
      <c r="E11" s="1337" t="s">
        <v>121</v>
      </c>
      <c r="F11" s="36"/>
      <c r="G11" s="1338" t="s">
        <v>115</v>
      </c>
    </row>
    <row r="12" spans="1:8">
      <c r="B12" s="36"/>
      <c r="C12" s="1378">
        <v>3</v>
      </c>
      <c r="D12" s="1338" t="s">
        <v>63</v>
      </c>
      <c r="E12" s="1337" t="s">
        <v>122</v>
      </c>
      <c r="F12" s="36"/>
      <c r="G12" s="1338" t="s">
        <v>115</v>
      </c>
    </row>
    <row r="13" spans="1:8">
      <c r="B13" s="36"/>
      <c r="C13" s="1378">
        <v>3</v>
      </c>
      <c r="D13" s="1338" t="s">
        <v>63</v>
      </c>
      <c r="E13" s="1337" t="s">
        <v>123</v>
      </c>
      <c r="F13" s="36"/>
      <c r="G13" s="1338" t="s">
        <v>115</v>
      </c>
    </row>
    <row r="14" spans="1:8">
      <c r="B14" s="36"/>
      <c r="C14" s="1378">
        <v>4.03</v>
      </c>
      <c r="D14" s="1338" t="s">
        <v>75</v>
      </c>
      <c r="E14" s="1337" t="s">
        <v>124</v>
      </c>
      <c r="F14" s="36"/>
      <c r="G14" s="1338" t="s">
        <v>115</v>
      </c>
    </row>
    <row r="15" spans="1:8" ht="25.5">
      <c r="B15" s="36"/>
      <c r="C15" s="1378">
        <v>4</v>
      </c>
      <c r="D15" s="1338" t="s">
        <v>72</v>
      </c>
      <c r="E15" s="1337" t="s">
        <v>125</v>
      </c>
      <c r="F15" s="36"/>
      <c r="G15" s="1338" t="s">
        <v>115</v>
      </c>
    </row>
    <row r="16" spans="1:8" ht="25.5">
      <c r="B16" s="36"/>
      <c r="C16" s="1378">
        <v>4</v>
      </c>
      <c r="D16" s="1338" t="s">
        <v>72</v>
      </c>
      <c r="E16" s="1337" t="s">
        <v>126</v>
      </c>
      <c r="F16" s="36"/>
      <c r="G16" s="1338" t="s">
        <v>115</v>
      </c>
    </row>
    <row r="17" spans="2:7" ht="51">
      <c r="B17" s="36"/>
      <c r="C17" s="1378">
        <v>4</v>
      </c>
      <c r="D17" s="1338" t="s">
        <v>72</v>
      </c>
      <c r="E17" s="1337" t="s">
        <v>127</v>
      </c>
      <c r="F17" s="36"/>
      <c r="G17" s="1338" t="s">
        <v>115</v>
      </c>
    </row>
    <row r="18" spans="2:7" ht="25.5">
      <c r="B18" s="36"/>
      <c r="C18" s="1378">
        <v>4</v>
      </c>
      <c r="D18" s="1338" t="s">
        <v>72</v>
      </c>
      <c r="E18" s="1337" t="s">
        <v>128</v>
      </c>
      <c r="F18" s="36"/>
      <c r="G18" s="1338" t="s">
        <v>115</v>
      </c>
    </row>
    <row r="19" spans="2:7">
      <c r="B19" s="36"/>
      <c r="C19" s="1379" t="s">
        <v>129</v>
      </c>
      <c r="D19" s="1338" t="s">
        <v>35</v>
      </c>
      <c r="E19" s="1337" t="s">
        <v>130</v>
      </c>
      <c r="F19" s="36"/>
      <c r="G19" s="1338" t="s">
        <v>115</v>
      </c>
    </row>
    <row r="20" spans="2:7">
      <c r="B20" s="36"/>
      <c r="C20" s="1379" t="s">
        <v>129</v>
      </c>
      <c r="D20" s="1338" t="s">
        <v>131</v>
      </c>
      <c r="E20" s="1337" t="s">
        <v>132</v>
      </c>
      <c r="F20" s="36"/>
      <c r="G20" s="1338" t="s">
        <v>115</v>
      </c>
    </row>
    <row r="21" spans="2:7">
      <c r="B21" s="36"/>
      <c r="C21" s="1379" t="s">
        <v>129</v>
      </c>
      <c r="D21" s="1338" t="s">
        <v>34</v>
      </c>
      <c r="E21" s="1337" t="s">
        <v>133</v>
      </c>
      <c r="F21" s="36"/>
      <c r="G21" s="1338" t="s">
        <v>115</v>
      </c>
    </row>
    <row r="22" spans="2:7" ht="25.5">
      <c r="B22" s="36"/>
      <c r="C22" s="1378">
        <v>2.0099999999999998</v>
      </c>
      <c r="D22" s="1338" t="s">
        <v>134</v>
      </c>
      <c r="E22" s="1337" t="s">
        <v>135</v>
      </c>
      <c r="F22" s="36"/>
      <c r="G22" s="1338" t="s">
        <v>115</v>
      </c>
    </row>
    <row r="23" spans="2:7">
      <c r="B23" s="36"/>
      <c r="C23" s="1378">
        <v>2.0299999999999998</v>
      </c>
      <c r="D23" s="1338" t="s">
        <v>40</v>
      </c>
      <c r="E23" s="1337" t="s">
        <v>136</v>
      </c>
      <c r="F23" s="36"/>
      <c r="G23" s="1338" t="s">
        <v>115</v>
      </c>
    </row>
    <row r="24" spans="2:7">
      <c r="B24" s="36"/>
      <c r="C24" s="1378">
        <v>2.04</v>
      </c>
      <c r="D24" s="1338" t="s">
        <v>41</v>
      </c>
      <c r="E24" s="1337" t="s">
        <v>137</v>
      </c>
      <c r="F24" s="36"/>
      <c r="G24" s="1338" t="s">
        <v>115</v>
      </c>
    </row>
    <row r="25" spans="2:7">
      <c r="B25" s="36"/>
      <c r="C25" s="1378">
        <v>2.2599999999999998</v>
      </c>
      <c r="D25" s="1338" t="s">
        <v>60</v>
      </c>
      <c r="E25" s="1337" t="s">
        <v>138</v>
      </c>
      <c r="F25" s="36"/>
      <c r="G25" s="1338" t="s">
        <v>115</v>
      </c>
    </row>
    <row r="26" spans="2:7">
      <c r="B26" s="36"/>
      <c r="C26" s="1378">
        <v>5.0999999999999996</v>
      </c>
      <c r="D26" s="1338" t="s">
        <v>120</v>
      </c>
      <c r="E26" s="1337" t="s">
        <v>139</v>
      </c>
      <c r="F26" s="36"/>
      <c r="G26" s="1338" t="s">
        <v>115</v>
      </c>
    </row>
    <row r="27" spans="2:7">
      <c r="B27" s="36"/>
      <c r="C27" s="1378">
        <v>5.0999999999999996</v>
      </c>
      <c r="D27" s="1338" t="s">
        <v>120</v>
      </c>
      <c r="E27" s="1337" t="s">
        <v>140</v>
      </c>
      <c r="F27" s="36"/>
      <c r="G27" s="1338" t="s">
        <v>115</v>
      </c>
    </row>
    <row r="28" spans="2:7">
      <c r="B28" s="36"/>
      <c r="C28" s="1378">
        <v>5.0999999999999996</v>
      </c>
      <c r="D28" s="1338" t="s">
        <v>120</v>
      </c>
      <c r="E28" s="1337" t="s">
        <v>141</v>
      </c>
      <c r="F28" s="36"/>
      <c r="G28" s="1338" t="s">
        <v>115</v>
      </c>
    </row>
    <row r="29" spans="2:7" ht="25.5">
      <c r="B29" s="36"/>
      <c r="C29" s="1378">
        <v>5.0999999999999996</v>
      </c>
      <c r="D29" s="1338" t="s">
        <v>120</v>
      </c>
      <c r="E29" s="1337" t="s">
        <v>142</v>
      </c>
      <c r="F29" s="36"/>
      <c r="G29" s="1338" t="s">
        <v>115</v>
      </c>
    </row>
    <row r="30" spans="2:7" ht="25.5">
      <c r="B30" s="36"/>
      <c r="C30" s="1378">
        <v>5.0999999999999996</v>
      </c>
      <c r="D30" s="1338" t="s">
        <v>120</v>
      </c>
      <c r="E30" s="1337" t="s">
        <v>143</v>
      </c>
      <c r="F30" s="36"/>
      <c r="G30" s="1338" t="s">
        <v>115</v>
      </c>
    </row>
    <row r="31" spans="2:7" ht="25.5">
      <c r="B31" s="36"/>
      <c r="C31" s="1378">
        <v>2.0499999999999998</v>
      </c>
      <c r="D31" s="1338" t="s">
        <v>42</v>
      </c>
      <c r="E31" s="1337" t="s">
        <v>144</v>
      </c>
      <c r="F31" s="36"/>
      <c r="G31" s="1338" t="s">
        <v>115</v>
      </c>
    </row>
    <row r="32" spans="2:7" ht="38.25">
      <c r="B32" s="36"/>
      <c r="C32" s="1378">
        <v>2.06</v>
      </c>
      <c r="D32" s="1338" t="s">
        <v>43</v>
      </c>
      <c r="E32" s="1337" t="s">
        <v>145</v>
      </c>
      <c r="F32" s="36"/>
      <c r="G32" s="1338" t="s">
        <v>115</v>
      </c>
    </row>
    <row r="33" spans="2:7">
      <c r="B33" s="36"/>
      <c r="C33" s="1378">
        <v>2.08</v>
      </c>
      <c r="D33" s="1338" t="s">
        <v>146</v>
      </c>
      <c r="E33" s="1337" t="s">
        <v>147</v>
      </c>
      <c r="F33" s="36"/>
      <c r="G33" s="1338" t="s">
        <v>115</v>
      </c>
    </row>
    <row r="34" spans="2:7" ht="25.5">
      <c r="B34" s="36"/>
      <c r="C34" s="1378">
        <v>2.09</v>
      </c>
      <c r="D34" s="1338" t="s">
        <v>45</v>
      </c>
      <c r="E34" s="1337" t="s">
        <v>148</v>
      </c>
      <c r="F34" s="36"/>
      <c r="G34" s="1338" t="s">
        <v>115</v>
      </c>
    </row>
    <row r="35" spans="2:7">
      <c r="B35" s="36"/>
      <c r="C35" s="1378">
        <v>2.09</v>
      </c>
      <c r="D35" s="1338" t="s">
        <v>45</v>
      </c>
      <c r="E35" s="1337" t="s">
        <v>149</v>
      </c>
      <c r="F35" s="36"/>
      <c r="G35" s="1338" t="s">
        <v>115</v>
      </c>
    </row>
    <row r="36" spans="2:7">
      <c r="B36" s="36"/>
      <c r="C36" s="1378">
        <v>2.1</v>
      </c>
      <c r="D36" s="1338" t="s">
        <v>150</v>
      </c>
      <c r="E36" s="1337" t="s">
        <v>147</v>
      </c>
      <c r="F36" s="36"/>
      <c r="G36" s="1338" t="s">
        <v>115</v>
      </c>
    </row>
    <row r="37" spans="2:7">
      <c r="B37" s="36"/>
      <c r="C37" s="1378">
        <v>2.12</v>
      </c>
      <c r="D37" s="1338" t="s">
        <v>151</v>
      </c>
      <c r="E37" s="1337" t="s">
        <v>147</v>
      </c>
      <c r="F37" s="36"/>
      <c r="G37" s="1338" t="s">
        <v>115</v>
      </c>
    </row>
    <row r="38" spans="2:7">
      <c r="B38" s="36"/>
      <c r="C38" s="1378">
        <v>2.13</v>
      </c>
      <c r="D38" s="1338" t="s">
        <v>152</v>
      </c>
      <c r="E38" s="1337" t="s">
        <v>153</v>
      </c>
      <c r="F38" s="36"/>
      <c r="G38" s="1338" t="s">
        <v>115</v>
      </c>
    </row>
    <row r="39" spans="2:7">
      <c r="B39" s="36"/>
      <c r="C39" s="1378">
        <v>5.1100000000000003</v>
      </c>
      <c r="D39" s="1338" t="s">
        <v>96</v>
      </c>
      <c r="E39" s="1337" t="s">
        <v>154</v>
      </c>
      <c r="F39" s="36"/>
      <c r="G39" s="1338" t="s">
        <v>115</v>
      </c>
    </row>
    <row r="40" spans="2:7">
      <c r="B40" s="36"/>
      <c r="C40" s="1378">
        <v>5.12</v>
      </c>
      <c r="D40" s="1338" t="s">
        <v>155</v>
      </c>
      <c r="E40" s="1337" t="s">
        <v>156</v>
      </c>
      <c r="F40" s="36"/>
      <c r="G40" s="1338" t="s">
        <v>115</v>
      </c>
    </row>
    <row r="41" spans="2:7">
      <c r="B41" s="36"/>
      <c r="C41" s="1378">
        <v>5.13</v>
      </c>
      <c r="D41" s="1338" t="s">
        <v>157</v>
      </c>
      <c r="E41" s="1337" t="s">
        <v>156</v>
      </c>
      <c r="F41" s="36"/>
      <c r="G41" s="1338" t="s">
        <v>115</v>
      </c>
    </row>
    <row r="42" spans="2:7">
      <c r="B42" s="36"/>
      <c r="C42" s="1378">
        <v>5.14</v>
      </c>
      <c r="D42" s="1338" t="s">
        <v>99</v>
      </c>
      <c r="E42" s="1337" t="s">
        <v>158</v>
      </c>
      <c r="F42" s="36"/>
      <c r="G42" s="1338" t="s">
        <v>115</v>
      </c>
    </row>
    <row r="43" spans="2:7">
      <c r="B43" s="36"/>
      <c r="C43" s="1378">
        <v>5.15</v>
      </c>
      <c r="D43" s="1338" t="s">
        <v>100</v>
      </c>
      <c r="E43" s="1337" t="s">
        <v>159</v>
      </c>
      <c r="F43" s="36"/>
      <c r="G43" s="1338" t="s">
        <v>115</v>
      </c>
    </row>
    <row r="44" spans="2:7">
      <c r="B44" s="36"/>
      <c r="C44" s="1378">
        <v>3.08</v>
      </c>
      <c r="D44" s="1338" t="s">
        <v>70</v>
      </c>
      <c r="E44" s="1337" t="s">
        <v>160</v>
      </c>
      <c r="F44" s="36"/>
      <c r="G44" s="1338" t="s">
        <v>115</v>
      </c>
    </row>
    <row r="45" spans="2:7">
      <c r="B45" s="36"/>
      <c r="C45" s="1378">
        <v>2.0099999999999998</v>
      </c>
      <c r="D45" s="1338" t="s">
        <v>113</v>
      </c>
      <c r="E45" s="1337" t="s">
        <v>161</v>
      </c>
      <c r="F45" s="36"/>
      <c r="G45" s="1338" t="s">
        <v>115</v>
      </c>
    </row>
    <row r="46" spans="2:7">
      <c r="B46" s="36"/>
      <c r="C46" s="1378">
        <v>2.15</v>
      </c>
      <c r="D46" s="1338" t="s">
        <v>162</v>
      </c>
      <c r="E46" s="1337" t="s">
        <v>163</v>
      </c>
      <c r="F46" s="36"/>
      <c r="G46" s="1338" t="s">
        <v>115</v>
      </c>
    </row>
    <row r="47" spans="2:7" ht="25.5">
      <c r="B47" s="36"/>
      <c r="C47" s="1379">
        <v>2.16</v>
      </c>
      <c r="D47" s="1338" t="s">
        <v>164</v>
      </c>
      <c r="E47" s="1337" t="s">
        <v>165</v>
      </c>
      <c r="F47" s="36"/>
      <c r="G47" s="1338" t="s">
        <v>115</v>
      </c>
    </row>
    <row r="48" spans="2:7" ht="51">
      <c r="B48" s="36"/>
      <c r="C48" s="1378">
        <v>3</v>
      </c>
      <c r="D48" s="1338" t="s">
        <v>63</v>
      </c>
      <c r="E48" s="1337" t="s">
        <v>166</v>
      </c>
      <c r="F48" s="36"/>
      <c r="G48" s="1338" t="s">
        <v>115</v>
      </c>
    </row>
    <row r="49" spans="2:7" ht="38.25">
      <c r="B49" s="36"/>
      <c r="C49" s="1378">
        <v>3</v>
      </c>
      <c r="D49" s="1338" t="s">
        <v>63</v>
      </c>
      <c r="E49" s="1337" t="s">
        <v>167</v>
      </c>
      <c r="F49" s="36"/>
      <c r="G49" s="1338" t="s">
        <v>115</v>
      </c>
    </row>
    <row r="50" spans="2:7">
      <c r="B50" s="36"/>
      <c r="C50" s="1378">
        <v>3</v>
      </c>
      <c r="D50" s="1338" t="s">
        <v>63</v>
      </c>
      <c r="E50" s="1337" t="s">
        <v>168</v>
      </c>
      <c r="F50" s="36"/>
      <c r="G50" s="1338" t="s">
        <v>115</v>
      </c>
    </row>
    <row r="51" spans="2:7" ht="38.25">
      <c r="B51" s="36"/>
      <c r="C51" s="1378">
        <v>3</v>
      </c>
      <c r="D51" s="1338" t="s">
        <v>63</v>
      </c>
      <c r="E51" s="1337" t="s">
        <v>169</v>
      </c>
      <c r="F51" s="36"/>
      <c r="G51" s="1338" t="s">
        <v>115</v>
      </c>
    </row>
    <row r="52" spans="2:7">
      <c r="B52" s="36"/>
      <c r="C52" s="1378">
        <v>3.01</v>
      </c>
      <c r="D52" s="1338" t="s">
        <v>64</v>
      </c>
      <c r="E52" s="1337" t="s">
        <v>170</v>
      </c>
      <c r="F52" s="36"/>
      <c r="G52" s="1338" t="s">
        <v>115</v>
      </c>
    </row>
    <row r="53" spans="2:7">
      <c r="B53" s="36"/>
      <c r="C53" s="1378">
        <v>3.01</v>
      </c>
      <c r="D53" s="1338" t="s">
        <v>64</v>
      </c>
      <c r="E53" s="1337" t="s">
        <v>171</v>
      </c>
      <c r="F53" s="36"/>
      <c r="G53" s="1338" t="s">
        <v>115</v>
      </c>
    </row>
    <row r="54" spans="2:7" ht="57" customHeight="1">
      <c r="B54" s="36"/>
      <c r="C54" s="1378">
        <v>3.02</v>
      </c>
      <c r="D54" s="1338" t="s">
        <v>172</v>
      </c>
      <c r="E54" s="1337" t="s">
        <v>173</v>
      </c>
      <c r="F54" s="36"/>
      <c r="G54" s="1338" t="s">
        <v>115</v>
      </c>
    </row>
    <row r="55" spans="2:7">
      <c r="B55" s="36"/>
      <c r="C55" s="1378">
        <v>3.02</v>
      </c>
      <c r="D55" s="1338" t="s">
        <v>172</v>
      </c>
      <c r="E55" s="1337" t="s">
        <v>174</v>
      </c>
      <c r="F55" s="36"/>
      <c r="G55" s="1338" t="s">
        <v>115</v>
      </c>
    </row>
    <row r="56" spans="2:7">
      <c r="B56" s="36"/>
      <c r="C56" s="1378">
        <v>3.03</v>
      </c>
      <c r="D56" s="1338" t="s">
        <v>175</v>
      </c>
      <c r="E56" s="1337" t="s">
        <v>176</v>
      </c>
      <c r="F56" s="36"/>
      <c r="G56" s="1338" t="s">
        <v>115</v>
      </c>
    </row>
    <row r="57" spans="2:7" ht="25.5">
      <c r="B57" s="36"/>
      <c r="C57" s="1378">
        <v>3.04</v>
      </c>
      <c r="D57" s="1338" t="s">
        <v>66</v>
      </c>
      <c r="E57" s="1337" t="s">
        <v>177</v>
      </c>
      <c r="F57" s="36"/>
      <c r="G57" s="1338" t="s">
        <v>115</v>
      </c>
    </row>
    <row r="58" spans="2:7">
      <c r="B58" s="36"/>
      <c r="C58" s="1378">
        <v>3.05</v>
      </c>
      <c r="D58" s="1338" t="s">
        <v>67</v>
      </c>
      <c r="E58" s="1337" t="s">
        <v>178</v>
      </c>
      <c r="F58" s="36"/>
      <c r="G58" s="1338" t="s">
        <v>115</v>
      </c>
    </row>
    <row r="59" spans="2:7" ht="38.25">
      <c r="B59" s="36"/>
      <c r="C59" s="1378">
        <v>3.05</v>
      </c>
      <c r="D59" s="1338" t="s">
        <v>67</v>
      </c>
      <c r="E59" s="1337" t="s">
        <v>179</v>
      </c>
      <c r="F59" s="36"/>
      <c r="G59" s="1338" t="s">
        <v>115</v>
      </c>
    </row>
    <row r="60" spans="2:7" ht="25.5">
      <c r="B60" s="36"/>
      <c r="C60" s="1378">
        <v>3.06</v>
      </c>
      <c r="D60" s="1338" t="s">
        <v>68</v>
      </c>
      <c r="E60" s="1337" t="s">
        <v>180</v>
      </c>
      <c r="F60" s="36"/>
      <c r="G60" s="1338" t="s">
        <v>115</v>
      </c>
    </row>
    <row r="61" spans="2:7">
      <c r="B61" s="36"/>
      <c r="C61" s="1378">
        <v>4.1100000000000003</v>
      </c>
      <c r="D61" s="1338" t="s">
        <v>83</v>
      </c>
      <c r="E61" s="1337" t="s">
        <v>181</v>
      </c>
      <c r="F61" s="36"/>
      <c r="G61" s="1338" t="s">
        <v>115</v>
      </c>
    </row>
    <row r="62" spans="2:7">
      <c r="B62" s="36"/>
      <c r="C62" s="1378">
        <v>4.12</v>
      </c>
      <c r="D62" s="1338" t="s">
        <v>84</v>
      </c>
      <c r="E62" s="1337" t="s">
        <v>182</v>
      </c>
      <c r="F62" s="36"/>
      <c r="G62" s="1338" t="s">
        <v>115</v>
      </c>
    </row>
    <row r="63" spans="2:7">
      <c r="B63" s="36"/>
      <c r="C63" s="1378">
        <v>5.01</v>
      </c>
      <c r="D63" s="1338" t="s">
        <v>86</v>
      </c>
      <c r="E63" s="1337" t="s">
        <v>183</v>
      </c>
      <c r="F63" s="36"/>
      <c r="G63" s="1338" t="s">
        <v>115</v>
      </c>
    </row>
    <row r="64" spans="2:7">
      <c r="B64" s="36"/>
      <c r="C64" s="1378">
        <v>5.0199999999999996</v>
      </c>
      <c r="D64" s="1338" t="s">
        <v>87</v>
      </c>
      <c r="E64" s="1337" t="s">
        <v>184</v>
      </c>
      <c r="F64" s="36"/>
      <c r="G64" s="1338" t="s">
        <v>115</v>
      </c>
    </row>
    <row r="65" spans="2:7">
      <c r="B65" s="36"/>
      <c r="C65" s="1378">
        <v>5.03</v>
      </c>
      <c r="D65" s="1338" t="s">
        <v>88</v>
      </c>
      <c r="E65" s="1337" t="s">
        <v>185</v>
      </c>
      <c r="F65" s="36"/>
      <c r="G65" s="1338" t="s">
        <v>115</v>
      </c>
    </row>
    <row r="66" spans="2:7">
      <c r="B66" s="36"/>
      <c r="C66" s="1378">
        <v>5.03</v>
      </c>
      <c r="D66" s="1338" t="s">
        <v>88</v>
      </c>
      <c r="E66" s="1337" t="s">
        <v>186</v>
      </c>
      <c r="F66" s="36"/>
      <c r="G66" s="1338" t="s">
        <v>115</v>
      </c>
    </row>
    <row r="67" spans="2:7">
      <c r="B67" s="36"/>
      <c r="C67" s="1378">
        <v>5.07</v>
      </c>
      <c r="D67" s="1338" t="s">
        <v>92</v>
      </c>
      <c r="E67" s="1337" t="s">
        <v>187</v>
      </c>
      <c r="F67" s="36"/>
      <c r="G67" s="1338" t="s">
        <v>115</v>
      </c>
    </row>
    <row r="68" spans="2:7">
      <c r="B68" s="36">
        <v>1.1000000000000001</v>
      </c>
      <c r="C68" s="1379" t="s">
        <v>129</v>
      </c>
      <c r="D68" s="1338" t="s">
        <v>129</v>
      </c>
      <c r="E68" s="1337" t="s">
        <v>188</v>
      </c>
      <c r="F68" s="36"/>
      <c r="G68" s="1338" t="s">
        <v>115</v>
      </c>
    </row>
    <row r="69" spans="2:7">
      <c r="B69" s="36"/>
      <c r="C69" s="1378">
        <v>2.02</v>
      </c>
      <c r="D69" s="1338" t="s">
        <v>189</v>
      </c>
      <c r="E69" s="1337" t="s">
        <v>190</v>
      </c>
      <c r="F69" s="36"/>
      <c r="G69" s="1338" t="s">
        <v>115</v>
      </c>
    </row>
    <row r="70" spans="2:7">
      <c r="B70" s="36"/>
      <c r="C70" s="1378">
        <v>2</v>
      </c>
      <c r="D70" s="1338" t="s">
        <v>37</v>
      </c>
      <c r="E70" s="1337" t="s">
        <v>191</v>
      </c>
      <c r="F70" s="36"/>
      <c r="G70" s="1338" t="s">
        <v>115</v>
      </c>
    </row>
    <row r="71" spans="2:7" ht="25.5">
      <c r="B71" s="36"/>
      <c r="C71" s="1378">
        <v>2.2400000000000002</v>
      </c>
      <c r="D71" s="1338" t="s">
        <v>57</v>
      </c>
      <c r="E71" s="1337" t="s">
        <v>192</v>
      </c>
      <c r="F71" s="36"/>
      <c r="G71" s="1338" t="s">
        <v>115</v>
      </c>
    </row>
    <row r="72" spans="2:7" ht="25.5">
      <c r="B72" s="36"/>
      <c r="C72" s="1747" t="s">
        <v>193</v>
      </c>
      <c r="D72" s="1337" t="s">
        <v>194</v>
      </c>
      <c r="E72" s="1337" t="s">
        <v>195</v>
      </c>
      <c r="F72" s="36"/>
      <c r="G72" s="1338" t="s">
        <v>115</v>
      </c>
    </row>
    <row r="73" spans="2:7" ht="38.25">
      <c r="B73" s="36"/>
      <c r="C73" s="1378">
        <v>2.2200000000000002</v>
      </c>
      <c r="D73" s="1338" t="s">
        <v>55</v>
      </c>
      <c r="E73" s="1337" t="s">
        <v>196</v>
      </c>
      <c r="F73" s="36"/>
      <c r="G73" s="1338" t="s">
        <v>115</v>
      </c>
    </row>
    <row r="74" spans="2:7" ht="51">
      <c r="B74" s="36"/>
      <c r="C74" s="1378">
        <v>5.09</v>
      </c>
      <c r="D74" s="1338" t="s">
        <v>94</v>
      </c>
      <c r="E74" s="1337" t="s">
        <v>197</v>
      </c>
      <c r="F74" s="36"/>
      <c r="G74" s="1338" t="s">
        <v>115</v>
      </c>
    </row>
    <row r="75" spans="2:7" ht="51">
      <c r="B75" s="36"/>
      <c r="C75" s="1378">
        <v>2.0099999999999998</v>
      </c>
      <c r="D75" s="1338" t="s">
        <v>198</v>
      </c>
      <c r="E75" s="1337" t="s">
        <v>199</v>
      </c>
      <c r="F75" s="36"/>
      <c r="G75" s="1338" t="s">
        <v>115</v>
      </c>
    </row>
    <row r="76" spans="2:7" ht="25.5">
      <c r="B76" s="36"/>
      <c r="C76" s="1378">
        <v>2</v>
      </c>
      <c r="D76" s="1338" t="s">
        <v>37</v>
      </c>
      <c r="E76" s="1337" t="s">
        <v>200</v>
      </c>
      <c r="F76" s="36"/>
      <c r="G76" s="1338" t="s">
        <v>115</v>
      </c>
    </row>
    <row r="77" spans="2:7">
      <c r="B77" s="36"/>
      <c r="C77" s="1378">
        <v>2.21</v>
      </c>
      <c r="D77" s="1338" t="s">
        <v>54</v>
      </c>
      <c r="E77" s="1337" t="s">
        <v>201</v>
      </c>
      <c r="F77" s="36"/>
      <c r="G77" s="1338" t="s">
        <v>115</v>
      </c>
    </row>
    <row r="78" spans="2:7" ht="38.25">
      <c r="B78" s="36"/>
      <c r="C78" s="1379" t="s">
        <v>129</v>
      </c>
      <c r="D78" s="1338" t="s">
        <v>61</v>
      </c>
      <c r="E78" s="1337" t="s">
        <v>202</v>
      </c>
      <c r="F78" s="36"/>
      <c r="G78" s="1338" t="s">
        <v>115</v>
      </c>
    </row>
    <row r="79" spans="2:7" ht="25.5">
      <c r="B79" s="36"/>
      <c r="C79" s="1378">
        <v>2.02</v>
      </c>
      <c r="D79" s="1338" t="s">
        <v>189</v>
      </c>
      <c r="E79" s="1337" t="s">
        <v>203</v>
      </c>
      <c r="F79" s="36"/>
      <c r="G79" s="1338" t="s">
        <v>115</v>
      </c>
    </row>
    <row r="80" spans="2:7">
      <c r="B80" s="36"/>
      <c r="C80" s="1378">
        <v>2.09</v>
      </c>
      <c r="D80" s="1338" t="s">
        <v>45</v>
      </c>
      <c r="E80" s="1337" t="s">
        <v>204</v>
      </c>
      <c r="F80" s="36"/>
      <c r="G80" s="1338" t="s">
        <v>115</v>
      </c>
    </row>
    <row r="81" spans="2:7">
      <c r="B81" s="36"/>
      <c r="C81" s="1378">
        <v>3.07</v>
      </c>
      <c r="D81" s="1338" t="s">
        <v>205</v>
      </c>
      <c r="E81" s="1337" t="s">
        <v>206</v>
      </c>
      <c r="F81" s="36"/>
      <c r="G81" s="1338" t="s">
        <v>115</v>
      </c>
    </row>
    <row r="82" spans="2:7" ht="51">
      <c r="B82" s="36"/>
      <c r="C82" s="1747">
        <v>5.0999999999999996</v>
      </c>
      <c r="D82" s="1338" t="s">
        <v>120</v>
      </c>
      <c r="E82" s="1337" t="s">
        <v>207</v>
      </c>
      <c r="F82" s="36"/>
      <c r="G82" s="1338" t="s">
        <v>115</v>
      </c>
    </row>
    <row r="83" spans="2:7" ht="38.25">
      <c r="B83" s="36"/>
      <c r="C83" s="1378">
        <v>2.2200000000000002</v>
      </c>
      <c r="D83" s="1338" t="s">
        <v>55</v>
      </c>
      <c r="E83" s="1337" t="s">
        <v>208</v>
      </c>
      <c r="F83" s="36"/>
      <c r="G83" s="1338" t="s">
        <v>115</v>
      </c>
    </row>
    <row r="84" spans="2:7">
      <c r="B84" s="36"/>
      <c r="C84" s="1378">
        <v>2.2200000000000002</v>
      </c>
      <c r="D84" s="1338" t="s">
        <v>55</v>
      </c>
      <c r="E84" s="1337" t="s">
        <v>209</v>
      </c>
      <c r="F84" s="36"/>
      <c r="G84" s="1338" t="s">
        <v>115</v>
      </c>
    </row>
    <row r="85" spans="2:7">
      <c r="B85" s="36"/>
      <c r="C85" s="1378">
        <v>2.2200000000000002</v>
      </c>
      <c r="D85" s="1338" t="s">
        <v>55</v>
      </c>
      <c r="E85" s="1337" t="s">
        <v>210</v>
      </c>
      <c r="F85" s="36"/>
      <c r="G85" s="1338" t="s">
        <v>115</v>
      </c>
    </row>
    <row r="86" spans="2:7">
      <c r="B86" s="36"/>
      <c r="C86" s="1378">
        <v>2.2200000000000002</v>
      </c>
      <c r="D86" s="1338" t="s">
        <v>55</v>
      </c>
      <c r="E86" s="1337" t="s">
        <v>211</v>
      </c>
      <c r="F86" s="36"/>
      <c r="G86" s="1338" t="s">
        <v>115</v>
      </c>
    </row>
    <row r="87" spans="2:7">
      <c r="B87" s="36"/>
      <c r="C87" s="1378">
        <v>2.2200000000000002</v>
      </c>
      <c r="D87" s="1338" t="s">
        <v>55</v>
      </c>
      <c r="E87" s="1337" t="s">
        <v>212</v>
      </c>
      <c r="F87" s="36"/>
      <c r="G87" s="1338" t="s">
        <v>115</v>
      </c>
    </row>
    <row r="88" spans="2:7">
      <c r="B88" s="36"/>
      <c r="C88" s="1378">
        <v>2.2200000000000002</v>
      </c>
      <c r="D88" s="1338" t="s">
        <v>55</v>
      </c>
      <c r="E88" s="1337" t="s">
        <v>213</v>
      </c>
      <c r="F88" s="36"/>
      <c r="G88" s="1338" t="s">
        <v>115</v>
      </c>
    </row>
    <row r="89" spans="2:7" s="37" customFormat="1" ht="33" customHeight="1">
      <c r="B89" s="36"/>
      <c r="C89" s="1378">
        <v>2.2200000000000002</v>
      </c>
      <c r="D89" s="1338" t="s">
        <v>55</v>
      </c>
      <c r="E89" s="1337" t="s">
        <v>214</v>
      </c>
      <c r="F89" s="36"/>
      <c r="G89" s="1338" t="s">
        <v>115</v>
      </c>
    </row>
    <row r="90" spans="2:7">
      <c r="B90" s="36"/>
      <c r="C90" s="1378">
        <v>2.2200000000000002</v>
      </c>
      <c r="D90" s="1338" t="s">
        <v>55</v>
      </c>
      <c r="E90" s="1337" t="s">
        <v>215</v>
      </c>
      <c r="F90" s="36"/>
      <c r="G90" s="1338" t="s">
        <v>115</v>
      </c>
    </row>
    <row r="91" spans="2:7" ht="30" customHeight="1">
      <c r="B91" s="36"/>
      <c r="C91" s="1378">
        <v>2.2200000000000002</v>
      </c>
      <c r="D91" s="1338" t="s">
        <v>55</v>
      </c>
      <c r="E91" s="1337" t="s">
        <v>216</v>
      </c>
      <c r="F91" s="36"/>
      <c r="G91" s="1338" t="s">
        <v>115</v>
      </c>
    </row>
    <row r="92" spans="2:7">
      <c r="B92" s="36"/>
      <c r="C92" s="1378">
        <v>3.01</v>
      </c>
      <c r="D92" s="1338" t="s">
        <v>64</v>
      </c>
      <c r="E92" s="1337" t="s">
        <v>217</v>
      </c>
      <c r="F92" s="36"/>
      <c r="G92" s="1338" t="s">
        <v>115</v>
      </c>
    </row>
    <row r="93" spans="2:7">
      <c r="B93" s="36"/>
      <c r="C93" s="1378">
        <v>5.17</v>
      </c>
      <c r="D93" s="1338" t="s">
        <v>102</v>
      </c>
      <c r="E93" s="1337" t="s">
        <v>218</v>
      </c>
      <c r="F93" s="36"/>
      <c r="G93" s="1338" t="s">
        <v>115</v>
      </c>
    </row>
    <row r="94" spans="2:7">
      <c r="B94" s="36"/>
      <c r="C94" s="1378">
        <v>5.18</v>
      </c>
      <c r="D94" s="1338" t="s">
        <v>219</v>
      </c>
      <c r="E94" s="1337" t="s">
        <v>220</v>
      </c>
      <c r="F94" s="36"/>
      <c r="G94" s="1338" t="s">
        <v>115</v>
      </c>
    </row>
    <row r="95" spans="2:7" ht="25.5">
      <c r="B95" s="36"/>
      <c r="C95" s="1378">
        <v>4</v>
      </c>
      <c r="D95" s="1338" t="s">
        <v>72</v>
      </c>
      <c r="E95" s="1337" t="s">
        <v>221</v>
      </c>
      <c r="F95" s="36"/>
      <c r="G95" s="1338" t="s">
        <v>115</v>
      </c>
    </row>
    <row r="96" spans="2:7" ht="25.5">
      <c r="B96" s="36"/>
      <c r="C96" s="1378">
        <v>4.01</v>
      </c>
      <c r="D96" s="1338" t="s">
        <v>222</v>
      </c>
      <c r="E96" s="1337" t="s">
        <v>223</v>
      </c>
      <c r="F96" s="36"/>
      <c r="G96" s="1338" t="s">
        <v>115</v>
      </c>
    </row>
    <row r="97" spans="2:7" ht="25.5">
      <c r="B97" s="36"/>
      <c r="C97" s="1378">
        <v>2.02</v>
      </c>
      <c r="D97" s="1338" t="s">
        <v>224</v>
      </c>
      <c r="E97" s="1337" t="s">
        <v>225</v>
      </c>
      <c r="F97" s="36"/>
      <c r="G97" s="1338" t="s">
        <v>115</v>
      </c>
    </row>
    <row r="98" spans="2:7" ht="25.5">
      <c r="B98" s="36"/>
      <c r="C98" s="1378">
        <v>2.0099999999999998</v>
      </c>
      <c r="D98" s="1338" t="s">
        <v>226</v>
      </c>
      <c r="E98" s="1337" t="s">
        <v>227</v>
      </c>
      <c r="F98" s="36"/>
      <c r="G98" s="1338" t="s">
        <v>115</v>
      </c>
    </row>
    <row r="99" spans="2:7" ht="25.5">
      <c r="B99" s="36"/>
      <c r="C99" s="1378">
        <v>4.04</v>
      </c>
      <c r="D99" s="1338" t="s">
        <v>228</v>
      </c>
      <c r="E99" s="1337" t="s">
        <v>229</v>
      </c>
      <c r="F99" s="36"/>
      <c r="G99" s="1338" t="s">
        <v>115</v>
      </c>
    </row>
    <row r="100" spans="2:7">
      <c r="B100" s="36"/>
      <c r="C100" s="1378">
        <v>4.09</v>
      </c>
      <c r="D100" s="1338" t="s">
        <v>81</v>
      </c>
      <c r="E100" s="1337" t="s">
        <v>230</v>
      </c>
      <c r="F100" s="36"/>
      <c r="G100" s="1338" t="s">
        <v>115</v>
      </c>
    </row>
    <row r="101" spans="2:7" ht="25.5">
      <c r="B101" s="36"/>
      <c r="C101" s="1378">
        <v>4.1100000000000003</v>
      </c>
      <c r="D101" s="1338" t="s">
        <v>231</v>
      </c>
      <c r="E101" s="1337" t="s">
        <v>232</v>
      </c>
      <c r="F101" s="36"/>
      <c r="G101" s="1338" t="s">
        <v>115</v>
      </c>
    </row>
    <row r="102" spans="2:7" ht="25.5">
      <c r="B102" s="36"/>
      <c r="C102" s="1378">
        <v>4.12</v>
      </c>
      <c r="D102" s="1338" t="s">
        <v>84</v>
      </c>
      <c r="E102" s="1337" t="s">
        <v>233</v>
      </c>
      <c r="F102" s="36"/>
      <c r="G102" s="1338" t="s">
        <v>115</v>
      </c>
    </row>
    <row r="103" spans="2:7">
      <c r="B103" s="36"/>
      <c r="C103" s="1378">
        <v>1.02</v>
      </c>
      <c r="D103" s="36" t="s">
        <v>234</v>
      </c>
      <c r="E103" s="2455" t="s">
        <v>235</v>
      </c>
      <c r="F103" s="36"/>
      <c r="G103" s="1338" t="s">
        <v>115</v>
      </c>
    </row>
    <row r="104" spans="2:7">
      <c r="B104" s="36"/>
      <c r="C104" s="1378">
        <v>1.02</v>
      </c>
      <c r="D104" s="36" t="s">
        <v>234</v>
      </c>
      <c r="E104" s="2456" t="s">
        <v>236</v>
      </c>
      <c r="F104" s="36"/>
      <c r="G104" s="1338" t="s">
        <v>115</v>
      </c>
    </row>
    <row r="105" spans="2:7">
      <c r="B105" s="36"/>
      <c r="C105" s="1378">
        <v>1.02</v>
      </c>
      <c r="D105" s="36" t="s">
        <v>234</v>
      </c>
      <c r="E105" s="2456" t="s">
        <v>237</v>
      </c>
      <c r="F105" s="36"/>
      <c r="G105" s="1338" t="s">
        <v>115</v>
      </c>
    </row>
    <row r="106" spans="2:7">
      <c r="B106" s="36"/>
      <c r="C106" s="1378">
        <v>1.02</v>
      </c>
      <c r="D106" s="36" t="s">
        <v>234</v>
      </c>
      <c r="E106" s="2457" t="s">
        <v>238</v>
      </c>
      <c r="F106" s="36"/>
      <c r="G106" s="1338" t="s">
        <v>115</v>
      </c>
    </row>
    <row r="107" spans="2:7" ht="25.5">
      <c r="B107" s="36"/>
      <c r="C107" s="1378">
        <v>1.03</v>
      </c>
      <c r="D107" s="36" t="s">
        <v>239</v>
      </c>
      <c r="E107" s="1337" t="s">
        <v>240</v>
      </c>
      <c r="F107" s="36"/>
      <c r="G107" s="1338" t="s">
        <v>115</v>
      </c>
    </row>
    <row r="108" spans="2:7">
      <c r="B108" s="36"/>
      <c r="C108" s="1378">
        <v>1.02</v>
      </c>
      <c r="D108" s="36" t="s">
        <v>234</v>
      </c>
      <c r="E108" s="1337" t="s">
        <v>241</v>
      </c>
      <c r="F108" s="36"/>
      <c r="G108" s="1338" t="s">
        <v>115</v>
      </c>
    </row>
    <row r="109" spans="2:7">
      <c r="B109" s="36"/>
      <c r="C109" s="1378">
        <v>1.01</v>
      </c>
      <c r="D109" s="36" t="s">
        <v>242</v>
      </c>
      <c r="E109" s="1337" t="s">
        <v>243</v>
      </c>
      <c r="F109" s="36"/>
      <c r="G109" s="1338" t="s">
        <v>115</v>
      </c>
    </row>
    <row r="110" spans="2:7">
      <c r="B110" s="36"/>
      <c r="C110" s="1378">
        <v>1.03</v>
      </c>
      <c r="D110" s="36" t="s">
        <v>239</v>
      </c>
      <c r="E110" s="1337" t="s">
        <v>244</v>
      </c>
      <c r="F110" s="36"/>
      <c r="G110" s="1338" t="s">
        <v>115</v>
      </c>
    </row>
    <row r="111" spans="2:7">
      <c r="B111" s="36"/>
      <c r="C111" s="1378">
        <v>1.01</v>
      </c>
      <c r="D111" s="36" t="s">
        <v>242</v>
      </c>
      <c r="E111" s="1337" t="s">
        <v>245</v>
      </c>
      <c r="F111" s="36"/>
      <c r="G111" s="1338" t="s">
        <v>115</v>
      </c>
    </row>
    <row r="112" spans="2:7">
      <c r="B112" s="36"/>
      <c r="C112" s="1378">
        <v>1.03</v>
      </c>
      <c r="D112" s="36" t="s">
        <v>239</v>
      </c>
      <c r="E112" s="1337" t="s">
        <v>246</v>
      </c>
      <c r="F112" s="36"/>
      <c r="G112" s="1338" t="s">
        <v>115</v>
      </c>
    </row>
    <row r="113" spans="2:7">
      <c r="B113" s="36"/>
      <c r="C113" s="1378">
        <v>1.02</v>
      </c>
      <c r="D113" s="36" t="s">
        <v>234</v>
      </c>
      <c r="E113" s="1337" t="s">
        <v>247</v>
      </c>
      <c r="F113" s="36"/>
      <c r="G113" s="1338" t="s">
        <v>115</v>
      </c>
    </row>
    <row r="114" spans="2:7" ht="25.5">
      <c r="B114" s="36"/>
      <c r="C114" s="1378">
        <v>2.15</v>
      </c>
      <c r="D114" s="1338" t="s">
        <v>162</v>
      </c>
      <c r="E114" s="1337" t="s">
        <v>248</v>
      </c>
      <c r="F114" s="36"/>
      <c r="G114" s="1338" t="s">
        <v>115</v>
      </c>
    </row>
    <row r="115" spans="2:7">
      <c r="B115" s="36"/>
      <c r="C115" s="1378">
        <v>3</v>
      </c>
      <c r="D115" s="1338" t="s">
        <v>63</v>
      </c>
      <c r="E115" s="1337" t="s">
        <v>249</v>
      </c>
      <c r="F115" s="36"/>
      <c r="G115" s="1338" t="s">
        <v>115</v>
      </c>
    </row>
    <row r="116" spans="2:7">
      <c r="B116" s="36"/>
      <c r="C116" s="1378"/>
      <c r="D116" s="1338" t="s">
        <v>35</v>
      </c>
      <c r="E116" s="1337" t="s">
        <v>250</v>
      </c>
      <c r="F116" s="36"/>
      <c r="G116" s="1338" t="s">
        <v>115</v>
      </c>
    </row>
    <row r="117" spans="2:7">
      <c r="B117" s="36"/>
      <c r="C117" s="1378">
        <v>2.02</v>
      </c>
      <c r="D117" s="1338" t="s">
        <v>224</v>
      </c>
      <c r="E117" s="1337" t="s">
        <v>251</v>
      </c>
      <c r="F117" s="36"/>
      <c r="G117" s="1338" t="s">
        <v>115</v>
      </c>
    </row>
    <row r="118" spans="2:7">
      <c r="B118" s="36"/>
      <c r="C118" s="1378"/>
      <c r="D118" s="1338" t="s">
        <v>34</v>
      </c>
      <c r="E118" s="1337" t="s">
        <v>252</v>
      </c>
      <c r="F118" s="36"/>
      <c r="G118" s="1338" t="s">
        <v>115</v>
      </c>
    </row>
    <row r="119" spans="2:7" ht="25.5">
      <c r="B119" s="36"/>
      <c r="C119" s="1378">
        <v>5.09</v>
      </c>
      <c r="D119" s="1338" t="s">
        <v>94</v>
      </c>
      <c r="E119" s="1337" t="s">
        <v>253</v>
      </c>
      <c r="F119" s="36"/>
      <c r="G119" s="1338" t="s">
        <v>115</v>
      </c>
    </row>
    <row r="120" spans="2:7">
      <c r="B120" s="36"/>
      <c r="C120" s="1378">
        <v>5.0999999999999996</v>
      </c>
      <c r="D120" s="1338" t="s">
        <v>120</v>
      </c>
      <c r="E120" s="1337" t="s">
        <v>254</v>
      </c>
      <c r="F120" s="36"/>
      <c r="G120" s="1338" t="s">
        <v>115</v>
      </c>
    </row>
    <row r="121" spans="2:7" ht="25.5">
      <c r="B121" s="36"/>
      <c r="C121" s="1378">
        <v>5.16</v>
      </c>
      <c r="D121" s="1338" t="s">
        <v>255</v>
      </c>
      <c r="E121" s="1337" t="s">
        <v>256</v>
      </c>
      <c r="F121" s="36"/>
      <c r="G121" s="1338" t="s">
        <v>115</v>
      </c>
    </row>
    <row r="122" spans="2:7" ht="78.400000000000006" customHeight="1">
      <c r="B122" s="36"/>
      <c r="C122" s="1378">
        <v>2.21</v>
      </c>
      <c r="D122" s="1338" t="s">
        <v>54</v>
      </c>
      <c r="E122" s="2489" t="s">
        <v>257</v>
      </c>
      <c r="F122" s="36"/>
      <c r="G122" s="1338" t="s">
        <v>115</v>
      </c>
    </row>
    <row r="123" spans="2:7">
      <c r="B123" s="36"/>
      <c r="C123" s="1378">
        <v>4.1100000000000003</v>
      </c>
      <c r="D123" s="1338" t="s">
        <v>83</v>
      </c>
      <c r="E123" s="1337" t="s">
        <v>258</v>
      </c>
      <c r="F123" s="36"/>
      <c r="G123" s="1338" t="s">
        <v>115</v>
      </c>
    </row>
    <row r="124" spans="2:7" ht="25.5">
      <c r="B124" s="36"/>
      <c r="C124" s="1378">
        <v>2.14</v>
      </c>
      <c r="D124" s="1338" t="s">
        <v>48</v>
      </c>
      <c r="E124" s="1337" t="s">
        <v>259</v>
      </c>
      <c r="F124" s="36"/>
      <c r="G124" s="1338" t="s">
        <v>115</v>
      </c>
    </row>
    <row r="125" spans="2:7" ht="25.5">
      <c r="B125" s="36"/>
      <c r="C125" s="1378">
        <v>2.19</v>
      </c>
      <c r="D125" s="1338" t="s">
        <v>260</v>
      </c>
      <c r="E125" s="1337" t="s">
        <v>261</v>
      </c>
      <c r="F125" s="36"/>
      <c r="G125" s="1338" t="s">
        <v>115</v>
      </c>
    </row>
    <row r="126" spans="2:7">
      <c r="B126" s="36"/>
      <c r="C126" s="1378">
        <v>2.13</v>
      </c>
      <c r="D126" s="1338" t="s">
        <v>164</v>
      </c>
      <c r="E126" s="1337" t="s">
        <v>262</v>
      </c>
      <c r="F126" s="36"/>
      <c r="G126" s="1338" t="s">
        <v>115</v>
      </c>
    </row>
    <row r="127" spans="2:7" ht="25.5">
      <c r="B127" s="36"/>
      <c r="C127" s="1378">
        <v>2.1800000000000002</v>
      </c>
      <c r="D127" s="1338" t="s">
        <v>55</v>
      </c>
      <c r="E127" s="1337" t="s">
        <v>263</v>
      </c>
      <c r="F127" s="36"/>
      <c r="G127" s="1338" t="s">
        <v>115</v>
      </c>
    </row>
    <row r="128" spans="2:7">
      <c r="B128" s="36"/>
      <c r="C128" s="1379">
        <v>2.04</v>
      </c>
      <c r="D128" s="1338" t="s">
        <v>41</v>
      </c>
      <c r="E128" s="1337" t="s">
        <v>264</v>
      </c>
      <c r="F128" s="36"/>
      <c r="G128" s="1338" t="s">
        <v>115</v>
      </c>
    </row>
    <row r="129" spans="2:7" ht="25.5">
      <c r="B129" s="36"/>
      <c r="C129" s="1378">
        <v>2.0099999999999998</v>
      </c>
      <c r="D129" s="1338" t="s">
        <v>226</v>
      </c>
      <c r="E129" s="1337" t="s">
        <v>265</v>
      </c>
      <c r="F129" s="36"/>
      <c r="G129" s="1338" t="s">
        <v>115</v>
      </c>
    </row>
    <row r="130" spans="2:7" ht="25.5">
      <c r="B130" s="36"/>
      <c r="C130" s="1378">
        <v>2.0099999999999998</v>
      </c>
      <c r="D130" s="1338" t="s">
        <v>226</v>
      </c>
      <c r="E130" s="1337" t="s">
        <v>266</v>
      </c>
      <c r="F130" s="36"/>
      <c r="G130" s="1338" t="s">
        <v>115</v>
      </c>
    </row>
    <row r="131" spans="2:7">
      <c r="B131" s="36"/>
      <c r="C131" s="1378">
        <v>2.0499999999999998</v>
      </c>
      <c r="D131" s="1338" t="s">
        <v>42</v>
      </c>
      <c r="E131" s="1337" t="s">
        <v>267</v>
      </c>
      <c r="F131" s="36"/>
      <c r="G131" s="1338" t="s">
        <v>115</v>
      </c>
    </row>
    <row r="132" spans="2:7" ht="25.5">
      <c r="B132" s="36"/>
      <c r="C132" s="1378">
        <v>2.06</v>
      </c>
      <c r="D132" s="1338" t="s">
        <v>43</v>
      </c>
      <c r="E132" s="1337" t="s">
        <v>268</v>
      </c>
      <c r="F132" s="36"/>
      <c r="G132" s="1338" t="s">
        <v>115</v>
      </c>
    </row>
    <row r="133" spans="2:7">
      <c r="B133" s="36"/>
      <c r="C133" s="1378">
        <v>2.08</v>
      </c>
      <c r="D133" s="1338" t="s">
        <v>45</v>
      </c>
      <c r="E133" s="1337" t="s">
        <v>269</v>
      </c>
      <c r="F133" s="36"/>
      <c r="G133" s="1338" t="s">
        <v>115</v>
      </c>
    </row>
    <row r="134" spans="2:7" ht="25.5">
      <c r="B134" s="36"/>
      <c r="C134" s="1378">
        <v>2.19</v>
      </c>
      <c r="D134" s="1338" t="s">
        <v>270</v>
      </c>
      <c r="E134" s="1337" t="s">
        <v>271</v>
      </c>
      <c r="F134" s="36"/>
      <c r="G134" s="1338" t="s">
        <v>115</v>
      </c>
    </row>
    <row r="135" spans="2:7">
      <c r="B135" s="36"/>
      <c r="C135" s="1378">
        <v>2.2000000000000002</v>
      </c>
      <c r="D135" s="1338" t="s">
        <v>57</v>
      </c>
      <c r="E135" s="1337" t="s">
        <v>272</v>
      </c>
      <c r="F135" s="36"/>
      <c r="G135" s="1338" t="s">
        <v>115</v>
      </c>
    </row>
    <row r="136" spans="2:7">
      <c r="B136" s="36"/>
      <c r="C136" s="1378"/>
      <c r="D136" s="1338" t="s">
        <v>273</v>
      </c>
      <c r="E136" s="1337" t="s">
        <v>274</v>
      </c>
      <c r="F136" s="36"/>
      <c r="G136" s="1338" t="s">
        <v>115</v>
      </c>
    </row>
    <row r="137" spans="2:7">
      <c r="B137" s="1378">
        <v>3</v>
      </c>
      <c r="C137" s="1338" t="s">
        <v>129</v>
      </c>
      <c r="D137" s="1338" t="s">
        <v>129</v>
      </c>
      <c r="E137" s="1337" t="s">
        <v>275</v>
      </c>
      <c r="F137" s="36"/>
      <c r="G137" s="1338" t="s">
        <v>115</v>
      </c>
    </row>
    <row r="138" spans="2:7">
      <c r="B138" s="36" t="s">
        <v>36</v>
      </c>
      <c r="C138" s="1378">
        <v>3.04</v>
      </c>
      <c r="D138" s="36" t="s">
        <v>67</v>
      </c>
      <c r="E138" s="2551" t="s">
        <v>276</v>
      </c>
      <c r="F138" s="36"/>
      <c r="G138" s="36"/>
    </row>
    <row r="139" spans="2:7">
      <c r="B139" s="36" t="s">
        <v>36</v>
      </c>
      <c r="C139" s="1378">
        <v>2</v>
      </c>
      <c r="D139" s="36" t="s">
        <v>37</v>
      </c>
      <c r="E139" s="2551" t="s">
        <v>277</v>
      </c>
      <c r="F139" s="36"/>
      <c r="G139" s="36"/>
    </row>
    <row r="140" spans="2:7" ht="25.5">
      <c r="B140" s="36" t="s">
        <v>36</v>
      </c>
      <c r="C140" s="1378">
        <v>2</v>
      </c>
      <c r="D140" s="36" t="s">
        <v>37</v>
      </c>
      <c r="E140" s="2551" t="s">
        <v>278</v>
      </c>
      <c r="F140" s="36"/>
      <c r="G140" s="36"/>
    </row>
    <row r="141" spans="2:7" ht="30">
      <c r="B141" s="36" t="s">
        <v>85</v>
      </c>
      <c r="C141" s="36">
        <v>4.1100000000000003</v>
      </c>
      <c r="D141" s="36" t="s">
        <v>83</v>
      </c>
      <c r="E141" s="2552" t="s">
        <v>279</v>
      </c>
      <c r="F141" s="36"/>
      <c r="G141" s="36"/>
    </row>
    <row r="142" spans="2:7" ht="30">
      <c r="B142" s="36" t="s">
        <v>62</v>
      </c>
      <c r="C142" s="36">
        <v>3.05</v>
      </c>
      <c r="D142" s="36" t="s">
        <v>68</v>
      </c>
      <c r="E142" s="2552" t="s">
        <v>280</v>
      </c>
      <c r="F142" s="36"/>
      <c r="G142" s="36"/>
    </row>
    <row r="143" spans="2:7" ht="63.75">
      <c r="B143" s="36" t="s">
        <v>36</v>
      </c>
      <c r="C143" s="36">
        <v>2.16</v>
      </c>
      <c r="D143" s="36" t="s">
        <v>260</v>
      </c>
      <c r="E143" s="2551" t="s">
        <v>281</v>
      </c>
      <c r="F143" s="36"/>
      <c r="G143" s="36"/>
    </row>
    <row r="144" spans="2:7" ht="30">
      <c r="B144" s="36" t="s">
        <v>71</v>
      </c>
      <c r="C144" s="36" t="s">
        <v>129</v>
      </c>
      <c r="D144" s="36" t="s">
        <v>282</v>
      </c>
      <c r="E144" s="2552" t="s">
        <v>283</v>
      </c>
      <c r="F144" s="36"/>
      <c r="G144" s="36"/>
    </row>
    <row r="145" spans="2:7">
      <c r="B145" s="36" t="s">
        <v>71</v>
      </c>
      <c r="C145" s="36">
        <v>4.01</v>
      </c>
      <c r="D145" s="36" t="s">
        <v>73</v>
      </c>
      <c r="E145" s="2551" t="s">
        <v>284</v>
      </c>
      <c r="F145" s="36"/>
      <c r="G145" s="36"/>
    </row>
    <row r="146" spans="2:7" ht="102">
      <c r="B146" s="36" t="s">
        <v>71</v>
      </c>
      <c r="C146" s="36">
        <v>4.0599999999999996</v>
      </c>
      <c r="D146" s="36" t="s">
        <v>285</v>
      </c>
      <c r="E146" s="2553" t="s">
        <v>286</v>
      </c>
      <c r="F146" s="36"/>
      <c r="G146" s="36"/>
    </row>
    <row r="147" spans="2:7">
      <c r="B147" s="36" t="s">
        <v>85</v>
      </c>
      <c r="C147" s="36">
        <v>5.18</v>
      </c>
      <c r="D147" s="36" t="s">
        <v>287</v>
      </c>
      <c r="E147" s="2553" t="s">
        <v>288</v>
      </c>
      <c r="F147" s="36"/>
      <c r="G147" s="36"/>
    </row>
    <row r="148" spans="2:7">
      <c r="B148" s="36" t="s">
        <v>62</v>
      </c>
      <c r="C148" s="36">
        <v>3.04</v>
      </c>
      <c r="D148" s="36" t="s">
        <v>67</v>
      </c>
      <c r="E148" s="2553" t="s">
        <v>289</v>
      </c>
      <c r="F148" s="36"/>
      <c r="G148" s="36"/>
    </row>
    <row r="149" spans="2:7">
      <c r="B149" s="36" t="s">
        <v>71</v>
      </c>
      <c r="C149" s="36">
        <v>4.08</v>
      </c>
      <c r="D149" s="36" t="s">
        <v>290</v>
      </c>
      <c r="E149" s="2553" t="s">
        <v>291</v>
      </c>
      <c r="F149" s="36"/>
      <c r="G149" s="36"/>
    </row>
    <row r="150" spans="2:7">
      <c r="B150" s="36" t="s">
        <v>62</v>
      </c>
      <c r="C150" s="36">
        <v>3.05</v>
      </c>
      <c r="D150" s="36" t="s">
        <v>68</v>
      </c>
      <c r="E150" s="1337" t="s">
        <v>292</v>
      </c>
      <c r="F150" s="36"/>
      <c r="G150" s="36"/>
    </row>
    <row r="151" spans="2:7" ht="116.25" customHeight="1">
      <c r="B151" s="36" t="s">
        <v>85</v>
      </c>
      <c r="C151" s="36">
        <v>5.16</v>
      </c>
      <c r="D151" s="36" t="s">
        <v>255</v>
      </c>
      <c r="E151" s="1337" t="s">
        <v>293</v>
      </c>
      <c r="F151" s="36"/>
      <c r="G151" s="36"/>
    </row>
    <row r="152" spans="2:7" s="2600" customFormat="1" ht="32.25" customHeight="1">
      <c r="B152" s="2602" t="s">
        <v>71</v>
      </c>
      <c r="C152" s="2603">
        <v>4</v>
      </c>
      <c r="D152" s="2602" t="s">
        <v>72</v>
      </c>
      <c r="E152" s="2553" t="s">
        <v>294</v>
      </c>
      <c r="F152" s="2553"/>
      <c r="G152" s="2601"/>
    </row>
    <row r="153" spans="2:7" ht="38.25">
      <c r="B153" s="36" t="s">
        <v>71</v>
      </c>
      <c r="C153" s="2603">
        <v>4</v>
      </c>
      <c r="D153" s="2602" t="s">
        <v>72</v>
      </c>
      <c r="E153" s="2553" t="s">
        <v>295</v>
      </c>
      <c r="F153" s="36"/>
      <c r="G153" s="36"/>
    </row>
    <row r="154" spans="2:7" ht="31.5" customHeight="1">
      <c r="B154" s="36" t="s">
        <v>71</v>
      </c>
      <c r="C154" s="2603">
        <v>4</v>
      </c>
      <c r="D154" s="2602" t="s">
        <v>72</v>
      </c>
      <c r="E154" s="2553" t="s">
        <v>296</v>
      </c>
      <c r="F154" s="36"/>
      <c r="G154" s="36"/>
    </row>
    <row r="155" spans="2:7" ht="38.25">
      <c r="B155" s="36" t="s">
        <v>71</v>
      </c>
      <c r="C155" s="2603">
        <v>4</v>
      </c>
      <c r="D155" s="2602" t="s">
        <v>72</v>
      </c>
      <c r="E155" s="2553" t="s">
        <v>297</v>
      </c>
      <c r="F155" s="36"/>
      <c r="G155" s="36"/>
    </row>
    <row r="156" spans="2:7" ht="30.75" customHeight="1">
      <c r="B156" s="36" t="s">
        <v>71</v>
      </c>
      <c r="C156" s="2603">
        <v>4</v>
      </c>
      <c r="D156" s="2602" t="s">
        <v>72</v>
      </c>
      <c r="E156" s="2553" t="s">
        <v>298</v>
      </c>
      <c r="F156" s="36"/>
      <c r="G156" s="36"/>
    </row>
    <row r="157" spans="2:7" ht="15">
      <c r="B157" s="36" t="s">
        <v>71</v>
      </c>
      <c r="C157" s="2603">
        <v>4</v>
      </c>
      <c r="D157" s="2602" t="s">
        <v>72</v>
      </c>
      <c r="E157" s="2553" t="s">
        <v>299</v>
      </c>
      <c r="F157" s="36"/>
      <c r="G157" s="36"/>
    </row>
    <row r="158" spans="2:7" ht="48" customHeight="1">
      <c r="B158" s="36" t="s">
        <v>71</v>
      </c>
      <c r="C158" s="2603">
        <v>4</v>
      </c>
      <c r="D158" s="2602" t="s">
        <v>72</v>
      </c>
      <c r="E158" s="2553" t="s">
        <v>300</v>
      </c>
      <c r="F158" s="36"/>
      <c r="G158" s="36"/>
    </row>
    <row r="159" spans="2:7" ht="89.25">
      <c r="B159" s="36" t="s">
        <v>85</v>
      </c>
      <c r="C159" s="2603">
        <v>5.0599999999999996</v>
      </c>
      <c r="D159" s="2602" t="s">
        <v>301</v>
      </c>
      <c r="E159" s="2553" t="s">
        <v>302</v>
      </c>
      <c r="F159" s="36"/>
      <c r="G159" s="36"/>
    </row>
    <row r="160" spans="2:7" ht="25.5">
      <c r="B160" s="36" t="s">
        <v>85</v>
      </c>
      <c r="C160" s="2603">
        <v>5.0599999999999996</v>
      </c>
      <c r="D160" s="2602" t="s">
        <v>301</v>
      </c>
      <c r="E160" s="2553" t="s">
        <v>303</v>
      </c>
      <c r="F160" s="36"/>
      <c r="G160" s="36"/>
    </row>
    <row r="161" spans="2:7" ht="25.5">
      <c r="B161" s="36" t="s">
        <v>85</v>
      </c>
      <c r="C161" s="2603">
        <v>5.0599999999999996</v>
      </c>
      <c r="D161" s="2602" t="s">
        <v>301</v>
      </c>
      <c r="E161" s="2553" t="s">
        <v>304</v>
      </c>
      <c r="F161" s="36"/>
      <c r="G161" s="36"/>
    </row>
    <row r="162" spans="2:7" ht="38.25">
      <c r="B162" s="2919" t="s">
        <v>85</v>
      </c>
      <c r="C162" s="2918">
        <v>4.07</v>
      </c>
      <c r="D162" s="2917" t="s">
        <v>2022</v>
      </c>
      <c r="E162" s="2920" t="s">
        <v>3647</v>
      </c>
      <c r="F162" s="2917"/>
      <c r="G162" s="2917"/>
    </row>
  </sheetData>
  <autoFilter ref="B5:G122" xr:uid="{00000000-0009-0000-0000-000002000000}"/>
  <conditionalFormatting sqref="E152:F152">
    <cfRule type="expression" dxfId="51" priority="4">
      <formula>#REF!="Resolved"</formula>
    </cfRule>
  </conditionalFormatting>
  <conditionalFormatting sqref="G152">
    <cfRule type="expression" dxfId="50" priority="3">
      <formula>#REF!="Resolved"</formula>
    </cfRule>
  </conditionalFormatting>
  <conditionalFormatting sqref="E153:E161">
    <cfRule type="expression" dxfId="49" priority="1">
      <formula>#REF!="Resolved"</formula>
    </cfRule>
  </conditionalFormatting>
  <pageMargins left="0.7" right="0.7" top="0.75" bottom="0.75" header="0.3" footer="0.3"/>
  <pageSetup paperSize="8" scale="8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00B050"/>
  </sheetPr>
  <dimension ref="A1:BC162"/>
  <sheetViews>
    <sheetView showGridLines="0" topLeftCell="A103" zoomScale="80" zoomScaleNormal="80" workbookViewId="0">
      <pane xSplit="7" topLeftCell="AN1" activePane="topRight" state="frozen"/>
      <selection activeCell="Q61" sqref="Q61"/>
      <selection pane="topRight" activeCell="AR118" sqref="AR118"/>
    </sheetView>
  </sheetViews>
  <sheetFormatPr defaultColWidth="11.875" defaultRowHeight="12.75"/>
  <cols>
    <col min="1" max="1" width="11.875" style="173" customWidth="1"/>
    <col min="2" max="6" width="4.375" style="174" customWidth="1"/>
    <col min="7" max="7" width="38.125" style="173" customWidth="1"/>
    <col min="8" max="8" width="15.625" style="173" customWidth="1"/>
    <col min="9" max="9" width="15.625" style="175" customWidth="1"/>
    <col min="10" max="22" width="15.625" style="173" customWidth="1"/>
    <col min="23" max="23" width="5.625" style="173" customWidth="1"/>
    <col min="24" max="24" width="15.625" style="175" customWidth="1"/>
    <col min="25" max="37" width="15.625" style="173" customWidth="1"/>
    <col min="38" max="38" width="5.625" style="173" customWidth="1"/>
    <col min="39" max="41" width="15.625" style="173" customWidth="1"/>
    <col min="42" max="42" width="16.375" style="173" bestFit="1" customWidth="1"/>
    <col min="43" max="45" width="17.625" style="173" customWidth="1"/>
    <col min="46" max="46" width="17.625" style="175" customWidth="1"/>
    <col min="47" max="16384" width="11.875" style="173"/>
  </cols>
  <sheetData>
    <row r="1" spans="1:55" s="2" customFormat="1" ht="25.15" customHeight="1">
      <c r="A1" s="1" t="s">
        <v>0</v>
      </c>
      <c r="E1" s="3"/>
      <c r="H1" s="4" t="s">
        <v>1</v>
      </c>
      <c r="J1" s="3"/>
    </row>
    <row r="2" spans="1:55" s="2" customFormat="1" ht="25.15" customHeight="1">
      <c r="A2" s="5" t="str">
        <f>Fixed_Data!I12</f>
        <v>MASTER</v>
      </c>
      <c r="B2" s="6"/>
      <c r="D2" s="7"/>
      <c r="E2" s="3"/>
    </row>
    <row r="3" spans="1:55" s="9" customFormat="1" ht="25.15" customHeight="1" thickBot="1">
      <c r="A3" s="8" t="str">
        <f>Fixed_Data!A3</f>
        <v>RIIO-GD2</v>
      </c>
      <c r="D3" s="10"/>
      <c r="E3" s="11"/>
    </row>
    <row r="4" spans="1:55" s="89" customFormat="1" ht="25.15" customHeight="1">
      <c r="B4" s="90" t="s">
        <v>2132</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2"/>
      <c r="AN4" s="92"/>
      <c r="AO4" s="92"/>
      <c r="AP4" s="92"/>
      <c r="AQ4" s="92"/>
      <c r="AR4" s="92"/>
      <c r="AS4" s="92"/>
      <c r="AT4" s="92"/>
      <c r="AU4" s="92"/>
      <c r="AV4" s="92"/>
      <c r="AW4" s="94"/>
      <c r="AX4" s="92"/>
      <c r="AY4" s="92"/>
      <c r="AZ4" s="92"/>
      <c r="BA4" s="92"/>
      <c r="BB4" s="92"/>
      <c r="BC4" s="92"/>
    </row>
    <row r="5" spans="1:55" s="89" customFormat="1" ht="25.15" customHeight="1">
      <c r="B5" s="95" t="s">
        <v>1663</v>
      </c>
      <c r="C5" s="95"/>
      <c r="D5" s="95"/>
      <c r="E5" s="95"/>
      <c r="F5" s="95" t="s">
        <v>463</v>
      </c>
      <c r="H5" s="95"/>
      <c r="I5" s="93"/>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2"/>
      <c r="AN5" s="92"/>
      <c r="AO5" s="92"/>
      <c r="AP5" s="92"/>
      <c r="AQ5" s="92"/>
      <c r="AR5" s="92"/>
      <c r="AS5" s="92"/>
      <c r="AT5" s="92"/>
      <c r="AU5" s="92"/>
      <c r="AV5" s="92"/>
      <c r="AW5" s="94"/>
      <c r="AX5" s="92"/>
      <c r="AY5" s="92"/>
      <c r="AZ5" s="92"/>
      <c r="BA5" s="92"/>
      <c r="BB5" s="92"/>
      <c r="BC5" s="92"/>
    </row>
    <row r="6" spans="1:55"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2"/>
      <c r="AN6" s="92"/>
      <c r="AO6" s="92"/>
      <c r="AP6" s="92"/>
      <c r="AQ6" s="92"/>
      <c r="AR6" s="92"/>
      <c r="AS6" s="92"/>
      <c r="AT6" s="92"/>
      <c r="AU6" s="92"/>
      <c r="AV6" s="92"/>
      <c r="AW6" s="94"/>
      <c r="AX6" s="92"/>
      <c r="AY6" s="92"/>
      <c r="AZ6" s="92"/>
      <c r="BA6" s="92"/>
      <c r="BB6" s="92"/>
      <c r="BC6" s="92"/>
    </row>
    <row r="7" spans="1:55"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7"/>
      <c r="AM7" s="97"/>
      <c r="AN7" s="97"/>
      <c r="AO7" s="97"/>
      <c r="AP7" s="97"/>
      <c r="AQ7" s="97"/>
      <c r="AR7" s="97"/>
      <c r="AS7" s="97"/>
      <c r="AT7" s="96"/>
      <c r="AU7" s="98"/>
      <c r="AV7" s="98"/>
      <c r="AW7" s="98"/>
      <c r="AX7" s="98"/>
      <c r="AY7" s="98"/>
      <c r="AZ7" s="98"/>
      <c r="BA7" s="98"/>
      <c r="BB7" s="98"/>
      <c r="BC7" s="98"/>
    </row>
    <row r="8" spans="1:55" s="100" customFormat="1" ht="30" customHeight="1" thickBot="1">
      <c r="B8" s="621" t="s">
        <v>1744</v>
      </c>
      <c r="C8" s="102"/>
      <c r="D8" s="102"/>
      <c r="E8" s="102"/>
      <c r="F8" s="102"/>
      <c r="G8" s="103"/>
      <c r="H8" s="104"/>
      <c r="I8" s="105" t="s">
        <v>1704</v>
      </c>
      <c r="J8" s="106"/>
      <c r="K8" s="106"/>
      <c r="L8" s="106"/>
      <c r="M8" s="106"/>
      <c r="N8" s="106"/>
      <c r="O8" s="106"/>
      <c r="P8" s="106"/>
      <c r="Q8" s="106"/>
      <c r="R8" s="106"/>
      <c r="S8" s="106"/>
      <c r="T8" s="106"/>
      <c r="U8" s="106"/>
      <c r="V8" s="107"/>
      <c r="AX8" s="108"/>
      <c r="AY8" s="108"/>
      <c r="AZ8" s="108"/>
      <c r="BA8" s="108"/>
      <c r="BB8" s="108"/>
      <c r="BC8" s="108"/>
    </row>
    <row r="9" spans="1:55" s="113" customFormat="1" ht="30" customHeight="1">
      <c r="A9" s="89"/>
      <c r="B9" s="109"/>
      <c r="C9" s="110"/>
      <c r="D9" s="110"/>
      <c r="E9" s="110"/>
      <c r="F9" s="110"/>
      <c r="G9" s="111"/>
      <c r="H9" s="112"/>
      <c r="I9" s="112"/>
      <c r="J9" s="695" t="s">
        <v>1666</v>
      </c>
      <c r="K9" s="152"/>
      <c r="L9" s="152"/>
      <c r="M9" s="152"/>
      <c r="N9" s="152"/>
      <c r="O9" s="152"/>
      <c r="P9" s="152"/>
      <c r="Q9" s="153"/>
      <c r="R9" s="696" t="s">
        <v>2</v>
      </c>
      <c r="S9" s="155"/>
      <c r="T9" s="155"/>
      <c r="U9" s="155"/>
      <c r="V9" s="156"/>
      <c r="AX9" s="114"/>
      <c r="AY9" s="114"/>
      <c r="AZ9" s="114"/>
      <c r="BA9" s="114"/>
      <c r="BB9" s="114"/>
      <c r="BC9" s="114"/>
    </row>
    <row r="10" spans="1:55" s="89" customFormat="1" ht="15" customHeight="1">
      <c r="B10" s="115"/>
      <c r="C10" s="116"/>
      <c r="D10" s="116"/>
      <c r="E10" s="116"/>
      <c r="F10" s="116"/>
      <c r="G10" s="117"/>
      <c r="H10" s="118"/>
      <c r="I10" s="119" t="s">
        <v>1745</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A10" s="92"/>
      <c r="AB10" s="92"/>
      <c r="AC10" s="92"/>
      <c r="AD10" s="92"/>
      <c r="AE10" s="92"/>
      <c r="AF10" s="92"/>
      <c r="AG10" s="92"/>
      <c r="AH10" s="92"/>
      <c r="AI10" s="92"/>
      <c r="AJ10" s="92"/>
      <c r="AK10" s="92"/>
      <c r="AL10" s="92"/>
      <c r="AM10" s="92"/>
      <c r="AN10" s="92"/>
      <c r="AP10" s="92"/>
      <c r="AQ10" s="92"/>
      <c r="AX10" s="92"/>
      <c r="AY10" s="92"/>
      <c r="AZ10" s="92"/>
      <c r="BA10" s="92"/>
      <c r="BB10" s="92"/>
      <c r="BC10" s="92"/>
    </row>
    <row r="11" spans="1:55" s="89" customFormat="1" ht="15" customHeight="1">
      <c r="B11" s="123"/>
      <c r="C11" s="116" t="s">
        <v>1806</v>
      </c>
      <c r="D11" s="116"/>
      <c r="E11" s="116"/>
      <c r="F11" s="116"/>
      <c r="G11" s="117"/>
      <c r="H11" s="118"/>
      <c r="I11" s="119" t="s">
        <v>498</v>
      </c>
      <c r="J11" s="710">
        <f>SUM(J12:J14)</f>
        <v>1.3303304370935438</v>
      </c>
      <c r="K11" s="711">
        <f t="shared" ref="K11:V11" si="0">SUM(K12:K14)</f>
        <v>0.52871895584415585</v>
      </c>
      <c r="L11" s="711">
        <f t="shared" si="0"/>
        <v>0.15953798585404089</v>
      </c>
      <c r="M11" s="711">
        <f t="shared" si="0"/>
        <v>0.15378099620305519</v>
      </c>
      <c r="N11" s="711">
        <f t="shared" si="0"/>
        <v>0.27395386875777522</v>
      </c>
      <c r="O11" s="711">
        <f t="shared" si="0"/>
        <v>0.58325423001898047</v>
      </c>
      <c r="P11" s="711">
        <f t="shared" si="0"/>
        <v>1.1174245</v>
      </c>
      <c r="Q11" s="712">
        <f t="shared" si="0"/>
        <v>2.0058959999999999</v>
      </c>
      <c r="R11" s="710">
        <f t="shared" si="0"/>
        <v>2.0729335</v>
      </c>
      <c r="S11" s="711">
        <f t="shared" si="0"/>
        <v>1.846371</v>
      </c>
      <c r="T11" s="711">
        <f t="shared" si="0"/>
        <v>1.8089789999999999</v>
      </c>
      <c r="U11" s="711">
        <f t="shared" si="0"/>
        <v>1.846371</v>
      </c>
      <c r="V11" s="712">
        <f t="shared" si="0"/>
        <v>1.7909790000000001</v>
      </c>
      <c r="AX11" s="92"/>
      <c r="AY11" s="92"/>
      <c r="AZ11" s="92"/>
      <c r="BA11" s="92"/>
      <c r="BB11" s="92"/>
      <c r="BC11" s="92"/>
    </row>
    <row r="12" spans="1:55" s="89" customFormat="1" ht="15" customHeight="1">
      <c r="B12" s="123"/>
      <c r="C12" s="127"/>
      <c r="D12" s="127" t="s">
        <v>2133</v>
      </c>
      <c r="E12" s="127"/>
      <c r="F12" s="127"/>
      <c r="G12" s="117"/>
      <c r="H12" s="118"/>
      <c r="I12" s="119" t="s">
        <v>498</v>
      </c>
      <c r="J12" s="128">
        <f>J63</f>
        <v>0.25751817148148459</v>
      </c>
      <c r="K12" s="129">
        <f t="shared" ref="K12:V12" si="1">K63</f>
        <v>-2.8698732467532469E-2</v>
      </c>
      <c r="L12" s="129">
        <f t="shared" si="1"/>
        <v>0</v>
      </c>
      <c r="M12" s="129">
        <f t="shared" si="1"/>
        <v>0</v>
      </c>
      <c r="N12" s="129">
        <f t="shared" si="1"/>
        <v>0</v>
      </c>
      <c r="O12" s="129">
        <f t="shared" si="1"/>
        <v>1.6199999999999999E-2</v>
      </c>
      <c r="P12" s="129">
        <f t="shared" si="1"/>
        <v>0.47432800000000003</v>
      </c>
      <c r="Q12" s="130">
        <f t="shared" si="1"/>
        <v>1.1871605000000001</v>
      </c>
      <c r="R12" s="128">
        <f t="shared" si="1"/>
        <v>1.24485</v>
      </c>
      <c r="S12" s="129">
        <f t="shared" si="1"/>
        <v>1.048281</v>
      </c>
      <c r="T12" s="129">
        <f t="shared" si="1"/>
        <v>1.0108889999999999</v>
      </c>
      <c r="U12" s="129">
        <f t="shared" si="1"/>
        <v>1.048281</v>
      </c>
      <c r="V12" s="130">
        <f t="shared" si="1"/>
        <v>0.95159799999999994</v>
      </c>
      <c r="AX12" s="92"/>
      <c r="AY12" s="92"/>
      <c r="AZ12" s="92"/>
      <c r="BA12" s="92"/>
      <c r="BB12" s="92"/>
      <c r="BC12" s="92"/>
    </row>
    <row r="13" spans="1:55" s="89" customFormat="1" ht="15" customHeight="1">
      <c r="B13" s="123"/>
      <c r="C13" s="127"/>
      <c r="D13" s="127" t="s">
        <v>2134</v>
      </c>
      <c r="E13" s="127"/>
      <c r="F13" s="127"/>
      <c r="G13" s="117"/>
      <c r="H13" s="118"/>
      <c r="I13" s="119" t="s">
        <v>498</v>
      </c>
      <c r="J13" s="128">
        <f>J112</f>
        <v>0.95182723382675238</v>
      </c>
      <c r="K13" s="129">
        <f t="shared" ref="K13:V13" si="2">K112</f>
        <v>0.22738226493506494</v>
      </c>
      <c r="L13" s="129">
        <f t="shared" si="2"/>
        <v>7.093802266478222E-3</v>
      </c>
      <c r="M13" s="129">
        <f t="shared" si="2"/>
        <v>9.2547222980316375E-3</v>
      </c>
      <c r="N13" s="129">
        <f t="shared" si="2"/>
        <v>0.1329146628851624</v>
      </c>
      <c r="O13" s="129">
        <f t="shared" si="2"/>
        <v>0.42037455998903267</v>
      </c>
      <c r="P13" s="129">
        <f t="shared" si="2"/>
        <v>0.27384049999999999</v>
      </c>
      <c r="Q13" s="130">
        <f t="shared" si="2"/>
        <v>0.32447950000000003</v>
      </c>
      <c r="R13" s="128">
        <f t="shared" si="2"/>
        <v>0.3338275</v>
      </c>
      <c r="S13" s="129">
        <f t="shared" si="2"/>
        <v>0.30383399999999999</v>
      </c>
      <c r="T13" s="129">
        <f t="shared" si="2"/>
        <v>0.30383399999999999</v>
      </c>
      <c r="U13" s="129">
        <f t="shared" si="2"/>
        <v>0.30383399999999999</v>
      </c>
      <c r="V13" s="130">
        <f t="shared" si="2"/>
        <v>0.34512500000000002</v>
      </c>
      <c r="AX13" s="92"/>
      <c r="AY13" s="92"/>
      <c r="AZ13" s="92"/>
      <c r="BA13" s="92"/>
      <c r="BB13" s="92"/>
      <c r="BC13" s="92"/>
    </row>
    <row r="14" spans="1:55" s="89" customFormat="1" ht="15" customHeight="1" thickBot="1">
      <c r="B14" s="176"/>
      <c r="C14" s="132"/>
      <c r="D14" s="132" t="s">
        <v>2135</v>
      </c>
      <c r="E14" s="132"/>
      <c r="F14" s="132"/>
      <c r="G14" s="145"/>
      <c r="H14" s="133"/>
      <c r="I14" s="146" t="s">
        <v>498</v>
      </c>
      <c r="J14" s="177">
        <f>J161</f>
        <v>0.12098503178530663</v>
      </c>
      <c r="K14" s="178">
        <f t="shared" ref="K14:V14" si="3">K161</f>
        <v>0.33003542337662339</v>
      </c>
      <c r="L14" s="178">
        <f t="shared" si="3"/>
        <v>0.15244418358756268</v>
      </c>
      <c r="M14" s="178">
        <f t="shared" si="3"/>
        <v>0.14452627390502354</v>
      </c>
      <c r="N14" s="178">
        <f t="shared" si="3"/>
        <v>0.14103920587261282</v>
      </c>
      <c r="O14" s="178">
        <f t="shared" si="3"/>
        <v>0.14667967002994775</v>
      </c>
      <c r="P14" s="178">
        <f t="shared" si="3"/>
        <v>0.36925600000000003</v>
      </c>
      <c r="Q14" s="179">
        <f t="shared" si="3"/>
        <v>0.49425600000000003</v>
      </c>
      <c r="R14" s="177">
        <f t="shared" si="3"/>
        <v>0.49425600000000003</v>
      </c>
      <c r="S14" s="178">
        <f t="shared" si="3"/>
        <v>0.49425600000000003</v>
      </c>
      <c r="T14" s="178">
        <f t="shared" si="3"/>
        <v>0.49425600000000003</v>
      </c>
      <c r="U14" s="178">
        <f t="shared" si="3"/>
        <v>0.49425600000000003</v>
      </c>
      <c r="V14" s="179">
        <f t="shared" si="3"/>
        <v>0.49425600000000003</v>
      </c>
      <c r="AX14" s="92"/>
      <c r="AY14" s="92"/>
      <c r="AZ14" s="92"/>
      <c r="BA14" s="92"/>
      <c r="BB14" s="92"/>
      <c r="BC14" s="92"/>
    </row>
    <row r="15" spans="1:55" s="89" customFormat="1" ht="15" customHeight="1" thickBot="1">
      <c r="B15" s="134"/>
      <c r="C15" s="134"/>
      <c r="D15" s="134"/>
      <c r="E15" s="134"/>
      <c r="F15" s="134"/>
      <c r="H15" s="114"/>
      <c r="I15" s="93"/>
      <c r="J15" s="2554">
        <v>0</v>
      </c>
      <c r="K15" s="2554">
        <v>0</v>
      </c>
      <c r="L15" s="2554">
        <v>0</v>
      </c>
      <c r="M15" s="2554">
        <v>0</v>
      </c>
      <c r="N15" s="2554">
        <v>0</v>
      </c>
      <c r="O15" s="2554">
        <v>0</v>
      </c>
      <c r="P15" s="2554">
        <v>0</v>
      </c>
      <c r="Q15" s="2554">
        <v>0</v>
      </c>
      <c r="R15" s="2554">
        <v>0</v>
      </c>
      <c r="S15" s="2554">
        <v>0</v>
      </c>
      <c r="T15" s="2554">
        <v>0</v>
      </c>
      <c r="U15" s="2554">
        <v>0</v>
      </c>
      <c r="V15" s="2554">
        <v>0</v>
      </c>
      <c r="X15" s="93"/>
      <c r="Y15" s="92"/>
      <c r="AE15" s="92"/>
      <c r="AF15" s="92"/>
      <c r="AG15" s="92"/>
      <c r="AH15" s="92"/>
      <c r="AI15" s="92"/>
      <c r="AJ15" s="92"/>
      <c r="AK15" s="92"/>
      <c r="AX15" s="92"/>
      <c r="AY15" s="92"/>
      <c r="AZ15" s="92"/>
      <c r="BA15" s="92"/>
      <c r="BB15" s="92"/>
      <c r="BC15" s="92"/>
    </row>
    <row r="16" spans="1:55" s="100" customFormat="1" ht="30" customHeight="1" thickBot="1">
      <c r="A16" s="89"/>
      <c r="B16" s="621" t="s">
        <v>2133</v>
      </c>
      <c r="C16" s="102"/>
      <c r="D16" s="102"/>
      <c r="E16" s="102"/>
      <c r="F16" s="102"/>
      <c r="G16" s="103"/>
      <c r="H16" s="103"/>
      <c r="I16" s="105" t="s">
        <v>1704</v>
      </c>
      <c r="J16" s="106"/>
      <c r="K16" s="106"/>
      <c r="L16" s="106"/>
      <c r="M16" s="106"/>
      <c r="N16" s="106"/>
      <c r="O16" s="106"/>
      <c r="P16" s="106"/>
      <c r="Q16" s="106"/>
      <c r="R16" s="105"/>
      <c r="S16" s="105"/>
      <c r="T16" s="105"/>
      <c r="U16" s="105"/>
      <c r="V16" s="105"/>
      <c r="W16" s="200"/>
      <c r="X16" s="105" t="s">
        <v>2136</v>
      </c>
      <c r="Y16" s="106"/>
      <c r="Z16" s="106"/>
      <c r="AA16" s="106"/>
      <c r="AB16" s="106"/>
      <c r="AC16" s="106"/>
      <c r="AD16" s="106"/>
      <c r="AE16" s="106"/>
      <c r="AF16" s="106"/>
      <c r="AG16" s="105"/>
      <c r="AH16" s="105"/>
      <c r="AI16" s="105"/>
      <c r="AJ16" s="105"/>
      <c r="AK16" s="105"/>
      <c r="AL16" s="200"/>
      <c r="AM16" s="941" t="s">
        <v>1925</v>
      </c>
      <c r="AN16" s="942"/>
      <c r="AO16" s="942"/>
      <c r="AP16" s="942"/>
      <c r="AQ16" s="942"/>
      <c r="AR16" s="942"/>
      <c r="AS16" s="942"/>
      <c r="AT16" s="943"/>
    </row>
    <row r="17" spans="1:46" s="157" customFormat="1" ht="30" customHeight="1">
      <c r="A17" s="99"/>
      <c r="B17" s="109"/>
      <c r="C17" s="110"/>
      <c r="D17" s="110"/>
      <c r="E17" s="110"/>
      <c r="F17" s="110"/>
      <c r="G17" s="111"/>
      <c r="H17" s="111"/>
      <c r="I17" s="117"/>
      <c r="J17" s="695" t="s">
        <v>1666</v>
      </c>
      <c r="K17" s="152"/>
      <c r="L17" s="152"/>
      <c r="M17" s="152"/>
      <c r="N17" s="152"/>
      <c r="O17" s="152"/>
      <c r="P17" s="152"/>
      <c r="Q17" s="153"/>
      <c r="R17" s="696" t="s">
        <v>2</v>
      </c>
      <c r="S17" s="155"/>
      <c r="T17" s="155"/>
      <c r="U17" s="155"/>
      <c r="V17" s="199"/>
      <c r="W17" s="201"/>
      <c r="X17" s="117"/>
      <c r="Y17" s="695" t="s">
        <v>1666</v>
      </c>
      <c r="Z17" s="152"/>
      <c r="AA17" s="152"/>
      <c r="AB17" s="152"/>
      <c r="AC17" s="152"/>
      <c r="AD17" s="152"/>
      <c r="AE17" s="152"/>
      <c r="AF17" s="153"/>
      <c r="AG17" s="696" t="s">
        <v>2</v>
      </c>
      <c r="AH17" s="155"/>
      <c r="AI17" s="155"/>
      <c r="AJ17" s="155"/>
      <c r="AK17" s="199"/>
      <c r="AL17" s="201"/>
      <c r="AM17" s="202" t="s">
        <v>2137</v>
      </c>
      <c r="AN17" s="203" t="s">
        <v>2138</v>
      </c>
      <c r="AO17" s="203"/>
      <c r="AP17" s="202" t="s">
        <v>2139</v>
      </c>
      <c r="AQ17" s="203" t="s">
        <v>2140</v>
      </c>
      <c r="AR17" s="203"/>
      <c r="AS17" s="203" t="s">
        <v>2141</v>
      </c>
      <c r="AT17" s="204"/>
    </row>
    <row r="18" spans="1:46" s="98" customFormat="1" ht="15" customHeight="1">
      <c r="A18" s="99"/>
      <c r="B18" s="115"/>
      <c r="C18" s="116"/>
      <c r="D18" s="116"/>
      <c r="E18" s="116"/>
      <c r="F18" s="116"/>
      <c r="G18" s="117"/>
      <c r="H18" s="117"/>
      <c r="I18" s="119" t="s">
        <v>1667</v>
      </c>
      <c r="J18" s="158" t="s">
        <v>453</v>
      </c>
      <c r="K18" s="137" t="s">
        <v>455</v>
      </c>
      <c r="L18" s="137" t="s">
        <v>457</v>
      </c>
      <c r="M18" s="137" t="s">
        <v>459</v>
      </c>
      <c r="N18" s="137" t="s">
        <v>461</v>
      </c>
      <c r="O18" s="137" t="s">
        <v>463</v>
      </c>
      <c r="P18" s="137" t="s">
        <v>465</v>
      </c>
      <c r="Q18" s="138" t="s">
        <v>467</v>
      </c>
      <c r="R18" s="120" t="s">
        <v>469</v>
      </c>
      <c r="S18" s="121" t="s">
        <v>471</v>
      </c>
      <c r="T18" s="121" t="s">
        <v>473</v>
      </c>
      <c r="U18" s="121" t="s">
        <v>475</v>
      </c>
      <c r="V18" s="121" t="s">
        <v>477</v>
      </c>
      <c r="W18" s="201"/>
      <c r="X18" s="119" t="s">
        <v>1667</v>
      </c>
      <c r="Y18" s="158" t="s">
        <v>453</v>
      </c>
      <c r="Z18" s="137" t="s">
        <v>455</v>
      </c>
      <c r="AA18" s="137" t="s">
        <v>457</v>
      </c>
      <c r="AB18" s="137" t="s">
        <v>459</v>
      </c>
      <c r="AC18" s="137" t="s">
        <v>461</v>
      </c>
      <c r="AD18" s="137" t="s">
        <v>463</v>
      </c>
      <c r="AE18" s="137" t="s">
        <v>465</v>
      </c>
      <c r="AF18" s="138" t="s">
        <v>467</v>
      </c>
      <c r="AG18" s="120" t="s">
        <v>469</v>
      </c>
      <c r="AH18" s="121" t="s">
        <v>471</v>
      </c>
      <c r="AI18" s="121" t="s">
        <v>473</v>
      </c>
      <c r="AJ18" s="121" t="s">
        <v>475</v>
      </c>
      <c r="AK18" s="121" t="s">
        <v>477</v>
      </c>
      <c r="AL18" s="201"/>
      <c r="AM18" s="205"/>
      <c r="AN18" s="206" t="s">
        <v>1667</v>
      </c>
      <c r="AO18" s="206" t="s">
        <v>2142</v>
      </c>
      <c r="AP18" s="205"/>
      <c r="AQ18" s="206" t="s">
        <v>1667</v>
      </c>
      <c r="AR18" s="206" t="s">
        <v>2142</v>
      </c>
      <c r="AS18" s="206" t="s">
        <v>1667</v>
      </c>
      <c r="AT18" s="207" t="s">
        <v>2142</v>
      </c>
    </row>
    <row r="19" spans="1:46" s="98" customFormat="1" ht="15" customHeight="1">
      <c r="A19" s="99"/>
      <c r="B19" s="161"/>
      <c r="C19" s="186" t="s">
        <v>2143</v>
      </c>
      <c r="D19" s="162"/>
      <c r="E19" s="162"/>
      <c r="F19" s="162"/>
      <c r="G19" s="163"/>
      <c r="H19" s="163"/>
      <c r="I19" s="117"/>
      <c r="J19" s="159"/>
      <c r="K19" s="117"/>
      <c r="L19" s="117"/>
      <c r="M19" s="117"/>
      <c r="N19" s="117"/>
      <c r="O19" s="117"/>
      <c r="P19" s="117"/>
      <c r="Q19" s="160"/>
      <c r="R19" s="159"/>
      <c r="S19" s="117"/>
      <c r="T19" s="117"/>
      <c r="U19" s="117"/>
      <c r="V19" s="208"/>
      <c r="W19" s="201"/>
      <c r="X19" s="117"/>
      <c r="Y19" s="159"/>
      <c r="Z19" s="117"/>
      <c r="AA19" s="117"/>
      <c r="AB19" s="117"/>
      <c r="AC19" s="117"/>
      <c r="AD19" s="117"/>
      <c r="AE19" s="117"/>
      <c r="AF19" s="160"/>
      <c r="AG19" s="159"/>
      <c r="AH19" s="117"/>
      <c r="AI19" s="117"/>
      <c r="AJ19" s="117"/>
      <c r="AK19" s="208"/>
      <c r="AL19" s="201"/>
      <c r="AM19" s="209"/>
      <c r="AN19" s="209"/>
      <c r="AO19" s="209"/>
      <c r="AP19" s="209"/>
      <c r="AQ19" s="209"/>
      <c r="AR19" s="209"/>
      <c r="AS19" s="209"/>
      <c r="AT19" s="210"/>
    </row>
    <row r="20" spans="1:46" s="98" customFormat="1" ht="15" customHeight="1">
      <c r="A20" s="99"/>
      <c r="B20" s="161"/>
      <c r="C20" s="185"/>
      <c r="D20" s="162" t="s">
        <v>85</v>
      </c>
      <c r="E20" s="162"/>
      <c r="F20" s="162"/>
      <c r="G20" s="768" t="s">
        <v>2149</v>
      </c>
      <c r="H20" s="163"/>
      <c r="I20" s="119" t="s">
        <v>498</v>
      </c>
      <c r="J20" s="143">
        <v>0</v>
      </c>
      <c r="K20" s="141" t="s">
        <v>1127</v>
      </c>
      <c r="L20" s="141" t="s">
        <v>1127</v>
      </c>
      <c r="M20" s="141" t="s">
        <v>1127</v>
      </c>
      <c r="N20" s="141" t="s">
        <v>1127</v>
      </c>
      <c r="O20" s="141" t="s">
        <v>1127</v>
      </c>
      <c r="P20" s="141">
        <v>0.47432800000000003</v>
      </c>
      <c r="Q20" s="144">
        <v>0.56326449999999995</v>
      </c>
      <c r="R20" s="143">
        <v>0.50397349999999996</v>
      </c>
      <c r="S20" s="141">
        <v>0.3853915</v>
      </c>
      <c r="T20" s="141">
        <v>0.50397349999999996</v>
      </c>
      <c r="U20" s="141">
        <v>0.3853915</v>
      </c>
      <c r="V20" s="141">
        <v>0.44468249999999998</v>
      </c>
      <c r="W20" s="201"/>
      <c r="X20" s="119" t="s">
        <v>1876</v>
      </c>
      <c r="Y20" s="165">
        <v>0</v>
      </c>
      <c r="Z20" s="166">
        <v>0</v>
      </c>
      <c r="AA20" s="166">
        <v>0</v>
      </c>
      <c r="AB20" s="166">
        <v>0</v>
      </c>
      <c r="AC20" s="166">
        <v>0</v>
      </c>
      <c r="AD20" s="166">
        <v>0</v>
      </c>
      <c r="AE20" s="166">
        <v>16</v>
      </c>
      <c r="AF20" s="167">
        <v>19</v>
      </c>
      <c r="AG20" s="165">
        <v>17</v>
      </c>
      <c r="AH20" s="166">
        <v>13</v>
      </c>
      <c r="AI20" s="166">
        <v>17</v>
      </c>
      <c r="AJ20" s="166">
        <v>13</v>
      </c>
      <c r="AK20" s="166">
        <v>15</v>
      </c>
      <c r="AL20" s="201"/>
      <c r="AM20" s="211" t="s">
        <v>3604</v>
      </c>
      <c r="AN20" s="119" t="s">
        <v>2144</v>
      </c>
      <c r="AO20" s="212">
        <v>2</v>
      </c>
      <c r="AP20" s="213" t="s">
        <v>3700</v>
      </c>
      <c r="AQ20" s="119" t="s">
        <v>2145</v>
      </c>
      <c r="AR20" s="456">
        <v>13500</v>
      </c>
      <c r="AS20" s="119" t="s">
        <v>2145</v>
      </c>
      <c r="AT20" s="457">
        <v>0</v>
      </c>
    </row>
    <row r="21" spans="1:46" s="98" customFormat="1" ht="15" customHeight="1">
      <c r="A21" s="99"/>
      <c r="B21" s="161"/>
      <c r="C21" s="185"/>
      <c r="D21" s="162" t="s">
        <v>85</v>
      </c>
      <c r="E21" s="162"/>
      <c r="F21" s="162"/>
      <c r="G21" s="768"/>
      <c r="H21" s="163"/>
      <c r="I21" s="119" t="s">
        <v>498</v>
      </c>
      <c r="J21" s="143">
        <v>0</v>
      </c>
      <c r="K21" s="141">
        <v>0</v>
      </c>
      <c r="L21" s="141">
        <v>0</v>
      </c>
      <c r="M21" s="141">
        <v>0</v>
      </c>
      <c r="N21" s="141">
        <v>0</v>
      </c>
      <c r="O21" s="141">
        <v>0</v>
      </c>
      <c r="P21" s="141">
        <v>0</v>
      </c>
      <c r="Q21" s="144">
        <v>0</v>
      </c>
      <c r="R21" s="143">
        <v>0</v>
      </c>
      <c r="S21" s="141">
        <v>0</v>
      </c>
      <c r="T21" s="141">
        <v>0</v>
      </c>
      <c r="U21" s="141">
        <v>0</v>
      </c>
      <c r="V21" s="141">
        <v>0</v>
      </c>
      <c r="W21" s="201"/>
      <c r="X21" s="119" t="s">
        <v>1876</v>
      </c>
      <c r="Y21" s="165">
        <v>0</v>
      </c>
      <c r="Z21" s="166">
        <v>0</v>
      </c>
      <c r="AA21" s="166">
        <v>0</v>
      </c>
      <c r="AB21" s="166">
        <v>0</v>
      </c>
      <c r="AC21" s="166">
        <v>0</v>
      </c>
      <c r="AD21" s="166">
        <v>0</v>
      </c>
      <c r="AE21" s="166">
        <v>0</v>
      </c>
      <c r="AF21" s="167">
        <v>0</v>
      </c>
      <c r="AG21" s="165">
        <v>0</v>
      </c>
      <c r="AH21" s="166">
        <v>0</v>
      </c>
      <c r="AI21" s="166">
        <v>0</v>
      </c>
      <c r="AJ21" s="166">
        <v>0</v>
      </c>
      <c r="AK21" s="166">
        <v>0</v>
      </c>
      <c r="AL21" s="201"/>
      <c r="AM21" s="211"/>
      <c r="AN21" s="119" t="s">
        <v>2144</v>
      </c>
      <c r="AO21" s="212">
        <v>0</v>
      </c>
      <c r="AP21" s="213"/>
      <c r="AQ21" s="119" t="s">
        <v>2145</v>
      </c>
      <c r="AR21" s="456">
        <v>0</v>
      </c>
      <c r="AS21" s="119" t="s">
        <v>2145</v>
      </c>
      <c r="AT21" s="457">
        <v>0</v>
      </c>
    </row>
    <row r="22" spans="1:46" s="98" customFormat="1" ht="15" customHeight="1">
      <c r="A22" s="99"/>
      <c r="B22" s="161"/>
      <c r="C22" s="185"/>
      <c r="D22" s="162" t="s">
        <v>85</v>
      </c>
      <c r="E22" s="162"/>
      <c r="F22" s="162"/>
      <c r="G22" s="768"/>
      <c r="H22" s="163"/>
      <c r="I22" s="119" t="s">
        <v>498</v>
      </c>
      <c r="J22" s="143">
        <v>0</v>
      </c>
      <c r="K22" s="141">
        <v>0</v>
      </c>
      <c r="L22" s="141">
        <v>0</v>
      </c>
      <c r="M22" s="141">
        <v>0</v>
      </c>
      <c r="N22" s="141">
        <v>0</v>
      </c>
      <c r="O22" s="141">
        <v>0</v>
      </c>
      <c r="P22" s="141">
        <v>0</v>
      </c>
      <c r="Q22" s="144">
        <v>0</v>
      </c>
      <c r="R22" s="143">
        <v>0</v>
      </c>
      <c r="S22" s="141">
        <v>0</v>
      </c>
      <c r="T22" s="141">
        <v>0</v>
      </c>
      <c r="U22" s="141">
        <v>0</v>
      </c>
      <c r="V22" s="141">
        <v>0</v>
      </c>
      <c r="W22" s="201"/>
      <c r="X22" s="119" t="s">
        <v>1876</v>
      </c>
      <c r="Y22" s="165">
        <v>0</v>
      </c>
      <c r="Z22" s="166">
        <v>0</v>
      </c>
      <c r="AA22" s="166">
        <v>0</v>
      </c>
      <c r="AB22" s="166">
        <v>0</v>
      </c>
      <c r="AC22" s="166">
        <v>0</v>
      </c>
      <c r="AD22" s="166">
        <v>0</v>
      </c>
      <c r="AE22" s="166">
        <v>0</v>
      </c>
      <c r="AF22" s="167">
        <v>0</v>
      </c>
      <c r="AG22" s="165">
        <v>0</v>
      </c>
      <c r="AH22" s="166">
        <v>0</v>
      </c>
      <c r="AI22" s="166">
        <v>0</v>
      </c>
      <c r="AJ22" s="166">
        <v>0</v>
      </c>
      <c r="AK22" s="166">
        <v>0</v>
      </c>
      <c r="AL22" s="201"/>
      <c r="AM22" s="211"/>
      <c r="AN22" s="119" t="s">
        <v>2144</v>
      </c>
      <c r="AO22" s="212">
        <v>0</v>
      </c>
      <c r="AP22" s="213"/>
      <c r="AQ22" s="119" t="s">
        <v>2145</v>
      </c>
      <c r="AR22" s="456">
        <v>0</v>
      </c>
      <c r="AS22" s="119" t="s">
        <v>2145</v>
      </c>
      <c r="AT22" s="457">
        <v>0</v>
      </c>
    </row>
    <row r="23" spans="1:46" s="98" customFormat="1" ht="15" customHeight="1">
      <c r="A23" s="99"/>
      <c r="B23" s="161"/>
      <c r="C23" s="185"/>
      <c r="D23" s="162" t="s">
        <v>85</v>
      </c>
      <c r="E23" s="162"/>
      <c r="F23" s="162"/>
      <c r="G23" s="768"/>
      <c r="H23" s="163"/>
      <c r="I23" s="119" t="s">
        <v>498</v>
      </c>
      <c r="J23" s="143">
        <v>0</v>
      </c>
      <c r="K23" s="141">
        <v>0</v>
      </c>
      <c r="L23" s="141">
        <v>0</v>
      </c>
      <c r="M23" s="141">
        <v>0</v>
      </c>
      <c r="N23" s="141">
        <v>0</v>
      </c>
      <c r="O23" s="141">
        <v>0</v>
      </c>
      <c r="P23" s="141">
        <v>0</v>
      </c>
      <c r="Q23" s="144">
        <v>0</v>
      </c>
      <c r="R23" s="143">
        <v>0</v>
      </c>
      <c r="S23" s="141">
        <v>0</v>
      </c>
      <c r="T23" s="141">
        <v>0</v>
      </c>
      <c r="U23" s="141">
        <v>0</v>
      </c>
      <c r="V23" s="141">
        <v>0</v>
      </c>
      <c r="W23" s="201"/>
      <c r="X23" s="119" t="s">
        <v>1876</v>
      </c>
      <c r="Y23" s="165">
        <v>0</v>
      </c>
      <c r="Z23" s="166">
        <v>0</v>
      </c>
      <c r="AA23" s="166">
        <v>0</v>
      </c>
      <c r="AB23" s="166">
        <v>0</v>
      </c>
      <c r="AC23" s="166">
        <v>0</v>
      </c>
      <c r="AD23" s="166">
        <v>0</v>
      </c>
      <c r="AE23" s="166">
        <v>0</v>
      </c>
      <c r="AF23" s="167">
        <v>0</v>
      </c>
      <c r="AG23" s="165">
        <v>0</v>
      </c>
      <c r="AH23" s="166">
        <v>0</v>
      </c>
      <c r="AI23" s="166">
        <v>0</v>
      </c>
      <c r="AJ23" s="166">
        <v>0</v>
      </c>
      <c r="AK23" s="166">
        <v>0</v>
      </c>
      <c r="AL23" s="201"/>
      <c r="AM23" s="211"/>
      <c r="AN23" s="119" t="s">
        <v>2144</v>
      </c>
      <c r="AO23" s="212">
        <v>0</v>
      </c>
      <c r="AP23" s="213"/>
      <c r="AQ23" s="119" t="s">
        <v>2145</v>
      </c>
      <c r="AR23" s="456">
        <v>0</v>
      </c>
      <c r="AS23" s="119" t="s">
        <v>2145</v>
      </c>
      <c r="AT23" s="457">
        <v>0</v>
      </c>
    </row>
    <row r="24" spans="1:46" s="98" customFormat="1" ht="15" customHeight="1">
      <c r="A24" s="99"/>
      <c r="B24" s="161"/>
      <c r="C24" s="185"/>
      <c r="D24" s="162" t="s">
        <v>85</v>
      </c>
      <c r="E24" s="162"/>
      <c r="F24" s="162"/>
      <c r="G24" s="768"/>
      <c r="H24" s="163"/>
      <c r="I24" s="119" t="s">
        <v>498</v>
      </c>
      <c r="J24" s="143">
        <v>0</v>
      </c>
      <c r="K24" s="141">
        <v>0</v>
      </c>
      <c r="L24" s="141">
        <v>0</v>
      </c>
      <c r="M24" s="141">
        <v>0</v>
      </c>
      <c r="N24" s="141">
        <v>0</v>
      </c>
      <c r="O24" s="141">
        <v>0</v>
      </c>
      <c r="P24" s="141">
        <v>0</v>
      </c>
      <c r="Q24" s="144">
        <v>0</v>
      </c>
      <c r="R24" s="143">
        <v>0</v>
      </c>
      <c r="S24" s="141">
        <v>0</v>
      </c>
      <c r="T24" s="141">
        <v>0</v>
      </c>
      <c r="U24" s="141">
        <v>0</v>
      </c>
      <c r="V24" s="141">
        <v>0</v>
      </c>
      <c r="W24" s="201"/>
      <c r="X24" s="119" t="s">
        <v>1876</v>
      </c>
      <c r="Y24" s="165">
        <v>0</v>
      </c>
      <c r="Z24" s="166">
        <v>0</v>
      </c>
      <c r="AA24" s="166">
        <v>0</v>
      </c>
      <c r="AB24" s="166">
        <v>0</v>
      </c>
      <c r="AC24" s="166">
        <v>0</v>
      </c>
      <c r="AD24" s="166">
        <v>0</v>
      </c>
      <c r="AE24" s="166">
        <v>0</v>
      </c>
      <c r="AF24" s="167">
        <v>0</v>
      </c>
      <c r="AG24" s="165">
        <v>0</v>
      </c>
      <c r="AH24" s="166">
        <v>0</v>
      </c>
      <c r="AI24" s="166">
        <v>0</v>
      </c>
      <c r="AJ24" s="166">
        <v>0</v>
      </c>
      <c r="AK24" s="166">
        <v>0</v>
      </c>
      <c r="AL24" s="201"/>
      <c r="AM24" s="211"/>
      <c r="AN24" s="119" t="s">
        <v>2144</v>
      </c>
      <c r="AO24" s="212">
        <v>0</v>
      </c>
      <c r="AP24" s="213"/>
      <c r="AQ24" s="119" t="s">
        <v>2145</v>
      </c>
      <c r="AR24" s="456">
        <v>0</v>
      </c>
      <c r="AS24" s="119" t="s">
        <v>2145</v>
      </c>
      <c r="AT24" s="457">
        <v>0</v>
      </c>
    </row>
    <row r="25" spans="1:46" s="98" customFormat="1" ht="15" customHeight="1">
      <c r="A25" s="99"/>
      <c r="B25" s="161"/>
      <c r="C25" s="185"/>
      <c r="D25" s="162" t="s">
        <v>85</v>
      </c>
      <c r="E25" s="162"/>
      <c r="F25" s="162"/>
      <c r="G25" s="768"/>
      <c r="H25" s="163"/>
      <c r="I25" s="119" t="s">
        <v>498</v>
      </c>
      <c r="J25" s="143">
        <v>0</v>
      </c>
      <c r="K25" s="141">
        <v>0</v>
      </c>
      <c r="L25" s="141">
        <v>0</v>
      </c>
      <c r="M25" s="141">
        <v>0</v>
      </c>
      <c r="N25" s="141">
        <v>0</v>
      </c>
      <c r="O25" s="141">
        <v>0</v>
      </c>
      <c r="P25" s="141">
        <v>0</v>
      </c>
      <c r="Q25" s="144">
        <v>0</v>
      </c>
      <c r="R25" s="143">
        <v>0</v>
      </c>
      <c r="S25" s="141">
        <v>0</v>
      </c>
      <c r="T25" s="141">
        <v>0</v>
      </c>
      <c r="U25" s="141">
        <v>0</v>
      </c>
      <c r="V25" s="141">
        <v>0</v>
      </c>
      <c r="W25" s="201"/>
      <c r="X25" s="119" t="s">
        <v>1876</v>
      </c>
      <c r="Y25" s="165">
        <v>0</v>
      </c>
      <c r="Z25" s="166">
        <v>0</v>
      </c>
      <c r="AA25" s="166">
        <v>0</v>
      </c>
      <c r="AB25" s="166">
        <v>0</v>
      </c>
      <c r="AC25" s="166">
        <v>0</v>
      </c>
      <c r="AD25" s="166">
        <v>0</v>
      </c>
      <c r="AE25" s="166">
        <v>0</v>
      </c>
      <c r="AF25" s="167">
        <v>0</v>
      </c>
      <c r="AG25" s="165">
        <v>0</v>
      </c>
      <c r="AH25" s="166">
        <v>0</v>
      </c>
      <c r="AI25" s="166">
        <v>0</v>
      </c>
      <c r="AJ25" s="166">
        <v>0</v>
      </c>
      <c r="AK25" s="166">
        <v>0</v>
      </c>
      <c r="AL25" s="201"/>
      <c r="AM25" s="211"/>
      <c r="AN25" s="119" t="s">
        <v>2144</v>
      </c>
      <c r="AO25" s="212">
        <v>0</v>
      </c>
      <c r="AP25" s="213"/>
      <c r="AQ25" s="119" t="s">
        <v>2145</v>
      </c>
      <c r="AR25" s="456">
        <v>0</v>
      </c>
      <c r="AS25" s="119" t="s">
        <v>2145</v>
      </c>
      <c r="AT25" s="457">
        <v>0</v>
      </c>
    </row>
    <row r="26" spans="1:46" s="98" customFormat="1" ht="15" customHeight="1">
      <c r="A26" s="99"/>
      <c r="B26" s="161"/>
      <c r="C26" s="185"/>
      <c r="D26" s="162" t="s">
        <v>85</v>
      </c>
      <c r="E26" s="162"/>
      <c r="F26" s="162"/>
      <c r="G26" s="768"/>
      <c r="H26" s="163"/>
      <c r="I26" s="119" t="s">
        <v>498</v>
      </c>
      <c r="J26" s="143">
        <v>0</v>
      </c>
      <c r="K26" s="141">
        <v>0</v>
      </c>
      <c r="L26" s="141">
        <v>0</v>
      </c>
      <c r="M26" s="141">
        <v>0</v>
      </c>
      <c r="N26" s="141">
        <v>0</v>
      </c>
      <c r="O26" s="141">
        <v>0</v>
      </c>
      <c r="P26" s="141">
        <v>0</v>
      </c>
      <c r="Q26" s="144">
        <v>0</v>
      </c>
      <c r="R26" s="143">
        <v>0</v>
      </c>
      <c r="S26" s="141">
        <v>0</v>
      </c>
      <c r="T26" s="141">
        <v>0</v>
      </c>
      <c r="U26" s="141">
        <v>0</v>
      </c>
      <c r="V26" s="141">
        <v>0</v>
      </c>
      <c r="W26" s="201"/>
      <c r="X26" s="119" t="s">
        <v>1876</v>
      </c>
      <c r="Y26" s="165">
        <v>0</v>
      </c>
      <c r="Z26" s="166">
        <v>0</v>
      </c>
      <c r="AA26" s="166">
        <v>0</v>
      </c>
      <c r="AB26" s="166">
        <v>0</v>
      </c>
      <c r="AC26" s="166">
        <v>0</v>
      </c>
      <c r="AD26" s="166">
        <v>0</v>
      </c>
      <c r="AE26" s="166">
        <v>0</v>
      </c>
      <c r="AF26" s="167">
        <v>0</v>
      </c>
      <c r="AG26" s="165">
        <v>0</v>
      </c>
      <c r="AH26" s="166">
        <v>0</v>
      </c>
      <c r="AI26" s="166">
        <v>0</v>
      </c>
      <c r="AJ26" s="166">
        <v>0</v>
      </c>
      <c r="AK26" s="166">
        <v>0</v>
      </c>
      <c r="AL26" s="201"/>
      <c r="AM26" s="211"/>
      <c r="AN26" s="119" t="s">
        <v>2144</v>
      </c>
      <c r="AO26" s="212">
        <v>0</v>
      </c>
      <c r="AP26" s="213"/>
      <c r="AQ26" s="119" t="s">
        <v>2145</v>
      </c>
      <c r="AR26" s="456">
        <v>0</v>
      </c>
      <c r="AS26" s="119" t="s">
        <v>2145</v>
      </c>
      <c r="AT26" s="457">
        <v>0</v>
      </c>
    </row>
    <row r="27" spans="1:46" s="98" customFormat="1" ht="15" customHeight="1">
      <c r="A27" s="99"/>
      <c r="B27" s="161"/>
      <c r="C27" s="185"/>
      <c r="D27" s="162" t="s">
        <v>85</v>
      </c>
      <c r="E27" s="162"/>
      <c r="F27" s="162"/>
      <c r="G27" s="768"/>
      <c r="H27" s="163"/>
      <c r="I27" s="119" t="s">
        <v>498</v>
      </c>
      <c r="J27" s="143">
        <v>0</v>
      </c>
      <c r="K27" s="141">
        <v>0</v>
      </c>
      <c r="L27" s="141">
        <v>0</v>
      </c>
      <c r="M27" s="141">
        <v>0</v>
      </c>
      <c r="N27" s="141">
        <v>0</v>
      </c>
      <c r="O27" s="141">
        <v>0</v>
      </c>
      <c r="P27" s="141">
        <v>0</v>
      </c>
      <c r="Q27" s="144">
        <v>0</v>
      </c>
      <c r="R27" s="143">
        <v>0</v>
      </c>
      <c r="S27" s="141">
        <v>0</v>
      </c>
      <c r="T27" s="141">
        <v>0</v>
      </c>
      <c r="U27" s="141">
        <v>0</v>
      </c>
      <c r="V27" s="141">
        <v>0</v>
      </c>
      <c r="W27" s="201"/>
      <c r="X27" s="119" t="s">
        <v>1876</v>
      </c>
      <c r="Y27" s="165">
        <v>0</v>
      </c>
      <c r="Z27" s="166">
        <v>0</v>
      </c>
      <c r="AA27" s="166">
        <v>0</v>
      </c>
      <c r="AB27" s="166">
        <v>0</v>
      </c>
      <c r="AC27" s="166">
        <v>0</v>
      </c>
      <c r="AD27" s="166">
        <v>0</v>
      </c>
      <c r="AE27" s="166">
        <v>0</v>
      </c>
      <c r="AF27" s="167">
        <v>0</v>
      </c>
      <c r="AG27" s="165">
        <v>0</v>
      </c>
      <c r="AH27" s="166">
        <v>0</v>
      </c>
      <c r="AI27" s="166">
        <v>0</v>
      </c>
      <c r="AJ27" s="166">
        <v>0</v>
      </c>
      <c r="AK27" s="166">
        <v>0</v>
      </c>
      <c r="AL27" s="201"/>
      <c r="AM27" s="211"/>
      <c r="AN27" s="119" t="s">
        <v>2144</v>
      </c>
      <c r="AO27" s="212">
        <v>0</v>
      </c>
      <c r="AP27" s="213"/>
      <c r="AQ27" s="119" t="s">
        <v>2145</v>
      </c>
      <c r="AR27" s="456">
        <v>0</v>
      </c>
      <c r="AS27" s="119" t="s">
        <v>2145</v>
      </c>
      <c r="AT27" s="457">
        <v>0</v>
      </c>
    </row>
    <row r="28" spans="1:46" s="98" customFormat="1" ht="15" customHeight="1">
      <c r="A28" s="99"/>
      <c r="B28" s="181"/>
      <c r="C28" s="182" t="s">
        <v>1710</v>
      </c>
      <c r="D28" s="183"/>
      <c r="E28" s="183"/>
      <c r="F28" s="183"/>
      <c r="G28" s="184"/>
      <c r="H28" s="184"/>
      <c r="I28" s="119" t="s">
        <v>498</v>
      </c>
      <c r="J28" s="128">
        <f>SUM(J20:J27)</f>
        <v>0</v>
      </c>
      <c r="K28" s="129">
        <f t="shared" ref="K28:V28" si="4">SUM(K20:K27)</f>
        <v>0</v>
      </c>
      <c r="L28" s="129">
        <f t="shared" si="4"/>
        <v>0</v>
      </c>
      <c r="M28" s="129">
        <f t="shared" si="4"/>
        <v>0</v>
      </c>
      <c r="N28" s="129">
        <f t="shared" si="4"/>
        <v>0</v>
      </c>
      <c r="O28" s="129">
        <f t="shared" si="4"/>
        <v>0</v>
      </c>
      <c r="P28" s="129">
        <f t="shared" si="4"/>
        <v>0.47432800000000003</v>
      </c>
      <c r="Q28" s="130">
        <f t="shared" si="4"/>
        <v>0.56326449999999995</v>
      </c>
      <c r="R28" s="128">
        <f t="shared" si="4"/>
        <v>0.50397349999999996</v>
      </c>
      <c r="S28" s="129">
        <f t="shared" si="4"/>
        <v>0.3853915</v>
      </c>
      <c r="T28" s="129">
        <f t="shared" si="4"/>
        <v>0.50397349999999996</v>
      </c>
      <c r="U28" s="129">
        <f t="shared" si="4"/>
        <v>0.3853915</v>
      </c>
      <c r="V28" s="129">
        <f t="shared" si="4"/>
        <v>0.44468249999999998</v>
      </c>
      <c r="W28" s="201"/>
      <c r="X28" s="119" t="s">
        <v>1876</v>
      </c>
      <c r="Y28" s="777">
        <f>SUM(Y20:Y27)</f>
        <v>0</v>
      </c>
      <c r="Z28" s="778">
        <f t="shared" ref="Z28:AK28" si="5">SUM(Z20:Z27)</f>
        <v>0</v>
      </c>
      <c r="AA28" s="778">
        <f t="shared" si="5"/>
        <v>0</v>
      </c>
      <c r="AB28" s="778">
        <f t="shared" si="5"/>
        <v>0</v>
      </c>
      <c r="AC28" s="778">
        <f t="shared" si="5"/>
        <v>0</v>
      </c>
      <c r="AD28" s="778">
        <f t="shared" si="5"/>
        <v>0</v>
      </c>
      <c r="AE28" s="778">
        <f t="shared" si="5"/>
        <v>16</v>
      </c>
      <c r="AF28" s="779">
        <f t="shared" si="5"/>
        <v>19</v>
      </c>
      <c r="AG28" s="777">
        <f t="shared" si="5"/>
        <v>17</v>
      </c>
      <c r="AH28" s="778">
        <f t="shared" si="5"/>
        <v>13</v>
      </c>
      <c r="AI28" s="778">
        <f t="shared" si="5"/>
        <v>17</v>
      </c>
      <c r="AJ28" s="778">
        <f t="shared" si="5"/>
        <v>13</v>
      </c>
      <c r="AK28" s="778">
        <f t="shared" si="5"/>
        <v>15</v>
      </c>
      <c r="AL28" s="201"/>
      <c r="AM28" s="185"/>
      <c r="AN28" s="185"/>
      <c r="AO28" s="185"/>
      <c r="AP28" s="185"/>
      <c r="AQ28" s="119" t="s">
        <v>2145</v>
      </c>
      <c r="AR28" s="129">
        <f>SUM(AR20:AR27)</f>
        <v>13500</v>
      </c>
      <c r="AS28" s="119" t="s">
        <v>2145</v>
      </c>
      <c r="AT28" s="130">
        <f>SUM(AT20:AT27)</f>
        <v>0</v>
      </c>
    </row>
    <row r="29" spans="1:46" s="98" customFormat="1" ht="15" customHeight="1">
      <c r="A29" s="99"/>
      <c r="B29" s="161"/>
      <c r="C29" s="116"/>
      <c r="D29" s="116"/>
      <c r="E29" s="116"/>
      <c r="F29" s="116"/>
      <c r="G29" s="117"/>
      <c r="H29" s="117"/>
      <c r="I29" s="117"/>
      <c r="J29" s="159"/>
      <c r="K29" s="117"/>
      <c r="L29" s="117"/>
      <c r="M29" s="117"/>
      <c r="N29" s="117"/>
      <c r="O29" s="117"/>
      <c r="P29" s="117"/>
      <c r="Q29" s="160"/>
      <c r="R29" s="159"/>
      <c r="S29" s="117"/>
      <c r="T29" s="117"/>
      <c r="U29" s="117"/>
      <c r="V29" s="208"/>
      <c r="W29" s="201"/>
      <c r="X29" s="117"/>
      <c r="Y29" s="878"/>
      <c r="Z29" s="881"/>
      <c r="AA29" s="881"/>
      <c r="AB29" s="881"/>
      <c r="AC29" s="881"/>
      <c r="AD29" s="881"/>
      <c r="AE29" s="881"/>
      <c r="AF29" s="880"/>
      <c r="AG29" s="878"/>
      <c r="AH29" s="881"/>
      <c r="AI29" s="881"/>
      <c r="AJ29" s="881"/>
      <c r="AK29" s="1108"/>
      <c r="AL29" s="201"/>
      <c r="AM29" s="185"/>
      <c r="AN29" s="185"/>
      <c r="AO29" s="185"/>
      <c r="AP29" s="185"/>
      <c r="AQ29" s="185"/>
      <c r="AR29" s="185"/>
      <c r="AS29" s="185"/>
      <c r="AT29" s="215"/>
    </row>
    <row r="30" spans="1:46" s="98" customFormat="1" ht="15" customHeight="1">
      <c r="A30" s="99"/>
      <c r="B30" s="161"/>
      <c r="C30" s="186" t="s">
        <v>2146</v>
      </c>
      <c r="D30" s="162"/>
      <c r="E30" s="162"/>
      <c r="F30" s="162"/>
      <c r="G30" s="163"/>
      <c r="H30" s="163"/>
      <c r="I30" s="117"/>
      <c r="J30" s="159"/>
      <c r="K30" s="117"/>
      <c r="L30" s="117"/>
      <c r="M30" s="117"/>
      <c r="N30" s="117"/>
      <c r="O30" s="117"/>
      <c r="P30" s="117"/>
      <c r="Q30" s="160"/>
      <c r="R30" s="159"/>
      <c r="S30" s="117"/>
      <c r="T30" s="117"/>
      <c r="U30" s="117"/>
      <c r="V30" s="208"/>
      <c r="W30" s="201"/>
      <c r="X30" s="117"/>
      <c r="Y30" s="878"/>
      <c r="Z30" s="881"/>
      <c r="AA30" s="881"/>
      <c r="AB30" s="881"/>
      <c r="AC30" s="881"/>
      <c r="AD30" s="881"/>
      <c r="AE30" s="881"/>
      <c r="AF30" s="880"/>
      <c r="AG30" s="878"/>
      <c r="AH30" s="881"/>
      <c r="AI30" s="881"/>
      <c r="AJ30" s="881"/>
      <c r="AK30" s="1108"/>
      <c r="AL30" s="201"/>
      <c r="AM30" s="209"/>
      <c r="AN30" s="209"/>
      <c r="AO30" s="209"/>
      <c r="AP30" s="209"/>
      <c r="AQ30" s="209"/>
      <c r="AR30" s="209"/>
      <c r="AS30" s="209"/>
      <c r="AT30" s="210"/>
    </row>
    <row r="31" spans="1:46" s="98" customFormat="1" ht="15" customHeight="1">
      <c r="A31" s="99"/>
      <c r="B31" s="161"/>
      <c r="C31" s="185"/>
      <c r="D31" s="162" t="s">
        <v>85</v>
      </c>
      <c r="E31" s="162"/>
      <c r="F31" s="162"/>
      <c r="G31" s="768" t="s">
        <v>2149</v>
      </c>
      <c r="H31" s="163"/>
      <c r="I31" s="119" t="s">
        <v>498</v>
      </c>
      <c r="J31" s="143">
        <v>0</v>
      </c>
      <c r="K31" s="141" t="s">
        <v>1127</v>
      </c>
      <c r="L31" s="141" t="s">
        <v>1127</v>
      </c>
      <c r="M31" s="141" t="s">
        <v>1127</v>
      </c>
      <c r="N31" s="141" t="s">
        <v>1127</v>
      </c>
      <c r="O31" s="141" t="s">
        <v>1127</v>
      </c>
      <c r="P31" s="141">
        <v>0</v>
      </c>
      <c r="Q31" s="144">
        <v>0.62389600000000001</v>
      </c>
      <c r="R31" s="143">
        <v>0.74087650000000005</v>
      </c>
      <c r="S31" s="141">
        <v>0.66288950000000002</v>
      </c>
      <c r="T31" s="141">
        <v>0.50691549999999996</v>
      </c>
      <c r="U31" s="141">
        <v>0.66288950000000002</v>
      </c>
      <c r="V31" s="141">
        <v>0.50691549999999996</v>
      </c>
      <c r="W31" s="201"/>
      <c r="X31" s="119" t="s">
        <v>1876</v>
      </c>
      <c r="Y31" s="165">
        <v>0</v>
      </c>
      <c r="Z31" s="166">
        <v>0</v>
      </c>
      <c r="AA31" s="166">
        <v>0</v>
      </c>
      <c r="AB31" s="166">
        <v>0</v>
      </c>
      <c r="AC31" s="166">
        <v>0</v>
      </c>
      <c r="AD31" s="166">
        <v>0</v>
      </c>
      <c r="AE31" s="166">
        <v>0</v>
      </c>
      <c r="AF31" s="167">
        <v>16</v>
      </c>
      <c r="AG31" s="165">
        <v>19</v>
      </c>
      <c r="AH31" s="166">
        <v>17</v>
      </c>
      <c r="AI31" s="166">
        <v>13</v>
      </c>
      <c r="AJ31" s="166">
        <v>17</v>
      </c>
      <c r="AK31" s="166">
        <v>13</v>
      </c>
      <c r="AL31" s="201"/>
      <c r="AM31" s="209"/>
      <c r="AN31" s="209"/>
      <c r="AO31" s="209"/>
      <c r="AP31" s="209"/>
      <c r="AQ31" s="119" t="s">
        <v>2145</v>
      </c>
      <c r="AR31" s="456">
        <v>13500</v>
      </c>
      <c r="AS31" s="119" t="s">
        <v>2145</v>
      </c>
      <c r="AT31" s="457">
        <v>0</v>
      </c>
    </row>
    <row r="32" spans="1:46" s="98" customFormat="1" ht="15" customHeight="1">
      <c r="A32" s="99"/>
      <c r="B32" s="161"/>
      <c r="C32" s="185"/>
      <c r="D32" s="162" t="s">
        <v>85</v>
      </c>
      <c r="E32" s="162"/>
      <c r="F32" s="162"/>
      <c r="G32" s="768"/>
      <c r="H32" s="163"/>
      <c r="I32" s="119" t="s">
        <v>498</v>
      </c>
      <c r="J32" s="143">
        <v>0</v>
      </c>
      <c r="K32" s="141">
        <v>0</v>
      </c>
      <c r="L32" s="141">
        <v>0</v>
      </c>
      <c r="M32" s="141">
        <v>0</v>
      </c>
      <c r="N32" s="141">
        <v>0</v>
      </c>
      <c r="O32" s="141">
        <v>0</v>
      </c>
      <c r="P32" s="141">
        <v>0</v>
      </c>
      <c r="Q32" s="144">
        <v>0</v>
      </c>
      <c r="R32" s="143">
        <v>0</v>
      </c>
      <c r="S32" s="141">
        <v>0</v>
      </c>
      <c r="T32" s="141">
        <v>0</v>
      </c>
      <c r="U32" s="141">
        <v>0</v>
      </c>
      <c r="V32" s="141">
        <v>0</v>
      </c>
      <c r="W32" s="201"/>
      <c r="X32" s="119" t="s">
        <v>1876</v>
      </c>
      <c r="Y32" s="165">
        <v>0</v>
      </c>
      <c r="Z32" s="166">
        <v>0</v>
      </c>
      <c r="AA32" s="166">
        <v>0</v>
      </c>
      <c r="AB32" s="166">
        <v>0</v>
      </c>
      <c r="AC32" s="166">
        <v>0</v>
      </c>
      <c r="AD32" s="166">
        <v>0</v>
      </c>
      <c r="AE32" s="166">
        <v>0</v>
      </c>
      <c r="AF32" s="167">
        <v>0</v>
      </c>
      <c r="AG32" s="165">
        <v>0</v>
      </c>
      <c r="AH32" s="166">
        <v>0</v>
      </c>
      <c r="AI32" s="166">
        <v>0</v>
      </c>
      <c r="AJ32" s="166">
        <v>0</v>
      </c>
      <c r="AK32" s="166">
        <v>0</v>
      </c>
      <c r="AL32" s="201"/>
      <c r="AM32" s="209"/>
      <c r="AN32" s="209"/>
      <c r="AO32" s="209"/>
      <c r="AP32" s="209"/>
      <c r="AQ32" s="119" t="s">
        <v>2145</v>
      </c>
      <c r="AR32" s="456">
        <v>0</v>
      </c>
      <c r="AS32" s="119" t="s">
        <v>2145</v>
      </c>
      <c r="AT32" s="457">
        <v>0</v>
      </c>
    </row>
    <row r="33" spans="1:46" s="98" customFormat="1" ht="15" customHeight="1">
      <c r="A33" s="99"/>
      <c r="B33" s="161"/>
      <c r="C33" s="185"/>
      <c r="D33" s="162" t="s">
        <v>85</v>
      </c>
      <c r="E33" s="162"/>
      <c r="F33" s="162"/>
      <c r="G33" s="768"/>
      <c r="H33" s="163"/>
      <c r="I33" s="119" t="s">
        <v>498</v>
      </c>
      <c r="J33" s="143">
        <v>0</v>
      </c>
      <c r="K33" s="141">
        <v>0</v>
      </c>
      <c r="L33" s="141">
        <v>0</v>
      </c>
      <c r="M33" s="141">
        <v>0</v>
      </c>
      <c r="N33" s="141">
        <v>0</v>
      </c>
      <c r="O33" s="141">
        <v>0</v>
      </c>
      <c r="P33" s="141">
        <v>0</v>
      </c>
      <c r="Q33" s="144">
        <v>0</v>
      </c>
      <c r="R33" s="143">
        <v>0</v>
      </c>
      <c r="S33" s="141">
        <v>0</v>
      </c>
      <c r="T33" s="141">
        <v>0</v>
      </c>
      <c r="U33" s="141">
        <v>0</v>
      </c>
      <c r="V33" s="141">
        <v>0</v>
      </c>
      <c r="W33" s="201"/>
      <c r="X33" s="119" t="s">
        <v>1876</v>
      </c>
      <c r="Y33" s="165">
        <v>0</v>
      </c>
      <c r="Z33" s="166">
        <v>0</v>
      </c>
      <c r="AA33" s="166">
        <v>0</v>
      </c>
      <c r="AB33" s="166">
        <v>0</v>
      </c>
      <c r="AC33" s="166">
        <v>0</v>
      </c>
      <c r="AD33" s="166">
        <v>0</v>
      </c>
      <c r="AE33" s="166">
        <v>0</v>
      </c>
      <c r="AF33" s="167">
        <v>0</v>
      </c>
      <c r="AG33" s="165">
        <v>0</v>
      </c>
      <c r="AH33" s="166">
        <v>0</v>
      </c>
      <c r="AI33" s="166">
        <v>0</v>
      </c>
      <c r="AJ33" s="166">
        <v>0</v>
      </c>
      <c r="AK33" s="166">
        <v>0</v>
      </c>
      <c r="AL33" s="201"/>
      <c r="AM33" s="209"/>
      <c r="AN33" s="209"/>
      <c r="AO33" s="209"/>
      <c r="AP33" s="209"/>
      <c r="AQ33" s="119" t="s">
        <v>2145</v>
      </c>
      <c r="AR33" s="456">
        <v>0</v>
      </c>
      <c r="AS33" s="119" t="s">
        <v>2145</v>
      </c>
      <c r="AT33" s="457">
        <v>0</v>
      </c>
    </row>
    <row r="34" spans="1:46" s="98" customFormat="1" ht="15" customHeight="1">
      <c r="A34" s="99"/>
      <c r="B34" s="161"/>
      <c r="C34" s="185"/>
      <c r="D34" s="162" t="s">
        <v>85</v>
      </c>
      <c r="E34" s="162"/>
      <c r="F34" s="162"/>
      <c r="G34" s="768"/>
      <c r="H34" s="163"/>
      <c r="I34" s="119" t="s">
        <v>498</v>
      </c>
      <c r="J34" s="143">
        <v>0</v>
      </c>
      <c r="K34" s="141">
        <v>0</v>
      </c>
      <c r="L34" s="141">
        <v>0</v>
      </c>
      <c r="M34" s="141">
        <v>0</v>
      </c>
      <c r="N34" s="141">
        <v>0</v>
      </c>
      <c r="O34" s="141">
        <v>0</v>
      </c>
      <c r="P34" s="141">
        <v>0</v>
      </c>
      <c r="Q34" s="144">
        <v>0</v>
      </c>
      <c r="R34" s="143">
        <v>0</v>
      </c>
      <c r="S34" s="141">
        <v>0</v>
      </c>
      <c r="T34" s="141">
        <v>0</v>
      </c>
      <c r="U34" s="141">
        <v>0</v>
      </c>
      <c r="V34" s="141">
        <v>0</v>
      </c>
      <c r="W34" s="201"/>
      <c r="X34" s="119" t="s">
        <v>1876</v>
      </c>
      <c r="Y34" s="165">
        <v>0</v>
      </c>
      <c r="Z34" s="166">
        <v>0</v>
      </c>
      <c r="AA34" s="166">
        <v>0</v>
      </c>
      <c r="AB34" s="166">
        <v>0</v>
      </c>
      <c r="AC34" s="166">
        <v>0</v>
      </c>
      <c r="AD34" s="166">
        <v>0</v>
      </c>
      <c r="AE34" s="166">
        <v>0</v>
      </c>
      <c r="AF34" s="167">
        <v>0</v>
      </c>
      <c r="AG34" s="165">
        <v>0</v>
      </c>
      <c r="AH34" s="166">
        <v>0</v>
      </c>
      <c r="AI34" s="166">
        <v>0</v>
      </c>
      <c r="AJ34" s="166">
        <v>0</v>
      </c>
      <c r="AK34" s="166">
        <v>0</v>
      </c>
      <c r="AL34" s="201"/>
      <c r="AM34" s="209"/>
      <c r="AN34" s="209"/>
      <c r="AO34" s="209"/>
      <c r="AP34" s="209"/>
      <c r="AQ34" s="119" t="s">
        <v>2145</v>
      </c>
      <c r="AR34" s="456">
        <v>0</v>
      </c>
      <c r="AS34" s="119" t="s">
        <v>2145</v>
      </c>
      <c r="AT34" s="457">
        <v>0</v>
      </c>
    </row>
    <row r="35" spans="1:46" s="98" customFormat="1" ht="15" customHeight="1">
      <c r="A35" s="99"/>
      <c r="B35" s="161"/>
      <c r="C35" s="185"/>
      <c r="D35" s="162" t="s">
        <v>85</v>
      </c>
      <c r="E35" s="162"/>
      <c r="F35" s="162"/>
      <c r="G35" s="768"/>
      <c r="H35" s="163"/>
      <c r="I35" s="119" t="s">
        <v>498</v>
      </c>
      <c r="J35" s="143">
        <v>0</v>
      </c>
      <c r="K35" s="141">
        <v>0</v>
      </c>
      <c r="L35" s="141">
        <v>0</v>
      </c>
      <c r="M35" s="141">
        <v>0</v>
      </c>
      <c r="N35" s="141">
        <v>0</v>
      </c>
      <c r="O35" s="141">
        <v>0</v>
      </c>
      <c r="P35" s="141">
        <v>0</v>
      </c>
      <c r="Q35" s="144">
        <v>0</v>
      </c>
      <c r="R35" s="143">
        <v>0</v>
      </c>
      <c r="S35" s="141">
        <v>0</v>
      </c>
      <c r="T35" s="141">
        <v>0</v>
      </c>
      <c r="U35" s="141">
        <v>0</v>
      </c>
      <c r="V35" s="141">
        <v>0</v>
      </c>
      <c r="W35" s="201"/>
      <c r="X35" s="119" t="s">
        <v>1876</v>
      </c>
      <c r="Y35" s="165">
        <v>0</v>
      </c>
      <c r="Z35" s="166">
        <v>0</v>
      </c>
      <c r="AA35" s="166">
        <v>0</v>
      </c>
      <c r="AB35" s="166">
        <v>0</v>
      </c>
      <c r="AC35" s="166">
        <v>0</v>
      </c>
      <c r="AD35" s="166">
        <v>0</v>
      </c>
      <c r="AE35" s="166">
        <v>0</v>
      </c>
      <c r="AF35" s="167">
        <v>0</v>
      </c>
      <c r="AG35" s="165">
        <v>0</v>
      </c>
      <c r="AH35" s="166">
        <v>0</v>
      </c>
      <c r="AI35" s="166">
        <v>0</v>
      </c>
      <c r="AJ35" s="166">
        <v>0</v>
      </c>
      <c r="AK35" s="166">
        <v>0</v>
      </c>
      <c r="AL35" s="201"/>
      <c r="AM35" s="209"/>
      <c r="AN35" s="209"/>
      <c r="AO35" s="209"/>
      <c r="AP35" s="209"/>
      <c r="AQ35" s="119" t="s">
        <v>2145</v>
      </c>
      <c r="AR35" s="456">
        <v>0</v>
      </c>
      <c r="AS35" s="119" t="s">
        <v>2145</v>
      </c>
      <c r="AT35" s="457">
        <v>0</v>
      </c>
    </row>
    <row r="36" spans="1:46" s="98" customFormat="1" ht="15" customHeight="1">
      <c r="A36" s="99"/>
      <c r="B36" s="161"/>
      <c r="C36" s="185"/>
      <c r="D36" s="162" t="s">
        <v>85</v>
      </c>
      <c r="E36" s="162"/>
      <c r="F36" s="162"/>
      <c r="G36" s="768"/>
      <c r="H36" s="163"/>
      <c r="I36" s="119" t="s">
        <v>498</v>
      </c>
      <c r="J36" s="143">
        <v>0</v>
      </c>
      <c r="K36" s="141">
        <v>0</v>
      </c>
      <c r="L36" s="141">
        <v>0</v>
      </c>
      <c r="M36" s="141">
        <v>0</v>
      </c>
      <c r="N36" s="141">
        <v>0</v>
      </c>
      <c r="O36" s="141">
        <v>0</v>
      </c>
      <c r="P36" s="141">
        <v>0</v>
      </c>
      <c r="Q36" s="144">
        <v>0</v>
      </c>
      <c r="R36" s="143">
        <v>0</v>
      </c>
      <c r="S36" s="141">
        <v>0</v>
      </c>
      <c r="T36" s="141">
        <v>0</v>
      </c>
      <c r="U36" s="141">
        <v>0</v>
      </c>
      <c r="V36" s="141">
        <v>0</v>
      </c>
      <c r="W36" s="201"/>
      <c r="X36" s="119" t="s">
        <v>1876</v>
      </c>
      <c r="Y36" s="165">
        <v>0</v>
      </c>
      <c r="Z36" s="166">
        <v>0</v>
      </c>
      <c r="AA36" s="166">
        <v>0</v>
      </c>
      <c r="AB36" s="166">
        <v>0</v>
      </c>
      <c r="AC36" s="166">
        <v>0</v>
      </c>
      <c r="AD36" s="166">
        <v>0</v>
      </c>
      <c r="AE36" s="166">
        <v>0</v>
      </c>
      <c r="AF36" s="167">
        <v>0</v>
      </c>
      <c r="AG36" s="165">
        <v>0</v>
      </c>
      <c r="AH36" s="166">
        <v>0</v>
      </c>
      <c r="AI36" s="166">
        <v>0</v>
      </c>
      <c r="AJ36" s="166">
        <v>0</v>
      </c>
      <c r="AK36" s="166">
        <v>0</v>
      </c>
      <c r="AL36" s="201"/>
      <c r="AM36" s="209"/>
      <c r="AN36" s="209"/>
      <c r="AO36" s="209"/>
      <c r="AP36" s="209"/>
      <c r="AQ36" s="119" t="s">
        <v>2145</v>
      </c>
      <c r="AR36" s="456">
        <v>0</v>
      </c>
      <c r="AS36" s="119" t="s">
        <v>2145</v>
      </c>
      <c r="AT36" s="457">
        <v>0</v>
      </c>
    </row>
    <row r="37" spans="1:46" s="98" customFormat="1" ht="15" customHeight="1">
      <c r="A37" s="99"/>
      <c r="B37" s="161"/>
      <c r="C37" s="185"/>
      <c r="D37" s="162" t="s">
        <v>85</v>
      </c>
      <c r="E37" s="162"/>
      <c r="F37" s="162"/>
      <c r="G37" s="768"/>
      <c r="H37" s="163"/>
      <c r="I37" s="119" t="s">
        <v>498</v>
      </c>
      <c r="J37" s="143">
        <v>0</v>
      </c>
      <c r="K37" s="141">
        <v>0</v>
      </c>
      <c r="L37" s="141">
        <v>0</v>
      </c>
      <c r="M37" s="141">
        <v>0</v>
      </c>
      <c r="N37" s="141">
        <v>0</v>
      </c>
      <c r="O37" s="141">
        <v>0</v>
      </c>
      <c r="P37" s="141">
        <v>0</v>
      </c>
      <c r="Q37" s="144">
        <v>0</v>
      </c>
      <c r="R37" s="143">
        <v>0</v>
      </c>
      <c r="S37" s="141">
        <v>0</v>
      </c>
      <c r="T37" s="141">
        <v>0</v>
      </c>
      <c r="U37" s="141">
        <v>0</v>
      </c>
      <c r="V37" s="141">
        <v>0</v>
      </c>
      <c r="W37" s="201"/>
      <c r="X37" s="119" t="s">
        <v>1876</v>
      </c>
      <c r="Y37" s="165">
        <v>0</v>
      </c>
      <c r="Z37" s="166">
        <v>0</v>
      </c>
      <c r="AA37" s="166">
        <v>0</v>
      </c>
      <c r="AB37" s="166">
        <v>0</v>
      </c>
      <c r="AC37" s="166">
        <v>0</v>
      </c>
      <c r="AD37" s="166">
        <v>0</v>
      </c>
      <c r="AE37" s="166">
        <v>0</v>
      </c>
      <c r="AF37" s="167">
        <v>0</v>
      </c>
      <c r="AG37" s="165">
        <v>0</v>
      </c>
      <c r="AH37" s="166">
        <v>0</v>
      </c>
      <c r="AI37" s="166">
        <v>0</v>
      </c>
      <c r="AJ37" s="166">
        <v>0</v>
      </c>
      <c r="AK37" s="166">
        <v>0</v>
      </c>
      <c r="AL37" s="201"/>
      <c r="AM37" s="209"/>
      <c r="AN37" s="209"/>
      <c r="AO37" s="209"/>
      <c r="AP37" s="209"/>
      <c r="AQ37" s="119" t="s">
        <v>2145</v>
      </c>
      <c r="AR37" s="456">
        <v>0</v>
      </c>
      <c r="AS37" s="119" t="s">
        <v>2145</v>
      </c>
      <c r="AT37" s="457">
        <v>0</v>
      </c>
    </row>
    <row r="38" spans="1:46" s="98" customFormat="1" ht="15" customHeight="1">
      <c r="A38" s="99"/>
      <c r="B38" s="161"/>
      <c r="C38" s="185"/>
      <c r="D38" s="162" t="s">
        <v>85</v>
      </c>
      <c r="E38" s="162"/>
      <c r="F38" s="162"/>
      <c r="G38" s="768"/>
      <c r="H38" s="163"/>
      <c r="I38" s="119" t="s">
        <v>498</v>
      </c>
      <c r="J38" s="143">
        <v>0</v>
      </c>
      <c r="K38" s="141">
        <v>0</v>
      </c>
      <c r="L38" s="141">
        <v>0</v>
      </c>
      <c r="M38" s="141">
        <v>0</v>
      </c>
      <c r="N38" s="141">
        <v>0</v>
      </c>
      <c r="O38" s="141">
        <v>0</v>
      </c>
      <c r="P38" s="141">
        <v>0</v>
      </c>
      <c r="Q38" s="144">
        <v>0</v>
      </c>
      <c r="R38" s="143">
        <v>0</v>
      </c>
      <c r="S38" s="141">
        <v>0</v>
      </c>
      <c r="T38" s="141">
        <v>0</v>
      </c>
      <c r="U38" s="141">
        <v>0</v>
      </c>
      <c r="V38" s="141">
        <v>0</v>
      </c>
      <c r="W38" s="201"/>
      <c r="X38" s="119" t="s">
        <v>1876</v>
      </c>
      <c r="Y38" s="165">
        <v>0</v>
      </c>
      <c r="Z38" s="166">
        <v>0</v>
      </c>
      <c r="AA38" s="166">
        <v>0</v>
      </c>
      <c r="AB38" s="166">
        <v>0</v>
      </c>
      <c r="AC38" s="166">
        <v>0</v>
      </c>
      <c r="AD38" s="166">
        <v>0</v>
      </c>
      <c r="AE38" s="166">
        <v>0</v>
      </c>
      <c r="AF38" s="167">
        <v>0</v>
      </c>
      <c r="AG38" s="165">
        <v>0</v>
      </c>
      <c r="AH38" s="166">
        <v>0</v>
      </c>
      <c r="AI38" s="166">
        <v>0</v>
      </c>
      <c r="AJ38" s="166">
        <v>0</v>
      </c>
      <c r="AK38" s="166">
        <v>0</v>
      </c>
      <c r="AL38" s="201"/>
      <c r="AM38" s="209"/>
      <c r="AN38" s="209"/>
      <c r="AO38" s="209"/>
      <c r="AP38" s="209"/>
      <c r="AQ38" s="119" t="s">
        <v>2145</v>
      </c>
      <c r="AR38" s="456">
        <v>0</v>
      </c>
      <c r="AS38" s="119" t="s">
        <v>2145</v>
      </c>
      <c r="AT38" s="457">
        <v>0</v>
      </c>
    </row>
    <row r="39" spans="1:46" s="98" customFormat="1" ht="15" customHeight="1">
      <c r="A39" s="99"/>
      <c r="B39" s="181"/>
      <c r="C39" s="182" t="s">
        <v>1710</v>
      </c>
      <c r="D39" s="183"/>
      <c r="E39" s="183"/>
      <c r="F39" s="183"/>
      <c r="G39" s="184"/>
      <c r="H39" s="184"/>
      <c r="I39" s="119" t="s">
        <v>498</v>
      </c>
      <c r="J39" s="128">
        <f>SUM(J31:J38)</f>
        <v>0</v>
      </c>
      <c r="K39" s="129">
        <f t="shared" ref="K39:V39" si="6">SUM(K31:K38)</f>
        <v>0</v>
      </c>
      <c r="L39" s="129">
        <f t="shared" si="6"/>
        <v>0</v>
      </c>
      <c r="M39" s="129">
        <f t="shared" si="6"/>
        <v>0</v>
      </c>
      <c r="N39" s="129">
        <f t="shared" si="6"/>
        <v>0</v>
      </c>
      <c r="O39" s="129">
        <f t="shared" si="6"/>
        <v>0</v>
      </c>
      <c r="P39" s="129">
        <f t="shared" si="6"/>
        <v>0</v>
      </c>
      <c r="Q39" s="130">
        <f t="shared" si="6"/>
        <v>0.62389600000000001</v>
      </c>
      <c r="R39" s="128">
        <f t="shared" si="6"/>
        <v>0.74087650000000005</v>
      </c>
      <c r="S39" s="129">
        <f t="shared" si="6"/>
        <v>0.66288950000000002</v>
      </c>
      <c r="T39" s="129">
        <f t="shared" si="6"/>
        <v>0.50691549999999996</v>
      </c>
      <c r="U39" s="129">
        <f t="shared" si="6"/>
        <v>0.66288950000000002</v>
      </c>
      <c r="V39" s="129">
        <f t="shared" si="6"/>
        <v>0.50691549999999996</v>
      </c>
      <c r="W39" s="201"/>
      <c r="X39" s="119" t="s">
        <v>1876</v>
      </c>
      <c r="Y39" s="777">
        <f>SUM(Y31:Y38)</f>
        <v>0</v>
      </c>
      <c r="Z39" s="778">
        <f t="shared" ref="Z39:AK39" si="7">SUM(Z31:Z38)</f>
        <v>0</v>
      </c>
      <c r="AA39" s="778">
        <f t="shared" si="7"/>
        <v>0</v>
      </c>
      <c r="AB39" s="778">
        <f t="shared" si="7"/>
        <v>0</v>
      </c>
      <c r="AC39" s="778">
        <f t="shared" si="7"/>
        <v>0</v>
      </c>
      <c r="AD39" s="778">
        <f t="shared" si="7"/>
        <v>0</v>
      </c>
      <c r="AE39" s="778">
        <f t="shared" si="7"/>
        <v>0</v>
      </c>
      <c r="AF39" s="779">
        <f t="shared" si="7"/>
        <v>16</v>
      </c>
      <c r="AG39" s="777">
        <f t="shared" si="7"/>
        <v>19</v>
      </c>
      <c r="AH39" s="778">
        <f t="shared" si="7"/>
        <v>17</v>
      </c>
      <c r="AI39" s="778">
        <f t="shared" si="7"/>
        <v>13</v>
      </c>
      <c r="AJ39" s="778">
        <f t="shared" si="7"/>
        <v>17</v>
      </c>
      <c r="AK39" s="778">
        <f t="shared" si="7"/>
        <v>13</v>
      </c>
      <c r="AL39" s="201"/>
      <c r="AM39" s="209"/>
      <c r="AN39" s="209"/>
      <c r="AO39" s="209"/>
      <c r="AP39" s="209"/>
      <c r="AQ39" s="119" t="s">
        <v>2145</v>
      </c>
      <c r="AR39" s="129">
        <f>SUM(AR31:AR38)</f>
        <v>13500</v>
      </c>
      <c r="AS39" s="119" t="s">
        <v>2145</v>
      </c>
      <c r="AT39" s="130">
        <f>SUM(AT31:AT38)</f>
        <v>0</v>
      </c>
    </row>
    <row r="40" spans="1:46" s="98" customFormat="1" ht="15" customHeight="1">
      <c r="A40" s="99"/>
      <c r="B40" s="161"/>
      <c r="C40" s="116"/>
      <c r="D40" s="116"/>
      <c r="E40" s="116"/>
      <c r="F40" s="116"/>
      <c r="G40" s="117"/>
      <c r="H40" s="117"/>
      <c r="I40" s="117"/>
      <c r="J40" s="159"/>
      <c r="K40" s="117"/>
      <c r="L40" s="117"/>
      <c r="M40" s="117"/>
      <c r="N40" s="117"/>
      <c r="O40" s="117"/>
      <c r="P40" s="117"/>
      <c r="Q40" s="160"/>
      <c r="R40" s="159"/>
      <c r="S40" s="117"/>
      <c r="T40" s="117"/>
      <c r="U40" s="117"/>
      <c r="V40" s="208"/>
      <c r="W40" s="201"/>
      <c r="X40" s="117"/>
      <c r="Y40" s="878"/>
      <c r="Z40" s="881"/>
      <c r="AA40" s="881"/>
      <c r="AB40" s="881"/>
      <c r="AC40" s="881"/>
      <c r="AD40" s="881"/>
      <c r="AE40" s="881"/>
      <c r="AF40" s="880"/>
      <c r="AG40" s="878"/>
      <c r="AH40" s="881"/>
      <c r="AI40" s="881"/>
      <c r="AJ40" s="881"/>
      <c r="AK40" s="1108"/>
      <c r="AL40" s="201"/>
      <c r="AM40" s="209"/>
      <c r="AN40" s="209"/>
      <c r="AO40" s="209"/>
      <c r="AP40" s="209"/>
      <c r="AQ40" s="185"/>
      <c r="AR40" s="185"/>
      <c r="AS40" s="185"/>
      <c r="AT40" s="215"/>
    </row>
    <row r="41" spans="1:46" s="98" customFormat="1" ht="15" customHeight="1">
      <c r="A41" s="99"/>
      <c r="B41" s="161"/>
      <c r="C41" s="186" t="s">
        <v>2147</v>
      </c>
      <c r="D41" s="162"/>
      <c r="E41" s="162"/>
      <c r="F41" s="162"/>
      <c r="G41" s="163"/>
      <c r="H41" s="163"/>
      <c r="I41" s="117"/>
      <c r="J41" s="159"/>
      <c r="K41" s="117"/>
      <c r="L41" s="117"/>
      <c r="M41" s="117"/>
      <c r="N41" s="117"/>
      <c r="O41" s="117"/>
      <c r="P41" s="117"/>
      <c r="Q41" s="160"/>
      <c r="R41" s="159"/>
      <c r="S41" s="117"/>
      <c r="T41" s="117"/>
      <c r="U41" s="117"/>
      <c r="V41" s="208"/>
      <c r="W41" s="201"/>
      <c r="X41" s="117"/>
      <c r="Y41" s="878"/>
      <c r="Z41" s="881"/>
      <c r="AA41" s="881"/>
      <c r="AB41" s="881"/>
      <c r="AC41" s="881"/>
      <c r="AD41" s="881"/>
      <c r="AE41" s="881"/>
      <c r="AF41" s="880"/>
      <c r="AG41" s="878"/>
      <c r="AH41" s="881"/>
      <c r="AI41" s="881"/>
      <c r="AJ41" s="881"/>
      <c r="AK41" s="1108"/>
      <c r="AL41" s="201"/>
      <c r="AM41" s="209"/>
      <c r="AN41" s="209"/>
      <c r="AO41" s="209"/>
      <c r="AP41" s="209"/>
      <c r="AQ41" s="209"/>
      <c r="AR41" s="209"/>
      <c r="AS41" s="209"/>
      <c r="AT41" s="210"/>
    </row>
    <row r="42" spans="1:46" s="98" customFormat="1" ht="15" customHeight="1">
      <c r="A42" s="99"/>
      <c r="B42" s="161"/>
      <c r="C42" s="185"/>
      <c r="D42" s="162" t="s">
        <v>85</v>
      </c>
      <c r="E42" s="162"/>
      <c r="F42" s="162"/>
      <c r="G42" s="768" t="s">
        <v>3701</v>
      </c>
      <c r="H42" s="163"/>
      <c r="I42" s="119" t="s">
        <v>498</v>
      </c>
      <c r="J42" s="143">
        <v>0</v>
      </c>
      <c r="K42" s="141" t="s">
        <v>1127</v>
      </c>
      <c r="L42" s="141" t="s">
        <v>1127</v>
      </c>
      <c r="M42" s="141" t="s">
        <v>1127</v>
      </c>
      <c r="N42" s="141" t="s">
        <v>1127</v>
      </c>
      <c r="O42" s="141" t="s">
        <v>1127</v>
      </c>
      <c r="P42" s="141">
        <v>0</v>
      </c>
      <c r="Q42" s="144">
        <v>0</v>
      </c>
      <c r="R42" s="143">
        <v>0</v>
      </c>
      <c r="S42" s="141">
        <v>0</v>
      </c>
      <c r="T42" s="141">
        <v>0</v>
      </c>
      <c r="U42" s="141">
        <v>0</v>
      </c>
      <c r="V42" s="141">
        <v>0</v>
      </c>
      <c r="W42" s="201"/>
      <c r="X42" s="119" t="s">
        <v>1876</v>
      </c>
      <c r="Y42" s="165">
        <v>0</v>
      </c>
      <c r="Z42" s="166">
        <v>0</v>
      </c>
      <c r="AA42" s="166">
        <v>0</v>
      </c>
      <c r="AB42" s="166">
        <v>0</v>
      </c>
      <c r="AC42" s="166">
        <v>0</v>
      </c>
      <c r="AD42" s="166">
        <v>0</v>
      </c>
      <c r="AE42" s="166">
        <v>0</v>
      </c>
      <c r="AF42" s="167">
        <v>0</v>
      </c>
      <c r="AG42" s="165">
        <v>0</v>
      </c>
      <c r="AH42" s="166">
        <v>0</v>
      </c>
      <c r="AI42" s="166">
        <v>0</v>
      </c>
      <c r="AJ42" s="166">
        <v>0</v>
      </c>
      <c r="AK42" s="166">
        <v>0</v>
      </c>
      <c r="AL42" s="201"/>
      <c r="AM42" s="209"/>
      <c r="AN42" s="209"/>
      <c r="AO42" s="209"/>
      <c r="AP42" s="209"/>
      <c r="AQ42" s="119" t="s">
        <v>2145</v>
      </c>
      <c r="AR42" s="456">
        <v>0</v>
      </c>
      <c r="AS42" s="119" t="s">
        <v>2145</v>
      </c>
      <c r="AT42" s="457">
        <v>0</v>
      </c>
    </row>
    <row r="43" spans="1:46" s="98" customFormat="1" ht="15" customHeight="1">
      <c r="A43" s="99"/>
      <c r="B43" s="161"/>
      <c r="C43" s="185"/>
      <c r="D43" s="162" t="s">
        <v>85</v>
      </c>
      <c r="E43" s="162"/>
      <c r="F43" s="162"/>
      <c r="G43" s="768"/>
      <c r="H43" s="163"/>
      <c r="I43" s="119" t="s">
        <v>498</v>
      </c>
      <c r="J43" s="143">
        <v>0</v>
      </c>
      <c r="K43" s="141">
        <v>0</v>
      </c>
      <c r="L43" s="141">
        <v>0</v>
      </c>
      <c r="M43" s="141">
        <v>0</v>
      </c>
      <c r="N43" s="141">
        <v>0</v>
      </c>
      <c r="O43" s="141">
        <v>0</v>
      </c>
      <c r="P43" s="141">
        <v>0</v>
      </c>
      <c r="Q43" s="144">
        <v>0</v>
      </c>
      <c r="R43" s="143">
        <v>0</v>
      </c>
      <c r="S43" s="141">
        <v>0</v>
      </c>
      <c r="T43" s="141">
        <v>0</v>
      </c>
      <c r="U43" s="141">
        <v>0</v>
      </c>
      <c r="V43" s="141">
        <v>0</v>
      </c>
      <c r="W43" s="201"/>
      <c r="X43" s="119" t="s">
        <v>1876</v>
      </c>
      <c r="Y43" s="165">
        <v>0</v>
      </c>
      <c r="Z43" s="166">
        <v>0</v>
      </c>
      <c r="AA43" s="166">
        <v>0</v>
      </c>
      <c r="AB43" s="166">
        <v>0</v>
      </c>
      <c r="AC43" s="166">
        <v>0</v>
      </c>
      <c r="AD43" s="166">
        <v>0</v>
      </c>
      <c r="AE43" s="166">
        <v>0</v>
      </c>
      <c r="AF43" s="167">
        <v>0</v>
      </c>
      <c r="AG43" s="165">
        <v>0</v>
      </c>
      <c r="AH43" s="166">
        <v>0</v>
      </c>
      <c r="AI43" s="166">
        <v>0</v>
      </c>
      <c r="AJ43" s="166">
        <v>0</v>
      </c>
      <c r="AK43" s="166">
        <v>0</v>
      </c>
      <c r="AL43" s="201"/>
      <c r="AM43" s="209"/>
      <c r="AN43" s="209"/>
      <c r="AO43" s="209"/>
      <c r="AP43" s="209"/>
      <c r="AQ43" s="119" t="s">
        <v>2145</v>
      </c>
      <c r="AR43" s="456">
        <v>0</v>
      </c>
      <c r="AS43" s="119" t="s">
        <v>2145</v>
      </c>
      <c r="AT43" s="457">
        <v>0</v>
      </c>
    </row>
    <row r="44" spans="1:46" s="98" customFormat="1" ht="15" customHeight="1">
      <c r="A44" s="99"/>
      <c r="B44" s="161"/>
      <c r="C44" s="185"/>
      <c r="D44" s="162" t="s">
        <v>85</v>
      </c>
      <c r="E44" s="162"/>
      <c r="F44" s="162"/>
      <c r="G44" s="768"/>
      <c r="H44" s="163"/>
      <c r="I44" s="119" t="s">
        <v>498</v>
      </c>
      <c r="J44" s="143">
        <v>0</v>
      </c>
      <c r="K44" s="141">
        <v>0</v>
      </c>
      <c r="L44" s="141">
        <v>0</v>
      </c>
      <c r="M44" s="141">
        <v>0</v>
      </c>
      <c r="N44" s="141">
        <v>0</v>
      </c>
      <c r="O44" s="141">
        <v>0</v>
      </c>
      <c r="P44" s="141">
        <v>0</v>
      </c>
      <c r="Q44" s="144">
        <v>0</v>
      </c>
      <c r="R44" s="143">
        <v>0</v>
      </c>
      <c r="S44" s="141">
        <v>0</v>
      </c>
      <c r="T44" s="141">
        <v>0</v>
      </c>
      <c r="U44" s="141">
        <v>0</v>
      </c>
      <c r="V44" s="141">
        <v>0</v>
      </c>
      <c r="W44" s="201"/>
      <c r="X44" s="119" t="s">
        <v>1876</v>
      </c>
      <c r="Y44" s="165">
        <v>0</v>
      </c>
      <c r="Z44" s="166">
        <v>0</v>
      </c>
      <c r="AA44" s="166">
        <v>0</v>
      </c>
      <c r="AB44" s="166">
        <v>0</v>
      </c>
      <c r="AC44" s="166">
        <v>0</v>
      </c>
      <c r="AD44" s="166">
        <v>0</v>
      </c>
      <c r="AE44" s="166">
        <v>0</v>
      </c>
      <c r="AF44" s="167">
        <v>0</v>
      </c>
      <c r="AG44" s="165">
        <v>0</v>
      </c>
      <c r="AH44" s="166">
        <v>0</v>
      </c>
      <c r="AI44" s="166">
        <v>0</v>
      </c>
      <c r="AJ44" s="166">
        <v>0</v>
      </c>
      <c r="AK44" s="166">
        <v>0</v>
      </c>
      <c r="AL44" s="201"/>
      <c r="AM44" s="209"/>
      <c r="AN44" s="209"/>
      <c r="AO44" s="209"/>
      <c r="AP44" s="209"/>
      <c r="AQ44" s="119" t="s">
        <v>2145</v>
      </c>
      <c r="AR44" s="456">
        <v>0</v>
      </c>
      <c r="AS44" s="119" t="s">
        <v>2145</v>
      </c>
      <c r="AT44" s="457">
        <v>0</v>
      </c>
    </row>
    <row r="45" spans="1:46" s="98" customFormat="1" ht="15" customHeight="1">
      <c r="A45" s="99"/>
      <c r="B45" s="161"/>
      <c r="C45" s="185"/>
      <c r="D45" s="162" t="s">
        <v>85</v>
      </c>
      <c r="E45" s="162"/>
      <c r="F45" s="162"/>
      <c r="G45" s="768"/>
      <c r="H45" s="163"/>
      <c r="I45" s="119" t="s">
        <v>498</v>
      </c>
      <c r="J45" s="143">
        <v>0</v>
      </c>
      <c r="K45" s="141">
        <v>0</v>
      </c>
      <c r="L45" s="141">
        <v>0</v>
      </c>
      <c r="M45" s="141">
        <v>0</v>
      </c>
      <c r="N45" s="141">
        <v>0</v>
      </c>
      <c r="O45" s="141">
        <v>0</v>
      </c>
      <c r="P45" s="141">
        <v>0</v>
      </c>
      <c r="Q45" s="144">
        <v>0</v>
      </c>
      <c r="R45" s="143">
        <v>0</v>
      </c>
      <c r="S45" s="141">
        <v>0</v>
      </c>
      <c r="T45" s="141">
        <v>0</v>
      </c>
      <c r="U45" s="141">
        <v>0</v>
      </c>
      <c r="V45" s="141">
        <v>0</v>
      </c>
      <c r="W45" s="201"/>
      <c r="X45" s="119" t="s">
        <v>1876</v>
      </c>
      <c r="Y45" s="165">
        <v>0</v>
      </c>
      <c r="Z45" s="166">
        <v>0</v>
      </c>
      <c r="AA45" s="166">
        <v>0</v>
      </c>
      <c r="AB45" s="166">
        <v>0</v>
      </c>
      <c r="AC45" s="166">
        <v>0</v>
      </c>
      <c r="AD45" s="166">
        <v>0</v>
      </c>
      <c r="AE45" s="166">
        <v>0</v>
      </c>
      <c r="AF45" s="167">
        <v>0</v>
      </c>
      <c r="AG45" s="165">
        <v>0</v>
      </c>
      <c r="AH45" s="166">
        <v>0</v>
      </c>
      <c r="AI45" s="166">
        <v>0</v>
      </c>
      <c r="AJ45" s="166">
        <v>0</v>
      </c>
      <c r="AK45" s="166">
        <v>0</v>
      </c>
      <c r="AL45" s="201"/>
      <c r="AM45" s="209"/>
      <c r="AN45" s="209"/>
      <c r="AO45" s="209"/>
      <c r="AP45" s="209"/>
      <c r="AQ45" s="119" t="s">
        <v>2145</v>
      </c>
      <c r="AR45" s="456">
        <v>0</v>
      </c>
      <c r="AS45" s="119" t="s">
        <v>2145</v>
      </c>
      <c r="AT45" s="457">
        <v>0</v>
      </c>
    </row>
    <row r="46" spans="1:46" s="98" customFormat="1" ht="15" customHeight="1">
      <c r="A46" s="99"/>
      <c r="B46" s="161"/>
      <c r="C46" s="185"/>
      <c r="D46" s="162" t="s">
        <v>85</v>
      </c>
      <c r="E46" s="162"/>
      <c r="F46" s="162"/>
      <c r="G46" s="768"/>
      <c r="H46" s="163"/>
      <c r="I46" s="119" t="s">
        <v>498</v>
      </c>
      <c r="J46" s="143">
        <v>0</v>
      </c>
      <c r="K46" s="141">
        <v>0</v>
      </c>
      <c r="L46" s="141">
        <v>0</v>
      </c>
      <c r="M46" s="141">
        <v>0</v>
      </c>
      <c r="N46" s="141">
        <v>0</v>
      </c>
      <c r="O46" s="141">
        <v>0</v>
      </c>
      <c r="P46" s="141">
        <v>0</v>
      </c>
      <c r="Q46" s="144">
        <v>0</v>
      </c>
      <c r="R46" s="143">
        <v>0</v>
      </c>
      <c r="S46" s="141">
        <v>0</v>
      </c>
      <c r="T46" s="141">
        <v>0</v>
      </c>
      <c r="U46" s="141">
        <v>0</v>
      </c>
      <c r="V46" s="141">
        <v>0</v>
      </c>
      <c r="W46" s="201"/>
      <c r="X46" s="119" t="s">
        <v>1876</v>
      </c>
      <c r="Y46" s="165">
        <v>0</v>
      </c>
      <c r="Z46" s="166">
        <v>0</v>
      </c>
      <c r="AA46" s="166">
        <v>0</v>
      </c>
      <c r="AB46" s="166">
        <v>0</v>
      </c>
      <c r="AC46" s="166">
        <v>0</v>
      </c>
      <c r="AD46" s="166">
        <v>0</v>
      </c>
      <c r="AE46" s="166">
        <v>0</v>
      </c>
      <c r="AF46" s="167">
        <v>0</v>
      </c>
      <c r="AG46" s="165">
        <v>0</v>
      </c>
      <c r="AH46" s="166">
        <v>0</v>
      </c>
      <c r="AI46" s="166">
        <v>0</v>
      </c>
      <c r="AJ46" s="166">
        <v>0</v>
      </c>
      <c r="AK46" s="166">
        <v>0</v>
      </c>
      <c r="AL46" s="201"/>
      <c r="AM46" s="209"/>
      <c r="AN46" s="209"/>
      <c r="AO46" s="209"/>
      <c r="AP46" s="209"/>
      <c r="AQ46" s="119" t="s">
        <v>2145</v>
      </c>
      <c r="AR46" s="456">
        <v>0</v>
      </c>
      <c r="AS46" s="119" t="s">
        <v>2145</v>
      </c>
      <c r="AT46" s="457">
        <v>0</v>
      </c>
    </row>
    <row r="47" spans="1:46" s="98" customFormat="1" ht="15" customHeight="1">
      <c r="A47" s="99"/>
      <c r="B47" s="161"/>
      <c r="C47" s="185"/>
      <c r="D47" s="162" t="s">
        <v>85</v>
      </c>
      <c r="E47" s="162"/>
      <c r="F47" s="162"/>
      <c r="G47" s="768"/>
      <c r="H47" s="163"/>
      <c r="I47" s="119" t="s">
        <v>498</v>
      </c>
      <c r="J47" s="143">
        <v>0</v>
      </c>
      <c r="K47" s="141">
        <v>0</v>
      </c>
      <c r="L47" s="141">
        <v>0</v>
      </c>
      <c r="M47" s="141">
        <v>0</v>
      </c>
      <c r="N47" s="141">
        <v>0</v>
      </c>
      <c r="O47" s="141">
        <v>0</v>
      </c>
      <c r="P47" s="141">
        <v>0</v>
      </c>
      <c r="Q47" s="144">
        <v>0</v>
      </c>
      <c r="R47" s="143">
        <v>0</v>
      </c>
      <c r="S47" s="141">
        <v>0</v>
      </c>
      <c r="T47" s="141">
        <v>0</v>
      </c>
      <c r="U47" s="141">
        <v>0</v>
      </c>
      <c r="V47" s="141">
        <v>0</v>
      </c>
      <c r="W47" s="201"/>
      <c r="X47" s="119" t="s">
        <v>1876</v>
      </c>
      <c r="Y47" s="165">
        <v>0</v>
      </c>
      <c r="Z47" s="166">
        <v>0</v>
      </c>
      <c r="AA47" s="166">
        <v>0</v>
      </c>
      <c r="AB47" s="166">
        <v>0</v>
      </c>
      <c r="AC47" s="166">
        <v>0</v>
      </c>
      <c r="AD47" s="166">
        <v>0</v>
      </c>
      <c r="AE47" s="166">
        <v>0</v>
      </c>
      <c r="AF47" s="167">
        <v>0</v>
      </c>
      <c r="AG47" s="165">
        <v>0</v>
      </c>
      <c r="AH47" s="166">
        <v>0</v>
      </c>
      <c r="AI47" s="166">
        <v>0</v>
      </c>
      <c r="AJ47" s="166">
        <v>0</v>
      </c>
      <c r="AK47" s="166">
        <v>0</v>
      </c>
      <c r="AL47" s="201"/>
      <c r="AM47" s="209"/>
      <c r="AN47" s="209"/>
      <c r="AO47" s="209"/>
      <c r="AP47" s="209"/>
      <c r="AQ47" s="119" t="s">
        <v>2145</v>
      </c>
      <c r="AR47" s="456">
        <v>0</v>
      </c>
      <c r="AS47" s="119" t="s">
        <v>2145</v>
      </c>
      <c r="AT47" s="457">
        <v>0</v>
      </c>
    </row>
    <row r="48" spans="1:46" s="98" customFormat="1" ht="15" customHeight="1">
      <c r="A48" s="99"/>
      <c r="B48" s="161"/>
      <c r="C48" s="185"/>
      <c r="D48" s="162" t="s">
        <v>85</v>
      </c>
      <c r="E48" s="162"/>
      <c r="F48" s="162"/>
      <c r="G48" s="768"/>
      <c r="H48" s="163"/>
      <c r="I48" s="119" t="s">
        <v>498</v>
      </c>
      <c r="J48" s="143">
        <v>0</v>
      </c>
      <c r="K48" s="141">
        <v>0</v>
      </c>
      <c r="L48" s="141">
        <v>0</v>
      </c>
      <c r="M48" s="141">
        <v>0</v>
      </c>
      <c r="N48" s="141">
        <v>0</v>
      </c>
      <c r="O48" s="141">
        <v>0</v>
      </c>
      <c r="P48" s="141">
        <v>0</v>
      </c>
      <c r="Q48" s="144">
        <v>0</v>
      </c>
      <c r="R48" s="143">
        <v>0</v>
      </c>
      <c r="S48" s="141">
        <v>0</v>
      </c>
      <c r="T48" s="141">
        <v>0</v>
      </c>
      <c r="U48" s="141">
        <v>0</v>
      </c>
      <c r="V48" s="141">
        <v>0</v>
      </c>
      <c r="W48" s="201"/>
      <c r="X48" s="119" t="s">
        <v>1876</v>
      </c>
      <c r="Y48" s="165">
        <v>0</v>
      </c>
      <c r="Z48" s="166">
        <v>0</v>
      </c>
      <c r="AA48" s="166">
        <v>0</v>
      </c>
      <c r="AB48" s="166">
        <v>0</v>
      </c>
      <c r="AC48" s="166">
        <v>0</v>
      </c>
      <c r="AD48" s="166">
        <v>0</v>
      </c>
      <c r="AE48" s="166">
        <v>0</v>
      </c>
      <c r="AF48" s="167">
        <v>0</v>
      </c>
      <c r="AG48" s="165">
        <v>0</v>
      </c>
      <c r="AH48" s="166">
        <v>0</v>
      </c>
      <c r="AI48" s="166">
        <v>0</v>
      </c>
      <c r="AJ48" s="166">
        <v>0</v>
      </c>
      <c r="AK48" s="166">
        <v>0</v>
      </c>
      <c r="AL48" s="201"/>
      <c r="AM48" s="209"/>
      <c r="AN48" s="209"/>
      <c r="AO48" s="209"/>
      <c r="AP48" s="209"/>
      <c r="AQ48" s="119" t="s">
        <v>2145</v>
      </c>
      <c r="AR48" s="456">
        <v>0</v>
      </c>
      <c r="AS48" s="119" t="s">
        <v>2145</v>
      </c>
      <c r="AT48" s="457">
        <v>0</v>
      </c>
    </row>
    <row r="49" spans="1:46" s="98" customFormat="1" ht="15" customHeight="1">
      <c r="A49" s="99"/>
      <c r="B49" s="161"/>
      <c r="C49" s="185"/>
      <c r="D49" s="162" t="s">
        <v>85</v>
      </c>
      <c r="E49" s="162"/>
      <c r="F49" s="162"/>
      <c r="G49" s="768"/>
      <c r="H49" s="163"/>
      <c r="I49" s="119" t="s">
        <v>498</v>
      </c>
      <c r="J49" s="143">
        <v>0</v>
      </c>
      <c r="K49" s="141">
        <v>0</v>
      </c>
      <c r="L49" s="141">
        <v>0</v>
      </c>
      <c r="M49" s="141">
        <v>0</v>
      </c>
      <c r="N49" s="141">
        <v>0</v>
      </c>
      <c r="O49" s="141">
        <v>0</v>
      </c>
      <c r="P49" s="141">
        <v>0</v>
      </c>
      <c r="Q49" s="144">
        <v>0</v>
      </c>
      <c r="R49" s="143">
        <v>0</v>
      </c>
      <c r="S49" s="141">
        <v>0</v>
      </c>
      <c r="T49" s="141">
        <v>0</v>
      </c>
      <c r="U49" s="141">
        <v>0</v>
      </c>
      <c r="V49" s="141">
        <v>0</v>
      </c>
      <c r="W49" s="201"/>
      <c r="X49" s="119" t="s">
        <v>1876</v>
      </c>
      <c r="Y49" s="165">
        <v>0</v>
      </c>
      <c r="Z49" s="166">
        <v>0</v>
      </c>
      <c r="AA49" s="166">
        <v>0</v>
      </c>
      <c r="AB49" s="166">
        <v>0</v>
      </c>
      <c r="AC49" s="166">
        <v>0</v>
      </c>
      <c r="AD49" s="166">
        <v>0</v>
      </c>
      <c r="AE49" s="166">
        <v>0</v>
      </c>
      <c r="AF49" s="167">
        <v>0</v>
      </c>
      <c r="AG49" s="165">
        <v>0</v>
      </c>
      <c r="AH49" s="166">
        <v>0</v>
      </c>
      <c r="AI49" s="166">
        <v>0</v>
      </c>
      <c r="AJ49" s="166">
        <v>0</v>
      </c>
      <c r="AK49" s="166">
        <v>0</v>
      </c>
      <c r="AL49" s="201"/>
      <c r="AM49" s="209"/>
      <c r="AN49" s="209"/>
      <c r="AO49" s="209"/>
      <c r="AP49" s="209"/>
      <c r="AQ49" s="119" t="s">
        <v>2145</v>
      </c>
      <c r="AR49" s="456">
        <v>0</v>
      </c>
      <c r="AS49" s="119" t="s">
        <v>2145</v>
      </c>
      <c r="AT49" s="457">
        <v>0</v>
      </c>
    </row>
    <row r="50" spans="1:46" s="98" customFormat="1" ht="15" customHeight="1">
      <c r="A50" s="99"/>
      <c r="B50" s="181"/>
      <c r="C50" s="182" t="s">
        <v>1710</v>
      </c>
      <c r="D50" s="183"/>
      <c r="E50" s="183"/>
      <c r="F50" s="183"/>
      <c r="G50" s="184"/>
      <c r="H50" s="184"/>
      <c r="I50" s="119" t="s">
        <v>498</v>
      </c>
      <c r="J50" s="128">
        <f>SUM(J42:J49)</f>
        <v>0</v>
      </c>
      <c r="K50" s="129">
        <f t="shared" ref="K50:V50" si="8">SUM(K42:K49)</f>
        <v>0</v>
      </c>
      <c r="L50" s="129">
        <f t="shared" si="8"/>
        <v>0</v>
      </c>
      <c r="M50" s="129">
        <f t="shared" si="8"/>
        <v>0</v>
      </c>
      <c r="N50" s="129">
        <f t="shared" si="8"/>
        <v>0</v>
      </c>
      <c r="O50" s="129">
        <f t="shared" si="8"/>
        <v>0</v>
      </c>
      <c r="P50" s="129">
        <f t="shared" si="8"/>
        <v>0</v>
      </c>
      <c r="Q50" s="130">
        <f t="shared" si="8"/>
        <v>0</v>
      </c>
      <c r="R50" s="128">
        <f t="shared" si="8"/>
        <v>0</v>
      </c>
      <c r="S50" s="129">
        <f t="shared" si="8"/>
        <v>0</v>
      </c>
      <c r="T50" s="129">
        <f t="shared" si="8"/>
        <v>0</v>
      </c>
      <c r="U50" s="129">
        <f t="shared" si="8"/>
        <v>0</v>
      </c>
      <c r="V50" s="129">
        <f t="shared" si="8"/>
        <v>0</v>
      </c>
      <c r="W50" s="201"/>
      <c r="X50" s="119" t="s">
        <v>1876</v>
      </c>
      <c r="Y50" s="777">
        <f>SUM(Y42:Y49)</f>
        <v>0</v>
      </c>
      <c r="Z50" s="778">
        <f t="shared" ref="Z50:AK50" si="9">SUM(Z42:Z49)</f>
        <v>0</v>
      </c>
      <c r="AA50" s="778">
        <f t="shared" si="9"/>
        <v>0</v>
      </c>
      <c r="AB50" s="778">
        <f t="shared" si="9"/>
        <v>0</v>
      </c>
      <c r="AC50" s="778">
        <f t="shared" si="9"/>
        <v>0</v>
      </c>
      <c r="AD50" s="778">
        <f t="shared" si="9"/>
        <v>0</v>
      </c>
      <c r="AE50" s="778">
        <f t="shared" si="9"/>
        <v>0</v>
      </c>
      <c r="AF50" s="779">
        <f t="shared" si="9"/>
        <v>0</v>
      </c>
      <c r="AG50" s="777">
        <f t="shared" si="9"/>
        <v>0</v>
      </c>
      <c r="AH50" s="778">
        <f t="shared" si="9"/>
        <v>0</v>
      </c>
      <c r="AI50" s="778">
        <f t="shared" si="9"/>
        <v>0</v>
      </c>
      <c r="AJ50" s="778">
        <f t="shared" si="9"/>
        <v>0</v>
      </c>
      <c r="AK50" s="778">
        <f t="shared" si="9"/>
        <v>0</v>
      </c>
      <c r="AL50" s="201"/>
      <c r="AM50" s="209"/>
      <c r="AN50" s="209"/>
      <c r="AO50" s="209"/>
      <c r="AP50" s="209"/>
      <c r="AQ50" s="119" t="s">
        <v>2145</v>
      </c>
      <c r="AR50" s="129">
        <f>SUM(AR42:AR49)</f>
        <v>0</v>
      </c>
      <c r="AS50" s="119" t="s">
        <v>2145</v>
      </c>
      <c r="AT50" s="130">
        <f>SUM(AT42:AT49)</f>
        <v>0</v>
      </c>
    </row>
    <row r="51" spans="1:46" s="98" customFormat="1" ht="15" customHeight="1">
      <c r="A51" s="99"/>
      <c r="B51" s="161"/>
      <c r="C51" s="116"/>
      <c r="D51" s="116"/>
      <c r="E51" s="116"/>
      <c r="F51" s="116"/>
      <c r="G51" s="117"/>
      <c r="H51" s="117"/>
      <c r="I51" s="117"/>
      <c r="J51" s="713"/>
      <c r="K51" s="721"/>
      <c r="L51" s="721"/>
      <c r="M51" s="721"/>
      <c r="N51" s="721"/>
      <c r="O51" s="721"/>
      <c r="P51" s="721"/>
      <c r="Q51" s="715"/>
      <c r="R51" s="713"/>
      <c r="S51" s="721"/>
      <c r="T51" s="721"/>
      <c r="U51" s="721"/>
      <c r="V51" s="769"/>
      <c r="W51" s="201"/>
      <c r="X51" s="117"/>
      <c r="Y51" s="878"/>
      <c r="Z51" s="881"/>
      <c r="AA51" s="881"/>
      <c r="AB51" s="881"/>
      <c r="AC51" s="881"/>
      <c r="AD51" s="881"/>
      <c r="AE51" s="881"/>
      <c r="AF51" s="880"/>
      <c r="AG51" s="878"/>
      <c r="AH51" s="881"/>
      <c r="AI51" s="881"/>
      <c r="AJ51" s="881"/>
      <c r="AK51" s="1108"/>
      <c r="AL51" s="201"/>
      <c r="AM51" s="209"/>
      <c r="AN51" s="209"/>
      <c r="AO51" s="209"/>
      <c r="AP51" s="209"/>
      <c r="AQ51" s="185"/>
      <c r="AR51" s="185"/>
      <c r="AS51" s="185"/>
      <c r="AT51" s="215"/>
    </row>
    <row r="52" spans="1:46" s="98" customFormat="1" ht="15" customHeight="1">
      <c r="A52" s="99"/>
      <c r="B52" s="161"/>
      <c r="C52" s="186" t="s">
        <v>2148</v>
      </c>
      <c r="D52" s="162"/>
      <c r="E52" s="162"/>
      <c r="F52" s="162"/>
      <c r="G52" s="163"/>
      <c r="H52" s="163"/>
      <c r="I52" s="117"/>
      <c r="J52" s="713"/>
      <c r="K52" s="721"/>
      <c r="L52" s="721"/>
      <c r="M52" s="721"/>
      <c r="N52" s="721"/>
      <c r="O52" s="721"/>
      <c r="P52" s="721"/>
      <c r="Q52" s="715"/>
      <c r="R52" s="713"/>
      <c r="S52" s="721"/>
      <c r="T52" s="721"/>
      <c r="U52" s="721"/>
      <c r="V52" s="769"/>
      <c r="W52" s="201"/>
      <c r="X52" s="117"/>
      <c r="Y52" s="878"/>
      <c r="Z52" s="881"/>
      <c r="AA52" s="881"/>
      <c r="AB52" s="881"/>
      <c r="AC52" s="881"/>
      <c r="AD52" s="881"/>
      <c r="AE52" s="881"/>
      <c r="AF52" s="880"/>
      <c r="AG52" s="878"/>
      <c r="AH52" s="881"/>
      <c r="AI52" s="881"/>
      <c r="AJ52" s="881"/>
      <c r="AK52" s="1108"/>
      <c r="AL52" s="201"/>
      <c r="AM52" s="209"/>
      <c r="AN52" s="209"/>
      <c r="AO52" s="209"/>
      <c r="AP52" s="209"/>
      <c r="AQ52" s="209"/>
      <c r="AR52" s="209"/>
      <c r="AS52" s="209"/>
      <c r="AT52" s="210"/>
    </row>
    <row r="53" spans="1:46" s="98" customFormat="1" ht="15" customHeight="1">
      <c r="A53" s="99"/>
      <c r="B53" s="161"/>
      <c r="C53" s="185"/>
      <c r="D53" s="162" t="s">
        <v>85</v>
      </c>
      <c r="E53" s="162"/>
      <c r="F53" s="162"/>
      <c r="G53" s="768" t="s">
        <v>2149</v>
      </c>
      <c r="H53" s="163"/>
      <c r="I53" s="119" t="s">
        <v>498</v>
      </c>
      <c r="J53" s="143">
        <v>0.25751817148148459</v>
      </c>
      <c r="K53" s="141">
        <v>-2.8698732467532469E-2</v>
      </c>
      <c r="L53" s="141">
        <v>0</v>
      </c>
      <c r="M53" s="141">
        <v>0</v>
      </c>
      <c r="N53" s="141">
        <v>0</v>
      </c>
      <c r="O53" s="141">
        <v>1.6199999999999999E-2</v>
      </c>
      <c r="P53" s="141">
        <v>0</v>
      </c>
      <c r="Q53" s="144">
        <v>0</v>
      </c>
      <c r="R53" s="143">
        <v>0</v>
      </c>
      <c r="S53" s="141">
        <v>0</v>
      </c>
      <c r="T53" s="141">
        <v>0</v>
      </c>
      <c r="U53" s="141">
        <v>0</v>
      </c>
      <c r="V53" s="141">
        <v>0</v>
      </c>
      <c r="W53" s="201"/>
      <c r="X53" s="119" t="s">
        <v>1876</v>
      </c>
      <c r="Y53" s="165">
        <v>6</v>
      </c>
      <c r="Z53" s="166">
        <v>0</v>
      </c>
      <c r="AA53" s="166">
        <v>0</v>
      </c>
      <c r="AB53" s="166">
        <v>0</v>
      </c>
      <c r="AC53" s="166">
        <v>0</v>
      </c>
      <c r="AD53" s="166">
        <v>0</v>
      </c>
      <c r="AE53" s="166">
        <v>0</v>
      </c>
      <c r="AF53" s="167">
        <v>0</v>
      </c>
      <c r="AG53" s="165">
        <v>0</v>
      </c>
      <c r="AH53" s="166">
        <v>0</v>
      </c>
      <c r="AI53" s="166">
        <v>0</v>
      </c>
      <c r="AJ53" s="166">
        <v>0</v>
      </c>
      <c r="AK53" s="166">
        <v>0</v>
      </c>
      <c r="AL53" s="201"/>
      <c r="AM53" s="209"/>
      <c r="AN53" s="209"/>
      <c r="AO53" s="209"/>
      <c r="AP53" s="209"/>
      <c r="AQ53" s="119" t="s">
        <v>2145</v>
      </c>
      <c r="AR53" s="456">
        <v>0</v>
      </c>
      <c r="AS53" s="119" t="s">
        <v>2145</v>
      </c>
      <c r="AT53" s="457">
        <v>0</v>
      </c>
    </row>
    <row r="54" spans="1:46" s="98" customFormat="1" ht="15" customHeight="1">
      <c r="A54" s="99"/>
      <c r="B54" s="161"/>
      <c r="C54" s="185"/>
      <c r="D54" s="162" t="s">
        <v>85</v>
      </c>
      <c r="E54" s="162"/>
      <c r="F54" s="162"/>
      <c r="G54" s="768"/>
      <c r="H54" s="163"/>
      <c r="I54" s="119" t="s">
        <v>498</v>
      </c>
      <c r="J54" s="143">
        <v>0</v>
      </c>
      <c r="K54" s="141">
        <v>0</v>
      </c>
      <c r="L54" s="141">
        <v>0</v>
      </c>
      <c r="M54" s="141">
        <v>0</v>
      </c>
      <c r="N54" s="141">
        <v>0</v>
      </c>
      <c r="O54" s="141">
        <v>0</v>
      </c>
      <c r="P54" s="141">
        <v>0</v>
      </c>
      <c r="Q54" s="144">
        <v>0</v>
      </c>
      <c r="R54" s="143">
        <v>0</v>
      </c>
      <c r="S54" s="141">
        <v>0</v>
      </c>
      <c r="T54" s="141">
        <v>0</v>
      </c>
      <c r="U54" s="141">
        <v>0</v>
      </c>
      <c r="V54" s="141">
        <v>0</v>
      </c>
      <c r="W54" s="201"/>
      <c r="X54" s="119" t="s">
        <v>1876</v>
      </c>
      <c r="Y54" s="165">
        <v>0</v>
      </c>
      <c r="Z54" s="166">
        <v>0</v>
      </c>
      <c r="AA54" s="166">
        <v>0</v>
      </c>
      <c r="AB54" s="166">
        <v>0</v>
      </c>
      <c r="AC54" s="166">
        <v>0</v>
      </c>
      <c r="AD54" s="166">
        <v>0</v>
      </c>
      <c r="AE54" s="166">
        <v>0</v>
      </c>
      <c r="AF54" s="167">
        <v>0</v>
      </c>
      <c r="AG54" s="165">
        <v>0</v>
      </c>
      <c r="AH54" s="166">
        <v>0</v>
      </c>
      <c r="AI54" s="166">
        <v>0</v>
      </c>
      <c r="AJ54" s="166">
        <v>0</v>
      </c>
      <c r="AK54" s="166">
        <v>0</v>
      </c>
      <c r="AL54" s="201"/>
      <c r="AM54" s="209"/>
      <c r="AN54" s="209"/>
      <c r="AO54" s="209"/>
      <c r="AP54" s="209"/>
      <c r="AQ54" s="119" t="s">
        <v>2145</v>
      </c>
      <c r="AR54" s="456">
        <v>0</v>
      </c>
      <c r="AS54" s="119" t="s">
        <v>2145</v>
      </c>
      <c r="AT54" s="457">
        <v>0</v>
      </c>
    </row>
    <row r="55" spans="1:46" s="98" customFormat="1" ht="15" customHeight="1">
      <c r="A55" s="99"/>
      <c r="B55" s="161"/>
      <c r="C55" s="185"/>
      <c r="D55" s="162" t="s">
        <v>85</v>
      </c>
      <c r="E55" s="162"/>
      <c r="F55" s="162"/>
      <c r="G55" s="768"/>
      <c r="H55" s="163"/>
      <c r="I55" s="119" t="s">
        <v>498</v>
      </c>
      <c r="J55" s="143">
        <v>0</v>
      </c>
      <c r="K55" s="141">
        <v>0</v>
      </c>
      <c r="L55" s="141">
        <v>0</v>
      </c>
      <c r="M55" s="141">
        <v>0</v>
      </c>
      <c r="N55" s="141">
        <v>0</v>
      </c>
      <c r="O55" s="141">
        <v>0</v>
      </c>
      <c r="P55" s="141">
        <v>0</v>
      </c>
      <c r="Q55" s="144">
        <v>0</v>
      </c>
      <c r="R55" s="143">
        <v>0</v>
      </c>
      <c r="S55" s="141">
        <v>0</v>
      </c>
      <c r="T55" s="141">
        <v>0</v>
      </c>
      <c r="U55" s="141">
        <v>0</v>
      </c>
      <c r="V55" s="141">
        <v>0</v>
      </c>
      <c r="W55" s="201"/>
      <c r="X55" s="119" t="s">
        <v>1876</v>
      </c>
      <c r="Y55" s="165">
        <v>0</v>
      </c>
      <c r="Z55" s="166">
        <v>0</v>
      </c>
      <c r="AA55" s="166">
        <v>0</v>
      </c>
      <c r="AB55" s="166">
        <v>0</v>
      </c>
      <c r="AC55" s="166">
        <v>0</v>
      </c>
      <c r="AD55" s="166">
        <v>0</v>
      </c>
      <c r="AE55" s="166">
        <v>0</v>
      </c>
      <c r="AF55" s="167">
        <v>0</v>
      </c>
      <c r="AG55" s="165">
        <v>0</v>
      </c>
      <c r="AH55" s="166">
        <v>0</v>
      </c>
      <c r="AI55" s="166">
        <v>0</v>
      </c>
      <c r="AJ55" s="166">
        <v>0</v>
      </c>
      <c r="AK55" s="166">
        <v>0</v>
      </c>
      <c r="AL55" s="201"/>
      <c r="AM55" s="209"/>
      <c r="AN55" s="209"/>
      <c r="AO55" s="209"/>
      <c r="AP55" s="209"/>
      <c r="AQ55" s="119" t="s">
        <v>2145</v>
      </c>
      <c r="AR55" s="456">
        <v>0</v>
      </c>
      <c r="AS55" s="119" t="s">
        <v>2145</v>
      </c>
      <c r="AT55" s="457">
        <v>0</v>
      </c>
    </row>
    <row r="56" spans="1:46" s="98" customFormat="1" ht="15" customHeight="1">
      <c r="A56" s="99"/>
      <c r="B56" s="161"/>
      <c r="C56" s="185"/>
      <c r="D56" s="162" t="s">
        <v>85</v>
      </c>
      <c r="E56" s="162"/>
      <c r="F56" s="162"/>
      <c r="G56" s="768"/>
      <c r="H56" s="163"/>
      <c r="I56" s="119" t="s">
        <v>498</v>
      </c>
      <c r="J56" s="143">
        <v>0</v>
      </c>
      <c r="K56" s="141">
        <v>0</v>
      </c>
      <c r="L56" s="141">
        <v>0</v>
      </c>
      <c r="M56" s="141">
        <v>0</v>
      </c>
      <c r="N56" s="141">
        <v>0</v>
      </c>
      <c r="O56" s="141">
        <v>0</v>
      </c>
      <c r="P56" s="141">
        <v>0</v>
      </c>
      <c r="Q56" s="144">
        <v>0</v>
      </c>
      <c r="R56" s="143">
        <v>0</v>
      </c>
      <c r="S56" s="141">
        <v>0</v>
      </c>
      <c r="T56" s="141">
        <v>0</v>
      </c>
      <c r="U56" s="141">
        <v>0</v>
      </c>
      <c r="V56" s="141">
        <v>0</v>
      </c>
      <c r="W56" s="201"/>
      <c r="X56" s="119" t="s">
        <v>1876</v>
      </c>
      <c r="Y56" s="165">
        <v>0</v>
      </c>
      <c r="Z56" s="166">
        <v>0</v>
      </c>
      <c r="AA56" s="166">
        <v>0</v>
      </c>
      <c r="AB56" s="166">
        <v>0</v>
      </c>
      <c r="AC56" s="166">
        <v>0</v>
      </c>
      <c r="AD56" s="166">
        <v>0</v>
      </c>
      <c r="AE56" s="166">
        <v>0</v>
      </c>
      <c r="AF56" s="167">
        <v>0</v>
      </c>
      <c r="AG56" s="165">
        <v>0</v>
      </c>
      <c r="AH56" s="166">
        <v>0</v>
      </c>
      <c r="AI56" s="166">
        <v>0</v>
      </c>
      <c r="AJ56" s="166">
        <v>0</v>
      </c>
      <c r="AK56" s="166">
        <v>0</v>
      </c>
      <c r="AL56" s="201"/>
      <c r="AM56" s="209"/>
      <c r="AN56" s="209"/>
      <c r="AO56" s="209"/>
      <c r="AP56" s="209"/>
      <c r="AQ56" s="119" t="s">
        <v>2145</v>
      </c>
      <c r="AR56" s="456">
        <v>0</v>
      </c>
      <c r="AS56" s="119" t="s">
        <v>2145</v>
      </c>
      <c r="AT56" s="457">
        <v>0</v>
      </c>
    </row>
    <row r="57" spans="1:46" s="98" customFormat="1" ht="15" customHeight="1">
      <c r="A57" s="99"/>
      <c r="B57" s="161"/>
      <c r="C57" s="185"/>
      <c r="D57" s="162" t="s">
        <v>85</v>
      </c>
      <c r="E57" s="162"/>
      <c r="F57" s="162"/>
      <c r="G57" s="768"/>
      <c r="H57" s="163"/>
      <c r="I57" s="119" t="s">
        <v>498</v>
      </c>
      <c r="J57" s="143">
        <v>0</v>
      </c>
      <c r="K57" s="141">
        <v>0</v>
      </c>
      <c r="L57" s="141">
        <v>0</v>
      </c>
      <c r="M57" s="141">
        <v>0</v>
      </c>
      <c r="N57" s="141">
        <v>0</v>
      </c>
      <c r="O57" s="141">
        <v>0</v>
      </c>
      <c r="P57" s="141">
        <v>0</v>
      </c>
      <c r="Q57" s="144">
        <v>0</v>
      </c>
      <c r="R57" s="143">
        <v>0</v>
      </c>
      <c r="S57" s="141">
        <v>0</v>
      </c>
      <c r="T57" s="141">
        <v>0</v>
      </c>
      <c r="U57" s="141">
        <v>0</v>
      </c>
      <c r="V57" s="141">
        <v>0</v>
      </c>
      <c r="W57" s="201"/>
      <c r="X57" s="119" t="s">
        <v>1876</v>
      </c>
      <c r="Y57" s="165">
        <v>0</v>
      </c>
      <c r="Z57" s="166">
        <v>0</v>
      </c>
      <c r="AA57" s="166">
        <v>0</v>
      </c>
      <c r="AB57" s="166">
        <v>0</v>
      </c>
      <c r="AC57" s="166">
        <v>0</v>
      </c>
      <c r="AD57" s="166">
        <v>0</v>
      </c>
      <c r="AE57" s="166">
        <v>0</v>
      </c>
      <c r="AF57" s="167">
        <v>0</v>
      </c>
      <c r="AG57" s="165">
        <v>0</v>
      </c>
      <c r="AH57" s="166">
        <v>0</v>
      </c>
      <c r="AI57" s="166">
        <v>0</v>
      </c>
      <c r="AJ57" s="166">
        <v>0</v>
      </c>
      <c r="AK57" s="166">
        <v>0</v>
      </c>
      <c r="AL57" s="201"/>
      <c r="AM57" s="209"/>
      <c r="AN57" s="209"/>
      <c r="AO57" s="209"/>
      <c r="AP57" s="209"/>
      <c r="AQ57" s="119" t="s">
        <v>2145</v>
      </c>
      <c r="AR57" s="456">
        <v>0</v>
      </c>
      <c r="AS57" s="119" t="s">
        <v>2145</v>
      </c>
      <c r="AT57" s="457">
        <v>0</v>
      </c>
    </row>
    <row r="58" spans="1:46" s="98" customFormat="1" ht="15" customHeight="1">
      <c r="A58" s="99"/>
      <c r="B58" s="161"/>
      <c r="C58" s="185"/>
      <c r="D58" s="162" t="s">
        <v>85</v>
      </c>
      <c r="E58" s="162"/>
      <c r="F58" s="162"/>
      <c r="G58" s="768"/>
      <c r="H58" s="163"/>
      <c r="I58" s="119" t="s">
        <v>498</v>
      </c>
      <c r="J58" s="143">
        <v>0</v>
      </c>
      <c r="K58" s="141">
        <v>0</v>
      </c>
      <c r="L58" s="141">
        <v>0</v>
      </c>
      <c r="M58" s="141">
        <v>0</v>
      </c>
      <c r="N58" s="141">
        <v>0</v>
      </c>
      <c r="O58" s="141">
        <v>0</v>
      </c>
      <c r="P58" s="141">
        <v>0</v>
      </c>
      <c r="Q58" s="144">
        <v>0</v>
      </c>
      <c r="R58" s="143">
        <v>0</v>
      </c>
      <c r="S58" s="141">
        <v>0</v>
      </c>
      <c r="T58" s="141">
        <v>0</v>
      </c>
      <c r="U58" s="141">
        <v>0</v>
      </c>
      <c r="V58" s="141">
        <v>0</v>
      </c>
      <c r="W58" s="201"/>
      <c r="X58" s="119" t="s">
        <v>1876</v>
      </c>
      <c r="Y58" s="165">
        <v>0</v>
      </c>
      <c r="Z58" s="166">
        <v>0</v>
      </c>
      <c r="AA58" s="166">
        <v>0</v>
      </c>
      <c r="AB58" s="166">
        <v>0</v>
      </c>
      <c r="AC58" s="166">
        <v>0</v>
      </c>
      <c r="AD58" s="166">
        <v>0</v>
      </c>
      <c r="AE58" s="166">
        <v>0</v>
      </c>
      <c r="AF58" s="167">
        <v>0</v>
      </c>
      <c r="AG58" s="165">
        <v>0</v>
      </c>
      <c r="AH58" s="166">
        <v>0</v>
      </c>
      <c r="AI58" s="166">
        <v>0</v>
      </c>
      <c r="AJ58" s="166">
        <v>0</v>
      </c>
      <c r="AK58" s="166">
        <v>0</v>
      </c>
      <c r="AL58" s="201"/>
      <c r="AM58" s="209"/>
      <c r="AN58" s="209"/>
      <c r="AO58" s="209"/>
      <c r="AP58" s="209"/>
      <c r="AQ58" s="119" t="s">
        <v>2145</v>
      </c>
      <c r="AR58" s="456">
        <v>0</v>
      </c>
      <c r="AS58" s="119" t="s">
        <v>2145</v>
      </c>
      <c r="AT58" s="457">
        <v>0</v>
      </c>
    </row>
    <row r="59" spans="1:46" s="98" customFormat="1" ht="15" customHeight="1">
      <c r="A59" s="99"/>
      <c r="B59" s="161"/>
      <c r="C59" s="185"/>
      <c r="D59" s="162" t="s">
        <v>85</v>
      </c>
      <c r="E59" s="162"/>
      <c r="F59" s="162"/>
      <c r="G59" s="768"/>
      <c r="H59" s="163"/>
      <c r="I59" s="119" t="s">
        <v>498</v>
      </c>
      <c r="J59" s="143">
        <v>0</v>
      </c>
      <c r="K59" s="141">
        <v>0</v>
      </c>
      <c r="L59" s="141">
        <v>0</v>
      </c>
      <c r="M59" s="141">
        <v>0</v>
      </c>
      <c r="N59" s="141">
        <v>0</v>
      </c>
      <c r="O59" s="141">
        <v>0</v>
      </c>
      <c r="P59" s="141">
        <v>0</v>
      </c>
      <c r="Q59" s="144">
        <v>0</v>
      </c>
      <c r="R59" s="143">
        <v>0</v>
      </c>
      <c r="S59" s="141">
        <v>0</v>
      </c>
      <c r="T59" s="141">
        <v>0</v>
      </c>
      <c r="U59" s="141">
        <v>0</v>
      </c>
      <c r="V59" s="141">
        <v>0</v>
      </c>
      <c r="W59" s="201"/>
      <c r="X59" s="119" t="s">
        <v>1876</v>
      </c>
      <c r="Y59" s="165">
        <v>0</v>
      </c>
      <c r="Z59" s="166">
        <v>0</v>
      </c>
      <c r="AA59" s="166">
        <v>0</v>
      </c>
      <c r="AB59" s="166">
        <v>0</v>
      </c>
      <c r="AC59" s="166">
        <v>0</v>
      </c>
      <c r="AD59" s="166">
        <v>0</v>
      </c>
      <c r="AE59" s="166">
        <v>0</v>
      </c>
      <c r="AF59" s="167">
        <v>0</v>
      </c>
      <c r="AG59" s="165">
        <v>0</v>
      </c>
      <c r="AH59" s="166">
        <v>0</v>
      </c>
      <c r="AI59" s="166">
        <v>0</v>
      </c>
      <c r="AJ59" s="166">
        <v>0</v>
      </c>
      <c r="AK59" s="166">
        <v>0</v>
      </c>
      <c r="AL59" s="201"/>
      <c r="AM59" s="209"/>
      <c r="AN59" s="209"/>
      <c r="AO59" s="209"/>
      <c r="AP59" s="209"/>
      <c r="AQ59" s="119" t="s">
        <v>2145</v>
      </c>
      <c r="AR59" s="456">
        <v>0</v>
      </c>
      <c r="AS59" s="119" t="s">
        <v>2145</v>
      </c>
      <c r="AT59" s="457">
        <v>0</v>
      </c>
    </row>
    <row r="60" spans="1:46" s="98" customFormat="1" ht="15" customHeight="1">
      <c r="A60" s="99"/>
      <c r="B60" s="161"/>
      <c r="C60" s="185"/>
      <c r="D60" s="162" t="s">
        <v>85</v>
      </c>
      <c r="E60" s="162"/>
      <c r="F60" s="162"/>
      <c r="G60" s="768"/>
      <c r="H60" s="163"/>
      <c r="I60" s="119" t="s">
        <v>498</v>
      </c>
      <c r="J60" s="143">
        <v>0</v>
      </c>
      <c r="K60" s="141">
        <v>0</v>
      </c>
      <c r="L60" s="141">
        <v>0</v>
      </c>
      <c r="M60" s="141">
        <v>0</v>
      </c>
      <c r="N60" s="141">
        <v>0</v>
      </c>
      <c r="O60" s="141">
        <v>0</v>
      </c>
      <c r="P60" s="141">
        <v>0</v>
      </c>
      <c r="Q60" s="144">
        <v>0</v>
      </c>
      <c r="R60" s="143">
        <v>0</v>
      </c>
      <c r="S60" s="141">
        <v>0</v>
      </c>
      <c r="T60" s="141">
        <v>0</v>
      </c>
      <c r="U60" s="141">
        <v>0</v>
      </c>
      <c r="V60" s="141">
        <v>0</v>
      </c>
      <c r="W60" s="201"/>
      <c r="X60" s="119" t="s">
        <v>1876</v>
      </c>
      <c r="Y60" s="165">
        <v>0</v>
      </c>
      <c r="Z60" s="166">
        <v>0</v>
      </c>
      <c r="AA60" s="166">
        <v>0</v>
      </c>
      <c r="AB60" s="166">
        <v>0</v>
      </c>
      <c r="AC60" s="166">
        <v>0</v>
      </c>
      <c r="AD60" s="166">
        <v>0</v>
      </c>
      <c r="AE60" s="166">
        <v>0</v>
      </c>
      <c r="AF60" s="167">
        <v>0</v>
      </c>
      <c r="AG60" s="165">
        <v>0</v>
      </c>
      <c r="AH60" s="166">
        <v>0</v>
      </c>
      <c r="AI60" s="166">
        <v>0</v>
      </c>
      <c r="AJ60" s="166">
        <v>0</v>
      </c>
      <c r="AK60" s="166">
        <v>0</v>
      </c>
      <c r="AL60" s="201"/>
      <c r="AM60" s="209"/>
      <c r="AN60" s="209"/>
      <c r="AO60" s="209"/>
      <c r="AP60" s="209"/>
      <c r="AQ60" s="119" t="s">
        <v>2145</v>
      </c>
      <c r="AR60" s="456">
        <v>0</v>
      </c>
      <c r="AS60" s="119" t="s">
        <v>2145</v>
      </c>
      <c r="AT60" s="457">
        <v>0</v>
      </c>
    </row>
    <row r="61" spans="1:46" s="98" customFormat="1" ht="15" customHeight="1">
      <c r="A61" s="99"/>
      <c r="B61" s="181"/>
      <c r="C61" s="182" t="s">
        <v>1710</v>
      </c>
      <c r="D61" s="183"/>
      <c r="E61" s="183"/>
      <c r="F61" s="183"/>
      <c r="G61" s="184"/>
      <c r="H61" s="184"/>
      <c r="I61" s="119" t="s">
        <v>498</v>
      </c>
      <c r="J61" s="128">
        <f>SUM(J53:J60)</f>
        <v>0.25751817148148459</v>
      </c>
      <c r="K61" s="129">
        <f t="shared" ref="K61:V61" si="10">SUM(K53:K60)</f>
        <v>-2.8698732467532469E-2</v>
      </c>
      <c r="L61" s="129">
        <f t="shared" si="10"/>
        <v>0</v>
      </c>
      <c r="M61" s="129">
        <f t="shared" si="10"/>
        <v>0</v>
      </c>
      <c r="N61" s="129">
        <f t="shared" si="10"/>
        <v>0</v>
      </c>
      <c r="O61" s="129">
        <f t="shared" si="10"/>
        <v>1.6199999999999999E-2</v>
      </c>
      <c r="P61" s="129">
        <f t="shared" si="10"/>
        <v>0</v>
      </c>
      <c r="Q61" s="130">
        <f t="shared" si="10"/>
        <v>0</v>
      </c>
      <c r="R61" s="128">
        <f t="shared" si="10"/>
        <v>0</v>
      </c>
      <c r="S61" s="129">
        <f t="shared" si="10"/>
        <v>0</v>
      </c>
      <c r="T61" s="129">
        <f t="shared" si="10"/>
        <v>0</v>
      </c>
      <c r="U61" s="129">
        <f t="shared" si="10"/>
        <v>0</v>
      </c>
      <c r="V61" s="129">
        <f t="shared" si="10"/>
        <v>0</v>
      </c>
      <c r="W61" s="201"/>
      <c r="X61" s="119" t="s">
        <v>1876</v>
      </c>
      <c r="Y61" s="777">
        <f>SUM(Y53:Y60)</f>
        <v>6</v>
      </c>
      <c r="Z61" s="778">
        <f t="shared" ref="Z61:AK61" si="11">SUM(Z53:Z60)</f>
        <v>0</v>
      </c>
      <c r="AA61" s="778">
        <f t="shared" si="11"/>
        <v>0</v>
      </c>
      <c r="AB61" s="778">
        <f t="shared" si="11"/>
        <v>0</v>
      </c>
      <c r="AC61" s="778">
        <f t="shared" si="11"/>
        <v>0</v>
      </c>
      <c r="AD61" s="778">
        <f t="shared" si="11"/>
        <v>0</v>
      </c>
      <c r="AE61" s="778">
        <f t="shared" si="11"/>
        <v>0</v>
      </c>
      <c r="AF61" s="779">
        <f t="shared" si="11"/>
        <v>0</v>
      </c>
      <c r="AG61" s="777">
        <f t="shared" si="11"/>
        <v>0</v>
      </c>
      <c r="AH61" s="778">
        <f t="shared" si="11"/>
        <v>0</v>
      </c>
      <c r="AI61" s="778">
        <f t="shared" si="11"/>
        <v>0</v>
      </c>
      <c r="AJ61" s="778">
        <f t="shared" si="11"/>
        <v>0</v>
      </c>
      <c r="AK61" s="778">
        <f t="shared" si="11"/>
        <v>0</v>
      </c>
      <c r="AL61" s="201"/>
      <c r="AM61" s="185"/>
      <c r="AN61" s="209"/>
      <c r="AO61" s="209"/>
      <c r="AP61" s="209"/>
      <c r="AQ61" s="119" t="s">
        <v>2145</v>
      </c>
      <c r="AR61" s="129">
        <f>SUM(AR53:AR60)</f>
        <v>0</v>
      </c>
      <c r="AS61" s="119" t="s">
        <v>2145</v>
      </c>
      <c r="AT61" s="130">
        <f>SUM(AT53:AT60)</f>
        <v>0</v>
      </c>
    </row>
    <row r="62" spans="1:46" s="98" customFormat="1" ht="15" customHeight="1">
      <c r="A62" s="99"/>
      <c r="B62" s="161"/>
      <c r="C62" s="116"/>
      <c r="D62" s="116"/>
      <c r="E62" s="116"/>
      <c r="F62" s="116"/>
      <c r="G62" s="117"/>
      <c r="H62" s="117"/>
      <c r="I62" s="117"/>
      <c r="J62" s="713"/>
      <c r="K62" s="721"/>
      <c r="L62" s="721"/>
      <c r="M62" s="721"/>
      <c r="N62" s="721"/>
      <c r="O62" s="721"/>
      <c r="P62" s="721"/>
      <c r="Q62" s="715"/>
      <c r="R62" s="713"/>
      <c r="S62" s="721"/>
      <c r="T62" s="721"/>
      <c r="U62" s="721"/>
      <c r="V62" s="769"/>
      <c r="W62" s="201"/>
      <c r="X62" s="201"/>
      <c r="Y62" s="201"/>
      <c r="Z62" s="201"/>
      <c r="AA62" s="201"/>
      <c r="AB62" s="201"/>
      <c r="AC62" s="201"/>
      <c r="AD62" s="201"/>
      <c r="AE62" s="201"/>
      <c r="AF62" s="201"/>
      <c r="AG62" s="201"/>
      <c r="AH62" s="201"/>
      <c r="AI62" s="201"/>
      <c r="AJ62" s="201"/>
      <c r="AK62" s="201"/>
      <c r="AL62" s="201"/>
      <c r="AM62" s="185"/>
      <c r="AN62" s="209"/>
      <c r="AO62" s="209"/>
      <c r="AP62" s="185"/>
      <c r="AQ62" s="185"/>
      <c r="AR62" s="185"/>
      <c r="AS62" s="185"/>
      <c r="AT62" s="215"/>
    </row>
    <row r="63" spans="1:46" s="98" customFormat="1" ht="15" customHeight="1" thickBot="1">
      <c r="A63" s="99"/>
      <c r="B63" s="131" t="s">
        <v>1701</v>
      </c>
      <c r="C63" s="132"/>
      <c r="D63" s="132"/>
      <c r="E63" s="132"/>
      <c r="F63" s="132"/>
      <c r="G63" s="145"/>
      <c r="H63" s="133"/>
      <c r="I63" s="146" t="s">
        <v>498</v>
      </c>
      <c r="J63" s="717">
        <f>SUM(J28,J39,J50,J61)</f>
        <v>0.25751817148148459</v>
      </c>
      <c r="K63" s="718">
        <f t="shared" ref="K63:V63" si="12">SUM(K28,K39,K50,K61)</f>
        <v>-2.8698732467532469E-2</v>
      </c>
      <c r="L63" s="718">
        <f t="shared" si="12"/>
        <v>0</v>
      </c>
      <c r="M63" s="718">
        <f t="shared" si="12"/>
        <v>0</v>
      </c>
      <c r="N63" s="718">
        <f t="shared" si="12"/>
        <v>0</v>
      </c>
      <c r="O63" s="718">
        <f t="shared" si="12"/>
        <v>1.6199999999999999E-2</v>
      </c>
      <c r="P63" s="718">
        <f t="shared" si="12"/>
        <v>0.47432800000000003</v>
      </c>
      <c r="Q63" s="719">
        <f t="shared" si="12"/>
        <v>1.1871605000000001</v>
      </c>
      <c r="R63" s="717">
        <f t="shared" si="12"/>
        <v>1.24485</v>
      </c>
      <c r="S63" s="718">
        <f t="shared" si="12"/>
        <v>1.048281</v>
      </c>
      <c r="T63" s="718">
        <f t="shared" si="12"/>
        <v>1.0108889999999999</v>
      </c>
      <c r="U63" s="718">
        <f t="shared" si="12"/>
        <v>1.048281</v>
      </c>
      <c r="V63" s="718">
        <f t="shared" si="12"/>
        <v>0.95159799999999994</v>
      </c>
      <c r="W63" s="216"/>
      <c r="X63" s="216"/>
      <c r="Y63" s="216"/>
      <c r="Z63" s="216"/>
      <c r="AA63" s="216"/>
      <c r="AB63" s="216"/>
      <c r="AC63" s="216"/>
      <c r="AD63" s="216"/>
      <c r="AE63" s="216"/>
      <c r="AF63" s="216"/>
      <c r="AG63" s="216"/>
      <c r="AH63" s="216"/>
      <c r="AI63" s="216"/>
      <c r="AJ63" s="216"/>
      <c r="AK63" s="216"/>
      <c r="AL63" s="216"/>
      <c r="AM63" s="192"/>
      <c r="AN63" s="192"/>
      <c r="AO63" s="192"/>
      <c r="AP63" s="192"/>
      <c r="AQ63" s="192"/>
      <c r="AR63" s="192"/>
      <c r="AS63" s="192"/>
      <c r="AT63" s="217"/>
    </row>
    <row r="64" spans="1:46" s="99" customFormat="1" ht="15" customHeight="1" thickBot="1">
      <c r="B64" s="150"/>
      <c r="C64" s="95"/>
      <c r="D64" s="95"/>
      <c r="E64" s="95"/>
      <c r="F64" s="95"/>
      <c r="G64" s="97"/>
      <c r="H64" s="97"/>
      <c r="I64" s="98"/>
      <c r="J64" s="98"/>
      <c r="K64" s="98"/>
      <c r="L64" s="98"/>
      <c r="M64" s="98"/>
      <c r="N64" s="98"/>
      <c r="O64" s="98"/>
      <c r="P64" s="98"/>
      <c r="Q64" s="98"/>
      <c r="R64" s="98"/>
      <c r="S64" s="98"/>
      <c r="T64" s="98"/>
      <c r="U64" s="98"/>
      <c r="V64" s="98"/>
      <c r="W64" s="89"/>
      <c r="X64" s="98"/>
      <c r="Y64" s="98"/>
      <c r="Z64" s="98"/>
      <c r="AA64" s="98"/>
      <c r="AB64" s="98"/>
      <c r="AC64" s="98"/>
      <c r="AD64" s="98"/>
      <c r="AE64" s="98"/>
      <c r="AF64" s="98"/>
      <c r="AG64" s="98"/>
      <c r="AH64" s="98"/>
      <c r="AI64" s="98"/>
      <c r="AJ64" s="98"/>
      <c r="AK64" s="98"/>
      <c r="AL64" s="89"/>
      <c r="AM64" s="98"/>
    </row>
    <row r="65" spans="1:46" s="100" customFormat="1" ht="30" customHeight="1" thickBot="1">
      <c r="A65" s="89"/>
      <c r="B65" s="621" t="s">
        <v>2134</v>
      </c>
      <c r="C65" s="762"/>
      <c r="D65" s="762"/>
      <c r="E65" s="762"/>
      <c r="F65" s="762"/>
      <c r="G65" s="763"/>
      <c r="H65" s="103"/>
      <c r="I65" s="105" t="s">
        <v>1704</v>
      </c>
      <c r="J65" s="106"/>
      <c r="K65" s="106"/>
      <c r="L65" s="106"/>
      <c r="M65" s="106"/>
      <c r="N65" s="106"/>
      <c r="O65" s="106"/>
      <c r="P65" s="106"/>
      <c r="Q65" s="106"/>
      <c r="R65" s="105"/>
      <c r="S65" s="105"/>
      <c r="T65" s="105"/>
      <c r="U65" s="105"/>
      <c r="V65" s="105"/>
      <c r="W65" s="200"/>
      <c r="X65" s="105" t="s">
        <v>2136</v>
      </c>
      <c r="Y65" s="106"/>
      <c r="Z65" s="106"/>
      <c r="AA65" s="106"/>
      <c r="AB65" s="106"/>
      <c r="AC65" s="106"/>
      <c r="AD65" s="106"/>
      <c r="AE65" s="106"/>
      <c r="AF65" s="106"/>
      <c r="AG65" s="105"/>
      <c r="AH65" s="105"/>
      <c r="AI65" s="105"/>
      <c r="AJ65" s="105"/>
      <c r="AK65" s="105"/>
      <c r="AL65" s="200"/>
      <c r="AM65" s="941" t="s">
        <v>1925</v>
      </c>
      <c r="AN65" s="942"/>
      <c r="AO65" s="942"/>
      <c r="AP65" s="942"/>
      <c r="AQ65" s="942"/>
      <c r="AR65" s="942"/>
      <c r="AS65" s="942"/>
      <c r="AT65" s="943"/>
    </row>
    <row r="66" spans="1:46" s="157" customFormat="1" ht="30" customHeight="1">
      <c r="A66" s="99"/>
      <c r="B66" s="109"/>
      <c r="C66" s="127"/>
      <c r="D66" s="127"/>
      <c r="E66" s="127"/>
      <c r="F66" s="127"/>
      <c r="G66" s="117"/>
      <c r="H66" s="111"/>
      <c r="I66" s="117"/>
      <c r="J66" s="695" t="s">
        <v>1666</v>
      </c>
      <c r="K66" s="152"/>
      <c r="L66" s="152"/>
      <c r="M66" s="152"/>
      <c r="N66" s="152"/>
      <c r="O66" s="152"/>
      <c r="P66" s="152"/>
      <c r="Q66" s="153"/>
      <c r="R66" s="696" t="s">
        <v>2</v>
      </c>
      <c r="S66" s="155"/>
      <c r="T66" s="155"/>
      <c r="U66" s="155"/>
      <c r="V66" s="199"/>
      <c r="W66" s="201"/>
      <c r="X66" s="117"/>
      <c r="Y66" s="695" t="s">
        <v>1666</v>
      </c>
      <c r="Z66" s="152"/>
      <c r="AA66" s="152"/>
      <c r="AB66" s="152"/>
      <c r="AC66" s="152"/>
      <c r="AD66" s="152"/>
      <c r="AE66" s="152"/>
      <c r="AF66" s="153"/>
      <c r="AG66" s="696" t="s">
        <v>2</v>
      </c>
      <c r="AH66" s="155"/>
      <c r="AI66" s="155"/>
      <c r="AJ66" s="155"/>
      <c r="AK66" s="199"/>
      <c r="AL66" s="201"/>
      <c r="AM66" s="202" t="s">
        <v>2137</v>
      </c>
      <c r="AN66" s="203" t="s">
        <v>2140</v>
      </c>
      <c r="AO66" s="203"/>
      <c r="AP66" s="202" t="s">
        <v>2139</v>
      </c>
      <c r="AQ66" s="203" t="s">
        <v>2140</v>
      </c>
      <c r="AR66" s="203"/>
      <c r="AS66" s="203" t="s">
        <v>2141</v>
      </c>
      <c r="AT66" s="204"/>
    </row>
    <row r="67" spans="1:46" s="98" customFormat="1" ht="15" customHeight="1">
      <c r="A67" s="99"/>
      <c r="B67" s="115"/>
      <c r="C67" s="116"/>
      <c r="D67" s="116"/>
      <c r="E67" s="116"/>
      <c r="F67" s="116"/>
      <c r="G67" s="117"/>
      <c r="H67" s="117"/>
      <c r="I67" s="119" t="s">
        <v>1667</v>
      </c>
      <c r="J67" s="158" t="s">
        <v>453</v>
      </c>
      <c r="K67" s="137" t="s">
        <v>455</v>
      </c>
      <c r="L67" s="137" t="s">
        <v>457</v>
      </c>
      <c r="M67" s="137" t="s">
        <v>459</v>
      </c>
      <c r="N67" s="137" t="s">
        <v>461</v>
      </c>
      <c r="O67" s="137" t="s">
        <v>463</v>
      </c>
      <c r="P67" s="137" t="s">
        <v>465</v>
      </c>
      <c r="Q67" s="138" t="s">
        <v>467</v>
      </c>
      <c r="R67" s="120" t="s">
        <v>469</v>
      </c>
      <c r="S67" s="121" t="s">
        <v>471</v>
      </c>
      <c r="T67" s="121" t="s">
        <v>473</v>
      </c>
      <c r="U67" s="121" t="s">
        <v>475</v>
      </c>
      <c r="V67" s="121" t="s">
        <v>477</v>
      </c>
      <c r="W67" s="201"/>
      <c r="X67" s="119" t="s">
        <v>1667</v>
      </c>
      <c r="Y67" s="158" t="s">
        <v>453</v>
      </c>
      <c r="Z67" s="137" t="s">
        <v>455</v>
      </c>
      <c r="AA67" s="137" t="s">
        <v>457</v>
      </c>
      <c r="AB67" s="137" t="s">
        <v>459</v>
      </c>
      <c r="AC67" s="137" t="s">
        <v>461</v>
      </c>
      <c r="AD67" s="137" t="s">
        <v>463</v>
      </c>
      <c r="AE67" s="137" t="s">
        <v>465</v>
      </c>
      <c r="AF67" s="138" t="s">
        <v>467</v>
      </c>
      <c r="AG67" s="120" t="s">
        <v>469</v>
      </c>
      <c r="AH67" s="121" t="s">
        <v>471</v>
      </c>
      <c r="AI67" s="121" t="s">
        <v>473</v>
      </c>
      <c r="AJ67" s="121" t="s">
        <v>475</v>
      </c>
      <c r="AK67" s="121" t="s">
        <v>477</v>
      </c>
      <c r="AL67" s="201"/>
      <c r="AM67" s="205"/>
      <c r="AN67" s="206" t="s">
        <v>1667</v>
      </c>
      <c r="AO67" s="206" t="s">
        <v>2142</v>
      </c>
      <c r="AP67" s="205"/>
      <c r="AQ67" s="206" t="s">
        <v>1667</v>
      </c>
      <c r="AR67" s="206" t="s">
        <v>2142</v>
      </c>
      <c r="AS67" s="206" t="s">
        <v>1667</v>
      </c>
      <c r="AT67" s="207" t="s">
        <v>2142</v>
      </c>
    </row>
    <row r="68" spans="1:46" s="98" customFormat="1" ht="15" customHeight="1">
      <c r="A68" s="99"/>
      <c r="B68" s="161"/>
      <c r="C68" s="186" t="s">
        <v>2143</v>
      </c>
      <c r="D68" s="162"/>
      <c r="E68" s="162"/>
      <c r="F68" s="162"/>
      <c r="G68" s="163"/>
      <c r="H68" s="163"/>
      <c r="I68" s="117"/>
      <c r="J68" s="159"/>
      <c r="K68" s="117"/>
      <c r="L68" s="117"/>
      <c r="M68" s="117"/>
      <c r="N68" s="117"/>
      <c r="O68" s="117"/>
      <c r="P68" s="117"/>
      <c r="Q68" s="160"/>
      <c r="R68" s="159"/>
      <c r="S68" s="117"/>
      <c r="T68" s="117"/>
      <c r="U68" s="117"/>
      <c r="V68" s="208"/>
      <c r="W68" s="201"/>
      <c r="X68" s="117"/>
      <c r="Y68" s="159"/>
      <c r="Z68" s="117"/>
      <c r="AA68" s="117"/>
      <c r="AB68" s="117"/>
      <c r="AC68" s="117"/>
      <c r="AD68" s="117"/>
      <c r="AE68" s="117"/>
      <c r="AF68" s="160"/>
      <c r="AG68" s="159"/>
      <c r="AH68" s="117"/>
      <c r="AI68" s="117"/>
      <c r="AJ68" s="117"/>
      <c r="AK68" s="208"/>
      <c r="AL68" s="201"/>
      <c r="AM68" s="209"/>
      <c r="AN68" s="209"/>
      <c r="AO68" s="209"/>
      <c r="AP68" s="209"/>
      <c r="AQ68" s="209"/>
      <c r="AR68" s="209"/>
      <c r="AS68" s="209"/>
      <c r="AT68" s="210"/>
    </row>
    <row r="69" spans="1:46" s="98" customFormat="1" ht="15" customHeight="1">
      <c r="A69" s="99"/>
      <c r="B69" s="161"/>
      <c r="C69" s="185"/>
      <c r="D69" s="162" t="s">
        <v>85</v>
      </c>
      <c r="E69" s="162"/>
      <c r="F69" s="162"/>
      <c r="G69" s="768" t="s">
        <v>2150</v>
      </c>
      <c r="H69" s="163"/>
      <c r="I69" s="119" t="s">
        <v>498</v>
      </c>
      <c r="J69" s="143">
        <v>0</v>
      </c>
      <c r="K69" s="141">
        <v>0</v>
      </c>
      <c r="L69" s="141" t="s">
        <v>1127</v>
      </c>
      <c r="M69" s="141" t="s">
        <v>1127</v>
      </c>
      <c r="N69" s="141">
        <v>0.1329146628851624</v>
      </c>
      <c r="O69" s="141">
        <v>0</v>
      </c>
      <c r="P69" s="141">
        <v>0.123873</v>
      </c>
      <c r="Q69" s="144">
        <v>0.14451849999999999</v>
      </c>
      <c r="R69" s="143">
        <v>0.123873</v>
      </c>
      <c r="S69" s="141">
        <v>0.123873</v>
      </c>
      <c r="T69" s="141">
        <v>0.123873</v>
      </c>
      <c r="U69" s="141">
        <v>0.123873</v>
      </c>
      <c r="V69" s="141">
        <v>0.16516400000000001</v>
      </c>
      <c r="W69" s="201"/>
      <c r="X69" s="119" t="s">
        <v>1876</v>
      </c>
      <c r="Y69" s="165">
        <v>0</v>
      </c>
      <c r="Z69" s="166">
        <v>0</v>
      </c>
      <c r="AA69" s="166">
        <v>0</v>
      </c>
      <c r="AB69" s="166">
        <v>0</v>
      </c>
      <c r="AC69" s="166">
        <v>9</v>
      </c>
      <c r="AD69" s="166">
        <v>0</v>
      </c>
      <c r="AE69" s="166">
        <v>6</v>
      </c>
      <c r="AF69" s="167">
        <v>7</v>
      </c>
      <c r="AG69" s="165">
        <v>6</v>
      </c>
      <c r="AH69" s="166">
        <v>6</v>
      </c>
      <c r="AI69" s="166">
        <v>6</v>
      </c>
      <c r="AJ69" s="166">
        <v>6</v>
      </c>
      <c r="AK69" s="166">
        <v>8</v>
      </c>
      <c r="AL69" s="201"/>
      <c r="AM69" s="211" t="s">
        <v>3607</v>
      </c>
      <c r="AN69" s="119" t="s">
        <v>2144</v>
      </c>
      <c r="AO69" s="212">
        <v>2</v>
      </c>
      <c r="AP69" s="213" t="s">
        <v>3702</v>
      </c>
      <c r="AQ69" s="119" t="s">
        <v>2145</v>
      </c>
      <c r="AR69" s="456">
        <v>4500</v>
      </c>
      <c r="AS69" s="119" t="s">
        <v>2145</v>
      </c>
      <c r="AT69" s="457">
        <v>0</v>
      </c>
    </row>
    <row r="70" spans="1:46" s="98" customFormat="1" ht="15" customHeight="1">
      <c r="A70" s="99"/>
      <c r="B70" s="161"/>
      <c r="C70" s="185"/>
      <c r="D70" s="162" t="s">
        <v>85</v>
      </c>
      <c r="E70" s="162"/>
      <c r="F70" s="162"/>
      <c r="G70" s="768"/>
      <c r="H70" s="163"/>
      <c r="I70" s="119" t="s">
        <v>498</v>
      </c>
      <c r="J70" s="143">
        <v>0</v>
      </c>
      <c r="K70" s="141">
        <v>0</v>
      </c>
      <c r="L70" s="141">
        <v>0</v>
      </c>
      <c r="M70" s="141">
        <v>0</v>
      </c>
      <c r="N70" s="141">
        <v>0</v>
      </c>
      <c r="O70" s="141">
        <v>0</v>
      </c>
      <c r="P70" s="141">
        <v>0</v>
      </c>
      <c r="Q70" s="144">
        <v>0</v>
      </c>
      <c r="R70" s="143">
        <v>0</v>
      </c>
      <c r="S70" s="141">
        <v>0</v>
      </c>
      <c r="T70" s="141">
        <v>0</v>
      </c>
      <c r="U70" s="141">
        <v>0</v>
      </c>
      <c r="V70" s="141">
        <v>0</v>
      </c>
      <c r="W70" s="201"/>
      <c r="X70" s="119" t="s">
        <v>1876</v>
      </c>
      <c r="Y70" s="165">
        <v>0</v>
      </c>
      <c r="Z70" s="166">
        <v>0</v>
      </c>
      <c r="AA70" s="166">
        <v>0</v>
      </c>
      <c r="AB70" s="166">
        <v>0</v>
      </c>
      <c r="AC70" s="166">
        <v>0</v>
      </c>
      <c r="AD70" s="166">
        <v>0</v>
      </c>
      <c r="AE70" s="166">
        <v>0</v>
      </c>
      <c r="AF70" s="167">
        <v>0</v>
      </c>
      <c r="AG70" s="165">
        <v>0</v>
      </c>
      <c r="AH70" s="166">
        <v>0</v>
      </c>
      <c r="AI70" s="166">
        <v>0</v>
      </c>
      <c r="AJ70" s="166">
        <v>0</v>
      </c>
      <c r="AK70" s="166">
        <v>0</v>
      </c>
      <c r="AL70" s="201"/>
      <c r="AM70" s="211"/>
      <c r="AN70" s="119" t="s">
        <v>2144</v>
      </c>
      <c r="AO70" s="212">
        <v>0</v>
      </c>
      <c r="AP70" s="213"/>
      <c r="AQ70" s="119" t="s">
        <v>2145</v>
      </c>
      <c r="AR70" s="456">
        <v>0</v>
      </c>
      <c r="AS70" s="119" t="s">
        <v>2145</v>
      </c>
      <c r="AT70" s="457">
        <v>0</v>
      </c>
    </row>
    <row r="71" spans="1:46" s="98" customFormat="1" ht="15" customHeight="1">
      <c r="A71" s="99"/>
      <c r="B71" s="161"/>
      <c r="C71" s="185"/>
      <c r="D71" s="162" t="s">
        <v>85</v>
      </c>
      <c r="E71" s="162"/>
      <c r="F71" s="162"/>
      <c r="G71" s="768"/>
      <c r="H71" s="163"/>
      <c r="I71" s="119" t="s">
        <v>498</v>
      </c>
      <c r="J71" s="143">
        <v>0</v>
      </c>
      <c r="K71" s="141">
        <v>0</v>
      </c>
      <c r="L71" s="141">
        <v>0</v>
      </c>
      <c r="M71" s="141">
        <v>0</v>
      </c>
      <c r="N71" s="141">
        <v>0</v>
      </c>
      <c r="O71" s="141">
        <v>0</v>
      </c>
      <c r="P71" s="141">
        <v>0</v>
      </c>
      <c r="Q71" s="144">
        <v>0</v>
      </c>
      <c r="R71" s="143">
        <v>0</v>
      </c>
      <c r="S71" s="141">
        <v>0</v>
      </c>
      <c r="T71" s="141">
        <v>0</v>
      </c>
      <c r="U71" s="141">
        <v>0</v>
      </c>
      <c r="V71" s="141">
        <v>0</v>
      </c>
      <c r="W71" s="201"/>
      <c r="X71" s="119" t="s">
        <v>1876</v>
      </c>
      <c r="Y71" s="165">
        <v>0</v>
      </c>
      <c r="Z71" s="166">
        <v>0</v>
      </c>
      <c r="AA71" s="166">
        <v>0</v>
      </c>
      <c r="AB71" s="166">
        <v>0</v>
      </c>
      <c r="AC71" s="166">
        <v>0</v>
      </c>
      <c r="AD71" s="166">
        <v>0</v>
      </c>
      <c r="AE71" s="166">
        <v>0</v>
      </c>
      <c r="AF71" s="167">
        <v>0</v>
      </c>
      <c r="AG71" s="165">
        <v>0</v>
      </c>
      <c r="AH71" s="166">
        <v>0</v>
      </c>
      <c r="AI71" s="166">
        <v>0</v>
      </c>
      <c r="AJ71" s="166">
        <v>0</v>
      </c>
      <c r="AK71" s="166">
        <v>0</v>
      </c>
      <c r="AL71" s="201"/>
      <c r="AM71" s="211"/>
      <c r="AN71" s="119" t="s">
        <v>2144</v>
      </c>
      <c r="AO71" s="212">
        <v>0</v>
      </c>
      <c r="AP71" s="213"/>
      <c r="AQ71" s="119" t="s">
        <v>2145</v>
      </c>
      <c r="AR71" s="456">
        <v>0</v>
      </c>
      <c r="AS71" s="119" t="s">
        <v>2145</v>
      </c>
      <c r="AT71" s="457">
        <v>0</v>
      </c>
    </row>
    <row r="72" spans="1:46" s="98" customFormat="1" ht="15" customHeight="1">
      <c r="A72" s="99"/>
      <c r="B72" s="161"/>
      <c r="C72" s="185"/>
      <c r="D72" s="162" t="s">
        <v>85</v>
      </c>
      <c r="E72" s="162"/>
      <c r="F72" s="162"/>
      <c r="G72" s="768"/>
      <c r="H72" s="163"/>
      <c r="I72" s="119" t="s">
        <v>498</v>
      </c>
      <c r="J72" s="143">
        <v>0</v>
      </c>
      <c r="K72" s="141">
        <v>0</v>
      </c>
      <c r="L72" s="141">
        <v>0</v>
      </c>
      <c r="M72" s="141">
        <v>0</v>
      </c>
      <c r="N72" s="141">
        <v>0</v>
      </c>
      <c r="O72" s="141">
        <v>0</v>
      </c>
      <c r="P72" s="141">
        <v>0</v>
      </c>
      <c r="Q72" s="144">
        <v>0</v>
      </c>
      <c r="R72" s="143">
        <v>0</v>
      </c>
      <c r="S72" s="141">
        <v>0</v>
      </c>
      <c r="T72" s="141">
        <v>0</v>
      </c>
      <c r="U72" s="141">
        <v>0</v>
      </c>
      <c r="V72" s="141">
        <v>0</v>
      </c>
      <c r="W72" s="201"/>
      <c r="X72" s="119" t="s">
        <v>1876</v>
      </c>
      <c r="Y72" s="165">
        <v>0</v>
      </c>
      <c r="Z72" s="166">
        <v>0</v>
      </c>
      <c r="AA72" s="166">
        <v>0</v>
      </c>
      <c r="AB72" s="166">
        <v>0</v>
      </c>
      <c r="AC72" s="166">
        <v>0</v>
      </c>
      <c r="AD72" s="166">
        <v>0</v>
      </c>
      <c r="AE72" s="166">
        <v>0</v>
      </c>
      <c r="AF72" s="167">
        <v>0</v>
      </c>
      <c r="AG72" s="165">
        <v>0</v>
      </c>
      <c r="AH72" s="166">
        <v>0</v>
      </c>
      <c r="AI72" s="166">
        <v>0</v>
      </c>
      <c r="AJ72" s="166">
        <v>0</v>
      </c>
      <c r="AK72" s="166">
        <v>0</v>
      </c>
      <c r="AL72" s="201"/>
      <c r="AM72" s="211"/>
      <c r="AN72" s="119" t="s">
        <v>2144</v>
      </c>
      <c r="AO72" s="212">
        <v>0</v>
      </c>
      <c r="AP72" s="213"/>
      <c r="AQ72" s="119" t="s">
        <v>2145</v>
      </c>
      <c r="AR72" s="456">
        <v>0</v>
      </c>
      <c r="AS72" s="119" t="s">
        <v>2145</v>
      </c>
      <c r="AT72" s="457">
        <v>0</v>
      </c>
    </row>
    <row r="73" spans="1:46" s="98" customFormat="1" ht="15" customHeight="1">
      <c r="A73" s="99"/>
      <c r="B73" s="161"/>
      <c r="C73" s="185"/>
      <c r="D73" s="162" t="s">
        <v>85</v>
      </c>
      <c r="E73" s="162"/>
      <c r="F73" s="162"/>
      <c r="G73" s="768"/>
      <c r="H73" s="163"/>
      <c r="I73" s="119" t="s">
        <v>498</v>
      </c>
      <c r="J73" s="143">
        <v>0</v>
      </c>
      <c r="K73" s="141">
        <v>0</v>
      </c>
      <c r="L73" s="141">
        <v>0</v>
      </c>
      <c r="M73" s="141">
        <v>0</v>
      </c>
      <c r="N73" s="141">
        <v>0</v>
      </c>
      <c r="O73" s="141">
        <v>0</v>
      </c>
      <c r="P73" s="141">
        <v>0</v>
      </c>
      <c r="Q73" s="144">
        <v>0</v>
      </c>
      <c r="R73" s="143">
        <v>0</v>
      </c>
      <c r="S73" s="141">
        <v>0</v>
      </c>
      <c r="T73" s="141">
        <v>0</v>
      </c>
      <c r="U73" s="141">
        <v>0</v>
      </c>
      <c r="V73" s="141">
        <v>0</v>
      </c>
      <c r="W73" s="201"/>
      <c r="X73" s="119" t="s">
        <v>1876</v>
      </c>
      <c r="Y73" s="165">
        <v>0</v>
      </c>
      <c r="Z73" s="166">
        <v>0</v>
      </c>
      <c r="AA73" s="166">
        <v>0</v>
      </c>
      <c r="AB73" s="166">
        <v>0</v>
      </c>
      <c r="AC73" s="166">
        <v>0</v>
      </c>
      <c r="AD73" s="166">
        <v>0</v>
      </c>
      <c r="AE73" s="166">
        <v>0</v>
      </c>
      <c r="AF73" s="167">
        <v>0</v>
      </c>
      <c r="AG73" s="165">
        <v>0</v>
      </c>
      <c r="AH73" s="166">
        <v>0</v>
      </c>
      <c r="AI73" s="166">
        <v>0</v>
      </c>
      <c r="AJ73" s="166">
        <v>0</v>
      </c>
      <c r="AK73" s="166">
        <v>0</v>
      </c>
      <c r="AL73" s="201"/>
      <c r="AM73" s="211"/>
      <c r="AN73" s="119" t="s">
        <v>2144</v>
      </c>
      <c r="AO73" s="212">
        <v>0</v>
      </c>
      <c r="AP73" s="213"/>
      <c r="AQ73" s="119" t="s">
        <v>2145</v>
      </c>
      <c r="AR73" s="456">
        <v>0</v>
      </c>
      <c r="AS73" s="119" t="s">
        <v>2145</v>
      </c>
      <c r="AT73" s="457">
        <v>0</v>
      </c>
    </row>
    <row r="74" spans="1:46" s="98" customFormat="1" ht="15" customHeight="1">
      <c r="A74" s="99"/>
      <c r="B74" s="161"/>
      <c r="C74" s="185"/>
      <c r="D74" s="162" t="s">
        <v>85</v>
      </c>
      <c r="E74" s="162"/>
      <c r="F74" s="162"/>
      <c r="G74" s="768"/>
      <c r="H74" s="163"/>
      <c r="I74" s="119" t="s">
        <v>498</v>
      </c>
      <c r="J74" s="143">
        <v>0</v>
      </c>
      <c r="K74" s="141">
        <v>0</v>
      </c>
      <c r="L74" s="141">
        <v>0</v>
      </c>
      <c r="M74" s="141">
        <v>0</v>
      </c>
      <c r="N74" s="141">
        <v>0</v>
      </c>
      <c r="O74" s="141">
        <v>0</v>
      </c>
      <c r="P74" s="141">
        <v>0</v>
      </c>
      <c r="Q74" s="144">
        <v>0</v>
      </c>
      <c r="R74" s="143">
        <v>0</v>
      </c>
      <c r="S74" s="141">
        <v>0</v>
      </c>
      <c r="T74" s="141">
        <v>0</v>
      </c>
      <c r="U74" s="141">
        <v>0</v>
      </c>
      <c r="V74" s="141">
        <v>0</v>
      </c>
      <c r="W74" s="201"/>
      <c r="X74" s="119" t="s">
        <v>1876</v>
      </c>
      <c r="Y74" s="165">
        <v>0</v>
      </c>
      <c r="Z74" s="166">
        <v>0</v>
      </c>
      <c r="AA74" s="166">
        <v>0</v>
      </c>
      <c r="AB74" s="166">
        <v>0</v>
      </c>
      <c r="AC74" s="166">
        <v>0</v>
      </c>
      <c r="AD74" s="166">
        <v>0</v>
      </c>
      <c r="AE74" s="166">
        <v>0</v>
      </c>
      <c r="AF74" s="167">
        <v>0</v>
      </c>
      <c r="AG74" s="165">
        <v>0</v>
      </c>
      <c r="AH74" s="166">
        <v>0</v>
      </c>
      <c r="AI74" s="166">
        <v>0</v>
      </c>
      <c r="AJ74" s="166">
        <v>0</v>
      </c>
      <c r="AK74" s="166">
        <v>0</v>
      </c>
      <c r="AL74" s="201"/>
      <c r="AM74" s="211"/>
      <c r="AN74" s="119" t="s">
        <v>2144</v>
      </c>
      <c r="AO74" s="212">
        <v>0</v>
      </c>
      <c r="AP74" s="213"/>
      <c r="AQ74" s="119" t="s">
        <v>2145</v>
      </c>
      <c r="AR74" s="456">
        <v>0</v>
      </c>
      <c r="AS74" s="119" t="s">
        <v>2145</v>
      </c>
      <c r="AT74" s="457">
        <v>0</v>
      </c>
    </row>
    <row r="75" spans="1:46" s="98" customFormat="1" ht="15" customHeight="1">
      <c r="A75" s="99"/>
      <c r="B75" s="161"/>
      <c r="C75" s="185"/>
      <c r="D75" s="162" t="s">
        <v>85</v>
      </c>
      <c r="E75" s="162"/>
      <c r="F75" s="162"/>
      <c r="G75" s="768"/>
      <c r="H75" s="163"/>
      <c r="I75" s="119" t="s">
        <v>498</v>
      </c>
      <c r="J75" s="143">
        <v>0</v>
      </c>
      <c r="K75" s="141">
        <v>0</v>
      </c>
      <c r="L75" s="141">
        <v>0</v>
      </c>
      <c r="M75" s="141">
        <v>0</v>
      </c>
      <c r="N75" s="141">
        <v>0</v>
      </c>
      <c r="O75" s="141">
        <v>0</v>
      </c>
      <c r="P75" s="141">
        <v>0</v>
      </c>
      <c r="Q75" s="144">
        <v>0</v>
      </c>
      <c r="R75" s="143">
        <v>0</v>
      </c>
      <c r="S75" s="141">
        <v>0</v>
      </c>
      <c r="T75" s="141">
        <v>0</v>
      </c>
      <c r="U75" s="141">
        <v>0</v>
      </c>
      <c r="V75" s="141">
        <v>0</v>
      </c>
      <c r="W75" s="201"/>
      <c r="X75" s="119" t="s">
        <v>1876</v>
      </c>
      <c r="Y75" s="165">
        <v>0</v>
      </c>
      <c r="Z75" s="166">
        <v>0</v>
      </c>
      <c r="AA75" s="166">
        <v>0</v>
      </c>
      <c r="AB75" s="166">
        <v>0</v>
      </c>
      <c r="AC75" s="166">
        <v>0</v>
      </c>
      <c r="AD75" s="166">
        <v>0</v>
      </c>
      <c r="AE75" s="166">
        <v>0</v>
      </c>
      <c r="AF75" s="167">
        <v>0</v>
      </c>
      <c r="AG75" s="165">
        <v>0</v>
      </c>
      <c r="AH75" s="166">
        <v>0</v>
      </c>
      <c r="AI75" s="166">
        <v>0</v>
      </c>
      <c r="AJ75" s="166">
        <v>0</v>
      </c>
      <c r="AK75" s="166">
        <v>0</v>
      </c>
      <c r="AL75" s="201"/>
      <c r="AM75" s="211"/>
      <c r="AN75" s="119" t="s">
        <v>2144</v>
      </c>
      <c r="AO75" s="212">
        <v>0</v>
      </c>
      <c r="AP75" s="213"/>
      <c r="AQ75" s="119" t="s">
        <v>2145</v>
      </c>
      <c r="AR75" s="456">
        <v>0</v>
      </c>
      <c r="AS75" s="119" t="s">
        <v>2145</v>
      </c>
      <c r="AT75" s="457">
        <v>0</v>
      </c>
    </row>
    <row r="76" spans="1:46" s="98" customFormat="1" ht="15" customHeight="1">
      <c r="A76" s="99"/>
      <c r="B76" s="161"/>
      <c r="C76" s="185"/>
      <c r="D76" s="162" t="s">
        <v>85</v>
      </c>
      <c r="E76" s="162"/>
      <c r="F76" s="162"/>
      <c r="G76" s="768"/>
      <c r="H76" s="163"/>
      <c r="I76" s="119" t="s">
        <v>498</v>
      </c>
      <c r="J76" s="143">
        <v>0</v>
      </c>
      <c r="K76" s="141">
        <v>0</v>
      </c>
      <c r="L76" s="141">
        <v>0</v>
      </c>
      <c r="M76" s="141">
        <v>0</v>
      </c>
      <c r="N76" s="141">
        <v>0</v>
      </c>
      <c r="O76" s="141">
        <v>0</v>
      </c>
      <c r="P76" s="141">
        <v>0</v>
      </c>
      <c r="Q76" s="144">
        <v>0</v>
      </c>
      <c r="R76" s="143">
        <v>0</v>
      </c>
      <c r="S76" s="141">
        <v>0</v>
      </c>
      <c r="T76" s="141">
        <v>0</v>
      </c>
      <c r="U76" s="141">
        <v>0</v>
      </c>
      <c r="V76" s="141">
        <v>0</v>
      </c>
      <c r="W76" s="201"/>
      <c r="X76" s="119" t="s">
        <v>1876</v>
      </c>
      <c r="Y76" s="165">
        <v>0</v>
      </c>
      <c r="Z76" s="166">
        <v>0</v>
      </c>
      <c r="AA76" s="166">
        <v>0</v>
      </c>
      <c r="AB76" s="166">
        <v>0</v>
      </c>
      <c r="AC76" s="166">
        <v>0</v>
      </c>
      <c r="AD76" s="166">
        <v>0</v>
      </c>
      <c r="AE76" s="166">
        <v>0</v>
      </c>
      <c r="AF76" s="167">
        <v>0</v>
      </c>
      <c r="AG76" s="165">
        <v>0</v>
      </c>
      <c r="AH76" s="166">
        <v>0</v>
      </c>
      <c r="AI76" s="166">
        <v>0</v>
      </c>
      <c r="AJ76" s="166">
        <v>0</v>
      </c>
      <c r="AK76" s="166">
        <v>0</v>
      </c>
      <c r="AL76" s="201"/>
      <c r="AM76" s="211"/>
      <c r="AN76" s="119" t="s">
        <v>2144</v>
      </c>
      <c r="AO76" s="212">
        <v>0</v>
      </c>
      <c r="AP76" s="213"/>
      <c r="AQ76" s="119" t="s">
        <v>2145</v>
      </c>
      <c r="AR76" s="456">
        <v>0</v>
      </c>
      <c r="AS76" s="119" t="s">
        <v>2145</v>
      </c>
      <c r="AT76" s="457">
        <v>0</v>
      </c>
    </row>
    <row r="77" spans="1:46" s="98" customFormat="1" ht="15" customHeight="1">
      <c r="A77" s="99"/>
      <c r="B77" s="181"/>
      <c r="C77" s="182" t="s">
        <v>1710</v>
      </c>
      <c r="D77" s="183"/>
      <c r="E77" s="183"/>
      <c r="F77" s="183"/>
      <c r="G77" s="184"/>
      <c r="H77" s="184"/>
      <c r="I77" s="119" t="s">
        <v>498</v>
      </c>
      <c r="J77" s="128">
        <f>SUM(J69:J76)</f>
        <v>0</v>
      </c>
      <c r="K77" s="129">
        <f t="shared" ref="K77" si="13">SUM(K69:K76)</f>
        <v>0</v>
      </c>
      <c r="L77" s="129">
        <f t="shared" ref="L77" si="14">SUM(L69:L76)</f>
        <v>0</v>
      </c>
      <c r="M77" s="129">
        <f t="shared" ref="M77" si="15">SUM(M69:M76)</f>
        <v>0</v>
      </c>
      <c r="N77" s="129">
        <f t="shared" ref="N77" si="16">SUM(N69:N76)</f>
        <v>0.1329146628851624</v>
      </c>
      <c r="O77" s="129">
        <f t="shared" ref="O77" si="17">SUM(O69:O76)</f>
        <v>0</v>
      </c>
      <c r="P77" s="129">
        <f t="shared" ref="P77" si="18">SUM(P69:P76)</f>
        <v>0.123873</v>
      </c>
      <c r="Q77" s="130">
        <f t="shared" ref="Q77" si="19">SUM(Q69:Q76)</f>
        <v>0.14451849999999999</v>
      </c>
      <c r="R77" s="128">
        <f t="shared" ref="R77" si="20">SUM(R69:R76)</f>
        <v>0.123873</v>
      </c>
      <c r="S77" s="129">
        <f t="shared" ref="S77" si="21">SUM(S69:S76)</f>
        <v>0.123873</v>
      </c>
      <c r="T77" s="129">
        <f t="shared" ref="T77" si="22">SUM(T69:T76)</f>
        <v>0.123873</v>
      </c>
      <c r="U77" s="129">
        <f t="shared" ref="U77" si="23">SUM(U69:U76)</f>
        <v>0.123873</v>
      </c>
      <c r="V77" s="129">
        <f t="shared" ref="V77" si="24">SUM(V69:V76)</f>
        <v>0.16516400000000001</v>
      </c>
      <c r="W77" s="201"/>
      <c r="X77" s="119" t="s">
        <v>1876</v>
      </c>
      <c r="Y77" s="777">
        <f>SUM(Y69:Y76)</f>
        <v>0</v>
      </c>
      <c r="Z77" s="778">
        <f t="shared" ref="Z77:AK77" si="25">SUM(Z69:Z76)</f>
        <v>0</v>
      </c>
      <c r="AA77" s="778">
        <f t="shared" si="25"/>
        <v>0</v>
      </c>
      <c r="AB77" s="778">
        <f t="shared" si="25"/>
        <v>0</v>
      </c>
      <c r="AC77" s="778">
        <f t="shared" si="25"/>
        <v>9</v>
      </c>
      <c r="AD77" s="778">
        <f t="shared" si="25"/>
        <v>0</v>
      </c>
      <c r="AE77" s="778">
        <f t="shared" si="25"/>
        <v>6</v>
      </c>
      <c r="AF77" s="779">
        <f t="shared" si="25"/>
        <v>7</v>
      </c>
      <c r="AG77" s="777">
        <f t="shared" si="25"/>
        <v>6</v>
      </c>
      <c r="AH77" s="778">
        <f t="shared" si="25"/>
        <v>6</v>
      </c>
      <c r="AI77" s="778">
        <f t="shared" si="25"/>
        <v>6</v>
      </c>
      <c r="AJ77" s="778">
        <f t="shared" si="25"/>
        <v>6</v>
      </c>
      <c r="AK77" s="778">
        <f t="shared" si="25"/>
        <v>8</v>
      </c>
      <c r="AL77" s="201"/>
      <c r="AM77" s="185"/>
      <c r="AN77" s="185"/>
      <c r="AO77" s="185"/>
      <c r="AP77" s="185"/>
      <c r="AQ77" s="119" t="s">
        <v>2145</v>
      </c>
      <c r="AR77" s="129">
        <f>SUM(AR69:AR76)</f>
        <v>4500</v>
      </c>
      <c r="AS77" s="119" t="s">
        <v>2145</v>
      </c>
      <c r="AT77" s="130">
        <f>SUM(AT69:AT76)</f>
        <v>0</v>
      </c>
    </row>
    <row r="78" spans="1:46" s="98" customFormat="1" ht="15" customHeight="1">
      <c r="A78" s="99"/>
      <c r="B78" s="161"/>
      <c r="C78" s="116"/>
      <c r="D78" s="116"/>
      <c r="E78" s="116"/>
      <c r="F78" s="116"/>
      <c r="G78" s="117"/>
      <c r="H78" s="117"/>
      <c r="I78" s="117"/>
      <c r="J78" s="159"/>
      <c r="K78" s="117"/>
      <c r="L78" s="117"/>
      <c r="M78" s="117"/>
      <c r="N78" s="117"/>
      <c r="O78" s="117"/>
      <c r="P78" s="117"/>
      <c r="Q78" s="160"/>
      <c r="R78" s="159"/>
      <c r="S78" s="117"/>
      <c r="T78" s="117"/>
      <c r="U78" s="117"/>
      <c r="V78" s="208"/>
      <c r="W78" s="201"/>
      <c r="X78" s="117"/>
      <c r="Y78" s="878"/>
      <c r="Z78" s="881"/>
      <c r="AA78" s="881"/>
      <c r="AB78" s="881"/>
      <c r="AC78" s="881"/>
      <c r="AD78" s="881"/>
      <c r="AE78" s="881"/>
      <c r="AF78" s="880"/>
      <c r="AG78" s="878"/>
      <c r="AH78" s="881"/>
      <c r="AI78" s="881"/>
      <c r="AJ78" s="881"/>
      <c r="AK78" s="1108"/>
      <c r="AL78" s="201"/>
      <c r="AM78" s="185"/>
      <c r="AN78" s="185"/>
      <c r="AO78" s="185"/>
      <c r="AP78" s="185"/>
      <c r="AQ78" s="185"/>
      <c r="AR78" s="185"/>
      <c r="AS78" s="185"/>
      <c r="AT78" s="215"/>
    </row>
    <row r="79" spans="1:46" s="98" customFormat="1" ht="15" customHeight="1">
      <c r="A79" s="99"/>
      <c r="B79" s="161"/>
      <c r="C79" s="186" t="s">
        <v>2146</v>
      </c>
      <c r="D79" s="162"/>
      <c r="E79" s="162"/>
      <c r="F79" s="162"/>
      <c r="G79" s="163"/>
      <c r="H79" s="163"/>
      <c r="I79" s="117"/>
      <c r="J79" s="159"/>
      <c r="K79" s="117"/>
      <c r="L79" s="117"/>
      <c r="M79" s="117"/>
      <c r="N79" s="117"/>
      <c r="O79" s="117"/>
      <c r="P79" s="117"/>
      <c r="Q79" s="160"/>
      <c r="R79" s="159"/>
      <c r="S79" s="117"/>
      <c r="T79" s="117"/>
      <c r="U79" s="117"/>
      <c r="V79" s="208"/>
      <c r="W79" s="201"/>
      <c r="X79" s="117"/>
      <c r="Y79" s="878"/>
      <c r="Z79" s="881"/>
      <c r="AA79" s="881"/>
      <c r="AB79" s="881"/>
      <c r="AC79" s="881"/>
      <c r="AD79" s="881"/>
      <c r="AE79" s="881"/>
      <c r="AF79" s="880"/>
      <c r="AG79" s="878"/>
      <c r="AH79" s="881"/>
      <c r="AI79" s="881"/>
      <c r="AJ79" s="881"/>
      <c r="AK79" s="1108"/>
      <c r="AL79" s="201"/>
      <c r="AM79" s="209"/>
      <c r="AN79" s="209"/>
      <c r="AO79" s="209"/>
      <c r="AP79" s="209"/>
      <c r="AQ79" s="209"/>
      <c r="AR79" s="209"/>
      <c r="AS79" s="209"/>
      <c r="AT79" s="210"/>
    </row>
    <row r="80" spans="1:46" s="98" customFormat="1" ht="15" customHeight="1">
      <c r="A80" s="99"/>
      <c r="B80" s="161"/>
      <c r="C80" s="185"/>
      <c r="D80" s="162" t="s">
        <v>85</v>
      </c>
      <c r="E80" s="162"/>
      <c r="F80" s="162"/>
      <c r="G80" s="768" t="s">
        <v>2150</v>
      </c>
      <c r="H80" s="163"/>
      <c r="I80" s="119" t="s">
        <v>498</v>
      </c>
      <c r="J80" s="143">
        <v>0.54390127647242992</v>
      </c>
      <c r="K80" s="141">
        <v>0</v>
      </c>
      <c r="L80" s="141" t="s">
        <v>1127</v>
      </c>
      <c r="M80" s="141" t="s">
        <v>1127</v>
      </c>
      <c r="N80" s="141">
        <v>0</v>
      </c>
      <c r="O80" s="141">
        <v>0.42037455998903267</v>
      </c>
      <c r="P80" s="141">
        <v>0.1499675</v>
      </c>
      <c r="Q80" s="144">
        <v>0.17996100000000001</v>
      </c>
      <c r="R80" s="143">
        <v>0.20995449999999999</v>
      </c>
      <c r="S80" s="141">
        <v>0.17996100000000001</v>
      </c>
      <c r="T80" s="141">
        <v>0.17996100000000001</v>
      </c>
      <c r="U80" s="141">
        <v>0.17996100000000001</v>
      </c>
      <c r="V80" s="141">
        <v>0.17996100000000001</v>
      </c>
      <c r="W80" s="201"/>
      <c r="X80" s="119" t="s">
        <v>1876</v>
      </c>
      <c r="Y80" s="165">
        <v>16</v>
      </c>
      <c r="Z80" s="166">
        <v>0</v>
      </c>
      <c r="AA80" s="166">
        <v>0</v>
      </c>
      <c r="AB80" s="166">
        <v>0</v>
      </c>
      <c r="AC80" s="166">
        <v>0</v>
      </c>
      <c r="AD80" s="166">
        <v>15</v>
      </c>
      <c r="AE80" s="166">
        <v>5</v>
      </c>
      <c r="AF80" s="167">
        <v>6</v>
      </c>
      <c r="AG80" s="165">
        <v>7</v>
      </c>
      <c r="AH80" s="166">
        <v>6</v>
      </c>
      <c r="AI80" s="166">
        <v>6</v>
      </c>
      <c r="AJ80" s="166">
        <v>6</v>
      </c>
      <c r="AK80" s="166">
        <v>6</v>
      </c>
      <c r="AL80" s="201"/>
      <c r="AM80" s="209"/>
      <c r="AN80" s="209"/>
      <c r="AO80" s="209"/>
      <c r="AP80" s="209"/>
      <c r="AQ80" s="119" t="s">
        <v>2145</v>
      </c>
      <c r="AR80" s="456">
        <v>4500</v>
      </c>
      <c r="AS80" s="119" t="s">
        <v>2145</v>
      </c>
      <c r="AT80" s="457">
        <v>0</v>
      </c>
    </row>
    <row r="81" spans="1:46" s="98" customFormat="1" ht="15" customHeight="1">
      <c r="A81" s="99"/>
      <c r="B81" s="161"/>
      <c r="C81" s="185"/>
      <c r="D81" s="162" t="s">
        <v>85</v>
      </c>
      <c r="E81" s="162"/>
      <c r="F81" s="162"/>
      <c r="G81" s="768"/>
      <c r="H81" s="163"/>
      <c r="I81" s="119" t="s">
        <v>498</v>
      </c>
      <c r="J81" s="143">
        <v>0</v>
      </c>
      <c r="K81" s="141">
        <v>0</v>
      </c>
      <c r="L81" s="141">
        <v>0</v>
      </c>
      <c r="M81" s="141">
        <v>0</v>
      </c>
      <c r="N81" s="141">
        <v>0</v>
      </c>
      <c r="O81" s="141">
        <v>0</v>
      </c>
      <c r="P81" s="141">
        <v>0</v>
      </c>
      <c r="Q81" s="144">
        <v>0</v>
      </c>
      <c r="R81" s="143">
        <v>0</v>
      </c>
      <c r="S81" s="141">
        <v>0</v>
      </c>
      <c r="T81" s="141">
        <v>0</v>
      </c>
      <c r="U81" s="141">
        <v>0</v>
      </c>
      <c r="V81" s="141">
        <v>0</v>
      </c>
      <c r="W81" s="201"/>
      <c r="X81" s="119" t="s">
        <v>1876</v>
      </c>
      <c r="Y81" s="165">
        <v>0</v>
      </c>
      <c r="Z81" s="166">
        <v>0</v>
      </c>
      <c r="AA81" s="166">
        <v>0</v>
      </c>
      <c r="AB81" s="166">
        <v>0</v>
      </c>
      <c r="AC81" s="166">
        <v>0</v>
      </c>
      <c r="AD81" s="166">
        <v>0</v>
      </c>
      <c r="AE81" s="166">
        <v>0</v>
      </c>
      <c r="AF81" s="167">
        <v>0</v>
      </c>
      <c r="AG81" s="165">
        <v>0</v>
      </c>
      <c r="AH81" s="166">
        <v>0</v>
      </c>
      <c r="AI81" s="166">
        <v>0</v>
      </c>
      <c r="AJ81" s="166">
        <v>0</v>
      </c>
      <c r="AK81" s="166">
        <v>0</v>
      </c>
      <c r="AL81" s="201"/>
      <c r="AM81" s="209"/>
      <c r="AN81" s="209"/>
      <c r="AO81" s="209"/>
      <c r="AP81" s="209"/>
      <c r="AQ81" s="119" t="s">
        <v>2145</v>
      </c>
      <c r="AR81" s="456">
        <v>0</v>
      </c>
      <c r="AS81" s="119" t="s">
        <v>2145</v>
      </c>
      <c r="AT81" s="457">
        <v>0</v>
      </c>
    </row>
    <row r="82" spans="1:46" s="98" customFormat="1" ht="15" customHeight="1">
      <c r="A82" s="99"/>
      <c r="B82" s="161"/>
      <c r="C82" s="185"/>
      <c r="D82" s="162" t="s">
        <v>85</v>
      </c>
      <c r="E82" s="162"/>
      <c r="F82" s="162"/>
      <c r="G82" s="768"/>
      <c r="H82" s="163"/>
      <c r="I82" s="119" t="s">
        <v>498</v>
      </c>
      <c r="J82" s="143">
        <v>0</v>
      </c>
      <c r="K82" s="141">
        <v>0</v>
      </c>
      <c r="L82" s="141">
        <v>0</v>
      </c>
      <c r="M82" s="141">
        <v>0</v>
      </c>
      <c r="N82" s="141">
        <v>0</v>
      </c>
      <c r="O82" s="141">
        <v>0</v>
      </c>
      <c r="P82" s="141">
        <v>0</v>
      </c>
      <c r="Q82" s="144">
        <v>0</v>
      </c>
      <c r="R82" s="143">
        <v>0</v>
      </c>
      <c r="S82" s="141">
        <v>0</v>
      </c>
      <c r="T82" s="141">
        <v>0</v>
      </c>
      <c r="U82" s="141">
        <v>0</v>
      </c>
      <c r="V82" s="141">
        <v>0</v>
      </c>
      <c r="W82" s="201"/>
      <c r="X82" s="119" t="s">
        <v>1876</v>
      </c>
      <c r="Y82" s="165">
        <v>0</v>
      </c>
      <c r="Z82" s="166">
        <v>0</v>
      </c>
      <c r="AA82" s="166">
        <v>0</v>
      </c>
      <c r="AB82" s="166">
        <v>0</v>
      </c>
      <c r="AC82" s="166">
        <v>0</v>
      </c>
      <c r="AD82" s="166">
        <v>0</v>
      </c>
      <c r="AE82" s="166">
        <v>0</v>
      </c>
      <c r="AF82" s="167">
        <v>0</v>
      </c>
      <c r="AG82" s="165">
        <v>0</v>
      </c>
      <c r="AH82" s="166">
        <v>0</v>
      </c>
      <c r="AI82" s="166">
        <v>0</v>
      </c>
      <c r="AJ82" s="166">
        <v>0</v>
      </c>
      <c r="AK82" s="166">
        <v>0</v>
      </c>
      <c r="AL82" s="201"/>
      <c r="AM82" s="209"/>
      <c r="AN82" s="209"/>
      <c r="AO82" s="209"/>
      <c r="AP82" s="209"/>
      <c r="AQ82" s="119" t="s">
        <v>2145</v>
      </c>
      <c r="AR82" s="456">
        <v>0</v>
      </c>
      <c r="AS82" s="119" t="s">
        <v>2145</v>
      </c>
      <c r="AT82" s="457">
        <v>0</v>
      </c>
    </row>
    <row r="83" spans="1:46" s="98" customFormat="1" ht="15" customHeight="1">
      <c r="A83" s="99"/>
      <c r="B83" s="161"/>
      <c r="C83" s="185"/>
      <c r="D83" s="162" t="s">
        <v>85</v>
      </c>
      <c r="E83" s="162"/>
      <c r="F83" s="162"/>
      <c r="G83" s="768"/>
      <c r="H83" s="163"/>
      <c r="I83" s="119" t="s">
        <v>498</v>
      </c>
      <c r="J83" s="143">
        <v>0</v>
      </c>
      <c r="K83" s="141">
        <v>0</v>
      </c>
      <c r="L83" s="141">
        <v>0</v>
      </c>
      <c r="M83" s="141">
        <v>0</v>
      </c>
      <c r="N83" s="141">
        <v>0</v>
      </c>
      <c r="O83" s="141">
        <v>0</v>
      </c>
      <c r="P83" s="141">
        <v>0</v>
      </c>
      <c r="Q83" s="144">
        <v>0</v>
      </c>
      <c r="R83" s="143">
        <v>0</v>
      </c>
      <c r="S83" s="141">
        <v>0</v>
      </c>
      <c r="T83" s="141">
        <v>0</v>
      </c>
      <c r="U83" s="141">
        <v>0</v>
      </c>
      <c r="V83" s="141">
        <v>0</v>
      </c>
      <c r="W83" s="201"/>
      <c r="X83" s="119" t="s">
        <v>1876</v>
      </c>
      <c r="Y83" s="165">
        <v>0</v>
      </c>
      <c r="Z83" s="166">
        <v>0</v>
      </c>
      <c r="AA83" s="166">
        <v>0</v>
      </c>
      <c r="AB83" s="166">
        <v>0</v>
      </c>
      <c r="AC83" s="166">
        <v>0</v>
      </c>
      <c r="AD83" s="166">
        <v>0</v>
      </c>
      <c r="AE83" s="166">
        <v>0</v>
      </c>
      <c r="AF83" s="167">
        <v>0</v>
      </c>
      <c r="AG83" s="165">
        <v>0</v>
      </c>
      <c r="AH83" s="166">
        <v>0</v>
      </c>
      <c r="AI83" s="166">
        <v>0</v>
      </c>
      <c r="AJ83" s="166">
        <v>0</v>
      </c>
      <c r="AK83" s="166">
        <v>0</v>
      </c>
      <c r="AL83" s="201"/>
      <c r="AM83" s="209"/>
      <c r="AN83" s="209"/>
      <c r="AO83" s="209"/>
      <c r="AP83" s="209"/>
      <c r="AQ83" s="119" t="s">
        <v>2145</v>
      </c>
      <c r="AR83" s="456">
        <v>0</v>
      </c>
      <c r="AS83" s="119" t="s">
        <v>2145</v>
      </c>
      <c r="AT83" s="457">
        <v>0</v>
      </c>
    </row>
    <row r="84" spans="1:46" s="98" customFormat="1" ht="15" customHeight="1">
      <c r="A84" s="99"/>
      <c r="B84" s="161"/>
      <c r="C84" s="185"/>
      <c r="D84" s="162" t="s">
        <v>85</v>
      </c>
      <c r="E84" s="162"/>
      <c r="F84" s="162"/>
      <c r="G84" s="768"/>
      <c r="H84" s="163"/>
      <c r="I84" s="119" t="s">
        <v>498</v>
      </c>
      <c r="J84" s="143">
        <v>0</v>
      </c>
      <c r="K84" s="141">
        <v>0</v>
      </c>
      <c r="L84" s="141">
        <v>0</v>
      </c>
      <c r="M84" s="141">
        <v>0</v>
      </c>
      <c r="N84" s="141">
        <v>0</v>
      </c>
      <c r="O84" s="141">
        <v>0</v>
      </c>
      <c r="P84" s="141">
        <v>0</v>
      </c>
      <c r="Q84" s="144">
        <v>0</v>
      </c>
      <c r="R84" s="143">
        <v>0</v>
      </c>
      <c r="S84" s="141">
        <v>0</v>
      </c>
      <c r="T84" s="141">
        <v>0</v>
      </c>
      <c r="U84" s="141">
        <v>0</v>
      </c>
      <c r="V84" s="141">
        <v>0</v>
      </c>
      <c r="W84" s="201"/>
      <c r="X84" s="119" t="s">
        <v>1876</v>
      </c>
      <c r="Y84" s="165">
        <v>0</v>
      </c>
      <c r="Z84" s="166">
        <v>0</v>
      </c>
      <c r="AA84" s="166">
        <v>0</v>
      </c>
      <c r="AB84" s="166">
        <v>0</v>
      </c>
      <c r="AC84" s="166">
        <v>0</v>
      </c>
      <c r="AD84" s="166">
        <v>0</v>
      </c>
      <c r="AE84" s="166">
        <v>0</v>
      </c>
      <c r="AF84" s="167">
        <v>0</v>
      </c>
      <c r="AG84" s="165">
        <v>0</v>
      </c>
      <c r="AH84" s="166">
        <v>0</v>
      </c>
      <c r="AI84" s="166">
        <v>0</v>
      </c>
      <c r="AJ84" s="166">
        <v>0</v>
      </c>
      <c r="AK84" s="166">
        <v>0</v>
      </c>
      <c r="AL84" s="201"/>
      <c r="AM84" s="209"/>
      <c r="AN84" s="209"/>
      <c r="AO84" s="209"/>
      <c r="AP84" s="209"/>
      <c r="AQ84" s="119" t="s">
        <v>2145</v>
      </c>
      <c r="AR84" s="456">
        <v>0</v>
      </c>
      <c r="AS84" s="119" t="s">
        <v>2145</v>
      </c>
      <c r="AT84" s="457">
        <v>0</v>
      </c>
    </row>
    <row r="85" spans="1:46" s="98" customFormat="1" ht="15" customHeight="1">
      <c r="A85" s="99"/>
      <c r="B85" s="161"/>
      <c r="C85" s="185"/>
      <c r="D85" s="162" t="s">
        <v>85</v>
      </c>
      <c r="E85" s="162"/>
      <c r="F85" s="162"/>
      <c r="G85" s="768"/>
      <c r="H85" s="163"/>
      <c r="I85" s="119" t="s">
        <v>498</v>
      </c>
      <c r="J85" s="143">
        <v>0</v>
      </c>
      <c r="K85" s="141">
        <v>0</v>
      </c>
      <c r="L85" s="141">
        <v>0</v>
      </c>
      <c r="M85" s="141">
        <v>0</v>
      </c>
      <c r="N85" s="141">
        <v>0</v>
      </c>
      <c r="O85" s="141">
        <v>0</v>
      </c>
      <c r="P85" s="141">
        <v>0</v>
      </c>
      <c r="Q85" s="144">
        <v>0</v>
      </c>
      <c r="R85" s="143">
        <v>0</v>
      </c>
      <c r="S85" s="141">
        <v>0</v>
      </c>
      <c r="T85" s="141">
        <v>0</v>
      </c>
      <c r="U85" s="141">
        <v>0</v>
      </c>
      <c r="V85" s="141">
        <v>0</v>
      </c>
      <c r="W85" s="201"/>
      <c r="X85" s="119" t="s">
        <v>1876</v>
      </c>
      <c r="Y85" s="165">
        <v>0</v>
      </c>
      <c r="Z85" s="166">
        <v>0</v>
      </c>
      <c r="AA85" s="166">
        <v>0</v>
      </c>
      <c r="AB85" s="166">
        <v>0</v>
      </c>
      <c r="AC85" s="166">
        <v>0</v>
      </c>
      <c r="AD85" s="166">
        <v>0</v>
      </c>
      <c r="AE85" s="166">
        <v>0</v>
      </c>
      <c r="AF85" s="167">
        <v>0</v>
      </c>
      <c r="AG85" s="165">
        <v>0</v>
      </c>
      <c r="AH85" s="166">
        <v>0</v>
      </c>
      <c r="AI85" s="166">
        <v>0</v>
      </c>
      <c r="AJ85" s="166">
        <v>0</v>
      </c>
      <c r="AK85" s="166">
        <v>0</v>
      </c>
      <c r="AL85" s="201"/>
      <c r="AM85" s="209"/>
      <c r="AN85" s="209"/>
      <c r="AO85" s="209"/>
      <c r="AP85" s="209"/>
      <c r="AQ85" s="119" t="s">
        <v>2145</v>
      </c>
      <c r="AR85" s="456">
        <v>0</v>
      </c>
      <c r="AS85" s="119" t="s">
        <v>2145</v>
      </c>
      <c r="AT85" s="457">
        <v>0</v>
      </c>
    </row>
    <row r="86" spans="1:46" s="98" customFormat="1" ht="15" customHeight="1">
      <c r="A86" s="99"/>
      <c r="B86" s="161"/>
      <c r="C86" s="185"/>
      <c r="D86" s="162" t="s">
        <v>85</v>
      </c>
      <c r="E86" s="162"/>
      <c r="F86" s="162"/>
      <c r="G86" s="768"/>
      <c r="H86" s="163"/>
      <c r="I86" s="119" t="s">
        <v>498</v>
      </c>
      <c r="J86" s="143">
        <v>0</v>
      </c>
      <c r="K86" s="141">
        <v>0</v>
      </c>
      <c r="L86" s="141">
        <v>0</v>
      </c>
      <c r="M86" s="141">
        <v>0</v>
      </c>
      <c r="N86" s="141">
        <v>0</v>
      </c>
      <c r="O86" s="141">
        <v>0</v>
      </c>
      <c r="P86" s="141">
        <v>0</v>
      </c>
      <c r="Q86" s="144">
        <v>0</v>
      </c>
      <c r="R86" s="143">
        <v>0</v>
      </c>
      <c r="S86" s="141">
        <v>0</v>
      </c>
      <c r="T86" s="141">
        <v>0</v>
      </c>
      <c r="U86" s="141">
        <v>0</v>
      </c>
      <c r="V86" s="141">
        <v>0</v>
      </c>
      <c r="W86" s="201"/>
      <c r="X86" s="119" t="s">
        <v>1876</v>
      </c>
      <c r="Y86" s="165">
        <v>0</v>
      </c>
      <c r="Z86" s="166">
        <v>0</v>
      </c>
      <c r="AA86" s="166">
        <v>0</v>
      </c>
      <c r="AB86" s="166">
        <v>0</v>
      </c>
      <c r="AC86" s="166">
        <v>0</v>
      </c>
      <c r="AD86" s="166">
        <v>0</v>
      </c>
      <c r="AE86" s="166">
        <v>0</v>
      </c>
      <c r="AF86" s="167">
        <v>0</v>
      </c>
      <c r="AG86" s="165">
        <v>0</v>
      </c>
      <c r="AH86" s="166">
        <v>0</v>
      </c>
      <c r="AI86" s="166">
        <v>0</v>
      </c>
      <c r="AJ86" s="166">
        <v>0</v>
      </c>
      <c r="AK86" s="166">
        <v>0</v>
      </c>
      <c r="AL86" s="201"/>
      <c r="AM86" s="209"/>
      <c r="AN86" s="209"/>
      <c r="AO86" s="209"/>
      <c r="AP86" s="209"/>
      <c r="AQ86" s="119" t="s">
        <v>2145</v>
      </c>
      <c r="AR86" s="456">
        <v>0</v>
      </c>
      <c r="AS86" s="119" t="s">
        <v>2145</v>
      </c>
      <c r="AT86" s="457">
        <v>0</v>
      </c>
    </row>
    <row r="87" spans="1:46" s="98" customFormat="1" ht="15" customHeight="1">
      <c r="A87" s="99"/>
      <c r="B87" s="161"/>
      <c r="C87" s="185"/>
      <c r="D87" s="162" t="s">
        <v>85</v>
      </c>
      <c r="E87" s="162"/>
      <c r="F87" s="162"/>
      <c r="G87" s="768"/>
      <c r="H87" s="163"/>
      <c r="I87" s="119" t="s">
        <v>498</v>
      </c>
      <c r="J87" s="143">
        <v>0</v>
      </c>
      <c r="K87" s="141">
        <v>0</v>
      </c>
      <c r="L87" s="141">
        <v>0</v>
      </c>
      <c r="M87" s="141">
        <v>0</v>
      </c>
      <c r="N87" s="141">
        <v>0</v>
      </c>
      <c r="O87" s="141">
        <v>0</v>
      </c>
      <c r="P87" s="141">
        <v>0</v>
      </c>
      <c r="Q87" s="144">
        <v>0</v>
      </c>
      <c r="R87" s="143">
        <v>0</v>
      </c>
      <c r="S87" s="141">
        <v>0</v>
      </c>
      <c r="T87" s="141">
        <v>0</v>
      </c>
      <c r="U87" s="141">
        <v>0</v>
      </c>
      <c r="V87" s="141">
        <v>0</v>
      </c>
      <c r="W87" s="201"/>
      <c r="X87" s="119" t="s">
        <v>1876</v>
      </c>
      <c r="Y87" s="165">
        <v>0</v>
      </c>
      <c r="Z87" s="166">
        <v>0</v>
      </c>
      <c r="AA87" s="166">
        <v>0</v>
      </c>
      <c r="AB87" s="166">
        <v>0</v>
      </c>
      <c r="AC87" s="166">
        <v>0</v>
      </c>
      <c r="AD87" s="166">
        <v>0</v>
      </c>
      <c r="AE87" s="166">
        <v>0</v>
      </c>
      <c r="AF87" s="167">
        <v>0</v>
      </c>
      <c r="AG87" s="165">
        <v>0</v>
      </c>
      <c r="AH87" s="166">
        <v>0</v>
      </c>
      <c r="AI87" s="166">
        <v>0</v>
      </c>
      <c r="AJ87" s="166">
        <v>0</v>
      </c>
      <c r="AK87" s="166">
        <v>0</v>
      </c>
      <c r="AL87" s="201"/>
      <c r="AM87" s="209"/>
      <c r="AN87" s="209"/>
      <c r="AO87" s="209"/>
      <c r="AP87" s="209"/>
      <c r="AQ87" s="119" t="s">
        <v>2145</v>
      </c>
      <c r="AR87" s="456">
        <v>0</v>
      </c>
      <c r="AS87" s="119" t="s">
        <v>2145</v>
      </c>
      <c r="AT87" s="457">
        <v>0</v>
      </c>
    </row>
    <row r="88" spans="1:46" s="98" customFormat="1" ht="15" customHeight="1">
      <c r="A88" s="99"/>
      <c r="B88" s="181"/>
      <c r="C88" s="182" t="s">
        <v>1710</v>
      </c>
      <c r="D88" s="183"/>
      <c r="E88" s="183"/>
      <c r="F88" s="183"/>
      <c r="G88" s="184"/>
      <c r="H88" s="184"/>
      <c r="I88" s="119" t="s">
        <v>498</v>
      </c>
      <c r="J88" s="128">
        <f>SUM(J80:J87)</f>
        <v>0.54390127647242992</v>
      </c>
      <c r="K88" s="129">
        <f t="shared" ref="K88" si="26">SUM(K80:K87)</f>
        <v>0</v>
      </c>
      <c r="L88" s="129">
        <f t="shared" ref="L88" si="27">SUM(L80:L87)</f>
        <v>0</v>
      </c>
      <c r="M88" s="129">
        <f t="shared" ref="M88" si="28">SUM(M80:M87)</f>
        <v>0</v>
      </c>
      <c r="N88" s="129">
        <f t="shared" ref="N88" si="29">SUM(N80:N87)</f>
        <v>0</v>
      </c>
      <c r="O88" s="129">
        <f t="shared" ref="O88" si="30">SUM(O80:O87)</f>
        <v>0.42037455998903267</v>
      </c>
      <c r="P88" s="129">
        <f t="shared" ref="P88" si="31">SUM(P80:P87)</f>
        <v>0.1499675</v>
      </c>
      <c r="Q88" s="130">
        <f t="shared" ref="Q88" si="32">SUM(Q80:Q87)</f>
        <v>0.17996100000000001</v>
      </c>
      <c r="R88" s="128">
        <f t="shared" ref="R88" si="33">SUM(R80:R87)</f>
        <v>0.20995449999999999</v>
      </c>
      <c r="S88" s="129">
        <f t="shared" ref="S88" si="34">SUM(S80:S87)</f>
        <v>0.17996100000000001</v>
      </c>
      <c r="T88" s="129">
        <f t="shared" ref="T88" si="35">SUM(T80:T87)</f>
        <v>0.17996100000000001</v>
      </c>
      <c r="U88" s="129">
        <f t="shared" ref="U88" si="36">SUM(U80:U87)</f>
        <v>0.17996100000000001</v>
      </c>
      <c r="V88" s="129">
        <f t="shared" ref="V88" si="37">SUM(V80:V87)</f>
        <v>0.17996100000000001</v>
      </c>
      <c r="W88" s="201"/>
      <c r="X88" s="119" t="s">
        <v>1876</v>
      </c>
      <c r="Y88" s="777">
        <f>SUM(Y80:Y87)</f>
        <v>16</v>
      </c>
      <c r="Z88" s="778">
        <f t="shared" ref="Z88:AK88" si="38">SUM(Z80:Z87)</f>
        <v>0</v>
      </c>
      <c r="AA88" s="778">
        <f t="shared" si="38"/>
        <v>0</v>
      </c>
      <c r="AB88" s="778">
        <f t="shared" si="38"/>
        <v>0</v>
      </c>
      <c r="AC88" s="778">
        <f t="shared" si="38"/>
        <v>0</v>
      </c>
      <c r="AD88" s="778">
        <f t="shared" si="38"/>
        <v>15</v>
      </c>
      <c r="AE88" s="778">
        <f t="shared" si="38"/>
        <v>5</v>
      </c>
      <c r="AF88" s="779">
        <f t="shared" si="38"/>
        <v>6</v>
      </c>
      <c r="AG88" s="777">
        <f t="shared" si="38"/>
        <v>7</v>
      </c>
      <c r="AH88" s="778">
        <f t="shared" si="38"/>
        <v>6</v>
      </c>
      <c r="AI88" s="778">
        <f t="shared" si="38"/>
        <v>6</v>
      </c>
      <c r="AJ88" s="778">
        <f t="shared" si="38"/>
        <v>6</v>
      </c>
      <c r="AK88" s="778">
        <f t="shared" si="38"/>
        <v>6</v>
      </c>
      <c r="AL88" s="201"/>
      <c r="AM88" s="209"/>
      <c r="AN88" s="209"/>
      <c r="AO88" s="209"/>
      <c r="AP88" s="209"/>
      <c r="AQ88" s="119" t="s">
        <v>2145</v>
      </c>
      <c r="AR88" s="129">
        <f>SUM(AR80:AR87)</f>
        <v>4500</v>
      </c>
      <c r="AS88" s="119" t="s">
        <v>2145</v>
      </c>
      <c r="AT88" s="130">
        <f>SUM(AT80:AT87)</f>
        <v>0</v>
      </c>
    </row>
    <row r="89" spans="1:46" s="98" customFormat="1" ht="15" customHeight="1">
      <c r="A89" s="99"/>
      <c r="B89" s="161"/>
      <c r="C89" s="116"/>
      <c r="D89" s="116"/>
      <c r="E89" s="116"/>
      <c r="F89" s="116"/>
      <c r="G89" s="117"/>
      <c r="H89" s="117"/>
      <c r="I89" s="117"/>
      <c r="J89" s="159"/>
      <c r="K89" s="117"/>
      <c r="L89" s="117"/>
      <c r="M89" s="117"/>
      <c r="N89" s="117"/>
      <c r="O89" s="117"/>
      <c r="P89" s="117"/>
      <c r="Q89" s="160"/>
      <c r="R89" s="159"/>
      <c r="S89" s="117"/>
      <c r="T89" s="117"/>
      <c r="U89" s="117"/>
      <c r="V89" s="208"/>
      <c r="W89" s="201"/>
      <c r="X89" s="117"/>
      <c r="Y89" s="878"/>
      <c r="Z89" s="881"/>
      <c r="AA89" s="881"/>
      <c r="AB89" s="881"/>
      <c r="AC89" s="881"/>
      <c r="AD89" s="881"/>
      <c r="AE89" s="881"/>
      <c r="AF89" s="880"/>
      <c r="AG89" s="878"/>
      <c r="AH89" s="881"/>
      <c r="AI89" s="881"/>
      <c r="AJ89" s="881"/>
      <c r="AK89" s="1108"/>
      <c r="AL89" s="201"/>
      <c r="AM89" s="209"/>
      <c r="AN89" s="209"/>
      <c r="AO89" s="209"/>
      <c r="AP89" s="209"/>
      <c r="AQ89" s="185"/>
      <c r="AR89" s="185"/>
      <c r="AS89" s="185"/>
      <c r="AT89" s="215"/>
    </row>
    <row r="90" spans="1:46" s="98" customFormat="1" ht="15" customHeight="1">
      <c r="A90" s="99"/>
      <c r="B90" s="161"/>
      <c r="C90" s="186" t="s">
        <v>2147</v>
      </c>
      <c r="D90" s="162"/>
      <c r="E90" s="162"/>
      <c r="F90" s="162"/>
      <c r="G90" s="163"/>
      <c r="H90" s="163"/>
      <c r="I90" s="117"/>
      <c r="J90" s="159"/>
      <c r="K90" s="117"/>
      <c r="L90" s="117"/>
      <c r="M90" s="117"/>
      <c r="N90" s="117"/>
      <c r="O90" s="117"/>
      <c r="P90" s="117"/>
      <c r="Q90" s="160"/>
      <c r="R90" s="159"/>
      <c r="S90" s="117"/>
      <c r="T90" s="117"/>
      <c r="U90" s="117"/>
      <c r="V90" s="208"/>
      <c r="W90" s="201"/>
      <c r="X90" s="117"/>
      <c r="Y90" s="878"/>
      <c r="Z90" s="881"/>
      <c r="AA90" s="881"/>
      <c r="AB90" s="881"/>
      <c r="AC90" s="881"/>
      <c r="AD90" s="881"/>
      <c r="AE90" s="881"/>
      <c r="AF90" s="880"/>
      <c r="AG90" s="878"/>
      <c r="AH90" s="881"/>
      <c r="AI90" s="881"/>
      <c r="AJ90" s="881"/>
      <c r="AK90" s="1108"/>
      <c r="AL90" s="201"/>
      <c r="AM90" s="209"/>
      <c r="AN90" s="209"/>
      <c r="AO90" s="209"/>
      <c r="AP90" s="209"/>
      <c r="AQ90" s="209"/>
      <c r="AR90" s="209"/>
      <c r="AS90" s="209"/>
      <c r="AT90" s="210"/>
    </row>
    <row r="91" spans="1:46" s="98" customFormat="1" ht="15" customHeight="1">
      <c r="A91" s="99"/>
      <c r="B91" s="161"/>
      <c r="C91" s="185"/>
      <c r="D91" s="162" t="s">
        <v>85</v>
      </c>
      <c r="E91" s="162"/>
      <c r="F91" s="162"/>
      <c r="G91" s="768" t="s">
        <v>2150</v>
      </c>
      <c r="H91" s="163"/>
      <c r="I91" s="119" t="s">
        <v>498</v>
      </c>
      <c r="J91" s="143">
        <v>0.40792595735432241</v>
      </c>
      <c r="K91" s="141">
        <v>0</v>
      </c>
      <c r="L91" s="141" t="s">
        <v>1127</v>
      </c>
      <c r="M91" s="141" t="s">
        <v>1127</v>
      </c>
      <c r="N91" s="141">
        <v>0</v>
      </c>
      <c r="O91" s="141">
        <v>0</v>
      </c>
      <c r="P91" s="141">
        <v>0</v>
      </c>
      <c r="Q91" s="144">
        <v>0</v>
      </c>
      <c r="R91" s="143">
        <v>0</v>
      </c>
      <c r="S91" s="141">
        <v>0</v>
      </c>
      <c r="T91" s="141">
        <v>0</v>
      </c>
      <c r="U91" s="141">
        <v>0</v>
      </c>
      <c r="V91" s="141">
        <v>0</v>
      </c>
      <c r="W91" s="201"/>
      <c r="X91" s="119" t="s">
        <v>1876</v>
      </c>
      <c r="Y91" s="165">
        <v>12</v>
      </c>
      <c r="Z91" s="166">
        <v>0</v>
      </c>
      <c r="AA91" s="166">
        <v>0</v>
      </c>
      <c r="AB91" s="166">
        <v>0</v>
      </c>
      <c r="AC91" s="166">
        <v>0</v>
      </c>
      <c r="AD91" s="166">
        <v>0</v>
      </c>
      <c r="AE91" s="166">
        <v>0</v>
      </c>
      <c r="AF91" s="167">
        <v>0</v>
      </c>
      <c r="AG91" s="165">
        <v>0</v>
      </c>
      <c r="AH91" s="166">
        <v>0</v>
      </c>
      <c r="AI91" s="166">
        <v>0</v>
      </c>
      <c r="AJ91" s="166">
        <v>0</v>
      </c>
      <c r="AK91" s="166">
        <v>0</v>
      </c>
      <c r="AL91" s="201"/>
      <c r="AM91" s="209"/>
      <c r="AN91" s="209"/>
      <c r="AO91" s="209"/>
      <c r="AP91" s="209"/>
      <c r="AQ91" s="119" t="s">
        <v>2145</v>
      </c>
      <c r="AR91" s="456">
        <v>0</v>
      </c>
      <c r="AS91" s="119" t="s">
        <v>2145</v>
      </c>
      <c r="AT91" s="457">
        <v>0</v>
      </c>
    </row>
    <row r="92" spans="1:46" s="98" customFormat="1" ht="15" customHeight="1">
      <c r="A92" s="99"/>
      <c r="B92" s="161"/>
      <c r="C92" s="185"/>
      <c r="D92" s="162" t="s">
        <v>85</v>
      </c>
      <c r="E92" s="162"/>
      <c r="F92" s="162"/>
      <c r="G92" s="768"/>
      <c r="H92" s="163"/>
      <c r="I92" s="119" t="s">
        <v>498</v>
      </c>
      <c r="J92" s="143">
        <v>0</v>
      </c>
      <c r="K92" s="141">
        <v>0</v>
      </c>
      <c r="L92" s="141">
        <v>0</v>
      </c>
      <c r="M92" s="141">
        <v>0</v>
      </c>
      <c r="N92" s="141">
        <v>0</v>
      </c>
      <c r="O92" s="141">
        <v>0</v>
      </c>
      <c r="P92" s="141">
        <v>0</v>
      </c>
      <c r="Q92" s="144">
        <v>0</v>
      </c>
      <c r="R92" s="143">
        <v>0</v>
      </c>
      <c r="S92" s="141">
        <v>0</v>
      </c>
      <c r="T92" s="141">
        <v>0</v>
      </c>
      <c r="U92" s="141">
        <v>0</v>
      </c>
      <c r="V92" s="141">
        <v>0</v>
      </c>
      <c r="W92" s="201"/>
      <c r="X92" s="119" t="s">
        <v>1876</v>
      </c>
      <c r="Y92" s="165">
        <v>0</v>
      </c>
      <c r="Z92" s="166">
        <v>0</v>
      </c>
      <c r="AA92" s="166">
        <v>0</v>
      </c>
      <c r="AB92" s="166">
        <v>0</v>
      </c>
      <c r="AC92" s="166">
        <v>0</v>
      </c>
      <c r="AD92" s="166">
        <v>0</v>
      </c>
      <c r="AE92" s="166">
        <v>0</v>
      </c>
      <c r="AF92" s="167">
        <v>0</v>
      </c>
      <c r="AG92" s="165">
        <v>0</v>
      </c>
      <c r="AH92" s="166">
        <v>0</v>
      </c>
      <c r="AI92" s="166">
        <v>0</v>
      </c>
      <c r="AJ92" s="166">
        <v>0</v>
      </c>
      <c r="AK92" s="166">
        <v>0</v>
      </c>
      <c r="AL92" s="201"/>
      <c r="AM92" s="209"/>
      <c r="AN92" s="209"/>
      <c r="AO92" s="209"/>
      <c r="AP92" s="209"/>
      <c r="AQ92" s="119" t="s">
        <v>2145</v>
      </c>
      <c r="AR92" s="456">
        <v>0</v>
      </c>
      <c r="AS92" s="119" t="s">
        <v>2145</v>
      </c>
      <c r="AT92" s="457">
        <v>0</v>
      </c>
    </row>
    <row r="93" spans="1:46" s="98" customFormat="1" ht="15" customHeight="1">
      <c r="A93" s="99"/>
      <c r="B93" s="161"/>
      <c r="C93" s="185"/>
      <c r="D93" s="162" t="s">
        <v>85</v>
      </c>
      <c r="E93" s="162"/>
      <c r="F93" s="162"/>
      <c r="G93" s="768"/>
      <c r="H93" s="163"/>
      <c r="I93" s="119" t="s">
        <v>498</v>
      </c>
      <c r="J93" s="143">
        <v>0</v>
      </c>
      <c r="K93" s="141">
        <v>0</v>
      </c>
      <c r="L93" s="141">
        <v>0</v>
      </c>
      <c r="M93" s="141">
        <v>0</v>
      </c>
      <c r="N93" s="141">
        <v>0</v>
      </c>
      <c r="O93" s="141">
        <v>0</v>
      </c>
      <c r="P93" s="141">
        <v>0</v>
      </c>
      <c r="Q93" s="144">
        <v>0</v>
      </c>
      <c r="R93" s="143">
        <v>0</v>
      </c>
      <c r="S93" s="141">
        <v>0</v>
      </c>
      <c r="T93" s="141">
        <v>0</v>
      </c>
      <c r="U93" s="141">
        <v>0</v>
      </c>
      <c r="V93" s="141">
        <v>0</v>
      </c>
      <c r="W93" s="201"/>
      <c r="X93" s="119" t="s">
        <v>1876</v>
      </c>
      <c r="Y93" s="165">
        <v>0</v>
      </c>
      <c r="Z93" s="166">
        <v>0</v>
      </c>
      <c r="AA93" s="166">
        <v>0</v>
      </c>
      <c r="AB93" s="166">
        <v>0</v>
      </c>
      <c r="AC93" s="166">
        <v>0</v>
      </c>
      <c r="AD93" s="166">
        <v>0</v>
      </c>
      <c r="AE93" s="166">
        <v>0</v>
      </c>
      <c r="AF93" s="167">
        <v>0</v>
      </c>
      <c r="AG93" s="165">
        <v>0</v>
      </c>
      <c r="AH93" s="166">
        <v>0</v>
      </c>
      <c r="AI93" s="166">
        <v>0</v>
      </c>
      <c r="AJ93" s="166">
        <v>0</v>
      </c>
      <c r="AK93" s="166">
        <v>0</v>
      </c>
      <c r="AL93" s="201"/>
      <c r="AM93" s="209"/>
      <c r="AN93" s="209"/>
      <c r="AO93" s="209"/>
      <c r="AP93" s="209"/>
      <c r="AQ93" s="119" t="s">
        <v>2145</v>
      </c>
      <c r="AR93" s="456">
        <v>0</v>
      </c>
      <c r="AS93" s="119" t="s">
        <v>2145</v>
      </c>
      <c r="AT93" s="457">
        <v>0</v>
      </c>
    </row>
    <row r="94" spans="1:46" s="98" customFormat="1" ht="15" customHeight="1">
      <c r="A94" s="99"/>
      <c r="B94" s="161"/>
      <c r="C94" s="185"/>
      <c r="D94" s="162" t="s">
        <v>85</v>
      </c>
      <c r="E94" s="162"/>
      <c r="F94" s="162"/>
      <c r="G94" s="768"/>
      <c r="H94" s="163"/>
      <c r="I94" s="119" t="s">
        <v>498</v>
      </c>
      <c r="J94" s="143">
        <v>0</v>
      </c>
      <c r="K94" s="141">
        <v>0</v>
      </c>
      <c r="L94" s="141">
        <v>0</v>
      </c>
      <c r="M94" s="141">
        <v>0</v>
      </c>
      <c r="N94" s="141">
        <v>0</v>
      </c>
      <c r="O94" s="141">
        <v>0</v>
      </c>
      <c r="P94" s="141">
        <v>0</v>
      </c>
      <c r="Q94" s="144">
        <v>0</v>
      </c>
      <c r="R94" s="143">
        <v>0</v>
      </c>
      <c r="S94" s="141">
        <v>0</v>
      </c>
      <c r="T94" s="141">
        <v>0</v>
      </c>
      <c r="U94" s="141">
        <v>0</v>
      </c>
      <c r="V94" s="141">
        <v>0</v>
      </c>
      <c r="W94" s="201"/>
      <c r="X94" s="119" t="s">
        <v>1876</v>
      </c>
      <c r="Y94" s="165">
        <v>0</v>
      </c>
      <c r="Z94" s="166">
        <v>0</v>
      </c>
      <c r="AA94" s="166">
        <v>0</v>
      </c>
      <c r="AB94" s="166">
        <v>0</v>
      </c>
      <c r="AC94" s="166">
        <v>0</v>
      </c>
      <c r="AD94" s="166">
        <v>0</v>
      </c>
      <c r="AE94" s="166">
        <v>0</v>
      </c>
      <c r="AF94" s="167">
        <v>0</v>
      </c>
      <c r="AG94" s="165">
        <v>0</v>
      </c>
      <c r="AH94" s="166">
        <v>0</v>
      </c>
      <c r="AI94" s="166">
        <v>0</v>
      </c>
      <c r="AJ94" s="166">
        <v>0</v>
      </c>
      <c r="AK94" s="166">
        <v>0</v>
      </c>
      <c r="AL94" s="201"/>
      <c r="AM94" s="209"/>
      <c r="AN94" s="209"/>
      <c r="AO94" s="209"/>
      <c r="AP94" s="209"/>
      <c r="AQ94" s="119" t="s">
        <v>2145</v>
      </c>
      <c r="AR94" s="456">
        <v>0</v>
      </c>
      <c r="AS94" s="119" t="s">
        <v>2145</v>
      </c>
      <c r="AT94" s="457">
        <v>0</v>
      </c>
    </row>
    <row r="95" spans="1:46" s="98" customFormat="1" ht="15" customHeight="1">
      <c r="A95" s="99"/>
      <c r="B95" s="161"/>
      <c r="C95" s="185"/>
      <c r="D95" s="162" t="s">
        <v>85</v>
      </c>
      <c r="E95" s="162"/>
      <c r="F95" s="162"/>
      <c r="G95" s="768"/>
      <c r="H95" s="163"/>
      <c r="I95" s="119" t="s">
        <v>498</v>
      </c>
      <c r="J95" s="143">
        <v>0</v>
      </c>
      <c r="K95" s="141">
        <v>0</v>
      </c>
      <c r="L95" s="141">
        <v>0</v>
      </c>
      <c r="M95" s="141">
        <v>0</v>
      </c>
      <c r="N95" s="141">
        <v>0</v>
      </c>
      <c r="O95" s="141">
        <v>0</v>
      </c>
      <c r="P95" s="141">
        <v>0</v>
      </c>
      <c r="Q95" s="144">
        <v>0</v>
      </c>
      <c r="R95" s="143">
        <v>0</v>
      </c>
      <c r="S95" s="141">
        <v>0</v>
      </c>
      <c r="T95" s="141">
        <v>0</v>
      </c>
      <c r="U95" s="141">
        <v>0</v>
      </c>
      <c r="V95" s="141">
        <v>0</v>
      </c>
      <c r="W95" s="201"/>
      <c r="X95" s="119" t="s">
        <v>1876</v>
      </c>
      <c r="Y95" s="165">
        <v>0</v>
      </c>
      <c r="Z95" s="166">
        <v>0</v>
      </c>
      <c r="AA95" s="166">
        <v>0</v>
      </c>
      <c r="AB95" s="166">
        <v>0</v>
      </c>
      <c r="AC95" s="166">
        <v>0</v>
      </c>
      <c r="AD95" s="166">
        <v>0</v>
      </c>
      <c r="AE95" s="166">
        <v>0</v>
      </c>
      <c r="AF95" s="167">
        <v>0</v>
      </c>
      <c r="AG95" s="165">
        <v>0</v>
      </c>
      <c r="AH95" s="166">
        <v>0</v>
      </c>
      <c r="AI95" s="166">
        <v>0</v>
      </c>
      <c r="AJ95" s="166">
        <v>0</v>
      </c>
      <c r="AK95" s="166">
        <v>0</v>
      </c>
      <c r="AL95" s="201"/>
      <c r="AM95" s="209"/>
      <c r="AN95" s="209"/>
      <c r="AO95" s="209"/>
      <c r="AP95" s="209"/>
      <c r="AQ95" s="119" t="s">
        <v>2145</v>
      </c>
      <c r="AR95" s="456">
        <v>0</v>
      </c>
      <c r="AS95" s="119" t="s">
        <v>2145</v>
      </c>
      <c r="AT95" s="457">
        <v>0</v>
      </c>
    </row>
    <row r="96" spans="1:46" s="98" customFormat="1" ht="15" customHeight="1">
      <c r="A96" s="99"/>
      <c r="B96" s="161"/>
      <c r="C96" s="185"/>
      <c r="D96" s="162" t="s">
        <v>85</v>
      </c>
      <c r="E96" s="162"/>
      <c r="F96" s="162"/>
      <c r="G96" s="768"/>
      <c r="H96" s="163"/>
      <c r="I96" s="119" t="s">
        <v>498</v>
      </c>
      <c r="J96" s="143">
        <v>0</v>
      </c>
      <c r="K96" s="141">
        <v>0</v>
      </c>
      <c r="L96" s="141">
        <v>0</v>
      </c>
      <c r="M96" s="141">
        <v>0</v>
      </c>
      <c r="N96" s="141">
        <v>0</v>
      </c>
      <c r="O96" s="141">
        <v>0</v>
      </c>
      <c r="P96" s="141">
        <v>0</v>
      </c>
      <c r="Q96" s="144">
        <v>0</v>
      </c>
      <c r="R96" s="143">
        <v>0</v>
      </c>
      <c r="S96" s="141">
        <v>0</v>
      </c>
      <c r="T96" s="141">
        <v>0</v>
      </c>
      <c r="U96" s="141">
        <v>0</v>
      </c>
      <c r="V96" s="141">
        <v>0</v>
      </c>
      <c r="W96" s="201"/>
      <c r="X96" s="119" t="s">
        <v>1876</v>
      </c>
      <c r="Y96" s="165">
        <v>0</v>
      </c>
      <c r="Z96" s="166">
        <v>0</v>
      </c>
      <c r="AA96" s="166">
        <v>0</v>
      </c>
      <c r="AB96" s="166">
        <v>0</v>
      </c>
      <c r="AC96" s="166">
        <v>0</v>
      </c>
      <c r="AD96" s="166">
        <v>0</v>
      </c>
      <c r="AE96" s="166">
        <v>0</v>
      </c>
      <c r="AF96" s="167">
        <v>0</v>
      </c>
      <c r="AG96" s="165">
        <v>0</v>
      </c>
      <c r="AH96" s="166">
        <v>0</v>
      </c>
      <c r="AI96" s="166">
        <v>0</v>
      </c>
      <c r="AJ96" s="166">
        <v>0</v>
      </c>
      <c r="AK96" s="166">
        <v>0</v>
      </c>
      <c r="AL96" s="201"/>
      <c r="AM96" s="209"/>
      <c r="AN96" s="209"/>
      <c r="AO96" s="209"/>
      <c r="AP96" s="209"/>
      <c r="AQ96" s="119" t="s">
        <v>2145</v>
      </c>
      <c r="AR96" s="456">
        <v>0</v>
      </c>
      <c r="AS96" s="119" t="s">
        <v>2145</v>
      </c>
      <c r="AT96" s="457">
        <v>0</v>
      </c>
    </row>
    <row r="97" spans="1:46" s="98" customFormat="1" ht="15" customHeight="1">
      <c r="A97" s="99"/>
      <c r="B97" s="161"/>
      <c r="C97" s="185"/>
      <c r="D97" s="162" t="s">
        <v>85</v>
      </c>
      <c r="E97" s="162"/>
      <c r="F97" s="162"/>
      <c r="G97" s="768"/>
      <c r="H97" s="163"/>
      <c r="I97" s="119" t="s">
        <v>498</v>
      </c>
      <c r="J97" s="143">
        <v>0</v>
      </c>
      <c r="K97" s="141">
        <v>0</v>
      </c>
      <c r="L97" s="141">
        <v>0</v>
      </c>
      <c r="M97" s="141">
        <v>0</v>
      </c>
      <c r="N97" s="141">
        <v>0</v>
      </c>
      <c r="O97" s="141">
        <v>0</v>
      </c>
      <c r="P97" s="141">
        <v>0</v>
      </c>
      <c r="Q97" s="144">
        <v>0</v>
      </c>
      <c r="R97" s="143">
        <v>0</v>
      </c>
      <c r="S97" s="141">
        <v>0</v>
      </c>
      <c r="T97" s="141">
        <v>0</v>
      </c>
      <c r="U97" s="141">
        <v>0</v>
      </c>
      <c r="V97" s="141">
        <v>0</v>
      </c>
      <c r="W97" s="201"/>
      <c r="X97" s="119" t="s">
        <v>1876</v>
      </c>
      <c r="Y97" s="165">
        <v>0</v>
      </c>
      <c r="Z97" s="166">
        <v>0</v>
      </c>
      <c r="AA97" s="166">
        <v>0</v>
      </c>
      <c r="AB97" s="166">
        <v>0</v>
      </c>
      <c r="AC97" s="166">
        <v>0</v>
      </c>
      <c r="AD97" s="166">
        <v>0</v>
      </c>
      <c r="AE97" s="166">
        <v>0</v>
      </c>
      <c r="AF97" s="167">
        <v>0</v>
      </c>
      <c r="AG97" s="165">
        <v>0</v>
      </c>
      <c r="AH97" s="166">
        <v>0</v>
      </c>
      <c r="AI97" s="166">
        <v>0</v>
      </c>
      <c r="AJ97" s="166">
        <v>0</v>
      </c>
      <c r="AK97" s="166">
        <v>0</v>
      </c>
      <c r="AL97" s="201"/>
      <c r="AM97" s="209"/>
      <c r="AN97" s="209"/>
      <c r="AO97" s="209"/>
      <c r="AP97" s="209"/>
      <c r="AQ97" s="119" t="s">
        <v>2145</v>
      </c>
      <c r="AR97" s="456">
        <v>0</v>
      </c>
      <c r="AS97" s="119" t="s">
        <v>2145</v>
      </c>
      <c r="AT97" s="457">
        <v>0</v>
      </c>
    </row>
    <row r="98" spans="1:46" s="98" customFormat="1" ht="15" customHeight="1">
      <c r="A98" s="99"/>
      <c r="B98" s="161"/>
      <c r="C98" s="185"/>
      <c r="D98" s="162" t="s">
        <v>85</v>
      </c>
      <c r="E98" s="162"/>
      <c r="F98" s="162"/>
      <c r="G98" s="768"/>
      <c r="H98" s="163"/>
      <c r="I98" s="119" t="s">
        <v>498</v>
      </c>
      <c r="J98" s="143">
        <v>0</v>
      </c>
      <c r="K98" s="141">
        <v>0</v>
      </c>
      <c r="L98" s="141">
        <v>0</v>
      </c>
      <c r="M98" s="141">
        <v>0</v>
      </c>
      <c r="N98" s="141">
        <v>0</v>
      </c>
      <c r="O98" s="141">
        <v>0</v>
      </c>
      <c r="P98" s="141">
        <v>0</v>
      </c>
      <c r="Q98" s="144">
        <v>0</v>
      </c>
      <c r="R98" s="143">
        <v>0</v>
      </c>
      <c r="S98" s="141">
        <v>0</v>
      </c>
      <c r="T98" s="141">
        <v>0</v>
      </c>
      <c r="U98" s="141">
        <v>0</v>
      </c>
      <c r="V98" s="141">
        <v>0</v>
      </c>
      <c r="W98" s="201"/>
      <c r="X98" s="119" t="s">
        <v>1876</v>
      </c>
      <c r="Y98" s="165">
        <v>0</v>
      </c>
      <c r="Z98" s="166">
        <v>0</v>
      </c>
      <c r="AA98" s="166">
        <v>0</v>
      </c>
      <c r="AB98" s="166">
        <v>0</v>
      </c>
      <c r="AC98" s="166">
        <v>0</v>
      </c>
      <c r="AD98" s="166">
        <v>0</v>
      </c>
      <c r="AE98" s="166">
        <v>0</v>
      </c>
      <c r="AF98" s="167">
        <v>0</v>
      </c>
      <c r="AG98" s="165">
        <v>0</v>
      </c>
      <c r="AH98" s="166">
        <v>0</v>
      </c>
      <c r="AI98" s="166">
        <v>0</v>
      </c>
      <c r="AJ98" s="166">
        <v>0</v>
      </c>
      <c r="AK98" s="166">
        <v>0</v>
      </c>
      <c r="AL98" s="201"/>
      <c r="AM98" s="209"/>
      <c r="AN98" s="209"/>
      <c r="AO98" s="209"/>
      <c r="AP98" s="209"/>
      <c r="AQ98" s="119" t="s">
        <v>2145</v>
      </c>
      <c r="AR98" s="456">
        <v>0</v>
      </c>
      <c r="AS98" s="119" t="s">
        <v>2145</v>
      </c>
      <c r="AT98" s="457">
        <v>0</v>
      </c>
    </row>
    <row r="99" spans="1:46" s="98" customFormat="1" ht="15" customHeight="1">
      <c r="A99" s="99"/>
      <c r="B99" s="181"/>
      <c r="C99" s="182" t="s">
        <v>1710</v>
      </c>
      <c r="D99" s="183"/>
      <c r="E99" s="183"/>
      <c r="F99" s="183"/>
      <c r="G99" s="184"/>
      <c r="H99" s="184"/>
      <c r="I99" s="119" t="s">
        <v>498</v>
      </c>
      <c r="J99" s="128">
        <f>SUM(J91:J98)</f>
        <v>0.40792595735432241</v>
      </c>
      <c r="K99" s="129">
        <f t="shared" ref="K99" si="39">SUM(K91:K98)</f>
        <v>0</v>
      </c>
      <c r="L99" s="129">
        <f t="shared" ref="L99" si="40">SUM(L91:L98)</f>
        <v>0</v>
      </c>
      <c r="M99" s="129">
        <f t="shared" ref="M99" si="41">SUM(M91:M98)</f>
        <v>0</v>
      </c>
      <c r="N99" s="129">
        <f t="shared" ref="N99" si="42">SUM(N91:N98)</f>
        <v>0</v>
      </c>
      <c r="O99" s="129">
        <f t="shared" ref="O99" si="43">SUM(O91:O98)</f>
        <v>0</v>
      </c>
      <c r="P99" s="129">
        <f t="shared" ref="P99" si="44">SUM(P91:P98)</f>
        <v>0</v>
      </c>
      <c r="Q99" s="130">
        <f t="shared" ref="Q99" si="45">SUM(Q91:Q98)</f>
        <v>0</v>
      </c>
      <c r="R99" s="128">
        <f t="shared" ref="R99" si="46">SUM(R91:R98)</f>
        <v>0</v>
      </c>
      <c r="S99" s="129">
        <f t="shared" ref="S99" si="47">SUM(S91:S98)</f>
        <v>0</v>
      </c>
      <c r="T99" s="129">
        <f t="shared" ref="T99" si="48">SUM(T91:T98)</f>
        <v>0</v>
      </c>
      <c r="U99" s="129">
        <f t="shared" ref="U99" si="49">SUM(U91:U98)</f>
        <v>0</v>
      </c>
      <c r="V99" s="129">
        <f t="shared" ref="V99" si="50">SUM(V91:V98)</f>
        <v>0</v>
      </c>
      <c r="W99" s="201"/>
      <c r="X99" s="119" t="s">
        <v>1876</v>
      </c>
      <c r="Y99" s="777">
        <f>SUM(Y91:Y98)</f>
        <v>12</v>
      </c>
      <c r="Z99" s="778">
        <f t="shared" ref="Z99:AK99" si="51">SUM(Z91:Z98)</f>
        <v>0</v>
      </c>
      <c r="AA99" s="778">
        <f t="shared" si="51"/>
        <v>0</v>
      </c>
      <c r="AB99" s="778">
        <f t="shared" si="51"/>
        <v>0</v>
      </c>
      <c r="AC99" s="778">
        <f t="shared" si="51"/>
        <v>0</v>
      </c>
      <c r="AD99" s="778">
        <f t="shared" si="51"/>
        <v>0</v>
      </c>
      <c r="AE99" s="778">
        <f t="shared" si="51"/>
        <v>0</v>
      </c>
      <c r="AF99" s="779">
        <f t="shared" si="51"/>
        <v>0</v>
      </c>
      <c r="AG99" s="777">
        <f t="shared" si="51"/>
        <v>0</v>
      </c>
      <c r="AH99" s="778">
        <f t="shared" si="51"/>
        <v>0</v>
      </c>
      <c r="AI99" s="778">
        <f t="shared" si="51"/>
        <v>0</v>
      </c>
      <c r="AJ99" s="778">
        <f t="shared" si="51"/>
        <v>0</v>
      </c>
      <c r="AK99" s="778">
        <f t="shared" si="51"/>
        <v>0</v>
      </c>
      <c r="AL99" s="201"/>
      <c r="AM99" s="209"/>
      <c r="AN99" s="209"/>
      <c r="AO99" s="209"/>
      <c r="AP99" s="209"/>
      <c r="AQ99" s="119" t="s">
        <v>2145</v>
      </c>
      <c r="AR99" s="129">
        <f>SUM(AR91:AR98)</f>
        <v>0</v>
      </c>
      <c r="AS99" s="119" t="s">
        <v>2145</v>
      </c>
      <c r="AT99" s="130">
        <f>SUM(AT91:AT98)</f>
        <v>0</v>
      </c>
    </row>
    <row r="100" spans="1:46" s="98" customFormat="1" ht="15" customHeight="1">
      <c r="A100" s="99"/>
      <c r="B100" s="161"/>
      <c r="C100" s="116"/>
      <c r="D100" s="116"/>
      <c r="E100" s="116"/>
      <c r="F100" s="116"/>
      <c r="G100" s="117"/>
      <c r="H100" s="117"/>
      <c r="I100" s="117"/>
      <c r="J100" s="713"/>
      <c r="K100" s="721"/>
      <c r="L100" s="721"/>
      <c r="M100" s="721"/>
      <c r="N100" s="721"/>
      <c r="O100" s="721"/>
      <c r="P100" s="721"/>
      <c r="Q100" s="715"/>
      <c r="R100" s="713"/>
      <c r="S100" s="721"/>
      <c r="T100" s="721"/>
      <c r="U100" s="721"/>
      <c r="V100" s="769"/>
      <c r="W100" s="201"/>
      <c r="X100" s="117"/>
      <c r="Y100" s="878"/>
      <c r="Z100" s="881"/>
      <c r="AA100" s="881"/>
      <c r="AB100" s="881"/>
      <c r="AC100" s="881"/>
      <c r="AD100" s="881"/>
      <c r="AE100" s="881"/>
      <c r="AF100" s="880"/>
      <c r="AG100" s="878"/>
      <c r="AH100" s="881"/>
      <c r="AI100" s="881"/>
      <c r="AJ100" s="881"/>
      <c r="AK100" s="1108"/>
      <c r="AL100" s="201"/>
      <c r="AM100" s="209"/>
      <c r="AN100" s="209"/>
      <c r="AO100" s="209"/>
      <c r="AP100" s="209"/>
      <c r="AQ100" s="185"/>
      <c r="AR100" s="185"/>
      <c r="AS100" s="185"/>
      <c r="AT100" s="215"/>
    </row>
    <row r="101" spans="1:46" s="98" customFormat="1" ht="15" customHeight="1">
      <c r="A101" s="99"/>
      <c r="B101" s="161"/>
      <c r="C101" s="186" t="s">
        <v>2148</v>
      </c>
      <c r="D101" s="162"/>
      <c r="E101" s="162"/>
      <c r="F101" s="162"/>
      <c r="G101" s="163"/>
      <c r="H101" s="163"/>
      <c r="I101" s="117"/>
      <c r="J101" s="713"/>
      <c r="K101" s="721"/>
      <c r="L101" s="721"/>
      <c r="M101" s="721"/>
      <c r="N101" s="721"/>
      <c r="O101" s="721"/>
      <c r="P101" s="721"/>
      <c r="Q101" s="715"/>
      <c r="R101" s="713"/>
      <c r="S101" s="721"/>
      <c r="T101" s="721"/>
      <c r="U101" s="721"/>
      <c r="V101" s="769"/>
      <c r="W101" s="201"/>
      <c r="X101" s="117"/>
      <c r="Y101" s="878"/>
      <c r="Z101" s="881"/>
      <c r="AA101" s="881"/>
      <c r="AB101" s="881"/>
      <c r="AC101" s="881"/>
      <c r="AD101" s="881"/>
      <c r="AE101" s="881"/>
      <c r="AF101" s="880"/>
      <c r="AG101" s="878"/>
      <c r="AH101" s="881"/>
      <c r="AI101" s="881"/>
      <c r="AJ101" s="881"/>
      <c r="AK101" s="1108"/>
      <c r="AL101" s="201"/>
      <c r="AM101" s="209"/>
      <c r="AN101" s="209"/>
      <c r="AO101" s="209"/>
      <c r="AP101" s="209"/>
      <c r="AQ101" s="209"/>
      <c r="AR101" s="209"/>
      <c r="AS101" s="209"/>
      <c r="AT101" s="210"/>
    </row>
    <row r="102" spans="1:46" s="98" customFormat="1" ht="15" customHeight="1">
      <c r="A102" s="99"/>
      <c r="B102" s="161"/>
      <c r="C102" s="185"/>
      <c r="D102" s="162" t="s">
        <v>85</v>
      </c>
      <c r="E102" s="162"/>
      <c r="F102" s="162"/>
      <c r="G102" s="768" t="s">
        <v>2150</v>
      </c>
      <c r="H102" s="163"/>
      <c r="I102" s="119" t="s">
        <v>498</v>
      </c>
      <c r="J102" s="143">
        <v>0</v>
      </c>
      <c r="K102" s="141">
        <v>0.22738226493506494</v>
      </c>
      <c r="L102" s="141">
        <v>7.093802266478222E-3</v>
      </c>
      <c r="M102" s="141">
        <v>9.2547222980316375E-3</v>
      </c>
      <c r="N102" s="141">
        <v>0</v>
      </c>
      <c r="O102" s="141">
        <v>0</v>
      </c>
      <c r="P102" s="141">
        <v>0</v>
      </c>
      <c r="Q102" s="144">
        <v>0</v>
      </c>
      <c r="R102" s="143">
        <v>0</v>
      </c>
      <c r="S102" s="141">
        <v>0</v>
      </c>
      <c r="T102" s="141">
        <v>0</v>
      </c>
      <c r="U102" s="141">
        <v>0</v>
      </c>
      <c r="V102" s="141">
        <v>0</v>
      </c>
      <c r="W102" s="201"/>
      <c r="X102" s="119" t="s">
        <v>1876</v>
      </c>
      <c r="Y102" s="165">
        <v>0</v>
      </c>
      <c r="Z102" s="166">
        <v>6</v>
      </c>
      <c r="AA102" s="166">
        <v>0</v>
      </c>
      <c r="AB102" s="166">
        <v>0</v>
      </c>
      <c r="AC102" s="166">
        <v>0</v>
      </c>
      <c r="AD102" s="166">
        <v>0</v>
      </c>
      <c r="AE102" s="166">
        <v>0</v>
      </c>
      <c r="AF102" s="167">
        <v>0</v>
      </c>
      <c r="AG102" s="165">
        <v>0</v>
      </c>
      <c r="AH102" s="166">
        <v>0</v>
      </c>
      <c r="AI102" s="166">
        <v>0</v>
      </c>
      <c r="AJ102" s="166">
        <v>0</v>
      </c>
      <c r="AK102" s="166">
        <v>0</v>
      </c>
      <c r="AL102" s="201"/>
      <c r="AM102" s="209"/>
      <c r="AN102" s="209"/>
      <c r="AO102" s="209"/>
      <c r="AP102" s="209"/>
      <c r="AQ102" s="119" t="s">
        <v>2145</v>
      </c>
      <c r="AR102" s="456">
        <v>0</v>
      </c>
      <c r="AS102" s="119" t="s">
        <v>2145</v>
      </c>
      <c r="AT102" s="457">
        <v>0</v>
      </c>
    </row>
    <row r="103" spans="1:46" s="98" customFormat="1" ht="15" customHeight="1">
      <c r="A103" s="99"/>
      <c r="B103" s="161"/>
      <c r="C103" s="185"/>
      <c r="D103" s="162" t="s">
        <v>85</v>
      </c>
      <c r="E103" s="162"/>
      <c r="F103" s="162"/>
      <c r="G103" s="768"/>
      <c r="H103" s="163"/>
      <c r="I103" s="119" t="s">
        <v>498</v>
      </c>
      <c r="J103" s="143">
        <v>0</v>
      </c>
      <c r="K103" s="141">
        <v>0</v>
      </c>
      <c r="L103" s="141">
        <v>0</v>
      </c>
      <c r="M103" s="141">
        <v>0</v>
      </c>
      <c r="N103" s="141">
        <v>0</v>
      </c>
      <c r="O103" s="141">
        <v>0</v>
      </c>
      <c r="P103" s="141">
        <v>0</v>
      </c>
      <c r="Q103" s="144">
        <v>0</v>
      </c>
      <c r="R103" s="143">
        <v>0</v>
      </c>
      <c r="S103" s="141">
        <v>0</v>
      </c>
      <c r="T103" s="141">
        <v>0</v>
      </c>
      <c r="U103" s="141">
        <v>0</v>
      </c>
      <c r="V103" s="141">
        <v>0</v>
      </c>
      <c r="W103" s="201"/>
      <c r="X103" s="119" t="s">
        <v>1876</v>
      </c>
      <c r="Y103" s="165">
        <v>0</v>
      </c>
      <c r="Z103" s="166">
        <v>0</v>
      </c>
      <c r="AA103" s="166">
        <v>0</v>
      </c>
      <c r="AB103" s="166">
        <v>0</v>
      </c>
      <c r="AC103" s="166">
        <v>0</v>
      </c>
      <c r="AD103" s="166">
        <v>0</v>
      </c>
      <c r="AE103" s="166">
        <v>0</v>
      </c>
      <c r="AF103" s="167">
        <v>0</v>
      </c>
      <c r="AG103" s="165">
        <v>0</v>
      </c>
      <c r="AH103" s="166">
        <v>0</v>
      </c>
      <c r="AI103" s="166">
        <v>0</v>
      </c>
      <c r="AJ103" s="166">
        <v>0</v>
      </c>
      <c r="AK103" s="166">
        <v>0</v>
      </c>
      <c r="AL103" s="201"/>
      <c r="AM103" s="209"/>
      <c r="AN103" s="209"/>
      <c r="AO103" s="209"/>
      <c r="AP103" s="209"/>
      <c r="AQ103" s="119" t="s">
        <v>2145</v>
      </c>
      <c r="AR103" s="456">
        <v>0</v>
      </c>
      <c r="AS103" s="119" t="s">
        <v>2145</v>
      </c>
      <c r="AT103" s="457">
        <v>0</v>
      </c>
    </row>
    <row r="104" spans="1:46" s="98" customFormat="1" ht="15" customHeight="1">
      <c r="A104" s="99"/>
      <c r="B104" s="161"/>
      <c r="C104" s="185"/>
      <c r="D104" s="162" t="s">
        <v>85</v>
      </c>
      <c r="E104" s="162"/>
      <c r="F104" s="162"/>
      <c r="G104" s="768"/>
      <c r="H104" s="163"/>
      <c r="I104" s="119" t="s">
        <v>498</v>
      </c>
      <c r="J104" s="143">
        <v>0</v>
      </c>
      <c r="K104" s="141">
        <v>0</v>
      </c>
      <c r="L104" s="141">
        <v>0</v>
      </c>
      <c r="M104" s="141">
        <v>0</v>
      </c>
      <c r="N104" s="141">
        <v>0</v>
      </c>
      <c r="O104" s="141">
        <v>0</v>
      </c>
      <c r="P104" s="141">
        <v>0</v>
      </c>
      <c r="Q104" s="144">
        <v>0</v>
      </c>
      <c r="R104" s="143">
        <v>0</v>
      </c>
      <c r="S104" s="141">
        <v>0</v>
      </c>
      <c r="T104" s="141">
        <v>0</v>
      </c>
      <c r="U104" s="141">
        <v>0</v>
      </c>
      <c r="V104" s="141">
        <v>0</v>
      </c>
      <c r="W104" s="201"/>
      <c r="X104" s="119" t="s">
        <v>1876</v>
      </c>
      <c r="Y104" s="165">
        <v>0</v>
      </c>
      <c r="Z104" s="166">
        <v>0</v>
      </c>
      <c r="AA104" s="166">
        <v>0</v>
      </c>
      <c r="AB104" s="166">
        <v>0</v>
      </c>
      <c r="AC104" s="166">
        <v>0</v>
      </c>
      <c r="AD104" s="166">
        <v>0</v>
      </c>
      <c r="AE104" s="166">
        <v>0</v>
      </c>
      <c r="AF104" s="167">
        <v>0</v>
      </c>
      <c r="AG104" s="165">
        <v>0</v>
      </c>
      <c r="AH104" s="166">
        <v>0</v>
      </c>
      <c r="AI104" s="166">
        <v>0</v>
      </c>
      <c r="AJ104" s="166">
        <v>0</v>
      </c>
      <c r="AK104" s="166">
        <v>0</v>
      </c>
      <c r="AL104" s="201"/>
      <c r="AM104" s="209"/>
      <c r="AN104" s="209"/>
      <c r="AO104" s="209"/>
      <c r="AP104" s="209"/>
      <c r="AQ104" s="119" t="s">
        <v>2145</v>
      </c>
      <c r="AR104" s="456">
        <v>0</v>
      </c>
      <c r="AS104" s="119" t="s">
        <v>2145</v>
      </c>
      <c r="AT104" s="457">
        <v>0</v>
      </c>
    </row>
    <row r="105" spans="1:46" s="98" customFormat="1" ht="15" customHeight="1">
      <c r="A105" s="99"/>
      <c r="B105" s="161"/>
      <c r="C105" s="185"/>
      <c r="D105" s="162" t="s">
        <v>85</v>
      </c>
      <c r="E105" s="162"/>
      <c r="F105" s="162"/>
      <c r="G105" s="768"/>
      <c r="H105" s="163"/>
      <c r="I105" s="119" t="s">
        <v>498</v>
      </c>
      <c r="J105" s="143">
        <v>0</v>
      </c>
      <c r="K105" s="141">
        <v>0</v>
      </c>
      <c r="L105" s="141">
        <v>0</v>
      </c>
      <c r="M105" s="141">
        <v>0</v>
      </c>
      <c r="N105" s="141">
        <v>0</v>
      </c>
      <c r="O105" s="141">
        <v>0</v>
      </c>
      <c r="P105" s="141">
        <v>0</v>
      </c>
      <c r="Q105" s="144">
        <v>0</v>
      </c>
      <c r="R105" s="143">
        <v>0</v>
      </c>
      <c r="S105" s="141">
        <v>0</v>
      </c>
      <c r="T105" s="141">
        <v>0</v>
      </c>
      <c r="U105" s="141">
        <v>0</v>
      </c>
      <c r="V105" s="141">
        <v>0</v>
      </c>
      <c r="W105" s="201"/>
      <c r="X105" s="119" t="s">
        <v>1876</v>
      </c>
      <c r="Y105" s="165">
        <v>0</v>
      </c>
      <c r="Z105" s="166">
        <v>0</v>
      </c>
      <c r="AA105" s="166">
        <v>0</v>
      </c>
      <c r="AB105" s="166">
        <v>0</v>
      </c>
      <c r="AC105" s="166">
        <v>0</v>
      </c>
      <c r="AD105" s="166">
        <v>0</v>
      </c>
      <c r="AE105" s="166">
        <v>0</v>
      </c>
      <c r="AF105" s="167">
        <v>0</v>
      </c>
      <c r="AG105" s="165">
        <v>0</v>
      </c>
      <c r="AH105" s="166">
        <v>0</v>
      </c>
      <c r="AI105" s="166">
        <v>0</v>
      </c>
      <c r="AJ105" s="166">
        <v>0</v>
      </c>
      <c r="AK105" s="166">
        <v>0</v>
      </c>
      <c r="AL105" s="201"/>
      <c r="AM105" s="209"/>
      <c r="AN105" s="209"/>
      <c r="AO105" s="209"/>
      <c r="AP105" s="209"/>
      <c r="AQ105" s="119" t="s">
        <v>2145</v>
      </c>
      <c r="AR105" s="456">
        <v>0</v>
      </c>
      <c r="AS105" s="119" t="s">
        <v>2145</v>
      </c>
      <c r="AT105" s="457">
        <v>0</v>
      </c>
    </row>
    <row r="106" spans="1:46" s="98" customFormat="1" ht="15" customHeight="1">
      <c r="A106" s="99"/>
      <c r="B106" s="161"/>
      <c r="C106" s="185"/>
      <c r="D106" s="162" t="s">
        <v>85</v>
      </c>
      <c r="E106" s="162"/>
      <c r="F106" s="162"/>
      <c r="G106" s="768"/>
      <c r="H106" s="163"/>
      <c r="I106" s="119" t="s">
        <v>498</v>
      </c>
      <c r="J106" s="143">
        <v>0</v>
      </c>
      <c r="K106" s="141">
        <v>0</v>
      </c>
      <c r="L106" s="141">
        <v>0</v>
      </c>
      <c r="M106" s="141">
        <v>0</v>
      </c>
      <c r="N106" s="141">
        <v>0</v>
      </c>
      <c r="O106" s="141">
        <v>0</v>
      </c>
      <c r="P106" s="141">
        <v>0</v>
      </c>
      <c r="Q106" s="144">
        <v>0</v>
      </c>
      <c r="R106" s="143">
        <v>0</v>
      </c>
      <c r="S106" s="141">
        <v>0</v>
      </c>
      <c r="T106" s="141">
        <v>0</v>
      </c>
      <c r="U106" s="141">
        <v>0</v>
      </c>
      <c r="V106" s="141">
        <v>0</v>
      </c>
      <c r="W106" s="201"/>
      <c r="X106" s="119" t="s">
        <v>1876</v>
      </c>
      <c r="Y106" s="165">
        <v>0</v>
      </c>
      <c r="Z106" s="166">
        <v>0</v>
      </c>
      <c r="AA106" s="166">
        <v>0</v>
      </c>
      <c r="AB106" s="166">
        <v>0</v>
      </c>
      <c r="AC106" s="166">
        <v>0</v>
      </c>
      <c r="AD106" s="166">
        <v>0</v>
      </c>
      <c r="AE106" s="166">
        <v>0</v>
      </c>
      <c r="AF106" s="167">
        <v>0</v>
      </c>
      <c r="AG106" s="165">
        <v>0</v>
      </c>
      <c r="AH106" s="166">
        <v>0</v>
      </c>
      <c r="AI106" s="166">
        <v>0</v>
      </c>
      <c r="AJ106" s="166">
        <v>0</v>
      </c>
      <c r="AK106" s="166">
        <v>0</v>
      </c>
      <c r="AL106" s="201"/>
      <c r="AM106" s="209"/>
      <c r="AN106" s="209"/>
      <c r="AO106" s="209"/>
      <c r="AP106" s="209"/>
      <c r="AQ106" s="119" t="s">
        <v>2145</v>
      </c>
      <c r="AR106" s="456">
        <v>0</v>
      </c>
      <c r="AS106" s="119" t="s">
        <v>2145</v>
      </c>
      <c r="AT106" s="457">
        <v>0</v>
      </c>
    </row>
    <row r="107" spans="1:46" s="98" customFormat="1" ht="15" customHeight="1">
      <c r="A107" s="99"/>
      <c r="B107" s="161"/>
      <c r="C107" s="185"/>
      <c r="D107" s="162" t="s">
        <v>85</v>
      </c>
      <c r="E107" s="162"/>
      <c r="F107" s="162"/>
      <c r="G107" s="768"/>
      <c r="H107" s="163"/>
      <c r="I107" s="119" t="s">
        <v>498</v>
      </c>
      <c r="J107" s="143">
        <v>0</v>
      </c>
      <c r="K107" s="141">
        <v>0</v>
      </c>
      <c r="L107" s="141">
        <v>0</v>
      </c>
      <c r="M107" s="141">
        <v>0</v>
      </c>
      <c r="N107" s="141">
        <v>0</v>
      </c>
      <c r="O107" s="141">
        <v>0</v>
      </c>
      <c r="P107" s="141">
        <v>0</v>
      </c>
      <c r="Q107" s="144">
        <v>0</v>
      </c>
      <c r="R107" s="143">
        <v>0</v>
      </c>
      <c r="S107" s="141">
        <v>0</v>
      </c>
      <c r="T107" s="141">
        <v>0</v>
      </c>
      <c r="U107" s="141">
        <v>0</v>
      </c>
      <c r="V107" s="141">
        <v>0</v>
      </c>
      <c r="W107" s="201"/>
      <c r="X107" s="119" t="s">
        <v>1876</v>
      </c>
      <c r="Y107" s="165">
        <v>0</v>
      </c>
      <c r="Z107" s="166">
        <v>0</v>
      </c>
      <c r="AA107" s="166">
        <v>0</v>
      </c>
      <c r="AB107" s="166">
        <v>0</v>
      </c>
      <c r="AC107" s="166">
        <v>0</v>
      </c>
      <c r="AD107" s="166">
        <v>0</v>
      </c>
      <c r="AE107" s="166">
        <v>0</v>
      </c>
      <c r="AF107" s="167">
        <v>0</v>
      </c>
      <c r="AG107" s="165">
        <v>0</v>
      </c>
      <c r="AH107" s="166">
        <v>0</v>
      </c>
      <c r="AI107" s="166">
        <v>0</v>
      </c>
      <c r="AJ107" s="166">
        <v>0</v>
      </c>
      <c r="AK107" s="166">
        <v>0</v>
      </c>
      <c r="AL107" s="201"/>
      <c r="AM107" s="209"/>
      <c r="AN107" s="209"/>
      <c r="AO107" s="209"/>
      <c r="AP107" s="209"/>
      <c r="AQ107" s="119" t="s">
        <v>2145</v>
      </c>
      <c r="AR107" s="456">
        <v>0</v>
      </c>
      <c r="AS107" s="119" t="s">
        <v>2145</v>
      </c>
      <c r="AT107" s="457">
        <v>0</v>
      </c>
    </row>
    <row r="108" spans="1:46" s="98" customFormat="1" ht="15" customHeight="1">
      <c r="A108" s="99"/>
      <c r="B108" s="161"/>
      <c r="C108" s="185"/>
      <c r="D108" s="162" t="s">
        <v>85</v>
      </c>
      <c r="E108" s="162"/>
      <c r="F108" s="162"/>
      <c r="G108" s="768"/>
      <c r="H108" s="163"/>
      <c r="I108" s="119" t="s">
        <v>498</v>
      </c>
      <c r="J108" s="143">
        <v>0</v>
      </c>
      <c r="K108" s="141">
        <v>0</v>
      </c>
      <c r="L108" s="141">
        <v>0</v>
      </c>
      <c r="M108" s="141">
        <v>0</v>
      </c>
      <c r="N108" s="141">
        <v>0</v>
      </c>
      <c r="O108" s="141">
        <v>0</v>
      </c>
      <c r="P108" s="141">
        <v>0</v>
      </c>
      <c r="Q108" s="144">
        <v>0</v>
      </c>
      <c r="R108" s="143">
        <v>0</v>
      </c>
      <c r="S108" s="141">
        <v>0</v>
      </c>
      <c r="T108" s="141">
        <v>0</v>
      </c>
      <c r="U108" s="141">
        <v>0</v>
      </c>
      <c r="V108" s="141">
        <v>0</v>
      </c>
      <c r="W108" s="201"/>
      <c r="X108" s="119" t="s">
        <v>1876</v>
      </c>
      <c r="Y108" s="165">
        <v>0</v>
      </c>
      <c r="Z108" s="166">
        <v>0</v>
      </c>
      <c r="AA108" s="166">
        <v>0</v>
      </c>
      <c r="AB108" s="166">
        <v>0</v>
      </c>
      <c r="AC108" s="166">
        <v>0</v>
      </c>
      <c r="AD108" s="166">
        <v>0</v>
      </c>
      <c r="AE108" s="166">
        <v>0</v>
      </c>
      <c r="AF108" s="167">
        <v>0</v>
      </c>
      <c r="AG108" s="165">
        <v>0</v>
      </c>
      <c r="AH108" s="166">
        <v>0</v>
      </c>
      <c r="AI108" s="166">
        <v>0</v>
      </c>
      <c r="AJ108" s="166">
        <v>0</v>
      </c>
      <c r="AK108" s="166">
        <v>0</v>
      </c>
      <c r="AL108" s="201"/>
      <c r="AM108" s="209"/>
      <c r="AN108" s="209"/>
      <c r="AO108" s="209"/>
      <c r="AP108" s="209"/>
      <c r="AQ108" s="119" t="s">
        <v>2145</v>
      </c>
      <c r="AR108" s="456">
        <v>0</v>
      </c>
      <c r="AS108" s="119" t="s">
        <v>2145</v>
      </c>
      <c r="AT108" s="457">
        <v>0</v>
      </c>
    </row>
    <row r="109" spans="1:46" s="98" customFormat="1" ht="15" customHeight="1">
      <c r="A109" s="99"/>
      <c r="B109" s="161"/>
      <c r="C109" s="185"/>
      <c r="D109" s="162" t="s">
        <v>85</v>
      </c>
      <c r="E109" s="162"/>
      <c r="F109" s="162"/>
      <c r="G109" s="768"/>
      <c r="H109" s="163"/>
      <c r="I109" s="119" t="s">
        <v>498</v>
      </c>
      <c r="J109" s="143">
        <v>0</v>
      </c>
      <c r="K109" s="141">
        <v>0</v>
      </c>
      <c r="L109" s="141">
        <v>0</v>
      </c>
      <c r="M109" s="141">
        <v>0</v>
      </c>
      <c r="N109" s="141">
        <v>0</v>
      </c>
      <c r="O109" s="141">
        <v>0</v>
      </c>
      <c r="P109" s="141">
        <v>0</v>
      </c>
      <c r="Q109" s="144">
        <v>0</v>
      </c>
      <c r="R109" s="143">
        <v>0</v>
      </c>
      <c r="S109" s="141">
        <v>0</v>
      </c>
      <c r="T109" s="141">
        <v>0</v>
      </c>
      <c r="U109" s="141">
        <v>0</v>
      </c>
      <c r="V109" s="141">
        <v>0</v>
      </c>
      <c r="W109" s="201"/>
      <c r="X109" s="119" t="s">
        <v>1876</v>
      </c>
      <c r="Y109" s="165">
        <v>0</v>
      </c>
      <c r="Z109" s="166">
        <v>0</v>
      </c>
      <c r="AA109" s="166">
        <v>0</v>
      </c>
      <c r="AB109" s="166">
        <v>0</v>
      </c>
      <c r="AC109" s="166">
        <v>0</v>
      </c>
      <c r="AD109" s="166">
        <v>0</v>
      </c>
      <c r="AE109" s="166">
        <v>0</v>
      </c>
      <c r="AF109" s="167">
        <v>0</v>
      </c>
      <c r="AG109" s="165">
        <v>0</v>
      </c>
      <c r="AH109" s="166">
        <v>0</v>
      </c>
      <c r="AI109" s="166">
        <v>0</v>
      </c>
      <c r="AJ109" s="166">
        <v>0</v>
      </c>
      <c r="AK109" s="166">
        <v>0</v>
      </c>
      <c r="AL109" s="201"/>
      <c r="AM109" s="209"/>
      <c r="AN109" s="209"/>
      <c r="AO109" s="209"/>
      <c r="AP109" s="209"/>
      <c r="AQ109" s="119" t="s">
        <v>2145</v>
      </c>
      <c r="AR109" s="456">
        <v>0</v>
      </c>
      <c r="AS109" s="119" t="s">
        <v>2145</v>
      </c>
      <c r="AT109" s="457">
        <v>0</v>
      </c>
    </row>
    <row r="110" spans="1:46" s="98" customFormat="1" ht="15" customHeight="1">
      <c r="A110" s="99"/>
      <c r="B110" s="181"/>
      <c r="C110" s="182" t="s">
        <v>1710</v>
      </c>
      <c r="D110" s="183"/>
      <c r="E110" s="183"/>
      <c r="F110" s="183"/>
      <c r="G110" s="184"/>
      <c r="H110" s="184"/>
      <c r="I110" s="119" t="s">
        <v>498</v>
      </c>
      <c r="J110" s="128">
        <f>SUM(J102:J109)</f>
        <v>0</v>
      </c>
      <c r="K110" s="129">
        <f t="shared" ref="K110" si="52">SUM(K102:K109)</f>
        <v>0.22738226493506494</v>
      </c>
      <c r="L110" s="129">
        <f t="shared" ref="L110" si="53">SUM(L102:L109)</f>
        <v>7.093802266478222E-3</v>
      </c>
      <c r="M110" s="129">
        <f t="shared" ref="M110" si="54">SUM(M102:M109)</f>
        <v>9.2547222980316375E-3</v>
      </c>
      <c r="N110" s="129">
        <f t="shared" ref="N110" si="55">SUM(N102:N109)</f>
        <v>0</v>
      </c>
      <c r="O110" s="129">
        <f t="shared" ref="O110" si="56">SUM(O102:O109)</f>
        <v>0</v>
      </c>
      <c r="P110" s="129">
        <f t="shared" ref="P110" si="57">SUM(P102:P109)</f>
        <v>0</v>
      </c>
      <c r="Q110" s="130">
        <f t="shared" ref="Q110" si="58">SUM(Q102:Q109)</f>
        <v>0</v>
      </c>
      <c r="R110" s="128">
        <f t="shared" ref="R110" si="59">SUM(R102:R109)</f>
        <v>0</v>
      </c>
      <c r="S110" s="129">
        <f t="shared" ref="S110" si="60">SUM(S102:S109)</f>
        <v>0</v>
      </c>
      <c r="T110" s="129">
        <f t="shared" ref="T110" si="61">SUM(T102:T109)</f>
        <v>0</v>
      </c>
      <c r="U110" s="129">
        <f t="shared" ref="U110" si="62">SUM(U102:U109)</f>
        <v>0</v>
      </c>
      <c r="V110" s="129">
        <f t="shared" ref="V110" si="63">SUM(V102:V109)</f>
        <v>0</v>
      </c>
      <c r="W110" s="201"/>
      <c r="X110" s="119" t="s">
        <v>1876</v>
      </c>
      <c r="Y110" s="777">
        <f>SUM(Y102:Y109)</f>
        <v>0</v>
      </c>
      <c r="Z110" s="778">
        <f t="shared" ref="Z110:AK110" si="64">SUM(Z102:Z109)</f>
        <v>6</v>
      </c>
      <c r="AA110" s="778">
        <f t="shared" si="64"/>
        <v>0</v>
      </c>
      <c r="AB110" s="778">
        <f t="shared" si="64"/>
        <v>0</v>
      </c>
      <c r="AC110" s="778">
        <f t="shared" si="64"/>
        <v>0</v>
      </c>
      <c r="AD110" s="778">
        <f t="shared" si="64"/>
        <v>0</v>
      </c>
      <c r="AE110" s="778">
        <f t="shared" si="64"/>
        <v>0</v>
      </c>
      <c r="AF110" s="779">
        <f t="shared" si="64"/>
        <v>0</v>
      </c>
      <c r="AG110" s="777">
        <f t="shared" si="64"/>
        <v>0</v>
      </c>
      <c r="AH110" s="778">
        <f t="shared" si="64"/>
        <v>0</v>
      </c>
      <c r="AI110" s="778">
        <f t="shared" si="64"/>
        <v>0</v>
      </c>
      <c r="AJ110" s="778">
        <f t="shared" si="64"/>
        <v>0</v>
      </c>
      <c r="AK110" s="778">
        <f t="shared" si="64"/>
        <v>0</v>
      </c>
      <c r="AL110" s="201"/>
      <c r="AM110" s="185"/>
      <c r="AN110" s="209"/>
      <c r="AO110" s="209"/>
      <c r="AP110" s="209"/>
      <c r="AQ110" s="119" t="s">
        <v>2145</v>
      </c>
      <c r="AR110" s="129">
        <f>SUM(AR102:AR109)</f>
        <v>0</v>
      </c>
      <c r="AS110" s="119" t="s">
        <v>2145</v>
      </c>
      <c r="AT110" s="130">
        <f>SUM(AT102:AT109)</f>
        <v>0</v>
      </c>
    </row>
    <row r="111" spans="1:46" s="98" customFormat="1" ht="15" customHeight="1">
      <c r="A111" s="99"/>
      <c r="B111" s="161"/>
      <c r="C111" s="127"/>
      <c r="D111" s="127"/>
      <c r="E111" s="127"/>
      <c r="F111" s="127"/>
      <c r="G111" s="117"/>
      <c r="H111" s="117"/>
      <c r="I111" s="117"/>
      <c r="J111" s="713"/>
      <c r="K111" s="721"/>
      <c r="L111" s="721"/>
      <c r="M111" s="721"/>
      <c r="N111" s="721"/>
      <c r="O111" s="721"/>
      <c r="P111" s="721"/>
      <c r="Q111" s="715"/>
      <c r="R111" s="713"/>
      <c r="S111" s="721"/>
      <c r="T111" s="721"/>
      <c r="U111" s="721"/>
      <c r="V111" s="769"/>
      <c r="W111" s="201"/>
      <c r="X111" s="201"/>
      <c r="Y111" s="201"/>
      <c r="Z111" s="201"/>
      <c r="AA111" s="201"/>
      <c r="AB111" s="201"/>
      <c r="AC111" s="201"/>
      <c r="AD111" s="201"/>
      <c r="AE111" s="201"/>
      <c r="AF111" s="201"/>
      <c r="AG111" s="201"/>
      <c r="AH111" s="201"/>
      <c r="AI111" s="201"/>
      <c r="AJ111" s="201"/>
      <c r="AK111" s="201"/>
      <c r="AL111" s="201"/>
      <c r="AM111" s="185"/>
      <c r="AN111" s="209"/>
      <c r="AO111" s="209"/>
      <c r="AP111" s="185"/>
      <c r="AQ111" s="185"/>
      <c r="AR111" s="185"/>
      <c r="AS111" s="185"/>
      <c r="AT111" s="215"/>
    </row>
    <row r="112" spans="1:46" s="98" customFormat="1" ht="15" customHeight="1" thickBot="1">
      <c r="A112" s="99"/>
      <c r="B112" s="131" t="s">
        <v>1701</v>
      </c>
      <c r="C112" s="132"/>
      <c r="D112" s="132"/>
      <c r="E112" s="132"/>
      <c r="F112" s="132"/>
      <c r="G112" s="145"/>
      <c r="H112" s="133"/>
      <c r="I112" s="146" t="s">
        <v>498</v>
      </c>
      <c r="J112" s="717">
        <f>SUM(J77,J88,J99,J110)</f>
        <v>0.95182723382675238</v>
      </c>
      <c r="K112" s="718">
        <f t="shared" ref="K112:V112" si="65">SUM(K77,K88,K99,K110)</f>
        <v>0.22738226493506494</v>
      </c>
      <c r="L112" s="718">
        <f t="shared" si="65"/>
        <v>7.093802266478222E-3</v>
      </c>
      <c r="M112" s="718">
        <f t="shared" si="65"/>
        <v>9.2547222980316375E-3</v>
      </c>
      <c r="N112" s="718">
        <f t="shared" si="65"/>
        <v>0.1329146628851624</v>
      </c>
      <c r="O112" s="718">
        <f t="shared" si="65"/>
        <v>0.42037455998903267</v>
      </c>
      <c r="P112" s="718">
        <f t="shared" si="65"/>
        <v>0.27384049999999999</v>
      </c>
      <c r="Q112" s="719">
        <f t="shared" si="65"/>
        <v>0.32447950000000003</v>
      </c>
      <c r="R112" s="717">
        <f t="shared" si="65"/>
        <v>0.3338275</v>
      </c>
      <c r="S112" s="718">
        <f t="shared" si="65"/>
        <v>0.30383399999999999</v>
      </c>
      <c r="T112" s="718">
        <f t="shared" si="65"/>
        <v>0.30383399999999999</v>
      </c>
      <c r="U112" s="718">
        <f t="shared" si="65"/>
        <v>0.30383399999999999</v>
      </c>
      <c r="V112" s="718">
        <f t="shared" si="65"/>
        <v>0.34512500000000002</v>
      </c>
      <c r="W112" s="216"/>
      <c r="X112" s="216"/>
      <c r="Y112" s="216"/>
      <c r="Z112" s="216"/>
      <c r="AA112" s="216"/>
      <c r="AB112" s="216"/>
      <c r="AC112" s="216"/>
      <c r="AD112" s="216"/>
      <c r="AE112" s="216"/>
      <c r="AF112" s="216"/>
      <c r="AG112" s="216"/>
      <c r="AH112" s="216"/>
      <c r="AI112" s="216"/>
      <c r="AJ112" s="216"/>
      <c r="AK112" s="216"/>
      <c r="AL112" s="216"/>
      <c r="AM112" s="192"/>
      <c r="AN112" s="192"/>
      <c r="AO112" s="192"/>
      <c r="AP112" s="192"/>
      <c r="AQ112" s="192"/>
      <c r="AR112" s="192"/>
      <c r="AS112" s="192"/>
      <c r="AT112" s="217"/>
    </row>
    <row r="113" spans="1:46" s="99" customFormat="1" ht="15" customHeight="1" thickBot="1">
      <c r="B113" s="150"/>
      <c r="C113" s="95"/>
      <c r="D113" s="95"/>
      <c r="E113" s="95"/>
      <c r="F113" s="95"/>
      <c r="G113" s="97"/>
      <c r="H113" s="97"/>
      <c r="I113" s="98"/>
      <c r="J113" s="98"/>
      <c r="K113" s="98"/>
      <c r="L113" s="98"/>
      <c r="M113" s="98"/>
      <c r="N113" s="98"/>
      <c r="O113" s="98"/>
      <c r="P113" s="98"/>
      <c r="Q113" s="98"/>
      <c r="R113" s="98"/>
      <c r="S113" s="98"/>
      <c r="T113" s="98"/>
      <c r="U113" s="98"/>
      <c r="V113" s="98"/>
      <c r="W113" s="89"/>
      <c r="X113" s="98"/>
      <c r="Y113" s="98"/>
      <c r="Z113" s="98"/>
      <c r="AA113" s="98"/>
      <c r="AB113" s="98"/>
      <c r="AC113" s="98"/>
      <c r="AD113" s="98"/>
      <c r="AE113" s="98"/>
      <c r="AF113" s="98"/>
      <c r="AG113" s="98"/>
      <c r="AH113" s="98"/>
      <c r="AI113" s="98"/>
      <c r="AJ113" s="98"/>
      <c r="AK113" s="98"/>
      <c r="AL113" s="89"/>
      <c r="AM113" s="98"/>
    </row>
    <row r="114" spans="1:46" s="100" customFormat="1" ht="30" customHeight="1" thickBot="1">
      <c r="A114" s="89"/>
      <c r="B114" s="621" t="s">
        <v>2135</v>
      </c>
      <c r="C114" s="762"/>
      <c r="D114" s="762"/>
      <c r="E114" s="762"/>
      <c r="F114" s="762"/>
      <c r="G114" s="763"/>
      <c r="H114" s="103"/>
      <c r="I114" s="105" t="s">
        <v>1704</v>
      </c>
      <c r="J114" s="106"/>
      <c r="K114" s="106"/>
      <c r="L114" s="106"/>
      <c r="M114" s="106"/>
      <c r="N114" s="106"/>
      <c r="O114" s="106"/>
      <c r="P114" s="106"/>
      <c r="Q114" s="106"/>
      <c r="R114" s="105"/>
      <c r="S114" s="105"/>
      <c r="T114" s="105"/>
      <c r="U114" s="105"/>
      <c r="V114" s="105"/>
      <c r="W114" s="200"/>
      <c r="X114" s="105" t="s">
        <v>2136</v>
      </c>
      <c r="Y114" s="106"/>
      <c r="Z114" s="106"/>
      <c r="AA114" s="106"/>
      <c r="AB114" s="106"/>
      <c r="AC114" s="106"/>
      <c r="AD114" s="106"/>
      <c r="AE114" s="106"/>
      <c r="AF114" s="106"/>
      <c r="AG114" s="105"/>
      <c r="AH114" s="105"/>
      <c r="AI114" s="105"/>
      <c r="AJ114" s="105"/>
      <c r="AK114" s="105"/>
      <c r="AL114" s="200"/>
      <c r="AM114" s="941" t="s">
        <v>1925</v>
      </c>
      <c r="AN114" s="942"/>
      <c r="AO114" s="942"/>
      <c r="AP114" s="942"/>
      <c r="AQ114" s="942"/>
      <c r="AR114" s="942"/>
      <c r="AS114" s="942"/>
      <c r="AT114" s="943"/>
    </row>
    <row r="115" spans="1:46" s="157" customFormat="1" ht="30" customHeight="1">
      <c r="A115" s="99"/>
      <c r="B115" s="109"/>
      <c r="C115" s="127"/>
      <c r="D115" s="127"/>
      <c r="E115" s="127"/>
      <c r="F115" s="127"/>
      <c r="G115" s="117"/>
      <c r="H115" s="111"/>
      <c r="I115" s="117"/>
      <c r="J115" s="695" t="s">
        <v>1666</v>
      </c>
      <c r="K115" s="152"/>
      <c r="L115" s="152"/>
      <c r="M115" s="152"/>
      <c r="N115" s="152"/>
      <c r="O115" s="152"/>
      <c r="P115" s="152"/>
      <c r="Q115" s="153"/>
      <c r="R115" s="696" t="s">
        <v>2</v>
      </c>
      <c r="S115" s="155"/>
      <c r="T115" s="155"/>
      <c r="U115" s="155"/>
      <c r="V115" s="199"/>
      <c r="W115" s="201"/>
      <c r="X115" s="117"/>
      <c r="Y115" s="695" t="s">
        <v>1666</v>
      </c>
      <c r="Z115" s="152"/>
      <c r="AA115" s="152"/>
      <c r="AB115" s="152"/>
      <c r="AC115" s="152"/>
      <c r="AD115" s="152"/>
      <c r="AE115" s="152"/>
      <c r="AF115" s="153"/>
      <c r="AG115" s="696" t="s">
        <v>2</v>
      </c>
      <c r="AH115" s="155"/>
      <c r="AI115" s="155"/>
      <c r="AJ115" s="155"/>
      <c r="AK115" s="199"/>
      <c r="AL115" s="201"/>
      <c r="AM115" s="202" t="s">
        <v>2137</v>
      </c>
      <c r="AN115" s="203" t="s">
        <v>2140</v>
      </c>
      <c r="AO115" s="203"/>
      <c r="AP115" s="202" t="s">
        <v>2139</v>
      </c>
      <c r="AQ115" s="203" t="s">
        <v>2140</v>
      </c>
      <c r="AR115" s="203"/>
      <c r="AS115" s="203" t="s">
        <v>2141</v>
      </c>
      <c r="AT115" s="204"/>
    </row>
    <row r="116" spans="1:46" s="98" customFormat="1" ht="15" customHeight="1">
      <c r="A116" s="99"/>
      <c r="B116" s="115"/>
      <c r="C116" s="116"/>
      <c r="D116" s="116"/>
      <c r="E116" s="116"/>
      <c r="F116" s="116"/>
      <c r="G116" s="117"/>
      <c r="H116" s="117"/>
      <c r="I116" s="119" t="s">
        <v>1667</v>
      </c>
      <c r="J116" s="158" t="s">
        <v>453</v>
      </c>
      <c r="K116" s="137" t="s">
        <v>455</v>
      </c>
      <c r="L116" s="137" t="s">
        <v>457</v>
      </c>
      <c r="M116" s="137" t="s">
        <v>459</v>
      </c>
      <c r="N116" s="137" t="s">
        <v>461</v>
      </c>
      <c r="O116" s="137" t="s">
        <v>463</v>
      </c>
      <c r="P116" s="137" t="s">
        <v>465</v>
      </c>
      <c r="Q116" s="138" t="s">
        <v>467</v>
      </c>
      <c r="R116" s="120" t="s">
        <v>469</v>
      </c>
      <c r="S116" s="121" t="s">
        <v>471</v>
      </c>
      <c r="T116" s="121" t="s">
        <v>473</v>
      </c>
      <c r="U116" s="121" t="s">
        <v>475</v>
      </c>
      <c r="V116" s="121" t="s">
        <v>477</v>
      </c>
      <c r="W116" s="201"/>
      <c r="X116" s="119" t="s">
        <v>1667</v>
      </c>
      <c r="Y116" s="158" t="s">
        <v>453</v>
      </c>
      <c r="Z116" s="137" t="s">
        <v>455</v>
      </c>
      <c r="AA116" s="137" t="s">
        <v>457</v>
      </c>
      <c r="AB116" s="137" t="s">
        <v>459</v>
      </c>
      <c r="AC116" s="137" t="s">
        <v>461</v>
      </c>
      <c r="AD116" s="137" t="s">
        <v>463</v>
      </c>
      <c r="AE116" s="137" t="s">
        <v>465</v>
      </c>
      <c r="AF116" s="138" t="s">
        <v>467</v>
      </c>
      <c r="AG116" s="120" t="s">
        <v>469</v>
      </c>
      <c r="AH116" s="121" t="s">
        <v>471</v>
      </c>
      <c r="AI116" s="121" t="s">
        <v>473</v>
      </c>
      <c r="AJ116" s="121" t="s">
        <v>475</v>
      </c>
      <c r="AK116" s="121" t="s">
        <v>477</v>
      </c>
      <c r="AL116" s="201"/>
      <c r="AM116" s="205"/>
      <c r="AN116" s="206" t="s">
        <v>1667</v>
      </c>
      <c r="AO116" s="206" t="s">
        <v>2142</v>
      </c>
      <c r="AP116" s="205"/>
      <c r="AQ116" s="206" t="s">
        <v>1667</v>
      </c>
      <c r="AR116" s="206" t="s">
        <v>2142</v>
      </c>
      <c r="AS116" s="206" t="s">
        <v>1667</v>
      </c>
      <c r="AT116" s="207" t="s">
        <v>2142</v>
      </c>
    </row>
    <row r="117" spans="1:46" s="98" customFormat="1" ht="15" customHeight="1">
      <c r="A117" s="99"/>
      <c r="B117" s="161"/>
      <c r="C117" s="186" t="s">
        <v>2143</v>
      </c>
      <c r="D117" s="162"/>
      <c r="E117" s="162"/>
      <c r="F117" s="162"/>
      <c r="G117" s="163"/>
      <c r="H117" s="163"/>
      <c r="I117" s="117"/>
      <c r="J117" s="159"/>
      <c r="K117" s="117"/>
      <c r="L117" s="117"/>
      <c r="M117" s="117"/>
      <c r="N117" s="117"/>
      <c r="O117" s="117"/>
      <c r="P117" s="117"/>
      <c r="Q117" s="160"/>
      <c r="R117" s="159"/>
      <c r="S117" s="117"/>
      <c r="T117" s="117"/>
      <c r="U117" s="117"/>
      <c r="V117" s="208"/>
      <c r="W117" s="201"/>
      <c r="X117" s="117"/>
      <c r="Y117" s="159"/>
      <c r="Z117" s="117"/>
      <c r="AA117" s="117"/>
      <c r="AB117" s="117"/>
      <c r="AC117" s="117"/>
      <c r="AD117" s="117"/>
      <c r="AE117" s="117"/>
      <c r="AF117" s="160"/>
      <c r="AG117" s="159"/>
      <c r="AH117" s="117"/>
      <c r="AI117" s="117"/>
      <c r="AJ117" s="117"/>
      <c r="AK117" s="208"/>
      <c r="AL117" s="201"/>
      <c r="AM117" s="209"/>
      <c r="AN117" s="209"/>
      <c r="AO117" s="209"/>
      <c r="AP117" s="209"/>
      <c r="AQ117" s="209"/>
      <c r="AR117" s="209"/>
      <c r="AS117" s="209"/>
      <c r="AT117" s="210"/>
    </row>
    <row r="118" spans="1:46" s="98" customFormat="1" ht="15" customHeight="1">
      <c r="A118" s="99"/>
      <c r="B118" s="161"/>
      <c r="C118" s="185"/>
      <c r="D118" s="162" t="s">
        <v>85</v>
      </c>
      <c r="E118" s="162"/>
      <c r="F118" s="162"/>
      <c r="G118" s="768" t="s">
        <v>3703</v>
      </c>
      <c r="H118" s="163"/>
      <c r="I118" s="119" t="s">
        <v>498</v>
      </c>
      <c r="J118" s="143">
        <v>0.12098503178530663</v>
      </c>
      <c r="K118" s="141">
        <v>0</v>
      </c>
      <c r="L118" s="141">
        <v>6.5333221537526853E-2</v>
      </c>
      <c r="M118" s="141">
        <v>2.8905254781004711E-2</v>
      </c>
      <c r="N118" s="141">
        <v>9.4026137248408539E-2</v>
      </c>
      <c r="O118" s="141">
        <v>0</v>
      </c>
      <c r="P118" s="141">
        <v>0.244256</v>
      </c>
      <c r="Q118" s="144">
        <v>0.244256</v>
      </c>
      <c r="R118" s="143">
        <v>0.244256</v>
      </c>
      <c r="S118" s="141">
        <v>0.244256</v>
      </c>
      <c r="T118" s="141">
        <v>0.244256</v>
      </c>
      <c r="U118" s="141">
        <v>0.244256</v>
      </c>
      <c r="V118" s="141">
        <v>0.244256</v>
      </c>
      <c r="W118" s="201"/>
      <c r="X118" s="119" t="s">
        <v>1876</v>
      </c>
      <c r="Y118" s="165">
        <v>4.5</v>
      </c>
      <c r="Z118" s="166">
        <v>0</v>
      </c>
      <c r="AA118" s="166">
        <v>3</v>
      </c>
      <c r="AB118" s="166">
        <v>1</v>
      </c>
      <c r="AC118" s="166">
        <v>4</v>
      </c>
      <c r="AD118" s="166">
        <v>0</v>
      </c>
      <c r="AE118" s="166">
        <v>8</v>
      </c>
      <c r="AF118" s="167">
        <v>8</v>
      </c>
      <c r="AG118" s="165">
        <v>8</v>
      </c>
      <c r="AH118" s="166">
        <v>8</v>
      </c>
      <c r="AI118" s="166">
        <v>8</v>
      </c>
      <c r="AJ118" s="166">
        <v>8</v>
      </c>
      <c r="AK118" s="166">
        <v>8</v>
      </c>
      <c r="AL118" s="201"/>
      <c r="AM118" s="211" t="s">
        <v>3606</v>
      </c>
      <c r="AN118" s="119" t="s">
        <v>2144</v>
      </c>
      <c r="AO118" s="212">
        <v>1</v>
      </c>
      <c r="AP118" s="213" t="s">
        <v>3704</v>
      </c>
      <c r="AQ118" s="119" t="s">
        <v>2145</v>
      </c>
      <c r="AR118" s="456">
        <v>6500</v>
      </c>
      <c r="AS118" s="119" t="s">
        <v>2145</v>
      </c>
      <c r="AT118" s="457">
        <v>0</v>
      </c>
    </row>
    <row r="119" spans="1:46" s="98" customFormat="1" ht="15" customHeight="1">
      <c r="A119" s="99"/>
      <c r="B119" s="161"/>
      <c r="C119" s="185"/>
      <c r="D119" s="162" t="s">
        <v>85</v>
      </c>
      <c r="E119" s="162"/>
      <c r="F119" s="162"/>
      <c r="G119" s="768" t="s">
        <v>3705</v>
      </c>
      <c r="H119" s="163"/>
      <c r="I119" s="119" t="s">
        <v>498</v>
      </c>
      <c r="J119" s="143">
        <v>0</v>
      </c>
      <c r="K119" s="141">
        <v>0</v>
      </c>
      <c r="L119" s="141">
        <v>0</v>
      </c>
      <c r="M119" s="141">
        <v>0</v>
      </c>
      <c r="N119" s="141">
        <v>0</v>
      </c>
      <c r="O119" s="141">
        <v>0</v>
      </c>
      <c r="P119" s="141">
        <v>0.125</v>
      </c>
      <c r="Q119" s="144">
        <v>0.125</v>
      </c>
      <c r="R119" s="143">
        <v>0.125</v>
      </c>
      <c r="S119" s="141">
        <v>0.125</v>
      </c>
      <c r="T119" s="141">
        <v>0.125</v>
      </c>
      <c r="U119" s="141">
        <v>0.125</v>
      </c>
      <c r="V119" s="141">
        <v>0.125</v>
      </c>
      <c r="W119" s="201"/>
      <c r="X119" s="119" t="s">
        <v>1876</v>
      </c>
      <c r="Y119" s="165">
        <v>0</v>
      </c>
      <c r="Z119" s="166">
        <v>0</v>
      </c>
      <c r="AA119" s="166">
        <v>0</v>
      </c>
      <c r="AB119" s="166">
        <v>0</v>
      </c>
      <c r="AC119" s="166">
        <v>0</v>
      </c>
      <c r="AD119" s="166">
        <v>0</v>
      </c>
      <c r="AE119" s="166">
        <v>5</v>
      </c>
      <c r="AF119" s="167">
        <v>5</v>
      </c>
      <c r="AG119" s="165">
        <v>5</v>
      </c>
      <c r="AH119" s="166">
        <v>5</v>
      </c>
      <c r="AI119" s="166">
        <v>5</v>
      </c>
      <c r="AJ119" s="166">
        <v>5</v>
      </c>
      <c r="AK119" s="166">
        <v>5</v>
      </c>
      <c r="AL119" s="201"/>
      <c r="AM119" s="211" t="s">
        <v>3605</v>
      </c>
      <c r="AN119" s="119" t="s">
        <v>2144</v>
      </c>
      <c r="AO119" s="212">
        <v>2</v>
      </c>
      <c r="AP119" s="213" t="s">
        <v>1129</v>
      </c>
      <c r="AQ119" s="119" t="s">
        <v>2145</v>
      </c>
      <c r="AR119" s="456">
        <v>0</v>
      </c>
      <c r="AS119" s="119" t="s">
        <v>2145</v>
      </c>
      <c r="AT119" s="457">
        <v>3000</v>
      </c>
    </row>
    <row r="120" spans="1:46" s="98" customFormat="1" ht="15" customHeight="1">
      <c r="A120" s="99"/>
      <c r="B120" s="161"/>
      <c r="C120" s="185"/>
      <c r="D120" s="162" t="s">
        <v>85</v>
      </c>
      <c r="E120" s="162"/>
      <c r="F120" s="162"/>
      <c r="G120" s="768"/>
      <c r="H120" s="163"/>
      <c r="I120" s="119" t="s">
        <v>498</v>
      </c>
      <c r="J120" s="143">
        <v>0</v>
      </c>
      <c r="K120" s="141">
        <v>0</v>
      </c>
      <c r="L120" s="141">
        <v>0</v>
      </c>
      <c r="M120" s="141">
        <v>0</v>
      </c>
      <c r="N120" s="141">
        <v>0</v>
      </c>
      <c r="O120" s="141">
        <v>0</v>
      </c>
      <c r="P120" s="141">
        <v>0</v>
      </c>
      <c r="Q120" s="144">
        <v>0</v>
      </c>
      <c r="R120" s="143">
        <v>0</v>
      </c>
      <c r="S120" s="141">
        <v>0</v>
      </c>
      <c r="T120" s="141">
        <v>0</v>
      </c>
      <c r="U120" s="141">
        <v>0</v>
      </c>
      <c r="V120" s="141">
        <v>0</v>
      </c>
      <c r="W120" s="201"/>
      <c r="X120" s="119" t="s">
        <v>1876</v>
      </c>
      <c r="Y120" s="165">
        <v>0</v>
      </c>
      <c r="Z120" s="166">
        <v>0</v>
      </c>
      <c r="AA120" s="166">
        <v>0</v>
      </c>
      <c r="AB120" s="166">
        <v>0</v>
      </c>
      <c r="AC120" s="166">
        <v>0</v>
      </c>
      <c r="AD120" s="166">
        <v>0</v>
      </c>
      <c r="AE120" s="166">
        <v>0</v>
      </c>
      <c r="AF120" s="167">
        <v>0</v>
      </c>
      <c r="AG120" s="165">
        <v>0</v>
      </c>
      <c r="AH120" s="166">
        <v>0</v>
      </c>
      <c r="AI120" s="166">
        <v>0</v>
      </c>
      <c r="AJ120" s="166">
        <v>0</v>
      </c>
      <c r="AK120" s="166">
        <v>0</v>
      </c>
      <c r="AL120" s="201"/>
      <c r="AM120" s="211"/>
      <c r="AN120" s="119" t="s">
        <v>2144</v>
      </c>
      <c r="AO120" s="212">
        <v>0</v>
      </c>
      <c r="AP120" s="213"/>
      <c r="AQ120" s="119" t="s">
        <v>2145</v>
      </c>
      <c r="AR120" s="456">
        <v>0</v>
      </c>
      <c r="AS120" s="119" t="s">
        <v>2145</v>
      </c>
      <c r="AT120" s="457">
        <v>0</v>
      </c>
    </row>
    <row r="121" spans="1:46" s="98" customFormat="1" ht="15" customHeight="1">
      <c r="A121" s="99"/>
      <c r="B121" s="161"/>
      <c r="C121" s="185"/>
      <c r="D121" s="162" t="s">
        <v>85</v>
      </c>
      <c r="E121" s="162"/>
      <c r="F121" s="162"/>
      <c r="G121" s="768"/>
      <c r="H121" s="163"/>
      <c r="I121" s="119" t="s">
        <v>498</v>
      </c>
      <c r="J121" s="143">
        <v>0</v>
      </c>
      <c r="K121" s="141">
        <v>0</v>
      </c>
      <c r="L121" s="141">
        <v>0</v>
      </c>
      <c r="M121" s="141">
        <v>0</v>
      </c>
      <c r="N121" s="141">
        <v>0</v>
      </c>
      <c r="O121" s="141">
        <v>0</v>
      </c>
      <c r="P121" s="141">
        <v>0</v>
      </c>
      <c r="Q121" s="144">
        <v>0</v>
      </c>
      <c r="R121" s="143">
        <v>0</v>
      </c>
      <c r="S121" s="141">
        <v>0</v>
      </c>
      <c r="T121" s="141">
        <v>0</v>
      </c>
      <c r="U121" s="141">
        <v>0</v>
      </c>
      <c r="V121" s="141">
        <v>0</v>
      </c>
      <c r="W121" s="201"/>
      <c r="X121" s="119" t="s">
        <v>1876</v>
      </c>
      <c r="Y121" s="165">
        <v>0</v>
      </c>
      <c r="Z121" s="166">
        <v>0</v>
      </c>
      <c r="AA121" s="166">
        <v>0</v>
      </c>
      <c r="AB121" s="166">
        <v>0</v>
      </c>
      <c r="AC121" s="166">
        <v>0</v>
      </c>
      <c r="AD121" s="166">
        <v>0</v>
      </c>
      <c r="AE121" s="166">
        <v>0</v>
      </c>
      <c r="AF121" s="167">
        <v>0</v>
      </c>
      <c r="AG121" s="165">
        <v>0</v>
      </c>
      <c r="AH121" s="166">
        <v>0</v>
      </c>
      <c r="AI121" s="166">
        <v>0</v>
      </c>
      <c r="AJ121" s="166">
        <v>0</v>
      </c>
      <c r="AK121" s="166">
        <v>0</v>
      </c>
      <c r="AL121" s="201"/>
      <c r="AM121" s="211"/>
      <c r="AN121" s="119" t="s">
        <v>2144</v>
      </c>
      <c r="AO121" s="212">
        <v>0</v>
      </c>
      <c r="AP121" s="213"/>
      <c r="AQ121" s="119" t="s">
        <v>2145</v>
      </c>
      <c r="AR121" s="456">
        <v>0</v>
      </c>
      <c r="AS121" s="119" t="s">
        <v>2145</v>
      </c>
      <c r="AT121" s="457">
        <v>0</v>
      </c>
    </row>
    <row r="122" spans="1:46" s="98" customFormat="1" ht="15" customHeight="1">
      <c r="A122" s="99"/>
      <c r="B122" s="161"/>
      <c r="C122" s="185"/>
      <c r="D122" s="162" t="s">
        <v>85</v>
      </c>
      <c r="E122" s="162"/>
      <c r="F122" s="162"/>
      <c r="G122" s="768"/>
      <c r="H122" s="163"/>
      <c r="I122" s="119" t="s">
        <v>498</v>
      </c>
      <c r="J122" s="143">
        <v>0</v>
      </c>
      <c r="K122" s="141">
        <v>0</v>
      </c>
      <c r="L122" s="141">
        <v>0</v>
      </c>
      <c r="M122" s="141">
        <v>0</v>
      </c>
      <c r="N122" s="141">
        <v>0</v>
      </c>
      <c r="O122" s="141">
        <v>0</v>
      </c>
      <c r="P122" s="141">
        <v>0</v>
      </c>
      <c r="Q122" s="144">
        <v>0</v>
      </c>
      <c r="R122" s="143">
        <v>0</v>
      </c>
      <c r="S122" s="141">
        <v>0</v>
      </c>
      <c r="T122" s="141">
        <v>0</v>
      </c>
      <c r="U122" s="141">
        <v>0</v>
      </c>
      <c r="V122" s="141">
        <v>0</v>
      </c>
      <c r="W122" s="201"/>
      <c r="X122" s="119" t="s">
        <v>1876</v>
      </c>
      <c r="Y122" s="165">
        <v>0</v>
      </c>
      <c r="Z122" s="166">
        <v>0</v>
      </c>
      <c r="AA122" s="166">
        <v>0</v>
      </c>
      <c r="AB122" s="166">
        <v>0</v>
      </c>
      <c r="AC122" s="166">
        <v>0</v>
      </c>
      <c r="AD122" s="166">
        <v>0</v>
      </c>
      <c r="AE122" s="166">
        <v>0</v>
      </c>
      <c r="AF122" s="167">
        <v>0</v>
      </c>
      <c r="AG122" s="165">
        <v>0</v>
      </c>
      <c r="AH122" s="166">
        <v>0</v>
      </c>
      <c r="AI122" s="166">
        <v>0</v>
      </c>
      <c r="AJ122" s="166">
        <v>0</v>
      </c>
      <c r="AK122" s="166">
        <v>0</v>
      </c>
      <c r="AL122" s="201"/>
      <c r="AM122" s="211"/>
      <c r="AN122" s="119" t="s">
        <v>2144</v>
      </c>
      <c r="AO122" s="212">
        <v>0</v>
      </c>
      <c r="AP122" s="213"/>
      <c r="AQ122" s="119" t="s">
        <v>2145</v>
      </c>
      <c r="AR122" s="456">
        <v>0</v>
      </c>
      <c r="AS122" s="119" t="s">
        <v>2145</v>
      </c>
      <c r="AT122" s="457">
        <v>0</v>
      </c>
    </row>
    <row r="123" spans="1:46" s="98" customFormat="1" ht="15" customHeight="1">
      <c r="A123" s="99"/>
      <c r="B123" s="161"/>
      <c r="C123" s="185"/>
      <c r="D123" s="162" t="s">
        <v>85</v>
      </c>
      <c r="E123" s="162"/>
      <c r="F123" s="162"/>
      <c r="G123" s="768"/>
      <c r="H123" s="163"/>
      <c r="I123" s="119" t="s">
        <v>498</v>
      </c>
      <c r="J123" s="143">
        <v>0</v>
      </c>
      <c r="K123" s="141">
        <v>0</v>
      </c>
      <c r="L123" s="141">
        <v>0</v>
      </c>
      <c r="M123" s="141">
        <v>0</v>
      </c>
      <c r="N123" s="141">
        <v>0</v>
      </c>
      <c r="O123" s="141">
        <v>0</v>
      </c>
      <c r="P123" s="141">
        <v>0</v>
      </c>
      <c r="Q123" s="144">
        <v>0</v>
      </c>
      <c r="R123" s="143">
        <v>0</v>
      </c>
      <c r="S123" s="141">
        <v>0</v>
      </c>
      <c r="T123" s="141">
        <v>0</v>
      </c>
      <c r="U123" s="141">
        <v>0</v>
      </c>
      <c r="V123" s="141">
        <v>0</v>
      </c>
      <c r="W123" s="201"/>
      <c r="X123" s="119" t="s">
        <v>1876</v>
      </c>
      <c r="Y123" s="165">
        <v>0</v>
      </c>
      <c r="Z123" s="166">
        <v>0</v>
      </c>
      <c r="AA123" s="166">
        <v>0</v>
      </c>
      <c r="AB123" s="166">
        <v>0</v>
      </c>
      <c r="AC123" s="166">
        <v>0</v>
      </c>
      <c r="AD123" s="166">
        <v>0</v>
      </c>
      <c r="AE123" s="166">
        <v>0</v>
      </c>
      <c r="AF123" s="167">
        <v>0</v>
      </c>
      <c r="AG123" s="165">
        <v>0</v>
      </c>
      <c r="AH123" s="166">
        <v>0</v>
      </c>
      <c r="AI123" s="166">
        <v>0</v>
      </c>
      <c r="AJ123" s="166">
        <v>0</v>
      </c>
      <c r="AK123" s="166">
        <v>0</v>
      </c>
      <c r="AL123" s="201"/>
      <c r="AM123" s="211"/>
      <c r="AN123" s="119" t="s">
        <v>2144</v>
      </c>
      <c r="AO123" s="212">
        <v>0</v>
      </c>
      <c r="AP123" s="213"/>
      <c r="AQ123" s="119" t="s">
        <v>2145</v>
      </c>
      <c r="AR123" s="456">
        <v>0</v>
      </c>
      <c r="AS123" s="119" t="s">
        <v>2145</v>
      </c>
      <c r="AT123" s="457">
        <v>0</v>
      </c>
    </row>
    <row r="124" spans="1:46" s="98" customFormat="1" ht="15" customHeight="1">
      <c r="A124" s="99"/>
      <c r="B124" s="161"/>
      <c r="C124" s="185"/>
      <c r="D124" s="162" t="s">
        <v>85</v>
      </c>
      <c r="E124" s="162"/>
      <c r="F124" s="162"/>
      <c r="G124" s="768"/>
      <c r="H124" s="163"/>
      <c r="I124" s="119" t="s">
        <v>498</v>
      </c>
      <c r="J124" s="143">
        <v>0</v>
      </c>
      <c r="K124" s="141">
        <v>0</v>
      </c>
      <c r="L124" s="141">
        <v>0</v>
      </c>
      <c r="M124" s="141">
        <v>0</v>
      </c>
      <c r="N124" s="141">
        <v>0</v>
      </c>
      <c r="O124" s="141">
        <v>0</v>
      </c>
      <c r="P124" s="141">
        <v>0</v>
      </c>
      <c r="Q124" s="144">
        <v>0</v>
      </c>
      <c r="R124" s="143">
        <v>0</v>
      </c>
      <c r="S124" s="141">
        <v>0</v>
      </c>
      <c r="T124" s="141">
        <v>0</v>
      </c>
      <c r="U124" s="141">
        <v>0</v>
      </c>
      <c r="V124" s="141">
        <v>0</v>
      </c>
      <c r="W124" s="201"/>
      <c r="X124" s="119" t="s">
        <v>1876</v>
      </c>
      <c r="Y124" s="165">
        <v>0</v>
      </c>
      <c r="Z124" s="166">
        <v>0</v>
      </c>
      <c r="AA124" s="166">
        <v>0</v>
      </c>
      <c r="AB124" s="166">
        <v>0</v>
      </c>
      <c r="AC124" s="166">
        <v>0</v>
      </c>
      <c r="AD124" s="166">
        <v>0</v>
      </c>
      <c r="AE124" s="166">
        <v>0</v>
      </c>
      <c r="AF124" s="167">
        <v>0</v>
      </c>
      <c r="AG124" s="165">
        <v>0</v>
      </c>
      <c r="AH124" s="166">
        <v>0</v>
      </c>
      <c r="AI124" s="166">
        <v>0</v>
      </c>
      <c r="AJ124" s="166">
        <v>0</v>
      </c>
      <c r="AK124" s="166">
        <v>0</v>
      </c>
      <c r="AL124" s="201"/>
      <c r="AM124" s="211"/>
      <c r="AN124" s="119" t="s">
        <v>2144</v>
      </c>
      <c r="AO124" s="212">
        <v>0</v>
      </c>
      <c r="AP124" s="213"/>
      <c r="AQ124" s="119" t="s">
        <v>2145</v>
      </c>
      <c r="AR124" s="456">
        <v>0</v>
      </c>
      <c r="AS124" s="119" t="s">
        <v>2145</v>
      </c>
      <c r="AT124" s="457">
        <v>0</v>
      </c>
    </row>
    <row r="125" spans="1:46" s="98" customFormat="1" ht="15" customHeight="1">
      <c r="A125" s="99"/>
      <c r="B125" s="161"/>
      <c r="C125" s="185"/>
      <c r="D125" s="162" t="s">
        <v>85</v>
      </c>
      <c r="E125" s="162"/>
      <c r="F125" s="162"/>
      <c r="G125" s="768"/>
      <c r="H125" s="163"/>
      <c r="I125" s="119" t="s">
        <v>498</v>
      </c>
      <c r="J125" s="143">
        <v>0</v>
      </c>
      <c r="K125" s="141">
        <v>0</v>
      </c>
      <c r="L125" s="141">
        <v>0</v>
      </c>
      <c r="M125" s="141">
        <v>0</v>
      </c>
      <c r="N125" s="141">
        <v>0</v>
      </c>
      <c r="O125" s="141">
        <v>0</v>
      </c>
      <c r="P125" s="141">
        <v>0</v>
      </c>
      <c r="Q125" s="144">
        <v>0</v>
      </c>
      <c r="R125" s="143">
        <v>0</v>
      </c>
      <c r="S125" s="141">
        <v>0</v>
      </c>
      <c r="T125" s="141">
        <v>0</v>
      </c>
      <c r="U125" s="141">
        <v>0</v>
      </c>
      <c r="V125" s="141">
        <v>0</v>
      </c>
      <c r="W125" s="201"/>
      <c r="X125" s="119" t="s">
        <v>1876</v>
      </c>
      <c r="Y125" s="165">
        <v>0</v>
      </c>
      <c r="Z125" s="166">
        <v>0</v>
      </c>
      <c r="AA125" s="166">
        <v>0</v>
      </c>
      <c r="AB125" s="166">
        <v>0</v>
      </c>
      <c r="AC125" s="166">
        <v>0</v>
      </c>
      <c r="AD125" s="166">
        <v>0</v>
      </c>
      <c r="AE125" s="166">
        <v>0</v>
      </c>
      <c r="AF125" s="167">
        <v>0</v>
      </c>
      <c r="AG125" s="165">
        <v>0</v>
      </c>
      <c r="AH125" s="166">
        <v>0</v>
      </c>
      <c r="AI125" s="166">
        <v>0</v>
      </c>
      <c r="AJ125" s="166">
        <v>0</v>
      </c>
      <c r="AK125" s="166">
        <v>0</v>
      </c>
      <c r="AL125" s="201"/>
      <c r="AM125" s="211"/>
      <c r="AN125" s="119" t="s">
        <v>2144</v>
      </c>
      <c r="AO125" s="212">
        <v>0</v>
      </c>
      <c r="AP125" s="213"/>
      <c r="AQ125" s="119" t="s">
        <v>2145</v>
      </c>
      <c r="AR125" s="456">
        <v>0</v>
      </c>
      <c r="AS125" s="119" t="s">
        <v>2145</v>
      </c>
      <c r="AT125" s="457">
        <v>0</v>
      </c>
    </row>
    <row r="126" spans="1:46" s="98" customFormat="1" ht="15" customHeight="1">
      <c r="A126" s="99"/>
      <c r="B126" s="181"/>
      <c r="C126" s="182" t="s">
        <v>1710</v>
      </c>
      <c r="D126" s="183"/>
      <c r="E126" s="183"/>
      <c r="F126" s="183"/>
      <c r="G126" s="184"/>
      <c r="H126" s="184"/>
      <c r="I126" s="119" t="s">
        <v>498</v>
      </c>
      <c r="J126" s="128">
        <f>SUM(J118:J125)</f>
        <v>0.12098503178530663</v>
      </c>
      <c r="K126" s="129">
        <f t="shared" ref="K126" si="66">SUM(K118:K125)</f>
        <v>0</v>
      </c>
      <c r="L126" s="129">
        <f t="shared" ref="L126" si="67">SUM(L118:L125)</f>
        <v>6.5333221537526853E-2</v>
      </c>
      <c r="M126" s="129">
        <f t="shared" ref="M126" si="68">SUM(M118:M125)</f>
        <v>2.8905254781004711E-2</v>
      </c>
      <c r="N126" s="129">
        <f t="shared" ref="N126" si="69">SUM(N118:N125)</f>
        <v>9.4026137248408539E-2</v>
      </c>
      <c r="O126" s="129">
        <f t="shared" ref="O126" si="70">SUM(O118:O125)</f>
        <v>0</v>
      </c>
      <c r="P126" s="129">
        <f t="shared" ref="P126" si="71">SUM(P118:P125)</f>
        <v>0.36925600000000003</v>
      </c>
      <c r="Q126" s="130">
        <f t="shared" ref="Q126" si="72">SUM(Q118:Q125)</f>
        <v>0.36925600000000003</v>
      </c>
      <c r="R126" s="128">
        <f t="shared" ref="R126" si="73">SUM(R118:R125)</f>
        <v>0.36925600000000003</v>
      </c>
      <c r="S126" s="129">
        <f t="shared" ref="S126" si="74">SUM(S118:S125)</f>
        <v>0.36925600000000003</v>
      </c>
      <c r="T126" s="129">
        <f t="shared" ref="T126" si="75">SUM(T118:T125)</f>
        <v>0.36925600000000003</v>
      </c>
      <c r="U126" s="129">
        <f t="shared" ref="U126" si="76">SUM(U118:U125)</f>
        <v>0.36925600000000003</v>
      </c>
      <c r="V126" s="129">
        <f t="shared" ref="V126" si="77">SUM(V118:V125)</f>
        <v>0.36925600000000003</v>
      </c>
      <c r="W126" s="201"/>
      <c r="X126" s="119" t="s">
        <v>1876</v>
      </c>
      <c r="Y126" s="777">
        <f>SUM(Y118:Y125)</f>
        <v>4.5</v>
      </c>
      <c r="Z126" s="778">
        <f t="shared" ref="Z126:AK126" si="78">SUM(Z118:Z125)</f>
        <v>0</v>
      </c>
      <c r="AA126" s="778">
        <f t="shared" si="78"/>
        <v>3</v>
      </c>
      <c r="AB126" s="778">
        <f t="shared" si="78"/>
        <v>1</v>
      </c>
      <c r="AC126" s="778">
        <f t="shared" si="78"/>
        <v>4</v>
      </c>
      <c r="AD126" s="778">
        <f t="shared" si="78"/>
        <v>0</v>
      </c>
      <c r="AE126" s="778">
        <f t="shared" si="78"/>
        <v>13</v>
      </c>
      <c r="AF126" s="779">
        <f t="shared" si="78"/>
        <v>13</v>
      </c>
      <c r="AG126" s="777">
        <f t="shared" si="78"/>
        <v>13</v>
      </c>
      <c r="AH126" s="778">
        <f t="shared" si="78"/>
        <v>13</v>
      </c>
      <c r="AI126" s="778">
        <f t="shared" si="78"/>
        <v>13</v>
      </c>
      <c r="AJ126" s="778">
        <f t="shared" si="78"/>
        <v>13</v>
      </c>
      <c r="AK126" s="778">
        <f t="shared" si="78"/>
        <v>13</v>
      </c>
      <c r="AL126" s="201"/>
      <c r="AM126" s="185"/>
      <c r="AN126" s="185"/>
      <c r="AO126" s="185"/>
      <c r="AP126" s="185"/>
      <c r="AQ126" s="119" t="s">
        <v>2145</v>
      </c>
      <c r="AR126" s="129">
        <f>SUM(AR118:AR125)</f>
        <v>6500</v>
      </c>
      <c r="AS126" s="119" t="s">
        <v>2145</v>
      </c>
      <c r="AT126" s="130">
        <f>SUM(AT118:AT125)</f>
        <v>3000</v>
      </c>
    </row>
    <row r="127" spans="1:46" s="98" customFormat="1" ht="15" customHeight="1">
      <c r="A127" s="99"/>
      <c r="B127" s="161"/>
      <c r="C127" s="116"/>
      <c r="D127" s="116"/>
      <c r="E127" s="116"/>
      <c r="F127" s="116"/>
      <c r="G127" s="117"/>
      <c r="H127" s="117"/>
      <c r="I127" s="117"/>
      <c r="J127" s="159"/>
      <c r="K127" s="117"/>
      <c r="L127" s="117"/>
      <c r="M127" s="117"/>
      <c r="N127" s="117"/>
      <c r="O127" s="117"/>
      <c r="P127" s="117"/>
      <c r="Q127" s="160"/>
      <c r="R127" s="159"/>
      <c r="S127" s="117"/>
      <c r="T127" s="117"/>
      <c r="U127" s="117"/>
      <c r="V127" s="208"/>
      <c r="W127" s="201"/>
      <c r="X127" s="117"/>
      <c r="Y127" s="878"/>
      <c r="Z127" s="881"/>
      <c r="AA127" s="881"/>
      <c r="AB127" s="881"/>
      <c r="AC127" s="881"/>
      <c r="AD127" s="881"/>
      <c r="AE127" s="881"/>
      <c r="AF127" s="880"/>
      <c r="AG127" s="878"/>
      <c r="AH127" s="881"/>
      <c r="AI127" s="881"/>
      <c r="AJ127" s="881"/>
      <c r="AK127" s="1108"/>
      <c r="AL127" s="201"/>
      <c r="AM127" s="185"/>
      <c r="AN127" s="185"/>
      <c r="AO127" s="185"/>
      <c r="AP127" s="185"/>
      <c r="AQ127" s="185"/>
      <c r="AR127" s="185"/>
      <c r="AS127" s="185"/>
      <c r="AT127" s="215"/>
    </row>
    <row r="128" spans="1:46" s="98" customFormat="1" ht="15" customHeight="1">
      <c r="A128" s="99"/>
      <c r="B128" s="161"/>
      <c r="C128" s="186" t="s">
        <v>2146</v>
      </c>
      <c r="D128" s="162"/>
      <c r="E128" s="162"/>
      <c r="F128" s="162"/>
      <c r="G128" s="163"/>
      <c r="H128" s="163"/>
      <c r="I128" s="117"/>
      <c r="J128" s="159"/>
      <c r="K128" s="117"/>
      <c r="L128" s="117"/>
      <c r="M128" s="117"/>
      <c r="N128" s="117"/>
      <c r="O128" s="117"/>
      <c r="P128" s="117"/>
      <c r="Q128" s="160"/>
      <c r="R128" s="159"/>
      <c r="S128" s="117"/>
      <c r="T128" s="117"/>
      <c r="U128" s="117"/>
      <c r="V128" s="208"/>
      <c r="W128" s="201"/>
      <c r="X128" s="117"/>
      <c r="Y128" s="878"/>
      <c r="Z128" s="881"/>
      <c r="AA128" s="881"/>
      <c r="AB128" s="881"/>
      <c r="AC128" s="881"/>
      <c r="AD128" s="881"/>
      <c r="AE128" s="881"/>
      <c r="AF128" s="880"/>
      <c r="AG128" s="878"/>
      <c r="AH128" s="881"/>
      <c r="AI128" s="881"/>
      <c r="AJ128" s="881"/>
      <c r="AK128" s="1108"/>
      <c r="AL128" s="201"/>
      <c r="AM128" s="209"/>
      <c r="AN128" s="209"/>
      <c r="AO128" s="209"/>
      <c r="AP128" s="209"/>
      <c r="AQ128" s="209"/>
      <c r="AR128" s="209"/>
      <c r="AS128" s="209"/>
      <c r="AT128" s="210"/>
    </row>
    <row r="129" spans="1:46" s="98" customFormat="1" ht="15" customHeight="1">
      <c r="A129" s="99"/>
      <c r="B129" s="161"/>
      <c r="C129" s="185"/>
      <c r="D129" s="162" t="s">
        <v>85</v>
      </c>
      <c r="E129" s="162"/>
      <c r="F129" s="162"/>
      <c r="G129" s="768" t="s">
        <v>3705</v>
      </c>
      <c r="H129" s="163"/>
      <c r="I129" s="119" t="s">
        <v>498</v>
      </c>
      <c r="J129" s="143">
        <v>0</v>
      </c>
      <c r="K129" s="141">
        <v>0.1269367012987013</v>
      </c>
      <c r="L129" s="141">
        <v>4.3555481025017904E-2</v>
      </c>
      <c r="M129" s="141">
        <v>0.11562101912401884</v>
      </c>
      <c r="N129" s="141">
        <v>0</v>
      </c>
      <c r="O129" s="141">
        <v>0.12223305835828979</v>
      </c>
      <c r="P129" s="141">
        <v>0</v>
      </c>
      <c r="Q129" s="144">
        <v>0.125</v>
      </c>
      <c r="R129" s="143">
        <v>0.125</v>
      </c>
      <c r="S129" s="141">
        <v>0.125</v>
      </c>
      <c r="T129" s="141">
        <v>0.125</v>
      </c>
      <c r="U129" s="141">
        <v>0.125</v>
      </c>
      <c r="V129" s="141">
        <v>0.125</v>
      </c>
      <c r="W129" s="201"/>
      <c r="X129" s="119" t="s">
        <v>1876</v>
      </c>
      <c r="Y129" s="165">
        <v>0</v>
      </c>
      <c r="Z129" s="166">
        <v>5</v>
      </c>
      <c r="AA129" s="166">
        <v>2</v>
      </c>
      <c r="AB129" s="166">
        <v>4</v>
      </c>
      <c r="AC129" s="166">
        <v>0</v>
      </c>
      <c r="AD129" s="166">
        <v>5</v>
      </c>
      <c r="AE129" s="166">
        <v>0</v>
      </c>
      <c r="AF129" s="167">
        <v>5</v>
      </c>
      <c r="AG129" s="165">
        <v>5</v>
      </c>
      <c r="AH129" s="166">
        <v>5</v>
      </c>
      <c r="AI129" s="166">
        <v>5</v>
      </c>
      <c r="AJ129" s="166">
        <v>5</v>
      </c>
      <c r="AK129" s="166">
        <v>5</v>
      </c>
      <c r="AL129" s="201"/>
      <c r="AM129" s="209"/>
      <c r="AN129" s="209"/>
      <c r="AO129" s="209"/>
      <c r="AP129" s="209"/>
      <c r="AQ129" s="119" t="s">
        <v>2145</v>
      </c>
      <c r="AR129" s="456">
        <v>0</v>
      </c>
      <c r="AS129" s="119" t="s">
        <v>2145</v>
      </c>
      <c r="AT129" s="457">
        <v>3000</v>
      </c>
    </row>
    <row r="130" spans="1:46" s="98" customFormat="1" ht="15" customHeight="1">
      <c r="A130" s="99"/>
      <c r="B130" s="161"/>
      <c r="C130" s="185"/>
      <c r="D130" s="162" t="s">
        <v>85</v>
      </c>
      <c r="E130" s="162"/>
      <c r="F130" s="162"/>
      <c r="G130" s="768"/>
      <c r="H130" s="163"/>
      <c r="I130" s="119" t="s">
        <v>498</v>
      </c>
      <c r="J130" s="143">
        <v>0</v>
      </c>
      <c r="K130" s="141">
        <v>0</v>
      </c>
      <c r="L130" s="141">
        <v>0</v>
      </c>
      <c r="M130" s="141">
        <v>0</v>
      </c>
      <c r="N130" s="141">
        <v>0</v>
      </c>
      <c r="O130" s="141">
        <v>0</v>
      </c>
      <c r="P130" s="141">
        <v>0</v>
      </c>
      <c r="Q130" s="144">
        <v>0</v>
      </c>
      <c r="R130" s="143">
        <v>0</v>
      </c>
      <c r="S130" s="141">
        <v>0</v>
      </c>
      <c r="T130" s="141">
        <v>0</v>
      </c>
      <c r="U130" s="141">
        <v>0</v>
      </c>
      <c r="V130" s="141">
        <v>0</v>
      </c>
      <c r="W130" s="201"/>
      <c r="X130" s="119" t="s">
        <v>1876</v>
      </c>
      <c r="Y130" s="165">
        <v>0</v>
      </c>
      <c r="Z130" s="166">
        <v>0</v>
      </c>
      <c r="AA130" s="166">
        <v>0</v>
      </c>
      <c r="AB130" s="166">
        <v>0</v>
      </c>
      <c r="AC130" s="166">
        <v>0</v>
      </c>
      <c r="AD130" s="166">
        <v>0</v>
      </c>
      <c r="AE130" s="166">
        <v>0</v>
      </c>
      <c r="AF130" s="167">
        <v>0</v>
      </c>
      <c r="AG130" s="165">
        <v>0</v>
      </c>
      <c r="AH130" s="166">
        <v>0</v>
      </c>
      <c r="AI130" s="166">
        <v>0</v>
      </c>
      <c r="AJ130" s="166">
        <v>0</v>
      </c>
      <c r="AK130" s="166">
        <v>0</v>
      </c>
      <c r="AL130" s="201"/>
      <c r="AM130" s="209"/>
      <c r="AN130" s="209"/>
      <c r="AO130" s="209"/>
      <c r="AP130" s="209"/>
      <c r="AQ130" s="119" t="s">
        <v>2145</v>
      </c>
      <c r="AR130" s="456">
        <v>0</v>
      </c>
      <c r="AS130" s="119" t="s">
        <v>2145</v>
      </c>
      <c r="AT130" s="457">
        <v>0</v>
      </c>
    </row>
    <row r="131" spans="1:46" s="98" customFormat="1" ht="15" customHeight="1">
      <c r="A131" s="99"/>
      <c r="B131" s="161"/>
      <c r="C131" s="185"/>
      <c r="D131" s="162" t="s">
        <v>85</v>
      </c>
      <c r="E131" s="162"/>
      <c r="F131" s="162"/>
      <c r="G131" s="768"/>
      <c r="H131" s="163"/>
      <c r="I131" s="119" t="s">
        <v>498</v>
      </c>
      <c r="J131" s="143">
        <v>0</v>
      </c>
      <c r="K131" s="141">
        <v>0</v>
      </c>
      <c r="L131" s="141">
        <v>0</v>
      </c>
      <c r="M131" s="141">
        <v>0</v>
      </c>
      <c r="N131" s="141">
        <v>0</v>
      </c>
      <c r="O131" s="141">
        <v>0</v>
      </c>
      <c r="P131" s="141">
        <v>0</v>
      </c>
      <c r="Q131" s="144">
        <v>0</v>
      </c>
      <c r="R131" s="143">
        <v>0</v>
      </c>
      <c r="S131" s="141">
        <v>0</v>
      </c>
      <c r="T131" s="141">
        <v>0</v>
      </c>
      <c r="U131" s="141">
        <v>0</v>
      </c>
      <c r="V131" s="141">
        <v>0</v>
      </c>
      <c r="W131" s="201"/>
      <c r="X131" s="119" t="s">
        <v>1876</v>
      </c>
      <c r="Y131" s="165">
        <v>0</v>
      </c>
      <c r="Z131" s="166">
        <v>0</v>
      </c>
      <c r="AA131" s="166">
        <v>0</v>
      </c>
      <c r="AB131" s="166">
        <v>0</v>
      </c>
      <c r="AC131" s="166">
        <v>0</v>
      </c>
      <c r="AD131" s="166">
        <v>0</v>
      </c>
      <c r="AE131" s="166">
        <v>0</v>
      </c>
      <c r="AF131" s="167">
        <v>0</v>
      </c>
      <c r="AG131" s="165">
        <v>0</v>
      </c>
      <c r="AH131" s="166">
        <v>0</v>
      </c>
      <c r="AI131" s="166">
        <v>0</v>
      </c>
      <c r="AJ131" s="166">
        <v>0</v>
      </c>
      <c r="AK131" s="166">
        <v>0</v>
      </c>
      <c r="AL131" s="201"/>
      <c r="AM131" s="209"/>
      <c r="AN131" s="209"/>
      <c r="AO131" s="209"/>
      <c r="AP131" s="209"/>
      <c r="AQ131" s="119" t="s">
        <v>2145</v>
      </c>
      <c r="AR131" s="456">
        <v>0</v>
      </c>
      <c r="AS131" s="119" t="s">
        <v>2145</v>
      </c>
      <c r="AT131" s="457">
        <v>0</v>
      </c>
    </row>
    <row r="132" spans="1:46" s="98" customFormat="1" ht="15" customHeight="1">
      <c r="A132" s="99"/>
      <c r="B132" s="161"/>
      <c r="C132" s="185"/>
      <c r="D132" s="162" t="s">
        <v>85</v>
      </c>
      <c r="E132" s="162"/>
      <c r="F132" s="162"/>
      <c r="G132" s="768"/>
      <c r="H132" s="163"/>
      <c r="I132" s="119" t="s">
        <v>498</v>
      </c>
      <c r="J132" s="143">
        <v>0</v>
      </c>
      <c r="K132" s="141">
        <v>0</v>
      </c>
      <c r="L132" s="141">
        <v>0</v>
      </c>
      <c r="M132" s="141">
        <v>0</v>
      </c>
      <c r="N132" s="141">
        <v>0</v>
      </c>
      <c r="O132" s="141">
        <v>0</v>
      </c>
      <c r="P132" s="141">
        <v>0</v>
      </c>
      <c r="Q132" s="144">
        <v>0</v>
      </c>
      <c r="R132" s="143">
        <v>0</v>
      </c>
      <c r="S132" s="141">
        <v>0</v>
      </c>
      <c r="T132" s="141">
        <v>0</v>
      </c>
      <c r="U132" s="141">
        <v>0</v>
      </c>
      <c r="V132" s="141">
        <v>0</v>
      </c>
      <c r="W132" s="201"/>
      <c r="X132" s="119" t="s">
        <v>1876</v>
      </c>
      <c r="Y132" s="165">
        <v>0</v>
      </c>
      <c r="Z132" s="166">
        <v>0</v>
      </c>
      <c r="AA132" s="166">
        <v>0</v>
      </c>
      <c r="AB132" s="166">
        <v>0</v>
      </c>
      <c r="AC132" s="166">
        <v>0</v>
      </c>
      <c r="AD132" s="166">
        <v>0</v>
      </c>
      <c r="AE132" s="166">
        <v>0</v>
      </c>
      <c r="AF132" s="167">
        <v>0</v>
      </c>
      <c r="AG132" s="165">
        <v>0</v>
      </c>
      <c r="AH132" s="166">
        <v>0</v>
      </c>
      <c r="AI132" s="166">
        <v>0</v>
      </c>
      <c r="AJ132" s="166">
        <v>0</v>
      </c>
      <c r="AK132" s="166">
        <v>0</v>
      </c>
      <c r="AL132" s="201"/>
      <c r="AM132" s="209"/>
      <c r="AN132" s="209"/>
      <c r="AO132" s="209"/>
      <c r="AP132" s="209"/>
      <c r="AQ132" s="119" t="s">
        <v>2145</v>
      </c>
      <c r="AR132" s="456">
        <v>0</v>
      </c>
      <c r="AS132" s="119" t="s">
        <v>2145</v>
      </c>
      <c r="AT132" s="457">
        <v>0</v>
      </c>
    </row>
    <row r="133" spans="1:46" s="98" customFormat="1" ht="15" customHeight="1">
      <c r="A133" s="99"/>
      <c r="B133" s="161"/>
      <c r="C133" s="185"/>
      <c r="D133" s="162" t="s">
        <v>85</v>
      </c>
      <c r="E133" s="162"/>
      <c r="F133" s="162"/>
      <c r="G133" s="768"/>
      <c r="H133" s="163"/>
      <c r="I133" s="119" t="s">
        <v>498</v>
      </c>
      <c r="J133" s="143">
        <v>0</v>
      </c>
      <c r="K133" s="141">
        <v>0</v>
      </c>
      <c r="L133" s="141">
        <v>0</v>
      </c>
      <c r="M133" s="141">
        <v>0</v>
      </c>
      <c r="N133" s="141">
        <v>0</v>
      </c>
      <c r="O133" s="141">
        <v>0</v>
      </c>
      <c r="P133" s="141">
        <v>0</v>
      </c>
      <c r="Q133" s="144">
        <v>0</v>
      </c>
      <c r="R133" s="143">
        <v>0</v>
      </c>
      <c r="S133" s="141">
        <v>0</v>
      </c>
      <c r="T133" s="141">
        <v>0</v>
      </c>
      <c r="U133" s="141">
        <v>0</v>
      </c>
      <c r="V133" s="141">
        <v>0</v>
      </c>
      <c r="W133" s="201"/>
      <c r="X133" s="119" t="s">
        <v>1876</v>
      </c>
      <c r="Y133" s="165">
        <v>0</v>
      </c>
      <c r="Z133" s="166">
        <v>0</v>
      </c>
      <c r="AA133" s="166">
        <v>0</v>
      </c>
      <c r="AB133" s="166">
        <v>0</v>
      </c>
      <c r="AC133" s="166">
        <v>0</v>
      </c>
      <c r="AD133" s="166">
        <v>0</v>
      </c>
      <c r="AE133" s="166">
        <v>0</v>
      </c>
      <c r="AF133" s="167">
        <v>0</v>
      </c>
      <c r="AG133" s="165">
        <v>0</v>
      </c>
      <c r="AH133" s="166">
        <v>0</v>
      </c>
      <c r="AI133" s="166">
        <v>0</v>
      </c>
      <c r="AJ133" s="166">
        <v>0</v>
      </c>
      <c r="AK133" s="166">
        <v>0</v>
      </c>
      <c r="AL133" s="201"/>
      <c r="AM133" s="209"/>
      <c r="AN133" s="209"/>
      <c r="AO133" s="209"/>
      <c r="AP133" s="209"/>
      <c r="AQ133" s="119" t="s">
        <v>2145</v>
      </c>
      <c r="AR133" s="456">
        <v>0</v>
      </c>
      <c r="AS133" s="119" t="s">
        <v>2145</v>
      </c>
      <c r="AT133" s="457">
        <v>0</v>
      </c>
    </row>
    <row r="134" spans="1:46" s="98" customFormat="1" ht="15" customHeight="1">
      <c r="A134" s="99"/>
      <c r="B134" s="161"/>
      <c r="C134" s="185"/>
      <c r="D134" s="162" t="s">
        <v>85</v>
      </c>
      <c r="E134" s="162"/>
      <c r="F134" s="162"/>
      <c r="G134" s="768"/>
      <c r="H134" s="163"/>
      <c r="I134" s="119" t="s">
        <v>498</v>
      </c>
      <c r="J134" s="143">
        <v>0</v>
      </c>
      <c r="K134" s="141">
        <v>0</v>
      </c>
      <c r="L134" s="141">
        <v>0</v>
      </c>
      <c r="M134" s="141">
        <v>0</v>
      </c>
      <c r="N134" s="141">
        <v>0</v>
      </c>
      <c r="O134" s="141">
        <v>0</v>
      </c>
      <c r="P134" s="141">
        <v>0</v>
      </c>
      <c r="Q134" s="144">
        <v>0</v>
      </c>
      <c r="R134" s="143">
        <v>0</v>
      </c>
      <c r="S134" s="141">
        <v>0</v>
      </c>
      <c r="T134" s="141">
        <v>0</v>
      </c>
      <c r="U134" s="141">
        <v>0</v>
      </c>
      <c r="V134" s="141">
        <v>0</v>
      </c>
      <c r="W134" s="201"/>
      <c r="X134" s="119" t="s">
        <v>1876</v>
      </c>
      <c r="Y134" s="165">
        <v>0</v>
      </c>
      <c r="Z134" s="166">
        <v>0</v>
      </c>
      <c r="AA134" s="166">
        <v>0</v>
      </c>
      <c r="AB134" s="166">
        <v>0</v>
      </c>
      <c r="AC134" s="166">
        <v>0</v>
      </c>
      <c r="AD134" s="166">
        <v>0</v>
      </c>
      <c r="AE134" s="166">
        <v>0</v>
      </c>
      <c r="AF134" s="167">
        <v>0</v>
      </c>
      <c r="AG134" s="165">
        <v>0</v>
      </c>
      <c r="AH134" s="166">
        <v>0</v>
      </c>
      <c r="AI134" s="166">
        <v>0</v>
      </c>
      <c r="AJ134" s="166">
        <v>0</v>
      </c>
      <c r="AK134" s="166">
        <v>0</v>
      </c>
      <c r="AL134" s="201"/>
      <c r="AM134" s="209"/>
      <c r="AN134" s="209"/>
      <c r="AO134" s="209"/>
      <c r="AP134" s="209"/>
      <c r="AQ134" s="119" t="s">
        <v>2145</v>
      </c>
      <c r="AR134" s="456">
        <v>0</v>
      </c>
      <c r="AS134" s="119" t="s">
        <v>2145</v>
      </c>
      <c r="AT134" s="457">
        <v>0</v>
      </c>
    </row>
    <row r="135" spans="1:46" s="98" customFormat="1" ht="15" customHeight="1">
      <c r="A135" s="99"/>
      <c r="B135" s="161"/>
      <c r="C135" s="185"/>
      <c r="D135" s="162" t="s">
        <v>85</v>
      </c>
      <c r="E135" s="162"/>
      <c r="F135" s="162"/>
      <c r="G135" s="768"/>
      <c r="H135" s="163"/>
      <c r="I135" s="119" t="s">
        <v>498</v>
      </c>
      <c r="J135" s="143">
        <v>0</v>
      </c>
      <c r="K135" s="141">
        <v>0</v>
      </c>
      <c r="L135" s="141">
        <v>0</v>
      </c>
      <c r="M135" s="141">
        <v>0</v>
      </c>
      <c r="N135" s="141">
        <v>0</v>
      </c>
      <c r="O135" s="141">
        <v>0</v>
      </c>
      <c r="P135" s="141">
        <v>0</v>
      </c>
      <c r="Q135" s="144">
        <v>0</v>
      </c>
      <c r="R135" s="143">
        <v>0</v>
      </c>
      <c r="S135" s="141">
        <v>0</v>
      </c>
      <c r="T135" s="141">
        <v>0</v>
      </c>
      <c r="U135" s="141">
        <v>0</v>
      </c>
      <c r="V135" s="141">
        <v>0</v>
      </c>
      <c r="W135" s="201"/>
      <c r="X135" s="119" t="s">
        <v>1876</v>
      </c>
      <c r="Y135" s="165">
        <v>0</v>
      </c>
      <c r="Z135" s="166">
        <v>0</v>
      </c>
      <c r="AA135" s="166">
        <v>0</v>
      </c>
      <c r="AB135" s="166">
        <v>0</v>
      </c>
      <c r="AC135" s="166">
        <v>0</v>
      </c>
      <c r="AD135" s="166">
        <v>0</v>
      </c>
      <c r="AE135" s="166">
        <v>0</v>
      </c>
      <c r="AF135" s="167">
        <v>0</v>
      </c>
      <c r="AG135" s="165">
        <v>0</v>
      </c>
      <c r="AH135" s="166">
        <v>0</v>
      </c>
      <c r="AI135" s="166">
        <v>0</v>
      </c>
      <c r="AJ135" s="166">
        <v>0</v>
      </c>
      <c r="AK135" s="166">
        <v>0</v>
      </c>
      <c r="AL135" s="201"/>
      <c r="AM135" s="209"/>
      <c r="AN135" s="209"/>
      <c r="AO135" s="209"/>
      <c r="AP135" s="209"/>
      <c r="AQ135" s="119" t="s">
        <v>2145</v>
      </c>
      <c r="AR135" s="456">
        <v>0</v>
      </c>
      <c r="AS135" s="119" t="s">
        <v>2145</v>
      </c>
      <c r="AT135" s="457">
        <v>0</v>
      </c>
    </row>
    <row r="136" spans="1:46" s="98" customFormat="1" ht="15" customHeight="1">
      <c r="A136" s="99"/>
      <c r="B136" s="161"/>
      <c r="C136" s="185"/>
      <c r="D136" s="162" t="s">
        <v>85</v>
      </c>
      <c r="E136" s="162"/>
      <c r="F136" s="162"/>
      <c r="G136" s="768"/>
      <c r="H136" s="163"/>
      <c r="I136" s="119" t="s">
        <v>498</v>
      </c>
      <c r="J136" s="143">
        <v>0</v>
      </c>
      <c r="K136" s="141">
        <v>0</v>
      </c>
      <c r="L136" s="141">
        <v>0</v>
      </c>
      <c r="M136" s="141">
        <v>0</v>
      </c>
      <c r="N136" s="141">
        <v>0</v>
      </c>
      <c r="O136" s="141">
        <v>0</v>
      </c>
      <c r="P136" s="141">
        <v>0</v>
      </c>
      <c r="Q136" s="144">
        <v>0</v>
      </c>
      <c r="R136" s="143">
        <v>0</v>
      </c>
      <c r="S136" s="141">
        <v>0</v>
      </c>
      <c r="T136" s="141">
        <v>0</v>
      </c>
      <c r="U136" s="141">
        <v>0</v>
      </c>
      <c r="V136" s="141">
        <v>0</v>
      </c>
      <c r="W136" s="201"/>
      <c r="X136" s="119" t="s">
        <v>1876</v>
      </c>
      <c r="Y136" s="165">
        <v>0</v>
      </c>
      <c r="Z136" s="166">
        <v>0</v>
      </c>
      <c r="AA136" s="166">
        <v>0</v>
      </c>
      <c r="AB136" s="166">
        <v>0</v>
      </c>
      <c r="AC136" s="166">
        <v>0</v>
      </c>
      <c r="AD136" s="166">
        <v>0</v>
      </c>
      <c r="AE136" s="166">
        <v>0</v>
      </c>
      <c r="AF136" s="167">
        <v>0</v>
      </c>
      <c r="AG136" s="165">
        <v>0</v>
      </c>
      <c r="AH136" s="166">
        <v>0</v>
      </c>
      <c r="AI136" s="166">
        <v>0</v>
      </c>
      <c r="AJ136" s="166">
        <v>0</v>
      </c>
      <c r="AK136" s="166">
        <v>0</v>
      </c>
      <c r="AL136" s="201"/>
      <c r="AM136" s="209"/>
      <c r="AN136" s="209"/>
      <c r="AO136" s="209"/>
      <c r="AP136" s="209"/>
      <c r="AQ136" s="119" t="s">
        <v>2145</v>
      </c>
      <c r="AR136" s="456">
        <v>0</v>
      </c>
      <c r="AS136" s="119" t="s">
        <v>2145</v>
      </c>
      <c r="AT136" s="457">
        <v>0</v>
      </c>
    </row>
    <row r="137" spans="1:46" s="98" customFormat="1" ht="15" customHeight="1">
      <c r="A137" s="99"/>
      <c r="B137" s="181"/>
      <c r="C137" s="182" t="s">
        <v>1710</v>
      </c>
      <c r="D137" s="183"/>
      <c r="E137" s="183"/>
      <c r="F137" s="183"/>
      <c r="G137" s="184"/>
      <c r="H137" s="184"/>
      <c r="I137" s="119" t="s">
        <v>498</v>
      </c>
      <c r="J137" s="128">
        <f>SUM(J129:J136)</f>
        <v>0</v>
      </c>
      <c r="K137" s="129">
        <f t="shared" ref="K137" si="79">SUM(K129:K136)</f>
        <v>0.1269367012987013</v>
      </c>
      <c r="L137" s="129">
        <f t="shared" ref="L137" si="80">SUM(L129:L136)</f>
        <v>4.3555481025017904E-2</v>
      </c>
      <c r="M137" s="129">
        <f t="shared" ref="M137" si="81">SUM(M129:M136)</f>
        <v>0.11562101912401884</v>
      </c>
      <c r="N137" s="129">
        <f t="shared" ref="N137" si="82">SUM(N129:N136)</f>
        <v>0</v>
      </c>
      <c r="O137" s="129">
        <f t="shared" ref="O137" si="83">SUM(O129:O136)</f>
        <v>0.12223305835828979</v>
      </c>
      <c r="P137" s="129">
        <f t="shared" ref="P137" si="84">SUM(P129:P136)</f>
        <v>0</v>
      </c>
      <c r="Q137" s="130">
        <f t="shared" ref="Q137" si="85">SUM(Q129:Q136)</f>
        <v>0.125</v>
      </c>
      <c r="R137" s="128">
        <f t="shared" ref="R137" si="86">SUM(R129:R136)</f>
        <v>0.125</v>
      </c>
      <c r="S137" s="129">
        <f t="shared" ref="S137" si="87">SUM(S129:S136)</f>
        <v>0.125</v>
      </c>
      <c r="T137" s="129">
        <f t="shared" ref="T137" si="88">SUM(T129:T136)</f>
        <v>0.125</v>
      </c>
      <c r="U137" s="129">
        <f t="shared" ref="U137" si="89">SUM(U129:U136)</f>
        <v>0.125</v>
      </c>
      <c r="V137" s="129">
        <f t="shared" ref="V137" si="90">SUM(V129:V136)</f>
        <v>0.125</v>
      </c>
      <c r="W137" s="201"/>
      <c r="X137" s="119" t="s">
        <v>1876</v>
      </c>
      <c r="Y137" s="777">
        <f>SUM(Y129:Y136)</f>
        <v>0</v>
      </c>
      <c r="Z137" s="778">
        <f t="shared" ref="Z137:AK137" si="91">SUM(Z129:Z136)</f>
        <v>5</v>
      </c>
      <c r="AA137" s="778">
        <f t="shared" si="91"/>
        <v>2</v>
      </c>
      <c r="AB137" s="778">
        <f t="shared" si="91"/>
        <v>4</v>
      </c>
      <c r="AC137" s="778">
        <f t="shared" si="91"/>
        <v>0</v>
      </c>
      <c r="AD137" s="778">
        <f t="shared" si="91"/>
        <v>5</v>
      </c>
      <c r="AE137" s="778">
        <f t="shared" si="91"/>
        <v>0</v>
      </c>
      <c r="AF137" s="779">
        <f t="shared" si="91"/>
        <v>5</v>
      </c>
      <c r="AG137" s="777">
        <f t="shared" si="91"/>
        <v>5</v>
      </c>
      <c r="AH137" s="778">
        <f t="shared" si="91"/>
        <v>5</v>
      </c>
      <c r="AI137" s="778">
        <f t="shared" si="91"/>
        <v>5</v>
      </c>
      <c r="AJ137" s="778">
        <f t="shared" si="91"/>
        <v>5</v>
      </c>
      <c r="AK137" s="778">
        <f t="shared" si="91"/>
        <v>5</v>
      </c>
      <c r="AL137" s="201"/>
      <c r="AM137" s="209"/>
      <c r="AN137" s="209"/>
      <c r="AO137" s="209"/>
      <c r="AP137" s="209"/>
      <c r="AQ137" s="119" t="s">
        <v>2145</v>
      </c>
      <c r="AR137" s="129">
        <f>SUM(AR129:AR136)</f>
        <v>0</v>
      </c>
      <c r="AS137" s="119" t="s">
        <v>2145</v>
      </c>
      <c r="AT137" s="130">
        <f>SUM(AT129:AT136)</f>
        <v>3000</v>
      </c>
    </row>
    <row r="138" spans="1:46" s="98" customFormat="1" ht="15" customHeight="1">
      <c r="A138" s="99"/>
      <c r="B138" s="161"/>
      <c r="C138" s="116"/>
      <c r="D138" s="116"/>
      <c r="E138" s="116"/>
      <c r="F138" s="116"/>
      <c r="G138" s="117"/>
      <c r="H138" s="117"/>
      <c r="I138" s="117"/>
      <c r="J138" s="159"/>
      <c r="K138" s="117"/>
      <c r="L138" s="117"/>
      <c r="M138" s="117"/>
      <c r="N138" s="117"/>
      <c r="O138" s="117"/>
      <c r="P138" s="117"/>
      <c r="Q138" s="160"/>
      <c r="R138" s="159"/>
      <c r="S138" s="117"/>
      <c r="T138" s="117"/>
      <c r="U138" s="117"/>
      <c r="V138" s="208"/>
      <c r="W138" s="201"/>
      <c r="X138" s="117"/>
      <c r="Y138" s="878"/>
      <c r="Z138" s="881"/>
      <c r="AA138" s="881"/>
      <c r="AB138" s="881"/>
      <c r="AC138" s="881"/>
      <c r="AD138" s="881"/>
      <c r="AE138" s="881"/>
      <c r="AF138" s="880"/>
      <c r="AG138" s="878"/>
      <c r="AH138" s="881"/>
      <c r="AI138" s="881"/>
      <c r="AJ138" s="881"/>
      <c r="AK138" s="1108"/>
      <c r="AL138" s="201"/>
      <c r="AM138" s="209"/>
      <c r="AN138" s="209"/>
      <c r="AO138" s="209"/>
      <c r="AP138" s="209"/>
      <c r="AQ138" s="185"/>
      <c r="AR138" s="185"/>
      <c r="AS138" s="185"/>
      <c r="AT138" s="215"/>
    </row>
    <row r="139" spans="1:46" s="98" customFormat="1" ht="15" customHeight="1">
      <c r="A139" s="99"/>
      <c r="B139" s="161"/>
      <c r="C139" s="186" t="s">
        <v>2147</v>
      </c>
      <c r="D139" s="162"/>
      <c r="E139" s="162"/>
      <c r="F139" s="162"/>
      <c r="G139" s="163"/>
      <c r="H139" s="163"/>
      <c r="I139" s="117"/>
      <c r="J139" s="159"/>
      <c r="K139" s="117"/>
      <c r="L139" s="117"/>
      <c r="M139" s="117"/>
      <c r="N139" s="117"/>
      <c r="O139" s="117"/>
      <c r="P139" s="117"/>
      <c r="Q139" s="160"/>
      <c r="R139" s="159"/>
      <c r="S139" s="117"/>
      <c r="T139" s="117"/>
      <c r="U139" s="117"/>
      <c r="V139" s="208"/>
      <c r="W139" s="201"/>
      <c r="X139" s="117"/>
      <c r="Y139" s="878"/>
      <c r="Z139" s="881"/>
      <c r="AA139" s="881"/>
      <c r="AB139" s="881"/>
      <c r="AC139" s="881"/>
      <c r="AD139" s="881"/>
      <c r="AE139" s="881"/>
      <c r="AF139" s="880"/>
      <c r="AG139" s="878"/>
      <c r="AH139" s="881"/>
      <c r="AI139" s="881"/>
      <c r="AJ139" s="881"/>
      <c r="AK139" s="1108"/>
      <c r="AL139" s="201"/>
      <c r="AM139" s="209"/>
      <c r="AN139" s="209"/>
      <c r="AO139" s="209"/>
      <c r="AP139" s="209"/>
      <c r="AQ139" s="209"/>
      <c r="AR139" s="209"/>
      <c r="AS139" s="209"/>
      <c r="AT139" s="210"/>
    </row>
    <row r="140" spans="1:46" s="98" customFormat="1" ht="15" customHeight="1">
      <c r="A140" s="99"/>
      <c r="B140" s="161"/>
      <c r="C140" s="185"/>
      <c r="D140" s="162" t="s">
        <v>85</v>
      </c>
      <c r="E140" s="162"/>
      <c r="F140" s="162"/>
      <c r="G140" s="768" t="s">
        <v>3705</v>
      </c>
      <c r="H140" s="163"/>
      <c r="I140" s="119" t="s">
        <v>498</v>
      </c>
      <c r="J140" s="143">
        <v>0</v>
      </c>
      <c r="K140" s="141">
        <v>0.20309872207792207</v>
      </c>
      <c r="L140" s="141">
        <v>4.3555481025017904E-2</v>
      </c>
      <c r="M140" s="141">
        <v>0</v>
      </c>
      <c r="N140" s="141">
        <v>4.701306862420427E-2</v>
      </c>
      <c r="O140" s="141">
        <v>0</v>
      </c>
      <c r="P140" s="141">
        <v>0</v>
      </c>
      <c r="Q140" s="144">
        <v>0</v>
      </c>
      <c r="R140" s="143">
        <v>0</v>
      </c>
      <c r="S140" s="141">
        <v>0</v>
      </c>
      <c r="T140" s="141">
        <v>0</v>
      </c>
      <c r="U140" s="141">
        <v>0</v>
      </c>
      <c r="V140" s="141">
        <v>0</v>
      </c>
      <c r="W140" s="201"/>
      <c r="X140" s="119" t="s">
        <v>1876</v>
      </c>
      <c r="Y140" s="165">
        <v>0</v>
      </c>
      <c r="Z140" s="166">
        <v>8</v>
      </c>
      <c r="AA140" s="166">
        <v>2</v>
      </c>
      <c r="AB140" s="166">
        <v>0</v>
      </c>
      <c r="AC140" s="166">
        <v>2</v>
      </c>
      <c r="AD140" s="166">
        <v>0</v>
      </c>
      <c r="AE140" s="166">
        <v>0</v>
      </c>
      <c r="AF140" s="167">
        <v>0</v>
      </c>
      <c r="AG140" s="165">
        <v>0</v>
      </c>
      <c r="AH140" s="166">
        <v>0</v>
      </c>
      <c r="AI140" s="166">
        <v>0</v>
      </c>
      <c r="AJ140" s="166">
        <v>0</v>
      </c>
      <c r="AK140" s="166">
        <v>0</v>
      </c>
      <c r="AL140" s="201"/>
      <c r="AM140" s="209"/>
      <c r="AN140" s="209"/>
      <c r="AO140" s="209"/>
      <c r="AP140" s="209"/>
      <c r="AQ140" s="119" t="s">
        <v>2145</v>
      </c>
      <c r="AR140" s="456">
        <v>0</v>
      </c>
      <c r="AS140" s="119" t="s">
        <v>2145</v>
      </c>
      <c r="AT140" s="457">
        <v>0</v>
      </c>
    </row>
    <row r="141" spans="1:46" s="98" customFormat="1" ht="15" customHeight="1">
      <c r="A141" s="99"/>
      <c r="B141" s="161"/>
      <c r="C141" s="185"/>
      <c r="D141" s="162" t="s">
        <v>85</v>
      </c>
      <c r="E141" s="162"/>
      <c r="F141" s="162"/>
      <c r="G141" s="768"/>
      <c r="H141" s="163"/>
      <c r="I141" s="119" t="s">
        <v>498</v>
      </c>
      <c r="J141" s="143">
        <v>0</v>
      </c>
      <c r="K141" s="141">
        <v>0</v>
      </c>
      <c r="L141" s="141">
        <v>0</v>
      </c>
      <c r="M141" s="141">
        <v>0</v>
      </c>
      <c r="N141" s="141">
        <v>0</v>
      </c>
      <c r="O141" s="141">
        <v>0</v>
      </c>
      <c r="P141" s="141">
        <v>0</v>
      </c>
      <c r="Q141" s="144">
        <v>0</v>
      </c>
      <c r="R141" s="143">
        <v>0</v>
      </c>
      <c r="S141" s="141">
        <v>0</v>
      </c>
      <c r="T141" s="141">
        <v>0</v>
      </c>
      <c r="U141" s="141">
        <v>0</v>
      </c>
      <c r="V141" s="141">
        <v>0</v>
      </c>
      <c r="W141" s="201"/>
      <c r="X141" s="119" t="s">
        <v>1876</v>
      </c>
      <c r="Y141" s="165">
        <v>0</v>
      </c>
      <c r="Z141" s="166">
        <v>0</v>
      </c>
      <c r="AA141" s="166">
        <v>0</v>
      </c>
      <c r="AB141" s="166">
        <v>0</v>
      </c>
      <c r="AC141" s="166">
        <v>0</v>
      </c>
      <c r="AD141" s="166">
        <v>0</v>
      </c>
      <c r="AE141" s="166">
        <v>0</v>
      </c>
      <c r="AF141" s="167">
        <v>0</v>
      </c>
      <c r="AG141" s="165">
        <v>0</v>
      </c>
      <c r="AH141" s="166">
        <v>0</v>
      </c>
      <c r="AI141" s="166">
        <v>0</v>
      </c>
      <c r="AJ141" s="166">
        <v>0</v>
      </c>
      <c r="AK141" s="166">
        <v>0</v>
      </c>
      <c r="AL141" s="201"/>
      <c r="AM141" s="209"/>
      <c r="AN141" s="209"/>
      <c r="AO141" s="209"/>
      <c r="AP141" s="209"/>
      <c r="AQ141" s="119" t="s">
        <v>2145</v>
      </c>
      <c r="AR141" s="456">
        <v>0</v>
      </c>
      <c r="AS141" s="119" t="s">
        <v>2145</v>
      </c>
      <c r="AT141" s="457">
        <v>0</v>
      </c>
    </row>
    <row r="142" spans="1:46" s="98" customFormat="1" ht="15" customHeight="1">
      <c r="A142" s="99"/>
      <c r="B142" s="161"/>
      <c r="C142" s="185"/>
      <c r="D142" s="162" t="s">
        <v>85</v>
      </c>
      <c r="E142" s="162"/>
      <c r="F142" s="162"/>
      <c r="G142" s="768"/>
      <c r="H142" s="163"/>
      <c r="I142" s="119" t="s">
        <v>498</v>
      </c>
      <c r="J142" s="143">
        <v>0</v>
      </c>
      <c r="K142" s="141">
        <v>0</v>
      </c>
      <c r="L142" s="141">
        <v>0</v>
      </c>
      <c r="M142" s="141">
        <v>0</v>
      </c>
      <c r="N142" s="141">
        <v>0</v>
      </c>
      <c r="O142" s="141">
        <v>0</v>
      </c>
      <c r="P142" s="141">
        <v>0</v>
      </c>
      <c r="Q142" s="144">
        <v>0</v>
      </c>
      <c r="R142" s="143">
        <v>0</v>
      </c>
      <c r="S142" s="141">
        <v>0</v>
      </c>
      <c r="T142" s="141">
        <v>0</v>
      </c>
      <c r="U142" s="141">
        <v>0</v>
      </c>
      <c r="V142" s="141">
        <v>0</v>
      </c>
      <c r="W142" s="201"/>
      <c r="X142" s="119" t="s">
        <v>1876</v>
      </c>
      <c r="Y142" s="165">
        <v>0</v>
      </c>
      <c r="Z142" s="166">
        <v>0</v>
      </c>
      <c r="AA142" s="166">
        <v>0</v>
      </c>
      <c r="AB142" s="166">
        <v>0</v>
      </c>
      <c r="AC142" s="166">
        <v>0</v>
      </c>
      <c r="AD142" s="166">
        <v>0</v>
      </c>
      <c r="AE142" s="166">
        <v>0</v>
      </c>
      <c r="AF142" s="167">
        <v>0</v>
      </c>
      <c r="AG142" s="165">
        <v>0</v>
      </c>
      <c r="AH142" s="166">
        <v>0</v>
      </c>
      <c r="AI142" s="166">
        <v>0</v>
      </c>
      <c r="AJ142" s="166">
        <v>0</v>
      </c>
      <c r="AK142" s="166">
        <v>0</v>
      </c>
      <c r="AL142" s="201"/>
      <c r="AM142" s="209"/>
      <c r="AN142" s="209"/>
      <c r="AO142" s="209"/>
      <c r="AP142" s="209"/>
      <c r="AQ142" s="119" t="s">
        <v>2145</v>
      </c>
      <c r="AR142" s="456">
        <v>0</v>
      </c>
      <c r="AS142" s="119" t="s">
        <v>2145</v>
      </c>
      <c r="AT142" s="457">
        <v>0</v>
      </c>
    </row>
    <row r="143" spans="1:46" s="98" customFormat="1" ht="15" customHeight="1">
      <c r="A143" s="99"/>
      <c r="B143" s="161"/>
      <c r="C143" s="185"/>
      <c r="D143" s="162" t="s">
        <v>85</v>
      </c>
      <c r="E143" s="162"/>
      <c r="F143" s="162"/>
      <c r="G143" s="768"/>
      <c r="H143" s="163"/>
      <c r="I143" s="119" t="s">
        <v>498</v>
      </c>
      <c r="J143" s="143">
        <v>0</v>
      </c>
      <c r="K143" s="141">
        <v>0</v>
      </c>
      <c r="L143" s="141">
        <v>0</v>
      </c>
      <c r="M143" s="141">
        <v>0</v>
      </c>
      <c r="N143" s="141">
        <v>0</v>
      </c>
      <c r="O143" s="141">
        <v>0</v>
      </c>
      <c r="P143" s="141">
        <v>0</v>
      </c>
      <c r="Q143" s="144">
        <v>0</v>
      </c>
      <c r="R143" s="143">
        <v>0</v>
      </c>
      <c r="S143" s="141">
        <v>0</v>
      </c>
      <c r="T143" s="141">
        <v>0</v>
      </c>
      <c r="U143" s="141">
        <v>0</v>
      </c>
      <c r="V143" s="141">
        <v>0</v>
      </c>
      <c r="W143" s="201"/>
      <c r="X143" s="119" t="s">
        <v>1876</v>
      </c>
      <c r="Y143" s="165">
        <v>0</v>
      </c>
      <c r="Z143" s="166">
        <v>0</v>
      </c>
      <c r="AA143" s="166">
        <v>0</v>
      </c>
      <c r="AB143" s="166">
        <v>0</v>
      </c>
      <c r="AC143" s="166">
        <v>0</v>
      </c>
      <c r="AD143" s="166">
        <v>0</v>
      </c>
      <c r="AE143" s="166">
        <v>0</v>
      </c>
      <c r="AF143" s="167">
        <v>0</v>
      </c>
      <c r="AG143" s="165">
        <v>0</v>
      </c>
      <c r="AH143" s="166">
        <v>0</v>
      </c>
      <c r="AI143" s="166">
        <v>0</v>
      </c>
      <c r="AJ143" s="166">
        <v>0</v>
      </c>
      <c r="AK143" s="166">
        <v>0</v>
      </c>
      <c r="AL143" s="201"/>
      <c r="AM143" s="209"/>
      <c r="AN143" s="209"/>
      <c r="AO143" s="209"/>
      <c r="AP143" s="209"/>
      <c r="AQ143" s="119" t="s">
        <v>2145</v>
      </c>
      <c r="AR143" s="456">
        <v>0</v>
      </c>
      <c r="AS143" s="119" t="s">
        <v>2145</v>
      </c>
      <c r="AT143" s="457">
        <v>0</v>
      </c>
    </row>
    <row r="144" spans="1:46" s="98" customFormat="1" ht="15" customHeight="1">
      <c r="A144" s="99"/>
      <c r="B144" s="161"/>
      <c r="C144" s="185"/>
      <c r="D144" s="162" t="s">
        <v>85</v>
      </c>
      <c r="E144" s="162"/>
      <c r="F144" s="162"/>
      <c r="G144" s="768"/>
      <c r="H144" s="163"/>
      <c r="I144" s="119" t="s">
        <v>498</v>
      </c>
      <c r="J144" s="143">
        <v>0</v>
      </c>
      <c r="K144" s="141">
        <v>0</v>
      </c>
      <c r="L144" s="141">
        <v>0</v>
      </c>
      <c r="M144" s="141">
        <v>0</v>
      </c>
      <c r="N144" s="141">
        <v>0</v>
      </c>
      <c r="O144" s="141">
        <v>0</v>
      </c>
      <c r="P144" s="141">
        <v>0</v>
      </c>
      <c r="Q144" s="144">
        <v>0</v>
      </c>
      <c r="R144" s="143">
        <v>0</v>
      </c>
      <c r="S144" s="141">
        <v>0</v>
      </c>
      <c r="T144" s="141">
        <v>0</v>
      </c>
      <c r="U144" s="141">
        <v>0</v>
      </c>
      <c r="V144" s="141">
        <v>0</v>
      </c>
      <c r="W144" s="201"/>
      <c r="X144" s="119" t="s">
        <v>1876</v>
      </c>
      <c r="Y144" s="165">
        <v>0</v>
      </c>
      <c r="Z144" s="166">
        <v>0</v>
      </c>
      <c r="AA144" s="166">
        <v>0</v>
      </c>
      <c r="AB144" s="166">
        <v>0</v>
      </c>
      <c r="AC144" s="166">
        <v>0</v>
      </c>
      <c r="AD144" s="166">
        <v>0</v>
      </c>
      <c r="AE144" s="166">
        <v>0</v>
      </c>
      <c r="AF144" s="167">
        <v>0</v>
      </c>
      <c r="AG144" s="165">
        <v>0</v>
      </c>
      <c r="AH144" s="166">
        <v>0</v>
      </c>
      <c r="AI144" s="166">
        <v>0</v>
      </c>
      <c r="AJ144" s="166">
        <v>0</v>
      </c>
      <c r="AK144" s="166">
        <v>0</v>
      </c>
      <c r="AL144" s="201"/>
      <c r="AM144" s="209"/>
      <c r="AN144" s="209"/>
      <c r="AO144" s="209"/>
      <c r="AP144" s="209"/>
      <c r="AQ144" s="119" t="s">
        <v>2145</v>
      </c>
      <c r="AR144" s="456">
        <v>0</v>
      </c>
      <c r="AS144" s="119" t="s">
        <v>2145</v>
      </c>
      <c r="AT144" s="457">
        <v>0</v>
      </c>
    </row>
    <row r="145" spans="1:46" s="98" customFormat="1" ht="15" customHeight="1">
      <c r="A145" s="99"/>
      <c r="B145" s="161"/>
      <c r="C145" s="185"/>
      <c r="D145" s="162" t="s">
        <v>85</v>
      </c>
      <c r="E145" s="162"/>
      <c r="F145" s="162"/>
      <c r="G145" s="768"/>
      <c r="H145" s="163"/>
      <c r="I145" s="119" t="s">
        <v>498</v>
      </c>
      <c r="J145" s="143">
        <v>0</v>
      </c>
      <c r="K145" s="141">
        <v>0</v>
      </c>
      <c r="L145" s="141">
        <v>0</v>
      </c>
      <c r="M145" s="141">
        <v>0</v>
      </c>
      <c r="N145" s="141">
        <v>0</v>
      </c>
      <c r="O145" s="141">
        <v>0</v>
      </c>
      <c r="P145" s="141">
        <v>0</v>
      </c>
      <c r="Q145" s="144">
        <v>0</v>
      </c>
      <c r="R145" s="143">
        <v>0</v>
      </c>
      <c r="S145" s="141">
        <v>0</v>
      </c>
      <c r="T145" s="141">
        <v>0</v>
      </c>
      <c r="U145" s="141">
        <v>0</v>
      </c>
      <c r="V145" s="141">
        <v>0</v>
      </c>
      <c r="W145" s="201"/>
      <c r="X145" s="119" t="s">
        <v>1876</v>
      </c>
      <c r="Y145" s="165">
        <v>0</v>
      </c>
      <c r="Z145" s="166">
        <v>0</v>
      </c>
      <c r="AA145" s="166">
        <v>0</v>
      </c>
      <c r="AB145" s="166">
        <v>0</v>
      </c>
      <c r="AC145" s="166">
        <v>0</v>
      </c>
      <c r="AD145" s="166">
        <v>0</v>
      </c>
      <c r="AE145" s="166">
        <v>0</v>
      </c>
      <c r="AF145" s="167">
        <v>0</v>
      </c>
      <c r="AG145" s="165">
        <v>0</v>
      </c>
      <c r="AH145" s="166">
        <v>0</v>
      </c>
      <c r="AI145" s="166">
        <v>0</v>
      </c>
      <c r="AJ145" s="166">
        <v>0</v>
      </c>
      <c r="AK145" s="166">
        <v>0</v>
      </c>
      <c r="AL145" s="201"/>
      <c r="AM145" s="209"/>
      <c r="AN145" s="209"/>
      <c r="AO145" s="209"/>
      <c r="AP145" s="209"/>
      <c r="AQ145" s="119" t="s">
        <v>2145</v>
      </c>
      <c r="AR145" s="456">
        <v>0</v>
      </c>
      <c r="AS145" s="119" t="s">
        <v>2145</v>
      </c>
      <c r="AT145" s="457">
        <v>0</v>
      </c>
    </row>
    <row r="146" spans="1:46" s="98" customFormat="1" ht="15" customHeight="1">
      <c r="A146" s="99"/>
      <c r="B146" s="161"/>
      <c r="C146" s="185"/>
      <c r="D146" s="162" t="s">
        <v>85</v>
      </c>
      <c r="E146" s="162"/>
      <c r="F146" s="162"/>
      <c r="G146" s="768"/>
      <c r="H146" s="163"/>
      <c r="I146" s="119" t="s">
        <v>498</v>
      </c>
      <c r="J146" s="143">
        <v>0</v>
      </c>
      <c r="K146" s="141">
        <v>0</v>
      </c>
      <c r="L146" s="141">
        <v>0</v>
      </c>
      <c r="M146" s="141">
        <v>0</v>
      </c>
      <c r="N146" s="141">
        <v>0</v>
      </c>
      <c r="O146" s="141">
        <v>0</v>
      </c>
      <c r="P146" s="141">
        <v>0</v>
      </c>
      <c r="Q146" s="144">
        <v>0</v>
      </c>
      <c r="R146" s="143">
        <v>0</v>
      </c>
      <c r="S146" s="141">
        <v>0</v>
      </c>
      <c r="T146" s="141">
        <v>0</v>
      </c>
      <c r="U146" s="141">
        <v>0</v>
      </c>
      <c r="V146" s="141">
        <v>0</v>
      </c>
      <c r="W146" s="201"/>
      <c r="X146" s="119" t="s">
        <v>1876</v>
      </c>
      <c r="Y146" s="165">
        <v>0</v>
      </c>
      <c r="Z146" s="166">
        <v>0</v>
      </c>
      <c r="AA146" s="166">
        <v>0</v>
      </c>
      <c r="AB146" s="166">
        <v>0</v>
      </c>
      <c r="AC146" s="166">
        <v>0</v>
      </c>
      <c r="AD146" s="166">
        <v>0</v>
      </c>
      <c r="AE146" s="166">
        <v>0</v>
      </c>
      <c r="AF146" s="167">
        <v>0</v>
      </c>
      <c r="AG146" s="165">
        <v>0</v>
      </c>
      <c r="AH146" s="166">
        <v>0</v>
      </c>
      <c r="AI146" s="166">
        <v>0</v>
      </c>
      <c r="AJ146" s="166">
        <v>0</v>
      </c>
      <c r="AK146" s="166">
        <v>0</v>
      </c>
      <c r="AL146" s="201"/>
      <c r="AM146" s="209"/>
      <c r="AN146" s="209"/>
      <c r="AO146" s="209"/>
      <c r="AP146" s="209"/>
      <c r="AQ146" s="119" t="s">
        <v>2145</v>
      </c>
      <c r="AR146" s="456">
        <v>0</v>
      </c>
      <c r="AS146" s="119" t="s">
        <v>2145</v>
      </c>
      <c r="AT146" s="457">
        <v>0</v>
      </c>
    </row>
    <row r="147" spans="1:46" s="98" customFormat="1" ht="15" customHeight="1">
      <c r="A147" s="99"/>
      <c r="B147" s="161"/>
      <c r="C147" s="185"/>
      <c r="D147" s="162" t="s">
        <v>85</v>
      </c>
      <c r="E147" s="162"/>
      <c r="F147" s="162"/>
      <c r="G147" s="768"/>
      <c r="H147" s="163"/>
      <c r="I147" s="119" t="s">
        <v>498</v>
      </c>
      <c r="J147" s="143">
        <v>0</v>
      </c>
      <c r="K147" s="141">
        <v>0</v>
      </c>
      <c r="L147" s="141">
        <v>0</v>
      </c>
      <c r="M147" s="141">
        <v>0</v>
      </c>
      <c r="N147" s="141">
        <v>0</v>
      </c>
      <c r="O147" s="141">
        <v>0</v>
      </c>
      <c r="P147" s="141">
        <v>0</v>
      </c>
      <c r="Q147" s="144">
        <v>0</v>
      </c>
      <c r="R147" s="143">
        <v>0</v>
      </c>
      <c r="S147" s="141">
        <v>0</v>
      </c>
      <c r="T147" s="141">
        <v>0</v>
      </c>
      <c r="U147" s="141">
        <v>0</v>
      </c>
      <c r="V147" s="141">
        <v>0</v>
      </c>
      <c r="W147" s="201"/>
      <c r="X147" s="119" t="s">
        <v>1876</v>
      </c>
      <c r="Y147" s="165">
        <v>0</v>
      </c>
      <c r="Z147" s="166">
        <v>0</v>
      </c>
      <c r="AA147" s="166">
        <v>0</v>
      </c>
      <c r="AB147" s="166">
        <v>0</v>
      </c>
      <c r="AC147" s="166">
        <v>0</v>
      </c>
      <c r="AD147" s="166">
        <v>0</v>
      </c>
      <c r="AE147" s="166">
        <v>0</v>
      </c>
      <c r="AF147" s="167">
        <v>0</v>
      </c>
      <c r="AG147" s="165">
        <v>0</v>
      </c>
      <c r="AH147" s="166">
        <v>0</v>
      </c>
      <c r="AI147" s="166">
        <v>0</v>
      </c>
      <c r="AJ147" s="166">
        <v>0</v>
      </c>
      <c r="AK147" s="166">
        <v>0</v>
      </c>
      <c r="AL147" s="201"/>
      <c r="AM147" s="209"/>
      <c r="AN147" s="209"/>
      <c r="AO147" s="209"/>
      <c r="AP147" s="209"/>
      <c r="AQ147" s="119" t="s">
        <v>2145</v>
      </c>
      <c r="AR147" s="456">
        <v>0</v>
      </c>
      <c r="AS147" s="119" t="s">
        <v>2145</v>
      </c>
      <c r="AT147" s="457">
        <v>0</v>
      </c>
    </row>
    <row r="148" spans="1:46" s="98" customFormat="1" ht="15" customHeight="1">
      <c r="A148" s="99"/>
      <c r="B148" s="181"/>
      <c r="C148" s="182" t="s">
        <v>1710</v>
      </c>
      <c r="D148" s="183"/>
      <c r="E148" s="183"/>
      <c r="F148" s="183"/>
      <c r="G148" s="184"/>
      <c r="H148" s="184"/>
      <c r="I148" s="119" t="s">
        <v>498</v>
      </c>
      <c r="J148" s="128">
        <f>SUM(J140:J147)</f>
        <v>0</v>
      </c>
      <c r="K148" s="129">
        <f t="shared" ref="K148" si="92">SUM(K140:K147)</f>
        <v>0.20309872207792207</v>
      </c>
      <c r="L148" s="129">
        <f t="shared" ref="L148" si="93">SUM(L140:L147)</f>
        <v>4.3555481025017904E-2</v>
      </c>
      <c r="M148" s="129">
        <f t="shared" ref="M148" si="94">SUM(M140:M147)</f>
        <v>0</v>
      </c>
      <c r="N148" s="129">
        <f t="shared" ref="N148" si="95">SUM(N140:N147)</f>
        <v>4.701306862420427E-2</v>
      </c>
      <c r="O148" s="129">
        <f t="shared" ref="O148" si="96">SUM(O140:O147)</f>
        <v>0</v>
      </c>
      <c r="P148" s="129">
        <f t="shared" ref="P148" si="97">SUM(P140:P147)</f>
        <v>0</v>
      </c>
      <c r="Q148" s="130">
        <f t="shared" ref="Q148" si="98">SUM(Q140:Q147)</f>
        <v>0</v>
      </c>
      <c r="R148" s="128">
        <f t="shared" ref="R148" si="99">SUM(R140:R147)</f>
        <v>0</v>
      </c>
      <c r="S148" s="129">
        <f t="shared" ref="S148" si="100">SUM(S140:S147)</f>
        <v>0</v>
      </c>
      <c r="T148" s="129">
        <f t="shared" ref="T148" si="101">SUM(T140:T147)</f>
        <v>0</v>
      </c>
      <c r="U148" s="129">
        <f t="shared" ref="U148" si="102">SUM(U140:U147)</f>
        <v>0</v>
      </c>
      <c r="V148" s="129">
        <f t="shared" ref="V148" si="103">SUM(V140:V147)</f>
        <v>0</v>
      </c>
      <c r="W148" s="201"/>
      <c r="X148" s="119" t="s">
        <v>1876</v>
      </c>
      <c r="Y148" s="777">
        <f>SUM(Y140:Y147)</f>
        <v>0</v>
      </c>
      <c r="Z148" s="778">
        <f t="shared" ref="Z148:AK148" si="104">SUM(Z140:Z147)</f>
        <v>8</v>
      </c>
      <c r="AA148" s="778">
        <f t="shared" si="104"/>
        <v>2</v>
      </c>
      <c r="AB148" s="778">
        <f t="shared" si="104"/>
        <v>0</v>
      </c>
      <c r="AC148" s="778">
        <f t="shared" si="104"/>
        <v>2</v>
      </c>
      <c r="AD148" s="778">
        <f t="shared" si="104"/>
        <v>0</v>
      </c>
      <c r="AE148" s="778">
        <f t="shared" si="104"/>
        <v>0</v>
      </c>
      <c r="AF148" s="779">
        <f t="shared" si="104"/>
        <v>0</v>
      </c>
      <c r="AG148" s="777">
        <f t="shared" si="104"/>
        <v>0</v>
      </c>
      <c r="AH148" s="778">
        <f t="shared" si="104"/>
        <v>0</v>
      </c>
      <c r="AI148" s="778">
        <f t="shared" si="104"/>
        <v>0</v>
      </c>
      <c r="AJ148" s="778">
        <f t="shared" si="104"/>
        <v>0</v>
      </c>
      <c r="AK148" s="778">
        <f t="shared" si="104"/>
        <v>0</v>
      </c>
      <c r="AL148" s="201"/>
      <c r="AM148" s="209"/>
      <c r="AN148" s="209"/>
      <c r="AO148" s="209"/>
      <c r="AP148" s="209"/>
      <c r="AQ148" s="119" t="s">
        <v>2145</v>
      </c>
      <c r="AR148" s="129">
        <f>SUM(AR140:AR147)</f>
        <v>0</v>
      </c>
      <c r="AS148" s="119" t="s">
        <v>2145</v>
      </c>
      <c r="AT148" s="130">
        <f>SUM(AT140:AT147)</f>
        <v>0</v>
      </c>
    </row>
    <row r="149" spans="1:46" s="98" customFormat="1" ht="15" customHeight="1">
      <c r="A149" s="99"/>
      <c r="B149" s="161"/>
      <c r="C149" s="116"/>
      <c r="D149" s="116"/>
      <c r="E149" s="116"/>
      <c r="F149" s="116"/>
      <c r="G149" s="117"/>
      <c r="H149" s="117"/>
      <c r="I149" s="117"/>
      <c r="J149" s="713"/>
      <c r="K149" s="721"/>
      <c r="L149" s="721"/>
      <c r="M149" s="721"/>
      <c r="N149" s="721"/>
      <c r="O149" s="721"/>
      <c r="P149" s="721"/>
      <c r="Q149" s="715"/>
      <c r="R149" s="713"/>
      <c r="S149" s="721"/>
      <c r="T149" s="721"/>
      <c r="U149" s="721"/>
      <c r="V149" s="769"/>
      <c r="W149" s="201"/>
      <c r="X149" s="117"/>
      <c r="Y149" s="878"/>
      <c r="Z149" s="881"/>
      <c r="AA149" s="881"/>
      <c r="AB149" s="881"/>
      <c r="AC149" s="881"/>
      <c r="AD149" s="881"/>
      <c r="AE149" s="881"/>
      <c r="AF149" s="880"/>
      <c r="AG149" s="878"/>
      <c r="AH149" s="881"/>
      <c r="AI149" s="881"/>
      <c r="AJ149" s="881"/>
      <c r="AK149" s="1108"/>
      <c r="AL149" s="201"/>
      <c r="AM149" s="209"/>
      <c r="AN149" s="209"/>
      <c r="AO149" s="209"/>
      <c r="AP149" s="209"/>
      <c r="AQ149" s="185"/>
      <c r="AR149" s="185"/>
      <c r="AS149" s="185"/>
      <c r="AT149" s="215"/>
    </row>
    <row r="150" spans="1:46" s="98" customFormat="1" ht="15" customHeight="1">
      <c r="A150" s="99"/>
      <c r="B150" s="161"/>
      <c r="C150" s="186" t="s">
        <v>2148</v>
      </c>
      <c r="D150" s="162"/>
      <c r="E150" s="162"/>
      <c r="F150" s="162"/>
      <c r="G150" s="163"/>
      <c r="H150" s="163"/>
      <c r="I150" s="117"/>
      <c r="J150" s="713"/>
      <c r="K150" s="721"/>
      <c r="L150" s="721"/>
      <c r="M150" s="721"/>
      <c r="N150" s="721"/>
      <c r="O150" s="721"/>
      <c r="P150" s="721"/>
      <c r="Q150" s="715"/>
      <c r="R150" s="713"/>
      <c r="S150" s="721"/>
      <c r="T150" s="721"/>
      <c r="U150" s="721"/>
      <c r="V150" s="769"/>
      <c r="W150" s="201"/>
      <c r="X150" s="117"/>
      <c r="Y150" s="878"/>
      <c r="Z150" s="881"/>
      <c r="AA150" s="881"/>
      <c r="AB150" s="881"/>
      <c r="AC150" s="881"/>
      <c r="AD150" s="881"/>
      <c r="AE150" s="881"/>
      <c r="AF150" s="880"/>
      <c r="AG150" s="878"/>
      <c r="AH150" s="881"/>
      <c r="AI150" s="881"/>
      <c r="AJ150" s="881"/>
      <c r="AK150" s="1108"/>
      <c r="AL150" s="201"/>
      <c r="AM150" s="209"/>
      <c r="AN150" s="209"/>
      <c r="AO150" s="209"/>
      <c r="AP150" s="209"/>
      <c r="AQ150" s="209"/>
      <c r="AR150" s="209"/>
      <c r="AS150" s="209"/>
      <c r="AT150" s="210"/>
    </row>
    <row r="151" spans="1:46" s="98" customFormat="1" ht="15" customHeight="1">
      <c r="A151" s="99"/>
      <c r="B151" s="161"/>
      <c r="C151" s="185"/>
      <c r="D151" s="162" t="s">
        <v>85</v>
      </c>
      <c r="E151" s="162"/>
      <c r="F151" s="162"/>
      <c r="G151" s="768" t="s">
        <v>3705</v>
      </c>
      <c r="H151" s="163"/>
      <c r="I151" s="119" t="s">
        <v>498</v>
      </c>
      <c r="J151" s="143">
        <v>0</v>
      </c>
      <c r="K151" s="141">
        <v>0</v>
      </c>
      <c r="L151" s="141">
        <v>0</v>
      </c>
      <c r="M151" s="141">
        <v>0</v>
      </c>
      <c r="N151" s="141">
        <v>0</v>
      </c>
      <c r="O151" s="141">
        <v>2.4446611671657958E-2</v>
      </c>
      <c r="P151" s="141">
        <v>0</v>
      </c>
      <c r="Q151" s="144">
        <v>0</v>
      </c>
      <c r="R151" s="143">
        <v>0</v>
      </c>
      <c r="S151" s="141">
        <v>0</v>
      </c>
      <c r="T151" s="141">
        <v>0</v>
      </c>
      <c r="U151" s="141">
        <v>0</v>
      </c>
      <c r="V151" s="141">
        <v>0</v>
      </c>
      <c r="W151" s="201"/>
      <c r="X151" s="119" t="s">
        <v>1876</v>
      </c>
      <c r="Y151" s="165">
        <v>0</v>
      </c>
      <c r="Z151" s="166">
        <v>0</v>
      </c>
      <c r="AA151" s="166">
        <v>0</v>
      </c>
      <c r="AB151" s="166">
        <v>0</v>
      </c>
      <c r="AC151" s="166">
        <v>0</v>
      </c>
      <c r="AD151" s="166">
        <v>1</v>
      </c>
      <c r="AE151" s="166">
        <v>0</v>
      </c>
      <c r="AF151" s="167">
        <v>0</v>
      </c>
      <c r="AG151" s="165">
        <v>0</v>
      </c>
      <c r="AH151" s="166">
        <v>0</v>
      </c>
      <c r="AI151" s="166">
        <v>0</v>
      </c>
      <c r="AJ151" s="166">
        <v>0</v>
      </c>
      <c r="AK151" s="166">
        <v>0</v>
      </c>
      <c r="AL151" s="201"/>
      <c r="AM151" s="209"/>
      <c r="AN151" s="209"/>
      <c r="AO151" s="209"/>
      <c r="AP151" s="209"/>
      <c r="AQ151" s="119" t="s">
        <v>2145</v>
      </c>
      <c r="AR151" s="456">
        <v>0</v>
      </c>
      <c r="AS151" s="119" t="s">
        <v>2145</v>
      </c>
      <c r="AT151" s="457">
        <v>0</v>
      </c>
    </row>
    <row r="152" spans="1:46" s="98" customFormat="1" ht="15" customHeight="1">
      <c r="A152" s="99"/>
      <c r="B152" s="161"/>
      <c r="C152" s="185"/>
      <c r="D152" s="162" t="s">
        <v>85</v>
      </c>
      <c r="E152" s="162"/>
      <c r="F152" s="162"/>
      <c r="G152" s="768"/>
      <c r="H152" s="163"/>
      <c r="I152" s="119" t="s">
        <v>498</v>
      </c>
      <c r="J152" s="143">
        <v>0</v>
      </c>
      <c r="K152" s="141">
        <v>0</v>
      </c>
      <c r="L152" s="141">
        <v>0</v>
      </c>
      <c r="M152" s="141">
        <v>0</v>
      </c>
      <c r="N152" s="141">
        <v>0</v>
      </c>
      <c r="O152" s="141">
        <v>0</v>
      </c>
      <c r="P152" s="141">
        <v>0</v>
      </c>
      <c r="Q152" s="144">
        <v>0</v>
      </c>
      <c r="R152" s="143">
        <v>0</v>
      </c>
      <c r="S152" s="141">
        <v>0</v>
      </c>
      <c r="T152" s="141">
        <v>0</v>
      </c>
      <c r="U152" s="141">
        <v>0</v>
      </c>
      <c r="V152" s="141">
        <v>0</v>
      </c>
      <c r="W152" s="201"/>
      <c r="X152" s="119" t="s">
        <v>1876</v>
      </c>
      <c r="Y152" s="165">
        <v>0</v>
      </c>
      <c r="Z152" s="166">
        <v>0</v>
      </c>
      <c r="AA152" s="166">
        <v>0</v>
      </c>
      <c r="AB152" s="166">
        <v>0</v>
      </c>
      <c r="AC152" s="166">
        <v>0</v>
      </c>
      <c r="AD152" s="166">
        <v>0</v>
      </c>
      <c r="AE152" s="166">
        <v>0</v>
      </c>
      <c r="AF152" s="167">
        <v>0</v>
      </c>
      <c r="AG152" s="165">
        <v>0</v>
      </c>
      <c r="AH152" s="166">
        <v>0</v>
      </c>
      <c r="AI152" s="166">
        <v>0</v>
      </c>
      <c r="AJ152" s="166">
        <v>0</v>
      </c>
      <c r="AK152" s="166">
        <v>0</v>
      </c>
      <c r="AL152" s="201"/>
      <c r="AM152" s="209"/>
      <c r="AN152" s="209"/>
      <c r="AO152" s="209"/>
      <c r="AP152" s="209"/>
      <c r="AQ152" s="119" t="s">
        <v>2145</v>
      </c>
      <c r="AR152" s="456">
        <v>0</v>
      </c>
      <c r="AS152" s="119" t="s">
        <v>2145</v>
      </c>
      <c r="AT152" s="457">
        <v>0</v>
      </c>
    </row>
    <row r="153" spans="1:46" s="98" customFormat="1" ht="15" customHeight="1">
      <c r="A153" s="99"/>
      <c r="B153" s="161"/>
      <c r="C153" s="185"/>
      <c r="D153" s="162" t="s">
        <v>85</v>
      </c>
      <c r="E153" s="162"/>
      <c r="F153" s="162"/>
      <c r="G153" s="768"/>
      <c r="H153" s="163"/>
      <c r="I153" s="119" t="s">
        <v>498</v>
      </c>
      <c r="J153" s="143">
        <v>0</v>
      </c>
      <c r="K153" s="141">
        <v>0</v>
      </c>
      <c r="L153" s="141">
        <v>0</v>
      </c>
      <c r="M153" s="141">
        <v>0</v>
      </c>
      <c r="N153" s="141">
        <v>0</v>
      </c>
      <c r="O153" s="141">
        <v>0</v>
      </c>
      <c r="P153" s="141">
        <v>0</v>
      </c>
      <c r="Q153" s="144">
        <v>0</v>
      </c>
      <c r="R153" s="143">
        <v>0</v>
      </c>
      <c r="S153" s="141">
        <v>0</v>
      </c>
      <c r="T153" s="141">
        <v>0</v>
      </c>
      <c r="U153" s="141">
        <v>0</v>
      </c>
      <c r="V153" s="141">
        <v>0</v>
      </c>
      <c r="W153" s="201"/>
      <c r="X153" s="119" t="s">
        <v>1876</v>
      </c>
      <c r="Y153" s="165">
        <v>0</v>
      </c>
      <c r="Z153" s="166">
        <v>0</v>
      </c>
      <c r="AA153" s="166">
        <v>0</v>
      </c>
      <c r="AB153" s="166">
        <v>0</v>
      </c>
      <c r="AC153" s="166">
        <v>0</v>
      </c>
      <c r="AD153" s="166">
        <v>0</v>
      </c>
      <c r="AE153" s="166">
        <v>0</v>
      </c>
      <c r="AF153" s="167">
        <v>0</v>
      </c>
      <c r="AG153" s="165">
        <v>0</v>
      </c>
      <c r="AH153" s="166">
        <v>0</v>
      </c>
      <c r="AI153" s="166">
        <v>0</v>
      </c>
      <c r="AJ153" s="166">
        <v>0</v>
      </c>
      <c r="AK153" s="166">
        <v>0</v>
      </c>
      <c r="AL153" s="201"/>
      <c r="AM153" s="209"/>
      <c r="AN153" s="209"/>
      <c r="AO153" s="209"/>
      <c r="AP153" s="209"/>
      <c r="AQ153" s="119" t="s">
        <v>2145</v>
      </c>
      <c r="AR153" s="456">
        <v>0</v>
      </c>
      <c r="AS153" s="119" t="s">
        <v>2145</v>
      </c>
      <c r="AT153" s="457">
        <v>0</v>
      </c>
    </row>
    <row r="154" spans="1:46" s="98" customFormat="1" ht="15" customHeight="1">
      <c r="A154" s="99"/>
      <c r="B154" s="161"/>
      <c r="C154" s="185"/>
      <c r="D154" s="162" t="s">
        <v>85</v>
      </c>
      <c r="E154" s="162"/>
      <c r="F154" s="162"/>
      <c r="G154" s="768"/>
      <c r="H154" s="163"/>
      <c r="I154" s="119" t="s">
        <v>498</v>
      </c>
      <c r="J154" s="143">
        <v>0</v>
      </c>
      <c r="K154" s="141">
        <v>0</v>
      </c>
      <c r="L154" s="141">
        <v>0</v>
      </c>
      <c r="M154" s="141">
        <v>0</v>
      </c>
      <c r="N154" s="141">
        <v>0</v>
      </c>
      <c r="O154" s="141">
        <v>0</v>
      </c>
      <c r="P154" s="141">
        <v>0</v>
      </c>
      <c r="Q154" s="144">
        <v>0</v>
      </c>
      <c r="R154" s="143">
        <v>0</v>
      </c>
      <c r="S154" s="141">
        <v>0</v>
      </c>
      <c r="T154" s="141">
        <v>0</v>
      </c>
      <c r="U154" s="141">
        <v>0</v>
      </c>
      <c r="V154" s="141">
        <v>0</v>
      </c>
      <c r="W154" s="201"/>
      <c r="X154" s="119" t="s">
        <v>1876</v>
      </c>
      <c r="Y154" s="165">
        <v>0</v>
      </c>
      <c r="Z154" s="166">
        <v>0</v>
      </c>
      <c r="AA154" s="166">
        <v>0</v>
      </c>
      <c r="AB154" s="166">
        <v>0</v>
      </c>
      <c r="AC154" s="166">
        <v>0</v>
      </c>
      <c r="AD154" s="166">
        <v>0</v>
      </c>
      <c r="AE154" s="166">
        <v>0</v>
      </c>
      <c r="AF154" s="167">
        <v>0</v>
      </c>
      <c r="AG154" s="165">
        <v>0</v>
      </c>
      <c r="AH154" s="166">
        <v>0</v>
      </c>
      <c r="AI154" s="166">
        <v>0</v>
      </c>
      <c r="AJ154" s="166">
        <v>0</v>
      </c>
      <c r="AK154" s="166">
        <v>0</v>
      </c>
      <c r="AL154" s="201"/>
      <c r="AM154" s="209"/>
      <c r="AN154" s="209"/>
      <c r="AO154" s="209"/>
      <c r="AP154" s="209"/>
      <c r="AQ154" s="119" t="s">
        <v>2145</v>
      </c>
      <c r="AR154" s="456">
        <v>0</v>
      </c>
      <c r="AS154" s="119" t="s">
        <v>2145</v>
      </c>
      <c r="AT154" s="457">
        <v>0</v>
      </c>
    </row>
    <row r="155" spans="1:46" s="98" customFormat="1" ht="15" customHeight="1">
      <c r="A155" s="99"/>
      <c r="B155" s="161"/>
      <c r="C155" s="185"/>
      <c r="D155" s="162" t="s">
        <v>85</v>
      </c>
      <c r="E155" s="162"/>
      <c r="F155" s="162"/>
      <c r="G155" s="768"/>
      <c r="H155" s="163"/>
      <c r="I155" s="119" t="s">
        <v>498</v>
      </c>
      <c r="J155" s="143">
        <v>0</v>
      </c>
      <c r="K155" s="141">
        <v>0</v>
      </c>
      <c r="L155" s="141">
        <v>0</v>
      </c>
      <c r="M155" s="141">
        <v>0</v>
      </c>
      <c r="N155" s="141">
        <v>0</v>
      </c>
      <c r="O155" s="141">
        <v>0</v>
      </c>
      <c r="P155" s="141">
        <v>0</v>
      </c>
      <c r="Q155" s="144">
        <v>0</v>
      </c>
      <c r="R155" s="143">
        <v>0</v>
      </c>
      <c r="S155" s="141">
        <v>0</v>
      </c>
      <c r="T155" s="141">
        <v>0</v>
      </c>
      <c r="U155" s="141">
        <v>0</v>
      </c>
      <c r="V155" s="141">
        <v>0</v>
      </c>
      <c r="W155" s="201"/>
      <c r="X155" s="119" t="s">
        <v>1876</v>
      </c>
      <c r="Y155" s="165">
        <v>0</v>
      </c>
      <c r="Z155" s="166">
        <v>0</v>
      </c>
      <c r="AA155" s="166">
        <v>0</v>
      </c>
      <c r="AB155" s="166">
        <v>0</v>
      </c>
      <c r="AC155" s="166">
        <v>0</v>
      </c>
      <c r="AD155" s="166">
        <v>0</v>
      </c>
      <c r="AE155" s="166">
        <v>0</v>
      </c>
      <c r="AF155" s="167">
        <v>0</v>
      </c>
      <c r="AG155" s="165">
        <v>0</v>
      </c>
      <c r="AH155" s="166">
        <v>0</v>
      </c>
      <c r="AI155" s="166">
        <v>0</v>
      </c>
      <c r="AJ155" s="166">
        <v>0</v>
      </c>
      <c r="AK155" s="166">
        <v>0</v>
      </c>
      <c r="AL155" s="201"/>
      <c r="AM155" s="209"/>
      <c r="AN155" s="209"/>
      <c r="AO155" s="209"/>
      <c r="AP155" s="209"/>
      <c r="AQ155" s="119" t="s">
        <v>2145</v>
      </c>
      <c r="AR155" s="456">
        <v>0</v>
      </c>
      <c r="AS155" s="119" t="s">
        <v>2145</v>
      </c>
      <c r="AT155" s="457">
        <v>0</v>
      </c>
    </row>
    <row r="156" spans="1:46" s="98" customFormat="1" ht="15" customHeight="1">
      <c r="A156" s="99"/>
      <c r="B156" s="161"/>
      <c r="C156" s="185"/>
      <c r="D156" s="162" t="s">
        <v>85</v>
      </c>
      <c r="E156" s="162"/>
      <c r="F156" s="162"/>
      <c r="G156" s="768"/>
      <c r="H156" s="163"/>
      <c r="I156" s="119" t="s">
        <v>498</v>
      </c>
      <c r="J156" s="143">
        <v>0</v>
      </c>
      <c r="K156" s="141">
        <v>0</v>
      </c>
      <c r="L156" s="141">
        <v>0</v>
      </c>
      <c r="M156" s="141">
        <v>0</v>
      </c>
      <c r="N156" s="141">
        <v>0</v>
      </c>
      <c r="O156" s="141">
        <v>0</v>
      </c>
      <c r="P156" s="141">
        <v>0</v>
      </c>
      <c r="Q156" s="144">
        <v>0</v>
      </c>
      <c r="R156" s="143">
        <v>0</v>
      </c>
      <c r="S156" s="141">
        <v>0</v>
      </c>
      <c r="T156" s="141">
        <v>0</v>
      </c>
      <c r="U156" s="141">
        <v>0</v>
      </c>
      <c r="V156" s="141">
        <v>0</v>
      </c>
      <c r="W156" s="201"/>
      <c r="X156" s="119" t="s">
        <v>1876</v>
      </c>
      <c r="Y156" s="165">
        <v>0</v>
      </c>
      <c r="Z156" s="166">
        <v>0</v>
      </c>
      <c r="AA156" s="166">
        <v>0</v>
      </c>
      <c r="AB156" s="166">
        <v>0</v>
      </c>
      <c r="AC156" s="166">
        <v>0</v>
      </c>
      <c r="AD156" s="166">
        <v>0</v>
      </c>
      <c r="AE156" s="166">
        <v>0</v>
      </c>
      <c r="AF156" s="167">
        <v>0</v>
      </c>
      <c r="AG156" s="165">
        <v>0</v>
      </c>
      <c r="AH156" s="166">
        <v>0</v>
      </c>
      <c r="AI156" s="166">
        <v>0</v>
      </c>
      <c r="AJ156" s="166">
        <v>0</v>
      </c>
      <c r="AK156" s="166">
        <v>0</v>
      </c>
      <c r="AL156" s="201"/>
      <c r="AM156" s="209"/>
      <c r="AN156" s="209"/>
      <c r="AO156" s="209"/>
      <c r="AP156" s="209"/>
      <c r="AQ156" s="119" t="s">
        <v>2145</v>
      </c>
      <c r="AR156" s="456">
        <v>0</v>
      </c>
      <c r="AS156" s="119" t="s">
        <v>2145</v>
      </c>
      <c r="AT156" s="457">
        <v>0</v>
      </c>
    </row>
    <row r="157" spans="1:46" s="98" customFormat="1" ht="15" customHeight="1">
      <c r="A157" s="99"/>
      <c r="B157" s="161"/>
      <c r="C157" s="185"/>
      <c r="D157" s="162" t="s">
        <v>85</v>
      </c>
      <c r="E157" s="162"/>
      <c r="F157" s="162"/>
      <c r="G157" s="768"/>
      <c r="H157" s="163"/>
      <c r="I157" s="119" t="s">
        <v>498</v>
      </c>
      <c r="J157" s="143">
        <v>0</v>
      </c>
      <c r="K157" s="141">
        <v>0</v>
      </c>
      <c r="L157" s="141">
        <v>0</v>
      </c>
      <c r="M157" s="141">
        <v>0</v>
      </c>
      <c r="N157" s="141">
        <v>0</v>
      </c>
      <c r="O157" s="141">
        <v>0</v>
      </c>
      <c r="P157" s="141">
        <v>0</v>
      </c>
      <c r="Q157" s="144">
        <v>0</v>
      </c>
      <c r="R157" s="143">
        <v>0</v>
      </c>
      <c r="S157" s="141">
        <v>0</v>
      </c>
      <c r="T157" s="141">
        <v>0</v>
      </c>
      <c r="U157" s="141">
        <v>0</v>
      </c>
      <c r="V157" s="141">
        <v>0</v>
      </c>
      <c r="W157" s="201"/>
      <c r="X157" s="119" t="s">
        <v>1876</v>
      </c>
      <c r="Y157" s="165">
        <v>0</v>
      </c>
      <c r="Z157" s="166">
        <v>0</v>
      </c>
      <c r="AA157" s="166">
        <v>0</v>
      </c>
      <c r="AB157" s="166">
        <v>0</v>
      </c>
      <c r="AC157" s="166">
        <v>0</v>
      </c>
      <c r="AD157" s="166">
        <v>0</v>
      </c>
      <c r="AE157" s="166">
        <v>0</v>
      </c>
      <c r="AF157" s="167">
        <v>0</v>
      </c>
      <c r="AG157" s="165">
        <v>0</v>
      </c>
      <c r="AH157" s="166">
        <v>0</v>
      </c>
      <c r="AI157" s="166">
        <v>0</v>
      </c>
      <c r="AJ157" s="166">
        <v>0</v>
      </c>
      <c r="AK157" s="166">
        <v>0</v>
      </c>
      <c r="AL157" s="201"/>
      <c r="AM157" s="209"/>
      <c r="AN157" s="209"/>
      <c r="AO157" s="209"/>
      <c r="AP157" s="209"/>
      <c r="AQ157" s="119" t="s">
        <v>2145</v>
      </c>
      <c r="AR157" s="456">
        <v>0</v>
      </c>
      <c r="AS157" s="119" t="s">
        <v>2145</v>
      </c>
      <c r="AT157" s="457">
        <v>0</v>
      </c>
    </row>
    <row r="158" spans="1:46" s="98" customFormat="1" ht="15" customHeight="1">
      <c r="A158" s="99"/>
      <c r="B158" s="161"/>
      <c r="C158" s="185"/>
      <c r="D158" s="162" t="s">
        <v>85</v>
      </c>
      <c r="E158" s="162"/>
      <c r="F158" s="162"/>
      <c r="G158" s="768"/>
      <c r="H158" s="163"/>
      <c r="I158" s="119" t="s">
        <v>498</v>
      </c>
      <c r="J158" s="143">
        <v>0</v>
      </c>
      <c r="K158" s="141">
        <v>0</v>
      </c>
      <c r="L158" s="141">
        <v>0</v>
      </c>
      <c r="M158" s="141">
        <v>0</v>
      </c>
      <c r="N158" s="141">
        <v>0</v>
      </c>
      <c r="O158" s="141">
        <v>0</v>
      </c>
      <c r="P158" s="141">
        <v>0</v>
      </c>
      <c r="Q158" s="144">
        <v>0</v>
      </c>
      <c r="R158" s="143">
        <v>0</v>
      </c>
      <c r="S158" s="141">
        <v>0</v>
      </c>
      <c r="T158" s="141">
        <v>0</v>
      </c>
      <c r="U158" s="141">
        <v>0</v>
      </c>
      <c r="V158" s="141">
        <v>0</v>
      </c>
      <c r="W158" s="201"/>
      <c r="X158" s="119" t="s">
        <v>1876</v>
      </c>
      <c r="Y158" s="165">
        <v>0</v>
      </c>
      <c r="Z158" s="166">
        <v>0</v>
      </c>
      <c r="AA158" s="166">
        <v>0</v>
      </c>
      <c r="AB158" s="166">
        <v>0</v>
      </c>
      <c r="AC158" s="166">
        <v>0</v>
      </c>
      <c r="AD158" s="166">
        <v>0</v>
      </c>
      <c r="AE158" s="166">
        <v>0</v>
      </c>
      <c r="AF158" s="167">
        <v>0</v>
      </c>
      <c r="AG158" s="165">
        <v>0</v>
      </c>
      <c r="AH158" s="166">
        <v>0</v>
      </c>
      <c r="AI158" s="166">
        <v>0</v>
      </c>
      <c r="AJ158" s="166">
        <v>0</v>
      </c>
      <c r="AK158" s="166">
        <v>0</v>
      </c>
      <c r="AL158" s="201"/>
      <c r="AM158" s="209"/>
      <c r="AN158" s="209"/>
      <c r="AO158" s="209"/>
      <c r="AP158" s="209"/>
      <c r="AQ158" s="119" t="s">
        <v>2145</v>
      </c>
      <c r="AR158" s="456">
        <v>0</v>
      </c>
      <c r="AS158" s="119" t="s">
        <v>2145</v>
      </c>
      <c r="AT158" s="457">
        <v>0</v>
      </c>
    </row>
    <row r="159" spans="1:46" s="98" customFormat="1" ht="15" customHeight="1">
      <c r="A159" s="99"/>
      <c r="B159" s="181"/>
      <c r="C159" s="182" t="s">
        <v>1710</v>
      </c>
      <c r="D159" s="183"/>
      <c r="E159" s="183"/>
      <c r="F159" s="183"/>
      <c r="G159" s="184"/>
      <c r="H159" s="184"/>
      <c r="I159" s="119" t="s">
        <v>498</v>
      </c>
      <c r="J159" s="128">
        <f>SUM(J151:J158)</f>
        <v>0</v>
      </c>
      <c r="K159" s="129">
        <f t="shared" ref="K159" si="105">SUM(K151:K158)</f>
        <v>0</v>
      </c>
      <c r="L159" s="129">
        <f t="shared" ref="L159" si="106">SUM(L151:L158)</f>
        <v>0</v>
      </c>
      <c r="M159" s="129">
        <f t="shared" ref="M159" si="107">SUM(M151:M158)</f>
        <v>0</v>
      </c>
      <c r="N159" s="129">
        <f t="shared" ref="N159" si="108">SUM(N151:N158)</f>
        <v>0</v>
      </c>
      <c r="O159" s="129">
        <f t="shared" ref="O159" si="109">SUM(O151:O158)</f>
        <v>2.4446611671657958E-2</v>
      </c>
      <c r="P159" s="129">
        <f t="shared" ref="P159" si="110">SUM(P151:P158)</f>
        <v>0</v>
      </c>
      <c r="Q159" s="130">
        <f t="shared" ref="Q159" si="111">SUM(Q151:Q158)</f>
        <v>0</v>
      </c>
      <c r="R159" s="128">
        <f t="shared" ref="R159" si="112">SUM(R151:R158)</f>
        <v>0</v>
      </c>
      <c r="S159" s="129">
        <f t="shared" ref="S159" si="113">SUM(S151:S158)</f>
        <v>0</v>
      </c>
      <c r="T159" s="129">
        <f t="shared" ref="T159" si="114">SUM(T151:T158)</f>
        <v>0</v>
      </c>
      <c r="U159" s="129">
        <f t="shared" ref="U159" si="115">SUM(U151:U158)</f>
        <v>0</v>
      </c>
      <c r="V159" s="129">
        <f t="shared" ref="V159" si="116">SUM(V151:V158)</f>
        <v>0</v>
      </c>
      <c r="W159" s="201"/>
      <c r="X159" s="119" t="s">
        <v>1876</v>
      </c>
      <c r="Y159" s="777">
        <f>SUM(Y151:Y158)</f>
        <v>0</v>
      </c>
      <c r="Z159" s="778">
        <f t="shared" ref="Z159:AK159" si="117">SUM(Z151:Z158)</f>
        <v>0</v>
      </c>
      <c r="AA159" s="778">
        <f t="shared" si="117"/>
        <v>0</v>
      </c>
      <c r="AB159" s="778">
        <f t="shared" si="117"/>
        <v>0</v>
      </c>
      <c r="AC159" s="778">
        <f t="shared" si="117"/>
        <v>0</v>
      </c>
      <c r="AD159" s="778">
        <f t="shared" si="117"/>
        <v>1</v>
      </c>
      <c r="AE159" s="778">
        <f t="shared" si="117"/>
        <v>0</v>
      </c>
      <c r="AF159" s="779">
        <f t="shared" si="117"/>
        <v>0</v>
      </c>
      <c r="AG159" s="777">
        <f t="shared" si="117"/>
        <v>0</v>
      </c>
      <c r="AH159" s="778">
        <f t="shared" si="117"/>
        <v>0</v>
      </c>
      <c r="AI159" s="778">
        <f t="shared" si="117"/>
        <v>0</v>
      </c>
      <c r="AJ159" s="778">
        <f t="shared" si="117"/>
        <v>0</v>
      </c>
      <c r="AK159" s="778">
        <f t="shared" si="117"/>
        <v>0</v>
      </c>
      <c r="AL159" s="201"/>
      <c r="AM159" s="185"/>
      <c r="AN159" s="209"/>
      <c r="AO159" s="209"/>
      <c r="AP159" s="209"/>
      <c r="AQ159" s="119" t="s">
        <v>2145</v>
      </c>
      <c r="AR159" s="129">
        <f>SUM(AR151:AR158)</f>
        <v>0</v>
      </c>
      <c r="AS159" s="119" t="s">
        <v>2145</v>
      </c>
      <c r="AT159" s="130">
        <f>SUM(AT151:AT158)</f>
        <v>0</v>
      </c>
    </row>
    <row r="160" spans="1:46" s="98" customFormat="1" ht="15" customHeight="1">
      <c r="A160" s="99"/>
      <c r="B160" s="161"/>
      <c r="C160" s="127"/>
      <c r="D160" s="127"/>
      <c r="E160" s="127"/>
      <c r="F160" s="127"/>
      <c r="G160" s="117"/>
      <c r="H160" s="117"/>
      <c r="I160" s="117"/>
      <c r="J160" s="713"/>
      <c r="K160" s="721"/>
      <c r="L160" s="721"/>
      <c r="M160" s="721"/>
      <c r="N160" s="721"/>
      <c r="O160" s="721"/>
      <c r="P160" s="721"/>
      <c r="Q160" s="715"/>
      <c r="R160" s="713"/>
      <c r="S160" s="721"/>
      <c r="T160" s="721"/>
      <c r="U160" s="721"/>
      <c r="V160" s="769"/>
      <c r="W160" s="201"/>
      <c r="X160" s="201"/>
      <c r="Y160" s="201"/>
      <c r="Z160" s="201"/>
      <c r="AA160" s="201"/>
      <c r="AB160" s="201"/>
      <c r="AC160" s="201"/>
      <c r="AD160" s="201"/>
      <c r="AE160" s="201"/>
      <c r="AF160" s="201"/>
      <c r="AG160" s="201"/>
      <c r="AH160" s="201"/>
      <c r="AI160" s="201"/>
      <c r="AJ160" s="201"/>
      <c r="AK160" s="201"/>
      <c r="AL160" s="201"/>
      <c r="AM160" s="185"/>
      <c r="AN160" s="209"/>
      <c r="AO160" s="209"/>
      <c r="AP160" s="185"/>
      <c r="AQ160" s="185"/>
      <c r="AR160" s="185"/>
      <c r="AS160" s="185"/>
      <c r="AT160" s="215"/>
    </row>
    <row r="161" spans="1:46" s="98" customFormat="1" ht="15" customHeight="1" thickBot="1">
      <c r="A161" s="99"/>
      <c r="B161" s="131" t="s">
        <v>1701</v>
      </c>
      <c r="C161" s="132"/>
      <c r="D161" s="132"/>
      <c r="E161" s="132"/>
      <c r="F161" s="132"/>
      <c r="G161" s="145"/>
      <c r="H161" s="133"/>
      <c r="I161" s="146" t="s">
        <v>498</v>
      </c>
      <c r="J161" s="717">
        <f>SUM(J126,J137,J148,J159)</f>
        <v>0.12098503178530663</v>
      </c>
      <c r="K161" s="718">
        <f t="shared" ref="K161:V161" si="118">SUM(K126,K137,K148,K159)</f>
        <v>0.33003542337662339</v>
      </c>
      <c r="L161" s="718">
        <f t="shared" si="118"/>
        <v>0.15244418358756268</v>
      </c>
      <c r="M161" s="718">
        <f t="shared" si="118"/>
        <v>0.14452627390502354</v>
      </c>
      <c r="N161" s="718">
        <f t="shared" si="118"/>
        <v>0.14103920587261282</v>
      </c>
      <c r="O161" s="718">
        <f t="shared" si="118"/>
        <v>0.14667967002994775</v>
      </c>
      <c r="P161" s="718">
        <f t="shared" si="118"/>
        <v>0.36925600000000003</v>
      </c>
      <c r="Q161" s="719">
        <f t="shared" si="118"/>
        <v>0.49425600000000003</v>
      </c>
      <c r="R161" s="717">
        <f t="shared" si="118"/>
        <v>0.49425600000000003</v>
      </c>
      <c r="S161" s="718">
        <f t="shared" si="118"/>
        <v>0.49425600000000003</v>
      </c>
      <c r="T161" s="718">
        <f t="shared" si="118"/>
        <v>0.49425600000000003</v>
      </c>
      <c r="U161" s="718">
        <f t="shared" si="118"/>
        <v>0.49425600000000003</v>
      </c>
      <c r="V161" s="718">
        <f t="shared" si="118"/>
        <v>0.49425600000000003</v>
      </c>
      <c r="W161" s="216"/>
      <c r="X161" s="216"/>
      <c r="Y161" s="216"/>
      <c r="Z161" s="216"/>
      <c r="AA161" s="216"/>
      <c r="AB161" s="216"/>
      <c r="AC161" s="216"/>
      <c r="AD161" s="216"/>
      <c r="AE161" s="216"/>
      <c r="AF161" s="216"/>
      <c r="AG161" s="216"/>
      <c r="AH161" s="216"/>
      <c r="AI161" s="216"/>
      <c r="AJ161" s="216"/>
      <c r="AK161" s="216"/>
      <c r="AL161" s="216"/>
      <c r="AM161" s="192"/>
      <c r="AN161" s="192"/>
      <c r="AO161" s="192"/>
      <c r="AP161" s="192"/>
      <c r="AQ161" s="192"/>
      <c r="AR161" s="192"/>
      <c r="AS161" s="192"/>
      <c r="AT161" s="217"/>
    </row>
    <row r="162" spans="1:46" s="99" customFormat="1" ht="15" customHeight="1">
      <c r="B162" s="150"/>
      <c r="C162" s="150"/>
      <c r="D162" s="150"/>
      <c r="E162" s="150"/>
      <c r="F162" s="150"/>
      <c r="G162" s="97"/>
      <c r="H162" s="97"/>
      <c r="I162" s="98"/>
      <c r="J162" s="98"/>
      <c r="K162" s="98"/>
      <c r="L162" s="98"/>
      <c r="M162" s="98"/>
      <c r="N162" s="98"/>
      <c r="O162" s="98"/>
      <c r="P162" s="98"/>
      <c r="Q162" s="98"/>
      <c r="R162" s="98"/>
      <c r="S162" s="98"/>
      <c r="T162" s="98"/>
      <c r="U162" s="98"/>
      <c r="V162" s="98"/>
      <c r="W162" s="89"/>
      <c r="X162" s="98"/>
      <c r="Y162" s="98"/>
      <c r="Z162" s="98"/>
      <c r="AA162" s="98"/>
      <c r="AB162" s="98"/>
      <c r="AC162" s="98"/>
      <c r="AD162" s="98"/>
      <c r="AE162" s="98"/>
      <c r="AF162" s="98"/>
      <c r="AG162" s="98"/>
      <c r="AH162" s="98"/>
      <c r="AI162" s="98"/>
      <c r="AJ162" s="98"/>
      <c r="AK162" s="98"/>
      <c r="AL162" s="89"/>
      <c r="AM162" s="98"/>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List!$A$27:$A$31</xm:f>
          </x14:formula1>
          <xm:sqref>AM20:AM27 AM69:AM76 AM118:AM125</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50"/>
  </sheetPr>
  <dimension ref="A1:AA56"/>
  <sheetViews>
    <sheetView showGridLines="0" topLeftCell="A19" zoomScale="80" zoomScaleNormal="80" workbookViewId="0">
      <pane xSplit="7" topLeftCell="J1" activePane="topRight" state="frozen"/>
      <selection activeCell="J15" sqref="J15:V15"/>
      <selection pane="topRight" activeCell="S38" sqref="S38"/>
    </sheetView>
  </sheetViews>
  <sheetFormatPr defaultColWidth="11.875" defaultRowHeight="12.75"/>
  <cols>
    <col min="1" max="1" width="11.875" style="173" customWidth="1"/>
    <col min="2" max="3" width="4.375" style="174" customWidth="1"/>
    <col min="4" max="6" width="4.25" style="174" customWidth="1"/>
    <col min="7" max="7" width="38.125" style="173" customWidth="1"/>
    <col min="8" max="8" width="15.625" style="173" customWidth="1"/>
    <col min="9" max="9" width="15.625" style="175" customWidth="1"/>
    <col min="10" max="22" width="15.625" style="173" customWidth="1"/>
    <col min="23" max="16384" width="11.875" style="173"/>
  </cols>
  <sheetData>
    <row r="1" spans="1:27" s="2" customFormat="1" ht="25.15" customHeight="1">
      <c r="A1" s="1" t="s">
        <v>0</v>
      </c>
      <c r="E1" s="3"/>
      <c r="H1" s="4" t="s">
        <v>1</v>
      </c>
      <c r="J1" s="3"/>
    </row>
    <row r="2" spans="1:27" s="2" customFormat="1" ht="25.15" customHeight="1">
      <c r="A2" s="5" t="str">
        <f>Fixed_Data!I12</f>
        <v>MASTER</v>
      </c>
      <c r="B2" s="6"/>
      <c r="D2" s="7"/>
      <c r="E2" s="3"/>
    </row>
    <row r="3" spans="1:27" s="9" customFormat="1" ht="25.15" customHeight="1" thickBot="1">
      <c r="A3" s="8" t="str">
        <f>Fixed_Data!A3</f>
        <v>RIIO-GD2</v>
      </c>
      <c r="D3" s="10"/>
      <c r="E3" s="11"/>
    </row>
    <row r="4" spans="1:27" s="89" customFormat="1" ht="25.15" customHeight="1">
      <c r="B4" s="90" t="s">
        <v>2151</v>
      </c>
      <c r="C4" s="90"/>
      <c r="D4" s="90"/>
      <c r="E4" s="90"/>
      <c r="F4" s="90"/>
      <c r="G4" s="91"/>
      <c r="H4" s="92"/>
      <c r="I4" s="93"/>
      <c r="J4" s="94"/>
      <c r="K4" s="94"/>
      <c r="L4" s="94"/>
      <c r="M4" s="94"/>
      <c r="N4" s="94"/>
      <c r="O4" s="94"/>
      <c r="P4" s="94"/>
      <c r="Q4" s="94"/>
      <c r="R4" s="92"/>
      <c r="S4" s="92"/>
      <c r="T4" s="92"/>
      <c r="U4" s="92"/>
      <c r="V4" s="92"/>
      <c r="W4" s="92"/>
      <c r="X4" s="92"/>
      <c r="Y4" s="92"/>
      <c r="Z4" s="92"/>
      <c r="AA4" s="92"/>
    </row>
    <row r="5" spans="1:27" s="89" customFormat="1" ht="25.15" customHeight="1">
      <c r="B5" s="95"/>
      <c r="C5" s="95"/>
      <c r="D5" s="95"/>
      <c r="E5" s="95"/>
      <c r="F5" s="95"/>
      <c r="G5" s="95"/>
      <c r="H5" s="95"/>
      <c r="I5" s="93"/>
      <c r="J5" s="94"/>
      <c r="K5" s="94"/>
      <c r="L5" s="94"/>
      <c r="M5" s="94"/>
      <c r="N5" s="94"/>
      <c r="O5" s="94"/>
      <c r="P5" s="94"/>
      <c r="Q5" s="94"/>
      <c r="R5" s="92"/>
      <c r="S5" s="92"/>
      <c r="T5" s="92"/>
      <c r="U5" s="92"/>
      <c r="V5" s="92"/>
      <c r="W5" s="772"/>
      <c r="X5" s="772"/>
      <c r="Y5" s="92"/>
      <c r="Z5" s="92"/>
      <c r="AA5" s="92"/>
    </row>
    <row r="6" spans="1:27" s="89" customFormat="1" ht="15" customHeight="1">
      <c r="B6" s="95"/>
      <c r="C6" s="95"/>
      <c r="D6" s="95"/>
      <c r="E6" s="95"/>
      <c r="F6" s="95"/>
      <c r="G6" s="95"/>
      <c r="H6" s="95"/>
      <c r="I6" s="93"/>
      <c r="J6" s="94"/>
      <c r="K6" s="94"/>
      <c r="L6" s="94"/>
      <c r="M6" s="94"/>
      <c r="N6" s="94"/>
      <c r="O6" s="94"/>
      <c r="P6" s="94"/>
      <c r="Q6" s="94"/>
      <c r="R6" s="92"/>
      <c r="S6" s="92"/>
      <c r="T6" s="92"/>
      <c r="U6" s="92"/>
      <c r="V6" s="92"/>
      <c r="W6" s="772"/>
      <c r="X6" s="772"/>
      <c r="Y6" s="92"/>
      <c r="Z6" s="92"/>
      <c r="AA6" s="92"/>
    </row>
    <row r="7" spans="1:27" s="99" customFormat="1" ht="15" customHeight="1" thickBot="1">
      <c r="A7" s="89"/>
      <c r="B7" s="95"/>
      <c r="C7" s="95"/>
      <c r="D7" s="95"/>
      <c r="E7" s="95"/>
      <c r="F7" s="95"/>
      <c r="G7" s="95"/>
      <c r="H7" s="95"/>
      <c r="I7" s="96"/>
      <c r="J7" s="97"/>
      <c r="K7" s="97"/>
      <c r="L7" s="97"/>
      <c r="M7" s="97"/>
      <c r="N7" s="97"/>
      <c r="O7" s="97"/>
      <c r="P7" s="97"/>
      <c r="Q7" s="97"/>
      <c r="R7" s="97"/>
      <c r="S7" s="97"/>
      <c r="T7" s="97"/>
      <c r="U7" s="97"/>
      <c r="V7" s="97"/>
      <c r="W7" s="98"/>
      <c r="X7" s="98"/>
      <c r="Y7" s="98"/>
      <c r="Z7" s="98"/>
      <c r="AA7" s="98"/>
    </row>
    <row r="8" spans="1:27" s="100" customFormat="1" ht="30" customHeight="1" thickBot="1">
      <c r="B8" s="621" t="s">
        <v>2152</v>
      </c>
      <c r="C8" s="102"/>
      <c r="D8" s="102"/>
      <c r="E8" s="102"/>
      <c r="F8" s="102"/>
      <c r="G8" s="103"/>
      <c r="H8" s="104"/>
      <c r="I8" s="105" t="s">
        <v>2153</v>
      </c>
      <c r="J8" s="106"/>
      <c r="K8" s="106"/>
      <c r="L8" s="106"/>
      <c r="M8" s="106"/>
      <c r="N8" s="106"/>
      <c r="O8" s="106"/>
      <c r="P8" s="106"/>
      <c r="Q8" s="106"/>
      <c r="R8" s="106"/>
      <c r="S8" s="106"/>
      <c r="T8" s="106"/>
      <c r="U8" s="106"/>
      <c r="V8" s="107"/>
      <c r="W8" s="773"/>
      <c r="X8" s="773"/>
      <c r="Y8" s="108"/>
      <c r="Z8" s="108"/>
      <c r="AA8" s="108"/>
    </row>
    <row r="9" spans="1:27" s="113" customFormat="1" ht="30" customHeight="1">
      <c r="A9" s="89"/>
      <c r="B9" s="109"/>
      <c r="C9" s="110"/>
      <c r="D9" s="110"/>
      <c r="E9" s="110"/>
      <c r="F9" s="110"/>
      <c r="G9" s="111"/>
      <c r="H9" s="112"/>
      <c r="I9" s="112"/>
      <c r="J9" s="869" t="s">
        <v>1666</v>
      </c>
      <c r="K9" s="609"/>
      <c r="L9" s="609"/>
      <c r="M9" s="609"/>
      <c r="N9" s="609"/>
      <c r="O9" s="609"/>
      <c r="P9" s="609"/>
      <c r="Q9" s="610"/>
      <c r="R9" s="870" t="s">
        <v>2</v>
      </c>
      <c r="S9" s="135"/>
      <c r="T9" s="135"/>
      <c r="U9" s="135"/>
      <c r="V9" s="136"/>
      <c r="W9" s="774"/>
      <c r="X9" s="774"/>
      <c r="Y9" s="114"/>
      <c r="Z9" s="114"/>
      <c r="AA9" s="114"/>
    </row>
    <row r="10" spans="1:27" s="89" customFormat="1" ht="15" customHeight="1">
      <c r="B10" s="115"/>
      <c r="C10" s="116"/>
      <c r="D10" s="116"/>
      <c r="E10" s="116"/>
      <c r="F10" s="116"/>
      <c r="G10" s="117"/>
      <c r="H10" s="118"/>
      <c r="I10" s="119" t="s">
        <v>1667</v>
      </c>
      <c r="J10" s="158" t="s">
        <v>453</v>
      </c>
      <c r="K10" s="137" t="s">
        <v>455</v>
      </c>
      <c r="L10" s="137" t="s">
        <v>457</v>
      </c>
      <c r="M10" s="137" t="s">
        <v>459</v>
      </c>
      <c r="N10" s="137" t="s">
        <v>461</v>
      </c>
      <c r="O10" s="137" t="s">
        <v>463</v>
      </c>
      <c r="P10" s="137" t="s">
        <v>465</v>
      </c>
      <c r="Q10" s="138" t="s">
        <v>467</v>
      </c>
      <c r="R10" s="158" t="s">
        <v>469</v>
      </c>
      <c r="S10" s="137" t="s">
        <v>471</v>
      </c>
      <c r="T10" s="137" t="s">
        <v>473</v>
      </c>
      <c r="U10" s="137" t="s">
        <v>475</v>
      </c>
      <c r="V10" s="138" t="s">
        <v>477</v>
      </c>
      <c r="W10" s="92"/>
      <c r="X10" s="92"/>
      <c r="Y10" s="92"/>
      <c r="Z10" s="92"/>
      <c r="AA10" s="92"/>
    </row>
    <row r="11" spans="1:27" s="89" customFormat="1" ht="15" customHeight="1">
      <c r="B11" s="123"/>
      <c r="C11" s="116" t="s">
        <v>2154</v>
      </c>
      <c r="D11" s="116"/>
      <c r="E11" s="116"/>
      <c r="F11" s="116"/>
      <c r="G11" s="117"/>
      <c r="H11" s="118"/>
      <c r="I11" s="119" t="s">
        <v>1876</v>
      </c>
      <c r="J11" s="710">
        <f>SUM(J12:J14)</f>
        <v>112</v>
      </c>
      <c r="K11" s="711">
        <f t="shared" ref="K11:V11" si="0">SUM(K12:K14)</f>
        <v>78</v>
      </c>
      <c r="L11" s="711">
        <f t="shared" si="0"/>
        <v>138</v>
      </c>
      <c r="M11" s="711">
        <f t="shared" si="0"/>
        <v>56</v>
      </c>
      <c r="N11" s="711">
        <f t="shared" si="0"/>
        <v>67</v>
      </c>
      <c r="O11" s="711">
        <f t="shared" si="0"/>
        <v>51</v>
      </c>
      <c r="P11" s="711">
        <f t="shared" si="0"/>
        <v>33</v>
      </c>
      <c r="Q11" s="712">
        <f t="shared" si="0"/>
        <v>35</v>
      </c>
      <c r="R11" s="710">
        <f t="shared" si="0"/>
        <v>39</v>
      </c>
      <c r="S11" s="711">
        <f t="shared" si="0"/>
        <v>36</v>
      </c>
      <c r="T11" s="711">
        <f t="shared" si="0"/>
        <v>32</v>
      </c>
      <c r="U11" s="711">
        <f t="shared" si="0"/>
        <v>36</v>
      </c>
      <c r="V11" s="712">
        <f t="shared" si="0"/>
        <v>32</v>
      </c>
      <c r="W11" s="92"/>
      <c r="X11" s="92"/>
      <c r="Y11" s="92"/>
      <c r="Z11" s="92"/>
      <c r="AA11" s="92"/>
    </row>
    <row r="12" spans="1:27" s="89" customFormat="1" ht="15" customHeight="1">
      <c r="B12" s="123"/>
      <c r="C12" s="127"/>
      <c r="D12" s="127" t="s">
        <v>2133</v>
      </c>
      <c r="E12" s="127"/>
      <c r="F12" s="127"/>
      <c r="G12" s="117"/>
      <c r="H12" s="118"/>
      <c r="I12" s="119" t="s">
        <v>1876</v>
      </c>
      <c r="J12" s="128">
        <f>J28</f>
        <v>80</v>
      </c>
      <c r="K12" s="129">
        <f t="shared" ref="K12:V12" si="1">K28</f>
        <v>39</v>
      </c>
      <c r="L12" s="129">
        <f t="shared" si="1"/>
        <v>86</v>
      </c>
      <c r="M12" s="129">
        <f t="shared" si="1"/>
        <v>33</v>
      </c>
      <c r="N12" s="129">
        <f t="shared" si="1"/>
        <v>41</v>
      </c>
      <c r="O12" s="129">
        <f t="shared" si="1"/>
        <v>22</v>
      </c>
      <c r="P12" s="129">
        <f t="shared" si="1"/>
        <v>18</v>
      </c>
      <c r="Q12" s="130">
        <f t="shared" si="1"/>
        <v>16</v>
      </c>
      <c r="R12" s="128">
        <f t="shared" si="1"/>
        <v>19</v>
      </c>
      <c r="S12" s="129">
        <f t="shared" si="1"/>
        <v>17</v>
      </c>
      <c r="T12" s="129">
        <f t="shared" si="1"/>
        <v>13</v>
      </c>
      <c r="U12" s="129">
        <f t="shared" si="1"/>
        <v>17</v>
      </c>
      <c r="V12" s="130">
        <f t="shared" si="1"/>
        <v>13</v>
      </c>
      <c r="W12" s="92"/>
      <c r="X12" s="92"/>
      <c r="Y12" s="92"/>
      <c r="Z12" s="92"/>
      <c r="AA12" s="92"/>
    </row>
    <row r="13" spans="1:27" s="89" customFormat="1" ht="15" customHeight="1">
      <c r="B13" s="123"/>
      <c r="C13" s="127"/>
      <c r="D13" s="127" t="s">
        <v>2134</v>
      </c>
      <c r="E13" s="127"/>
      <c r="F13" s="127"/>
      <c r="G13" s="117"/>
      <c r="H13" s="118"/>
      <c r="I13" s="119" t="s">
        <v>1876</v>
      </c>
      <c r="J13" s="128">
        <f>J41</f>
        <v>9</v>
      </c>
      <c r="K13" s="129">
        <f t="shared" ref="K13:V13" si="2">K41</f>
        <v>10</v>
      </c>
      <c r="L13" s="129">
        <f t="shared" si="2"/>
        <v>23</v>
      </c>
      <c r="M13" s="129">
        <f t="shared" si="2"/>
        <v>6</v>
      </c>
      <c r="N13" s="129">
        <f t="shared" si="2"/>
        <v>7</v>
      </c>
      <c r="O13" s="129">
        <f t="shared" si="2"/>
        <v>9</v>
      </c>
      <c r="P13" s="129">
        <f t="shared" si="2"/>
        <v>7</v>
      </c>
      <c r="Q13" s="130">
        <f t="shared" si="2"/>
        <v>6</v>
      </c>
      <c r="R13" s="128">
        <f t="shared" si="2"/>
        <v>7</v>
      </c>
      <c r="S13" s="129">
        <f t="shared" si="2"/>
        <v>6</v>
      </c>
      <c r="T13" s="129">
        <f t="shared" si="2"/>
        <v>6</v>
      </c>
      <c r="U13" s="129">
        <f t="shared" si="2"/>
        <v>6</v>
      </c>
      <c r="V13" s="130">
        <f t="shared" si="2"/>
        <v>6</v>
      </c>
      <c r="W13" s="92"/>
      <c r="X13" s="92"/>
      <c r="Y13" s="92"/>
      <c r="Z13" s="92"/>
      <c r="AA13" s="92"/>
    </row>
    <row r="14" spans="1:27" s="89" customFormat="1" ht="15" customHeight="1">
      <c r="B14" s="123"/>
      <c r="C14" s="127"/>
      <c r="D14" s="127" t="s">
        <v>2135</v>
      </c>
      <c r="E14" s="127"/>
      <c r="F14" s="127"/>
      <c r="G14" s="117"/>
      <c r="H14" s="118"/>
      <c r="I14" s="119" t="s">
        <v>1876</v>
      </c>
      <c r="J14" s="128">
        <f>J54</f>
        <v>23</v>
      </c>
      <c r="K14" s="129">
        <f t="shared" ref="K14:V14" si="3">K54</f>
        <v>29</v>
      </c>
      <c r="L14" s="129">
        <f t="shared" si="3"/>
        <v>29</v>
      </c>
      <c r="M14" s="129">
        <f t="shared" si="3"/>
        <v>17</v>
      </c>
      <c r="N14" s="129">
        <f t="shared" si="3"/>
        <v>19</v>
      </c>
      <c r="O14" s="129">
        <f t="shared" si="3"/>
        <v>20</v>
      </c>
      <c r="P14" s="129">
        <f t="shared" si="3"/>
        <v>8</v>
      </c>
      <c r="Q14" s="130">
        <f t="shared" si="3"/>
        <v>13</v>
      </c>
      <c r="R14" s="128">
        <f t="shared" si="3"/>
        <v>13</v>
      </c>
      <c r="S14" s="129">
        <f t="shared" si="3"/>
        <v>13</v>
      </c>
      <c r="T14" s="129">
        <f t="shared" si="3"/>
        <v>13</v>
      </c>
      <c r="U14" s="129">
        <f t="shared" si="3"/>
        <v>13</v>
      </c>
      <c r="V14" s="130">
        <f t="shared" si="3"/>
        <v>13</v>
      </c>
      <c r="W14" s="92"/>
      <c r="X14" s="92"/>
      <c r="Y14" s="92"/>
      <c r="Z14" s="92"/>
      <c r="AA14" s="92"/>
    </row>
    <row r="15" spans="1:27" s="89" customFormat="1" ht="15" customHeight="1">
      <c r="B15" s="123"/>
      <c r="C15" s="116" t="s">
        <v>2155</v>
      </c>
      <c r="D15" s="116"/>
      <c r="E15" s="116"/>
      <c r="F15" s="116"/>
      <c r="G15" s="117"/>
      <c r="H15" s="118"/>
      <c r="I15" s="118"/>
      <c r="J15" s="139"/>
      <c r="K15" s="118"/>
      <c r="L15" s="118"/>
      <c r="M15" s="118"/>
      <c r="N15" s="118"/>
      <c r="O15" s="118"/>
      <c r="P15" s="118"/>
      <c r="Q15" s="140"/>
      <c r="R15" s="139"/>
      <c r="S15" s="118"/>
      <c r="T15" s="118"/>
      <c r="U15" s="118"/>
      <c r="V15" s="140"/>
      <c r="W15" s="92"/>
      <c r="X15" s="92"/>
      <c r="Y15" s="92"/>
      <c r="Z15" s="92"/>
      <c r="AA15" s="92"/>
    </row>
    <row r="16" spans="1:27" s="89" customFormat="1" ht="15" customHeight="1" thickBot="1">
      <c r="B16" s="176"/>
      <c r="C16" s="132"/>
      <c r="D16" s="132" t="s">
        <v>2156</v>
      </c>
      <c r="E16" s="132"/>
      <c r="F16" s="132"/>
      <c r="G16" s="145"/>
      <c r="H16" s="133"/>
      <c r="I16" s="146" t="s">
        <v>1876</v>
      </c>
      <c r="J16" s="177">
        <f>SUM(J$29,J$42,J$55)</f>
        <v>18</v>
      </c>
      <c r="K16" s="178">
        <f t="shared" ref="K16:V16" si="4">SUM(K$29,K$42,K$55)</f>
        <v>14</v>
      </c>
      <c r="L16" s="178">
        <f t="shared" si="4"/>
        <v>2</v>
      </c>
      <c r="M16" s="178">
        <f t="shared" si="4"/>
        <v>0</v>
      </c>
      <c r="N16" s="178">
        <f>SUM(N$29,N$42,N$55)</f>
        <v>2</v>
      </c>
      <c r="O16" s="178">
        <f t="shared" si="4"/>
        <v>16</v>
      </c>
      <c r="P16" s="178">
        <f t="shared" si="4"/>
        <v>13</v>
      </c>
      <c r="Q16" s="179">
        <f t="shared" si="4"/>
        <v>35</v>
      </c>
      <c r="R16" s="177">
        <f t="shared" si="4"/>
        <v>39</v>
      </c>
      <c r="S16" s="178">
        <f t="shared" si="4"/>
        <v>36</v>
      </c>
      <c r="T16" s="178">
        <f t="shared" si="4"/>
        <v>32</v>
      </c>
      <c r="U16" s="178">
        <f t="shared" si="4"/>
        <v>36</v>
      </c>
      <c r="V16" s="179">
        <f t="shared" si="4"/>
        <v>32</v>
      </c>
      <c r="W16" s="92"/>
      <c r="X16" s="92"/>
      <c r="Y16" s="92"/>
      <c r="Z16" s="92"/>
      <c r="AA16" s="92"/>
    </row>
    <row r="17" spans="1:27" s="89" customFormat="1" ht="15" customHeight="1" thickBot="1">
      <c r="B17" s="134"/>
      <c r="C17" s="134"/>
      <c r="D17" s="134"/>
      <c r="E17" s="134"/>
      <c r="F17" s="134"/>
      <c r="H17" s="114"/>
      <c r="I17" s="93"/>
      <c r="J17" s="92"/>
      <c r="P17" s="92"/>
      <c r="Q17" s="92"/>
      <c r="R17" s="92"/>
      <c r="S17" s="92"/>
      <c r="T17" s="92"/>
      <c r="U17" s="92"/>
      <c r="V17" s="92"/>
      <c r="W17" s="92"/>
      <c r="X17" s="92"/>
      <c r="Y17" s="92"/>
      <c r="Z17" s="92"/>
      <c r="AA17" s="92"/>
    </row>
    <row r="18" spans="1:27" s="100" customFormat="1" ht="30" customHeight="1" thickBot="1">
      <c r="A18" s="89"/>
      <c r="B18" s="621" t="s">
        <v>2133</v>
      </c>
      <c r="C18" s="102"/>
      <c r="D18" s="102"/>
      <c r="E18" s="102"/>
      <c r="F18" s="102"/>
      <c r="G18" s="103"/>
      <c r="H18" s="103"/>
      <c r="I18" s="105" t="s">
        <v>2153</v>
      </c>
      <c r="J18" s="106"/>
      <c r="K18" s="106"/>
      <c r="L18" s="106"/>
      <c r="M18" s="106"/>
      <c r="N18" s="106"/>
      <c r="O18" s="106"/>
      <c r="P18" s="106"/>
      <c r="Q18" s="106"/>
      <c r="R18" s="105"/>
      <c r="S18" s="105"/>
      <c r="T18" s="105"/>
      <c r="U18" s="105"/>
      <c r="V18" s="187"/>
    </row>
    <row r="19" spans="1:27" s="157" customFormat="1" ht="30" customHeight="1">
      <c r="A19" s="99"/>
      <c r="B19" s="109"/>
      <c r="C19" s="110"/>
      <c r="D19" s="110"/>
      <c r="E19" s="110"/>
      <c r="F19" s="110"/>
      <c r="G19" s="111"/>
      <c r="H19" s="111"/>
      <c r="I19" s="117"/>
      <c r="J19" s="151" t="s">
        <v>1666</v>
      </c>
      <c r="K19" s="152"/>
      <c r="L19" s="152"/>
      <c r="M19" s="152"/>
      <c r="N19" s="152"/>
      <c r="O19" s="152"/>
      <c r="P19" s="152"/>
      <c r="Q19" s="153"/>
      <c r="R19" s="696" t="s">
        <v>2</v>
      </c>
      <c r="S19" s="155"/>
      <c r="T19" s="155"/>
      <c r="U19" s="155"/>
      <c r="V19" s="156"/>
    </row>
    <row r="20" spans="1:27" s="98" customFormat="1" ht="15" customHeight="1">
      <c r="A20" s="99"/>
      <c r="B20" s="115"/>
      <c r="C20" s="116"/>
      <c r="D20" s="127"/>
      <c r="E20" s="127"/>
      <c r="F20" s="127"/>
      <c r="G20" s="117"/>
      <c r="H20" s="117"/>
      <c r="I20" s="119" t="s">
        <v>1667</v>
      </c>
      <c r="J20" s="1064" t="s">
        <v>453</v>
      </c>
      <c r="K20" s="137" t="s">
        <v>455</v>
      </c>
      <c r="L20" s="137" t="s">
        <v>457</v>
      </c>
      <c r="M20" s="137" t="s">
        <v>459</v>
      </c>
      <c r="N20" s="137" t="s">
        <v>461</v>
      </c>
      <c r="O20" s="137" t="s">
        <v>463</v>
      </c>
      <c r="P20" s="137" t="s">
        <v>465</v>
      </c>
      <c r="Q20" s="138" t="s">
        <v>467</v>
      </c>
      <c r="R20" s="120" t="s">
        <v>469</v>
      </c>
      <c r="S20" s="121" t="s">
        <v>471</v>
      </c>
      <c r="T20" s="121" t="s">
        <v>473</v>
      </c>
      <c r="U20" s="121" t="s">
        <v>475</v>
      </c>
      <c r="V20" s="122" t="s">
        <v>477</v>
      </c>
    </row>
    <row r="21" spans="1:27" s="98" customFormat="1" ht="15" customHeight="1">
      <c r="A21" s="99"/>
      <c r="B21" s="161"/>
      <c r="C21" s="180" t="s">
        <v>2154</v>
      </c>
      <c r="D21" s="162"/>
      <c r="E21" s="162"/>
      <c r="F21" s="162"/>
      <c r="G21" s="163"/>
      <c r="H21" s="163"/>
      <c r="I21" s="163"/>
      <c r="J21" s="171"/>
      <c r="K21" s="163"/>
      <c r="L21" s="163"/>
      <c r="M21" s="163"/>
      <c r="N21" s="163"/>
      <c r="O21" s="163"/>
      <c r="P21" s="163"/>
      <c r="Q21" s="172"/>
      <c r="R21" s="171"/>
      <c r="S21" s="163"/>
      <c r="T21" s="163"/>
      <c r="U21" s="163"/>
      <c r="V21" s="172"/>
    </row>
    <row r="22" spans="1:27" s="98" customFormat="1" ht="15" customHeight="1">
      <c r="A22" s="99"/>
      <c r="B22" s="161"/>
      <c r="C22" s="185"/>
      <c r="D22" s="127" t="s">
        <v>2157</v>
      </c>
      <c r="E22" s="127"/>
      <c r="F22" s="127"/>
      <c r="H22" s="163"/>
      <c r="I22" s="119" t="s">
        <v>1876</v>
      </c>
      <c r="J22" s="165">
        <v>64</v>
      </c>
      <c r="K22" s="166">
        <v>25</v>
      </c>
      <c r="L22" s="166">
        <v>41</v>
      </c>
      <c r="M22" s="166">
        <v>13</v>
      </c>
      <c r="N22" s="166">
        <v>27</v>
      </c>
      <c r="O22" s="166">
        <v>12</v>
      </c>
      <c r="P22" s="166">
        <v>8</v>
      </c>
      <c r="Q22" s="167">
        <v>6</v>
      </c>
      <c r="R22" s="165">
        <v>9</v>
      </c>
      <c r="S22" s="166">
        <v>7</v>
      </c>
      <c r="T22" s="166">
        <v>3</v>
      </c>
      <c r="U22" s="166">
        <v>7</v>
      </c>
      <c r="V22" s="167">
        <v>3</v>
      </c>
    </row>
    <row r="23" spans="1:27" s="98" customFormat="1" ht="15" customHeight="1">
      <c r="A23" s="99"/>
      <c r="B23" s="161"/>
      <c r="C23" s="185"/>
      <c r="D23" s="127" t="s">
        <v>2158</v>
      </c>
      <c r="E23" s="127"/>
      <c r="F23" s="185"/>
      <c r="H23" s="163"/>
      <c r="I23" s="119" t="s">
        <v>1876</v>
      </c>
      <c r="J23" s="165">
        <v>16</v>
      </c>
      <c r="K23" s="166">
        <v>14</v>
      </c>
      <c r="L23" s="166">
        <v>45</v>
      </c>
      <c r="M23" s="166">
        <v>20</v>
      </c>
      <c r="N23" s="166">
        <v>14</v>
      </c>
      <c r="O23" s="166">
        <v>10</v>
      </c>
      <c r="P23" s="166">
        <v>10</v>
      </c>
      <c r="Q23" s="167">
        <v>10</v>
      </c>
      <c r="R23" s="165">
        <v>10</v>
      </c>
      <c r="S23" s="166">
        <v>10</v>
      </c>
      <c r="T23" s="166">
        <v>10</v>
      </c>
      <c r="U23" s="166">
        <v>10</v>
      </c>
      <c r="V23" s="167">
        <v>10</v>
      </c>
    </row>
    <row r="24" spans="1:27" s="98" customFormat="1" ht="15" customHeight="1">
      <c r="A24" s="99"/>
      <c r="B24" s="161"/>
      <c r="C24" s="185"/>
      <c r="D24" s="127" t="s">
        <v>2159</v>
      </c>
      <c r="E24" s="127"/>
      <c r="F24" s="185"/>
      <c r="H24" s="163"/>
      <c r="I24" s="119" t="s">
        <v>1876</v>
      </c>
      <c r="J24" s="165">
        <v>0</v>
      </c>
      <c r="K24" s="166">
        <v>0</v>
      </c>
      <c r="L24" s="166">
        <v>0</v>
      </c>
      <c r="M24" s="166">
        <v>0</v>
      </c>
      <c r="N24" s="166">
        <v>0</v>
      </c>
      <c r="O24" s="166">
        <v>0</v>
      </c>
      <c r="P24" s="166">
        <v>0</v>
      </c>
      <c r="Q24" s="167">
        <v>0</v>
      </c>
      <c r="R24" s="165">
        <v>0</v>
      </c>
      <c r="S24" s="166">
        <v>0</v>
      </c>
      <c r="T24" s="166">
        <v>0</v>
      </c>
      <c r="U24" s="166">
        <v>0</v>
      </c>
      <c r="V24" s="167">
        <v>0</v>
      </c>
    </row>
    <row r="25" spans="1:27" s="98" customFormat="1" ht="15" customHeight="1">
      <c r="A25" s="99"/>
      <c r="B25" s="161"/>
      <c r="C25" s="185"/>
      <c r="D25" s="127" t="s">
        <v>2156</v>
      </c>
      <c r="E25" s="127"/>
      <c r="F25" s="185"/>
      <c r="H25" s="163"/>
      <c r="I25" s="119" t="s">
        <v>1876</v>
      </c>
      <c r="J25" s="165">
        <v>6</v>
      </c>
      <c r="K25" s="166">
        <v>0</v>
      </c>
      <c r="L25" s="166">
        <v>0</v>
      </c>
      <c r="M25" s="166">
        <v>0</v>
      </c>
      <c r="N25" s="166">
        <v>0</v>
      </c>
      <c r="O25" s="166">
        <v>0</v>
      </c>
      <c r="P25" s="166">
        <v>0</v>
      </c>
      <c r="Q25" s="167">
        <v>16</v>
      </c>
      <c r="R25" s="165">
        <v>19</v>
      </c>
      <c r="S25" s="166">
        <v>17</v>
      </c>
      <c r="T25" s="166">
        <v>13</v>
      </c>
      <c r="U25" s="166">
        <v>17</v>
      </c>
      <c r="V25" s="167">
        <v>13</v>
      </c>
    </row>
    <row r="26" spans="1:27" s="98" customFormat="1" ht="15" customHeight="1">
      <c r="A26" s="99"/>
      <c r="B26" s="161"/>
      <c r="C26" s="116"/>
      <c r="D26" s="117"/>
      <c r="E26" s="117"/>
      <c r="F26" s="117"/>
      <c r="G26" s="185"/>
      <c r="H26" s="117"/>
      <c r="I26" s="117"/>
      <c r="J26" s="159"/>
      <c r="K26" s="117"/>
      <c r="L26" s="117"/>
      <c r="M26" s="117"/>
      <c r="N26" s="117"/>
      <c r="O26" s="117"/>
      <c r="P26" s="117"/>
      <c r="Q26" s="160"/>
      <c r="R26" s="159"/>
      <c r="S26" s="117"/>
      <c r="T26" s="117"/>
      <c r="U26" s="117"/>
      <c r="V26" s="160"/>
    </row>
    <row r="27" spans="1:27" s="98" customFormat="1" ht="15" customHeight="1">
      <c r="A27" s="99"/>
      <c r="B27" s="161"/>
      <c r="C27" s="116"/>
      <c r="D27" s="117"/>
      <c r="E27" s="117"/>
      <c r="F27" s="117"/>
      <c r="G27" s="185"/>
      <c r="H27" s="117"/>
      <c r="I27" s="117"/>
      <c r="J27" s="159"/>
      <c r="K27" s="117"/>
      <c r="L27" s="117"/>
      <c r="M27" s="117"/>
      <c r="N27" s="117"/>
      <c r="O27" s="117"/>
      <c r="P27" s="117"/>
      <c r="Q27" s="160"/>
      <c r="R27" s="159"/>
      <c r="S27" s="117"/>
      <c r="T27" s="117"/>
      <c r="U27" s="117"/>
      <c r="V27" s="160"/>
      <c r="W27" s="117"/>
    </row>
    <row r="28" spans="1:27" s="98" customFormat="1" ht="15" customHeight="1">
      <c r="A28" s="99"/>
      <c r="B28" s="159" t="s">
        <v>2160</v>
      </c>
      <c r="C28" s="127"/>
      <c r="D28" s="127"/>
      <c r="E28" s="127"/>
      <c r="F28" s="127"/>
      <c r="G28" s="117"/>
      <c r="H28" s="118"/>
      <c r="I28" s="119" t="s">
        <v>1876</v>
      </c>
      <c r="J28" s="1109">
        <f>SUM(J$22:J$24)</f>
        <v>80</v>
      </c>
      <c r="K28" s="1107">
        <f t="shared" ref="K28:V28" si="5">SUM(K$22:K$24)</f>
        <v>39</v>
      </c>
      <c r="L28" s="1107">
        <f t="shared" si="5"/>
        <v>86</v>
      </c>
      <c r="M28" s="1107">
        <f t="shared" si="5"/>
        <v>33</v>
      </c>
      <c r="N28" s="1107">
        <f t="shared" si="5"/>
        <v>41</v>
      </c>
      <c r="O28" s="1107">
        <f t="shared" si="5"/>
        <v>22</v>
      </c>
      <c r="P28" s="1107">
        <f t="shared" si="5"/>
        <v>18</v>
      </c>
      <c r="Q28" s="1095">
        <f t="shared" si="5"/>
        <v>16</v>
      </c>
      <c r="R28" s="1109">
        <f t="shared" si="5"/>
        <v>19</v>
      </c>
      <c r="S28" s="1107">
        <f t="shared" si="5"/>
        <v>17</v>
      </c>
      <c r="T28" s="1107">
        <f t="shared" si="5"/>
        <v>13</v>
      </c>
      <c r="U28" s="1107">
        <f t="shared" si="5"/>
        <v>17</v>
      </c>
      <c r="V28" s="1095">
        <f t="shared" si="5"/>
        <v>13</v>
      </c>
    </row>
    <row r="29" spans="1:27" s="98" customFormat="1" ht="15" customHeight="1" thickBot="1">
      <c r="A29" s="99"/>
      <c r="B29" s="131" t="s">
        <v>2161</v>
      </c>
      <c r="C29" s="132"/>
      <c r="D29" s="132"/>
      <c r="E29" s="132"/>
      <c r="F29" s="132"/>
      <c r="G29" s="145"/>
      <c r="H29" s="133"/>
      <c r="I29" s="146" t="s">
        <v>1876</v>
      </c>
      <c r="J29" s="873">
        <f>J$25</f>
        <v>6</v>
      </c>
      <c r="K29" s="873">
        <f t="shared" ref="K29:V29" si="6">K$25</f>
        <v>0</v>
      </c>
      <c r="L29" s="873">
        <f t="shared" si="6"/>
        <v>0</v>
      </c>
      <c r="M29" s="873">
        <f t="shared" si="6"/>
        <v>0</v>
      </c>
      <c r="N29" s="873">
        <f t="shared" si="6"/>
        <v>0</v>
      </c>
      <c r="O29" s="873">
        <f t="shared" si="6"/>
        <v>0</v>
      </c>
      <c r="P29" s="873">
        <f t="shared" si="6"/>
        <v>0</v>
      </c>
      <c r="Q29" s="873">
        <f t="shared" si="6"/>
        <v>16</v>
      </c>
      <c r="R29" s="873">
        <f t="shared" si="6"/>
        <v>19</v>
      </c>
      <c r="S29" s="873">
        <f t="shared" si="6"/>
        <v>17</v>
      </c>
      <c r="T29" s="873">
        <f t="shared" si="6"/>
        <v>13</v>
      </c>
      <c r="U29" s="873">
        <f t="shared" si="6"/>
        <v>17</v>
      </c>
      <c r="V29" s="873">
        <f t="shared" si="6"/>
        <v>13</v>
      </c>
    </row>
    <row r="30" spans="1:27" s="99" customFormat="1" ht="15" customHeight="1" thickBot="1">
      <c r="B30" s="150"/>
      <c r="C30" s="150"/>
      <c r="D30" s="150"/>
      <c r="E30" s="150"/>
      <c r="F30" s="150"/>
      <c r="G30" s="97"/>
      <c r="H30" s="97"/>
      <c r="I30" s="98"/>
      <c r="J30" s="98"/>
      <c r="K30" s="98"/>
      <c r="L30" s="98"/>
      <c r="M30" s="98"/>
      <c r="N30" s="98"/>
      <c r="O30" s="98"/>
      <c r="P30" s="98"/>
      <c r="Q30" s="98"/>
      <c r="R30" s="98"/>
      <c r="S30" s="98"/>
      <c r="T30" s="98"/>
      <c r="U30" s="98"/>
      <c r="V30" s="98"/>
    </row>
    <row r="31" spans="1:27" s="100" customFormat="1" ht="30" customHeight="1" thickBot="1">
      <c r="A31" s="89"/>
      <c r="B31" s="621" t="s">
        <v>2134</v>
      </c>
      <c r="C31" s="102"/>
      <c r="D31" s="102"/>
      <c r="E31" s="102"/>
      <c r="F31" s="102"/>
      <c r="G31" s="103"/>
      <c r="H31" s="103"/>
      <c r="I31" s="105" t="s">
        <v>2153</v>
      </c>
      <c r="J31" s="106"/>
      <c r="K31" s="106"/>
      <c r="L31" s="106"/>
      <c r="M31" s="106"/>
      <c r="N31" s="106"/>
      <c r="O31" s="106"/>
      <c r="P31" s="106"/>
      <c r="Q31" s="106"/>
      <c r="R31" s="105"/>
      <c r="S31" s="105"/>
      <c r="T31" s="105"/>
      <c r="U31" s="105"/>
      <c r="V31" s="187"/>
    </row>
    <row r="32" spans="1:27" s="157" customFormat="1" ht="30" customHeight="1">
      <c r="A32" s="99"/>
      <c r="B32" s="109"/>
      <c r="C32" s="110"/>
      <c r="D32" s="110"/>
      <c r="E32" s="110"/>
      <c r="F32" s="110"/>
      <c r="G32" s="111"/>
      <c r="H32" s="111"/>
      <c r="I32" s="117"/>
      <c r="J32" s="151" t="s">
        <v>1666</v>
      </c>
      <c r="K32" s="152"/>
      <c r="L32" s="152"/>
      <c r="M32" s="152"/>
      <c r="N32" s="152"/>
      <c r="O32" s="152"/>
      <c r="P32" s="152"/>
      <c r="Q32" s="153"/>
      <c r="R32" s="696" t="s">
        <v>2</v>
      </c>
      <c r="S32" s="155"/>
      <c r="T32" s="155"/>
      <c r="U32" s="155"/>
      <c r="V32" s="156"/>
    </row>
    <row r="33" spans="1:23" s="98" customFormat="1" ht="15" customHeight="1">
      <c r="A33" s="99"/>
      <c r="B33" s="115"/>
      <c r="C33" s="116"/>
      <c r="D33" s="127"/>
      <c r="E33" s="127"/>
      <c r="F33" s="127"/>
      <c r="G33" s="117"/>
      <c r="H33" s="117"/>
      <c r="I33" s="119" t="s">
        <v>1667</v>
      </c>
      <c r="J33" s="1064" t="s">
        <v>453</v>
      </c>
      <c r="K33" s="137" t="s">
        <v>455</v>
      </c>
      <c r="L33" s="137" t="s">
        <v>457</v>
      </c>
      <c r="M33" s="137" t="s">
        <v>459</v>
      </c>
      <c r="N33" s="137" t="s">
        <v>461</v>
      </c>
      <c r="O33" s="137" t="s">
        <v>463</v>
      </c>
      <c r="P33" s="137" t="s">
        <v>465</v>
      </c>
      <c r="Q33" s="138" t="s">
        <v>467</v>
      </c>
      <c r="R33" s="120" t="s">
        <v>469</v>
      </c>
      <c r="S33" s="121" t="s">
        <v>471</v>
      </c>
      <c r="T33" s="121" t="s">
        <v>473</v>
      </c>
      <c r="U33" s="121" t="s">
        <v>475</v>
      </c>
      <c r="V33" s="122" t="s">
        <v>477</v>
      </c>
    </row>
    <row r="34" spans="1:23" s="98" customFormat="1" ht="15" customHeight="1">
      <c r="A34" s="99"/>
      <c r="B34" s="161"/>
      <c r="C34" s="180" t="s">
        <v>2154</v>
      </c>
      <c r="D34" s="162"/>
      <c r="E34" s="162"/>
      <c r="F34" s="162"/>
      <c r="G34" s="163"/>
      <c r="H34" s="163"/>
      <c r="I34" s="163"/>
      <c r="J34" s="171"/>
      <c r="K34" s="163"/>
      <c r="L34" s="163"/>
      <c r="M34" s="163"/>
      <c r="N34" s="163"/>
      <c r="O34" s="163"/>
      <c r="P34" s="163"/>
      <c r="Q34" s="172"/>
      <c r="R34" s="171"/>
      <c r="S34" s="163"/>
      <c r="T34" s="163"/>
      <c r="U34" s="163"/>
      <c r="V34" s="172"/>
    </row>
    <row r="35" spans="1:23" s="98" customFormat="1" ht="15" customHeight="1">
      <c r="A35" s="99"/>
      <c r="B35" s="161"/>
      <c r="C35" s="185"/>
      <c r="D35" s="127" t="s">
        <v>2157</v>
      </c>
      <c r="E35" s="127"/>
      <c r="F35" s="127"/>
      <c r="H35" s="163"/>
      <c r="I35" s="119" t="s">
        <v>1876</v>
      </c>
      <c r="J35" s="165">
        <v>4</v>
      </c>
      <c r="K35" s="166">
        <v>1</v>
      </c>
      <c r="L35" s="166">
        <v>3</v>
      </c>
      <c r="M35" s="166">
        <v>3</v>
      </c>
      <c r="N35" s="166">
        <v>2</v>
      </c>
      <c r="O35" s="166">
        <v>1</v>
      </c>
      <c r="P35" s="166">
        <v>1</v>
      </c>
      <c r="Q35" s="167">
        <v>0</v>
      </c>
      <c r="R35" s="165">
        <v>1</v>
      </c>
      <c r="S35" s="166">
        <v>0</v>
      </c>
      <c r="T35" s="166">
        <v>0</v>
      </c>
      <c r="U35" s="166">
        <v>0</v>
      </c>
      <c r="V35" s="167">
        <v>0</v>
      </c>
    </row>
    <row r="36" spans="1:23" s="98" customFormat="1" ht="15" customHeight="1">
      <c r="A36" s="99"/>
      <c r="B36" s="161"/>
      <c r="C36" s="185"/>
      <c r="D36" s="127" t="s">
        <v>2158</v>
      </c>
      <c r="E36" s="127"/>
      <c r="F36" s="185"/>
      <c r="H36" s="163"/>
      <c r="I36" s="119" t="s">
        <v>1876</v>
      </c>
      <c r="J36" s="165">
        <v>5</v>
      </c>
      <c r="K36" s="166">
        <v>9</v>
      </c>
      <c r="L36" s="166">
        <v>20</v>
      </c>
      <c r="M36" s="166">
        <v>3</v>
      </c>
      <c r="N36" s="166">
        <v>5</v>
      </c>
      <c r="O36" s="166">
        <v>8</v>
      </c>
      <c r="P36" s="166">
        <v>6</v>
      </c>
      <c r="Q36" s="167">
        <v>6</v>
      </c>
      <c r="R36" s="165">
        <v>6</v>
      </c>
      <c r="S36" s="166">
        <v>6</v>
      </c>
      <c r="T36" s="166">
        <v>6</v>
      </c>
      <c r="U36" s="166">
        <v>6</v>
      </c>
      <c r="V36" s="167">
        <v>6</v>
      </c>
    </row>
    <row r="37" spans="1:23" s="98" customFormat="1" ht="15" customHeight="1">
      <c r="A37" s="99"/>
      <c r="B37" s="161"/>
      <c r="C37" s="185"/>
      <c r="D37" s="127" t="s">
        <v>2159</v>
      </c>
      <c r="E37" s="127"/>
      <c r="F37" s="185"/>
      <c r="H37" s="163"/>
      <c r="I37" s="119" t="s">
        <v>1876</v>
      </c>
      <c r="J37" s="165">
        <v>0</v>
      </c>
      <c r="K37" s="166">
        <v>0</v>
      </c>
      <c r="L37" s="166">
        <v>0</v>
      </c>
      <c r="M37" s="166">
        <v>0</v>
      </c>
      <c r="N37" s="166">
        <v>0</v>
      </c>
      <c r="O37" s="166">
        <v>0</v>
      </c>
      <c r="P37" s="166">
        <v>0</v>
      </c>
      <c r="Q37" s="167">
        <v>0</v>
      </c>
      <c r="R37" s="165">
        <v>0</v>
      </c>
      <c r="S37" s="166">
        <v>0</v>
      </c>
      <c r="T37" s="166">
        <v>0</v>
      </c>
      <c r="U37" s="166">
        <v>0</v>
      </c>
      <c r="V37" s="167">
        <v>0</v>
      </c>
    </row>
    <row r="38" spans="1:23" s="98" customFormat="1" ht="15" customHeight="1">
      <c r="A38" s="99"/>
      <c r="B38" s="161"/>
      <c r="C38" s="185"/>
      <c r="D38" s="127" t="s">
        <v>2156</v>
      </c>
      <c r="E38" s="127"/>
      <c r="F38" s="185"/>
      <c r="H38" s="163"/>
      <c r="I38" s="119" t="s">
        <v>1876</v>
      </c>
      <c r="J38" s="165">
        <v>12</v>
      </c>
      <c r="K38" s="166">
        <v>6</v>
      </c>
      <c r="L38" s="166">
        <v>0</v>
      </c>
      <c r="M38" s="166">
        <v>0</v>
      </c>
      <c r="N38" s="166">
        <v>0</v>
      </c>
      <c r="O38" s="166">
        <v>10</v>
      </c>
      <c r="P38" s="166">
        <v>5</v>
      </c>
      <c r="Q38" s="167">
        <v>6</v>
      </c>
      <c r="R38" s="165">
        <v>7</v>
      </c>
      <c r="S38" s="166">
        <v>6</v>
      </c>
      <c r="T38" s="166">
        <v>6</v>
      </c>
      <c r="U38" s="166">
        <v>6</v>
      </c>
      <c r="V38" s="167">
        <v>6</v>
      </c>
    </row>
    <row r="39" spans="1:23" s="98" customFormat="1" ht="15" customHeight="1">
      <c r="A39" s="99"/>
      <c r="B39" s="161"/>
      <c r="C39" s="116"/>
      <c r="D39" s="117"/>
      <c r="E39" s="117"/>
      <c r="F39" s="117"/>
      <c r="G39" s="185"/>
      <c r="H39" s="117"/>
      <c r="I39" s="117"/>
      <c r="J39" s="159"/>
      <c r="K39" s="117"/>
      <c r="L39" s="117"/>
      <c r="M39" s="117"/>
      <c r="N39" s="117"/>
      <c r="O39" s="117"/>
      <c r="P39" s="117"/>
      <c r="Q39" s="160"/>
      <c r="R39" s="159"/>
      <c r="S39" s="117"/>
      <c r="T39" s="117"/>
      <c r="U39" s="117"/>
      <c r="V39" s="160"/>
    </row>
    <row r="40" spans="1:23" s="98" customFormat="1" ht="15" customHeight="1">
      <c r="A40" s="99"/>
      <c r="B40" s="161"/>
      <c r="C40" s="116"/>
      <c r="D40" s="117"/>
      <c r="E40" s="117"/>
      <c r="F40" s="117"/>
      <c r="G40" s="185"/>
      <c r="H40" s="117"/>
      <c r="I40" s="117"/>
      <c r="J40" s="159"/>
      <c r="K40" s="117"/>
      <c r="L40" s="117"/>
      <c r="M40" s="117"/>
      <c r="N40" s="117"/>
      <c r="O40" s="117"/>
      <c r="P40" s="117"/>
      <c r="Q40" s="160"/>
      <c r="R40" s="159"/>
      <c r="S40" s="117"/>
      <c r="T40" s="117"/>
      <c r="U40" s="117"/>
      <c r="V40" s="160"/>
      <c r="W40" s="117"/>
    </row>
    <row r="41" spans="1:23" s="98" customFormat="1" ht="15" customHeight="1">
      <c r="A41" s="99"/>
      <c r="B41" s="159" t="s">
        <v>2160</v>
      </c>
      <c r="C41" s="127"/>
      <c r="D41" s="127"/>
      <c r="E41" s="127"/>
      <c r="F41" s="127"/>
      <c r="G41" s="117"/>
      <c r="H41" s="118"/>
      <c r="I41" s="119" t="s">
        <v>1876</v>
      </c>
      <c r="J41" s="1109">
        <f>SUM(J35:J37)</f>
        <v>9</v>
      </c>
      <c r="K41" s="1107">
        <f t="shared" ref="K41:V41" si="7">SUM(K35:K37)</f>
        <v>10</v>
      </c>
      <c r="L41" s="1107">
        <f t="shared" si="7"/>
        <v>23</v>
      </c>
      <c r="M41" s="1107">
        <f t="shared" si="7"/>
        <v>6</v>
      </c>
      <c r="N41" s="1107">
        <f t="shared" si="7"/>
        <v>7</v>
      </c>
      <c r="O41" s="1107">
        <f t="shared" si="7"/>
        <v>9</v>
      </c>
      <c r="P41" s="1107">
        <f t="shared" si="7"/>
        <v>7</v>
      </c>
      <c r="Q41" s="1095">
        <f t="shared" si="7"/>
        <v>6</v>
      </c>
      <c r="R41" s="1109">
        <f t="shared" si="7"/>
        <v>7</v>
      </c>
      <c r="S41" s="1107">
        <f t="shared" si="7"/>
        <v>6</v>
      </c>
      <c r="T41" s="1107">
        <f t="shared" si="7"/>
        <v>6</v>
      </c>
      <c r="U41" s="1107">
        <f t="shared" si="7"/>
        <v>6</v>
      </c>
      <c r="V41" s="1095">
        <f t="shared" si="7"/>
        <v>6</v>
      </c>
    </row>
    <row r="42" spans="1:23" s="98" customFormat="1" ht="15" customHeight="1" thickBot="1">
      <c r="A42" s="99"/>
      <c r="B42" s="131" t="s">
        <v>2161</v>
      </c>
      <c r="C42" s="132"/>
      <c r="D42" s="132"/>
      <c r="E42" s="132"/>
      <c r="F42" s="132"/>
      <c r="G42" s="145"/>
      <c r="H42" s="133"/>
      <c r="I42" s="146" t="s">
        <v>1876</v>
      </c>
      <c r="J42" s="873">
        <f>J38</f>
        <v>12</v>
      </c>
      <c r="K42" s="873">
        <f t="shared" ref="K42:V42" si="8">K38</f>
        <v>6</v>
      </c>
      <c r="L42" s="873">
        <f t="shared" si="8"/>
        <v>0</v>
      </c>
      <c r="M42" s="873">
        <f t="shared" si="8"/>
        <v>0</v>
      </c>
      <c r="N42" s="873">
        <f t="shared" si="8"/>
        <v>0</v>
      </c>
      <c r="O42" s="873">
        <f t="shared" si="8"/>
        <v>10</v>
      </c>
      <c r="P42" s="873">
        <f t="shared" si="8"/>
        <v>5</v>
      </c>
      <c r="Q42" s="873">
        <f t="shared" si="8"/>
        <v>6</v>
      </c>
      <c r="R42" s="873">
        <f t="shared" si="8"/>
        <v>7</v>
      </c>
      <c r="S42" s="873">
        <f t="shared" si="8"/>
        <v>6</v>
      </c>
      <c r="T42" s="873">
        <f t="shared" si="8"/>
        <v>6</v>
      </c>
      <c r="U42" s="873">
        <f t="shared" si="8"/>
        <v>6</v>
      </c>
      <c r="V42" s="873">
        <f t="shared" si="8"/>
        <v>6</v>
      </c>
    </row>
    <row r="43" spans="1:23" s="99" customFormat="1" ht="15" customHeight="1" thickBot="1">
      <c r="B43" s="150"/>
      <c r="C43" s="150"/>
      <c r="D43" s="150"/>
      <c r="E43" s="150"/>
      <c r="F43" s="150"/>
      <c r="G43" s="97"/>
      <c r="H43" s="97"/>
      <c r="I43" s="98"/>
      <c r="J43" s="98"/>
      <c r="K43" s="98"/>
      <c r="L43" s="98"/>
      <c r="M43" s="98"/>
      <c r="N43" s="98"/>
      <c r="O43" s="98"/>
      <c r="P43" s="98"/>
      <c r="Q43" s="98"/>
      <c r="R43" s="98"/>
      <c r="S43" s="98"/>
      <c r="T43" s="98"/>
      <c r="U43" s="98"/>
      <c r="V43" s="98"/>
    </row>
    <row r="44" spans="1:23" s="100" customFormat="1" ht="30" customHeight="1" thickBot="1">
      <c r="A44" s="89"/>
      <c r="B44" s="621" t="s">
        <v>2135</v>
      </c>
      <c r="C44" s="102"/>
      <c r="D44" s="102"/>
      <c r="E44" s="102"/>
      <c r="F44" s="102"/>
      <c r="G44" s="103"/>
      <c r="H44" s="103"/>
      <c r="I44" s="105" t="s">
        <v>2153</v>
      </c>
      <c r="J44" s="106"/>
      <c r="K44" s="106"/>
      <c r="L44" s="106"/>
      <c r="M44" s="106"/>
      <c r="N44" s="106"/>
      <c r="O44" s="106"/>
      <c r="P44" s="106"/>
      <c r="Q44" s="106"/>
      <c r="R44" s="105"/>
      <c r="S44" s="105"/>
      <c r="T44" s="105"/>
      <c r="U44" s="105"/>
      <c r="V44" s="187"/>
    </row>
    <row r="45" spans="1:23" s="157" customFormat="1" ht="30" customHeight="1">
      <c r="A45" s="99"/>
      <c r="B45" s="109"/>
      <c r="C45" s="110"/>
      <c r="D45" s="110"/>
      <c r="E45" s="110"/>
      <c r="F45" s="110"/>
      <c r="G45" s="111"/>
      <c r="H45" s="111"/>
      <c r="I45" s="117"/>
      <c r="J45" s="151" t="s">
        <v>1666</v>
      </c>
      <c r="K45" s="152"/>
      <c r="L45" s="152"/>
      <c r="M45" s="152"/>
      <c r="N45" s="152"/>
      <c r="O45" s="152"/>
      <c r="P45" s="152"/>
      <c r="Q45" s="153"/>
      <c r="R45" s="696" t="s">
        <v>2</v>
      </c>
      <c r="S45" s="155"/>
      <c r="T45" s="155"/>
      <c r="U45" s="155"/>
      <c r="V45" s="156"/>
    </row>
    <row r="46" spans="1:23" s="98" customFormat="1" ht="15" customHeight="1">
      <c r="A46" s="99"/>
      <c r="B46" s="115"/>
      <c r="C46" s="116"/>
      <c r="D46" s="127"/>
      <c r="E46" s="127"/>
      <c r="F46" s="127"/>
      <c r="G46" s="117"/>
      <c r="H46" s="117"/>
      <c r="I46" s="119" t="s">
        <v>1667</v>
      </c>
      <c r="J46" s="1064" t="s">
        <v>453</v>
      </c>
      <c r="K46" s="137" t="s">
        <v>455</v>
      </c>
      <c r="L46" s="137" t="s">
        <v>457</v>
      </c>
      <c r="M46" s="137" t="s">
        <v>459</v>
      </c>
      <c r="N46" s="137" t="s">
        <v>461</v>
      </c>
      <c r="O46" s="137" t="s">
        <v>463</v>
      </c>
      <c r="P46" s="137" t="s">
        <v>465</v>
      </c>
      <c r="Q46" s="138" t="s">
        <v>467</v>
      </c>
      <c r="R46" s="120" t="s">
        <v>469</v>
      </c>
      <c r="S46" s="121" t="s">
        <v>471</v>
      </c>
      <c r="T46" s="121" t="s">
        <v>473</v>
      </c>
      <c r="U46" s="121" t="s">
        <v>475</v>
      </c>
      <c r="V46" s="122" t="s">
        <v>477</v>
      </c>
    </row>
    <row r="47" spans="1:23" s="98" customFormat="1" ht="15" customHeight="1">
      <c r="A47" s="99"/>
      <c r="B47" s="161"/>
      <c r="C47" s="180" t="s">
        <v>2154</v>
      </c>
      <c r="D47" s="162"/>
      <c r="E47" s="162"/>
      <c r="F47" s="162"/>
      <c r="G47" s="163"/>
      <c r="H47" s="163"/>
      <c r="I47" s="163"/>
      <c r="J47" s="171"/>
      <c r="K47" s="163"/>
      <c r="L47" s="163"/>
      <c r="M47" s="163"/>
      <c r="N47" s="163"/>
      <c r="O47" s="163"/>
      <c r="P47" s="163"/>
      <c r="Q47" s="172"/>
      <c r="R47" s="171"/>
      <c r="S47" s="163"/>
      <c r="T47" s="163"/>
      <c r="U47" s="163"/>
      <c r="V47" s="172"/>
    </row>
    <row r="48" spans="1:23" s="98" customFormat="1" ht="15" customHeight="1">
      <c r="A48" s="99"/>
      <c r="B48" s="161"/>
      <c r="C48" s="185"/>
      <c r="D48" s="127" t="s">
        <v>2157</v>
      </c>
      <c r="E48" s="127"/>
      <c r="F48" s="127"/>
      <c r="H48" s="163"/>
      <c r="I48" s="119" t="s">
        <v>1876</v>
      </c>
      <c r="J48" s="165">
        <v>9</v>
      </c>
      <c r="K48" s="166">
        <v>0</v>
      </c>
      <c r="L48" s="166">
        <v>4</v>
      </c>
      <c r="M48" s="166">
        <v>2</v>
      </c>
      <c r="N48" s="166">
        <v>1</v>
      </c>
      <c r="O48" s="166">
        <v>0</v>
      </c>
      <c r="P48" s="166">
        <v>0</v>
      </c>
      <c r="Q48" s="167">
        <v>0</v>
      </c>
      <c r="R48" s="165">
        <v>0</v>
      </c>
      <c r="S48" s="166">
        <v>0</v>
      </c>
      <c r="T48" s="166">
        <v>0</v>
      </c>
      <c r="U48" s="166">
        <v>0</v>
      </c>
      <c r="V48" s="167">
        <v>0</v>
      </c>
    </row>
    <row r="49" spans="1:23" s="98" customFormat="1" ht="15" customHeight="1">
      <c r="A49" s="99"/>
      <c r="B49" s="161"/>
      <c r="C49" s="185"/>
      <c r="D49" s="127" t="s">
        <v>2158</v>
      </c>
      <c r="E49" s="127"/>
      <c r="F49" s="185"/>
      <c r="H49" s="163"/>
      <c r="I49" s="119" t="s">
        <v>1876</v>
      </c>
      <c r="J49" s="165">
        <v>14</v>
      </c>
      <c r="K49" s="166">
        <v>21</v>
      </c>
      <c r="L49" s="166">
        <v>23</v>
      </c>
      <c r="M49" s="166">
        <v>15</v>
      </c>
      <c r="N49" s="166">
        <v>16</v>
      </c>
      <c r="O49" s="166">
        <v>14</v>
      </c>
      <c r="P49" s="166">
        <v>8</v>
      </c>
      <c r="Q49" s="167">
        <v>8</v>
      </c>
      <c r="R49" s="165">
        <v>8</v>
      </c>
      <c r="S49" s="166">
        <v>8</v>
      </c>
      <c r="T49" s="166">
        <v>8</v>
      </c>
      <c r="U49" s="166">
        <v>8</v>
      </c>
      <c r="V49" s="167">
        <v>8</v>
      </c>
    </row>
    <row r="50" spans="1:23" s="98" customFormat="1" ht="15" customHeight="1">
      <c r="A50" s="99"/>
      <c r="B50" s="161"/>
      <c r="C50" s="185"/>
      <c r="D50" s="127" t="s">
        <v>2159</v>
      </c>
      <c r="E50" s="127"/>
      <c r="F50" s="185"/>
      <c r="H50" s="163"/>
      <c r="I50" s="119" t="s">
        <v>1876</v>
      </c>
      <c r="J50" s="165">
        <v>0</v>
      </c>
      <c r="K50" s="166">
        <v>8</v>
      </c>
      <c r="L50" s="166">
        <v>2</v>
      </c>
      <c r="M50" s="166">
        <v>0</v>
      </c>
      <c r="N50" s="166">
        <v>2</v>
      </c>
      <c r="O50" s="166">
        <v>6</v>
      </c>
      <c r="P50" s="166">
        <v>0</v>
      </c>
      <c r="Q50" s="167">
        <v>5</v>
      </c>
      <c r="R50" s="165">
        <v>5</v>
      </c>
      <c r="S50" s="166">
        <v>5</v>
      </c>
      <c r="T50" s="166">
        <v>5</v>
      </c>
      <c r="U50" s="166">
        <v>5</v>
      </c>
      <c r="V50" s="167">
        <v>5</v>
      </c>
    </row>
    <row r="51" spans="1:23" s="98" customFormat="1" ht="15" customHeight="1">
      <c r="A51" s="99"/>
      <c r="B51" s="161"/>
      <c r="C51" s="185"/>
      <c r="D51" s="127" t="s">
        <v>2156</v>
      </c>
      <c r="E51" s="127"/>
      <c r="F51" s="185"/>
      <c r="H51" s="163"/>
      <c r="I51" s="119" t="s">
        <v>1876</v>
      </c>
      <c r="J51" s="165">
        <v>0</v>
      </c>
      <c r="K51" s="166">
        <v>8</v>
      </c>
      <c r="L51" s="166">
        <v>2</v>
      </c>
      <c r="M51" s="166">
        <v>0</v>
      </c>
      <c r="N51" s="166">
        <v>2</v>
      </c>
      <c r="O51" s="166">
        <v>6</v>
      </c>
      <c r="P51" s="166">
        <v>8</v>
      </c>
      <c r="Q51" s="167">
        <v>13</v>
      </c>
      <c r="R51" s="165">
        <v>13</v>
      </c>
      <c r="S51" s="166">
        <v>13</v>
      </c>
      <c r="T51" s="166">
        <v>13</v>
      </c>
      <c r="U51" s="166">
        <v>13</v>
      </c>
      <c r="V51" s="167">
        <v>13</v>
      </c>
    </row>
    <row r="52" spans="1:23" s="98" customFormat="1" ht="15" customHeight="1">
      <c r="A52" s="99"/>
      <c r="B52" s="161"/>
      <c r="C52" s="116"/>
      <c r="D52" s="117"/>
      <c r="E52" s="117"/>
      <c r="F52" s="117"/>
      <c r="G52" s="185"/>
      <c r="H52" s="117"/>
      <c r="I52" s="117"/>
      <c r="J52" s="159"/>
      <c r="K52" s="117"/>
      <c r="L52" s="117"/>
      <c r="M52" s="117"/>
      <c r="N52" s="117"/>
      <c r="O52" s="117"/>
      <c r="P52" s="117"/>
      <c r="Q52" s="160"/>
      <c r="R52" s="159"/>
      <c r="S52" s="117"/>
      <c r="T52" s="117"/>
      <c r="U52" s="117"/>
      <c r="V52" s="160"/>
    </row>
    <row r="53" spans="1:23" s="98" customFormat="1" ht="15" customHeight="1">
      <c r="A53" s="99"/>
      <c r="B53" s="161"/>
      <c r="C53" s="116"/>
      <c r="D53" s="117"/>
      <c r="E53" s="117"/>
      <c r="F53" s="117"/>
      <c r="G53" s="185"/>
      <c r="H53" s="117"/>
      <c r="I53" s="117"/>
      <c r="J53" s="159"/>
      <c r="K53" s="117"/>
      <c r="L53" s="117"/>
      <c r="M53" s="117"/>
      <c r="N53" s="117"/>
      <c r="O53" s="117"/>
      <c r="P53" s="117"/>
      <c r="Q53" s="160"/>
      <c r="R53" s="159"/>
      <c r="S53" s="117"/>
      <c r="T53" s="117"/>
      <c r="U53" s="117"/>
      <c r="V53" s="160"/>
      <c r="W53" s="117"/>
    </row>
    <row r="54" spans="1:23" s="98" customFormat="1" ht="15" customHeight="1">
      <c r="A54" s="99"/>
      <c r="B54" s="159" t="s">
        <v>2160</v>
      </c>
      <c r="C54" s="127"/>
      <c r="D54" s="127"/>
      <c r="E54" s="127"/>
      <c r="F54" s="127"/>
      <c r="G54" s="117"/>
      <c r="H54" s="118"/>
      <c r="I54" s="119" t="s">
        <v>1876</v>
      </c>
      <c r="J54" s="1109">
        <f>SUM(J48:J50)</f>
        <v>23</v>
      </c>
      <c r="K54" s="1107">
        <f t="shared" ref="K54:V54" si="9">SUM(K48:K50)</f>
        <v>29</v>
      </c>
      <c r="L54" s="1107">
        <f t="shared" si="9"/>
        <v>29</v>
      </c>
      <c r="M54" s="1107">
        <f t="shared" si="9"/>
        <v>17</v>
      </c>
      <c r="N54" s="1107">
        <f t="shared" si="9"/>
        <v>19</v>
      </c>
      <c r="O54" s="1107">
        <f t="shared" si="9"/>
        <v>20</v>
      </c>
      <c r="P54" s="1107">
        <f t="shared" si="9"/>
        <v>8</v>
      </c>
      <c r="Q54" s="1095">
        <f t="shared" si="9"/>
        <v>13</v>
      </c>
      <c r="R54" s="1109">
        <f t="shared" si="9"/>
        <v>13</v>
      </c>
      <c r="S54" s="1107">
        <f t="shared" si="9"/>
        <v>13</v>
      </c>
      <c r="T54" s="1107">
        <f t="shared" si="9"/>
        <v>13</v>
      </c>
      <c r="U54" s="1107">
        <f t="shared" si="9"/>
        <v>13</v>
      </c>
      <c r="V54" s="1095">
        <f t="shared" si="9"/>
        <v>13</v>
      </c>
    </row>
    <row r="55" spans="1:23" s="98" customFormat="1" ht="15" customHeight="1" thickBot="1">
      <c r="A55" s="99"/>
      <c r="B55" s="131" t="s">
        <v>2161</v>
      </c>
      <c r="C55" s="132"/>
      <c r="D55" s="132"/>
      <c r="E55" s="132"/>
      <c r="F55" s="132"/>
      <c r="G55" s="145"/>
      <c r="H55" s="133"/>
      <c r="I55" s="146" t="s">
        <v>1876</v>
      </c>
      <c r="J55" s="873">
        <f>SUM(J51)</f>
        <v>0</v>
      </c>
      <c r="K55" s="873">
        <f t="shared" ref="K55:V55" si="10">SUM(K51)</f>
        <v>8</v>
      </c>
      <c r="L55" s="873">
        <f t="shared" si="10"/>
        <v>2</v>
      </c>
      <c r="M55" s="873">
        <f t="shared" si="10"/>
        <v>0</v>
      </c>
      <c r="N55" s="873">
        <f t="shared" si="10"/>
        <v>2</v>
      </c>
      <c r="O55" s="873">
        <f t="shared" si="10"/>
        <v>6</v>
      </c>
      <c r="P55" s="873">
        <f t="shared" si="10"/>
        <v>8</v>
      </c>
      <c r="Q55" s="873">
        <f t="shared" si="10"/>
        <v>13</v>
      </c>
      <c r="R55" s="873">
        <f t="shared" si="10"/>
        <v>13</v>
      </c>
      <c r="S55" s="873">
        <f t="shared" si="10"/>
        <v>13</v>
      </c>
      <c r="T55" s="873">
        <f t="shared" si="10"/>
        <v>13</v>
      </c>
      <c r="U55" s="873">
        <f t="shared" si="10"/>
        <v>13</v>
      </c>
      <c r="V55" s="873">
        <f t="shared" si="10"/>
        <v>13</v>
      </c>
    </row>
    <row r="56" spans="1:23" s="99" customFormat="1" ht="15" customHeight="1">
      <c r="B56" s="150"/>
      <c r="C56" s="150"/>
      <c r="D56" s="150"/>
      <c r="E56" s="150"/>
      <c r="F56" s="150"/>
      <c r="G56" s="97"/>
      <c r="H56" s="97"/>
      <c r="I56" s="98"/>
      <c r="J56" s="98"/>
      <c r="K56" s="98"/>
      <c r="L56" s="98"/>
      <c r="M56" s="98"/>
      <c r="N56" s="98"/>
      <c r="O56" s="98"/>
      <c r="P56" s="98"/>
      <c r="Q56" s="98"/>
      <c r="R56" s="98"/>
      <c r="S56" s="98"/>
      <c r="T56" s="98"/>
      <c r="U56" s="98"/>
      <c r="V56" s="98"/>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B050"/>
  </sheetPr>
  <dimension ref="A1:BC40"/>
  <sheetViews>
    <sheetView showGridLines="0" zoomScale="80" zoomScaleNormal="80" workbookViewId="0">
      <pane xSplit="7" topLeftCell="L1" activePane="topRight" state="frozen"/>
      <selection activeCell="G14" sqref="G14"/>
      <selection pane="topRight" activeCell="T27" sqref="T27"/>
    </sheetView>
  </sheetViews>
  <sheetFormatPr defaultColWidth="11.125" defaultRowHeight="14.25"/>
  <cols>
    <col min="1" max="1" width="11.125" style="338"/>
    <col min="2" max="6" width="4.375" style="338" customWidth="1"/>
    <col min="7" max="7" width="38.25" style="338" customWidth="1"/>
    <col min="8" max="22" width="14.625" style="338" customWidth="1"/>
    <col min="23" max="23" width="16.875" style="338" customWidth="1"/>
    <col min="24" max="24" width="3.625" style="338" customWidth="1"/>
    <col min="25" max="45" width="15.625" style="338" customWidth="1"/>
    <col min="46" max="46" width="3.625" style="338" customWidth="1"/>
    <col min="47" max="47" width="55.625" style="338" customWidth="1"/>
    <col min="48" max="16384" width="11.125" style="338"/>
  </cols>
  <sheetData>
    <row r="1" spans="1:55" s="2" customFormat="1" ht="25.15" customHeight="1">
      <c r="A1" s="1" t="s">
        <v>0</v>
      </c>
      <c r="E1" s="3"/>
      <c r="H1" s="4" t="s">
        <v>1</v>
      </c>
    </row>
    <row r="2" spans="1:55" s="2" customFormat="1" ht="25.15" customHeight="1">
      <c r="A2" s="5" t="str">
        <f>Fixed_Data!I12</f>
        <v>MASTER</v>
      </c>
      <c r="B2" s="6"/>
      <c r="D2" s="7"/>
      <c r="E2" s="3"/>
    </row>
    <row r="3" spans="1:55" s="9" customFormat="1" ht="25.15" customHeight="1" thickBot="1">
      <c r="A3" s="8" t="str">
        <f>Fixed_Data!A3</f>
        <v>RIIO-GD2</v>
      </c>
      <c r="D3" s="10"/>
      <c r="E3" s="11"/>
    </row>
    <row r="4" spans="1:55" ht="25.15" customHeight="1">
      <c r="A4" s="549"/>
      <c r="B4" s="550" t="s">
        <v>2162</v>
      </c>
      <c r="C4" s="550"/>
      <c r="D4" s="550"/>
      <c r="E4" s="550"/>
      <c r="F4" s="550"/>
      <c r="G4" s="251"/>
      <c r="H4" s="551"/>
    </row>
    <row r="5" spans="1:55" s="553" customFormat="1" ht="25.15" customHeight="1">
      <c r="B5" s="95" t="s">
        <v>1663</v>
      </c>
      <c r="C5" s="95"/>
      <c r="D5" s="95"/>
      <c r="E5" s="95"/>
      <c r="F5" s="95" t="s">
        <v>463</v>
      </c>
      <c r="H5" s="95"/>
      <c r="I5" s="556"/>
      <c r="J5" s="556"/>
      <c r="K5" s="556"/>
      <c r="L5" s="556"/>
      <c r="M5" s="556"/>
      <c r="N5" s="556"/>
      <c r="O5" s="556"/>
      <c r="P5" s="556"/>
      <c r="Q5" s="556"/>
      <c r="R5" s="556"/>
      <c r="S5" s="555"/>
      <c r="T5" s="556"/>
      <c r="U5" s="556"/>
      <c r="V5" s="556"/>
      <c r="W5" s="556"/>
      <c r="X5" s="556"/>
      <c r="Y5" s="556"/>
      <c r="Z5" s="556"/>
      <c r="AA5" s="556"/>
      <c r="AB5" s="556"/>
      <c r="AC5" s="556"/>
      <c r="AD5" s="556"/>
      <c r="AE5" s="556"/>
      <c r="AF5" s="556"/>
      <c r="AG5" s="555"/>
      <c r="AH5" s="555"/>
      <c r="AI5" s="556"/>
      <c r="AJ5" s="556"/>
      <c r="AK5" s="556"/>
      <c r="AL5" s="556"/>
      <c r="AM5" s="556"/>
      <c r="AN5" s="556"/>
      <c r="AO5" s="556"/>
      <c r="AP5" s="556"/>
      <c r="AQ5" s="556"/>
      <c r="AR5" s="556"/>
      <c r="AS5" s="556"/>
      <c r="AT5" s="556"/>
      <c r="AU5" s="556"/>
      <c r="AV5" s="556"/>
      <c r="AW5" s="556"/>
      <c r="AX5" s="556"/>
      <c r="AY5" s="556"/>
      <c r="AZ5" s="556"/>
      <c r="BA5" s="556"/>
      <c r="BB5" s="556"/>
      <c r="BC5" s="555"/>
    </row>
    <row r="6" spans="1:55" ht="15" customHeight="1">
      <c r="A6" s="258"/>
      <c r="G6" s="95"/>
      <c r="H6" s="259"/>
    </row>
    <row r="7" spans="1:55" ht="15" customHeight="1" thickBot="1">
      <c r="A7" s="258"/>
      <c r="B7" s="258"/>
      <c r="C7" s="258"/>
      <c r="D7" s="258"/>
      <c r="E7" s="258"/>
      <c r="F7" s="258"/>
      <c r="G7" s="259"/>
      <c r="H7" s="259"/>
    </row>
    <row r="8" spans="1:55" ht="30" customHeight="1" thickBot="1">
      <c r="A8" s="651"/>
      <c r="B8" s="640" t="s">
        <v>2163</v>
      </c>
      <c r="C8" s="650"/>
      <c r="D8" s="650"/>
      <c r="E8" s="650"/>
      <c r="F8" s="650"/>
      <c r="G8" s="649"/>
      <c r="H8" s="294"/>
      <c r="I8" s="105" t="s">
        <v>2164</v>
      </c>
      <c r="J8" s="106"/>
      <c r="K8" s="106"/>
      <c r="L8" s="106"/>
      <c r="M8" s="106"/>
      <c r="N8" s="106"/>
      <c r="O8" s="106"/>
      <c r="P8" s="106"/>
      <c r="Q8" s="106"/>
      <c r="R8" s="105"/>
      <c r="S8" s="105"/>
      <c r="T8" s="105"/>
      <c r="U8" s="105"/>
      <c r="V8" s="187"/>
      <c r="W8" s="2478"/>
      <c r="X8" s="587"/>
      <c r="Y8" s="603" t="s">
        <v>2165</v>
      </c>
      <c r="Z8" s="106"/>
      <c r="AA8" s="106"/>
      <c r="AB8" s="106"/>
      <c r="AC8" s="106"/>
      <c r="AD8" s="106"/>
      <c r="AE8" s="106"/>
      <c r="AF8" s="106"/>
      <c r="AG8" s="106"/>
      <c r="AH8" s="105"/>
      <c r="AI8" s="105"/>
      <c r="AJ8" s="105"/>
      <c r="AK8" s="105"/>
      <c r="AL8" s="187"/>
      <c r="AM8" s="2475"/>
      <c r="AN8" s="2475"/>
      <c r="AO8" s="2475"/>
      <c r="AP8" s="2475"/>
      <c r="AQ8" s="2475"/>
      <c r="AR8" s="2475"/>
      <c r="AS8" s="2478"/>
      <c r="AU8" s="1376" t="s">
        <v>2166</v>
      </c>
    </row>
    <row r="9" spans="1:55" ht="30" customHeight="1">
      <c r="A9" s="258"/>
      <c r="B9" s="560"/>
      <c r="C9" s="561"/>
      <c r="D9" s="561"/>
      <c r="E9" s="561"/>
      <c r="F9" s="561"/>
      <c r="G9" s="561"/>
      <c r="H9" s="259"/>
      <c r="I9" s="562"/>
      <c r="J9" s="563" t="s">
        <v>1666</v>
      </c>
      <c r="K9" s="564"/>
      <c r="L9" s="564"/>
      <c r="M9" s="564"/>
      <c r="N9" s="564"/>
      <c r="O9" s="564"/>
      <c r="P9" s="564"/>
      <c r="Q9" s="565"/>
      <c r="R9" s="566" t="s">
        <v>2</v>
      </c>
      <c r="S9" s="567"/>
      <c r="T9" s="567"/>
      <c r="U9" s="567"/>
      <c r="V9" s="568"/>
      <c r="W9" s="2481" t="s">
        <v>2167</v>
      </c>
      <c r="X9" s="339"/>
      <c r="Y9" s="562"/>
      <c r="Z9" s="563" t="s">
        <v>1666</v>
      </c>
      <c r="AA9" s="564"/>
      <c r="AB9" s="564"/>
      <c r="AC9" s="564"/>
      <c r="AD9" s="564"/>
      <c r="AE9" s="564"/>
      <c r="AF9" s="564"/>
      <c r="AG9" s="565"/>
      <c r="AH9" s="567" t="s">
        <v>2</v>
      </c>
      <c r="AI9" s="567"/>
      <c r="AJ9" s="567"/>
      <c r="AK9" s="567"/>
      <c r="AL9" s="567"/>
      <c r="AM9" s="2484" t="s">
        <v>2168</v>
      </c>
      <c r="AN9" s="2482"/>
      <c r="AO9" s="2482"/>
      <c r="AP9" s="2482"/>
      <c r="AQ9" s="2483"/>
      <c r="AR9" s="2482"/>
      <c r="AS9" s="2483"/>
      <c r="AU9" s="2462"/>
    </row>
    <row r="10" spans="1:55" ht="15" customHeight="1">
      <c r="A10" s="258"/>
      <c r="B10" s="572"/>
      <c r="C10" s="339"/>
      <c r="D10" s="339"/>
      <c r="E10" s="339"/>
      <c r="F10" s="339"/>
      <c r="G10" s="339"/>
      <c r="H10" s="259"/>
      <c r="I10" s="571" t="s">
        <v>1745</v>
      </c>
      <c r="J10" s="158" t="s">
        <v>453</v>
      </c>
      <c r="K10" s="137" t="s">
        <v>455</v>
      </c>
      <c r="L10" s="137" t="s">
        <v>457</v>
      </c>
      <c r="M10" s="137" t="s">
        <v>459</v>
      </c>
      <c r="N10" s="137" t="s">
        <v>461</v>
      </c>
      <c r="O10" s="137" t="s">
        <v>463</v>
      </c>
      <c r="P10" s="137" t="s">
        <v>465</v>
      </c>
      <c r="Q10" s="138" t="s">
        <v>467</v>
      </c>
      <c r="R10" s="158" t="s">
        <v>469</v>
      </c>
      <c r="S10" s="137" t="s">
        <v>471</v>
      </c>
      <c r="T10" s="137" t="s">
        <v>473</v>
      </c>
      <c r="U10" s="137" t="s">
        <v>475</v>
      </c>
      <c r="V10" s="138" t="s">
        <v>477</v>
      </c>
      <c r="W10" s="2479" t="s">
        <v>2169</v>
      </c>
      <c r="X10" s="339"/>
      <c r="Y10" s="571" t="s">
        <v>1745</v>
      </c>
      <c r="Z10" s="158" t="s">
        <v>453</v>
      </c>
      <c r="AA10" s="137" t="s">
        <v>455</v>
      </c>
      <c r="AB10" s="137" t="s">
        <v>457</v>
      </c>
      <c r="AC10" s="137" t="s">
        <v>459</v>
      </c>
      <c r="AD10" s="137" t="s">
        <v>461</v>
      </c>
      <c r="AE10" s="137" t="s">
        <v>463</v>
      </c>
      <c r="AF10" s="137" t="s">
        <v>465</v>
      </c>
      <c r="AG10" s="138" t="s">
        <v>467</v>
      </c>
      <c r="AH10" s="242" t="s">
        <v>469</v>
      </c>
      <c r="AI10" s="121" t="s">
        <v>471</v>
      </c>
      <c r="AJ10" s="121" t="s">
        <v>473</v>
      </c>
      <c r="AK10" s="121" t="s">
        <v>475</v>
      </c>
      <c r="AL10" s="119" t="s">
        <v>477</v>
      </c>
      <c r="AM10" s="120" t="s">
        <v>2170</v>
      </c>
      <c r="AN10" s="242" t="s">
        <v>2171</v>
      </c>
      <c r="AO10" s="242" t="s">
        <v>2172</v>
      </c>
      <c r="AP10" s="242" t="s">
        <v>2173</v>
      </c>
      <c r="AQ10" s="242" t="s">
        <v>2174</v>
      </c>
      <c r="AR10" s="242" t="s">
        <v>2175</v>
      </c>
      <c r="AS10" s="2485" t="s">
        <v>2169</v>
      </c>
      <c r="AU10" s="2463" t="s">
        <v>2176</v>
      </c>
    </row>
    <row r="11" spans="1:55" ht="15" customHeight="1">
      <c r="A11" s="258"/>
      <c r="B11" s="572"/>
      <c r="C11" s="591"/>
      <c r="D11" s="591"/>
      <c r="E11" s="591"/>
      <c r="F11" s="591"/>
      <c r="G11" s="339"/>
      <c r="H11" s="259"/>
      <c r="I11" s="260"/>
      <c r="J11" s="295"/>
      <c r="K11" s="259"/>
      <c r="L11" s="259"/>
      <c r="M11" s="259"/>
      <c r="N11" s="259"/>
      <c r="O11" s="259"/>
      <c r="P11" s="259"/>
      <c r="Q11" s="296"/>
      <c r="R11" s="295"/>
      <c r="S11" s="259"/>
      <c r="T11" s="259"/>
      <c r="U11" s="259"/>
      <c r="V11" s="296"/>
      <c r="W11" s="2476"/>
      <c r="X11" s="339"/>
      <c r="Y11" s="260"/>
      <c r="Z11" s="295"/>
      <c r="AA11" s="259"/>
      <c r="AB11" s="259"/>
      <c r="AC11" s="259"/>
      <c r="AD11" s="259"/>
      <c r="AE11" s="259"/>
      <c r="AF11" s="259"/>
      <c r="AG11" s="296"/>
      <c r="AH11" s="259"/>
      <c r="AI11" s="259"/>
      <c r="AJ11" s="259"/>
      <c r="AK11" s="259"/>
      <c r="AL11" s="259"/>
      <c r="AM11" s="295"/>
      <c r="AN11" s="259"/>
      <c r="AO11" s="259"/>
      <c r="AP11" s="259"/>
      <c r="AQ11" s="259"/>
      <c r="AR11" s="259"/>
      <c r="AS11" s="296"/>
      <c r="AU11" s="2464">
        <v>39.6</v>
      </c>
    </row>
    <row r="12" spans="1:55" ht="15" customHeight="1">
      <c r="A12" s="258"/>
      <c r="B12" s="349"/>
      <c r="C12" s="1705" t="s">
        <v>2177</v>
      </c>
      <c r="D12" s="624"/>
      <c r="E12" s="624"/>
      <c r="F12" s="339"/>
      <c r="G12" s="339"/>
      <c r="H12" s="339"/>
      <c r="I12" s="576" t="s">
        <v>2178</v>
      </c>
      <c r="J12" s="297">
        <v>69482.122012000007</v>
      </c>
      <c r="K12" s="298">
        <v>70673.204559000005</v>
      </c>
      <c r="L12" s="298">
        <v>68623.725689999992</v>
      </c>
      <c r="M12" s="298">
        <v>70318.072834999999</v>
      </c>
      <c r="N12" s="298">
        <v>74743.47241300001</v>
      </c>
      <c r="O12" s="298">
        <v>68614.512487</v>
      </c>
      <c r="P12" s="298">
        <v>72259.927410458797</v>
      </c>
      <c r="Q12" s="299">
        <v>72276.871499503759</v>
      </c>
      <c r="R12" s="297">
        <v>71937.430696099793</v>
      </c>
      <c r="S12" s="298">
        <v>71519.323378224974</v>
      </c>
      <c r="T12" s="298">
        <v>71123.45858463693</v>
      </c>
      <c r="U12" s="298">
        <v>70603.97074277408</v>
      </c>
      <c r="V12" s="299">
        <v>70270.384323964128</v>
      </c>
      <c r="W12" s="2480"/>
      <c r="X12" s="339"/>
      <c r="Y12" s="551"/>
      <c r="Z12" s="1707"/>
      <c r="AA12" s="1401"/>
      <c r="AB12" s="1401"/>
      <c r="AC12" s="1401"/>
      <c r="AD12" s="1401"/>
      <c r="AE12" s="1401"/>
      <c r="AF12" s="1401"/>
      <c r="AG12" s="1708"/>
      <c r="AH12" s="1401"/>
      <c r="AI12" s="1401"/>
      <c r="AJ12" s="1401"/>
      <c r="AK12" s="1401"/>
      <c r="AL12" s="1401"/>
      <c r="AM12" s="1707"/>
      <c r="AN12" s="1401"/>
      <c r="AO12" s="1401"/>
      <c r="AP12" s="1401"/>
      <c r="AQ12" s="1401"/>
      <c r="AR12" s="1401"/>
      <c r="AS12" s="1708"/>
      <c r="AU12" s="2465"/>
    </row>
    <row r="13" spans="1:55" ht="15" customHeight="1">
      <c r="A13" s="258"/>
      <c r="B13" s="349"/>
      <c r="C13" s="1705"/>
      <c r="D13" s="624"/>
      <c r="E13" s="624"/>
      <c r="F13" s="339"/>
      <c r="G13" s="339"/>
      <c r="H13" s="339"/>
      <c r="I13" s="551"/>
      <c r="J13" s="1707"/>
      <c r="K13" s="1401"/>
      <c r="L13" s="1401"/>
      <c r="M13" s="1401"/>
      <c r="N13" s="1401"/>
      <c r="O13" s="1401"/>
      <c r="P13" s="1401"/>
      <c r="Q13" s="1708"/>
      <c r="R13" s="1707"/>
      <c r="S13" s="1401"/>
      <c r="T13" s="1401"/>
      <c r="U13" s="1401"/>
      <c r="V13" s="1708"/>
      <c r="W13" s="2480"/>
      <c r="X13" s="339"/>
      <c r="Y13" s="551"/>
      <c r="Z13" s="1707"/>
      <c r="AA13" s="1401"/>
      <c r="AB13" s="1401"/>
      <c r="AC13" s="1401"/>
      <c r="AD13" s="1401"/>
      <c r="AE13" s="1401"/>
      <c r="AF13" s="1401"/>
      <c r="AG13" s="1708"/>
      <c r="AH13" s="1401"/>
      <c r="AI13" s="1401"/>
      <c r="AJ13" s="1401"/>
      <c r="AK13" s="1401"/>
      <c r="AL13" s="1401"/>
      <c r="AM13" s="1707"/>
      <c r="AN13" s="1401"/>
      <c r="AO13" s="1401"/>
      <c r="AP13" s="1401"/>
      <c r="AQ13" s="1401"/>
      <c r="AR13" s="1401"/>
      <c r="AS13" s="1708"/>
      <c r="AU13" s="2463" t="s">
        <v>2179</v>
      </c>
    </row>
    <row r="14" spans="1:55" ht="15" customHeight="1">
      <c r="A14" s="258"/>
      <c r="B14" s="349"/>
      <c r="C14" s="1705" t="s">
        <v>2180</v>
      </c>
      <c r="D14" s="624"/>
      <c r="E14" s="624"/>
      <c r="F14" s="339"/>
      <c r="G14" s="339"/>
      <c r="H14" s="339"/>
      <c r="I14" s="576" t="s">
        <v>2178</v>
      </c>
      <c r="J14" s="297">
        <v>32.193564803356701</v>
      </c>
      <c r="K14" s="298">
        <v>31.761518501387254</v>
      </c>
      <c r="L14" s="298">
        <v>31.459035247315079</v>
      </c>
      <c r="M14" s="298">
        <v>30.616522739185527</v>
      </c>
      <c r="N14" s="298">
        <v>31.309523326115855</v>
      </c>
      <c r="O14" s="298">
        <v>31.927785315474651</v>
      </c>
      <c r="P14" s="298">
        <v>30.909510026091379</v>
      </c>
      <c r="Q14" s="299">
        <v>32.065855294663805</v>
      </c>
      <c r="R14" s="297">
        <v>31.75769459942029</v>
      </c>
      <c r="S14" s="298">
        <v>31.883117445933664</v>
      </c>
      <c r="T14" s="298">
        <v>32.10766181032848</v>
      </c>
      <c r="U14" s="298">
        <v>32.316450049666187</v>
      </c>
      <c r="V14" s="299">
        <v>32.53583194855711</v>
      </c>
      <c r="W14" s="2480"/>
      <c r="X14" s="339"/>
      <c r="Y14" s="551"/>
      <c r="Z14" s="1707"/>
      <c r="AA14" s="1401"/>
      <c r="AB14" s="1401"/>
      <c r="AC14" s="1401"/>
      <c r="AD14" s="1401"/>
      <c r="AE14" s="1401"/>
      <c r="AF14" s="1401"/>
      <c r="AG14" s="1708"/>
      <c r="AH14" s="1401"/>
      <c r="AI14" s="1401"/>
      <c r="AJ14" s="1401"/>
      <c r="AK14" s="1401"/>
      <c r="AL14" s="1401"/>
      <c r="AM14" s="1707"/>
      <c r="AN14" s="1401"/>
      <c r="AO14" s="1401"/>
      <c r="AP14" s="1401"/>
      <c r="AQ14" s="1401"/>
      <c r="AR14" s="1401"/>
      <c r="AS14" s="1708"/>
      <c r="AU14" s="2464">
        <v>0.81969999999999998</v>
      </c>
    </row>
    <row r="15" spans="1:55" ht="15" customHeight="1">
      <c r="A15" s="258"/>
      <c r="B15" s="349"/>
      <c r="C15" s="1705" t="s">
        <v>2181</v>
      </c>
      <c r="D15" s="624"/>
      <c r="E15" s="624"/>
      <c r="F15" s="339"/>
      <c r="G15" s="339"/>
      <c r="H15" s="339"/>
      <c r="I15" s="576" t="s">
        <v>627</v>
      </c>
      <c r="J15" s="297">
        <v>0.2285261159491718</v>
      </c>
      <c r="K15" s="298">
        <v>0.22090112493872607</v>
      </c>
      <c r="L15" s="298">
        <v>0.2482149084757504</v>
      </c>
      <c r="M15" s="298">
        <v>0.29754129735139045</v>
      </c>
      <c r="N15" s="298">
        <v>0.22840842963571303</v>
      </c>
      <c r="O15" s="298">
        <v>0.22088967244354027</v>
      </c>
      <c r="P15" s="298">
        <v>0.19320558951965069</v>
      </c>
      <c r="Q15" s="299">
        <v>0.21990128270446846</v>
      </c>
      <c r="R15" s="297">
        <v>0.22006852936444082</v>
      </c>
      <c r="S15" s="298">
        <v>0.22032446091288355</v>
      </c>
      <c r="T15" s="298">
        <v>0.21980769903422009</v>
      </c>
      <c r="U15" s="298">
        <v>0.22013144356283593</v>
      </c>
      <c r="V15" s="299">
        <v>0.21976229451019602</v>
      </c>
      <c r="W15" s="2480"/>
      <c r="X15" s="339"/>
      <c r="Y15" s="551"/>
      <c r="Z15" s="1707"/>
      <c r="AA15" s="1401"/>
      <c r="AB15" s="1401"/>
      <c r="AC15" s="1401"/>
      <c r="AD15" s="1401"/>
      <c r="AE15" s="1401"/>
      <c r="AF15" s="1401"/>
      <c r="AG15" s="1708"/>
      <c r="AH15" s="1401"/>
      <c r="AI15" s="1401"/>
      <c r="AJ15" s="1401"/>
      <c r="AK15" s="1401"/>
      <c r="AL15" s="1401"/>
      <c r="AM15" s="1707"/>
      <c r="AN15" s="1401"/>
      <c r="AO15" s="1401"/>
      <c r="AP15" s="1401"/>
      <c r="AQ15" s="1401"/>
      <c r="AR15" s="1401"/>
      <c r="AS15" s="1708"/>
      <c r="AU15" s="2465"/>
    </row>
    <row r="16" spans="1:55" ht="15" customHeight="1">
      <c r="A16" s="258"/>
      <c r="B16" s="349"/>
      <c r="C16" s="1705" t="s">
        <v>2182</v>
      </c>
      <c r="D16" s="624"/>
      <c r="E16" s="624"/>
      <c r="F16" s="339"/>
      <c r="G16" s="339"/>
      <c r="H16" s="339"/>
      <c r="I16" s="576" t="s">
        <v>2178</v>
      </c>
      <c r="J16" s="297">
        <v>333.03616954920386</v>
      </c>
      <c r="K16" s="298">
        <v>316.43086553552331</v>
      </c>
      <c r="L16" s="298">
        <v>305.5413892798652</v>
      </c>
      <c r="M16" s="298">
        <v>287.54173013375186</v>
      </c>
      <c r="N16" s="298">
        <v>275.21601996060735</v>
      </c>
      <c r="O16" s="298">
        <v>260.85027152548179</v>
      </c>
      <c r="P16" s="298">
        <v>244.39616865652818</v>
      </c>
      <c r="Q16" s="299">
        <v>230.25206630624794</v>
      </c>
      <c r="R16" s="297">
        <v>215.93300651503981</v>
      </c>
      <c r="S16" s="298">
        <v>201.40117008997268</v>
      </c>
      <c r="T16" s="298">
        <v>187.00648448635431</v>
      </c>
      <c r="U16" s="298">
        <v>172.96905283627504</v>
      </c>
      <c r="V16" s="299">
        <v>158.89822574910863</v>
      </c>
      <c r="W16" s="2480"/>
      <c r="X16" s="339"/>
      <c r="Y16" s="576" t="s">
        <v>2183</v>
      </c>
      <c r="Z16" s="302">
        <f t="shared" ref="Z16:AL17" si="0">J16*3600/$AU$11*$AU$14*$AU$17*$AU$20+J16*3600/$AU$11*$AU$23*$AU$26</f>
        <v>408441.61353822629</v>
      </c>
      <c r="AA16" s="303">
        <f t="shared" si="0"/>
        <v>388076.56678123004</v>
      </c>
      <c r="AB16" s="303">
        <f t="shared" si="0"/>
        <v>374721.51511081366</v>
      </c>
      <c r="AC16" s="303">
        <f t="shared" si="0"/>
        <v>352646.40586749022</v>
      </c>
      <c r="AD16" s="303">
        <f t="shared" si="0"/>
        <v>337529.93080732448</v>
      </c>
      <c r="AE16" s="303">
        <f t="shared" si="0"/>
        <v>319911.51573106041</v>
      </c>
      <c r="AF16" s="303">
        <f t="shared" si="0"/>
        <v>299731.90480706905</v>
      </c>
      <c r="AG16" s="304">
        <f t="shared" si="0"/>
        <v>282385.32051918801</v>
      </c>
      <c r="AH16" s="771">
        <f t="shared" si="0"/>
        <v>264824.16524470865</v>
      </c>
      <c r="AI16" s="303">
        <f t="shared" si="0"/>
        <v>247002.05683779865</v>
      </c>
      <c r="AJ16" s="303">
        <f t="shared" si="0"/>
        <v>229348.15269196467</v>
      </c>
      <c r="AK16" s="303">
        <f t="shared" si="0"/>
        <v>212132.39129027748</v>
      </c>
      <c r="AL16" s="1482">
        <f t="shared" si="0"/>
        <v>194875.67311735681</v>
      </c>
      <c r="AM16" s="1707"/>
      <c r="AN16" s="1401"/>
      <c r="AO16" s="1401"/>
      <c r="AP16" s="1401"/>
      <c r="AQ16" s="1401"/>
      <c r="AR16" s="1401"/>
      <c r="AS16" s="1708"/>
      <c r="AU16" s="2463" t="s">
        <v>2184</v>
      </c>
    </row>
    <row r="17" spans="1:47" ht="15" customHeight="1">
      <c r="A17" s="258"/>
      <c r="B17" s="349"/>
      <c r="C17" s="1705" t="s">
        <v>2185</v>
      </c>
      <c r="D17" s="624"/>
      <c r="E17" s="624"/>
      <c r="F17" s="339"/>
      <c r="G17" s="339"/>
      <c r="H17" s="339"/>
      <c r="I17" s="576" t="s">
        <v>2178</v>
      </c>
      <c r="J17" s="297">
        <v>30.668490420000001</v>
      </c>
      <c r="K17" s="298">
        <v>3.6852126125392601</v>
      </c>
      <c r="L17" s="298">
        <v>6.9598673121684556</v>
      </c>
      <c r="M17" s="298">
        <v>14.885178953823754</v>
      </c>
      <c r="N17" s="298">
        <v>5.8758399504732211</v>
      </c>
      <c r="O17" s="298">
        <v>1.1608821921866479</v>
      </c>
      <c r="P17" s="298">
        <v>7.2654837349380728</v>
      </c>
      <c r="Q17" s="299">
        <v>0</v>
      </c>
      <c r="R17" s="297">
        <v>2.7591084794434551</v>
      </c>
      <c r="S17" s="298">
        <v>1.9191616959969906</v>
      </c>
      <c r="T17" s="298">
        <v>0.64801898084496656</v>
      </c>
      <c r="U17" s="298">
        <v>-0.40525451009233393</v>
      </c>
      <c r="V17" s="299">
        <v>-1.329821070919138</v>
      </c>
      <c r="W17" s="2480"/>
      <c r="X17" s="339"/>
      <c r="Y17" s="576" t="s">
        <v>2183</v>
      </c>
      <c r="Z17" s="302">
        <f t="shared" si="0"/>
        <v>37612.39426000473</v>
      </c>
      <c r="AA17" s="303">
        <f t="shared" si="0"/>
        <v>4519.6117518838309</v>
      </c>
      <c r="AB17" s="303">
        <f t="shared" si="0"/>
        <v>8535.7078146854346</v>
      </c>
      <c r="AC17" s="303">
        <f t="shared" si="0"/>
        <v>18255.454108586793</v>
      </c>
      <c r="AD17" s="303">
        <f t="shared" si="0"/>
        <v>7206.2369487140031</v>
      </c>
      <c r="AE17" s="303">
        <f t="shared" si="0"/>
        <v>1423.7270274466539</v>
      </c>
      <c r="AF17" s="303">
        <f t="shared" si="0"/>
        <v>8910.5213522323247</v>
      </c>
      <c r="AG17" s="304">
        <f t="shared" si="0"/>
        <v>0</v>
      </c>
      <c r="AH17" s="771">
        <f t="shared" si="0"/>
        <v>3383.8208047981702</v>
      </c>
      <c r="AI17" s="303">
        <f t="shared" si="0"/>
        <v>2353.6947978197277</v>
      </c>
      <c r="AJ17" s="303">
        <f t="shared" si="0"/>
        <v>794.7422602715551</v>
      </c>
      <c r="AK17" s="303">
        <f t="shared" si="0"/>
        <v>-497.01149944105822</v>
      </c>
      <c r="AL17" s="1482">
        <f t="shared" si="0"/>
        <v>-1630.916739940157</v>
      </c>
      <c r="AM17" s="1707"/>
      <c r="AN17" s="1401"/>
      <c r="AO17" s="1401"/>
      <c r="AP17" s="1401"/>
      <c r="AQ17" s="1401"/>
      <c r="AR17" s="1401"/>
      <c r="AS17" s="1708"/>
      <c r="AU17" s="2464">
        <v>0.65600000000000003</v>
      </c>
    </row>
    <row r="18" spans="1:47" ht="15" customHeight="1">
      <c r="A18" s="258"/>
      <c r="B18" s="349"/>
      <c r="C18" s="1705"/>
      <c r="D18" s="624"/>
      <c r="E18" s="624"/>
      <c r="F18" s="339"/>
      <c r="G18" s="339"/>
      <c r="H18" s="339"/>
      <c r="I18" s="551"/>
      <c r="J18" s="1707"/>
      <c r="K18" s="1401"/>
      <c r="L18" s="1401"/>
      <c r="M18" s="1401"/>
      <c r="N18" s="1401"/>
      <c r="O18" s="1401"/>
      <c r="P18" s="1401"/>
      <c r="Q18" s="1708"/>
      <c r="R18" s="1707"/>
      <c r="S18" s="1401"/>
      <c r="T18" s="1401"/>
      <c r="U18" s="1401"/>
      <c r="V18" s="1708"/>
      <c r="W18" s="2480"/>
      <c r="X18" s="339"/>
      <c r="Y18" s="551"/>
      <c r="Z18" s="1707"/>
      <c r="AA18" s="1401"/>
      <c r="AB18" s="1401"/>
      <c r="AC18" s="1401"/>
      <c r="AD18" s="1401"/>
      <c r="AE18" s="1401"/>
      <c r="AF18" s="1401"/>
      <c r="AG18" s="1708"/>
      <c r="AH18" s="1401"/>
      <c r="AI18" s="1401"/>
      <c r="AJ18" s="1401"/>
      <c r="AK18" s="1401"/>
      <c r="AL18" s="1401"/>
      <c r="AM18" s="1707"/>
      <c r="AN18" s="1401"/>
      <c r="AO18" s="1401"/>
      <c r="AP18" s="1401"/>
      <c r="AQ18" s="1401"/>
      <c r="AR18" s="1401"/>
      <c r="AS18" s="1708"/>
      <c r="AU18" s="2465"/>
    </row>
    <row r="19" spans="1:47" ht="15" customHeight="1">
      <c r="A19" s="258"/>
      <c r="B19" s="349"/>
      <c r="C19" s="1705" t="s">
        <v>2186</v>
      </c>
      <c r="D19" s="624"/>
      <c r="E19" s="624"/>
      <c r="F19" s="339"/>
      <c r="G19" s="339"/>
      <c r="H19" s="339"/>
      <c r="I19" s="260"/>
      <c r="J19" s="295"/>
      <c r="K19" s="259"/>
      <c r="L19" s="259"/>
      <c r="M19" s="259"/>
      <c r="N19" s="259"/>
      <c r="O19" s="259"/>
      <c r="P19" s="259"/>
      <c r="Q19" s="296"/>
      <c r="R19" s="295"/>
      <c r="S19" s="259"/>
      <c r="T19" s="259"/>
      <c r="U19" s="259"/>
      <c r="V19" s="296"/>
      <c r="W19" s="2476"/>
      <c r="X19" s="339"/>
      <c r="Y19" s="260"/>
      <c r="Z19" s="2468"/>
      <c r="AA19" s="2469"/>
      <c r="AB19" s="2469"/>
      <c r="AC19" s="2469"/>
      <c r="AD19" s="2469"/>
      <c r="AE19" s="2469"/>
      <c r="AF19" s="2469"/>
      <c r="AG19" s="2470"/>
      <c r="AH19" s="2469"/>
      <c r="AI19" s="2469"/>
      <c r="AJ19" s="2469"/>
      <c r="AK19" s="2469"/>
      <c r="AL19" s="2469"/>
      <c r="AM19" s="2468"/>
      <c r="AN19" s="2469"/>
      <c r="AO19" s="2469"/>
      <c r="AP19" s="2469"/>
      <c r="AQ19" s="2469"/>
      <c r="AR19" s="2469"/>
      <c r="AS19" s="2470"/>
      <c r="AU19" s="2466" t="s">
        <v>2187</v>
      </c>
    </row>
    <row r="20" spans="1:47" ht="15" customHeight="1">
      <c r="A20" s="258"/>
      <c r="B20" s="349"/>
      <c r="C20" s="624"/>
      <c r="D20" s="624" t="s">
        <v>1843</v>
      </c>
      <c r="E20" s="624"/>
      <c r="F20" s="339"/>
      <c r="G20" s="339"/>
      <c r="H20" s="339"/>
      <c r="I20" s="576" t="s">
        <v>2178</v>
      </c>
      <c r="J20" s="297">
        <v>65.445421155867336</v>
      </c>
      <c r="K20" s="298">
        <v>60.587095557215854</v>
      </c>
      <c r="L20" s="298">
        <v>56.682835211332893</v>
      </c>
      <c r="M20" s="298">
        <v>50.462055839484961</v>
      </c>
      <c r="N20" s="298">
        <v>48.075453599493088</v>
      </c>
      <c r="O20" s="298">
        <v>44.808525450644126</v>
      </c>
      <c r="P20" s="298">
        <v>38.939843382468645</v>
      </c>
      <c r="Q20" s="299">
        <v>35.809543837922263</v>
      </c>
      <c r="R20" s="297">
        <v>31.615653441756901</v>
      </c>
      <c r="S20" s="298">
        <v>27.986077502671677</v>
      </c>
      <c r="T20" s="298">
        <v>24.372498716685268</v>
      </c>
      <c r="U20" s="298">
        <v>20.705789666065325</v>
      </c>
      <c r="V20" s="299">
        <v>16.98594826846886</v>
      </c>
      <c r="W20" s="2477">
        <v>9.3372354915561147</v>
      </c>
      <c r="X20" s="339"/>
      <c r="Y20" s="576" t="s">
        <v>2183</v>
      </c>
      <c r="Z20" s="302">
        <f t="shared" ref="Z20:AL24" si="1">J20*3600/$AU$11*$AU$14*$AU$17*$AU$20+J20*3600/$AU$11*$AU$23*$AU$26</f>
        <v>80263.454422303999</v>
      </c>
      <c r="AA20" s="303">
        <f t="shared" si="1"/>
        <v>74305.11557492509</v>
      </c>
      <c r="AB20" s="303">
        <f t="shared" si="1"/>
        <v>69516.859700182496</v>
      </c>
      <c r="AC20" s="303">
        <f t="shared" si="1"/>
        <v>61887.582773468726</v>
      </c>
      <c r="AD20" s="303">
        <f t="shared" si="1"/>
        <v>58960.610393574687</v>
      </c>
      <c r="AE20" s="303">
        <f t="shared" si="1"/>
        <v>54953.990313132686</v>
      </c>
      <c r="AF20" s="303">
        <f t="shared" si="1"/>
        <v>47756.531921411959</v>
      </c>
      <c r="AG20" s="304">
        <f t="shared" si="1"/>
        <v>43917.475645443097</v>
      </c>
      <c r="AH20" s="771">
        <f t="shared" si="1"/>
        <v>38774.012211033245</v>
      </c>
      <c r="AI20" s="303">
        <f t="shared" si="1"/>
        <v>34322.634287049317</v>
      </c>
      <c r="AJ20" s="303">
        <f t="shared" si="1"/>
        <v>29890.87556248311</v>
      </c>
      <c r="AK20" s="303">
        <f t="shared" si="1"/>
        <v>25393.956915365532</v>
      </c>
      <c r="AL20" s="1482">
        <f t="shared" si="1"/>
        <v>20831.875791873277</v>
      </c>
      <c r="AM20" s="302">
        <f>(($V20+(($W20-$V20)*1/7))*3600/$AU$11*$AU$14*$AU$17*$AU$20)+(($V20+(($W20-$V20)*1/7))*3600/$AU$11*$AU$23*$AU$26)</f>
        <v>19491.801446571728</v>
      </c>
      <c r="AN20" s="303">
        <f>(($V20+(($W20-$V20)*2/7))*3600/$AU$11*$AU$14*$AU$17*$AU$20)+(($V20+(($W20-$V20)*2/7))*3600/$AU$11*$AU$23*$AU$26)</f>
        <v>18151.727101270182</v>
      </c>
      <c r="AO20" s="303">
        <f>(($V20+(($W20-$V20)*3/7))*3600/$AU$11*$AU$14*$AU$17*$AU$20)+(($V20+(($W20-$V20)*3/7))*3600/$AU$11*$AU$23*$AU$26)</f>
        <v>16811.652755968633</v>
      </c>
      <c r="AP20" s="303">
        <f>(($V20+(($W20-$V20)*4/7))*3600/$AU$11*$AU$14*$AU$17*$AU$20)+(($V20+(($W20-$V20)*4/7))*3600/$AU$11*$AU$23*$AU$26)</f>
        <v>15471.578410667085</v>
      </c>
      <c r="AQ20" s="303">
        <f>(($V20+(($W20-$V20)*5/7))*3600/$AU$11*$AU$14*$AU$17*$AU$20)+(($V20+(($W20-$V20)*5/7))*3600/$AU$11*$AU$23*$AU$26)</f>
        <v>14131.504065365543</v>
      </c>
      <c r="AR20" s="303">
        <f>(($V20+(($W20-$V20)*6/7))*3600/$AU$11*$AU$14*$AU$17*$AU$20)+(($V20+(($W20-$V20)*6/7))*3600/$AU$11*$AU$23*$AU$26)</f>
        <v>12791.429720063994</v>
      </c>
      <c r="AS20" s="304">
        <f>(($V20+(($W20-$V20)*7/7))*3600/$AU$11*$AU$14*$AU$17*$AU$20)+(($V20+(($W20-$V20)*7/7))*3600/$AU$11*$AU$23*$AU$26)</f>
        <v>11451.355374762446</v>
      </c>
      <c r="AU20" s="2464">
        <v>25</v>
      </c>
    </row>
    <row r="21" spans="1:47" ht="15" customHeight="1">
      <c r="A21" s="258"/>
      <c r="B21" s="349"/>
      <c r="C21" s="624"/>
      <c r="D21" s="624" t="s">
        <v>2188</v>
      </c>
      <c r="E21" s="624"/>
      <c r="F21" s="339"/>
      <c r="G21" s="339"/>
      <c r="H21" s="339"/>
      <c r="I21" s="576" t="s">
        <v>2178</v>
      </c>
      <c r="J21" s="297">
        <v>240.36286419509696</v>
      </c>
      <c r="K21" s="298">
        <v>225.82117343867702</v>
      </c>
      <c r="L21" s="298">
        <v>215.58422044021503</v>
      </c>
      <c r="M21" s="298">
        <v>196.51984186789639</v>
      </c>
      <c r="N21" s="298">
        <v>195.60275831233213</v>
      </c>
      <c r="O21" s="298">
        <v>189.45258984203025</v>
      </c>
      <c r="P21" s="298">
        <v>173.02099968031413</v>
      </c>
      <c r="Q21" s="299">
        <v>169.41981270562798</v>
      </c>
      <c r="R21" s="297">
        <v>157.13089044780662</v>
      </c>
      <c r="S21" s="298">
        <v>147.66109102235896</v>
      </c>
      <c r="T21" s="298">
        <v>139.08827961454244</v>
      </c>
      <c r="U21" s="298">
        <v>130.70931859389449</v>
      </c>
      <c r="V21" s="299">
        <v>122.26294720882346</v>
      </c>
      <c r="W21" s="2477">
        <v>88.972917552606646</v>
      </c>
      <c r="X21" s="339"/>
      <c r="Y21" s="576" t="s">
        <v>2183</v>
      </c>
      <c r="Z21" s="302">
        <f t="shared" si="1"/>
        <v>294785.38688276144</v>
      </c>
      <c r="AA21" s="303">
        <f t="shared" si="1"/>
        <v>276951.19294471055</v>
      </c>
      <c r="AB21" s="303">
        <f t="shared" si="1"/>
        <v>264396.40766097856</v>
      </c>
      <c r="AC21" s="303">
        <f t="shared" si="1"/>
        <v>241015.50715482209</v>
      </c>
      <c r="AD21" s="303">
        <f t="shared" si="1"/>
        <v>239890.7792080316</v>
      </c>
      <c r="AE21" s="303">
        <f t="shared" si="1"/>
        <v>232348.1007748085</v>
      </c>
      <c r="AF21" s="303">
        <f t="shared" si="1"/>
        <v>212196.09984429509</v>
      </c>
      <c r="AG21" s="304">
        <f t="shared" si="1"/>
        <v>207779.53866241316</v>
      </c>
      <c r="AH21" s="771">
        <f t="shared" si="1"/>
        <v>192708.18097047092</v>
      </c>
      <c r="AI21" s="303">
        <f t="shared" si="1"/>
        <v>181094.24677693052</v>
      </c>
      <c r="AJ21" s="303">
        <f t="shared" si="1"/>
        <v>170580.39499708603</v>
      </c>
      <c r="AK21" s="303">
        <f t="shared" si="1"/>
        <v>160304.28485661754</v>
      </c>
      <c r="AL21" s="1482">
        <f t="shared" si="1"/>
        <v>149945.50141957763</v>
      </c>
      <c r="AM21" s="302">
        <f t="shared" ref="AM21:AM22" si="2">(($V21+(($W21-$V21)*1/7))*3600/$AU$11*$AU$14*$AU$17*$AU$20)+(($V21+(($W21-$V21)*1/7))*3600/$AU$11*$AU$23*$AU$26)</f>
        <v>144113.00175619894</v>
      </c>
      <c r="AN21" s="303">
        <f t="shared" ref="AN21:AN22" si="3">(($V21+(($W21-$V21)*2/7))*3600/$AU$11*$AU$14*$AU$17*$AU$20)+(($V21+(($W21-$V21)*2/7))*3600/$AU$11*$AU$23*$AU$26)</f>
        <v>138280.50209282021</v>
      </c>
      <c r="AO21" s="303">
        <f t="shared" ref="AO21:AO22" si="4">(($V21+(($W21-$V21)*3/7))*3600/$AU$11*$AU$14*$AU$17*$AU$20)+(($V21+(($W21-$V21)*3/7))*3600/$AU$11*$AU$23*$AU$26)</f>
        <v>132448.00242944158</v>
      </c>
      <c r="AP21" s="303">
        <f t="shared" ref="AP21:AP22" si="5">(($V21+(($W21-$V21)*4/7))*3600/$AU$11*$AU$14*$AU$17*$AU$20)+(($V21+(($W21-$V21)*4/7))*3600/$AU$11*$AU$23*$AU$26)</f>
        <v>126615.50276606288</v>
      </c>
      <c r="AQ21" s="303">
        <f t="shared" ref="AQ21:AQ22" si="6">(($V21+(($W21-$V21)*5/7))*3600/$AU$11*$AU$14*$AU$17*$AU$20)+(($V21+(($W21-$V21)*5/7))*3600/$AU$11*$AU$23*$AU$26)</f>
        <v>120783.00310268422</v>
      </c>
      <c r="AR21" s="303">
        <f t="shared" ref="AR21:AR22" si="7">(($V21+(($W21-$V21)*6/7))*3600/$AU$11*$AU$14*$AU$17*$AU$20)+(($V21+(($W21-$V21)*6/7))*3600/$AU$11*$AU$23*$AU$26)</f>
        <v>114950.50343930554</v>
      </c>
      <c r="AS21" s="304">
        <f t="shared" ref="AS21:AS22" si="8">(($V21+(($W21-$V21)*7/7))*3600/$AU$11*$AU$14*$AU$17*$AU$20)+(($V21+(($W21-$V21)*7/7))*3600/$AU$11*$AU$23*$AU$26)</f>
        <v>109118.00377592685</v>
      </c>
      <c r="AU21" s="2465"/>
    </row>
    <row r="22" spans="1:47" ht="15" customHeight="1">
      <c r="A22" s="258"/>
      <c r="B22" s="349"/>
      <c r="C22" s="624"/>
      <c r="D22" s="624" t="s">
        <v>2189</v>
      </c>
      <c r="E22" s="624"/>
      <c r="F22" s="339"/>
      <c r="G22" s="339"/>
      <c r="H22" s="339"/>
      <c r="I22" s="576" t="s">
        <v>2178</v>
      </c>
      <c r="J22" s="297">
        <v>26.617696365998938</v>
      </c>
      <c r="K22" s="298">
        <v>26.337383927091189</v>
      </c>
      <c r="L22" s="298">
        <v>26.314466316148831</v>
      </c>
      <c r="M22" s="298">
        <v>25.674653472546751</v>
      </c>
      <c r="N22" s="298">
        <v>25.661968098308918</v>
      </c>
      <c r="O22" s="298">
        <v>25.428274040620771</v>
      </c>
      <c r="P22" s="298">
        <v>25.169841858807327</v>
      </c>
      <c r="Q22" s="299">
        <v>25.022709762697712</v>
      </c>
      <c r="R22" s="297">
        <v>24.427354146032823</v>
      </c>
      <c r="S22" s="298">
        <v>23.834839868945068</v>
      </c>
      <c r="T22" s="298">
        <v>22.897687174281625</v>
      </c>
      <c r="U22" s="298">
        <v>21.959199086407548</v>
      </c>
      <c r="V22" s="299">
        <v>20.979151342735477</v>
      </c>
      <c r="W22" s="2477">
        <v>10.684659776305736</v>
      </c>
      <c r="X22" s="339"/>
      <c r="Y22" s="576" t="s">
        <v>2183</v>
      </c>
      <c r="Z22" s="302">
        <f t="shared" si="1"/>
        <v>32644.426781376846</v>
      </c>
      <c r="AA22" s="303">
        <f t="shared" si="1"/>
        <v>32300.646509710583</v>
      </c>
      <c r="AB22" s="303">
        <f t="shared" si="1"/>
        <v>32272.539934967044</v>
      </c>
      <c r="AC22" s="303">
        <f t="shared" si="1"/>
        <v>31487.861830612655</v>
      </c>
      <c r="AD22" s="303">
        <f t="shared" si="1"/>
        <v>31472.304257004209</v>
      </c>
      <c r="AE22" s="303">
        <f t="shared" si="1"/>
        <v>31185.697615672598</v>
      </c>
      <c r="AF22" s="303">
        <f t="shared" si="1"/>
        <v>30868.751689129651</v>
      </c>
      <c r="AG22" s="304">
        <f t="shared" si="1"/>
        <v>30688.306211331794</v>
      </c>
      <c r="AH22" s="771">
        <f t="shared" si="1"/>
        <v>29958.151258406397</v>
      </c>
      <c r="AI22" s="303">
        <f t="shared" si="1"/>
        <v>29231.480975999122</v>
      </c>
      <c r="AJ22" s="303">
        <f t="shared" si="1"/>
        <v>28082.139872123975</v>
      </c>
      <c r="AK22" s="303">
        <f t="shared" si="1"/>
        <v>26931.161017735416</v>
      </c>
      <c r="AL22" s="1482">
        <f t="shared" si="1"/>
        <v>25729.212645846113</v>
      </c>
      <c r="AM22" s="302">
        <f t="shared" si="2"/>
        <v>23925.59098446849</v>
      </c>
      <c r="AN22" s="303">
        <f t="shared" si="3"/>
        <v>22121.96932309086</v>
      </c>
      <c r="AO22" s="303">
        <f t="shared" si="4"/>
        <v>20318.34766171324</v>
      </c>
      <c r="AP22" s="303">
        <f t="shared" si="5"/>
        <v>18514.726000335617</v>
      </c>
      <c r="AQ22" s="303">
        <f t="shared" si="6"/>
        <v>16711.10433895799</v>
      </c>
      <c r="AR22" s="303">
        <f t="shared" si="7"/>
        <v>14907.482677580367</v>
      </c>
      <c r="AS22" s="304">
        <f t="shared" si="8"/>
        <v>13103.861016202742</v>
      </c>
      <c r="AU22" s="2463" t="s">
        <v>2190</v>
      </c>
    </row>
    <row r="23" spans="1:47" ht="15" customHeight="1">
      <c r="A23" s="258"/>
      <c r="B23" s="349"/>
      <c r="C23" s="624"/>
      <c r="D23" s="624" t="s">
        <v>2191</v>
      </c>
      <c r="E23" s="624"/>
      <c r="F23" s="339"/>
      <c r="G23" s="339"/>
      <c r="H23" s="339"/>
      <c r="I23" s="576" t="s">
        <v>2178</v>
      </c>
      <c r="J23" s="297">
        <v>61.459870110777914</v>
      </c>
      <c r="K23" s="298">
        <v>60.913139091793212</v>
      </c>
      <c r="L23" s="298">
        <v>60.392104077394293</v>
      </c>
      <c r="M23" s="298">
        <v>58.332984233888602</v>
      </c>
      <c r="N23" s="298">
        <v>58.278863939512583</v>
      </c>
      <c r="O23" s="298">
        <v>58.122300281920488</v>
      </c>
      <c r="P23" s="298">
        <v>58.278863939512583</v>
      </c>
      <c r="Q23" s="299">
        <v>58.122300281920488</v>
      </c>
      <c r="R23" s="297">
        <v>58.122300281920488</v>
      </c>
      <c r="S23" s="298">
        <v>58.122300281920488</v>
      </c>
      <c r="T23" s="298">
        <v>58.122300281920488</v>
      </c>
      <c r="U23" s="298">
        <v>58.122300281920488</v>
      </c>
      <c r="V23" s="299">
        <v>58.122300281920488</v>
      </c>
      <c r="W23" s="2476"/>
      <c r="X23" s="339"/>
      <c r="Y23" s="576" t="s">
        <v>2183</v>
      </c>
      <c r="Z23" s="302">
        <f t="shared" si="1"/>
        <v>75375.502156041868</v>
      </c>
      <c r="AA23" s="303">
        <f>K23*3600/$AU$11*$AU$14*$AU$17*$AU$20+K23*3600/$AU$11*$AU$23*$AU$26</f>
        <v>74704.981293795048</v>
      </c>
      <c r="AB23" s="303">
        <f t="shared" si="1"/>
        <v>74065.974478772303</v>
      </c>
      <c r="AC23" s="303">
        <f t="shared" si="1"/>
        <v>71540.632464154332</v>
      </c>
      <c r="AD23" s="303">
        <f t="shared" si="1"/>
        <v>71474.258351126235</v>
      </c>
      <c r="AE23" s="303">
        <f t="shared" si="1"/>
        <v>71282.245834843328</v>
      </c>
      <c r="AF23" s="303">
        <f t="shared" si="1"/>
        <v>71474.258351126235</v>
      </c>
      <c r="AG23" s="304">
        <f t="shared" si="1"/>
        <v>71282.245834843328</v>
      </c>
      <c r="AH23" s="771">
        <f t="shared" si="1"/>
        <v>71282.245834843328</v>
      </c>
      <c r="AI23" s="303">
        <f t="shared" si="1"/>
        <v>71282.245834843328</v>
      </c>
      <c r="AJ23" s="303">
        <f t="shared" si="1"/>
        <v>71282.245834843328</v>
      </c>
      <c r="AK23" s="303">
        <f t="shared" si="1"/>
        <v>71282.245834843328</v>
      </c>
      <c r="AL23" s="1482">
        <f t="shared" si="1"/>
        <v>71282.245834843328</v>
      </c>
      <c r="AM23" s="302">
        <f>$AL$23</f>
        <v>71282.245834843328</v>
      </c>
      <c r="AN23" s="303">
        <f t="shared" ref="AN23:AS23" si="9">$AL$23</f>
        <v>71282.245834843328</v>
      </c>
      <c r="AO23" s="303">
        <f t="shared" si="9"/>
        <v>71282.245834843328</v>
      </c>
      <c r="AP23" s="303">
        <f t="shared" si="9"/>
        <v>71282.245834843328</v>
      </c>
      <c r="AQ23" s="303">
        <f t="shared" si="9"/>
        <v>71282.245834843328</v>
      </c>
      <c r="AR23" s="303">
        <f t="shared" si="9"/>
        <v>71282.245834843328</v>
      </c>
      <c r="AS23" s="304">
        <f t="shared" si="9"/>
        <v>71282.245834843328</v>
      </c>
      <c r="AU23" s="2464">
        <v>2.4E-2</v>
      </c>
    </row>
    <row r="24" spans="1:47" ht="15" customHeight="1">
      <c r="A24" s="258"/>
      <c r="B24" s="349"/>
      <c r="C24" s="624"/>
      <c r="D24" s="624" t="s">
        <v>2192</v>
      </c>
      <c r="E24" s="624"/>
      <c r="F24" s="339"/>
      <c r="G24" s="339"/>
      <c r="H24" s="339"/>
      <c r="I24" s="576" t="s">
        <v>2178</v>
      </c>
      <c r="J24" s="297">
        <v>1.2738614440868612</v>
      </c>
      <c r="K24" s="298">
        <v>1.2172487300174724</v>
      </c>
      <c r="L24" s="298">
        <v>1.1640910843896284</v>
      </c>
      <c r="M24" s="298">
        <v>0.98730772271600742</v>
      </c>
      <c r="N24" s="298">
        <v>1.0569885919569186</v>
      </c>
      <c r="O24" s="298">
        <v>1.2384108329076391</v>
      </c>
      <c r="P24" s="298">
        <v>1.1085147302283311</v>
      </c>
      <c r="Q24" s="299">
        <v>1.2384108329076391</v>
      </c>
      <c r="R24" s="297">
        <v>1.1874777038892708</v>
      </c>
      <c r="S24" s="298">
        <v>1.1874777038892708</v>
      </c>
      <c r="T24" s="298">
        <v>1.1874777038892708</v>
      </c>
      <c r="U24" s="298">
        <v>1.1874777038892708</v>
      </c>
      <c r="V24" s="299">
        <v>1.1874777038892708</v>
      </c>
      <c r="W24" s="2476"/>
      <c r="X24" s="339"/>
      <c r="Y24" s="576" t="s">
        <v>2183</v>
      </c>
      <c r="Z24" s="302">
        <f t="shared" si="1"/>
        <v>1562.2868361452918</v>
      </c>
      <c r="AA24" s="303">
        <f t="shared" si="1"/>
        <v>1492.8559742885193</v>
      </c>
      <c r="AB24" s="303">
        <f t="shared" si="1"/>
        <v>1427.6624711878835</v>
      </c>
      <c r="AC24" s="303">
        <f t="shared" si="1"/>
        <v>1210.852142188415</v>
      </c>
      <c r="AD24" s="303">
        <f t="shared" si="1"/>
        <v>1296.3100271503645</v>
      </c>
      <c r="AE24" s="303">
        <f t="shared" si="1"/>
        <v>1518.809562038527</v>
      </c>
      <c r="AF24" s="303">
        <f t="shared" si="1"/>
        <v>1359.5026199653023</v>
      </c>
      <c r="AG24" s="304">
        <f t="shared" si="1"/>
        <v>1518.809562038527</v>
      </c>
      <c r="AH24" s="771">
        <f t="shared" si="1"/>
        <v>1456.3442465535086</v>
      </c>
      <c r="AI24" s="303">
        <f t="shared" si="1"/>
        <v>1456.3442465535086</v>
      </c>
      <c r="AJ24" s="303">
        <f t="shared" si="1"/>
        <v>1456.3442465535086</v>
      </c>
      <c r="AK24" s="303">
        <f t="shared" si="1"/>
        <v>1456.3442465535086</v>
      </c>
      <c r="AL24" s="1482">
        <f t="shared" si="1"/>
        <v>1456.3442465535086</v>
      </c>
      <c r="AM24" s="302">
        <f>$AL$24</f>
        <v>1456.3442465535086</v>
      </c>
      <c r="AN24" s="303">
        <f t="shared" ref="AN24:AS24" si="10">$AL$24</f>
        <v>1456.3442465535086</v>
      </c>
      <c r="AO24" s="303">
        <f t="shared" si="10"/>
        <v>1456.3442465535086</v>
      </c>
      <c r="AP24" s="303">
        <f t="shared" si="10"/>
        <v>1456.3442465535086</v>
      </c>
      <c r="AQ24" s="303">
        <f t="shared" si="10"/>
        <v>1456.3442465535086</v>
      </c>
      <c r="AR24" s="303">
        <f t="shared" si="10"/>
        <v>1456.3442465535086</v>
      </c>
      <c r="AS24" s="304">
        <f t="shared" si="10"/>
        <v>1456.3442465535086</v>
      </c>
      <c r="AU24" s="2465"/>
    </row>
    <row r="25" spans="1:47" ht="15" customHeight="1">
      <c r="A25" s="258"/>
      <c r="B25" s="349"/>
      <c r="C25" s="624" t="s">
        <v>1710</v>
      </c>
      <c r="D25" s="624"/>
      <c r="E25" s="624"/>
      <c r="F25" s="339"/>
      <c r="G25" s="339"/>
      <c r="H25" s="339"/>
      <c r="I25" s="576" t="s">
        <v>2178</v>
      </c>
      <c r="J25" s="302">
        <f t="shared" ref="J25:V25" si="11">SUM(J20:J24)</f>
        <v>395.15971327182797</v>
      </c>
      <c r="K25" s="303">
        <f t="shared" si="11"/>
        <v>374.87604074479469</v>
      </c>
      <c r="L25" s="303">
        <f t="shared" si="11"/>
        <v>360.13771712948062</v>
      </c>
      <c r="M25" s="303">
        <f t="shared" si="11"/>
        <v>331.97684313653275</v>
      </c>
      <c r="N25" s="303">
        <f t="shared" si="11"/>
        <v>328.6760325416036</v>
      </c>
      <c r="O25" s="303">
        <f t="shared" si="11"/>
        <v>319.05010044812326</v>
      </c>
      <c r="P25" s="303">
        <f t="shared" si="11"/>
        <v>296.51806359133099</v>
      </c>
      <c r="Q25" s="304">
        <f t="shared" si="11"/>
        <v>289.61277742107603</v>
      </c>
      <c r="R25" s="302">
        <f t="shared" si="11"/>
        <v>272.4836760214061</v>
      </c>
      <c r="S25" s="303">
        <f t="shared" si="11"/>
        <v>258.79178637978544</v>
      </c>
      <c r="T25" s="303">
        <f t="shared" si="11"/>
        <v>245.66824349131912</v>
      </c>
      <c r="U25" s="303">
        <f t="shared" si="11"/>
        <v>232.68408533217712</v>
      </c>
      <c r="V25" s="304">
        <f t="shared" si="11"/>
        <v>219.53782480583754</v>
      </c>
      <c r="W25" s="2476"/>
      <c r="X25" s="339"/>
      <c r="Y25" s="576" t="s">
        <v>2183</v>
      </c>
      <c r="Z25" s="1397">
        <f t="shared" ref="Z25:AM25" si="12">SUM(Z20:Z24)</f>
        <v>484631.05707862938</v>
      </c>
      <c r="AA25" s="1398">
        <f t="shared" si="12"/>
        <v>459754.79229742981</v>
      </c>
      <c r="AB25" s="1398">
        <f t="shared" si="12"/>
        <v>441679.44424608833</v>
      </c>
      <c r="AC25" s="1398">
        <f t="shared" si="12"/>
        <v>407142.43636524619</v>
      </c>
      <c r="AD25" s="1398">
        <f t="shared" si="12"/>
        <v>403094.26223688712</v>
      </c>
      <c r="AE25" s="1398">
        <f t="shared" si="12"/>
        <v>391288.84410049563</v>
      </c>
      <c r="AF25" s="1398">
        <f t="shared" si="12"/>
        <v>363655.14442592819</v>
      </c>
      <c r="AG25" s="1399">
        <f t="shared" si="12"/>
        <v>355186.3759160699</v>
      </c>
      <c r="AH25" s="1400">
        <f t="shared" si="12"/>
        <v>334178.93452130735</v>
      </c>
      <c r="AI25" s="1398">
        <f t="shared" si="12"/>
        <v>317386.95212137577</v>
      </c>
      <c r="AJ25" s="1398">
        <f t="shared" si="12"/>
        <v>301292.00051308994</v>
      </c>
      <c r="AK25" s="1398">
        <f t="shared" si="12"/>
        <v>285367.99287111528</v>
      </c>
      <c r="AL25" s="2488">
        <f t="shared" si="12"/>
        <v>269245.17993869382</v>
      </c>
      <c r="AM25" s="1397">
        <f t="shared" si="12"/>
        <v>260268.98426863601</v>
      </c>
      <c r="AN25" s="1398">
        <f t="shared" ref="AN25:AS25" si="13">SUM(AN20:AN24)</f>
        <v>251292.7885985781</v>
      </c>
      <c r="AO25" s="1398">
        <f t="shared" si="13"/>
        <v>242316.59292852026</v>
      </c>
      <c r="AP25" s="1398">
        <f t="shared" si="13"/>
        <v>233340.39725846241</v>
      </c>
      <c r="AQ25" s="1398">
        <f t="shared" si="13"/>
        <v>224364.20158840457</v>
      </c>
      <c r="AR25" s="1398">
        <f t="shared" si="13"/>
        <v>215388.00591834672</v>
      </c>
      <c r="AS25" s="1399">
        <f t="shared" si="13"/>
        <v>206411.81024828888</v>
      </c>
      <c r="AU25" s="2463" t="s">
        <v>2193</v>
      </c>
    </row>
    <row r="26" spans="1:47" s="613" customFormat="1" ht="15" customHeight="1">
      <c r="B26" s="1706"/>
      <c r="C26" s="623" t="s">
        <v>2194</v>
      </c>
      <c r="D26" s="623"/>
      <c r="E26" s="623"/>
      <c r="F26" s="623"/>
      <c r="G26" s="623"/>
      <c r="H26" s="623"/>
      <c r="I26" s="576" t="s">
        <v>2178</v>
      </c>
      <c r="J26" s="297">
        <v>7.8514659999999994</v>
      </c>
      <c r="K26" s="298">
        <v>7.9860721151669996</v>
      </c>
      <c r="L26" s="298">
        <v>7.7544810029699995</v>
      </c>
      <c r="M26" s="298">
        <v>7.9459422303549996</v>
      </c>
      <c r="N26" s="298">
        <v>8.4460123826690001</v>
      </c>
      <c r="O26" s="298">
        <v>7.7534399110310002</v>
      </c>
      <c r="P26" s="298">
        <v>8.1653717973818516</v>
      </c>
      <c r="Q26" s="299">
        <v>8.1672864794439253</v>
      </c>
      <c r="R26" s="297">
        <v>8.1289296686592767</v>
      </c>
      <c r="S26" s="298">
        <v>8.081683541739423</v>
      </c>
      <c r="T26" s="298">
        <v>8.0369508200639732</v>
      </c>
      <c r="U26" s="298">
        <v>7.9782486939334714</v>
      </c>
      <c r="V26" s="299">
        <v>7.9405534286079469</v>
      </c>
      <c r="W26" s="2476"/>
      <c r="X26" s="623"/>
      <c r="Y26" s="576" t="s">
        <v>2183</v>
      </c>
      <c r="Z26" s="302">
        <f t="shared" ref="Z26:AL27" si="14">J26*$AU$29*1000</f>
        <v>1443.4920241</v>
      </c>
      <c r="AA26" s="303">
        <f t="shared" si="14"/>
        <v>1468.2393583734529</v>
      </c>
      <c r="AB26" s="303">
        <f t="shared" si="14"/>
        <v>1425.6613323960346</v>
      </c>
      <c r="AC26" s="303">
        <f t="shared" si="14"/>
        <v>1460.8614790507668</v>
      </c>
      <c r="AD26" s="303">
        <f t="shared" si="14"/>
        <v>1552.7993765536958</v>
      </c>
      <c r="AE26" s="303">
        <f t="shared" si="14"/>
        <v>1425.4699276430497</v>
      </c>
      <c r="AF26" s="303">
        <f t="shared" si="14"/>
        <v>1501.2036049486535</v>
      </c>
      <c r="AG26" s="304">
        <f t="shared" si="14"/>
        <v>1501.5556192457657</v>
      </c>
      <c r="AH26" s="771">
        <f t="shared" si="14"/>
        <v>1494.5037195830082</v>
      </c>
      <c r="AI26" s="303">
        <f t="shared" si="14"/>
        <v>1485.8175191487931</v>
      </c>
      <c r="AJ26" s="303">
        <f t="shared" si="14"/>
        <v>1477.5934082687616</v>
      </c>
      <c r="AK26" s="303">
        <f t="shared" si="14"/>
        <v>1466.8010223796689</v>
      </c>
      <c r="AL26" s="1482">
        <f t="shared" si="14"/>
        <v>1459.8707478495712</v>
      </c>
      <c r="AM26" s="302">
        <f>$AL$26</f>
        <v>1459.8707478495712</v>
      </c>
      <c r="AN26" s="303">
        <f t="shared" ref="AN26:AS26" si="15">$AL$26</f>
        <v>1459.8707478495712</v>
      </c>
      <c r="AO26" s="303">
        <f t="shared" si="15"/>
        <v>1459.8707478495712</v>
      </c>
      <c r="AP26" s="303">
        <f t="shared" si="15"/>
        <v>1459.8707478495712</v>
      </c>
      <c r="AQ26" s="303">
        <f t="shared" si="15"/>
        <v>1459.8707478495712</v>
      </c>
      <c r="AR26" s="303">
        <f t="shared" si="15"/>
        <v>1459.8707478495712</v>
      </c>
      <c r="AS26" s="304">
        <f t="shared" si="15"/>
        <v>1459.8707478495712</v>
      </c>
      <c r="AU26" s="2464">
        <v>1.98</v>
      </c>
    </row>
    <row r="27" spans="1:47" ht="15" customHeight="1">
      <c r="B27" s="349"/>
      <c r="C27" s="623" t="s">
        <v>2195</v>
      </c>
      <c r="D27" s="339"/>
      <c r="E27" s="339"/>
      <c r="F27" s="339"/>
      <c r="G27" s="339"/>
      <c r="H27" s="339"/>
      <c r="I27" s="576" t="s">
        <v>2178</v>
      </c>
      <c r="J27" s="297">
        <v>13.8964</v>
      </c>
      <c r="K27" s="298">
        <v>14.1346409118</v>
      </c>
      <c r="L27" s="298">
        <v>13.724745138000001</v>
      </c>
      <c r="M27" s="298">
        <v>14.063614567000004</v>
      </c>
      <c r="N27" s="298">
        <v>14.948694482600002</v>
      </c>
      <c r="O27" s="298">
        <v>13.7229024974</v>
      </c>
      <c r="P27" s="298">
        <v>14.451985482091771</v>
      </c>
      <c r="Q27" s="299">
        <v>14.455374299900756</v>
      </c>
      <c r="R27" s="297">
        <v>14.387486139219959</v>
      </c>
      <c r="S27" s="298">
        <v>14.303864675644999</v>
      </c>
      <c r="T27" s="298">
        <v>14.224691716927385</v>
      </c>
      <c r="U27" s="298">
        <v>14.12079414855482</v>
      </c>
      <c r="V27" s="299">
        <v>14.054076864792828</v>
      </c>
      <c r="W27" s="2476"/>
      <c r="X27" s="339"/>
      <c r="Y27" s="576" t="s">
        <v>2183</v>
      </c>
      <c r="Z27" s="302">
        <f t="shared" si="14"/>
        <v>2554.8531400000002</v>
      </c>
      <c r="AA27" s="303">
        <f t="shared" si="14"/>
        <v>2598.6537316344302</v>
      </c>
      <c r="AB27" s="303">
        <f t="shared" si="14"/>
        <v>2523.2943936213005</v>
      </c>
      <c r="AC27" s="303">
        <f t="shared" si="14"/>
        <v>2585.5955381429508</v>
      </c>
      <c r="AD27" s="303">
        <f t="shared" si="14"/>
        <v>2748.3174806260108</v>
      </c>
      <c r="AE27" s="303">
        <f t="shared" si="14"/>
        <v>2522.95562414699</v>
      </c>
      <c r="AF27" s="303">
        <f t="shared" si="14"/>
        <v>2656.9975308825724</v>
      </c>
      <c r="AG27" s="304">
        <f t="shared" si="14"/>
        <v>2657.6205650367538</v>
      </c>
      <c r="AH27" s="771">
        <f t="shared" si="14"/>
        <v>2645.1393266955897</v>
      </c>
      <c r="AI27" s="303">
        <f t="shared" si="14"/>
        <v>2629.7655206173331</v>
      </c>
      <c r="AJ27" s="303">
        <f t="shared" si="14"/>
        <v>2615.2095721571</v>
      </c>
      <c r="AK27" s="303">
        <f t="shared" si="14"/>
        <v>2596.1080042118037</v>
      </c>
      <c r="AL27" s="1482">
        <f t="shared" si="14"/>
        <v>2583.8420315921617</v>
      </c>
      <c r="AM27" s="302">
        <f>$AL$27</f>
        <v>2583.8420315921617</v>
      </c>
      <c r="AN27" s="303">
        <f t="shared" ref="AN27:AS27" si="16">$AL$27</f>
        <v>2583.8420315921617</v>
      </c>
      <c r="AO27" s="303">
        <f t="shared" si="16"/>
        <v>2583.8420315921617</v>
      </c>
      <c r="AP27" s="303">
        <f t="shared" si="16"/>
        <v>2583.8420315921617</v>
      </c>
      <c r="AQ27" s="303">
        <f t="shared" si="16"/>
        <v>2583.8420315921617</v>
      </c>
      <c r="AR27" s="303">
        <f t="shared" si="16"/>
        <v>2583.8420315921617</v>
      </c>
      <c r="AS27" s="304">
        <f t="shared" si="16"/>
        <v>2583.8420315921617</v>
      </c>
      <c r="AU27" s="2465"/>
    </row>
    <row r="28" spans="1:47" ht="15" customHeight="1" thickBot="1">
      <c r="B28" s="349" t="s">
        <v>1701</v>
      </c>
      <c r="C28" s="623"/>
      <c r="D28" s="339"/>
      <c r="E28" s="339"/>
      <c r="F28" s="339"/>
      <c r="G28" s="648"/>
      <c r="H28" s="339"/>
      <c r="I28" s="576" t="s">
        <v>2178</v>
      </c>
      <c r="J28" s="1397">
        <f t="shared" ref="J28:V28" si="17">SUM(J25:J27)</f>
        <v>416.90757927182801</v>
      </c>
      <c r="K28" s="1398">
        <f t="shared" si="17"/>
        <v>396.99675377176169</v>
      </c>
      <c r="L28" s="1398">
        <f t="shared" si="17"/>
        <v>381.61694327045063</v>
      </c>
      <c r="M28" s="1398">
        <f t="shared" si="17"/>
        <v>353.98639993388775</v>
      </c>
      <c r="N28" s="1398">
        <f t="shared" si="17"/>
        <v>352.07073940687258</v>
      </c>
      <c r="O28" s="1398">
        <f t="shared" si="17"/>
        <v>340.5264428565543</v>
      </c>
      <c r="P28" s="1398">
        <f t="shared" si="17"/>
        <v>319.13542087080464</v>
      </c>
      <c r="Q28" s="1399">
        <f t="shared" si="17"/>
        <v>312.23543820042073</v>
      </c>
      <c r="R28" s="1397">
        <f t="shared" si="17"/>
        <v>295.00009182928534</v>
      </c>
      <c r="S28" s="1398">
        <f t="shared" si="17"/>
        <v>281.17733459716987</v>
      </c>
      <c r="T28" s="1398">
        <f t="shared" si="17"/>
        <v>267.92988602831048</v>
      </c>
      <c r="U28" s="1398">
        <f t="shared" si="17"/>
        <v>254.78312817466539</v>
      </c>
      <c r="V28" s="1399">
        <f t="shared" si="17"/>
        <v>241.53245509923832</v>
      </c>
      <c r="W28" s="1377"/>
      <c r="X28" s="339"/>
      <c r="Y28" s="581" t="s">
        <v>2183</v>
      </c>
      <c r="Z28" s="627">
        <f t="shared" ref="Z28:AL28" si="18">Z25+Z26+Z27</f>
        <v>488629.40224272938</v>
      </c>
      <c r="AA28" s="628">
        <f t="shared" si="18"/>
        <v>463821.6853874377</v>
      </c>
      <c r="AB28" s="628">
        <f t="shared" si="18"/>
        <v>445628.39997210569</v>
      </c>
      <c r="AC28" s="628">
        <f t="shared" si="18"/>
        <v>411188.89338243991</v>
      </c>
      <c r="AD28" s="628">
        <f t="shared" si="18"/>
        <v>407395.3790940668</v>
      </c>
      <c r="AE28" s="628">
        <f t="shared" si="18"/>
        <v>395237.26965228567</v>
      </c>
      <c r="AF28" s="628">
        <f t="shared" si="18"/>
        <v>367813.34556175943</v>
      </c>
      <c r="AG28" s="629">
        <f t="shared" si="18"/>
        <v>359345.55210035242</v>
      </c>
      <c r="AH28" s="770">
        <f t="shared" si="18"/>
        <v>338318.57756758598</v>
      </c>
      <c r="AI28" s="628">
        <f t="shared" si="18"/>
        <v>321502.53516114189</v>
      </c>
      <c r="AJ28" s="628">
        <f t="shared" si="18"/>
        <v>305384.80349351582</v>
      </c>
      <c r="AK28" s="628">
        <f t="shared" si="18"/>
        <v>289430.90189770673</v>
      </c>
      <c r="AL28" s="1483">
        <f t="shared" si="18"/>
        <v>273288.89271813555</v>
      </c>
      <c r="AM28" s="627">
        <f t="shared" ref="AM28:AS28" si="19">SUM(AM25:AM27)</f>
        <v>264312.69704807777</v>
      </c>
      <c r="AN28" s="628">
        <f t="shared" si="19"/>
        <v>255336.50137801984</v>
      </c>
      <c r="AO28" s="628">
        <f t="shared" si="19"/>
        <v>246360.30570796199</v>
      </c>
      <c r="AP28" s="628">
        <f t="shared" si="19"/>
        <v>237384.11003790415</v>
      </c>
      <c r="AQ28" s="628">
        <f t="shared" si="19"/>
        <v>228407.9143678463</v>
      </c>
      <c r="AR28" s="628">
        <f t="shared" si="19"/>
        <v>219431.71869778846</v>
      </c>
      <c r="AS28" s="629">
        <f t="shared" si="19"/>
        <v>210455.52302773061</v>
      </c>
      <c r="AU28" s="2463" t="s">
        <v>2196</v>
      </c>
    </row>
    <row r="29" spans="1:47" ht="15" customHeight="1" thickBot="1">
      <c r="B29" s="349"/>
      <c r="C29" s="339"/>
      <c r="D29" s="339"/>
      <c r="E29" s="339"/>
      <c r="F29" s="339"/>
      <c r="G29" s="339"/>
      <c r="H29" s="339"/>
      <c r="I29" s="339"/>
      <c r="J29" s="349"/>
      <c r="K29" s="339"/>
      <c r="L29" s="339"/>
      <c r="M29" s="339"/>
      <c r="N29" s="339"/>
      <c r="O29" s="339"/>
      <c r="P29" s="339"/>
      <c r="Q29" s="353"/>
      <c r="R29" s="349"/>
      <c r="S29" s="339"/>
      <c r="T29" s="339"/>
      <c r="U29" s="339"/>
      <c r="V29" s="353"/>
      <c r="W29" s="1377"/>
      <c r="X29" s="339"/>
      <c r="Y29" s="339"/>
      <c r="Z29" s="339"/>
      <c r="AA29" s="339"/>
      <c r="AB29" s="339"/>
      <c r="AC29" s="339"/>
      <c r="AD29" s="339"/>
      <c r="AE29" s="339"/>
      <c r="AF29" s="339"/>
      <c r="AG29" s="339"/>
      <c r="AH29" s="339"/>
      <c r="AI29" s="339"/>
      <c r="AJ29" s="339"/>
      <c r="AK29" s="339"/>
      <c r="AL29" s="339"/>
      <c r="AM29" s="339"/>
      <c r="AN29" s="339"/>
      <c r="AO29" s="339"/>
      <c r="AP29" s="339"/>
      <c r="AQ29" s="339"/>
      <c r="AR29" s="339"/>
      <c r="AS29" s="353"/>
      <c r="AU29" s="2467">
        <v>0.18385000000000001</v>
      </c>
    </row>
    <row r="30" spans="1:47" ht="15" customHeight="1">
      <c r="B30" s="349"/>
      <c r="C30" s="623" t="s">
        <v>2197</v>
      </c>
      <c r="D30" s="339"/>
      <c r="E30" s="339"/>
      <c r="F30" s="339"/>
      <c r="G30" s="339"/>
      <c r="H30" s="339"/>
      <c r="I30" s="647" t="s">
        <v>2198</v>
      </c>
      <c r="J30" s="297">
        <v>2.4842298949319463</v>
      </c>
      <c r="K30" s="298">
        <v>1.7680179887793652</v>
      </c>
      <c r="L30" s="298">
        <v>1.4284018700301924</v>
      </c>
      <c r="M30" s="298">
        <v>1.3925877751782352</v>
      </c>
      <c r="N30" s="298">
        <v>1.5283352000840782</v>
      </c>
      <c r="O30" s="298">
        <v>1.7923181041621332</v>
      </c>
      <c r="P30" s="298">
        <v>1.7931339085495428</v>
      </c>
      <c r="Q30" s="299">
        <v>1.7923248743633544</v>
      </c>
      <c r="R30" s="297">
        <v>1.7923304546025514</v>
      </c>
      <c r="S30" s="298">
        <v>1.7923378064187718</v>
      </c>
      <c r="T30" s="298">
        <v>1.7931593443482368</v>
      </c>
      <c r="U30" s="298">
        <v>1.7923546521970022</v>
      </c>
      <c r="V30" s="299">
        <v>1.7923642245080944</v>
      </c>
      <c r="W30" s="1377"/>
      <c r="X30" s="339"/>
      <c r="Y30" s="339"/>
      <c r="Z30" s="339"/>
      <c r="AA30" s="339"/>
      <c r="AB30" s="339"/>
      <c r="AC30" s="339"/>
      <c r="AD30" s="339"/>
      <c r="AE30" s="339"/>
      <c r="AF30" s="339"/>
      <c r="AG30" s="339"/>
      <c r="AH30" s="339"/>
      <c r="AI30" s="339"/>
      <c r="AJ30" s="339"/>
      <c r="AK30" s="339"/>
      <c r="AL30" s="339"/>
      <c r="AM30" s="339"/>
      <c r="AN30" s="339"/>
      <c r="AO30" s="339"/>
      <c r="AP30" s="339"/>
      <c r="AQ30" s="339"/>
      <c r="AR30" s="339"/>
      <c r="AS30" s="353"/>
    </row>
    <row r="31" spans="1:47" ht="15" customHeight="1" thickBot="1">
      <c r="B31" s="357"/>
      <c r="C31" s="644" t="s">
        <v>2199</v>
      </c>
      <c r="D31" s="358"/>
      <c r="E31" s="358"/>
      <c r="F31" s="358"/>
      <c r="G31" s="358"/>
      <c r="H31" s="358"/>
      <c r="I31" s="581" t="s">
        <v>498</v>
      </c>
      <c r="J31" s="627">
        <f t="shared" ref="J31:V31" si="20">J28*J30/100</f>
        <v>10.356942718507852</v>
      </c>
      <c r="K31" s="628">
        <f t="shared" si="20"/>
        <v>7.018974021554869</v>
      </c>
      <c r="L31" s="628">
        <f t="shared" si="20"/>
        <v>5.4510235540271754</v>
      </c>
      <c r="M31" s="628">
        <f t="shared" si="20"/>
        <v>4.9295713312728573</v>
      </c>
      <c r="N31" s="628">
        <f t="shared" si="20"/>
        <v>5.3808210395515195</v>
      </c>
      <c r="O31" s="628">
        <f t="shared" si="20"/>
        <v>6.1033170847773439</v>
      </c>
      <c r="P31" s="628">
        <f t="shared" si="20"/>
        <v>5.7225254458266921</v>
      </c>
      <c r="Q31" s="629">
        <f t="shared" si="20"/>
        <v>5.5962734254435595</v>
      </c>
      <c r="R31" s="627">
        <f t="shared" si="20"/>
        <v>5.2873764869617741</v>
      </c>
      <c r="S31" s="628">
        <f t="shared" si="20"/>
        <v>5.0396476710656852</v>
      </c>
      <c r="T31" s="628">
        <f t="shared" si="20"/>
        <v>4.8044097876182299</v>
      </c>
      <c r="U31" s="628">
        <f t="shared" si="20"/>
        <v>4.5666172508516665</v>
      </c>
      <c r="V31" s="629">
        <f t="shared" si="20"/>
        <v>4.329141315774824</v>
      </c>
      <c r="W31" s="2509"/>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602"/>
    </row>
    <row r="32" spans="1:47" ht="15" customHeight="1"/>
    <row r="33" spans="23:23" ht="15" customHeight="1"/>
    <row r="34" spans="23:23" ht="15" customHeight="1"/>
    <row r="35" spans="23:23" ht="15" customHeight="1"/>
    <row r="36" spans="23:23" ht="15" customHeight="1"/>
    <row r="37" spans="23:23" ht="15" customHeight="1"/>
    <row r="38" spans="23:23">
      <c r="W38" s="2486"/>
    </row>
    <row r="40" spans="23:23">
      <c r="W40" s="2487"/>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50"/>
  </sheetPr>
  <dimension ref="A1:BO354"/>
  <sheetViews>
    <sheetView showGridLines="0" topLeftCell="A292" zoomScale="50" zoomScaleNormal="50" workbookViewId="0">
      <pane xSplit="7" topLeftCell="H1" activePane="topRight" state="frozen"/>
      <selection pane="topRight" activeCell="T259" sqref="T259"/>
    </sheetView>
  </sheetViews>
  <sheetFormatPr defaultColWidth="11.875" defaultRowHeight="12.75"/>
  <cols>
    <col min="1" max="1" width="11.875" style="173" customWidth="1"/>
    <col min="2" max="6" width="4.375" style="174" customWidth="1"/>
    <col min="7" max="7" width="38.125" style="173" customWidth="1"/>
    <col min="8" max="8" width="11.625" style="173" customWidth="1"/>
    <col min="9" max="9" width="15.625" style="175" customWidth="1"/>
    <col min="10" max="22" width="15.625" style="173" customWidth="1"/>
    <col min="23" max="23" width="4.375" style="173" customWidth="1"/>
    <col min="24" max="24" width="15.625" style="173" customWidth="1"/>
    <col min="25" max="25" width="15.625" style="175" customWidth="1"/>
    <col min="26" max="37" width="15.625" style="173" customWidth="1"/>
    <col min="38" max="38" width="4.375" style="173" customWidth="1"/>
    <col min="39" max="52" width="15.625" style="173" customWidth="1"/>
    <col min="53" max="16384" width="11.875" style="173"/>
  </cols>
  <sheetData>
    <row r="1" spans="1:52" s="2" customFormat="1" ht="25.15" customHeight="1">
      <c r="A1" s="1" t="s">
        <v>0</v>
      </c>
      <c r="E1" s="3"/>
      <c r="H1" s="4" t="s">
        <v>1</v>
      </c>
      <c r="J1" s="3"/>
    </row>
    <row r="2" spans="1:52" s="2" customFormat="1" ht="25.15" customHeight="1">
      <c r="A2" s="5" t="str">
        <f>Fixed_Data!I12</f>
        <v>MASTER</v>
      </c>
      <c r="B2" s="6"/>
      <c r="D2" s="7"/>
      <c r="E2" s="3"/>
    </row>
    <row r="3" spans="1:52" s="9" customFormat="1" ht="25.15" customHeight="1" thickBot="1">
      <c r="A3" s="8" t="str">
        <f>Fixed_Data!A3</f>
        <v>RIIO-GD2</v>
      </c>
      <c r="D3" s="10"/>
      <c r="E3" s="11"/>
    </row>
    <row r="4" spans="1:52" s="89" customFormat="1" ht="25.15" customHeight="1">
      <c r="B4" s="90" t="s">
        <v>2200</v>
      </c>
      <c r="C4" s="90"/>
      <c r="D4" s="90"/>
      <c r="E4" s="90"/>
      <c r="F4" s="90"/>
      <c r="G4" s="91"/>
      <c r="H4" s="92"/>
      <c r="I4" s="93"/>
      <c r="J4" s="94"/>
      <c r="K4" s="94"/>
      <c r="L4" s="94"/>
      <c r="M4" s="94"/>
      <c r="N4" s="94"/>
      <c r="O4" s="94"/>
      <c r="P4" s="94"/>
      <c r="Q4" s="94"/>
      <c r="R4" s="92"/>
      <c r="S4" s="92"/>
      <c r="T4" s="92"/>
      <c r="U4" s="92"/>
      <c r="V4" s="92"/>
      <c r="W4" s="92"/>
      <c r="X4" s="92"/>
      <c r="Y4" s="92"/>
      <c r="Z4" s="92"/>
      <c r="AA4" s="92"/>
      <c r="AB4" s="94"/>
      <c r="AC4" s="92"/>
      <c r="AD4" s="92"/>
      <c r="AE4" s="92"/>
      <c r="AF4" s="92"/>
      <c r="AG4" s="92"/>
      <c r="AH4" s="92"/>
    </row>
    <row r="5" spans="1:52"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4"/>
      <c r="AC5" s="92"/>
      <c r="AD5" s="92"/>
      <c r="AE5" s="92"/>
      <c r="AF5" s="92"/>
      <c r="AG5" s="92"/>
      <c r="AH5" s="92"/>
    </row>
    <row r="6" spans="1:52" s="89" customFormat="1" ht="15" customHeight="1">
      <c r="G6" s="95"/>
      <c r="H6" s="95"/>
      <c r="I6" s="93"/>
      <c r="J6" s="94"/>
      <c r="K6" s="94"/>
      <c r="L6" s="94"/>
      <c r="M6" s="94"/>
      <c r="N6" s="94"/>
      <c r="O6" s="94"/>
      <c r="P6" s="94"/>
      <c r="Q6" s="94"/>
      <c r="R6" s="92"/>
      <c r="S6" s="92"/>
      <c r="T6" s="92"/>
      <c r="U6" s="92"/>
      <c r="V6" s="92"/>
      <c r="W6" s="92"/>
      <c r="X6" s="92"/>
      <c r="Y6" s="92"/>
      <c r="Z6" s="92"/>
      <c r="AA6" s="92"/>
      <c r="AB6" s="94"/>
      <c r="AC6" s="92"/>
      <c r="AD6" s="92"/>
      <c r="AE6" s="92"/>
      <c r="AF6" s="92"/>
      <c r="AG6" s="92"/>
      <c r="AH6" s="92"/>
    </row>
    <row r="7" spans="1:52"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6"/>
      <c r="Z7" s="98"/>
      <c r="AA7" s="98"/>
      <c r="AB7" s="98"/>
      <c r="AC7" s="98"/>
      <c r="AD7" s="98"/>
      <c r="AE7" s="98"/>
      <c r="AF7" s="98"/>
      <c r="AG7" s="98"/>
      <c r="AH7" s="98"/>
    </row>
    <row r="8" spans="1:52" s="100" customFormat="1" ht="30" customHeight="1" thickBot="1">
      <c r="A8" s="89"/>
      <c r="B8" s="621" t="s">
        <v>2201</v>
      </c>
      <c r="C8" s="102"/>
      <c r="D8" s="102"/>
      <c r="E8" s="102"/>
      <c r="F8" s="102"/>
      <c r="G8" s="103"/>
      <c r="H8" s="103"/>
      <c r="I8" s="105" t="s">
        <v>1864</v>
      </c>
      <c r="J8" s="106"/>
      <c r="K8" s="106"/>
      <c r="L8" s="106"/>
      <c r="M8" s="106"/>
      <c r="N8" s="106"/>
      <c r="O8" s="106"/>
      <c r="P8" s="106"/>
      <c r="Q8" s="106"/>
      <c r="R8" s="105"/>
      <c r="S8" s="105"/>
      <c r="T8" s="105"/>
      <c r="U8" s="105"/>
      <c r="V8" s="187"/>
      <c r="W8" s="103"/>
      <c r="X8" s="105" t="s">
        <v>2202</v>
      </c>
      <c r="Y8" s="106"/>
      <c r="Z8" s="106"/>
      <c r="AA8" s="106"/>
      <c r="AB8" s="106"/>
      <c r="AC8" s="106"/>
      <c r="AD8" s="106"/>
      <c r="AE8" s="106"/>
      <c r="AF8" s="106"/>
      <c r="AG8" s="105"/>
      <c r="AH8" s="105"/>
      <c r="AI8" s="105"/>
      <c r="AJ8" s="105"/>
      <c r="AK8" s="187"/>
      <c r="AL8" s="103"/>
      <c r="AM8" s="105" t="s">
        <v>1869</v>
      </c>
      <c r="AN8" s="106"/>
      <c r="AO8" s="106"/>
      <c r="AP8" s="106"/>
      <c r="AQ8" s="106"/>
      <c r="AR8" s="106"/>
      <c r="AS8" s="106"/>
      <c r="AT8" s="106"/>
      <c r="AU8" s="106"/>
      <c r="AV8" s="105"/>
      <c r="AW8" s="105"/>
      <c r="AX8" s="105"/>
      <c r="AY8" s="105"/>
      <c r="AZ8" s="187"/>
    </row>
    <row r="9" spans="1:52"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c r="W9" s="222"/>
      <c r="X9" s="117"/>
      <c r="Y9" s="695" t="s">
        <v>1666</v>
      </c>
      <c r="Z9" s="152"/>
      <c r="AA9" s="152"/>
      <c r="AB9" s="152"/>
      <c r="AC9" s="152"/>
      <c r="AD9" s="152"/>
      <c r="AE9" s="152"/>
      <c r="AF9" s="153"/>
      <c r="AG9" s="696" t="s">
        <v>2</v>
      </c>
      <c r="AH9" s="155"/>
      <c r="AI9" s="155"/>
      <c r="AJ9" s="155"/>
      <c r="AK9" s="156"/>
      <c r="AL9" s="222"/>
      <c r="AM9" s="117"/>
      <c r="AN9" s="695" t="s">
        <v>1666</v>
      </c>
      <c r="AO9" s="152"/>
      <c r="AP9" s="152"/>
      <c r="AQ9" s="152"/>
      <c r="AR9" s="152"/>
      <c r="AS9" s="152"/>
      <c r="AT9" s="152"/>
      <c r="AU9" s="153"/>
      <c r="AV9" s="696" t="s">
        <v>2</v>
      </c>
      <c r="AW9" s="155"/>
      <c r="AX9" s="155"/>
      <c r="AY9" s="155"/>
      <c r="AZ9" s="156"/>
    </row>
    <row r="10" spans="1:52"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8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185"/>
      <c r="AM10" s="119" t="s">
        <v>1667</v>
      </c>
      <c r="AN10" s="158" t="s">
        <v>453</v>
      </c>
      <c r="AO10" s="137" t="s">
        <v>455</v>
      </c>
      <c r="AP10" s="137" t="s">
        <v>457</v>
      </c>
      <c r="AQ10" s="137" t="s">
        <v>459</v>
      </c>
      <c r="AR10" s="137" t="s">
        <v>461</v>
      </c>
      <c r="AS10" s="137" t="s">
        <v>463</v>
      </c>
      <c r="AT10" s="137" t="s">
        <v>465</v>
      </c>
      <c r="AU10" s="138" t="s">
        <v>467</v>
      </c>
      <c r="AV10" s="120" t="s">
        <v>469</v>
      </c>
      <c r="AW10" s="121" t="s">
        <v>471</v>
      </c>
      <c r="AX10" s="121" t="s">
        <v>473</v>
      </c>
      <c r="AY10" s="121" t="s">
        <v>475</v>
      </c>
      <c r="AZ10" s="122" t="s">
        <v>477</v>
      </c>
    </row>
    <row r="11" spans="1:52" s="98" customFormat="1" ht="15" customHeight="1">
      <c r="B11" s="161"/>
      <c r="C11" s="180" t="s">
        <v>2203</v>
      </c>
      <c r="D11" s="180"/>
      <c r="E11" s="162"/>
      <c r="F11" s="162"/>
      <c r="G11" s="163"/>
      <c r="H11" s="163"/>
      <c r="I11" s="117"/>
      <c r="J11" s="159"/>
      <c r="K11" s="117"/>
      <c r="L11" s="117"/>
      <c r="M11" s="117"/>
      <c r="N11" s="117"/>
      <c r="O11" s="117"/>
      <c r="P11" s="117"/>
      <c r="Q11" s="160"/>
      <c r="R11" s="159"/>
      <c r="S11" s="117"/>
      <c r="T11" s="117"/>
      <c r="U11" s="117"/>
      <c r="V11" s="160"/>
      <c r="W11" s="185"/>
      <c r="X11" s="117"/>
      <c r="Y11" s="159"/>
      <c r="Z11" s="117"/>
      <c r="AA11" s="117"/>
      <c r="AB11" s="117"/>
      <c r="AC11" s="117"/>
      <c r="AD11" s="117"/>
      <c r="AE11" s="117"/>
      <c r="AF11" s="160"/>
      <c r="AG11" s="159"/>
      <c r="AH11" s="117"/>
      <c r="AI11" s="117"/>
      <c r="AJ11" s="117"/>
      <c r="AK11" s="160"/>
      <c r="AL11" s="185"/>
      <c r="AM11" s="117"/>
      <c r="AN11" s="159"/>
      <c r="AO11" s="117"/>
      <c r="AP11" s="117"/>
      <c r="AQ11" s="117"/>
      <c r="AR11" s="117"/>
      <c r="AS11" s="117"/>
      <c r="AT11" s="117"/>
      <c r="AU11" s="160"/>
      <c r="AV11" s="159"/>
      <c r="AW11" s="117"/>
      <c r="AX11" s="117"/>
      <c r="AY11" s="117"/>
      <c r="AZ11" s="160"/>
    </row>
    <row r="12" spans="1:52" s="98" customFormat="1" ht="15" customHeight="1">
      <c r="B12" s="161"/>
      <c r="C12" s="185"/>
      <c r="D12" s="162" t="s">
        <v>36</v>
      </c>
      <c r="G12" s="162"/>
      <c r="H12" s="163"/>
      <c r="I12" s="164" t="s">
        <v>2145</v>
      </c>
      <c r="J12" s="143">
        <v>0</v>
      </c>
      <c r="K12" s="141">
        <v>0</v>
      </c>
      <c r="L12" s="141">
        <v>8.0985513186975951E-3</v>
      </c>
      <c r="M12" s="141">
        <v>6.2894607661885828E-5</v>
      </c>
      <c r="N12" s="141">
        <v>1.3173382681418394E-4</v>
      </c>
      <c r="O12" s="141">
        <v>4.5665312529270103E-4</v>
      </c>
      <c r="P12" s="141">
        <v>4.5665312529270103E-4</v>
      </c>
      <c r="Q12" s="144">
        <v>4.5665312529270103E-4</v>
      </c>
      <c r="R12" s="143">
        <v>4.5665312529270103E-4</v>
      </c>
      <c r="S12" s="141">
        <v>4.5665312529270103E-4</v>
      </c>
      <c r="T12" s="141">
        <v>4.5665312529270103E-4</v>
      </c>
      <c r="U12" s="141">
        <v>4.5665312529270103E-4</v>
      </c>
      <c r="V12" s="144">
        <v>4.5665312529270103E-4</v>
      </c>
      <c r="W12" s="185"/>
      <c r="X12" s="164" t="s">
        <v>2145</v>
      </c>
      <c r="Y12" s="143">
        <v>0</v>
      </c>
      <c r="Z12" s="141">
        <v>0</v>
      </c>
      <c r="AA12" s="141">
        <v>0</v>
      </c>
      <c r="AB12" s="141">
        <v>0</v>
      </c>
      <c r="AC12" s="141">
        <v>0</v>
      </c>
      <c r="AD12" s="141">
        <v>0</v>
      </c>
      <c r="AE12" s="141">
        <v>0</v>
      </c>
      <c r="AF12" s="144">
        <v>0</v>
      </c>
      <c r="AG12" s="143">
        <v>0</v>
      </c>
      <c r="AH12" s="141">
        <v>0</v>
      </c>
      <c r="AI12" s="141">
        <v>0</v>
      </c>
      <c r="AJ12" s="141">
        <v>0</v>
      </c>
      <c r="AK12" s="144">
        <v>0</v>
      </c>
      <c r="AL12" s="185"/>
      <c r="AM12" s="164" t="s">
        <v>1876</v>
      </c>
      <c r="AN12" s="165">
        <v>0</v>
      </c>
      <c r="AO12" s="166">
        <v>0</v>
      </c>
      <c r="AP12" s="166">
        <v>55</v>
      </c>
      <c r="AQ12" s="166">
        <v>3</v>
      </c>
      <c r="AR12" s="166">
        <v>2</v>
      </c>
      <c r="AS12" s="166">
        <v>6</v>
      </c>
      <c r="AT12" s="166">
        <v>6</v>
      </c>
      <c r="AU12" s="167">
        <v>6</v>
      </c>
      <c r="AV12" s="165">
        <v>6</v>
      </c>
      <c r="AW12" s="166">
        <v>6</v>
      </c>
      <c r="AX12" s="166">
        <v>6</v>
      </c>
      <c r="AY12" s="166">
        <v>6</v>
      </c>
      <c r="AZ12" s="167">
        <v>6</v>
      </c>
    </row>
    <row r="13" spans="1:52" s="98" customFormat="1" ht="15" customHeight="1">
      <c r="B13" s="161"/>
      <c r="C13" s="185"/>
      <c r="D13" s="162" t="s">
        <v>62</v>
      </c>
      <c r="G13" s="162"/>
      <c r="H13" s="163"/>
      <c r="I13" s="164" t="s">
        <v>2145</v>
      </c>
      <c r="J13" s="143">
        <v>0</v>
      </c>
      <c r="K13" s="141">
        <v>0</v>
      </c>
      <c r="L13" s="141">
        <v>4.1172446460428572E-3</v>
      </c>
      <c r="M13" s="141">
        <v>3.9951363458465506E-4</v>
      </c>
      <c r="N13" s="141">
        <v>7.8112593082776678E-4</v>
      </c>
      <c r="O13" s="141">
        <v>2.0306599949384703E-3</v>
      </c>
      <c r="P13" s="141">
        <v>2.0306599949384703E-3</v>
      </c>
      <c r="Q13" s="144">
        <v>2.0306599949384703E-3</v>
      </c>
      <c r="R13" s="143">
        <v>2.0306599949384703E-3</v>
      </c>
      <c r="S13" s="141">
        <v>2.0306599949384703E-3</v>
      </c>
      <c r="T13" s="141">
        <v>2.0306599949384703E-3</v>
      </c>
      <c r="U13" s="141">
        <v>2.0306599949384703E-3</v>
      </c>
      <c r="V13" s="144">
        <v>2.0306599949384703E-3</v>
      </c>
      <c r="W13" s="185"/>
      <c r="X13" s="164" t="s">
        <v>2145</v>
      </c>
      <c r="Y13" s="143">
        <v>0</v>
      </c>
      <c r="Z13" s="141">
        <v>0</v>
      </c>
      <c r="AA13" s="141">
        <v>0</v>
      </c>
      <c r="AB13" s="141">
        <v>0</v>
      </c>
      <c r="AC13" s="141">
        <v>0</v>
      </c>
      <c r="AD13" s="141">
        <v>0</v>
      </c>
      <c r="AE13" s="141">
        <v>0</v>
      </c>
      <c r="AF13" s="144">
        <v>0</v>
      </c>
      <c r="AG13" s="143">
        <v>0</v>
      </c>
      <c r="AH13" s="141">
        <v>0</v>
      </c>
      <c r="AI13" s="141">
        <v>0</v>
      </c>
      <c r="AJ13" s="141">
        <v>0</v>
      </c>
      <c r="AK13" s="144">
        <v>0</v>
      </c>
      <c r="AL13" s="185"/>
      <c r="AM13" s="164" t="s">
        <v>1876</v>
      </c>
      <c r="AN13" s="165">
        <v>0</v>
      </c>
      <c r="AO13" s="166">
        <v>0</v>
      </c>
      <c r="AP13" s="166">
        <v>48</v>
      </c>
      <c r="AQ13" s="166">
        <v>10</v>
      </c>
      <c r="AR13" s="166">
        <v>19</v>
      </c>
      <c r="AS13" s="166">
        <v>35</v>
      </c>
      <c r="AT13" s="166">
        <v>35</v>
      </c>
      <c r="AU13" s="167">
        <v>35</v>
      </c>
      <c r="AV13" s="165">
        <v>35</v>
      </c>
      <c r="AW13" s="166">
        <v>35</v>
      </c>
      <c r="AX13" s="166">
        <v>35</v>
      </c>
      <c r="AY13" s="166">
        <v>35</v>
      </c>
      <c r="AZ13" s="167">
        <v>35</v>
      </c>
    </row>
    <row r="14" spans="1:52" s="98" customFormat="1" ht="15" customHeight="1">
      <c r="B14" s="161"/>
      <c r="C14" s="185"/>
      <c r="D14" s="162" t="s">
        <v>71</v>
      </c>
      <c r="G14" s="162"/>
      <c r="H14" s="163"/>
      <c r="I14" s="164" t="s">
        <v>2145</v>
      </c>
      <c r="J14" s="143">
        <v>0</v>
      </c>
      <c r="K14" s="141">
        <v>0</v>
      </c>
      <c r="L14" s="141">
        <v>5.3809091493466486E-2</v>
      </c>
      <c r="M14" s="141">
        <v>3.1587266478979227E-2</v>
      </c>
      <c r="N14" s="141">
        <v>2.3130882893460943E-2</v>
      </c>
      <c r="O14" s="141">
        <v>4.6781219861009082E-2</v>
      </c>
      <c r="P14" s="141">
        <v>4.6781219861009082E-2</v>
      </c>
      <c r="Q14" s="144">
        <v>4.6781219861009082E-2</v>
      </c>
      <c r="R14" s="143">
        <v>4.6781219861009082E-2</v>
      </c>
      <c r="S14" s="141">
        <v>4.6781219861009082E-2</v>
      </c>
      <c r="T14" s="141">
        <v>4.6781219861009082E-2</v>
      </c>
      <c r="U14" s="141">
        <v>4.6781219861009082E-2</v>
      </c>
      <c r="V14" s="144">
        <v>4.6781219861009082E-2</v>
      </c>
      <c r="W14" s="185"/>
      <c r="X14" s="164" t="s">
        <v>2145</v>
      </c>
      <c r="Y14" s="143">
        <v>0</v>
      </c>
      <c r="Z14" s="141">
        <v>0</v>
      </c>
      <c r="AA14" s="141">
        <v>0</v>
      </c>
      <c r="AB14" s="141">
        <v>0</v>
      </c>
      <c r="AC14" s="141">
        <v>0</v>
      </c>
      <c r="AD14" s="141">
        <v>0</v>
      </c>
      <c r="AE14" s="141">
        <v>0</v>
      </c>
      <c r="AF14" s="144">
        <v>0</v>
      </c>
      <c r="AG14" s="143">
        <v>0</v>
      </c>
      <c r="AH14" s="141">
        <v>0</v>
      </c>
      <c r="AI14" s="141">
        <v>0</v>
      </c>
      <c r="AJ14" s="141">
        <v>0</v>
      </c>
      <c r="AK14" s="144">
        <v>0</v>
      </c>
      <c r="AL14" s="185"/>
      <c r="AM14" s="164" t="s">
        <v>1876</v>
      </c>
      <c r="AN14" s="165">
        <v>0</v>
      </c>
      <c r="AO14" s="166">
        <v>0</v>
      </c>
      <c r="AP14" s="166">
        <v>389</v>
      </c>
      <c r="AQ14" s="166">
        <v>514</v>
      </c>
      <c r="AR14" s="166">
        <v>471</v>
      </c>
      <c r="AS14" s="166">
        <v>762</v>
      </c>
      <c r="AT14" s="166">
        <v>762</v>
      </c>
      <c r="AU14" s="167">
        <v>762</v>
      </c>
      <c r="AV14" s="165">
        <v>762</v>
      </c>
      <c r="AW14" s="166">
        <v>762</v>
      </c>
      <c r="AX14" s="166">
        <v>762</v>
      </c>
      <c r="AY14" s="166">
        <v>762</v>
      </c>
      <c r="AZ14" s="167">
        <v>762</v>
      </c>
    </row>
    <row r="15" spans="1:52" s="98" customFormat="1" ht="15" customHeight="1">
      <c r="B15" s="181"/>
      <c r="C15" s="182" t="s">
        <v>1710</v>
      </c>
      <c r="G15" s="184"/>
      <c r="H15" s="184"/>
      <c r="I15" s="164" t="s">
        <v>2145</v>
      </c>
      <c r="J15" s="128">
        <f>SUM(J12:J14)</f>
        <v>0</v>
      </c>
      <c r="K15" s="129">
        <f t="shared" ref="K15:V15" si="0">SUM(K12:K14)</f>
        <v>0</v>
      </c>
      <c r="L15" s="129">
        <f t="shared" si="0"/>
        <v>6.6024887458206935E-2</v>
      </c>
      <c r="M15" s="129">
        <f t="shared" si="0"/>
        <v>3.2049674721225767E-2</v>
      </c>
      <c r="N15" s="129">
        <f t="shared" si="0"/>
        <v>2.4043742651102894E-2</v>
      </c>
      <c r="O15" s="129">
        <f t="shared" si="0"/>
        <v>4.9268532981240253E-2</v>
      </c>
      <c r="P15" s="129">
        <f t="shared" si="0"/>
        <v>4.9268532981240253E-2</v>
      </c>
      <c r="Q15" s="130">
        <f t="shared" si="0"/>
        <v>4.9268532981240253E-2</v>
      </c>
      <c r="R15" s="128">
        <f t="shared" si="0"/>
        <v>4.9268532981240253E-2</v>
      </c>
      <c r="S15" s="129">
        <f t="shared" si="0"/>
        <v>4.9268532981240253E-2</v>
      </c>
      <c r="T15" s="129">
        <f t="shared" si="0"/>
        <v>4.9268532981240253E-2</v>
      </c>
      <c r="U15" s="129">
        <f t="shared" si="0"/>
        <v>4.9268532981240253E-2</v>
      </c>
      <c r="V15" s="130">
        <f t="shared" si="0"/>
        <v>4.9268532981240253E-2</v>
      </c>
      <c r="W15" s="185"/>
      <c r="X15" s="164" t="s">
        <v>2145</v>
      </c>
      <c r="Y15" s="128">
        <f>SUM(Y12:Y14)</f>
        <v>0</v>
      </c>
      <c r="Z15" s="129">
        <f t="shared" ref="Z15" si="1">SUM(Z12:Z14)</f>
        <v>0</v>
      </c>
      <c r="AA15" s="129">
        <f t="shared" ref="AA15" si="2">SUM(AA12:AA14)</f>
        <v>0</v>
      </c>
      <c r="AB15" s="129">
        <f t="shared" ref="AB15" si="3">SUM(AB12:AB14)</f>
        <v>0</v>
      </c>
      <c r="AC15" s="129">
        <f t="shared" ref="AC15" si="4">SUM(AC12:AC14)</f>
        <v>0</v>
      </c>
      <c r="AD15" s="129">
        <f t="shared" ref="AD15" si="5">SUM(AD12:AD14)</f>
        <v>0</v>
      </c>
      <c r="AE15" s="129">
        <f t="shared" ref="AE15" si="6">SUM(AE12:AE14)</f>
        <v>0</v>
      </c>
      <c r="AF15" s="130">
        <f t="shared" ref="AF15" si="7">SUM(AF12:AF14)</f>
        <v>0</v>
      </c>
      <c r="AG15" s="128">
        <f t="shared" ref="AG15" si="8">SUM(AG12:AG14)</f>
        <v>0</v>
      </c>
      <c r="AH15" s="129">
        <f t="shared" ref="AH15" si="9">SUM(AH12:AH14)</f>
        <v>0</v>
      </c>
      <c r="AI15" s="129">
        <f t="shared" ref="AI15" si="10">SUM(AI12:AI14)</f>
        <v>0</v>
      </c>
      <c r="AJ15" s="129">
        <f t="shared" ref="AJ15" si="11">SUM(AJ12:AJ14)</f>
        <v>0</v>
      </c>
      <c r="AK15" s="130">
        <f t="shared" ref="AK15" si="12">SUM(AK12:AK14)</f>
        <v>0</v>
      </c>
      <c r="AL15" s="185"/>
      <c r="AM15" s="164" t="s">
        <v>1876</v>
      </c>
      <c r="AN15" s="777">
        <f>SUM(AN12:AN14)</f>
        <v>0</v>
      </c>
      <c r="AO15" s="778">
        <f t="shared" ref="AO15:AZ15" si="13">SUM(AO12:AO14)</f>
        <v>0</v>
      </c>
      <c r="AP15" s="778">
        <f t="shared" si="13"/>
        <v>492</v>
      </c>
      <c r="AQ15" s="778">
        <f t="shared" si="13"/>
        <v>527</v>
      </c>
      <c r="AR15" s="778">
        <f t="shared" si="13"/>
        <v>492</v>
      </c>
      <c r="AS15" s="778">
        <f t="shared" si="13"/>
        <v>803</v>
      </c>
      <c r="AT15" s="778">
        <f t="shared" si="13"/>
        <v>803</v>
      </c>
      <c r="AU15" s="779">
        <f t="shared" si="13"/>
        <v>803</v>
      </c>
      <c r="AV15" s="777">
        <f t="shared" si="13"/>
        <v>803</v>
      </c>
      <c r="AW15" s="778">
        <f t="shared" si="13"/>
        <v>803</v>
      </c>
      <c r="AX15" s="778">
        <f t="shared" si="13"/>
        <v>803</v>
      </c>
      <c r="AY15" s="778">
        <f t="shared" si="13"/>
        <v>803</v>
      </c>
      <c r="AZ15" s="779">
        <f t="shared" si="13"/>
        <v>803</v>
      </c>
    </row>
    <row r="16" spans="1:52" s="98" customFormat="1" ht="15" customHeight="1">
      <c r="B16" s="181"/>
      <c r="C16" s="185"/>
      <c r="D16" s="185"/>
      <c r="E16" s="182"/>
      <c r="F16" s="182"/>
      <c r="G16" s="184"/>
      <c r="H16" s="184"/>
      <c r="I16" s="117"/>
      <c r="J16" s="713"/>
      <c r="K16" s="714"/>
      <c r="L16" s="714"/>
      <c r="M16" s="714"/>
      <c r="N16" s="714"/>
      <c r="O16" s="714"/>
      <c r="P16" s="714"/>
      <c r="Q16" s="715"/>
      <c r="R16" s="716"/>
      <c r="S16" s="714"/>
      <c r="T16" s="714"/>
      <c r="U16" s="714"/>
      <c r="V16" s="715"/>
      <c r="W16" s="185"/>
      <c r="X16" s="117"/>
      <c r="Y16" s="713"/>
      <c r="Z16" s="714"/>
      <c r="AA16" s="714"/>
      <c r="AB16" s="714"/>
      <c r="AC16" s="714"/>
      <c r="AD16" s="714"/>
      <c r="AE16" s="714"/>
      <c r="AF16" s="715"/>
      <c r="AG16" s="716"/>
      <c r="AH16" s="714"/>
      <c r="AI16" s="714"/>
      <c r="AJ16" s="714"/>
      <c r="AK16" s="715"/>
      <c r="AL16" s="185"/>
      <c r="AM16" s="117"/>
      <c r="AN16" s="159"/>
      <c r="AO16" s="163"/>
      <c r="AP16" s="163"/>
      <c r="AQ16" s="163"/>
      <c r="AR16" s="163"/>
      <c r="AS16" s="163"/>
      <c r="AT16" s="163"/>
      <c r="AU16" s="160"/>
      <c r="AV16" s="163"/>
      <c r="AW16" s="163"/>
      <c r="AX16" s="163"/>
      <c r="AY16" s="163"/>
      <c r="AZ16" s="160"/>
    </row>
    <row r="17" spans="2:52" s="98" customFormat="1" ht="15" customHeight="1">
      <c r="B17" s="161"/>
      <c r="C17" s="180" t="s">
        <v>2204</v>
      </c>
      <c r="D17" s="180"/>
      <c r="E17" s="162"/>
      <c r="F17" s="162"/>
      <c r="G17" s="163"/>
      <c r="H17" s="163"/>
      <c r="I17" s="117"/>
      <c r="J17" s="713"/>
      <c r="K17" s="721"/>
      <c r="L17" s="721"/>
      <c r="M17" s="721"/>
      <c r="N17" s="721"/>
      <c r="O17" s="721"/>
      <c r="P17" s="721"/>
      <c r="Q17" s="715"/>
      <c r="R17" s="713"/>
      <c r="S17" s="721"/>
      <c r="T17" s="721"/>
      <c r="U17" s="721"/>
      <c r="V17" s="715"/>
      <c r="W17" s="185"/>
      <c r="X17" s="117"/>
      <c r="Y17" s="713"/>
      <c r="Z17" s="721"/>
      <c r="AA17" s="721"/>
      <c r="AB17" s="721"/>
      <c r="AC17" s="721"/>
      <c r="AD17" s="721"/>
      <c r="AE17" s="721"/>
      <c r="AF17" s="715"/>
      <c r="AG17" s="713"/>
      <c r="AH17" s="721"/>
      <c r="AI17" s="721"/>
      <c r="AJ17" s="721"/>
      <c r="AK17" s="715"/>
      <c r="AL17" s="185"/>
      <c r="AM17" s="117"/>
      <c r="AN17" s="159"/>
      <c r="AO17" s="117"/>
      <c r="AP17" s="117"/>
      <c r="AQ17" s="117"/>
      <c r="AR17" s="117"/>
      <c r="AS17" s="117"/>
      <c r="AT17" s="117"/>
      <c r="AU17" s="160"/>
      <c r="AV17" s="159"/>
      <c r="AW17" s="117"/>
      <c r="AX17" s="117"/>
      <c r="AY17" s="117"/>
      <c r="AZ17" s="160"/>
    </row>
    <row r="18" spans="2:52" s="98" customFormat="1" ht="15" customHeight="1">
      <c r="B18" s="161"/>
      <c r="C18" s="185"/>
      <c r="D18" s="162" t="s">
        <v>36</v>
      </c>
      <c r="G18" s="162"/>
      <c r="H18" s="163"/>
      <c r="I18" s="164" t="s">
        <v>2145</v>
      </c>
      <c r="J18" s="143">
        <v>0</v>
      </c>
      <c r="K18" s="141">
        <v>0</v>
      </c>
      <c r="L18" s="141">
        <v>1.0698132289242972E-2</v>
      </c>
      <c r="M18" s="141">
        <v>5.0315686129508662E-4</v>
      </c>
      <c r="N18" s="141">
        <v>1.3748558544973281E-3</v>
      </c>
      <c r="O18" s="141">
        <v>6.4778622072064155E-4</v>
      </c>
      <c r="P18" s="141">
        <v>6.4778622072064155E-4</v>
      </c>
      <c r="Q18" s="144">
        <v>6.4778622072064155E-4</v>
      </c>
      <c r="R18" s="143">
        <v>6.4778622072064155E-4</v>
      </c>
      <c r="S18" s="141">
        <v>6.4778622072064155E-4</v>
      </c>
      <c r="T18" s="141">
        <v>6.4778622072064155E-4</v>
      </c>
      <c r="U18" s="141">
        <v>6.4778622072064155E-4</v>
      </c>
      <c r="V18" s="144">
        <v>6.4778622072064155E-4</v>
      </c>
      <c r="W18" s="185"/>
      <c r="X18" s="164" t="s">
        <v>2145</v>
      </c>
      <c r="Y18" s="143">
        <v>0</v>
      </c>
      <c r="Z18" s="141">
        <v>0</v>
      </c>
      <c r="AA18" s="141">
        <v>0</v>
      </c>
      <c r="AB18" s="141">
        <v>0</v>
      </c>
      <c r="AC18" s="141">
        <v>0</v>
      </c>
      <c r="AD18" s="141">
        <v>0</v>
      </c>
      <c r="AE18" s="141">
        <v>0</v>
      </c>
      <c r="AF18" s="144">
        <v>0</v>
      </c>
      <c r="AG18" s="143">
        <v>0</v>
      </c>
      <c r="AH18" s="141">
        <v>0</v>
      </c>
      <c r="AI18" s="141">
        <v>0</v>
      </c>
      <c r="AJ18" s="141">
        <v>0</v>
      </c>
      <c r="AK18" s="144">
        <v>0</v>
      </c>
      <c r="AL18" s="185"/>
      <c r="AM18" s="164" t="s">
        <v>1876</v>
      </c>
      <c r="AN18" s="165">
        <v>0</v>
      </c>
      <c r="AO18" s="166">
        <v>0</v>
      </c>
      <c r="AP18" s="166">
        <v>73</v>
      </c>
      <c r="AQ18" s="166">
        <v>4</v>
      </c>
      <c r="AR18" s="166">
        <v>7</v>
      </c>
      <c r="AS18" s="166">
        <v>6</v>
      </c>
      <c r="AT18" s="166">
        <v>6</v>
      </c>
      <c r="AU18" s="167">
        <v>6</v>
      </c>
      <c r="AV18" s="165">
        <v>6</v>
      </c>
      <c r="AW18" s="166">
        <v>6</v>
      </c>
      <c r="AX18" s="166">
        <v>6</v>
      </c>
      <c r="AY18" s="166">
        <v>6</v>
      </c>
      <c r="AZ18" s="167">
        <v>6</v>
      </c>
    </row>
    <row r="19" spans="2:52" s="98" customFormat="1" ht="15" customHeight="1">
      <c r="B19" s="161"/>
      <c r="C19" s="185"/>
      <c r="D19" s="162" t="s">
        <v>62</v>
      </c>
      <c r="G19" s="162"/>
      <c r="H19" s="163"/>
      <c r="I19" s="164" t="s">
        <v>2145</v>
      </c>
      <c r="J19" s="143">
        <v>0</v>
      </c>
      <c r="K19" s="141">
        <v>0</v>
      </c>
      <c r="L19" s="141">
        <v>2.2541495450180363E-3</v>
      </c>
      <c r="M19" s="141">
        <v>1.7583914958992026E-3</v>
      </c>
      <c r="N19" s="141">
        <v>2.0325972855625139E-3</v>
      </c>
      <c r="O19" s="141">
        <v>3.8691537425818222E-3</v>
      </c>
      <c r="P19" s="141">
        <v>3.8691537425818222E-3</v>
      </c>
      <c r="Q19" s="144">
        <v>3.8691537425818222E-3</v>
      </c>
      <c r="R19" s="143">
        <v>3.8691537425818222E-3</v>
      </c>
      <c r="S19" s="141">
        <v>3.8691537425818222E-3</v>
      </c>
      <c r="T19" s="141">
        <v>3.8691537425818222E-3</v>
      </c>
      <c r="U19" s="141">
        <v>3.8691537425818222E-3</v>
      </c>
      <c r="V19" s="144">
        <v>3.8691537425818222E-3</v>
      </c>
      <c r="W19" s="185"/>
      <c r="X19" s="164" t="s">
        <v>2145</v>
      </c>
      <c r="Y19" s="143">
        <v>0</v>
      </c>
      <c r="Z19" s="141">
        <v>0</v>
      </c>
      <c r="AA19" s="141">
        <v>0</v>
      </c>
      <c r="AB19" s="141">
        <v>0</v>
      </c>
      <c r="AC19" s="141">
        <v>0</v>
      </c>
      <c r="AD19" s="141">
        <v>0</v>
      </c>
      <c r="AE19" s="141">
        <v>0</v>
      </c>
      <c r="AF19" s="144">
        <v>0</v>
      </c>
      <c r="AG19" s="143">
        <v>0</v>
      </c>
      <c r="AH19" s="141">
        <v>0</v>
      </c>
      <c r="AI19" s="141">
        <v>0</v>
      </c>
      <c r="AJ19" s="141">
        <v>0</v>
      </c>
      <c r="AK19" s="144">
        <v>0</v>
      </c>
      <c r="AL19" s="185"/>
      <c r="AM19" s="164" t="s">
        <v>1876</v>
      </c>
      <c r="AN19" s="165">
        <v>0</v>
      </c>
      <c r="AO19" s="166">
        <v>0</v>
      </c>
      <c r="AP19" s="166">
        <v>19</v>
      </c>
      <c r="AQ19" s="166">
        <v>11</v>
      </c>
      <c r="AR19" s="166">
        <v>13</v>
      </c>
      <c r="AS19" s="166">
        <v>37</v>
      </c>
      <c r="AT19" s="166">
        <v>37</v>
      </c>
      <c r="AU19" s="167">
        <v>37</v>
      </c>
      <c r="AV19" s="165">
        <v>37</v>
      </c>
      <c r="AW19" s="166">
        <v>37</v>
      </c>
      <c r="AX19" s="166">
        <v>37</v>
      </c>
      <c r="AY19" s="166">
        <v>37</v>
      </c>
      <c r="AZ19" s="167">
        <v>37</v>
      </c>
    </row>
    <row r="20" spans="2:52" s="98" customFormat="1" ht="15" customHeight="1">
      <c r="B20" s="161"/>
      <c r="C20" s="185"/>
      <c r="D20" s="162" t="s">
        <v>71</v>
      </c>
      <c r="G20" s="162"/>
      <c r="H20" s="163"/>
      <c r="I20" s="164" t="s">
        <v>2145</v>
      </c>
      <c r="J20" s="143">
        <v>0</v>
      </c>
      <c r="K20" s="141">
        <v>0</v>
      </c>
      <c r="L20" s="141">
        <v>5.1650843395427741E-2</v>
      </c>
      <c r="M20" s="141">
        <v>0.12850697104640077</v>
      </c>
      <c r="N20" s="141">
        <v>0.11528305495410961</v>
      </c>
      <c r="O20" s="141">
        <v>0.15900971768251984</v>
      </c>
      <c r="P20" s="141">
        <v>0.15900971768251984</v>
      </c>
      <c r="Q20" s="144">
        <v>0.15900971768251984</v>
      </c>
      <c r="R20" s="143">
        <v>0.15900971768251984</v>
      </c>
      <c r="S20" s="141">
        <v>0.15900971768251984</v>
      </c>
      <c r="T20" s="141">
        <v>0.15900971768251984</v>
      </c>
      <c r="U20" s="141">
        <v>0.15900971768251984</v>
      </c>
      <c r="V20" s="144">
        <v>0.15900971768251984</v>
      </c>
      <c r="W20" s="185"/>
      <c r="X20" s="164" t="s">
        <v>2145</v>
      </c>
      <c r="Y20" s="143">
        <v>0</v>
      </c>
      <c r="Z20" s="141">
        <v>0</v>
      </c>
      <c r="AA20" s="141">
        <v>0</v>
      </c>
      <c r="AB20" s="141">
        <v>0</v>
      </c>
      <c r="AC20" s="141">
        <v>0</v>
      </c>
      <c r="AD20" s="141">
        <v>0</v>
      </c>
      <c r="AE20" s="141">
        <v>0</v>
      </c>
      <c r="AF20" s="144">
        <v>0</v>
      </c>
      <c r="AG20" s="143">
        <v>0</v>
      </c>
      <c r="AH20" s="141">
        <v>0</v>
      </c>
      <c r="AI20" s="141">
        <v>0</v>
      </c>
      <c r="AJ20" s="141">
        <v>0</v>
      </c>
      <c r="AK20" s="144">
        <v>0</v>
      </c>
      <c r="AL20" s="185"/>
      <c r="AM20" s="164" t="s">
        <v>1876</v>
      </c>
      <c r="AN20" s="165">
        <v>0</v>
      </c>
      <c r="AO20" s="166">
        <v>0</v>
      </c>
      <c r="AP20" s="166">
        <v>302</v>
      </c>
      <c r="AQ20" s="166">
        <v>710</v>
      </c>
      <c r="AR20" s="166">
        <v>632</v>
      </c>
      <c r="AS20" s="166">
        <v>957</v>
      </c>
      <c r="AT20" s="166">
        <v>957</v>
      </c>
      <c r="AU20" s="167">
        <v>957</v>
      </c>
      <c r="AV20" s="165">
        <v>957</v>
      </c>
      <c r="AW20" s="166">
        <v>957</v>
      </c>
      <c r="AX20" s="166">
        <v>957</v>
      </c>
      <c r="AY20" s="166">
        <v>957</v>
      </c>
      <c r="AZ20" s="167">
        <v>957</v>
      </c>
    </row>
    <row r="21" spans="2:52" s="98" customFormat="1" ht="15" customHeight="1">
      <c r="B21" s="181"/>
      <c r="C21" s="182" t="s">
        <v>1710</v>
      </c>
      <c r="D21" s="245"/>
      <c r="G21" s="184"/>
      <c r="H21" s="184"/>
      <c r="I21" s="164" t="s">
        <v>2145</v>
      </c>
      <c r="J21" s="128">
        <f>SUM(J18:J20)</f>
        <v>0</v>
      </c>
      <c r="K21" s="129">
        <f t="shared" ref="K21" si="14">SUM(K18:K20)</f>
        <v>0</v>
      </c>
      <c r="L21" s="129">
        <f t="shared" ref="L21" si="15">SUM(L18:L20)</f>
        <v>6.4603125229688751E-2</v>
      </c>
      <c r="M21" s="129">
        <f t="shared" ref="M21" si="16">SUM(M18:M20)</f>
        <v>0.13076851940359505</v>
      </c>
      <c r="N21" s="129">
        <f t="shared" ref="N21" si="17">SUM(N18:N20)</f>
        <v>0.11869050809416945</v>
      </c>
      <c r="O21" s="129">
        <f t="shared" ref="O21" si="18">SUM(O18:O20)</f>
        <v>0.1635266576458223</v>
      </c>
      <c r="P21" s="129">
        <f t="shared" ref="P21" si="19">SUM(P18:P20)</f>
        <v>0.1635266576458223</v>
      </c>
      <c r="Q21" s="130">
        <f t="shared" ref="Q21" si="20">SUM(Q18:Q20)</f>
        <v>0.1635266576458223</v>
      </c>
      <c r="R21" s="128">
        <f t="shared" ref="R21" si="21">SUM(R18:R20)</f>
        <v>0.1635266576458223</v>
      </c>
      <c r="S21" s="129">
        <f t="shared" ref="S21" si="22">SUM(S18:S20)</f>
        <v>0.1635266576458223</v>
      </c>
      <c r="T21" s="129">
        <f t="shared" ref="T21" si="23">SUM(T18:T20)</f>
        <v>0.1635266576458223</v>
      </c>
      <c r="U21" s="129">
        <f t="shared" ref="U21" si="24">SUM(U18:U20)</f>
        <v>0.1635266576458223</v>
      </c>
      <c r="V21" s="130">
        <f t="shared" ref="V21" si="25">SUM(V18:V20)</f>
        <v>0.1635266576458223</v>
      </c>
      <c r="W21" s="185"/>
      <c r="X21" s="164" t="s">
        <v>2145</v>
      </c>
      <c r="Y21" s="128">
        <f>SUM(Y18:Y20)</f>
        <v>0</v>
      </c>
      <c r="Z21" s="129">
        <f t="shared" ref="Z21" si="26">SUM(Z18:Z20)</f>
        <v>0</v>
      </c>
      <c r="AA21" s="129">
        <f t="shared" ref="AA21" si="27">SUM(AA18:AA20)</f>
        <v>0</v>
      </c>
      <c r="AB21" s="129">
        <f t="shared" ref="AB21" si="28">SUM(AB18:AB20)</f>
        <v>0</v>
      </c>
      <c r="AC21" s="129">
        <f t="shared" ref="AC21" si="29">SUM(AC18:AC20)</f>
        <v>0</v>
      </c>
      <c r="AD21" s="129">
        <f t="shared" ref="AD21" si="30">SUM(AD18:AD20)</f>
        <v>0</v>
      </c>
      <c r="AE21" s="129">
        <f t="shared" ref="AE21" si="31">SUM(AE18:AE20)</f>
        <v>0</v>
      </c>
      <c r="AF21" s="130">
        <f t="shared" ref="AF21" si="32">SUM(AF18:AF20)</f>
        <v>0</v>
      </c>
      <c r="AG21" s="128">
        <f t="shared" ref="AG21" si="33">SUM(AG18:AG20)</f>
        <v>0</v>
      </c>
      <c r="AH21" s="129">
        <f t="shared" ref="AH21" si="34">SUM(AH18:AH20)</f>
        <v>0</v>
      </c>
      <c r="AI21" s="129">
        <f t="shared" ref="AI21" si="35">SUM(AI18:AI20)</f>
        <v>0</v>
      </c>
      <c r="AJ21" s="129">
        <f t="shared" ref="AJ21" si="36">SUM(AJ18:AJ20)</f>
        <v>0</v>
      </c>
      <c r="AK21" s="130">
        <f t="shared" ref="AK21" si="37">SUM(AK18:AK20)</f>
        <v>0</v>
      </c>
      <c r="AL21" s="185"/>
      <c r="AM21" s="164" t="s">
        <v>1876</v>
      </c>
      <c r="AN21" s="777">
        <f>SUM(AN18:AN20)</f>
        <v>0</v>
      </c>
      <c r="AO21" s="778">
        <f t="shared" ref="AO21" si="38">SUM(AO18:AO20)</f>
        <v>0</v>
      </c>
      <c r="AP21" s="778">
        <f t="shared" ref="AP21" si="39">SUM(AP18:AP20)</f>
        <v>394</v>
      </c>
      <c r="AQ21" s="778">
        <f t="shared" ref="AQ21" si="40">SUM(AQ18:AQ20)</f>
        <v>725</v>
      </c>
      <c r="AR21" s="778">
        <f t="shared" ref="AR21" si="41">SUM(AR18:AR20)</f>
        <v>652</v>
      </c>
      <c r="AS21" s="778">
        <f t="shared" ref="AS21" si="42">SUM(AS18:AS20)</f>
        <v>1000</v>
      </c>
      <c r="AT21" s="778">
        <f t="shared" ref="AT21" si="43">SUM(AT18:AT20)</f>
        <v>1000</v>
      </c>
      <c r="AU21" s="779">
        <f t="shared" ref="AU21" si="44">SUM(AU18:AU20)</f>
        <v>1000</v>
      </c>
      <c r="AV21" s="777">
        <f t="shared" ref="AV21" si="45">SUM(AV18:AV20)</f>
        <v>1000</v>
      </c>
      <c r="AW21" s="778">
        <f t="shared" ref="AW21" si="46">SUM(AW18:AW20)</f>
        <v>1000</v>
      </c>
      <c r="AX21" s="778">
        <f t="shared" ref="AX21" si="47">SUM(AX18:AX20)</f>
        <v>1000</v>
      </c>
      <c r="AY21" s="778">
        <f t="shared" ref="AY21" si="48">SUM(AY18:AY20)</f>
        <v>1000</v>
      </c>
      <c r="AZ21" s="779">
        <f t="shared" ref="AZ21" si="49">SUM(AZ18:AZ20)</f>
        <v>1000</v>
      </c>
    </row>
    <row r="22" spans="2:52" s="98" customFormat="1" ht="15" customHeight="1">
      <c r="B22" s="181"/>
      <c r="C22" s="185"/>
      <c r="D22" s="185"/>
      <c r="E22" s="182"/>
      <c r="F22" s="182"/>
      <c r="G22" s="184"/>
      <c r="H22" s="184"/>
      <c r="I22" s="117"/>
      <c r="J22" s="713"/>
      <c r="K22" s="714"/>
      <c r="L22" s="714"/>
      <c r="M22" s="714"/>
      <c r="N22" s="714"/>
      <c r="O22" s="714"/>
      <c r="P22" s="714"/>
      <c r="Q22" s="715"/>
      <c r="R22" s="716"/>
      <c r="S22" s="714"/>
      <c r="T22" s="714"/>
      <c r="U22" s="714"/>
      <c r="V22" s="715"/>
      <c r="W22" s="185"/>
      <c r="X22" s="117"/>
      <c r="Y22" s="713"/>
      <c r="Z22" s="714"/>
      <c r="AA22" s="714"/>
      <c r="AB22" s="714"/>
      <c r="AC22" s="714"/>
      <c r="AD22" s="714"/>
      <c r="AE22" s="714"/>
      <c r="AF22" s="715"/>
      <c r="AG22" s="716"/>
      <c r="AH22" s="714"/>
      <c r="AI22" s="714"/>
      <c r="AJ22" s="714"/>
      <c r="AK22" s="715"/>
      <c r="AL22" s="185"/>
      <c r="AM22" s="117"/>
      <c r="AN22" s="159"/>
      <c r="AO22" s="163"/>
      <c r="AP22" s="163"/>
      <c r="AQ22" s="163"/>
      <c r="AR22" s="163"/>
      <c r="AS22" s="163"/>
      <c r="AT22" s="163"/>
      <c r="AU22" s="160"/>
      <c r="AV22" s="163"/>
      <c r="AW22" s="163"/>
      <c r="AX22" s="163"/>
      <c r="AY22" s="163"/>
      <c r="AZ22" s="160"/>
    </row>
    <row r="23" spans="2:52" s="98" customFormat="1" ht="15" customHeight="1">
      <c r="B23" s="161"/>
      <c r="C23" s="180" t="s">
        <v>2205</v>
      </c>
      <c r="D23" s="180"/>
      <c r="E23" s="162"/>
      <c r="F23" s="162"/>
      <c r="G23" s="163"/>
      <c r="H23" s="163"/>
      <c r="I23" s="117"/>
      <c r="J23" s="713"/>
      <c r="K23" s="721"/>
      <c r="L23" s="721"/>
      <c r="M23" s="721"/>
      <c r="N23" s="721"/>
      <c r="O23" s="721"/>
      <c r="P23" s="721"/>
      <c r="Q23" s="715"/>
      <c r="R23" s="713"/>
      <c r="S23" s="721"/>
      <c r="T23" s="721"/>
      <c r="U23" s="721"/>
      <c r="V23" s="715"/>
      <c r="W23" s="185"/>
      <c r="X23" s="117"/>
      <c r="Y23" s="713"/>
      <c r="Z23" s="721"/>
      <c r="AA23" s="721"/>
      <c r="AB23" s="721"/>
      <c r="AC23" s="721"/>
      <c r="AD23" s="721"/>
      <c r="AE23" s="721"/>
      <c r="AF23" s="715"/>
      <c r="AG23" s="713"/>
      <c r="AH23" s="721"/>
      <c r="AI23" s="721"/>
      <c r="AJ23" s="721"/>
      <c r="AK23" s="715"/>
      <c r="AL23" s="185"/>
      <c r="AM23" s="117"/>
      <c r="AN23" s="159"/>
      <c r="AO23" s="117"/>
      <c r="AP23" s="117"/>
      <c r="AQ23" s="117"/>
      <c r="AR23" s="117"/>
      <c r="AS23" s="117"/>
      <c r="AT23" s="117"/>
      <c r="AU23" s="160"/>
      <c r="AV23" s="159"/>
      <c r="AW23" s="117"/>
      <c r="AX23" s="117"/>
      <c r="AY23" s="117"/>
      <c r="AZ23" s="160"/>
    </row>
    <row r="24" spans="2:52" s="98" customFormat="1" ht="15" customHeight="1">
      <c r="B24" s="161"/>
      <c r="C24" s="185"/>
      <c r="D24" s="162" t="s">
        <v>36</v>
      </c>
      <c r="G24" s="162"/>
      <c r="H24" s="163"/>
      <c r="I24" s="164" t="s">
        <v>2145</v>
      </c>
      <c r="J24" s="143">
        <v>0</v>
      </c>
      <c r="K24" s="141">
        <v>0</v>
      </c>
      <c r="L24" s="141">
        <v>2.7049794540216436E-2</v>
      </c>
      <c r="M24" s="141">
        <v>3.7128192830036912E-2</v>
      </c>
      <c r="N24" s="141">
        <v>3.6808184570563826E-2</v>
      </c>
      <c r="O24" s="141">
        <v>5.438304798451854E-2</v>
      </c>
      <c r="P24" s="141">
        <v>5.438304798451854E-2</v>
      </c>
      <c r="Q24" s="144">
        <v>5.438304798451854E-2</v>
      </c>
      <c r="R24" s="143">
        <v>5.438304798451854E-2</v>
      </c>
      <c r="S24" s="141">
        <v>5.438304798451854E-2</v>
      </c>
      <c r="T24" s="141">
        <v>5.438304798451854E-2</v>
      </c>
      <c r="U24" s="141">
        <v>5.438304798451854E-2</v>
      </c>
      <c r="V24" s="144">
        <v>5.438304798451854E-2</v>
      </c>
      <c r="W24" s="185"/>
      <c r="X24" s="164" t="s">
        <v>2145</v>
      </c>
      <c r="Y24" s="143">
        <v>0</v>
      </c>
      <c r="Z24" s="141">
        <v>0</v>
      </c>
      <c r="AA24" s="141">
        <v>0</v>
      </c>
      <c r="AB24" s="141">
        <v>0</v>
      </c>
      <c r="AC24" s="141">
        <v>0</v>
      </c>
      <c r="AD24" s="141">
        <v>0</v>
      </c>
      <c r="AE24" s="141">
        <v>0</v>
      </c>
      <c r="AF24" s="144">
        <v>0</v>
      </c>
      <c r="AG24" s="143">
        <v>0</v>
      </c>
      <c r="AH24" s="141">
        <v>0</v>
      </c>
      <c r="AI24" s="141">
        <v>0</v>
      </c>
      <c r="AJ24" s="141">
        <v>0</v>
      </c>
      <c r="AK24" s="144">
        <v>0</v>
      </c>
      <c r="AL24" s="185"/>
      <c r="AM24" s="164" t="s">
        <v>1876</v>
      </c>
      <c r="AN24" s="165">
        <v>0</v>
      </c>
      <c r="AO24" s="166">
        <v>0</v>
      </c>
      <c r="AP24" s="166">
        <v>280</v>
      </c>
      <c r="AQ24" s="166">
        <v>405</v>
      </c>
      <c r="AR24" s="166">
        <v>379</v>
      </c>
      <c r="AS24" s="166">
        <v>615</v>
      </c>
      <c r="AT24" s="166">
        <v>615</v>
      </c>
      <c r="AU24" s="167">
        <v>615</v>
      </c>
      <c r="AV24" s="165">
        <v>615</v>
      </c>
      <c r="AW24" s="166">
        <v>615</v>
      </c>
      <c r="AX24" s="166">
        <v>615</v>
      </c>
      <c r="AY24" s="166">
        <v>615</v>
      </c>
      <c r="AZ24" s="167">
        <v>615</v>
      </c>
    </row>
    <row r="25" spans="2:52" s="98" customFormat="1" ht="15" customHeight="1">
      <c r="B25" s="161"/>
      <c r="C25" s="185"/>
      <c r="D25" s="162" t="s">
        <v>62</v>
      </c>
      <c r="G25" s="162"/>
      <c r="H25" s="163"/>
      <c r="I25" s="164" t="s">
        <v>2145</v>
      </c>
      <c r="J25" s="143">
        <v>0</v>
      </c>
      <c r="K25" s="141">
        <v>0</v>
      </c>
      <c r="L25" s="141">
        <v>3.0455692530995442E-2</v>
      </c>
      <c r="M25" s="141">
        <v>3.7490501203751157E-2</v>
      </c>
      <c r="N25" s="141">
        <v>3.3260805986149174E-2</v>
      </c>
      <c r="O25" s="141">
        <v>4.9095583358674685E-2</v>
      </c>
      <c r="P25" s="141">
        <v>4.9095583358674685E-2</v>
      </c>
      <c r="Q25" s="144">
        <v>4.9095583358674685E-2</v>
      </c>
      <c r="R25" s="143">
        <v>4.9095583358674685E-2</v>
      </c>
      <c r="S25" s="141">
        <v>4.9095583358674685E-2</v>
      </c>
      <c r="T25" s="141">
        <v>4.9095583358674685E-2</v>
      </c>
      <c r="U25" s="141">
        <v>4.9095583358674685E-2</v>
      </c>
      <c r="V25" s="144">
        <v>4.9095583358674685E-2</v>
      </c>
      <c r="W25" s="185"/>
      <c r="X25" s="164" t="s">
        <v>2145</v>
      </c>
      <c r="Y25" s="143">
        <v>0</v>
      </c>
      <c r="Z25" s="141">
        <v>0</v>
      </c>
      <c r="AA25" s="141">
        <v>0</v>
      </c>
      <c r="AB25" s="141">
        <v>0</v>
      </c>
      <c r="AC25" s="141">
        <v>0</v>
      </c>
      <c r="AD25" s="141">
        <v>0</v>
      </c>
      <c r="AE25" s="141">
        <v>0</v>
      </c>
      <c r="AF25" s="144">
        <v>0</v>
      </c>
      <c r="AG25" s="143">
        <v>0</v>
      </c>
      <c r="AH25" s="141">
        <v>0</v>
      </c>
      <c r="AI25" s="141">
        <v>0</v>
      </c>
      <c r="AJ25" s="141">
        <v>0</v>
      </c>
      <c r="AK25" s="144">
        <v>0</v>
      </c>
      <c r="AL25" s="185"/>
      <c r="AM25" s="164" t="s">
        <v>1876</v>
      </c>
      <c r="AN25" s="165">
        <v>0</v>
      </c>
      <c r="AO25" s="166">
        <v>0</v>
      </c>
      <c r="AP25" s="166">
        <v>318</v>
      </c>
      <c r="AQ25" s="166">
        <v>403</v>
      </c>
      <c r="AR25" s="166">
        <v>346</v>
      </c>
      <c r="AS25" s="166">
        <v>661</v>
      </c>
      <c r="AT25" s="166">
        <v>661</v>
      </c>
      <c r="AU25" s="167">
        <v>661</v>
      </c>
      <c r="AV25" s="165">
        <v>661</v>
      </c>
      <c r="AW25" s="166">
        <v>661</v>
      </c>
      <c r="AX25" s="166">
        <v>661</v>
      </c>
      <c r="AY25" s="166">
        <v>661</v>
      </c>
      <c r="AZ25" s="167">
        <v>661</v>
      </c>
    </row>
    <row r="26" spans="2:52" s="98" customFormat="1" ht="15" customHeight="1">
      <c r="B26" s="161"/>
      <c r="C26" s="185"/>
      <c r="D26" s="162" t="s">
        <v>71</v>
      </c>
      <c r="G26" s="162"/>
      <c r="H26" s="163"/>
      <c r="I26" s="164" t="s">
        <v>2145</v>
      </c>
      <c r="J26" s="143">
        <v>0</v>
      </c>
      <c r="K26" s="141">
        <v>0</v>
      </c>
      <c r="L26" s="141">
        <v>2.6786298331525772E-2</v>
      </c>
      <c r="M26" s="141">
        <v>1.1622214824280875E-2</v>
      </c>
      <c r="N26" s="141">
        <v>9.7107312125173963E-3</v>
      </c>
      <c r="O26" s="141">
        <v>2.1685343182437544E-2</v>
      </c>
      <c r="P26" s="141">
        <v>2.1685343182437544E-2</v>
      </c>
      <c r="Q26" s="144">
        <v>2.1685343182437544E-2</v>
      </c>
      <c r="R26" s="143">
        <v>2.1685343182437544E-2</v>
      </c>
      <c r="S26" s="141">
        <v>2.1685343182437544E-2</v>
      </c>
      <c r="T26" s="141">
        <v>2.1685343182437544E-2</v>
      </c>
      <c r="U26" s="141">
        <v>2.1685343182437544E-2</v>
      </c>
      <c r="V26" s="144">
        <v>2.1685343182437544E-2</v>
      </c>
      <c r="W26" s="185"/>
      <c r="X26" s="164" t="s">
        <v>2145</v>
      </c>
      <c r="Y26" s="143">
        <v>0</v>
      </c>
      <c r="Z26" s="141">
        <v>0</v>
      </c>
      <c r="AA26" s="141">
        <v>0</v>
      </c>
      <c r="AB26" s="141">
        <v>0</v>
      </c>
      <c r="AC26" s="141">
        <v>0</v>
      </c>
      <c r="AD26" s="141">
        <v>0</v>
      </c>
      <c r="AE26" s="141">
        <v>0</v>
      </c>
      <c r="AF26" s="144">
        <v>0</v>
      </c>
      <c r="AG26" s="143">
        <v>0</v>
      </c>
      <c r="AH26" s="141">
        <v>0</v>
      </c>
      <c r="AI26" s="141">
        <v>0</v>
      </c>
      <c r="AJ26" s="141">
        <v>0</v>
      </c>
      <c r="AK26" s="144">
        <v>0</v>
      </c>
      <c r="AL26" s="185"/>
      <c r="AM26" s="164" t="s">
        <v>1876</v>
      </c>
      <c r="AN26" s="165">
        <v>0</v>
      </c>
      <c r="AO26" s="166">
        <v>0</v>
      </c>
      <c r="AP26" s="166">
        <v>276</v>
      </c>
      <c r="AQ26" s="166">
        <v>124</v>
      </c>
      <c r="AR26" s="166">
        <v>96</v>
      </c>
      <c r="AS26" s="166">
        <v>223</v>
      </c>
      <c r="AT26" s="166">
        <v>223</v>
      </c>
      <c r="AU26" s="167">
        <v>223</v>
      </c>
      <c r="AV26" s="165">
        <v>223</v>
      </c>
      <c r="AW26" s="166">
        <v>223</v>
      </c>
      <c r="AX26" s="166">
        <v>223</v>
      </c>
      <c r="AY26" s="166">
        <v>223</v>
      </c>
      <c r="AZ26" s="167">
        <v>223</v>
      </c>
    </row>
    <row r="27" spans="2:52" s="98" customFormat="1" ht="15" customHeight="1">
      <c r="B27" s="181"/>
      <c r="C27" s="182" t="s">
        <v>1710</v>
      </c>
      <c r="D27" s="245"/>
      <c r="G27" s="184"/>
      <c r="H27" s="184"/>
      <c r="I27" s="164" t="s">
        <v>2145</v>
      </c>
      <c r="J27" s="128">
        <f>SUM(J24:J26)</f>
        <v>0</v>
      </c>
      <c r="K27" s="129">
        <f t="shared" ref="K27" si="50">SUM(K24:K26)</f>
        <v>0</v>
      </c>
      <c r="L27" s="129">
        <f t="shared" ref="L27" si="51">SUM(L24:L26)</f>
        <v>8.4291785402737657E-2</v>
      </c>
      <c r="M27" s="129">
        <f t="shared" ref="M27" si="52">SUM(M24:M26)</f>
        <v>8.624090885806894E-2</v>
      </c>
      <c r="N27" s="129">
        <f t="shared" ref="N27" si="53">SUM(N24:N26)</f>
        <v>7.9779721769230399E-2</v>
      </c>
      <c r="O27" s="129">
        <f t="shared" ref="O27" si="54">SUM(O24:O26)</f>
        <v>0.12516397452563077</v>
      </c>
      <c r="P27" s="129">
        <f t="shared" ref="P27" si="55">SUM(P24:P26)</f>
        <v>0.12516397452563077</v>
      </c>
      <c r="Q27" s="130">
        <f t="shared" ref="Q27" si="56">SUM(Q24:Q26)</f>
        <v>0.12516397452563077</v>
      </c>
      <c r="R27" s="128">
        <f t="shared" ref="R27" si="57">SUM(R24:R26)</f>
        <v>0.12516397452563077</v>
      </c>
      <c r="S27" s="129">
        <f t="shared" ref="S27" si="58">SUM(S24:S26)</f>
        <v>0.12516397452563077</v>
      </c>
      <c r="T27" s="129">
        <f t="shared" ref="T27" si="59">SUM(T24:T26)</f>
        <v>0.12516397452563077</v>
      </c>
      <c r="U27" s="129">
        <f t="shared" ref="U27" si="60">SUM(U24:U26)</f>
        <v>0.12516397452563077</v>
      </c>
      <c r="V27" s="130">
        <f t="shared" ref="V27" si="61">SUM(V24:V26)</f>
        <v>0.12516397452563077</v>
      </c>
      <c r="W27" s="185"/>
      <c r="X27" s="164" t="s">
        <v>2145</v>
      </c>
      <c r="Y27" s="128">
        <f>SUM(Y24:Y26)</f>
        <v>0</v>
      </c>
      <c r="Z27" s="129">
        <f t="shared" ref="Z27" si="62">SUM(Z24:Z26)</f>
        <v>0</v>
      </c>
      <c r="AA27" s="129">
        <f t="shared" ref="AA27" si="63">SUM(AA24:AA26)</f>
        <v>0</v>
      </c>
      <c r="AB27" s="129">
        <f t="shared" ref="AB27" si="64">SUM(AB24:AB26)</f>
        <v>0</v>
      </c>
      <c r="AC27" s="129">
        <f t="shared" ref="AC27" si="65">SUM(AC24:AC26)</f>
        <v>0</v>
      </c>
      <c r="AD27" s="129">
        <f t="shared" ref="AD27" si="66">SUM(AD24:AD26)</f>
        <v>0</v>
      </c>
      <c r="AE27" s="129">
        <f t="shared" ref="AE27" si="67">SUM(AE24:AE26)</f>
        <v>0</v>
      </c>
      <c r="AF27" s="130">
        <f t="shared" ref="AF27" si="68">SUM(AF24:AF26)</f>
        <v>0</v>
      </c>
      <c r="AG27" s="128">
        <f t="shared" ref="AG27" si="69">SUM(AG24:AG26)</f>
        <v>0</v>
      </c>
      <c r="AH27" s="129">
        <f t="shared" ref="AH27" si="70">SUM(AH24:AH26)</f>
        <v>0</v>
      </c>
      <c r="AI27" s="129">
        <f t="shared" ref="AI27" si="71">SUM(AI24:AI26)</f>
        <v>0</v>
      </c>
      <c r="AJ27" s="129">
        <f t="shared" ref="AJ27" si="72">SUM(AJ24:AJ26)</f>
        <v>0</v>
      </c>
      <c r="AK27" s="130">
        <f t="shared" ref="AK27" si="73">SUM(AK24:AK26)</f>
        <v>0</v>
      </c>
      <c r="AL27" s="185"/>
      <c r="AM27" s="164" t="s">
        <v>1876</v>
      </c>
      <c r="AN27" s="777">
        <f>SUM(AN24:AN26)</f>
        <v>0</v>
      </c>
      <c r="AO27" s="778">
        <f t="shared" ref="AO27" si="74">SUM(AO24:AO26)</f>
        <v>0</v>
      </c>
      <c r="AP27" s="778">
        <f t="shared" ref="AP27" si="75">SUM(AP24:AP26)</f>
        <v>874</v>
      </c>
      <c r="AQ27" s="778">
        <f t="shared" ref="AQ27" si="76">SUM(AQ24:AQ26)</f>
        <v>932</v>
      </c>
      <c r="AR27" s="778">
        <f t="shared" ref="AR27" si="77">SUM(AR24:AR26)</f>
        <v>821</v>
      </c>
      <c r="AS27" s="778">
        <f t="shared" ref="AS27" si="78">SUM(AS24:AS26)</f>
        <v>1499</v>
      </c>
      <c r="AT27" s="778">
        <f t="shared" ref="AT27" si="79">SUM(AT24:AT26)</f>
        <v>1499</v>
      </c>
      <c r="AU27" s="779">
        <f t="shared" ref="AU27" si="80">SUM(AU24:AU26)</f>
        <v>1499</v>
      </c>
      <c r="AV27" s="777">
        <f t="shared" ref="AV27" si="81">SUM(AV24:AV26)</f>
        <v>1499</v>
      </c>
      <c r="AW27" s="778">
        <f t="shared" ref="AW27" si="82">SUM(AW24:AW26)</f>
        <v>1499</v>
      </c>
      <c r="AX27" s="778">
        <f t="shared" ref="AX27" si="83">SUM(AX24:AX26)</f>
        <v>1499</v>
      </c>
      <c r="AY27" s="778">
        <f t="shared" ref="AY27" si="84">SUM(AY24:AY26)</f>
        <v>1499</v>
      </c>
      <c r="AZ27" s="779">
        <f t="shared" ref="AZ27" si="85">SUM(AZ24:AZ26)</f>
        <v>1499</v>
      </c>
    </row>
    <row r="28" spans="2:52" s="98" customFormat="1" ht="15" customHeight="1">
      <c r="B28" s="181"/>
      <c r="C28" s="185"/>
      <c r="D28" s="185"/>
      <c r="E28" s="182"/>
      <c r="F28" s="182"/>
      <c r="G28" s="184"/>
      <c r="H28" s="184"/>
      <c r="I28" s="117"/>
      <c r="J28" s="713"/>
      <c r="K28" s="714"/>
      <c r="L28" s="714"/>
      <c r="M28" s="714"/>
      <c r="N28" s="714"/>
      <c r="O28" s="714"/>
      <c r="P28" s="714"/>
      <c r="Q28" s="715"/>
      <c r="R28" s="716"/>
      <c r="S28" s="714"/>
      <c r="T28" s="714"/>
      <c r="U28" s="714"/>
      <c r="V28" s="715"/>
      <c r="W28" s="185"/>
      <c r="X28" s="117"/>
      <c r="Y28" s="713"/>
      <c r="Z28" s="714"/>
      <c r="AA28" s="714"/>
      <c r="AB28" s="714"/>
      <c r="AC28" s="714"/>
      <c r="AD28" s="714"/>
      <c r="AE28" s="714"/>
      <c r="AF28" s="715"/>
      <c r="AG28" s="716"/>
      <c r="AH28" s="714"/>
      <c r="AI28" s="714"/>
      <c r="AJ28" s="714"/>
      <c r="AK28" s="715"/>
      <c r="AL28" s="185"/>
      <c r="AM28" s="117"/>
      <c r="AN28" s="159"/>
      <c r="AO28" s="163"/>
      <c r="AP28" s="163"/>
      <c r="AQ28" s="163"/>
      <c r="AR28" s="163"/>
      <c r="AS28" s="163"/>
      <c r="AT28" s="163"/>
      <c r="AU28" s="160"/>
      <c r="AV28" s="163"/>
      <c r="AW28" s="163"/>
      <c r="AX28" s="163"/>
      <c r="AY28" s="163"/>
      <c r="AZ28" s="160"/>
    </row>
    <row r="29" spans="2:52" s="98" customFormat="1" ht="15" customHeight="1">
      <c r="B29" s="161"/>
      <c r="C29" s="180" t="s">
        <v>2206</v>
      </c>
      <c r="D29" s="180"/>
      <c r="E29" s="162"/>
      <c r="F29" s="162"/>
      <c r="G29" s="163"/>
      <c r="H29" s="163"/>
      <c r="I29" s="117"/>
      <c r="J29" s="713"/>
      <c r="K29" s="721"/>
      <c r="L29" s="721"/>
      <c r="M29" s="721"/>
      <c r="N29" s="721"/>
      <c r="O29" s="721"/>
      <c r="P29" s="721"/>
      <c r="Q29" s="715"/>
      <c r="R29" s="713"/>
      <c r="S29" s="721"/>
      <c r="T29" s="721"/>
      <c r="U29" s="721"/>
      <c r="V29" s="715"/>
      <c r="W29" s="185"/>
      <c r="X29" s="117"/>
      <c r="Y29" s="713"/>
      <c r="Z29" s="721"/>
      <c r="AA29" s="721"/>
      <c r="AB29" s="721"/>
      <c r="AC29" s="721"/>
      <c r="AD29" s="721"/>
      <c r="AE29" s="721"/>
      <c r="AF29" s="715"/>
      <c r="AG29" s="713"/>
      <c r="AH29" s="721"/>
      <c r="AI29" s="721"/>
      <c r="AJ29" s="721"/>
      <c r="AK29" s="715"/>
      <c r="AL29" s="185"/>
      <c r="AM29" s="117"/>
      <c r="AN29" s="159"/>
      <c r="AO29" s="117"/>
      <c r="AP29" s="117"/>
      <c r="AQ29" s="117"/>
      <c r="AR29" s="117"/>
      <c r="AS29" s="117"/>
      <c r="AT29" s="117"/>
      <c r="AU29" s="160"/>
      <c r="AV29" s="159"/>
      <c r="AW29" s="117"/>
      <c r="AX29" s="117"/>
      <c r="AY29" s="117"/>
      <c r="AZ29" s="160"/>
    </row>
    <row r="30" spans="2:52" s="98" customFormat="1" ht="15" customHeight="1">
      <c r="B30" s="161"/>
      <c r="C30" s="185"/>
      <c r="D30" s="162" t="s">
        <v>36</v>
      </c>
      <c r="G30" s="162"/>
      <c r="H30" s="163"/>
      <c r="I30" s="164" t="s">
        <v>2145</v>
      </c>
      <c r="J30" s="143">
        <v>0</v>
      </c>
      <c r="K30" s="141">
        <v>0</v>
      </c>
      <c r="L30" s="141">
        <v>1.4538845578462058E-2</v>
      </c>
      <c r="M30" s="141">
        <v>1.0130461031286286E-2</v>
      </c>
      <c r="N30" s="141">
        <v>8.6625381403990145E-3</v>
      </c>
      <c r="O30" s="141">
        <v>1.3160288484114087E-2</v>
      </c>
      <c r="P30" s="141">
        <v>1.3160288484114087E-2</v>
      </c>
      <c r="Q30" s="144">
        <v>1.3160288484114087E-2</v>
      </c>
      <c r="R30" s="143">
        <v>1.3160288484114087E-2</v>
      </c>
      <c r="S30" s="141">
        <v>1.3160288484114087E-2</v>
      </c>
      <c r="T30" s="141">
        <v>1.3160288484114087E-2</v>
      </c>
      <c r="U30" s="141">
        <v>1.3160288484114087E-2</v>
      </c>
      <c r="V30" s="144">
        <v>1.3160288484114087E-2</v>
      </c>
      <c r="W30" s="185"/>
      <c r="X30" s="164" t="s">
        <v>2145</v>
      </c>
      <c r="Y30" s="143">
        <v>0</v>
      </c>
      <c r="Z30" s="141">
        <v>0</v>
      </c>
      <c r="AA30" s="141">
        <v>0</v>
      </c>
      <c r="AB30" s="141">
        <v>0</v>
      </c>
      <c r="AC30" s="141">
        <v>0</v>
      </c>
      <c r="AD30" s="141">
        <v>0</v>
      </c>
      <c r="AE30" s="141">
        <v>0</v>
      </c>
      <c r="AF30" s="144">
        <v>0</v>
      </c>
      <c r="AG30" s="143">
        <v>0</v>
      </c>
      <c r="AH30" s="141">
        <v>0</v>
      </c>
      <c r="AI30" s="141">
        <v>0</v>
      </c>
      <c r="AJ30" s="141">
        <v>0</v>
      </c>
      <c r="AK30" s="144">
        <v>0</v>
      </c>
      <c r="AL30" s="185"/>
      <c r="AM30" s="164" t="s">
        <v>1876</v>
      </c>
      <c r="AN30" s="165">
        <v>0</v>
      </c>
      <c r="AO30" s="166">
        <v>0</v>
      </c>
      <c r="AP30" s="166">
        <v>271</v>
      </c>
      <c r="AQ30" s="166">
        <v>203</v>
      </c>
      <c r="AR30" s="166">
        <v>171</v>
      </c>
      <c r="AS30" s="166">
        <v>234</v>
      </c>
      <c r="AT30" s="166">
        <v>234</v>
      </c>
      <c r="AU30" s="167">
        <v>234</v>
      </c>
      <c r="AV30" s="165">
        <v>234</v>
      </c>
      <c r="AW30" s="166">
        <v>234</v>
      </c>
      <c r="AX30" s="166">
        <v>234</v>
      </c>
      <c r="AY30" s="166">
        <v>234</v>
      </c>
      <c r="AZ30" s="167">
        <v>234</v>
      </c>
    </row>
    <row r="31" spans="2:52" s="98" customFormat="1" ht="15" customHeight="1">
      <c r="B31" s="161"/>
      <c r="C31" s="185"/>
      <c r="D31" s="162" t="s">
        <v>62</v>
      </c>
      <c r="G31" s="162"/>
      <c r="H31" s="163"/>
      <c r="I31" s="164" t="s">
        <v>2145</v>
      </c>
      <c r="J31" s="143">
        <v>0</v>
      </c>
      <c r="K31" s="141">
        <v>0</v>
      </c>
      <c r="L31" s="141">
        <v>7.0380489098683758E-3</v>
      </c>
      <c r="M31" s="141">
        <v>7.2417382765622056E-3</v>
      </c>
      <c r="N31" s="141">
        <v>5.1867875050570587E-3</v>
      </c>
      <c r="O31" s="141">
        <v>7.8674514685609011E-3</v>
      </c>
      <c r="P31" s="141">
        <v>7.8674514685609011E-3</v>
      </c>
      <c r="Q31" s="144">
        <v>7.8674514685609011E-3</v>
      </c>
      <c r="R31" s="143">
        <v>7.8674514685609011E-3</v>
      </c>
      <c r="S31" s="141">
        <v>7.8674514685609011E-3</v>
      </c>
      <c r="T31" s="141">
        <v>7.8674514685609011E-3</v>
      </c>
      <c r="U31" s="141">
        <v>7.8674514685609011E-3</v>
      </c>
      <c r="V31" s="144">
        <v>7.8674514685609011E-3</v>
      </c>
      <c r="W31" s="185"/>
      <c r="X31" s="164" t="s">
        <v>2145</v>
      </c>
      <c r="Y31" s="143">
        <v>0</v>
      </c>
      <c r="Z31" s="141">
        <v>0</v>
      </c>
      <c r="AA31" s="141">
        <v>0</v>
      </c>
      <c r="AB31" s="141">
        <v>0</v>
      </c>
      <c r="AC31" s="141">
        <v>0</v>
      </c>
      <c r="AD31" s="141">
        <v>0</v>
      </c>
      <c r="AE31" s="141">
        <v>0</v>
      </c>
      <c r="AF31" s="144">
        <v>0</v>
      </c>
      <c r="AG31" s="143">
        <v>0</v>
      </c>
      <c r="AH31" s="141">
        <v>0</v>
      </c>
      <c r="AI31" s="141">
        <v>0</v>
      </c>
      <c r="AJ31" s="141">
        <v>0</v>
      </c>
      <c r="AK31" s="144">
        <v>0</v>
      </c>
      <c r="AL31" s="185"/>
      <c r="AM31" s="164" t="s">
        <v>1876</v>
      </c>
      <c r="AN31" s="165">
        <v>0</v>
      </c>
      <c r="AO31" s="166">
        <v>0</v>
      </c>
      <c r="AP31" s="166">
        <v>125</v>
      </c>
      <c r="AQ31" s="166">
        <v>137</v>
      </c>
      <c r="AR31" s="166">
        <v>95</v>
      </c>
      <c r="AS31" s="166">
        <v>153</v>
      </c>
      <c r="AT31" s="166">
        <v>153</v>
      </c>
      <c r="AU31" s="167">
        <v>153</v>
      </c>
      <c r="AV31" s="165">
        <v>153</v>
      </c>
      <c r="AW31" s="166">
        <v>153</v>
      </c>
      <c r="AX31" s="166">
        <v>153</v>
      </c>
      <c r="AY31" s="166">
        <v>153</v>
      </c>
      <c r="AZ31" s="167">
        <v>153</v>
      </c>
    </row>
    <row r="32" spans="2:52" s="98" customFormat="1" ht="15" customHeight="1">
      <c r="B32" s="161"/>
      <c r="C32" s="185"/>
      <c r="D32" s="162" t="s">
        <v>71</v>
      </c>
      <c r="G32" s="162"/>
      <c r="H32" s="163"/>
      <c r="I32" s="164" t="s">
        <v>2145</v>
      </c>
      <c r="J32" s="143">
        <v>0</v>
      </c>
      <c r="K32" s="141">
        <v>0</v>
      </c>
      <c r="L32" s="141">
        <v>1.5303263908267842E-2</v>
      </c>
      <c r="M32" s="141">
        <v>1.0155264538533227E-2</v>
      </c>
      <c r="N32" s="141">
        <v>7.9647013854260186E-3</v>
      </c>
      <c r="O32" s="141">
        <v>1.256395322637891E-2</v>
      </c>
      <c r="P32" s="141">
        <v>1.256395322637891E-2</v>
      </c>
      <c r="Q32" s="144">
        <v>1.256395322637891E-2</v>
      </c>
      <c r="R32" s="143">
        <v>1.256395322637891E-2</v>
      </c>
      <c r="S32" s="141">
        <v>1.256395322637891E-2</v>
      </c>
      <c r="T32" s="141">
        <v>1.256395322637891E-2</v>
      </c>
      <c r="U32" s="141">
        <v>1.256395322637891E-2</v>
      </c>
      <c r="V32" s="144">
        <v>1.256395322637891E-2</v>
      </c>
      <c r="W32" s="185"/>
      <c r="X32" s="164" t="s">
        <v>2145</v>
      </c>
      <c r="Y32" s="143">
        <v>0</v>
      </c>
      <c r="Z32" s="141">
        <v>0</v>
      </c>
      <c r="AA32" s="141">
        <v>0</v>
      </c>
      <c r="AB32" s="141">
        <v>0</v>
      </c>
      <c r="AC32" s="141">
        <v>0</v>
      </c>
      <c r="AD32" s="141">
        <v>0</v>
      </c>
      <c r="AE32" s="141">
        <v>0</v>
      </c>
      <c r="AF32" s="144">
        <v>0</v>
      </c>
      <c r="AG32" s="143">
        <v>0</v>
      </c>
      <c r="AH32" s="141">
        <v>0</v>
      </c>
      <c r="AI32" s="141">
        <v>0</v>
      </c>
      <c r="AJ32" s="141">
        <v>0</v>
      </c>
      <c r="AK32" s="144">
        <v>0</v>
      </c>
      <c r="AL32" s="185"/>
      <c r="AM32" s="164" t="s">
        <v>1876</v>
      </c>
      <c r="AN32" s="165">
        <v>0</v>
      </c>
      <c r="AO32" s="166">
        <v>0</v>
      </c>
      <c r="AP32" s="166">
        <v>285</v>
      </c>
      <c r="AQ32" s="166">
        <v>212</v>
      </c>
      <c r="AR32" s="166">
        <v>146</v>
      </c>
      <c r="AS32" s="166">
        <v>200</v>
      </c>
      <c r="AT32" s="166">
        <v>200</v>
      </c>
      <c r="AU32" s="167">
        <v>200</v>
      </c>
      <c r="AV32" s="165">
        <v>200</v>
      </c>
      <c r="AW32" s="166">
        <v>200</v>
      </c>
      <c r="AX32" s="166">
        <v>200</v>
      </c>
      <c r="AY32" s="166">
        <v>200</v>
      </c>
      <c r="AZ32" s="167">
        <v>200</v>
      </c>
    </row>
    <row r="33" spans="2:52" s="98" customFormat="1" ht="15" customHeight="1">
      <c r="B33" s="181"/>
      <c r="C33" s="182" t="s">
        <v>1710</v>
      </c>
      <c r="D33" s="245"/>
      <c r="G33" s="184"/>
      <c r="H33" s="184"/>
      <c r="I33" s="164" t="s">
        <v>2145</v>
      </c>
      <c r="J33" s="128">
        <f>SUM(J30:J32)</f>
        <v>0</v>
      </c>
      <c r="K33" s="129">
        <f t="shared" ref="K33" si="86">SUM(K30:K32)</f>
        <v>0</v>
      </c>
      <c r="L33" s="129">
        <f t="shared" ref="L33" si="87">SUM(L30:L32)</f>
        <v>3.6880158396598278E-2</v>
      </c>
      <c r="M33" s="129">
        <f t="shared" ref="M33" si="88">SUM(M30:M32)</f>
        <v>2.7527463846381717E-2</v>
      </c>
      <c r="N33" s="129">
        <f t="shared" ref="N33" si="89">SUM(N30:N32)</f>
        <v>2.1814027030882092E-2</v>
      </c>
      <c r="O33" s="129">
        <f t="shared" ref="O33" si="90">SUM(O30:O32)</f>
        <v>3.3591693179053896E-2</v>
      </c>
      <c r="P33" s="129">
        <f t="shared" ref="P33" si="91">SUM(P30:P32)</f>
        <v>3.3591693179053896E-2</v>
      </c>
      <c r="Q33" s="130">
        <f t="shared" ref="Q33" si="92">SUM(Q30:Q32)</f>
        <v>3.3591693179053896E-2</v>
      </c>
      <c r="R33" s="128">
        <f t="shared" ref="R33" si="93">SUM(R30:R32)</f>
        <v>3.3591693179053896E-2</v>
      </c>
      <c r="S33" s="129">
        <f t="shared" ref="S33" si="94">SUM(S30:S32)</f>
        <v>3.3591693179053896E-2</v>
      </c>
      <c r="T33" s="129">
        <f t="shared" ref="T33" si="95">SUM(T30:T32)</f>
        <v>3.3591693179053896E-2</v>
      </c>
      <c r="U33" s="129">
        <f t="shared" ref="U33" si="96">SUM(U30:U32)</f>
        <v>3.3591693179053896E-2</v>
      </c>
      <c r="V33" s="130">
        <f t="shared" ref="V33" si="97">SUM(V30:V32)</f>
        <v>3.3591693179053896E-2</v>
      </c>
      <c r="W33" s="185"/>
      <c r="X33" s="164" t="s">
        <v>2145</v>
      </c>
      <c r="Y33" s="128">
        <f>SUM(Y30:Y32)</f>
        <v>0</v>
      </c>
      <c r="Z33" s="129">
        <f t="shared" ref="Z33" si="98">SUM(Z30:Z32)</f>
        <v>0</v>
      </c>
      <c r="AA33" s="129">
        <f t="shared" ref="AA33" si="99">SUM(AA30:AA32)</f>
        <v>0</v>
      </c>
      <c r="AB33" s="129">
        <f t="shared" ref="AB33" si="100">SUM(AB30:AB32)</f>
        <v>0</v>
      </c>
      <c r="AC33" s="129">
        <f t="shared" ref="AC33" si="101">SUM(AC30:AC32)</f>
        <v>0</v>
      </c>
      <c r="AD33" s="129">
        <f t="shared" ref="AD33" si="102">SUM(AD30:AD32)</f>
        <v>0</v>
      </c>
      <c r="AE33" s="129">
        <f t="shared" ref="AE33" si="103">SUM(AE30:AE32)</f>
        <v>0</v>
      </c>
      <c r="AF33" s="130">
        <f t="shared" ref="AF33" si="104">SUM(AF30:AF32)</f>
        <v>0</v>
      </c>
      <c r="AG33" s="128">
        <f t="shared" ref="AG33" si="105">SUM(AG30:AG32)</f>
        <v>0</v>
      </c>
      <c r="AH33" s="129">
        <f t="shared" ref="AH33" si="106">SUM(AH30:AH32)</f>
        <v>0</v>
      </c>
      <c r="AI33" s="129">
        <f t="shared" ref="AI33" si="107">SUM(AI30:AI32)</f>
        <v>0</v>
      </c>
      <c r="AJ33" s="129">
        <f t="shared" ref="AJ33" si="108">SUM(AJ30:AJ32)</f>
        <v>0</v>
      </c>
      <c r="AK33" s="130">
        <f t="shared" ref="AK33" si="109">SUM(AK30:AK32)</f>
        <v>0</v>
      </c>
      <c r="AL33" s="185"/>
      <c r="AM33" s="164" t="s">
        <v>1876</v>
      </c>
      <c r="AN33" s="777">
        <f>SUM(AN30:AN32)</f>
        <v>0</v>
      </c>
      <c r="AO33" s="778">
        <f t="shared" ref="AO33" si="110">SUM(AO30:AO32)</f>
        <v>0</v>
      </c>
      <c r="AP33" s="778">
        <f t="shared" ref="AP33" si="111">SUM(AP30:AP32)</f>
        <v>681</v>
      </c>
      <c r="AQ33" s="778">
        <f t="shared" ref="AQ33" si="112">SUM(AQ30:AQ32)</f>
        <v>552</v>
      </c>
      <c r="AR33" s="778">
        <f t="shared" ref="AR33" si="113">SUM(AR30:AR32)</f>
        <v>412</v>
      </c>
      <c r="AS33" s="778">
        <f t="shared" ref="AS33" si="114">SUM(AS30:AS32)</f>
        <v>587</v>
      </c>
      <c r="AT33" s="778">
        <f t="shared" ref="AT33" si="115">SUM(AT30:AT32)</f>
        <v>587</v>
      </c>
      <c r="AU33" s="779">
        <f t="shared" ref="AU33" si="116">SUM(AU30:AU32)</f>
        <v>587</v>
      </c>
      <c r="AV33" s="777">
        <f t="shared" ref="AV33" si="117">SUM(AV30:AV32)</f>
        <v>587</v>
      </c>
      <c r="AW33" s="778">
        <f t="shared" ref="AW33" si="118">SUM(AW30:AW32)</f>
        <v>587</v>
      </c>
      <c r="AX33" s="778">
        <f t="shared" ref="AX33" si="119">SUM(AX30:AX32)</f>
        <v>587</v>
      </c>
      <c r="AY33" s="778">
        <f t="shared" ref="AY33" si="120">SUM(AY30:AY32)</f>
        <v>587</v>
      </c>
      <c r="AZ33" s="779">
        <f t="shared" ref="AZ33" si="121">SUM(AZ30:AZ32)</f>
        <v>587</v>
      </c>
    </row>
    <row r="34" spans="2:52" s="98" customFormat="1" ht="15" customHeight="1">
      <c r="B34" s="181"/>
      <c r="C34" s="185"/>
      <c r="D34" s="185"/>
      <c r="E34" s="182"/>
      <c r="F34" s="182"/>
      <c r="G34" s="184"/>
      <c r="H34" s="184"/>
      <c r="I34" s="117"/>
      <c r="J34" s="713"/>
      <c r="K34" s="714"/>
      <c r="L34" s="714"/>
      <c r="M34" s="714"/>
      <c r="N34" s="714"/>
      <c r="O34" s="714"/>
      <c r="P34" s="714"/>
      <c r="Q34" s="715"/>
      <c r="R34" s="716"/>
      <c r="S34" s="714"/>
      <c r="T34" s="714"/>
      <c r="U34" s="714"/>
      <c r="V34" s="715"/>
      <c r="W34" s="185"/>
      <c r="X34" s="117"/>
      <c r="Y34" s="713"/>
      <c r="Z34" s="714"/>
      <c r="AA34" s="714"/>
      <c r="AB34" s="714"/>
      <c r="AC34" s="714"/>
      <c r="AD34" s="714"/>
      <c r="AE34" s="714"/>
      <c r="AF34" s="715"/>
      <c r="AG34" s="716"/>
      <c r="AH34" s="714"/>
      <c r="AI34" s="714"/>
      <c r="AJ34" s="714"/>
      <c r="AK34" s="715"/>
      <c r="AL34" s="185"/>
      <c r="AM34" s="117"/>
      <c r="AN34" s="159"/>
      <c r="AO34" s="163"/>
      <c r="AP34" s="163"/>
      <c r="AQ34" s="163"/>
      <c r="AR34" s="163"/>
      <c r="AS34" s="163"/>
      <c r="AT34" s="163"/>
      <c r="AU34" s="160"/>
      <c r="AV34" s="163"/>
      <c r="AW34" s="163"/>
      <c r="AX34" s="163"/>
      <c r="AY34" s="163"/>
      <c r="AZ34" s="160"/>
    </row>
    <row r="35" spans="2:52" s="98" customFormat="1" ht="15" customHeight="1">
      <c r="B35" s="161"/>
      <c r="C35" s="180" t="s">
        <v>2207</v>
      </c>
      <c r="D35" s="180"/>
      <c r="E35" s="162"/>
      <c r="F35" s="162"/>
      <c r="G35" s="163"/>
      <c r="H35" s="163"/>
      <c r="I35" s="117"/>
      <c r="J35" s="713"/>
      <c r="K35" s="721"/>
      <c r="L35" s="721"/>
      <c r="M35" s="721"/>
      <c r="N35" s="721"/>
      <c r="O35" s="721"/>
      <c r="P35" s="721"/>
      <c r="Q35" s="715"/>
      <c r="R35" s="713"/>
      <c r="S35" s="721"/>
      <c r="T35" s="721"/>
      <c r="U35" s="721"/>
      <c r="V35" s="715"/>
      <c r="W35" s="185"/>
      <c r="X35" s="117"/>
      <c r="Y35" s="713"/>
      <c r="Z35" s="721"/>
      <c r="AA35" s="721"/>
      <c r="AB35" s="721"/>
      <c r="AC35" s="721"/>
      <c r="AD35" s="721"/>
      <c r="AE35" s="721"/>
      <c r="AF35" s="715"/>
      <c r="AG35" s="713"/>
      <c r="AH35" s="721"/>
      <c r="AI35" s="721"/>
      <c r="AJ35" s="721"/>
      <c r="AK35" s="715"/>
      <c r="AL35" s="185"/>
      <c r="AM35" s="117"/>
      <c r="AN35" s="159"/>
      <c r="AO35" s="117"/>
      <c r="AP35" s="117"/>
      <c r="AQ35" s="117"/>
      <c r="AR35" s="117"/>
      <c r="AS35" s="117"/>
      <c r="AT35" s="117"/>
      <c r="AU35" s="160"/>
      <c r="AV35" s="159"/>
      <c r="AW35" s="117"/>
      <c r="AX35" s="117"/>
      <c r="AY35" s="117"/>
      <c r="AZ35" s="160"/>
    </row>
    <row r="36" spans="2:52" s="98" customFormat="1" ht="15" customHeight="1">
      <c r="B36" s="161"/>
      <c r="C36" s="185"/>
      <c r="D36" s="162" t="s">
        <v>36</v>
      </c>
      <c r="G36" s="162"/>
      <c r="H36" s="163"/>
      <c r="I36" s="164" t="s">
        <v>2145</v>
      </c>
      <c r="J36" s="143">
        <v>0</v>
      </c>
      <c r="K36" s="141">
        <v>0</v>
      </c>
      <c r="L36" s="141">
        <v>2.6373829001313878E-2</v>
      </c>
      <c r="M36" s="141">
        <v>4.9427189066341463E-2</v>
      </c>
      <c r="N36" s="141">
        <v>5.1683846605323221E-2</v>
      </c>
      <c r="O36" s="141">
        <v>7.3723960883651921E-2</v>
      </c>
      <c r="P36" s="141">
        <v>7.3723960883651921E-2</v>
      </c>
      <c r="Q36" s="144">
        <v>7.3723960883651921E-2</v>
      </c>
      <c r="R36" s="143">
        <v>7.3723960883651921E-2</v>
      </c>
      <c r="S36" s="141">
        <v>7.3723960883651921E-2</v>
      </c>
      <c r="T36" s="141">
        <v>7.3723960883651921E-2</v>
      </c>
      <c r="U36" s="141">
        <v>7.3723960883651921E-2</v>
      </c>
      <c r="V36" s="144">
        <v>7.3723960883651921E-2</v>
      </c>
      <c r="W36" s="185"/>
      <c r="X36" s="164" t="s">
        <v>2145</v>
      </c>
      <c r="Y36" s="143">
        <v>0</v>
      </c>
      <c r="Z36" s="141">
        <v>0</v>
      </c>
      <c r="AA36" s="141">
        <v>0</v>
      </c>
      <c r="AB36" s="141">
        <v>0</v>
      </c>
      <c r="AC36" s="141">
        <v>0</v>
      </c>
      <c r="AD36" s="141">
        <v>0</v>
      </c>
      <c r="AE36" s="141">
        <v>0</v>
      </c>
      <c r="AF36" s="144">
        <v>0</v>
      </c>
      <c r="AG36" s="143">
        <v>0</v>
      </c>
      <c r="AH36" s="141">
        <v>0</v>
      </c>
      <c r="AI36" s="141">
        <v>0</v>
      </c>
      <c r="AJ36" s="141">
        <v>0</v>
      </c>
      <c r="AK36" s="144">
        <v>0</v>
      </c>
      <c r="AL36" s="185"/>
      <c r="AM36" s="164" t="s">
        <v>1876</v>
      </c>
      <c r="AN36" s="165">
        <v>0</v>
      </c>
      <c r="AO36" s="166">
        <v>0</v>
      </c>
      <c r="AP36" s="166">
        <v>583</v>
      </c>
      <c r="AQ36" s="166">
        <v>1138</v>
      </c>
      <c r="AR36" s="166">
        <v>1124</v>
      </c>
      <c r="AS36" s="166">
        <v>1575</v>
      </c>
      <c r="AT36" s="166">
        <v>1575</v>
      </c>
      <c r="AU36" s="167">
        <v>1575</v>
      </c>
      <c r="AV36" s="165">
        <v>1575</v>
      </c>
      <c r="AW36" s="166">
        <v>1575</v>
      </c>
      <c r="AX36" s="166">
        <v>1575</v>
      </c>
      <c r="AY36" s="166">
        <v>1575</v>
      </c>
      <c r="AZ36" s="167">
        <v>1575</v>
      </c>
    </row>
    <row r="37" spans="2:52" s="98" customFormat="1" ht="15" customHeight="1">
      <c r="B37" s="161"/>
      <c r="C37" s="185"/>
      <c r="D37" s="162" t="s">
        <v>62</v>
      </c>
      <c r="G37" s="162"/>
      <c r="H37" s="163"/>
      <c r="I37" s="164" t="s">
        <v>2145</v>
      </c>
      <c r="J37" s="143">
        <v>0</v>
      </c>
      <c r="K37" s="141">
        <v>0</v>
      </c>
      <c r="L37" s="141">
        <v>1.0335010305534986E-3</v>
      </c>
      <c r="M37" s="141">
        <v>1.5945111801604858E-4</v>
      </c>
      <c r="N37" s="141">
        <v>3.7293660830494318E-4</v>
      </c>
      <c r="O37" s="141">
        <v>7.85195419055323E-5</v>
      </c>
      <c r="P37" s="141">
        <v>7.85195419055323E-5</v>
      </c>
      <c r="Q37" s="144">
        <v>7.85195419055323E-5</v>
      </c>
      <c r="R37" s="143">
        <v>7.85195419055323E-5</v>
      </c>
      <c r="S37" s="141">
        <v>7.85195419055323E-5</v>
      </c>
      <c r="T37" s="141">
        <v>7.85195419055323E-5</v>
      </c>
      <c r="U37" s="141">
        <v>7.85195419055323E-5</v>
      </c>
      <c r="V37" s="144">
        <v>7.85195419055323E-5</v>
      </c>
      <c r="W37" s="185"/>
      <c r="X37" s="164" t="s">
        <v>2145</v>
      </c>
      <c r="Y37" s="143">
        <v>0</v>
      </c>
      <c r="Z37" s="141">
        <v>0</v>
      </c>
      <c r="AA37" s="141">
        <v>0</v>
      </c>
      <c r="AB37" s="141">
        <v>0</v>
      </c>
      <c r="AC37" s="141">
        <v>0</v>
      </c>
      <c r="AD37" s="141">
        <v>0</v>
      </c>
      <c r="AE37" s="141">
        <v>0</v>
      </c>
      <c r="AF37" s="144">
        <v>0</v>
      </c>
      <c r="AG37" s="143">
        <v>0</v>
      </c>
      <c r="AH37" s="141">
        <v>0</v>
      </c>
      <c r="AI37" s="141">
        <v>0</v>
      </c>
      <c r="AJ37" s="141">
        <v>0</v>
      </c>
      <c r="AK37" s="144">
        <v>0</v>
      </c>
      <c r="AL37" s="185"/>
      <c r="AM37" s="164" t="s">
        <v>1876</v>
      </c>
      <c r="AN37" s="165">
        <v>0</v>
      </c>
      <c r="AO37" s="166">
        <v>0</v>
      </c>
      <c r="AP37" s="166">
        <v>19</v>
      </c>
      <c r="AQ37" s="166">
        <v>3</v>
      </c>
      <c r="AR37" s="166">
        <v>8</v>
      </c>
      <c r="AS37" s="166">
        <v>3</v>
      </c>
      <c r="AT37" s="166">
        <v>3</v>
      </c>
      <c r="AU37" s="167">
        <v>3</v>
      </c>
      <c r="AV37" s="165">
        <v>3</v>
      </c>
      <c r="AW37" s="166">
        <v>3</v>
      </c>
      <c r="AX37" s="166">
        <v>3</v>
      </c>
      <c r="AY37" s="166">
        <v>3</v>
      </c>
      <c r="AZ37" s="167">
        <v>3</v>
      </c>
    </row>
    <row r="38" spans="2:52" s="98" customFormat="1" ht="15" customHeight="1">
      <c r="B38" s="161"/>
      <c r="C38" s="185"/>
      <c r="D38" s="162" t="s">
        <v>71</v>
      </c>
      <c r="G38" s="162"/>
      <c r="H38" s="163"/>
      <c r="I38" s="164" t="s">
        <v>2145</v>
      </c>
      <c r="J38" s="143">
        <v>0</v>
      </c>
      <c r="K38" s="141">
        <v>0</v>
      </c>
      <c r="L38" s="141">
        <v>1.8724990293208479E-2</v>
      </c>
      <c r="M38" s="141">
        <v>2.4564330569916818E-3</v>
      </c>
      <c r="N38" s="141">
        <v>3.7108120229347585E-4</v>
      </c>
      <c r="O38" s="141">
        <v>3.4713902737182703E-3</v>
      </c>
      <c r="P38" s="141">
        <v>3.4713902737182703E-3</v>
      </c>
      <c r="Q38" s="144">
        <v>3.4713902737182703E-3</v>
      </c>
      <c r="R38" s="143">
        <v>3.4713902737182703E-3</v>
      </c>
      <c r="S38" s="141">
        <v>3.4713902737182703E-3</v>
      </c>
      <c r="T38" s="141">
        <v>3.4713902737182703E-3</v>
      </c>
      <c r="U38" s="141">
        <v>3.4713902737182703E-3</v>
      </c>
      <c r="V38" s="144">
        <v>3.4713902737182703E-3</v>
      </c>
      <c r="W38" s="185"/>
      <c r="X38" s="164" t="s">
        <v>2145</v>
      </c>
      <c r="Y38" s="143">
        <v>0</v>
      </c>
      <c r="Z38" s="141">
        <v>0</v>
      </c>
      <c r="AA38" s="141">
        <v>0</v>
      </c>
      <c r="AB38" s="141">
        <v>0</v>
      </c>
      <c r="AC38" s="141">
        <v>0</v>
      </c>
      <c r="AD38" s="141">
        <v>0</v>
      </c>
      <c r="AE38" s="141">
        <v>0</v>
      </c>
      <c r="AF38" s="144">
        <v>0</v>
      </c>
      <c r="AG38" s="143">
        <v>0</v>
      </c>
      <c r="AH38" s="141">
        <v>0</v>
      </c>
      <c r="AI38" s="141">
        <v>0</v>
      </c>
      <c r="AJ38" s="141">
        <v>0</v>
      </c>
      <c r="AK38" s="144">
        <v>0</v>
      </c>
      <c r="AL38" s="185"/>
      <c r="AM38" s="164" t="s">
        <v>1876</v>
      </c>
      <c r="AN38" s="165">
        <v>0</v>
      </c>
      <c r="AO38" s="166">
        <v>0</v>
      </c>
      <c r="AP38" s="166">
        <v>391</v>
      </c>
      <c r="AQ38" s="166">
        <v>58</v>
      </c>
      <c r="AR38" s="166">
        <v>9</v>
      </c>
      <c r="AS38" s="166">
        <v>78</v>
      </c>
      <c r="AT38" s="166">
        <v>78</v>
      </c>
      <c r="AU38" s="167">
        <v>78</v>
      </c>
      <c r="AV38" s="165">
        <v>78</v>
      </c>
      <c r="AW38" s="166">
        <v>78</v>
      </c>
      <c r="AX38" s="166">
        <v>78</v>
      </c>
      <c r="AY38" s="166">
        <v>78</v>
      </c>
      <c r="AZ38" s="167">
        <v>78</v>
      </c>
    </row>
    <row r="39" spans="2:52" s="98" customFormat="1" ht="15" customHeight="1">
      <c r="B39" s="181"/>
      <c r="C39" s="182" t="s">
        <v>1710</v>
      </c>
      <c r="D39" s="245"/>
      <c r="G39" s="184"/>
      <c r="H39" s="184"/>
      <c r="I39" s="164" t="s">
        <v>2145</v>
      </c>
      <c r="J39" s="128">
        <f>SUM(J36:J38)</f>
        <v>0</v>
      </c>
      <c r="K39" s="129">
        <f t="shared" ref="K39" si="122">SUM(K36:K38)</f>
        <v>0</v>
      </c>
      <c r="L39" s="129">
        <f t="shared" ref="L39" si="123">SUM(L36:L38)</f>
        <v>4.613232032507586E-2</v>
      </c>
      <c r="M39" s="129">
        <f t="shared" ref="M39" si="124">SUM(M36:M38)</f>
        <v>5.2043073241349193E-2</v>
      </c>
      <c r="N39" s="129">
        <f t="shared" ref="N39" si="125">SUM(N36:N38)</f>
        <v>5.2427864415921642E-2</v>
      </c>
      <c r="O39" s="129">
        <f t="shared" ref="O39" si="126">SUM(O36:O38)</f>
        <v>7.7273870699275729E-2</v>
      </c>
      <c r="P39" s="129">
        <f t="shared" ref="P39" si="127">SUM(P36:P38)</f>
        <v>7.7273870699275729E-2</v>
      </c>
      <c r="Q39" s="130">
        <f t="shared" ref="Q39" si="128">SUM(Q36:Q38)</f>
        <v>7.7273870699275729E-2</v>
      </c>
      <c r="R39" s="128">
        <f t="shared" ref="R39" si="129">SUM(R36:R38)</f>
        <v>7.7273870699275729E-2</v>
      </c>
      <c r="S39" s="129">
        <f t="shared" ref="S39" si="130">SUM(S36:S38)</f>
        <v>7.7273870699275729E-2</v>
      </c>
      <c r="T39" s="129">
        <f t="shared" ref="T39" si="131">SUM(T36:T38)</f>
        <v>7.7273870699275729E-2</v>
      </c>
      <c r="U39" s="129">
        <f t="shared" ref="U39" si="132">SUM(U36:U38)</f>
        <v>7.7273870699275729E-2</v>
      </c>
      <c r="V39" s="130">
        <f t="shared" ref="V39" si="133">SUM(V36:V38)</f>
        <v>7.7273870699275729E-2</v>
      </c>
      <c r="W39" s="185"/>
      <c r="X39" s="164" t="s">
        <v>2145</v>
      </c>
      <c r="Y39" s="128">
        <f>SUM(Y36:Y38)</f>
        <v>0</v>
      </c>
      <c r="Z39" s="129">
        <f t="shared" ref="Z39" si="134">SUM(Z36:Z38)</f>
        <v>0</v>
      </c>
      <c r="AA39" s="129">
        <f t="shared" ref="AA39" si="135">SUM(AA36:AA38)</f>
        <v>0</v>
      </c>
      <c r="AB39" s="129">
        <f t="shared" ref="AB39" si="136">SUM(AB36:AB38)</f>
        <v>0</v>
      </c>
      <c r="AC39" s="129">
        <f t="shared" ref="AC39" si="137">SUM(AC36:AC38)</f>
        <v>0</v>
      </c>
      <c r="AD39" s="129">
        <f t="shared" ref="AD39" si="138">SUM(AD36:AD38)</f>
        <v>0</v>
      </c>
      <c r="AE39" s="129">
        <f t="shared" ref="AE39" si="139">SUM(AE36:AE38)</f>
        <v>0</v>
      </c>
      <c r="AF39" s="130">
        <f t="shared" ref="AF39" si="140">SUM(AF36:AF38)</f>
        <v>0</v>
      </c>
      <c r="AG39" s="128">
        <f t="shared" ref="AG39" si="141">SUM(AG36:AG38)</f>
        <v>0</v>
      </c>
      <c r="AH39" s="129">
        <f t="shared" ref="AH39" si="142">SUM(AH36:AH38)</f>
        <v>0</v>
      </c>
      <c r="AI39" s="129">
        <f t="shared" ref="AI39" si="143">SUM(AI36:AI38)</f>
        <v>0</v>
      </c>
      <c r="AJ39" s="129">
        <f t="shared" ref="AJ39" si="144">SUM(AJ36:AJ38)</f>
        <v>0</v>
      </c>
      <c r="AK39" s="130">
        <f t="shared" ref="AK39" si="145">SUM(AK36:AK38)</f>
        <v>0</v>
      </c>
      <c r="AL39" s="185"/>
      <c r="AM39" s="164" t="s">
        <v>1876</v>
      </c>
      <c r="AN39" s="777">
        <f>SUM(AN36:AN38)</f>
        <v>0</v>
      </c>
      <c r="AO39" s="778">
        <f t="shared" ref="AO39" si="146">SUM(AO36:AO38)</f>
        <v>0</v>
      </c>
      <c r="AP39" s="778">
        <f t="shared" ref="AP39" si="147">SUM(AP36:AP38)</f>
        <v>993</v>
      </c>
      <c r="AQ39" s="778">
        <f t="shared" ref="AQ39" si="148">SUM(AQ36:AQ38)</f>
        <v>1199</v>
      </c>
      <c r="AR39" s="778">
        <f t="shared" ref="AR39" si="149">SUM(AR36:AR38)</f>
        <v>1141</v>
      </c>
      <c r="AS39" s="778">
        <f t="shared" ref="AS39" si="150">SUM(AS36:AS38)</f>
        <v>1656</v>
      </c>
      <c r="AT39" s="778">
        <f t="shared" ref="AT39" si="151">SUM(AT36:AT38)</f>
        <v>1656</v>
      </c>
      <c r="AU39" s="779">
        <f t="shared" ref="AU39" si="152">SUM(AU36:AU38)</f>
        <v>1656</v>
      </c>
      <c r="AV39" s="777">
        <f t="shared" ref="AV39" si="153">SUM(AV36:AV38)</f>
        <v>1656</v>
      </c>
      <c r="AW39" s="778">
        <f t="shared" ref="AW39" si="154">SUM(AW36:AW38)</f>
        <v>1656</v>
      </c>
      <c r="AX39" s="778">
        <f t="shared" ref="AX39" si="155">SUM(AX36:AX38)</f>
        <v>1656</v>
      </c>
      <c r="AY39" s="778">
        <f t="shared" ref="AY39" si="156">SUM(AY36:AY38)</f>
        <v>1656</v>
      </c>
      <c r="AZ39" s="779">
        <f t="shared" ref="AZ39" si="157">SUM(AZ36:AZ38)</f>
        <v>1656</v>
      </c>
    </row>
    <row r="40" spans="2:52" s="98" customFormat="1" ht="15" customHeight="1">
      <c r="B40" s="181"/>
      <c r="C40" s="185"/>
      <c r="D40" s="185"/>
      <c r="E40" s="182"/>
      <c r="F40" s="182"/>
      <c r="G40" s="184"/>
      <c r="H40" s="184"/>
      <c r="I40" s="117"/>
      <c r="J40" s="713"/>
      <c r="K40" s="714"/>
      <c r="L40" s="714"/>
      <c r="M40" s="714"/>
      <c r="N40" s="714"/>
      <c r="O40" s="714"/>
      <c r="P40" s="714"/>
      <c r="Q40" s="715"/>
      <c r="R40" s="716"/>
      <c r="S40" s="714"/>
      <c r="T40" s="714"/>
      <c r="U40" s="714"/>
      <c r="V40" s="715"/>
      <c r="W40" s="185"/>
      <c r="X40" s="117"/>
      <c r="Y40" s="713"/>
      <c r="Z40" s="714"/>
      <c r="AA40" s="714"/>
      <c r="AB40" s="714"/>
      <c r="AC40" s="714"/>
      <c r="AD40" s="714"/>
      <c r="AE40" s="714"/>
      <c r="AF40" s="715"/>
      <c r="AG40" s="716"/>
      <c r="AH40" s="714"/>
      <c r="AI40" s="714"/>
      <c r="AJ40" s="714"/>
      <c r="AK40" s="715"/>
      <c r="AL40" s="184"/>
      <c r="AM40" s="117"/>
      <c r="AN40" s="159"/>
      <c r="AO40" s="163"/>
      <c r="AP40" s="163"/>
      <c r="AQ40" s="163"/>
      <c r="AR40" s="163"/>
      <c r="AS40" s="163"/>
      <c r="AT40" s="163"/>
      <c r="AU40" s="160"/>
      <c r="AV40" s="163"/>
      <c r="AW40" s="163"/>
      <c r="AX40" s="163"/>
      <c r="AY40" s="163"/>
      <c r="AZ40" s="160"/>
    </row>
    <row r="41" spans="2:52" s="98" customFormat="1" ht="15" customHeight="1">
      <c r="B41" s="161"/>
      <c r="C41" s="180" t="s">
        <v>2208</v>
      </c>
      <c r="D41" s="180"/>
      <c r="E41" s="162"/>
      <c r="F41" s="162"/>
      <c r="G41" s="163"/>
      <c r="H41" s="163"/>
      <c r="I41" s="117"/>
      <c r="J41" s="713"/>
      <c r="K41" s="721"/>
      <c r="L41" s="721"/>
      <c r="M41" s="721"/>
      <c r="N41" s="721"/>
      <c r="O41" s="721"/>
      <c r="P41" s="721"/>
      <c r="Q41" s="715"/>
      <c r="R41" s="713"/>
      <c r="S41" s="721"/>
      <c r="T41" s="721"/>
      <c r="U41" s="721"/>
      <c r="V41" s="715"/>
      <c r="W41" s="185"/>
      <c r="X41" s="117"/>
      <c r="Y41" s="713"/>
      <c r="Z41" s="721"/>
      <c r="AA41" s="721"/>
      <c r="AB41" s="721"/>
      <c r="AC41" s="721"/>
      <c r="AD41" s="721"/>
      <c r="AE41" s="721"/>
      <c r="AF41" s="715"/>
      <c r="AG41" s="713"/>
      <c r="AH41" s="721"/>
      <c r="AI41" s="721"/>
      <c r="AJ41" s="721"/>
      <c r="AK41" s="715"/>
      <c r="AL41" s="185"/>
      <c r="AM41" s="117"/>
      <c r="AN41" s="159"/>
      <c r="AO41" s="117"/>
      <c r="AP41" s="117"/>
      <c r="AQ41" s="117"/>
      <c r="AR41" s="117"/>
      <c r="AS41" s="117"/>
      <c r="AT41" s="117"/>
      <c r="AU41" s="160"/>
      <c r="AV41" s="159"/>
      <c r="AW41" s="117"/>
      <c r="AX41" s="117"/>
      <c r="AY41" s="117"/>
      <c r="AZ41" s="160"/>
    </row>
    <row r="42" spans="2:52" s="98" customFormat="1" ht="15" customHeight="1">
      <c r="B42" s="161"/>
      <c r="C42" s="185"/>
      <c r="D42" s="162" t="s">
        <v>36</v>
      </c>
      <c r="G42" s="162"/>
      <c r="H42" s="163"/>
      <c r="I42" s="164" t="s">
        <v>2145</v>
      </c>
      <c r="J42" s="143">
        <v>0</v>
      </c>
      <c r="K42" s="141">
        <v>0</v>
      </c>
      <c r="L42" s="141">
        <v>0</v>
      </c>
      <c r="M42" s="141">
        <v>0</v>
      </c>
      <c r="N42" s="141">
        <v>0</v>
      </c>
      <c r="O42" s="141">
        <v>0</v>
      </c>
      <c r="P42" s="141">
        <v>0</v>
      </c>
      <c r="Q42" s="144">
        <v>0</v>
      </c>
      <c r="R42" s="143">
        <v>0</v>
      </c>
      <c r="S42" s="141">
        <v>0</v>
      </c>
      <c r="T42" s="141">
        <v>0</v>
      </c>
      <c r="U42" s="141">
        <v>0</v>
      </c>
      <c r="V42" s="144">
        <v>0</v>
      </c>
      <c r="W42" s="185"/>
      <c r="X42" s="164" t="s">
        <v>2145</v>
      </c>
      <c r="Y42" s="143">
        <v>0</v>
      </c>
      <c r="Z42" s="141">
        <v>0</v>
      </c>
      <c r="AA42" s="141">
        <v>0</v>
      </c>
      <c r="AB42" s="141">
        <v>0</v>
      </c>
      <c r="AC42" s="141">
        <v>0</v>
      </c>
      <c r="AD42" s="141">
        <v>0</v>
      </c>
      <c r="AE42" s="141">
        <v>0</v>
      </c>
      <c r="AF42" s="144">
        <v>0</v>
      </c>
      <c r="AG42" s="143">
        <v>0</v>
      </c>
      <c r="AH42" s="141">
        <v>0</v>
      </c>
      <c r="AI42" s="141">
        <v>0</v>
      </c>
      <c r="AJ42" s="141">
        <v>0</v>
      </c>
      <c r="AK42" s="144">
        <v>0</v>
      </c>
      <c r="AL42" s="185"/>
      <c r="AM42" s="164" t="s">
        <v>1876</v>
      </c>
      <c r="AN42" s="165">
        <v>0</v>
      </c>
      <c r="AO42" s="166">
        <v>0</v>
      </c>
      <c r="AP42" s="166">
        <v>0</v>
      </c>
      <c r="AQ42" s="166">
        <v>0</v>
      </c>
      <c r="AR42" s="166">
        <v>0</v>
      </c>
      <c r="AS42" s="166">
        <v>0</v>
      </c>
      <c r="AT42" s="166">
        <v>0</v>
      </c>
      <c r="AU42" s="167">
        <v>0</v>
      </c>
      <c r="AV42" s="165">
        <v>0</v>
      </c>
      <c r="AW42" s="166">
        <v>0</v>
      </c>
      <c r="AX42" s="166">
        <v>0</v>
      </c>
      <c r="AY42" s="166">
        <v>0</v>
      </c>
      <c r="AZ42" s="167">
        <v>0</v>
      </c>
    </row>
    <row r="43" spans="2:52" s="98" customFormat="1" ht="15" customHeight="1">
      <c r="B43" s="161"/>
      <c r="C43" s="185"/>
      <c r="D43" s="162" t="s">
        <v>62</v>
      </c>
      <c r="G43" s="162"/>
      <c r="H43" s="163"/>
      <c r="I43" s="164" t="s">
        <v>2145</v>
      </c>
      <c r="J43" s="143">
        <v>0</v>
      </c>
      <c r="K43" s="141">
        <v>0</v>
      </c>
      <c r="L43" s="141">
        <v>0</v>
      </c>
      <c r="M43" s="141">
        <v>0</v>
      </c>
      <c r="N43" s="141">
        <v>0</v>
      </c>
      <c r="O43" s="141">
        <v>0</v>
      </c>
      <c r="P43" s="141">
        <v>0</v>
      </c>
      <c r="Q43" s="144">
        <v>0</v>
      </c>
      <c r="R43" s="143">
        <v>0</v>
      </c>
      <c r="S43" s="141">
        <v>0</v>
      </c>
      <c r="T43" s="141">
        <v>0</v>
      </c>
      <c r="U43" s="141">
        <v>0</v>
      </c>
      <c r="V43" s="144">
        <v>0</v>
      </c>
      <c r="W43" s="185"/>
      <c r="X43" s="164" t="s">
        <v>2145</v>
      </c>
      <c r="Y43" s="143">
        <v>0</v>
      </c>
      <c r="Z43" s="141">
        <v>0</v>
      </c>
      <c r="AA43" s="141">
        <v>0</v>
      </c>
      <c r="AB43" s="141">
        <v>0</v>
      </c>
      <c r="AC43" s="141">
        <v>0</v>
      </c>
      <c r="AD43" s="141">
        <v>0</v>
      </c>
      <c r="AE43" s="141">
        <v>0</v>
      </c>
      <c r="AF43" s="144">
        <v>0</v>
      </c>
      <c r="AG43" s="143">
        <v>0</v>
      </c>
      <c r="AH43" s="141">
        <v>0</v>
      </c>
      <c r="AI43" s="141">
        <v>0</v>
      </c>
      <c r="AJ43" s="141">
        <v>0</v>
      </c>
      <c r="AK43" s="144">
        <v>0</v>
      </c>
      <c r="AL43" s="185"/>
      <c r="AM43" s="164" t="s">
        <v>1876</v>
      </c>
      <c r="AN43" s="165">
        <v>0</v>
      </c>
      <c r="AO43" s="166">
        <v>0</v>
      </c>
      <c r="AP43" s="166">
        <v>0</v>
      </c>
      <c r="AQ43" s="166">
        <v>0</v>
      </c>
      <c r="AR43" s="166">
        <v>0</v>
      </c>
      <c r="AS43" s="166">
        <v>0</v>
      </c>
      <c r="AT43" s="166">
        <v>0</v>
      </c>
      <c r="AU43" s="167">
        <v>0</v>
      </c>
      <c r="AV43" s="165">
        <v>0</v>
      </c>
      <c r="AW43" s="166">
        <v>0</v>
      </c>
      <c r="AX43" s="166">
        <v>0</v>
      </c>
      <c r="AY43" s="166">
        <v>0</v>
      </c>
      <c r="AZ43" s="167">
        <v>0</v>
      </c>
    </row>
    <row r="44" spans="2:52" s="98" customFormat="1" ht="15" customHeight="1">
      <c r="B44" s="161"/>
      <c r="C44" s="185"/>
      <c r="D44" s="162" t="s">
        <v>71</v>
      </c>
      <c r="G44" s="162"/>
      <c r="H44" s="163"/>
      <c r="I44" s="164" t="s">
        <v>2145</v>
      </c>
      <c r="J44" s="143">
        <v>0</v>
      </c>
      <c r="K44" s="141">
        <v>0</v>
      </c>
      <c r="L44" s="141">
        <v>0</v>
      </c>
      <c r="M44" s="141">
        <v>0</v>
      </c>
      <c r="N44" s="141">
        <v>0</v>
      </c>
      <c r="O44" s="141">
        <v>0</v>
      </c>
      <c r="P44" s="141">
        <v>0</v>
      </c>
      <c r="Q44" s="144">
        <v>0</v>
      </c>
      <c r="R44" s="143">
        <v>0</v>
      </c>
      <c r="S44" s="141">
        <v>0</v>
      </c>
      <c r="T44" s="141">
        <v>0</v>
      </c>
      <c r="U44" s="141">
        <v>0</v>
      </c>
      <c r="V44" s="144">
        <v>0</v>
      </c>
      <c r="W44" s="185"/>
      <c r="X44" s="164" t="s">
        <v>2145</v>
      </c>
      <c r="Y44" s="143">
        <v>0</v>
      </c>
      <c r="Z44" s="141">
        <v>0</v>
      </c>
      <c r="AA44" s="141">
        <v>0</v>
      </c>
      <c r="AB44" s="141">
        <v>0</v>
      </c>
      <c r="AC44" s="141">
        <v>0</v>
      </c>
      <c r="AD44" s="141">
        <v>0</v>
      </c>
      <c r="AE44" s="141">
        <v>0</v>
      </c>
      <c r="AF44" s="144">
        <v>0</v>
      </c>
      <c r="AG44" s="143">
        <v>0</v>
      </c>
      <c r="AH44" s="141">
        <v>0</v>
      </c>
      <c r="AI44" s="141">
        <v>0</v>
      </c>
      <c r="AJ44" s="141">
        <v>0</v>
      </c>
      <c r="AK44" s="144">
        <v>0</v>
      </c>
      <c r="AL44" s="185"/>
      <c r="AM44" s="164" t="s">
        <v>1876</v>
      </c>
      <c r="AN44" s="165">
        <v>0</v>
      </c>
      <c r="AO44" s="166">
        <v>0</v>
      </c>
      <c r="AP44" s="166">
        <v>0</v>
      </c>
      <c r="AQ44" s="166">
        <v>0</v>
      </c>
      <c r="AR44" s="166">
        <v>0</v>
      </c>
      <c r="AS44" s="166">
        <v>0</v>
      </c>
      <c r="AT44" s="166">
        <v>0</v>
      </c>
      <c r="AU44" s="167">
        <v>0</v>
      </c>
      <c r="AV44" s="165">
        <v>0</v>
      </c>
      <c r="AW44" s="166">
        <v>0</v>
      </c>
      <c r="AX44" s="166">
        <v>0</v>
      </c>
      <c r="AY44" s="166">
        <v>0</v>
      </c>
      <c r="AZ44" s="167">
        <v>0</v>
      </c>
    </row>
    <row r="45" spans="2:52" s="98" customFormat="1" ht="15" customHeight="1">
      <c r="B45" s="181"/>
      <c r="C45" s="182" t="s">
        <v>1710</v>
      </c>
      <c r="D45" s="245"/>
      <c r="G45" s="184"/>
      <c r="H45" s="184"/>
      <c r="I45" s="164" t="s">
        <v>2145</v>
      </c>
      <c r="J45" s="128">
        <f>SUM(J42:J44)</f>
        <v>0</v>
      </c>
      <c r="K45" s="129">
        <f t="shared" ref="K45" si="158">SUM(K42:K44)</f>
        <v>0</v>
      </c>
      <c r="L45" s="129">
        <f t="shared" ref="L45" si="159">SUM(L42:L44)</f>
        <v>0</v>
      </c>
      <c r="M45" s="129">
        <f t="shared" ref="M45" si="160">SUM(M42:M44)</f>
        <v>0</v>
      </c>
      <c r="N45" s="129">
        <f t="shared" ref="N45" si="161">SUM(N42:N44)</f>
        <v>0</v>
      </c>
      <c r="O45" s="129">
        <f t="shared" ref="O45" si="162">SUM(O42:O44)</f>
        <v>0</v>
      </c>
      <c r="P45" s="129">
        <f t="shared" ref="P45" si="163">SUM(P42:P44)</f>
        <v>0</v>
      </c>
      <c r="Q45" s="130">
        <f t="shared" ref="Q45" si="164">SUM(Q42:Q44)</f>
        <v>0</v>
      </c>
      <c r="R45" s="128">
        <f t="shared" ref="R45" si="165">SUM(R42:R44)</f>
        <v>0</v>
      </c>
      <c r="S45" s="129">
        <f t="shared" ref="S45" si="166">SUM(S42:S44)</f>
        <v>0</v>
      </c>
      <c r="T45" s="129">
        <f t="shared" ref="T45" si="167">SUM(T42:T44)</f>
        <v>0</v>
      </c>
      <c r="U45" s="129">
        <f t="shared" ref="U45" si="168">SUM(U42:U44)</f>
        <v>0</v>
      </c>
      <c r="V45" s="130">
        <f t="shared" ref="V45" si="169">SUM(V42:V44)</f>
        <v>0</v>
      </c>
      <c r="W45" s="185"/>
      <c r="X45" s="164" t="s">
        <v>2145</v>
      </c>
      <c r="Y45" s="128">
        <f>SUM(Y42:Y44)</f>
        <v>0</v>
      </c>
      <c r="Z45" s="129">
        <f t="shared" ref="Z45" si="170">SUM(Z42:Z44)</f>
        <v>0</v>
      </c>
      <c r="AA45" s="129">
        <f t="shared" ref="AA45" si="171">SUM(AA42:AA44)</f>
        <v>0</v>
      </c>
      <c r="AB45" s="129">
        <f t="shared" ref="AB45" si="172">SUM(AB42:AB44)</f>
        <v>0</v>
      </c>
      <c r="AC45" s="129">
        <f t="shared" ref="AC45" si="173">SUM(AC42:AC44)</f>
        <v>0</v>
      </c>
      <c r="AD45" s="129">
        <f t="shared" ref="AD45" si="174">SUM(AD42:AD44)</f>
        <v>0</v>
      </c>
      <c r="AE45" s="129">
        <f t="shared" ref="AE45" si="175">SUM(AE42:AE44)</f>
        <v>0</v>
      </c>
      <c r="AF45" s="130">
        <f t="shared" ref="AF45" si="176">SUM(AF42:AF44)</f>
        <v>0</v>
      </c>
      <c r="AG45" s="128">
        <f t="shared" ref="AG45" si="177">SUM(AG42:AG44)</f>
        <v>0</v>
      </c>
      <c r="AH45" s="129">
        <f t="shared" ref="AH45" si="178">SUM(AH42:AH44)</f>
        <v>0</v>
      </c>
      <c r="AI45" s="129">
        <f t="shared" ref="AI45" si="179">SUM(AI42:AI44)</f>
        <v>0</v>
      </c>
      <c r="AJ45" s="129">
        <f t="shared" ref="AJ45" si="180">SUM(AJ42:AJ44)</f>
        <v>0</v>
      </c>
      <c r="AK45" s="130">
        <f t="shared" ref="AK45" si="181">SUM(AK42:AK44)</f>
        <v>0</v>
      </c>
      <c r="AL45" s="185"/>
      <c r="AM45" s="164" t="s">
        <v>1876</v>
      </c>
      <c r="AN45" s="777">
        <f>SUM(AN42:AN44)</f>
        <v>0</v>
      </c>
      <c r="AO45" s="778">
        <f t="shared" ref="AO45" si="182">SUM(AO42:AO44)</f>
        <v>0</v>
      </c>
      <c r="AP45" s="778">
        <f t="shared" ref="AP45" si="183">SUM(AP42:AP44)</f>
        <v>0</v>
      </c>
      <c r="AQ45" s="778">
        <f t="shared" ref="AQ45" si="184">SUM(AQ42:AQ44)</f>
        <v>0</v>
      </c>
      <c r="AR45" s="778">
        <f t="shared" ref="AR45" si="185">SUM(AR42:AR44)</f>
        <v>0</v>
      </c>
      <c r="AS45" s="778">
        <f t="shared" ref="AS45" si="186">SUM(AS42:AS44)</f>
        <v>0</v>
      </c>
      <c r="AT45" s="778">
        <f t="shared" ref="AT45" si="187">SUM(AT42:AT44)</f>
        <v>0</v>
      </c>
      <c r="AU45" s="779">
        <f t="shared" ref="AU45" si="188">SUM(AU42:AU44)</f>
        <v>0</v>
      </c>
      <c r="AV45" s="777">
        <f t="shared" ref="AV45" si="189">SUM(AV42:AV44)</f>
        <v>0</v>
      </c>
      <c r="AW45" s="778">
        <f t="shared" ref="AW45" si="190">SUM(AW42:AW44)</f>
        <v>0</v>
      </c>
      <c r="AX45" s="778">
        <f t="shared" ref="AX45" si="191">SUM(AX42:AX44)</f>
        <v>0</v>
      </c>
      <c r="AY45" s="778">
        <f t="shared" ref="AY45" si="192">SUM(AY42:AY44)</f>
        <v>0</v>
      </c>
      <c r="AZ45" s="779">
        <f t="shared" ref="AZ45" si="193">SUM(AZ42:AZ44)</f>
        <v>0</v>
      </c>
    </row>
    <row r="46" spans="2:52" s="98" customFormat="1" ht="15" customHeight="1">
      <c r="B46" s="181"/>
      <c r="C46" s="185"/>
      <c r="D46" s="185"/>
      <c r="E46" s="182"/>
      <c r="F46" s="182"/>
      <c r="G46" s="184"/>
      <c r="H46" s="184"/>
      <c r="I46" s="117"/>
      <c r="J46" s="713"/>
      <c r="K46" s="714"/>
      <c r="L46" s="714"/>
      <c r="M46" s="714"/>
      <c r="N46" s="714"/>
      <c r="O46" s="714"/>
      <c r="P46" s="714"/>
      <c r="Q46" s="715"/>
      <c r="R46" s="716"/>
      <c r="S46" s="714"/>
      <c r="T46" s="714"/>
      <c r="U46" s="714"/>
      <c r="V46" s="715"/>
      <c r="W46" s="185"/>
      <c r="X46" s="117"/>
      <c r="Y46" s="713"/>
      <c r="Z46" s="714"/>
      <c r="AA46" s="714"/>
      <c r="AB46" s="714"/>
      <c r="AC46" s="714"/>
      <c r="AD46" s="714"/>
      <c r="AE46" s="714"/>
      <c r="AF46" s="715"/>
      <c r="AG46" s="716"/>
      <c r="AH46" s="714"/>
      <c r="AI46" s="714"/>
      <c r="AJ46" s="714"/>
      <c r="AK46" s="715"/>
      <c r="AL46" s="184"/>
      <c r="AM46" s="117"/>
      <c r="AN46" s="159"/>
      <c r="AO46" s="163"/>
      <c r="AP46" s="163"/>
      <c r="AQ46" s="163"/>
      <c r="AR46" s="163"/>
      <c r="AS46" s="163"/>
      <c r="AT46" s="163"/>
      <c r="AU46" s="160"/>
      <c r="AV46" s="163"/>
      <c r="AW46" s="163"/>
      <c r="AX46" s="163"/>
      <c r="AY46" s="163"/>
      <c r="AZ46" s="160"/>
    </row>
    <row r="47" spans="2:52" s="98" customFormat="1" ht="15" customHeight="1">
      <c r="B47" s="161"/>
      <c r="C47" s="180" t="s">
        <v>2209</v>
      </c>
      <c r="D47" s="180"/>
      <c r="E47" s="162"/>
      <c r="F47" s="162"/>
      <c r="G47" s="163"/>
      <c r="H47" s="163"/>
      <c r="I47" s="117"/>
      <c r="J47" s="713"/>
      <c r="K47" s="721"/>
      <c r="L47" s="721"/>
      <c r="M47" s="721"/>
      <c r="N47" s="721"/>
      <c r="O47" s="721"/>
      <c r="P47" s="721"/>
      <c r="Q47" s="715"/>
      <c r="R47" s="713"/>
      <c r="S47" s="721"/>
      <c r="T47" s="721"/>
      <c r="U47" s="721"/>
      <c r="V47" s="715"/>
      <c r="W47" s="185"/>
      <c r="X47" s="117"/>
      <c r="Y47" s="713"/>
      <c r="Z47" s="721"/>
      <c r="AA47" s="721"/>
      <c r="AB47" s="721"/>
      <c r="AC47" s="721"/>
      <c r="AD47" s="721"/>
      <c r="AE47" s="721"/>
      <c r="AF47" s="715"/>
      <c r="AG47" s="713"/>
      <c r="AH47" s="721"/>
      <c r="AI47" s="721"/>
      <c r="AJ47" s="721"/>
      <c r="AK47" s="715"/>
      <c r="AL47" s="163"/>
      <c r="AM47" s="117"/>
      <c r="AN47" s="159"/>
      <c r="AO47" s="117"/>
      <c r="AP47" s="117"/>
      <c r="AQ47" s="117"/>
      <c r="AR47" s="117"/>
      <c r="AS47" s="117"/>
      <c r="AT47" s="117"/>
      <c r="AU47" s="160"/>
      <c r="AV47" s="159"/>
      <c r="AW47" s="117"/>
      <c r="AX47" s="117"/>
      <c r="AY47" s="117"/>
      <c r="AZ47" s="160"/>
    </row>
    <row r="48" spans="2:52" s="98" customFormat="1" ht="15" customHeight="1">
      <c r="B48" s="161"/>
      <c r="C48" s="185"/>
      <c r="D48" s="162" t="s">
        <v>36</v>
      </c>
      <c r="G48" s="162"/>
      <c r="H48" s="163"/>
      <c r="I48" s="164" t="s">
        <v>2145</v>
      </c>
      <c r="J48" s="143">
        <v>0</v>
      </c>
      <c r="K48" s="141">
        <v>0</v>
      </c>
      <c r="L48" s="141">
        <v>5.0571719346408361E-2</v>
      </c>
      <c r="M48" s="141">
        <v>5.2601152154405362E-2</v>
      </c>
      <c r="N48" s="141">
        <v>5.2879071326820307E-2</v>
      </c>
      <c r="O48" s="141">
        <v>7.8099049095590845E-2</v>
      </c>
      <c r="P48" s="141">
        <v>7.8099049095590845E-2</v>
      </c>
      <c r="Q48" s="144">
        <v>7.8099049095590845E-2</v>
      </c>
      <c r="R48" s="143">
        <v>7.8099049095590845E-2</v>
      </c>
      <c r="S48" s="141">
        <v>7.8099049095590845E-2</v>
      </c>
      <c r="T48" s="141">
        <v>7.8099049095590845E-2</v>
      </c>
      <c r="U48" s="141">
        <v>7.8099049095590845E-2</v>
      </c>
      <c r="V48" s="144">
        <v>7.8099049095590845E-2</v>
      </c>
      <c r="W48" s="185"/>
      <c r="X48" s="164" t="s">
        <v>2145</v>
      </c>
      <c r="Y48" s="143">
        <v>0</v>
      </c>
      <c r="Z48" s="141">
        <v>0</v>
      </c>
      <c r="AA48" s="141">
        <v>0</v>
      </c>
      <c r="AB48" s="141">
        <v>0</v>
      </c>
      <c r="AC48" s="141">
        <v>0</v>
      </c>
      <c r="AD48" s="141">
        <v>0</v>
      </c>
      <c r="AE48" s="141">
        <v>0</v>
      </c>
      <c r="AF48" s="144">
        <v>0</v>
      </c>
      <c r="AG48" s="143">
        <v>0</v>
      </c>
      <c r="AH48" s="141">
        <v>0</v>
      </c>
      <c r="AI48" s="141">
        <v>0</v>
      </c>
      <c r="AJ48" s="141">
        <v>0</v>
      </c>
      <c r="AK48" s="144">
        <v>0</v>
      </c>
      <c r="AL48" s="185"/>
      <c r="AM48" s="164" t="s">
        <v>1876</v>
      </c>
      <c r="AN48" s="165">
        <v>0</v>
      </c>
      <c r="AO48" s="166">
        <v>0</v>
      </c>
      <c r="AP48" s="166">
        <v>1232</v>
      </c>
      <c r="AQ48" s="166">
        <v>1340</v>
      </c>
      <c r="AR48" s="166">
        <v>1293</v>
      </c>
      <c r="AS48" s="166">
        <v>1726</v>
      </c>
      <c r="AT48" s="166">
        <v>1726</v>
      </c>
      <c r="AU48" s="167">
        <v>1726</v>
      </c>
      <c r="AV48" s="165">
        <v>1726</v>
      </c>
      <c r="AW48" s="166">
        <v>1726</v>
      </c>
      <c r="AX48" s="166">
        <v>1726</v>
      </c>
      <c r="AY48" s="166">
        <v>1726</v>
      </c>
      <c r="AZ48" s="167">
        <v>1726</v>
      </c>
    </row>
    <row r="49" spans="1:53" s="98" customFormat="1" ht="15" customHeight="1">
      <c r="B49" s="161"/>
      <c r="C49" s="185"/>
      <c r="D49" s="162" t="s">
        <v>62</v>
      </c>
      <c r="G49" s="162"/>
      <c r="H49" s="163"/>
      <c r="I49" s="164" t="s">
        <v>2145</v>
      </c>
      <c r="J49" s="143">
        <v>0</v>
      </c>
      <c r="K49" s="141">
        <v>0</v>
      </c>
      <c r="L49" s="141">
        <v>3.5986319667470922E-3</v>
      </c>
      <c r="M49" s="141">
        <v>4.4203393272226801E-3</v>
      </c>
      <c r="N49" s="141">
        <v>4.3184574916903251E-3</v>
      </c>
      <c r="O49" s="141">
        <v>8.1980600660578797E-3</v>
      </c>
      <c r="P49" s="141">
        <v>8.1980600660578797E-3</v>
      </c>
      <c r="Q49" s="144">
        <v>8.1980600660578797E-3</v>
      </c>
      <c r="R49" s="143">
        <v>8.1980600660578797E-3</v>
      </c>
      <c r="S49" s="141">
        <v>8.1980600660578797E-3</v>
      </c>
      <c r="T49" s="141">
        <v>8.1980600660578797E-3</v>
      </c>
      <c r="U49" s="141">
        <v>8.1980600660578797E-3</v>
      </c>
      <c r="V49" s="144">
        <v>8.1980600660578797E-3</v>
      </c>
      <c r="W49" s="185"/>
      <c r="X49" s="164" t="s">
        <v>2145</v>
      </c>
      <c r="Y49" s="143">
        <v>0</v>
      </c>
      <c r="Z49" s="141">
        <v>0</v>
      </c>
      <c r="AA49" s="141">
        <v>0</v>
      </c>
      <c r="AB49" s="141">
        <v>0</v>
      </c>
      <c r="AC49" s="141">
        <v>0</v>
      </c>
      <c r="AD49" s="141">
        <v>0</v>
      </c>
      <c r="AE49" s="141">
        <v>0</v>
      </c>
      <c r="AF49" s="144">
        <v>0</v>
      </c>
      <c r="AG49" s="143">
        <v>0</v>
      </c>
      <c r="AH49" s="141">
        <v>0</v>
      </c>
      <c r="AI49" s="141">
        <v>0</v>
      </c>
      <c r="AJ49" s="141">
        <v>0</v>
      </c>
      <c r="AK49" s="144">
        <v>0</v>
      </c>
      <c r="AL49" s="185"/>
      <c r="AM49" s="164" t="s">
        <v>1876</v>
      </c>
      <c r="AN49" s="165">
        <v>0</v>
      </c>
      <c r="AO49" s="166">
        <v>0</v>
      </c>
      <c r="AP49" s="166">
        <v>89</v>
      </c>
      <c r="AQ49" s="166">
        <v>115</v>
      </c>
      <c r="AR49" s="166">
        <v>106</v>
      </c>
      <c r="AS49" s="166">
        <v>191</v>
      </c>
      <c r="AT49" s="166">
        <v>191</v>
      </c>
      <c r="AU49" s="167">
        <v>191</v>
      </c>
      <c r="AV49" s="165">
        <v>191</v>
      </c>
      <c r="AW49" s="166">
        <v>191</v>
      </c>
      <c r="AX49" s="166">
        <v>191</v>
      </c>
      <c r="AY49" s="166">
        <v>191</v>
      </c>
      <c r="AZ49" s="167">
        <v>191</v>
      </c>
    </row>
    <row r="50" spans="1:53" s="98" customFormat="1" ht="15" customHeight="1">
      <c r="B50" s="161"/>
      <c r="C50" s="185"/>
      <c r="D50" s="162" t="s">
        <v>71</v>
      </c>
      <c r="G50" s="162"/>
      <c r="H50" s="163"/>
      <c r="I50" s="164" t="s">
        <v>2145</v>
      </c>
      <c r="J50" s="143">
        <v>0</v>
      </c>
      <c r="K50" s="141">
        <v>0</v>
      </c>
      <c r="L50" s="141">
        <v>3.7657611874537165E-2</v>
      </c>
      <c r="M50" s="141">
        <v>2.4023968447751318E-2</v>
      </c>
      <c r="N50" s="141">
        <v>2.6241007220183146E-2</v>
      </c>
      <c r="O50" s="141">
        <v>4.4435861807328218E-2</v>
      </c>
      <c r="P50" s="141">
        <v>4.4435861807328218E-2</v>
      </c>
      <c r="Q50" s="144">
        <v>4.4435861807328218E-2</v>
      </c>
      <c r="R50" s="143">
        <v>4.4435861807328218E-2</v>
      </c>
      <c r="S50" s="141">
        <v>4.4435861807328218E-2</v>
      </c>
      <c r="T50" s="141">
        <v>4.4435861807328218E-2</v>
      </c>
      <c r="U50" s="141">
        <v>4.4435861807328218E-2</v>
      </c>
      <c r="V50" s="144">
        <v>4.4435861807328218E-2</v>
      </c>
      <c r="W50" s="185"/>
      <c r="X50" s="164" t="s">
        <v>2145</v>
      </c>
      <c r="Y50" s="143">
        <v>0</v>
      </c>
      <c r="Z50" s="141">
        <v>0</v>
      </c>
      <c r="AA50" s="141">
        <v>0</v>
      </c>
      <c r="AB50" s="141">
        <v>0</v>
      </c>
      <c r="AC50" s="141">
        <v>0</v>
      </c>
      <c r="AD50" s="141">
        <v>0</v>
      </c>
      <c r="AE50" s="141">
        <v>0</v>
      </c>
      <c r="AF50" s="144">
        <v>0</v>
      </c>
      <c r="AG50" s="143">
        <v>0</v>
      </c>
      <c r="AH50" s="141">
        <v>0</v>
      </c>
      <c r="AI50" s="141">
        <v>0</v>
      </c>
      <c r="AJ50" s="141">
        <v>0</v>
      </c>
      <c r="AK50" s="144">
        <v>0</v>
      </c>
      <c r="AL50" s="185"/>
      <c r="AM50" s="164" t="s">
        <v>1876</v>
      </c>
      <c r="AN50" s="165">
        <v>0</v>
      </c>
      <c r="AO50" s="166">
        <v>0</v>
      </c>
      <c r="AP50" s="166">
        <v>943</v>
      </c>
      <c r="AQ50" s="166">
        <v>634</v>
      </c>
      <c r="AR50" s="166">
        <v>650</v>
      </c>
      <c r="AS50" s="166">
        <v>1013</v>
      </c>
      <c r="AT50" s="166">
        <v>1013</v>
      </c>
      <c r="AU50" s="167">
        <v>1013</v>
      </c>
      <c r="AV50" s="165">
        <v>1013</v>
      </c>
      <c r="AW50" s="166">
        <v>1013</v>
      </c>
      <c r="AX50" s="166">
        <v>1013</v>
      </c>
      <c r="AY50" s="166">
        <v>1013</v>
      </c>
      <c r="AZ50" s="167">
        <v>1013</v>
      </c>
    </row>
    <row r="51" spans="1:53" s="98" customFormat="1" ht="15" customHeight="1">
      <c r="B51" s="181"/>
      <c r="C51" s="182" t="s">
        <v>1710</v>
      </c>
      <c r="D51" s="245"/>
      <c r="G51" s="184"/>
      <c r="H51" s="184"/>
      <c r="I51" s="164" t="s">
        <v>2145</v>
      </c>
      <c r="J51" s="128">
        <f>SUM(J48:J50)</f>
        <v>0</v>
      </c>
      <c r="K51" s="129">
        <f t="shared" ref="K51" si="194">SUM(K48:K50)</f>
        <v>0</v>
      </c>
      <c r="L51" s="129">
        <f t="shared" ref="L51" si="195">SUM(L48:L50)</f>
        <v>9.1827963187692624E-2</v>
      </c>
      <c r="M51" s="129">
        <f t="shared" ref="M51" si="196">SUM(M48:M50)</f>
        <v>8.1045459929379365E-2</v>
      </c>
      <c r="N51" s="129">
        <f t="shared" ref="N51" si="197">SUM(N48:N50)</f>
        <v>8.3438536038693778E-2</v>
      </c>
      <c r="O51" s="129">
        <f t="shared" ref="O51" si="198">SUM(O48:O50)</f>
        <v>0.13073297096897693</v>
      </c>
      <c r="P51" s="129">
        <f t="shared" ref="P51" si="199">SUM(P48:P50)</f>
        <v>0.13073297096897693</v>
      </c>
      <c r="Q51" s="130">
        <f t="shared" ref="Q51" si="200">SUM(Q48:Q50)</f>
        <v>0.13073297096897693</v>
      </c>
      <c r="R51" s="128">
        <f t="shared" ref="R51" si="201">SUM(R48:R50)</f>
        <v>0.13073297096897693</v>
      </c>
      <c r="S51" s="129">
        <f t="shared" ref="S51" si="202">SUM(S48:S50)</f>
        <v>0.13073297096897693</v>
      </c>
      <c r="T51" s="129">
        <f t="shared" ref="T51" si="203">SUM(T48:T50)</f>
        <v>0.13073297096897693</v>
      </c>
      <c r="U51" s="129">
        <f t="shared" ref="U51" si="204">SUM(U48:U50)</f>
        <v>0.13073297096897693</v>
      </c>
      <c r="V51" s="130">
        <f t="shared" ref="V51" si="205">SUM(V48:V50)</f>
        <v>0.13073297096897693</v>
      </c>
      <c r="W51" s="185"/>
      <c r="X51" s="164" t="s">
        <v>2145</v>
      </c>
      <c r="Y51" s="128">
        <f>SUM(Y48:Y50)</f>
        <v>0</v>
      </c>
      <c r="Z51" s="129">
        <f t="shared" ref="Z51" si="206">SUM(Z48:Z50)</f>
        <v>0</v>
      </c>
      <c r="AA51" s="129">
        <f t="shared" ref="AA51" si="207">SUM(AA48:AA50)</f>
        <v>0</v>
      </c>
      <c r="AB51" s="129">
        <f t="shared" ref="AB51" si="208">SUM(AB48:AB50)</f>
        <v>0</v>
      </c>
      <c r="AC51" s="129">
        <f t="shared" ref="AC51" si="209">SUM(AC48:AC50)</f>
        <v>0</v>
      </c>
      <c r="AD51" s="129">
        <f t="shared" ref="AD51" si="210">SUM(AD48:AD50)</f>
        <v>0</v>
      </c>
      <c r="AE51" s="129">
        <f t="shared" ref="AE51" si="211">SUM(AE48:AE50)</f>
        <v>0</v>
      </c>
      <c r="AF51" s="130">
        <f t="shared" ref="AF51" si="212">SUM(AF48:AF50)</f>
        <v>0</v>
      </c>
      <c r="AG51" s="128">
        <f t="shared" ref="AG51" si="213">SUM(AG48:AG50)</f>
        <v>0</v>
      </c>
      <c r="AH51" s="129">
        <f t="shared" ref="AH51" si="214">SUM(AH48:AH50)</f>
        <v>0</v>
      </c>
      <c r="AI51" s="129">
        <f t="shared" ref="AI51" si="215">SUM(AI48:AI50)</f>
        <v>0</v>
      </c>
      <c r="AJ51" s="129">
        <f t="shared" ref="AJ51" si="216">SUM(AJ48:AJ50)</f>
        <v>0</v>
      </c>
      <c r="AK51" s="130">
        <f t="shared" ref="AK51" si="217">SUM(AK48:AK50)</f>
        <v>0</v>
      </c>
      <c r="AL51" s="185"/>
      <c r="AM51" s="164" t="s">
        <v>1876</v>
      </c>
      <c r="AN51" s="777">
        <f>SUM(AN48:AN50)</f>
        <v>0</v>
      </c>
      <c r="AO51" s="778">
        <f t="shared" ref="AO51" si="218">SUM(AO48:AO50)</f>
        <v>0</v>
      </c>
      <c r="AP51" s="778">
        <f t="shared" ref="AP51" si="219">SUM(AP48:AP50)</f>
        <v>2264</v>
      </c>
      <c r="AQ51" s="778">
        <f t="shared" ref="AQ51" si="220">SUM(AQ48:AQ50)</f>
        <v>2089</v>
      </c>
      <c r="AR51" s="778">
        <f t="shared" ref="AR51" si="221">SUM(AR48:AR50)</f>
        <v>2049</v>
      </c>
      <c r="AS51" s="778">
        <f t="shared" ref="AS51" si="222">SUM(AS48:AS50)</f>
        <v>2930</v>
      </c>
      <c r="AT51" s="778">
        <f t="shared" ref="AT51" si="223">SUM(AT48:AT50)</f>
        <v>2930</v>
      </c>
      <c r="AU51" s="779">
        <f t="shared" ref="AU51" si="224">SUM(AU48:AU50)</f>
        <v>2930</v>
      </c>
      <c r="AV51" s="777">
        <f t="shared" ref="AV51" si="225">SUM(AV48:AV50)</f>
        <v>2930</v>
      </c>
      <c r="AW51" s="778">
        <f t="shared" ref="AW51" si="226">SUM(AW48:AW50)</f>
        <v>2930</v>
      </c>
      <c r="AX51" s="778">
        <f t="shared" ref="AX51" si="227">SUM(AX48:AX50)</f>
        <v>2930</v>
      </c>
      <c r="AY51" s="778">
        <f t="shared" ref="AY51" si="228">SUM(AY48:AY50)</f>
        <v>2930</v>
      </c>
      <c r="AZ51" s="779">
        <f t="shared" ref="AZ51" si="229">SUM(AZ48:AZ50)</f>
        <v>2930</v>
      </c>
    </row>
    <row r="52" spans="1:53" s="98" customFormat="1" ht="15" customHeight="1">
      <c r="B52" s="181"/>
      <c r="C52" s="185"/>
      <c r="D52" s="185"/>
      <c r="E52" s="182"/>
      <c r="F52" s="182"/>
      <c r="G52" s="184"/>
      <c r="H52" s="184"/>
      <c r="I52" s="117"/>
      <c r="J52" s="713"/>
      <c r="K52" s="714"/>
      <c r="L52" s="714"/>
      <c r="M52" s="714"/>
      <c r="N52" s="714"/>
      <c r="O52" s="714"/>
      <c r="P52" s="714"/>
      <c r="Q52" s="715"/>
      <c r="R52" s="716"/>
      <c r="S52" s="714"/>
      <c r="T52" s="714"/>
      <c r="U52" s="714"/>
      <c r="V52" s="715"/>
      <c r="W52" s="185"/>
      <c r="X52" s="117"/>
      <c r="Y52" s="713"/>
      <c r="Z52" s="714"/>
      <c r="AA52" s="714"/>
      <c r="AB52" s="714"/>
      <c r="AC52" s="714"/>
      <c r="AD52" s="714"/>
      <c r="AE52" s="714"/>
      <c r="AF52" s="715"/>
      <c r="AG52" s="716"/>
      <c r="AH52" s="714"/>
      <c r="AI52" s="714"/>
      <c r="AJ52" s="714"/>
      <c r="AK52" s="715"/>
      <c r="AL52" s="185"/>
      <c r="AM52" s="117"/>
      <c r="AN52" s="159"/>
      <c r="AO52" s="163"/>
      <c r="AP52" s="163"/>
      <c r="AQ52" s="163"/>
      <c r="AR52" s="163"/>
      <c r="AS52" s="163"/>
      <c r="AT52" s="163"/>
      <c r="AU52" s="160"/>
      <c r="AV52" s="163"/>
      <c r="AW52" s="163"/>
      <c r="AX52" s="163"/>
      <c r="AY52" s="163"/>
      <c r="AZ52" s="160"/>
    </row>
    <row r="53" spans="1:53" s="98" customFormat="1" ht="15" customHeight="1">
      <c r="B53" s="161"/>
      <c r="C53" s="180" t="s">
        <v>2210</v>
      </c>
      <c r="D53" s="180"/>
      <c r="E53" s="162"/>
      <c r="F53" s="162"/>
      <c r="G53" s="163"/>
      <c r="H53" s="163"/>
      <c r="I53" s="163"/>
      <c r="J53" s="171"/>
      <c r="K53" s="163"/>
      <c r="L53" s="163"/>
      <c r="M53" s="163"/>
      <c r="N53" s="163"/>
      <c r="O53" s="163"/>
      <c r="P53" s="163"/>
      <c r="Q53" s="172"/>
      <c r="R53" s="171"/>
      <c r="S53" s="163"/>
      <c r="T53" s="163"/>
      <c r="U53" s="163"/>
      <c r="V53" s="172"/>
      <c r="W53" s="163"/>
      <c r="X53" s="163"/>
      <c r="Y53" s="171"/>
      <c r="Z53" s="163"/>
      <c r="AA53" s="163"/>
      <c r="AB53" s="163"/>
      <c r="AC53" s="163"/>
      <c r="AD53" s="163"/>
      <c r="AE53" s="163"/>
      <c r="AF53" s="172"/>
      <c r="AG53" s="171"/>
      <c r="AH53" s="163"/>
      <c r="AI53" s="163"/>
      <c r="AJ53" s="163"/>
      <c r="AK53" s="172"/>
      <c r="AL53" s="163"/>
      <c r="AM53" s="117"/>
      <c r="AN53" s="159"/>
      <c r="AO53" s="117"/>
      <c r="AP53" s="117"/>
      <c r="AQ53" s="117"/>
      <c r="AR53" s="117"/>
      <c r="AS53" s="117"/>
      <c r="AT53" s="117"/>
      <c r="AU53" s="160"/>
      <c r="AV53" s="159"/>
      <c r="AW53" s="117"/>
      <c r="AX53" s="117"/>
      <c r="AY53" s="117"/>
      <c r="AZ53" s="160"/>
    </row>
    <row r="54" spans="1:53" s="98" customFormat="1" ht="15" customHeight="1">
      <c r="B54" s="161"/>
      <c r="C54" s="185"/>
      <c r="D54" s="162" t="s">
        <v>36</v>
      </c>
      <c r="G54" s="162"/>
      <c r="H54" s="163"/>
      <c r="I54" s="163"/>
      <c r="J54" s="171"/>
      <c r="K54" s="163"/>
      <c r="L54" s="163"/>
      <c r="M54" s="163"/>
      <c r="N54" s="163"/>
      <c r="O54" s="163"/>
      <c r="P54" s="163"/>
      <c r="Q54" s="172"/>
      <c r="R54" s="171"/>
      <c r="S54" s="163"/>
      <c r="T54" s="163"/>
      <c r="U54" s="163"/>
      <c r="V54" s="172"/>
      <c r="W54" s="163"/>
      <c r="X54" s="163"/>
      <c r="Y54" s="171"/>
      <c r="Z54" s="163"/>
      <c r="AA54" s="163"/>
      <c r="AB54" s="163"/>
      <c r="AC54" s="163"/>
      <c r="AD54" s="163"/>
      <c r="AE54" s="163"/>
      <c r="AF54" s="172"/>
      <c r="AG54" s="171"/>
      <c r="AH54" s="163"/>
      <c r="AI54" s="163"/>
      <c r="AJ54" s="163"/>
      <c r="AK54" s="172"/>
      <c r="AL54" s="163"/>
      <c r="AM54" s="164" t="s">
        <v>1876</v>
      </c>
      <c r="AN54" s="165">
        <v>0</v>
      </c>
      <c r="AO54" s="166">
        <v>0</v>
      </c>
      <c r="AP54" s="166">
        <v>0</v>
      </c>
      <c r="AQ54" s="166">
        <v>0</v>
      </c>
      <c r="AR54" s="166">
        <v>0</v>
      </c>
      <c r="AS54" s="166">
        <v>0</v>
      </c>
      <c r="AT54" s="166">
        <v>0</v>
      </c>
      <c r="AU54" s="167">
        <v>0</v>
      </c>
      <c r="AV54" s="165">
        <v>0</v>
      </c>
      <c r="AW54" s="166">
        <v>0</v>
      </c>
      <c r="AX54" s="166">
        <v>0</v>
      </c>
      <c r="AY54" s="166">
        <v>0</v>
      </c>
      <c r="AZ54" s="167">
        <v>0</v>
      </c>
    </row>
    <row r="55" spans="1:53" s="98" customFormat="1" ht="15" customHeight="1">
      <c r="B55" s="161"/>
      <c r="C55" s="185"/>
      <c r="D55" s="162" t="s">
        <v>62</v>
      </c>
      <c r="G55" s="162"/>
      <c r="H55" s="163"/>
      <c r="I55" s="163"/>
      <c r="J55" s="171"/>
      <c r="K55" s="163"/>
      <c r="L55" s="163"/>
      <c r="M55" s="163"/>
      <c r="N55" s="163"/>
      <c r="O55" s="163"/>
      <c r="P55" s="163"/>
      <c r="Q55" s="172"/>
      <c r="R55" s="171"/>
      <c r="S55" s="163"/>
      <c r="T55" s="163"/>
      <c r="U55" s="163"/>
      <c r="V55" s="172"/>
      <c r="W55" s="163"/>
      <c r="X55" s="163"/>
      <c r="Y55" s="171"/>
      <c r="Z55" s="163"/>
      <c r="AA55" s="163"/>
      <c r="AB55" s="163"/>
      <c r="AC55" s="163"/>
      <c r="AD55" s="163"/>
      <c r="AE55" s="163"/>
      <c r="AF55" s="172"/>
      <c r="AG55" s="171"/>
      <c r="AH55" s="163"/>
      <c r="AI55" s="163"/>
      <c r="AJ55" s="163"/>
      <c r="AK55" s="172"/>
      <c r="AL55" s="163"/>
      <c r="AM55" s="164" t="s">
        <v>1876</v>
      </c>
      <c r="AN55" s="165">
        <v>0</v>
      </c>
      <c r="AO55" s="166">
        <v>0</v>
      </c>
      <c r="AP55" s="166">
        <v>0</v>
      </c>
      <c r="AQ55" s="166">
        <v>0</v>
      </c>
      <c r="AR55" s="166">
        <v>0</v>
      </c>
      <c r="AS55" s="166">
        <v>0</v>
      </c>
      <c r="AT55" s="166">
        <v>0</v>
      </c>
      <c r="AU55" s="167">
        <v>0</v>
      </c>
      <c r="AV55" s="165">
        <v>0</v>
      </c>
      <c r="AW55" s="166">
        <v>0</v>
      </c>
      <c r="AX55" s="166">
        <v>0</v>
      </c>
      <c r="AY55" s="166">
        <v>0</v>
      </c>
      <c r="AZ55" s="167">
        <v>0</v>
      </c>
    </row>
    <row r="56" spans="1:53" s="98" customFormat="1" ht="15" customHeight="1">
      <c r="B56" s="161"/>
      <c r="C56" s="185"/>
      <c r="D56" s="162" t="s">
        <v>71</v>
      </c>
      <c r="G56" s="162"/>
      <c r="H56" s="163"/>
      <c r="I56" s="163"/>
      <c r="J56" s="171"/>
      <c r="K56" s="163"/>
      <c r="L56" s="163"/>
      <c r="M56" s="163"/>
      <c r="N56" s="163"/>
      <c r="O56" s="163"/>
      <c r="P56" s="163"/>
      <c r="Q56" s="172"/>
      <c r="R56" s="171"/>
      <c r="S56" s="163"/>
      <c r="T56" s="163"/>
      <c r="U56" s="163"/>
      <c r="V56" s="172"/>
      <c r="W56" s="163"/>
      <c r="X56" s="163"/>
      <c r="Y56" s="171"/>
      <c r="Z56" s="163"/>
      <c r="AA56" s="163"/>
      <c r="AB56" s="163"/>
      <c r="AC56" s="163"/>
      <c r="AD56" s="163"/>
      <c r="AE56" s="163"/>
      <c r="AF56" s="172"/>
      <c r="AG56" s="171"/>
      <c r="AH56" s="163"/>
      <c r="AI56" s="163"/>
      <c r="AJ56" s="163"/>
      <c r="AK56" s="172"/>
      <c r="AL56" s="163"/>
      <c r="AM56" s="164" t="s">
        <v>1876</v>
      </c>
      <c r="AN56" s="165">
        <v>0</v>
      </c>
      <c r="AO56" s="166">
        <v>0</v>
      </c>
      <c r="AP56" s="166">
        <v>0</v>
      </c>
      <c r="AQ56" s="166">
        <v>0</v>
      </c>
      <c r="AR56" s="166">
        <v>0</v>
      </c>
      <c r="AS56" s="166">
        <v>0</v>
      </c>
      <c r="AT56" s="166">
        <v>0</v>
      </c>
      <c r="AU56" s="167">
        <v>0</v>
      </c>
      <c r="AV56" s="165">
        <v>0</v>
      </c>
      <c r="AW56" s="166">
        <v>0</v>
      </c>
      <c r="AX56" s="166">
        <v>0</v>
      </c>
      <c r="AY56" s="166">
        <v>0</v>
      </c>
      <c r="AZ56" s="167">
        <v>0</v>
      </c>
    </row>
    <row r="57" spans="1:53" s="98" customFormat="1" ht="15" customHeight="1">
      <c r="B57" s="181"/>
      <c r="C57" s="182" t="s">
        <v>1710</v>
      </c>
      <c r="D57" s="245"/>
      <c r="G57" s="184"/>
      <c r="H57" s="184"/>
      <c r="I57" s="163"/>
      <c r="J57" s="171"/>
      <c r="K57" s="163"/>
      <c r="L57" s="163"/>
      <c r="M57" s="163"/>
      <c r="N57" s="163"/>
      <c r="O57" s="163"/>
      <c r="P57" s="163"/>
      <c r="Q57" s="172"/>
      <c r="R57" s="171"/>
      <c r="S57" s="163"/>
      <c r="T57" s="163"/>
      <c r="U57" s="163"/>
      <c r="V57" s="172"/>
      <c r="W57" s="163"/>
      <c r="X57" s="163"/>
      <c r="Y57" s="171"/>
      <c r="Z57" s="163"/>
      <c r="AA57" s="163"/>
      <c r="AB57" s="163"/>
      <c r="AC57" s="163"/>
      <c r="AD57" s="163"/>
      <c r="AE57" s="163"/>
      <c r="AF57" s="172"/>
      <c r="AG57" s="171"/>
      <c r="AH57" s="163"/>
      <c r="AI57" s="163"/>
      <c r="AJ57" s="163"/>
      <c r="AK57" s="172"/>
      <c r="AL57" s="184"/>
      <c r="AM57" s="164" t="s">
        <v>1876</v>
      </c>
      <c r="AN57" s="777">
        <f>SUM(AN54:AN56)</f>
        <v>0</v>
      </c>
      <c r="AO57" s="778">
        <f t="shared" ref="AO57" si="230">SUM(AO54:AO56)</f>
        <v>0</v>
      </c>
      <c r="AP57" s="778">
        <f t="shared" ref="AP57" si="231">SUM(AP54:AP56)</f>
        <v>0</v>
      </c>
      <c r="AQ57" s="778">
        <f t="shared" ref="AQ57" si="232">SUM(AQ54:AQ56)</f>
        <v>0</v>
      </c>
      <c r="AR57" s="778">
        <f t="shared" ref="AR57" si="233">SUM(AR54:AR56)</f>
        <v>0</v>
      </c>
      <c r="AS57" s="778">
        <f t="shared" ref="AS57" si="234">SUM(AS54:AS56)</f>
        <v>0</v>
      </c>
      <c r="AT57" s="778">
        <f t="shared" ref="AT57" si="235">SUM(AT54:AT56)</f>
        <v>0</v>
      </c>
      <c r="AU57" s="779">
        <f t="shared" ref="AU57" si="236">SUM(AU54:AU56)</f>
        <v>0</v>
      </c>
      <c r="AV57" s="777">
        <f t="shared" ref="AV57" si="237">SUM(AV54:AV56)</f>
        <v>0</v>
      </c>
      <c r="AW57" s="778">
        <f t="shared" ref="AW57" si="238">SUM(AW54:AW56)</f>
        <v>0</v>
      </c>
      <c r="AX57" s="778">
        <f t="shared" ref="AX57" si="239">SUM(AX54:AX56)</f>
        <v>0</v>
      </c>
      <c r="AY57" s="778">
        <f t="shared" ref="AY57" si="240">SUM(AY54:AY56)</f>
        <v>0</v>
      </c>
      <c r="AZ57" s="779">
        <f t="shared" ref="AZ57" si="241">SUM(AZ54:AZ56)</f>
        <v>0</v>
      </c>
    </row>
    <row r="58" spans="1:53" s="98" customFormat="1" ht="15" customHeight="1">
      <c r="B58" s="181"/>
      <c r="C58" s="185"/>
      <c r="D58" s="185"/>
      <c r="E58" s="182"/>
      <c r="F58" s="182"/>
      <c r="G58" s="184"/>
      <c r="H58" s="184"/>
      <c r="I58" s="184"/>
      <c r="J58" s="1139"/>
      <c r="K58" s="184"/>
      <c r="L58" s="184"/>
      <c r="M58" s="184"/>
      <c r="N58" s="184"/>
      <c r="O58" s="184"/>
      <c r="P58" s="184"/>
      <c r="Q58" s="1140"/>
      <c r="R58" s="1139"/>
      <c r="S58" s="184"/>
      <c r="T58" s="184"/>
      <c r="U58" s="184"/>
      <c r="V58" s="1140"/>
      <c r="W58" s="184"/>
      <c r="X58" s="184"/>
      <c r="Y58" s="1139"/>
      <c r="Z58" s="184"/>
      <c r="AA58" s="184"/>
      <c r="AB58" s="184"/>
      <c r="AC58" s="184"/>
      <c r="AD58" s="184"/>
      <c r="AE58" s="184"/>
      <c r="AF58" s="1140"/>
      <c r="AG58" s="1139"/>
      <c r="AH58" s="184"/>
      <c r="AI58" s="184"/>
      <c r="AJ58" s="184"/>
      <c r="AK58" s="1140"/>
      <c r="AL58" s="184"/>
      <c r="AM58" s="117"/>
      <c r="AN58" s="159"/>
      <c r="AO58" s="163"/>
      <c r="AP58" s="163"/>
      <c r="AQ58" s="163"/>
      <c r="AR58" s="163"/>
      <c r="AS58" s="163"/>
      <c r="AT58" s="163"/>
      <c r="AU58" s="160"/>
      <c r="AV58" s="163"/>
      <c r="AW58" s="163"/>
      <c r="AX58" s="163"/>
      <c r="AY58" s="163"/>
      <c r="AZ58" s="160"/>
    </row>
    <row r="59" spans="1:53" s="98" customFormat="1" ht="15" customHeight="1" thickBot="1">
      <c r="A59" s="99"/>
      <c r="B59" s="239" t="s">
        <v>1701</v>
      </c>
      <c r="C59" s="240"/>
      <c r="D59" s="240"/>
      <c r="E59" s="240"/>
      <c r="F59" s="240"/>
      <c r="G59" s="241"/>
      <c r="H59" s="241"/>
      <c r="I59" s="195" t="s">
        <v>2145</v>
      </c>
      <c r="J59" s="717">
        <f>SUM(J15,J21,J27,J33,J39,J45,J51)</f>
        <v>0</v>
      </c>
      <c r="K59" s="718">
        <f t="shared" ref="K59:V59" si="242">SUM(K15,K21,K27,K33,K39,K45,K51)</f>
        <v>0</v>
      </c>
      <c r="L59" s="718">
        <f t="shared" si="242"/>
        <v>0.38976024000000009</v>
      </c>
      <c r="M59" s="718">
        <f t="shared" si="242"/>
        <v>0.40967510000000007</v>
      </c>
      <c r="N59" s="718">
        <f t="shared" si="242"/>
        <v>0.38019440000000027</v>
      </c>
      <c r="O59" s="718">
        <f t="shared" si="242"/>
        <v>0.57955769999999984</v>
      </c>
      <c r="P59" s="718">
        <f t="shared" si="242"/>
        <v>0.57955769999999984</v>
      </c>
      <c r="Q59" s="719">
        <f t="shared" si="242"/>
        <v>0.57955769999999984</v>
      </c>
      <c r="R59" s="717">
        <f t="shared" si="242"/>
        <v>0.57955769999999984</v>
      </c>
      <c r="S59" s="718">
        <f t="shared" si="242"/>
        <v>0.57955769999999984</v>
      </c>
      <c r="T59" s="718">
        <f t="shared" si="242"/>
        <v>0.57955769999999984</v>
      </c>
      <c r="U59" s="718">
        <f t="shared" si="242"/>
        <v>0.57955769999999984</v>
      </c>
      <c r="V59" s="719">
        <f t="shared" si="242"/>
        <v>0.57955769999999984</v>
      </c>
      <c r="W59" s="192"/>
      <c r="X59" s="195" t="s">
        <v>2145</v>
      </c>
      <c r="Y59" s="717">
        <f>SUM(Y15,Y21,Y27,Y33,Y39,Y45,Y51)</f>
        <v>0</v>
      </c>
      <c r="Z59" s="718">
        <f t="shared" ref="Z59:AK59" si="243">SUM(Z15,Z21,Z27,Z33,Z39,Z45,Z51)</f>
        <v>0</v>
      </c>
      <c r="AA59" s="718">
        <f t="shared" si="243"/>
        <v>0</v>
      </c>
      <c r="AB59" s="718">
        <f t="shared" si="243"/>
        <v>0</v>
      </c>
      <c r="AC59" s="718">
        <f t="shared" si="243"/>
        <v>0</v>
      </c>
      <c r="AD59" s="718">
        <f t="shared" si="243"/>
        <v>0</v>
      </c>
      <c r="AE59" s="718">
        <f t="shared" si="243"/>
        <v>0</v>
      </c>
      <c r="AF59" s="719">
        <f t="shared" si="243"/>
        <v>0</v>
      </c>
      <c r="AG59" s="717">
        <f t="shared" si="243"/>
        <v>0</v>
      </c>
      <c r="AH59" s="718">
        <f t="shared" si="243"/>
        <v>0</v>
      </c>
      <c r="AI59" s="718">
        <f t="shared" si="243"/>
        <v>0</v>
      </c>
      <c r="AJ59" s="718">
        <f t="shared" si="243"/>
        <v>0</v>
      </c>
      <c r="AK59" s="719">
        <f t="shared" si="243"/>
        <v>0</v>
      </c>
      <c r="AL59" s="192"/>
      <c r="AM59" s="164" t="s">
        <v>1876</v>
      </c>
      <c r="AN59" s="873">
        <f t="shared" ref="AN59:AZ59" si="244">SUM(AN15,AN21,AN27,AN33,AN39,AN45,AN51,AN57)</f>
        <v>0</v>
      </c>
      <c r="AO59" s="781">
        <f t="shared" si="244"/>
        <v>0</v>
      </c>
      <c r="AP59" s="781">
        <f t="shared" si="244"/>
        <v>5698</v>
      </c>
      <c r="AQ59" s="781">
        <f t="shared" si="244"/>
        <v>6024</v>
      </c>
      <c r="AR59" s="781">
        <f t="shared" si="244"/>
        <v>5567</v>
      </c>
      <c r="AS59" s="781">
        <f t="shared" si="244"/>
        <v>8475</v>
      </c>
      <c r="AT59" s="781">
        <f t="shared" si="244"/>
        <v>8475</v>
      </c>
      <c r="AU59" s="874">
        <f t="shared" si="244"/>
        <v>8475</v>
      </c>
      <c r="AV59" s="873">
        <f t="shared" si="244"/>
        <v>8475</v>
      </c>
      <c r="AW59" s="781">
        <f t="shared" si="244"/>
        <v>8475</v>
      </c>
      <c r="AX59" s="781">
        <f t="shared" si="244"/>
        <v>8475</v>
      </c>
      <c r="AY59" s="781">
        <f t="shared" si="244"/>
        <v>8475</v>
      </c>
      <c r="AZ59" s="874">
        <f t="shared" si="244"/>
        <v>8475</v>
      </c>
    </row>
    <row r="60" spans="1:53" s="99" customFormat="1" ht="15" customHeight="1" thickBot="1">
      <c r="B60" s="150"/>
      <c r="C60" s="150"/>
      <c r="D60" s="150"/>
      <c r="E60" s="150"/>
      <c r="F60" s="150"/>
      <c r="G60" s="97"/>
      <c r="H60" s="97"/>
      <c r="I60" s="98"/>
      <c r="J60" s="98"/>
      <c r="K60" s="98"/>
      <c r="L60" s="98"/>
      <c r="M60" s="98"/>
      <c r="N60" s="98"/>
      <c r="O60" s="98"/>
      <c r="P60" s="98"/>
      <c r="Q60" s="98"/>
      <c r="R60" s="98"/>
      <c r="S60" s="98"/>
      <c r="T60" s="98"/>
      <c r="U60" s="98"/>
      <c r="V60" s="98"/>
      <c r="AL60" s="98"/>
      <c r="AM60" s="98"/>
      <c r="AN60" s="98"/>
      <c r="AO60" s="98"/>
      <c r="AP60" s="98"/>
      <c r="AQ60" s="98"/>
      <c r="AR60" s="98"/>
      <c r="AS60" s="98"/>
      <c r="AT60" s="98"/>
      <c r="AU60" s="98"/>
      <c r="AV60" s="98"/>
      <c r="AW60" s="98"/>
      <c r="AX60" s="98"/>
      <c r="AY60" s="98"/>
      <c r="AZ60" s="98"/>
      <c r="BA60" s="98"/>
    </row>
    <row r="61" spans="1:53" s="100" customFormat="1" ht="30" customHeight="1" thickBot="1">
      <c r="A61" s="89"/>
      <c r="B61" s="621" t="s">
        <v>2211</v>
      </c>
      <c r="C61" s="102"/>
      <c r="D61" s="102"/>
      <c r="E61" s="102"/>
      <c r="F61" s="102"/>
      <c r="G61" s="103"/>
      <c r="H61" s="103"/>
      <c r="I61" s="105" t="s">
        <v>1864</v>
      </c>
      <c r="J61" s="106"/>
      <c r="K61" s="106"/>
      <c r="L61" s="106"/>
      <c r="M61" s="106"/>
      <c r="N61" s="106"/>
      <c r="O61" s="106"/>
      <c r="P61" s="106"/>
      <c r="Q61" s="106"/>
      <c r="R61" s="105"/>
      <c r="S61" s="105"/>
      <c r="T61" s="105"/>
      <c r="U61" s="105"/>
      <c r="V61" s="187"/>
      <c r="W61" s="103"/>
      <c r="X61" s="105" t="s">
        <v>2202</v>
      </c>
      <c r="Y61" s="106"/>
      <c r="Z61" s="106"/>
      <c r="AA61" s="106"/>
      <c r="AB61" s="106"/>
      <c r="AC61" s="106"/>
      <c r="AD61" s="106"/>
      <c r="AE61" s="106"/>
      <c r="AF61" s="106"/>
      <c r="AG61" s="105"/>
      <c r="AH61" s="105"/>
      <c r="AI61" s="105"/>
      <c r="AJ61" s="105"/>
      <c r="AK61" s="187"/>
      <c r="AL61" s="103"/>
      <c r="AM61" s="105" t="s">
        <v>1869</v>
      </c>
      <c r="AN61" s="106"/>
      <c r="AO61" s="106"/>
      <c r="AP61" s="106"/>
      <c r="AQ61" s="106"/>
      <c r="AR61" s="106"/>
      <c r="AS61" s="106"/>
      <c r="AT61" s="106"/>
      <c r="AU61" s="106"/>
      <c r="AV61" s="105"/>
      <c r="AW61" s="105"/>
      <c r="AX61" s="105"/>
      <c r="AY61" s="105"/>
      <c r="AZ61" s="187"/>
    </row>
    <row r="62" spans="1:53" s="157" customFormat="1" ht="30" customHeight="1">
      <c r="A62" s="99"/>
      <c r="B62" s="109"/>
      <c r="C62" s="110"/>
      <c r="D62" s="110"/>
      <c r="E62" s="110"/>
      <c r="F62" s="110"/>
      <c r="G62" s="111"/>
      <c r="H62" s="111"/>
      <c r="I62" s="117"/>
      <c r="J62" s="695" t="s">
        <v>1666</v>
      </c>
      <c r="K62" s="152"/>
      <c r="L62" s="152"/>
      <c r="M62" s="152"/>
      <c r="N62" s="152"/>
      <c r="O62" s="152"/>
      <c r="P62" s="152"/>
      <c r="Q62" s="153"/>
      <c r="R62" s="696" t="s">
        <v>2</v>
      </c>
      <c r="S62" s="155"/>
      <c r="T62" s="155"/>
      <c r="U62" s="155"/>
      <c r="V62" s="156"/>
      <c r="W62" s="222"/>
      <c r="X62" s="117"/>
      <c r="Y62" s="695" t="s">
        <v>1666</v>
      </c>
      <c r="Z62" s="152"/>
      <c r="AA62" s="152"/>
      <c r="AB62" s="152"/>
      <c r="AC62" s="152"/>
      <c r="AD62" s="152"/>
      <c r="AE62" s="152"/>
      <c r="AF62" s="153"/>
      <c r="AG62" s="696" t="s">
        <v>2</v>
      </c>
      <c r="AH62" s="155"/>
      <c r="AI62" s="155"/>
      <c r="AJ62" s="155"/>
      <c r="AK62" s="156"/>
      <c r="AL62" s="222"/>
      <c r="AM62" s="117"/>
      <c r="AN62" s="695" t="s">
        <v>1666</v>
      </c>
      <c r="AO62" s="152"/>
      <c r="AP62" s="152"/>
      <c r="AQ62" s="152"/>
      <c r="AR62" s="152"/>
      <c r="AS62" s="152"/>
      <c r="AT62" s="152"/>
      <c r="AU62" s="153"/>
      <c r="AV62" s="696" t="s">
        <v>2</v>
      </c>
      <c r="AW62" s="155"/>
      <c r="AX62" s="155"/>
      <c r="AY62" s="155"/>
      <c r="AZ62" s="156"/>
    </row>
    <row r="63" spans="1:53" s="98" customFormat="1" ht="15" customHeight="1">
      <c r="A63" s="99"/>
      <c r="B63" s="115"/>
      <c r="C63" s="116"/>
      <c r="D63" s="116"/>
      <c r="E63" s="116"/>
      <c r="F63" s="116"/>
      <c r="G63" s="117"/>
      <c r="H63" s="117"/>
      <c r="I63" s="119" t="s">
        <v>1667</v>
      </c>
      <c r="J63" s="158" t="s">
        <v>453</v>
      </c>
      <c r="K63" s="137" t="s">
        <v>455</v>
      </c>
      <c r="L63" s="137" t="s">
        <v>457</v>
      </c>
      <c r="M63" s="137" t="s">
        <v>459</v>
      </c>
      <c r="N63" s="137" t="s">
        <v>461</v>
      </c>
      <c r="O63" s="137" t="s">
        <v>463</v>
      </c>
      <c r="P63" s="137" t="s">
        <v>465</v>
      </c>
      <c r="Q63" s="138" t="s">
        <v>467</v>
      </c>
      <c r="R63" s="120" t="s">
        <v>469</v>
      </c>
      <c r="S63" s="121" t="s">
        <v>471</v>
      </c>
      <c r="T63" s="121" t="s">
        <v>473</v>
      </c>
      <c r="U63" s="121" t="s">
        <v>475</v>
      </c>
      <c r="V63" s="122" t="s">
        <v>477</v>
      </c>
      <c r="W63" s="185"/>
      <c r="X63" s="119" t="s">
        <v>1667</v>
      </c>
      <c r="Y63" s="158" t="s">
        <v>453</v>
      </c>
      <c r="Z63" s="137" t="s">
        <v>455</v>
      </c>
      <c r="AA63" s="137" t="s">
        <v>457</v>
      </c>
      <c r="AB63" s="137" t="s">
        <v>459</v>
      </c>
      <c r="AC63" s="137" t="s">
        <v>461</v>
      </c>
      <c r="AD63" s="137" t="s">
        <v>463</v>
      </c>
      <c r="AE63" s="137" t="s">
        <v>465</v>
      </c>
      <c r="AF63" s="138" t="s">
        <v>467</v>
      </c>
      <c r="AG63" s="120" t="s">
        <v>469</v>
      </c>
      <c r="AH63" s="121" t="s">
        <v>471</v>
      </c>
      <c r="AI63" s="121" t="s">
        <v>473</v>
      </c>
      <c r="AJ63" s="121" t="s">
        <v>475</v>
      </c>
      <c r="AK63" s="122" t="s">
        <v>477</v>
      </c>
      <c r="AL63" s="185"/>
      <c r="AM63" s="119" t="s">
        <v>1667</v>
      </c>
      <c r="AN63" s="158" t="s">
        <v>453</v>
      </c>
      <c r="AO63" s="137" t="s">
        <v>455</v>
      </c>
      <c r="AP63" s="137" t="s">
        <v>457</v>
      </c>
      <c r="AQ63" s="137" t="s">
        <v>459</v>
      </c>
      <c r="AR63" s="137" t="s">
        <v>461</v>
      </c>
      <c r="AS63" s="137" t="s">
        <v>463</v>
      </c>
      <c r="AT63" s="137" t="s">
        <v>465</v>
      </c>
      <c r="AU63" s="138" t="s">
        <v>467</v>
      </c>
      <c r="AV63" s="120" t="s">
        <v>469</v>
      </c>
      <c r="AW63" s="121" t="s">
        <v>471</v>
      </c>
      <c r="AX63" s="121" t="s">
        <v>473</v>
      </c>
      <c r="AY63" s="121" t="s">
        <v>475</v>
      </c>
      <c r="AZ63" s="122" t="s">
        <v>477</v>
      </c>
    </row>
    <row r="64" spans="1:53" s="98" customFormat="1" ht="15" customHeight="1">
      <c r="B64" s="161"/>
      <c r="C64" s="180" t="s">
        <v>2211</v>
      </c>
      <c r="D64" s="180"/>
      <c r="E64" s="162"/>
      <c r="F64" s="162"/>
      <c r="G64" s="163"/>
      <c r="H64" s="163"/>
      <c r="I64" s="117"/>
      <c r="J64" s="713"/>
      <c r="K64" s="721"/>
      <c r="L64" s="721"/>
      <c r="M64" s="721"/>
      <c r="N64" s="721"/>
      <c r="O64" s="721"/>
      <c r="P64" s="721"/>
      <c r="Q64" s="715"/>
      <c r="R64" s="713"/>
      <c r="S64" s="721"/>
      <c r="T64" s="721"/>
      <c r="U64" s="721"/>
      <c r="V64" s="715"/>
      <c r="W64" s="185"/>
      <c r="X64" s="117"/>
      <c r="Y64" s="713"/>
      <c r="Z64" s="721"/>
      <c r="AA64" s="721"/>
      <c r="AB64" s="721"/>
      <c r="AC64" s="721"/>
      <c r="AD64" s="721"/>
      <c r="AE64" s="721"/>
      <c r="AF64" s="715"/>
      <c r="AG64" s="713"/>
      <c r="AH64" s="721"/>
      <c r="AI64" s="721"/>
      <c r="AJ64" s="721"/>
      <c r="AK64" s="715"/>
      <c r="AL64" s="185"/>
      <c r="AM64" s="117"/>
      <c r="AN64" s="878"/>
      <c r="AO64" s="881"/>
      <c r="AP64" s="881"/>
      <c r="AQ64" s="881"/>
      <c r="AR64" s="881"/>
      <c r="AS64" s="881"/>
      <c r="AT64" s="881"/>
      <c r="AU64" s="880"/>
      <c r="AV64" s="878"/>
      <c r="AW64" s="881"/>
      <c r="AX64" s="881"/>
      <c r="AY64" s="881"/>
      <c r="AZ64" s="880"/>
    </row>
    <row r="65" spans="1:53" s="98" customFormat="1" ht="15" customHeight="1">
      <c r="B65" s="161"/>
      <c r="C65" s="185"/>
      <c r="D65" s="162" t="s">
        <v>36</v>
      </c>
      <c r="E65" s="185"/>
      <c r="F65" s="185"/>
      <c r="G65" s="162"/>
      <c r="H65" s="163"/>
      <c r="I65" s="164" t="s">
        <v>2145</v>
      </c>
      <c r="J65" s="143">
        <v>0</v>
      </c>
      <c r="K65" s="141">
        <v>0</v>
      </c>
      <c r="L65" s="141">
        <v>0</v>
      </c>
      <c r="M65" s="141">
        <v>0</v>
      </c>
      <c r="N65" s="141">
        <v>0</v>
      </c>
      <c r="O65" s="141">
        <v>0</v>
      </c>
      <c r="P65" s="141">
        <v>0</v>
      </c>
      <c r="Q65" s="144">
        <v>0</v>
      </c>
      <c r="R65" s="143">
        <v>0</v>
      </c>
      <c r="S65" s="141">
        <v>0</v>
      </c>
      <c r="T65" s="141">
        <v>0</v>
      </c>
      <c r="U65" s="141">
        <v>0</v>
      </c>
      <c r="V65" s="144">
        <v>0</v>
      </c>
      <c r="W65" s="185"/>
      <c r="X65" s="164" t="s">
        <v>2145</v>
      </c>
      <c r="Y65" s="143">
        <v>0</v>
      </c>
      <c r="Z65" s="141">
        <v>0</v>
      </c>
      <c r="AA65" s="141">
        <v>0</v>
      </c>
      <c r="AB65" s="141">
        <v>0</v>
      </c>
      <c r="AC65" s="141">
        <v>0</v>
      </c>
      <c r="AD65" s="141">
        <v>0</v>
      </c>
      <c r="AE65" s="141">
        <v>0</v>
      </c>
      <c r="AF65" s="144">
        <v>0</v>
      </c>
      <c r="AG65" s="143">
        <v>0</v>
      </c>
      <c r="AH65" s="141">
        <v>0</v>
      </c>
      <c r="AI65" s="141">
        <v>0</v>
      </c>
      <c r="AJ65" s="141">
        <v>0</v>
      </c>
      <c r="AK65" s="144">
        <v>0</v>
      </c>
      <c r="AL65" s="185"/>
      <c r="AM65" s="164" t="s">
        <v>1876</v>
      </c>
      <c r="AN65" s="165">
        <v>0</v>
      </c>
      <c r="AO65" s="166">
        <v>0</v>
      </c>
      <c r="AP65" s="166">
        <v>0</v>
      </c>
      <c r="AQ65" s="166">
        <v>0</v>
      </c>
      <c r="AR65" s="166">
        <v>0</v>
      </c>
      <c r="AS65" s="166">
        <v>0</v>
      </c>
      <c r="AT65" s="166">
        <v>0</v>
      </c>
      <c r="AU65" s="167">
        <v>0</v>
      </c>
      <c r="AV65" s="165">
        <v>0</v>
      </c>
      <c r="AW65" s="166">
        <v>0</v>
      </c>
      <c r="AX65" s="166">
        <v>0</v>
      </c>
      <c r="AY65" s="166">
        <v>0</v>
      </c>
      <c r="AZ65" s="167">
        <v>0</v>
      </c>
    </row>
    <row r="66" spans="1:53" s="98" customFormat="1" ht="15" customHeight="1">
      <c r="B66" s="161"/>
      <c r="C66" s="185"/>
      <c r="D66" s="162" t="s">
        <v>62</v>
      </c>
      <c r="E66" s="185"/>
      <c r="F66" s="185"/>
      <c r="G66" s="162"/>
      <c r="H66" s="163"/>
      <c r="I66" s="164" t="s">
        <v>2145</v>
      </c>
      <c r="J66" s="143">
        <v>0</v>
      </c>
      <c r="K66" s="141">
        <v>0</v>
      </c>
      <c r="L66" s="141">
        <v>0</v>
      </c>
      <c r="M66" s="141">
        <v>0</v>
      </c>
      <c r="N66" s="141">
        <v>0</v>
      </c>
      <c r="O66" s="141">
        <v>0</v>
      </c>
      <c r="P66" s="141">
        <v>0</v>
      </c>
      <c r="Q66" s="144">
        <v>0</v>
      </c>
      <c r="R66" s="143">
        <v>0</v>
      </c>
      <c r="S66" s="141">
        <v>0</v>
      </c>
      <c r="T66" s="141">
        <v>0</v>
      </c>
      <c r="U66" s="141">
        <v>0</v>
      </c>
      <c r="V66" s="144">
        <v>0</v>
      </c>
      <c r="W66" s="185"/>
      <c r="X66" s="164" t="s">
        <v>2145</v>
      </c>
      <c r="Y66" s="143">
        <v>0</v>
      </c>
      <c r="Z66" s="141">
        <v>0</v>
      </c>
      <c r="AA66" s="141">
        <v>0</v>
      </c>
      <c r="AB66" s="141">
        <v>0</v>
      </c>
      <c r="AC66" s="141">
        <v>0</v>
      </c>
      <c r="AD66" s="141">
        <v>0</v>
      </c>
      <c r="AE66" s="141">
        <v>0</v>
      </c>
      <c r="AF66" s="144">
        <v>0</v>
      </c>
      <c r="AG66" s="143">
        <v>0</v>
      </c>
      <c r="AH66" s="141">
        <v>0</v>
      </c>
      <c r="AI66" s="141">
        <v>0</v>
      </c>
      <c r="AJ66" s="141">
        <v>0</v>
      </c>
      <c r="AK66" s="144">
        <v>0</v>
      </c>
      <c r="AL66" s="185"/>
      <c r="AM66" s="164" t="s">
        <v>1876</v>
      </c>
      <c r="AN66" s="165">
        <v>0</v>
      </c>
      <c r="AO66" s="166">
        <v>0</v>
      </c>
      <c r="AP66" s="166">
        <v>0</v>
      </c>
      <c r="AQ66" s="166">
        <v>0</v>
      </c>
      <c r="AR66" s="166">
        <v>0</v>
      </c>
      <c r="AS66" s="166">
        <v>0</v>
      </c>
      <c r="AT66" s="166">
        <v>0</v>
      </c>
      <c r="AU66" s="167">
        <v>0</v>
      </c>
      <c r="AV66" s="165">
        <v>0</v>
      </c>
      <c r="AW66" s="166">
        <v>0</v>
      </c>
      <c r="AX66" s="166">
        <v>0</v>
      </c>
      <c r="AY66" s="166">
        <v>0</v>
      </c>
      <c r="AZ66" s="167">
        <v>0</v>
      </c>
    </row>
    <row r="67" spans="1:53" s="98" customFormat="1" ht="15" customHeight="1">
      <c r="B67" s="161"/>
      <c r="C67" s="185"/>
      <c r="D67" s="162" t="s">
        <v>71</v>
      </c>
      <c r="E67" s="185"/>
      <c r="F67" s="185"/>
      <c r="G67" s="162"/>
      <c r="H67" s="163"/>
      <c r="I67" s="164" t="s">
        <v>2145</v>
      </c>
      <c r="J67" s="143">
        <v>0</v>
      </c>
      <c r="K67" s="141">
        <v>0</v>
      </c>
      <c r="L67" s="141">
        <v>0</v>
      </c>
      <c r="M67" s="141">
        <v>0</v>
      </c>
      <c r="N67" s="141">
        <v>0</v>
      </c>
      <c r="O67" s="141">
        <v>0</v>
      </c>
      <c r="P67" s="141">
        <v>0</v>
      </c>
      <c r="Q67" s="144">
        <v>0</v>
      </c>
      <c r="R67" s="143">
        <v>0</v>
      </c>
      <c r="S67" s="141">
        <v>0</v>
      </c>
      <c r="T67" s="141">
        <v>0</v>
      </c>
      <c r="U67" s="141">
        <v>0</v>
      </c>
      <c r="V67" s="144">
        <v>0</v>
      </c>
      <c r="W67" s="185"/>
      <c r="X67" s="164" t="s">
        <v>2145</v>
      </c>
      <c r="Y67" s="143">
        <v>0</v>
      </c>
      <c r="Z67" s="141">
        <v>0</v>
      </c>
      <c r="AA67" s="141">
        <v>0</v>
      </c>
      <c r="AB67" s="141">
        <v>0</v>
      </c>
      <c r="AC67" s="141">
        <v>0</v>
      </c>
      <c r="AD67" s="141">
        <v>0</v>
      </c>
      <c r="AE67" s="141">
        <v>0</v>
      </c>
      <c r="AF67" s="144">
        <v>0</v>
      </c>
      <c r="AG67" s="143">
        <v>0</v>
      </c>
      <c r="AH67" s="141">
        <v>0</v>
      </c>
      <c r="AI67" s="141">
        <v>0</v>
      </c>
      <c r="AJ67" s="141">
        <v>0</v>
      </c>
      <c r="AK67" s="144">
        <v>0</v>
      </c>
      <c r="AL67" s="185"/>
      <c r="AM67" s="164" t="s">
        <v>1876</v>
      </c>
      <c r="AN67" s="165">
        <v>0</v>
      </c>
      <c r="AO67" s="166">
        <v>0</v>
      </c>
      <c r="AP67" s="166">
        <v>0</v>
      </c>
      <c r="AQ67" s="166">
        <v>0</v>
      </c>
      <c r="AR67" s="166">
        <v>0</v>
      </c>
      <c r="AS67" s="166">
        <v>0</v>
      </c>
      <c r="AT67" s="166">
        <v>0</v>
      </c>
      <c r="AU67" s="167">
        <v>0</v>
      </c>
      <c r="AV67" s="165">
        <v>0</v>
      </c>
      <c r="AW67" s="166">
        <v>0</v>
      </c>
      <c r="AX67" s="166">
        <v>0</v>
      </c>
      <c r="AY67" s="166">
        <v>0</v>
      </c>
      <c r="AZ67" s="167">
        <v>0</v>
      </c>
    </row>
    <row r="68" spans="1:53" s="98" customFormat="1" ht="15" customHeight="1">
      <c r="B68" s="181"/>
      <c r="C68" s="182" t="s">
        <v>1710</v>
      </c>
      <c r="D68" s="245"/>
      <c r="E68" s="185"/>
      <c r="F68" s="185"/>
      <c r="G68" s="184"/>
      <c r="H68" s="184"/>
      <c r="I68" s="164" t="s">
        <v>2145</v>
      </c>
      <c r="J68" s="128">
        <f>SUM(J65:J67)</f>
        <v>0</v>
      </c>
      <c r="K68" s="129">
        <f t="shared" ref="K68:V68" si="245">SUM(K65:K67)</f>
        <v>0</v>
      </c>
      <c r="L68" s="129">
        <f t="shared" si="245"/>
        <v>0</v>
      </c>
      <c r="M68" s="129">
        <f t="shared" si="245"/>
        <v>0</v>
      </c>
      <c r="N68" s="129">
        <f t="shared" si="245"/>
        <v>0</v>
      </c>
      <c r="O68" s="129">
        <f t="shared" si="245"/>
        <v>0</v>
      </c>
      <c r="P68" s="129">
        <f t="shared" si="245"/>
        <v>0</v>
      </c>
      <c r="Q68" s="130">
        <f t="shared" si="245"/>
        <v>0</v>
      </c>
      <c r="R68" s="128">
        <f t="shared" si="245"/>
        <v>0</v>
      </c>
      <c r="S68" s="129">
        <f t="shared" si="245"/>
        <v>0</v>
      </c>
      <c r="T68" s="129">
        <f t="shared" si="245"/>
        <v>0</v>
      </c>
      <c r="U68" s="129">
        <f t="shared" si="245"/>
        <v>0</v>
      </c>
      <c r="V68" s="130">
        <f t="shared" si="245"/>
        <v>0</v>
      </c>
      <c r="W68" s="185"/>
      <c r="X68" s="164" t="s">
        <v>2145</v>
      </c>
      <c r="Y68" s="128">
        <f>SUM(Y65:Y67)</f>
        <v>0</v>
      </c>
      <c r="Z68" s="129">
        <f t="shared" ref="Z68:AK68" si="246">SUM(Z65:Z67)</f>
        <v>0</v>
      </c>
      <c r="AA68" s="129">
        <f t="shared" si="246"/>
        <v>0</v>
      </c>
      <c r="AB68" s="129">
        <f t="shared" si="246"/>
        <v>0</v>
      </c>
      <c r="AC68" s="129">
        <f t="shared" si="246"/>
        <v>0</v>
      </c>
      <c r="AD68" s="129">
        <f t="shared" si="246"/>
        <v>0</v>
      </c>
      <c r="AE68" s="129">
        <f t="shared" si="246"/>
        <v>0</v>
      </c>
      <c r="AF68" s="130">
        <f t="shared" si="246"/>
        <v>0</v>
      </c>
      <c r="AG68" s="128">
        <f t="shared" si="246"/>
        <v>0</v>
      </c>
      <c r="AH68" s="129">
        <f t="shared" si="246"/>
        <v>0</v>
      </c>
      <c r="AI68" s="129">
        <f t="shared" si="246"/>
        <v>0</v>
      </c>
      <c r="AJ68" s="129">
        <f t="shared" si="246"/>
        <v>0</v>
      </c>
      <c r="AK68" s="130">
        <f t="shared" si="246"/>
        <v>0</v>
      </c>
      <c r="AL68" s="185"/>
      <c r="AM68" s="164" t="s">
        <v>1876</v>
      </c>
      <c r="AN68" s="777">
        <f>SUM(AN65:AN67)</f>
        <v>0</v>
      </c>
      <c r="AO68" s="778">
        <f t="shared" ref="AO68:AZ68" si="247">SUM(AO65:AO67)</f>
        <v>0</v>
      </c>
      <c r="AP68" s="778">
        <f t="shared" si="247"/>
        <v>0</v>
      </c>
      <c r="AQ68" s="778">
        <f t="shared" si="247"/>
        <v>0</v>
      </c>
      <c r="AR68" s="778">
        <f t="shared" si="247"/>
        <v>0</v>
      </c>
      <c r="AS68" s="778">
        <f t="shared" si="247"/>
        <v>0</v>
      </c>
      <c r="AT68" s="778">
        <f t="shared" si="247"/>
        <v>0</v>
      </c>
      <c r="AU68" s="779">
        <f t="shared" si="247"/>
        <v>0</v>
      </c>
      <c r="AV68" s="777">
        <f t="shared" si="247"/>
        <v>0</v>
      </c>
      <c r="AW68" s="778">
        <f t="shared" si="247"/>
        <v>0</v>
      </c>
      <c r="AX68" s="778">
        <f t="shared" si="247"/>
        <v>0</v>
      </c>
      <c r="AY68" s="778">
        <f t="shared" si="247"/>
        <v>0</v>
      </c>
      <c r="AZ68" s="779">
        <f t="shared" si="247"/>
        <v>0</v>
      </c>
    </row>
    <row r="69" spans="1:53" s="98" customFormat="1" ht="15" customHeight="1">
      <c r="B69" s="181"/>
      <c r="C69" s="185"/>
      <c r="D69" s="185"/>
      <c r="E69" s="182"/>
      <c r="F69" s="182"/>
      <c r="G69" s="184"/>
      <c r="H69" s="184"/>
      <c r="I69" s="117"/>
      <c r="J69" s="713"/>
      <c r="K69" s="714"/>
      <c r="L69" s="714"/>
      <c r="M69" s="714"/>
      <c r="N69" s="714"/>
      <c r="O69" s="714"/>
      <c r="P69" s="714"/>
      <c r="Q69" s="715"/>
      <c r="R69" s="714"/>
      <c r="S69" s="714"/>
      <c r="T69" s="714"/>
      <c r="U69" s="714"/>
      <c r="V69" s="715"/>
      <c r="W69" s="185"/>
      <c r="X69" s="117"/>
      <c r="Y69" s="713"/>
      <c r="Z69" s="714"/>
      <c r="AA69" s="714"/>
      <c r="AB69" s="714"/>
      <c r="AC69" s="714"/>
      <c r="AD69" s="714"/>
      <c r="AE69" s="714"/>
      <c r="AF69" s="715"/>
      <c r="AG69" s="714"/>
      <c r="AH69" s="714"/>
      <c r="AI69" s="714"/>
      <c r="AJ69" s="714"/>
      <c r="AK69" s="715"/>
      <c r="AL69" s="185"/>
      <c r="AM69" s="117"/>
      <c r="AN69" s="878"/>
      <c r="AO69" s="879"/>
      <c r="AP69" s="879"/>
      <c r="AQ69" s="879"/>
      <c r="AR69" s="879"/>
      <c r="AS69" s="879"/>
      <c r="AT69" s="879"/>
      <c r="AU69" s="880"/>
      <c r="AV69" s="879"/>
      <c r="AW69" s="879"/>
      <c r="AX69" s="879"/>
      <c r="AY69" s="879"/>
      <c r="AZ69" s="880"/>
    </row>
    <row r="70" spans="1:53" s="98" customFormat="1" ht="15" customHeight="1">
      <c r="B70" s="161"/>
      <c r="C70" s="180" t="s">
        <v>2212</v>
      </c>
      <c r="D70" s="180"/>
      <c r="E70" s="162"/>
      <c r="F70" s="162"/>
      <c r="G70" s="163"/>
      <c r="H70" s="163"/>
      <c r="I70" s="117"/>
      <c r="J70" s="159"/>
      <c r="K70" s="117"/>
      <c r="L70" s="117"/>
      <c r="M70" s="117"/>
      <c r="N70" s="117"/>
      <c r="O70" s="117"/>
      <c r="P70" s="117"/>
      <c r="Q70" s="160"/>
      <c r="R70" s="159"/>
      <c r="S70" s="117"/>
      <c r="T70" s="117"/>
      <c r="U70" s="117"/>
      <c r="V70" s="160"/>
      <c r="W70" s="185"/>
      <c r="X70" s="117"/>
      <c r="Y70" s="159"/>
      <c r="Z70" s="117"/>
      <c r="AA70" s="117"/>
      <c r="AB70" s="117"/>
      <c r="AC70" s="117"/>
      <c r="AD70" s="117"/>
      <c r="AE70" s="117"/>
      <c r="AF70" s="160"/>
      <c r="AG70" s="159"/>
      <c r="AH70" s="117"/>
      <c r="AI70" s="117"/>
      <c r="AJ70" s="117"/>
      <c r="AK70" s="160"/>
      <c r="AL70" s="185"/>
      <c r="AM70" s="117"/>
      <c r="AN70" s="159"/>
      <c r="AO70" s="117"/>
      <c r="AP70" s="117"/>
      <c r="AQ70" s="117"/>
      <c r="AR70" s="117"/>
      <c r="AS70" s="117"/>
      <c r="AT70" s="117"/>
      <c r="AU70" s="160"/>
      <c r="AV70" s="159"/>
      <c r="AW70" s="117"/>
      <c r="AX70" s="117"/>
      <c r="AY70" s="117"/>
      <c r="AZ70" s="160"/>
    </row>
    <row r="71" spans="1:53" s="98" customFormat="1" ht="15" customHeight="1">
      <c r="B71" s="161"/>
      <c r="C71" s="185"/>
      <c r="D71" s="162" t="s">
        <v>36</v>
      </c>
      <c r="E71" s="185"/>
      <c r="F71" s="185"/>
      <c r="G71" s="162"/>
      <c r="H71" s="163"/>
      <c r="I71" s="164" t="s">
        <v>2145</v>
      </c>
      <c r="J71" s="143">
        <v>0</v>
      </c>
      <c r="K71" s="141">
        <v>0</v>
      </c>
      <c r="L71" s="141">
        <v>0</v>
      </c>
      <c r="M71" s="141">
        <v>0</v>
      </c>
      <c r="N71" s="141">
        <v>0</v>
      </c>
      <c r="O71" s="141">
        <v>0</v>
      </c>
      <c r="P71" s="141">
        <v>0</v>
      </c>
      <c r="Q71" s="144">
        <v>0</v>
      </c>
      <c r="R71" s="143">
        <v>0</v>
      </c>
      <c r="S71" s="141">
        <v>0</v>
      </c>
      <c r="T71" s="141">
        <v>0</v>
      </c>
      <c r="U71" s="141">
        <v>0</v>
      </c>
      <c r="V71" s="144">
        <v>0</v>
      </c>
      <c r="W71" s="185"/>
      <c r="X71" s="164" t="s">
        <v>2145</v>
      </c>
      <c r="Y71" s="143">
        <v>0</v>
      </c>
      <c r="Z71" s="141">
        <v>0</v>
      </c>
      <c r="AA71" s="141">
        <v>0</v>
      </c>
      <c r="AB71" s="141">
        <v>0</v>
      </c>
      <c r="AC71" s="141">
        <v>0</v>
      </c>
      <c r="AD71" s="141">
        <v>0</v>
      </c>
      <c r="AE71" s="141">
        <v>0</v>
      </c>
      <c r="AF71" s="144">
        <v>0</v>
      </c>
      <c r="AG71" s="143">
        <v>0</v>
      </c>
      <c r="AH71" s="141">
        <v>0</v>
      </c>
      <c r="AI71" s="141">
        <v>0</v>
      </c>
      <c r="AJ71" s="141">
        <v>0</v>
      </c>
      <c r="AK71" s="144">
        <v>0</v>
      </c>
      <c r="AL71" s="185"/>
      <c r="AM71" s="164" t="s">
        <v>1876</v>
      </c>
      <c r="AN71" s="165">
        <v>0</v>
      </c>
      <c r="AO71" s="166">
        <v>0</v>
      </c>
      <c r="AP71" s="166">
        <v>0</v>
      </c>
      <c r="AQ71" s="166">
        <v>0</v>
      </c>
      <c r="AR71" s="166">
        <v>0</v>
      </c>
      <c r="AS71" s="166">
        <v>0</v>
      </c>
      <c r="AT71" s="166">
        <v>0</v>
      </c>
      <c r="AU71" s="167">
        <v>0</v>
      </c>
      <c r="AV71" s="165">
        <v>0</v>
      </c>
      <c r="AW71" s="166">
        <v>0</v>
      </c>
      <c r="AX71" s="166">
        <v>0</v>
      </c>
      <c r="AY71" s="166">
        <v>0</v>
      </c>
      <c r="AZ71" s="167">
        <v>0</v>
      </c>
    </row>
    <row r="72" spans="1:53" s="98" customFormat="1" ht="15" customHeight="1">
      <c r="B72" s="161"/>
      <c r="C72" s="185"/>
      <c r="D72" s="162" t="s">
        <v>62</v>
      </c>
      <c r="E72" s="185"/>
      <c r="F72" s="185"/>
      <c r="G72" s="162"/>
      <c r="H72" s="163"/>
      <c r="I72" s="164" t="s">
        <v>2145</v>
      </c>
      <c r="J72" s="143">
        <v>0</v>
      </c>
      <c r="K72" s="141">
        <v>0</v>
      </c>
      <c r="L72" s="141">
        <v>0</v>
      </c>
      <c r="M72" s="141">
        <v>0</v>
      </c>
      <c r="N72" s="141">
        <v>0</v>
      </c>
      <c r="O72" s="141">
        <v>0</v>
      </c>
      <c r="P72" s="141">
        <v>0</v>
      </c>
      <c r="Q72" s="144">
        <v>0</v>
      </c>
      <c r="R72" s="143">
        <v>0</v>
      </c>
      <c r="S72" s="141">
        <v>0</v>
      </c>
      <c r="T72" s="141">
        <v>0</v>
      </c>
      <c r="U72" s="141">
        <v>0</v>
      </c>
      <c r="V72" s="144">
        <v>0</v>
      </c>
      <c r="W72" s="185"/>
      <c r="X72" s="164" t="s">
        <v>2145</v>
      </c>
      <c r="Y72" s="143">
        <v>0</v>
      </c>
      <c r="Z72" s="141">
        <v>0</v>
      </c>
      <c r="AA72" s="141">
        <v>0</v>
      </c>
      <c r="AB72" s="141">
        <v>0</v>
      </c>
      <c r="AC72" s="141">
        <v>0</v>
      </c>
      <c r="AD72" s="141">
        <v>0</v>
      </c>
      <c r="AE72" s="141">
        <v>0</v>
      </c>
      <c r="AF72" s="144">
        <v>0</v>
      </c>
      <c r="AG72" s="143">
        <v>0</v>
      </c>
      <c r="AH72" s="141">
        <v>0</v>
      </c>
      <c r="AI72" s="141">
        <v>0</v>
      </c>
      <c r="AJ72" s="141">
        <v>0</v>
      </c>
      <c r="AK72" s="144">
        <v>0</v>
      </c>
      <c r="AL72" s="185"/>
      <c r="AM72" s="164" t="s">
        <v>1876</v>
      </c>
      <c r="AN72" s="165">
        <v>0</v>
      </c>
      <c r="AO72" s="166">
        <v>0</v>
      </c>
      <c r="AP72" s="166">
        <v>0</v>
      </c>
      <c r="AQ72" s="166">
        <v>0</v>
      </c>
      <c r="AR72" s="166">
        <v>0</v>
      </c>
      <c r="AS72" s="166">
        <v>0</v>
      </c>
      <c r="AT72" s="166">
        <v>0</v>
      </c>
      <c r="AU72" s="167">
        <v>0</v>
      </c>
      <c r="AV72" s="165">
        <v>0</v>
      </c>
      <c r="AW72" s="166">
        <v>0</v>
      </c>
      <c r="AX72" s="166">
        <v>0</v>
      </c>
      <c r="AY72" s="166">
        <v>0</v>
      </c>
      <c r="AZ72" s="167">
        <v>0</v>
      </c>
    </row>
    <row r="73" spans="1:53" s="98" customFormat="1" ht="15" customHeight="1">
      <c r="B73" s="161"/>
      <c r="C73" s="185"/>
      <c r="D73" s="162" t="s">
        <v>71</v>
      </c>
      <c r="E73" s="185"/>
      <c r="F73" s="185"/>
      <c r="G73" s="162"/>
      <c r="H73" s="163"/>
      <c r="I73" s="164" t="s">
        <v>2145</v>
      </c>
      <c r="J73" s="143">
        <v>0</v>
      </c>
      <c r="K73" s="141">
        <v>0</v>
      </c>
      <c r="L73" s="141">
        <v>0</v>
      </c>
      <c r="M73" s="141">
        <v>0</v>
      </c>
      <c r="N73" s="141">
        <v>0</v>
      </c>
      <c r="O73" s="141">
        <v>0</v>
      </c>
      <c r="P73" s="141">
        <v>0</v>
      </c>
      <c r="Q73" s="144">
        <v>0</v>
      </c>
      <c r="R73" s="143">
        <v>0</v>
      </c>
      <c r="S73" s="141">
        <v>0</v>
      </c>
      <c r="T73" s="141">
        <v>0</v>
      </c>
      <c r="U73" s="141">
        <v>0</v>
      </c>
      <c r="V73" s="144">
        <v>0</v>
      </c>
      <c r="W73" s="185"/>
      <c r="X73" s="164" t="s">
        <v>2145</v>
      </c>
      <c r="Y73" s="143">
        <v>0</v>
      </c>
      <c r="Z73" s="141">
        <v>0</v>
      </c>
      <c r="AA73" s="141">
        <v>0</v>
      </c>
      <c r="AB73" s="141">
        <v>0</v>
      </c>
      <c r="AC73" s="141">
        <v>0</v>
      </c>
      <c r="AD73" s="141">
        <v>0</v>
      </c>
      <c r="AE73" s="141">
        <v>0</v>
      </c>
      <c r="AF73" s="144">
        <v>0</v>
      </c>
      <c r="AG73" s="143">
        <v>0</v>
      </c>
      <c r="AH73" s="141">
        <v>0</v>
      </c>
      <c r="AI73" s="141">
        <v>0</v>
      </c>
      <c r="AJ73" s="141">
        <v>0</v>
      </c>
      <c r="AK73" s="144">
        <v>0</v>
      </c>
      <c r="AL73" s="185"/>
      <c r="AM73" s="164" t="s">
        <v>1876</v>
      </c>
      <c r="AN73" s="165">
        <v>0</v>
      </c>
      <c r="AO73" s="166">
        <v>0</v>
      </c>
      <c r="AP73" s="166">
        <v>0</v>
      </c>
      <c r="AQ73" s="166">
        <v>0</v>
      </c>
      <c r="AR73" s="166">
        <v>0</v>
      </c>
      <c r="AS73" s="166">
        <v>0</v>
      </c>
      <c r="AT73" s="166">
        <v>0</v>
      </c>
      <c r="AU73" s="167">
        <v>0</v>
      </c>
      <c r="AV73" s="165">
        <v>0</v>
      </c>
      <c r="AW73" s="166">
        <v>0</v>
      </c>
      <c r="AX73" s="166">
        <v>0</v>
      </c>
      <c r="AY73" s="166">
        <v>0</v>
      </c>
      <c r="AZ73" s="167">
        <v>0</v>
      </c>
    </row>
    <row r="74" spans="1:53" s="98" customFormat="1" ht="15" customHeight="1">
      <c r="B74" s="181"/>
      <c r="C74" s="182" t="s">
        <v>1710</v>
      </c>
      <c r="D74" s="245"/>
      <c r="E74" s="185"/>
      <c r="F74" s="185"/>
      <c r="G74" s="184"/>
      <c r="H74" s="184"/>
      <c r="I74" s="164" t="s">
        <v>2145</v>
      </c>
      <c r="J74" s="128">
        <f>SUM(J71:J73)</f>
        <v>0</v>
      </c>
      <c r="K74" s="129">
        <f t="shared" ref="K74:V74" si="248">SUM(K71:K73)</f>
        <v>0</v>
      </c>
      <c r="L74" s="129">
        <f t="shared" si="248"/>
        <v>0</v>
      </c>
      <c r="M74" s="129">
        <f t="shared" si="248"/>
        <v>0</v>
      </c>
      <c r="N74" s="129">
        <f t="shared" si="248"/>
        <v>0</v>
      </c>
      <c r="O74" s="129">
        <f t="shared" si="248"/>
        <v>0</v>
      </c>
      <c r="P74" s="129">
        <f t="shared" si="248"/>
        <v>0</v>
      </c>
      <c r="Q74" s="130">
        <f t="shared" si="248"/>
        <v>0</v>
      </c>
      <c r="R74" s="128">
        <f t="shared" si="248"/>
        <v>0</v>
      </c>
      <c r="S74" s="129">
        <f t="shared" si="248"/>
        <v>0</v>
      </c>
      <c r="T74" s="129">
        <f t="shared" si="248"/>
        <v>0</v>
      </c>
      <c r="U74" s="129">
        <f t="shared" si="248"/>
        <v>0</v>
      </c>
      <c r="V74" s="130">
        <f t="shared" si="248"/>
        <v>0</v>
      </c>
      <c r="W74" s="185"/>
      <c r="X74" s="164" t="s">
        <v>2145</v>
      </c>
      <c r="Y74" s="128">
        <f>SUM(Y71:Y73)</f>
        <v>0</v>
      </c>
      <c r="Z74" s="129">
        <f t="shared" ref="Z74:AK74" si="249">SUM(Z71:Z73)</f>
        <v>0</v>
      </c>
      <c r="AA74" s="129">
        <f t="shared" si="249"/>
        <v>0</v>
      </c>
      <c r="AB74" s="129">
        <f t="shared" si="249"/>
        <v>0</v>
      </c>
      <c r="AC74" s="129">
        <f t="shared" si="249"/>
        <v>0</v>
      </c>
      <c r="AD74" s="129">
        <f t="shared" si="249"/>
        <v>0</v>
      </c>
      <c r="AE74" s="129">
        <f t="shared" si="249"/>
        <v>0</v>
      </c>
      <c r="AF74" s="130">
        <f t="shared" si="249"/>
        <v>0</v>
      </c>
      <c r="AG74" s="128">
        <f t="shared" si="249"/>
        <v>0</v>
      </c>
      <c r="AH74" s="129">
        <f t="shared" si="249"/>
        <v>0</v>
      </c>
      <c r="AI74" s="129">
        <f t="shared" si="249"/>
        <v>0</v>
      </c>
      <c r="AJ74" s="129">
        <f t="shared" si="249"/>
        <v>0</v>
      </c>
      <c r="AK74" s="130">
        <f t="shared" si="249"/>
        <v>0</v>
      </c>
      <c r="AL74" s="185"/>
      <c r="AM74" s="164" t="s">
        <v>1876</v>
      </c>
      <c r="AN74" s="777">
        <f>SUM(AN71:AN73)</f>
        <v>0</v>
      </c>
      <c r="AO74" s="778">
        <f t="shared" ref="AO74:AZ74" si="250">SUM(AO71:AO73)</f>
        <v>0</v>
      </c>
      <c r="AP74" s="778">
        <f t="shared" si="250"/>
        <v>0</v>
      </c>
      <c r="AQ74" s="778">
        <f t="shared" si="250"/>
        <v>0</v>
      </c>
      <c r="AR74" s="778">
        <f t="shared" si="250"/>
        <v>0</v>
      </c>
      <c r="AS74" s="778">
        <f t="shared" si="250"/>
        <v>0</v>
      </c>
      <c r="AT74" s="778">
        <f t="shared" si="250"/>
        <v>0</v>
      </c>
      <c r="AU74" s="779">
        <f t="shared" si="250"/>
        <v>0</v>
      </c>
      <c r="AV74" s="777">
        <f t="shared" si="250"/>
        <v>0</v>
      </c>
      <c r="AW74" s="778">
        <f t="shared" si="250"/>
        <v>0</v>
      </c>
      <c r="AX74" s="778">
        <f t="shared" si="250"/>
        <v>0</v>
      </c>
      <c r="AY74" s="778">
        <f t="shared" si="250"/>
        <v>0</v>
      </c>
      <c r="AZ74" s="779">
        <f t="shared" si="250"/>
        <v>0</v>
      </c>
    </row>
    <row r="75" spans="1:53" s="98" customFormat="1" ht="15" customHeight="1">
      <c r="B75" s="181"/>
      <c r="C75" s="185"/>
      <c r="D75" s="185"/>
      <c r="E75" s="182"/>
      <c r="F75" s="182"/>
      <c r="G75" s="184"/>
      <c r="H75" s="184"/>
      <c r="I75" s="117"/>
      <c r="J75" s="713"/>
      <c r="K75" s="714"/>
      <c r="L75" s="714"/>
      <c r="M75" s="714"/>
      <c r="N75" s="714"/>
      <c r="O75" s="714"/>
      <c r="P75" s="714"/>
      <c r="Q75" s="715"/>
      <c r="R75" s="714"/>
      <c r="S75" s="714"/>
      <c r="T75" s="714"/>
      <c r="U75" s="714"/>
      <c r="V75" s="715"/>
      <c r="W75" s="185"/>
      <c r="X75" s="117"/>
      <c r="Y75" s="713"/>
      <c r="Z75" s="714"/>
      <c r="AA75" s="714"/>
      <c r="AB75" s="714"/>
      <c r="AC75" s="714"/>
      <c r="AD75" s="714"/>
      <c r="AE75" s="714"/>
      <c r="AF75" s="715"/>
      <c r="AG75" s="714"/>
      <c r="AH75" s="714"/>
      <c r="AI75" s="714"/>
      <c r="AJ75" s="714"/>
      <c r="AK75" s="715"/>
      <c r="AL75" s="185"/>
      <c r="AM75" s="117"/>
      <c r="AN75" s="159"/>
      <c r="AO75" s="117"/>
      <c r="AP75" s="117"/>
      <c r="AQ75" s="117"/>
      <c r="AR75" s="117"/>
      <c r="AS75" s="117"/>
      <c r="AT75" s="117"/>
      <c r="AU75" s="160"/>
      <c r="AV75" s="159"/>
      <c r="AW75" s="117"/>
      <c r="AX75" s="117"/>
      <c r="AY75" s="117"/>
      <c r="AZ75" s="160"/>
    </row>
    <row r="76" spans="1:53" s="98" customFormat="1" ht="15" customHeight="1" thickBot="1">
      <c r="A76" s="99"/>
      <c r="B76" s="239" t="s">
        <v>1701</v>
      </c>
      <c r="C76" s="240"/>
      <c r="D76" s="240"/>
      <c r="E76" s="240"/>
      <c r="F76" s="240"/>
      <c r="G76" s="241"/>
      <c r="H76" s="241"/>
      <c r="I76" s="195" t="s">
        <v>2145</v>
      </c>
      <c r="J76" s="717">
        <f>SUM(J68,J74)</f>
        <v>0</v>
      </c>
      <c r="K76" s="718">
        <f t="shared" ref="K76:V76" si="251">SUM(K68,K74)</f>
        <v>0</v>
      </c>
      <c r="L76" s="718">
        <f t="shared" si="251"/>
        <v>0</v>
      </c>
      <c r="M76" s="718">
        <f t="shared" si="251"/>
        <v>0</v>
      </c>
      <c r="N76" s="718">
        <f t="shared" si="251"/>
        <v>0</v>
      </c>
      <c r="O76" s="718">
        <f t="shared" si="251"/>
        <v>0</v>
      </c>
      <c r="P76" s="718">
        <f t="shared" si="251"/>
        <v>0</v>
      </c>
      <c r="Q76" s="719">
        <f t="shared" si="251"/>
        <v>0</v>
      </c>
      <c r="R76" s="717">
        <f t="shared" si="251"/>
        <v>0</v>
      </c>
      <c r="S76" s="718">
        <f t="shared" si="251"/>
        <v>0</v>
      </c>
      <c r="T76" s="718">
        <f t="shared" si="251"/>
        <v>0</v>
      </c>
      <c r="U76" s="718">
        <f t="shared" si="251"/>
        <v>0</v>
      </c>
      <c r="V76" s="719">
        <f t="shared" si="251"/>
        <v>0</v>
      </c>
      <c r="W76" s="192"/>
      <c r="X76" s="195" t="s">
        <v>2145</v>
      </c>
      <c r="Y76" s="717">
        <f>SUM(Y68,Y74)</f>
        <v>0</v>
      </c>
      <c r="Z76" s="718">
        <f t="shared" ref="Z76:AK76" si="252">SUM(Z68,Z74)</f>
        <v>0</v>
      </c>
      <c r="AA76" s="718">
        <f t="shared" si="252"/>
        <v>0</v>
      </c>
      <c r="AB76" s="718">
        <f t="shared" si="252"/>
        <v>0</v>
      </c>
      <c r="AC76" s="718">
        <f t="shared" si="252"/>
        <v>0</v>
      </c>
      <c r="AD76" s="718">
        <f t="shared" si="252"/>
        <v>0</v>
      </c>
      <c r="AE76" s="718">
        <f t="shared" si="252"/>
        <v>0</v>
      </c>
      <c r="AF76" s="719">
        <f t="shared" si="252"/>
        <v>0</v>
      </c>
      <c r="AG76" s="717">
        <f t="shared" si="252"/>
        <v>0</v>
      </c>
      <c r="AH76" s="718">
        <f t="shared" si="252"/>
        <v>0</v>
      </c>
      <c r="AI76" s="718">
        <f t="shared" si="252"/>
        <v>0</v>
      </c>
      <c r="AJ76" s="718">
        <f t="shared" si="252"/>
        <v>0</v>
      </c>
      <c r="AK76" s="719">
        <f t="shared" si="252"/>
        <v>0</v>
      </c>
      <c r="AL76" s="192"/>
      <c r="AM76" s="195" t="s">
        <v>1876</v>
      </c>
      <c r="AN76" s="717">
        <f>SUM(AN68,AN74)</f>
        <v>0</v>
      </c>
      <c r="AO76" s="718">
        <f t="shared" ref="AO76:AZ76" si="253">SUM(AO68,AO74)</f>
        <v>0</v>
      </c>
      <c r="AP76" s="718">
        <f t="shared" si="253"/>
        <v>0</v>
      </c>
      <c r="AQ76" s="718">
        <f t="shared" si="253"/>
        <v>0</v>
      </c>
      <c r="AR76" s="718">
        <f t="shared" si="253"/>
        <v>0</v>
      </c>
      <c r="AS76" s="718">
        <f t="shared" si="253"/>
        <v>0</v>
      </c>
      <c r="AT76" s="718">
        <f t="shared" si="253"/>
        <v>0</v>
      </c>
      <c r="AU76" s="719">
        <f t="shared" si="253"/>
        <v>0</v>
      </c>
      <c r="AV76" s="717">
        <f t="shared" si="253"/>
        <v>0</v>
      </c>
      <c r="AW76" s="718">
        <f t="shared" si="253"/>
        <v>0</v>
      </c>
      <c r="AX76" s="718">
        <f t="shared" si="253"/>
        <v>0</v>
      </c>
      <c r="AY76" s="718">
        <f t="shared" si="253"/>
        <v>0</v>
      </c>
      <c r="AZ76" s="719">
        <f t="shared" si="253"/>
        <v>0</v>
      </c>
    </row>
    <row r="77" spans="1:53" s="99" customFormat="1" ht="15" customHeight="1" thickBot="1">
      <c r="B77" s="150"/>
      <c r="C77" s="150"/>
      <c r="D77" s="150"/>
      <c r="E77" s="150"/>
      <c r="F77" s="150"/>
      <c r="G77" s="97"/>
      <c r="H77" s="97"/>
      <c r="I77" s="98"/>
      <c r="J77" s="98"/>
      <c r="K77" s="98"/>
      <c r="L77" s="98"/>
      <c r="M77" s="98"/>
      <c r="N77" s="98"/>
      <c r="O77" s="98"/>
      <c r="P77" s="98"/>
      <c r="Q77" s="98"/>
      <c r="R77" s="98"/>
      <c r="S77" s="98"/>
      <c r="T77" s="98"/>
      <c r="U77" s="98"/>
      <c r="V77" s="98"/>
      <c r="AL77" s="98"/>
      <c r="AM77" s="98"/>
      <c r="AN77" s="98"/>
      <c r="AO77" s="98"/>
      <c r="AP77" s="98"/>
      <c r="AQ77" s="98"/>
      <c r="AR77" s="98"/>
      <c r="AS77" s="98"/>
      <c r="AT77" s="98"/>
      <c r="AU77" s="98"/>
      <c r="AV77" s="98"/>
      <c r="AW77" s="98"/>
      <c r="AX77" s="98"/>
      <c r="AY77" s="98"/>
      <c r="AZ77" s="98"/>
      <c r="BA77" s="98"/>
    </row>
    <row r="78" spans="1:53" s="100" customFormat="1" ht="30" customHeight="1" thickBot="1">
      <c r="A78" s="89"/>
      <c r="B78" s="101" t="s">
        <v>2213</v>
      </c>
      <c r="C78" s="102"/>
      <c r="D78" s="102"/>
      <c r="E78" s="102"/>
      <c r="F78" s="102"/>
      <c r="G78" s="103"/>
      <c r="H78" s="103"/>
      <c r="I78" s="105" t="s">
        <v>1864</v>
      </c>
      <c r="J78" s="106"/>
      <c r="K78" s="106"/>
      <c r="L78" s="106"/>
      <c r="M78" s="106"/>
      <c r="N78" s="106"/>
      <c r="O78" s="106"/>
      <c r="P78" s="106"/>
      <c r="Q78" s="106"/>
      <c r="R78" s="105"/>
      <c r="S78" s="105"/>
      <c r="T78" s="105"/>
      <c r="U78" s="105"/>
      <c r="V78" s="187"/>
      <c r="W78" s="103"/>
      <c r="X78" s="105" t="s">
        <v>2202</v>
      </c>
      <c r="Y78" s="106"/>
      <c r="Z78" s="106"/>
      <c r="AA78" s="106"/>
      <c r="AB78" s="106"/>
      <c r="AC78" s="106"/>
      <c r="AD78" s="106"/>
      <c r="AE78" s="106"/>
      <c r="AF78" s="106"/>
      <c r="AG78" s="105"/>
      <c r="AH78" s="105"/>
      <c r="AI78" s="105"/>
      <c r="AJ78" s="105"/>
      <c r="AK78" s="187"/>
      <c r="AL78" s="103"/>
      <c r="AM78" s="105" t="s">
        <v>1869</v>
      </c>
      <c r="AN78" s="106"/>
      <c r="AO78" s="106"/>
      <c r="AP78" s="106"/>
      <c r="AQ78" s="106"/>
      <c r="AR78" s="106"/>
      <c r="AS78" s="106"/>
      <c r="AT78" s="106"/>
      <c r="AU78" s="106"/>
      <c r="AV78" s="105"/>
      <c r="AW78" s="105"/>
      <c r="AX78" s="105"/>
      <c r="AY78" s="105"/>
      <c r="AZ78" s="187"/>
    </row>
    <row r="79" spans="1:53" s="157" customFormat="1" ht="30" customHeight="1">
      <c r="A79" s="99"/>
      <c r="B79" s="109"/>
      <c r="C79" s="110"/>
      <c r="D79" s="110"/>
      <c r="E79" s="110"/>
      <c r="F79" s="110"/>
      <c r="G79" s="111"/>
      <c r="H79" s="111"/>
      <c r="I79" s="117"/>
      <c r="J79" s="695" t="s">
        <v>1666</v>
      </c>
      <c r="K79" s="152"/>
      <c r="L79" s="152"/>
      <c r="M79" s="152"/>
      <c r="N79" s="152"/>
      <c r="O79" s="152"/>
      <c r="P79" s="152"/>
      <c r="Q79" s="153"/>
      <c r="R79" s="696" t="s">
        <v>2</v>
      </c>
      <c r="S79" s="155"/>
      <c r="T79" s="155"/>
      <c r="U79" s="155"/>
      <c r="V79" s="156"/>
      <c r="W79" s="222"/>
      <c r="X79" s="117"/>
      <c r="Y79" s="695" t="s">
        <v>1666</v>
      </c>
      <c r="Z79" s="152"/>
      <c r="AA79" s="152"/>
      <c r="AB79" s="152"/>
      <c r="AC79" s="152"/>
      <c r="AD79" s="152"/>
      <c r="AE79" s="152"/>
      <c r="AF79" s="153"/>
      <c r="AG79" s="696" t="s">
        <v>2</v>
      </c>
      <c r="AH79" s="155"/>
      <c r="AI79" s="155"/>
      <c r="AJ79" s="155"/>
      <c r="AK79" s="156"/>
      <c r="AL79" s="222"/>
      <c r="AM79" s="117"/>
      <c r="AN79" s="695" t="s">
        <v>1666</v>
      </c>
      <c r="AO79" s="152"/>
      <c r="AP79" s="152"/>
      <c r="AQ79" s="152"/>
      <c r="AR79" s="152"/>
      <c r="AS79" s="152"/>
      <c r="AT79" s="152"/>
      <c r="AU79" s="153"/>
      <c r="AV79" s="696" t="s">
        <v>2</v>
      </c>
      <c r="AW79" s="155"/>
      <c r="AX79" s="155"/>
      <c r="AY79" s="155"/>
      <c r="AZ79" s="156"/>
    </row>
    <row r="80" spans="1:53" s="98" customFormat="1" ht="15" customHeight="1">
      <c r="A80" s="99"/>
      <c r="B80" s="115"/>
      <c r="C80" s="116"/>
      <c r="D80" s="116"/>
      <c r="E80" s="116"/>
      <c r="F80" s="116"/>
      <c r="G80" s="117"/>
      <c r="H80" s="117"/>
      <c r="I80" s="119" t="s">
        <v>1667</v>
      </c>
      <c r="J80" s="158" t="s">
        <v>453</v>
      </c>
      <c r="K80" s="137" t="s">
        <v>455</v>
      </c>
      <c r="L80" s="137" t="s">
        <v>457</v>
      </c>
      <c r="M80" s="137" t="s">
        <v>459</v>
      </c>
      <c r="N80" s="137" t="s">
        <v>461</v>
      </c>
      <c r="O80" s="137" t="s">
        <v>463</v>
      </c>
      <c r="P80" s="137" t="s">
        <v>465</v>
      </c>
      <c r="Q80" s="138" t="s">
        <v>467</v>
      </c>
      <c r="R80" s="120" t="s">
        <v>469</v>
      </c>
      <c r="S80" s="121" t="s">
        <v>471</v>
      </c>
      <c r="T80" s="121" t="s">
        <v>473</v>
      </c>
      <c r="U80" s="121" t="s">
        <v>475</v>
      </c>
      <c r="V80" s="122" t="s">
        <v>477</v>
      </c>
      <c r="W80" s="185"/>
      <c r="X80" s="119" t="s">
        <v>1667</v>
      </c>
      <c r="Y80" s="158" t="s">
        <v>453</v>
      </c>
      <c r="Z80" s="137" t="s">
        <v>455</v>
      </c>
      <c r="AA80" s="137" t="s">
        <v>457</v>
      </c>
      <c r="AB80" s="137" t="s">
        <v>459</v>
      </c>
      <c r="AC80" s="137" t="s">
        <v>461</v>
      </c>
      <c r="AD80" s="137" t="s">
        <v>463</v>
      </c>
      <c r="AE80" s="137" t="s">
        <v>465</v>
      </c>
      <c r="AF80" s="138" t="s">
        <v>467</v>
      </c>
      <c r="AG80" s="120" t="s">
        <v>469</v>
      </c>
      <c r="AH80" s="121" t="s">
        <v>471</v>
      </c>
      <c r="AI80" s="121" t="s">
        <v>473</v>
      </c>
      <c r="AJ80" s="121" t="s">
        <v>475</v>
      </c>
      <c r="AK80" s="122" t="s">
        <v>477</v>
      </c>
      <c r="AL80" s="185"/>
      <c r="AM80" s="119" t="s">
        <v>1667</v>
      </c>
      <c r="AN80" s="158" t="s">
        <v>453</v>
      </c>
      <c r="AO80" s="137" t="s">
        <v>455</v>
      </c>
      <c r="AP80" s="137" t="s">
        <v>457</v>
      </c>
      <c r="AQ80" s="137" t="s">
        <v>459</v>
      </c>
      <c r="AR80" s="137" t="s">
        <v>461</v>
      </c>
      <c r="AS80" s="137" t="s">
        <v>463</v>
      </c>
      <c r="AT80" s="137" t="s">
        <v>465</v>
      </c>
      <c r="AU80" s="138" t="s">
        <v>467</v>
      </c>
      <c r="AV80" s="120" t="s">
        <v>469</v>
      </c>
      <c r="AW80" s="121" t="s">
        <v>471</v>
      </c>
      <c r="AX80" s="121" t="s">
        <v>473</v>
      </c>
      <c r="AY80" s="121" t="s">
        <v>475</v>
      </c>
      <c r="AZ80" s="122" t="s">
        <v>477</v>
      </c>
    </row>
    <row r="81" spans="2:52" s="98" customFormat="1" ht="15" customHeight="1">
      <c r="B81" s="161"/>
      <c r="C81" s="180" t="s">
        <v>2214</v>
      </c>
      <c r="D81" s="180"/>
      <c r="E81" s="162"/>
      <c r="F81" s="162"/>
      <c r="G81" s="163"/>
      <c r="H81" s="163"/>
      <c r="I81" s="117"/>
      <c r="J81" s="159"/>
      <c r="K81" s="117"/>
      <c r="L81" s="117"/>
      <c r="M81" s="117"/>
      <c r="N81" s="117"/>
      <c r="O81" s="117"/>
      <c r="P81" s="117"/>
      <c r="Q81" s="160"/>
      <c r="R81" s="159"/>
      <c r="S81" s="117"/>
      <c r="T81" s="117"/>
      <c r="U81" s="117"/>
      <c r="V81" s="160"/>
      <c r="W81" s="185"/>
      <c r="X81" s="117"/>
      <c r="Y81" s="159"/>
      <c r="Z81" s="117"/>
      <c r="AA81" s="117"/>
      <c r="AB81" s="117"/>
      <c r="AC81" s="117"/>
      <c r="AD81" s="117"/>
      <c r="AE81" s="117"/>
      <c r="AF81" s="160"/>
      <c r="AG81" s="159"/>
      <c r="AH81" s="117"/>
      <c r="AI81" s="117"/>
      <c r="AJ81" s="117"/>
      <c r="AK81" s="160"/>
      <c r="AL81" s="185"/>
      <c r="AM81" s="117"/>
      <c r="AN81" s="159"/>
      <c r="AO81" s="117"/>
      <c r="AP81" s="117"/>
      <c r="AQ81" s="117"/>
      <c r="AR81" s="117"/>
      <c r="AS81" s="117"/>
      <c r="AT81" s="117"/>
      <c r="AU81" s="160"/>
      <c r="AV81" s="159"/>
      <c r="AW81" s="117"/>
      <c r="AX81" s="117"/>
      <c r="AY81" s="117"/>
      <c r="AZ81" s="160"/>
    </row>
    <row r="82" spans="2:52" s="98" customFormat="1" ht="15" customHeight="1">
      <c r="B82" s="161"/>
      <c r="C82" s="185"/>
      <c r="D82" s="162" t="s">
        <v>36</v>
      </c>
      <c r="G82" s="162"/>
      <c r="H82" s="163"/>
      <c r="I82" s="164" t="s">
        <v>2145</v>
      </c>
      <c r="J82" s="143">
        <v>0.16845297000000001</v>
      </c>
      <c r="K82" s="141">
        <v>0.16843662000000076</v>
      </c>
      <c r="L82" s="141">
        <v>0.15603978000000032</v>
      </c>
      <c r="M82" s="141">
        <v>0.15320562000000004</v>
      </c>
      <c r="N82" s="141">
        <v>0.14275507999999915</v>
      </c>
      <c r="O82" s="141">
        <v>0.14832888000000111</v>
      </c>
      <c r="P82" s="141">
        <v>0.14832888000000111</v>
      </c>
      <c r="Q82" s="144">
        <v>0.14832888000000111</v>
      </c>
      <c r="R82" s="143">
        <v>0.14832888000000111</v>
      </c>
      <c r="S82" s="141">
        <v>0.14832888000000111</v>
      </c>
      <c r="T82" s="141">
        <v>0.14832888000000111</v>
      </c>
      <c r="U82" s="141">
        <v>0.14832888000000111</v>
      </c>
      <c r="V82" s="144">
        <v>0.14832888000000111</v>
      </c>
      <c r="W82" s="185"/>
      <c r="X82" s="164" t="s">
        <v>2145</v>
      </c>
      <c r="Y82" s="143">
        <v>0</v>
      </c>
      <c r="Z82" s="141">
        <v>0</v>
      </c>
      <c r="AA82" s="141">
        <v>0</v>
      </c>
      <c r="AB82" s="141">
        <v>0</v>
      </c>
      <c r="AC82" s="141">
        <v>0</v>
      </c>
      <c r="AD82" s="141">
        <v>0</v>
      </c>
      <c r="AE82" s="141">
        <v>0</v>
      </c>
      <c r="AF82" s="144">
        <v>0</v>
      </c>
      <c r="AG82" s="143">
        <v>0</v>
      </c>
      <c r="AH82" s="141">
        <v>0</v>
      </c>
      <c r="AI82" s="141">
        <v>0</v>
      </c>
      <c r="AJ82" s="141">
        <v>0</v>
      </c>
      <c r="AK82" s="144">
        <v>0</v>
      </c>
      <c r="AL82" s="185"/>
      <c r="AM82" s="164" t="s">
        <v>1876</v>
      </c>
      <c r="AN82" s="165">
        <v>3464</v>
      </c>
      <c r="AO82" s="166">
        <v>3071</v>
      </c>
      <c r="AP82" s="166">
        <v>3357</v>
      </c>
      <c r="AQ82" s="166">
        <v>2908</v>
      </c>
      <c r="AR82" s="166">
        <v>2954</v>
      </c>
      <c r="AS82" s="166">
        <v>2658</v>
      </c>
      <c r="AT82" s="166">
        <v>2658</v>
      </c>
      <c r="AU82" s="167">
        <v>2658</v>
      </c>
      <c r="AV82" s="165">
        <v>2658</v>
      </c>
      <c r="AW82" s="166">
        <v>2658</v>
      </c>
      <c r="AX82" s="166">
        <v>2658</v>
      </c>
      <c r="AY82" s="166">
        <v>2658</v>
      </c>
      <c r="AZ82" s="167">
        <v>2658</v>
      </c>
    </row>
    <row r="83" spans="2:52" s="98" customFormat="1" ht="15" customHeight="1">
      <c r="B83" s="161"/>
      <c r="C83" s="185"/>
      <c r="D83" s="162" t="s">
        <v>62</v>
      </c>
      <c r="G83" s="162"/>
      <c r="H83" s="163"/>
      <c r="I83" s="164" t="s">
        <v>2145</v>
      </c>
      <c r="J83" s="143">
        <v>3.4027709999999996E-2</v>
      </c>
      <c r="K83" s="141">
        <v>3.4109479999999991E-2</v>
      </c>
      <c r="L83" s="141">
        <v>3.2017240000000002E-2</v>
      </c>
      <c r="M83" s="141">
        <v>3.1319670000000001E-2</v>
      </c>
      <c r="N83" s="141">
        <v>2.8829259999999999E-2</v>
      </c>
      <c r="O83" s="141">
        <v>3.0078770000000012E-2</v>
      </c>
      <c r="P83" s="141">
        <v>3.0078770000000012E-2</v>
      </c>
      <c r="Q83" s="144">
        <v>3.0078770000000012E-2</v>
      </c>
      <c r="R83" s="143">
        <v>3.0078770000000012E-2</v>
      </c>
      <c r="S83" s="141">
        <v>3.0078770000000012E-2</v>
      </c>
      <c r="T83" s="141">
        <v>3.0078770000000012E-2</v>
      </c>
      <c r="U83" s="141">
        <v>3.0078770000000012E-2</v>
      </c>
      <c r="V83" s="144">
        <v>3.0078770000000012E-2</v>
      </c>
      <c r="W83" s="185"/>
      <c r="X83" s="164" t="s">
        <v>2145</v>
      </c>
      <c r="Y83" s="143">
        <v>0</v>
      </c>
      <c r="Z83" s="141">
        <v>0</v>
      </c>
      <c r="AA83" s="141">
        <v>0</v>
      </c>
      <c r="AB83" s="141">
        <v>0</v>
      </c>
      <c r="AC83" s="141">
        <v>0</v>
      </c>
      <c r="AD83" s="141">
        <v>0</v>
      </c>
      <c r="AE83" s="141">
        <v>0</v>
      </c>
      <c r="AF83" s="144">
        <v>0</v>
      </c>
      <c r="AG83" s="143">
        <v>0</v>
      </c>
      <c r="AH83" s="141">
        <v>0</v>
      </c>
      <c r="AI83" s="141">
        <v>0</v>
      </c>
      <c r="AJ83" s="141">
        <v>0</v>
      </c>
      <c r="AK83" s="144">
        <v>0</v>
      </c>
      <c r="AL83" s="185"/>
      <c r="AM83" s="164" t="s">
        <v>1876</v>
      </c>
      <c r="AN83" s="165">
        <v>1476</v>
      </c>
      <c r="AO83" s="166">
        <v>1451</v>
      </c>
      <c r="AP83" s="166">
        <v>1285</v>
      </c>
      <c r="AQ83" s="166">
        <v>1214</v>
      </c>
      <c r="AR83" s="166">
        <v>1180</v>
      </c>
      <c r="AS83" s="166">
        <v>1084</v>
      </c>
      <c r="AT83" s="166">
        <v>1084</v>
      </c>
      <c r="AU83" s="167">
        <v>1084</v>
      </c>
      <c r="AV83" s="165">
        <v>1084</v>
      </c>
      <c r="AW83" s="166">
        <v>1084</v>
      </c>
      <c r="AX83" s="166">
        <v>1084</v>
      </c>
      <c r="AY83" s="166">
        <v>1084</v>
      </c>
      <c r="AZ83" s="167">
        <v>1084</v>
      </c>
    </row>
    <row r="84" spans="2:52" s="98" customFormat="1" ht="15" customHeight="1">
      <c r="B84" s="161"/>
      <c r="C84" s="185"/>
      <c r="D84" s="162" t="s">
        <v>71</v>
      </c>
      <c r="G84" s="162"/>
      <c r="H84" s="163"/>
      <c r="I84" s="164" t="s">
        <v>2145</v>
      </c>
      <c r="J84" s="143">
        <v>0.15774552</v>
      </c>
      <c r="K84" s="141">
        <v>0.13911765000000006</v>
      </c>
      <c r="L84" s="141">
        <v>0.12887862000000003</v>
      </c>
      <c r="M84" s="141">
        <v>0.12653456999999993</v>
      </c>
      <c r="N84" s="141">
        <v>0.11762607000000001</v>
      </c>
      <c r="O84" s="141">
        <v>0.12252663999999995</v>
      </c>
      <c r="P84" s="141">
        <v>0.12252663999999995</v>
      </c>
      <c r="Q84" s="144">
        <v>0.12252663999999995</v>
      </c>
      <c r="R84" s="143">
        <v>0.12252663999999995</v>
      </c>
      <c r="S84" s="141">
        <v>0.12252663999999995</v>
      </c>
      <c r="T84" s="141">
        <v>0.12252663999999995</v>
      </c>
      <c r="U84" s="141">
        <v>0.12252663999999995</v>
      </c>
      <c r="V84" s="144">
        <v>0.12252663999999995</v>
      </c>
      <c r="W84" s="185"/>
      <c r="X84" s="164" t="s">
        <v>2145</v>
      </c>
      <c r="Y84" s="143">
        <v>0</v>
      </c>
      <c r="Z84" s="141">
        <v>0</v>
      </c>
      <c r="AA84" s="141">
        <v>0</v>
      </c>
      <c r="AB84" s="141">
        <v>0</v>
      </c>
      <c r="AC84" s="141">
        <v>0</v>
      </c>
      <c r="AD84" s="141">
        <v>0</v>
      </c>
      <c r="AE84" s="141">
        <v>0</v>
      </c>
      <c r="AF84" s="144">
        <v>0</v>
      </c>
      <c r="AG84" s="143">
        <v>0</v>
      </c>
      <c r="AH84" s="141">
        <v>0</v>
      </c>
      <c r="AI84" s="141">
        <v>0</v>
      </c>
      <c r="AJ84" s="141">
        <v>0</v>
      </c>
      <c r="AK84" s="144">
        <v>0</v>
      </c>
      <c r="AL84" s="185"/>
      <c r="AM84" s="164" t="s">
        <v>1876</v>
      </c>
      <c r="AN84" s="165">
        <v>2036</v>
      </c>
      <c r="AO84" s="166">
        <v>2123</v>
      </c>
      <c r="AP84" s="166">
        <v>1681</v>
      </c>
      <c r="AQ84" s="166">
        <v>1926</v>
      </c>
      <c r="AR84" s="166">
        <v>1734</v>
      </c>
      <c r="AS84" s="166">
        <v>1691</v>
      </c>
      <c r="AT84" s="166">
        <v>1691</v>
      </c>
      <c r="AU84" s="167">
        <v>1691</v>
      </c>
      <c r="AV84" s="165">
        <v>1691</v>
      </c>
      <c r="AW84" s="166">
        <v>1691</v>
      </c>
      <c r="AX84" s="166">
        <v>1691</v>
      </c>
      <c r="AY84" s="166">
        <v>1691</v>
      </c>
      <c r="AZ84" s="167">
        <v>1691</v>
      </c>
    </row>
    <row r="85" spans="2:52" s="98" customFormat="1" ht="15" customHeight="1">
      <c r="B85" s="181"/>
      <c r="C85" s="182" t="s">
        <v>1710</v>
      </c>
      <c r="D85" s="182"/>
      <c r="G85" s="184"/>
      <c r="H85" s="184"/>
      <c r="I85" s="164" t="s">
        <v>2145</v>
      </c>
      <c r="J85" s="128">
        <f>SUM(J82:J84)</f>
        <v>0.3602262</v>
      </c>
      <c r="K85" s="129">
        <f t="shared" ref="K85:V85" si="254">SUM(K82:K84)</f>
        <v>0.34166375000000082</v>
      </c>
      <c r="L85" s="129">
        <f t="shared" si="254"/>
        <v>0.31693564000000035</v>
      </c>
      <c r="M85" s="129">
        <f t="shared" si="254"/>
        <v>0.31105985999999997</v>
      </c>
      <c r="N85" s="129">
        <f t="shared" si="254"/>
        <v>0.28921040999999914</v>
      </c>
      <c r="O85" s="129">
        <f t="shared" si="254"/>
        <v>0.30093429000000105</v>
      </c>
      <c r="P85" s="129">
        <f t="shared" si="254"/>
        <v>0.30093429000000105</v>
      </c>
      <c r="Q85" s="130">
        <f t="shared" si="254"/>
        <v>0.30093429000000105</v>
      </c>
      <c r="R85" s="128">
        <f t="shared" si="254"/>
        <v>0.30093429000000105</v>
      </c>
      <c r="S85" s="129">
        <f t="shared" si="254"/>
        <v>0.30093429000000105</v>
      </c>
      <c r="T85" s="129">
        <f t="shared" si="254"/>
        <v>0.30093429000000105</v>
      </c>
      <c r="U85" s="129">
        <f t="shared" si="254"/>
        <v>0.30093429000000105</v>
      </c>
      <c r="V85" s="130">
        <f t="shared" si="254"/>
        <v>0.30093429000000105</v>
      </c>
      <c r="W85" s="185"/>
      <c r="X85" s="164" t="s">
        <v>2145</v>
      </c>
      <c r="Y85" s="128">
        <f>SUM(Y82:Y84)</f>
        <v>0</v>
      </c>
      <c r="Z85" s="129">
        <f t="shared" ref="Z85" si="255">SUM(Z82:Z84)</f>
        <v>0</v>
      </c>
      <c r="AA85" s="129">
        <f t="shared" ref="AA85" si="256">SUM(AA82:AA84)</f>
        <v>0</v>
      </c>
      <c r="AB85" s="129">
        <f t="shared" ref="AB85" si="257">SUM(AB82:AB84)</f>
        <v>0</v>
      </c>
      <c r="AC85" s="129">
        <f t="shared" ref="AC85" si="258">SUM(AC82:AC84)</f>
        <v>0</v>
      </c>
      <c r="AD85" s="129">
        <f t="shared" ref="AD85" si="259">SUM(AD82:AD84)</f>
        <v>0</v>
      </c>
      <c r="AE85" s="129">
        <f t="shared" ref="AE85" si="260">SUM(AE82:AE84)</f>
        <v>0</v>
      </c>
      <c r="AF85" s="130">
        <f t="shared" ref="AF85" si="261">SUM(AF82:AF84)</f>
        <v>0</v>
      </c>
      <c r="AG85" s="128">
        <f t="shared" ref="AG85" si="262">SUM(AG82:AG84)</f>
        <v>0</v>
      </c>
      <c r="AH85" s="129">
        <f t="shared" ref="AH85" si="263">SUM(AH82:AH84)</f>
        <v>0</v>
      </c>
      <c r="AI85" s="129">
        <f t="shared" ref="AI85" si="264">SUM(AI82:AI84)</f>
        <v>0</v>
      </c>
      <c r="AJ85" s="129">
        <f t="shared" ref="AJ85" si="265">SUM(AJ82:AJ84)</f>
        <v>0</v>
      </c>
      <c r="AK85" s="130">
        <f t="shared" ref="AK85" si="266">SUM(AK82:AK84)</f>
        <v>0</v>
      </c>
      <c r="AL85" s="185"/>
      <c r="AM85" s="164" t="s">
        <v>1876</v>
      </c>
      <c r="AN85" s="777">
        <f>SUM(AN82:AN84)</f>
        <v>6976</v>
      </c>
      <c r="AO85" s="778">
        <f t="shared" ref="AO85" si="267">SUM(AO82:AO84)</f>
        <v>6645</v>
      </c>
      <c r="AP85" s="778">
        <f t="shared" ref="AP85" si="268">SUM(AP82:AP84)</f>
        <v>6323</v>
      </c>
      <c r="AQ85" s="778">
        <f t="shared" ref="AQ85" si="269">SUM(AQ82:AQ84)</f>
        <v>6048</v>
      </c>
      <c r="AR85" s="778">
        <f t="shared" ref="AR85" si="270">SUM(AR82:AR84)</f>
        <v>5868</v>
      </c>
      <c r="AS85" s="778">
        <f t="shared" ref="AS85" si="271">SUM(AS82:AS84)</f>
        <v>5433</v>
      </c>
      <c r="AT85" s="778">
        <f t="shared" ref="AT85" si="272">SUM(AT82:AT84)</f>
        <v>5433</v>
      </c>
      <c r="AU85" s="779">
        <f t="shared" ref="AU85" si="273">SUM(AU82:AU84)</f>
        <v>5433</v>
      </c>
      <c r="AV85" s="777">
        <f t="shared" ref="AV85" si="274">SUM(AV82:AV84)</f>
        <v>5433</v>
      </c>
      <c r="AW85" s="778">
        <f t="shared" ref="AW85" si="275">SUM(AW82:AW84)</f>
        <v>5433</v>
      </c>
      <c r="AX85" s="778">
        <f t="shared" ref="AX85" si="276">SUM(AX82:AX84)</f>
        <v>5433</v>
      </c>
      <c r="AY85" s="778">
        <f t="shared" ref="AY85" si="277">SUM(AY82:AY84)</f>
        <v>5433</v>
      </c>
      <c r="AZ85" s="779">
        <f t="shared" ref="AZ85" si="278">SUM(AZ82:AZ84)</f>
        <v>5433</v>
      </c>
    </row>
    <row r="86" spans="2:52" s="98" customFormat="1" ht="15" customHeight="1">
      <c r="B86" s="181"/>
      <c r="C86" s="185"/>
      <c r="D86" s="185"/>
      <c r="E86" s="182"/>
      <c r="F86" s="182"/>
      <c r="G86" s="184"/>
      <c r="H86" s="184"/>
      <c r="I86" s="117"/>
      <c r="J86" s="713"/>
      <c r="K86" s="714"/>
      <c r="L86" s="714"/>
      <c r="M86" s="714"/>
      <c r="N86" s="714"/>
      <c r="O86" s="714"/>
      <c r="P86" s="714"/>
      <c r="Q86" s="715"/>
      <c r="R86" s="714"/>
      <c r="S86" s="714"/>
      <c r="T86" s="714"/>
      <c r="U86" s="714"/>
      <c r="V86" s="715"/>
      <c r="W86" s="185"/>
      <c r="X86" s="117"/>
      <c r="Y86" s="713"/>
      <c r="Z86" s="714"/>
      <c r="AA86" s="714"/>
      <c r="AB86" s="714"/>
      <c r="AC86" s="714"/>
      <c r="AD86" s="714"/>
      <c r="AE86" s="714"/>
      <c r="AF86" s="715"/>
      <c r="AG86" s="714"/>
      <c r="AH86" s="714"/>
      <c r="AI86" s="714"/>
      <c r="AJ86" s="714"/>
      <c r="AK86" s="715"/>
      <c r="AL86" s="185"/>
      <c r="AM86" s="117"/>
      <c r="AN86" s="878"/>
      <c r="AO86" s="879"/>
      <c r="AP86" s="879"/>
      <c r="AQ86" s="879"/>
      <c r="AR86" s="879"/>
      <c r="AS86" s="879"/>
      <c r="AT86" s="879"/>
      <c r="AU86" s="880"/>
      <c r="AV86" s="879"/>
      <c r="AW86" s="879"/>
      <c r="AX86" s="879"/>
      <c r="AY86" s="879"/>
      <c r="AZ86" s="880"/>
    </row>
    <row r="87" spans="2:52" s="98" customFormat="1" ht="15" customHeight="1">
      <c r="B87" s="161"/>
      <c r="C87" s="180" t="s">
        <v>2215</v>
      </c>
      <c r="D87" s="180"/>
      <c r="E87" s="162"/>
      <c r="F87" s="162"/>
      <c r="G87" s="163"/>
      <c r="H87" s="163"/>
      <c r="I87" s="117"/>
      <c r="J87" s="713"/>
      <c r="K87" s="721"/>
      <c r="L87" s="721"/>
      <c r="M87" s="721"/>
      <c r="N87" s="721"/>
      <c r="O87" s="721"/>
      <c r="P87" s="721"/>
      <c r="Q87" s="715"/>
      <c r="R87" s="713"/>
      <c r="S87" s="721"/>
      <c r="T87" s="721"/>
      <c r="U87" s="721"/>
      <c r="V87" s="715"/>
      <c r="W87" s="185"/>
      <c r="X87" s="117"/>
      <c r="Y87" s="713"/>
      <c r="Z87" s="721"/>
      <c r="AA87" s="721"/>
      <c r="AB87" s="721"/>
      <c r="AC87" s="721"/>
      <c r="AD87" s="721"/>
      <c r="AE87" s="721"/>
      <c r="AF87" s="715"/>
      <c r="AG87" s="713"/>
      <c r="AH87" s="721"/>
      <c r="AI87" s="721"/>
      <c r="AJ87" s="721"/>
      <c r="AK87" s="715"/>
      <c r="AL87" s="185"/>
      <c r="AM87" s="117"/>
      <c r="AN87" s="878"/>
      <c r="AO87" s="881"/>
      <c r="AP87" s="881"/>
      <c r="AQ87" s="881"/>
      <c r="AR87" s="881"/>
      <c r="AS87" s="881"/>
      <c r="AT87" s="881"/>
      <c r="AU87" s="880"/>
      <c r="AV87" s="878"/>
      <c r="AW87" s="881"/>
      <c r="AX87" s="881"/>
      <c r="AY87" s="881"/>
      <c r="AZ87" s="880"/>
    </row>
    <row r="88" spans="2:52" s="98" customFormat="1" ht="15" customHeight="1">
      <c r="B88" s="161"/>
      <c r="C88" s="185"/>
      <c r="D88" s="162" t="s">
        <v>36</v>
      </c>
      <c r="G88" s="162"/>
      <c r="H88" s="163"/>
      <c r="I88" s="164" t="s">
        <v>2145</v>
      </c>
      <c r="J88" s="143">
        <v>0.12398218507512809</v>
      </c>
      <c r="K88" s="141">
        <v>4.409902729842758E-2</v>
      </c>
      <c r="L88" s="141">
        <v>7.3443533565917568E-2</v>
      </c>
      <c r="M88" s="141">
        <v>2.8782815969599241E-2</v>
      </c>
      <c r="N88" s="141">
        <v>1.4884954961992608E-2</v>
      </c>
      <c r="O88" s="141">
        <v>1.4690494104021732E-2</v>
      </c>
      <c r="P88" s="141">
        <v>1.4690494104021732E-2</v>
      </c>
      <c r="Q88" s="144">
        <v>1.4690494104021732E-2</v>
      </c>
      <c r="R88" s="143">
        <v>1.4690494104021732E-2</v>
      </c>
      <c r="S88" s="141">
        <v>1.4690494104021732E-2</v>
      </c>
      <c r="T88" s="141">
        <v>1.4690494104021732E-2</v>
      </c>
      <c r="U88" s="141">
        <v>1.4690494104021732E-2</v>
      </c>
      <c r="V88" s="144">
        <v>1.4690494104021732E-2</v>
      </c>
      <c r="W88" s="185"/>
      <c r="X88" s="164" t="s">
        <v>2145</v>
      </c>
      <c r="Y88" s="143">
        <v>0</v>
      </c>
      <c r="Z88" s="141">
        <v>0</v>
      </c>
      <c r="AA88" s="141">
        <v>0</v>
      </c>
      <c r="AB88" s="141">
        <v>0</v>
      </c>
      <c r="AC88" s="141">
        <v>0</v>
      </c>
      <c r="AD88" s="141">
        <v>0</v>
      </c>
      <c r="AE88" s="141">
        <v>0</v>
      </c>
      <c r="AF88" s="144">
        <v>0</v>
      </c>
      <c r="AG88" s="143">
        <v>0</v>
      </c>
      <c r="AH88" s="141">
        <v>0</v>
      </c>
      <c r="AI88" s="141">
        <v>0</v>
      </c>
      <c r="AJ88" s="141">
        <v>0</v>
      </c>
      <c r="AK88" s="144">
        <v>0</v>
      </c>
      <c r="AL88" s="185"/>
      <c r="AM88" s="164" t="s">
        <v>1876</v>
      </c>
      <c r="AN88" s="165">
        <v>2392</v>
      </c>
      <c r="AO88" s="166">
        <v>1151</v>
      </c>
      <c r="AP88" s="166">
        <v>1696</v>
      </c>
      <c r="AQ88" s="166">
        <v>1167</v>
      </c>
      <c r="AR88" s="166">
        <v>830</v>
      </c>
      <c r="AS88" s="166">
        <v>401</v>
      </c>
      <c r="AT88" s="166">
        <v>401</v>
      </c>
      <c r="AU88" s="167">
        <v>401</v>
      </c>
      <c r="AV88" s="165">
        <v>401</v>
      </c>
      <c r="AW88" s="166">
        <v>401</v>
      </c>
      <c r="AX88" s="166">
        <v>401</v>
      </c>
      <c r="AY88" s="166">
        <v>401</v>
      </c>
      <c r="AZ88" s="167">
        <v>401</v>
      </c>
    </row>
    <row r="89" spans="2:52" s="98" customFormat="1" ht="15" customHeight="1">
      <c r="B89" s="161"/>
      <c r="C89" s="185"/>
      <c r="D89" s="162" t="s">
        <v>62</v>
      </c>
      <c r="G89" s="162"/>
      <c r="H89" s="163"/>
      <c r="I89" s="164" t="s">
        <v>2145</v>
      </c>
      <c r="J89" s="143">
        <v>0.14264932238561304</v>
      </c>
      <c r="K89" s="141">
        <v>2.3241121248025891E-2</v>
      </c>
      <c r="L89" s="141">
        <v>3.0012930628172115E-2</v>
      </c>
      <c r="M89" s="141">
        <v>1.7610051929986166E-2</v>
      </c>
      <c r="N89" s="141">
        <v>7.256415543971397E-3</v>
      </c>
      <c r="O89" s="141">
        <v>9.5630229729447448E-3</v>
      </c>
      <c r="P89" s="141">
        <v>9.5630229729447448E-3</v>
      </c>
      <c r="Q89" s="144">
        <v>9.5630229729447448E-3</v>
      </c>
      <c r="R89" s="143">
        <v>9.5630229729447448E-3</v>
      </c>
      <c r="S89" s="141">
        <v>9.5630229729447448E-3</v>
      </c>
      <c r="T89" s="141">
        <v>9.5630229729447448E-3</v>
      </c>
      <c r="U89" s="141">
        <v>9.5630229729447448E-3</v>
      </c>
      <c r="V89" s="144">
        <v>9.5630229729447448E-3</v>
      </c>
      <c r="W89" s="185"/>
      <c r="X89" s="164" t="s">
        <v>2145</v>
      </c>
      <c r="Y89" s="143">
        <v>0</v>
      </c>
      <c r="Z89" s="141">
        <v>0</v>
      </c>
      <c r="AA89" s="141">
        <v>0</v>
      </c>
      <c r="AB89" s="141">
        <v>0</v>
      </c>
      <c r="AC89" s="141">
        <v>0</v>
      </c>
      <c r="AD89" s="141">
        <v>0</v>
      </c>
      <c r="AE89" s="141">
        <v>0</v>
      </c>
      <c r="AF89" s="144">
        <v>0</v>
      </c>
      <c r="AG89" s="143">
        <v>0</v>
      </c>
      <c r="AH89" s="141">
        <v>0</v>
      </c>
      <c r="AI89" s="141">
        <v>0</v>
      </c>
      <c r="AJ89" s="141">
        <v>0</v>
      </c>
      <c r="AK89" s="144">
        <v>0</v>
      </c>
      <c r="AL89" s="185"/>
      <c r="AM89" s="164" t="s">
        <v>1876</v>
      </c>
      <c r="AN89" s="165">
        <v>2655</v>
      </c>
      <c r="AO89" s="166">
        <v>590</v>
      </c>
      <c r="AP89" s="166">
        <v>672</v>
      </c>
      <c r="AQ89" s="166">
        <v>714</v>
      </c>
      <c r="AR89" s="166">
        <v>375</v>
      </c>
      <c r="AS89" s="166">
        <v>255</v>
      </c>
      <c r="AT89" s="166">
        <v>255</v>
      </c>
      <c r="AU89" s="167">
        <v>255</v>
      </c>
      <c r="AV89" s="165">
        <v>255</v>
      </c>
      <c r="AW89" s="166">
        <v>255</v>
      </c>
      <c r="AX89" s="166">
        <v>255</v>
      </c>
      <c r="AY89" s="166">
        <v>255</v>
      </c>
      <c r="AZ89" s="167">
        <v>255</v>
      </c>
    </row>
    <row r="90" spans="2:52" s="98" customFormat="1" ht="15" customHeight="1">
      <c r="B90" s="161"/>
      <c r="C90" s="185"/>
      <c r="D90" s="162" t="s">
        <v>71</v>
      </c>
      <c r="G90" s="162"/>
      <c r="H90" s="163"/>
      <c r="I90" s="164" t="s">
        <v>2145</v>
      </c>
      <c r="J90" s="143">
        <v>8.1543619252736357E-2</v>
      </c>
      <c r="K90" s="141">
        <v>3.7965423294510754E-2</v>
      </c>
      <c r="L90" s="141">
        <v>7.8718843898173074E-2</v>
      </c>
      <c r="M90" s="141">
        <v>2.3455405301704268E-2</v>
      </c>
      <c r="N90" s="141">
        <v>8.5795226517040735E-3</v>
      </c>
      <c r="O90" s="141">
        <v>1.0377144440615672E-2</v>
      </c>
      <c r="P90" s="141">
        <v>1.0377144440615672E-2</v>
      </c>
      <c r="Q90" s="144">
        <v>1.0377144440615672E-2</v>
      </c>
      <c r="R90" s="143">
        <v>1.0377144440615672E-2</v>
      </c>
      <c r="S90" s="141">
        <v>1.0377144440615672E-2</v>
      </c>
      <c r="T90" s="141">
        <v>1.0377144440615672E-2</v>
      </c>
      <c r="U90" s="141">
        <v>1.0377144440615672E-2</v>
      </c>
      <c r="V90" s="144">
        <v>1.0377144440615672E-2</v>
      </c>
      <c r="W90" s="185"/>
      <c r="X90" s="164" t="s">
        <v>2145</v>
      </c>
      <c r="Y90" s="143">
        <v>0</v>
      </c>
      <c r="Z90" s="141">
        <v>0</v>
      </c>
      <c r="AA90" s="141">
        <v>0</v>
      </c>
      <c r="AB90" s="141">
        <v>0</v>
      </c>
      <c r="AC90" s="141">
        <v>0</v>
      </c>
      <c r="AD90" s="141">
        <v>0</v>
      </c>
      <c r="AE90" s="141">
        <v>0</v>
      </c>
      <c r="AF90" s="144">
        <v>0</v>
      </c>
      <c r="AG90" s="143">
        <v>0</v>
      </c>
      <c r="AH90" s="141">
        <v>0</v>
      </c>
      <c r="AI90" s="141">
        <v>0</v>
      </c>
      <c r="AJ90" s="141">
        <v>0</v>
      </c>
      <c r="AK90" s="144">
        <v>0</v>
      </c>
      <c r="AL90" s="185"/>
      <c r="AM90" s="164" t="s">
        <v>1876</v>
      </c>
      <c r="AN90" s="165">
        <v>1645</v>
      </c>
      <c r="AO90" s="166">
        <v>1039</v>
      </c>
      <c r="AP90" s="166">
        <v>1828</v>
      </c>
      <c r="AQ90" s="166">
        <v>951</v>
      </c>
      <c r="AR90" s="166">
        <v>449</v>
      </c>
      <c r="AS90" s="166">
        <v>264</v>
      </c>
      <c r="AT90" s="166">
        <v>264</v>
      </c>
      <c r="AU90" s="167">
        <v>264</v>
      </c>
      <c r="AV90" s="165">
        <v>264</v>
      </c>
      <c r="AW90" s="166">
        <v>264</v>
      </c>
      <c r="AX90" s="166">
        <v>264</v>
      </c>
      <c r="AY90" s="166">
        <v>264</v>
      </c>
      <c r="AZ90" s="167">
        <v>264</v>
      </c>
    </row>
    <row r="91" spans="2:52" s="98" customFormat="1" ht="15" customHeight="1">
      <c r="B91" s="181"/>
      <c r="C91" s="182" t="s">
        <v>1710</v>
      </c>
      <c r="D91" s="245"/>
      <c r="G91" s="184"/>
      <c r="H91" s="184"/>
      <c r="I91" s="164" t="s">
        <v>2145</v>
      </c>
      <c r="J91" s="128">
        <f>SUM(J88:J90)</f>
        <v>0.3481751267134775</v>
      </c>
      <c r="K91" s="129">
        <f t="shared" ref="K91" si="279">SUM(K88:K90)</f>
        <v>0.10530557184096423</v>
      </c>
      <c r="L91" s="129">
        <f t="shared" ref="L91" si="280">SUM(L88:L90)</f>
        <v>0.18217530809226276</v>
      </c>
      <c r="M91" s="129">
        <f t="shared" ref="M91" si="281">SUM(M88:M90)</f>
        <v>6.9848273201289682E-2</v>
      </c>
      <c r="N91" s="129">
        <f t="shared" ref="N91" si="282">SUM(N88:N90)</f>
        <v>3.0720893157668079E-2</v>
      </c>
      <c r="O91" s="129">
        <f t="shared" ref="O91" si="283">SUM(O88:O90)</f>
        <v>3.4630661517582151E-2</v>
      </c>
      <c r="P91" s="129">
        <f t="shared" ref="P91" si="284">SUM(P88:P90)</f>
        <v>3.4630661517582151E-2</v>
      </c>
      <c r="Q91" s="130">
        <f t="shared" ref="Q91" si="285">SUM(Q88:Q90)</f>
        <v>3.4630661517582151E-2</v>
      </c>
      <c r="R91" s="128">
        <f t="shared" ref="R91" si="286">SUM(R88:R90)</f>
        <v>3.4630661517582151E-2</v>
      </c>
      <c r="S91" s="129">
        <f t="shared" ref="S91" si="287">SUM(S88:S90)</f>
        <v>3.4630661517582151E-2</v>
      </c>
      <c r="T91" s="129">
        <f t="shared" ref="T91" si="288">SUM(T88:T90)</f>
        <v>3.4630661517582151E-2</v>
      </c>
      <c r="U91" s="129">
        <f t="shared" ref="U91" si="289">SUM(U88:U90)</f>
        <v>3.4630661517582151E-2</v>
      </c>
      <c r="V91" s="130">
        <f t="shared" ref="V91" si="290">SUM(V88:V90)</f>
        <v>3.4630661517582151E-2</v>
      </c>
      <c r="W91" s="185"/>
      <c r="X91" s="164" t="s">
        <v>2145</v>
      </c>
      <c r="Y91" s="128">
        <f>SUM(Y88:Y90)</f>
        <v>0</v>
      </c>
      <c r="Z91" s="129">
        <f t="shared" ref="Z91" si="291">SUM(Z88:Z90)</f>
        <v>0</v>
      </c>
      <c r="AA91" s="129">
        <f t="shared" ref="AA91" si="292">SUM(AA88:AA90)</f>
        <v>0</v>
      </c>
      <c r="AB91" s="129">
        <f t="shared" ref="AB91" si="293">SUM(AB88:AB90)</f>
        <v>0</v>
      </c>
      <c r="AC91" s="129">
        <f t="shared" ref="AC91" si="294">SUM(AC88:AC90)</f>
        <v>0</v>
      </c>
      <c r="AD91" s="129">
        <f t="shared" ref="AD91" si="295">SUM(AD88:AD90)</f>
        <v>0</v>
      </c>
      <c r="AE91" s="129">
        <f t="shared" ref="AE91" si="296">SUM(AE88:AE90)</f>
        <v>0</v>
      </c>
      <c r="AF91" s="130">
        <f t="shared" ref="AF91" si="297">SUM(AF88:AF90)</f>
        <v>0</v>
      </c>
      <c r="AG91" s="128">
        <f t="shared" ref="AG91" si="298">SUM(AG88:AG90)</f>
        <v>0</v>
      </c>
      <c r="AH91" s="129">
        <f t="shared" ref="AH91" si="299">SUM(AH88:AH90)</f>
        <v>0</v>
      </c>
      <c r="AI91" s="129">
        <f t="shared" ref="AI91" si="300">SUM(AI88:AI90)</f>
        <v>0</v>
      </c>
      <c r="AJ91" s="129">
        <f t="shared" ref="AJ91" si="301">SUM(AJ88:AJ90)</f>
        <v>0</v>
      </c>
      <c r="AK91" s="130">
        <f t="shared" ref="AK91" si="302">SUM(AK88:AK90)</f>
        <v>0</v>
      </c>
      <c r="AL91" s="185"/>
      <c r="AM91" s="164" t="s">
        <v>1876</v>
      </c>
      <c r="AN91" s="777">
        <f>SUM(AN88:AN90)</f>
        <v>6692</v>
      </c>
      <c r="AO91" s="778">
        <f t="shared" ref="AO91" si="303">SUM(AO88:AO90)</f>
        <v>2780</v>
      </c>
      <c r="AP91" s="778">
        <f t="shared" ref="AP91" si="304">SUM(AP88:AP90)</f>
        <v>4196</v>
      </c>
      <c r="AQ91" s="778">
        <f t="shared" ref="AQ91" si="305">SUM(AQ88:AQ90)</f>
        <v>2832</v>
      </c>
      <c r="AR91" s="778">
        <f t="shared" ref="AR91" si="306">SUM(AR88:AR90)</f>
        <v>1654</v>
      </c>
      <c r="AS91" s="778">
        <f t="shared" ref="AS91" si="307">SUM(AS88:AS90)</f>
        <v>920</v>
      </c>
      <c r="AT91" s="778">
        <f t="shared" ref="AT91" si="308">SUM(AT88:AT90)</f>
        <v>920</v>
      </c>
      <c r="AU91" s="779">
        <f t="shared" ref="AU91" si="309">SUM(AU88:AU90)</f>
        <v>920</v>
      </c>
      <c r="AV91" s="777">
        <f t="shared" ref="AV91" si="310">SUM(AV88:AV90)</f>
        <v>920</v>
      </c>
      <c r="AW91" s="778">
        <f t="shared" ref="AW91" si="311">SUM(AW88:AW90)</f>
        <v>920</v>
      </c>
      <c r="AX91" s="778">
        <f t="shared" ref="AX91" si="312">SUM(AX88:AX90)</f>
        <v>920</v>
      </c>
      <c r="AY91" s="778">
        <f t="shared" ref="AY91" si="313">SUM(AY88:AY90)</f>
        <v>920</v>
      </c>
      <c r="AZ91" s="779">
        <f t="shared" ref="AZ91" si="314">SUM(AZ88:AZ90)</f>
        <v>920</v>
      </c>
    </row>
    <row r="92" spans="2:52" s="98" customFormat="1" ht="15" customHeight="1">
      <c r="B92" s="181"/>
      <c r="C92" s="185"/>
      <c r="D92" s="185"/>
      <c r="E92" s="182"/>
      <c r="F92" s="182"/>
      <c r="G92" s="184"/>
      <c r="H92" s="184"/>
      <c r="I92" s="117"/>
      <c r="J92" s="713"/>
      <c r="K92" s="714"/>
      <c r="L92" s="714"/>
      <c r="M92" s="714"/>
      <c r="N92" s="714"/>
      <c r="O92" s="714"/>
      <c r="P92" s="714"/>
      <c r="Q92" s="715"/>
      <c r="R92" s="714"/>
      <c r="S92" s="714"/>
      <c r="T92" s="714"/>
      <c r="U92" s="714"/>
      <c r="V92" s="715"/>
      <c r="W92" s="185"/>
      <c r="X92" s="117"/>
      <c r="Y92" s="713"/>
      <c r="Z92" s="714"/>
      <c r="AA92" s="714"/>
      <c r="AB92" s="714"/>
      <c r="AC92" s="714"/>
      <c r="AD92" s="714"/>
      <c r="AE92" s="714"/>
      <c r="AF92" s="715"/>
      <c r="AG92" s="714"/>
      <c r="AH92" s="714"/>
      <c r="AI92" s="714"/>
      <c r="AJ92" s="714"/>
      <c r="AK92" s="715"/>
      <c r="AL92" s="185"/>
      <c r="AM92" s="117"/>
      <c r="AN92" s="878"/>
      <c r="AO92" s="879"/>
      <c r="AP92" s="879"/>
      <c r="AQ92" s="879"/>
      <c r="AR92" s="879"/>
      <c r="AS92" s="879"/>
      <c r="AT92" s="879"/>
      <c r="AU92" s="880"/>
      <c r="AV92" s="879"/>
      <c r="AW92" s="879"/>
      <c r="AX92" s="879"/>
      <c r="AY92" s="879"/>
      <c r="AZ92" s="880"/>
    </row>
    <row r="93" spans="2:52" s="98" customFormat="1" ht="15" customHeight="1">
      <c r="B93" s="161"/>
      <c r="C93" s="180" t="s">
        <v>2216</v>
      </c>
      <c r="D93" s="180"/>
      <c r="E93" s="162"/>
      <c r="F93" s="162"/>
      <c r="G93" s="163"/>
      <c r="H93" s="163"/>
      <c r="I93" s="117"/>
      <c r="J93" s="713"/>
      <c r="K93" s="721"/>
      <c r="L93" s="721"/>
      <c r="M93" s="721"/>
      <c r="N93" s="721"/>
      <c r="O93" s="721"/>
      <c r="P93" s="721"/>
      <c r="Q93" s="715"/>
      <c r="R93" s="713"/>
      <c r="S93" s="721"/>
      <c r="T93" s="721"/>
      <c r="U93" s="721"/>
      <c r="V93" s="715"/>
      <c r="W93" s="185"/>
      <c r="X93" s="117"/>
      <c r="Y93" s="713"/>
      <c r="Z93" s="721"/>
      <c r="AA93" s="721"/>
      <c r="AB93" s="721"/>
      <c r="AC93" s="721"/>
      <c r="AD93" s="721"/>
      <c r="AE93" s="721"/>
      <c r="AF93" s="715"/>
      <c r="AG93" s="713"/>
      <c r="AH93" s="721"/>
      <c r="AI93" s="721"/>
      <c r="AJ93" s="721"/>
      <c r="AK93" s="715"/>
      <c r="AL93" s="185"/>
      <c r="AM93" s="117"/>
      <c r="AN93" s="878"/>
      <c r="AO93" s="881"/>
      <c r="AP93" s="881"/>
      <c r="AQ93" s="881"/>
      <c r="AR93" s="881"/>
      <c r="AS93" s="881"/>
      <c r="AT93" s="881"/>
      <c r="AU93" s="880"/>
      <c r="AV93" s="878"/>
      <c r="AW93" s="881"/>
      <c r="AX93" s="881"/>
      <c r="AY93" s="881"/>
      <c r="AZ93" s="880"/>
    </row>
    <row r="94" spans="2:52" s="98" customFormat="1" ht="15" customHeight="1">
      <c r="B94" s="161"/>
      <c r="C94" s="185"/>
      <c r="D94" s="162" t="s">
        <v>36</v>
      </c>
      <c r="G94" s="162"/>
      <c r="H94" s="163"/>
      <c r="I94" s="164" t="s">
        <v>2145</v>
      </c>
      <c r="J94" s="143">
        <v>5.9416333325255019E-2</v>
      </c>
      <c r="K94" s="141">
        <v>3.469411801979487E-2</v>
      </c>
      <c r="L94" s="141">
        <v>7.9314530754822504E-2</v>
      </c>
      <c r="M94" s="141">
        <v>1.558760899124826E-2</v>
      </c>
      <c r="N94" s="141">
        <v>5.831211572642693E-3</v>
      </c>
      <c r="O94" s="141">
        <v>4.4298289692364908E-3</v>
      </c>
      <c r="P94" s="141">
        <v>4.4298289692364908E-3</v>
      </c>
      <c r="Q94" s="144">
        <v>4.4298289692364908E-3</v>
      </c>
      <c r="R94" s="143">
        <v>4.4298289692364908E-3</v>
      </c>
      <c r="S94" s="141">
        <v>4.4298289692364908E-3</v>
      </c>
      <c r="T94" s="141">
        <v>4.4298289692364908E-3</v>
      </c>
      <c r="U94" s="141">
        <v>4.4298289692364908E-3</v>
      </c>
      <c r="V94" s="144">
        <v>4.4298289692364908E-3</v>
      </c>
      <c r="W94" s="185"/>
      <c r="X94" s="164" t="s">
        <v>2145</v>
      </c>
      <c r="Y94" s="143">
        <v>0</v>
      </c>
      <c r="Z94" s="141">
        <v>0</v>
      </c>
      <c r="AA94" s="141">
        <v>0</v>
      </c>
      <c r="AB94" s="141">
        <v>0</v>
      </c>
      <c r="AC94" s="141">
        <v>0</v>
      </c>
      <c r="AD94" s="141">
        <v>0</v>
      </c>
      <c r="AE94" s="141">
        <v>0</v>
      </c>
      <c r="AF94" s="144">
        <v>0</v>
      </c>
      <c r="AG94" s="143">
        <v>0</v>
      </c>
      <c r="AH94" s="141">
        <v>0</v>
      </c>
      <c r="AI94" s="141">
        <v>0</v>
      </c>
      <c r="AJ94" s="141">
        <v>0</v>
      </c>
      <c r="AK94" s="144">
        <v>0</v>
      </c>
      <c r="AL94" s="185"/>
      <c r="AM94" s="164" t="s">
        <v>1876</v>
      </c>
      <c r="AN94" s="165">
        <v>396</v>
      </c>
      <c r="AO94" s="166">
        <v>261</v>
      </c>
      <c r="AP94" s="166">
        <v>437</v>
      </c>
      <c r="AQ94" s="166">
        <v>632</v>
      </c>
      <c r="AR94" s="166">
        <v>107</v>
      </c>
      <c r="AS94" s="166">
        <v>43</v>
      </c>
      <c r="AT94" s="166">
        <v>43</v>
      </c>
      <c r="AU94" s="167">
        <v>43</v>
      </c>
      <c r="AV94" s="165">
        <v>43</v>
      </c>
      <c r="AW94" s="166">
        <v>43</v>
      </c>
      <c r="AX94" s="166">
        <v>43</v>
      </c>
      <c r="AY94" s="166">
        <v>43</v>
      </c>
      <c r="AZ94" s="167">
        <v>43</v>
      </c>
    </row>
    <row r="95" spans="2:52" s="98" customFormat="1" ht="15" customHeight="1">
      <c r="B95" s="161"/>
      <c r="C95" s="185"/>
      <c r="D95" s="162" t="s">
        <v>62</v>
      </c>
      <c r="G95" s="162"/>
      <c r="H95" s="163"/>
      <c r="I95" s="164" t="s">
        <v>2145</v>
      </c>
      <c r="J95" s="143">
        <v>2.9248392032465032E-2</v>
      </c>
      <c r="K95" s="141">
        <v>1.2713793150351883E-2</v>
      </c>
      <c r="L95" s="141">
        <v>2.5856115475673101E-2</v>
      </c>
      <c r="M95" s="141">
        <v>8.6077144587747515E-3</v>
      </c>
      <c r="N95" s="141">
        <v>3.3276404899037523E-3</v>
      </c>
      <c r="O95" s="141">
        <v>2.799067284562915E-3</v>
      </c>
      <c r="P95" s="141">
        <v>2.799067284562915E-3</v>
      </c>
      <c r="Q95" s="144">
        <v>2.799067284562915E-3</v>
      </c>
      <c r="R95" s="143">
        <v>2.799067284562915E-3</v>
      </c>
      <c r="S95" s="141">
        <v>2.799067284562915E-3</v>
      </c>
      <c r="T95" s="141">
        <v>2.799067284562915E-3</v>
      </c>
      <c r="U95" s="141">
        <v>2.799067284562915E-3</v>
      </c>
      <c r="V95" s="144">
        <v>2.799067284562915E-3</v>
      </c>
      <c r="W95" s="185"/>
      <c r="X95" s="164" t="s">
        <v>2145</v>
      </c>
      <c r="Y95" s="143">
        <v>0</v>
      </c>
      <c r="Z95" s="141">
        <v>0</v>
      </c>
      <c r="AA95" s="141">
        <v>0</v>
      </c>
      <c r="AB95" s="141">
        <v>0</v>
      </c>
      <c r="AC95" s="141">
        <v>0</v>
      </c>
      <c r="AD95" s="141">
        <v>0</v>
      </c>
      <c r="AE95" s="141">
        <v>0</v>
      </c>
      <c r="AF95" s="144">
        <v>0</v>
      </c>
      <c r="AG95" s="143">
        <v>0</v>
      </c>
      <c r="AH95" s="141">
        <v>0</v>
      </c>
      <c r="AI95" s="141">
        <v>0</v>
      </c>
      <c r="AJ95" s="141">
        <v>0</v>
      </c>
      <c r="AK95" s="144">
        <v>0</v>
      </c>
      <c r="AL95" s="185"/>
      <c r="AM95" s="164" t="s">
        <v>1876</v>
      </c>
      <c r="AN95" s="165">
        <v>198</v>
      </c>
      <c r="AO95" s="166">
        <v>91</v>
      </c>
      <c r="AP95" s="166">
        <v>148</v>
      </c>
      <c r="AQ95" s="166">
        <v>349</v>
      </c>
      <c r="AR95" s="166">
        <v>52</v>
      </c>
      <c r="AS95" s="166">
        <v>29</v>
      </c>
      <c r="AT95" s="166">
        <v>29</v>
      </c>
      <c r="AU95" s="167">
        <v>29</v>
      </c>
      <c r="AV95" s="165">
        <v>29</v>
      </c>
      <c r="AW95" s="166">
        <v>29</v>
      </c>
      <c r="AX95" s="166">
        <v>29</v>
      </c>
      <c r="AY95" s="166">
        <v>29</v>
      </c>
      <c r="AZ95" s="167">
        <v>29</v>
      </c>
    </row>
    <row r="96" spans="2:52" s="98" customFormat="1" ht="15" customHeight="1">
      <c r="B96" s="161"/>
      <c r="C96" s="185"/>
      <c r="D96" s="162" t="s">
        <v>71</v>
      </c>
      <c r="G96" s="162"/>
      <c r="H96" s="163"/>
      <c r="I96" s="164" t="s">
        <v>2145</v>
      </c>
      <c r="J96" s="143">
        <v>7.3621437928802491E-2</v>
      </c>
      <c r="K96" s="141">
        <v>4.6205586988889005E-2</v>
      </c>
      <c r="L96" s="141">
        <v>6.5414365677241543E-2</v>
      </c>
      <c r="M96" s="141">
        <v>1.304722334868723E-2</v>
      </c>
      <c r="N96" s="141">
        <v>3.5777947797854745E-3</v>
      </c>
      <c r="O96" s="141">
        <v>4.9008522286184356E-3</v>
      </c>
      <c r="P96" s="141">
        <v>4.9008522286184356E-3</v>
      </c>
      <c r="Q96" s="144">
        <v>4.9008522286184356E-3</v>
      </c>
      <c r="R96" s="143">
        <v>4.9008522286184356E-3</v>
      </c>
      <c r="S96" s="141">
        <v>4.9008522286184356E-3</v>
      </c>
      <c r="T96" s="141">
        <v>4.9008522286184356E-3</v>
      </c>
      <c r="U96" s="141">
        <v>4.9008522286184356E-3</v>
      </c>
      <c r="V96" s="144">
        <v>4.9008522286184356E-3</v>
      </c>
      <c r="W96" s="185"/>
      <c r="X96" s="164" t="s">
        <v>2145</v>
      </c>
      <c r="Y96" s="143">
        <v>0</v>
      </c>
      <c r="Z96" s="141">
        <v>0</v>
      </c>
      <c r="AA96" s="141">
        <v>0</v>
      </c>
      <c r="AB96" s="141">
        <v>0</v>
      </c>
      <c r="AC96" s="141">
        <v>0</v>
      </c>
      <c r="AD96" s="141">
        <v>0</v>
      </c>
      <c r="AE96" s="141">
        <v>0</v>
      </c>
      <c r="AF96" s="144">
        <v>0</v>
      </c>
      <c r="AG96" s="143">
        <v>0</v>
      </c>
      <c r="AH96" s="141">
        <v>0</v>
      </c>
      <c r="AI96" s="141">
        <v>0</v>
      </c>
      <c r="AJ96" s="141">
        <v>0</v>
      </c>
      <c r="AK96" s="144">
        <v>0</v>
      </c>
      <c r="AL96" s="185"/>
      <c r="AM96" s="164" t="s">
        <v>1876</v>
      </c>
      <c r="AN96" s="165">
        <v>524</v>
      </c>
      <c r="AO96" s="166">
        <v>408</v>
      </c>
      <c r="AP96" s="166">
        <v>456</v>
      </c>
      <c r="AQ96" s="166">
        <v>529</v>
      </c>
      <c r="AR96" s="166">
        <v>66</v>
      </c>
      <c r="AS96" s="166">
        <v>57</v>
      </c>
      <c r="AT96" s="166">
        <v>57</v>
      </c>
      <c r="AU96" s="167">
        <v>57</v>
      </c>
      <c r="AV96" s="165">
        <v>57</v>
      </c>
      <c r="AW96" s="166">
        <v>57</v>
      </c>
      <c r="AX96" s="166">
        <v>57</v>
      </c>
      <c r="AY96" s="166">
        <v>57</v>
      </c>
      <c r="AZ96" s="167">
        <v>57</v>
      </c>
    </row>
    <row r="97" spans="1:53" s="98" customFormat="1" ht="15" customHeight="1">
      <c r="B97" s="181"/>
      <c r="C97" s="182" t="s">
        <v>1710</v>
      </c>
      <c r="D97" s="245"/>
      <c r="G97" s="184"/>
      <c r="H97" s="184"/>
      <c r="I97" s="164" t="s">
        <v>2145</v>
      </c>
      <c r="J97" s="128">
        <f>SUM(J94:J96)</f>
        <v>0.16228616328652254</v>
      </c>
      <c r="K97" s="129">
        <f t="shared" ref="K97" si="315">SUM(K94:K96)</f>
        <v>9.361349815903576E-2</v>
      </c>
      <c r="L97" s="129">
        <f t="shared" ref="L97" si="316">SUM(L94:L96)</f>
        <v>0.17058501190773714</v>
      </c>
      <c r="M97" s="129">
        <f t="shared" ref="M97" si="317">SUM(M94:M96)</f>
        <v>3.7242546798710238E-2</v>
      </c>
      <c r="N97" s="129">
        <f t="shared" ref="N97" si="318">SUM(N94:N96)</f>
        <v>1.273664684233192E-2</v>
      </c>
      <c r="O97" s="129">
        <f t="shared" ref="O97" si="319">SUM(O94:O96)</f>
        <v>1.2129748482417841E-2</v>
      </c>
      <c r="P97" s="129">
        <f t="shared" ref="P97" si="320">SUM(P94:P96)</f>
        <v>1.2129748482417841E-2</v>
      </c>
      <c r="Q97" s="130">
        <f t="shared" ref="Q97" si="321">SUM(Q94:Q96)</f>
        <v>1.2129748482417841E-2</v>
      </c>
      <c r="R97" s="128">
        <f t="shared" ref="R97" si="322">SUM(R94:R96)</f>
        <v>1.2129748482417841E-2</v>
      </c>
      <c r="S97" s="129">
        <f t="shared" ref="S97" si="323">SUM(S94:S96)</f>
        <v>1.2129748482417841E-2</v>
      </c>
      <c r="T97" s="129">
        <f t="shared" ref="T97" si="324">SUM(T94:T96)</f>
        <v>1.2129748482417841E-2</v>
      </c>
      <c r="U97" s="129">
        <f t="shared" ref="U97" si="325">SUM(U94:U96)</f>
        <v>1.2129748482417841E-2</v>
      </c>
      <c r="V97" s="130">
        <f t="shared" ref="V97" si="326">SUM(V94:V96)</f>
        <v>1.2129748482417841E-2</v>
      </c>
      <c r="W97" s="185"/>
      <c r="X97" s="164" t="s">
        <v>2145</v>
      </c>
      <c r="Y97" s="128">
        <f>SUM(Y94:Y96)</f>
        <v>0</v>
      </c>
      <c r="Z97" s="129">
        <f t="shared" ref="Z97" si="327">SUM(Z94:Z96)</f>
        <v>0</v>
      </c>
      <c r="AA97" s="129">
        <f t="shared" ref="AA97" si="328">SUM(AA94:AA96)</f>
        <v>0</v>
      </c>
      <c r="AB97" s="129">
        <f t="shared" ref="AB97" si="329">SUM(AB94:AB96)</f>
        <v>0</v>
      </c>
      <c r="AC97" s="129">
        <f t="shared" ref="AC97" si="330">SUM(AC94:AC96)</f>
        <v>0</v>
      </c>
      <c r="AD97" s="129">
        <f t="shared" ref="AD97" si="331">SUM(AD94:AD96)</f>
        <v>0</v>
      </c>
      <c r="AE97" s="129">
        <f t="shared" ref="AE97" si="332">SUM(AE94:AE96)</f>
        <v>0</v>
      </c>
      <c r="AF97" s="130">
        <f t="shared" ref="AF97" si="333">SUM(AF94:AF96)</f>
        <v>0</v>
      </c>
      <c r="AG97" s="128">
        <f t="shared" ref="AG97" si="334">SUM(AG94:AG96)</f>
        <v>0</v>
      </c>
      <c r="AH97" s="129">
        <f t="shared" ref="AH97" si="335">SUM(AH94:AH96)</f>
        <v>0</v>
      </c>
      <c r="AI97" s="129">
        <f t="shared" ref="AI97" si="336">SUM(AI94:AI96)</f>
        <v>0</v>
      </c>
      <c r="AJ97" s="129">
        <f t="shared" ref="AJ97" si="337">SUM(AJ94:AJ96)</f>
        <v>0</v>
      </c>
      <c r="AK97" s="130">
        <f t="shared" ref="AK97" si="338">SUM(AK94:AK96)</f>
        <v>0</v>
      </c>
      <c r="AL97" s="185"/>
      <c r="AM97" s="164" t="s">
        <v>1876</v>
      </c>
      <c r="AN97" s="777">
        <f>SUM(AN94:AN96)</f>
        <v>1118</v>
      </c>
      <c r="AO97" s="778">
        <f t="shared" ref="AO97" si="339">SUM(AO94:AO96)</f>
        <v>760</v>
      </c>
      <c r="AP97" s="778">
        <f t="shared" ref="AP97" si="340">SUM(AP94:AP96)</f>
        <v>1041</v>
      </c>
      <c r="AQ97" s="778">
        <f t="shared" ref="AQ97" si="341">SUM(AQ94:AQ96)</f>
        <v>1510</v>
      </c>
      <c r="AR97" s="778">
        <f t="shared" ref="AR97" si="342">SUM(AR94:AR96)</f>
        <v>225</v>
      </c>
      <c r="AS97" s="778">
        <f t="shared" ref="AS97" si="343">SUM(AS94:AS96)</f>
        <v>129</v>
      </c>
      <c r="AT97" s="778">
        <f t="shared" ref="AT97" si="344">SUM(AT94:AT96)</f>
        <v>129</v>
      </c>
      <c r="AU97" s="779">
        <f t="shared" ref="AU97" si="345">SUM(AU94:AU96)</f>
        <v>129</v>
      </c>
      <c r="AV97" s="777">
        <f t="shared" ref="AV97" si="346">SUM(AV94:AV96)</f>
        <v>129</v>
      </c>
      <c r="AW97" s="778">
        <f t="shared" ref="AW97" si="347">SUM(AW94:AW96)</f>
        <v>129</v>
      </c>
      <c r="AX97" s="778">
        <f t="shared" ref="AX97" si="348">SUM(AX94:AX96)</f>
        <v>129</v>
      </c>
      <c r="AY97" s="778">
        <f t="shared" ref="AY97" si="349">SUM(AY94:AY96)</f>
        <v>129</v>
      </c>
      <c r="AZ97" s="779">
        <f t="shared" ref="AZ97" si="350">SUM(AZ94:AZ96)</f>
        <v>129</v>
      </c>
    </row>
    <row r="98" spans="1:53" s="98" customFormat="1" ht="15" customHeight="1">
      <c r="B98" s="181"/>
      <c r="C98" s="185"/>
      <c r="D98" s="185"/>
      <c r="E98" s="182"/>
      <c r="F98" s="182"/>
      <c r="G98" s="184"/>
      <c r="H98" s="184"/>
      <c r="I98" s="117"/>
      <c r="J98" s="713"/>
      <c r="K98" s="714"/>
      <c r="L98" s="714"/>
      <c r="M98" s="714"/>
      <c r="N98" s="714"/>
      <c r="O98" s="714"/>
      <c r="P98" s="714"/>
      <c r="Q98" s="715"/>
      <c r="R98" s="714"/>
      <c r="S98" s="714"/>
      <c r="T98" s="714"/>
      <c r="U98" s="714"/>
      <c r="V98" s="715"/>
      <c r="W98" s="185"/>
      <c r="X98" s="117"/>
      <c r="Y98" s="713"/>
      <c r="Z98" s="714"/>
      <c r="AA98" s="714"/>
      <c r="AB98" s="714"/>
      <c r="AC98" s="714"/>
      <c r="AD98" s="714"/>
      <c r="AE98" s="714"/>
      <c r="AF98" s="715"/>
      <c r="AG98" s="714"/>
      <c r="AH98" s="714"/>
      <c r="AI98" s="714"/>
      <c r="AJ98" s="714"/>
      <c r="AK98" s="715"/>
      <c r="AL98" s="185"/>
      <c r="AM98" s="117"/>
      <c r="AN98" s="878"/>
      <c r="AO98" s="879"/>
      <c r="AP98" s="879"/>
      <c r="AQ98" s="879"/>
      <c r="AR98" s="879"/>
      <c r="AS98" s="879"/>
      <c r="AT98" s="879"/>
      <c r="AU98" s="880"/>
      <c r="AV98" s="879"/>
      <c r="AW98" s="879"/>
      <c r="AX98" s="879"/>
      <c r="AY98" s="879"/>
      <c r="AZ98" s="880"/>
    </row>
    <row r="99" spans="1:53" s="98" customFormat="1" ht="15" customHeight="1" thickBot="1">
      <c r="A99" s="99"/>
      <c r="B99" s="239" t="s">
        <v>1701</v>
      </c>
      <c r="C99" s="240"/>
      <c r="D99" s="240"/>
      <c r="E99" s="240"/>
      <c r="F99" s="240"/>
      <c r="G99" s="241"/>
      <c r="H99" s="241"/>
      <c r="I99" s="195" t="s">
        <v>2145</v>
      </c>
      <c r="J99" s="717">
        <f>SUM(J85,J91,J97)</f>
        <v>0.87068749000000001</v>
      </c>
      <c r="K99" s="718">
        <f t="shared" ref="K99:V99" si="351">SUM(K85,K91,K97)</f>
        <v>0.5405828200000008</v>
      </c>
      <c r="L99" s="718">
        <f t="shared" si="351"/>
        <v>0.6696959600000002</v>
      </c>
      <c r="M99" s="718">
        <f t="shared" si="351"/>
        <v>0.41815067999999989</v>
      </c>
      <c r="N99" s="718">
        <f t="shared" si="351"/>
        <v>0.33266794999999916</v>
      </c>
      <c r="O99" s="718">
        <f t="shared" si="351"/>
        <v>0.34769470000000102</v>
      </c>
      <c r="P99" s="718">
        <f t="shared" si="351"/>
        <v>0.34769470000000102</v>
      </c>
      <c r="Q99" s="719">
        <f t="shared" si="351"/>
        <v>0.34769470000000102</v>
      </c>
      <c r="R99" s="717">
        <f t="shared" si="351"/>
        <v>0.34769470000000102</v>
      </c>
      <c r="S99" s="718">
        <f t="shared" si="351"/>
        <v>0.34769470000000102</v>
      </c>
      <c r="T99" s="718">
        <f t="shared" si="351"/>
        <v>0.34769470000000102</v>
      </c>
      <c r="U99" s="718">
        <f t="shared" si="351"/>
        <v>0.34769470000000102</v>
      </c>
      <c r="V99" s="719">
        <f t="shared" si="351"/>
        <v>0.34769470000000102</v>
      </c>
      <c r="W99" s="192"/>
      <c r="X99" s="195" t="s">
        <v>2145</v>
      </c>
      <c r="Y99" s="717">
        <f>SUM(Y85,Y91,Y97)</f>
        <v>0</v>
      </c>
      <c r="Z99" s="718">
        <f t="shared" ref="Z99:AK99" si="352">SUM(Z85,Z91,Z97)</f>
        <v>0</v>
      </c>
      <c r="AA99" s="718">
        <f t="shared" si="352"/>
        <v>0</v>
      </c>
      <c r="AB99" s="718">
        <f t="shared" si="352"/>
        <v>0</v>
      </c>
      <c r="AC99" s="718">
        <f t="shared" si="352"/>
        <v>0</v>
      </c>
      <c r="AD99" s="718">
        <f t="shared" si="352"/>
        <v>0</v>
      </c>
      <c r="AE99" s="718">
        <f t="shared" si="352"/>
        <v>0</v>
      </c>
      <c r="AF99" s="719">
        <f t="shared" si="352"/>
        <v>0</v>
      </c>
      <c r="AG99" s="717">
        <f t="shared" si="352"/>
        <v>0</v>
      </c>
      <c r="AH99" s="718">
        <f t="shared" si="352"/>
        <v>0</v>
      </c>
      <c r="AI99" s="718">
        <f t="shared" si="352"/>
        <v>0</v>
      </c>
      <c r="AJ99" s="718">
        <f t="shared" si="352"/>
        <v>0</v>
      </c>
      <c r="AK99" s="719">
        <f t="shared" si="352"/>
        <v>0</v>
      </c>
      <c r="AL99" s="192"/>
      <c r="AM99" s="164" t="s">
        <v>1876</v>
      </c>
      <c r="AN99" s="873">
        <f>SUM(AN85,AN91,AN97)</f>
        <v>14786</v>
      </c>
      <c r="AO99" s="781">
        <f t="shared" ref="AO99:AZ99" si="353">SUM(AO85,AO91,AO97)</f>
        <v>10185</v>
      </c>
      <c r="AP99" s="781">
        <f t="shared" si="353"/>
        <v>11560</v>
      </c>
      <c r="AQ99" s="781">
        <f t="shared" si="353"/>
        <v>10390</v>
      </c>
      <c r="AR99" s="781">
        <f t="shared" si="353"/>
        <v>7747</v>
      </c>
      <c r="AS99" s="781">
        <f t="shared" si="353"/>
        <v>6482</v>
      </c>
      <c r="AT99" s="781">
        <f t="shared" si="353"/>
        <v>6482</v>
      </c>
      <c r="AU99" s="874">
        <f t="shared" si="353"/>
        <v>6482</v>
      </c>
      <c r="AV99" s="873">
        <f t="shared" si="353"/>
        <v>6482</v>
      </c>
      <c r="AW99" s="781">
        <f t="shared" si="353"/>
        <v>6482</v>
      </c>
      <c r="AX99" s="781">
        <f t="shared" si="353"/>
        <v>6482</v>
      </c>
      <c r="AY99" s="781">
        <f t="shared" si="353"/>
        <v>6482</v>
      </c>
      <c r="AZ99" s="874">
        <f t="shared" si="353"/>
        <v>6482</v>
      </c>
    </row>
    <row r="100" spans="1:53" s="99" customFormat="1" ht="15" customHeight="1" thickBot="1">
      <c r="B100" s="150"/>
      <c r="C100" s="150"/>
      <c r="D100" s="150"/>
      <c r="E100" s="150"/>
      <c r="F100" s="150"/>
      <c r="G100" s="97"/>
      <c r="H100" s="97"/>
      <c r="I100" s="98"/>
      <c r="J100" s="98"/>
      <c r="K100" s="98"/>
      <c r="L100" s="98"/>
      <c r="M100" s="98"/>
      <c r="N100" s="98"/>
      <c r="O100" s="98"/>
      <c r="P100" s="98"/>
      <c r="Q100" s="98"/>
      <c r="R100" s="98"/>
      <c r="S100" s="98"/>
      <c r="T100" s="98"/>
      <c r="U100" s="98"/>
      <c r="V100" s="98"/>
      <c r="AL100" s="98"/>
      <c r="AM100" s="98"/>
      <c r="AN100" s="98"/>
      <c r="AO100" s="98"/>
      <c r="AP100" s="98"/>
      <c r="AQ100" s="98"/>
      <c r="AR100" s="98"/>
      <c r="AS100" s="98"/>
      <c r="AT100" s="98"/>
      <c r="AU100" s="98"/>
      <c r="AV100" s="98"/>
      <c r="AW100" s="98"/>
      <c r="AX100" s="98"/>
      <c r="AY100" s="98"/>
      <c r="AZ100" s="98"/>
      <c r="BA100" s="98"/>
    </row>
    <row r="101" spans="1:53" s="100" customFormat="1" ht="30" customHeight="1" thickBot="1">
      <c r="A101" s="89"/>
      <c r="B101" s="101" t="s">
        <v>2217</v>
      </c>
      <c r="C101" s="102"/>
      <c r="D101" s="102"/>
      <c r="E101" s="102"/>
      <c r="F101" s="102"/>
      <c r="G101" s="103"/>
      <c r="H101" s="103"/>
      <c r="I101" s="105" t="s">
        <v>1864</v>
      </c>
      <c r="J101" s="106"/>
      <c r="K101" s="106"/>
      <c r="L101" s="106"/>
      <c r="M101" s="106"/>
      <c r="N101" s="106"/>
      <c r="O101" s="106"/>
      <c r="P101" s="106"/>
      <c r="Q101" s="106"/>
      <c r="R101" s="105"/>
      <c r="S101" s="105"/>
      <c r="T101" s="105"/>
      <c r="U101" s="105"/>
      <c r="V101" s="187"/>
      <c r="W101" s="103"/>
      <c r="X101" s="105" t="s">
        <v>2202</v>
      </c>
      <c r="Y101" s="106"/>
      <c r="Z101" s="106"/>
      <c r="AA101" s="106"/>
      <c r="AB101" s="106"/>
      <c r="AC101" s="106"/>
      <c r="AD101" s="106"/>
      <c r="AE101" s="106"/>
      <c r="AF101" s="106"/>
      <c r="AG101" s="105"/>
      <c r="AH101" s="105"/>
      <c r="AI101" s="105"/>
      <c r="AJ101" s="105"/>
      <c r="AK101" s="187"/>
      <c r="AL101" s="103"/>
      <c r="AM101" s="105" t="s">
        <v>1869</v>
      </c>
      <c r="AN101" s="106"/>
      <c r="AO101" s="106"/>
      <c r="AP101" s="106"/>
      <c r="AQ101" s="106"/>
      <c r="AR101" s="106"/>
      <c r="AS101" s="106"/>
      <c r="AT101" s="106"/>
      <c r="AU101" s="106"/>
      <c r="AV101" s="105"/>
      <c r="AW101" s="105"/>
      <c r="AX101" s="105"/>
      <c r="AY101" s="105"/>
      <c r="AZ101" s="187"/>
    </row>
    <row r="102" spans="1:53" s="157" customFormat="1" ht="30" customHeight="1">
      <c r="A102" s="99"/>
      <c r="B102" s="109"/>
      <c r="C102" s="110"/>
      <c r="D102" s="110"/>
      <c r="E102" s="110"/>
      <c r="F102" s="110"/>
      <c r="G102" s="111"/>
      <c r="H102" s="111"/>
      <c r="I102" s="117"/>
      <c r="J102" s="695" t="s">
        <v>1666</v>
      </c>
      <c r="K102" s="152"/>
      <c r="L102" s="152"/>
      <c r="M102" s="152"/>
      <c r="N102" s="152"/>
      <c r="O102" s="152"/>
      <c r="P102" s="152"/>
      <c r="Q102" s="153"/>
      <c r="R102" s="696" t="s">
        <v>2</v>
      </c>
      <c r="S102" s="155"/>
      <c r="T102" s="155"/>
      <c r="U102" s="155"/>
      <c r="V102" s="156"/>
      <c r="W102" s="222"/>
      <c r="X102" s="117"/>
      <c r="Y102" s="695" t="s">
        <v>1666</v>
      </c>
      <c r="Z102" s="152"/>
      <c r="AA102" s="152"/>
      <c r="AB102" s="152"/>
      <c r="AC102" s="152"/>
      <c r="AD102" s="152"/>
      <c r="AE102" s="152"/>
      <c r="AF102" s="153"/>
      <c r="AG102" s="154" t="s">
        <v>2</v>
      </c>
      <c r="AH102" s="155"/>
      <c r="AI102" s="155"/>
      <c r="AJ102" s="155"/>
      <c r="AK102" s="156"/>
      <c r="AL102" s="222"/>
      <c r="AM102" s="117"/>
      <c r="AN102" s="695" t="s">
        <v>1666</v>
      </c>
      <c r="AO102" s="152"/>
      <c r="AP102" s="152"/>
      <c r="AQ102" s="152"/>
      <c r="AR102" s="152"/>
      <c r="AS102" s="152"/>
      <c r="AT102" s="152"/>
      <c r="AU102" s="153"/>
      <c r="AV102" s="696" t="s">
        <v>2</v>
      </c>
      <c r="AW102" s="155"/>
      <c r="AX102" s="155"/>
      <c r="AY102" s="155"/>
      <c r="AZ102" s="156"/>
    </row>
    <row r="103" spans="1:53" s="98" customFormat="1" ht="15" customHeight="1">
      <c r="A103" s="99"/>
      <c r="B103" s="115"/>
      <c r="C103" s="116"/>
      <c r="D103" s="116"/>
      <c r="E103" s="116"/>
      <c r="F103" s="116"/>
      <c r="G103" s="117"/>
      <c r="H103" s="117"/>
      <c r="I103" s="119" t="s">
        <v>1667</v>
      </c>
      <c r="J103" s="158" t="s">
        <v>453</v>
      </c>
      <c r="K103" s="137" t="s">
        <v>455</v>
      </c>
      <c r="L103" s="137" t="s">
        <v>457</v>
      </c>
      <c r="M103" s="137" t="s">
        <v>459</v>
      </c>
      <c r="N103" s="137" t="s">
        <v>461</v>
      </c>
      <c r="O103" s="137" t="s">
        <v>463</v>
      </c>
      <c r="P103" s="137" t="s">
        <v>465</v>
      </c>
      <c r="Q103" s="138" t="s">
        <v>467</v>
      </c>
      <c r="R103" s="120" t="s">
        <v>469</v>
      </c>
      <c r="S103" s="121" t="s">
        <v>471</v>
      </c>
      <c r="T103" s="121" t="s">
        <v>473</v>
      </c>
      <c r="U103" s="121" t="s">
        <v>475</v>
      </c>
      <c r="V103" s="122" t="s">
        <v>477</v>
      </c>
      <c r="W103" s="185"/>
      <c r="X103" s="119" t="s">
        <v>1667</v>
      </c>
      <c r="Y103" s="158" t="s">
        <v>453</v>
      </c>
      <c r="Z103" s="137" t="s">
        <v>455</v>
      </c>
      <c r="AA103" s="137" t="s">
        <v>457</v>
      </c>
      <c r="AB103" s="137" t="s">
        <v>459</v>
      </c>
      <c r="AC103" s="137" t="s">
        <v>461</v>
      </c>
      <c r="AD103" s="137" t="s">
        <v>463</v>
      </c>
      <c r="AE103" s="137" t="s">
        <v>465</v>
      </c>
      <c r="AF103" s="138" t="s">
        <v>467</v>
      </c>
      <c r="AG103" s="120" t="s">
        <v>469</v>
      </c>
      <c r="AH103" s="121" t="s">
        <v>471</v>
      </c>
      <c r="AI103" s="121" t="s">
        <v>473</v>
      </c>
      <c r="AJ103" s="121" t="s">
        <v>475</v>
      </c>
      <c r="AK103" s="122" t="s">
        <v>477</v>
      </c>
      <c r="AL103" s="185"/>
      <c r="AM103" s="119" t="s">
        <v>1667</v>
      </c>
      <c r="AN103" s="158" t="s">
        <v>453</v>
      </c>
      <c r="AO103" s="137" t="s">
        <v>455</v>
      </c>
      <c r="AP103" s="137" t="s">
        <v>457</v>
      </c>
      <c r="AQ103" s="137" t="s">
        <v>459</v>
      </c>
      <c r="AR103" s="137" t="s">
        <v>461</v>
      </c>
      <c r="AS103" s="137" t="s">
        <v>463</v>
      </c>
      <c r="AT103" s="137" t="s">
        <v>465</v>
      </c>
      <c r="AU103" s="138" t="s">
        <v>467</v>
      </c>
      <c r="AV103" s="120" t="s">
        <v>469</v>
      </c>
      <c r="AW103" s="121" t="s">
        <v>471</v>
      </c>
      <c r="AX103" s="121" t="s">
        <v>473</v>
      </c>
      <c r="AY103" s="121" t="s">
        <v>475</v>
      </c>
      <c r="AZ103" s="122" t="s">
        <v>477</v>
      </c>
    </row>
    <row r="104" spans="1:53" s="98" customFormat="1" ht="15" customHeight="1">
      <c r="B104" s="161"/>
      <c r="C104" s="180" t="s">
        <v>2218</v>
      </c>
      <c r="D104" s="180"/>
      <c r="E104" s="162"/>
      <c r="F104" s="162"/>
      <c r="G104" s="163"/>
      <c r="H104" s="163"/>
      <c r="I104" s="117"/>
      <c r="J104" s="159"/>
      <c r="K104" s="117"/>
      <c r="L104" s="117"/>
      <c r="M104" s="117"/>
      <c r="N104" s="117"/>
      <c r="O104" s="117"/>
      <c r="P104" s="117"/>
      <c r="Q104" s="160"/>
      <c r="R104" s="159"/>
      <c r="S104" s="117"/>
      <c r="T104" s="117"/>
      <c r="U104" s="117"/>
      <c r="V104" s="160"/>
      <c r="W104" s="185"/>
      <c r="X104" s="117"/>
      <c r="Y104" s="159"/>
      <c r="Z104" s="117"/>
      <c r="AA104" s="117"/>
      <c r="AB104" s="117"/>
      <c r="AC104" s="117"/>
      <c r="AD104" s="117"/>
      <c r="AE104" s="117"/>
      <c r="AF104" s="160"/>
      <c r="AG104" s="159"/>
      <c r="AH104" s="117"/>
      <c r="AI104" s="117"/>
      <c r="AJ104" s="117"/>
      <c r="AK104" s="160"/>
      <c r="AL104" s="185"/>
      <c r="AM104" s="117"/>
      <c r="AN104" s="159"/>
      <c r="AO104" s="117"/>
      <c r="AP104" s="117"/>
      <c r="AQ104" s="117"/>
      <c r="AR104" s="117"/>
      <c r="AS104" s="117"/>
      <c r="AT104" s="117"/>
      <c r="AU104" s="160"/>
      <c r="AV104" s="159"/>
      <c r="AW104" s="117"/>
      <c r="AX104" s="117"/>
      <c r="AY104" s="117"/>
      <c r="AZ104" s="160"/>
    </row>
    <row r="105" spans="1:53" s="98" customFormat="1" ht="15" customHeight="1">
      <c r="B105" s="161"/>
      <c r="C105" s="185"/>
      <c r="D105" s="162" t="s">
        <v>36</v>
      </c>
      <c r="G105" s="162"/>
      <c r="H105" s="163"/>
      <c r="I105" s="164" t="s">
        <v>2145</v>
      </c>
      <c r="J105" s="143">
        <v>0</v>
      </c>
      <c r="K105" s="141">
        <v>0</v>
      </c>
      <c r="L105" s="141">
        <v>0</v>
      </c>
      <c r="M105" s="141">
        <v>0</v>
      </c>
      <c r="N105" s="141">
        <v>0</v>
      </c>
      <c r="O105" s="141">
        <v>0</v>
      </c>
      <c r="P105" s="141">
        <v>0</v>
      </c>
      <c r="Q105" s="144">
        <v>0</v>
      </c>
      <c r="R105" s="143">
        <v>0</v>
      </c>
      <c r="S105" s="141">
        <v>0</v>
      </c>
      <c r="T105" s="141">
        <v>0</v>
      </c>
      <c r="U105" s="141">
        <v>0</v>
      </c>
      <c r="V105" s="144">
        <v>0</v>
      </c>
      <c r="W105" s="185"/>
      <c r="X105" s="164" t="s">
        <v>2145</v>
      </c>
      <c r="Y105" s="143">
        <v>0</v>
      </c>
      <c r="Z105" s="141">
        <v>0</v>
      </c>
      <c r="AA105" s="141">
        <v>0</v>
      </c>
      <c r="AB105" s="141">
        <v>0</v>
      </c>
      <c r="AC105" s="141">
        <v>0</v>
      </c>
      <c r="AD105" s="141">
        <v>0</v>
      </c>
      <c r="AE105" s="141">
        <v>0</v>
      </c>
      <c r="AF105" s="144">
        <v>0</v>
      </c>
      <c r="AG105" s="143">
        <v>0</v>
      </c>
      <c r="AH105" s="141">
        <v>0</v>
      </c>
      <c r="AI105" s="141">
        <v>0</v>
      </c>
      <c r="AJ105" s="141">
        <v>0</v>
      </c>
      <c r="AK105" s="144">
        <v>0</v>
      </c>
      <c r="AL105" s="185"/>
      <c r="AM105" s="164" t="s">
        <v>1876</v>
      </c>
      <c r="AN105" s="165">
        <v>0</v>
      </c>
      <c r="AO105" s="166">
        <v>0</v>
      </c>
      <c r="AP105" s="166">
        <v>0</v>
      </c>
      <c r="AQ105" s="166">
        <v>0</v>
      </c>
      <c r="AR105" s="166">
        <v>0</v>
      </c>
      <c r="AS105" s="166">
        <v>0</v>
      </c>
      <c r="AT105" s="166">
        <v>0</v>
      </c>
      <c r="AU105" s="167">
        <v>0</v>
      </c>
      <c r="AV105" s="165">
        <v>0</v>
      </c>
      <c r="AW105" s="166">
        <v>0</v>
      </c>
      <c r="AX105" s="166">
        <v>0</v>
      </c>
      <c r="AY105" s="166">
        <v>0</v>
      </c>
      <c r="AZ105" s="167">
        <v>0</v>
      </c>
    </row>
    <row r="106" spans="1:53" s="98" customFormat="1" ht="15" customHeight="1">
      <c r="B106" s="161"/>
      <c r="C106" s="185"/>
      <c r="D106" s="162" t="s">
        <v>62</v>
      </c>
      <c r="G106" s="162"/>
      <c r="H106" s="163"/>
      <c r="I106" s="164" t="s">
        <v>2145</v>
      </c>
      <c r="J106" s="143">
        <v>0</v>
      </c>
      <c r="K106" s="141">
        <v>0</v>
      </c>
      <c r="L106" s="141">
        <v>0</v>
      </c>
      <c r="M106" s="141">
        <v>0</v>
      </c>
      <c r="N106" s="141">
        <v>0</v>
      </c>
      <c r="O106" s="141">
        <v>0</v>
      </c>
      <c r="P106" s="141">
        <v>0</v>
      </c>
      <c r="Q106" s="144">
        <v>0</v>
      </c>
      <c r="R106" s="143">
        <v>0</v>
      </c>
      <c r="S106" s="141">
        <v>0</v>
      </c>
      <c r="T106" s="141">
        <v>0</v>
      </c>
      <c r="U106" s="141">
        <v>0</v>
      </c>
      <c r="V106" s="144">
        <v>0</v>
      </c>
      <c r="W106" s="185"/>
      <c r="X106" s="164" t="s">
        <v>2145</v>
      </c>
      <c r="Y106" s="143">
        <v>0</v>
      </c>
      <c r="Z106" s="141">
        <v>0</v>
      </c>
      <c r="AA106" s="141">
        <v>0</v>
      </c>
      <c r="AB106" s="141">
        <v>0</v>
      </c>
      <c r="AC106" s="141">
        <v>0</v>
      </c>
      <c r="AD106" s="141">
        <v>0</v>
      </c>
      <c r="AE106" s="141">
        <v>0</v>
      </c>
      <c r="AF106" s="144">
        <v>0</v>
      </c>
      <c r="AG106" s="143">
        <v>0</v>
      </c>
      <c r="AH106" s="141">
        <v>0</v>
      </c>
      <c r="AI106" s="141">
        <v>0</v>
      </c>
      <c r="AJ106" s="141">
        <v>0</v>
      </c>
      <c r="AK106" s="144">
        <v>0</v>
      </c>
      <c r="AL106" s="185"/>
      <c r="AM106" s="164" t="s">
        <v>1876</v>
      </c>
      <c r="AN106" s="165">
        <v>0</v>
      </c>
      <c r="AO106" s="166">
        <v>0</v>
      </c>
      <c r="AP106" s="166">
        <v>0</v>
      </c>
      <c r="AQ106" s="166">
        <v>0</v>
      </c>
      <c r="AR106" s="166">
        <v>0</v>
      </c>
      <c r="AS106" s="166">
        <v>0</v>
      </c>
      <c r="AT106" s="166">
        <v>0</v>
      </c>
      <c r="AU106" s="167">
        <v>0</v>
      </c>
      <c r="AV106" s="165">
        <v>0</v>
      </c>
      <c r="AW106" s="166">
        <v>0</v>
      </c>
      <c r="AX106" s="166">
        <v>0</v>
      </c>
      <c r="AY106" s="166">
        <v>0</v>
      </c>
      <c r="AZ106" s="167">
        <v>0</v>
      </c>
    </row>
    <row r="107" spans="1:53" s="98" customFormat="1" ht="15" customHeight="1">
      <c r="B107" s="161"/>
      <c r="C107" s="185"/>
      <c r="D107" s="162" t="s">
        <v>71</v>
      </c>
      <c r="G107" s="162"/>
      <c r="H107" s="163"/>
      <c r="I107" s="164" t="s">
        <v>2145</v>
      </c>
      <c r="J107" s="143">
        <v>0</v>
      </c>
      <c r="K107" s="141">
        <v>0</v>
      </c>
      <c r="L107" s="141">
        <v>0</v>
      </c>
      <c r="M107" s="141">
        <v>0</v>
      </c>
      <c r="N107" s="141">
        <v>0</v>
      </c>
      <c r="O107" s="141">
        <v>0</v>
      </c>
      <c r="P107" s="141">
        <v>0</v>
      </c>
      <c r="Q107" s="144">
        <v>0</v>
      </c>
      <c r="R107" s="143">
        <v>0</v>
      </c>
      <c r="S107" s="141">
        <v>0</v>
      </c>
      <c r="T107" s="141">
        <v>0</v>
      </c>
      <c r="U107" s="141">
        <v>0</v>
      </c>
      <c r="V107" s="144">
        <v>0</v>
      </c>
      <c r="W107" s="185"/>
      <c r="X107" s="164" t="s">
        <v>2145</v>
      </c>
      <c r="Y107" s="143">
        <v>0</v>
      </c>
      <c r="Z107" s="141">
        <v>0</v>
      </c>
      <c r="AA107" s="141">
        <v>0</v>
      </c>
      <c r="AB107" s="141">
        <v>0</v>
      </c>
      <c r="AC107" s="141">
        <v>0</v>
      </c>
      <c r="AD107" s="141">
        <v>0</v>
      </c>
      <c r="AE107" s="141">
        <v>0</v>
      </c>
      <c r="AF107" s="144">
        <v>0</v>
      </c>
      <c r="AG107" s="143">
        <v>0</v>
      </c>
      <c r="AH107" s="141">
        <v>0</v>
      </c>
      <c r="AI107" s="141">
        <v>0</v>
      </c>
      <c r="AJ107" s="141">
        <v>0</v>
      </c>
      <c r="AK107" s="144">
        <v>0</v>
      </c>
      <c r="AL107" s="185"/>
      <c r="AM107" s="164" t="s">
        <v>1876</v>
      </c>
      <c r="AN107" s="165">
        <v>0</v>
      </c>
      <c r="AO107" s="166">
        <v>0</v>
      </c>
      <c r="AP107" s="166">
        <v>0</v>
      </c>
      <c r="AQ107" s="166">
        <v>0</v>
      </c>
      <c r="AR107" s="166">
        <v>0</v>
      </c>
      <c r="AS107" s="166">
        <v>0</v>
      </c>
      <c r="AT107" s="166">
        <v>0</v>
      </c>
      <c r="AU107" s="167">
        <v>0</v>
      </c>
      <c r="AV107" s="165">
        <v>0</v>
      </c>
      <c r="AW107" s="166">
        <v>0</v>
      </c>
      <c r="AX107" s="166">
        <v>0</v>
      </c>
      <c r="AY107" s="166">
        <v>0</v>
      </c>
      <c r="AZ107" s="167">
        <v>0</v>
      </c>
    </row>
    <row r="108" spans="1:53" s="98" customFormat="1" ht="15" customHeight="1">
      <c r="B108" s="181"/>
      <c r="C108" s="182" t="s">
        <v>1710</v>
      </c>
      <c r="D108" s="245"/>
      <c r="G108" s="184"/>
      <c r="H108" s="184"/>
      <c r="I108" s="164" t="s">
        <v>2145</v>
      </c>
      <c r="J108" s="128">
        <f>SUM(J105:J107)</f>
        <v>0</v>
      </c>
      <c r="K108" s="129">
        <f t="shared" ref="K108:V108" si="354">SUM(K105:K107)</f>
        <v>0</v>
      </c>
      <c r="L108" s="129">
        <f t="shared" si="354"/>
        <v>0</v>
      </c>
      <c r="M108" s="129">
        <f t="shared" si="354"/>
        <v>0</v>
      </c>
      <c r="N108" s="129">
        <f t="shared" si="354"/>
        <v>0</v>
      </c>
      <c r="O108" s="129">
        <f t="shared" si="354"/>
        <v>0</v>
      </c>
      <c r="P108" s="129">
        <f t="shared" si="354"/>
        <v>0</v>
      </c>
      <c r="Q108" s="130">
        <f t="shared" si="354"/>
        <v>0</v>
      </c>
      <c r="R108" s="128">
        <f t="shared" si="354"/>
        <v>0</v>
      </c>
      <c r="S108" s="129">
        <f t="shared" si="354"/>
        <v>0</v>
      </c>
      <c r="T108" s="129">
        <f t="shared" si="354"/>
        <v>0</v>
      </c>
      <c r="U108" s="129">
        <f t="shared" si="354"/>
        <v>0</v>
      </c>
      <c r="V108" s="130">
        <f t="shared" si="354"/>
        <v>0</v>
      </c>
      <c r="W108" s="185"/>
      <c r="X108" s="164" t="s">
        <v>2145</v>
      </c>
      <c r="Y108" s="128">
        <f>SUM(Y105:Y107)</f>
        <v>0</v>
      </c>
      <c r="Z108" s="129">
        <f t="shared" ref="Z108" si="355">SUM(Z105:Z107)</f>
        <v>0</v>
      </c>
      <c r="AA108" s="129">
        <f t="shared" ref="AA108" si="356">SUM(AA105:AA107)</f>
        <v>0</v>
      </c>
      <c r="AB108" s="129">
        <f t="shared" ref="AB108" si="357">SUM(AB105:AB107)</f>
        <v>0</v>
      </c>
      <c r="AC108" s="129">
        <f t="shared" ref="AC108" si="358">SUM(AC105:AC107)</f>
        <v>0</v>
      </c>
      <c r="AD108" s="129">
        <f t="shared" ref="AD108" si="359">SUM(AD105:AD107)</f>
        <v>0</v>
      </c>
      <c r="AE108" s="129">
        <f t="shared" ref="AE108" si="360">SUM(AE105:AE107)</f>
        <v>0</v>
      </c>
      <c r="AF108" s="130">
        <f t="shared" ref="AF108" si="361">SUM(AF105:AF107)</f>
        <v>0</v>
      </c>
      <c r="AG108" s="128">
        <f t="shared" ref="AG108" si="362">SUM(AG105:AG107)</f>
        <v>0</v>
      </c>
      <c r="AH108" s="129">
        <f t="shared" ref="AH108" si="363">SUM(AH105:AH107)</f>
        <v>0</v>
      </c>
      <c r="AI108" s="129">
        <f t="shared" ref="AI108" si="364">SUM(AI105:AI107)</f>
        <v>0</v>
      </c>
      <c r="AJ108" s="129">
        <f t="shared" ref="AJ108" si="365">SUM(AJ105:AJ107)</f>
        <v>0</v>
      </c>
      <c r="AK108" s="130">
        <f t="shared" ref="AK108" si="366">SUM(AK105:AK107)</f>
        <v>0</v>
      </c>
      <c r="AL108" s="185"/>
      <c r="AM108" s="164" t="s">
        <v>1876</v>
      </c>
      <c r="AN108" s="777">
        <f>SUM(AN105:AN107)</f>
        <v>0</v>
      </c>
      <c r="AO108" s="778">
        <f t="shared" ref="AO108" si="367">SUM(AO105:AO107)</f>
        <v>0</v>
      </c>
      <c r="AP108" s="778">
        <f t="shared" ref="AP108" si="368">SUM(AP105:AP107)</f>
        <v>0</v>
      </c>
      <c r="AQ108" s="778">
        <f t="shared" ref="AQ108" si="369">SUM(AQ105:AQ107)</f>
        <v>0</v>
      </c>
      <c r="AR108" s="778">
        <f t="shared" ref="AR108" si="370">SUM(AR105:AR107)</f>
        <v>0</v>
      </c>
      <c r="AS108" s="778">
        <f t="shared" ref="AS108" si="371">SUM(AS105:AS107)</f>
        <v>0</v>
      </c>
      <c r="AT108" s="778">
        <f t="shared" ref="AT108" si="372">SUM(AT105:AT107)</f>
        <v>0</v>
      </c>
      <c r="AU108" s="779">
        <f t="shared" ref="AU108" si="373">SUM(AU105:AU107)</f>
        <v>0</v>
      </c>
      <c r="AV108" s="777">
        <f t="shared" ref="AV108" si="374">SUM(AV105:AV107)</f>
        <v>0</v>
      </c>
      <c r="AW108" s="778">
        <f t="shared" ref="AW108" si="375">SUM(AW105:AW107)</f>
        <v>0</v>
      </c>
      <c r="AX108" s="778">
        <f t="shared" ref="AX108" si="376">SUM(AX105:AX107)</f>
        <v>0</v>
      </c>
      <c r="AY108" s="778">
        <f t="shared" ref="AY108" si="377">SUM(AY105:AY107)</f>
        <v>0</v>
      </c>
      <c r="AZ108" s="779">
        <f t="shared" ref="AZ108" si="378">SUM(AZ105:AZ107)</f>
        <v>0</v>
      </c>
    </row>
    <row r="109" spans="1:53" s="98" customFormat="1" ht="15" customHeight="1">
      <c r="B109" s="181"/>
      <c r="C109" s="185"/>
      <c r="D109" s="185"/>
      <c r="E109" s="182"/>
      <c r="F109" s="182"/>
      <c r="G109" s="184"/>
      <c r="H109" s="184"/>
      <c r="I109" s="117"/>
      <c r="J109" s="713"/>
      <c r="K109" s="714"/>
      <c r="L109" s="714"/>
      <c r="M109" s="714"/>
      <c r="N109" s="714"/>
      <c r="O109" s="714"/>
      <c r="P109" s="714"/>
      <c r="Q109" s="715"/>
      <c r="R109" s="714"/>
      <c r="S109" s="714"/>
      <c r="T109" s="714"/>
      <c r="U109" s="714"/>
      <c r="V109" s="715"/>
      <c r="W109" s="185"/>
      <c r="X109" s="117"/>
      <c r="Y109" s="713"/>
      <c r="Z109" s="714"/>
      <c r="AA109" s="714"/>
      <c r="AB109" s="714"/>
      <c r="AC109" s="714"/>
      <c r="AD109" s="714"/>
      <c r="AE109" s="714"/>
      <c r="AF109" s="715"/>
      <c r="AG109" s="714"/>
      <c r="AH109" s="714"/>
      <c r="AI109" s="714"/>
      <c r="AJ109" s="714"/>
      <c r="AK109" s="715"/>
      <c r="AL109" s="185"/>
      <c r="AM109" s="117"/>
      <c r="AN109" s="878"/>
      <c r="AO109" s="879"/>
      <c r="AP109" s="879"/>
      <c r="AQ109" s="879"/>
      <c r="AR109" s="879"/>
      <c r="AS109" s="879"/>
      <c r="AT109" s="879"/>
      <c r="AU109" s="880"/>
      <c r="AV109" s="879"/>
      <c r="AW109" s="879"/>
      <c r="AX109" s="879"/>
      <c r="AY109" s="879"/>
      <c r="AZ109" s="880"/>
    </row>
    <row r="110" spans="1:53" s="98" customFormat="1" ht="15" customHeight="1">
      <c r="B110" s="161"/>
      <c r="C110" s="180" t="s">
        <v>2219</v>
      </c>
      <c r="D110" s="180"/>
      <c r="E110" s="162"/>
      <c r="F110" s="162"/>
      <c r="G110" s="163"/>
      <c r="H110" s="163"/>
      <c r="I110" s="117"/>
      <c r="J110" s="713"/>
      <c r="K110" s="721"/>
      <c r="L110" s="721"/>
      <c r="M110" s="721"/>
      <c r="N110" s="721"/>
      <c r="O110" s="721"/>
      <c r="P110" s="721"/>
      <c r="Q110" s="715"/>
      <c r="R110" s="713"/>
      <c r="S110" s="721"/>
      <c r="T110" s="721"/>
      <c r="U110" s="721"/>
      <c r="V110" s="715"/>
      <c r="W110" s="185"/>
      <c r="X110" s="117"/>
      <c r="Y110" s="713"/>
      <c r="Z110" s="721"/>
      <c r="AA110" s="721"/>
      <c r="AB110" s="721"/>
      <c r="AC110" s="721"/>
      <c r="AD110" s="721"/>
      <c r="AE110" s="721"/>
      <c r="AF110" s="715"/>
      <c r="AG110" s="713"/>
      <c r="AH110" s="721"/>
      <c r="AI110" s="721"/>
      <c r="AJ110" s="721"/>
      <c r="AK110" s="715"/>
      <c r="AL110" s="185"/>
      <c r="AM110" s="117"/>
      <c r="AN110" s="878"/>
      <c r="AO110" s="881"/>
      <c r="AP110" s="881"/>
      <c r="AQ110" s="881"/>
      <c r="AR110" s="881"/>
      <c r="AS110" s="881"/>
      <c r="AT110" s="881"/>
      <c r="AU110" s="880"/>
      <c r="AV110" s="878"/>
      <c r="AW110" s="881"/>
      <c r="AX110" s="881"/>
      <c r="AY110" s="881"/>
      <c r="AZ110" s="880"/>
    </row>
    <row r="111" spans="1:53" s="98" customFormat="1" ht="15" customHeight="1">
      <c r="B111" s="161"/>
      <c r="C111" s="185"/>
      <c r="D111" s="162" t="s">
        <v>36</v>
      </c>
      <c r="G111" s="162"/>
      <c r="H111" s="163"/>
      <c r="I111" s="164" t="s">
        <v>2145</v>
      </c>
      <c r="J111" s="143">
        <v>0</v>
      </c>
      <c r="K111" s="141">
        <v>0</v>
      </c>
      <c r="L111" s="141">
        <v>0</v>
      </c>
      <c r="M111" s="141">
        <v>0</v>
      </c>
      <c r="N111" s="141">
        <v>0</v>
      </c>
      <c r="O111" s="141">
        <v>0</v>
      </c>
      <c r="P111" s="141">
        <v>0</v>
      </c>
      <c r="Q111" s="144">
        <v>0</v>
      </c>
      <c r="R111" s="143">
        <v>0</v>
      </c>
      <c r="S111" s="141">
        <v>0</v>
      </c>
      <c r="T111" s="141">
        <v>0</v>
      </c>
      <c r="U111" s="141">
        <v>0</v>
      </c>
      <c r="V111" s="144">
        <v>0</v>
      </c>
      <c r="W111" s="185"/>
      <c r="X111" s="164" t="s">
        <v>2145</v>
      </c>
      <c r="Y111" s="143">
        <v>0</v>
      </c>
      <c r="Z111" s="141">
        <v>0</v>
      </c>
      <c r="AA111" s="141">
        <v>0</v>
      </c>
      <c r="AB111" s="141">
        <v>0</v>
      </c>
      <c r="AC111" s="141">
        <v>0</v>
      </c>
      <c r="AD111" s="141">
        <v>0</v>
      </c>
      <c r="AE111" s="141">
        <v>0</v>
      </c>
      <c r="AF111" s="144">
        <v>0</v>
      </c>
      <c r="AG111" s="143">
        <v>0</v>
      </c>
      <c r="AH111" s="141">
        <v>0</v>
      </c>
      <c r="AI111" s="141">
        <v>0</v>
      </c>
      <c r="AJ111" s="141">
        <v>0</v>
      </c>
      <c r="AK111" s="144">
        <v>0</v>
      </c>
      <c r="AL111" s="185"/>
      <c r="AM111" s="164" t="s">
        <v>1876</v>
      </c>
      <c r="AN111" s="165">
        <v>0</v>
      </c>
      <c r="AO111" s="166">
        <v>0</v>
      </c>
      <c r="AP111" s="166">
        <v>0</v>
      </c>
      <c r="AQ111" s="166">
        <v>0</v>
      </c>
      <c r="AR111" s="166">
        <v>0</v>
      </c>
      <c r="AS111" s="166">
        <v>0</v>
      </c>
      <c r="AT111" s="166">
        <v>0</v>
      </c>
      <c r="AU111" s="167">
        <v>0</v>
      </c>
      <c r="AV111" s="165">
        <v>0</v>
      </c>
      <c r="AW111" s="166">
        <v>0</v>
      </c>
      <c r="AX111" s="166">
        <v>0</v>
      </c>
      <c r="AY111" s="166">
        <v>0</v>
      </c>
      <c r="AZ111" s="167">
        <v>0</v>
      </c>
    </row>
    <row r="112" spans="1:53" s="98" customFormat="1" ht="15" customHeight="1">
      <c r="B112" s="161"/>
      <c r="C112" s="185"/>
      <c r="D112" s="162" t="s">
        <v>62</v>
      </c>
      <c r="G112" s="162"/>
      <c r="H112" s="163"/>
      <c r="I112" s="164" t="s">
        <v>2145</v>
      </c>
      <c r="J112" s="143">
        <v>0</v>
      </c>
      <c r="K112" s="141">
        <v>0</v>
      </c>
      <c r="L112" s="141">
        <v>0</v>
      </c>
      <c r="M112" s="141">
        <v>0</v>
      </c>
      <c r="N112" s="141">
        <v>0</v>
      </c>
      <c r="O112" s="141">
        <v>0</v>
      </c>
      <c r="P112" s="141">
        <v>0</v>
      </c>
      <c r="Q112" s="144">
        <v>0</v>
      </c>
      <c r="R112" s="143">
        <v>0</v>
      </c>
      <c r="S112" s="141">
        <v>0</v>
      </c>
      <c r="T112" s="141">
        <v>0</v>
      </c>
      <c r="U112" s="141">
        <v>0</v>
      </c>
      <c r="V112" s="144">
        <v>0</v>
      </c>
      <c r="W112" s="185"/>
      <c r="X112" s="164" t="s">
        <v>2145</v>
      </c>
      <c r="Y112" s="143">
        <v>0</v>
      </c>
      <c r="Z112" s="141">
        <v>0</v>
      </c>
      <c r="AA112" s="141">
        <v>0</v>
      </c>
      <c r="AB112" s="141">
        <v>0</v>
      </c>
      <c r="AC112" s="141">
        <v>0</v>
      </c>
      <c r="AD112" s="141">
        <v>0</v>
      </c>
      <c r="AE112" s="141">
        <v>0</v>
      </c>
      <c r="AF112" s="144">
        <v>0</v>
      </c>
      <c r="AG112" s="143">
        <v>0</v>
      </c>
      <c r="AH112" s="141">
        <v>0</v>
      </c>
      <c r="AI112" s="141">
        <v>0</v>
      </c>
      <c r="AJ112" s="141">
        <v>0</v>
      </c>
      <c r="AK112" s="144">
        <v>0</v>
      </c>
      <c r="AL112" s="185"/>
      <c r="AM112" s="164" t="s">
        <v>1876</v>
      </c>
      <c r="AN112" s="165">
        <v>0</v>
      </c>
      <c r="AO112" s="166">
        <v>0</v>
      </c>
      <c r="AP112" s="166">
        <v>0</v>
      </c>
      <c r="AQ112" s="166">
        <v>0</v>
      </c>
      <c r="AR112" s="166">
        <v>0</v>
      </c>
      <c r="AS112" s="166">
        <v>0</v>
      </c>
      <c r="AT112" s="166">
        <v>0</v>
      </c>
      <c r="AU112" s="167">
        <v>0</v>
      </c>
      <c r="AV112" s="165">
        <v>0</v>
      </c>
      <c r="AW112" s="166">
        <v>0</v>
      </c>
      <c r="AX112" s="166">
        <v>0</v>
      </c>
      <c r="AY112" s="166">
        <v>0</v>
      </c>
      <c r="AZ112" s="167">
        <v>0</v>
      </c>
    </row>
    <row r="113" spans="2:52" s="98" customFormat="1" ht="15" customHeight="1">
      <c r="B113" s="161"/>
      <c r="C113" s="185"/>
      <c r="D113" s="162" t="s">
        <v>71</v>
      </c>
      <c r="G113" s="162"/>
      <c r="H113" s="163"/>
      <c r="I113" s="164" t="s">
        <v>2145</v>
      </c>
      <c r="J113" s="143">
        <v>0</v>
      </c>
      <c r="K113" s="141">
        <v>0</v>
      </c>
      <c r="L113" s="141">
        <v>0</v>
      </c>
      <c r="M113" s="141">
        <v>0</v>
      </c>
      <c r="N113" s="141">
        <v>0</v>
      </c>
      <c r="O113" s="141">
        <v>0</v>
      </c>
      <c r="P113" s="141">
        <v>0</v>
      </c>
      <c r="Q113" s="144">
        <v>0</v>
      </c>
      <c r="R113" s="143">
        <v>0</v>
      </c>
      <c r="S113" s="141">
        <v>0</v>
      </c>
      <c r="T113" s="141">
        <v>0</v>
      </c>
      <c r="U113" s="141">
        <v>0</v>
      </c>
      <c r="V113" s="144">
        <v>0</v>
      </c>
      <c r="W113" s="185"/>
      <c r="X113" s="164" t="s">
        <v>2145</v>
      </c>
      <c r="Y113" s="143">
        <v>0</v>
      </c>
      <c r="Z113" s="141">
        <v>0</v>
      </c>
      <c r="AA113" s="141">
        <v>0</v>
      </c>
      <c r="AB113" s="141">
        <v>0</v>
      </c>
      <c r="AC113" s="141">
        <v>0</v>
      </c>
      <c r="AD113" s="141">
        <v>0</v>
      </c>
      <c r="AE113" s="141">
        <v>0</v>
      </c>
      <c r="AF113" s="144">
        <v>0</v>
      </c>
      <c r="AG113" s="143">
        <v>0</v>
      </c>
      <c r="AH113" s="141">
        <v>0</v>
      </c>
      <c r="AI113" s="141">
        <v>0</v>
      </c>
      <c r="AJ113" s="141">
        <v>0</v>
      </c>
      <c r="AK113" s="144">
        <v>0</v>
      </c>
      <c r="AL113" s="185"/>
      <c r="AM113" s="164" t="s">
        <v>1876</v>
      </c>
      <c r="AN113" s="165">
        <v>0</v>
      </c>
      <c r="AO113" s="166">
        <v>0</v>
      </c>
      <c r="AP113" s="166">
        <v>0</v>
      </c>
      <c r="AQ113" s="166">
        <v>0</v>
      </c>
      <c r="AR113" s="166">
        <v>0</v>
      </c>
      <c r="AS113" s="166">
        <v>0</v>
      </c>
      <c r="AT113" s="166">
        <v>0</v>
      </c>
      <c r="AU113" s="167">
        <v>0</v>
      </c>
      <c r="AV113" s="165">
        <v>0</v>
      </c>
      <c r="AW113" s="166">
        <v>0</v>
      </c>
      <c r="AX113" s="166">
        <v>0</v>
      </c>
      <c r="AY113" s="166">
        <v>0</v>
      </c>
      <c r="AZ113" s="167">
        <v>0</v>
      </c>
    </row>
    <row r="114" spans="2:52" s="98" customFormat="1" ht="15" customHeight="1">
      <c r="B114" s="181"/>
      <c r="C114" s="182" t="s">
        <v>1710</v>
      </c>
      <c r="D114" s="245"/>
      <c r="G114" s="184"/>
      <c r="H114" s="184"/>
      <c r="I114" s="164" t="s">
        <v>2145</v>
      </c>
      <c r="J114" s="128">
        <f>SUM(J111:J113)</f>
        <v>0</v>
      </c>
      <c r="K114" s="129">
        <f t="shared" ref="K114" si="379">SUM(K111:K113)</f>
        <v>0</v>
      </c>
      <c r="L114" s="129">
        <f t="shared" ref="L114" si="380">SUM(L111:L113)</f>
        <v>0</v>
      </c>
      <c r="M114" s="129">
        <f t="shared" ref="M114" si="381">SUM(M111:M113)</f>
        <v>0</v>
      </c>
      <c r="N114" s="129">
        <f t="shared" ref="N114" si="382">SUM(N111:N113)</f>
        <v>0</v>
      </c>
      <c r="O114" s="129">
        <f t="shared" ref="O114" si="383">SUM(O111:O113)</f>
        <v>0</v>
      </c>
      <c r="P114" s="129">
        <f t="shared" ref="P114" si="384">SUM(P111:P113)</f>
        <v>0</v>
      </c>
      <c r="Q114" s="130">
        <f t="shared" ref="Q114" si="385">SUM(Q111:Q113)</f>
        <v>0</v>
      </c>
      <c r="R114" s="128">
        <f t="shared" ref="R114" si="386">SUM(R111:R113)</f>
        <v>0</v>
      </c>
      <c r="S114" s="129">
        <f t="shared" ref="S114" si="387">SUM(S111:S113)</f>
        <v>0</v>
      </c>
      <c r="T114" s="129">
        <f t="shared" ref="T114" si="388">SUM(T111:T113)</f>
        <v>0</v>
      </c>
      <c r="U114" s="129">
        <f t="shared" ref="U114" si="389">SUM(U111:U113)</f>
        <v>0</v>
      </c>
      <c r="V114" s="130">
        <f t="shared" ref="V114" si="390">SUM(V111:V113)</f>
        <v>0</v>
      </c>
      <c r="W114" s="185"/>
      <c r="X114" s="164" t="s">
        <v>2145</v>
      </c>
      <c r="Y114" s="128">
        <f>SUM(Y111:Y113)</f>
        <v>0</v>
      </c>
      <c r="Z114" s="129">
        <f t="shared" ref="Z114" si="391">SUM(Z111:Z113)</f>
        <v>0</v>
      </c>
      <c r="AA114" s="129">
        <f t="shared" ref="AA114" si="392">SUM(AA111:AA113)</f>
        <v>0</v>
      </c>
      <c r="AB114" s="129">
        <f t="shared" ref="AB114" si="393">SUM(AB111:AB113)</f>
        <v>0</v>
      </c>
      <c r="AC114" s="129">
        <f t="shared" ref="AC114" si="394">SUM(AC111:AC113)</f>
        <v>0</v>
      </c>
      <c r="AD114" s="129">
        <f t="shared" ref="AD114" si="395">SUM(AD111:AD113)</f>
        <v>0</v>
      </c>
      <c r="AE114" s="129">
        <f t="shared" ref="AE114" si="396">SUM(AE111:AE113)</f>
        <v>0</v>
      </c>
      <c r="AF114" s="130">
        <f t="shared" ref="AF114" si="397">SUM(AF111:AF113)</f>
        <v>0</v>
      </c>
      <c r="AG114" s="128">
        <f t="shared" ref="AG114" si="398">SUM(AG111:AG113)</f>
        <v>0</v>
      </c>
      <c r="AH114" s="129">
        <f t="shared" ref="AH114" si="399">SUM(AH111:AH113)</f>
        <v>0</v>
      </c>
      <c r="AI114" s="129">
        <f t="shared" ref="AI114" si="400">SUM(AI111:AI113)</f>
        <v>0</v>
      </c>
      <c r="AJ114" s="129">
        <f t="shared" ref="AJ114" si="401">SUM(AJ111:AJ113)</f>
        <v>0</v>
      </c>
      <c r="AK114" s="130">
        <f t="shared" ref="AK114" si="402">SUM(AK111:AK113)</f>
        <v>0</v>
      </c>
      <c r="AL114" s="185"/>
      <c r="AM114" s="164" t="s">
        <v>1876</v>
      </c>
      <c r="AN114" s="777">
        <f>SUM(AN111:AN113)</f>
        <v>0</v>
      </c>
      <c r="AO114" s="778">
        <f t="shared" ref="AO114" si="403">SUM(AO111:AO113)</f>
        <v>0</v>
      </c>
      <c r="AP114" s="778">
        <f t="shared" ref="AP114" si="404">SUM(AP111:AP113)</f>
        <v>0</v>
      </c>
      <c r="AQ114" s="778">
        <f t="shared" ref="AQ114" si="405">SUM(AQ111:AQ113)</f>
        <v>0</v>
      </c>
      <c r="AR114" s="778">
        <f t="shared" ref="AR114" si="406">SUM(AR111:AR113)</f>
        <v>0</v>
      </c>
      <c r="AS114" s="778">
        <f t="shared" ref="AS114" si="407">SUM(AS111:AS113)</f>
        <v>0</v>
      </c>
      <c r="AT114" s="778">
        <f t="shared" ref="AT114" si="408">SUM(AT111:AT113)</f>
        <v>0</v>
      </c>
      <c r="AU114" s="779">
        <f t="shared" ref="AU114" si="409">SUM(AU111:AU113)</f>
        <v>0</v>
      </c>
      <c r="AV114" s="777">
        <f t="shared" ref="AV114" si="410">SUM(AV111:AV113)</f>
        <v>0</v>
      </c>
      <c r="AW114" s="778">
        <f t="shared" ref="AW114" si="411">SUM(AW111:AW113)</f>
        <v>0</v>
      </c>
      <c r="AX114" s="778">
        <f t="shared" ref="AX114" si="412">SUM(AX111:AX113)</f>
        <v>0</v>
      </c>
      <c r="AY114" s="778">
        <f t="shared" ref="AY114" si="413">SUM(AY111:AY113)</f>
        <v>0</v>
      </c>
      <c r="AZ114" s="779">
        <f t="shared" ref="AZ114" si="414">SUM(AZ111:AZ113)</f>
        <v>0</v>
      </c>
    </row>
    <row r="115" spans="2:52" s="98" customFormat="1" ht="15" customHeight="1">
      <c r="B115" s="181"/>
      <c r="C115" s="185"/>
      <c r="D115" s="185"/>
      <c r="E115" s="182"/>
      <c r="F115" s="182"/>
      <c r="G115" s="184"/>
      <c r="H115" s="184"/>
      <c r="I115" s="117"/>
      <c r="J115" s="713"/>
      <c r="K115" s="714"/>
      <c r="L115" s="714"/>
      <c r="M115" s="714"/>
      <c r="N115" s="714"/>
      <c r="O115" s="714"/>
      <c r="P115" s="714"/>
      <c r="Q115" s="715"/>
      <c r="R115" s="714"/>
      <c r="S115" s="714"/>
      <c r="T115" s="714"/>
      <c r="U115" s="714"/>
      <c r="V115" s="715"/>
      <c r="W115" s="185"/>
      <c r="X115" s="117"/>
      <c r="Y115" s="713"/>
      <c r="Z115" s="714"/>
      <c r="AA115" s="714"/>
      <c r="AB115" s="714"/>
      <c r="AC115" s="714"/>
      <c r="AD115" s="714"/>
      <c r="AE115" s="714"/>
      <c r="AF115" s="715"/>
      <c r="AG115" s="714"/>
      <c r="AH115" s="714"/>
      <c r="AI115" s="714"/>
      <c r="AJ115" s="714"/>
      <c r="AK115" s="715"/>
      <c r="AL115" s="185"/>
      <c r="AM115" s="117"/>
      <c r="AN115" s="878"/>
      <c r="AO115" s="879"/>
      <c r="AP115" s="879"/>
      <c r="AQ115" s="879"/>
      <c r="AR115" s="879"/>
      <c r="AS115" s="879"/>
      <c r="AT115" s="879"/>
      <c r="AU115" s="880"/>
      <c r="AV115" s="879"/>
      <c r="AW115" s="879"/>
      <c r="AX115" s="879"/>
      <c r="AY115" s="879"/>
      <c r="AZ115" s="880"/>
    </row>
    <row r="116" spans="2:52" s="98" customFormat="1" ht="15" customHeight="1">
      <c r="B116" s="161"/>
      <c r="C116" s="180" t="s">
        <v>2220</v>
      </c>
      <c r="D116" s="180"/>
      <c r="E116" s="162"/>
      <c r="F116" s="162"/>
      <c r="G116" s="163"/>
      <c r="H116" s="163"/>
      <c r="I116" s="117"/>
      <c r="J116" s="713"/>
      <c r="K116" s="721"/>
      <c r="L116" s="721"/>
      <c r="M116" s="721"/>
      <c r="N116" s="721"/>
      <c r="O116" s="721"/>
      <c r="P116" s="721"/>
      <c r="Q116" s="715"/>
      <c r="R116" s="713"/>
      <c r="S116" s="721"/>
      <c r="T116" s="721"/>
      <c r="U116" s="721"/>
      <c r="V116" s="715"/>
      <c r="W116" s="185"/>
      <c r="X116" s="117"/>
      <c r="Y116" s="713"/>
      <c r="Z116" s="721"/>
      <c r="AA116" s="721"/>
      <c r="AB116" s="721"/>
      <c r="AC116" s="721"/>
      <c r="AD116" s="721"/>
      <c r="AE116" s="721"/>
      <c r="AF116" s="715"/>
      <c r="AG116" s="713"/>
      <c r="AH116" s="721"/>
      <c r="AI116" s="721"/>
      <c r="AJ116" s="721"/>
      <c r="AK116" s="715"/>
      <c r="AL116" s="185"/>
      <c r="AM116" s="117"/>
      <c r="AN116" s="878"/>
      <c r="AO116" s="881"/>
      <c r="AP116" s="881"/>
      <c r="AQ116" s="881"/>
      <c r="AR116" s="881"/>
      <c r="AS116" s="881"/>
      <c r="AT116" s="881"/>
      <c r="AU116" s="880"/>
      <c r="AV116" s="878"/>
      <c r="AW116" s="881"/>
      <c r="AX116" s="881"/>
      <c r="AY116" s="881"/>
      <c r="AZ116" s="880"/>
    </row>
    <row r="117" spans="2:52" s="98" customFormat="1" ht="15" customHeight="1">
      <c r="B117" s="161"/>
      <c r="C117" s="185"/>
      <c r="D117" s="162" t="s">
        <v>36</v>
      </c>
      <c r="G117" s="162"/>
      <c r="H117" s="163"/>
      <c r="I117" s="164" t="s">
        <v>2145</v>
      </c>
      <c r="J117" s="143">
        <v>0</v>
      </c>
      <c r="K117" s="141">
        <v>0</v>
      </c>
      <c r="L117" s="141">
        <v>0</v>
      </c>
      <c r="M117" s="141">
        <v>0</v>
      </c>
      <c r="N117" s="141">
        <v>0</v>
      </c>
      <c r="O117" s="141">
        <v>0</v>
      </c>
      <c r="P117" s="141">
        <v>0</v>
      </c>
      <c r="Q117" s="144">
        <v>0</v>
      </c>
      <c r="R117" s="143">
        <v>0</v>
      </c>
      <c r="S117" s="141">
        <v>0</v>
      </c>
      <c r="T117" s="141">
        <v>0</v>
      </c>
      <c r="U117" s="141">
        <v>0</v>
      </c>
      <c r="V117" s="144">
        <v>0</v>
      </c>
      <c r="W117" s="185"/>
      <c r="X117" s="164" t="s">
        <v>2145</v>
      </c>
      <c r="Y117" s="143">
        <v>0</v>
      </c>
      <c r="Z117" s="141">
        <v>0</v>
      </c>
      <c r="AA117" s="141">
        <v>0</v>
      </c>
      <c r="AB117" s="141">
        <v>0</v>
      </c>
      <c r="AC117" s="141">
        <v>0</v>
      </c>
      <c r="AD117" s="141">
        <v>0</v>
      </c>
      <c r="AE117" s="141">
        <v>0</v>
      </c>
      <c r="AF117" s="144">
        <v>0</v>
      </c>
      <c r="AG117" s="143">
        <v>0</v>
      </c>
      <c r="AH117" s="141">
        <v>0</v>
      </c>
      <c r="AI117" s="141">
        <v>0</v>
      </c>
      <c r="AJ117" s="141">
        <v>0</v>
      </c>
      <c r="AK117" s="144">
        <v>0</v>
      </c>
      <c r="AL117" s="185"/>
      <c r="AM117" s="164" t="s">
        <v>1876</v>
      </c>
      <c r="AN117" s="165">
        <v>0</v>
      </c>
      <c r="AO117" s="166">
        <v>0</v>
      </c>
      <c r="AP117" s="166">
        <v>0</v>
      </c>
      <c r="AQ117" s="166">
        <v>0</v>
      </c>
      <c r="AR117" s="166">
        <v>0</v>
      </c>
      <c r="AS117" s="166">
        <v>0</v>
      </c>
      <c r="AT117" s="166">
        <v>0</v>
      </c>
      <c r="AU117" s="167">
        <v>0</v>
      </c>
      <c r="AV117" s="165">
        <v>0</v>
      </c>
      <c r="AW117" s="166">
        <v>0</v>
      </c>
      <c r="AX117" s="166">
        <v>0</v>
      </c>
      <c r="AY117" s="166">
        <v>0</v>
      </c>
      <c r="AZ117" s="167">
        <v>0</v>
      </c>
    </row>
    <row r="118" spans="2:52" s="98" customFormat="1" ht="15" customHeight="1">
      <c r="B118" s="161"/>
      <c r="C118" s="185"/>
      <c r="D118" s="162" t="s">
        <v>62</v>
      </c>
      <c r="G118" s="162"/>
      <c r="H118" s="163"/>
      <c r="I118" s="164" t="s">
        <v>2145</v>
      </c>
      <c r="J118" s="143">
        <v>0</v>
      </c>
      <c r="K118" s="141">
        <v>0</v>
      </c>
      <c r="L118" s="141">
        <v>0</v>
      </c>
      <c r="M118" s="141">
        <v>0</v>
      </c>
      <c r="N118" s="141">
        <v>0</v>
      </c>
      <c r="O118" s="141">
        <v>0</v>
      </c>
      <c r="P118" s="141">
        <v>0</v>
      </c>
      <c r="Q118" s="144">
        <v>0</v>
      </c>
      <c r="R118" s="143">
        <v>0</v>
      </c>
      <c r="S118" s="141">
        <v>0</v>
      </c>
      <c r="T118" s="141">
        <v>0</v>
      </c>
      <c r="U118" s="141">
        <v>0</v>
      </c>
      <c r="V118" s="144">
        <v>0</v>
      </c>
      <c r="W118" s="185"/>
      <c r="X118" s="164" t="s">
        <v>2145</v>
      </c>
      <c r="Y118" s="143">
        <v>0</v>
      </c>
      <c r="Z118" s="141">
        <v>0</v>
      </c>
      <c r="AA118" s="141">
        <v>0</v>
      </c>
      <c r="AB118" s="141">
        <v>0</v>
      </c>
      <c r="AC118" s="141">
        <v>0</v>
      </c>
      <c r="AD118" s="141">
        <v>0</v>
      </c>
      <c r="AE118" s="141">
        <v>0</v>
      </c>
      <c r="AF118" s="144">
        <v>0</v>
      </c>
      <c r="AG118" s="143">
        <v>0</v>
      </c>
      <c r="AH118" s="141">
        <v>0</v>
      </c>
      <c r="AI118" s="141">
        <v>0</v>
      </c>
      <c r="AJ118" s="141">
        <v>0</v>
      </c>
      <c r="AK118" s="144">
        <v>0</v>
      </c>
      <c r="AL118" s="185"/>
      <c r="AM118" s="164" t="s">
        <v>1876</v>
      </c>
      <c r="AN118" s="165">
        <v>0</v>
      </c>
      <c r="AO118" s="166">
        <v>0</v>
      </c>
      <c r="AP118" s="166">
        <v>0</v>
      </c>
      <c r="AQ118" s="166">
        <v>0</v>
      </c>
      <c r="AR118" s="166">
        <v>0</v>
      </c>
      <c r="AS118" s="166">
        <v>0</v>
      </c>
      <c r="AT118" s="166">
        <v>0</v>
      </c>
      <c r="AU118" s="167">
        <v>0</v>
      </c>
      <c r="AV118" s="165">
        <v>0</v>
      </c>
      <c r="AW118" s="166">
        <v>0</v>
      </c>
      <c r="AX118" s="166">
        <v>0</v>
      </c>
      <c r="AY118" s="166">
        <v>0</v>
      </c>
      <c r="AZ118" s="167">
        <v>0</v>
      </c>
    </row>
    <row r="119" spans="2:52" s="98" customFormat="1" ht="15" customHeight="1">
      <c r="B119" s="161"/>
      <c r="C119" s="185"/>
      <c r="D119" s="162" t="s">
        <v>71</v>
      </c>
      <c r="G119" s="162"/>
      <c r="H119" s="163"/>
      <c r="I119" s="164" t="s">
        <v>2145</v>
      </c>
      <c r="J119" s="143">
        <v>0</v>
      </c>
      <c r="K119" s="141">
        <v>0</v>
      </c>
      <c r="L119" s="141">
        <v>0</v>
      </c>
      <c r="M119" s="141">
        <v>0</v>
      </c>
      <c r="N119" s="141">
        <v>0</v>
      </c>
      <c r="O119" s="141">
        <v>0</v>
      </c>
      <c r="P119" s="141">
        <v>0</v>
      </c>
      <c r="Q119" s="144">
        <v>0</v>
      </c>
      <c r="R119" s="143">
        <v>0</v>
      </c>
      <c r="S119" s="141">
        <v>0</v>
      </c>
      <c r="T119" s="141">
        <v>0</v>
      </c>
      <c r="U119" s="141">
        <v>0</v>
      </c>
      <c r="V119" s="144">
        <v>0</v>
      </c>
      <c r="W119" s="185"/>
      <c r="X119" s="164" t="s">
        <v>2145</v>
      </c>
      <c r="Y119" s="143">
        <v>0</v>
      </c>
      <c r="Z119" s="141">
        <v>0</v>
      </c>
      <c r="AA119" s="141">
        <v>0</v>
      </c>
      <c r="AB119" s="141">
        <v>0</v>
      </c>
      <c r="AC119" s="141">
        <v>0</v>
      </c>
      <c r="AD119" s="141">
        <v>0</v>
      </c>
      <c r="AE119" s="141">
        <v>0</v>
      </c>
      <c r="AF119" s="144">
        <v>0</v>
      </c>
      <c r="AG119" s="143">
        <v>0</v>
      </c>
      <c r="AH119" s="141">
        <v>0</v>
      </c>
      <c r="AI119" s="141">
        <v>0</v>
      </c>
      <c r="AJ119" s="141">
        <v>0</v>
      </c>
      <c r="AK119" s="144">
        <v>0</v>
      </c>
      <c r="AL119" s="185"/>
      <c r="AM119" s="164" t="s">
        <v>1876</v>
      </c>
      <c r="AN119" s="165">
        <v>0</v>
      </c>
      <c r="AO119" s="166">
        <v>0</v>
      </c>
      <c r="AP119" s="166">
        <v>0</v>
      </c>
      <c r="AQ119" s="166">
        <v>0</v>
      </c>
      <c r="AR119" s="166">
        <v>0</v>
      </c>
      <c r="AS119" s="166">
        <v>0</v>
      </c>
      <c r="AT119" s="166">
        <v>0</v>
      </c>
      <c r="AU119" s="167">
        <v>0</v>
      </c>
      <c r="AV119" s="165">
        <v>0</v>
      </c>
      <c r="AW119" s="166">
        <v>0</v>
      </c>
      <c r="AX119" s="166">
        <v>0</v>
      </c>
      <c r="AY119" s="166">
        <v>0</v>
      </c>
      <c r="AZ119" s="167">
        <v>0</v>
      </c>
    </row>
    <row r="120" spans="2:52" s="98" customFormat="1" ht="15" customHeight="1">
      <c r="B120" s="181"/>
      <c r="C120" s="182" t="s">
        <v>1710</v>
      </c>
      <c r="D120" s="245"/>
      <c r="G120" s="184"/>
      <c r="H120" s="184"/>
      <c r="I120" s="164" t="s">
        <v>2145</v>
      </c>
      <c r="J120" s="128">
        <f>SUM(J117:J119)</f>
        <v>0</v>
      </c>
      <c r="K120" s="129">
        <f t="shared" ref="K120" si="415">SUM(K117:K119)</f>
        <v>0</v>
      </c>
      <c r="L120" s="129">
        <f t="shared" ref="L120" si="416">SUM(L117:L119)</f>
        <v>0</v>
      </c>
      <c r="M120" s="129">
        <f t="shared" ref="M120" si="417">SUM(M117:M119)</f>
        <v>0</v>
      </c>
      <c r="N120" s="129">
        <f t="shared" ref="N120" si="418">SUM(N117:N119)</f>
        <v>0</v>
      </c>
      <c r="O120" s="129">
        <f t="shared" ref="O120" si="419">SUM(O117:O119)</f>
        <v>0</v>
      </c>
      <c r="P120" s="129">
        <f t="shared" ref="P120" si="420">SUM(P117:P119)</f>
        <v>0</v>
      </c>
      <c r="Q120" s="130">
        <f t="shared" ref="Q120" si="421">SUM(Q117:Q119)</f>
        <v>0</v>
      </c>
      <c r="R120" s="128">
        <f t="shared" ref="R120" si="422">SUM(R117:R119)</f>
        <v>0</v>
      </c>
      <c r="S120" s="129">
        <f t="shared" ref="S120" si="423">SUM(S117:S119)</f>
        <v>0</v>
      </c>
      <c r="T120" s="129">
        <f t="shared" ref="T120" si="424">SUM(T117:T119)</f>
        <v>0</v>
      </c>
      <c r="U120" s="129">
        <f t="shared" ref="U120" si="425">SUM(U117:U119)</f>
        <v>0</v>
      </c>
      <c r="V120" s="130">
        <f t="shared" ref="V120" si="426">SUM(V117:V119)</f>
        <v>0</v>
      </c>
      <c r="W120" s="185"/>
      <c r="X120" s="164" t="s">
        <v>2145</v>
      </c>
      <c r="Y120" s="128">
        <f>SUM(Y117:Y119)</f>
        <v>0</v>
      </c>
      <c r="Z120" s="129">
        <f t="shared" ref="Z120" si="427">SUM(Z117:Z119)</f>
        <v>0</v>
      </c>
      <c r="AA120" s="129">
        <f t="shared" ref="AA120" si="428">SUM(AA117:AA119)</f>
        <v>0</v>
      </c>
      <c r="AB120" s="129">
        <f t="shared" ref="AB120" si="429">SUM(AB117:AB119)</f>
        <v>0</v>
      </c>
      <c r="AC120" s="129">
        <f t="shared" ref="AC120" si="430">SUM(AC117:AC119)</f>
        <v>0</v>
      </c>
      <c r="AD120" s="129">
        <f t="shared" ref="AD120" si="431">SUM(AD117:AD119)</f>
        <v>0</v>
      </c>
      <c r="AE120" s="129">
        <f t="shared" ref="AE120" si="432">SUM(AE117:AE119)</f>
        <v>0</v>
      </c>
      <c r="AF120" s="130">
        <f t="shared" ref="AF120" si="433">SUM(AF117:AF119)</f>
        <v>0</v>
      </c>
      <c r="AG120" s="128">
        <f t="shared" ref="AG120" si="434">SUM(AG117:AG119)</f>
        <v>0</v>
      </c>
      <c r="AH120" s="129">
        <f t="shared" ref="AH120" si="435">SUM(AH117:AH119)</f>
        <v>0</v>
      </c>
      <c r="AI120" s="129">
        <f t="shared" ref="AI120" si="436">SUM(AI117:AI119)</f>
        <v>0</v>
      </c>
      <c r="AJ120" s="129">
        <f t="shared" ref="AJ120" si="437">SUM(AJ117:AJ119)</f>
        <v>0</v>
      </c>
      <c r="AK120" s="130">
        <f t="shared" ref="AK120" si="438">SUM(AK117:AK119)</f>
        <v>0</v>
      </c>
      <c r="AL120" s="185"/>
      <c r="AM120" s="164" t="s">
        <v>1876</v>
      </c>
      <c r="AN120" s="777">
        <f>SUM(AN117:AN119)</f>
        <v>0</v>
      </c>
      <c r="AO120" s="778">
        <f t="shared" ref="AO120" si="439">SUM(AO117:AO119)</f>
        <v>0</v>
      </c>
      <c r="AP120" s="778">
        <f t="shared" ref="AP120" si="440">SUM(AP117:AP119)</f>
        <v>0</v>
      </c>
      <c r="AQ120" s="778">
        <f t="shared" ref="AQ120" si="441">SUM(AQ117:AQ119)</f>
        <v>0</v>
      </c>
      <c r="AR120" s="778">
        <f t="shared" ref="AR120" si="442">SUM(AR117:AR119)</f>
        <v>0</v>
      </c>
      <c r="AS120" s="778">
        <f t="shared" ref="AS120" si="443">SUM(AS117:AS119)</f>
        <v>0</v>
      </c>
      <c r="AT120" s="778">
        <f t="shared" ref="AT120" si="444">SUM(AT117:AT119)</f>
        <v>0</v>
      </c>
      <c r="AU120" s="779">
        <f t="shared" ref="AU120" si="445">SUM(AU117:AU119)</f>
        <v>0</v>
      </c>
      <c r="AV120" s="777">
        <f t="shared" ref="AV120" si="446">SUM(AV117:AV119)</f>
        <v>0</v>
      </c>
      <c r="AW120" s="778">
        <f t="shared" ref="AW120" si="447">SUM(AW117:AW119)</f>
        <v>0</v>
      </c>
      <c r="AX120" s="778">
        <f t="shared" ref="AX120" si="448">SUM(AX117:AX119)</f>
        <v>0</v>
      </c>
      <c r="AY120" s="778">
        <f t="shared" ref="AY120" si="449">SUM(AY117:AY119)</f>
        <v>0</v>
      </c>
      <c r="AZ120" s="779">
        <f t="shared" ref="AZ120" si="450">SUM(AZ117:AZ119)</f>
        <v>0</v>
      </c>
    </row>
    <row r="121" spans="2:52" s="98" customFormat="1" ht="15" customHeight="1">
      <c r="B121" s="181"/>
      <c r="C121" s="185"/>
      <c r="D121" s="185"/>
      <c r="E121" s="182"/>
      <c r="F121" s="182"/>
      <c r="G121" s="184"/>
      <c r="H121" s="184"/>
      <c r="I121" s="117"/>
      <c r="J121" s="713"/>
      <c r="K121" s="714"/>
      <c r="L121" s="714"/>
      <c r="M121" s="714"/>
      <c r="N121" s="714"/>
      <c r="O121" s="714"/>
      <c r="P121" s="714"/>
      <c r="Q121" s="715"/>
      <c r="R121" s="714"/>
      <c r="S121" s="714"/>
      <c r="T121" s="714"/>
      <c r="U121" s="714"/>
      <c r="V121" s="715"/>
      <c r="W121" s="185"/>
      <c r="X121" s="117"/>
      <c r="Y121" s="713"/>
      <c r="Z121" s="714"/>
      <c r="AA121" s="714"/>
      <c r="AB121" s="714"/>
      <c r="AC121" s="714"/>
      <c r="AD121" s="714"/>
      <c r="AE121" s="714"/>
      <c r="AF121" s="715"/>
      <c r="AG121" s="714"/>
      <c r="AH121" s="714"/>
      <c r="AI121" s="714"/>
      <c r="AJ121" s="714"/>
      <c r="AK121" s="715"/>
      <c r="AL121" s="185"/>
      <c r="AM121" s="117"/>
      <c r="AN121" s="878"/>
      <c r="AO121" s="879"/>
      <c r="AP121" s="879"/>
      <c r="AQ121" s="879"/>
      <c r="AR121" s="879"/>
      <c r="AS121" s="879"/>
      <c r="AT121" s="879"/>
      <c r="AU121" s="880"/>
      <c r="AV121" s="879"/>
      <c r="AW121" s="879"/>
      <c r="AX121" s="879"/>
      <c r="AY121" s="879"/>
      <c r="AZ121" s="880"/>
    </row>
    <row r="122" spans="2:52" s="98" customFormat="1" ht="15" customHeight="1">
      <c r="B122" s="161"/>
      <c r="C122" s="180" t="s">
        <v>2221</v>
      </c>
      <c r="D122" s="180"/>
      <c r="E122" s="162"/>
      <c r="F122" s="162"/>
      <c r="G122" s="163"/>
      <c r="H122" s="163"/>
      <c r="I122" s="117"/>
      <c r="J122" s="713"/>
      <c r="K122" s="721"/>
      <c r="L122" s="721"/>
      <c r="M122" s="721"/>
      <c r="N122" s="721"/>
      <c r="O122" s="721"/>
      <c r="P122" s="721"/>
      <c r="Q122" s="715"/>
      <c r="R122" s="713"/>
      <c r="S122" s="721"/>
      <c r="T122" s="721"/>
      <c r="U122" s="721"/>
      <c r="V122" s="715"/>
      <c r="W122" s="185"/>
      <c r="X122" s="117"/>
      <c r="Y122" s="713"/>
      <c r="Z122" s="721"/>
      <c r="AA122" s="721"/>
      <c r="AB122" s="721"/>
      <c r="AC122" s="721"/>
      <c r="AD122" s="721"/>
      <c r="AE122" s="721"/>
      <c r="AF122" s="715"/>
      <c r="AG122" s="713"/>
      <c r="AH122" s="721"/>
      <c r="AI122" s="721"/>
      <c r="AJ122" s="721"/>
      <c r="AK122" s="715"/>
      <c r="AL122" s="185"/>
      <c r="AM122" s="117"/>
      <c r="AN122" s="878"/>
      <c r="AO122" s="881"/>
      <c r="AP122" s="881"/>
      <c r="AQ122" s="881"/>
      <c r="AR122" s="881"/>
      <c r="AS122" s="881"/>
      <c r="AT122" s="881"/>
      <c r="AU122" s="880"/>
      <c r="AV122" s="878"/>
      <c r="AW122" s="881"/>
      <c r="AX122" s="881"/>
      <c r="AY122" s="881"/>
      <c r="AZ122" s="880"/>
    </row>
    <row r="123" spans="2:52" s="98" customFormat="1" ht="15" customHeight="1">
      <c r="B123" s="161"/>
      <c r="C123" s="185"/>
      <c r="D123" s="162" t="s">
        <v>36</v>
      </c>
      <c r="G123" s="162"/>
      <c r="H123" s="163"/>
      <c r="I123" s="164" t="s">
        <v>2145</v>
      </c>
      <c r="J123" s="143">
        <v>0</v>
      </c>
      <c r="K123" s="141">
        <v>0</v>
      </c>
      <c r="L123" s="141">
        <v>0</v>
      </c>
      <c r="M123" s="141">
        <v>0</v>
      </c>
      <c r="N123" s="141">
        <v>0</v>
      </c>
      <c r="O123" s="141">
        <v>0</v>
      </c>
      <c r="P123" s="141">
        <v>0</v>
      </c>
      <c r="Q123" s="144">
        <v>0</v>
      </c>
      <c r="R123" s="143">
        <v>0</v>
      </c>
      <c r="S123" s="141">
        <v>0</v>
      </c>
      <c r="T123" s="141">
        <v>0</v>
      </c>
      <c r="U123" s="141">
        <v>0</v>
      </c>
      <c r="V123" s="144">
        <v>0</v>
      </c>
      <c r="W123" s="185"/>
      <c r="X123" s="164" t="s">
        <v>2145</v>
      </c>
      <c r="Y123" s="143">
        <v>0</v>
      </c>
      <c r="Z123" s="141">
        <v>0</v>
      </c>
      <c r="AA123" s="141">
        <v>0</v>
      </c>
      <c r="AB123" s="141">
        <v>0</v>
      </c>
      <c r="AC123" s="141">
        <v>0</v>
      </c>
      <c r="AD123" s="141">
        <v>0</v>
      </c>
      <c r="AE123" s="141">
        <v>0</v>
      </c>
      <c r="AF123" s="144">
        <v>0</v>
      </c>
      <c r="AG123" s="143">
        <v>0</v>
      </c>
      <c r="AH123" s="141">
        <v>0</v>
      </c>
      <c r="AI123" s="141">
        <v>0</v>
      </c>
      <c r="AJ123" s="141">
        <v>0</v>
      </c>
      <c r="AK123" s="144">
        <v>0</v>
      </c>
      <c r="AL123" s="185"/>
      <c r="AM123" s="164" t="s">
        <v>1876</v>
      </c>
      <c r="AN123" s="165">
        <v>0</v>
      </c>
      <c r="AO123" s="166">
        <v>0</v>
      </c>
      <c r="AP123" s="166">
        <v>0</v>
      </c>
      <c r="AQ123" s="166">
        <v>0</v>
      </c>
      <c r="AR123" s="166">
        <v>0</v>
      </c>
      <c r="AS123" s="166">
        <v>0</v>
      </c>
      <c r="AT123" s="166">
        <v>0</v>
      </c>
      <c r="AU123" s="167">
        <v>0</v>
      </c>
      <c r="AV123" s="165">
        <v>0</v>
      </c>
      <c r="AW123" s="166">
        <v>0</v>
      </c>
      <c r="AX123" s="166">
        <v>0</v>
      </c>
      <c r="AY123" s="166">
        <v>0</v>
      </c>
      <c r="AZ123" s="167">
        <v>0</v>
      </c>
    </row>
    <row r="124" spans="2:52" s="98" customFormat="1" ht="15" customHeight="1">
      <c r="B124" s="161"/>
      <c r="C124" s="185"/>
      <c r="D124" s="162" t="s">
        <v>62</v>
      </c>
      <c r="G124" s="162"/>
      <c r="H124" s="163"/>
      <c r="I124" s="164" t="s">
        <v>2145</v>
      </c>
      <c r="J124" s="143">
        <v>0</v>
      </c>
      <c r="K124" s="141">
        <v>0</v>
      </c>
      <c r="L124" s="141">
        <v>0</v>
      </c>
      <c r="M124" s="141">
        <v>0</v>
      </c>
      <c r="N124" s="141">
        <v>0</v>
      </c>
      <c r="O124" s="141">
        <v>0</v>
      </c>
      <c r="P124" s="141">
        <v>0</v>
      </c>
      <c r="Q124" s="144">
        <v>0</v>
      </c>
      <c r="R124" s="143">
        <v>0</v>
      </c>
      <c r="S124" s="141">
        <v>0</v>
      </c>
      <c r="T124" s="141">
        <v>0</v>
      </c>
      <c r="U124" s="141">
        <v>0</v>
      </c>
      <c r="V124" s="144">
        <v>0</v>
      </c>
      <c r="W124" s="185"/>
      <c r="X124" s="164" t="s">
        <v>2145</v>
      </c>
      <c r="Y124" s="143">
        <v>0</v>
      </c>
      <c r="Z124" s="141">
        <v>0</v>
      </c>
      <c r="AA124" s="141">
        <v>0</v>
      </c>
      <c r="AB124" s="141">
        <v>0</v>
      </c>
      <c r="AC124" s="141">
        <v>0</v>
      </c>
      <c r="AD124" s="141">
        <v>0</v>
      </c>
      <c r="AE124" s="141">
        <v>0</v>
      </c>
      <c r="AF124" s="144">
        <v>0</v>
      </c>
      <c r="AG124" s="143">
        <v>0</v>
      </c>
      <c r="AH124" s="141">
        <v>0</v>
      </c>
      <c r="AI124" s="141">
        <v>0</v>
      </c>
      <c r="AJ124" s="141">
        <v>0</v>
      </c>
      <c r="AK124" s="144">
        <v>0</v>
      </c>
      <c r="AL124" s="185"/>
      <c r="AM124" s="164" t="s">
        <v>1876</v>
      </c>
      <c r="AN124" s="165">
        <v>0</v>
      </c>
      <c r="AO124" s="166">
        <v>0</v>
      </c>
      <c r="AP124" s="166">
        <v>0</v>
      </c>
      <c r="AQ124" s="166">
        <v>0</v>
      </c>
      <c r="AR124" s="166">
        <v>0</v>
      </c>
      <c r="AS124" s="166">
        <v>0</v>
      </c>
      <c r="AT124" s="166">
        <v>0</v>
      </c>
      <c r="AU124" s="167">
        <v>0</v>
      </c>
      <c r="AV124" s="165">
        <v>0</v>
      </c>
      <c r="AW124" s="166">
        <v>0</v>
      </c>
      <c r="AX124" s="166">
        <v>0</v>
      </c>
      <c r="AY124" s="166">
        <v>0</v>
      </c>
      <c r="AZ124" s="167">
        <v>0</v>
      </c>
    </row>
    <row r="125" spans="2:52" s="98" customFormat="1" ht="15" customHeight="1">
      <c r="B125" s="161"/>
      <c r="C125" s="185"/>
      <c r="D125" s="162" t="s">
        <v>71</v>
      </c>
      <c r="G125" s="162"/>
      <c r="H125" s="163"/>
      <c r="I125" s="164" t="s">
        <v>2145</v>
      </c>
      <c r="J125" s="143">
        <v>0</v>
      </c>
      <c r="K125" s="141">
        <v>0</v>
      </c>
      <c r="L125" s="141">
        <v>0</v>
      </c>
      <c r="M125" s="141">
        <v>0</v>
      </c>
      <c r="N125" s="141">
        <v>0</v>
      </c>
      <c r="O125" s="141">
        <v>0</v>
      </c>
      <c r="P125" s="141">
        <v>0</v>
      </c>
      <c r="Q125" s="144">
        <v>0</v>
      </c>
      <c r="R125" s="143">
        <v>0</v>
      </c>
      <c r="S125" s="141">
        <v>0</v>
      </c>
      <c r="T125" s="141">
        <v>0</v>
      </c>
      <c r="U125" s="141">
        <v>0</v>
      </c>
      <c r="V125" s="144">
        <v>0</v>
      </c>
      <c r="W125" s="185"/>
      <c r="X125" s="164" t="s">
        <v>2145</v>
      </c>
      <c r="Y125" s="143">
        <v>0</v>
      </c>
      <c r="Z125" s="141">
        <v>0</v>
      </c>
      <c r="AA125" s="141">
        <v>0</v>
      </c>
      <c r="AB125" s="141">
        <v>0</v>
      </c>
      <c r="AC125" s="141">
        <v>0</v>
      </c>
      <c r="AD125" s="141">
        <v>0</v>
      </c>
      <c r="AE125" s="141">
        <v>0</v>
      </c>
      <c r="AF125" s="144">
        <v>0</v>
      </c>
      <c r="AG125" s="143">
        <v>0</v>
      </c>
      <c r="AH125" s="141">
        <v>0</v>
      </c>
      <c r="AI125" s="141">
        <v>0</v>
      </c>
      <c r="AJ125" s="141">
        <v>0</v>
      </c>
      <c r="AK125" s="144">
        <v>0</v>
      </c>
      <c r="AL125" s="185"/>
      <c r="AM125" s="164" t="s">
        <v>1876</v>
      </c>
      <c r="AN125" s="165">
        <v>0</v>
      </c>
      <c r="AO125" s="166">
        <v>0</v>
      </c>
      <c r="AP125" s="166">
        <v>0</v>
      </c>
      <c r="AQ125" s="166">
        <v>0</v>
      </c>
      <c r="AR125" s="166">
        <v>0</v>
      </c>
      <c r="AS125" s="166">
        <v>0</v>
      </c>
      <c r="AT125" s="166">
        <v>0</v>
      </c>
      <c r="AU125" s="167">
        <v>0</v>
      </c>
      <c r="AV125" s="165">
        <v>0</v>
      </c>
      <c r="AW125" s="166">
        <v>0</v>
      </c>
      <c r="AX125" s="166">
        <v>0</v>
      </c>
      <c r="AY125" s="166">
        <v>0</v>
      </c>
      <c r="AZ125" s="167">
        <v>0</v>
      </c>
    </row>
    <row r="126" spans="2:52" s="98" customFormat="1" ht="15" customHeight="1">
      <c r="B126" s="181"/>
      <c r="C126" s="182" t="s">
        <v>1710</v>
      </c>
      <c r="D126" s="245"/>
      <c r="G126" s="184"/>
      <c r="H126" s="184"/>
      <c r="I126" s="164" t="s">
        <v>2145</v>
      </c>
      <c r="J126" s="128">
        <f>SUM(J123:J125)</f>
        <v>0</v>
      </c>
      <c r="K126" s="129">
        <f t="shared" ref="K126" si="451">SUM(K123:K125)</f>
        <v>0</v>
      </c>
      <c r="L126" s="129">
        <f t="shared" ref="L126" si="452">SUM(L123:L125)</f>
        <v>0</v>
      </c>
      <c r="M126" s="129">
        <f t="shared" ref="M126" si="453">SUM(M123:M125)</f>
        <v>0</v>
      </c>
      <c r="N126" s="129">
        <f t="shared" ref="N126" si="454">SUM(N123:N125)</f>
        <v>0</v>
      </c>
      <c r="O126" s="129">
        <f t="shared" ref="O126" si="455">SUM(O123:O125)</f>
        <v>0</v>
      </c>
      <c r="P126" s="129">
        <f t="shared" ref="P126" si="456">SUM(P123:P125)</f>
        <v>0</v>
      </c>
      <c r="Q126" s="130">
        <f t="shared" ref="Q126" si="457">SUM(Q123:Q125)</f>
        <v>0</v>
      </c>
      <c r="R126" s="128">
        <f t="shared" ref="R126" si="458">SUM(R123:R125)</f>
        <v>0</v>
      </c>
      <c r="S126" s="129">
        <f t="shared" ref="S126" si="459">SUM(S123:S125)</f>
        <v>0</v>
      </c>
      <c r="T126" s="129">
        <f t="shared" ref="T126" si="460">SUM(T123:T125)</f>
        <v>0</v>
      </c>
      <c r="U126" s="129">
        <f t="shared" ref="U126" si="461">SUM(U123:U125)</f>
        <v>0</v>
      </c>
      <c r="V126" s="130">
        <f t="shared" ref="V126" si="462">SUM(V123:V125)</f>
        <v>0</v>
      </c>
      <c r="W126" s="185"/>
      <c r="X126" s="164" t="s">
        <v>2145</v>
      </c>
      <c r="Y126" s="128">
        <f>SUM(Y123:Y125)</f>
        <v>0</v>
      </c>
      <c r="Z126" s="129">
        <f t="shared" ref="Z126" si="463">SUM(Z123:Z125)</f>
        <v>0</v>
      </c>
      <c r="AA126" s="129">
        <f t="shared" ref="AA126" si="464">SUM(AA123:AA125)</f>
        <v>0</v>
      </c>
      <c r="AB126" s="129">
        <f t="shared" ref="AB126" si="465">SUM(AB123:AB125)</f>
        <v>0</v>
      </c>
      <c r="AC126" s="129">
        <f t="shared" ref="AC126" si="466">SUM(AC123:AC125)</f>
        <v>0</v>
      </c>
      <c r="AD126" s="129">
        <f t="shared" ref="AD126" si="467">SUM(AD123:AD125)</f>
        <v>0</v>
      </c>
      <c r="AE126" s="129">
        <f t="shared" ref="AE126" si="468">SUM(AE123:AE125)</f>
        <v>0</v>
      </c>
      <c r="AF126" s="130">
        <f t="shared" ref="AF126" si="469">SUM(AF123:AF125)</f>
        <v>0</v>
      </c>
      <c r="AG126" s="128">
        <f t="shared" ref="AG126" si="470">SUM(AG123:AG125)</f>
        <v>0</v>
      </c>
      <c r="AH126" s="129">
        <f t="shared" ref="AH126" si="471">SUM(AH123:AH125)</f>
        <v>0</v>
      </c>
      <c r="AI126" s="129">
        <f t="shared" ref="AI126" si="472">SUM(AI123:AI125)</f>
        <v>0</v>
      </c>
      <c r="AJ126" s="129">
        <f t="shared" ref="AJ126" si="473">SUM(AJ123:AJ125)</f>
        <v>0</v>
      </c>
      <c r="AK126" s="130">
        <f t="shared" ref="AK126" si="474">SUM(AK123:AK125)</f>
        <v>0</v>
      </c>
      <c r="AL126" s="185"/>
      <c r="AM126" s="164" t="s">
        <v>1876</v>
      </c>
      <c r="AN126" s="777">
        <f>SUM(AN123:AN125)</f>
        <v>0</v>
      </c>
      <c r="AO126" s="778">
        <f t="shared" ref="AO126" si="475">SUM(AO123:AO125)</f>
        <v>0</v>
      </c>
      <c r="AP126" s="778">
        <f t="shared" ref="AP126" si="476">SUM(AP123:AP125)</f>
        <v>0</v>
      </c>
      <c r="AQ126" s="778">
        <f t="shared" ref="AQ126" si="477">SUM(AQ123:AQ125)</f>
        <v>0</v>
      </c>
      <c r="AR126" s="778">
        <f t="shared" ref="AR126" si="478">SUM(AR123:AR125)</f>
        <v>0</v>
      </c>
      <c r="AS126" s="778">
        <f t="shared" ref="AS126" si="479">SUM(AS123:AS125)</f>
        <v>0</v>
      </c>
      <c r="AT126" s="778">
        <f t="shared" ref="AT126" si="480">SUM(AT123:AT125)</f>
        <v>0</v>
      </c>
      <c r="AU126" s="779">
        <f t="shared" ref="AU126" si="481">SUM(AU123:AU125)</f>
        <v>0</v>
      </c>
      <c r="AV126" s="777">
        <f t="shared" ref="AV126" si="482">SUM(AV123:AV125)</f>
        <v>0</v>
      </c>
      <c r="AW126" s="778">
        <f t="shared" ref="AW126" si="483">SUM(AW123:AW125)</f>
        <v>0</v>
      </c>
      <c r="AX126" s="778">
        <f t="shared" ref="AX126" si="484">SUM(AX123:AX125)</f>
        <v>0</v>
      </c>
      <c r="AY126" s="778">
        <f t="shared" ref="AY126" si="485">SUM(AY123:AY125)</f>
        <v>0</v>
      </c>
      <c r="AZ126" s="779">
        <f t="shared" ref="AZ126" si="486">SUM(AZ123:AZ125)</f>
        <v>0</v>
      </c>
    </row>
    <row r="127" spans="2:52" s="98" customFormat="1" ht="15" customHeight="1">
      <c r="B127" s="181"/>
      <c r="C127" s="185"/>
      <c r="D127" s="185"/>
      <c r="E127" s="182"/>
      <c r="F127" s="182"/>
      <c r="G127" s="184"/>
      <c r="H127" s="184"/>
      <c r="I127" s="117"/>
      <c r="J127" s="713"/>
      <c r="K127" s="714"/>
      <c r="L127" s="714"/>
      <c r="M127" s="714"/>
      <c r="N127" s="714"/>
      <c r="O127" s="714"/>
      <c r="P127" s="714"/>
      <c r="Q127" s="715"/>
      <c r="R127" s="714"/>
      <c r="S127" s="714"/>
      <c r="T127" s="714"/>
      <c r="U127" s="714"/>
      <c r="V127" s="715"/>
      <c r="W127" s="185"/>
      <c r="X127" s="117"/>
      <c r="Y127" s="713"/>
      <c r="Z127" s="714"/>
      <c r="AA127" s="714"/>
      <c r="AB127" s="714"/>
      <c r="AC127" s="714"/>
      <c r="AD127" s="714"/>
      <c r="AE127" s="714"/>
      <c r="AF127" s="715"/>
      <c r="AG127" s="714"/>
      <c r="AH127" s="714"/>
      <c r="AI127" s="714"/>
      <c r="AJ127" s="714"/>
      <c r="AK127" s="715"/>
      <c r="AL127" s="185"/>
      <c r="AM127" s="117"/>
      <c r="AN127" s="878"/>
      <c r="AO127" s="879"/>
      <c r="AP127" s="879"/>
      <c r="AQ127" s="879"/>
      <c r="AR127" s="879"/>
      <c r="AS127" s="879"/>
      <c r="AT127" s="879"/>
      <c r="AU127" s="880"/>
      <c r="AV127" s="879"/>
      <c r="AW127" s="879"/>
      <c r="AX127" s="879"/>
      <c r="AY127" s="879"/>
      <c r="AZ127" s="880"/>
    </row>
    <row r="128" spans="2:52" s="98" customFormat="1" ht="15" customHeight="1">
      <c r="B128" s="161"/>
      <c r="C128" s="180" t="s">
        <v>2222</v>
      </c>
      <c r="D128" s="180"/>
      <c r="E128" s="162"/>
      <c r="F128" s="162"/>
      <c r="G128" s="163"/>
      <c r="H128" s="163"/>
      <c r="I128" s="117"/>
      <c r="J128" s="713"/>
      <c r="K128" s="721"/>
      <c r="L128" s="721"/>
      <c r="M128" s="721"/>
      <c r="N128" s="721"/>
      <c r="O128" s="721"/>
      <c r="P128" s="721"/>
      <c r="Q128" s="715"/>
      <c r="R128" s="713"/>
      <c r="S128" s="721"/>
      <c r="T128" s="721"/>
      <c r="U128" s="721"/>
      <c r="V128" s="715"/>
      <c r="W128" s="185"/>
      <c r="X128" s="117"/>
      <c r="Y128" s="713"/>
      <c r="Z128" s="721"/>
      <c r="AA128" s="721"/>
      <c r="AB128" s="721"/>
      <c r="AC128" s="721"/>
      <c r="AD128" s="721"/>
      <c r="AE128" s="721"/>
      <c r="AF128" s="715"/>
      <c r="AG128" s="713"/>
      <c r="AH128" s="721"/>
      <c r="AI128" s="721"/>
      <c r="AJ128" s="721"/>
      <c r="AK128" s="715"/>
      <c r="AL128" s="185"/>
      <c r="AM128" s="117"/>
      <c r="AN128" s="878"/>
      <c r="AO128" s="881"/>
      <c r="AP128" s="881"/>
      <c r="AQ128" s="881"/>
      <c r="AR128" s="881"/>
      <c r="AS128" s="881"/>
      <c r="AT128" s="881"/>
      <c r="AU128" s="880"/>
      <c r="AV128" s="878"/>
      <c r="AW128" s="881"/>
      <c r="AX128" s="881"/>
      <c r="AY128" s="881"/>
      <c r="AZ128" s="880"/>
    </row>
    <row r="129" spans="1:53" s="98" customFormat="1" ht="15" customHeight="1">
      <c r="B129" s="161"/>
      <c r="C129" s="185"/>
      <c r="D129" s="162" t="s">
        <v>85</v>
      </c>
      <c r="G129" s="170"/>
      <c r="H129" s="163"/>
      <c r="I129" s="164" t="s">
        <v>2145</v>
      </c>
      <c r="J129" s="143">
        <v>0</v>
      </c>
      <c r="K129" s="141">
        <v>0</v>
      </c>
      <c r="L129" s="141">
        <v>0</v>
      </c>
      <c r="M129" s="141">
        <v>0</v>
      </c>
      <c r="N129" s="141">
        <v>0</v>
      </c>
      <c r="O129" s="141">
        <v>0</v>
      </c>
      <c r="P129" s="141">
        <v>0</v>
      </c>
      <c r="Q129" s="144">
        <v>0</v>
      </c>
      <c r="R129" s="143">
        <v>0</v>
      </c>
      <c r="S129" s="141">
        <v>0</v>
      </c>
      <c r="T129" s="141">
        <v>0</v>
      </c>
      <c r="U129" s="141">
        <v>0</v>
      </c>
      <c r="V129" s="144">
        <v>0</v>
      </c>
      <c r="W129" s="185"/>
      <c r="X129" s="164" t="s">
        <v>2145</v>
      </c>
      <c r="Y129" s="143">
        <v>0</v>
      </c>
      <c r="Z129" s="141">
        <v>0</v>
      </c>
      <c r="AA129" s="141">
        <v>0</v>
      </c>
      <c r="AB129" s="141">
        <v>0</v>
      </c>
      <c r="AC129" s="141">
        <v>0</v>
      </c>
      <c r="AD129" s="141">
        <v>0</v>
      </c>
      <c r="AE129" s="141">
        <v>0</v>
      </c>
      <c r="AF129" s="144">
        <v>0</v>
      </c>
      <c r="AG129" s="143">
        <v>0</v>
      </c>
      <c r="AH129" s="141">
        <v>0</v>
      </c>
      <c r="AI129" s="141">
        <v>0</v>
      </c>
      <c r="AJ129" s="141">
        <v>0</v>
      </c>
      <c r="AK129" s="144">
        <v>0</v>
      </c>
      <c r="AL129" s="185"/>
      <c r="AM129" s="164" t="s">
        <v>1876</v>
      </c>
      <c r="AN129" s="165">
        <v>0</v>
      </c>
      <c r="AO129" s="166">
        <v>0</v>
      </c>
      <c r="AP129" s="166">
        <v>0</v>
      </c>
      <c r="AQ129" s="166">
        <v>0</v>
      </c>
      <c r="AR129" s="166">
        <v>0</v>
      </c>
      <c r="AS129" s="166">
        <v>0</v>
      </c>
      <c r="AT129" s="166">
        <v>0</v>
      </c>
      <c r="AU129" s="167">
        <v>0</v>
      </c>
      <c r="AV129" s="165">
        <v>0</v>
      </c>
      <c r="AW129" s="166">
        <v>0</v>
      </c>
      <c r="AX129" s="166">
        <v>0</v>
      </c>
      <c r="AY129" s="166">
        <v>0</v>
      </c>
      <c r="AZ129" s="167">
        <v>0</v>
      </c>
    </row>
    <row r="130" spans="1:53" s="98" customFormat="1" ht="15" customHeight="1">
      <c r="B130" s="161"/>
      <c r="C130" s="185"/>
      <c r="D130" s="162" t="s">
        <v>85</v>
      </c>
      <c r="G130" s="170"/>
      <c r="H130" s="163"/>
      <c r="I130" s="164" t="s">
        <v>2145</v>
      </c>
      <c r="J130" s="143">
        <v>0</v>
      </c>
      <c r="K130" s="141">
        <v>0</v>
      </c>
      <c r="L130" s="141">
        <v>0</v>
      </c>
      <c r="M130" s="141">
        <v>0</v>
      </c>
      <c r="N130" s="141">
        <v>0</v>
      </c>
      <c r="O130" s="141">
        <v>0</v>
      </c>
      <c r="P130" s="141">
        <v>0</v>
      </c>
      <c r="Q130" s="144">
        <v>0</v>
      </c>
      <c r="R130" s="143">
        <v>0</v>
      </c>
      <c r="S130" s="141">
        <v>0</v>
      </c>
      <c r="T130" s="141">
        <v>0</v>
      </c>
      <c r="U130" s="141">
        <v>0</v>
      </c>
      <c r="V130" s="144">
        <v>0</v>
      </c>
      <c r="W130" s="185"/>
      <c r="X130" s="164" t="s">
        <v>2145</v>
      </c>
      <c r="Y130" s="143">
        <v>0</v>
      </c>
      <c r="Z130" s="141">
        <v>0</v>
      </c>
      <c r="AA130" s="141">
        <v>0</v>
      </c>
      <c r="AB130" s="141">
        <v>0</v>
      </c>
      <c r="AC130" s="141">
        <v>0</v>
      </c>
      <c r="AD130" s="141">
        <v>0</v>
      </c>
      <c r="AE130" s="141">
        <v>0</v>
      </c>
      <c r="AF130" s="144">
        <v>0</v>
      </c>
      <c r="AG130" s="143">
        <v>0</v>
      </c>
      <c r="AH130" s="141">
        <v>0</v>
      </c>
      <c r="AI130" s="141">
        <v>0</v>
      </c>
      <c r="AJ130" s="141">
        <v>0</v>
      </c>
      <c r="AK130" s="144">
        <v>0</v>
      </c>
      <c r="AL130" s="185"/>
      <c r="AM130" s="164" t="s">
        <v>1876</v>
      </c>
      <c r="AN130" s="165">
        <v>0</v>
      </c>
      <c r="AO130" s="166">
        <v>0</v>
      </c>
      <c r="AP130" s="166">
        <v>0</v>
      </c>
      <c r="AQ130" s="166">
        <v>0</v>
      </c>
      <c r="AR130" s="166">
        <v>0</v>
      </c>
      <c r="AS130" s="166">
        <v>0</v>
      </c>
      <c r="AT130" s="166">
        <v>0</v>
      </c>
      <c r="AU130" s="167">
        <v>0</v>
      </c>
      <c r="AV130" s="165">
        <v>0</v>
      </c>
      <c r="AW130" s="166">
        <v>0</v>
      </c>
      <c r="AX130" s="166">
        <v>0</v>
      </c>
      <c r="AY130" s="166">
        <v>0</v>
      </c>
      <c r="AZ130" s="167">
        <v>0</v>
      </c>
    </row>
    <row r="131" spans="1:53" s="98" customFormat="1" ht="15" customHeight="1">
      <c r="B131" s="161"/>
      <c r="C131" s="185"/>
      <c r="D131" s="162" t="s">
        <v>85</v>
      </c>
      <c r="G131" s="170"/>
      <c r="H131" s="163"/>
      <c r="I131" s="164" t="s">
        <v>2145</v>
      </c>
      <c r="J131" s="143">
        <v>0</v>
      </c>
      <c r="K131" s="141">
        <v>0</v>
      </c>
      <c r="L131" s="141">
        <v>0</v>
      </c>
      <c r="M131" s="141">
        <v>0</v>
      </c>
      <c r="N131" s="141">
        <v>0</v>
      </c>
      <c r="O131" s="141">
        <v>0</v>
      </c>
      <c r="P131" s="141">
        <v>0</v>
      </c>
      <c r="Q131" s="144">
        <v>0</v>
      </c>
      <c r="R131" s="143">
        <v>0</v>
      </c>
      <c r="S131" s="141">
        <v>0</v>
      </c>
      <c r="T131" s="141">
        <v>0</v>
      </c>
      <c r="U131" s="141">
        <v>0</v>
      </c>
      <c r="V131" s="144">
        <v>0</v>
      </c>
      <c r="W131" s="185"/>
      <c r="X131" s="164" t="s">
        <v>2145</v>
      </c>
      <c r="Y131" s="143">
        <v>0</v>
      </c>
      <c r="Z131" s="141">
        <v>0</v>
      </c>
      <c r="AA131" s="141">
        <v>0</v>
      </c>
      <c r="AB131" s="141">
        <v>0</v>
      </c>
      <c r="AC131" s="141">
        <v>0</v>
      </c>
      <c r="AD131" s="141">
        <v>0</v>
      </c>
      <c r="AE131" s="141">
        <v>0</v>
      </c>
      <c r="AF131" s="144">
        <v>0</v>
      </c>
      <c r="AG131" s="143">
        <v>0</v>
      </c>
      <c r="AH131" s="141">
        <v>0</v>
      </c>
      <c r="AI131" s="141">
        <v>0</v>
      </c>
      <c r="AJ131" s="141">
        <v>0</v>
      </c>
      <c r="AK131" s="144">
        <v>0</v>
      </c>
      <c r="AL131" s="185"/>
      <c r="AM131" s="164" t="s">
        <v>1876</v>
      </c>
      <c r="AN131" s="165">
        <v>0</v>
      </c>
      <c r="AO131" s="166">
        <v>0</v>
      </c>
      <c r="AP131" s="166">
        <v>0</v>
      </c>
      <c r="AQ131" s="166">
        <v>0</v>
      </c>
      <c r="AR131" s="166">
        <v>0</v>
      </c>
      <c r="AS131" s="166">
        <v>0</v>
      </c>
      <c r="AT131" s="166">
        <v>0</v>
      </c>
      <c r="AU131" s="167">
        <v>0</v>
      </c>
      <c r="AV131" s="165">
        <v>0</v>
      </c>
      <c r="AW131" s="166">
        <v>0</v>
      </c>
      <c r="AX131" s="166">
        <v>0</v>
      </c>
      <c r="AY131" s="166">
        <v>0</v>
      </c>
      <c r="AZ131" s="167">
        <v>0</v>
      </c>
    </row>
    <row r="132" spans="1:53" s="98" customFormat="1" ht="15" customHeight="1">
      <c r="B132" s="161"/>
      <c r="C132" s="185"/>
      <c r="D132" s="162" t="s">
        <v>85</v>
      </c>
      <c r="G132" s="170"/>
      <c r="H132" s="163"/>
      <c r="I132" s="164" t="s">
        <v>2145</v>
      </c>
      <c r="J132" s="143">
        <v>0</v>
      </c>
      <c r="K132" s="141">
        <v>0</v>
      </c>
      <c r="L132" s="141">
        <v>0</v>
      </c>
      <c r="M132" s="141">
        <v>0</v>
      </c>
      <c r="N132" s="141">
        <v>0</v>
      </c>
      <c r="O132" s="141">
        <v>0</v>
      </c>
      <c r="P132" s="141">
        <v>0</v>
      </c>
      <c r="Q132" s="144">
        <v>0</v>
      </c>
      <c r="R132" s="143">
        <v>0</v>
      </c>
      <c r="S132" s="141">
        <v>0</v>
      </c>
      <c r="T132" s="141">
        <v>0</v>
      </c>
      <c r="U132" s="141">
        <v>0</v>
      </c>
      <c r="V132" s="144">
        <v>0</v>
      </c>
      <c r="W132" s="185"/>
      <c r="X132" s="164" t="s">
        <v>2145</v>
      </c>
      <c r="Y132" s="143">
        <v>0</v>
      </c>
      <c r="Z132" s="141">
        <v>0</v>
      </c>
      <c r="AA132" s="141">
        <v>0</v>
      </c>
      <c r="AB132" s="141">
        <v>0</v>
      </c>
      <c r="AC132" s="141">
        <v>0</v>
      </c>
      <c r="AD132" s="141">
        <v>0</v>
      </c>
      <c r="AE132" s="141">
        <v>0</v>
      </c>
      <c r="AF132" s="144">
        <v>0</v>
      </c>
      <c r="AG132" s="143">
        <v>0</v>
      </c>
      <c r="AH132" s="141">
        <v>0</v>
      </c>
      <c r="AI132" s="141">
        <v>0</v>
      </c>
      <c r="AJ132" s="141">
        <v>0</v>
      </c>
      <c r="AK132" s="144">
        <v>0</v>
      </c>
      <c r="AL132" s="185"/>
      <c r="AM132" s="164" t="s">
        <v>1876</v>
      </c>
      <c r="AN132" s="165">
        <v>0</v>
      </c>
      <c r="AO132" s="166">
        <v>0</v>
      </c>
      <c r="AP132" s="166">
        <v>0</v>
      </c>
      <c r="AQ132" s="166">
        <v>0</v>
      </c>
      <c r="AR132" s="166">
        <v>0</v>
      </c>
      <c r="AS132" s="166">
        <v>0</v>
      </c>
      <c r="AT132" s="166">
        <v>0</v>
      </c>
      <c r="AU132" s="167">
        <v>0</v>
      </c>
      <c r="AV132" s="165">
        <v>0</v>
      </c>
      <c r="AW132" s="166">
        <v>0</v>
      </c>
      <c r="AX132" s="166">
        <v>0</v>
      </c>
      <c r="AY132" s="166">
        <v>0</v>
      </c>
      <c r="AZ132" s="167">
        <v>0</v>
      </c>
    </row>
    <row r="133" spans="1:53" s="98" customFormat="1" ht="15" customHeight="1">
      <c r="B133" s="161"/>
      <c r="C133" s="185"/>
      <c r="D133" s="162" t="s">
        <v>85</v>
      </c>
      <c r="G133" s="170"/>
      <c r="H133" s="163"/>
      <c r="I133" s="164" t="s">
        <v>2145</v>
      </c>
      <c r="J133" s="143">
        <v>0</v>
      </c>
      <c r="K133" s="141">
        <v>0</v>
      </c>
      <c r="L133" s="141">
        <v>0</v>
      </c>
      <c r="M133" s="141">
        <v>0</v>
      </c>
      <c r="N133" s="141">
        <v>0</v>
      </c>
      <c r="O133" s="141">
        <v>0</v>
      </c>
      <c r="P133" s="141">
        <v>0</v>
      </c>
      <c r="Q133" s="144">
        <v>0</v>
      </c>
      <c r="R133" s="143">
        <v>0</v>
      </c>
      <c r="S133" s="141">
        <v>0</v>
      </c>
      <c r="T133" s="141">
        <v>0</v>
      </c>
      <c r="U133" s="141">
        <v>0</v>
      </c>
      <c r="V133" s="144">
        <v>0</v>
      </c>
      <c r="W133" s="185"/>
      <c r="X133" s="164" t="s">
        <v>2145</v>
      </c>
      <c r="Y133" s="143">
        <v>0</v>
      </c>
      <c r="Z133" s="141">
        <v>0</v>
      </c>
      <c r="AA133" s="141">
        <v>0</v>
      </c>
      <c r="AB133" s="141">
        <v>0</v>
      </c>
      <c r="AC133" s="141">
        <v>0</v>
      </c>
      <c r="AD133" s="141">
        <v>0</v>
      </c>
      <c r="AE133" s="141">
        <v>0</v>
      </c>
      <c r="AF133" s="144">
        <v>0</v>
      </c>
      <c r="AG133" s="143">
        <v>0</v>
      </c>
      <c r="AH133" s="141">
        <v>0</v>
      </c>
      <c r="AI133" s="141">
        <v>0</v>
      </c>
      <c r="AJ133" s="141">
        <v>0</v>
      </c>
      <c r="AK133" s="144">
        <v>0</v>
      </c>
      <c r="AL133" s="185"/>
      <c r="AM133" s="164" t="s">
        <v>1876</v>
      </c>
      <c r="AN133" s="165">
        <v>0</v>
      </c>
      <c r="AO133" s="166">
        <v>0</v>
      </c>
      <c r="AP133" s="166">
        <v>0</v>
      </c>
      <c r="AQ133" s="166">
        <v>0</v>
      </c>
      <c r="AR133" s="166">
        <v>0</v>
      </c>
      <c r="AS133" s="166">
        <v>0</v>
      </c>
      <c r="AT133" s="166">
        <v>0</v>
      </c>
      <c r="AU133" s="167">
        <v>0</v>
      </c>
      <c r="AV133" s="165">
        <v>0</v>
      </c>
      <c r="AW133" s="166">
        <v>0</v>
      </c>
      <c r="AX133" s="166">
        <v>0</v>
      </c>
      <c r="AY133" s="166">
        <v>0</v>
      </c>
      <c r="AZ133" s="167">
        <v>0</v>
      </c>
    </row>
    <row r="134" spans="1:53" s="98" customFormat="1" ht="15" customHeight="1">
      <c r="B134" s="181"/>
      <c r="C134" s="185"/>
      <c r="D134" s="245"/>
      <c r="G134" s="184"/>
      <c r="H134" s="184"/>
      <c r="I134" s="164" t="s">
        <v>2145</v>
      </c>
      <c r="J134" s="128">
        <f>SUM(J129:J133)</f>
        <v>0</v>
      </c>
      <c r="K134" s="129">
        <f t="shared" ref="K134:V134" si="487">SUM(K129:K133)</f>
        <v>0</v>
      </c>
      <c r="L134" s="129">
        <f t="shared" si="487"/>
        <v>0</v>
      </c>
      <c r="M134" s="129">
        <f t="shared" si="487"/>
        <v>0</v>
      </c>
      <c r="N134" s="129">
        <f t="shared" si="487"/>
        <v>0</v>
      </c>
      <c r="O134" s="129">
        <f t="shared" si="487"/>
        <v>0</v>
      </c>
      <c r="P134" s="129">
        <f t="shared" si="487"/>
        <v>0</v>
      </c>
      <c r="Q134" s="130">
        <f t="shared" si="487"/>
        <v>0</v>
      </c>
      <c r="R134" s="128">
        <f t="shared" si="487"/>
        <v>0</v>
      </c>
      <c r="S134" s="129">
        <f t="shared" si="487"/>
        <v>0</v>
      </c>
      <c r="T134" s="129">
        <f t="shared" si="487"/>
        <v>0</v>
      </c>
      <c r="U134" s="129">
        <f t="shared" si="487"/>
        <v>0</v>
      </c>
      <c r="V134" s="130">
        <f t="shared" si="487"/>
        <v>0</v>
      </c>
      <c r="W134" s="185"/>
      <c r="X134" s="164" t="s">
        <v>2145</v>
      </c>
      <c r="Y134" s="128">
        <f>SUM(Y129:Y133)</f>
        <v>0</v>
      </c>
      <c r="Z134" s="129">
        <f t="shared" ref="Z134" si="488">SUM(Z129:Z133)</f>
        <v>0</v>
      </c>
      <c r="AA134" s="129">
        <f t="shared" ref="AA134" si="489">SUM(AA129:AA133)</f>
        <v>0</v>
      </c>
      <c r="AB134" s="129">
        <f t="shared" ref="AB134" si="490">SUM(AB129:AB133)</f>
        <v>0</v>
      </c>
      <c r="AC134" s="129">
        <f t="shared" ref="AC134" si="491">SUM(AC129:AC133)</f>
        <v>0</v>
      </c>
      <c r="AD134" s="129">
        <f t="shared" ref="AD134" si="492">SUM(AD129:AD133)</f>
        <v>0</v>
      </c>
      <c r="AE134" s="129">
        <f t="shared" ref="AE134" si="493">SUM(AE129:AE133)</f>
        <v>0</v>
      </c>
      <c r="AF134" s="130">
        <f t="shared" ref="AF134" si="494">SUM(AF129:AF133)</f>
        <v>0</v>
      </c>
      <c r="AG134" s="128">
        <f t="shared" ref="AG134" si="495">SUM(AG129:AG133)</f>
        <v>0</v>
      </c>
      <c r="AH134" s="129">
        <f t="shared" ref="AH134" si="496">SUM(AH129:AH133)</f>
        <v>0</v>
      </c>
      <c r="AI134" s="129">
        <f t="shared" ref="AI134" si="497">SUM(AI129:AI133)</f>
        <v>0</v>
      </c>
      <c r="AJ134" s="129">
        <f t="shared" ref="AJ134" si="498">SUM(AJ129:AJ133)</f>
        <v>0</v>
      </c>
      <c r="AK134" s="130">
        <f t="shared" ref="AK134" si="499">SUM(AK129:AK133)</f>
        <v>0</v>
      </c>
      <c r="AL134" s="185"/>
      <c r="AM134" s="164" t="s">
        <v>1876</v>
      </c>
      <c r="AN134" s="777">
        <f>SUM(AN129:AN133)</f>
        <v>0</v>
      </c>
      <c r="AO134" s="778">
        <f t="shared" ref="AO134" si="500">SUM(AO129:AO133)</f>
        <v>0</v>
      </c>
      <c r="AP134" s="778">
        <f t="shared" ref="AP134" si="501">SUM(AP129:AP133)</f>
        <v>0</v>
      </c>
      <c r="AQ134" s="778">
        <f t="shared" ref="AQ134" si="502">SUM(AQ129:AQ133)</f>
        <v>0</v>
      </c>
      <c r="AR134" s="778">
        <f t="shared" ref="AR134" si="503">SUM(AR129:AR133)</f>
        <v>0</v>
      </c>
      <c r="AS134" s="778">
        <f t="shared" ref="AS134" si="504">SUM(AS129:AS133)</f>
        <v>0</v>
      </c>
      <c r="AT134" s="778">
        <f t="shared" ref="AT134" si="505">SUM(AT129:AT133)</f>
        <v>0</v>
      </c>
      <c r="AU134" s="779">
        <f t="shared" ref="AU134" si="506">SUM(AU129:AU133)</f>
        <v>0</v>
      </c>
      <c r="AV134" s="777">
        <f t="shared" ref="AV134" si="507">SUM(AV129:AV133)</f>
        <v>0</v>
      </c>
      <c r="AW134" s="778">
        <f t="shared" ref="AW134" si="508">SUM(AW129:AW133)</f>
        <v>0</v>
      </c>
      <c r="AX134" s="778">
        <f t="shared" ref="AX134" si="509">SUM(AX129:AX133)</f>
        <v>0</v>
      </c>
      <c r="AY134" s="778">
        <f t="shared" ref="AY134" si="510">SUM(AY129:AY133)</f>
        <v>0</v>
      </c>
      <c r="AZ134" s="779">
        <f t="shared" ref="AZ134" si="511">SUM(AZ129:AZ133)</f>
        <v>0</v>
      </c>
    </row>
    <row r="135" spans="1:53" s="98" customFormat="1" ht="15" customHeight="1">
      <c r="B135" s="181"/>
      <c r="C135" s="185"/>
      <c r="D135" s="185"/>
      <c r="E135" s="182"/>
      <c r="F135" s="182"/>
      <c r="G135" s="184"/>
      <c r="H135" s="184"/>
      <c r="I135" s="117"/>
      <c r="J135" s="713"/>
      <c r="K135" s="714"/>
      <c r="L135" s="714"/>
      <c r="M135" s="714"/>
      <c r="N135" s="714"/>
      <c r="O135" s="714"/>
      <c r="P135" s="714"/>
      <c r="Q135" s="715"/>
      <c r="R135" s="714"/>
      <c r="S135" s="714"/>
      <c r="T135" s="714"/>
      <c r="U135" s="714"/>
      <c r="V135" s="715"/>
      <c r="W135" s="185"/>
      <c r="X135" s="117"/>
      <c r="Y135" s="713"/>
      <c r="Z135" s="714"/>
      <c r="AA135" s="714"/>
      <c r="AB135" s="714"/>
      <c r="AC135" s="714"/>
      <c r="AD135" s="714"/>
      <c r="AE135" s="714"/>
      <c r="AF135" s="715"/>
      <c r="AG135" s="714"/>
      <c r="AH135" s="714"/>
      <c r="AI135" s="714"/>
      <c r="AJ135" s="714"/>
      <c r="AK135" s="715"/>
      <c r="AL135" s="185"/>
      <c r="AM135" s="117"/>
      <c r="AN135" s="878"/>
      <c r="AO135" s="879"/>
      <c r="AP135" s="879"/>
      <c r="AQ135" s="879"/>
      <c r="AR135" s="879"/>
      <c r="AS135" s="879"/>
      <c r="AT135" s="879"/>
      <c r="AU135" s="880"/>
      <c r="AV135" s="879"/>
      <c r="AW135" s="879"/>
      <c r="AX135" s="879"/>
      <c r="AY135" s="879"/>
      <c r="AZ135" s="880"/>
    </row>
    <row r="136" spans="1:53" s="98" customFormat="1" ht="15" customHeight="1" thickBot="1">
      <c r="A136" s="99"/>
      <c r="B136" s="239" t="s">
        <v>1701</v>
      </c>
      <c r="C136" s="240"/>
      <c r="D136" s="240"/>
      <c r="E136" s="240"/>
      <c r="F136" s="240"/>
      <c r="G136" s="241"/>
      <c r="H136" s="241"/>
      <c r="I136" s="195" t="s">
        <v>2145</v>
      </c>
      <c r="J136" s="717">
        <f t="shared" ref="J136:V136" si="512">SUM(J108,J114,J120,J126,J134)</f>
        <v>0</v>
      </c>
      <c r="K136" s="718">
        <f t="shared" si="512"/>
        <v>0</v>
      </c>
      <c r="L136" s="718">
        <f t="shared" si="512"/>
        <v>0</v>
      </c>
      <c r="M136" s="718">
        <f t="shared" si="512"/>
        <v>0</v>
      </c>
      <c r="N136" s="718">
        <f t="shared" si="512"/>
        <v>0</v>
      </c>
      <c r="O136" s="718">
        <f t="shared" si="512"/>
        <v>0</v>
      </c>
      <c r="P136" s="718">
        <f t="shared" si="512"/>
        <v>0</v>
      </c>
      <c r="Q136" s="719">
        <f t="shared" si="512"/>
        <v>0</v>
      </c>
      <c r="R136" s="717">
        <f t="shared" si="512"/>
        <v>0</v>
      </c>
      <c r="S136" s="718">
        <f t="shared" si="512"/>
        <v>0</v>
      </c>
      <c r="T136" s="718">
        <f t="shared" si="512"/>
        <v>0</v>
      </c>
      <c r="U136" s="718">
        <f t="shared" si="512"/>
        <v>0</v>
      </c>
      <c r="V136" s="719">
        <f t="shared" si="512"/>
        <v>0</v>
      </c>
      <c r="W136" s="192"/>
      <c r="X136" s="195" t="s">
        <v>2145</v>
      </c>
      <c r="Y136" s="717">
        <f t="shared" ref="Y136:AK136" si="513">SUM(Y108,Y114,Y120,Y126,Y134)</f>
        <v>0</v>
      </c>
      <c r="Z136" s="718">
        <f t="shared" si="513"/>
        <v>0</v>
      </c>
      <c r="AA136" s="718">
        <f t="shared" si="513"/>
        <v>0</v>
      </c>
      <c r="AB136" s="718">
        <f t="shared" si="513"/>
        <v>0</v>
      </c>
      <c r="AC136" s="718">
        <f t="shared" si="513"/>
        <v>0</v>
      </c>
      <c r="AD136" s="718">
        <f t="shared" si="513"/>
        <v>0</v>
      </c>
      <c r="AE136" s="718">
        <f t="shared" si="513"/>
        <v>0</v>
      </c>
      <c r="AF136" s="719">
        <f t="shared" si="513"/>
        <v>0</v>
      </c>
      <c r="AG136" s="717">
        <f t="shared" si="513"/>
        <v>0</v>
      </c>
      <c r="AH136" s="718">
        <f t="shared" si="513"/>
        <v>0</v>
      </c>
      <c r="AI136" s="718">
        <f t="shared" si="513"/>
        <v>0</v>
      </c>
      <c r="AJ136" s="718">
        <f t="shared" si="513"/>
        <v>0</v>
      </c>
      <c r="AK136" s="719">
        <f t="shared" si="513"/>
        <v>0</v>
      </c>
      <c r="AL136" s="192"/>
      <c r="AM136" s="164" t="s">
        <v>1876</v>
      </c>
      <c r="AN136" s="873">
        <f t="shared" ref="AN136:AZ136" si="514">SUM(AN108,AN114,AN120,AN126,AN134)</f>
        <v>0</v>
      </c>
      <c r="AO136" s="781">
        <f t="shared" si="514"/>
        <v>0</v>
      </c>
      <c r="AP136" s="781">
        <f t="shared" si="514"/>
        <v>0</v>
      </c>
      <c r="AQ136" s="781">
        <f t="shared" si="514"/>
        <v>0</v>
      </c>
      <c r="AR136" s="781">
        <f t="shared" si="514"/>
        <v>0</v>
      </c>
      <c r="AS136" s="781">
        <f t="shared" si="514"/>
        <v>0</v>
      </c>
      <c r="AT136" s="781">
        <f t="shared" si="514"/>
        <v>0</v>
      </c>
      <c r="AU136" s="874">
        <f t="shared" si="514"/>
        <v>0</v>
      </c>
      <c r="AV136" s="873">
        <f t="shared" si="514"/>
        <v>0</v>
      </c>
      <c r="AW136" s="781">
        <f t="shared" si="514"/>
        <v>0</v>
      </c>
      <c r="AX136" s="781">
        <f t="shared" si="514"/>
        <v>0</v>
      </c>
      <c r="AY136" s="781">
        <f t="shared" si="514"/>
        <v>0</v>
      </c>
      <c r="AZ136" s="874">
        <f t="shared" si="514"/>
        <v>0</v>
      </c>
    </row>
    <row r="137" spans="1:53" s="99" customFormat="1" ht="15" customHeight="1" thickBot="1">
      <c r="B137" s="150"/>
      <c r="C137" s="150"/>
      <c r="D137" s="150"/>
      <c r="E137" s="150"/>
      <c r="F137" s="150"/>
      <c r="G137" s="97"/>
      <c r="H137" s="97"/>
      <c r="I137" s="98"/>
      <c r="J137" s="98"/>
      <c r="K137" s="98"/>
      <c r="L137" s="98"/>
      <c r="M137" s="98"/>
      <c r="N137" s="98"/>
      <c r="O137" s="98"/>
      <c r="P137" s="98"/>
      <c r="Q137" s="98"/>
      <c r="R137" s="98"/>
      <c r="S137" s="98"/>
      <c r="T137" s="98"/>
      <c r="U137" s="98"/>
      <c r="V137" s="98"/>
      <c r="AL137" s="98"/>
      <c r="AM137" s="98"/>
      <c r="AN137" s="98"/>
      <c r="AO137" s="98"/>
      <c r="AP137" s="98"/>
      <c r="AQ137" s="98"/>
      <c r="AR137" s="98"/>
      <c r="AS137" s="98"/>
      <c r="AT137" s="98"/>
      <c r="AU137" s="98"/>
      <c r="AV137" s="98"/>
      <c r="AW137" s="98"/>
      <c r="AX137" s="98"/>
      <c r="AY137" s="98"/>
      <c r="AZ137" s="98"/>
      <c r="BA137" s="98"/>
    </row>
    <row r="138" spans="1:53" s="100" customFormat="1" ht="30" customHeight="1" thickBot="1">
      <c r="A138" s="89"/>
      <c r="B138" s="621" t="s">
        <v>2223</v>
      </c>
      <c r="C138" s="102"/>
      <c r="D138" s="102"/>
      <c r="E138" s="102"/>
      <c r="F138" s="102"/>
      <c r="G138" s="103"/>
      <c r="H138" s="103"/>
      <c r="I138" s="105" t="s">
        <v>1864</v>
      </c>
      <c r="J138" s="106"/>
      <c r="K138" s="106"/>
      <c r="L138" s="106"/>
      <c r="M138" s="106"/>
      <c r="N138" s="106"/>
      <c r="O138" s="106"/>
      <c r="P138" s="106"/>
      <c r="Q138" s="106"/>
      <c r="R138" s="105"/>
      <c r="S138" s="105"/>
      <c r="T138" s="105"/>
      <c r="U138" s="105"/>
      <c r="V138" s="187"/>
      <c r="W138" s="103"/>
      <c r="X138" s="105" t="s">
        <v>2202</v>
      </c>
      <c r="Y138" s="106"/>
      <c r="Z138" s="106"/>
      <c r="AA138" s="106"/>
      <c r="AB138" s="106"/>
      <c r="AC138" s="106"/>
      <c r="AD138" s="106"/>
      <c r="AE138" s="106"/>
      <c r="AF138" s="106"/>
      <c r="AG138" s="105"/>
      <c r="AH138" s="105"/>
      <c r="AI138" s="105"/>
      <c r="AJ138" s="105"/>
      <c r="AK138" s="187"/>
      <c r="AL138" s="103"/>
      <c r="AM138" s="105" t="s">
        <v>1869</v>
      </c>
      <c r="AN138" s="106"/>
      <c r="AO138" s="106"/>
      <c r="AP138" s="106"/>
      <c r="AQ138" s="106"/>
      <c r="AR138" s="106"/>
      <c r="AS138" s="106"/>
      <c r="AT138" s="106"/>
      <c r="AU138" s="106"/>
      <c r="AV138" s="105"/>
      <c r="AW138" s="105"/>
      <c r="AX138" s="105"/>
      <c r="AY138" s="105"/>
      <c r="AZ138" s="187"/>
    </row>
    <row r="139" spans="1:53" s="157" customFormat="1" ht="30" customHeight="1">
      <c r="A139" s="99"/>
      <c r="B139" s="109"/>
      <c r="C139" s="110"/>
      <c r="D139" s="110"/>
      <c r="E139" s="110"/>
      <c r="F139" s="110"/>
      <c r="G139" s="111"/>
      <c r="H139" s="111"/>
      <c r="I139" s="117"/>
      <c r="J139" s="695" t="s">
        <v>1666</v>
      </c>
      <c r="K139" s="152"/>
      <c r="L139" s="152"/>
      <c r="M139" s="152"/>
      <c r="N139" s="152"/>
      <c r="O139" s="152"/>
      <c r="P139" s="152"/>
      <c r="Q139" s="153"/>
      <c r="R139" s="696" t="s">
        <v>2</v>
      </c>
      <c r="S139" s="155"/>
      <c r="T139" s="155"/>
      <c r="U139" s="155"/>
      <c r="V139" s="156"/>
      <c r="W139" s="222"/>
      <c r="X139" s="117"/>
      <c r="Y139" s="695" t="s">
        <v>1666</v>
      </c>
      <c r="Z139" s="152"/>
      <c r="AA139" s="152"/>
      <c r="AB139" s="152"/>
      <c r="AC139" s="152"/>
      <c r="AD139" s="152"/>
      <c r="AE139" s="152"/>
      <c r="AF139" s="153"/>
      <c r="AG139" s="696" t="s">
        <v>2</v>
      </c>
      <c r="AH139" s="155"/>
      <c r="AI139" s="155"/>
      <c r="AJ139" s="155"/>
      <c r="AK139" s="156"/>
      <c r="AL139" s="222"/>
      <c r="AM139" s="117"/>
      <c r="AN139" s="695" t="s">
        <v>1666</v>
      </c>
      <c r="AO139" s="152"/>
      <c r="AP139" s="152"/>
      <c r="AQ139" s="152"/>
      <c r="AR139" s="152"/>
      <c r="AS139" s="152"/>
      <c r="AT139" s="152"/>
      <c r="AU139" s="153"/>
      <c r="AV139" s="696" t="s">
        <v>2</v>
      </c>
      <c r="AW139" s="155"/>
      <c r="AX139" s="155"/>
      <c r="AY139" s="155"/>
      <c r="AZ139" s="156"/>
    </row>
    <row r="140" spans="1:53" s="98" customFormat="1" ht="15" customHeight="1">
      <c r="A140" s="99"/>
      <c r="B140" s="115"/>
      <c r="C140" s="116"/>
      <c r="D140" s="116"/>
      <c r="E140" s="116"/>
      <c r="F140" s="116"/>
      <c r="G140" s="117"/>
      <c r="H140" s="117"/>
      <c r="I140" s="119" t="s">
        <v>1667</v>
      </c>
      <c r="J140" s="158" t="s">
        <v>453</v>
      </c>
      <c r="K140" s="137" t="s">
        <v>455</v>
      </c>
      <c r="L140" s="137" t="s">
        <v>457</v>
      </c>
      <c r="M140" s="137" t="s">
        <v>459</v>
      </c>
      <c r="N140" s="137" t="s">
        <v>461</v>
      </c>
      <c r="O140" s="137" t="s">
        <v>463</v>
      </c>
      <c r="P140" s="137" t="s">
        <v>465</v>
      </c>
      <c r="Q140" s="138" t="s">
        <v>467</v>
      </c>
      <c r="R140" s="120" t="s">
        <v>469</v>
      </c>
      <c r="S140" s="121" t="s">
        <v>471</v>
      </c>
      <c r="T140" s="121" t="s">
        <v>473</v>
      </c>
      <c r="U140" s="121" t="s">
        <v>475</v>
      </c>
      <c r="V140" s="122" t="s">
        <v>477</v>
      </c>
      <c r="W140" s="185"/>
      <c r="X140" s="119" t="s">
        <v>1667</v>
      </c>
      <c r="Y140" s="158" t="s">
        <v>453</v>
      </c>
      <c r="Z140" s="137" t="s">
        <v>455</v>
      </c>
      <c r="AA140" s="137" t="s">
        <v>457</v>
      </c>
      <c r="AB140" s="137" t="s">
        <v>459</v>
      </c>
      <c r="AC140" s="137" t="s">
        <v>461</v>
      </c>
      <c r="AD140" s="137" t="s">
        <v>463</v>
      </c>
      <c r="AE140" s="137" t="s">
        <v>465</v>
      </c>
      <c r="AF140" s="138" t="s">
        <v>467</v>
      </c>
      <c r="AG140" s="120" t="s">
        <v>469</v>
      </c>
      <c r="AH140" s="121" t="s">
        <v>471</v>
      </c>
      <c r="AI140" s="121" t="s">
        <v>473</v>
      </c>
      <c r="AJ140" s="121" t="s">
        <v>475</v>
      </c>
      <c r="AK140" s="122" t="s">
        <v>477</v>
      </c>
      <c r="AL140" s="185"/>
      <c r="AM140" s="119" t="s">
        <v>1667</v>
      </c>
      <c r="AN140" s="158" t="s">
        <v>453</v>
      </c>
      <c r="AO140" s="137" t="s">
        <v>455</v>
      </c>
      <c r="AP140" s="137" t="s">
        <v>457</v>
      </c>
      <c r="AQ140" s="137" t="s">
        <v>459</v>
      </c>
      <c r="AR140" s="137" t="s">
        <v>461</v>
      </c>
      <c r="AS140" s="137" t="s">
        <v>463</v>
      </c>
      <c r="AT140" s="137" t="s">
        <v>465</v>
      </c>
      <c r="AU140" s="138" t="s">
        <v>467</v>
      </c>
      <c r="AV140" s="120" t="s">
        <v>469</v>
      </c>
      <c r="AW140" s="121" t="s">
        <v>471</v>
      </c>
      <c r="AX140" s="121" t="s">
        <v>473</v>
      </c>
      <c r="AY140" s="121" t="s">
        <v>475</v>
      </c>
      <c r="AZ140" s="122" t="s">
        <v>477</v>
      </c>
    </row>
    <row r="141" spans="1:53" s="98" customFormat="1" ht="15" customHeight="1">
      <c r="B141" s="161"/>
      <c r="C141" s="180" t="s">
        <v>2224</v>
      </c>
      <c r="D141" s="180"/>
      <c r="E141" s="162"/>
      <c r="F141" s="162"/>
      <c r="G141" s="163"/>
      <c r="H141" s="163"/>
      <c r="I141" s="117"/>
      <c r="J141" s="159"/>
      <c r="K141" s="117"/>
      <c r="L141" s="117"/>
      <c r="M141" s="117"/>
      <c r="N141" s="117"/>
      <c r="O141" s="117"/>
      <c r="P141" s="117"/>
      <c r="Q141" s="160"/>
      <c r="R141" s="159"/>
      <c r="S141" s="117"/>
      <c r="T141" s="117"/>
      <c r="U141" s="117"/>
      <c r="V141" s="160"/>
      <c r="W141" s="185"/>
      <c r="X141" s="117"/>
      <c r="Y141" s="159"/>
      <c r="Z141" s="117"/>
      <c r="AA141" s="117"/>
      <c r="AB141" s="117"/>
      <c r="AC141" s="117"/>
      <c r="AD141" s="117"/>
      <c r="AE141" s="117"/>
      <c r="AF141" s="160"/>
      <c r="AG141" s="159"/>
      <c r="AH141" s="117"/>
      <c r="AI141" s="117"/>
      <c r="AJ141" s="117"/>
      <c r="AK141" s="160"/>
      <c r="AL141" s="185"/>
      <c r="AM141" s="117"/>
      <c r="AN141" s="159"/>
      <c r="AO141" s="117"/>
      <c r="AP141" s="117"/>
      <c r="AQ141" s="117"/>
      <c r="AR141" s="117"/>
      <c r="AS141" s="117"/>
      <c r="AT141" s="117"/>
      <c r="AU141" s="160"/>
      <c r="AV141" s="159"/>
      <c r="AW141" s="117"/>
      <c r="AX141" s="117"/>
      <c r="AY141" s="117"/>
      <c r="AZ141" s="160"/>
    </row>
    <row r="142" spans="1:53" s="98" customFormat="1" ht="15" customHeight="1">
      <c r="B142" s="161"/>
      <c r="C142" s="185"/>
      <c r="D142" s="162" t="s">
        <v>36</v>
      </c>
      <c r="G142" s="162"/>
      <c r="H142" s="163"/>
      <c r="I142" s="164" t="s">
        <v>2145</v>
      </c>
      <c r="J142" s="143">
        <v>4.0386112913692405E-3</v>
      </c>
      <c r="K142" s="141">
        <v>6.5171825771324857E-3</v>
      </c>
      <c r="L142" s="141">
        <v>8.9257464954128427E-3</v>
      </c>
      <c r="M142" s="141">
        <v>1.5729258831297457E-2</v>
      </c>
      <c r="N142" s="141">
        <v>1.5879312875266942E-2</v>
      </c>
      <c r="O142" s="141">
        <v>2.6013895562572715E-3</v>
      </c>
      <c r="P142" s="141">
        <v>2.6013895562572715E-3</v>
      </c>
      <c r="Q142" s="144">
        <v>2.6013895562572715E-3</v>
      </c>
      <c r="R142" s="143">
        <v>2.6013895562572715E-3</v>
      </c>
      <c r="S142" s="141">
        <v>2.6013895562572715E-3</v>
      </c>
      <c r="T142" s="141">
        <v>2.6013895562572715E-3</v>
      </c>
      <c r="U142" s="141">
        <v>2.6013895562572715E-3</v>
      </c>
      <c r="V142" s="144">
        <v>2.6013895562572715E-3</v>
      </c>
      <c r="W142" s="185"/>
      <c r="X142" s="164" t="s">
        <v>2145</v>
      </c>
      <c r="Y142" s="143">
        <v>0</v>
      </c>
      <c r="Z142" s="141">
        <v>0</v>
      </c>
      <c r="AA142" s="141">
        <v>0</v>
      </c>
      <c r="AB142" s="141">
        <v>0</v>
      </c>
      <c r="AC142" s="141">
        <v>0</v>
      </c>
      <c r="AD142" s="141">
        <v>0</v>
      </c>
      <c r="AE142" s="141">
        <v>0</v>
      </c>
      <c r="AF142" s="144">
        <v>0</v>
      </c>
      <c r="AG142" s="143">
        <v>0</v>
      </c>
      <c r="AH142" s="141">
        <v>0</v>
      </c>
      <c r="AI142" s="141">
        <v>0</v>
      </c>
      <c r="AJ142" s="141">
        <v>0</v>
      </c>
      <c r="AK142" s="144">
        <v>0</v>
      </c>
      <c r="AL142" s="185"/>
      <c r="AM142" s="164" t="s">
        <v>1876</v>
      </c>
      <c r="AN142" s="165">
        <v>140</v>
      </c>
      <c r="AO142" s="166">
        <v>96</v>
      </c>
      <c r="AP142" s="166">
        <v>158</v>
      </c>
      <c r="AQ142" s="166">
        <v>257</v>
      </c>
      <c r="AR142" s="166">
        <v>248</v>
      </c>
      <c r="AS142" s="166">
        <v>272</v>
      </c>
      <c r="AT142" s="166">
        <v>272</v>
      </c>
      <c r="AU142" s="167">
        <v>272</v>
      </c>
      <c r="AV142" s="165">
        <v>272</v>
      </c>
      <c r="AW142" s="166">
        <v>272</v>
      </c>
      <c r="AX142" s="166">
        <v>272</v>
      </c>
      <c r="AY142" s="166">
        <v>272</v>
      </c>
      <c r="AZ142" s="167">
        <v>272</v>
      </c>
    </row>
    <row r="143" spans="1:53" s="98" customFormat="1" ht="15" customHeight="1">
      <c r="B143" s="161"/>
      <c r="C143" s="185"/>
      <c r="D143" s="162" t="s">
        <v>62</v>
      </c>
      <c r="G143" s="162"/>
      <c r="H143" s="163"/>
      <c r="I143" s="164" t="s">
        <v>2145</v>
      </c>
      <c r="J143" s="143">
        <v>1.1686753686852842E-3</v>
      </c>
      <c r="K143" s="141">
        <v>3.0245488203266778E-3</v>
      </c>
      <c r="L143" s="141">
        <v>1.7532716330275228E-3</v>
      </c>
      <c r="M143" s="141">
        <v>4.0312974579068996E-3</v>
      </c>
      <c r="N143" s="141">
        <v>4.1360070744881332E-3</v>
      </c>
      <c r="O143" s="141">
        <v>4.3611530796077783E-3</v>
      </c>
      <c r="P143" s="141">
        <v>4.3611530796077783E-3</v>
      </c>
      <c r="Q143" s="144">
        <v>4.3611530796077783E-3</v>
      </c>
      <c r="R143" s="143">
        <v>4.3611530796077783E-3</v>
      </c>
      <c r="S143" s="141">
        <v>4.3611530796077783E-3</v>
      </c>
      <c r="T143" s="141">
        <v>4.3611530796077783E-3</v>
      </c>
      <c r="U143" s="141">
        <v>4.3611530796077783E-3</v>
      </c>
      <c r="V143" s="144">
        <v>4.3611530796077783E-3</v>
      </c>
      <c r="W143" s="185"/>
      <c r="X143" s="164" t="s">
        <v>2145</v>
      </c>
      <c r="Y143" s="143">
        <v>0</v>
      </c>
      <c r="Z143" s="141">
        <v>0</v>
      </c>
      <c r="AA143" s="141">
        <v>0</v>
      </c>
      <c r="AB143" s="141">
        <v>0</v>
      </c>
      <c r="AC143" s="141">
        <v>0</v>
      </c>
      <c r="AD143" s="141">
        <v>0</v>
      </c>
      <c r="AE143" s="141">
        <v>0</v>
      </c>
      <c r="AF143" s="144">
        <v>0</v>
      </c>
      <c r="AG143" s="143">
        <v>0</v>
      </c>
      <c r="AH143" s="141">
        <v>0</v>
      </c>
      <c r="AI143" s="141">
        <v>0</v>
      </c>
      <c r="AJ143" s="141">
        <v>0</v>
      </c>
      <c r="AK143" s="144">
        <v>0</v>
      </c>
      <c r="AL143" s="185"/>
      <c r="AM143" s="164" t="s">
        <v>1876</v>
      </c>
      <c r="AN143" s="165">
        <v>39</v>
      </c>
      <c r="AO143" s="166">
        <v>45</v>
      </c>
      <c r="AP143" s="166">
        <v>31</v>
      </c>
      <c r="AQ143" s="166">
        <v>61</v>
      </c>
      <c r="AR143" s="166">
        <v>60</v>
      </c>
      <c r="AS143" s="166">
        <v>47</v>
      </c>
      <c r="AT143" s="166">
        <v>47</v>
      </c>
      <c r="AU143" s="167">
        <v>47</v>
      </c>
      <c r="AV143" s="165">
        <v>47</v>
      </c>
      <c r="AW143" s="166">
        <v>47</v>
      </c>
      <c r="AX143" s="166">
        <v>47</v>
      </c>
      <c r="AY143" s="166">
        <v>47</v>
      </c>
      <c r="AZ143" s="167">
        <v>47</v>
      </c>
    </row>
    <row r="144" spans="1:53" s="98" customFormat="1" ht="15" customHeight="1">
      <c r="B144" s="161"/>
      <c r="C144" s="185"/>
      <c r="D144" s="162" t="s">
        <v>71</v>
      </c>
      <c r="G144" s="162"/>
      <c r="H144" s="163"/>
      <c r="I144" s="164" t="s">
        <v>2145</v>
      </c>
      <c r="J144" s="143">
        <v>1.4514599929502997E-2</v>
      </c>
      <c r="K144" s="141">
        <v>9.901796733212339E-3</v>
      </c>
      <c r="L144" s="141">
        <v>1.0997794788990826E-2</v>
      </c>
      <c r="M144" s="141">
        <v>7.2887297788048859E-3</v>
      </c>
      <c r="N144" s="141">
        <v>5.1700088431101661E-3</v>
      </c>
      <c r="O144" s="141">
        <v>1.6832520658135286E-2</v>
      </c>
      <c r="P144" s="141">
        <v>1.6832520658135286E-2</v>
      </c>
      <c r="Q144" s="144">
        <v>1.6832520658135286E-2</v>
      </c>
      <c r="R144" s="143">
        <v>1.6832520658135286E-2</v>
      </c>
      <c r="S144" s="141">
        <v>1.6832520658135286E-2</v>
      </c>
      <c r="T144" s="141">
        <v>1.6832520658135286E-2</v>
      </c>
      <c r="U144" s="141">
        <v>1.6832520658135286E-2</v>
      </c>
      <c r="V144" s="144">
        <v>1.6832520658135286E-2</v>
      </c>
      <c r="W144" s="185"/>
      <c r="X144" s="164" t="s">
        <v>2145</v>
      </c>
      <c r="Y144" s="143">
        <v>0</v>
      </c>
      <c r="Z144" s="141">
        <v>0</v>
      </c>
      <c r="AA144" s="141">
        <v>0</v>
      </c>
      <c r="AB144" s="141">
        <v>0</v>
      </c>
      <c r="AC144" s="141">
        <v>0</v>
      </c>
      <c r="AD144" s="141">
        <v>0</v>
      </c>
      <c r="AE144" s="141">
        <v>0</v>
      </c>
      <c r="AF144" s="144">
        <v>0</v>
      </c>
      <c r="AG144" s="143">
        <v>0</v>
      </c>
      <c r="AH144" s="141">
        <v>0</v>
      </c>
      <c r="AI144" s="141">
        <v>0</v>
      </c>
      <c r="AJ144" s="141">
        <v>0</v>
      </c>
      <c r="AK144" s="144">
        <v>0</v>
      </c>
      <c r="AL144" s="185"/>
      <c r="AM144" s="164" t="s">
        <v>1876</v>
      </c>
      <c r="AN144" s="165">
        <v>126</v>
      </c>
      <c r="AO144" s="166">
        <v>145</v>
      </c>
      <c r="AP144" s="166">
        <v>199</v>
      </c>
      <c r="AQ144" s="166">
        <v>137</v>
      </c>
      <c r="AR144" s="166">
        <v>90</v>
      </c>
      <c r="AS144" s="166">
        <v>96</v>
      </c>
      <c r="AT144" s="166">
        <v>96</v>
      </c>
      <c r="AU144" s="167">
        <v>96</v>
      </c>
      <c r="AV144" s="165">
        <v>96</v>
      </c>
      <c r="AW144" s="166">
        <v>96</v>
      </c>
      <c r="AX144" s="166">
        <v>96</v>
      </c>
      <c r="AY144" s="166">
        <v>96</v>
      </c>
      <c r="AZ144" s="167">
        <v>96</v>
      </c>
    </row>
    <row r="145" spans="2:52" s="98" customFormat="1" ht="15" customHeight="1">
      <c r="B145" s="181"/>
      <c r="C145" s="182" t="s">
        <v>1710</v>
      </c>
      <c r="D145" s="245"/>
      <c r="G145" s="184"/>
      <c r="H145" s="184"/>
      <c r="I145" s="164" t="s">
        <v>2145</v>
      </c>
      <c r="J145" s="128">
        <f>SUM(J142:J144)</f>
        <v>1.9721886589557522E-2</v>
      </c>
      <c r="K145" s="129">
        <f t="shared" ref="K145:V145" si="515">SUM(K142:K144)</f>
        <v>1.9443528130671503E-2</v>
      </c>
      <c r="L145" s="129">
        <f t="shared" si="515"/>
        <v>2.167681291743119E-2</v>
      </c>
      <c r="M145" s="129">
        <f t="shared" si="515"/>
        <v>2.7049286068009243E-2</v>
      </c>
      <c r="N145" s="129">
        <f t="shared" si="515"/>
        <v>2.5185328792865242E-2</v>
      </c>
      <c r="O145" s="129">
        <f t="shared" si="515"/>
        <v>2.3795063294000336E-2</v>
      </c>
      <c r="P145" s="129">
        <f t="shared" si="515"/>
        <v>2.3795063294000336E-2</v>
      </c>
      <c r="Q145" s="130">
        <f t="shared" si="515"/>
        <v>2.3795063294000336E-2</v>
      </c>
      <c r="R145" s="128">
        <f t="shared" si="515"/>
        <v>2.3795063294000336E-2</v>
      </c>
      <c r="S145" s="129">
        <f t="shared" si="515"/>
        <v>2.3795063294000336E-2</v>
      </c>
      <c r="T145" s="129">
        <f t="shared" si="515"/>
        <v>2.3795063294000336E-2</v>
      </c>
      <c r="U145" s="129">
        <f t="shared" si="515"/>
        <v>2.3795063294000336E-2</v>
      </c>
      <c r="V145" s="130">
        <f t="shared" si="515"/>
        <v>2.3795063294000336E-2</v>
      </c>
      <c r="W145" s="185"/>
      <c r="X145" s="164" t="s">
        <v>2145</v>
      </c>
      <c r="Y145" s="128">
        <f>SUM(Y142:Y144)</f>
        <v>0</v>
      </c>
      <c r="Z145" s="129">
        <f t="shared" ref="Z145" si="516">SUM(Z142:Z144)</f>
        <v>0</v>
      </c>
      <c r="AA145" s="129">
        <f t="shared" ref="AA145" si="517">SUM(AA142:AA144)</f>
        <v>0</v>
      </c>
      <c r="AB145" s="129">
        <f t="shared" ref="AB145" si="518">SUM(AB142:AB144)</f>
        <v>0</v>
      </c>
      <c r="AC145" s="129">
        <f t="shared" ref="AC145" si="519">SUM(AC142:AC144)</f>
        <v>0</v>
      </c>
      <c r="AD145" s="129">
        <f t="shared" ref="AD145" si="520">SUM(AD142:AD144)</f>
        <v>0</v>
      </c>
      <c r="AE145" s="129">
        <f t="shared" ref="AE145" si="521">SUM(AE142:AE144)</f>
        <v>0</v>
      </c>
      <c r="AF145" s="130">
        <f t="shared" ref="AF145" si="522">SUM(AF142:AF144)</f>
        <v>0</v>
      </c>
      <c r="AG145" s="128">
        <f t="shared" ref="AG145" si="523">SUM(AG142:AG144)</f>
        <v>0</v>
      </c>
      <c r="AH145" s="129">
        <f t="shared" ref="AH145" si="524">SUM(AH142:AH144)</f>
        <v>0</v>
      </c>
      <c r="AI145" s="129">
        <f t="shared" ref="AI145" si="525">SUM(AI142:AI144)</f>
        <v>0</v>
      </c>
      <c r="AJ145" s="129">
        <f t="shared" ref="AJ145" si="526">SUM(AJ142:AJ144)</f>
        <v>0</v>
      </c>
      <c r="AK145" s="130">
        <f t="shared" ref="AK145" si="527">SUM(AK142:AK144)</f>
        <v>0</v>
      </c>
      <c r="AL145" s="185"/>
      <c r="AM145" s="164" t="s">
        <v>1876</v>
      </c>
      <c r="AN145" s="777">
        <f>SUM(AN142:AN144)</f>
        <v>305</v>
      </c>
      <c r="AO145" s="778">
        <f t="shared" ref="AO145" si="528">SUM(AO142:AO144)</f>
        <v>286</v>
      </c>
      <c r="AP145" s="778">
        <f t="shared" ref="AP145" si="529">SUM(AP142:AP144)</f>
        <v>388</v>
      </c>
      <c r="AQ145" s="778">
        <f t="shared" ref="AQ145" si="530">SUM(AQ142:AQ144)</f>
        <v>455</v>
      </c>
      <c r="AR145" s="778">
        <f t="shared" ref="AR145" si="531">SUM(AR142:AR144)</f>
        <v>398</v>
      </c>
      <c r="AS145" s="778">
        <f t="shared" ref="AS145" si="532">SUM(AS142:AS144)</f>
        <v>415</v>
      </c>
      <c r="AT145" s="778">
        <f t="shared" ref="AT145" si="533">SUM(AT142:AT144)</f>
        <v>415</v>
      </c>
      <c r="AU145" s="779">
        <f t="shared" ref="AU145" si="534">SUM(AU142:AU144)</f>
        <v>415</v>
      </c>
      <c r="AV145" s="777">
        <f t="shared" ref="AV145" si="535">SUM(AV142:AV144)</f>
        <v>415</v>
      </c>
      <c r="AW145" s="778">
        <f t="shared" ref="AW145" si="536">SUM(AW142:AW144)</f>
        <v>415</v>
      </c>
      <c r="AX145" s="778">
        <f t="shared" ref="AX145" si="537">SUM(AX142:AX144)</f>
        <v>415</v>
      </c>
      <c r="AY145" s="778">
        <f t="shared" ref="AY145" si="538">SUM(AY142:AY144)</f>
        <v>415</v>
      </c>
      <c r="AZ145" s="779">
        <f t="shared" ref="AZ145" si="539">SUM(AZ142:AZ144)</f>
        <v>415</v>
      </c>
    </row>
    <row r="146" spans="2:52" s="98" customFormat="1" ht="15" customHeight="1">
      <c r="B146" s="181"/>
      <c r="C146" s="185"/>
      <c r="D146" s="185"/>
      <c r="E146" s="182"/>
      <c r="F146" s="182"/>
      <c r="G146" s="184"/>
      <c r="H146" s="184"/>
      <c r="I146" s="117"/>
      <c r="J146" s="713"/>
      <c r="K146" s="714"/>
      <c r="L146" s="714"/>
      <c r="M146" s="714"/>
      <c r="N146" s="714"/>
      <c r="O146" s="714"/>
      <c r="P146" s="714"/>
      <c r="Q146" s="715"/>
      <c r="R146" s="714"/>
      <c r="S146" s="714"/>
      <c r="T146" s="714"/>
      <c r="U146" s="714"/>
      <c r="V146" s="715"/>
      <c r="W146" s="185"/>
      <c r="X146" s="117"/>
      <c r="Y146" s="713"/>
      <c r="Z146" s="714"/>
      <c r="AA146" s="714"/>
      <c r="AB146" s="714"/>
      <c r="AC146" s="714"/>
      <c r="AD146" s="714"/>
      <c r="AE146" s="714"/>
      <c r="AF146" s="715"/>
      <c r="AG146" s="714"/>
      <c r="AH146" s="714"/>
      <c r="AI146" s="714"/>
      <c r="AJ146" s="714"/>
      <c r="AK146" s="715"/>
      <c r="AL146" s="185"/>
      <c r="AM146" s="117"/>
      <c r="AN146" s="878"/>
      <c r="AO146" s="879"/>
      <c r="AP146" s="879"/>
      <c r="AQ146" s="879"/>
      <c r="AR146" s="879"/>
      <c r="AS146" s="879"/>
      <c r="AT146" s="879"/>
      <c r="AU146" s="880"/>
      <c r="AV146" s="879"/>
      <c r="AW146" s="879"/>
      <c r="AX146" s="879"/>
      <c r="AY146" s="879"/>
      <c r="AZ146" s="880"/>
    </row>
    <row r="147" spans="2:52" s="98" customFormat="1" ht="15" customHeight="1">
      <c r="B147" s="161"/>
      <c r="C147" s="180" t="s">
        <v>2225</v>
      </c>
      <c r="D147" s="180"/>
      <c r="E147" s="162"/>
      <c r="F147" s="162"/>
      <c r="G147" s="163"/>
      <c r="H147" s="163"/>
      <c r="I147" s="117"/>
      <c r="J147" s="713"/>
      <c r="K147" s="721"/>
      <c r="L147" s="721"/>
      <c r="M147" s="721"/>
      <c r="N147" s="721"/>
      <c r="O147" s="721"/>
      <c r="P147" s="721"/>
      <c r="Q147" s="715"/>
      <c r="R147" s="713"/>
      <c r="S147" s="721"/>
      <c r="T147" s="721"/>
      <c r="U147" s="721"/>
      <c r="V147" s="715"/>
      <c r="W147" s="185"/>
      <c r="X147" s="117"/>
      <c r="Y147" s="713"/>
      <c r="Z147" s="721"/>
      <c r="AA147" s="721"/>
      <c r="AB147" s="721"/>
      <c r="AC147" s="721"/>
      <c r="AD147" s="721"/>
      <c r="AE147" s="721"/>
      <c r="AF147" s="715"/>
      <c r="AG147" s="713"/>
      <c r="AH147" s="721"/>
      <c r="AI147" s="721"/>
      <c r="AJ147" s="721"/>
      <c r="AK147" s="715"/>
      <c r="AL147" s="185"/>
      <c r="AM147" s="117"/>
      <c r="AN147" s="878"/>
      <c r="AO147" s="881"/>
      <c r="AP147" s="881"/>
      <c r="AQ147" s="881"/>
      <c r="AR147" s="881"/>
      <c r="AS147" s="881"/>
      <c r="AT147" s="881"/>
      <c r="AU147" s="880"/>
      <c r="AV147" s="878"/>
      <c r="AW147" s="881"/>
      <c r="AX147" s="881"/>
      <c r="AY147" s="881"/>
      <c r="AZ147" s="880"/>
    </row>
    <row r="148" spans="2:52" s="98" customFormat="1" ht="15" customHeight="1">
      <c r="B148" s="161"/>
      <c r="C148" s="185"/>
      <c r="D148" s="162" t="s">
        <v>36</v>
      </c>
      <c r="G148" s="162"/>
      <c r="H148" s="163"/>
      <c r="I148" s="164" t="s">
        <v>2145</v>
      </c>
      <c r="J148" s="143">
        <v>5.5463595068137575E-3</v>
      </c>
      <c r="K148" s="141">
        <v>7.0032707803992737E-3</v>
      </c>
      <c r="L148" s="141">
        <v>3.108072440366972E-3</v>
      </c>
      <c r="M148" s="141">
        <v>1.3299682238362497E-2</v>
      </c>
      <c r="N148" s="141">
        <v>1.2721914617510374E-2</v>
      </c>
      <c r="O148" s="141">
        <v>2.9533422609273725E-2</v>
      </c>
      <c r="P148" s="141">
        <v>2.9533422609273725E-2</v>
      </c>
      <c r="Q148" s="144">
        <v>2.9533422609273725E-2</v>
      </c>
      <c r="R148" s="143">
        <v>2.9533422609273725E-2</v>
      </c>
      <c r="S148" s="141">
        <v>2.9533422609273725E-2</v>
      </c>
      <c r="T148" s="141">
        <v>2.9533422609273725E-2</v>
      </c>
      <c r="U148" s="141">
        <v>2.9533422609273725E-2</v>
      </c>
      <c r="V148" s="144">
        <v>2.9533422609273725E-2</v>
      </c>
      <c r="W148" s="185"/>
      <c r="X148" s="164" t="s">
        <v>2145</v>
      </c>
      <c r="Y148" s="143">
        <v>0</v>
      </c>
      <c r="Z148" s="141">
        <v>0</v>
      </c>
      <c r="AA148" s="141">
        <v>0</v>
      </c>
      <c r="AB148" s="141">
        <v>0</v>
      </c>
      <c r="AC148" s="141">
        <v>0</v>
      </c>
      <c r="AD148" s="141">
        <v>0</v>
      </c>
      <c r="AE148" s="141">
        <v>0</v>
      </c>
      <c r="AF148" s="144">
        <v>0</v>
      </c>
      <c r="AG148" s="143">
        <v>0</v>
      </c>
      <c r="AH148" s="141">
        <v>0</v>
      </c>
      <c r="AI148" s="141">
        <v>0</v>
      </c>
      <c r="AJ148" s="141">
        <v>0</v>
      </c>
      <c r="AK148" s="144">
        <v>0</v>
      </c>
      <c r="AL148" s="185"/>
      <c r="AM148" s="164" t="s">
        <v>1876</v>
      </c>
      <c r="AN148" s="165">
        <v>101</v>
      </c>
      <c r="AO148" s="166">
        <v>52</v>
      </c>
      <c r="AP148" s="166">
        <v>35</v>
      </c>
      <c r="AQ148" s="166">
        <v>153</v>
      </c>
      <c r="AR148" s="166">
        <v>154</v>
      </c>
      <c r="AS148" s="166">
        <v>358</v>
      </c>
      <c r="AT148" s="166">
        <v>358</v>
      </c>
      <c r="AU148" s="167">
        <v>358</v>
      </c>
      <c r="AV148" s="165">
        <v>358</v>
      </c>
      <c r="AW148" s="166">
        <v>358</v>
      </c>
      <c r="AX148" s="166">
        <v>358</v>
      </c>
      <c r="AY148" s="166">
        <v>358</v>
      </c>
      <c r="AZ148" s="167">
        <v>358</v>
      </c>
    </row>
    <row r="149" spans="2:52" s="98" customFormat="1" ht="15" customHeight="1">
      <c r="B149" s="161"/>
      <c r="C149" s="185"/>
      <c r="D149" s="162" t="s">
        <v>62</v>
      </c>
      <c r="G149" s="162"/>
      <c r="H149" s="163"/>
      <c r="I149" s="164" t="s">
        <v>2145</v>
      </c>
      <c r="J149" s="143">
        <v>2.5209997238782554E-3</v>
      </c>
      <c r="K149" s="141">
        <v>1.4402613430127039E-3</v>
      </c>
      <c r="L149" s="141">
        <v>2.2314366238532107E-3</v>
      </c>
      <c r="M149" s="141">
        <v>4.6071970947507423E-3</v>
      </c>
      <c r="N149" s="141">
        <v>2.8619691810074137E-3</v>
      </c>
      <c r="O149" s="141">
        <v>1.5914383167691542E-2</v>
      </c>
      <c r="P149" s="141">
        <v>1.5914383167691542E-2</v>
      </c>
      <c r="Q149" s="144">
        <v>1.5914383167691542E-2</v>
      </c>
      <c r="R149" s="143">
        <v>1.5914383167691542E-2</v>
      </c>
      <c r="S149" s="141">
        <v>1.5914383167691542E-2</v>
      </c>
      <c r="T149" s="141">
        <v>1.5914383167691542E-2</v>
      </c>
      <c r="U149" s="141">
        <v>1.5914383167691542E-2</v>
      </c>
      <c r="V149" s="144">
        <v>1.5914383167691542E-2</v>
      </c>
      <c r="W149" s="185"/>
      <c r="X149" s="164" t="s">
        <v>2145</v>
      </c>
      <c r="Y149" s="143">
        <v>0</v>
      </c>
      <c r="Z149" s="141">
        <v>0</v>
      </c>
      <c r="AA149" s="141">
        <v>0</v>
      </c>
      <c r="AB149" s="141">
        <v>0</v>
      </c>
      <c r="AC149" s="141">
        <v>0</v>
      </c>
      <c r="AD149" s="141">
        <v>0</v>
      </c>
      <c r="AE149" s="141">
        <v>0</v>
      </c>
      <c r="AF149" s="144">
        <v>0</v>
      </c>
      <c r="AG149" s="143">
        <v>0</v>
      </c>
      <c r="AH149" s="141">
        <v>0</v>
      </c>
      <c r="AI149" s="141">
        <v>0</v>
      </c>
      <c r="AJ149" s="141">
        <v>0</v>
      </c>
      <c r="AK149" s="144">
        <v>0</v>
      </c>
      <c r="AL149" s="185"/>
      <c r="AM149" s="164" t="s">
        <v>1876</v>
      </c>
      <c r="AN149" s="165">
        <v>23</v>
      </c>
      <c r="AO149" s="166">
        <v>10</v>
      </c>
      <c r="AP149" s="166">
        <v>17</v>
      </c>
      <c r="AQ149" s="166">
        <v>37</v>
      </c>
      <c r="AR149" s="166">
        <v>38</v>
      </c>
      <c r="AS149" s="166">
        <v>249</v>
      </c>
      <c r="AT149" s="166">
        <v>249</v>
      </c>
      <c r="AU149" s="167">
        <v>249</v>
      </c>
      <c r="AV149" s="165">
        <v>249</v>
      </c>
      <c r="AW149" s="166">
        <v>249</v>
      </c>
      <c r="AX149" s="166">
        <v>249</v>
      </c>
      <c r="AY149" s="166">
        <v>249</v>
      </c>
      <c r="AZ149" s="167">
        <v>249</v>
      </c>
    </row>
    <row r="150" spans="2:52" s="98" customFormat="1" ht="15" customHeight="1">
      <c r="B150" s="161"/>
      <c r="C150" s="185"/>
      <c r="D150" s="162" t="s">
        <v>71</v>
      </c>
      <c r="G150" s="162"/>
      <c r="H150" s="163"/>
      <c r="I150" s="164" t="s">
        <v>2145</v>
      </c>
      <c r="J150" s="143">
        <v>1.234075431794149E-2</v>
      </c>
      <c r="K150" s="141">
        <v>2.5564638838475495E-3</v>
      </c>
      <c r="L150" s="141">
        <v>3.6460080550458716E-3</v>
      </c>
      <c r="M150" s="141">
        <v>6.0289493232089809E-3</v>
      </c>
      <c r="N150" s="141">
        <v>4.9299727182514803E-3</v>
      </c>
      <c r="O150" s="141">
        <v>3.1369697590161214E-2</v>
      </c>
      <c r="P150" s="141">
        <v>3.1369697590161214E-2</v>
      </c>
      <c r="Q150" s="144">
        <v>3.1369697590161214E-2</v>
      </c>
      <c r="R150" s="143">
        <v>3.1369697590161214E-2</v>
      </c>
      <c r="S150" s="141">
        <v>3.1369697590161214E-2</v>
      </c>
      <c r="T150" s="141">
        <v>3.1369697590161214E-2</v>
      </c>
      <c r="U150" s="141">
        <v>3.1369697590161214E-2</v>
      </c>
      <c r="V150" s="144">
        <v>3.1369697590161214E-2</v>
      </c>
      <c r="W150" s="185"/>
      <c r="X150" s="164" t="s">
        <v>2145</v>
      </c>
      <c r="Y150" s="143">
        <v>0</v>
      </c>
      <c r="Z150" s="141">
        <v>0</v>
      </c>
      <c r="AA150" s="141">
        <v>0</v>
      </c>
      <c r="AB150" s="141">
        <v>0</v>
      </c>
      <c r="AC150" s="141">
        <v>0</v>
      </c>
      <c r="AD150" s="141">
        <v>0</v>
      </c>
      <c r="AE150" s="141">
        <v>0</v>
      </c>
      <c r="AF150" s="144">
        <v>0</v>
      </c>
      <c r="AG150" s="143">
        <v>0</v>
      </c>
      <c r="AH150" s="141">
        <v>0</v>
      </c>
      <c r="AI150" s="141">
        <v>0</v>
      </c>
      <c r="AJ150" s="141">
        <v>0</v>
      </c>
      <c r="AK150" s="144">
        <v>0</v>
      </c>
      <c r="AL150" s="185"/>
      <c r="AM150" s="164" t="s">
        <v>1876</v>
      </c>
      <c r="AN150" s="165">
        <v>37</v>
      </c>
      <c r="AO150" s="166">
        <v>19</v>
      </c>
      <c r="AP150" s="166">
        <v>23</v>
      </c>
      <c r="AQ150" s="166">
        <v>57</v>
      </c>
      <c r="AR150" s="166">
        <v>78</v>
      </c>
      <c r="AS150" s="166">
        <v>173</v>
      </c>
      <c r="AT150" s="166">
        <v>173</v>
      </c>
      <c r="AU150" s="167">
        <v>173</v>
      </c>
      <c r="AV150" s="165">
        <v>173</v>
      </c>
      <c r="AW150" s="166">
        <v>173</v>
      </c>
      <c r="AX150" s="166">
        <v>173</v>
      </c>
      <c r="AY150" s="166">
        <v>173</v>
      </c>
      <c r="AZ150" s="167">
        <v>173</v>
      </c>
    </row>
    <row r="151" spans="2:52" s="98" customFormat="1" ht="15" customHeight="1">
      <c r="B151" s="181"/>
      <c r="C151" s="182" t="s">
        <v>1710</v>
      </c>
      <c r="D151" s="245"/>
      <c r="G151" s="184"/>
      <c r="H151" s="184"/>
      <c r="I151" s="164" t="s">
        <v>2145</v>
      </c>
      <c r="J151" s="128">
        <f>SUM(J148:J150)</f>
        <v>2.0408113548633505E-2</v>
      </c>
      <c r="K151" s="129">
        <f t="shared" ref="K151" si="540">SUM(K148:K150)</f>
        <v>1.0999996007259526E-2</v>
      </c>
      <c r="L151" s="129">
        <f t="shared" ref="L151" si="541">SUM(L148:L150)</f>
        <v>8.9855171192660538E-3</v>
      </c>
      <c r="M151" s="129">
        <f t="shared" ref="M151" si="542">SUM(M148:M150)</f>
        <v>2.3935828656322218E-2</v>
      </c>
      <c r="N151" s="129">
        <f t="shared" ref="N151" si="543">SUM(N148:N150)</f>
        <v>2.0513856516769267E-2</v>
      </c>
      <c r="O151" s="129">
        <f t="shared" ref="O151" si="544">SUM(O148:O150)</f>
        <v>7.6817503367126477E-2</v>
      </c>
      <c r="P151" s="129">
        <f t="shared" ref="P151" si="545">SUM(P148:P150)</f>
        <v>7.6817503367126477E-2</v>
      </c>
      <c r="Q151" s="130">
        <f t="shared" ref="Q151" si="546">SUM(Q148:Q150)</f>
        <v>7.6817503367126477E-2</v>
      </c>
      <c r="R151" s="128">
        <f t="shared" ref="R151" si="547">SUM(R148:R150)</f>
        <v>7.6817503367126477E-2</v>
      </c>
      <c r="S151" s="129">
        <f t="shared" ref="S151" si="548">SUM(S148:S150)</f>
        <v>7.6817503367126477E-2</v>
      </c>
      <c r="T151" s="129">
        <f t="shared" ref="T151" si="549">SUM(T148:T150)</f>
        <v>7.6817503367126477E-2</v>
      </c>
      <c r="U151" s="129">
        <f t="shared" ref="U151" si="550">SUM(U148:U150)</f>
        <v>7.6817503367126477E-2</v>
      </c>
      <c r="V151" s="130">
        <f t="shared" ref="V151" si="551">SUM(V148:V150)</f>
        <v>7.6817503367126477E-2</v>
      </c>
      <c r="W151" s="185"/>
      <c r="X151" s="164" t="s">
        <v>2145</v>
      </c>
      <c r="Y151" s="128">
        <f>SUM(Y148:Y150)</f>
        <v>0</v>
      </c>
      <c r="Z151" s="129">
        <f t="shared" ref="Z151" si="552">SUM(Z148:Z150)</f>
        <v>0</v>
      </c>
      <c r="AA151" s="129">
        <f t="shared" ref="AA151" si="553">SUM(AA148:AA150)</f>
        <v>0</v>
      </c>
      <c r="AB151" s="129">
        <f t="shared" ref="AB151" si="554">SUM(AB148:AB150)</f>
        <v>0</v>
      </c>
      <c r="AC151" s="129">
        <f t="shared" ref="AC151" si="555">SUM(AC148:AC150)</f>
        <v>0</v>
      </c>
      <c r="AD151" s="129">
        <f t="shared" ref="AD151" si="556">SUM(AD148:AD150)</f>
        <v>0</v>
      </c>
      <c r="AE151" s="129">
        <f t="shared" ref="AE151" si="557">SUM(AE148:AE150)</f>
        <v>0</v>
      </c>
      <c r="AF151" s="130">
        <f t="shared" ref="AF151" si="558">SUM(AF148:AF150)</f>
        <v>0</v>
      </c>
      <c r="AG151" s="128">
        <f t="shared" ref="AG151" si="559">SUM(AG148:AG150)</f>
        <v>0</v>
      </c>
      <c r="AH151" s="129">
        <f t="shared" ref="AH151" si="560">SUM(AH148:AH150)</f>
        <v>0</v>
      </c>
      <c r="AI151" s="129">
        <f t="shared" ref="AI151" si="561">SUM(AI148:AI150)</f>
        <v>0</v>
      </c>
      <c r="AJ151" s="129">
        <f t="shared" ref="AJ151" si="562">SUM(AJ148:AJ150)</f>
        <v>0</v>
      </c>
      <c r="AK151" s="130">
        <f t="shared" ref="AK151" si="563">SUM(AK148:AK150)</f>
        <v>0</v>
      </c>
      <c r="AL151" s="185"/>
      <c r="AM151" s="164" t="s">
        <v>1876</v>
      </c>
      <c r="AN151" s="777">
        <f>SUM(AN148:AN150)</f>
        <v>161</v>
      </c>
      <c r="AO151" s="778">
        <f t="shared" ref="AO151" si="564">SUM(AO148:AO150)</f>
        <v>81</v>
      </c>
      <c r="AP151" s="778">
        <f t="shared" ref="AP151" si="565">SUM(AP148:AP150)</f>
        <v>75</v>
      </c>
      <c r="AQ151" s="778">
        <f t="shared" ref="AQ151" si="566">SUM(AQ148:AQ150)</f>
        <v>247</v>
      </c>
      <c r="AR151" s="778">
        <f t="shared" ref="AR151" si="567">SUM(AR148:AR150)</f>
        <v>270</v>
      </c>
      <c r="AS151" s="778">
        <f t="shared" ref="AS151" si="568">SUM(AS148:AS150)</f>
        <v>780</v>
      </c>
      <c r="AT151" s="778">
        <f t="shared" ref="AT151" si="569">SUM(AT148:AT150)</f>
        <v>780</v>
      </c>
      <c r="AU151" s="779">
        <f t="shared" ref="AU151" si="570">SUM(AU148:AU150)</f>
        <v>780</v>
      </c>
      <c r="AV151" s="777">
        <f t="shared" ref="AV151" si="571">SUM(AV148:AV150)</f>
        <v>780</v>
      </c>
      <c r="AW151" s="778">
        <f t="shared" ref="AW151" si="572">SUM(AW148:AW150)</f>
        <v>780</v>
      </c>
      <c r="AX151" s="778">
        <f t="shared" ref="AX151" si="573">SUM(AX148:AX150)</f>
        <v>780</v>
      </c>
      <c r="AY151" s="778">
        <f t="shared" ref="AY151" si="574">SUM(AY148:AY150)</f>
        <v>780</v>
      </c>
      <c r="AZ151" s="779">
        <f t="shared" ref="AZ151" si="575">SUM(AZ148:AZ150)</f>
        <v>780</v>
      </c>
    </row>
    <row r="152" spans="2:52" s="98" customFormat="1" ht="15" customHeight="1">
      <c r="B152" s="181"/>
      <c r="C152" s="185"/>
      <c r="D152" s="185"/>
      <c r="E152" s="182"/>
      <c r="F152" s="182"/>
      <c r="G152" s="184"/>
      <c r="H152" s="184"/>
      <c r="I152" s="117"/>
      <c r="J152" s="713"/>
      <c r="K152" s="714"/>
      <c r="L152" s="714"/>
      <c r="M152" s="714"/>
      <c r="N152" s="714"/>
      <c r="O152" s="714"/>
      <c r="P152" s="714"/>
      <c r="Q152" s="715"/>
      <c r="R152" s="714"/>
      <c r="S152" s="714"/>
      <c r="T152" s="714"/>
      <c r="U152" s="714"/>
      <c r="V152" s="715"/>
      <c r="W152" s="185"/>
      <c r="X152" s="117"/>
      <c r="Y152" s="713"/>
      <c r="Z152" s="714"/>
      <c r="AA152" s="714"/>
      <c r="AB152" s="714"/>
      <c r="AC152" s="714"/>
      <c r="AD152" s="714"/>
      <c r="AE152" s="714"/>
      <c r="AF152" s="715"/>
      <c r="AG152" s="714"/>
      <c r="AH152" s="714"/>
      <c r="AI152" s="714"/>
      <c r="AJ152" s="714"/>
      <c r="AK152" s="715"/>
      <c r="AL152" s="185"/>
      <c r="AM152" s="117"/>
      <c r="AN152" s="878"/>
      <c r="AO152" s="879"/>
      <c r="AP152" s="879"/>
      <c r="AQ152" s="879"/>
      <c r="AR152" s="879"/>
      <c r="AS152" s="879"/>
      <c r="AT152" s="879"/>
      <c r="AU152" s="880"/>
      <c r="AV152" s="879"/>
      <c r="AW152" s="879"/>
      <c r="AX152" s="879"/>
      <c r="AY152" s="879"/>
      <c r="AZ152" s="880"/>
    </row>
    <row r="153" spans="2:52" s="98" customFormat="1" ht="15" customHeight="1">
      <c r="B153" s="161"/>
      <c r="C153" s="180" t="s">
        <v>2226</v>
      </c>
      <c r="D153" s="180"/>
      <c r="E153" s="162"/>
      <c r="F153" s="162"/>
      <c r="G153" s="163"/>
      <c r="H153" s="163"/>
      <c r="I153" s="117"/>
      <c r="J153" s="713"/>
      <c r="K153" s="721"/>
      <c r="L153" s="721"/>
      <c r="M153" s="721"/>
      <c r="N153" s="721"/>
      <c r="O153" s="721"/>
      <c r="P153" s="721"/>
      <c r="Q153" s="715"/>
      <c r="R153" s="713"/>
      <c r="S153" s="721"/>
      <c r="T153" s="721"/>
      <c r="U153" s="721"/>
      <c r="V153" s="715"/>
      <c r="W153" s="185"/>
      <c r="X153" s="117"/>
      <c r="Y153" s="713"/>
      <c r="Z153" s="721"/>
      <c r="AA153" s="721"/>
      <c r="AB153" s="721"/>
      <c r="AC153" s="721"/>
      <c r="AD153" s="721"/>
      <c r="AE153" s="721"/>
      <c r="AF153" s="715"/>
      <c r="AG153" s="713"/>
      <c r="AH153" s="721"/>
      <c r="AI153" s="721"/>
      <c r="AJ153" s="721"/>
      <c r="AK153" s="715"/>
      <c r="AL153" s="185"/>
      <c r="AM153" s="117"/>
      <c r="AN153" s="878"/>
      <c r="AO153" s="881"/>
      <c r="AP153" s="881"/>
      <c r="AQ153" s="881"/>
      <c r="AR153" s="881"/>
      <c r="AS153" s="881"/>
      <c r="AT153" s="881"/>
      <c r="AU153" s="880"/>
      <c r="AV153" s="878"/>
      <c r="AW153" s="881"/>
      <c r="AX153" s="881"/>
      <c r="AY153" s="881"/>
      <c r="AZ153" s="880"/>
    </row>
    <row r="154" spans="2:52" s="98" customFormat="1" ht="15" customHeight="1">
      <c r="B154" s="161"/>
      <c r="C154" s="185"/>
      <c r="D154" s="162" t="s">
        <v>36</v>
      </c>
      <c r="G154" s="162"/>
      <c r="H154" s="163"/>
      <c r="I154" s="164" t="s">
        <v>2145</v>
      </c>
      <c r="J154" s="143">
        <v>0</v>
      </c>
      <c r="K154" s="141">
        <v>0</v>
      </c>
      <c r="L154" s="141">
        <v>0</v>
      </c>
      <c r="M154" s="141">
        <v>0</v>
      </c>
      <c r="N154" s="141">
        <v>0</v>
      </c>
      <c r="O154" s="141">
        <v>0</v>
      </c>
      <c r="P154" s="141">
        <v>0</v>
      </c>
      <c r="Q154" s="144">
        <v>0</v>
      </c>
      <c r="R154" s="143">
        <v>0</v>
      </c>
      <c r="S154" s="141">
        <v>0</v>
      </c>
      <c r="T154" s="141">
        <v>0</v>
      </c>
      <c r="U154" s="141">
        <v>0</v>
      </c>
      <c r="V154" s="144">
        <v>0</v>
      </c>
      <c r="W154" s="185"/>
      <c r="X154" s="164" t="s">
        <v>2145</v>
      </c>
      <c r="Y154" s="143">
        <v>0</v>
      </c>
      <c r="Z154" s="141">
        <v>0</v>
      </c>
      <c r="AA154" s="141">
        <v>0</v>
      </c>
      <c r="AB154" s="141">
        <v>0</v>
      </c>
      <c r="AC154" s="141">
        <v>0</v>
      </c>
      <c r="AD154" s="141">
        <v>0</v>
      </c>
      <c r="AE154" s="141">
        <v>0</v>
      </c>
      <c r="AF154" s="144">
        <v>0</v>
      </c>
      <c r="AG154" s="143">
        <v>0</v>
      </c>
      <c r="AH154" s="141">
        <v>0</v>
      </c>
      <c r="AI154" s="141">
        <v>0</v>
      </c>
      <c r="AJ154" s="141">
        <v>0</v>
      </c>
      <c r="AK154" s="144">
        <v>0</v>
      </c>
      <c r="AL154" s="185"/>
      <c r="AM154" s="164" t="s">
        <v>1876</v>
      </c>
      <c r="AN154" s="165">
        <v>0</v>
      </c>
      <c r="AO154" s="166">
        <v>0</v>
      </c>
      <c r="AP154" s="166">
        <v>0</v>
      </c>
      <c r="AQ154" s="166">
        <v>0</v>
      </c>
      <c r="AR154" s="166">
        <v>0</v>
      </c>
      <c r="AS154" s="166">
        <v>0</v>
      </c>
      <c r="AT154" s="166">
        <v>0</v>
      </c>
      <c r="AU154" s="167">
        <v>0</v>
      </c>
      <c r="AV154" s="165">
        <v>0</v>
      </c>
      <c r="AW154" s="166">
        <v>0</v>
      </c>
      <c r="AX154" s="166">
        <v>0</v>
      </c>
      <c r="AY154" s="166">
        <v>0</v>
      </c>
      <c r="AZ154" s="167">
        <v>0</v>
      </c>
    </row>
    <row r="155" spans="2:52" s="98" customFormat="1" ht="15" customHeight="1">
      <c r="B155" s="161"/>
      <c r="C155" s="185"/>
      <c r="D155" s="162" t="s">
        <v>62</v>
      </c>
      <c r="G155" s="162"/>
      <c r="H155" s="163"/>
      <c r="I155" s="164" t="s">
        <v>2145</v>
      </c>
      <c r="J155" s="143">
        <v>0</v>
      </c>
      <c r="K155" s="141">
        <v>0</v>
      </c>
      <c r="L155" s="141">
        <v>0</v>
      </c>
      <c r="M155" s="141">
        <v>0</v>
      </c>
      <c r="N155" s="141">
        <v>0</v>
      </c>
      <c r="O155" s="141">
        <v>0</v>
      </c>
      <c r="P155" s="141">
        <v>0</v>
      </c>
      <c r="Q155" s="144">
        <v>0</v>
      </c>
      <c r="R155" s="143">
        <v>0</v>
      </c>
      <c r="S155" s="141">
        <v>0</v>
      </c>
      <c r="T155" s="141">
        <v>0</v>
      </c>
      <c r="U155" s="141">
        <v>0</v>
      </c>
      <c r="V155" s="144">
        <v>0</v>
      </c>
      <c r="W155" s="185"/>
      <c r="X155" s="164" t="s">
        <v>2145</v>
      </c>
      <c r="Y155" s="143">
        <v>0</v>
      </c>
      <c r="Z155" s="141">
        <v>0</v>
      </c>
      <c r="AA155" s="141">
        <v>0</v>
      </c>
      <c r="AB155" s="141">
        <v>0</v>
      </c>
      <c r="AC155" s="141">
        <v>0</v>
      </c>
      <c r="AD155" s="141">
        <v>0</v>
      </c>
      <c r="AE155" s="141">
        <v>0</v>
      </c>
      <c r="AF155" s="144">
        <v>0</v>
      </c>
      <c r="AG155" s="143">
        <v>0</v>
      </c>
      <c r="AH155" s="141">
        <v>0</v>
      </c>
      <c r="AI155" s="141">
        <v>0</v>
      </c>
      <c r="AJ155" s="141">
        <v>0</v>
      </c>
      <c r="AK155" s="144">
        <v>0</v>
      </c>
      <c r="AL155" s="185"/>
      <c r="AM155" s="164" t="s">
        <v>1876</v>
      </c>
      <c r="AN155" s="165">
        <v>0</v>
      </c>
      <c r="AO155" s="166">
        <v>0</v>
      </c>
      <c r="AP155" s="166">
        <v>0</v>
      </c>
      <c r="AQ155" s="166">
        <v>0</v>
      </c>
      <c r="AR155" s="166">
        <v>0</v>
      </c>
      <c r="AS155" s="166">
        <v>0</v>
      </c>
      <c r="AT155" s="166">
        <v>0</v>
      </c>
      <c r="AU155" s="167">
        <v>0</v>
      </c>
      <c r="AV155" s="165">
        <v>0</v>
      </c>
      <c r="AW155" s="166">
        <v>0</v>
      </c>
      <c r="AX155" s="166">
        <v>0</v>
      </c>
      <c r="AY155" s="166">
        <v>0</v>
      </c>
      <c r="AZ155" s="167">
        <v>0</v>
      </c>
    </row>
    <row r="156" spans="2:52" s="98" customFormat="1" ht="15" customHeight="1">
      <c r="B156" s="161"/>
      <c r="C156" s="185"/>
      <c r="D156" s="162" t="s">
        <v>71</v>
      </c>
      <c r="G156" s="162"/>
      <c r="H156" s="163"/>
      <c r="I156" s="164" t="s">
        <v>2145</v>
      </c>
      <c r="J156" s="143">
        <v>0</v>
      </c>
      <c r="K156" s="141">
        <v>0</v>
      </c>
      <c r="L156" s="141">
        <v>0</v>
      </c>
      <c r="M156" s="141">
        <v>0</v>
      </c>
      <c r="N156" s="141">
        <v>0</v>
      </c>
      <c r="O156" s="141">
        <v>0</v>
      </c>
      <c r="P156" s="141">
        <v>0</v>
      </c>
      <c r="Q156" s="144">
        <v>0</v>
      </c>
      <c r="R156" s="143">
        <v>0</v>
      </c>
      <c r="S156" s="141">
        <v>0</v>
      </c>
      <c r="T156" s="141">
        <v>0</v>
      </c>
      <c r="U156" s="141">
        <v>0</v>
      </c>
      <c r="V156" s="144">
        <v>0</v>
      </c>
      <c r="W156" s="185"/>
      <c r="X156" s="164" t="s">
        <v>2145</v>
      </c>
      <c r="Y156" s="143">
        <v>0</v>
      </c>
      <c r="Z156" s="141">
        <v>0</v>
      </c>
      <c r="AA156" s="141">
        <v>0</v>
      </c>
      <c r="AB156" s="141">
        <v>0</v>
      </c>
      <c r="AC156" s="141">
        <v>0</v>
      </c>
      <c r="AD156" s="141">
        <v>0</v>
      </c>
      <c r="AE156" s="141">
        <v>0</v>
      </c>
      <c r="AF156" s="144">
        <v>0</v>
      </c>
      <c r="AG156" s="143">
        <v>0</v>
      </c>
      <c r="AH156" s="141">
        <v>0</v>
      </c>
      <c r="AI156" s="141">
        <v>0</v>
      </c>
      <c r="AJ156" s="141">
        <v>0</v>
      </c>
      <c r="AK156" s="144">
        <v>0</v>
      </c>
      <c r="AL156" s="185"/>
      <c r="AM156" s="164" t="s">
        <v>1876</v>
      </c>
      <c r="AN156" s="165">
        <v>0</v>
      </c>
      <c r="AO156" s="166">
        <v>0</v>
      </c>
      <c r="AP156" s="166">
        <v>0</v>
      </c>
      <c r="AQ156" s="166">
        <v>0</v>
      </c>
      <c r="AR156" s="166">
        <v>0</v>
      </c>
      <c r="AS156" s="166">
        <v>0</v>
      </c>
      <c r="AT156" s="166">
        <v>0</v>
      </c>
      <c r="AU156" s="167">
        <v>0</v>
      </c>
      <c r="AV156" s="165">
        <v>0</v>
      </c>
      <c r="AW156" s="166">
        <v>0</v>
      </c>
      <c r="AX156" s="166">
        <v>0</v>
      </c>
      <c r="AY156" s="166">
        <v>0</v>
      </c>
      <c r="AZ156" s="167">
        <v>0</v>
      </c>
    </row>
    <row r="157" spans="2:52" s="98" customFormat="1" ht="15" customHeight="1">
      <c r="B157" s="181"/>
      <c r="C157" s="182" t="s">
        <v>1710</v>
      </c>
      <c r="D157" s="245"/>
      <c r="G157" s="184"/>
      <c r="H157" s="184"/>
      <c r="I157" s="164" t="s">
        <v>2145</v>
      </c>
      <c r="J157" s="128">
        <f>SUM(J154:J156)</f>
        <v>0</v>
      </c>
      <c r="K157" s="129">
        <f t="shared" ref="K157" si="576">SUM(K154:K156)</f>
        <v>0</v>
      </c>
      <c r="L157" s="129">
        <f t="shared" ref="L157" si="577">SUM(L154:L156)</f>
        <v>0</v>
      </c>
      <c r="M157" s="129">
        <f t="shared" ref="M157" si="578">SUM(M154:M156)</f>
        <v>0</v>
      </c>
      <c r="N157" s="129">
        <f t="shared" ref="N157" si="579">SUM(N154:N156)</f>
        <v>0</v>
      </c>
      <c r="O157" s="129">
        <f t="shared" ref="O157" si="580">SUM(O154:O156)</f>
        <v>0</v>
      </c>
      <c r="P157" s="129">
        <f t="shared" ref="P157" si="581">SUM(P154:P156)</f>
        <v>0</v>
      </c>
      <c r="Q157" s="130">
        <f t="shared" ref="Q157" si="582">SUM(Q154:Q156)</f>
        <v>0</v>
      </c>
      <c r="R157" s="128">
        <f t="shared" ref="R157" si="583">SUM(R154:R156)</f>
        <v>0</v>
      </c>
      <c r="S157" s="129">
        <f t="shared" ref="S157" si="584">SUM(S154:S156)</f>
        <v>0</v>
      </c>
      <c r="T157" s="129">
        <f t="shared" ref="T157" si="585">SUM(T154:T156)</f>
        <v>0</v>
      </c>
      <c r="U157" s="129">
        <f t="shared" ref="U157" si="586">SUM(U154:U156)</f>
        <v>0</v>
      </c>
      <c r="V157" s="130">
        <f t="shared" ref="V157" si="587">SUM(V154:V156)</f>
        <v>0</v>
      </c>
      <c r="W157" s="185"/>
      <c r="X157" s="164" t="s">
        <v>2145</v>
      </c>
      <c r="Y157" s="128">
        <f>SUM(Y154:Y156)</f>
        <v>0</v>
      </c>
      <c r="Z157" s="129">
        <f t="shared" ref="Z157" si="588">SUM(Z154:Z156)</f>
        <v>0</v>
      </c>
      <c r="AA157" s="129">
        <f t="shared" ref="AA157" si="589">SUM(AA154:AA156)</f>
        <v>0</v>
      </c>
      <c r="AB157" s="129">
        <f t="shared" ref="AB157" si="590">SUM(AB154:AB156)</f>
        <v>0</v>
      </c>
      <c r="AC157" s="129">
        <f t="shared" ref="AC157" si="591">SUM(AC154:AC156)</f>
        <v>0</v>
      </c>
      <c r="AD157" s="129">
        <f t="shared" ref="AD157" si="592">SUM(AD154:AD156)</f>
        <v>0</v>
      </c>
      <c r="AE157" s="129">
        <f t="shared" ref="AE157" si="593">SUM(AE154:AE156)</f>
        <v>0</v>
      </c>
      <c r="AF157" s="130">
        <f t="shared" ref="AF157" si="594">SUM(AF154:AF156)</f>
        <v>0</v>
      </c>
      <c r="AG157" s="128">
        <f t="shared" ref="AG157" si="595">SUM(AG154:AG156)</f>
        <v>0</v>
      </c>
      <c r="AH157" s="129">
        <f t="shared" ref="AH157" si="596">SUM(AH154:AH156)</f>
        <v>0</v>
      </c>
      <c r="AI157" s="129">
        <f t="shared" ref="AI157" si="597">SUM(AI154:AI156)</f>
        <v>0</v>
      </c>
      <c r="AJ157" s="129">
        <f t="shared" ref="AJ157" si="598">SUM(AJ154:AJ156)</f>
        <v>0</v>
      </c>
      <c r="AK157" s="130">
        <f t="shared" ref="AK157" si="599">SUM(AK154:AK156)</f>
        <v>0</v>
      </c>
      <c r="AL157" s="185"/>
      <c r="AM157" s="164" t="s">
        <v>1876</v>
      </c>
      <c r="AN157" s="777">
        <f>SUM(AN154:AN156)</f>
        <v>0</v>
      </c>
      <c r="AO157" s="778">
        <f t="shared" ref="AO157" si="600">SUM(AO154:AO156)</f>
        <v>0</v>
      </c>
      <c r="AP157" s="778">
        <f t="shared" ref="AP157" si="601">SUM(AP154:AP156)</f>
        <v>0</v>
      </c>
      <c r="AQ157" s="778">
        <f t="shared" ref="AQ157" si="602">SUM(AQ154:AQ156)</f>
        <v>0</v>
      </c>
      <c r="AR157" s="778">
        <f t="shared" ref="AR157" si="603">SUM(AR154:AR156)</f>
        <v>0</v>
      </c>
      <c r="AS157" s="778">
        <f t="shared" ref="AS157" si="604">SUM(AS154:AS156)</f>
        <v>0</v>
      </c>
      <c r="AT157" s="778">
        <f t="shared" ref="AT157" si="605">SUM(AT154:AT156)</f>
        <v>0</v>
      </c>
      <c r="AU157" s="779">
        <f t="shared" ref="AU157" si="606">SUM(AU154:AU156)</f>
        <v>0</v>
      </c>
      <c r="AV157" s="777">
        <f t="shared" ref="AV157" si="607">SUM(AV154:AV156)</f>
        <v>0</v>
      </c>
      <c r="AW157" s="778">
        <f t="shared" ref="AW157" si="608">SUM(AW154:AW156)</f>
        <v>0</v>
      </c>
      <c r="AX157" s="778">
        <f t="shared" ref="AX157" si="609">SUM(AX154:AX156)</f>
        <v>0</v>
      </c>
      <c r="AY157" s="778">
        <f t="shared" ref="AY157" si="610">SUM(AY154:AY156)</f>
        <v>0</v>
      </c>
      <c r="AZ157" s="779">
        <f t="shared" ref="AZ157" si="611">SUM(AZ154:AZ156)</f>
        <v>0</v>
      </c>
    </row>
    <row r="158" spans="2:52" s="98" customFormat="1" ht="15" customHeight="1">
      <c r="B158" s="181"/>
      <c r="C158" s="185"/>
      <c r="D158" s="185"/>
      <c r="E158" s="182"/>
      <c r="F158" s="182"/>
      <c r="G158" s="184"/>
      <c r="H158" s="184"/>
      <c r="I158" s="117"/>
      <c r="J158" s="713"/>
      <c r="K158" s="714"/>
      <c r="L158" s="714"/>
      <c r="M158" s="714"/>
      <c r="N158" s="714"/>
      <c r="O158" s="714"/>
      <c r="P158" s="714"/>
      <c r="Q158" s="715"/>
      <c r="R158" s="714"/>
      <c r="S158" s="714"/>
      <c r="T158" s="714"/>
      <c r="U158" s="714"/>
      <c r="V158" s="715"/>
      <c r="W158" s="185"/>
      <c r="X158" s="117"/>
      <c r="Y158" s="713"/>
      <c r="Z158" s="714"/>
      <c r="AA158" s="714"/>
      <c r="AB158" s="714"/>
      <c r="AC158" s="714"/>
      <c r="AD158" s="714"/>
      <c r="AE158" s="714"/>
      <c r="AF158" s="715"/>
      <c r="AG158" s="714"/>
      <c r="AH158" s="714"/>
      <c r="AI158" s="714"/>
      <c r="AJ158" s="714"/>
      <c r="AK158" s="715"/>
      <c r="AL158" s="185"/>
      <c r="AM158" s="117"/>
      <c r="AN158" s="878"/>
      <c r="AO158" s="879"/>
      <c r="AP158" s="879"/>
      <c r="AQ158" s="879"/>
      <c r="AR158" s="879"/>
      <c r="AS158" s="879"/>
      <c r="AT158" s="879"/>
      <c r="AU158" s="880"/>
      <c r="AV158" s="879"/>
      <c r="AW158" s="879"/>
      <c r="AX158" s="879"/>
      <c r="AY158" s="879"/>
      <c r="AZ158" s="880"/>
    </row>
    <row r="159" spans="2:52" s="98" customFormat="1" ht="15" customHeight="1">
      <c r="B159" s="161"/>
      <c r="C159" s="180" t="s">
        <v>2227</v>
      </c>
      <c r="D159" s="180"/>
      <c r="E159" s="162"/>
      <c r="F159" s="162"/>
      <c r="G159" s="163"/>
      <c r="H159" s="163"/>
      <c r="I159" s="117"/>
      <c r="J159" s="713"/>
      <c r="K159" s="721"/>
      <c r="L159" s="721"/>
      <c r="M159" s="721"/>
      <c r="N159" s="721"/>
      <c r="O159" s="721"/>
      <c r="P159" s="721"/>
      <c r="Q159" s="715"/>
      <c r="R159" s="713"/>
      <c r="S159" s="721"/>
      <c r="T159" s="721"/>
      <c r="U159" s="721"/>
      <c r="V159" s="715"/>
      <c r="W159" s="185"/>
      <c r="X159" s="117"/>
      <c r="Y159" s="713"/>
      <c r="Z159" s="721"/>
      <c r="AA159" s="721"/>
      <c r="AB159" s="721"/>
      <c r="AC159" s="721"/>
      <c r="AD159" s="721"/>
      <c r="AE159" s="721"/>
      <c r="AF159" s="715"/>
      <c r="AG159" s="713"/>
      <c r="AH159" s="721"/>
      <c r="AI159" s="721"/>
      <c r="AJ159" s="721"/>
      <c r="AK159" s="715"/>
      <c r="AL159" s="185"/>
      <c r="AM159" s="117"/>
      <c r="AN159" s="878"/>
      <c r="AO159" s="881"/>
      <c r="AP159" s="881"/>
      <c r="AQ159" s="881"/>
      <c r="AR159" s="881"/>
      <c r="AS159" s="881"/>
      <c r="AT159" s="881"/>
      <c r="AU159" s="880"/>
      <c r="AV159" s="878"/>
      <c r="AW159" s="881"/>
      <c r="AX159" s="881"/>
      <c r="AY159" s="881"/>
      <c r="AZ159" s="880"/>
    </row>
    <row r="160" spans="2:52" s="98" customFormat="1" ht="15" customHeight="1">
      <c r="B160" s="161"/>
      <c r="C160" s="185"/>
      <c r="D160" s="162" t="s">
        <v>36</v>
      </c>
      <c r="G160" s="162"/>
      <c r="H160" s="163"/>
      <c r="I160" s="164" t="s">
        <v>2145</v>
      </c>
      <c r="J160" s="143">
        <v>-0.16187937378325762</v>
      </c>
      <c r="K160" s="141">
        <v>9.0385132465299958E-2</v>
      </c>
      <c r="L160" s="141">
        <v>4.4949553144386492E-2</v>
      </c>
      <c r="M160" s="141">
        <v>0.19786868859373435</v>
      </c>
      <c r="N160" s="141">
        <v>0.24824508824823691</v>
      </c>
      <c r="O160" s="141">
        <v>9.544093085713537E-2</v>
      </c>
      <c r="P160" s="141">
        <v>9.544093085713537E-2</v>
      </c>
      <c r="Q160" s="144">
        <v>9.544093085713537E-2</v>
      </c>
      <c r="R160" s="143">
        <v>9.544093085713537E-2</v>
      </c>
      <c r="S160" s="141">
        <v>9.544093085713537E-2</v>
      </c>
      <c r="T160" s="141">
        <v>9.544093085713537E-2</v>
      </c>
      <c r="U160" s="141">
        <v>9.544093085713537E-2</v>
      </c>
      <c r="V160" s="144">
        <v>9.544093085713537E-2</v>
      </c>
      <c r="W160" s="185"/>
      <c r="X160" s="164" t="s">
        <v>2145</v>
      </c>
      <c r="Y160" s="143">
        <v>0</v>
      </c>
      <c r="Z160" s="141">
        <v>0</v>
      </c>
      <c r="AA160" s="141">
        <v>0</v>
      </c>
      <c r="AB160" s="141">
        <v>0</v>
      </c>
      <c r="AC160" s="141">
        <v>0</v>
      </c>
      <c r="AD160" s="141">
        <v>0</v>
      </c>
      <c r="AE160" s="141">
        <v>0</v>
      </c>
      <c r="AF160" s="144">
        <v>0</v>
      </c>
      <c r="AG160" s="143">
        <v>0</v>
      </c>
      <c r="AH160" s="141">
        <v>0</v>
      </c>
      <c r="AI160" s="141">
        <v>0</v>
      </c>
      <c r="AJ160" s="141">
        <v>0</v>
      </c>
      <c r="AK160" s="144">
        <v>0</v>
      </c>
      <c r="AL160" s="185"/>
      <c r="AM160" s="164" t="s">
        <v>1876</v>
      </c>
      <c r="AN160" s="165">
        <v>333</v>
      </c>
      <c r="AO160" s="166">
        <v>95</v>
      </c>
      <c r="AP160" s="166">
        <v>147</v>
      </c>
      <c r="AQ160" s="166">
        <v>234</v>
      </c>
      <c r="AR160" s="166">
        <v>248</v>
      </c>
      <c r="AS160" s="166">
        <v>305</v>
      </c>
      <c r="AT160" s="166">
        <v>305</v>
      </c>
      <c r="AU160" s="167">
        <v>305</v>
      </c>
      <c r="AV160" s="165">
        <v>305</v>
      </c>
      <c r="AW160" s="166">
        <v>305</v>
      </c>
      <c r="AX160" s="166">
        <v>305</v>
      </c>
      <c r="AY160" s="166">
        <v>305</v>
      </c>
      <c r="AZ160" s="167">
        <v>305</v>
      </c>
    </row>
    <row r="161" spans="2:52" s="98" customFormat="1" ht="15" customHeight="1">
      <c r="B161" s="161"/>
      <c r="C161" s="185"/>
      <c r="D161" s="162" t="s">
        <v>62</v>
      </c>
      <c r="G161" s="162"/>
      <c r="H161" s="163"/>
      <c r="I161" s="164" t="s">
        <v>2145</v>
      </c>
      <c r="J161" s="143">
        <v>0.10252257845622843</v>
      </c>
      <c r="K161" s="141">
        <v>5.3390003349863241E-2</v>
      </c>
      <c r="L161" s="141">
        <v>1.9192047939853608E-2</v>
      </c>
      <c r="M161" s="141">
        <v>7.2165190925520817E-2</v>
      </c>
      <c r="N161" s="141">
        <v>8.3059911749925774E-2</v>
      </c>
      <c r="O161" s="141">
        <v>4.8837971181944689E-2</v>
      </c>
      <c r="P161" s="141">
        <v>4.8837971181944689E-2</v>
      </c>
      <c r="Q161" s="144">
        <v>4.8837971181944689E-2</v>
      </c>
      <c r="R161" s="143">
        <v>4.8837971181944689E-2</v>
      </c>
      <c r="S161" s="141">
        <v>4.8837971181944689E-2</v>
      </c>
      <c r="T161" s="141">
        <v>4.8837971181944689E-2</v>
      </c>
      <c r="U161" s="141">
        <v>4.8837971181944689E-2</v>
      </c>
      <c r="V161" s="144">
        <v>4.8837971181944689E-2</v>
      </c>
      <c r="W161" s="185"/>
      <c r="X161" s="164" t="s">
        <v>2145</v>
      </c>
      <c r="Y161" s="143">
        <v>0</v>
      </c>
      <c r="Z161" s="141">
        <v>0</v>
      </c>
      <c r="AA161" s="141">
        <v>0</v>
      </c>
      <c r="AB161" s="141">
        <v>0</v>
      </c>
      <c r="AC161" s="141">
        <v>0</v>
      </c>
      <c r="AD161" s="141">
        <v>0</v>
      </c>
      <c r="AE161" s="141">
        <v>0</v>
      </c>
      <c r="AF161" s="144">
        <v>0</v>
      </c>
      <c r="AG161" s="143">
        <v>0</v>
      </c>
      <c r="AH161" s="141">
        <v>0</v>
      </c>
      <c r="AI161" s="141">
        <v>0</v>
      </c>
      <c r="AJ161" s="141">
        <v>0</v>
      </c>
      <c r="AK161" s="144">
        <v>0</v>
      </c>
      <c r="AL161" s="185"/>
      <c r="AM161" s="164" t="s">
        <v>1876</v>
      </c>
      <c r="AN161" s="165">
        <v>409</v>
      </c>
      <c r="AO161" s="166">
        <v>137</v>
      </c>
      <c r="AP161" s="166">
        <v>158</v>
      </c>
      <c r="AQ161" s="166">
        <v>239</v>
      </c>
      <c r="AR161" s="166">
        <v>166</v>
      </c>
      <c r="AS161" s="166">
        <v>250</v>
      </c>
      <c r="AT161" s="166">
        <v>250</v>
      </c>
      <c r="AU161" s="167">
        <v>250</v>
      </c>
      <c r="AV161" s="165">
        <v>250</v>
      </c>
      <c r="AW161" s="166">
        <v>250</v>
      </c>
      <c r="AX161" s="166">
        <v>250</v>
      </c>
      <c r="AY161" s="166">
        <v>250</v>
      </c>
      <c r="AZ161" s="167">
        <v>250</v>
      </c>
    </row>
    <row r="162" spans="2:52" s="98" customFormat="1" ht="15" customHeight="1">
      <c r="B162" s="161"/>
      <c r="C162" s="185"/>
      <c r="D162" s="162" t="s">
        <v>71</v>
      </c>
      <c r="G162" s="162"/>
      <c r="H162" s="163"/>
      <c r="I162" s="164" t="s">
        <v>2145</v>
      </c>
      <c r="J162" s="143">
        <v>-1.4641537328164006E-3</v>
      </c>
      <c r="K162" s="141">
        <v>-8.3584869027504408E-2</v>
      </c>
      <c r="L162" s="141">
        <v>3.1389034310255304E-2</v>
      </c>
      <c r="M162" s="141">
        <v>7.9500428509797258E-2</v>
      </c>
      <c r="N162" s="141">
        <v>2.533575344989665E-2</v>
      </c>
      <c r="O162" s="141">
        <v>4.3771597578669635E-2</v>
      </c>
      <c r="P162" s="141">
        <v>4.3771597578669635E-2</v>
      </c>
      <c r="Q162" s="144">
        <v>4.3771597578669635E-2</v>
      </c>
      <c r="R162" s="143">
        <v>4.3771597578669635E-2</v>
      </c>
      <c r="S162" s="141">
        <v>4.3771597578669635E-2</v>
      </c>
      <c r="T162" s="141">
        <v>4.3771597578669635E-2</v>
      </c>
      <c r="U162" s="141">
        <v>4.3771597578669635E-2</v>
      </c>
      <c r="V162" s="144">
        <v>4.3771597578669635E-2</v>
      </c>
      <c r="W162" s="185"/>
      <c r="X162" s="164" t="s">
        <v>2145</v>
      </c>
      <c r="Y162" s="143">
        <v>0</v>
      </c>
      <c r="Z162" s="141">
        <v>0</v>
      </c>
      <c r="AA162" s="141">
        <v>0</v>
      </c>
      <c r="AB162" s="141">
        <v>0</v>
      </c>
      <c r="AC162" s="141">
        <v>0</v>
      </c>
      <c r="AD162" s="141">
        <v>0</v>
      </c>
      <c r="AE162" s="141">
        <v>0</v>
      </c>
      <c r="AF162" s="144">
        <v>0</v>
      </c>
      <c r="AG162" s="143">
        <v>0</v>
      </c>
      <c r="AH162" s="141">
        <v>0</v>
      </c>
      <c r="AI162" s="141">
        <v>0</v>
      </c>
      <c r="AJ162" s="141">
        <v>0</v>
      </c>
      <c r="AK162" s="144">
        <v>0</v>
      </c>
      <c r="AL162" s="185"/>
      <c r="AM162" s="164" t="s">
        <v>1876</v>
      </c>
      <c r="AN162" s="165">
        <v>196</v>
      </c>
      <c r="AO162" s="166">
        <v>166</v>
      </c>
      <c r="AP162" s="166">
        <v>247</v>
      </c>
      <c r="AQ162" s="166">
        <v>188</v>
      </c>
      <c r="AR162" s="166">
        <v>141</v>
      </c>
      <c r="AS162" s="166">
        <v>161</v>
      </c>
      <c r="AT162" s="166">
        <v>161</v>
      </c>
      <c r="AU162" s="167">
        <v>161</v>
      </c>
      <c r="AV162" s="165">
        <v>161</v>
      </c>
      <c r="AW162" s="166">
        <v>161</v>
      </c>
      <c r="AX162" s="166">
        <v>161</v>
      </c>
      <c r="AY162" s="166">
        <v>161</v>
      </c>
      <c r="AZ162" s="167">
        <v>161</v>
      </c>
    </row>
    <row r="163" spans="2:52" s="98" customFormat="1" ht="15" customHeight="1">
      <c r="B163" s="181"/>
      <c r="C163" s="182" t="s">
        <v>1710</v>
      </c>
      <c r="D163" s="245"/>
      <c r="G163" s="184"/>
      <c r="H163" s="184"/>
      <c r="I163" s="164" t="s">
        <v>2145</v>
      </c>
      <c r="J163" s="128">
        <f>SUM(J160:J162)</f>
        <v>-6.0820949059845586E-2</v>
      </c>
      <c r="K163" s="129">
        <f t="shared" ref="K163:V163" si="612">SUM(K160:K162)</f>
        <v>6.0190266787658805E-2</v>
      </c>
      <c r="L163" s="129">
        <f t="shared" si="612"/>
        <v>9.5530635394495411E-2</v>
      </c>
      <c r="M163" s="129">
        <f t="shared" si="612"/>
        <v>0.34953430802905244</v>
      </c>
      <c r="N163" s="129">
        <f t="shared" si="612"/>
        <v>0.35664075344805929</v>
      </c>
      <c r="O163" s="129">
        <f t="shared" si="612"/>
        <v>0.18805049961774969</v>
      </c>
      <c r="P163" s="129">
        <f t="shared" si="612"/>
        <v>0.18805049961774969</v>
      </c>
      <c r="Q163" s="130">
        <f t="shared" si="612"/>
        <v>0.18805049961774969</v>
      </c>
      <c r="R163" s="128">
        <f t="shared" si="612"/>
        <v>0.18805049961774969</v>
      </c>
      <c r="S163" s="129">
        <f t="shared" si="612"/>
        <v>0.18805049961774969</v>
      </c>
      <c r="T163" s="129">
        <f t="shared" si="612"/>
        <v>0.18805049961774969</v>
      </c>
      <c r="U163" s="129">
        <f t="shared" si="612"/>
        <v>0.18805049961774969</v>
      </c>
      <c r="V163" s="130">
        <f t="shared" si="612"/>
        <v>0.18805049961774969</v>
      </c>
      <c r="W163" s="185"/>
      <c r="X163" s="164" t="s">
        <v>2145</v>
      </c>
      <c r="Y163" s="128">
        <f>SUM(Y160:Y162)</f>
        <v>0</v>
      </c>
      <c r="Z163" s="129">
        <f t="shared" ref="Z163:AK163" si="613">SUM(Z160:Z162)</f>
        <v>0</v>
      </c>
      <c r="AA163" s="129">
        <f t="shared" si="613"/>
        <v>0</v>
      </c>
      <c r="AB163" s="129">
        <f t="shared" si="613"/>
        <v>0</v>
      </c>
      <c r="AC163" s="129">
        <f t="shared" si="613"/>
        <v>0</v>
      </c>
      <c r="AD163" s="129">
        <f t="shared" si="613"/>
        <v>0</v>
      </c>
      <c r="AE163" s="129">
        <f t="shared" si="613"/>
        <v>0</v>
      </c>
      <c r="AF163" s="130">
        <f t="shared" si="613"/>
        <v>0</v>
      </c>
      <c r="AG163" s="128">
        <f t="shared" si="613"/>
        <v>0</v>
      </c>
      <c r="AH163" s="129">
        <f t="shared" si="613"/>
        <v>0</v>
      </c>
      <c r="AI163" s="129">
        <f t="shared" si="613"/>
        <v>0</v>
      </c>
      <c r="AJ163" s="129">
        <f t="shared" si="613"/>
        <v>0</v>
      </c>
      <c r="AK163" s="130">
        <f t="shared" si="613"/>
        <v>0</v>
      </c>
      <c r="AL163" s="185"/>
      <c r="AM163" s="164" t="s">
        <v>1876</v>
      </c>
      <c r="AN163" s="777">
        <f>SUM(AN160:AN162)</f>
        <v>938</v>
      </c>
      <c r="AO163" s="778">
        <f t="shared" ref="AO163:AZ163" si="614">SUM(AO160:AO162)</f>
        <v>398</v>
      </c>
      <c r="AP163" s="778">
        <f t="shared" si="614"/>
        <v>552</v>
      </c>
      <c r="AQ163" s="778">
        <f t="shared" si="614"/>
        <v>661</v>
      </c>
      <c r="AR163" s="778">
        <f t="shared" si="614"/>
        <v>555</v>
      </c>
      <c r="AS163" s="778">
        <f t="shared" si="614"/>
        <v>716</v>
      </c>
      <c r="AT163" s="778">
        <f t="shared" si="614"/>
        <v>716</v>
      </c>
      <c r="AU163" s="779">
        <f t="shared" si="614"/>
        <v>716</v>
      </c>
      <c r="AV163" s="777">
        <f t="shared" si="614"/>
        <v>716</v>
      </c>
      <c r="AW163" s="778">
        <f t="shared" si="614"/>
        <v>716</v>
      </c>
      <c r="AX163" s="778">
        <f t="shared" si="614"/>
        <v>716</v>
      </c>
      <c r="AY163" s="778">
        <f t="shared" si="614"/>
        <v>716</v>
      </c>
      <c r="AZ163" s="779">
        <f t="shared" si="614"/>
        <v>716</v>
      </c>
    </row>
    <row r="164" spans="2:52" s="98" customFormat="1" ht="15" customHeight="1">
      <c r="B164" s="181"/>
      <c r="C164" s="185"/>
      <c r="D164" s="185"/>
      <c r="E164" s="182"/>
      <c r="F164" s="182"/>
      <c r="G164" s="184"/>
      <c r="H164" s="184"/>
      <c r="I164" s="117"/>
      <c r="J164" s="713"/>
      <c r="K164" s="714"/>
      <c r="L164" s="714"/>
      <c r="M164" s="714"/>
      <c r="N164" s="714"/>
      <c r="O164" s="714"/>
      <c r="P164" s="714"/>
      <c r="Q164" s="715"/>
      <c r="R164" s="714"/>
      <c r="S164" s="714"/>
      <c r="T164" s="714"/>
      <c r="U164" s="714"/>
      <c r="V164" s="715"/>
      <c r="W164" s="185"/>
      <c r="X164" s="117"/>
      <c r="Y164" s="713"/>
      <c r="Z164" s="714"/>
      <c r="AA164" s="714"/>
      <c r="AB164" s="714"/>
      <c r="AC164" s="714"/>
      <c r="AD164" s="714"/>
      <c r="AE164" s="714"/>
      <c r="AF164" s="715"/>
      <c r="AG164" s="714"/>
      <c r="AH164" s="714"/>
      <c r="AI164" s="714"/>
      <c r="AJ164" s="714"/>
      <c r="AK164" s="715"/>
      <c r="AL164" s="185"/>
      <c r="AM164" s="117"/>
      <c r="AN164" s="878"/>
      <c r="AO164" s="879"/>
      <c r="AP164" s="879"/>
      <c r="AQ164" s="879"/>
      <c r="AR164" s="879"/>
      <c r="AS164" s="879"/>
      <c r="AT164" s="879"/>
      <c r="AU164" s="880"/>
      <c r="AV164" s="879"/>
      <c r="AW164" s="879"/>
      <c r="AX164" s="879"/>
      <c r="AY164" s="879"/>
      <c r="AZ164" s="880"/>
    </row>
    <row r="165" spans="2:52" s="98" customFormat="1" ht="15" customHeight="1">
      <c r="B165" s="161"/>
      <c r="C165" s="180" t="s">
        <v>2228</v>
      </c>
      <c r="D165" s="180"/>
      <c r="E165" s="162"/>
      <c r="F165" s="162"/>
      <c r="G165" s="163"/>
      <c r="H165" s="163"/>
      <c r="I165" s="117"/>
      <c r="J165" s="713"/>
      <c r="K165" s="721"/>
      <c r="L165" s="721"/>
      <c r="M165" s="721"/>
      <c r="N165" s="721"/>
      <c r="O165" s="721"/>
      <c r="P165" s="721"/>
      <c r="Q165" s="715"/>
      <c r="R165" s="713"/>
      <c r="S165" s="721"/>
      <c r="T165" s="721"/>
      <c r="U165" s="721"/>
      <c r="V165" s="715"/>
      <c r="W165" s="185"/>
      <c r="X165" s="117"/>
      <c r="Y165" s="713"/>
      <c r="Z165" s="721"/>
      <c r="AA165" s="721"/>
      <c r="AB165" s="721"/>
      <c r="AC165" s="721"/>
      <c r="AD165" s="721"/>
      <c r="AE165" s="721"/>
      <c r="AF165" s="715"/>
      <c r="AG165" s="713"/>
      <c r="AH165" s="721"/>
      <c r="AI165" s="721"/>
      <c r="AJ165" s="721"/>
      <c r="AK165" s="715"/>
      <c r="AL165" s="185"/>
      <c r="AM165" s="117"/>
      <c r="AN165" s="878"/>
      <c r="AO165" s="881"/>
      <c r="AP165" s="881"/>
      <c r="AQ165" s="881"/>
      <c r="AR165" s="881"/>
      <c r="AS165" s="881"/>
      <c r="AT165" s="881"/>
      <c r="AU165" s="880"/>
      <c r="AV165" s="878"/>
      <c r="AW165" s="881"/>
      <c r="AX165" s="881"/>
      <c r="AY165" s="881"/>
      <c r="AZ165" s="880"/>
    </row>
    <row r="166" spans="2:52" s="98" customFormat="1" ht="15" customHeight="1">
      <c r="B166" s="161"/>
      <c r="C166" s="185"/>
      <c r="D166" s="162" t="s">
        <v>36</v>
      </c>
      <c r="G166" s="162"/>
      <c r="H166" s="163"/>
      <c r="I166" s="164" t="s">
        <v>2145</v>
      </c>
      <c r="J166" s="143">
        <v>0</v>
      </c>
      <c r="K166" s="141">
        <v>0</v>
      </c>
      <c r="L166" s="141">
        <v>0</v>
      </c>
      <c r="M166" s="141">
        <v>0</v>
      </c>
      <c r="N166" s="141">
        <v>0</v>
      </c>
      <c r="O166" s="141">
        <v>0</v>
      </c>
      <c r="P166" s="141">
        <v>0</v>
      </c>
      <c r="Q166" s="144">
        <v>0</v>
      </c>
      <c r="R166" s="143">
        <v>0</v>
      </c>
      <c r="S166" s="141">
        <v>0</v>
      </c>
      <c r="T166" s="141">
        <v>0</v>
      </c>
      <c r="U166" s="141">
        <v>0</v>
      </c>
      <c r="V166" s="144">
        <v>0</v>
      </c>
      <c r="W166" s="185"/>
      <c r="X166" s="164" t="s">
        <v>2145</v>
      </c>
      <c r="Y166" s="143">
        <v>0</v>
      </c>
      <c r="Z166" s="141">
        <v>0</v>
      </c>
      <c r="AA166" s="141">
        <v>0</v>
      </c>
      <c r="AB166" s="141">
        <v>0</v>
      </c>
      <c r="AC166" s="141">
        <v>0</v>
      </c>
      <c r="AD166" s="141">
        <v>0</v>
      </c>
      <c r="AE166" s="141">
        <v>0</v>
      </c>
      <c r="AF166" s="144">
        <v>0</v>
      </c>
      <c r="AG166" s="143">
        <v>0</v>
      </c>
      <c r="AH166" s="141">
        <v>0</v>
      </c>
      <c r="AI166" s="141">
        <v>0</v>
      </c>
      <c r="AJ166" s="141">
        <v>0</v>
      </c>
      <c r="AK166" s="144">
        <v>0</v>
      </c>
      <c r="AL166" s="185"/>
      <c r="AM166" s="164" t="s">
        <v>1876</v>
      </c>
      <c r="AN166" s="165">
        <v>0</v>
      </c>
      <c r="AO166" s="166">
        <v>0</v>
      </c>
      <c r="AP166" s="166">
        <v>0</v>
      </c>
      <c r="AQ166" s="166">
        <v>0</v>
      </c>
      <c r="AR166" s="166">
        <v>0</v>
      </c>
      <c r="AS166" s="166">
        <v>0</v>
      </c>
      <c r="AT166" s="166">
        <v>0</v>
      </c>
      <c r="AU166" s="167">
        <v>0</v>
      </c>
      <c r="AV166" s="165">
        <v>0</v>
      </c>
      <c r="AW166" s="166">
        <v>0</v>
      </c>
      <c r="AX166" s="166">
        <v>0</v>
      </c>
      <c r="AY166" s="166">
        <v>0</v>
      </c>
      <c r="AZ166" s="167">
        <v>0</v>
      </c>
    </row>
    <row r="167" spans="2:52" s="98" customFormat="1" ht="15" customHeight="1">
      <c r="B167" s="161"/>
      <c r="C167" s="185"/>
      <c r="D167" s="162" t="s">
        <v>62</v>
      </c>
      <c r="G167" s="162"/>
      <c r="H167" s="163"/>
      <c r="I167" s="164" t="s">
        <v>2145</v>
      </c>
      <c r="J167" s="143">
        <v>0</v>
      </c>
      <c r="K167" s="141">
        <v>0</v>
      </c>
      <c r="L167" s="141">
        <v>0</v>
      </c>
      <c r="M167" s="141">
        <v>0</v>
      </c>
      <c r="N167" s="141">
        <v>0</v>
      </c>
      <c r="O167" s="141">
        <v>0</v>
      </c>
      <c r="P167" s="141">
        <v>0</v>
      </c>
      <c r="Q167" s="144">
        <v>0</v>
      </c>
      <c r="R167" s="143">
        <v>0</v>
      </c>
      <c r="S167" s="141">
        <v>0</v>
      </c>
      <c r="T167" s="141">
        <v>0</v>
      </c>
      <c r="U167" s="141">
        <v>0</v>
      </c>
      <c r="V167" s="144">
        <v>0</v>
      </c>
      <c r="W167" s="185"/>
      <c r="X167" s="164" t="s">
        <v>2145</v>
      </c>
      <c r="Y167" s="143">
        <v>0</v>
      </c>
      <c r="Z167" s="141">
        <v>0</v>
      </c>
      <c r="AA167" s="141">
        <v>0</v>
      </c>
      <c r="AB167" s="141">
        <v>0</v>
      </c>
      <c r="AC167" s="141">
        <v>0</v>
      </c>
      <c r="AD167" s="141">
        <v>0</v>
      </c>
      <c r="AE167" s="141">
        <v>0</v>
      </c>
      <c r="AF167" s="144">
        <v>0</v>
      </c>
      <c r="AG167" s="143">
        <v>0</v>
      </c>
      <c r="AH167" s="141">
        <v>0</v>
      </c>
      <c r="AI167" s="141">
        <v>0</v>
      </c>
      <c r="AJ167" s="141">
        <v>0</v>
      </c>
      <c r="AK167" s="144">
        <v>0</v>
      </c>
      <c r="AL167" s="185"/>
      <c r="AM167" s="164" t="s">
        <v>1876</v>
      </c>
      <c r="AN167" s="165">
        <v>0</v>
      </c>
      <c r="AO167" s="166">
        <v>0</v>
      </c>
      <c r="AP167" s="166">
        <v>0</v>
      </c>
      <c r="AQ167" s="166">
        <v>0</v>
      </c>
      <c r="AR167" s="166">
        <v>0</v>
      </c>
      <c r="AS167" s="166">
        <v>0</v>
      </c>
      <c r="AT167" s="166">
        <v>0</v>
      </c>
      <c r="AU167" s="167">
        <v>0</v>
      </c>
      <c r="AV167" s="165">
        <v>0</v>
      </c>
      <c r="AW167" s="166">
        <v>0</v>
      </c>
      <c r="AX167" s="166">
        <v>0</v>
      </c>
      <c r="AY167" s="166">
        <v>0</v>
      </c>
      <c r="AZ167" s="167">
        <v>0</v>
      </c>
    </row>
    <row r="168" spans="2:52" s="98" customFormat="1" ht="15" customHeight="1">
      <c r="B168" s="161"/>
      <c r="C168" s="185"/>
      <c r="D168" s="162" t="s">
        <v>71</v>
      </c>
      <c r="G168" s="162"/>
      <c r="H168" s="163"/>
      <c r="I168" s="164" t="s">
        <v>2145</v>
      </c>
      <c r="J168" s="143">
        <v>0</v>
      </c>
      <c r="K168" s="141">
        <v>0</v>
      </c>
      <c r="L168" s="141">
        <v>0</v>
      </c>
      <c r="M168" s="141">
        <v>0</v>
      </c>
      <c r="N168" s="141">
        <v>0</v>
      </c>
      <c r="O168" s="141">
        <v>0</v>
      </c>
      <c r="P168" s="141">
        <v>0</v>
      </c>
      <c r="Q168" s="144">
        <v>0</v>
      </c>
      <c r="R168" s="143">
        <v>0</v>
      </c>
      <c r="S168" s="141">
        <v>0</v>
      </c>
      <c r="T168" s="141">
        <v>0</v>
      </c>
      <c r="U168" s="141">
        <v>0</v>
      </c>
      <c r="V168" s="144">
        <v>0</v>
      </c>
      <c r="W168" s="185"/>
      <c r="X168" s="164" t="s">
        <v>2145</v>
      </c>
      <c r="Y168" s="143">
        <v>0</v>
      </c>
      <c r="Z168" s="141">
        <v>0</v>
      </c>
      <c r="AA168" s="141">
        <v>0</v>
      </c>
      <c r="AB168" s="141">
        <v>0</v>
      </c>
      <c r="AC168" s="141">
        <v>0</v>
      </c>
      <c r="AD168" s="141">
        <v>0</v>
      </c>
      <c r="AE168" s="141">
        <v>0</v>
      </c>
      <c r="AF168" s="144">
        <v>0</v>
      </c>
      <c r="AG168" s="143">
        <v>0</v>
      </c>
      <c r="AH168" s="141">
        <v>0</v>
      </c>
      <c r="AI168" s="141">
        <v>0</v>
      </c>
      <c r="AJ168" s="141">
        <v>0</v>
      </c>
      <c r="AK168" s="144">
        <v>0</v>
      </c>
      <c r="AL168" s="185"/>
      <c r="AM168" s="164" t="s">
        <v>1876</v>
      </c>
      <c r="AN168" s="165">
        <v>0</v>
      </c>
      <c r="AO168" s="166">
        <v>0</v>
      </c>
      <c r="AP168" s="166">
        <v>0</v>
      </c>
      <c r="AQ168" s="166">
        <v>0</v>
      </c>
      <c r="AR168" s="166">
        <v>0</v>
      </c>
      <c r="AS168" s="166">
        <v>0</v>
      </c>
      <c r="AT168" s="166">
        <v>0</v>
      </c>
      <c r="AU168" s="167">
        <v>0</v>
      </c>
      <c r="AV168" s="165">
        <v>0</v>
      </c>
      <c r="AW168" s="166">
        <v>0</v>
      </c>
      <c r="AX168" s="166">
        <v>0</v>
      </c>
      <c r="AY168" s="166">
        <v>0</v>
      </c>
      <c r="AZ168" s="167">
        <v>0</v>
      </c>
    </row>
    <row r="169" spans="2:52" s="98" customFormat="1" ht="15" customHeight="1">
      <c r="B169" s="181"/>
      <c r="C169" s="182" t="s">
        <v>1710</v>
      </c>
      <c r="D169" s="245"/>
      <c r="G169" s="184"/>
      <c r="H169" s="184"/>
      <c r="I169" s="164" t="s">
        <v>2145</v>
      </c>
      <c r="J169" s="128">
        <f>SUM(J166:J168)</f>
        <v>0</v>
      </c>
      <c r="K169" s="129">
        <f t="shared" ref="K169" si="615">SUM(K166:K168)</f>
        <v>0</v>
      </c>
      <c r="L169" s="129">
        <f t="shared" ref="L169" si="616">SUM(L166:L168)</f>
        <v>0</v>
      </c>
      <c r="M169" s="129">
        <f t="shared" ref="M169" si="617">SUM(M166:M168)</f>
        <v>0</v>
      </c>
      <c r="N169" s="129">
        <f t="shared" ref="N169" si="618">SUM(N166:N168)</f>
        <v>0</v>
      </c>
      <c r="O169" s="129">
        <f t="shared" ref="O169" si="619">SUM(O166:O168)</f>
        <v>0</v>
      </c>
      <c r="P169" s="129">
        <f t="shared" ref="P169" si="620">SUM(P166:P168)</f>
        <v>0</v>
      </c>
      <c r="Q169" s="130">
        <f t="shared" ref="Q169" si="621">SUM(Q166:Q168)</f>
        <v>0</v>
      </c>
      <c r="R169" s="128">
        <f t="shared" ref="R169" si="622">SUM(R166:R168)</f>
        <v>0</v>
      </c>
      <c r="S169" s="129">
        <f t="shared" ref="S169" si="623">SUM(S166:S168)</f>
        <v>0</v>
      </c>
      <c r="T169" s="129">
        <f t="shared" ref="T169" si="624">SUM(T166:T168)</f>
        <v>0</v>
      </c>
      <c r="U169" s="129">
        <f t="shared" ref="U169" si="625">SUM(U166:U168)</f>
        <v>0</v>
      </c>
      <c r="V169" s="130">
        <f t="shared" ref="V169" si="626">SUM(V166:V168)</f>
        <v>0</v>
      </c>
      <c r="W169" s="185"/>
      <c r="X169" s="164" t="s">
        <v>2145</v>
      </c>
      <c r="Y169" s="128">
        <f>SUM(Y166:Y168)</f>
        <v>0</v>
      </c>
      <c r="Z169" s="129">
        <f t="shared" ref="Z169" si="627">SUM(Z166:Z168)</f>
        <v>0</v>
      </c>
      <c r="AA169" s="129">
        <f t="shared" ref="AA169" si="628">SUM(AA166:AA168)</f>
        <v>0</v>
      </c>
      <c r="AB169" s="129">
        <f t="shared" ref="AB169" si="629">SUM(AB166:AB168)</f>
        <v>0</v>
      </c>
      <c r="AC169" s="129">
        <f t="shared" ref="AC169" si="630">SUM(AC166:AC168)</f>
        <v>0</v>
      </c>
      <c r="AD169" s="129">
        <f t="shared" ref="AD169" si="631">SUM(AD166:AD168)</f>
        <v>0</v>
      </c>
      <c r="AE169" s="129">
        <f t="shared" ref="AE169" si="632">SUM(AE166:AE168)</f>
        <v>0</v>
      </c>
      <c r="AF169" s="130">
        <f t="shared" ref="AF169" si="633">SUM(AF166:AF168)</f>
        <v>0</v>
      </c>
      <c r="AG169" s="128">
        <f t="shared" ref="AG169" si="634">SUM(AG166:AG168)</f>
        <v>0</v>
      </c>
      <c r="AH169" s="129">
        <f t="shared" ref="AH169" si="635">SUM(AH166:AH168)</f>
        <v>0</v>
      </c>
      <c r="AI169" s="129">
        <f t="shared" ref="AI169" si="636">SUM(AI166:AI168)</f>
        <v>0</v>
      </c>
      <c r="AJ169" s="129">
        <f t="shared" ref="AJ169" si="637">SUM(AJ166:AJ168)</f>
        <v>0</v>
      </c>
      <c r="AK169" s="130">
        <f t="shared" ref="AK169" si="638">SUM(AK166:AK168)</f>
        <v>0</v>
      </c>
      <c r="AL169" s="185"/>
      <c r="AM169" s="164" t="s">
        <v>1876</v>
      </c>
      <c r="AN169" s="777">
        <f>SUM(AN166:AN168)</f>
        <v>0</v>
      </c>
      <c r="AO169" s="778">
        <f t="shared" ref="AO169" si="639">SUM(AO166:AO168)</f>
        <v>0</v>
      </c>
      <c r="AP169" s="778">
        <f t="shared" ref="AP169" si="640">SUM(AP166:AP168)</f>
        <v>0</v>
      </c>
      <c r="AQ169" s="778">
        <f t="shared" ref="AQ169" si="641">SUM(AQ166:AQ168)</f>
        <v>0</v>
      </c>
      <c r="AR169" s="778">
        <f t="shared" ref="AR169" si="642">SUM(AR166:AR168)</f>
        <v>0</v>
      </c>
      <c r="AS169" s="778">
        <f t="shared" ref="AS169" si="643">SUM(AS166:AS168)</f>
        <v>0</v>
      </c>
      <c r="AT169" s="778">
        <f t="shared" ref="AT169" si="644">SUM(AT166:AT168)</f>
        <v>0</v>
      </c>
      <c r="AU169" s="779">
        <f t="shared" ref="AU169" si="645">SUM(AU166:AU168)</f>
        <v>0</v>
      </c>
      <c r="AV169" s="777">
        <f t="shared" ref="AV169" si="646">SUM(AV166:AV168)</f>
        <v>0</v>
      </c>
      <c r="AW169" s="778">
        <f t="shared" ref="AW169" si="647">SUM(AW166:AW168)</f>
        <v>0</v>
      </c>
      <c r="AX169" s="778">
        <f t="shared" ref="AX169" si="648">SUM(AX166:AX168)</f>
        <v>0</v>
      </c>
      <c r="AY169" s="778">
        <f t="shared" ref="AY169" si="649">SUM(AY166:AY168)</f>
        <v>0</v>
      </c>
      <c r="AZ169" s="779">
        <f t="shared" ref="AZ169" si="650">SUM(AZ166:AZ168)</f>
        <v>0</v>
      </c>
    </row>
    <row r="170" spans="2:52" s="98" customFormat="1" ht="15" customHeight="1">
      <c r="B170" s="181"/>
      <c r="C170" s="185"/>
      <c r="D170" s="185"/>
      <c r="E170" s="182"/>
      <c r="F170" s="182"/>
      <c r="G170" s="184"/>
      <c r="H170" s="184"/>
      <c r="I170" s="117"/>
      <c r="J170" s="713"/>
      <c r="K170" s="714"/>
      <c r="L170" s="714"/>
      <c r="M170" s="714"/>
      <c r="N170" s="714"/>
      <c r="O170" s="714"/>
      <c r="P170" s="714"/>
      <c r="Q170" s="715"/>
      <c r="R170" s="714"/>
      <c r="S170" s="714"/>
      <c r="T170" s="714"/>
      <c r="U170" s="714"/>
      <c r="V170" s="715"/>
      <c r="W170" s="185"/>
      <c r="X170" s="117"/>
      <c r="Y170" s="713"/>
      <c r="Z170" s="714"/>
      <c r="AA170" s="714"/>
      <c r="AB170" s="714"/>
      <c r="AC170" s="714"/>
      <c r="AD170" s="714"/>
      <c r="AE170" s="714"/>
      <c r="AF170" s="715"/>
      <c r="AG170" s="714"/>
      <c r="AH170" s="714"/>
      <c r="AI170" s="714"/>
      <c r="AJ170" s="714"/>
      <c r="AK170" s="715"/>
      <c r="AL170" s="185"/>
      <c r="AM170" s="117"/>
      <c r="AN170" s="878"/>
      <c r="AO170" s="879"/>
      <c r="AP170" s="879"/>
      <c r="AQ170" s="879"/>
      <c r="AR170" s="879"/>
      <c r="AS170" s="879"/>
      <c r="AT170" s="879"/>
      <c r="AU170" s="880"/>
      <c r="AV170" s="879"/>
      <c r="AW170" s="879"/>
      <c r="AX170" s="879"/>
      <c r="AY170" s="879"/>
      <c r="AZ170" s="880"/>
    </row>
    <row r="171" spans="2:52" s="98" customFormat="1" ht="15" customHeight="1">
      <c r="B171" s="161"/>
      <c r="C171" s="180" t="s">
        <v>2229</v>
      </c>
      <c r="D171" s="180"/>
      <c r="E171" s="162"/>
      <c r="F171" s="162"/>
      <c r="G171" s="163"/>
      <c r="H171" s="163"/>
      <c r="I171" s="117"/>
      <c r="J171" s="713"/>
      <c r="K171" s="721"/>
      <c r="L171" s="721"/>
      <c r="M171" s="721"/>
      <c r="N171" s="721"/>
      <c r="O171" s="721"/>
      <c r="P171" s="721"/>
      <c r="Q171" s="715"/>
      <c r="R171" s="713"/>
      <c r="S171" s="721"/>
      <c r="T171" s="721"/>
      <c r="U171" s="721"/>
      <c r="V171" s="715"/>
      <c r="W171" s="185"/>
      <c r="X171" s="117"/>
      <c r="Y171" s="713"/>
      <c r="Z171" s="721"/>
      <c r="AA171" s="721"/>
      <c r="AB171" s="721"/>
      <c r="AC171" s="721"/>
      <c r="AD171" s="721"/>
      <c r="AE171" s="721"/>
      <c r="AF171" s="715"/>
      <c r="AG171" s="713"/>
      <c r="AH171" s="721"/>
      <c r="AI171" s="721"/>
      <c r="AJ171" s="721"/>
      <c r="AK171" s="715"/>
      <c r="AL171" s="185"/>
      <c r="AM171" s="117"/>
      <c r="AN171" s="878"/>
      <c r="AO171" s="881"/>
      <c r="AP171" s="881"/>
      <c r="AQ171" s="881"/>
      <c r="AR171" s="881"/>
      <c r="AS171" s="881"/>
      <c r="AT171" s="881"/>
      <c r="AU171" s="880"/>
      <c r="AV171" s="878"/>
      <c r="AW171" s="881"/>
      <c r="AX171" s="881"/>
      <c r="AY171" s="881"/>
      <c r="AZ171" s="880"/>
    </row>
    <row r="172" spans="2:52" s="98" customFormat="1" ht="15" customHeight="1">
      <c r="B172" s="161"/>
      <c r="C172" s="185"/>
      <c r="D172" s="162" t="s">
        <v>85</v>
      </c>
      <c r="G172" s="170" t="s">
        <v>3648</v>
      </c>
      <c r="H172" s="163"/>
      <c r="I172" s="164" t="s">
        <v>2145</v>
      </c>
      <c r="J172" s="143">
        <v>1.1559402985074628E-2</v>
      </c>
      <c r="K172" s="141">
        <v>4.1767578947368416E-3</v>
      </c>
      <c r="L172" s="141">
        <v>3.108072440366972E-3</v>
      </c>
      <c r="M172" s="141">
        <v>1.033019973588643E-2</v>
      </c>
      <c r="N172" s="141">
        <v>2.8139619560356769E-2</v>
      </c>
      <c r="O172" s="141">
        <v>2.7123311696858901E-2</v>
      </c>
      <c r="P172" s="141">
        <v>2.7123311696858901E-2</v>
      </c>
      <c r="Q172" s="144">
        <v>2.7123311696858901E-2</v>
      </c>
      <c r="R172" s="143">
        <v>2.7123311696858901E-2</v>
      </c>
      <c r="S172" s="141">
        <v>2.7123311696858901E-2</v>
      </c>
      <c r="T172" s="141">
        <v>2.7123311696858901E-2</v>
      </c>
      <c r="U172" s="141">
        <v>2.7123311696858901E-2</v>
      </c>
      <c r="V172" s="144">
        <v>2.7123311696858901E-2</v>
      </c>
      <c r="W172" s="185"/>
      <c r="X172" s="164" t="s">
        <v>2145</v>
      </c>
      <c r="Y172" s="143">
        <v>0</v>
      </c>
      <c r="Z172" s="141">
        <v>0</v>
      </c>
      <c r="AA172" s="141">
        <v>0</v>
      </c>
      <c r="AB172" s="141">
        <v>0</v>
      </c>
      <c r="AC172" s="141">
        <v>0</v>
      </c>
      <c r="AD172" s="141">
        <v>0</v>
      </c>
      <c r="AE172" s="141">
        <v>0</v>
      </c>
      <c r="AF172" s="144">
        <v>0</v>
      </c>
      <c r="AG172" s="143">
        <v>0</v>
      </c>
      <c r="AH172" s="141">
        <v>0</v>
      </c>
      <c r="AI172" s="141">
        <v>0</v>
      </c>
      <c r="AJ172" s="141">
        <v>0</v>
      </c>
      <c r="AK172" s="144">
        <v>0</v>
      </c>
      <c r="AL172" s="185"/>
      <c r="AM172" s="164" t="s">
        <v>1876</v>
      </c>
      <c r="AN172" s="165">
        <v>255</v>
      </c>
      <c r="AO172" s="166">
        <v>62</v>
      </c>
      <c r="AP172" s="166">
        <v>48</v>
      </c>
      <c r="AQ172" s="166">
        <v>165</v>
      </c>
      <c r="AR172" s="166">
        <v>426</v>
      </c>
      <c r="AS172" s="166">
        <v>585</v>
      </c>
      <c r="AT172" s="166">
        <v>585</v>
      </c>
      <c r="AU172" s="167">
        <v>585</v>
      </c>
      <c r="AV172" s="165">
        <v>585</v>
      </c>
      <c r="AW172" s="166">
        <v>585</v>
      </c>
      <c r="AX172" s="166">
        <v>585</v>
      </c>
      <c r="AY172" s="166">
        <v>585</v>
      </c>
      <c r="AZ172" s="167">
        <v>585</v>
      </c>
    </row>
    <row r="173" spans="2:52" s="98" customFormat="1" ht="15" customHeight="1">
      <c r="B173" s="161"/>
      <c r="C173" s="185"/>
      <c r="D173" s="162" t="s">
        <v>85</v>
      </c>
      <c r="G173" s="170" t="s">
        <v>3649</v>
      </c>
      <c r="H173" s="163"/>
      <c r="I173" s="164" t="s">
        <v>2145</v>
      </c>
      <c r="J173" s="143">
        <v>1.3656806451208035E-2</v>
      </c>
      <c r="K173" s="141">
        <v>8.0654635208711432E-3</v>
      </c>
      <c r="L173" s="141">
        <v>2.2712837064220179E-3</v>
      </c>
      <c r="M173" s="141">
        <v>4.319247276328821E-3</v>
      </c>
      <c r="N173" s="141">
        <v>1.2629593031026265E-2</v>
      </c>
      <c r="O173" s="141">
        <v>2.4866223699518037E-2</v>
      </c>
      <c r="P173" s="141">
        <v>2.4866223699518037E-2</v>
      </c>
      <c r="Q173" s="144">
        <v>2.4866223699518037E-2</v>
      </c>
      <c r="R173" s="143">
        <v>2.4866223699518037E-2</v>
      </c>
      <c r="S173" s="141">
        <v>2.4866223699518037E-2</v>
      </c>
      <c r="T173" s="141">
        <v>2.4866223699518037E-2</v>
      </c>
      <c r="U173" s="141">
        <v>2.4866223699518037E-2</v>
      </c>
      <c r="V173" s="144">
        <v>2.4866223699518037E-2</v>
      </c>
      <c r="W173" s="185"/>
      <c r="X173" s="164" t="s">
        <v>2145</v>
      </c>
      <c r="Y173" s="143">
        <v>0</v>
      </c>
      <c r="Z173" s="141">
        <v>0</v>
      </c>
      <c r="AA173" s="141">
        <v>0</v>
      </c>
      <c r="AB173" s="141">
        <v>0</v>
      </c>
      <c r="AC173" s="141">
        <v>0</v>
      </c>
      <c r="AD173" s="141">
        <v>0</v>
      </c>
      <c r="AE173" s="141">
        <v>0</v>
      </c>
      <c r="AF173" s="144">
        <v>0</v>
      </c>
      <c r="AG173" s="143">
        <v>0</v>
      </c>
      <c r="AH173" s="141">
        <v>0</v>
      </c>
      <c r="AI173" s="141">
        <v>0</v>
      </c>
      <c r="AJ173" s="141">
        <v>0</v>
      </c>
      <c r="AK173" s="144">
        <v>0</v>
      </c>
      <c r="AL173" s="185"/>
      <c r="AM173" s="164" t="s">
        <v>1876</v>
      </c>
      <c r="AN173" s="165">
        <v>397</v>
      </c>
      <c r="AO173" s="166">
        <v>117</v>
      </c>
      <c r="AP173" s="166">
        <v>37</v>
      </c>
      <c r="AQ173" s="166">
        <v>74</v>
      </c>
      <c r="AR173" s="166">
        <v>183</v>
      </c>
      <c r="AS173" s="166">
        <v>384</v>
      </c>
      <c r="AT173" s="166">
        <v>384</v>
      </c>
      <c r="AU173" s="167">
        <v>384</v>
      </c>
      <c r="AV173" s="165">
        <v>384</v>
      </c>
      <c r="AW173" s="166">
        <v>384</v>
      </c>
      <c r="AX173" s="166">
        <v>384</v>
      </c>
      <c r="AY173" s="166">
        <v>384</v>
      </c>
      <c r="AZ173" s="167">
        <v>384</v>
      </c>
    </row>
    <row r="174" spans="2:52" s="98" customFormat="1" ht="15" customHeight="1">
      <c r="B174" s="161"/>
      <c r="C174" s="185"/>
      <c r="D174" s="162" t="s">
        <v>85</v>
      </c>
      <c r="G174" s="170" t="s">
        <v>3650</v>
      </c>
      <c r="H174" s="163"/>
      <c r="I174" s="164" t="s">
        <v>2145</v>
      </c>
      <c r="J174" s="143">
        <v>4.902857948537187E-2</v>
      </c>
      <c r="K174" s="141">
        <v>4.8428787658802167E-2</v>
      </c>
      <c r="L174" s="141">
        <v>3.8811058422018346E-2</v>
      </c>
      <c r="M174" s="141">
        <v>6.2989022779795317E-2</v>
      </c>
      <c r="N174" s="141">
        <v>3.7630278650923284E-2</v>
      </c>
      <c r="O174" s="141">
        <v>4.0857118324746561E-2</v>
      </c>
      <c r="P174" s="141">
        <v>4.0857118324746561E-2</v>
      </c>
      <c r="Q174" s="144">
        <v>4.0857118324746561E-2</v>
      </c>
      <c r="R174" s="143">
        <v>4.0857118324746561E-2</v>
      </c>
      <c r="S174" s="141">
        <v>4.0857118324746561E-2</v>
      </c>
      <c r="T174" s="141">
        <v>4.0857118324746561E-2</v>
      </c>
      <c r="U174" s="141">
        <v>4.0857118324746561E-2</v>
      </c>
      <c r="V174" s="144">
        <v>4.0857118324746561E-2</v>
      </c>
      <c r="W174" s="185"/>
      <c r="X174" s="164" t="s">
        <v>2145</v>
      </c>
      <c r="Y174" s="143">
        <v>0</v>
      </c>
      <c r="Z174" s="141">
        <v>0</v>
      </c>
      <c r="AA174" s="141">
        <v>0</v>
      </c>
      <c r="AB174" s="141">
        <v>0</v>
      </c>
      <c r="AC174" s="141">
        <v>0</v>
      </c>
      <c r="AD174" s="141">
        <v>0</v>
      </c>
      <c r="AE174" s="141">
        <v>0</v>
      </c>
      <c r="AF174" s="144">
        <v>0</v>
      </c>
      <c r="AG174" s="143">
        <v>0</v>
      </c>
      <c r="AH174" s="141">
        <v>0</v>
      </c>
      <c r="AI174" s="141">
        <v>0</v>
      </c>
      <c r="AJ174" s="141">
        <v>0</v>
      </c>
      <c r="AK174" s="144">
        <v>0</v>
      </c>
      <c r="AL174" s="185"/>
      <c r="AM174" s="164" t="s">
        <v>1876</v>
      </c>
      <c r="AN174" s="165">
        <v>403</v>
      </c>
      <c r="AO174" s="166">
        <v>670</v>
      </c>
      <c r="AP174" s="166">
        <v>523</v>
      </c>
      <c r="AQ174" s="166">
        <v>974</v>
      </c>
      <c r="AR174" s="166">
        <v>539</v>
      </c>
      <c r="AS174" s="166">
        <v>357</v>
      </c>
      <c r="AT174" s="166">
        <v>357</v>
      </c>
      <c r="AU174" s="167">
        <v>357</v>
      </c>
      <c r="AV174" s="165">
        <v>357</v>
      </c>
      <c r="AW174" s="166">
        <v>357</v>
      </c>
      <c r="AX174" s="166">
        <v>357</v>
      </c>
      <c r="AY174" s="166">
        <v>357</v>
      </c>
      <c r="AZ174" s="167">
        <v>357</v>
      </c>
    </row>
    <row r="175" spans="2:52" s="98" customFormat="1" ht="15" customHeight="1">
      <c r="B175" s="161"/>
      <c r="C175" s="185"/>
      <c r="D175" s="162" t="s">
        <v>85</v>
      </c>
      <c r="G175" s="170">
        <v>0</v>
      </c>
      <c r="H175" s="163"/>
      <c r="I175" s="164" t="s">
        <v>2145</v>
      </c>
      <c r="J175" s="143">
        <v>0</v>
      </c>
      <c r="K175" s="141">
        <v>0</v>
      </c>
      <c r="L175" s="141">
        <v>0</v>
      </c>
      <c r="M175" s="141">
        <v>0</v>
      </c>
      <c r="N175" s="141">
        <v>0</v>
      </c>
      <c r="O175" s="141">
        <v>0</v>
      </c>
      <c r="P175" s="141">
        <v>0</v>
      </c>
      <c r="Q175" s="144">
        <v>0</v>
      </c>
      <c r="R175" s="143">
        <v>0</v>
      </c>
      <c r="S175" s="141">
        <v>0</v>
      </c>
      <c r="T175" s="141">
        <v>0</v>
      </c>
      <c r="U175" s="141">
        <v>0</v>
      </c>
      <c r="V175" s="144">
        <v>0</v>
      </c>
      <c r="W175" s="185"/>
      <c r="X175" s="164" t="s">
        <v>2145</v>
      </c>
      <c r="Y175" s="143">
        <v>0</v>
      </c>
      <c r="Z175" s="141">
        <v>0</v>
      </c>
      <c r="AA175" s="141">
        <v>0</v>
      </c>
      <c r="AB175" s="141">
        <v>0</v>
      </c>
      <c r="AC175" s="141">
        <v>0</v>
      </c>
      <c r="AD175" s="141">
        <v>0</v>
      </c>
      <c r="AE175" s="141">
        <v>0</v>
      </c>
      <c r="AF175" s="144">
        <v>0</v>
      </c>
      <c r="AG175" s="143">
        <v>0</v>
      </c>
      <c r="AH175" s="141">
        <v>0</v>
      </c>
      <c r="AI175" s="141">
        <v>0</v>
      </c>
      <c r="AJ175" s="141">
        <v>0</v>
      </c>
      <c r="AK175" s="144">
        <v>0</v>
      </c>
      <c r="AL175" s="185"/>
      <c r="AM175" s="164" t="s">
        <v>1876</v>
      </c>
      <c r="AN175" s="165">
        <v>0</v>
      </c>
      <c r="AO175" s="166">
        <v>0</v>
      </c>
      <c r="AP175" s="166">
        <v>0</v>
      </c>
      <c r="AQ175" s="166">
        <v>0</v>
      </c>
      <c r="AR175" s="166">
        <v>0</v>
      </c>
      <c r="AS175" s="166">
        <v>0</v>
      </c>
      <c r="AT175" s="166">
        <v>0</v>
      </c>
      <c r="AU175" s="167">
        <v>0</v>
      </c>
      <c r="AV175" s="165">
        <v>0</v>
      </c>
      <c r="AW175" s="166">
        <v>0</v>
      </c>
      <c r="AX175" s="166">
        <v>0</v>
      </c>
      <c r="AY175" s="166">
        <v>0</v>
      </c>
      <c r="AZ175" s="167">
        <v>0</v>
      </c>
    </row>
    <row r="176" spans="2:52" s="98" customFormat="1" ht="15" customHeight="1">
      <c r="B176" s="161"/>
      <c r="C176" s="185"/>
      <c r="D176" s="162" t="s">
        <v>85</v>
      </c>
      <c r="G176" s="170">
        <v>0</v>
      </c>
      <c r="H176" s="163"/>
      <c r="I176" s="164" t="s">
        <v>2145</v>
      </c>
      <c r="J176" s="143">
        <v>0</v>
      </c>
      <c r="K176" s="141">
        <v>0</v>
      </c>
      <c r="L176" s="141">
        <v>0</v>
      </c>
      <c r="M176" s="141">
        <v>0</v>
      </c>
      <c r="N176" s="141">
        <v>0</v>
      </c>
      <c r="O176" s="141">
        <v>0</v>
      </c>
      <c r="P176" s="141">
        <v>0</v>
      </c>
      <c r="Q176" s="144">
        <v>0</v>
      </c>
      <c r="R176" s="143">
        <v>0</v>
      </c>
      <c r="S176" s="141">
        <v>0</v>
      </c>
      <c r="T176" s="141">
        <v>0</v>
      </c>
      <c r="U176" s="141">
        <v>0</v>
      </c>
      <c r="V176" s="144">
        <v>0</v>
      </c>
      <c r="W176" s="185"/>
      <c r="X176" s="164" t="s">
        <v>2145</v>
      </c>
      <c r="Y176" s="143">
        <v>0</v>
      </c>
      <c r="Z176" s="141">
        <v>0</v>
      </c>
      <c r="AA176" s="141">
        <v>0</v>
      </c>
      <c r="AB176" s="141">
        <v>0</v>
      </c>
      <c r="AC176" s="141">
        <v>0</v>
      </c>
      <c r="AD176" s="141">
        <v>0</v>
      </c>
      <c r="AE176" s="141">
        <v>0</v>
      </c>
      <c r="AF176" s="144">
        <v>0</v>
      </c>
      <c r="AG176" s="143">
        <v>0</v>
      </c>
      <c r="AH176" s="141">
        <v>0</v>
      </c>
      <c r="AI176" s="141">
        <v>0</v>
      </c>
      <c r="AJ176" s="141">
        <v>0</v>
      </c>
      <c r="AK176" s="144">
        <v>0</v>
      </c>
      <c r="AL176" s="185"/>
      <c r="AM176" s="164" t="s">
        <v>1876</v>
      </c>
      <c r="AN176" s="165">
        <v>0</v>
      </c>
      <c r="AO176" s="166">
        <v>0</v>
      </c>
      <c r="AP176" s="166">
        <v>0</v>
      </c>
      <c r="AQ176" s="166">
        <v>0</v>
      </c>
      <c r="AR176" s="166">
        <v>0</v>
      </c>
      <c r="AS176" s="166">
        <v>0</v>
      </c>
      <c r="AT176" s="166">
        <v>0</v>
      </c>
      <c r="AU176" s="167">
        <v>0</v>
      </c>
      <c r="AV176" s="165">
        <v>0</v>
      </c>
      <c r="AW176" s="166">
        <v>0</v>
      </c>
      <c r="AX176" s="166">
        <v>0</v>
      </c>
      <c r="AY176" s="166">
        <v>0</v>
      </c>
      <c r="AZ176" s="167">
        <v>0</v>
      </c>
    </row>
    <row r="177" spans="1:67" s="98" customFormat="1" ht="15" customHeight="1">
      <c r="B177" s="181"/>
      <c r="C177" s="182" t="s">
        <v>1710</v>
      </c>
      <c r="D177" s="245"/>
      <c r="G177" s="184"/>
      <c r="H177" s="184"/>
      <c r="I177" s="164" t="s">
        <v>2145</v>
      </c>
      <c r="J177" s="128">
        <f>SUM(J172:J176)</f>
        <v>7.4244788921654536E-2</v>
      </c>
      <c r="K177" s="129">
        <f t="shared" ref="K177:V177" si="651">SUM(K172:K176)</f>
        <v>6.067100907441015E-2</v>
      </c>
      <c r="L177" s="129">
        <f t="shared" si="651"/>
        <v>4.4190414568807339E-2</v>
      </c>
      <c r="M177" s="129">
        <f t="shared" si="651"/>
        <v>7.763846979201057E-2</v>
      </c>
      <c r="N177" s="129">
        <f t="shared" si="651"/>
        <v>7.8399491242306316E-2</v>
      </c>
      <c r="O177" s="129">
        <f t="shared" si="651"/>
        <v>9.2846653721123495E-2</v>
      </c>
      <c r="P177" s="129">
        <f t="shared" si="651"/>
        <v>9.2846653721123495E-2</v>
      </c>
      <c r="Q177" s="130">
        <f t="shared" si="651"/>
        <v>9.2846653721123495E-2</v>
      </c>
      <c r="R177" s="128">
        <f t="shared" si="651"/>
        <v>9.2846653721123495E-2</v>
      </c>
      <c r="S177" s="129">
        <f t="shared" si="651"/>
        <v>9.2846653721123495E-2</v>
      </c>
      <c r="T177" s="129">
        <f t="shared" si="651"/>
        <v>9.2846653721123495E-2</v>
      </c>
      <c r="U177" s="129">
        <f t="shared" si="651"/>
        <v>9.2846653721123495E-2</v>
      </c>
      <c r="V177" s="130">
        <f t="shared" si="651"/>
        <v>9.2846653721123495E-2</v>
      </c>
      <c r="W177" s="185"/>
      <c r="X177" s="164" t="s">
        <v>2145</v>
      </c>
      <c r="Y177" s="128">
        <f>SUM(Y172:Y176)</f>
        <v>0</v>
      </c>
      <c r="Z177" s="129">
        <f t="shared" ref="Z177" si="652">SUM(Z172:Z176)</f>
        <v>0</v>
      </c>
      <c r="AA177" s="129">
        <f t="shared" ref="AA177" si="653">SUM(AA172:AA176)</f>
        <v>0</v>
      </c>
      <c r="AB177" s="129">
        <f t="shared" ref="AB177" si="654">SUM(AB172:AB176)</f>
        <v>0</v>
      </c>
      <c r="AC177" s="129">
        <f t="shared" ref="AC177" si="655">SUM(AC172:AC176)</f>
        <v>0</v>
      </c>
      <c r="AD177" s="129">
        <f t="shared" ref="AD177" si="656">SUM(AD172:AD176)</f>
        <v>0</v>
      </c>
      <c r="AE177" s="129">
        <f t="shared" ref="AE177" si="657">SUM(AE172:AE176)</f>
        <v>0</v>
      </c>
      <c r="AF177" s="130">
        <f t="shared" ref="AF177" si="658">SUM(AF172:AF176)</f>
        <v>0</v>
      </c>
      <c r="AG177" s="128">
        <f t="shared" ref="AG177" si="659">SUM(AG172:AG176)</f>
        <v>0</v>
      </c>
      <c r="AH177" s="129">
        <f t="shared" ref="AH177" si="660">SUM(AH172:AH176)</f>
        <v>0</v>
      </c>
      <c r="AI177" s="129">
        <f t="shared" ref="AI177" si="661">SUM(AI172:AI176)</f>
        <v>0</v>
      </c>
      <c r="AJ177" s="129">
        <f t="shared" ref="AJ177" si="662">SUM(AJ172:AJ176)</f>
        <v>0</v>
      </c>
      <c r="AK177" s="130">
        <f t="shared" ref="AK177" si="663">SUM(AK172:AK176)</f>
        <v>0</v>
      </c>
      <c r="AL177" s="185"/>
      <c r="AM177" s="164" t="s">
        <v>1876</v>
      </c>
      <c r="AN177" s="777">
        <f>SUM(AN172:AN176)</f>
        <v>1055</v>
      </c>
      <c r="AO177" s="778">
        <f t="shared" ref="AO177" si="664">SUM(AO172:AO176)</f>
        <v>849</v>
      </c>
      <c r="AP177" s="778">
        <f t="shared" ref="AP177" si="665">SUM(AP172:AP176)</f>
        <v>608</v>
      </c>
      <c r="AQ177" s="778">
        <f t="shared" ref="AQ177" si="666">SUM(AQ172:AQ176)</f>
        <v>1213</v>
      </c>
      <c r="AR177" s="778">
        <f t="shared" ref="AR177" si="667">SUM(AR172:AR176)</f>
        <v>1148</v>
      </c>
      <c r="AS177" s="778">
        <f t="shared" ref="AS177" si="668">SUM(AS172:AS176)</f>
        <v>1326</v>
      </c>
      <c r="AT177" s="778">
        <f t="shared" ref="AT177" si="669">SUM(AT172:AT176)</f>
        <v>1326</v>
      </c>
      <c r="AU177" s="779">
        <f t="shared" ref="AU177" si="670">SUM(AU172:AU176)</f>
        <v>1326</v>
      </c>
      <c r="AV177" s="777">
        <f t="shared" ref="AV177" si="671">SUM(AV172:AV176)</f>
        <v>1326</v>
      </c>
      <c r="AW177" s="778">
        <f t="shared" ref="AW177" si="672">SUM(AW172:AW176)</f>
        <v>1326</v>
      </c>
      <c r="AX177" s="778">
        <f t="shared" ref="AX177" si="673">SUM(AX172:AX176)</f>
        <v>1326</v>
      </c>
      <c r="AY177" s="778">
        <f t="shared" ref="AY177" si="674">SUM(AY172:AY176)</f>
        <v>1326</v>
      </c>
      <c r="AZ177" s="779">
        <f t="shared" ref="AZ177" si="675">SUM(AZ172:AZ176)</f>
        <v>1326</v>
      </c>
    </row>
    <row r="178" spans="1:67" s="98" customFormat="1" ht="15" customHeight="1">
      <c r="B178" s="181"/>
      <c r="C178" s="185"/>
      <c r="D178" s="185"/>
      <c r="E178" s="182"/>
      <c r="F178" s="182"/>
      <c r="G178" s="184"/>
      <c r="H178" s="184"/>
      <c r="I178" s="117"/>
      <c r="J178" s="713"/>
      <c r="K178" s="714"/>
      <c r="L178" s="714"/>
      <c r="M178" s="714"/>
      <c r="N178" s="714"/>
      <c r="O178" s="714"/>
      <c r="P178" s="714"/>
      <c r="Q178" s="715"/>
      <c r="R178" s="714"/>
      <c r="S178" s="714"/>
      <c r="T178" s="714"/>
      <c r="U178" s="714"/>
      <c r="V178" s="715"/>
      <c r="W178" s="185"/>
      <c r="X178" s="117"/>
      <c r="Y178" s="713"/>
      <c r="Z178" s="714"/>
      <c r="AA178" s="714"/>
      <c r="AB178" s="714"/>
      <c r="AC178" s="714"/>
      <c r="AD178" s="714"/>
      <c r="AE178" s="714"/>
      <c r="AF178" s="715"/>
      <c r="AG178" s="714"/>
      <c r="AH178" s="714"/>
      <c r="AI178" s="714"/>
      <c r="AJ178" s="714"/>
      <c r="AK178" s="715"/>
      <c r="AL178" s="185"/>
      <c r="AM178" s="117"/>
      <c r="AN178" s="878"/>
      <c r="AO178" s="879"/>
      <c r="AP178" s="879"/>
      <c r="AQ178" s="879"/>
      <c r="AR178" s="879"/>
      <c r="AS178" s="879"/>
      <c r="AT178" s="879"/>
      <c r="AU178" s="880"/>
      <c r="AV178" s="879"/>
      <c r="AW178" s="879"/>
      <c r="AX178" s="879"/>
      <c r="AY178" s="879"/>
      <c r="AZ178" s="880"/>
    </row>
    <row r="179" spans="1:67" s="98" customFormat="1" ht="15" customHeight="1" thickBot="1">
      <c r="A179" s="99"/>
      <c r="B179" s="239" t="s">
        <v>1701</v>
      </c>
      <c r="C179" s="240"/>
      <c r="D179" s="240"/>
      <c r="E179" s="240"/>
      <c r="F179" s="240"/>
      <c r="G179" s="241"/>
      <c r="H179" s="241"/>
      <c r="I179" s="195" t="s">
        <v>2145</v>
      </c>
      <c r="J179" s="717">
        <f>SUM(J145,J151,J157,J163,J169,J177)</f>
        <v>5.3553839999999978E-2</v>
      </c>
      <c r="K179" s="718">
        <f t="shared" ref="K179:V179" si="676">SUM(K145,K151,K157,K163,K169,K177)</f>
        <v>0.15130479999999999</v>
      </c>
      <c r="L179" s="718">
        <f t="shared" si="676"/>
        <v>0.17038338</v>
      </c>
      <c r="M179" s="718">
        <f t="shared" si="676"/>
        <v>0.47815789254539448</v>
      </c>
      <c r="N179" s="718">
        <f t="shared" si="676"/>
        <v>0.48073943000000013</v>
      </c>
      <c r="O179" s="718">
        <f t="shared" si="676"/>
        <v>0.38150972</v>
      </c>
      <c r="P179" s="718">
        <f t="shared" si="676"/>
        <v>0.38150972</v>
      </c>
      <c r="Q179" s="719">
        <f t="shared" si="676"/>
        <v>0.38150972</v>
      </c>
      <c r="R179" s="717">
        <f t="shared" si="676"/>
        <v>0.38150972</v>
      </c>
      <c r="S179" s="718">
        <f t="shared" si="676"/>
        <v>0.38150972</v>
      </c>
      <c r="T179" s="718">
        <f t="shared" si="676"/>
        <v>0.38150972</v>
      </c>
      <c r="U179" s="718">
        <f t="shared" si="676"/>
        <v>0.38150972</v>
      </c>
      <c r="V179" s="719">
        <f t="shared" si="676"/>
        <v>0.38150972</v>
      </c>
      <c r="W179" s="192"/>
      <c r="X179" s="195" t="s">
        <v>2145</v>
      </c>
      <c r="Y179" s="717">
        <f>SUM(Y145,Y151,Y157,Y163,Y169,Y177)</f>
        <v>0</v>
      </c>
      <c r="Z179" s="718">
        <f t="shared" ref="Z179:AK179" si="677">SUM(Z145,Z151,Z157,Z163,Z169,Z177)</f>
        <v>0</v>
      </c>
      <c r="AA179" s="718">
        <f t="shared" si="677"/>
        <v>0</v>
      </c>
      <c r="AB179" s="718">
        <f t="shared" si="677"/>
        <v>0</v>
      </c>
      <c r="AC179" s="718">
        <f t="shared" si="677"/>
        <v>0</v>
      </c>
      <c r="AD179" s="718">
        <f t="shared" si="677"/>
        <v>0</v>
      </c>
      <c r="AE179" s="718">
        <f t="shared" si="677"/>
        <v>0</v>
      </c>
      <c r="AF179" s="719">
        <f t="shared" si="677"/>
        <v>0</v>
      </c>
      <c r="AG179" s="717">
        <f t="shared" si="677"/>
        <v>0</v>
      </c>
      <c r="AH179" s="718">
        <f t="shared" si="677"/>
        <v>0</v>
      </c>
      <c r="AI179" s="718">
        <f t="shared" si="677"/>
        <v>0</v>
      </c>
      <c r="AJ179" s="718">
        <f t="shared" si="677"/>
        <v>0</v>
      </c>
      <c r="AK179" s="719">
        <f t="shared" si="677"/>
        <v>0</v>
      </c>
      <c r="AL179" s="192"/>
      <c r="AM179" s="164" t="s">
        <v>1876</v>
      </c>
      <c r="AN179" s="717">
        <f>SUM(AN145,AN151,AN157,AN163,AN169,AN177)</f>
        <v>2459</v>
      </c>
      <c r="AO179" s="718">
        <f t="shared" ref="AO179:AZ179" si="678">SUM(AO145,AO151,AO157,AO163,AO169,AO177)</f>
        <v>1614</v>
      </c>
      <c r="AP179" s="718">
        <f t="shared" si="678"/>
        <v>1623</v>
      </c>
      <c r="AQ179" s="718">
        <f t="shared" si="678"/>
        <v>2576</v>
      </c>
      <c r="AR179" s="718">
        <f t="shared" si="678"/>
        <v>2371</v>
      </c>
      <c r="AS179" s="718">
        <f t="shared" si="678"/>
        <v>3237</v>
      </c>
      <c r="AT179" s="718">
        <f t="shared" si="678"/>
        <v>3237</v>
      </c>
      <c r="AU179" s="719">
        <f t="shared" si="678"/>
        <v>3237</v>
      </c>
      <c r="AV179" s="717">
        <f t="shared" si="678"/>
        <v>3237</v>
      </c>
      <c r="AW179" s="718">
        <f t="shared" si="678"/>
        <v>3237</v>
      </c>
      <c r="AX179" s="718">
        <f t="shared" si="678"/>
        <v>3237</v>
      </c>
      <c r="AY179" s="718">
        <f t="shared" si="678"/>
        <v>3237</v>
      </c>
      <c r="AZ179" s="719">
        <f t="shared" si="678"/>
        <v>3237</v>
      </c>
    </row>
    <row r="180" spans="1:67" s="99" customFormat="1" ht="15" customHeight="1" thickBot="1">
      <c r="B180" s="150"/>
      <c r="C180" s="150"/>
      <c r="D180" s="150"/>
      <c r="E180" s="150"/>
      <c r="F180" s="150"/>
      <c r="G180" s="97"/>
      <c r="H180" s="97"/>
      <c r="I180" s="98"/>
      <c r="J180" s="98"/>
      <c r="K180" s="98"/>
      <c r="L180" s="98"/>
      <c r="M180" s="98"/>
      <c r="N180" s="98"/>
      <c r="O180" s="98"/>
      <c r="P180" s="98"/>
      <c r="Q180" s="98"/>
      <c r="R180" s="98"/>
      <c r="S180" s="98"/>
      <c r="T180" s="98"/>
      <c r="U180" s="98"/>
      <c r="V180" s="98"/>
      <c r="AL180" s="98"/>
      <c r="AM180" s="98"/>
      <c r="AN180" s="98"/>
      <c r="AO180" s="98"/>
      <c r="AP180" s="98"/>
      <c r="AQ180" s="98"/>
      <c r="AR180" s="98"/>
      <c r="AS180" s="98"/>
      <c r="AT180" s="98"/>
      <c r="AU180" s="98"/>
      <c r="AV180" s="98"/>
      <c r="AW180" s="98"/>
      <c r="AX180" s="98"/>
      <c r="AY180" s="98"/>
      <c r="AZ180" s="98"/>
      <c r="BA180" s="98"/>
    </row>
    <row r="181" spans="1:67" s="100" customFormat="1" ht="30" customHeight="1" thickBot="1">
      <c r="A181" s="89"/>
      <c r="B181" s="621" t="s">
        <v>2230</v>
      </c>
      <c r="C181" s="102"/>
      <c r="D181" s="102"/>
      <c r="E181" s="102"/>
      <c r="F181" s="102"/>
      <c r="G181" s="103"/>
      <c r="H181" s="103"/>
      <c r="I181" s="1689"/>
      <c r="J181" s="1689"/>
      <c r="K181" s="1689"/>
      <c r="L181" s="1689"/>
      <c r="M181" s="1689"/>
      <c r="N181" s="1689"/>
      <c r="O181" s="1689"/>
      <c r="P181" s="1689"/>
      <c r="Q181" s="1689"/>
      <c r="R181" s="1689"/>
      <c r="S181" s="1689"/>
      <c r="T181" s="1689"/>
      <c r="U181" s="1689"/>
      <c r="V181" s="1689"/>
      <c r="W181" s="103"/>
      <c r="X181" s="1689"/>
      <c r="Y181" s="1689"/>
      <c r="Z181" s="1689"/>
      <c r="AA181" s="1689"/>
      <c r="AB181" s="1689"/>
      <c r="AC181" s="1689"/>
      <c r="AD181" s="1689"/>
      <c r="AE181" s="1689"/>
      <c r="AF181" s="1689"/>
      <c r="AG181" s="1689"/>
      <c r="AH181" s="1689"/>
      <c r="AI181" s="1689"/>
      <c r="AJ181" s="1689"/>
      <c r="AK181" s="1689"/>
      <c r="AL181" s="103"/>
      <c r="AM181" s="105" t="s">
        <v>1869</v>
      </c>
      <c r="AN181" s="106"/>
      <c r="AO181" s="106"/>
      <c r="AP181" s="106"/>
      <c r="AQ181" s="106"/>
      <c r="AR181" s="106"/>
      <c r="AS181" s="106"/>
      <c r="AT181" s="106"/>
      <c r="AU181" s="106"/>
      <c r="AV181" s="105"/>
      <c r="AW181" s="105"/>
      <c r="AX181" s="105"/>
      <c r="AY181" s="105"/>
      <c r="AZ181" s="187"/>
      <c r="BA181" s="103"/>
      <c r="BB181" s="105" t="s">
        <v>2231</v>
      </c>
      <c r="BC181" s="106"/>
      <c r="BD181" s="106"/>
      <c r="BE181" s="106"/>
      <c r="BF181" s="106"/>
      <c r="BG181" s="106"/>
      <c r="BH181" s="106"/>
      <c r="BI181" s="106"/>
      <c r="BJ181" s="106"/>
      <c r="BK181" s="105"/>
      <c r="BL181" s="105"/>
      <c r="BM181" s="105"/>
      <c r="BN181" s="105"/>
      <c r="BO181" s="187"/>
    </row>
    <row r="182" spans="1:67" s="157" customFormat="1" ht="30" customHeight="1">
      <c r="A182" s="99"/>
      <c r="B182" s="109"/>
      <c r="C182" s="110"/>
      <c r="D182" s="110"/>
      <c r="E182" s="110"/>
      <c r="F182" s="110"/>
      <c r="G182" s="111"/>
      <c r="H182" s="111"/>
      <c r="I182" s="1690"/>
      <c r="J182" s="1690"/>
      <c r="K182" s="1690"/>
      <c r="L182" s="1690"/>
      <c r="M182" s="1690"/>
      <c r="N182" s="1690"/>
      <c r="O182" s="1690"/>
      <c r="P182" s="1690"/>
      <c r="Q182" s="1690"/>
      <c r="R182" s="1690"/>
      <c r="S182" s="1690"/>
      <c r="T182" s="1690"/>
      <c r="U182" s="1690"/>
      <c r="V182" s="1690"/>
      <c r="W182" s="222"/>
      <c r="X182" s="1690"/>
      <c r="Y182" s="1690"/>
      <c r="Z182" s="1690"/>
      <c r="AA182" s="1690"/>
      <c r="AB182" s="1690"/>
      <c r="AC182" s="1690"/>
      <c r="AD182" s="1690"/>
      <c r="AE182" s="1690"/>
      <c r="AF182" s="1690"/>
      <c r="AG182" s="1690"/>
      <c r="AH182" s="1690"/>
      <c r="AI182" s="1690"/>
      <c r="AJ182" s="1690"/>
      <c r="AK182" s="1690"/>
      <c r="AL182" s="222"/>
      <c r="AM182" s="117"/>
      <c r="AN182" s="695" t="s">
        <v>1666</v>
      </c>
      <c r="AO182" s="152"/>
      <c r="AP182" s="152"/>
      <c r="AQ182" s="152"/>
      <c r="AR182" s="152"/>
      <c r="AS182" s="152"/>
      <c r="AT182" s="152"/>
      <c r="AU182" s="153"/>
      <c r="AV182" s="696" t="s">
        <v>2</v>
      </c>
      <c r="AW182" s="155"/>
      <c r="AX182" s="155"/>
      <c r="AY182" s="155"/>
      <c r="AZ182" s="156"/>
      <c r="BA182" s="222"/>
      <c r="BB182" s="117"/>
      <c r="BC182" s="787" t="s">
        <v>1666</v>
      </c>
      <c r="BD182" s="152"/>
      <c r="BE182" s="152"/>
      <c r="BF182" s="152"/>
      <c r="BG182" s="152"/>
      <c r="BH182" s="152"/>
      <c r="BI182" s="152"/>
      <c r="BJ182" s="153"/>
      <c r="BK182" s="696" t="s">
        <v>2</v>
      </c>
      <c r="BL182" s="155"/>
      <c r="BM182" s="155"/>
      <c r="BN182" s="155"/>
      <c r="BO182" s="156"/>
    </row>
    <row r="183" spans="1:67" s="98" customFormat="1" ht="15" customHeight="1">
      <c r="A183" s="99"/>
      <c r="B183" s="115"/>
      <c r="C183" s="116"/>
      <c r="D183" s="116"/>
      <c r="E183" s="116"/>
      <c r="F183" s="116"/>
      <c r="G183" s="117"/>
      <c r="H183" s="117"/>
      <c r="I183" s="1691"/>
      <c r="J183" s="1691"/>
      <c r="K183" s="1691"/>
      <c r="L183" s="1691"/>
      <c r="M183" s="1691"/>
      <c r="N183" s="1691"/>
      <c r="O183" s="1691"/>
      <c r="P183" s="1691"/>
      <c r="Q183" s="1691"/>
      <c r="R183" s="1691"/>
      <c r="S183" s="1691"/>
      <c r="T183" s="1691"/>
      <c r="U183" s="1691"/>
      <c r="V183" s="1691"/>
      <c r="W183" s="185"/>
      <c r="X183" s="1691"/>
      <c r="Y183" s="1691"/>
      <c r="Z183" s="1691"/>
      <c r="AA183" s="1691"/>
      <c r="AB183" s="1691"/>
      <c r="AC183" s="1691"/>
      <c r="AD183" s="1691"/>
      <c r="AE183" s="1691"/>
      <c r="AF183" s="1691"/>
      <c r="AG183" s="1691"/>
      <c r="AH183" s="1691"/>
      <c r="AI183" s="1691"/>
      <c r="AJ183" s="1691"/>
      <c r="AK183" s="1691"/>
      <c r="AL183" s="185"/>
      <c r="AM183" s="119" t="s">
        <v>1667</v>
      </c>
      <c r="AN183" s="158" t="s">
        <v>453</v>
      </c>
      <c r="AO183" s="137" t="s">
        <v>455</v>
      </c>
      <c r="AP183" s="137" t="s">
        <v>457</v>
      </c>
      <c r="AQ183" s="137" t="s">
        <v>459</v>
      </c>
      <c r="AR183" s="137" t="s">
        <v>461</v>
      </c>
      <c r="AS183" s="137" t="s">
        <v>463</v>
      </c>
      <c r="AT183" s="137" t="s">
        <v>465</v>
      </c>
      <c r="AU183" s="138" t="s">
        <v>467</v>
      </c>
      <c r="AV183" s="120" t="s">
        <v>469</v>
      </c>
      <c r="AW183" s="121" t="s">
        <v>471</v>
      </c>
      <c r="AX183" s="121" t="s">
        <v>473</v>
      </c>
      <c r="AY183" s="121" t="s">
        <v>475</v>
      </c>
      <c r="AZ183" s="122" t="s">
        <v>477</v>
      </c>
      <c r="BA183" s="185"/>
      <c r="BB183" s="119" t="s">
        <v>1667</v>
      </c>
      <c r="BC183" s="158" t="s">
        <v>453</v>
      </c>
      <c r="BD183" s="137" t="s">
        <v>455</v>
      </c>
      <c r="BE183" s="137" t="s">
        <v>457</v>
      </c>
      <c r="BF183" s="137" t="s">
        <v>459</v>
      </c>
      <c r="BG183" s="137" t="s">
        <v>461</v>
      </c>
      <c r="BH183" s="137" t="s">
        <v>463</v>
      </c>
      <c r="BI183" s="137" t="s">
        <v>465</v>
      </c>
      <c r="BJ183" s="138" t="s">
        <v>467</v>
      </c>
      <c r="BK183" s="120" t="s">
        <v>469</v>
      </c>
      <c r="BL183" s="121" t="s">
        <v>471</v>
      </c>
      <c r="BM183" s="121" t="s">
        <v>473</v>
      </c>
      <c r="BN183" s="121" t="s">
        <v>475</v>
      </c>
      <c r="BO183" s="122" t="s">
        <v>477</v>
      </c>
    </row>
    <row r="184" spans="1:67" s="98" customFormat="1" ht="15" customHeight="1">
      <c r="B184" s="161"/>
      <c r="C184" s="180" t="s">
        <v>2232</v>
      </c>
      <c r="D184" s="180"/>
      <c r="E184" s="162"/>
      <c r="F184" s="162"/>
      <c r="G184" s="163"/>
      <c r="H184" s="163"/>
      <c r="I184" s="1691"/>
      <c r="J184" s="1691"/>
      <c r="K184" s="1691"/>
      <c r="L184" s="1691"/>
      <c r="M184" s="1691"/>
      <c r="N184" s="1691"/>
      <c r="O184" s="1691"/>
      <c r="P184" s="1691"/>
      <c r="Q184" s="1691"/>
      <c r="R184" s="1691"/>
      <c r="S184" s="1691"/>
      <c r="T184" s="1691"/>
      <c r="U184" s="1691"/>
      <c r="V184" s="1691"/>
      <c r="W184" s="185"/>
      <c r="X184" s="1691"/>
      <c r="Y184" s="1691"/>
      <c r="Z184" s="1691"/>
      <c r="AA184" s="1691"/>
      <c r="AB184" s="1691"/>
      <c r="AC184" s="1691"/>
      <c r="AD184" s="1691"/>
      <c r="AE184" s="1691"/>
      <c r="AF184" s="1691"/>
      <c r="AG184" s="1691"/>
      <c r="AH184" s="1691"/>
      <c r="AI184" s="1691"/>
      <c r="AJ184" s="1691"/>
      <c r="AK184" s="1691"/>
      <c r="AL184" s="185"/>
      <c r="AM184" s="117"/>
      <c r="AN184" s="159"/>
      <c r="AO184" s="117"/>
      <c r="AP184" s="117"/>
      <c r="AQ184" s="117"/>
      <c r="AR184" s="117"/>
      <c r="AS184" s="117"/>
      <c r="AT184" s="117"/>
      <c r="AU184" s="160"/>
      <c r="AV184" s="159"/>
      <c r="AW184" s="117"/>
      <c r="AX184" s="117"/>
      <c r="AY184" s="117"/>
      <c r="AZ184" s="160"/>
      <c r="BA184" s="185"/>
      <c r="BB184" s="117"/>
      <c r="BC184" s="159"/>
      <c r="BD184" s="117"/>
      <c r="BE184" s="117"/>
      <c r="BF184" s="117"/>
      <c r="BG184" s="117"/>
      <c r="BH184" s="117"/>
      <c r="BI184" s="117"/>
      <c r="BJ184" s="160"/>
      <c r="BK184" s="159"/>
      <c r="BL184" s="117"/>
      <c r="BM184" s="117"/>
      <c r="BN184" s="117"/>
      <c r="BO184" s="160"/>
    </row>
    <row r="185" spans="1:67" s="98" customFormat="1" ht="15" customHeight="1">
      <c r="B185" s="161"/>
      <c r="C185" s="185"/>
      <c r="D185" s="162" t="s">
        <v>36</v>
      </c>
      <c r="E185" s="185"/>
      <c r="F185" s="185"/>
      <c r="G185" s="162"/>
      <c r="H185" s="163"/>
      <c r="I185" s="1691"/>
      <c r="J185" s="1691"/>
      <c r="K185" s="1691"/>
      <c r="L185" s="1691"/>
      <c r="M185" s="1691"/>
      <c r="N185" s="1691"/>
      <c r="O185" s="1691"/>
      <c r="P185" s="1691"/>
      <c r="Q185" s="1691"/>
      <c r="R185" s="1691"/>
      <c r="S185" s="1691"/>
      <c r="T185" s="1691"/>
      <c r="U185" s="1691"/>
      <c r="V185" s="1691"/>
      <c r="W185" s="185"/>
      <c r="X185" s="1691"/>
      <c r="Y185" s="1691"/>
      <c r="Z185" s="1691"/>
      <c r="AA185" s="1691"/>
      <c r="AB185" s="1691"/>
      <c r="AC185" s="1691"/>
      <c r="AD185" s="1691"/>
      <c r="AE185" s="1691"/>
      <c r="AF185" s="1691"/>
      <c r="AG185" s="1691"/>
      <c r="AH185" s="1691"/>
      <c r="AI185" s="1691"/>
      <c r="AJ185" s="1691"/>
      <c r="AK185" s="1691"/>
      <c r="AL185" s="185"/>
      <c r="AM185" s="164" t="s">
        <v>1876</v>
      </c>
      <c r="AN185" s="165">
        <v>300</v>
      </c>
      <c r="AO185" s="166">
        <v>435</v>
      </c>
      <c r="AP185" s="166">
        <v>859</v>
      </c>
      <c r="AQ185" s="166">
        <v>832</v>
      </c>
      <c r="AR185" s="166">
        <v>898</v>
      </c>
      <c r="AS185" s="166">
        <v>1251</v>
      </c>
      <c r="AT185" s="166">
        <v>1251</v>
      </c>
      <c r="AU185" s="167">
        <v>1251</v>
      </c>
      <c r="AV185" s="165">
        <v>1251</v>
      </c>
      <c r="AW185" s="166">
        <v>1251</v>
      </c>
      <c r="AX185" s="166">
        <v>1251</v>
      </c>
      <c r="AY185" s="166">
        <v>1251</v>
      </c>
      <c r="AZ185" s="167">
        <v>1251</v>
      </c>
      <c r="BA185" s="185"/>
      <c r="BB185" s="164" t="s">
        <v>2233</v>
      </c>
      <c r="BC185" s="143">
        <v>0</v>
      </c>
      <c r="BD185" s="141">
        <v>0</v>
      </c>
      <c r="BE185" s="141">
        <v>0</v>
      </c>
      <c r="BF185" s="141">
        <v>0</v>
      </c>
      <c r="BG185" s="141">
        <v>0</v>
      </c>
      <c r="BH185" s="141">
        <v>0</v>
      </c>
      <c r="BI185" s="141">
        <v>0</v>
      </c>
      <c r="BJ185" s="144">
        <v>0</v>
      </c>
      <c r="BK185" s="143">
        <v>0</v>
      </c>
      <c r="BL185" s="141">
        <v>0</v>
      </c>
      <c r="BM185" s="141">
        <v>0</v>
      </c>
      <c r="BN185" s="141">
        <v>0</v>
      </c>
      <c r="BO185" s="144">
        <v>0</v>
      </c>
    </row>
    <row r="186" spans="1:67" s="98" customFormat="1" ht="15" customHeight="1">
      <c r="B186" s="161"/>
      <c r="C186" s="185"/>
      <c r="D186" s="162" t="s">
        <v>62</v>
      </c>
      <c r="E186" s="185"/>
      <c r="F186" s="185"/>
      <c r="G186" s="162"/>
      <c r="H186" s="163"/>
      <c r="I186" s="1691"/>
      <c r="J186" s="1691"/>
      <c r="K186" s="1691"/>
      <c r="L186" s="1691"/>
      <c r="M186" s="1691"/>
      <c r="N186" s="1691"/>
      <c r="O186" s="1691"/>
      <c r="P186" s="1691"/>
      <c r="Q186" s="1691"/>
      <c r="R186" s="1691"/>
      <c r="S186" s="1691"/>
      <c r="T186" s="1691"/>
      <c r="U186" s="1691"/>
      <c r="V186" s="1691"/>
      <c r="W186" s="185"/>
      <c r="X186" s="1691"/>
      <c r="Y186" s="1691"/>
      <c r="Z186" s="1691"/>
      <c r="AA186" s="1691"/>
      <c r="AB186" s="1691"/>
      <c r="AC186" s="1691"/>
      <c r="AD186" s="1691"/>
      <c r="AE186" s="1691"/>
      <c r="AF186" s="1691"/>
      <c r="AG186" s="1691"/>
      <c r="AH186" s="1691"/>
      <c r="AI186" s="1691"/>
      <c r="AJ186" s="1691"/>
      <c r="AK186" s="1691"/>
      <c r="AL186" s="185"/>
      <c r="AM186" s="164" t="s">
        <v>1876</v>
      </c>
      <c r="AN186" s="165">
        <v>127</v>
      </c>
      <c r="AO186" s="166">
        <v>169</v>
      </c>
      <c r="AP186" s="166">
        <v>320</v>
      </c>
      <c r="AQ186" s="166">
        <v>319</v>
      </c>
      <c r="AR186" s="166">
        <v>266</v>
      </c>
      <c r="AS186" s="166">
        <v>659</v>
      </c>
      <c r="AT186" s="166">
        <v>659</v>
      </c>
      <c r="AU186" s="167">
        <v>659</v>
      </c>
      <c r="AV186" s="165">
        <v>659</v>
      </c>
      <c r="AW186" s="166">
        <v>659</v>
      </c>
      <c r="AX186" s="166">
        <v>659</v>
      </c>
      <c r="AY186" s="166">
        <v>659</v>
      </c>
      <c r="AZ186" s="167">
        <v>659</v>
      </c>
      <c r="BA186" s="185"/>
      <c r="BB186" s="164" t="s">
        <v>2233</v>
      </c>
      <c r="BC186" s="143">
        <v>0</v>
      </c>
      <c r="BD186" s="141">
        <v>0</v>
      </c>
      <c r="BE186" s="141">
        <v>0</v>
      </c>
      <c r="BF186" s="141">
        <v>0</v>
      </c>
      <c r="BG186" s="141">
        <v>0</v>
      </c>
      <c r="BH186" s="141">
        <v>0</v>
      </c>
      <c r="BI186" s="141">
        <v>0</v>
      </c>
      <c r="BJ186" s="144">
        <v>0</v>
      </c>
      <c r="BK186" s="143">
        <v>0</v>
      </c>
      <c r="BL186" s="141">
        <v>0</v>
      </c>
      <c r="BM186" s="141">
        <v>0</v>
      </c>
      <c r="BN186" s="141">
        <v>0</v>
      </c>
      <c r="BO186" s="144">
        <v>0</v>
      </c>
    </row>
    <row r="187" spans="1:67" s="98" customFormat="1" ht="15" customHeight="1">
      <c r="B187" s="161"/>
      <c r="C187" s="185"/>
      <c r="D187" s="162" t="s">
        <v>71</v>
      </c>
      <c r="E187" s="185"/>
      <c r="F187" s="185"/>
      <c r="G187" s="162"/>
      <c r="H187" s="163"/>
      <c r="I187" s="1691"/>
      <c r="J187" s="1691"/>
      <c r="K187" s="1691"/>
      <c r="L187" s="1691"/>
      <c r="M187" s="1691"/>
      <c r="N187" s="1691"/>
      <c r="O187" s="1691"/>
      <c r="P187" s="1691"/>
      <c r="Q187" s="1691"/>
      <c r="R187" s="1691"/>
      <c r="S187" s="1691"/>
      <c r="T187" s="1691"/>
      <c r="U187" s="1691"/>
      <c r="V187" s="1691"/>
      <c r="W187" s="185"/>
      <c r="X187" s="1691"/>
      <c r="Y187" s="1691"/>
      <c r="Z187" s="1691"/>
      <c r="AA187" s="1691"/>
      <c r="AB187" s="1691"/>
      <c r="AC187" s="1691"/>
      <c r="AD187" s="1691"/>
      <c r="AE187" s="1691"/>
      <c r="AF187" s="1691"/>
      <c r="AG187" s="1691"/>
      <c r="AH187" s="1691"/>
      <c r="AI187" s="1691"/>
      <c r="AJ187" s="1691"/>
      <c r="AK187" s="1691"/>
      <c r="AL187" s="185"/>
      <c r="AM187" s="164" t="s">
        <v>1876</v>
      </c>
      <c r="AN187" s="165">
        <v>205</v>
      </c>
      <c r="AO187" s="166">
        <v>275</v>
      </c>
      <c r="AP187" s="166">
        <v>520</v>
      </c>
      <c r="AQ187" s="166">
        <v>553</v>
      </c>
      <c r="AR187" s="166">
        <v>586</v>
      </c>
      <c r="AS187" s="166">
        <v>775</v>
      </c>
      <c r="AT187" s="166">
        <v>775</v>
      </c>
      <c r="AU187" s="167">
        <v>775</v>
      </c>
      <c r="AV187" s="165">
        <v>775</v>
      </c>
      <c r="AW187" s="166">
        <v>775</v>
      </c>
      <c r="AX187" s="166">
        <v>775</v>
      </c>
      <c r="AY187" s="166">
        <v>775</v>
      </c>
      <c r="AZ187" s="167">
        <v>775</v>
      </c>
      <c r="BA187" s="185"/>
      <c r="BB187" s="164" t="s">
        <v>2233</v>
      </c>
      <c r="BC187" s="143">
        <v>0</v>
      </c>
      <c r="BD187" s="141">
        <v>0</v>
      </c>
      <c r="BE187" s="141">
        <v>0</v>
      </c>
      <c r="BF187" s="141">
        <v>0</v>
      </c>
      <c r="BG187" s="141">
        <v>0</v>
      </c>
      <c r="BH187" s="141">
        <v>0</v>
      </c>
      <c r="BI187" s="141">
        <v>0</v>
      </c>
      <c r="BJ187" s="144">
        <v>0</v>
      </c>
      <c r="BK187" s="143">
        <v>0</v>
      </c>
      <c r="BL187" s="141">
        <v>0</v>
      </c>
      <c r="BM187" s="141">
        <v>0</v>
      </c>
      <c r="BN187" s="141">
        <v>0</v>
      </c>
      <c r="BO187" s="144">
        <v>0</v>
      </c>
    </row>
    <row r="188" spans="1:67" s="98" customFormat="1" ht="15" customHeight="1">
      <c r="B188" s="181"/>
      <c r="C188" s="185" t="s">
        <v>1710</v>
      </c>
      <c r="D188" s="245"/>
      <c r="E188" s="185"/>
      <c r="F188" s="185"/>
      <c r="G188" s="184"/>
      <c r="H188" s="184"/>
      <c r="I188" s="1691"/>
      <c r="J188" s="1691"/>
      <c r="K188" s="1691"/>
      <c r="L188" s="1691"/>
      <c r="M188" s="1691"/>
      <c r="N188" s="1691"/>
      <c r="O188" s="1691"/>
      <c r="P188" s="1691"/>
      <c r="Q188" s="1691"/>
      <c r="R188" s="1691"/>
      <c r="S188" s="1691"/>
      <c r="T188" s="1691"/>
      <c r="U188" s="1691"/>
      <c r="V188" s="1691"/>
      <c r="W188" s="185"/>
      <c r="X188" s="1691"/>
      <c r="Y188" s="1691"/>
      <c r="Z188" s="1691"/>
      <c r="AA188" s="1691"/>
      <c r="AB188" s="1691"/>
      <c r="AC188" s="1691"/>
      <c r="AD188" s="1691"/>
      <c r="AE188" s="1691"/>
      <c r="AF188" s="1691"/>
      <c r="AG188" s="1691"/>
      <c r="AH188" s="1691"/>
      <c r="AI188" s="1691"/>
      <c r="AJ188" s="1691"/>
      <c r="AK188" s="1691"/>
      <c r="AL188" s="185"/>
      <c r="AM188" s="164" t="s">
        <v>1876</v>
      </c>
      <c r="AN188" s="777">
        <f>SUM(AN185:AN187)</f>
        <v>632</v>
      </c>
      <c r="AO188" s="778">
        <f t="shared" ref="AO188:AZ188" si="679">SUM(AO185:AO187)</f>
        <v>879</v>
      </c>
      <c r="AP188" s="778">
        <f t="shared" si="679"/>
        <v>1699</v>
      </c>
      <c r="AQ188" s="778">
        <f t="shared" si="679"/>
        <v>1704</v>
      </c>
      <c r="AR188" s="778">
        <f t="shared" si="679"/>
        <v>1750</v>
      </c>
      <c r="AS188" s="778">
        <f t="shared" si="679"/>
        <v>2685</v>
      </c>
      <c r="AT188" s="778">
        <f t="shared" si="679"/>
        <v>2685</v>
      </c>
      <c r="AU188" s="779">
        <f t="shared" si="679"/>
        <v>2685</v>
      </c>
      <c r="AV188" s="777">
        <f t="shared" si="679"/>
        <v>2685</v>
      </c>
      <c r="AW188" s="778">
        <f t="shared" si="679"/>
        <v>2685</v>
      </c>
      <c r="AX188" s="778">
        <f t="shared" si="679"/>
        <v>2685</v>
      </c>
      <c r="AY188" s="778">
        <f t="shared" si="679"/>
        <v>2685</v>
      </c>
      <c r="AZ188" s="779">
        <f t="shared" si="679"/>
        <v>2685</v>
      </c>
      <c r="BA188" s="185"/>
      <c r="BB188" s="164" t="s">
        <v>2233</v>
      </c>
      <c r="BC188" s="128">
        <f>SUM(BC185:BC187)</f>
        <v>0</v>
      </c>
      <c r="BD188" s="129">
        <f t="shared" ref="BD188:BO188" si="680">SUM(BD185:BD187)</f>
        <v>0</v>
      </c>
      <c r="BE188" s="129">
        <f t="shared" si="680"/>
        <v>0</v>
      </c>
      <c r="BF188" s="129">
        <f t="shared" si="680"/>
        <v>0</v>
      </c>
      <c r="BG188" s="129">
        <f t="shared" si="680"/>
        <v>0</v>
      </c>
      <c r="BH188" s="129">
        <f t="shared" si="680"/>
        <v>0</v>
      </c>
      <c r="BI188" s="129">
        <f t="shared" si="680"/>
        <v>0</v>
      </c>
      <c r="BJ188" s="130">
        <f t="shared" si="680"/>
        <v>0</v>
      </c>
      <c r="BK188" s="128">
        <f t="shared" si="680"/>
        <v>0</v>
      </c>
      <c r="BL188" s="129">
        <f t="shared" si="680"/>
        <v>0</v>
      </c>
      <c r="BM188" s="129">
        <f t="shared" si="680"/>
        <v>0</v>
      </c>
      <c r="BN188" s="129">
        <f t="shared" si="680"/>
        <v>0</v>
      </c>
      <c r="BO188" s="130">
        <f t="shared" si="680"/>
        <v>0</v>
      </c>
    </row>
    <row r="189" spans="1:67" s="98" customFormat="1" ht="15" customHeight="1">
      <c r="B189" s="181"/>
      <c r="C189" s="185"/>
      <c r="D189" s="185"/>
      <c r="E189" s="182"/>
      <c r="F189" s="182"/>
      <c r="G189" s="184"/>
      <c r="H189" s="184"/>
      <c r="I189" s="1691"/>
      <c r="J189" s="1691"/>
      <c r="K189" s="1691"/>
      <c r="L189" s="1691"/>
      <c r="M189" s="1691"/>
      <c r="N189" s="1691"/>
      <c r="O189" s="1691"/>
      <c r="P189" s="1691"/>
      <c r="Q189" s="1691"/>
      <c r="R189" s="1691"/>
      <c r="S189" s="1691"/>
      <c r="T189" s="1691"/>
      <c r="U189" s="1691"/>
      <c r="V189" s="1691"/>
      <c r="W189" s="185"/>
      <c r="X189" s="1691"/>
      <c r="Y189" s="1691"/>
      <c r="Z189" s="1691"/>
      <c r="AA189" s="1691"/>
      <c r="AB189" s="1691"/>
      <c r="AC189" s="1691"/>
      <c r="AD189" s="1691"/>
      <c r="AE189" s="1691"/>
      <c r="AF189" s="1691"/>
      <c r="AG189" s="1691"/>
      <c r="AH189" s="1691"/>
      <c r="AI189" s="1691"/>
      <c r="AJ189" s="1691"/>
      <c r="AK189" s="1691"/>
      <c r="AL189" s="185"/>
      <c r="AM189" s="117"/>
      <c r="AN189" s="713"/>
      <c r="AO189" s="714"/>
      <c r="AP189" s="714"/>
      <c r="AQ189" s="714"/>
      <c r="AR189" s="714"/>
      <c r="AS189" s="714"/>
      <c r="AT189" s="714"/>
      <c r="AU189" s="715"/>
      <c r="AV189" s="714"/>
      <c r="AW189" s="714"/>
      <c r="AX189" s="714"/>
      <c r="AY189" s="714"/>
      <c r="AZ189" s="715"/>
      <c r="BA189" s="185"/>
      <c r="BB189" s="117"/>
      <c r="BC189" s="713"/>
      <c r="BD189" s="714"/>
      <c r="BE189" s="714"/>
      <c r="BF189" s="714"/>
      <c r="BG189" s="714"/>
      <c r="BH189" s="714"/>
      <c r="BI189" s="714"/>
      <c r="BJ189" s="715"/>
      <c r="BK189" s="714"/>
      <c r="BL189" s="714"/>
      <c r="BM189" s="714"/>
      <c r="BN189" s="714"/>
      <c r="BO189" s="715"/>
    </row>
    <row r="190" spans="1:67" s="98" customFormat="1" ht="15" customHeight="1">
      <c r="B190" s="161"/>
      <c r="C190" s="180" t="s">
        <v>2234</v>
      </c>
      <c r="D190" s="180"/>
      <c r="E190" s="162"/>
      <c r="F190" s="162"/>
      <c r="G190" s="163"/>
      <c r="H190" s="163"/>
      <c r="I190" s="1691"/>
      <c r="J190" s="1691"/>
      <c r="K190" s="1691"/>
      <c r="L190" s="1691"/>
      <c r="M190" s="1691"/>
      <c r="N190" s="1691"/>
      <c r="O190" s="1691"/>
      <c r="P190" s="1691"/>
      <c r="Q190" s="1691"/>
      <c r="R190" s="1691"/>
      <c r="S190" s="1691"/>
      <c r="T190" s="1691"/>
      <c r="U190" s="1691"/>
      <c r="V190" s="1691"/>
      <c r="W190" s="185"/>
      <c r="X190" s="1691"/>
      <c r="Y190" s="1691"/>
      <c r="Z190" s="1691"/>
      <c r="AA190" s="1691"/>
      <c r="AB190" s="1691"/>
      <c r="AC190" s="1691"/>
      <c r="AD190" s="1691"/>
      <c r="AE190" s="1691"/>
      <c r="AF190" s="1691"/>
      <c r="AG190" s="1691"/>
      <c r="AH190" s="1691"/>
      <c r="AI190" s="1691"/>
      <c r="AJ190" s="1691"/>
      <c r="AK190" s="1691"/>
      <c r="AL190" s="185"/>
      <c r="AM190" s="117"/>
      <c r="AN190" s="713"/>
      <c r="AO190" s="721"/>
      <c r="AP190" s="721"/>
      <c r="AQ190" s="721"/>
      <c r="AR190" s="721"/>
      <c r="AS190" s="721"/>
      <c r="AT190" s="721"/>
      <c r="AU190" s="715"/>
      <c r="AV190" s="713"/>
      <c r="AW190" s="721"/>
      <c r="AX190" s="721"/>
      <c r="AY190" s="721"/>
      <c r="AZ190" s="715"/>
      <c r="BA190" s="185"/>
      <c r="BB190" s="117"/>
      <c r="BC190" s="713"/>
      <c r="BD190" s="721"/>
      <c r="BE190" s="721"/>
      <c r="BF190" s="721"/>
      <c r="BG190" s="721"/>
      <c r="BH190" s="721"/>
      <c r="BI190" s="721"/>
      <c r="BJ190" s="715"/>
      <c r="BK190" s="713"/>
      <c r="BL190" s="721"/>
      <c r="BM190" s="721"/>
      <c r="BN190" s="721"/>
      <c r="BO190" s="715"/>
    </row>
    <row r="191" spans="1:67" s="98" customFormat="1" ht="15" customHeight="1">
      <c r="B191" s="161"/>
      <c r="C191" s="185"/>
      <c r="D191" s="162" t="s">
        <v>36</v>
      </c>
      <c r="E191" s="185"/>
      <c r="F191" s="185"/>
      <c r="G191" s="162"/>
      <c r="H191" s="163"/>
      <c r="I191" s="1691"/>
      <c r="J191" s="1691"/>
      <c r="K191" s="1691"/>
      <c r="L191" s="1691"/>
      <c r="M191" s="1691"/>
      <c r="N191" s="1691"/>
      <c r="O191" s="1691"/>
      <c r="P191" s="1691"/>
      <c r="Q191" s="1691"/>
      <c r="R191" s="1691"/>
      <c r="S191" s="1691"/>
      <c r="T191" s="1691"/>
      <c r="U191" s="1691"/>
      <c r="V191" s="1691"/>
      <c r="W191" s="185"/>
      <c r="X191" s="1691"/>
      <c r="Y191" s="1691"/>
      <c r="Z191" s="1691"/>
      <c r="AA191" s="1691"/>
      <c r="AB191" s="1691"/>
      <c r="AC191" s="1691"/>
      <c r="AD191" s="1691"/>
      <c r="AE191" s="1691"/>
      <c r="AF191" s="1691"/>
      <c r="AG191" s="1691"/>
      <c r="AH191" s="1691"/>
      <c r="AI191" s="1691"/>
      <c r="AJ191" s="1691"/>
      <c r="AK191" s="1691"/>
      <c r="AL191" s="185"/>
      <c r="AM191" s="164" t="s">
        <v>1876</v>
      </c>
      <c r="AN191" s="165">
        <v>0</v>
      </c>
      <c r="AO191" s="166">
        <v>0</v>
      </c>
      <c r="AP191" s="166">
        <v>0</v>
      </c>
      <c r="AQ191" s="166">
        <v>0</v>
      </c>
      <c r="AR191" s="166">
        <v>0</v>
      </c>
      <c r="AS191" s="166">
        <v>0</v>
      </c>
      <c r="AT191" s="166">
        <v>0</v>
      </c>
      <c r="AU191" s="167">
        <v>0</v>
      </c>
      <c r="AV191" s="165">
        <v>0</v>
      </c>
      <c r="AW191" s="166">
        <v>0</v>
      </c>
      <c r="AX191" s="166">
        <v>0</v>
      </c>
      <c r="AY191" s="166">
        <v>0</v>
      </c>
      <c r="AZ191" s="167">
        <v>0</v>
      </c>
      <c r="BA191" s="185"/>
      <c r="BB191" s="164" t="s">
        <v>2233</v>
      </c>
      <c r="BC191" s="143">
        <v>0</v>
      </c>
      <c r="BD191" s="141">
        <v>0</v>
      </c>
      <c r="BE191" s="141">
        <v>0</v>
      </c>
      <c r="BF191" s="141">
        <v>0</v>
      </c>
      <c r="BG191" s="141">
        <v>0</v>
      </c>
      <c r="BH191" s="141">
        <v>0</v>
      </c>
      <c r="BI191" s="141">
        <v>0</v>
      </c>
      <c r="BJ191" s="144">
        <v>0</v>
      </c>
      <c r="BK191" s="143">
        <v>0</v>
      </c>
      <c r="BL191" s="141">
        <v>0</v>
      </c>
      <c r="BM191" s="141">
        <v>0</v>
      </c>
      <c r="BN191" s="141">
        <v>0</v>
      </c>
      <c r="BO191" s="144">
        <v>0</v>
      </c>
    </row>
    <row r="192" spans="1:67" s="98" customFormat="1" ht="15" customHeight="1">
      <c r="B192" s="161"/>
      <c r="C192" s="185"/>
      <c r="D192" s="162" t="s">
        <v>62</v>
      </c>
      <c r="E192" s="185"/>
      <c r="F192" s="185"/>
      <c r="G192" s="162"/>
      <c r="H192" s="163"/>
      <c r="I192" s="1691"/>
      <c r="J192" s="1691"/>
      <c r="K192" s="1691"/>
      <c r="L192" s="1691"/>
      <c r="M192" s="1691"/>
      <c r="N192" s="1691"/>
      <c r="O192" s="1691"/>
      <c r="P192" s="1691"/>
      <c r="Q192" s="1691"/>
      <c r="R192" s="1691"/>
      <c r="S192" s="1691"/>
      <c r="T192" s="1691"/>
      <c r="U192" s="1691"/>
      <c r="V192" s="1691"/>
      <c r="W192" s="185"/>
      <c r="X192" s="1691"/>
      <c r="Y192" s="1691"/>
      <c r="Z192" s="1691"/>
      <c r="AA192" s="1691"/>
      <c r="AB192" s="1691"/>
      <c r="AC192" s="1691"/>
      <c r="AD192" s="1691"/>
      <c r="AE192" s="1691"/>
      <c r="AF192" s="1691"/>
      <c r="AG192" s="1691"/>
      <c r="AH192" s="1691"/>
      <c r="AI192" s="1691"/>
      <c r="AJ192" s="1691"/>
      <c r="AK192" s="1691"/>
      <c r="AL192" s="185"/>
      <c r="AM192" s="164" t="s">
        <v>1876</v>
      </c>
      <c r="AN192" s="165">
        <v>0</v>
      </c>
      <c r="AO192" s="166">
        <v>0</v>
      </c>
      <c r="AP192" s="166">
        <v>0</v>
      </c>
      <c r="AQ192" s="166">
        <v>0</v>
      </c>
      <c r="AR192" s="166">
        <v>0</v>
      </c>
      <c r="AS192" s="166">
        <v>0</v>
      </c>
      <c r="AT192" s="166">
        <v>0</v>
      </c>
      <c r="AU192" s="167">
        <v>0</v>
      </c>
      <c r="AV192" s="165">
        <v>0</v>
      </c>
      <c r="AW192" s="166">
        <v>0</v>
      </c>
      <c r="AX192" s="166">
        <v>0</v>
      </c>
      <c r="AY192" s="166">
        <v>0</v>
      </c>
      <c r="AZ192" s="167">
        <v>0</v>
      </c>
      <c r="BA192" s="185"/>
      <c r="BB192" s="164" t="s">
        <v>2233</v>
      </c>
      <c r="BC192" s="143">
        <v>0</v>
      </c>
      <c r="BD192" s="141">
        <v>0</v>
      </c>
      <c r="BE192" s="141">
        <v>0</v>
      </c>
      <c r="BF192" s="141">
        <v>0</v>
      </c>
      <c r="BG192" s="141">
        <v>0</v>
      </c>
      <c r="BH192" s="141">
        <v>0</v>
      </c>
      <c r="BI192" s="141">
        <v>0</v>
      </c>
      <c r="BJ192" s="144">
        <v>0</v>
      </c>
      <c r="BK192" s="143">
        <v>0</v>
      </c>
      <c r="BL192" s="141">
        <v>0</v>
      </c>
      <c r="BM192" s="141">
        <v>0</v>
      </c>
      <c r="BN192" s="141">
        <v>0</v>
      </c>
      <c r="BO192" s="144">
        <v>0</v>
      </c>
    </row>
    <row r="193" spans="2:67" s="98" customFormat="1" ht="15" customHeight="1">
      <c r="B193" s="161"/>
      <c r="C193" s="185"/>
      <c r="D193" s="162" t="s">
        <v>71</v>
      </c>
      <c r="E193" s="185"/>
      <c r="F193" s="185"/>
      <c r="G193" s="162"/>
      <c r="H193" s="163"/>
      <c r="I193" s="1691"/>
      <c r="J193" s="1691"/>
      <c r="K193" s="1691"/>
      <c r="L193" s="1691"/>
      <c r="M193" s="1691"/>
      <c r="N193" s="1691"/>
      <c r="O193" s="1691"/>
      <c r="P193" s="1691"/>
      <c r="Q193" s="1691"/>
      <c r="R193" s="1691"/>
      <c r="S193" s="1691"/>
      <c r="T193" s="1691"/>
      <c r="U193" s="1691"/>
      <c r="V193" s="1691"/>
      <c r="W193" s="185"/>
      <c r="X193" s="1691"/>
      <c r="Y193" s="1691"/>
      <c r="Z193" s="1691"/>
      <c r="AA193" s="1691"/>
      <c r="AB193" s="1691"/>
      <c r="AC193" s="1691"/>
      <c r="AD193" s="1691"/>
      <c r="AE193" s="1691"/>
      <c r="AF193" s="1691"/>
      <c r="AG193" s="1691"/>
      <c r="AH193" s="1691"/>
      <c r="AI193" s="1691"/>
      <c r="AJ193" s="1691"/>
      <c r="AK193" s="1691"/>
      <c r="AL193" s="185"/>
      <c r="AM193" s="164" t="s">
        <v>1876</v>
      </c>
      <c r="AN193" s="165">
        <v>0</v>
      </c>
      <c r="AO193" s="166">
        <v>0</v>
      </c>
      <c r="AP193" s="166">
        <v>0</v>
      </c>
      <c r="AQ193" s="166">
        <v>0</v>
      </c>
      <c r="AR193" s="166">
        <v>0</v>
      </c>
      <c r="AS193" s="166">
        <v>0</v>
      </c>
      <c r="AT193" s="166">
        <v>0</v>
      </c>
      <c r="AU193" s="167">
        <v>0</v>
      </c>
      <c r="AV193" s="165">
        <v>0</v>
      </c>
      <c r="AW193" s="166">
        <v>0</v>
      </c>
      <c r="AX193" s="166">
        <v>0</v>
      </c>
      <c r="AY193" s="166">
        <v>0</v>
      </c>
      <c r="AZ193" s="167">
        <v>0</v>
      </c>
      <c r="BA193" s="185"/>
      <c r="BB193" s="164" t="s">
        <v>2233</v>
      </c>
      <c r="BC193" s="143">
        <v>0</v>
      </c>
      <c r="BD193" s="141">
        <v>0</v>
      </c>
      <c r="BE193" s="141">
        <v>0</v>
      </c>
      <c r="BF193" s="141">
        <v>0</v>
      </c>
      <c r="BG193" s="141">
        <v>0</v>
      </c>
      <c r="BH193" s="141">
        <v>0</v>
      </c>
      <c r="BI193" s="141">
        <v>0</v>
      </c>
      <c r="BJ193" s="144">
        <v>0</v>
      </c>
      <c r="BK193" s="143">
        <v>0</v>
      </c>
      <c r="BL193" s="141">
        <v>0</v>
      </c>
      <c r="BM193" s="141">
        <v>0</v>
      </c>
      <c r="BN193" s="141">
        <v>0</v>
      </c>
      <c r="BO193" s="144">
        <v>0</v>
      </c>
    </row>
    <row r="194" spans="2:67" s="98" customFormat="1" ht="15" customHeight="1">
      <c r="B194" s="181"/>
      <c r="C194" s="185" t="s">
        <v>1710</v>
      </c>
      <c r="D194" s="245"/>
      <c r="E194" s="185"/>
      <c r="F194" s="185"/>
      <c r="G194" s="184"/>
      <c r="H194" s="184"/>
      <c r="I194" s="1691"/>
      <c r="J194" s="1691"/>
      <c r="K194" s="1691"/>
      <c r="L194" s="1691"/>
      <c r="M194" s="1691"/>
      <c r="N194" s="1691"/>
      <c r="O194" s="1691"/>
      <c r="P194" s="1691"/>
      <c r="Q194" s="1691"/>
      <c r="R194" s="1691"/>
      <c r="S194" s="1691"/>
      <c r="T194" s="1691"/>
      <c r="U194" s="1691"/>
      <c r="V194" s="1691"/>
      <c r="W194" s="185"/>
      <c r="X194" s="1691"/>
      <c r="Y194" s="1691"/>
      <c r="Z194" s="1691"/>
      <c r="AA194" s="1691"/>
      <c r="AB194" s="1691"/>
      <c r="AC194" s="1691"/>
      <c r="AD194" s="1691"/>
      <c r="AE194" s="1691"/>
      <c r="AF194" s="1691"/>
      <c r="AG194" s="1691"/>
      <c r="AH194" s="1691"/>
      <c r="AI194" s="1691"/>
      <c r="AJ194" s="1691"/>
      <c r="AK194" s="1691"/>
      <c r="AL194" s="185"/>
      <c r="AM194" s="164" t="s">
        <v>1876</v>
      </c>
      <c r="AN194" s="777">
        <f>SUM(AN191:AN193)</f>
        <v>0</v>
      </c>
      <c r="AO194" s="778">
        <f t="shared" ref="AO194" si="681">SUM(AO191:AO193)</f>
        <v>0</v>
      </c>
      <c r="AP194" s="778">
        <f t="shared" ref="AP194" si="682">SUM(AP191:AP193)</f>
        <v>0</v>
      </c>
      <c r="AQ194" s="778">
        <f t="shared" ref="AQ194" si="683">SUM(AQ191:AQ193)</f>
        <v>0</v>
      </c>
      <c r="AR194" s="778">
        <f t="shared" ref="AR194" si="684">SUM(AR191:AR193)</f>
        <v>0</v>
      </c>
      <c r="AS194" s="778">
        <f t="shared" ref="AS194" si="685">SUM(AS191:AS193)</f>
        <v>0</v>
      </c>
      <c r="AT194" s="778">
        <f t="shared" ref="AT194" si="686">SUM(AT191:AT193)</f>
        <v>0</v>
      </c>
      <c r="AU194" s="779">
        <f t="shared" ref="AU194" si="687">SUM(AU191:AU193)</f>
        <v>0</v>
      </c>
      <c r="AV194" s="777">
        <f t="shared" ref="AV194" si="688">SUM(AV191:AV193)</f>
        <v>0</v>
      </c>
      <c r="AW194" s="778">
        <f t="shared" ref="AW194" si="689">SUM(AW191:AW193)</f>
        <v>0</v>
      </c>
      <c r="AX194" s="778">
        <f t="shared" ref="AX194" si="690">SUM(AX191:AX193)</f>
        <v>0</v>
      </c>
      <c r="AY194" s="778">
        <f t="shared" ref="AY194" si="691">SUM(AY191:AY193)</f>
        <v>0</v>
      </c>
      <c r="AZ194" s="779">
        <f t="shared" ref="AZ194" si="692">SUM(AZ191:AZ193)</f>
        <v>0</v>
      </c>
      <c r="BA194" s="185"/>
      <c r="BB194" s="164" t="s">
        <v>2233</v>
      </c>
      <c r="BC194" s="128">
        <f>SUM(BC191:BC193)</f>
        <v>0</v>
      </c>
      <c r="BD194" s="129">
        <f t="shared" ref="BD194" si="693">SUM(BD191:BD193)</f>
        <v>0</v>
      </c>
      <c r="BE194" s="129">
        <f t="shared" ref="BE194" si="694">SUM(BE191:BE193)</f>
        <v>0</v>
      </c>
      <c r="BF194" s="129">
        <f t="shared" ref="BF194" si="695">SUM(BF191:BF193)</f>
        <v>0</v>
      </c>
      <c r="BG194" s="129">
        <f t="shared" ref="BG194" si="696">SUM(BG191:BG193)</f>
        <v>0</v>
      </c>
      <c r="BH194" s="129">
        <f t="shared" ref="BH194" si="697">SUM(BH191:BH193)</f>
        <v>0</v>
      </c>
      <c r="BI194" s="129">
        <f t="shared" ref="BI194" si="698">SUM(BI191:BI193)</f>
        <v>0</v>
      </c>
      <c r="BJ194" s="130">
        <f t="shared" ref="BJ194" si="699">SUM(BJ191:BJ193)</f>
        <v>0</v>
      </c>
      <c r="BK194" s="128">
        <f t="shared" ref="BK194" si="700">SUM(BK191:BK193)</f>
        <v>0</v>
      </c>
      <c r="BL194" s="129">
        <f t="shared" ref="BL194" si="701">SUM(BL191:BL193)</f>
        <v>0</v>
      </c>
      <c r="BM194" s="129">
        <f t="shared" ref="BM194" si="702">SUM(BM191:BM193)</f>
        <v>0</v>
      </c>
      <c r="BN194" s="129">
        <f t="shared" ref="BN194" si="703">SUM(BN191:BN193)</f>
        <v>0</v>
      </c>
      <c r="BO194" s="130">
        <f t="shared" ref="BO194" si="704">SUM(BO191:BO193)</f>
        <v>0</v>
      </c>
    </row>
    <row r="195" spans="2:67" s="98" customFormat="1" ht="15" customHeight="1">
      <c r="B195" s="181"/>
      <c r="C195" s="185"/>
      <c r="D195" s="185"/>
      <c r="E195" s="182"/>
      <c r="F195" s="182"/>
      <c r="G195" s="184"/>
      <c r="H195" s="184"/>
      <c r="I195" s="1691"/>
      <c r="J195" s="1691"/>
      <c r="K195" s="1691"/>
      <c r="L195" s="1691"/>
      <c r="M195" s="1691"/>
      <c r="N195" s="1691"/>
      <c r="O195" s="1691"/>
      <c r="P195" s="1691"/>
      <c r="Q195" s="1691"/>
      <c r="R195" s="1691"/>
      <c r="S195" s="1691"/>
      <c r="T195" s="1691"/>
      <c r="U195" s="1691"/>
      <c r="V195" s="1691"/>
      <c r="W195" s="185"/>
      <c r="X195" s="1691"/>
      <c r="Y195" s="1691"/>
      <c r="Z195" s="1691"/>
      <c r="AA195" s="1691"/>
      <c r="AB195" s="1691"/>
      <c r="AC195" s="1691"/>
      <c r="AD195" s="1691"/>
      <c r="AE195" s="1691"/>
      <c r="AF195" s="1691"/>
      <c r="AG195" s="1691"/>
      <c r="AH195" s="1691"/>
      <c r="AI195" s="1691"/>
      <c r="AJ195" s="1691"/>
      <c r="AK195" s="1691"/>
      <c r="AL195" s="185"/>
      <c r="AM195" s="117"/>
      <c r="AN195" s="878"/>
      <c r="AO195" s="879"/>
      <c r="AP195" s="879"/>
      <c r="AQ195" s="879"/>
      <c r="AR195" s="879"/>
      <c r="AS195" s="879"/>
      <c r="AT195" s="879"/>
      <c r="AU195" s="880"/>
      <c r="AV195" s="879"/>
      <c r="AW195" s="879"/>
      <c r="AX195" s="879"/>
      <c r="AY195" s="879"/>
      <c r="AZ195" s="880"/>
      <c r="BA195" s="185"/>
      <c r="BB195" s="117"/>
      <c r="BC195" s="713"/>
      <c r="BD195" s="714"/>
      <c r="BE195" s="714"/>
      <c r="BF195" s="714"/>
      <c r="BG195" s="714"/>
      <c r="BH195" s="714"/>
      <c r="BI195" s="714"/>
      <c r="BJ195" s="715"/>
      <c r="BK195" s="714"/>
      <c r="BL195" s="714"/>
      <c r="BM195" s="714"/>
      <c r="BN195" s="714"/>
      <c r="BO195" s="715"/>
    </row>
    <row r="196" spans="2:67" s="98" customFormat="1" ht="15" customHeight="1">
      <c r="B196" s="161"/>
      <c r="C196" s="180" t="s">
        <v>2235</v>
      </c>
      <c r="D196" s="180"/>
      <c r="E196" s="162"/>
      <c r="F196" s="162"/>
      <c r="G196" s="163"/>
      <c r="H196" s="163"/>
      <c r="I196" s="1691"/>
      <c r="J196" s="1691"/>
      <c r="K196" s="1691"/>
      <c r="L196" s="1691"/>
      <c r="M196" s="1691"/>
      <c r="N196" s="1691"/>
      <c r="O196" s="1691"/>
      <c r="P196" s="1691"/>
      <c r="Q196" s="1691"/>
      <c r="R196" s="1691"/>
      <c r="S196" s="1691"/>
      <c r="T196" s="1691"/>
      <c r="U196" s="1691"/>
      <c r="V196" s="1691"/>
      <c r="W196" s="185"/>
      <c r="X196" s="1691"/>
      <c r="Y196" s="1691"/>
      <c r="Z196" s="1691"/>
      <c r="AA196" s="1691"/>
      <c r="AB196" s="1691"/>
      <c r="AC196" s="1691"/>
      <c r="AD196" s="1691"/>
      <c r="AE196" s="1691"/>
      <c r="AF196" s="1691"/>
      <c r="AG196" s="1691"/>
      <c r="AH196" s="1691"/>
      <c r="AI196" s="1691"/>
      <c r="AJ196" s="1691"/>
      <c r="AK196" s="1691"/>
      <c r="AL196" s="185"/>
      <c r="AM196" s="117"/>
      <c r="AN196" s="878"/>
      <c r="AO196" s="881"/>
      <c r="AP196" s="881"/>
      <c r="AQ196" s="881"/>
      <c r="AR196" s="881"/>
      <c r="AS196" s="881"/>
      <c r="AT196" s="881"/>
      <c r="AU196" s="880"/>
      <c r="AV196" s="878"/>
      <c r="AW196" s="881"/>
      <c r="AX196" s="881"/>
      <c r="AY196" s="881"/>
      <c r="AZ196" s="880"/>
      <c r="BA196" s="185"/>
      <c r="BB196" s="117"/>
      <c r="BC196" s="713"/>
      <c r="BD196" s="721"/>
      <c r="BE196" s="721"/>
      <c r="BF196" s="721"/>
      <c r="BG196" s="721"/>
      <c r="BH196" s="721"/>
      <c r="BI196" s="721"/>
      <c r="BJ196" s="715"/>
      <c r="BK196" s="713"/>
      <c r="BL196" s="721"/>
      <c r="BM196" s="721"/>
      <c r="BN196" s="721"/>
      <c r="BO196" s="715"/>
    </row>
    <row r="197" spans="2:67" s="98" customFormat="1" ht="15" customHeight="1">
      <c r="B197" s="161"/>
      <c r="C197" s="185"/>
      <c r="D197" s="162" t="s">
        <v>36</v>
      </c>
      <c r="E197" s="185"/>
      <c r="F197" s="185"/>
      <c r="G197" s="162"/>
      <c r="H197" s="163"/>
      <c r="I197" s="1691"/>
      <c r="J197" s="1691"/>
      <c r="K197" s="1691"/>
      <c r="L197" s="1691"/>
      <c r="M197" s="1691"/>
      <c r="N197" s="1691"/>
      <c r="O197" s="1691"/>
      <c r="P197" s="1691"/>
      <c r="Q197" s="1691"/>
      <c r="R197" s="1691"/>
      <c r="S197" s="1691"/>
      <c r="T197" s="1691"/>
      <c r="U197" s="1691"/>
      <c r="V197" s="1691"/>
      <c r="W197" s="185"/>
      <c r="X197" s="1691"/>
      <c r="Y197" s="1691"/>
      <c r="Z197" s="1691"/>
      <c r="AA197" s="1691"/>
      <c r="AB197" s="1691"/>
      <c r="AC197" s="1691"/>
      <c r="AD197" s="1691"/>
      <c r="AE197" s="1691"/>
      <c r="AF197" s="1691"/>
      <c r="AG197" s="1691"/>
      <c r="AH197" s="1691"/>
      <c r="AI197" s="1691"/>
      <c r="AJ197" s="1691"/>
      <c r="AK197" s="1691"/>
      <c r="AL197" s="185"/>
      <c r="AM197" s="164" t="s">
        <v>1876</v>
      </c>
      <c r="AN197" s="165">
        <v>0</v>
      </c>
      <c r="AO197" s="166">
        <v>0</v>
      </c>
      <c r="AP197" s="166">
        <v>0</v>
      </c>
      <c r="AQ197" s="166">
        <v>0</v>
      </c>
      <c r="AR197" s="166">
        <v>0</v>
      </c>
      <c r="AS197" s="166">
        <v>0</v>
      </c>
      <c r="AT197" s="166">
        <v>0</v>
      </c>
      <c r="AU197" s="167">
        <v>0</v>
      </c>
      <c r="AV197" s="165">
        <v>0</v>
      </c>
      <c r="AW197" s="166">
        <v>0</v>
      </c>
      <c r="AX197" s="166">
        <v>0</v>
      </c>
      <c r="AY197" s="166">
        <v>0</v>
      </c>
      <c r="AZ197" s="167">
        <v>0</v>
      </c>
      <c r="BA197" s="185"/>
      <c r="BB197" s="164" t="s">
        <v>2233</v>
      </c>
      <c r="BC197" s="143">
        <v>0</v>
      </c>
      <c r="BD197" s="141">
        <v>0</v>
      </c>
      <c r="BE197" s="141">
        <v>0</v>
      </c>
      <c r="BF197" s="141">
        <v>0</v>
      </c>
      <c r="BG197" s="141">
        <v>0</v>
      </c>
      <c r="BH197" s="141">
        <v>0</v>
      </c>
      <c r="BI197" s="141">
        <v>0</v>
      </c>
      <c r="BJ197" s="144">
        <v>0</v>
      </c>
      <c r="BK197" s="143">
        <v>0</v>
      </c>
      <c r="BL197" s="141">
        <v>0</v>
      </c>
      <c r="BM197" s="141">
        <v>0</v>
      </c>
      <c r="BN197" s="141">
        <v>0</v>
      </c>
      <c r="BO197" s="144">
        <v>0</v>
      </c>
    </row>
    <row r="198" spans="2:67" s="98" customFormat="1" ht="15" customHeight="1">
      <c r="B198" s="161"/>
      <c r="C198" s="185"/>
      <c r="D198" s="162" t="s">
        <v>62</v>
      </c>
      <c r="E198" s="185"/>
      <c r="F198" s="185"/>
      <c r="G198" s="162"/>
      <c r="H198" s="163"/>
      <c r="I198" s="1691"/>
      <c r="J198" s="1691"/>
      <c r="K198" s="1691"/>
      <c r="L198" s="1691"/>
      <c r="M198" s="1691"/>
      <c r="N198" s="1691"/>
      <c r="O198" s="1691"/>
      <c r="P198" s="1691"/>
      <c r="Q198" s="1691"/>
      <c r="R198" s="1691"/>
      <c r="S198" s="1691"/>
      <c r="T198" s="1691"/>
      <c r="U198" s="1691"/>
      <c r="V198" s="1691"/>
      <c r="W198" s="185"/>
      <c r="X198" s="1691"/>
      <c r="Y198" s="1691"/>
      <c r="Z198" s="1691"/>
      <c r="AA198" s="1691"/>
      <c r="AB198" s="1691"/>
      <c r="AC198" s="1691"/>
      <c r="AD198" s="1691"/>
      <c r="AE198" s="1691"/>
      <c r="AF198" s="1691"/>
      <c r="AG198" s="1691"/>
      <c r="AH198" s="1691"/>
      <c r="AI198" s="1691"/>
      <c r="AJ198" s="1691"/>
      <c r="AK198" s="1691"/>
      <c r="AL198" s="185"/>
      <c r="AM198" s="164" t="s">
        <v>1876</v>
      </c>
      <c r="AN198" s="165">
        <v>0</v>
      </c>
      <c r="AO198" s="166">
        <v>0</v>
      </c>
      <c r="AP198" s="166">
        <v>0</v>
      </c>
      <c r="AQ198" s="166">
        <v>0</v>
      </c>
      <c r="AR198" s="166">
        <v>0</v>
      </c>
      <c r="AS198" s="166">
        <v>0</v>
      </c>
      <c r="AT198" s="166">
        <v>0</v>
      </c>
      <c r="AU198" s="167">
        <v>0</v>
      </c>
      <c r="AV198" s="165">
        <v>0</v>
      </c>
      <c r="AW198" s="166">
        <v>0</v>
      </c>
      <c r="AX198" s="166">
        <v>0</v>
      </c>
      <c r="AY198" s="166">
        <v>0</v>
      </c>
      <c r="AZ198" s="167">
        <v>0</v>
      </c>
      <c r="BA198" s="185"/>
      <c r="BB198" s="164" t="s">
        <v>2233</v>
      </c>
      <c r="BC198" s="143">
        <v>0</v>
      </c>
      <c r="BD198" s="141">
        <v>0</v>
      </c>
      <c r="BE198" s="141">
        <v>0</v>
      </c>
      <c r="BF198" s="141">
        <v>0</v>
      </c>
      <c r="BG198" s="141">
        <v>0</v>
      </c>
      <c r="BH198" s="141">
        <v>0</v>
      </c>
      <c r="BI198" s="141">
        <v>0</v>
      </c>
      <c r="BJ198" s="144">
        <v>0</v>
      </c>
      <c r="BK198" s="143">
        <v>0</v>
      </c>
      <c r="BL198" s="141">
        <v>0</v>
      </c>
      <c r="BM198" s="141">
        <v>0</v>
      </c>
      <c r="BN198" s="141">
        <v>0</v>
      </c>
      <c r="BO198" s="144">
        <v>0</v>
      </c>
    </row>
    <row r="199" spans="2:67" s="98" customFormat="1" ht="15" customHeight="1">
      <c r="B199" s="161"/>
      <c r="C199" s="185"/>
      <c r="D199" s="162" t="s">
        <v>71</v>
      </c>
      <c r="E199" s="185"/>
      <c r="F199" s="185"/>
      <c r="G199" s="162"/>
      <c r="H199" s="163"/>
      <c r="I199" s="1691"/>
      <c r="J199" s="1691"/>
      <c r="K199" s="1691"/>
      <c r="L199" s="1691"/>
      <c r="M199" s="1691"/>
      <c r="N199" s="1691"/>
      <c r="O199" s="1691"/>
      <c r="P199" s="1691"/>
      <c r="Q199" s="1691"/>
      <c r="R199" s="1691"/>
      <c r="S199" s="1691"/>
      <c r="T199" s="1691"/>
      <c r="U199" s="1691"/>
      <c r="V199" s="1691"/>
      <c r="W199" s="185"/>
      <c r="X199" s="1691"/>
      <c r="Y199" s="1691"/>
      <c r="Z199" s="1691"/>
      <c r="AA199" s="1691"/>
      <c r="AB199" s="1691"/>
      <c r="AC199" s="1691"/>
      <c r="AD199" s="1691"/>
      <c r="AE199" s="1691"/>
      <c r="AF199" s="1691"/>
      <c r="AG199" s="1691"/>
      <c r="AH199" s="1691"/>
      <c r="AI199" s="1691"/>
      <c r="AJ199" s="1691"/>
      <c r="AK199" s="1691"/>
      <c r="AL199" s="185"/>
      <c r="AM199" s="164" t="s">
        <v>1876</v>
      </c>
      <c r="AN199" s="165">
        <v>0</v>
      </c>
      <c r="AO199" s="166">
        <v>0</v>
      </c>
      <c r="AP199" s="166">
        <v>0</v>
      </c>
      <c r="AQ199" s="166">
        <v>0</v>
      </c>
      <c r="AR199" s="166">
        <v>0</v>
      </c>
      <c r="AS199" s="166">
        <v>0</v>
      </c>
      <c r="AT199" s="166">
        <v>0</v>
      </c>
      <c r="AU199" s="167">
        <v>0</v>
      </c>
      <c r="AV199" s="165">
        <v>0</v>
      </c>
      <c r="AW199" s="166">
        <v>0</v>
      </c>
      <c r="AX199" s="166">
        <v>0</v>
      </c>
      <c r="AY199" s="166">
        <v>0</v>
      </c>
      <c r="AZ199" s="167">
        <v>0</v>
      </c>
      <c r="BA199" s="185"/>
      <c r="BB199" s="164" t="s">
        <v>2233</v>
      </c>
      <c r="BC199" s="143">
        <v>0</v>
      </c>
      <c r="BD199" s="141">
        <v>0</v>
      </c>
      <c r="BE199" s="141">
        <v>0</v>
      </c>
      <c r="BF199" s="141">
        <v>0</v>
      </c>
      <c r="BG199" s="141">
        <v>0</v>
      </c>
      <c r="BH199" s="141">
        <v>0</v>
      </c>
      <c r="BI199" s="141">
        <v>0</v>
      </c>
      <c r="BJ199" s="144">
        <v>0</v>
      </c>
      <c r="BK199" s="143">
        <v>0</v>
      </c>
      <c r="BL199" s="141">
        <v>0</v>
      </c>
      <c r="BM199" s="141">
        <v>0</v>
      </c>
      <c r="BN199" s="141">
        <v>0</v>
      </c>
      <c r="BO199" s="144">
        <v>0</v>
      </c>
    </row>
    <row r="200" spans="2:67" s="98" customFormat="1" ht="15" customHeight="1">
      <c r="B200" s="181"/>
      <c r="C200" s="185" t="s">
        <v>1710</v>
      </c>
      <c r="D200" s="245"/>
      <c r="E200" s="185"/>
      <c r="F200" s="185"/>
      <c r="G200" s="184"/>
      <c r="H200" s="184"/>
      <c r="I200" s="1691"/>
      <c r="J200" s="1691"/>
      <c r="K200" s="1691"/>
      <c r="L200" s="1691"/>
      <c r="M200" s="1691"/>
      <c r="N200" s="1691"/>
      <c r="O200" s="1691"/>
      <c r="P200" s="1691"/>
      <c r="Q200" s="1691"/>
      <c r="R200" s="1691"/>
      <c r="S200" s="1691"/>
      <c r="T200" s="1691"/>
      <c r="U200" s="1691"/>
      <c r="V200" s="1691"/>
      <c r="W200" s="185"/>
      <c r="X200" s="1691"/>
      <c r="Y200" s="1691"/>
      <c r="Z200" s="1691"/>
      <c r="AA200" s="1691"/>
      <c r="AB200" s="1691"/>
      <c r="AC200" s="1691"/>
      <c r="AD200" s="1691"/>
      <c r="AE200" s="1691"/>
      <c r="AF200" s="1691"/>
      <c r="AG200" s="1691"/>
      <c r="AH200" s="1691"/>
      <c r="AI200" s="1691"/>
      <c r="AJ200" s="1691"/>
      <c r="AK200" s="1691"/>
      <c r="AL200" s="185"/>
      <c r="AM200" s="164" t="s">
        <v>1876</v>
      </c>
      <c r="AN200" s="777">
        <f>SUM(AN197:AN199)</f>
        <v>0</v>
      </c>
      <c r="AO200" s="778">
        <f t="shared" ref="AO200" si="705">SUM(AO197:AO199)</f>
        <v>0</v>
      </c>
      <c r="AP200" s="778">
        <f t="shared" ref="AP200" si="706">SUM(AP197:AP199)</f>
        <v>0</v>
      </c>
      <c r="AQ200" s="778">
        <f t="shared" ref="AQ200" si="707">SUM(AQ197:AQ199)</f>
        <v>0</v>
      </c>
      <c r="AR200" s="778">
        <f t="shared" ref="AR200" si="708">SUM(AR197:AR199)</f>
        <v>0</v>
      </c>
      <c r="AS200" s="778">
        <f t="shared" ref="AS200" si="709">SUM(AS197:AS199)</f>
        <v>0</v>
      </c>
      <c r="AT200" s="778">
        <f t="shared" ref="AT200" si="710">SUM(AT197:AT199)</f>
        <v>0</v>
      </c>
      <c r="AU200" s="779">
        <f t="shared" ref="AU200" si="711">SUM(AU197:AU199)</f>
        <v>0</v>
      </c>
      <c r="AV200" s="777">
        <f t="shared" ref="AV200" si="712">SUM(AV197:AV199)</f>
        <v>0</v>
      </c>
      <c r="AW200" s="778">
        <f t="shared" ref="AW200" si="713">SUM(AW197:AW199)</f>
        <v>0</v>
      </c>
      <c r="AX200" s="778">
        <f t="shared" ref="AX200" si="714">SUM(AX197:AX199)</f>
        <v>0</v>
      </c>
      <c r="AY200" s="778">
        <f t="shared" ref="AY200" si="715">SUM(AY197:AY199)</f>
        <v>0</v>
      </c>
      <c r="AZ200" s="779">
        <f t="shared" ref="AZ200" si="716">SUM(AZ197:AZ199)</f>
        <v>0</v>
      </c>
      <c r="BA200" s="185"/>
      <c r="BB200" s="164" t="s">
        <v>2233</v>
      </c>
      <c r="BC200" s="128">
        <f>SUM(BC197:BC199)</f>
        <v>0</v>
      </c>
      <c r="BD200" s="129">
        <f t="shared" ref="BD200" si="717">SUM(BD197:BD199)</f>
        <v>0</v>
      </c>
      <c r="BE200" s="129">
        <f t="shared" ref="BE200" si="718">SUM(BE197:BE199)</f>
        <v>0</v>
      </c>
      <c r="BF200" s="129">
        <f t="shared" ref="BF200" si="719">SUM(BF197:BF199)</f>
        <v>0</v>
      </c>
      <c r="BG200" s="129">
        <f t="shared" ref="BG200" si="720">SUM(BG197:BG199)</f>
        <v>0</v>
      </c>
      <c r="BH200" s="129">
        <f t="shared" ref="BH200" si="721">SUM(BH197:BH199)</f>
        <v>0</v>
      </c>
      <c r="BI200" s="129">
        <f t="shared" ref="BI200" si="722">SUM(BI197:BI199)</f>
        <v>0</v>
      </c>
      <c r="BJ200" s="130">
        <f t="shared" ref="BJ200" si="723">SUM(BJ197:BJ199)</f>
        <v>0</v>
      </c>
      <c r="BK200" s="128">
        <f t="shared" ref="BK200" si="724">SUM(BK197:BK199)</f>
        <v>0</v>
      </c>
      <c r="BL200" s="129">
        <f t="shared" ref="BL200" si="725">SUM(BL197:BL199)</f>
        <v>0</v>
      </c>
      <c r="BM200" s="129">
        <f t="shared" ref="BM200" si="726">SUM(BM197:BM199)</f>
        <v>0</v>
      </c>
      <c r="BN200" s="129">
        <f t="shared" ref="BN200" si="727">SUM(BN197:BN199)</f>
        <v>0</v>
      </c>
      <c r="BO200" s="130">
        <f t="shared" ref="BO200" si="728">SUM(BO197:BO199)</f>
        <v>0</v>
      </c>
    </row>
    <row r="201" spans="2:67" s="98" customFormat="1" ht="15" customHeight="1">
      <c r="B201" s="181"/>
      <c r="C201" s="185"/>
      <c r="D201" s="185"/>
      <c r="E201" s="182"/>
      <c r="F201" s="182"/>
      <c r="G201" s="184"/>
      <c r="H201" s="184"/>
      <c r="I201" s="1691"/>
      <c r="J201" s="1691"/>
      <c r="K201" s="1691"/>
      <c r="L201" s="1691"/>
      <c r="M201" s="1691"/>
      <c r="N201" s="1691"/>
      <c r="O201" s="1691"/>
      <c r="P201" s="1691"/>
      <c r="Q201" s="1691"/>
      <c r="R201" s="1691"/>
      <c r="S201" s="1691"/>
      <c r="T201" s="1691"/>
      <c r="U201" s="1691"/>
      <c r="V201" s="1691"/>
      <c r="W201" s="185"/>
      <c r="X201" s="1691"/>
      <c r="Y201" s="1691"/>
      <c r="Z201" s="1691"/>
      <c r="AA201" s="1691"/>
      <c r="AB201" s="1691"/>
      <c r="AC201" s="1691"/>
      <c r="AD201" s="1691"/>
      <c r="AE201" s="1691"/>
      <c r="AF201" s="1691"/>
      <c r="AG201" s="1691"/>
      <c r="AH201" s="1691"/>
      <c r="AI201" s="1691"/>
      <c r="AJ201" s="1691"/>
      <c r="AK201" s="1691"/>
      <c r="AL201" s="185"/>
      <c r="AM201" s="117"/>
      <c r="AN201" s="878"/>
      <c r="AO201" s="879"/>
      <c r="AP201" s="879"/>
      <c r="AQ201" s="879"/>
      <c r="AR201" s="879"/>
      <c r="AS201" s="879"/>
      <c r="AT201" s="879"/>
      <c r="AU201" s="880"/>
      <c r="AV201" s="879"/>
      <c r="AW201" s="879"/>
      <c r="AX201" s="879"/>
      <c r="AY201" s="879"/>
      <c r="AZ201" s="880"/>
      <c r="BA201" s="185"/>
      <c r="BB201" s="117"/>
      <c r="BC201" s="713"/>
      <c r="BD201" s="714"/>
      <c r="BE201" s="714"/>
      <c r="BF201" s="714"/>
      <c r="BG201" s="714"/>
      <c r="BH201" s="714"/>
      <c r="BI201" s="714"/>
      <c r="BJ201" s="715"/>
      <c r="BK201" s="714"/>
      <c r="BL201" s="714"/>
      <c r="BM201" s="714"/>
      <c r="BN201" s="714"/>
      <c r="BO201" s="715"/>
    </row>
    <row r="202" spans="2:67" s="98" customFormat="1" ht="15" customHeight="1">
      <c r="B202" s="161"/>
      <c r="C202" s="180" t="s">
        <v>2236</v>
      </c>
      <c r="D202" s="180"/>
      <c r="E202" s="162"/>
      <c r="F202" s="162"/>
      <c r="G202" s="163"/>
      <c r="H202" s="163"/>
      <c r="I202" s="1691"/>
      <c r="J202" s="1691"/>
      <c r="K202" s="1691"/>
      <c r="L202" s="1691"/>
      <c r="M202" s="1691"/>
      <c r="N202" s="1691"/>
      <c r="O202" s="1691"/>
      <c r="P202" s="1691"/>
      <c r="Q202" s="1691"/>
      <c r="R202" s="1691"/>
      <c r="S202" s="1691"/>
      <c r="T202" s="1691"/>
      <c r="U202" s="1691"/>
      <c r="V202" s="1691"/>
      <c r="W202" s="185"/>
      <c r="X202" s="1691"/>
      <c r="Y202" s="1691"/>
      <c r="Z202" s="1691"/>
      <c r="AA202" s="1691"/>
      <c r="AB202" s="1691"/>
      <c r="AC202" s="1691"/>
      <c r="AD202" s="1691"/>
      <c r="AE202" s="1691"/>
      <c r="AF202" s="1691"/>
      <c r="AG202" s="1691"/>
      <c r="AH202" s="1691"/>
      <c r="AI202" s="1691"/>
      <c r="AJ202" s="1691"/>
      <c r="AK202" s="1691"/>
      <c r="AL202" s="185"/>
      <c r="AM202" s="117"/>
      <c r="AN202" s="878"/>
      <c r="AO202" s="881"/>
      <c r="AP202" s="881"/>
      <c r="AQ202" s="881"/>
      <c r="AR202" s="881"/>
      <c r="AS202" s="881"/>
      <c r="AT202" s="881"/>
      <c r="AU202" s="880"/>
      <c r="AV202" s="878"/>
      <c r="AW202" s="881"/>
      <c r="AX202" s="881"/>
      <c r="AY202" s="881"/>
      <c r="AZ202" s="880"/>
      <c r="BA202" s="185"/>
      <c r="BB202" s="117"/>
      <c r="BC202" s="713"/>
      <c r="BD202" s="721"/>
      <c r="BE202" s="721"/>
      <c r="BF202" s="721"/>
      <c r="BG202" s="721"/>
      <c r="BH202" s="721"/>
      <c r="BI202" s="721"/>
      <c r="BJ202" s="715"/>
      <c r="BK202" s="713"/>
      <c r="BL202" s="721"/>
      <c r="BM202" s="721"/>
      <c r="BN202" s="721"/>
      <c r="BO202" s="715"/>
    </row>
    <row r="203" spans="2:67" s="98" customFormat="1" ht="15" customHeight="1">
      <c r="B203" s="161"/>
      <c r="C203" s="185"/>
      <c r="D203" s="162" t="s">
        <v>36</v>
      </c>
      <c r="E203" s="185"/>
      <c r="F203" s="185"/>
      <c r="G203" s="162"/>
      <c r="H203" s="163"/>
      <c r="I203" s="1691"/>
      <c r="J203" s="1691"/>
      <c r="K203" s="1691"/>
      <c r="L203" s="1691"/>
      <c r="M203" s="1691"/>
      <c r="N203" s="1691"/>
      <c r="O203" s="1691"/>
      <c r="P203" s="1691"/>
      <c r="Q203" s="1691"/>
      <c r="R203" s="1691"/>
      <c r="S203" s="1691"/>
      <c r="T203" s="1691"/>
      <c r="U203" s="1691"/>
      <c r="V203" s="1691"/>
      <c r="W203" s="185"/>
      <c r="X203" s="1691"/>
      <c r="Y203" s="1691"/>
      <c r="Z203" s="1691"/>
      <c r="AA203" s="1691"/>
      <c r="AB203" s="1691"/>
      <c r="AC203" s="1691"/>
      <c r="AD203" s="1691"/>
      <c r="AE203" s="1691"/>
      <c r="AF203" s="1691"/>
      <c r="AG203" s="1691"/>
      <c r="AH203" s="1691"/>
      <c r="AI203" s="1691"/>
      <c r="AJ203" s="1691"/>
      <c r="AK203" s="1691"/>
      <c r="AL203" s="185"/>
      <c r="AM203" s="164" t="s">
        <v>1876</v>
      </c>
      <c r="AN203" s="165">
        <v>0</v>
      </c>
      <c r="AO203" s="166">
        <v>0</v>
      </c>
      <c r="AP203" s="166">
        <v>0</v>
      </c>
      <c r="AQ203" s="166">
        <v>0</v>
      </c>
      <c r="AR203" s="166">
        <v>0</v>
      </c>
      <c r="AS203" s="166">
        <v>0</v>
      </c>
      <c r="AT203" s="166">
        <v>0</v>
      </c>
      <c r="AU203" s="167">
        <v>0</v>
      </c>
      <c r="AV203" s="165">
        <v>0</v>
      </c>
      <c r="AW203" s="166">
        <v>0</v>
      </c>
      <c r="AX203" s="166">
        <v>0</v>
      </c>
      <c r="AY203" s="166">
        <v>0</v>
      </c>
      <c r="AZ203" s="167">
        <v>0</v>
      </c>
      <c r="BA203" s="185"/>
      <c r="BB203" s="164" t="s">
        <v>2233</v>
      </c>
      <c r="BC203" s="143">
        <v>0</v>
      </c>
      <c r="BD203" s="141">
        <v>0</v>
      </c>
      <c r="BE203" s="141">
        <v>0</v>
      </c>
      <c r="BF203" s="141">
        <v>0</v>
      </c>
      <c r="BG203" s="141">
        <v>0</v>
      </c>
      <c r="BH203" s="141">
        <v>0</v>
      </c>
      <c r="BI203" s="141">
        <v>0</v>
      </c>
      <c r="BJ203" s="144">
        <v>0</v>
      </c>
      <c r="BK203" s="143">
        <v>0</v>
      </c>
      <c r="BL203" s="141">
        <v>0</v>
      </c>
      <c r="BM203" s="141">
        <v>0</v>
      </c>
      <c r="BN203" s="141">
        <v>0</v>
      </c>
      <c r="BO203" s="144">
        <v>0</v>
      </c>
    </row>
    <row r="204" spans="2:67" s="98" customFormat="1" ht="15" customHeight="1">
      <c r="B204" s="161"/>
      <c r="C204" s="185"/>
      <c r="D204" s="162" t="s">
        <v>62</v>
      </c>
      <c r="E204" s="185"/>
      <c r="F204" s="185"/>
      <c r="G204" s="162"/>
      <c r="H204" s="163"/>
      <c r="I204" s="1691"/>
      <c r="J204" s="1691"/>
      <c r="K204" s="1691"/>
      <c r="L204" s="1691"/>
      <c r="M204" s="1691"/>
      <c r="N204" s="1691"/>
      <c r="O204" s="1691"/>
      <c r="P204" s="1691"/>
      <c r="Q204" s="1691"/>
      <c r="R204" s="1691"/>
      <c r="S204" s="1691"/>
      <c r="T204" s="1691"/>
      <c r="U204" s="1691"/>
      <c r="V204" s="1691"/>
      <c r="W204" s="185"/>
      <c r="X204" s="1691"/>
      <c r="Y204" s="1691"/>
      <c r="Z204" s="1691"/>
      <c r="AA204" s="1691"/>
      <c r="AB204" s="1691"/>
      <c r="AC204" s="1691"/>
      <c r="AD204" s="1691"/>
      <c r="AE204" s="1691"/>
      <c r="AF204" s="1691"/>
      <c r="AG204" s="1691"/>
      <c r="AH204" s="1691"/>
      <c r="AI204" s="1691"/>
      <c r="AJ204" s="1691"/>
      <c r="AK204" s="1691"/>
      <c r="AL204" s="185"/>
      <c r="AM204" s="164" t="s">
        <v>1876</v>
      </c>
      <c r="AN204" s="165">
        <v>0</v>
      </c>
      <c r="AO204" s="166">
        <v>0</v>
      </c>
      <c r="AP204" s="166">
        <v>0</v>
      </c>
      <c r="AQ204" s="166">
        <v>0</v>
      </c>
      <c r="AR204" s="166">
        <v>0</v>
      </c>
      <c r="AS204" s="166">
        <v>0</v>
      </c>
      <c r="AT204" s="166">
        <v>0</v>
      </c>
      <c r="AU204" s="167">
        <v>0</v>
      </c>
      <c r="AV204" s="165">
        <v>0</v>
      </c>
      <c r="AW204" s="166">
        <v>0</v>
      </c>
      <c r="AX204" s="166">
        <v>0</v>
      </c>
      <c r="AY204" s="166">
        <v>0</v>
      </c>
      <c r="AZ204" s="167">
        <v>0</v>
      </c>
      <c r="BA204" s="185"/>
      <c r="BB204" s="164" t="s">
        <v>2233</v>
      </c>
      <c r="BC204" s="143">
        <v>0</v>
      </c>
      <c r="BD204" s="141">
        <v>0</v>
      </c>
      <c r="BE204" s="141">
        <v>0</v>
      </c>
      <c r="BF204" s="141">
        <v>0</v>
      </c>
      <c r="BG204" s="141">
        <v>0</v>
      </c>
      <c r="BH204" s="141">
        <v>0</v>
      </c>
      <c r="BI204" s="141">
        <v>0</v>
      </c>
      <c r="BJ204" s="144">
        <v>0</v>
      </c>
      <c r="BK204" s="143">
        <v>0</v>
      </c>
      <c r="BL204" s="141">
        <v>0</v>
      </c>
      <c r="BM204" s="141">
        <v>0</v>
      </c>
      <c r="BN204" s="141">
        <v>0</v>
      </c>
      <c r="BO204" s="144">
        <v>0</v>
      </c>
    </row>
    <row r="205" spans="2:67" s="98" customFormat="1" ht="15" customHeight="1">
      <c r="B205" s="161"/>
      <c r="C205" s="185"/>
      <c r="D205" s="162" t="s">
        <v>71</v>
      </c>
      <c r="E205" s="185"/>
      <c r="F205" s="185"/>
      <c r="G205" s="162"/>
      <c r="H205" s="163"/>
      <c r="I205" s="1691"/>
      <c r="J205" s="1691"/>
      <c r="K205" s="1691"/>
      <c r="L205" s="1691"/>
      <c r="M205" s="1691"/>
      <c r="N205" s="1691"/>
      <c r="O205" s="1691"/>
      <c r="P205" s="1691"/>
      <c r="Q205" s="1691"/>
      <c r="R205" s="1691"/>
      <c r="S205" s="1691"/>
      <c r="T205" s="1691"/>
      <c r="U205" s="1691"/>
      <c r="V205" s="1691"/>
      <c r="W205" s="185"/>
      <c r="X205" s="1691"/>
      <c r="Y205" s="1691"/>
      <c r="Z205" s="1691"/>
      <c r="AA205" s="1691"/>
      <c r="AB205" s="1691"/>
      <c r="AC205" s="1691"/>
      <c r="AD205" s="1691"/>
      <c r="AE205" s="1691"/>
      <c r="AF205" s="1691"/>
      <c r="AG205" s="1691"/>
      <c r="AH205" s="1691"/>
      <c r="AI205" s="1691"/>
      <c r="AJ205" s="1691"/>
      <c r="AK205" s="1691"/>
      <c r="AL205" s="185"/>
      <c r="AM205" s="164" t="s">
        <v>1876</v>
      </c>
      <c r="AN205" s="165">
        <v>0</v>
      </c>
      <c r="AO205" s="166">
        <v>0</v>
      </c>
      <c r="AP205" s="166">
        <v>0</v>
      </c>
      <c r="AQ205" s="166">
        <v>0</v>
      </c>
      <c r="AR205" s="166">
        <v>0</v>
      </c>
      <c r="AS205" s="166">
        <v>0</v>
      </c>
      <c r="AT205" s="166">
        <v>0</v>
      </c>
      <c r="AU205" s="167">
        <v>0</v>
      </c>
      <c r="AV205" s="165">
        <v>0</v>
      </c>
      <c r="AW205" s="166">
        <v>0</v>
      </c>
      <c r="AX205" s="166">
        <v>0</v>
      </c>
      <c r="AY205" s="166">
        <v>0</v>
      </c>
      <c r="AZ205" s="167">
        <v>0</v>
      </c>
      <c r="BA205" s="185"/>
      <c r="BB205" s="164" t="s">
        <v>2233</v>
      </c>
      <c r="BC205" s="143">
        <v>0</v>
      </c>
      <c r="BD205" s="141">
        <v>0</v>
      </c>
      <c r="BE205" s="141">
        <v>0</v>
      </c>
      <c r="BF205" s="141">
        <v>0</v>
      </c>
      <c r="BG205" s="141">
        <v>0</v>
      </c>
      <c r="BH205" s="141">
        <v>0</v>
      </c>
      <c r="BI205" s="141">
        <v>0</v>
      </c>
      <c r="BJ205" s="144">
        <v>0</v>
      </c>
      <c r="BK205" s="143">
        <v>0</v>
      </c>
      <c r="BL205" s="141">
        <v>0</v>
      </c>
      <c r="BM205" s="141">
        <v>0</v>
      </c>
      <c r="BN205" s="141">
        <v>0</v>
      </c>
      <c r="BO205" s="144">
        <v>0</v>
      </c>
    </row>
    <row r="206" spans="2:67" s="98" customFormat="1" ht="15" customHeight="1">
      <c r="B206" s="181"/>
      <c r="C206" s="185" t="s">
        <v>1710</v>
      </c>
      <c r="D206" s="245"/>
      <c r="E206" s="185"/>
      <c r="F206" s="185"/>
      <c r="G206" s="184"/>
      <c r="H206" s="184"/>
      <c r="I206" s="1691"/>
      <c r="J206" s="1691"/>
      <c r="K206" s="1691"/>
      <c r="L206" s="1691"/>
      <c r="M206" s="1691"/>
      <c r="N206" s="1691"/>
      <c r="O206" s="1691"/>
      <c r="P206" s="1691"/>
      <c r="Q206" s="1691"/>
      <c r="R206" s="1691"/>
      <c r="S206" s="1691"/>
      <c r="T206" s="1691"/>
      <c r="U206" s="1691"/>
      <c r="V206" s="1691"/>
      <c r="W206" s="185"/>
      <c r="X206" s="1691"/>
      <c r="Y206" s="1691"/>
      <c r="Z206" s="1691"/>
      <c r="AA206" s="1691"/>
      <c r="AB206" s="1691"/>
      <c r="AC206" s="1691"/>
      <c r="AD206" s="1691"/>
      <c r="AE206" s="1691"/>
      <c r="AF206" s="1691"/>
      <c r="AG206" s="1691"/>
      <c r="AH206" s="1691"/>
      <c r="AI206" s="1691"/>
      <c r="AJ206" s="1691"/>
      <c r="AK206" s="1691"/>
      <c r="AL206" s="185"/>
      <c r="AM206" s="164" t="s">
        <v>1876</v>
      </c>
      <c r="AN206" s="777">
        <f>SUM(AN203:AN205)</f>
        <v>0</v>
      </c>
      <c r="AO206" s="778">
        <f t="shared" ref="AO206" si="729">SUM(AO203:AO205)</f>
        <v>0</v>
      </c>
      <c r="AP206" s="778">
        <f t="shared" ref="AP206" si="730">SUM(AP203:AP205)</f>
        <v>0</v>
      </c>
      <c r="AQ206" s="778">
        <f t="shared" ref="AQ206" si="731">SUM(AQ203:AQ205)</f>
        <v>0</v>
      </c>
      <c r="AR206" s="778">
        <f t="shared" ref="AR206" si="732">SUM(AR203:AR205)</f>
        <v>0</v>
      </c>
      <c r="AS206" s="778">
        <f t="shared" ref="AS206" si="733">SUM(AS203:AS205)</f>
        <v>0</v>
      </c>
      <c r="AT206" s="778">
        <f t="shared" ref="AT206" si="734">SUM(AT203:AT205)</f>
        <v>0</v>
      </c>
      <c r="AU206" s="779">
        <f t="shared" ref="AU206" si="735">SUM(AU203:AU205)</f>
        <v>0</v>
      </c>
      <c r="AV206" s="777">
        <f t="shared" ref="AV206" si="736">SUM(AV203:AV205)</f>
        <v>0</v>
      </c>
      <c r="AW206" s="778">
        <f t="shared" ref="AW206" si="737">SUM(AW203:AW205)</f>
        <v>0</v>
      </c>
      <c r="AX206" s="778">
        <f t="shared" ref="AX206" si="738">SUM(AX203:AX205)</f>
        <v>0</v>
      </c>
      <c r="AY206" s="778">
        <f t="shared" ref="AY206" si="739">SUM(AY203:AY205)</f>
        <v>0</v>
      </c>
      <c r="AZ206" s="779">
        <f t="shared" ref="AZ206" si="740">SUM(AZ203:AZ205)</f>
        <v>0</v>
      </c>
      <c r="BA206" s="185"/>
      <c r="BB206" s="164" t="s">
        <v>2233</v>
      </c>
      <c r="BC206" s="128">
        <f>SUM(BC203:BC205)</f>
        <v>0</v>
      </c>
      <c r="BD206" s="129">
        <f t="shared" ref="BD206" si="741">SUM(BD203:BD205)</f>
        <v>0</v>
      </c>
      <c r="BE206" s="129">
        <f t="shared" ref="BE206" si="742">SUM(BE203:BE205)</f>
        <v>0</v>
      </c>
      <c r="BF206" s="129">
        <f t="shared" ref="BF206" si="743">SUM(BF203:BF205)</f>
        <v>0</v>
      </c>
      <c r="BG206" s="129">
        <f t="shared" ref="BG206" si="744">SUM(BG203:BG205)</f>
        <v>0</v>
      </c>
      <c r="BH206" s="129">
        <f t="shared" ref="BH206" si="745">SUM(BH203:BH205)</f>
        <v>0</v>
      </c>
      <c r="BI206" s="129">
        <f t="shared" ref="BI206" si="746">SUM(BI203:BI205)</f>
        <v>0</v>
      </c>
      <c r="BJ206" s="130">
        <f t="shared" ref="BJ206" si="747">SUM(BJ203:BJ205)</f>
        <v>0</v>
      </c>
      <c r="BK206" s="128">
        <f t="shared" ref="BK206" si="748">SUM(BK203:BK205)</f>
        <v>0</v>
      </c>
      <c r="BL206" s="129">
        <f t="shared" ref="BL206" si="749">SUM(BL203:BL205)</f>
        <v>0</v>
      </c>
      <c r="BM206" s="129">
        <f t="shared" ref="BM206" si="750">SUM(BM203:BM205)</f>
        <v>0</v>
      </c>
      <c r="BN206" s="129">
        <f t="shared" ref="BN206" si="751">SUM(BN203:BN205)</f>
        <v>0</v>
      </c>
      <c r="BO206" s="130">
        <f t="shared" ref="BO206" si="752">SUM(BO203:BO205)</f>
        <v>0</v>
      </c>
    </row>
    <row r="207" spans="2:67" s="98" customFormat="1" ht="15" customHeight="1">
      <c r="B207" s="181"/>
      <c r="C207" s="185"/>
      <c r="D207" s="185"/>
      <c r="E207" s="182"/>
      <c r="F207" s="182"/>
      <c r="G207" s="184"/>
      <c r="H207" s="184"/>
      <c r="I207" s="1691"/>
      <c r="J207" s="1691"/>
      <c r="K207" s="1691"/>
      <c r="L207" s="1691"/>
      <c r="M207" s="1691"/>
      <c r="N207" s="1691"/>
      <c r="O207" s="1691"/>
      <c r="P207" s="1691"/>
      <c r="Q207" s="1691"/>
      <c r="R207" s="1691"/>
      <c r="S207" s="1691"/>
      <c r="T207" s="1691"/>
      <c r="U207" s="1691"/>
      <c r="V207" s="1691"/>
      <c r="W207" s="185"/>
      <c r="X207" s="1691"/>
      <c r="Y207" s="1691"/>
      <c r="Z207" s="1691"/>
      <c r="AA207" s="1691"/>
      <c r="AB207" s="1691"/>
      <c r="AC207" s="1691"/>
      <c r="AD207" s="1691"/>
      <c r="AE207" s="1691"/>
      <c r="AF207" s="1691"/>
      <c r="AG207" s="1691"/>
      <c r="AH207" s="1691"/>
      <c r="AI207" s="1691"/>
      <c r="AJ207" s="1691"/>
      <c r="AK207" s="1691"/>
      <c r="AL207" s="185"/>
      <c r="AM207" s="117"/>
      <c r="AN207" s="878"/>
      <c r="AO207" s="879"/>
      <c r="AP207" s="879"/>
      <c r="AQ207" s="879"/>
      <c r="AR207" s="879"/>
      <c r="AS207" s="879"/>
      <c r="AT207" s="879"/>
      <c r="AU207" s="880"/>
      <c r="AV207" s="879"/>
      <c r="AW207" s="879"/>
      <c r="AX207" s="879"/>
      <c r="AY207" s="879"/>
      <c r="AZ207" s="880"/>
      <c r="BA207" s="185"/>
      <c r="BB207" s="117"/>
      <c r="BC207" s="713"/>
      <c r="BD207" s="714"/>
      <c r="BE207" s="714"/>
      <c r="BF207" s="714"/>
      <c r="BG207" s="714"/>
      <c r="BH207" s="714"/>
      <c r="BI207" s="714"/>
      <c r="BJ207" s="715"/>
      <c r="BK207" s="714"/>
      <c r="BL207" s="714"/>
      <c r="BM207" s="714"/>
      <c r="BN207" s="714"/>
      <c r="BO207" s="715"/>
    </row>
    <row r="208" spans="2:67" s="98" customFormat="1" ht="15" customHeight="1">
      <c r="B208" s="161"/>
      <c r="C208" s="180" t="s">
        <v>2237</v>
      </c>
      <c r="D208" s="180"/>
      <c r="E208" s="162"/>
      <c r="F208" s="162"/>
      <c r="G208" s="163"/>
      <c r="H208" s="163"/>
      <c r="I208" s="1691"/>
      <c r="J208" s="1691"/>
      <c r="K208" s="1691"/>
      <c r="L208" s="1691"/>
      <c r="M208" s="1691"/>
      <c r="N208" s="1691"/>
      <c r="O208" s="1691"/>
      <c r="P208" s="1691"/>
      <c r="Q208" s="1691"/>
      <c r="R208" s="1691"/>
      <c r="S208" s="1691"/>
      <c r="T208" s="1691"/>
      <c r="U208" s="1691"/>
      <c r="V208" s="1691"/>
      <c r="W208" s="185"/>
      <c r="X208" s="1691"/>
      <c r="Y208" s="1691"/>
      <c r="Z208" s="1691"/>
      <c r="AA208" s="1691"/>
      <c r="AB208" s="1691"/>
      <c r="AC208" s="1691"/>
      <c r="AD208" s="1691"/>
      <c r="AE208" s="1691"/>
      <c r="AF208" s="1691"/>
      <c r="AG208" s="1691"/>
      <c r="AH208" s="1691"/>
      <c r="AI208" s="1691"/>
      <c r="AJ208" s="1691"/>
      <c r="AK208" s="1691"/>
      <c r="AL208" s="185"/>
      <c r="AM208" s="117"/>
      <c r="AN208" s="878"/>
      <c r="AO208" s="881"/>
      <c r="AP208" s="881"/>
      <c r="AQ208" s="881"/>
      <c r="AR208" s="881"/>
      <c r="AS208" s="881"/>
      <c r="AT208" s="881"/>
      <c r="AU208" s="880"/>
      <c r="AV208" s="878"/>
      <c r="AW208" s="881"/>
      <c r="AX208" s="881"/>
      <c r="AY208" s="881"/>
      <c r="AZ208" s="880"/>
      <c r="BA208" s="185"/>
      <c r="BB208" s="117"/>
      <c r="BC208" s="713"/>
      <c r="BD208" s="721"/>
      <c r="BE208" s="721"/>
      <c r="BF208" s="721"/>
      <c r="BG208" s="721"/>
      <c r="BH208" s="721"/>
      <c r="BI208" s="721"/>
      <c r="BJ208" s="715"/>
      <c r="BK208" s="713"/>
      <c r="BL208" s="721"/>
      <c r="BM208" s="721"/>
      <c r="BN208" s="721"/>
      <c r="BO208" s="715"/>
    </row>
    <row r="209" spans="1:67" s="98" customFormat="1" ht="15" customHeight="1">
      <c r="B209" s="161"/>
      <c r="C209" s="185"/>
      <c r="D209" s="162" t="s">
        <v>36</v>
      </c>
      <c r="E209" s="185"/>
      <c r="F209" s="185"/>
      <c r="G209" s="162"/>
      <c r="H209" s="163"/>
      <c r="I209" s="1691"/>
      <c r="J209" s="1691"/>
      <c r="K209" s="1691"/>
      <c r="L209" s="1691"/>
      <c r="M209" s="1691"/>
      <c r="N209" s="1691"/>
      <c r="O209" s="1691"/>
      <c r="P209" s="1691"/>
      <c r="Q209" s="1691"/>
      <c r="R209" s="1691"/>
      <c r="S209" s="1691"/>
      <c r="T209" s="1691"/>
      <c r="U209" s="1691"/>
      <c r="V209" s="1691"/>
      <c r="W209" s="185"/>
      <c r="X209" s="1691"/>
      <c r="Y209" s="1691"/>
      <c r="Z209" s="1691"/>
      <c r="AA209" s="1691"/>
      <c r="AB209" s="1691"/>
      <c r="AC209" s="1691"/>
      <c r="AD209" s="1691"/>
      <c r="AE209" s="1691"/>
      <c r="AF209" s="1691"/>
      <c r="AG209" s="1691"/>
      <c r="AH209" s="1691"/>
      <c r="AI209" s="1691"/>
      <c r="AJ209" s="1691"/>
      <c r="AK209" s="1691"/>
      <c r="AL209" s="185"/>
      <c r="AM209" s="164" t="s">
        <v>1876</v>
      </c>
      <c r="AN209" s="165">
        <v>0</v>
      </c>
      <c r="AO209" s="166">
        <v>0</v>
      </c>
      <c r="AP209" s="166">
        <v>0</v>
      </c>
      <c r="AQ209" s="166">
        <v>0</v>
      </c>
      <c r="AR209" s="166">
        <v>0</v>
      </c>
      <c r="AS209" s="166">
        <v>0</v>
      </c>
      <c r="AT209" s="166">
        <v>0</v>
      </c>
      <c r="AU209" s="167">
        <v>0</v>
      </c>
      <c r="AV209" s="165">
        <v>0</v>
      </c>
      <c r="AW209" s="166">
        <v>0</v>
      </c>
      <c r="AX209" s="166">
        <v>0</v>
      </c>
      <c r="AY209" s="166">
        <v>0</v>
      </c>
      <c r="AZ209" s="167">
        <v>0</v>
      </c>
      <c r="BA209" s="185"/>
      <c r="BB209" s="164" t="s">
        <v>2233</v>
      </c>
      <c r="BC209" s="143">
        <v>0</v>
      </c>
      <c r="BD209" s="141">
        <v>0</v>
      </c>
      <c r="BE209" s="141">
        <v>0</v>
      </c>
      <c r="BF209" s="141">
        <v>0</v>
      </c>
      <c r="BG209" s="141">
        <v>0</v>
      </c>
      <c r="BH209" s="141">
        <v>0</v>
      </c>
      <c r="BI209" s="141">
        <v>0</v>
      </c>
      <c r="BJ209" s="144">
        <v>0</v>
      </c>
      <c r="BK209" s="143">
        <v>0</v>
      </c>
      <c r="BL209" s="141">
        <v>0</v>
      </c>
      <c r="BM209" s="141">
        <v>0</v>
      </c>
      <c r="BN209" s="141">
        <v>0</v>
      </c>
      <c r="BO209" s="144">
        <v>0</v>
      </c>
    </row>
    <row r="210" spans="1:67" s="98" customFormat="1" ht="15" customHeight="1">
      <c r="B210" s="161"/>
      <c r="C210" s="185"/>
      <c r="D210" s="162" t="s">
        <v>62</v>
      </c>
      <c r="E210" s="185"/>
      <c r="F210" s="185"/>
      <c r="G210" s="162"/>
      <c r="H210" s="163"/>
      <c r="I210" s="1691"/>
      <c r="J210" s="1691"/>
      <c r="K210" s="1691"/>
      <c r="L210" s="1691"/>
      <c r="M210" s="1691"/>
      <c r="N210" s="1691"/>
      <c r="O210" s="1691"/>
      <c r="P210" s="1691"/>
      <c r="Q210" s="1691"/>
      <c r="R210" s="1691"/>
      <c r="S210" s="1691"/>
      <c r="T210" s="1691"/>
      <c r="U210" s="1691"/>
      <c r="V210" s="1691"/>
      <c r="W210" s="185"/>
      <c r="X210" s="1691"/>
      <c r="Y210" s="1691"/>
      <c r="Z210" s="1691"/>
      <c r="AA210" s="1691"/>
      <c r="AB210" s="1691"/>
      <c r="AC210" s="1691"/>
      <c r="AD210" s="1691"/>
      <c r="AE210" s="1691"/>
      <c r="AF210" s="1691"/>
      <c r="AG210" s="1691"/>
      <c r="AH210" s="1691"/>
      <c r="AI210" s="1691"/>
      <c r="AJ210" s="1691"/>
      <c r="AK210" s="1691"/>
      <c r="AL210" s="185"/>
      <c r="AM210" s="164" t="s">
        <v>1876</v>
      </c>
      <c r="AN210" s="165">
        <v>0</v>
      </c>
      <c r="AO210" s="166">
        <v>0</v>
      </c>
      <c r="AP210" s="166">
        <v>0</v>
      </c>
      <c r="AQ210" s="166">
        <v>0</v>
      </c>
      <c r="AR210" s="166">
        <v>0</v>
      </c>
      <c r="AS210" s="166">
        <v>0</v>
      </c>
      <c r="AT210" s="166">
        <v>0</v>
      </c>
      <c r="AU210" s="167">
        <v>0</v>
      </c>
      <c r="AV210" s="165">
        <v>0</v>
      </c>
      <c r="AW210" s="166">
        <v>0</v>
      </c>
      <c r="AX210" s="166">
        <v>0</v>
      </c>
      <c r="AY210" s="166">
        <v>0</v>
      </c>
      <c r="AZ210" s="167">
        <v>0</v>
      </c>
      <c r="BA210" s="185"/>
      <c r="BB210" s="164" t="s">
        <v>2233</v>
      </c>
      <c r="BC210" s="143">
        <v>0</v>
      </c>
      <c r="BD210" s="141">
        <v>0</v>
      </c>
      <c r="BE210" s="141">
        <v>0</v>
      </c>
      <c r="BF210" s="141">
        <v>0</v>
      </c>
      <c r="BG210" s="141">
        <v>0</v>
      </c>
      <c r="BH210" s="141">
        <v>0</v>
      </c>
      <c r="BI210" s="141">
        <v>0</v>
      </c>
      <c r="BJ210" s="144">
        <v>0</v>
      </c>
      <c r="BK210" s="143">
        <v>0</v>
      </c>
      <c r="BL210" s="141">
        <v>0</v>
      </c>
      <c r="BM210" s="141">
        <v>0</v>
      </c>
      <c r="BN210" s="141">
        <v>0</v>
      </c>
      <c r="BO210" s="144">
        <v>0</v>
      </c>
    </row>
    <row r="211" spans="1:67" s="98" customFormat="1" ht="15" customHeight="1">
      <c r="B211" s="161"/>
      <c r="C211" s="185"/>
      <c r="D211" s="162" t="s">
        <v>71</v>
      </c>
      <c r="E211" s="185"/>
      <c r="F211" s="185"/>
      <c r="G211" s="162"/>
      <c r="H211" s="163"/>
      <c r="I211" s="1691"/>
      <c r="J211" s="1691"/>
      <c r="K211" s="1691"/>
      <c r="L211" s="1691"/>
      <c r="M211" s="1691"/>
      <c r="N211" s="1691"/>
      <c r="O211" s="1691"/>
      <c r="P211" s="1691"/>
      <c r="Q211" s="1691"/>
      <c r="R211" s="1691"/>
      <c r="S211" s="1691"/>
      <c r="T211" s="1691"/>
      <c r="U211" s="1691"/>
      <c r="V211" s="1691"/>
      <c r="W211" s="185"/>
      <c r="X211" s="1691"/>
      <c r="Y211" s="1691"/>
      <c r="Z211" s="1691"/>
      <c r="AA211" s="1691"/>
      <c r="AB211" s="1691"/>
      <c r="AC211" s="1691"/>
      <c r="AD211" s="1691"/>
      <c r="AE211" s="1691"/>
      <c r="AF211" s="1691"/>
      <c r="AG211" s="1691"/>
      <c r="AH211" s="1691"/>
      <c r="AI211" s="1691"/>
      <c r="AJ211" s="1691"/>
      <c r="AK211" s="1691"/>
      <c r="AL211" s="185"/>
      <c r="AM211" s="164" t="s">
        <v>1876</v>
      </c>
      <c r="AN211" s="165">
        <v>0</v>
      </c>
      <c r="AO211" s="166">
        <v>0</v>
      </c>
      <c r="AP211" s="166">
        <v>0</v>
      </c>
      <c r="AQ211" s="166">
        <v>0</v>
      </c>
      <c r="AR211" s="166">
        <v>0</v>
      </c>
      <c r="AS211" s="166">
        <v>0</v>
      </c>
      <c r="AT211" s="166">
        <v>0</v>
      </c>
      <c r="AU211" s="167">
        <v>0</v>
      </c>
      <c r="AV211" s="165">
        <v>0</v>
      </c>
      <c r="AW211" s="166">
        <v>0</v>
      </c>
      <c r="AX211" s="166">
        <v>0</v>
      </c>
      <c r="AY211" s="166">
        <v>0</v>
      </c>
      <c r="AZ211" s="167">
        <v>0</v>
      </c>
      <c r="BA211" s="185"/>
      <c r="BB211" s="164" t="s">
        <v>2233</v>
      </c>
      <c r="BC211" s="143">
        <v>0</v>
      </c>
      <c r="BD211" s="141">
        <v>0</v>
      </c>
      <c r="BE211" s="141">
        <v>0</v>
      </c>
      <c r="BF211" s="141">
        <v>0</v>
      </c>
      <c r="BG211" s="141">
        <v>0</v>
      </c>
      <c r="BH211" s="141">
        <v>0</v>
      </c>
      <c r="BI211" s="141">
        <v>0</v>
      </c>
      <c r="BJ211" s="144">
        <v>0</v>
      </c>
      <c r="BK211" s="143">
        <v>0</v>
      </c>
      <c r="BL211" s="141">
        <v>0</v>
      </c>
      <c r="BM211" s="141">
        <v>0</v>
      </c>
      <c r="BN211" s="141">
        <v>0</v>
      </c>
      <c r="BO211" s="144">
        <v>0</v>
      </c>
    </row>
    <row r="212" spans="1:67" s="98" customFormat="1" ht="15" customHeight="1" thickBot="1">
      <c r="B212" s="239"/>
      <c r="C212" s="192" t="s">
        <v>1710</v>
      </c>
      <c r="D212" s="246"/>
      <c r="E212" s="192"/>
      <c r="F212" s="192"/>
      <c r="G212" s="241"/>
      <c r="H212" s="241"/>
      <c r="I212" s="1692"/>
      <c r="J212" s="1692"/>
      <c r="K212" s="1692"/>
      <c r="L212" s="1692"/>
      <c r="M212" s="1692"/>
      <c r="N212" s="1692"/>
      <c r="O212" s="1692"/>
      <c r="P212" s="1692"/>
      <c r="Q212" s="1692"/>
      <c r="R212" s="1692"/>
      <c r="S212" s="1692"/>
      <c r="T212" s="1692"/>
      <c r="U212" s="1692"/>
      <c r="V212" s="1692"/>
      <c r="W212" s="192"/>
      <c r="X212" s="1692"/>
      <c r="Y212" s="1692"/>
      <c r="Z212" s="1692"/>
      <c r="AA212" s="1692"/>
      <c r="AB212" s="1692"/>
      <c r="AC212" s="1692"/>
      <c r="AD212" s="1692"/>
      <c r="AE212" s="1692"/>
      <c r="AF212" s="1692"/>
      <c r="AG212" s="1692"/>
      <c r="AH212" s="1692"/>
      <c r="AI212" s="1692"/>
      <c r="AJ212" s="1692"/>
      <c r="AK212" s="1692"/>
      <c r="AL212" s="192"/>
      <c r="AM212" s="195" t="s">
        <v>1876</v>
      </c>
      <c r="AN212" s="892">
        <f>SUM(AN209:AN211)</f>
        <v>0</v>
      </c>
      <c r="AO212" s="893">
        <f t="shared" ref="AO212" si="753">SUM(AO209:AO211)</f>
        <v>0</v>
      </c>
      <c r="AP212" s="893">
        <f t="shared" ref="AP212" si="754">SUM(AP209:AP211)</f>
        <v>0</v>
      </c>
      <c r="AQ212" s="893">
        <f t="shared" ref="AQ212" si="755">SUM(AQ209:AQ211)</f>
        <v>0</v>
      </c>
      <c r="AR212" s="893">
        <f t="shared" ref="AR212" si="756">SUM(AR209:AR211)</f>
        <v>0</v>
      </c>
      <c r="AS212" s="893">
        <f t="shared" ref="AS212" si="757">SUM(AS209:AS211)</f>
        <v>0</v>
      </c>
      <c r="AT212" s="893">
        <f t="shared" ref="AT212" si="758">SUM(AT209:AT211)</f>
        <v>0</v>
      </c>
      <c r="AU212" s="890">
        <f t="shared" ref="AU212" si="759">SUM(AU209:AU211)</f>
        <v>0</v>
      </c>
      <c r="AV212" s="892">
        <f t="shared" ref="AV212" si="760">SUM(AV209:AV211)</f>
        <v>0</v>
      </c>
      <c r="AW212" s="893">
        <f t="shared" ref="AW212" si="761">SUM(AW209:AW211)</f>
        <v>0</v>
      </c>
      <c r="AX212" s="893">
        <f t="shared" ref="AX212" si="762">SUM(AX209:AX211)</f>
        <v>0</v>
      </c>
      <c r="AY212" s="893">
        <f t="shared" ref="AY212" si="763">SUM(AY209:AY211)</f>
        <v>0</v>
      </c>
      <c r="AZ212" s="890">
        <f t="shared" ref="AZ212" si="764">SUM(AZ209:AZ211)</f>
        <v>0</v>
      </c>
      <c r="BA212" s="192"/>
      <c r="BB212" s="195" t="s">
        <v>2233</v>
      </c>
      <c r="BC212" s="177">
        <f>SUM(BC209:BC211)</f>
        <v>0</v>
      </c>
      <c r="BD212" s="178">
        <f t="shared" ref="BD212" si="765">SUM(BD209:BD211)</f>
        <v>0</v>
      </c>
      <c r="BE212" s="178">
        <f t="shared" ref="BE212" si="766">SUM(BE209:BE211)</f>
        <v>0</v>
      </c>
      <c r="BF212" s="178">
        <f t="shared" ref="BF212" si="767">SUM(BF209:BF211)</f>
        <v>0</v>
      </c>
      <c r="BG212" s="178">
        <f t="shared" ref="BG212" si="768">SUM(BG209:BG211)</f>
        <v>0</v>
      </c>
      <c r="BH212" s="178">
        <f t="shared" ref="BH212" si="769">SUM(BH209:BH211)</f>
        <v>0</v>
      </c>
      <c r="BI212" s="178">
        <f t="shared" ref="BI212" si="770">SUM(BI209:BI211)</f>
        <v>0</v>
      </c>
      <c r="BJ212" s="179">
        <f t="shared" ref="BJ212" si="771">SUM(BJ209:BJ211)</f>
        <v>0</v>
      </c>
      <c r="BK212" s="177">
        <f t="shared" ref="BK212" si="772">SUM(BK209:BK211)</f>
        <v>0</v>
      </c>
      <c r="BL212" s="178">
        <f t="shared" ref="BL212" si="773">SUM(BL209:BL211)</f>
        <v>0</v>
      </c>
      <c r="BM212" s="178">
        <f t="shared" ref="BM212" si="774">SUM(BM209:BM211)</f>
        <v>0</v>
      </c>
      <c r="BN212" s="178">
        <f t="shared" ref="BN212" si="775">SUM(BN209:BN211)</f>
        <v>0</v>
      </c>
      <c r="BO212" s="179">
        <f t="shared" ref="BO212" si="776">SUM(BO209:BO211)</f>
        <v>0</v>
      </c>
    </row>
    <row r="213" spans="1:67" s="99" customFormat="1" ht="15" customHeight="1" thickBot="1">
      <c r="B213" s="150"/>
      <c r="C213" s="150"/>
      <c r="D213" s="150"/>
      <c r="E213" s="150"/>
      <c r="F213" s="150"/>
      <c r="G213" s="97"/>
      <c r="H213" s="97"/>
      <c r="I213" s="98"/>
      <c r="J213" s="98"/>
      <c r="K213" s="98"/>
      <c r="L213" s="98"/>
      <c r="M213" s="98"/>
      <c r="N213" s="98"/>
      <c r="O213" s="98"/>
      <c r="P213" s="98"/>
      <c r="Q213" s="98"/>
      <c r="R213" s="98"/>
      <c r="S213" s="98"/>
      <c r="T213" s="98"/>
      <c r="U213" s="98"/>
      <c r="V213" s="98"/>
      <c r="AL213" s="98"/>
      <c r="AM213" s="98"/>
      <c r="AN213" s="98"/>
      <c r="AO213" s="98"/>
      <c r="AP213" s="98"/>
      <c r="AQ213" s="98"/>
      <c r="AR213" s="98"/>
      <c r="AS213" s="98"/>
      <c r="AT213" s="98"/>
      <c r="AU213" s="98"/>
      <c r="AV213" s="98"/>
      <c r="AW213" s="98"/>
      <c r="AX213" s="98"/>
      <c r="AY213" s="98"/>
      <c r="AZ213" s="98"/>
      <c r="BA213" s="98"/>
    </row>
    <row r="214" spans="1:67" s="100" customFormat="1" ht="30" customHeight="1" thickBot="1">
      <c r="A214" s="89"/>
      <c r="B214" s="621" t="s">
        <v>2238</v>
      </c>
      <c r="C214" s="102"/>
      <c r="D214" s="102"/>
      <c r="E214" s="102"/>
      <c r="F214" s="102"/>
      <c r="G214" s="103"/>
      <c r="H214" s="103"/>
      <c r="I214" s="105" t="s">
        <v>1704</v>
      </c>
      <c r="J214" s="106"/>
      <c r="K214" s="106"/>
      <c r="L214" s="106"/>
      <c r="M214" s="106"/>
      <c r="N214" s="106"/>
      <c r="O214" s="106"/>
      <c r="P214" s="106"/>
      <c r="Q214" s="106"/>
      <c r="R214" s="105"/>
      <c r="S214" s="105"/>
      <c r="T214" s="105"/>
      <c r="U214" s="105"/>
      <c r="V214" s="187"/>
    </row>
    <row r="215" spans="1:67" s="157" customFormat="1" ht="30" customHeight="1">
      <c r="A215" s="99"/>
      <c r="B215" s="109"/>
      <c r="C215" s="110"/>
      <c r="D215" s="110"/>
      <c r="E215" s="110"/>
      <c r="F215" s="110"/>
      <c r="G215" s="111"/>
      <c r="H215" s="111"/>
      <c r="I215" s="117"/>
      <c r="J215" s="695" t="s">
        <v>1666</v>
      </c>
      <c r="K215" s="152"/>
      <c r="L215" s="152"/>
      <c r="M215" s="152"/>
      <c r="N215" s="152"/>
      <c r="O215" s="152"/>
      <c r="P215" s="152"/>
      <c r="Q215" s="153"/>
      <c r="R215" s="696" t="s">
        <v>2</v>
      </c>
      <c r="S215" s="155"/>
      <c r="T215" s="155"/>
      <c r="U215" s="155"/>
      <c r="V215" s="156"/>
    </row>
    <row r="216" spans="1:67" s="98" customFormat="1" ht="15" customHeight="1">
      <c r="A216" s="99"/>
      <c r="B216" s="115"/>
      <c r="C216" s="116"/>
      <c r="D216" s="116"/>
      <c r="E216" s="116"/>
      <c r="F216" s="116"/>
      <c r="G216" s="117"/>
      <c r="H216" s="117"/>
      <c r="I216" s="119" t="s">
        <v>1667</v>
      </c>
      <c r="J216" s="158" t="s">
        <v>453</v>
      </c>
      <c r="K216" s="137" t="s">
        <v>455</v>
      </c>
      <c r="L216" s="137" t="s">
        <v>457</v>
      </c>
      <c r="M216" s="137" t="s">
        <v>459</v>
      </c>
      <c r="N216" s="137" t="s">
        <v>461</v>
      </c>
      <c r="O216" s="137" t="s">
        <v>463</v>
      </c>
      <c r="P216" s="137" t="s">
        <v>465</v>
      </c>
      <c r="Q216" s="138" t="s">
        <v>467</v>
      </c>
      <c r="R216" s="120" t="s">
        <v>469</v>
      </c>
      <c r="S216" s="121" t="s">
        <v>471</v>
      </c>
      <c r="T216" s="121" t="s">
        <v>473</v>
      </c>
      <c r="U216" s="121" t="s">
        <v>475</v>
      </c>
      <c r="V216" s="122" t="s">
        <v>477</v>
      </c>
    </row>
    <row r="217" spans="1:67" s="98" customFormat="1" ht="15" customHeight="1">
      <c r="B217" s="161"/>
      <c r="C217" s="180" t="s">
        <v>36</v>
      </c>
      <c r="D217" s="180"/>
      <c r="E217" s="162"/>
      <c r="F217" s="162"/>
      <c r="G217" s="163"/>
      <c r="H217" s="163"/>
      <c r="I217" s="117"/>
      <c r="J217" s="159"/>
      <c r="K217" s="117"/>
      <c r="L217" s="117"/>
      <c r="M217" s="117"/>
      <c r="N217" s="117"/>
      <c r="O217" s="117"/>
      <c r="P217" s="117"/>
      <c r="Q217" s="160"/>
      <c r="R217" s="159"/>
      <c r="S217" s="117"/>
      <c r="T217" s="117"/>
      <c r="U217" s="117"/>
      <c r="V217" s="160"/>
    </row>
    <row r="218" spans="1:67" s="98" customFormat="1" ht="15" customHeight="1">
      <c r="B218" s="161"/>
      <c r="C218" s="185"/>
      <c r="D218" s="162" t="s">
        <v>1669</v>
      </c>
      <c r="G218" s="162"/>
      <c r="H218" s="163"/>
      <c r="I218" s="164" t="s">
        <v>2145</v>
      </c>
      <c r="J218" s="143">
        <v>0</v>
      </c>
      <c r="K218" s="141">
        <v>1.5510000000000002</v>
      </c>
      <c r="L218" s="141">
        <v>1.3014029899999999</v>
      </c>
      <c r="M218" s="141">
        <v>1.03788429</v>
      </c>
      <c r="N218" s="141">
        <v>0.80725813000000002</v>
      </c>
      <c r="O218" s="141">
        <v>0.80506797000000008</v>
      </c>
      <c r="P218" s="141">
        <v>0.80506797000000008</v>
      </c>
      <c r="Q218" s="144">
        <v>0.80506797000000008</v>
      </c>
      <c r="R218" s="143">
        <v>0.80506797000000008</v>
      </c>
      <c r="S218" s="141">
        <v>0.80506797000000008</v>
      </c>
      <c r="T218" s="141">
        <v>0.80506797000000008</v>
      </c>
      <c r="U218" s="141">
        <v>0.80506797000000008</v>
      </c>
      <c r="V218" s="144">
        <v>0.80506797000000008</v>
      </c>
    </row>
    <row r="219" spans="1:67" s="98" customFormat="1" ht="15" customHeight="1">
      <c r="B219" s="161"/>
      <c r="C219" s="185"/>
      <c r="D219" s="162" t="s">
        <v>40</v>
      </c>
      <c r="G219" s="162"/>
      <c r="H219" s="163"/>
      <c r="I219" s="164" t="s">
        <v>2145</v>
      </c>
      <c r="J219" s="143">
        <v>3.1837999999999998E-2</v>
      </c>
      <c r="K219" s="141">
        <v>7.0000000000000001E-3</v>
      </c>
      <c r="L219" s="141">
        <v>8.3782699999999974E-2</v>
      </c>
      <c r="M219" s="141">
        <v>-2.6497469999999988E-2</v>
      </c>
      <c r="N219" s="141">
        <v>3.8985500000000002E-3</v>
      </c>
      <c r="O219" s="141">
        <v>1.1348680000000002E-2</v>
      </c>
      <c r="P219" s="141">
        <v>1.1348680000000002E-2</v>
      </c>
      <c r="Q219" s="144">
        <v>1.1348680000000002E-2</v>
      </c>
      <c r="R219" s="143">
        <v>1.1348680000000002E-2</v>
      </c>
      <c r="S219" s="141">
        <v>1.1348680000000002E-2</v>
      </c>
      <c r="T219" s="141">
        <v>1.1348680000000002E-2</v>
      </c>
      <c r="U219" s="141">
        <v>1.1348680000000002E-2</v>
      </c>
      <c r="V219" s="144">
        <v>1.1348680000000002E-2</v>
      </c>
    </row>
    <row r="220" spans="1:67" s="98" customFormat="1" ht="15" customHeight="1">
      <c r="B220" s="161"/>
      <c r="C220" s="185"/>
      <c r="D220" s="162" t="s">
        <v>1670</v>
      </c>
      <c r="G220" s="162"/>
      <c r="H220" s="163"/>
      <c r="I220" s="164" t="s">
        <v>2145</v>
      </c>
      <c r="J220" s="143">
        <v>0.12033347999999935</v>
      </c>
      <c r="K220" s="141">
        <v>0.18</v>
      </c>
      <c r="L220" s="141">
        <v>0.20978335999999986</v>
      </c>
      <c r="M220" s="141">
        <v>0.32969713</v>
      </c>
      <c r="N220" s="141">
        <v>0.35016848999999994</v>
      </c>
      <c r="O220" s="141">
        <v>0.22465728000000001</v>
      </c>
      <c r="P220" s="141">
        <v>0.22465728000000001</v>
      </c>
      <c r="Q220" s="144">
        <v>0.22465728000000001</v>
      </c>
      <c r="R220" s="143">
        <v>0.22465728000000001</v>
      </c>
      <c r="S220" s="141">
        <v>0.22465728000000001</v>
      </c>
      <c r="T220" s="141">
        <v>0.22465728000000001</v>
      </c>
      <c r="U220" s="141">
        <v>0.22465728000000001</v>
      </c>
      <c r="V220" s="144">
        <v>0.22465728000000001</v>
      </c>
    </row>
    <row r="221" spans="1:67" s="98" customFormat="1" ht="15" customHeight="1">
      <c r="B221" s="161"/>
      <c r="C221" s="185"/>
      <c r="D221" s="162" t="s">
        <v>41</v>
      </c>
      <c r="G221" s="162"/>
      <c r="H221" s="163"/>
      <c r="I221" s="164" t="s">
        <v>2145</v>
      </c>
      <c r="J221" s="143">
        <v>6.3600000000000002E-3</v>
      </c>
      <c r="K221" s="141">
        <v>4.2999999999999997E-2</v>
      </c>
      <c r="L221" s="141">
        <v>0</v>
      </c>
      <c r="M221" s="141">
        <v>6.1129580000000003E-2</v>
      </c>
      <c r="N221" s="141">
        <v>3.9494300000000003E-2</v>
      </c>
      <c r="O221" s="141">
        <v>8.6891479999999993E-2</v>
      </c>
      <c r="P221" s="141">
        <v>8.6891479999999993E-2</v>
      </c>
      <c r="Q221" s="144">
        <v>8.6891479999999993E-2</v>
      </c>
      <c r="R221" s="143">
        <v>8.6891479999999993E-2</v>
      </c>
      <c r="S221" s="141">
        <v>8.6891479999999993E-2</v>
      </c>
      <c r="T221" s="141">
        <v>8.6891479999999993E-2</v>
      </c>
      <c r="U221" s="141">
        <v>8.6891479999999993E-2</v>
      </c>
      <c r="V221" s="144">
        <v>8.6891479999999993E-2</v>
      </c>
    </row>
    <row r="222" spans="1:67" s="98" customFormat="1" ht="15" customHeight="1">
      <c r="B222" s="161"/>
      <c r="C222" s="185"/>
      <c r="D222" s="162" t="s">
        <v>85</v>
      </c>
      <c r="G222" s="162"/>
      <c r="H222" s="163"/>
      <c r="I222" s="164" t="s">
        <v>2145</v>
      </c>
      <c r="J222" s="143">
        <v>-1.9149599999992856E-3</v>
      </c>
      <c r="K222" s="141">
        <v>0</v>
      </c>
      <c r="L222" s="141">
        <v>0.16136923000000014</v>
      </c>
      <c r="M222" s="141">
        <v>0.14108682999999997</v>
      </c>
      <c r="N222" s="141">
        <v>9.5292199999998828E-2</v>
      </c>
      <c r="O222" s="141">
        <v>0.16344555000000011</v>
      </c>
      <c r="P222" s="141">
        <v>0.16344555000000011</v>
      </c>
      <c r="Q222" s="144">
        <v>0.16344555000000011</v>
      </c>
      <c r="R222" s="143">
        <v>0.16344555000000011</v>
      </c>
      <c r="S222" s="141">
        <v>0.16344555000000011</v>
      </c>
      <c r="T222" s="141">
        <v>0.16344555000000011</v>
      </c>
      <c r="U222" s="141">
        <v>0.16344555000000011</v>
      </c>
      <c r="V222" s="144">
        <v>0.16344555000000011</v>
      </c>
    </row>
    <row r="223" spans="1:67" s="98" customFormat="1" ht="15" customHeight="1">
      <c r="B223" s="181"/>
      <c r="C223" s="185" t="s">
        <v>1710</v>
      </c>
      <c r="D223" s="245"/>
      <c r="G223" s="184"/>
      <c r="H223" s="184"/>
      <c r="I223" s="164" t="s">
        <v>2145</v>
      </c>
      <c r="J223" s="128">
        <f>SUM(J218:J222)</f>
        <v>0.15661652000000009</v>
      </c>
      <c r="K223" s="129">
        <f t="shared" ref="K223:V223" si="777">SUM(K218:K222)</f>
        <v>1.7809999999999999</v>
      </c>
      <c r="L223" s="129">
        <f t="shared" si="777"/>
        <v>1.75633828</v>
      </c>
      <c r="M223" s="129">
        <f t="shared" si="777"/>
        <v>1.5433003599999999</v>
      </c>
      <c r="N223" s="129">
        <f t="shared" si="777"/>
        <v>1.2961116699999988</v>
      </c>
      <c r="O223" s="129">
        <f t="shared" si="777"/>
        <v>1.2914109600000001</v>
      </c>
      <c r="P223" s="129">
        <f t="shared" si="777"/>
        <v>1.2914109600000001</v>
      </c>
      <c r="Q223" s="130">
        <f t="shared" si="777"/>
        <v>1.2914109600000001</v>
      </c>
      <c r="R223" s="128">
        <f t="shared" si="777"/>
        <v>1.2914109600000001</v>
      </c>
      <c r="S223" s="129">
        <f t="shared" si="777"/>
        <v>1.2914109600000001</v>
      </c>
      <c r="T223" s="129">
        <f t="shared" si="777"/>
        <v>1.2914109600000001</v>
      </c>
      <c r="U223" s="129">
        <f t="shared" si="777"/>
        <v>1.2914109600000001</v>
      </c>
      <c r="V223" s="130">
        <f t="shared" si="777"/>
        <v>1.2914109600000001</v>
      </c>
    </row>
    <row r="224" spans="1:67" s="98" customFormat="1" ht="15" customHeight="1">
      <c r="B224" s="181"/>
      <c r="C224" s="185"/>
      <c r="D224" s="185"/>
      <c r="E224" s="182"/>
      <c r="F224" s="182"/>
      <c r="G224" s="184"/>
      <c r="H224" s="184"/>
      <c r="I224" s="117"/>
      <c r="J224" s="713"/>
      <c r="K224" s="714"/>
      <c r="L224" s="714"/>
      <c r="M224" s="714"/>
      <c r="N224" s="714"/>
      <c r="O224" s="714"/>
      <c r="P224" s="714"/>
      <c r="Q224" s="715"/>
      <c r="R224" s="716"/>
      <c r="S224" s="714"/>
      <c r="T224" s="714"/>
      <c r="U224" s="714"/>
      <c r="V224" s="715"/>
    </row>
    <row r="225" spans="2:22" s="98" customFormat="1" ht="15" customHeight="1">
      <c r="B225" s="161"/>
      <c r="C225" s="180" t="s">
        <v>62</v>
      </c>
      <c r="D225" s="180"/>
      <c r="E225" s="162"/>
      <c r="F225" s="162"/>
      <c r="G225" s="163"/>
      <c r="H225" s="163"/>
      <c r="I225" s="117"/>
      <c r="J225" s="713"/>
      <c r="K225" s="721"/>
      <c r="L225" s="721"/>
      <c r="M225" s="721"/>
      <c r="N225" s="721"/>
      <c r="O225" s="721"/>
      <c r="P225" s="721"/>
      <c r="Q225" s="715"/>
      <c r="R225" s="713"/>
      <c r="S225" s="721"/>
      <c r="T225" s="721"/>
      <c r="U225" s="721"/>
      <c r="V225" s="715"/>
    </row>
    <row r="226" spans="2:22" s="98" customFormat="1" ht="15" customHeight="1">
      <c r="B226" s="161"/>
      <c r="C226" s="185"/>
      <c r="D226" s="162" t="s">
        <v>2239</v>
      </c>
      <c r="G226" s="162"/>
      <c r="H226" s="163"/>
      <c r="I226" s="164" t="s">
        <v>2145</v>
      </c>
      <c r="J226" s="143">
        <v>0</v>
      </c>
      <c r="K226" s="141">
        <v>0</v>
      </c>
      <c r="L226" s="141">
        <v>0</v>
      </c>
      <c r="M226" s="141">
        <v>0</v>
      </c>
      <c r="N226" s="141">
        <v>0</v>
      </c>
      <c r="O226" s="141">
        <v>0</v>
      </c>
      <c r="P226" s="141">
        <v>0</v>
      </c>
      <c r="Q226" s="144">
        <v>0</v>
      </c>
      <c r="R226" s="143">
        <v>0</v>
      </c>
      <c r="S226" s="141">
        <v>0</v>
      </c>
      <c r="T226" s="141">
        <v>0</v>
      </c>
      <c r="U226" s="141">
        <v>0</v>
      </c>
      <c r="V226" s="144">
        <v>0</v>
      </c>
    </row>
    <row r="227" spans="2:22" s="98" customFormat="1" ht="15" customHeight="1">
      <c r="B227" s="161"/>
      <c r="C227" s="185"/>
      <c r="D227" s="162" t="s">
        <v>172</v>
      </c>
      <c r="G227" s="162"/>
      <c r="H227" s="163"/>
      <c r="I227" s="164" t="s">
        <v>2145</v>
      </c>
      <c r="J227" s="143">
        <v>0.11691120999999999</v>
      </c>
      <c r="K227" s="141">
        <v>3.4000000000000002E-2</v>
      </c>
      <c r="L227" s="141">
        <v>3.7609240000000002E-2</v>
      </c>
      <c r="M227" s="141">
        <v>3.7088420000000011E-2</v>
      </c>
      <c r="N227" s="141">
        <v>2.9241259999999998E-2</v>
      </c>
      <c r="O227" s="141">
        <v>4.3566770000000012E-2</v>
      </c>
      <c r="P227" s="141">
        <v>4.3566770000000012E-2</v>
      </c>
      <c r="Q227" s="144">
        <v>4.3566770000000012E-2</v>
      </c>
      <c r="R227" s="143">
        <v>4.3566770000000012E-2</v>
      </c>
      <c r="S227" s="141">
        <v>4.3566770000000012E-2</v>
      </c>
      <c r="T227" s="141">
        <v>4.3566770000000012E-2</v>
      </c>
      <c r="U227" s="141">
        <v>4.3566770000000012E-2</v>
      </c>
      <c r="V227" s="144">
        <v>4.3566770000000012E-2</v>
      </c>
    </row>
    <row r="228" spans="2:22" s="98" customFormat="1" ht="15" customHeight="1">
      <c r="B228" s="161"/>
      <c r="C228" s="185"/>
      <c r="D228" s="162" t="s">
        <v>2240</v>
      </c>
      <c r="G228" s="162"/>
      <c r="H228" s="163"/>
      <c r="I228" s="164" t="s">
        <v>2145</v>
      </c>
      <c r="J228" s="143">
        <v>0</v>
      </c>
      <c r="K228" s="141">
        <v>0</v>
      </c>
      <c r="L228" s="141">
        <v>0</v>
      </c>
      <c r="M228" s="141">
        <v>0</v>
      </c>
      <c r="N228" s="141">
        <v>0</v>
      </c>
      <c r="O228" s="141">
        <v>0</v>
      </c>
      <c r="P228" s="141">
        <v>0</v>
      </c>
      <c r="Q228" s="144">
        <v>0</v>
      </c>
      <c r="R228" s="143">
        <v>0</v>
      </c>
      <c r="S228" s="141">
        <v>0</v>
      </c>
      <c r="T228" s="141">
        <v>0</v>
      </c>
      <c r="U228" s="141">
        <v>0</v>
      </c>
      <c r="V228" s="144">
        <v>0</v>
      </c>
    </row>
    <row r="229" spans="2:22" s="98" customFormat="1" ht="15" customHeight="1">
      <c r="B229" s="161"/>
      <c r="C229" s="185"/>
      <c r="D229" s="162" t="s">
        <v>66</v>
      </c>
      <c r="G229" s="162"/>
      <c r="H229" s="163"/>
      <c r="I229" s="164" t="s">
        <v>2145</v>
      </c>
      <c r="J229" s="143">
        <v>0</v>
      </c>
      <c r="K229" s="141">
        <v>0</v>
      </c>
      <c r="L229" s="141">
        <v>0</v>
      </c>
      <c r="M229" s="141">
        <v>0</v>
      </c>
      <c r="N229" s="141">
        <v>0</v>
      </c>
      <c r="O229" s="141">
        <v>0</v>
      </c>
      <c r="P229" s="141">
        <v>0</v>
      </c>
      <c r="Q229" s="144">
        <v>0</v>
      </c>
      <c r="R229" s="143">
        <v>0</v>
      </c>
      <c r="S229" s="141">
        <v>0</v>
      </c>
      <c r="T229" s="141">
        <v>0</v>
      </c>
      <c r="U229" s="141">
        <v>0</v>
      </c>
      <c r="V229" s="144">
        <v>0</v>
      </c>
    </row>
    <row r="230" spans="2:22" s="98" customFormat="1" ht="15" customHeight="1">
      <c r="B230" s="161"/>
      <c r="C230" s="185"/>
      <c r="D230" s="162" t="s">
        <v>67</v>
      </c>
      <c r="G230" s="162"/>
      <c r="H230" s="163"/>
      <c r="I230" s="164" t="s">
        <v>2145</v>
      </c>
      <c r="J230" s="143">
        <v>0.22371548999999996</v>
      </c>
      <c r="K230" s="141">
        <v>0.123</v>
      </c>
      <c r="L230" s="141">
        <v>0.12184842999999994</v>
      </c>
      <c r="M230" s="141">
        <v>0.17768771000000003</v>
      </c>
      <c r="N230" s="141">
        <v>0.11023294</v>
      </c>
      <c r="O230" s="141">
        <v>0.27162733</v>
      </c>
      <c r="P230" s="141">
        <v>0.27162733</v>
      </c>
      <c r="Q230" s="144">
        <v>0.27162733</v>
      </c>
      <c r="R230" s="143">
        <v>0.27162733</v>
      </c>
      <c r="S230" s="141">
        <v>0.27162733</v>
      </c>
      <c r="T230" s="141">
        <v>0.27162733</v>
      </c>
      <c r="U230" s="141">
        <v>0.27162733</v>
      </c>
      <c r="V230" s="144">
        <v>0.27162733</v>
      </c>
    </row>
    <row r="231" spans="2:22" s="98" customFormat="1" ht="15" customHeight="1">
      <c r="B231" s="161"/>
      <c r="C231" s="185"/>
      <c r="D231" s="162" t="s">
        <v>85</v>
      </c>
      <c r="G231" s="162"/>
      <c r="H231" s="163"/>
      <c r="I231" s="164" t="s">
        <v>2145</v>
      </c>
      <c r="J231" s="143">
        <v>0</v>
      </c>
      <c r="K231" s="141">
        <v>0</v>
      </c>
      <c r="L231" s="141">
        <v>9.5750000000008328E-4</v>
      </c>
      <c r="M231" s="141">
        <v>-1.7408800000000009E-2</v>
      </c>
      <c r="N231" s="141">
        <v>-6.613850000000001E-3</v>
      </c>
      <c r="O231" s="141">
        <v>-6.5173880000000003E-2</v>
      </c>
      <c r="P231" s="141">
        <v>-6.5173880000000003E-2</v>
      </c>
      <c r="Q231" s="144">
        <v>-6.5173880000000003E-2</v>
      </c>
      <c r="R231" s="143">
        <v>-6.5173880000000003E-2</v>
      </c>
      <c r="S231" s="141">
        <v>-6.5173880000000003E-2</v>
      </c>
      <c r="T231" s="141">
        <v>-6.5173880000000003E-2</v>
      </c>
      <c r="U231" s="141">
        <v>-6.5173880000000003E-2</v>
      </c>
      <c r="V231" s="144">
        <v>-6.5173880000000003E-2</v>
      </c>
    </row>
    <row r="232" spans="2:22" s="98" customFormat="1" ht="15" customHeight="1">
      <c r="B232" s="181"/>
      <c r="C232" s="185" t="s">
        <v>1710</v>
      </c>
      <c r="D232" s="245"/>
      <c r="G232" s="184"/>
      <c r="H232" s="184"/>
      <c r="I232" s="164" t="s">
        <v>2145</v>
      </c>
      <c r="J232" s="128">
        <f>SUM(J226:J231)</f>
        <v>0.34062669999999995</v>
      </c>
      <c r="K232" s="129">
        <f t="shared" ref="K232:V232" si="778">SUM(K226:K231)</f>
        <v>0.157</v>
      </c>
      <c r="L232" s="129">
        <f t="shared" si="778"/>
        <v>0.16041517000000002</v>
      </c>
      <c r="M232" s="129">
        <f t="shared" si="778"/>
        <v>0.19736733000000004</v>
      </c>
      <c r="N232" s="129">
        <f t="shared" si="778"/>
        <v>0.13286034999999999</v>
      </c>
      <c r="O232" s="129">
        <f t="shared" si="778"/>
        <v>0.25002022000000002</v>
      </c>
      <c r="P232" s="129">
        <f t="shared" si="778"/>
        <v>0.25002022000000002</v>
      </c>
      <c r="Q232" s="130">
        <f t="shared" si="778"/>
        <v>0.25002022000000002</v>
      </c>
      <c r="R232" s="128">
        <f t="shared" si="778"/>
        <v>0.25002022000000002</v>
      </c>
      <c r="S232" s="129">
        <f t="shared" si="778"/>
        <v>0.25002022000000002</v>
      </c>
      <c r="T232" s="129">
        <f t="shared" si="778"/>
        <v>0.25002022000000002</v>
      </c>
      <c r="U232" s="129">
        <f t="shared" si="778"/>
        <v>0.25002022000000002</v>
      </c>
      <c r="V232" s="130">
        <f t="shared" si="778"/>
        <v>0.25002022000000002</v>
      </c>
    </row>
    <row r="233" spans="2:22" s="98" customFormat="1" ht="15" customHeight="1">
      <c r="B233" s="181"/>
      <c r="C233" s="185"/>
      <c r="D233" s="185"/>
      <c r="E233" s="182"/>
      <c r="F233" s="182"/>
      <c r="G233" s="184"/>
      <c r="H233" s="184"/>
      <c r="I233" s="117"/>
      <c r="J233" s="713"/>
      <c r="K233" s="714"/>
      <c r="L233" s="714"/>
      <c r="M233" s="714"/>
      <c r="N233" s="714"/>
      <c r="O233" s="714"/>
      <c r="P233" s="714"/>
      <c r="Q233" s="715"/>
      <c r="R233" s="716"/>
      <c r="S233" s="714"/>
      <c r="T233" s="714"/>
      <c r="U233" s="714"/>
      <c r="V233" s="715"/>
    </row>
    <row r="234" spans="2:22" s="98" customFormat="1" ht="15" customHeight="1">
      <c r="B234" s="161"/>
      <c r="C234" s="180" t="s">
        <v>71</v>
      </c>
      <c r="D234" s="180"/>
      <c r="E234" s="162"/>
      <c r="F234" s="162"/>
      <c r="G234" s="163"/>
      <c r="H234" s="163"/>
      <c r="I234" s="117"/>
      <c r="J234" s="713"/>
      <c r="K234" s="721"/>
      <c r="L234" s="721"/>
      <c r="M234" s="721"/>
      <c r="N234" s="721"/>
      <c r="O234" s="721"/>
      <c r="P234" s="721"/>
      <c r="Q234" s="715"/>
      <c r="R234" s="713"/>
      <c r="S234" s="721"/>
      <c r="T234" s="721"/>
      <c r="U234" s="721"/>
      <c r="V234" s="715"/>
    </row>
    <row r="235" spans="2:22" s="98" customFormat="1" ht="15" customHeight="1">
      <c r="B235" s="161"/>
      <c r="C235" s="185"/>
      <c r="D235" s="162" t="s">
        <v>2241</v>
      </c>
      <c r="G235" s="162"/>
      <c r="H235" s="163"/>
      <c r="I235" s="164" t="s">
        <v>2145</v>
      </c>
      <c r="J235" s="143">
        <v>0.20247821772170399</v>
      </c>
      <c r="K235" s="141">
        <v>3.5000000000000003E-2</v>
      </c>
      <c r="L235" s="141">
        <v>0.18770626000000004</v>
      </c>
      <c r="M235" s="141">
        <v>0.23771044999999999</v>
      </c>
      <c r="N235" s="141">
        <v>0.21669820000000006</v>
      </c>
      <c r="O235" s="141">
        <v>0.30524184000000004</v>
      </c>
      <c r="P235" s="141">
        <v>0.30524184000000004</v>
      </c>
      <c r="Q235" s="144">
        <v>0.30524184000000004</v>
      </c>
      <c r="R235" s="143">
        <v>0.30524184000000004</v>
      </c>
      <c r="S235" s="141">
        <v>0.30524184000000004</v>
      </c>
      <c r="T235" s="141">
        <v>0.30524184000000004</v>
      </c>
      <c r="U235" s="141">
        <v>0.30524184000000004</v>
      </c>
      <c r="V235" s="144">
        <v>0.30524184000000004</v>
      </c>
    </row>
    <row r="236" spans="2:22" s="98" customFormat="1" ht="15" customHeight="1">
      <c r="B236" s="161"/>
      <c r="C236" s="185"/>
      <c r="D236" s="162" t="s">
        <v>2242</v>
      </c>
      <c r="G236" s="162"/>
      <c r="H236" s="163"/>
      <c r="I236" s="164" t="s">
        <v>2145</v>
      </c>
      <c r="J236" s="143">
        <v>0</v>
      </c>
      <c r="K236" s="141">
        <v>9.3660000000000011E-3</v>
      </c>
      <c r="L236" s="141">
        <v>3.5199999999999999E-4</v>
      </c>
      <c r="M236" s="141">
        <v>1.412588E-2</v>
      </c>
      <c r="N236" s="141">
        <v>0.14350359999999998</v>
      </c>
      <c r="O236" s="141">
        <v>-7.2531650000000017E-2</v>
      </c>
      <c r="P236" s="141">
        <v>-7.2531650000000017E-2</v>
      </c>
      <c r="Q236" s="144">
        <v>-7.2531650000000017E-2</v>
      </c>
      <c r="R236" s="143">
        <v>-7.2531650000000017E-2</v>
      </c>
      <c r="S236" s="141">
        <v>-7.2531650000000017E-2</v>
      </c>
      <c r="T236" s="141">
        <v>-7.2531650000000017E-2</v>
      </c>
      <c r="U236" s="141">
        <v>-7.2531650000000017E-2</v>
      </c>
      <c r="V236" s="144">
        <v>-7.2531650000000017E-2</v>
      </c>
    </row>
    <row r="237" spans="2:22" s="98" customFormat="1" ht="15" customHeight="1">
      <c r="B237" s="161"/>
      <c r="C237" s="185"/>
      <c r="D237" s="162" t="s">
        <v>2243</v>
      </c>
      <c r="G237" s="162"/>
      <c r="H237" s="163"/>
      <c r="I237" s="164" t="s">
        <v>2145</v>
      </c>
      <c r="J237" s="143">
        <v>0</v>
      </c>
      <c r="K237" s="141">
        <v>0</v>
      </c>
      <c r="L237" s="141">
        <v>0</v>
      </c>
      <c r="M237" s="141">
        <v>0</v>
      </c>
      <c r="N237" s="141">
        <v>0</v>
      </c>
      <c r="O237" s="141">
        <v>0</v>
      </c>
      <c r="P237" s="141">
        <v>0</v>
      </c>
      <c r="Q237" s="144">
        <v>0</v>
      </c>
      <c r="R237" s="143">
        <v>0</v>
      </c>
      <c r="S237" s="141">
        <v>0</v>
      </c>
      <c r="T237" s="141">
        <v>0</v>
      </c>
      <c r="U237" s="141">
        <v>0</v>
      </c>
      <c r="V237" s="144">
        <v>0</v>
      </c>
    </row>
    <row r="238" spans="2:22" s="98" customFormat="1" ht="15" customHeight="1">
      <c r="B238" s="161"/>
      <c r="C238" s="185"/>
      <c r="D238" s="162" t="s">
        <v>85</v>
      </c>
      <c r="G238" s="162"/>
      <c r="H238" s="163"/>
      <c r="I238" s="164" t="s">
        <v>2145</v>
      </c>
      <c r="J238" s="143">
        <v>0.43589693227829601</v>
      </c>
      <c r="K238" s="141">
        <v>0.29763399999999995</v>
      </c>
      <c r="L238" s="141">
        <v>0.42643085999999997</v>
      </c>
      <c r="M238" s="141">
        <v>0.35143592999999995</v>
      </c>
      <c r="N238" s="141">
        <v>0.2116860900000001</v>
      </c>
      <c r="O238" s="141">
        <v>0.33917770000000014</v>
      </c>
      <c r="P238" s="141">
        <v>0.33917770000000014</v>
      </c>
      <c r="Q238" s="144">
        <v>0.33917770000000014</v>
      </c>
      <c r="R238" s="143">
        <v>0.33917770000000014</v>
      </c>
      <c r="S238" s="141">
        <v>0.33917770000000014</v>
      </c>
      <c r="T238" s="141">
        <v>0.33917770000000014</v>
      </c>
      <c r="U238" s="141">
        <v>0.33917770000000014</v>
      </c>
      <c r="V238" s="144">
        <v>0.33917770000000014</v>
      </c>
    </row>
    <row r="239" spans="2:22" s="98" customFormat="1" ht="15" customHeight="1">
      <c r="B239" s="181"/>
      <c r="C239" s="185" t="s">
        <v>1710</v>
      </c>
      <c r="D239" s="245"/>
      <c r="G239" s="184"/>
      <c r="H239" s="184"/>
      <c r="I239" s="164" t="s">
        <v>2145</v>
      </c>
      <c r="J239" s="128">
        <f t="shared" ref="J239:V239" si="779">SUM(J235:J238)</f>
        <v>0.63837515</v>
      </c>
      <c r="K239" s="129">
        <f t="shared" si="779"/>
        <v>0.34199999999999997</v>
      </c>
      <c r="L239" s="129">
        <f t="shared" si="779"/>
        <v>0.61448912</v>
      </c>
      <c r="M239" s="129">
        <f t="shared" si="779"/>
        <v>0.60327226</v>
      </c>
      <c r="N239" s="129">
        <f t="shared" si="779"/>
        <v>0.57188789000000018</v>
      </c>
      <c r="O239" s="129">
        <f t="shared" si="779"/>
        <v>0.57188789000000018</v>
      </c>
      <c r="P239" s="129">
        <f t="shared" si="779"/>
        <v>0.57188789000000018</v>
      </c>
      <c r="Q239" s="130">
        <f t="shared" si="779"/>
        <v>0.57188789000000018</v>
      </c>
      <c r="R239" s="128">
        <f t="shared" si="779"/>
        <v>0.57188789000000018</v>
      </c>
      <c r="S239" s="129">
        <f t="shared" si="779"/>
        <v>0.57188789000000018</v>
      </c>
      <c r="T239" s="129">
        <f t="shared" si="779"/>
        <v>0.57188789000000018</v>
      </c>
      <c r="U239" s="129">
        <f t="shared" si="779"/>
        <v>0.57188789000000018</v>
      </c>
      <c r="V239" s="130">
        <f t="shared" si="779"/>
        <v>0.57188789000000018</v>
      </c>
    </row>
    <row r="240" spans="2:22" s="98" customFormat="1" ht="15" customHeight="1">
      <c r="B240" s="181"/>
      <c r="C240" s="185"/>
      <c r="D240" s="185"/>
      <c r="E240" s="182"/>
      <c r="F240" s="182"/>
      <c r="G240" s="184"/>
      <c r="H240" s="184"/>
      <c r="I240" s="117"/>
      <c r="J240" s="713"/>
      <c r="K240" s="714"/>
      <c r="L240" s="714"/>
      <c r="M240" s="714"/>
      <c r="N240" s="714"/>
      <c r="O240" s="714"/>
      <c r="P240" s="714"/>
      <c r="Q240" s="715"/>
      <c r="R240" s="716"/>
      <c r="S240" s="714"/>
      <c r="T240" s="714"/>
      <c r="U240" s="714"/>
      <c r="V240" s="715"/>
    </row>
    <row r="241" spans="1:53" s="98" customFormat="1" ht="15" customHeight="1" thickBot="1">
      <c r="A241" s="99"/>
      <c r="B241" s="239" t="s">
        <v>1701</v>
      </c>
      <c r="C241" s="240"/>
      <c r="D241" s="240"/>
      <c r="E241" s="240"/>
      <c r="F241" s="240"/>
      <c r="G241" s="241"/>
      <c r="H241" s="241"/>
      <c r="I241" s="195" t="s">
        <v>2145</v>
      </c>
      <c r="J241" s="717">
        <f t="shared" ref="J241:V241" si="780">SUM(J223,J232,J239)</f>
        <v>1.13561837</v>
      </c>
      <c r="K241" s="718">
        <f t="shared" si="780"/>
        <v>2.2799999999999998</v>
      </c>
      <c r="L241" s="718">
        <f t="shared" si="780"/>
        <v>2.5312425699999999</v>
      </c>
      <c r="M241" s="718">
        <f t="shared" si="780"/>
        <v>2.3439399500000002</v>
      </c>
      <c r="N241" s="718">
        <f t="shared" si="780"/>
        <v>2.0008599099999991</v>
      </c>
      <c r="O241" s="718">
        <f t="shared" si="780"/>
        <v>2.1133190700000002</v>
      </c>
      <c r="P241" s="718">
        <f t="shared" si="780"/>
        <v>2.1133190700000002</v>
      </c>
      <c r="Q241" s="719">
        <f t="shared" si="780"/>
        <v>2.1133190700000002</v>
      </c>
      <c r="R241" s="717">
        <f t="shared" si="780"/>
        <v>2.1133190700000002</v>
      </c>
      <c r="S241" s="718">
        <f t="shared" si="780"/>
        <v>2.1133190700000002</v>
      </c>
      <c r="T241" s="718">
        <f t="shared" si="780"/>
        <v>2.1133190700000002</v>
      </c>
      <c r="U241" s="718">
        <f t="shared" si="780"/>
        <v>2.1133190700000002</v>
      </c>
      <c r="V241" s="719">
        <f t="shared" si="780"/>
        <v>2.1133190700000002</v>
      </c>
    </row>
    <row r="242" spans="1:53" s="99" customFormat="1" ht="15" customHeight="1" thickBot="1">
      <c r="B242" s="150"/>
      <c r="C242" s="150"/>
      <c r="D242" s="150"/>
      <c r="E242" s="150"/>
      <c r="F242" s="150"/>
      <c r="G242" s="97"/>
      <c r="H242" s="97"/>
      <c r="I242" s="98"/>
      <c r="J242" s="98"/>
      <c r="K242" s="98"/>
      <c r="L242" s="98"/>
      <c r="M242" s="98"/>
      <c r="N242" s="98"/>
      <c r="O242" s="98"/>
      <c r="P242" s="98"/>
      <c r="Q242" s="98"/>
      <c r="R242" s="98"/>
      <c r="S242" s="98"/>
      <c r="T242" s="98"/>
      <c r="U242" s="98"/>
      <c r="V242" s="98"/>
      <c r="W242" s="98"/>
      <c r="X242" s="98"/>
      <c r="Y242" s="98"/>
      <c r="Z242" s="98"/>
      <c r="AA242" s="98"/>
      <c r="AB242" s="98"/>
      <c r="AC242" s="98"/>
      <c r="AD242" s="98"/>
      <c r="AE242" s="98"/>
      <c r="AF242" s="98"/>
      <c r="AG242" s="98"/>
      <c r="AH242" s="98"/>
      <c r="AI242" s="98"/>
      <c r="AJ242" s="98"/>
      <c r="AK242" s="98"/>
      <c r="AL242" s="98"/>
      <c r="AM242" s="98"/>
      <c r="AN242" s="98"/>
      <c r="AO242" s="98"/>
      <c r="AP242" s="98"/>
      <c r="AQ242" s="98"/>
      <c r="AR242" s="98"/>
      <c r="AS242" s="98"/>
      <c r="AT242" s="98"/>
      <c r="AU242" s="98"/>
      <c r="AV242" s="98"/>
      <c r="AW242" s="98"/>
      <c r="AX242" s="98"/>
      <c r="AY242" s="98"/>
      <c r="AZ242" s="98"/>
      <c r="BA242" s="98"/>
    </row>
    <row r="243" spans="1:53" s="100" customFormat="1" ht="30" customHeight="1" thickBot="1">
      <c r="A243" s="89"/>
      <c r="B243" s="621" t="s">
        <v>2244</v>
      </c>
      <c r="C243" s="788"/>
      <c r="D243" s="102"/>
      <c r="E243" s="102"/>
      <c r="F243" s="102"/>
      <c r="G243" s="103"/>
      <c r="H243" s="103"/>
      <c r="I243" s="1689"/>
      <c r="J243" s="1689"/>
      <c r="K243" s="1689"/>
      <c r="L243" s="1689"/>
      <c r="M243" s="1689"/>
      <c r="N243" s="1689"/>
      <c r="O243" s="1689"/>
      <c r="P243" s="1689"/>
      <c r="Q243" s="1689"/>
      <c r="R243" s="1689"/>
      <c r="S243" s="1689"/>
      <c r="T243" s="1689"/>
      <c r="U243" s="1689"/>
      <c r="V243" s="1689"/>
      <c r="W243" s="103"/>
      <c r="X243" s="1689"/>
      <c r="Y243" s="1689"/>
      <c r="Z243" s="1689"/>
      <c r="AA243" s="1689"/>
      <c r="AB243" s="1689"/>
      <c r="AC243" s="1689"/>
      <c r="AD243" s="1689"/>
      <c r="AE243" s="1689"/>
      <c r="AF243" s="1689"/>
      <c r="AG243" s="1689"/>
      <c r="AH243" s="1689"/>
      <c r="AI243" s="1689"/>
      <c r="AJ243" s="1689"/>
      <c r="AK243" s="1689"/>
      <c r="AL243" s="103"/>
      <c r="AM243" s="105" t="s">
        <v>1869</v>
      </c>
      <c r="AN243" s="106"/>
      <c r="AO243" s="106"/>
      <c r="AP243" s="106"/>
      <c r="AQ243" s="106"/>
      <c r="AR243" s="106"/>
      <c r="AS243" s="106"/>
      <c r="AT243" s="106"/>
      <c r="AU243" s="106"/>
      <c r="AV243" s="105"/>
      <c r="AW243" s="105"/>
      <c r="AX243" s="105"/>
      <c r="AY243" s="105"/>
      <c r="AZ243" s="187"/>
    </row>
    <row r="244" spans="1:53" s="157" customFormat="1" ht="30" customHeight="1">
      <c r="A244" s="99"/>
      <c r="B244" s="109"/>
      <c r="C244" s="110"/>
      <c r="D244" s="110"/>
      <c r="E244" s="110"/>
      <c r="F244" s="110"/>
      <c r="G244" s="111"/>
      <c r="H244" s="111"/>
      <c r="I244" s="1690"/>
      <c r="J244" s="1690"/>
      <c r="K244" s="1690"/>
      <c r="L244" s="1690"/>
      <c r="M244" s="1690"/>
      <c r="N244" s="1690"/>
      <c r="O244" s="1690"/>
      <c r="P244" s="1690"/>
      <c r="Q244" s="1690"/>
      <c r="R244" s="1690"/>
      <c r="S244" s="1690"/>
      <c r="T244" s="1690"/>
      <c r="U244" s="1690"/>
      <c r="V244" s="1690"/>
      <c r="W244" s="222"/>
      <c r="X244" s="1690"/>
      <c r="Y244" s="1690"/>
      <c r="Z244" s="1690"/>
      <c r="AA244" s="1690"/>
      <c r="AB244" s="1690"/>
      <c r="AC244" s="1690"/>
      <c r="AD244" s="1690"/>
      <c r="AE244" s="1690"/>
      <c r="AF244" s="1690"/>
      <c r="AG244" s="1690"/>
      <c r="AH244" s="1690"/>
      <c r="AI244" s="1690"/>
      <c r="AJ244" s="1690"/>
      <c r="AK244" s="1690"/>
      <c r="AL244" s="222"/>
      <c r="AM244" s="117"/>
      <c r="AN244" s="695" t="s">
        <v>1666</v>
      </c>
      <c r="AO244" s="152"/>
      <c r="AP244" s="152"/>
      <c r="AQ244" s="152"/>
      <c r="AR244" s="152"/>
      <c r="AS244" s="152"/>
      <c r="AT244" s="152"/>
      <c r="AU244" s="153"/>
      <c r="AV244" s="696" t="s">
        <v>2</v>
      </c>
      <c r="AW244" s="155"/>
      <c r="AX244" s="155"/>
      <c r="AY244" s="155"/>
      <c r="AZ244" s="156"/>
    </row>
    <row r="245" spans="1:53" s="98" customFormat="1" ht="15" customHeight="1">
      <c r="A245" s="99"/>
      <c r="B245" s="115"/>
      <c r="C245" s="116"/>
      <c r="D245" s="116"/>
      <c r="E245" s="116"/>
      <c r="F245" s="116"/>
      <c r="G245" s="117"/>
      <c r="H245" s="117"/>
      <c r="I245" s="1691"/>
      <c r="J245" s="1691"/>
      <c r="K245" s="1691"/>
      <c r="L245" s="1691"/>
      <c r="M245" s="1691"/>
      <c r="N245" s="1691"/>
      <c r="O245" s="1691"/>
      <c r="P245" s="1691"/>
      <c r="Q245" s="1691"/>
      <c r="R245" s="1691"/>
      <c r="S245" s="1691"/>
      <c r="T245" s="1691"/>
      <c r="U245" s="1691"/>
      <c r="V245" s="1691"/>
      <c r="W245" s="185"/>
      <c r="X245" s="1691"/>
      <c r="Y245" s="1691"/>
      <c r="Z245" s="1691"/>
      <c r="AA245" s="1691"/>
      <c r="AB245" s="1691"/>
      <c r="AC245" s="1691"/>
      <c r="AD245" s="1691"/>
      <c r="AE245" s="1691"/>
      <c r="AF245" s="1691"/>
      <c r="AG245" s="1691"/>
      <c r="AH245" s="1691"/>
      <c r="AI245" s="1691"/>
      <c r="AJ245" s="1691"/>
      <c r="AK245" s="1691"/>
      <c r="AL245" s="185"/>
      <c r="AM245" s="119" t="s">
        <v>1667</v>
      </c>
      <c r="AN245" s="158" t="s">
        <v>453</v>
      </c>
      <c r="AO245" s="137" t="s">
        <v>455</v>
      </c>
      <c r="AP245" s="137" t="s">
        <v>457</v>
      </c>
      <c r="AQ245" s="137" t="s">
        <v>459</v>
      </c>
      <c r="AR245" s="137" t="s">
        <v>461</v>
      </c>
      <c r="AS245" s="137" t="s">
        <v>463</v>
      </c>
      <c r="AT245" s="137" t="s">
        <v>465</v>
      </c>
      <c r="AU245" s="138" t="s">
        <v>467</v>
      </c>
      <c r="AV245" s="120" t="s">
        <v>469</v>
      </c>
      <c r="AW245" s="121" t="s">
        <v>471</v>
      </c>
      <c r="AX245" s="121" t="s">
        <v>473</v>
      </c>
      <c r="AY245" s="121" t="s">
        <v>475</v>
      </c>
      <c r="AZ245" s="122" t="s">
        <v>477</v>
      </c>
    </row>
    <row r="246" spans="1:53" s="98" customFormat="1" ht="15" customHeight="1">
      <c r="B246" s="161"/>
      <c r="C246" s="180" t="s">
        <v>2245</v>
      </c>
      <c r="D246" s="180"/>
      <c r="E246" s="162"/>
      <c r="F246" s="162"/>
      <c r="G246" s="163"/>
      <c r="H246" s="163"/>
      <c r="I246" s="1691"/>
      <c r="J246" s="1691"/>
      <c r="K246" s="1691"/>
      <c r="L246" s="1691"/>
      <c r="M246" s="1691"/>
      <c r="N246" s="1691"/>
      <c r="O246" s="1691"/>
      <c r="P246" s="1691"/>
      <c r="Q246" s="1691"/>
      <c r="R246" s="1691"/>
      <c r="S246" s="1691"/>
      <c r="T246" s="1691"/>
      <c r="U246" s="1691"/>
      <c r="V246" s="1691"/>
      <c r="W246" s="185"/>
      <c r="X246" s="1691"/>
      <c r="Y246" s="1691"/>
      <c r="Z246" s="1691"/>
      <c r="AA246" s="1691"/>
      <c r="AB246" s="1691"/>
      <c r="AC246" s="1691"/>
      <c r="AD246" s="1691"/>
      <c r="AE246" s="1691"/>
      <c r="AF246" s="1691"/>
      <c r="AG246" s="1691"/>
      <c r="AH246" s="1691"/>
      <c r="AI246" s="1691"/>
      <c r="AJ246" s="1691"/>
      <c r="AK246" s="1691"/>
      <c r="AL246" s="185"/>
      <c r="AM246" s="117"/>
      <c r="AN246" s="159"/>
      <c r="AO246" s="117"/>
      <c r="AP246" s="117"/>
      <c r="AQ246" s="117"/>
      <c r="AR246" s="117"/>
      <c r="AS246" s="117"/>
      <c r="AT246" s="117"/>
      <c r="AU246" s="160"/>
      <c r="AV246" s="159"/>
      <c r="AW246" s="117"/>
      <c r="AX246" s="117"/>
      <c r="AY246" s="117"/>
      <c r="AZ246" s="160"/>
    </row>
    <row r="247" spans="1:53" s="98" customFormat="1" ht="15" customHeight="1">
      <c r="B247" s="161"/>
      <c r="C247" s="185"/>
      <c r="D247" s="162" t="s">
        <v>2246</v>
      </c>
      <c r="E247" s="185"/>
      <c r="F247" s="185"/>
      <c r="G247" s="162"/>
      <c r="H247" s="163"/>
      <c r="I247" s="1691"/>
      <c r="J247" s="1691"/>
      <c r="K247" s="1691"/>
      <c r="L247" s="1691"/>
      <c r="M247" s="1691"/>
      <c r="N247" s="1691"/>
      <c r="O247" s="1691"/>
      <c r="P247" s="1691"/>
      <c r="Q247" s="1691"/>
      <c r="R247" s="1691"/>
      <c r="S247" s="1691"/>
      <c r="T247" s="1691"/>
      <c r="U247" s="1691"/>
      <c r="V247" s="1691"/>
      <c r="W247" s="185"/>
      <c r="X247" s="1691"/>
      <c r="Y247" s="1691"/>
      <c r="Z247" s="1691"/>
      <c r="AA247" s="1691"/>
      <c r="AB247" s="1691"/>
      <c r="AC247" s="1691"/>
      <c r="AD247" s="1691"/>
      <c r="AE247" s="1691"/>
      <c r="AF247" s="1691"/>
      <c r="AG247" s="1691"/>
      <c r="AH247" s="1691"/>
      <c r="AI247" s="1691"/>
      <c r="AJ247" s="1691"/>
      <c r="AK247" s="1691"/>
      <c r="AL247" s="185"/>
      <c r="AM247" s="164" t="s">
        <v>1876</v>
      </c>
      <c r="AN247" s="165">
        <v>24</v>
      </c>
      <c r="AO247" s="166">
        <v>24</v>
      </c>
      <c r="AP247" s="166">
        <v>24</v>
      </c>
      <c r="AQ247" s="166">
        <v>24</v>
      </c>
      <c r="AR247" s="166">
        <v>24</v>
      </c>
      <c r="AS247" s="166">
        <v>24</v>
      </c>
      <c r="AT247" s="166">
        <v>24</v>
      </c>
      <c r="AU247" s="167">
        <v>24</v>
      </c>
      <c r="AV247" s="165">
        <v>0</v>
      </c>
      <c r="AW247" s="166">
        <v>0</v>
      </c>
      <c r="AX247" s="166">
        <v>0</v>
      </c>
      <c r="AY247" s="166">
        <v>0</v>
      </c>
      <c r="AZ247" s="167">
        <v>0</v>
      </c>
    </row>
    <row r="248" spans="1:53" s="98" customFormat="1" ht="15" customHeight="1">
      <c r="B248" s="161"/>
      <c r="C248" s="185"/>
      <c r="D248" s="162" t="s">
        <v>2247</v>
      </c>
      <c r="E248" s="185"/>
      <c r="F248" s="185"/>
      <c r="G248" s="162"/>
      <c r="H248" s="163"/>
      <c r="I248" s="1691"/>
      <c r="J248" s="1691"/>
      <c r="K248" s="1691"/>
      <c r="L248" s="1691"/>
      <c r="M248" s="1691"/>
      <c r="N248" s="1691"/>
      <c r="O248" s="1691"/>
      <c r="P248" s="1691"/>
      <c r="Q248" s="1691"/>
      <c r="R248" s="1691"/>
      <c r="S248" s="1691"/>
      <c r="T248" s="1691"/>
      <c r="U248" s="1691"/>
      <c r="V248" s="1691"/>
      <c r="W248" s="185"/>
      <c r="X248" s="1691"/>
      <c r="Y248" s="1691"/>
      <c r="Z248" s="1691"/>
      <c r="AA248" s="1691"/>
      <c r="AB248" s="1691"/>
      <c r="AC248" s="1691"/>
      <c r="AD248" s="1691"/>
      <c r="AE248" s="1691"/>
      <c r="AF248" s="1691"/>
      <c r="AG248" s="1691"/>
      <c r="AH248" s="1691"/>
      <c r="AI248" s="1691"/>
      <c r="AJ248" s="1691"/>
      <c r="AK248" s="1691"/>
      <c r="AL248" s="185"/>
      <c r="AM248" s="164" t="s">
        <v>1876</v>
      </c>
      <c r="AN248" s="165">
        <v>0</v>
      </c>
      <c r="AO248" s="166">
        <v>0</v>
      </c>
      <c r="AP248" s="166">
        <v>0</v>
      </c>
      <c r="AQ248" s="166">
        <v>0</v>
      </c>
      <c r="AR248" s="166">
        <v>0</v>
      </c>
      <c r="AS248" s="166">
        <v>0</v>
      </c>
      <c r="AT248" s="166">
        <v>0</v>
      </c>
      <c r="AU248" s="167">
        <v>0</v>
      </c>
      <c r="AV248" s="165">
        <v>0</v>
      </c>
      <c r="AW248" s="166">
        <v>0</v>
      </c>
      <c r="AX248" s="166">
        <v>0</v>
      </c>
      <c r="AY248" s="166">
        <v>0</v>
      </c>
      <c r="AZ248" s="167">
        <v>0</v>
      </c>
    </row>
    <row r="249" spans="1:53" s="98" customFormat="1" ht="15" customHeight="1">
      <c r="B249" s="161"/>
      <c r="C249" s="185"/>
      <c r="D249" s="162" t="s">
        <v>2248</v>
      </c>
      <c r="E249" s="185"/>
      <c r="F249" s="185"/>
      <c r="G249" s="162"/>
      <c r="H249" s="163"/>
      <c r="I249" s="1691"/>
      <c r="J249" s="1691"/>
      <c r="K249" s="1691"/>
      <c r="L249" s="1691"/>
      <c r="M249" s="1691"/>
      <c r="N249" s="1691"/>
      <c r="O249" s="1691"/>
      <c r="P249" s="1691"/>
      <c r="Q249" s="1691"/>
      <c r="R249" s="1691"/>
      <c r="S249" s="1691"/>
      <c r="T249" s="1691"/>
      <c r="U249" s="1691"/>
      <c r="V249" s="1691"/>
      <c r="W249" s="185"/>
      <c r="X249" s="1691"/>
      <c r="Y249" s="1691"/>
      <c r="Z249" s="1691"/>
      <c r="AA249" s="1691"/>
      <c r="AB249" s="1691"/>
      <c r="AC249" s="1691"/>
      <c r="AD249" s="1691"/>
      <c r="AE249" s="1691"/>
      <c r="AF249" s="1691"/>
      <c r="AG249" s="1691"/>
      <c r="AH249" s="1691"/>
      <c r="AI249" s="1691"/>
      <c r="AJ249" s="1691"/>
      <c r="AK249" s="1691"/>
      <c r="AL249" s="185"/>
      <c r="AM249" s="164" t="s">
        <v>1876</v>
      </c>
      <c r="AN249" s="165">
        <v>11</v>
      </c>
      <c r="AO249" s="166">
        <v>11</v>
      </c>
      <c r="AP249" s="166">
        <v>11</v>
      </c>
      <c r="AQ249" s="166">
        <v>13</v>
      </c>
      <c r="AR249" s="166">
        <v>16</v>
      </c>
      <c r="AS249" s="166">
        <v>16</v>
      </c>
      <c r="AT249" s="166">
        <v>4</v>
      </c>
      <c r="AU249" s="167">
        <v>0</v>
      </c>
      <c r="AV249" s="165">
        <v>0</v>
      </c>
      <c r="AW249" s="166">
        <v>0</v>
      </c>
      <c r="AX249" s="166">
        <v>0</v>
      </c>
      <c r="AY249" s="166">
        <v>0</v>
      </c>
      <c r="AZ249" s="167">
        <v>0</v>
      </c>
    </row>
    <row r="250" spans="1:53" s="98" customFormat="1" ht="15" customHeight="1">
      <c r="B250" s="161"/>
      <c r="C250" s="185"/>
      <c r="D250" s="162" t="s">
        <v>2249</v>
      </c>
      <c r="E250" s="185"/>
      <c r="F250" s="185"/>
      <c r="G250" s="162"/>
      <c r="H250" s="163"/>
      <c r="I250" s="1691"/>
      <c r="J250" s="1691"/>
      <c r="K250" s="1691"/>
      <c r="L250" s="1691"/>
      <c r="M250" s="1691"/>
      <c r="N250" s="1691"/>
      <c r="O250" s="1691"/>
      <c r="P250" s="1691"/>
      <c r="Q250" s="1691"/>
      <c r="R250" s="1691"/>
      <c r="S250" s="1691"/>
      <c r="T250" s="1691"/>
      <c r="U250" s="1691"/>
      <c r="V250" s="1691"/>
      <c r="W250" s="185"/>
      <c r="X250" s="1691"/>
      <c r="Y250" s="1691"/>
      <c r="Z250" s="1691"/>
      <c r="AA250" s="1691"/>
      <c r="AB250" s="1691"/>
      <c r="AC250" s="1691"/>
      <c r="AD250" s="1691"/>
      <c r="AE250" s="1691"/>
      <c r="AF250" s="1691"/>
      <c r="AG250" s="1691"/>
      <c r="AH250" s="1691"/>
      <c r="AI250" s="1691"/>
      <c r="AJ250" s="1691"/>
      <c r="AK250" s="1691"/>
      <c r="AL250" s="185"/>
      <c r="AM250" s="164" t="s">
        <v>1876</v>
      </c>
      <c r="AN250" s="165">
        <v>4</v>
      </c>
      <c r="AO250" s="166">
        <v>4</v>
      </c>
      <c r="AP250" s="166">
        <v>8</v>
      </c>
      <c r="AQ250" s="166">
        <v>8</v>
      </c>
      <c r="AR250" s="166">
        <v>9</v>
      </c>
      <c r="AS250" s="166">
        <v>9</v>
      </c>
      <c r="AT250" s="166">
        <v>20</v>
      </c>
      <c r="AU250" s="167">
        <v>24</v>
      </c>
      <c r="AV250" s="165">
        <v>0</v>
      </c>
      <c r="AW250" s="166">
        <v>0</v>
      </c>
      <c r="AX250" s="166">
        <v>0</v>
      </c>
      <c r="AY250" s="166">
        <v>0</v>
      </c>
      <c r="AZ250" s="167">
        <v>0</v>
      </c>
    </row>
    <row r="251" spans="1:53" s="98" customFormat="1" ht="15" customHeight="1" thickBot="1">
      <c r="B251" s="191"/>
      <c r="C251" s="192"/>
      <c r="D251" s="193" t="s">
        <v>2250</v>
      </c>
      <c r="E251" s="192"/>
      <c r="F251" s="192"/>
      <c r="G251" s="193"/>
      <c r="H251" s="194"/>
      <c r="I251" s="1692"/>
      <c r="J251" s="1692"/>
      <c r="K251" s="1692"/>
      <c r="L251" s="1692"/>
      <c r="M251" s="1692"/>
      <c r="N251" s="1692"/>
      <c r="O251" s="1692"/>
      <c r="P251" s="1692"/>
      <c r="Q251" s="1692"/>
      <c r="R251" s="1692"/>
      <c r="S251" s="1692"/>
      <c r="T251" s="1692"/>
      <c r="U251" s="1692"/>
      <c r="V251" s="1692"/>
      <c r="W251" s="192"/>
      <c r="X251" s="1692"/>
      <c r="Y251" s="1692"/>
      <c r="Z251" s="1692"/>
      <c r="AA251" s="1692"/>
      <c r="AB251" s="1692"/>
      <c r="AC251" s="1692"/>
      <c r="AD251" s="1692"/>
      <c r="AE251" s="1692"/>
      <c r="AF251" s="1692"/>
      <c r="AG251" s="1692"/>
      <c r="AH251" s="1692"/>
      <c r="AI251" s="1692"/>
      <c r="AJ251" s="1692"/>
      <c r="AK251" s="1692"/>
      <c r="AL251" s="192"/>
      <c r="AM251" s="195" t="s">
        <v>1876</v>
      </c>
      <c r="AN251" s="232">
        <v>0</v>
      </c>
      <c r="AO251" s="233">
        <v>0</v>
      </c>
      <c r="AP251" s="233">
        <v>0</v>
      </c>
      <c r="AQ251" s="233">
        <v>0</v>
      </c>
      <c r="AR251" s="233">
        <v>0</v>
      </c>
      <c r="AS251" s="233">
        <v>0</v>
      </c>
      <c r="AT251" s="233">
        <v>0</v>
      </c>
      <c r="AU251" s="234">
        <v>0</v>
      </c>
      <c r="AV251" s="232">
        <v>0</v>
      </c>
      <c r="AW251" s="233">
        <v>0</v>
      </c>
      <c r="AX251" s="233">
        <v>0</v>
      </c>
      <c r="AY251" s="233">
        <v>0</v>
      </c>
      <c r="AZ251" s="234">
        <v>0</v>
      </c>
    </row>
    <row r="252" spans="1:53" s="99" customFormat="1" ht="15" customHeight="1" thickBot="1">
      <c r="B252" s="150"/>
      <c r="C252" s="150"/>
      <c r="D252" s="150"/>
      <c r="E252" s="150"/>
      <c r="F252" s="150"/>
      <c r="G252" s="97"/>
      <c r="H252" s="97"/>
      <c r="I252" s="98"/>
      <c r="J252" s="98"/>
      <c r="K252" s="98"/>
      <c r="L252" s="98"/>
      <c r="M252" s="98"/>
      <c r="N252" s="98"/>
      <c r="O252" s="98"/>
      <c r="P252" s="98"/>
      <c r="Q252" s="98"/>
      <c r="R252" s="98"/>
      <c r="S252" s="98"/>
      <c r="T252" s="98"/>
      <c r="U252" s="98"/>
      <c r="V252" s="98"/>
      <c r="AM252" s="98"/>
      <c r="AN252" s="98"/>
      <c r="AO252" s="98"/>
      <c r="AP252" s="98"/>
      <c r="AQ252" s="98"/>
      <c r="AR252" s="98"/>
      <c r="AS252" s="98"/>
      <c r="AT252" s="98"/>
      <c r="AU252" s="98"/>
      <c r="AV252" s="98"/>
      <c r="AW252" s="98"/>
      <c r="AX252" s="98"/>
      <c r="AY252" s="98"/>
      <c r="AZ252" s="98"/>
      <c r="BA252" s="98"/>
    </row>
    <row r="253" spans="1:53" s="100" customFormat="1" ht="30" customHeight="1" thickBot="1">
      <c r="A253" s="89"/>
      <c r="B253" s="621" t="s">
        <v>2251</v>
      </c>
      <c r="C253" s="102"/>
      <c r="D253" s="102"/>
      <c r="E253" s="102"/>
      <c r="F253" s="102"/>
      <c r="G253" s="103"/>
      <c r="H253" s="103"/>
      <c r="I253" s="105" t="s">
        <v>2252</v>
      </c>
      <c r="J253" s="106"/>
      <c r="K253" s="106"/>
      <c r="L253" s="106"/>
      <c r="M253" s="106"/>
      <c r="N253" s="106"/>
      <c r="O253" s="106"/>
      <c r="P253" s="106"/>
      <c r="Q253" s="106"/>
      <c r="R253" s="105"/>
      <c r="S253" s="105"/>
      <c r="T253" s="105"/>
      <c r="U253" s="105"/>
      <c r="V253" s="187"/>
    </row>
    <row r="254" spans="1:53" s="157" customFormat="1" ht="30" customHeight="1">
      <c r="A254" s="99"/>
      <c r="B254" s="109"/>
      <c r="C254" s="110"/>
      <c r="D254" s="110"/>
      <c r="E254" s="110"/>
      <c r="F254" s="110"/>
      <c r="G254" s="111"/>
      <c r="H254" s="111"/>
      <c r="I254" s="117"/>
      <c r="J254" s="695" t="s">
        <v>1666</v>
      </c>
      <c r="K254" s="152"/>
      <c r="L254" s="152"/>
      <c r="M254" s="152"/>
      <c r="N254" s="152"/>
      <c r="O254" s="152"/>
      <c r="P254" s="152"/>
      <c r="Q254" s="153"/>
      <c r="R254" s="696" t="s">
        <v>2</v>
      </c>
      <c r="S254" s="155"/>
      <c r="T254" s="155"/>
      <c r="U254" s="155"/>
      <c r="V254" s="156"/>
    </row>
    <row r="255" spans="1:53" s="98" customFormat="1" ht="15" customHeight="1">
      <c r="A255" s="99"/>
      <c r="B255" s="115"/>
      <c r="C255" s="116"/>
      <c r="D255" s="116"/>
      <c r="E255" s="116"/>
      <c r="F255" s="116"/>
      <c r="G255" s="117"/>
      <c r="H255" s="117"/>
      <c r="I255" s="119" t="s">
        <v>1667</v>
      </c>
      <c r="J255" s="158" t="s">
        <v>453</v>
      </c>
      <c r="K255" s="137" t="s">
        <v>455</v>
      </c>
      <c r="L255" s="137" t="s">
        <v>457</v>
      </c>
      <c r="M255" s="137" t="s">
        <v>459</v>
      </c>
      <c r="N255" s="137" t="s">
        <v>461</v>
      </c>
      <c r="O255" s="137" t="s">
        <v>463</v>
      </c>
      <c r="P255" s="137" t="s">
        <v>465</v>
      </c>
      <c r="Q255" s="138" t="s">
        <v>467</v>
      </c>
      <c r="R255" s="120" t="s">
        <v>469</v>
      </c>
      <c r="S255" s="121" t="s">
        <v>471</v>
      </c>
      <c r="T255" s="121" t="s">
        <v>473</v>
      </c>
      <c r="U255" s="121" t="s">
        <v>475</v>
      </c>
      <c r="V255" s="122" t="s">
        <v>477</v>
      </c>
    </row>
    <row r="256" spans="1:53" s="98" customFormat="1" ht="15" customHeight="1">
      <c r="B256" s="161"/>
      <c r="C256" s="180" t="s">
        <v>36</v>
      </c>
      <c r="D256" s="180"/>
      <c r="E256" s="162"/>
      <c r="F256" s="162"/>
      <c r="G256" s="163"/>
      <c r="H256" s="163"/>
      <c r="I256" s="117"/>
      <c r="J256" s="159"/>
      <c r="K256" s="117"/>
      <c r="L256" s="117"/>
      <c r="M256" s="117"/>
      <c r="N256" s="117"/>
      <c r="O256" s="117"/>
      <c r="P256" s="117"/>
      <c r="Q256" s="160"/>
      <c r="R256" s="159"/>
      <c r="S256" s="117"/>
      <c r="T256" s="117"/>
      <c r="U256" s="117"/>
      <c r="V256" s="160"/>
    </row>
    <row r="257" spans="2:22" s="98" customFormat="1" ht="15" customHeight="1">
      <c r="B257" s="161"/>
      <c r="C257" s="185"/>
      <c r="D257" s="162" t="s">
        <v>1669</v>
      </c>
      <c r="E257" s="185"/>
      <c r="F257" s="185"/>
      <c r="G257" s="162"/>
      <c r="H257" s="163"/>
      <c r="I257" s="164" t="s">
        <v>2145</v>
      </c>
      <c r="J257" s="159"/>
      <c r="K257" s="117"/>
      <c r="L257" s="117"/>
      <c r="M257" s="117"/>
      <c r="N257" s="117"/>
      <c r="O257" s="117"/>
      <c r="P257" s="117"/>
      <c r="Q257" s="160"/>
      <c r="R257" s="143">
        <v>0.22906982293148881</v>
      </c>
      <c r="S257" s="141">
        <v>0.22906982293148881</v>
      </c>
      <c r="T257" s="141">
        <v>0.22906982293148881</v>
      </c>
      <c r="U257" s="141">
        <v>0.22906982293148881</v>
      </c>
      <c r="V257" s="144">
        <v>0.22906982293148881</v>
      </c>
    </row>
    <row r="258" spans="2:22" s="98" customFormat="1" ht="15" customHeight="1">
      <c r="B258" s="161"/>
      <c r="C258" s="185"/>
      <c r="D258" s="162" t="s">
        <v>40</v>
      </c>
      <c r="E258" s="185"/>
      <c r="F258" s="185"/>
      <c r="G258" s="162"/>
      <c r="H258" s="163"/>
      <c r="I258" s="164" t="s">
        <v>2145</v>
      </c>
      <c r="J258" s="159"/>
      <c r="K258" s="117"/>
      <c r="L258" s="117"/>
      <c r="M258" s="117"/>
      <c r="N258" s="117"/>
      <c r="O258" s="117"/>
      <c r="P258" s="117"/>
      <c r="Q258" s="160"/>
      <c r="R258" s="143">
        <v>3.2290939584966078E-3</v>
      </c>
      <c r="S258" s="141">
        <v>3.2290939584966078E-3</v>
      </c>
      <c r="T258" s="141">
        <v>3.2290939584966078E-3</v>
      </c>
      <c r="U258" s="141">
        <v>3.2290939584966078E-3</v>
      </c>
      <c r="V258" s="144">
        <v>3.2290939584966078E-3</v>
      </c>
    </row>
    <row r="259" spans="2:22" s="98" customFormat="1" ht="15" customHeight="1">
      <c r="B259" s="161"/>
      <c r="C259" s="185"/>
      <c r="D259" s="162" t="s">
        <v>1670</v>
      </c>
      <c r="E259" s="185"/>
      <c r="F259" s="185"/>
      <c r="G259" s="162"/>
      <c r="H259" s="163"/>
      <c r="I259" s="164" t="s">
        <v>2145</v>
      </c>
      <c r="J259" s="159"/>
      <c r="K259" s="117"/>
      <c r="L259" s="117"/>
      <c r="M259" s="117"/>
      <c r="N259" s="117"/>
      <c r="O259" s="117"/>
      <c r="P259" s="117"/>
      <c r="Q259" s="160"/>
      <c r="R259" s="143">
        <v>6.392280561089754E-2</v>
      </c>
      <c r="S259" s="141">
        <v>6.392280561089754E-2</v>
      </c>
      <c r="T259" s="141">
        <v>6.392280561089754E-2</v>
      </c>
      <c r="U259" s="141">
        <v>6.392280561089754E-2</v>
      </c>
      <c r="V259" s="144">
        <v>6.392280561089754E-2</v>
      </c>
    </row>
    <row r="260" spans="2:22" s="98" customFormat="1" ht="15" customHeight="1">
      <c r="B260" s="161"/>
      <c r="C260" s="185"/>
      <c r="D260" s="162" t="s">
        <v>41</v>
      </c>
      <c r="E260" s="185"/>
      <c r="F260" s="185"/>
      <c r="G260" s="162"/>
      <c r="H260" s="163"/>
      <c r="I260" s="164" t="s">
        <v>2145</v>
      </c>
      <c r="J260" s="159"/>
      <c r="K260" s="117"/>
      <c r="L260" s="117"/>
      <c r="M260" s="117"/>
      <c r="N260" s="117"/>
      <c r="O260" s="117"/>
      <c r="P260" s="117"/>
      <c r="Q260" s="160"/>
      <c r="R260" s="143">
        <v>2.4723646548570302E-2</v>
      </c>
      <c r="S260" s="141">
        <v>2.4723646548570302E-2</v>
      </c>
      <c r="T260" s="141">
        <v>2.4723646548570302E-2</v>
      </c>
      <c r="U260" s="141">
        <v>2.4723646548570302E-2</v>
      </c>
      <c r="V260" s="144">
        <v>2.4723646548570302E-2</v>
      </c>
    </row>
    <row r="261" spans="2:22" s="98" customFormat="1" ht="15" customHeight="1">
      <c r="B261" s="161"/>
      <c r="C261" s="185"/>
      <c r="D261" s="162" t="s">
        <v>85</v>
      </c>
      <c r="E261" s="185"/>
      <c r="F261" s="185"/>
      <c r="G261" s="162"/>
      <c r="H261" s="163"/>
      <c r="I261" s="164" t="s">
        <v>2145</v>
      </c>
      <c r="J261" s="159"/>
      <c r="K261" s="117"/>
      <c r="L261" s="117"/>
      <c r="M261" s="117"/>
      <c r="N261" s="117"/>
      <c r="O261" s="117"/>
      <c r="P261" s="117"/>
      <c r="Q261" s="160"/>
      <c r="R261" s="143">
        <v>4.6505940607027028E-2</v>
      </c>
      <c r="S261" s="141">
        <v>4.6505940607027028E-2</v>
      </c>
      <c r="T261" s="141">
        <v>4.6505940607027028E-2</v>
      </c>
      <c r="U261" s="141">
        <v>4.6505940607027028E-2</v>
      </c>
      <c r="V261" s="144">
        <v>4.6505940607027028E-2</v>
      </c>
    </row>
    <row r="262" spans="2:22" s="98" customFormat="1" ht="15" customHeight="1">
      <c r="B262" s="181"/>
      <c r="C262" s="185" t="s">
        <v>1710</v>
      </c>
      <c r="D262" s="245"/>
      <c r="E262" s="185"/>
      <c r="F262" s="185"/>
      <c r="G262" s="184"/>
      <c r="H262" s="184"/>
      <c r="I262" s="164" t="s">
        <v>2145</v>
      </c>
      <c r="J262" s="159"/>
      <c r="K262" s="117"/>
      <c r="L262" s="117"/>
      <c r="M262" s="117"/>
      <c r="N262" s="117"/>
      <c r="O262" s="117"/>
      <c r="P262" s="117"/>
      <c r="Q262" s="160"/>
      <c r="R262" s="128">
        <f t="shared" ref="R262:V262" si="781">SUM(R257:R261)</f>
        <v>0.36745130965648026</v>
      </c>
      <c r="S262" s="129">
        <f t="shared" si="781"/>
        <v>0.36745130965648026</v>
      </c>
      <c r="T262" s="129">
        <f t="shared" si="781"/>
        <v>0.36745130965648026</v>
      </c>
      <c r="U262" s="129">
        <f t="shared" si="781"/>
        <v>0.36745130965648026</v>
      </c>
      <c r="V262" s="130">
        <f t="shared" si="781"/>
        <v>0.36745130965648026</v>
      </c>
    </row>
    <row r="263" spans="2:22" s="98" customFormat="1" ht="15" customHeight="1">
      <c r="B263" s="181"/>
      <c r="C263" s="185"/>
      <c r="D263" s="185"/>
      <c r="E263" s="182"/>
      <c r="F263" s="182"/>
      <c r="G263" s="184"/>
      <c r="H263" s="184"/>
      <c r="I263" s="117"/>
      <c r="J263" s="159"/>
      <c r="K263" s="117"/>
      <c r="L263" s="117"/>
      <c r="M263" s="117"/>
      <c r="N263" s="117"/>
      <c r="O263" s="117"/>
      <c r="P263" s="117"/>
      <c r="Q263" s="160"/>
      <c r="R263" s="714"/>
      <c r="S263" s="714"/>
      <c r="T263" s="714"/>
      <c r="U263" s="714"/>
      <c r="V263" s="715"/>
    </row>
    <row r="264" spans="2:22" s="98" customFormat="1" ht="15" customHeight="1">
      <c r="B264" s="161"/>
      <c r="C264" s="180" t="s">
        <v>62</v>
      </c>
      <c r="D264" s="180"/>
      <c r="E264" s="162"/>
      <c r="F264" s="162"/>
      <c r="G264" s="163"/>
      <c r="H264" s="163"/>
      <c r="I264" s="117"/>
      <c r="J264" s="159"/>
      <c r="K264" s="117"/>
      <c r="L264" s="117"/>
      <c r="M264" s="117"/>
      <c r="N264" s="117"/>
      <c r="O264" s="117"/>
      <c r="P264" s="117"/>
      <c r="Q264" s="160"/>
      <c r="R264" s="713"/>
      <c r="S264" s="721"/>
      <c r="T264" s="721"/>
      <c r="U264" s="721"/>
      <c r="V264" s="715"/>
    </row>
    <row r="265" spans="2:22" s="98" customFormat="1" ht="15" customHeight="1">
      <c r="B265" s="161"/>
      <c r="C265" s="185"/>
      <c r="D265" s="162" t="s">
        <v>2239</v>
      </c>
      <c r="E265" s="185"/>
      <c r="F265" s="185"/>
      <c r="G265" s="162"/>
      <c r="H265" s="163"/>
      <c r="I265" s="164" t="s">
        <v>2145</v>
      </c>
      <c r="J265" s="159"/>
      <c r="K265" s="117"/>
      <c r="L265" s="117"/>
      <c r="M265" s="117"/>
      <c r="N265" s="117"/>
      <c r="O265" s="117"/>
      <c r="P265" s="117"/>
      <c r="Q265" s="160"/>
      <c r="R265" s="143">
        <v>0</v>
      </c>
      <c r="S265" s="141">
        <v>0</v>
      </c>
      <c r="T265" s="141">
        <v>0</v>
      </c>
      <c r="U265" s="141">
        <v>0</v>
      </c>
      <c r="V265" s="144">
        <v>0</v>
      </c>
    </row>
    <row r="266" spans="2:22" s="98" customFormat="1" ht="15" customHeight="1">
      <c r="B266" s="161"/>
      <c r="C266" s="185"/>
      <c r="D266" s="162" t="s">
        <v>172</v>
      </c>
      <c r="E266" s="185"/>
      <c r="F266" s="185"/>
      <c r="G266" s="162"/>
      <c r="H266" s="163"/>
      <c r="I266" s="164" t="s">
        <v>2145</v>
      </c>
      <c r="J266" s="159"/>
      <c r="K266" s="117"/>
      <c r="L266" s="117"/>
      <c r="M266" s="117"/>
      <c r="N266" s="117"/>
      <c r="O266" s="117"/>
      <c r="P266" s="117"/>
      <c r="Q266" s="160"/>
      <c r="R266" s="143">
        <v>2.0660429685329544E-2</v>
      </c>
      <c r="S266" s="141">
        <v>2.0660429685329544E-2</v>
      </c>
      <c r="T266" s="141">
        <v>2.0660429685329544E-2</v>
      </c>
      <c r="U266" s="141">
        <v>2.0660429685329544E-2</v>
      </c>
      <c r="V266" s="144">
        <v>2.0660429685329544E-2</v>
      </c>
    </row>
    <row r="267" spans="2:22" s="98" customFormat="1" ht="15" customHeight="1">
      <c r="B267" s="161"/>
      <c r="C267" s="185"/>
      <c r="D267" s="162" t="s">
        <v>2240</v>
      </c>
      <c r="E267" s="185"/>
      <c r="F267" s="185"/>
      <c r="G267" s="162"/>
      <c r="H267" s="163"/>
      <c r="I267" s="164" t="s">
        <v>2145</v>
      </c>
      <c r="J267" s="159"/>
      <c r="K267" s="117"/>
      <c r="L267" s="117"/>
      <c r="M267" s="117"/>
      <c r="N267" s="117"/>
      <c r="O267" s="117"/>
      <c r="P267" s="117"/>
      <c r="Q267" s="160"/>
      <c r="R267" s="143">
        <v>0</v>
      </c>
      <c r="S267" s="141">
        <v>0</v>
      </c>
      <c r="T267" s="141">
        <v>0</v>
      </c>
      <c r="U267" s="141">
        <v>0</v>
      </c>
      <c r="V267" s="144">
        <v>0</v>
      </c>
    </row>
    <row r="268" spans="2:22" s="98" customFormat="1" ht="15" customHeight="1">
      <c r="B268" s="161"/>
      <c r="C268" s="185"/>
      <c r="D268" s="162" t="s">
        <v>66</v>
      </c>
      <c r="E268" s="185"/>
      <c r="F268" s="185"/>
      <c r="G268" s="162"/>
      <c r="H268" s="163"/>
      <c r="I268" s="164" t="s">
        <v>2145</v>
      </c>
      <c r="J268" s="159"/>
      <c r="K268" s="117"/>
      <c r="L268" s="117"/>
      <c r="M268" s="117"/>
      <c r="N268" s="117"/>
      <c r="O268" s="117"/>
      <c r="P268" s="117"/>
      <c r="Q268" s="160"/>
      <c r="R268" s="143">
        <v>0</v>
      </c>
      <c r="S268" s="141">
        <v>0</v>
      </c>
      <c r="T268" s="141">
        <v>0</v>
      </c>
      <c r="U268" s="141">
        <v>0</v>
      </c>
      <c r="V268" s="144">
        <v>0</v>
      </c>
    </row>
    <row r="269" spans="2:22" s="98" customFormat="1" ht="15" customHeight="1">
      <c r="B269" s="161"/>
      <c r="C269" s="185"/>
      <c r="D269" s="162" t="s">
        <v>67</v>
      </c>
      <c r="E269" s="185"/>
      <c r="F269" s="185"/>
      <c r="G269" s="162"/>
      <c r="H269" s="163"/>
      <c r="I269" s="164" t="s">
        <v>2145</v>
      </c>
      <c r="J269" s="159"/>
      <c r="K269" s="117"/>
      <c r="L269" s="117"/>
      <c r="M269" s="117"/>
      <c r="N269" s="117"/>
      <c r="O269" s="117"/>
      <c r="P269" s="117"/>
      <c r="Q269" s="160"/>
      <c r="R269" s="143">
        <v>0.1288123345402655</v>
      </c>
      <c r="S269" s="141">
        <v>0.1288123345402655</v>
      </c>
      <c r="T269" s="141">
        <v>0.1288123345402655</v>
      </c>
      <c r="U269" s="141">
        <v>0.1288123345402655</v>
      </c>
      <c r="V269" s="144">
        <v>0.1288123345402655</v>
      </c>
    </row>
    <row r="270" spans="2:22" s="98" customFormat="1" ht="15" customHeight="1">
      <c r="B270" s="161"/>
      <c r="C270" s="185"/>
      <c r="D270" s="162" t="s">
        <v>85</v>
      </c>
      <c r="E270" s="185"/>
      <c r="F270" s="185"/>
      <c r="G270" s="162"/>
      <c r="H270" s="163"/>
      <c r="I270" s="164" t="s">
        <v>2145</v>
      </c>
      <c r="J270" s="159"/>
      <c r="K270" s="117"/>
      <c r="L270" s="117"/>
      <c r="M270" s="117"/>
      <c r="N270" s="117"/>
      <c r="O270" s="117"/>
      <c r="P270" s="117"/>
      <c r="Q270" s="160"/>
      <c r="R270" s="143">
        <v>0</v>
      </c>
      <c r="S270" s="141">
        <v>0</v>
      </c>
      <c r="T270" s="141">
        <v>0</v>
      </c>
      <c r="U270" s="141">
        <v>0</v>
      </c>
      <c r="V270" s="144">
        <v>0</v>
      </c>
    </row>
    <row r="271" spans="2:22" s="98" customFormat="1" ht="15" customHeight="1">
      <c r="B271" s="181"/>
      <c r="C271" s="185" t="s">
        <v>1710</v>
      </c>
      <c r="D271" s="245"/>
      <c r="E271" s="185"/>
      <c r="F271" s="185"/>
      <c r="G271" s="184"/>
      <c r="H271" s="184"/>
      <c r="I271" s="164" t="s">
        <v>2145</v>
      </c>
      <c r="J271" s="159"/>
      <c r="K271" s="117"/>
      <c r="L271" s="117"/>
      <c r="M271" s="117"/>
      <c r="N271" s="117"/>
      <c r="O271" s="117"/>
      <c r="P271" s="117"/>
      <c r="Q271" s="160"/>
      <c r="R271" s="128">
        <f t="shared" ref="R271:V271" si="782">SUM(R265:R270)</f>
        <v>0.14947276422559505</v>
      </c>
      <c r="S271" s="129">
        <f t="shared" si="782"/>
        <v>0.14947276422559505</v>
      </c>
      <c r="T271" s="129">
        <f t="shared" si="782"/>
        <v>0.14947276422559505</v>
      </c>
      <c r="U271" s="129">
        <f t="shared" si="782"/>
        <v>0.14947276422559505</v>
      </c>
      <c r="V271" s="130">
        <f t="shared" si="782"/>
        <v>0.14947276422559505</v>
      </c>
    </row>
    <row r="272" spans="2:22" s="98" customFormat="1" ht="15" customHeight="1">
      <c r="B272" s="181"/>
      <c r="C272" s="185"/>
      <c r="D272" s="185"/>
      <c r="E272" s="182"/>
      <c r="F272" s="182"/>
      <c r="G272" s="184"/>
      <c r="H272" s="184"/>
      <c r="I272" s="117"/>
      <c r="J272" s="159"/>
      <c r="K272" s="117"/>
      <c r="L272" s="117"/>
      <c r="M272" s="117"/>
      <c r="N272" s="117"/>
      <c r="O272" s="117"/>
      <c r="P272" s="117"/>
      <c r="Q272" s="160"/>
      <c r="R272" s="714"/>
      <c r="S272" s="714"/>
      <c r="T272" s="714"/>
      <c r="U272" s="714"/>
      <c r="V272" s="715"/>
    </row>
    <row r="273" spans="1:53" s="98" customFormat="1" ht="15" customHeight="1">
      <c r="B273" s="161"/>
      <c r="C273" s="180" t="s">
        <v>71</v>
      </c>
      <c r="D273" s="180"/>
      <c r="E273" s="162"/>
      <c r="F273" s="162"/>
      <c r="G273" s="163"/>
      <c r="H273" s="163"/>
      <c r="I273" s="117"/>
      <c r="J273" s="159"/>
      <c r="K273" s="117"/>
      <c r="L273" s="117"/>
      <c r="M273" s="117"/>
      <c r="N273" s="117"/>
      <c r="O273" s="117"/>
      <c r="P273" s="117"/>
      <c r="Q273" s="160"/>
      <c r="R273" s="713"/>
      <c r="S273" s="721"/>
      <c r="T273" s="721"/>
      <c r="U273" s="721"/>
      <c r="V273" s="715"/>
    </row>
    <row r="274" spans="1:53" s="98" customFormat="1" ht="15" customHeight="1">
      <c r="B274" s="161"/>
      <c r="C274" s="185"/>
      <c r="D274" s="162" t="s">
        <v>2241</v>
      </c>
      <c r="E274" s="185"/>
      <c r="F274" s="185"/>
      <c r="G274" s="162"/>
      <c r="H274" s="163"/>
      <c r="I274" s="164" t="s">
        <v>2145</v>
      </c>
      <c r="J274" s="159"/>
      <c r="K274" s="117"/>
      <c r="L274" s="117"/>
      <c r="M274" s="117"/>
      <c r="N274" s="117"/>
      <c r="O274" s="117"/>
      <c r="P274" s="117"/>
      <c r="Q274" s="160"/>
      <c r="R274" s="143">
        <v>0.25615049731806283</v>
      </c>
      <c r="S274" s="141">
        <v>0.25615049731806283</v>
      </c>
      <c r="T274" s="141">
        <v>0.25615049731806283</v>
      </c>
      <c r="U274" s="141">
        <v>0.25615049731806283</v>
      </c>
      <c r="V274" s="144">
        <v>0.25615049731806283</v>
      </c>
    </row>
    <row r="275" spans="1:53" s="98" customFormat="1" ht="15" customHeight="1">
      <c r="B275" s="161"/>
      <c r="C275" s="185"/>
      <c r="D275" s="162" t="s">
        <v>2242</v>
      </c>
      <c r="E275" s="185"/>
      <c r="F275" s="185"/>
      <c r="G275" s="162"/>
      <c r="H275" s="163"/>
      <c r="I275" s="164" t="s">
        <v>2145</v>
      </c>
      <c r="J275" s="159"/>
      <c r="K275" s="117"/>
      <c r="L275" s="117"/>
      <c r="M275" s="117"/>
      <c r="N275" s="117"/>
      <c r="O275" s="117"/>
      <c r="P275" s="117"/>
      <c r="Q275" s="160"/>
      <c r="R275" s="143">
        <v>1.7261228775220641E-2</v>
      </c>
      <c r="S275" s="141">
        <v>1.7261228775220641E-2</v>
      </c>
      <c r="T275" s="141">
        <v>1.7261228775220641E-2</v>
      </c>
      <c r="U275" s="141">
        <v>1.7261228775220641E-2</v>
      </c>
      <c r="V275" s="144">
        <v>1.7261228775220641E-2</v>
      </c>
    </row>
    <row r="276" spans="1:53" s="98" customFormat="1" ht="15" customHeight="1">
      <c r="B276" s="161"/>
      <c r="C276" s="185"/>
      <c r="D276" s="162" t="s">
        <v>2243</v>
      </c>
      <c r="E276" s="185"/>
      <c r="F276" s="185"/>
      <c r="G276" s="162"/>
      <c r="H276" s="163"/>
      <c r="I276" s="164" t="s">
        <v>2145</v>
      </c>
      <c r="J276" s="159"/>
      <c r="K276" s="117"/>
      <c r="L276" s="117"/>
      <c r="M276" s="117"/>
      <c r="N276" s="117"/>
      <c r="O276" s="117"/>
      <c r="P276" s="117"/>
      <c r="Q276" s="160"/>
      <c r="R276" s="143">
        <v>4.6656100204907354E-2</v>
      </c>
      <c r="S276" s="141">
        <v>4.6656100204907354E-2</v>
      </c>
      <c r="T276" s="141">
        <v>4.6656100204907354E-2</v>
      </c>
      <c r="U276" s="141">
        <v>4.6656100204907354E-2</v>
      </c>
      <c r="V276" s="144">
        <v>4.6656100204907354E-2</v>
      </c>
    </row>
    <row r="277" spans="1:53" s="98" customFormat="1" ht="15" customHeight="1">
      <c r="B277" s="161"/>
      <c r="C277" s="185"/>
      <c r="D277" s="162" t="s">
        <v>85</v>
      </c>
      <c r="E277" s="185"/>
      <c r="F277" s="185"/>
      <c r="G277" s="162"/>
      <c r="H277" s="163"/>
      <c r="I277" s="164" t="s">
        <v>2145</v>
      </c>
      <c r="J277" s="159"/>
      <c r="K277" s="117"/>
      <c r="L277" s="117"/>
      <c r="M277" s="117"/>
      <c r="N277" s="117"/>
      <c r="O277" s="117"/>
      <c r="P277" s="117"/>
      <c r="Q277" s="160"/>
      <c r="R277" s="143">
        <v>0.23797243084508482</v>
      </c>
      <c r="S277" s="141">
        <v>0.23797243084508482</v>
      </c>
      <c r="T277" s="141">
        <v>0.23797243084508482</v>
      </c>
      <c r="U277" s="141">
        <v>0.23797243084508482</v>
      </c>
      <c r="V277" s="144">
        <v>0.23797243084508482</v>
      </c>
    </row>
    <row r="278" spans="1:53" s="98" customFormat="1" ht="15" customHeight="1">
      <c r="B278" s="181"/>
      <c r="C278" s="185" t="s">
        <v>1710</v>
      </c>
      <c r="D278" s="245"/>
      <c r="E278" s="185"/>
      <c r="F278" s="185"/>
      <c r="G278" s="184"/>
      <c r="H278" s="184"/>
      <c r="I278" s="164" t="s">
        <v>2145</v>
      </c>
      <c r="J278" s="159"/>
      <c r="K278" s="117"/>
      <c r="L278" s="117"/>
      <c r="M278" s="117"/>
      <c r="N278" s="117"/>
      <c r="O278" s="117"/>
      <c r="P278" s="117"/>
      <c r="Q278" s="160"/>
      <c r="R278" s="128">
        <f t="shared" ref="R278:V278" si="783">SUM(R274:R277)</f>
        <v>0.55804025714327565</v>
      </c>
      <c r="S278" s="129">
        <f t="shared" si="783"/>
        <v>0.55804025714327565</v>
      </c>
      <c r="T278" s="129">
        <f t="shared" si="783"/>
        <v>0.55804025714327565</v>
      </c>
      <c r="U278" s="129">
        <f t="shared" si="783"/>
        <v>0.55804025714327565</v>
      </c>
      <c r="V278" s="130">
        <f t="shared" si="783"/>
        <v>0.55804025714327565</v>
      </c>
    </row>
    <row r="279" spans="1:53" s="98" customFormat="1" ht="15" customHeight="1">
      <c r="B279" s="181"/>
      <c r="C279" s="185"/>
      <c r="D279" s="185"/>
      <c r="E279" s="182"/>
      <c r="F279" s="182"/>
      <c r="G279" s="184"/>
      <c r="H279" s="184"/>
      <c r="I279" s="117"/>
      <c r="J279" s="159"/>
      <c r="K279" s="117"/>
      <c r="L279" s="117"/>
      <c r="M279" s="117"/>
      <c r="N279" s="117"/>
      <c r="O279" s="117"/>
      <c r="P279" s="117"/>
      <c r="Q279" s="160"/>
      <c r="R279" s="714"/>
      <c r="S279" s="714"/>
      <c r="T279" s="714"/>
      <c r="U279" s="714"/>
      <c r="V279" s="715"/>
    </row>
    <row r="280" spans="1:53" s="98" customFormat="1" ht="15" customHeight="1" thickBot="1">
      <c r="A280" s="99"/>
      <c r="B280" s="239" t="s">
        <v>1701</v>
      </c>
      <c r="C280" s="240"/>
      <c r="D280" s="240"/>
      <c r="E280" s="240"/>
      <c r="F280" s="240"/>
      <c r="G280" s="241"/>
      <c r="H280" s="241"/>
      <c r="I280" s="195" t="s">
        <v>2145</v>
      </c>
      <c r="J280" s="131"/>
      <c r="K280" s="145"/>
      <c r="L280" s="145"/>
      <c r="M280" s="145"/>
      <c r="N280" s="145"/>
      <c r="O280" s="145"/>
      <c r="P280" s="145"/>
      <c r="Q280" s="2471"/>
      <c r="R280" s="717">
        <f t="shared" ref="R280:V280" si="784">SUM(R262,R271,R278)</f>
        <v>1.0749643310253509</v>
      </c>
      <c r="S280" s="718">
        <f t="shared" si="784"/>
        <v>1.0749643310253509</v>
      </c>
      <c r="T280" s="718">
        <f t="shared" si="784"/>
        <v>1.0749643310253509</v>
      </c>
      <c r="U280" s="718">
        <f t="shared" si="784"/>
        <v>1.0749643310253509</v>
      </c>
      <c r="V280" s="719">
        <f t="shared" si="784"/>
        <v>1.0749643310253509</v>
      </c>
    </row>
    <row r="281" spans="1:53" s="99" customFormat="1" ht="15" customHeight="1" thickBot="1">
      <c r="B281" s="150"/>
      <c r="C281" s="150"/>
      <c r="D281" s="150"/>
      <c r="E281" s="150"/>
      <c r="F281" s="150"/>
      <c r="G281" s="97"/>
      <c r="H281" s="97"/>
      <c r="I281" s="98"/>
      <c r="J281" s="98"/>
      <c r="K281" s="98"/>
      <c r="L281" s="98"/>
      <c r="M281" s="98"/>
      <c r="N281" s="98"/>
      <c r="O281" s="98"/>
      <c r="P281" s="98"/>
      <c r="Q281" s="98"/>
      <c r="R281" s="98"/>
      <c r="S281" s="98"/>
      <c r="T281" s="98"/>
      <c r="U281" s="98"/>
      <c r="V281" s="98"/>
      <c r="AM281" s="98"/>
      <c r="AN281" s="98"/>
      <c r="AO281" s="98"/>
      <c r="AP281" s="98"/>
      <c r="AQ281" s="98"/>
      <c r="AR281" s="98"/>
      <c r="AS281" s="98"/>
      <c r="AT281" s="98"/>
      <c r="AU281" s="98"/>
      <c r="AV281" s="98"/>
      <c r="AW281" s="98"/>
      <c r="AX281" s="98"/>
      <c r="AY281" s="98"/>
      <c r="AZ281" s="98"/>
      <c r="BA281" s="98"/>
    </row>
    <row r="282" spans="1:53" s="100" customFormat="1" ht="30" customHeight="1" thickBot="1">
      <c r="A282" s="89"/>
      <c r="B282" s="621" t="s">
        <v>2253</v>
      </c>
      <c r="C282" s="102"/>
      <c r="D282" s="102"/>
      <c r="E282" s="102"/>
      <c r="F282" s="102"/>
      <c r="G282" s="103"/>
      <c r="H282" s="103"/>
      <c r="I282" s="105" t="s">
        <v>2252</v>
      </c>
      <c r="J282" s="106"/>
      <c r="K282" s="106"/>
      <c r="L282" s="106"/>
      <c r="M282" s="106"/>
      <c r="N282" s="106"/>
      <c r="O282" s="106"/>
      <c r="P282" s="106"/>
      <c r="Q282" s="106"/>
      <c r="R282" s="105"/>
      <c r="S282" s="105"/>
      <c r="T282" s="105"/>
      <c r="U282" s="105"/>
      <c r="V282" s="187"/>
    </row>
    <row r="283" spans="1:53" s="157" customFormat="1" ht="30" customHeight="1">
      <c r="A283" s="99"/>
      <c r="B283" s="109"/>
      <c r="C283" s="110"/>
      <c r="D283" s="110"/>
      <c r="E283" s="110"/>
      <c r="F283" s="110"/>
      <c r="G283" s="111"/>
      <c r="H283" s="111"/>
      <c r="I283" s="117"/>
      <c r="J283" s="695" t="s">
        <v>1666</v>
      </c>
      <c r="K283" s="152"/>
      <c r="L283" s="152"/>
      <c r="M283" s="152"/>
      <c r="N283" s="152"/>
      <c r="O283" s="152"/>
      <c r="P283" s="152"/>
      <c r="Q283" s="153"/>
      <c r="R283" s="696" t="s">
        <v>2</v>
      </c>
      <c r="S283" s="155"/>
      <c r="T283" s="155"/>
      <c r="U283" s="155"/>
      <c r="V283" s="156"/>
    </row>
    <row r="284" spans="1:53" s="98" customFormat="1" ht="15" customHeight="1">
      <c r="A284" s="99"/>
      <c r="B284" s="115"/>
      <c r="C284" s="116"/>
      <c r="D284" s="116"/>
      <c r="E284" s="116"/>
      <c r="F284" s="116"/>
      <c r="G284" s="117"/>
      <c r="H284" s="117"/>
      <c r="I284" s="119" t="s">
        <v>1667</v>
      </c>
      <c r="J284" s="158" t="s">
        <v>453</v>
      </c>
      <c r="K284" s="137" t="s">
        <v>455</v>
      </c>
      <c r="L284" s="137" t="s">
        <v>457</v>
      </c>
      <c r="M284" s="137" t="s">
        <v>459</v>
      </c>
      <c r="N284" s="137" t="s">
        <v>461</v>
      </c>
      <c r="O284" s="137" t="s">
        <v>463</v>
      </c>
      <c r="P284" s="137" t="s">
        <v>465</v>
      </c>
      <c r="Q284" s="138" t="s">
        <v>467</v>
      </c>
      <c r="R284" s="120" t="s">
        <v>469</v>
      </c>
      <c r="S284" s="121" t="s">
        <v>471</v>
      </c>
      <c r="T284" s="121" t="s">
        <v>473</v>
      </c>
      <c r="U284" s="121" t="s">
        <v>475</v>
      </c>
      <c r="V284" s="122" t="s">
        <v>477</v>
      </c>
    </row>
    <row r="285" spans="1:53" s="98" customFormat="1" ht="15" customHeight="1">
      <c r="B285" s="161"/>
      <c r="C285" s="180" t="s">
        <v>36</v>
      </c>
      <c r="D285" s="180"/>
      <c r="E285" s="162"/>
      <c r="F285" s="162"/>
      <c r="G285" s="163"/>
      <c r="H285" s="163"/>
      <c r="I285" s="117"/>
      <c r="J285" s="159"/>
      <c r="K285" s="117"/>
      <c r="L285" s="117"/>
      <c r="M285" s="117"/>
      <c r="N285" s="117"/>
      <c r="O285" s="117"/>
      <c r="P285" s="117"/>
      <c r="Q285" s="160"/>
      <c r="R285" s="159"/>
      <c r="S285" s="117"/>
      <c r="T285" s="117"/>
      <c r="U285" s="117"/>
      <c r="V285" s="160"/>
    </row>
    <row r="286" spans="1:53" s="98" customFormat="1" ht="15" customHeight="1">
      <c r="B286" s="161"/>
      <c r="C286" s="185"/>
      <c r="D286" s="162" t="s">
        <v>1669</v>
      </c>
      <c r="E286" s="185"/>
      <c r="F286" s="185"/>
      <c r="G286" s="162"/>
      <c r="H286" s="163"/>
      <c r="I286" s="164" t="s">
        <v>2145</v>
      </c>
      <c r="J286" s="159"/>
      <c r="K286" s="117"/>
      <c r="L286" s="117"/>
      <c r="M286" s="117"/>
      <c r="N286" s="117"/>
      <c r="O286" s="117"/>
      <c r="P286" s="117"/>
      <c r="Q286" s="160"/>
      <c r="R286" s="143">
        <v>0</v>
      </c>
      <c r="S286" s="141">
        <v>0</v>
      </c>
      <c r="T286" s="141">
        <v>0</v>
      </c>
      <c r="U286" s="141">
        <v>0</v>
      </c>
      <c r="V286" s="144">
        <v>0</v>
      </c>
    </row>
    <row r="287" spans="1:53" s="98" customFormat="1" ht="15" customHeight="1">
      <c r="B287" s="161"/>
      <c r="C287" s="185"/>
      <c r="D287" s="162" t="s">
        <v>40</v>
      </c>
      <c r="E287" s="185"/>
      <c r="F287" s="185"/>
      <c r="G287" s="162"/>
      <c r="H287" s="163"/>
      <c r="I287" s="164" t="s">
        <v>2145</v>
      </c>
      <c r="J287" s="159"/>
      <c r="K287" s="117"/>
      <c r="L287" s="117"/>
      <c r="M287" s="117"/>
      <c r="N287" s="117"/>
      <c r="O287" s="117"/>
      <c r="P287" s="117"/>
      <c r="Q287" s="160"/>
      <c r="R287" s="143">
        <v>0</v>
      </c>
      <c r="S287" s="141">
        <v>0</v>
      </c>
      <c r="T287" s="141">
        <v>0</v>
      </c>
      <c r="U287" s="141">
        <v>0</v>
      </c>
      <c r="V287" s="144">
        <v>0</v>
      </c>
    </row>
    <row r="288" spans="1:53" s="98" customFormat="1" ht="15" customHeight="1">
      <c r="B288" s="161"/>
      <c r="C288" s="185"/>
      <c r="D288" s="162" t="s">
        <v>1670</v>
      </c>
      <c r="E288" s="185"/>
      <c r="F288" s="185"/>
      <c r="G288" s="162"/>
      <c r="H288" s="163"/>
      <c r="I288" s="164" t="s">
        <v>2145</v>
      </c>
      <c r="J288" s="159"/>
      <c r="K288" s="117"/>
      <c r="L288" s="117"/>
      <c r="M288" s="117"/>
      <c r="N288" s="117"/>
      <c r="O288" s="117"/>
      <c r="P288" s="117"/>
      <c r="Q288" s="160"/>
      <c r="R288" s="143">
        <v>0</v>
      </c>
      <c r="S288" s="141">
        <v>0</v>
      </c>
      <c r="T288" s="141">
        <v>0</v>
      </c>
      <c r="U288" s="141">
        <v>0</v>
      </c>
      <c r="V288" s="144">
        <v>0</v>
      </c>
    </row>
    <row r="289" spans="2:22" s="98" customFormat="1" ht="15" customHeight="1">
      <c r="B289" s="161"/>
      <c r="C289" s="185"/>
      <c r="D289" s="162" t="s">
        <v>41</v>
      </c>
      <c r="E289" s="185"/>
      <c r="F289" s="185"/>
      <c r="G289" s="162"/>
      <c r="H289" s="163"/>
      <c r="I289" s="164" t="s">
        <v>2145</v>
      </c>
      <c r="J289" s="159"/>
      <c r="K289" s="117"/>
      <c r="L289" s="117"/>
      <c r="M289" s="117"/>
      <c r="N289" s="117"/>
      <c r="O289" s="117"/>
      <c r="P289" s="117"/>
      <c r="Q289" s="160"/>
      <c r="R289" s="143">
        <v>0</v>
      </c>
      <c r="S289" s="141">
        <v>0</v>
      </c>
      <c r="T289" s="141">
        <v>0</v>
      </c>
      <c r="U289" s="141">
        <v>0</v>
      </c>
      <c r="V289" s="144">
        <v>0</v>
      </c>
    </row>
    <row r="290" spans="2:22" s="98" customFormat="1" ht="15" customHeight="1">
      <c r="B290" s="161"/>
      <c r="C290" s="185"/>
      <c r="D290" s="162" t="s">
        <v>85</v>
      </c>
      <c r="E290" s="185"/>
      <c r="F290" s="185"/>
      <c r="G290" s="162"/>
      <c r="H290" s="163"/>
      <c r="I290" s="164" t="s">
        <v>2145</v>
      </c>
      <c r="J290" s="159"/>
      <c r="K290" s="117"/>
      <c r="L290" s="117"/>
      <c r="M290" s="117"/>
      <c r="N290" s="117"/>
      <c r="O290" s="117"/>
      <c r="P290" s="117"/>
      <c r="Q290" s="160"/>
      <c r="R290" s="143">
        <v>0</v>
      </c>
      <c r="S290" s="141">
        <v>0</v>
      </c>
      <c r="T290" s="141">
        <v>0</v>
      </c>
      <c r="U290" s="141">
        <v>0</v>
      </c>
      <c r="V290" s="144">
        <v>0</v>
      </c>
    </row>
    <row r="291" spans="2:22" s="98" customFormat="1" ht="15" customHeight="1">
      <c r="B291" s="181"/>
      <c r="C291" s="185" t="s">
        <v>1710</v>
      </c>
      <c r="D291" s="245"/>
      <c r="E291" s="185"/>
      <c r="F291" s="185"/>
      <c r="G291" s="184"/>
      <c r="H291" s="184"/>
      <c r="I291" s="164" t="s">
        <v>2145</v>
      </c>
      <c r="J291" s="159"/>
      <c r="K291" s="117"/>
      <c r="L291" s="117"/>
      <c r="M291" s="117"/>
      <c r="N291" s="117"/>
      <c r="O291" s="117"/>
      <c r="P291" s="117"/>
      <c r="Q291" s="160"/>
      <c r="R291" s="128">
        <f t="shared" ref="R291" si="785">SUM(R286:R290)</f>
        <v>0</v>
      </c>
      <c r="S291" s="129">
        <f t="shared" ref="S291" si="786">SUM(S286:S290)</f>
        <v>0</v>
      </c>
      <c r="T291" s="129">
        <f t="shared" ref="T291" si="787">SUM(T286:T290)</f>
        <v>0</v>
      </c>
      <c r="U291" s="129">
        <f t="shared" ref="U291" si="788">SUM(U286:U290)</f>
        <v>0</v>
      </c>
      <c r="V291" s="130">
        <f t="shared" ref="V291" si="789">SUM(V286:V290)</f>
        <v>0</v>
      </c>
    </row>
    <row r="292" spans="2:22" s="98" customFormat="1" ht="15" customHeight="1">
      <c r="B292" s="181"/>
      <c r="C292" s="185"/>
      <c r="D292" s="185"/>
      <c r="E292" s="182"/>
      <c r="F292" s="182"/>
      <c r="G292" s="184"/>
      <c r="H292" s="184"/>
      <c r="I292" s="117"/>
      <c r="J292" s="159"/>
      <c r="K292" s="117"/>
      <c r="L292" s="117"/>
      <c r="M292" s="117"/>
      <c r="N292" s="117"/>
      <c r="O292" s="117"/>
      <c r="P292" s="117"/>
      <c r="Q292" s="160"/>
      <c r="R292" s="714"/>
      <c r="S292" s="714"/>
      <c r="T292" s="714"/>
      <c r="U292" s="714"/>
      <c r="V292" s="715"/>
    </row>
    <row r="293" spans="2:22" s="98" customFormat="1" ht="15" customHeight="1">
      <c r="B293" s="161"/>
      <c r="C293" s="180" t="s">
        <v>62</v>
      </c>
      <c r="D293" s="180"/>
      <c r="E293" s="162"/>
      <c r="F293" s="162"/>
      <c r="G293" s="163"/>
      <c r="H293" s="163"/>
      <c r="I293" s="117"/>
      <c r="J293" s="159"/>
      <c r="K293" s="117"/>
      <c r="L293" s="117"/>
      <c r="M293" s="117"/>
      <c r="N293" s="117"/>
      <c r="O293" s="117"/>
      <c r="P293" s="117"/>
      <c r="Q293" s="160"/>
      <c r="R293" s="713"/>
      <c r="S293" s="721"/>
      <c r="T293" s="721"/>
      <c r="U293" s="721"/>
      <c r="V293" s="715"/>
    </row>
    <row r="294" spans="2:22" s="98" customFormat="1" ht="15" customHeight="1">
      <c r="B294" s="161"/>
      <c r="C294" s="185"/>
      <c r="D294" s="162" t="s">
        <v>2239</v>
      </c>
      <c r="E294" s="185"/>
      <c r="F294" s="185"/>
      <c r="G294" s="162"/>
      <c r="H294" s="163"/>
      <c r="I294" s="164" t="s">
        <v>2145</v>
      </c>
      <c r="J294" s="159"/>
      <c r="K294" s="117"/>
      <c r="L294" s="117"/>
      <c r="M294" s="117"/>
      <c r="N294" s="117"/>
      <c r="O294" s="117"/>
      <c r="P294" s="117"/>
      <c r="Q294" s="160"/>
      <c r="R294" s="143">
        <v>0</v>
      </c>
      <c r="S294" s="141">
        <v>0</v>
      </c>
      <c r="T294" s="141">
        <v>0</v>
      </c>
      <c r="U294" s="141">
        <v>0</v>
      </c>
      <c r="V294" s="144">
        <v>0</v>
      </c>
    </row>
    <row r="295" spans="2:22" s="98" customFormat="1" ht="15" customHeight="1">
      <c r="B295" s="161"/>
      <c r="C295" s="185"/>
      <c r="D295" s="162" t="s">
        <v>172</v>
      </c>
      <c r="E295" s="185"/>
      <c r="F295" s="185"/>
      <c r="G295" s="162"/>
      <c r="H295" s="163"/>
      <c r="I295" s="164" t="s">
        <v>2145</v>
      </c>
      <c r="J295" s="159"/>
      <c r="K295" s="117"/>
      <c r="L295" s="117"/>
      <c r="M295" s="117"/>
      <c r="N295" s="117"/>
      <c r="O295" s="117"/>
      <c r="P295" s="117"/>
      <c r="Q295" s="160"/>
      <c r="R295" s="143">
        <v>0</v>
      </c>
      <c r="S295" s="141">
        <v>0</v>
      </c>
      <c r="T295" s="141">
        <v>0</v>
      </c>
      <c r="U295" s="141">
        <v>0</v>
      </c>
      <c r="V295" s="144">
        <v>0</v>
      </c>
    </row>
    <row r="296" spans="2:22" s="98" customFormat="1" ht="15" customHeight="1">
      <c r="B296" s="161"/>
      <c r="C296" s="185"/>
      <c r="D296" s="162" t="s">
        <v>2240</v>
      </c>
      <c r="E296" s="185"/>
      <c r="F296" s="185"/>
      <c r="G296" s="162"/>
      <c r="H296" s="163"/>
      <c r="I296" s="164" t="s">
        <v>2145</v>
      </c>
      <c r="J296" s="159"/>
      <c r="K296" s="117"/>
      <c r="L296" s="117"/>
      <c r="M296" s="117"/>
      <c r="N296" s="117"/>
      <c r="O296" s="117"/>
      <c r="P296" s="117"/>
      <c r="Q296" s="160"/>
      <c r="R296" s="143">
        <v>0</v>
      </c>
      <c r="S296" s="141">
        <v>0</v>
      </c>
      <c r="T296" s="141">
        <v>0</v>
      </c>
      <c r="U296" s="141">
        <v>0</v>
      </c>
      <c r="V296" s="144">
        <v>0</v>
      </c>
    </row>
    <row r="297" spans="2:22" s="98" customFormat="1" ht="15" customHeight="1">
      <c r="B297" s="161"/>
      <c r="C297" s="185"/>
      <c r="D297" s="162" t="s">
        <v>66</v>
      </c>
      <c r="E297" s="185"/>
      <c r="F297" s="185"/>
      <c r="G297" s="162"/>
      <c r="H297" s="163"/>
      <c r="I297" s="164" t="s">
        <v>2145</v>
      </c>
      <c r="J297" s="159"/>
      <c r="K297" s="117"/>
      <c r="L297" s="117"/>
      <c r="M297" s="117"/>
      <c r="N297" s="117"/>
      <c r="O297" s="117"/>
      <c r="P297" s="117"/>
      <c r="Q297" s="160"/>
      <c r="R297" s="143">
        <v>0</v>
      </c>
      <c r="S297" s="141">
        <v>0</v>
      </c>
      <c r="T297" s="141">
        <v>0</v>
      </c>
      <c r="U297" s="141">
        <v>0</v>
      </c>
      <c r="V297" s="144">
        <v>0</v>
      </c>
    </row>
    <row r="298" spans="2:22" s="98" customFormat="1" ht="15" customHeight="1">
      <c r="B298" s="161"/>
      <c r="C298" s="185"/>
      <c r="D298" s="162" t="s">
        <v>67</v>
      </c>
      <c r="E298" s="185"/>
      <c r="F298" s="185"/>
      <c r="G298" s="162"/>
      <c r="H298" s="163"/>
      <c r="I298" s="164" t="s">
        <v>2145</v>
      </c>
      <c r="J298" s="159"/>
      <c r="K298" s="117"/>
      <c r="L298" s="117"/>
      <c r="M298" s="117"/>
      <c r="N298" s="117"/>
      <c r="O298" s="117"/>
      <c r="P298" s="117"/>
      <c r="Q298" s="160"/>
      <c r="R298" s="143">
        <v>0</v>
      </c>
      <c r="S298" s="141">
        <v>0</v>
      </c>
      <c r="T298" s="141">
        <v>0</v>
      </c>
      <c r="U298" s="141">
        <v>0</v>
      </c>
      <c r="V298" s="144">
        <v>0</v>
      </c>
    </row>
    <row r="299" spans="2:22" s="98" customFormat="1" ht="15" customHeight="1">
      <c r="B299" s="161"/>
      <c r="C299" s="185"/>
      <c r="D299" s="162" t="s">
        <v>85</v>
      </c>
      <c r="E299" s="185"/>
      <c r="F299" s="185"/>
      <c r="G299" s="162"/>
      <c r="H299" s="163"/>
      <c r="I299" s="164" t="s">
        <v>2145</v>
      </c>
      <c r="J299" s="159"/>
      <c r="K299" s="117"/>
      <c r="L299" s="117"/>
      <c r="M299" s="117"/>
      <c r="N299" s="117"/>
      <c r="O299" s="117"/>
      <c r="P299" s="117"/>
      <c r="Q299" s="160"/>
      <c r="R299" s="143">
        <v>0</v>
      </c>
      <c r="S299" s="141">
        <v>0</v>
      </c>
      <c r="T299" s="141">
        <v>0</v>
      </c>
      <c r="U299" s="141">
        <v>0</v>
      </c>
      <c r="V299" s="144">
        <v>0</v>
      </c>
    </row>
    <row r="300" spans="2:22" s="98" customFormat="1" ht="15" customHeight="1">
      <c r="B300" s="181"/>
      <c r="C300" s="185" t="s">
        <v>1710</v>
      </c>
      <c r="D300" s="245"/>
      <c r="E300" s="185"/>
      <c r="F300" s="185"/>
      <c r="G300" s="184"/>
      <c r="H300" s="184"/>
      <c r="I300" s="164" t="s">
        <v>2145</v>
      </c>
      <c r="J300" s="159"/>
      <c r="K300" s="117"/>
      <c r="L300" s="117"/>
      <c r="M300" s="117"/>
      <c r="N300" s="117"/>
      <c r="O300" s="117"/>
      <c r="P300" s="117"/>
      <c r="Q300" s="160"/>
      <c r="R300" s="128">
        <f t="shared" ref="R300" si="790">SUM(R294:R299)</f>
        <v>0</v>
      </c>
      <c r="S300" s="129">
        <f t="shared" ref="S300" si="791">SUM(S294:S299)</f>
        <v>0</v>
      </c>
      <c r="T300" s="129">
        <f t="shared" ref="T300" si="792">SUM(T294:T299)</f>
        <v>0</v>
      </c>
      <c r="U300" s="129">
        <f t="shared" ref="U300" si="793">SUM(U294:U299)</f>
        <v>0</v>
      </c>
      <c r="V300" s="130">
        <f t="shared" ref="V300" si="794">SUM(V294:V299)</f>
        <v>0</v>
      </c>
    </row>
    <row r="301" spans="2:22" s="98" customFormat="1" ht="15" customHeight="1">
      <c r="B301" s="181"/>
      <c r="C301" s="185"/>
      <c r="D301" s="185"/>
      <c r="E301" s="182"/>
      <c r="F301" s="182"/>
      <c r="G301" s="184"/>
      <c r="H301" s="184"/>
      <c r="I301" s="117"/>
      <c r="J301" s="159"/>
      <c r="K301" s="117"/>
      <c r="L301" s="117"/>
      <c r="M301" s="117"/>
      <c r="N301" s="117"/>
      <c r="O301" s="117"/>
      <c r="P301" s="117"/>
      <c r="Q301" s="160"/>
      <c r="R301" s="714"/>
      <c r="S301" s="714"/>
      <c r="T301" s="714"/>
      <c r="U301" s="714"/>
      <c r="V301" s="715"/>
    </row>
    <row r="302" spans="2:22" s="98" customFormat="1" ht="15" customHeight="1">
      <c r="B302" s="161"/>
      <c r="C302" s="180" t="s">
        <v>71</v>
      </c>
      <c r="D302" s="180"/>
      <c r="E302" s="162"/>
      <c r="F302" s="162"/>
      <c r="G302" s="163"/>
      <c r="H302" s="163"/>
      <c r="I302" s="117"/>
      <c r="J302" s="159"/>
      <c r="K302" s="117"/>
      <c r="L302" s="117"/>
      <c r="M302" s="117"/>
      <c r="N302" s="117"/>
      <c r="O302" s="117"/>
      <c r="P302" s="117"/>
      <c r="Q302" s="160"/>
      <c r="R302" s="713"/>
      <c r="S302" s="721"/>
      <c r="T302" s="721"/>
      <c r="U302" s="721"/>
      <c r="V302" s="715"/>
    </row>
    <row r="303" spans="2:22" s="98" customFormat="1" ht="15" customHeight="1">
      <c r="B303" s="161"/>
      <c r="C303" s="185"/>
      <c r="D303" s="162" t="s">
        <v>2241</v>
      </c>
      <c r="E303" s="185"/>
      <c r="F303" s="185"/>
      <c r="G303" s="162"/>
      <c r="H303" s="163"/>
      <c r="I303" s="164" t="s">
        <v>2145</v>
      </c>
      <c r="J303" s="159"/>
      <c r="K303" s="117"/>
      <c r="L303" s="117"/>
      <c r="M303" s="117"/>
      <c r="N303" s="117"/>
      <c r="O303" s="117"/>
      <c r="P303" s="117"/>
      <c r="Q303" s="160"/>
      <c r="R303" s="143">
        <v>0</v>
      </c>
      <c r="S303" s="141">
        <v>0</v>
      </c>
      <c r="T303" s="141">
        <v>0</v>
      </c>
      <c r="U303" s="141">
        <v>0</v>
      </c>
      <c r="V303" s="144">
        <v>0</v>
      </c>
    </row>
    <row r="304" spans="2:22" s="98" customFormat="1" ht="15" customHeight="1">
      <c r="B304" s="161"/>
      <c r="C304" s="185"/>
      <c r="D304" s="162" t="s">
        <v>2242</v>
      </c>
      <c r="E304" s="185"/>
      <c r="F304" s="185"/>
      <c r="G304" s="162"/>
      <c r="H304" s="163"/>
      <c r="I304" s="164" t="s">
        <v>2145</v>
      </c>
      <c r="J304" s="159"/>
      <c r="K304" s="117"/>
      <c r="L304" s="117"/>
      <c r="M304" s="117"/>
      <c r="N304" s="117"/>
      <c r="O304" s="117"/>
      <c r="P304" s="117"/>
      <c r="Q304" s="160"/>
      <c r="R304" s="143">
        <v>0</v>
      </c>
      <c r="S304" s="141">
        <v>0</v>
      </c>
      <c r="T304" s="141">
        <v>0</v>
      </c>
      <c r="U304" s="141">
        <v>0</v>
      </c>
      <c r="V304" s="144">
        <v>0</v>
      </c>
    </row>
    <row r="305" spans="1:53" s="98" customFormat="1" ht="15" customHeight="1">
      <c r="B305" s="161"/>
      <c r="C305" s="185"/>
      <c r="D305" s="162" t="s">
        <v>2243</v>
      </c>
      <c r="E305" s="185"/>
      <c r="F305" s="185"/>
      <c r="G305" s="162"/>
      <c r="H305" s="163"/>
      <c r="I305" s="164" t="s">
        <v>2145</v>
      </c>
      <c r="J305" s="159"/>
      <c r="K305" s="117"/>
      <c r="L305" s="117"/>
      <c r="M305" s="117"/>
      <c r="N305" s="117"/>
      <c r="O305" s="117"/>
      <c r="P305" s="117"/>
      <c r="Q305" s="160"/>
      <c r="R305" s="143">
        <v>0</v>
      </c>
      <c r="S305" s="141">
        <v>0</v>
      </c>
      <c r="T305" s="141">
        <v>0</v>
      </c>
      <c r="U305" s="141">
        <v>0</v>
      </c>
      <c r="V305" s="144">
        <v>0</v>
      </c>
    </row>
    <row r="306" spans="1:53" s="98" customFormat="1" ht="15" customHeight="1">
      <c r="B306" s="161"/>
      <c r="C306" s="185"/>
      <c r="D306" s="162" t="s">
        <v>85</v>
      </c>
      <c r="E306" s="185"/>
      <c r="F306" s="185"/>
      <c r="G306" s="162"/>
      <c r="H306" s="163"/>
      <c r="I306" s="164" t="s">
        <v>2145</v>
      </c>
      <c r="J306" s="159"/>
      <c r="K306" s="117"/>
      <c r="L306" s="117"/>
      <c r="M306" s="117"/>
      <c r="N306" s="117"/>
      <c r="O306" s="117"/>
      <c r="P306" s="117"/>
      <c r="Q306" s="160"/>
      <c r="R306" s="143">
        <v>0</v>
      </c>
      <c r="S306" s="141">
        <v>0</v>
      </c>
      <c r="T306" s="141">
        <v>0</v>
      </c>
      <c r="U306" s="141">
        <v>0</v>
      </c>
      <c r="V306" s="144">
        <v>0</v>
      </c>
    </row>
    <row r="307" spans="1:53" s="98" customFormat="1" ht="15" customHeight="1">
      <c r="B307" s="181"/>
      <c r="C307" s="185" t="s">
        <v>1710</v>
      </c>
      <c r="D307" s="245"/>
      <c r="E307" s="185"/>
      <c r="F307" s="185"/>
      <c r="G307" s="184"/>
      <c r="H307" s="184"/>
      <c r="I307" s="164" t="s">
        <v>2145</v>
      </c>
      <c r="J307" s="159"/>
      <c r="K307" s="117"/>
      <c r="L307" s="117"/>
      <c r="M307" s="117"/>
      <c r="N307" s="117"/>
      <c r="O307" s="117"/>
      <c r="P307" s="117"/>
      <c r="Q307" s="160"/>
      <c r="R307" s="128">
        <f t="shared" ref="R307:V307" si="795">SUM(R303:R306)</f>
        <v>0</v>
      </c>
      <c r="S307" s="129">
        <f t="shared" si="795"/>
        <v>0</v>
      </c>
      <c r="T307" s="129">
        <f t="shared" si="795"/>
        <v>0</v>
      </c>
      <c r="U307" s="129">
        <f t="shared" si="795"/>
        <v>0</v>
      </c>
      <c r="V307" s="130">
        <f t="shared" si="795"/>
        <v>0</v>
      </c>
    </row>
    <row r="308" spans="1:53" s="98" customFormat="1" ht="15" customHeight="1">
      <c r="B308" s="181"/>
      <c r="C308" s="185"/>
      <c r="D308" s="185"/>
      <c r="E308" s="182"/>
      <c r="F308" s="182"/>
      <c r="G308" s="184"/>
      <c r="H308" s="184"/>
      <c r="I308" s="117"/>
      <c r="J308" s="159"/>
      <c r="K308" s="117"/>
      <c r="L308" s="117"/>
      <c r="M308" s="117"/>
      <c r="N308" s="117"/>
      <c r="O308" s="117"/>
      <c r="P308" s="117"/>
      <c r="Q308" s="160"/>
      <c r="R308" s="714"/>
      <c r="S308" s="714"/>
      <c r="T308" s="714"/>
      <c r="U308" s="714"/>
      <c r="V308" s="715"/>
    </row>
    <row r="309" spans="1:53" s="98" customFormat="1" ht="15" customHeight="1" thickBot="1">
      <c r="A309" s="99"/>
      <c r="B309" s="239" t="s">
        <v>1701</v>
      </c>
      <c r="C309" s="240"/>
      <c r="D309" s="240"/>
      <c r="E309" s="240"/>
      <c r="F309" s="240"/>
      <c r="G309" s="241"/>
      <c r="H309" s="241"/>
      <c r="I309" s="195" t="s">
        <v>2145</v>
      </c>
      <c r="J309" s="131"/>
      <c r="K309" s="145"/>
      <c r="L309" s="145"/>
      <c r="M309" s="145"/>
      <c r="N309" s="145"/>
      <c r="O309" s="145"/>
      <c r="P309" s="145"/>
      <c r="Q309" s="2471"/>
      <c r="R309" s="717">
        <f t="shared" ref="R309:V309" si="796">SUM(R291,R300,R307)</f>
        <v>0</v>
      </c>
      <c r="S309" s="718">
        <f t="shared" si="796"/>
        <v>0</v>
      </c>
      <c r="T309" s="718">
        <f t="shared" si="796"/>
        <v>0</v>
      </c>
      <c r="U309" s="718">
        <f t="shared" si="796"/>
        <v>0</v>
      </c>
      <c r="V309" s="719">
        <f t="shared" si="796"/>
        <v>0</v>
      </c>
    </row>
    <row r="310" spans="1:53" s="99" customFormat="1" ht="15" customHeight="1" thickBot="1">
      <c r="B310" s="150"/>
      <c r="C310" s="150"/>
      <c r="D310" s="150"/>
      <c r="E310" s="150"/>
      <c r="F310" s="150"/>
      <c r="G310" s="97"/>
      <c r="H310" s="97"/>
      <c r="I310" s="98"/>
      <c r="J310" s="98"/>
      <c r="K310" s="98"/>
      <c r="L310" s="98"/>
      <c r="M310" s="98"/>
      <c r="N310" s="98"/>
      <c r="O310" s="98"/>
      <c r="P310" s="98"/>
      <c r="Q310" s="98"/>
      <c r="R310" s="98"/>
      <c r="S310" s="98"/>
      <c r="T310" s="98"/>
      <c r="U310" s="98"/>
      <c r="V310" s="98"/>
      <c r="AM310" s="98"/>
      <c r="AN310" s="98"/>
      <c r="AO310" s="98"/>
      <c r="AP310" s="98"/>
      <c r="AQ310" s="98"/>
      <c r="AR310" s="98"/>
      <c r="AS310" s="98"/>
      <c r="AT310" s="98"/>
      <c r="AU310" s="98"/>
      <c r="AV310" s="98"/>
      <c r="AW310" s="98"/>
      <c r="AX310" s="98"/>
      <c r="AY310" s="98"/>
      <c r="AZ310" s="98"/>
      <c r="BA310" s="98"/>
    </row>
    <row r="311" spans="1:53" s="100" customFormat="1" ht="30" customHeight="1" thickBot="1">
      <c r="A311" s="89"/>
      <c r="B311" s="621" t="s">
        <v>2254</v>
      </c>
      <c r="C311" s="102"/>
      <c r="D311" s="102"/>
      <c r="E311" s="102"/>
      <c r="F311" s="102"/>
      <c r="G311" s="103"/>
      <c r="H311" s="103"/>
      <c r="I311" s="105" t="s">
        <v>2252</v>
      </c>
      <c r="J311" s="106"/>
      <c r="K311" s="106"/>
      <c r="L311" s="106"/>
      <c r="M311" s="106"/>
      <c r="N311" s="106"/>
      <c r="O311" s="106"/>
      <c r="P311" s="106"/>
      <c r="Q311" s="106"/>
      <c r="R311" s="105"/>
      <c r="S311" s="105"/>
      <c r="T311" s="105"/>
      <c r="U311" s="105"/>
      <c r="V311" s="187"/>
    </row>
    <row r="312" spans="1:53" s="157" customFormat="1" ht="30" customHeight="1">
      <c r="A312" s="99"/>
      <c r="B312" s="109"/>
      <c r="C312" s="110"/>
      <c r="D312" s="110"/>
      <c r="E312" s="110"/>
      <c r="F312" s="110"/>
      <c r="G312" s="111"/>
      <c r="H312" s="111"/>
      <c r="I312" s="117"/>
      <c r="J312" s="695" t="s">
        <v>1666</v>
      </c>
      <c r="K312" s="152"/>
      <c r="L312" s="152"/>
      <c r="M312" s="152"/>
      <c r="N312" s="152"/>
      <c r="O312" s="152"/>
      <c r="P312" s="152"/>
      <c r="Q312" s="153"/>
      <c r="R312" s="696" t="s">
        <v>2</v>
      </c>
      <c r="S312" s="155"/>
      <c r="T312" s="155"/>
      <c r="U312" s="155"/>
      <c r="V312" s="156"/>
    </row>
    <row r="313" spans="1:53" s="98" customFormat="1" ht="15" customHeight="1">
      <c r="A313" s="99"/>
      <c r="B313" s="115"/>
      <c r="C313" s="116"/>
      <c r="D313" s="116"/>
      <c r="E313" s="116"/>
      <c r="F313" s="116"/>
      <c r="G313" s="117"/>
      <c r="H313" s="117"/>
      <c r="I313" s="119" t="s">
        <v>1667</v>
      </c>
      <c r="J313" s="158" t="s">
        <v>453</v>
      </c>
      <c r="K313" s="137" t="s">
        <v>455</v>
      </c>
      <c r="L313" s="137" t="s">
        <v>457</v>
      </c>
      <c r="M313" s="137" t="s">
        <v>459</v>
      </c>
      <c r="N313" s="137" t="s">
        <v>461</v>
      </c>
      <c r="O313" s="137" t="s">
        <v>463</v>
      </c>
      <c r="P313" s="137" t="s">
        <v>465</v>
      </c>
      <c r="Q313" s="138" t="s">
        <v>467</v>
      </c>
      <c r="R313" s="120" t="s">
        <v>469</v>
      </c>
      <c r="S313" s="121" t="s">
        <v>471</v>
      </c>
      <c r="T313" s="121" t="s">
        <v>473</v>
      </c>
      <c r="U313" s="121" t="s">
        <v>475</v>
      </c>
      <c r="V313" s="122" t="s">
        <v>477</v>
      </c>
    </row>
    <row r="314" spans="1:53" s="98" customFormat="1" ht="15" customHeight="1">
      <c r="B314" s="161"/>
      <c r="C314" s="180" t="s">
        <v>2255</v>
      </c>
      <c r="D314" s="180"/>
      <c r="E314" s="162"/>
      <c r="F314" s="162"/>
      <c r="G314" s="163"/>
      <c r="H314" s="163"/>
      <c r="I314" s="117"/>
      <c r="J314" s="159"/>
      <c r="K314" s="117"/>
      <c r="L314" s="117"/>
      <c r="M314" s="117"/>
      <c r="N314" s="117"/>
      <c r="O314" s="117"/>
      <c r="P314" s="117"/>
      <c r="Q314" s="160"/>
      <c r="R314" s="159"/>
      <c r="S314" s="117"/>
      <c r="T314" s="117"/>
      <c r="U314" s="117"/>
      <c r="V314" s="160"/>
    </row>
    <row r="315" spans="1:53" s="98" customFormat="1" ht="15" customHeight="1">
      <c r="B315" s="161"/>
      <c r="C315" s="185"/>
      <c r="D315" s="162" t="s">
        <v>36</v>
      </c>
      <c r="E315" s="185"/>
      <c r="F315" s="185"/>
      <c r="G315" s="162"/>
      <c r="H315" s="163"/>
      <c r="I315" s="164" t="s">
        <v>2145</v>
      </c>
      <c r="J315" s="159"/>
      <c r="K315" s="117"/>
      <c r="L315" s="117"/>
      <c r="M315" s="117"/>
      <c r="N315" s="117"/>
      <c r="O315" s="117"/>
      <c r="P315" s="117"/>
      <c r="Q315" s="160"/>
      <c r="R315" s="143">
        <v>0</v>
      </c>
      <c r="S315" s="141">
        <v>0</v>
      </c>
      <c r="T315" s="141">
        <v>0</v>
      </c>
      <c r="U315" s="141">
        <v>0</v>
      </c>
      <c r="V315" s="144">
        <v>0</v>
      </c>
    </row>
    <row r="316" spans="1:53" s="98" customFormat="1" ht="15" customHeight="1">
      <c r="B316" s="161"/>
      <c r="C316" s="185"/>
      <c r="D316" s="162" t="s">
        <v>62</v>
      </c>
      <c r="E316" s="185"/>
      <c r="F316" s="185"/>
      <c r="G316" s="162"/>
      <c r="H316" s="163"/>
      <c r="I316" s="164" t="s">
        <v>2145</v>
      </c>
      <c r="J316" s="159"/>
      <c r="K316" s="117"/>
      <c r="L316" s="117"/>
      <c r="M316" s="117"/>
      <c r="N316" s="117"/>
      <c r="O316" s="117"/>
      <c r="P316" s="117"/>
      <c r="Q316" s="160"/>
      <c r="R316" s="143">
        <v>0</v>
      </c>
      <c r="S316" s="141">
        <v>0</v>
      </c>
      <c r="T316" s="141">
        <v>0</v>
      </c>
      <c r="U316" s="141">
        <v>0</v>
      </c>
      <c r="V316" s="144">
        <v>0</v>
      </c>
    </row>
    <row r="317" spans="1:53" s="98" customFormat="1" ht="15" customHeight="1">
      <c r="B317" s="161"/>
      <c r="C317" s="185"/>
      <c r="D317" s="162" t="s">
        <v>71</v>
      </c>
      <c r="E317" s="185"/>
      <c r="F317" s="185"/>
      <c r="G317" s="162"/>
      <c r="H317" s="163"/>
      <c r="I317" s="164" t="s">
        <v>2145</v>
      </c>
      <c r="J317" s="159"/>
      <c r="K317" s="117"/>
      <c r="L317" s="117"/>
      <c r="M317" s="117"/>
      <c r="N317" s="117"/>
      <c r="O317" s="117"/>
      <c r="P317" s="117"/>
      <c r="Q317" s="160"/>
      <c r="R317" s="143">
        <v>0</v>
      </c>
      <c r="S317" s="141">
        <v>0</v>
      </c>
      <c r="T317" s="141">
        <v>0</v>
      </c>
      <c r="U317" s="141">
        <v>0</v>
      </c>
      <c r="V317" s="144">
        <v>0</v>
      </c>
    </row>
    <row r="318" spans="1:53" s="98" customFormat="1" ht="15" customHeight="1">
      <c r="B318" s="181"/>
      <c r="C318" s="185" t="s">
        <v>1710</v>
      </c>
      <c r="D318" s="245"/>
      <c r="E318" s="185"/>
      <c r="F318" s="185"/>
      <c r="G318" s="184"/>
      <c r="H318" s="184"/>
      <c r="I318" s="164" t="s">
        <v>2145</v>
      </c>
      <c r="J318" s="159"/>
      <c r="K318" s="117"/>
      <c r="L318" s="117"/>
      <c r="M318" s="117"/>
      <c r="N318" s="117"/>
      <c r="O318" s="117"/>
      <c r="P318" s="117"/>
      <c r="Q318" s="160"/>
      <c r="R318" s="128">
        <f t="shared" ref="R318:V318" si="797">SUM(R315:R317)</f>
        <v>0</v>
      </c>
      <c r="S318" s="129">
        <f t="shared" si="797"/>
        <v>0</v>
      </c>
      <c r="T318" s="129">
        <f t="shared" si="797"/>
        <v>0</v>
      </c>
      <c r="U318" s="129">
        <f t="shared" si="797"/>
        <v>0</v>
      </c>
      <c r="V318" s="130">
        <f t="shared" si="797"/>
        <v>0</v>
      </c>
    </row>
    <row r="319" spans="1:53" s="98" customFormat="1" ht="15" customHeight="1">
      <c r="B319" s="181"/>
      <c r="C319" s="185"/>
      <c r="D319" s="185"/>
      <c r="E319" s="182"/>
      <c r="F319" s="182"/>
      <c r="G319" s="184"/>
      <c r="H319" s="184"/>
      <c r="I319" s="117"/>
      <c r="J319" s="159"/>
      <c r="K319" s="117"/>
      <c r="L319" s="117"/>
      <c r="M319" s="117"/>
      <c r="N319" s="117"/>
      <c r="O319" s="117"/>
      <c r="P319" s="117"/>
      <c r="Q319" s="160"/>
      <c r="R319" s="714"/>
      <c r="S319" s="714"/>
      <c r="T319" s="714"/>
      <c r="U319" s="714"/>
      <c r="V319" s="715"/>
    </row>
    <row r="320" spans="1:53" s="98" customFormat="1" ht="15" customHeight="1">
      <c r="B320" s="161"/>
      <c r="C320" s="180" t="s">
        <v>2256</v>
      </c>
      <c r="D320" s="180"/>
      <c r="E320" s="162"/>
      <c r="F320" s="162"/>
      <c r="G320" s="163"/>
      <c r="H320" s="163"/>
      <c r="I320" s="117"/>
      <c r="J320" s="159"/>
      <c r="K320" s="117"/>
      <c r="L320" s="117"/>
      <c r="M320" s="117"/>
      <c r="N320" s="117"/>
      <c r="O320" s="117"/>
      <c r="P320" s="117"/>
      <c r="Q320" s="160"/>
      <c r="R320" s="713"/>
      <c r="S320" s="721"/>
      <c r="T320" s="721"/>
      <c r="U320" s="721"/>
      <c r="V320" s="715"/>
    </row>
    <row r="321" spans="2:23" s="98" customFormat="1" ht="15" customHeight="1">
      <c r="B321" s="161"/>
      <c r="C321" s="185"/>
      <c r="D321" s="162" t="s">
        <v>36</v>
      </c>
      <c r="E321" s="185"/>
      <c r="F321" s="185"/>
      <c r="G321" s="162"/>
      <c r="H321" s="163"/>
      <c r="I321" s="164" t="s">
        <v>2145</v>
      </c>
      <c r="J321" s="159"/>
      <c r="K321" s="117"/>
      <c r="L321" s="117"/>
      <c r="M321" s="117"/>
      <c r="N321" s="117"/>
      <c r="O321" s="117"/>
      <c r="P321" s="117"/>
      <c r="Q321" s="160"/>
      <c r="R321" s="143">
        <v>0</v>
      </c>
      <c r="S321" s="141">
        <v>0</v>
      </c>
      <c r="T321" s="141">
        <v>0</v>
      </c>
      <c r="U321" s="141">
        <v>0</v>
      </c>
      <c r="V321" s="144">
        <v>0</v>
      </c>
    </row>
    <row r="322" spans="2:23" s="98" customFormat="1" ht="15" customHeight="1">
      <c r="B322" s="161"/>
      <c r="C322" s="185"/>
      <c r="D322" s="162" t="s">
        <v>62</v>
      </c>
      <c r="E322" s="185"/>
      <c r="F322" s="185"/>
      <c r="G322" s="162"/>
      <c r="H322" s="163"/>
      <c r="I322" s="164" t="s">
        <v>2145</v>
      </c>
      <c r="J322" s="159"/>
      <c r="K322" s="117"/>
      <c r="L322" s="117"/>
      <c r="M322" s="117"/>
      <c r="N322" s="117"/>
      <c r="O322" s="117"/>
      <c r="P322" s="117"/>
      <c r="Q322" s="160"/>
      <c r="R322" s="143">
        <v>0</v>
      </c>
      <c r="S322" s="141">
        <v>0</v>
      </c>
      <c r="T322" s="141">
        <v>0</v>
      </c>
      <c r="U322" s="141">
        <v>0</v>
      </c>
      <c r="V322" s="144">
        <v>0</v>
      </c>
    </row>
    <row r="323" spans="2:23" s="98" customFormat="1" ht="15" customHeight="1">
      <c r="B323" s="161"/>
      <c r="C323" s="185"/>
      <c r="D323" s="162" t="s">
        <v>71</v>
      </c>
      <c r="E323" s="185"/>
      <c r="F323" s="185"/>
      <c r="G323" s="162"/>
      <c r="H323" s="163"/>
      <c r="I323" s="164" t="s">
        <v>2145</v>
      </c>
      <c r="J323" s="159"/>
      <c r="K323" s="117"/>
      <c r="L323" s="117"/>
      <c r="M323" s="117"/>
      <c r="N323" s="117"/>
      <c r="O323" s="117"/>
      <c r="P323" s="117"/>
      <c r="Q323" s="160"/>
      <c r="R323" s="143">
        <v>0</v>
      </c>
      <c r="S323" s="141">
        <v>0</v>
      </c>
      <c r="T323" s="141">
        <v>0</v>
      </c>
      <c r="U323" s="141">
        <v>0</v>
      </c>
      <c r="V323" s="144">
        <v>0</v>
      </c>
    </row>
    <row r="324" spans="2:23" s="98" customFormat="1" ht="15" customHeight="1">
      <c r="B324" s="181"/>
      <c r="C324" s="185" t="s">
        <v>1710</v>
      </c>
      <c r="D324" s="245"/>
      <c r="E324" s="185"/>
      <c r="F324" s="185"/>
      <c r="G324" s="184"/>
      <c r="H324" s="184"/>
      <c r="I324" s="164" t="s">
        <v>2145</v>
      </c>
      <c r="J324" s="159"/>
      <c r="K324" s="117"/>
      <c r="L324" s="117"/>
      <c r="M324" s="117"/>
      <c r="N324" s="117"/>
      <c r="O324" s="117"/>
      <c r="P324" s="117"/>
      <c r="Q324" s="160"/>
      <c r="R324" s="128">
        <f t="shared" ref="R324" si="798">SUM(R321:R323)</f>
        <v>0</v>
      </c>
      <c r="S324" s="129">
        <f t="shared" ref="S324" si="799">SUM(S321:S323)</f>
        <v>0</v>
      </c>
      <c r="T324" s="129">
        <f t="shared" ref="T324" si="800">SUM(T321:T323)</f>
        <v>0</v>
      </c>
      <c r="U324" s="129">
        <f t="shared" ref="U324" si="801">SUM(U321:U323)</f>
        <v>0</v>
      </c>
      <c r="V324" s="130">
        <f t="shared" ref="V324" si="802">SUM(V321:V323)</f>
        <v>0</v>
      </c>
    </row>
    <row r="325" spans="2:23" s="98" customFormat="1" ht="15" customHeight="1">
      <c r="B325" s="181"/>
      <c r="C325" s="185"/>
      <c r="D325" s="185"/>
      <c r="E325" s="182"/>
      <c r="F325" s="182"/>
      <c r="G325" s="184"/>
      <c r="H325" s="184"/>
      <c r="I325" s="117"/>
      <c r="J325" s="159"/>
      <c r="K325" s="117"/>
      <c r="L325" s="117"/>
      <c r="M325" s="117"/>
      <c r="N325" s="117"/>
      <c r="O325" s="117"/>
      <c r="P325" s="117"/>
      <c r="Q325" s="160"/>
      <c r="R325" s="714"/>
      <c r="S325" s="714"/>
      <c r="T325" s="714"/>
      <c r="U325" s="714"/>
      <c r="V325" s="715"/>
    </row>
    <row r="326" spans="2:23" s="98" customFormat="1" ht="15" customHeight="1">
      <c r="B326" s="161"/>
      <c r="C326" s="180" t="s">
        <v>2257</v>
      </c>
      <c r="D326" s="180"/>
      <c r="E326" s="162"/>
      <c r="F326" s="162"/>
      <c r="G326" s="163"/>
      <c r="H326" s="163"/>
      <c r="I326" s="117"/>
      <c r="J326" s="159"/>
      <c r="K326" s="117"/>
      <c r="L326" s="117"/>
      <c r="M326" s="117"/>
      <c r="N326" s="117"/>
      <c r="O326" s="117"/>
      <c r="P326" s="117"/>
      <c r="Q326" s="160"/>
      <c r="R326" s="713"/>
      <c r="S326" s="721"/>
      <c r="T326" s="721"/>
      <c r="U326" s="721"/>
      <c r="V326" s="715"/>
      <c r="W326" s="185"/>
    </row>
    <row r="327" spans="2:23" s="98" customFormat="1" ht="15" customHeight="1">
      <c r="B327" s="161"/>
      <c r="C327" s="185"/>
      <c r="D327" s="162" t="s">
        <v>85</v>
      </c>
      <c r="E327" s="185"/>
      <c r="F327" s="185"/>
      <c r="G327" s="170" t="s">
        <v>2381</v>
      </c>
      <c r="H327" s="163"/>
      <c r="I327" s="164" t="s">
        <v>2145</v>
      </c>
      <c r="J327" s="159"/>
      <c r="K327" s="117"/>
      <c r="L327" s="117"/>
      <c r="M327" s="117"/>
      <c r="N327" s="117"/>
      <c r="O327" s="117"/>
      <c r="P327" s="117"/>
      <c r="Q327" s="160"/>
      <c r="R327" s="143">
        <v>8.3999999999999964E-2</v>
      </c>
      <c r="S327" s="141">
        <v>8.3999999999999964E-2</v>
      </c>
      <c r="T327" s="141">
        <v>8.3999999999999964E-2</v>
      </c>
      <c r="U327" s="141">
        <v>8.3999999999999964E-2</v>
      </c>
      <c r="V327" s="144">
        <v>8.3999999999999964E-2</v>
      </c>
      <c r="W327" s="185"/>
    </row>
    <row r="328" spans="2:23" s="98" customFormat="1" ht="15" customHeight="1">
      <c r="B328" s="161"/>
      <c r="C328" s="185"/>
      <c r="D328" s="162" t="s">
        <v>85</v>
      </c>
      <c r="E328" s="185"/>
      <c r="F328" s="185"/>
      <c r="G328" s="170" t="s">
        <v>3651</v>
      </c>
      <c r="H328" s="163"/>
      <c r="I328" s="164" t="s">
        <v>2145</v>
      </c>
      <c r="J328" s="159"/>
      <c r="K328" s="117"/>
      <c r="L328" s="117"/>
      <c r="M328" s="117"/>
      <c r="N328" s="117"/>
      <c r="O328" s="117"/>
      <c r="P328" s="117"/>
      <c r="Q328" s="160"/>
      <c r="R328" s="143">
        <v>0.98317816835445804</v>
      </c>
      <c r="S328" s="141">
        <v>0.98317816835445804</v>
      </c>
      <c r="T328" s="141">
        <v>0.98317816835445804</v>
      </c>
      <c r="U328" s="141">
        <v>0.98317816835445804</v>
      </c>
      <c r="V328" s="144">
        <v>0.98317816835445804</v>
      </c>
      <c r="W328" s="185"/>
    </row>
    <row r="329" spans="2:23" s="98" customFormat="1" ht="15" customHeight="1">
      <c r="B329" s="161"/>
      <c r="C329" s="185"/>
      <c r="D329" s="162" t="s">
        <v>85</v>
      </c>
      <c r="E329" s="185"/>
      <c r="F329" s="185"/>
      <c r="G329" s="170" t="s">
        <v>3652</v>
      </c>
      <c r="H329" s="163"/>
      <c r="I329" s="164" t="s">
        <v>2145</v>
      </c>
      <c r="J329" s="159"/>
      <c r="K329" s="117"/>
      <c r="L329" s="117"/>
      <c r="M329" s="117"/>
      <c r="N329" s="117"/>
      <c r="O329" s="117"/>
      <c r="P329" s="117"/>
      <c r="Q329" s="160"/>
      <c r="R329" s="143">
        <v>0.11668188666666668</v>
      </c>
      <c r="S329" s="141">
        <v>0.11668188666666668</v>
      </c>
      <c r="T329" s="141">
        <v>0.11668188666666668</v>
      </c>
      <c r="U329" s="141">
        <v>0.11668188666666668</v>
      </c>
      <c r="V329" s="144">
        <v>0.11668188666666668</v>
      </c>
      <c r="W329" s="185"/>
    </row>
    <row r="330" spans="2:23" s="98" customFormat="1" ht="15" customHeight="1">
      <c r="B330" s="161"/>
      <c r="C330" s="185"/>
      <c r="D330" s="162" t="s">
        <v>85</v>
      </c>
      <c r="E330" s="185"/>
      <c r="F330" s="185"/>
      <c r="G330" s="170"/>
      <c r="H330" s="163"/>
      <c r="I330" s="164" t="s">
        <v>2145</v>
      </c>
      <c r="J330" s="159"/>
      <c r="K330" s="117"/>
      <c r="L330" s="117"/>
      <c r="M330" s="117"/>
      <c r="N330" s="117"/>
      <c r="O330" s="117"/>
      <c r="P330" s="117"/>
      <c r="Q330" s="160"/>
      <c r="R330" s="143">
        <v>0</v>
      </c>
      <c r="S330" s="141">
        <v>0</v>
      </c>
      <c r="T330" s="141">
        <v>0</v>
      </c>
      <c r="U330" s="141">
        <v>0</v>
      </c>
      <c r="V330" s="144">
        <v>0</v>
      </c>
      <c r="W330" s="185"/>
    </row>
    <row r="331" spans="2:23" s="98" customFormat="1" ht="15" customHeight="1">
      <c r="B331" s="161"/>
      <c r="C331" s="185"/>
      <c r="D331" s="162" t="s">
        <v>85</v>
      </c>
      <c r="E331" s="185"/>
      <c r="F331" s="185"/>
      <c r="G331" s="170"/>
      <c r="H331" s="163"/>
      <c r="I331" s="164" t="s">
        <v>2145</v>
      </c>
      <c r="J331" s="159"/>
      <c r="K331" s="117"/>
      <c r="L331" s="117"/>
      <c r="M331" s="117"/>
      <c r="N331" s="117"/>
      <c r="O331" s="117"/>
      <c r="P331" s="117"/>
      <c r="Q331" s="160"/>
      <c r="R331" s="143">
        <v>0</v>
      </c>
      <c r="S331" s="141">
        <v>0</v>
      </c>
      <c r="T331" s="141">
        <v>0</v>
      </c>
      <c r="U331" s="141">
        <v>0</v>
      </c>
      <c r="V331" s="144">
        <v>0</v>
      </c>
      <c r="W331" s="185"/>
    </row>
    <row r="332" spans="2:23" s="98" customFormat="1" ht="15" customHeight="1">
      <c r="B332" s="161"/>
      <c r="C332" s="185"/>
      <c r="D332" s="162" t="s">
        <v>85</v>
      </c>
      <c r="E332" s="185"/>
      <c r="F332" s="185"/>
      <c r="G332" s="170"/>
      <c r="H332" s="163"/>
      <c r="I332" s="164" t="s">
        <v>2145</v>
      </c>
      <c r="J332" s="159"/>
      <c r="K332" s="117"/>
      <c r="L332" s="117"/>
      <c r="M332" s="117"/>
      <c r="N332" s="117"/>
      <c r="O332" s="117"/>
      <c r="P332" s="117"/>
      <c r="Q332" s="160"/>
      <c r="R332" s="143">
        <v>0</v>
      </c>
      <c r="S332" s="141">
        <v>0</v>
      </c>
      <c r="T332" s="141">
        <v>0</v>
      </c>
      <c r="U332" s="141">
        <v>0</v>
      </c>
      <c r="V332" s="144">
        <v>0</v>
      </c>
      <c r="W332" s="185"/>
    </row>
    <row r="333" spans="2:23" s="98" customFormat="1" ht="15" customHeight="1">
      <c r="B333" s="161"/>
      <c r="C333" s="185"/>
      <c r="D333" s="162" t="s">
        <v>85</v>
      </c>
      <c r="E333" s="185"/>
      <c r="F333" s="185"/>
      <c r="G333" s="170"/>
      <c r="H333" s="163"/>
      <c r="I333" s="164" t="s">
        <v>2145</v>
      </c>
      <c r="J333" s="159"/>
      <c r="K333" s="117"/>
      <c r="L333" s="117"/>
      <c r="M333" s="117"/>
      <c r="N333" s="117"/>
      <c r="O333" s="117"/>
      <c r="P333" s="117"/>
      <c r="Q333" s="160"/>
      <c r="R333" s="143">
        <v>0</v>
      </c>
      <c r="S333" s="141">
        <v>0</v>
      </c>
      <c r="T333" s="141">
        <v>0</v>
      </c>
      <c r="U333" s="141">
        <v>0</v>
      </c>
      <c r="V333" s="144">
        <v>0</v>
      </c>
      <c r="W333" s="185"/>
    </row>
    <row r="334" spans="2:23" s="98" customFormat="1" ht="15" customHeight="1">
      <c r="B334" s="161"/>
      <c r="C334" s="185"/>
      <c r="D334" s="162" t="s">
        <v>85</v>
      </c>
      <c r="E334" s="185"/>
      <c r="F334" s="185"/>
      <c r="G334" s="170"/>
      <c r="H334" s="163"/>
      <c r="I334" s="164" t="s">
        <v>2145</v>
      </c>
      <c r="J334" s="159"/>
      <c r="K334" s="117"/>
      <c r="L334" s="117"/>
      <c r="M334" s="117"/>
      <c r="N334" s="117"/>
      <c r="O334" s="117"/>
      <c r="P334" s="117"/>
      <c r="Q334" s="160"/>
      <c r="R334" s="143">
        <v>0</v>
      </c>
      <c r="S334" s="141">
        <v>0</v>
      </c>
      <c r="T334" s="141">
        <v>0</v>
      </c>
      <c r="U334" s="141">
        <v>0</v>
      </c>
      <c r="V334" s="144">
        <v>0</v>
      </c>
      <c r="W334" s="185"/>
    </row>
    <row r="335" spans="2:23" s="98" customFormat="1" ht="15" customHeight="1">
      <c r="B335" s="161"/>
      <c r="C335" s="185"/>
      <c r="D335" s="162" t="s">
        <v>85</v>
      </c>
      <c r="E335" s="185"/>
      <c r="F335" s="185"/>
      <c r="G335" s="170"/>
      <c r="H335" s="163"/>
      <c r="I335" s="164" t="s">
        <v>2145</v>
      </c>
      <c r="J335" s="159"/>
      <c r="K335" s="117"/>
      <c r="L335" s="117"/>
      <c r="M335" s="117"/>
      <c r="N335" s="117"/>
      <c r="O335" s="117"/>
      <c r="P335" s="117"/>
      <c r="Q335" s="160"/>
      <c r="R335" s="143">
        <v>0</v>
      </c>
      <c r="S335" s="141">
        <v>0</v>
      </c>
      <c r="T335" s="141">
        <v>0</v>
      </c>
      <c r="U335" s="141">
        <v>0</v>
      </c>
      <c r="V335" s="144">
        <v>0</v>
      </c>
      <c r="W335" s="185"/>
    </row>
    <row r="336" spans="2:23" s="98" customFormat="1" ht="15" customHeight="1">
      <c r="B336" s="161"/>
      <c r="C336" s="185"/>
      <c r="D336" s="162" t="s">
        <v>85</v>
      </c>
      <c r="E336" s="185"/>
      <c r="F336" s="185"/>
      <c r="G336" s="170"/>
      <c r="H336" s="163"/>
      <c r="I336" s="164" t="s">
        <v>2145</v>
      </c>
      <c r="J336" s="159"/>
      <c r="K336" s="117"/>
      <c r="L336" s="117"/>
      <c r="M336" s="117"/>
      <c r="N336" s="117"/>
      <c r="O336" s="117"/>
      <c r="P336" s="117"/>
      <c r="Q336" s="160"/>
      <c r="R336" s="143">
        <v>0</v>
      </c>
      <c r="S336" s="141">
        <v>0</v>
      </c>
      <c r="T336" s="141">
        <v>0</v>
      </c>
      <c r="U336" s="141">
        <v>0</v>
      </c>
      <c r="V336" s="144">
        <v>0</v>
      </c>
      <c r="W336" s="185"/>
    </row>
    <row r="337" spans="1:53" s="98" customFormat="1" ht="15" customHeight="1">
      <c r="B337" s="181"/>
      <c r="C337" s="185" t="s">
        <v>1710</v>
      </c>
      <c r="D337" s="245"/>
      <c r="E337" s="185"/>
      <c r="F337" s="185"/>
      <c r="G337" s="184"/>
      <c r="H337" s="184"/>
      <c r="I337" s="164" t="s">
        <v>2145</v>
      </c>
      <c r="J337" s="159"/>
      <c r="K337" s="117"/>
      <c r="L337" s="117"/>
      <c r="M337" s="117"/>
      <c r="N337" s="117"/>
      <c r="O337" s="117"/>
      <c r="P337" s="117"/>
      <c r="Q337" s="160"/>
      <c r="R337" s="128">
        <f t="shared" ref="R337:V337" si="803">SUM(R327:R336)</f>
        <v>1.1838600550211247</v>
      </c>
      <c r="S337" s="129">
        <f t="shared" si="803"/>
        <v>1.1838600550211247</v>
      </c>
      <c r="T337" s="129">
        <f t="shared" si="803"/>
        <v>1.1838600550211247</v>
      </c>
      <c r="U337" s="129">
        <f t="shared" si="803"/>
        <v>1.1838600550211247</v>
      </c>
      <c r="V337" s="130">
        <f t="shared" si="803"/>
        <v>1.1838600550211247</v>
      </c>
      <c r="W337" s="185"/>
    </row>
    <row r="338" spans="1:53" s="98" customFormat="1" ht="15" customHeight="1">
      <c r="B338" s="181"/>
      <c r="C338" s="185"/>
      <c r="D338" s="185"/>
      <c r="E338" s="182"/>
      <c r="F338" s="182"/>
      <c r="G338" s="184"/>
      <c r="H338" s="184"/>
      <c r="I338" s="117"/>
      <c r="J338" s="159"/>
      <c r="K338" s="163"/>
      <c r="L338" s="163"/>
      <c r="M338" s="163"/>
      <c r="N338" s="163"/>
      <c r="O338" s="163"/>
      <c r="P338" s="117"/>
      <c r="Q338" s="160"/>
      <c r="R338" s="714"/>
      <c r="S338" s="714"/>
      <c r="T338" s="714"/>
      <c r="U338" s="714"/>
      <c r="V338" s="715"/>
      <c r="W338" s="185"/>
    </row>
    <row r="339" spans="1:53" s="98" customFormat="1" ht="15" customHeight="1" thickBot="1">
      <c r="A339" s="99"/>
      <c r="B339" s="239" t="s">
        <v>1701</v>
      </c>
      <c r="C339" s="240"/>
      <c r="D339" s="240"/>
      <c r="E339" s="240"/>
      <c r="F339" s="240"/>
      <c r="G339" s="241"/>
      <c r="H339" s="241"/>
      <c r="I339" s="195" t="s">
        <v>2145</v>
      </c>
      <c r="J339" s="131"/>
      <c r="K339" s="145"/>
      <c r="L339" s="145"/>
      <c r="M339" s="145"/>
      <c r="N339" s="145"/>
      <c r="O339" s="145"/>
      <c r="P339" s="145"/>
      <c r="Q339" s="2471"/>
      <c r="R339" s="717">
        <f t="shared" ref="R339:V339" si="804">SUM(R318,R324,R337)</f>
        <v>1.1838600550211247</v>
      </c>
      <c r="S339" s="718">
        <f t="shared" si="804"/>
        <v>1.1838600550211247</v>
      </c>
      <c r="T339" s="718">
        <f t="shared" si="804"/>
        <v>1.1838600550211247</v>
      </c>
      <c r="U339" s="718">
        <f t="shared" si="804"/>
        <v>1.1838600550211247</v>
      </c>
      <c r="V339" s="719">
        <f t="shared" si="804"/>
        <v>1.1838600550211247</v>
      </c>
    </row>
    <row r="340" spans="1:53" s="99" customFormat="1" ht="15" customHeight="1">
      <c r="B340" s="150"/>
      <c r="C340" s="150"/>
      <c r="D340" s="150"/>
      <c r="E340" s="150"/>
      <c r="F340" s="150"/>
      <c r="G340" s="97"/>
      <c r="H340" s="97"/>
      <c r="I340" s="98"/>
      <c r="J340" s="98"/>
      <c r="K340" s="98"/>
      <c r="L340" s="98"/>
      <c r="M340" s="98"/>
      <c r="N340" s="98"/>
      <c r="O340" s="98"/>
      <c r="P340" s="98"/>
      <c r="Q340" s="98"/>
      <c r="R340" s="98"/>
      <c r="S340" s="98"/>
      <c r="T340" s="98"/>
      <c r="U340" s="98"/>
      <c r="V340" s="98"/>
      <c r="AM340" s="98"/>
      <c r="AN340" s="98"/>
      <c r="AO340" s="98"/>
      <c r="AP340" s="98"/>
      <c r="AQ340" s="98"/>
      <c r="AR340" s="98"/>
      <c r="AS340" s="98"/>
      <c r="AT340" s="98"/>
      <c r="AU340" s="98"/>
      <c r="AV340" s="98"/>
      <c r="AW340" s="98"/>
      <c r="AX340" s="98"/>
      <c r="AY340" s="98"/>
      <c r="AZ340" s="98"/>
      <c r="BA340" s="98"/>
    </row>
    <row r="341" spans="1:53" s="99" customFormat="1" ht="15" customHeight="1">
      <c r="B341" s="150"/>
      <c r="C341" s="150"/>
      <c r="D341" s="150"/>
      <c r="E341" s="150"/>
      <c r="F341" s="150"/>
      <c r="G341" s="97"/>
      <c r="H341" s="97"/>
      <c r="I341" s="98"/>
      <c r="J341" s="98"/>
      <c r="K341" s="98"/>
      <c r="L341" s="98"/>
      <c r="M341" s="98"/>
      <c r="N341" s="98"/>
      <c r="O341" s="98"/>
      <c r="P341" s="98"/>
      <c r="Q341" s="98"/>
      <c r="R341" s="98"/>
      <c r="S341" s="98"/>
      <c r="T341" s="98"/>
      <c r="U341" s="98"/>
      <c r="V341" s="98"/>
      <c r="AM341" s="98"/>
      <c r="AN341" s="98"/>
      <c r="AO341" s="98"/>
      <c r="AP341" s="98"/>
      <c r="AQ341" s="98"/>
      <c r="AR341" s="98"/>
      <c r="AS341" s="98"/>
      <c r="AT341" s="98"/>
      <c r="AU341" s="98"/>
      <c r="AV341" s="98"/>
      <c r="AW341" s="98"/>
      <c r="AX341" s="98"/>
      <c r="AY341" s="98"/>
      <c r="AZ341" s="98"/>
      <c r="BA341" s="98"/>
    </row>
    <row r="342" spans="1:53" s="99" customFormat="1" ht="15" customHeight="1">
      <c r="B342" s="150"/>
      <c r="C342" s="150"/>
      <c r="D342" s="150"/>
      <c r="E342" s="150"/>
      <c r="F342" s="150"/>
      <c r="G342" s="97"/>
      <c r="H342" s="97"/>
      <c r="I342" s="98"/>
      <c r="J342" s="98"/>
      <c r="K342" s="98"/>
      <c r="L342" s="98"/>
      <c r="M342" s="98"/>
      <c r="N342" s="98"/>
      <c r="O342" s="98"/>
      <c r="P342" s="98"/>
      <c r="Q342" s="98"/>
      <c r="R342" s="98"/>
      <c r="S342" s="98"/>
      <c r="T342" s="98"/>
      <c r="U342" s="98"/>
      <c r="V342" s="98"/>
      <c r="AM342" s="98"/>
      <c r="AN342" s="98"/>
      <c r="AO342" s="98"/>
      <c r="AP342" s="98"/>
      <c r="AQ342" s="98"/>
      <c r="AR342" s="98"/>
      <c r="AS342" s="98"/>
      <c r="AT342" s="98"/>
      <c r="AU342" s="98"/>
      <c r="AV342" s="98"/>
      <c r="AW342" s="98"/>
      <c r="AX342" s="98"/>
      <c r="AY342" s="98"/>
      <c r="AZ342" s="98"/>
      <c r="BA342" s="98"/>
    </row>
    <row r="343" spans="1:53" s="99" customFormat="1" ht="15" customHeight="1">
      <c r="B343" s="150"/>
      <c r="C343" s="150"/>
      <c r="D343" s="150"/>
      <c r="E343" s="150"/>
      <c r="F343" s="150"/>
      <c r="G343" s="97"/>
      <c r="H343" s="97"/>
      <c r="I343" s="98"/>
      <c r="J343" s="98"/>
      <c r="K343" s="98"/>
      <c r="L343" s="98"/>
      <c r="M343" s="98"/>
      <c r="N343" s="98"/>
      <c r="O343" s="98"/>
      <c r="P343" s="98"/>
      <c r="Q343" s="98"/>
      <c r="R343" s="98"/>
      <c r="S343" s="98"/>
      <c r="T343" s="98"/>
      <c r="U343" s="98"/>
      <c r="V343" s="98"/>
      <c r="AM343" s="98"/>
      <c r="AN343" s="98"/>
      <c r="AO343" s="98"/>
      <c r="AP343" s="98"/>
      <c r="AQ343" s="98"/>
      <c r="AR343" s="98"/>
      <c r="AS343" s="98"/>
      <c r="AT343" s="98"/>
      <c r="AU343" s="98"/>
      <c r="AV343" s="98"/>
      <c r="AW343" s="98"/>
      <c r="AX343" s="98"/>
      <c r="AY343" s="98"/>
      <c r="AZ343" s="98"/>
      <c r="BA343" s="98"/>
    </row>
    <row r="344" spans="1:53" s="99" customFormat="1" ht="15" customHeight="1">
      <c r="B344" s="150"/>
      <c r="C344" s="150"/>
      <c r="D344" s="150"/>
      <c r="E344" s="150"/>
      <c r="F344" s="150"/>
      <c r="G344" s="97"/>
      <c r="H344" s="97"/>
      <c r="I344" s="98"/>
      <c r="J344" s="98"/>
      <c r="K344" s="98"/>
      <c r="L344" s="98"/>
      <c r="M344" s="98"/>
      <c r="N344" s="98"/>
      <c r="O344" s="98"/>
      <c r="P344" s="98"/>
      <c r="Q344" s="98"/>
      <c r="R344" s="98"/>
      <c r="S344" s="98"/>
      <c r="T344" s="98"/>
      <c r="U344" s="98"/>
      <c r="V344" s="98"/>
      <c r="AM344" s="98"/>
      <c r="AN344" s="98"/>
      <c r="AO344" s="98"/>
      <c r="AP344" s="98"/>
      <c r="AQ344" s="98"/>
      <c r="AR344" s="98"/>
      <c r="AS344" s="98"/>
      <c r="AT344" s="98"/>
      <c r="AU344" s="98"/>
      <c r="AV344" s="98"/>
      <c r="AW344" s="98"/>
      <c r="AX344" s="98"/>
      <c r="AY344" s="98"/>
      <c r="AZ344" s="98"/>
      <c r="BA344" s="98"/>
    </row>
    <row r="345" spans="1:53" s="99" customFormat="1" ht="15" customHeight="1">
      <c r="B345" s="150"/>
      <c r="C345" s="150"/>
      <c r="D345" s="150"/>
      <c r="E345" s="150"/>
      <c r="F345" s="150"/>
      <c r="G345" s="97"/>
      <c r="H345" s="97"/>
      <c r="I345" s="98"/>
      <c r="J345" s="98"/>
      <c r="K345" s="98"/>
      <c r="L345" s="98"/>
      <c r="M345" s="98"/>
      <c r="N345" s="98"/>
      <c r="O345" s="98"/>
      <c r="P345" s="98"/>
      <c r="Q345" s="98"/>
      <c r="R345" s="98"/>
      <c r="S345" s="98"/>
      <c r="T345" s="98"/>
      <c r="U345" s="98"/>
      <c r="V345" s="98"/>
      <c r="AM345" s="98"/>
      <c r="AN345" s="98"/>
      <c r="AO345" s="98"/>
      <c r="AP345" s="98"/>
      <c r="AQ345" s="98"/>
      <c r="AR345" s="98"/>
      <c r="AS345" s="98"/>
      <c r="AT345" s="98"/>
      <c r="AU345" s="98"/>
      <c r="AV345" s="98"/>
      <c r="AW345" s="98"/>
      <c r="AX345" s="98"/>
      <c r="AY345" s="98"/>
      <c r="AZ345" s="98"/>
      <c r="BA345" s="98"/>
    </row>
    <row r="346" spans="1:53" s="99" customFormat="1" ht="15" customHeight="1">
      <c r="B346" s="150"/>
      <c r="C346" s="150"/>
      <c r="D346" s="150"/>
      <c r="E346" s="150"/>
      <c r="F346" s="150"/>
      <c r="G346" s="97"/>
      <c r="H346" s="97"/>
      <c r="I346" s="98"/>
      <c r="J346" s="98"/>
      <c r="K346" s="98"/>
      <c r="L346" s="98"/>
      <c r="M346" s="98"/>
      <c r="N346" s="98"/>
      <c r="O346" s="98"/>
      <c r="P346" s="98"/>
      <c r="Q346" s="98"/>
      <c r="R346" s="98"/>
      <c r="S346" s="98"/>
      <c r="T346" s="98"/>
      <c r="U346" s="98"/>
      <c r="V346" s="98"/>
      <c r="AM346" s="98"/>
      <c r="AN346" s="98"/>
      <c r="AO346" s="98"/>
      <c r="AP346" s="98"/>
      <c r="AQ346" s="98"/>
      <c r="AR346" s="98"/>
      <c r="AS346" s="98"/>
      <c r="AT346" s="98"/>
      <c r="AU346" s="98"/>
      <c r="AV346" s="98"/>
      <c r="AW346" s="98"/>
      <c r="AX346" s="98"/>
      <c r="AY346" s="98"/>
      <c r="AZ346" s="98"/>
      <c r="BA346" s="98"/>
    </row>
    <row r="347" spans="1:53" s="99" customFormat="1" ht="15" customHeight="1">
      <c r="B347" s="150"/>
      <c r="C347" s="150"/>
      <c r="D347" s="150"/>
      <c r="E347" s="150"/>
      <c r="F347" s="150"/>
      <c r="G347" s="97"/>
      <c r="H347" s="97"/>
      <c r="I347" s="98"/>
      <c r="J347" s="98"/>
      <c r="K347" s="98"/>
      <c r="L347" s="98"/>
      <c r="M347" s="98"/>
      <c r="N347" s="98"/>
      <c r="O347" s="98"/>
      <c r="P347" s="98"/>
      <c r="Q347" s="98"/>
      <c r="R347" s="98"/>
      <c r="S347" s="98"/>
      <c r="T347" s="98"/>
      <c r="U347" s="98"/>
      <c r="V347" s="98"/>
      <c r="AM347" s="98"/>
      <c r="AN347" s="98"/>
      <c r="AO347" s="98"/>
      <c r="AP347" s="98"/>
      <c r="AQ347" s="98"/>
      <c r="AR347" s="98"/>
      <c r="AS347" s="98"/>
      <c r="AT347" s="98"/>
      <c r="AU347" s="98"/>
      <c r="AV347" s="98"/>
      <c r="AW347" s="98"/>
      <c r="AX347" s="98"/>
      <c r="AY347" s="98"/>
      <c r="AZ347" s="98"/>
      <c r="BA347" s="98"/>
    </row>
    <row r="348" spans="1:53" s="99" customFormat="1" ht="15" customHeight="1">
      <c r="B348" s="150"/>
      <c r="C348" s="150"/>
      <c r="D348" s="150"/>
      <c r="E348" s="150"/>
      <c r="F348" s="150"/>
      <c r="G348" s="97"/>
      <c r="H348" s="97"/>
      <c r="I348" s="98"/>
      <c r="J348" s="98"/>
      <c r="K348" s="98"/>
      <c r="L348" s="98"/>
      <c r="M348" s="98"/>
      <c r="N348" s="98"/>
      <c r="O348" s="98"/>
      <c r="P348" s="98"/>
      <c r="Q348" s="98"/>
      <c r="R348" s="98"/>
      <c r="S348" s="98"/>
      <c r="T348" s="98"/>
      <c r="U348" s="98"/>
      <c r="V348" s="98"/>
      <c r="AM348" s="98"/>
      <c r="AN348" s="98"/>
      <c r="AO348" s="98"/>
      <c r="AP348" s="98"/>
      <c r="AQ348" s="98"/>
      <c r="AR348" s="98"/>
      <c r="AS348" s="98"/>
      <c r="AT348" s="98"/>
      <c r="AU348" s="98"/>
      <c r="AV348" s="98"/>
      <c r="AW348" s="98"/>
      <c r="AX348" s="98"/>
      <c r="AY348" s="98"/>
      <c r="AZ348" s="98"/>
      <c r="BA348" s="98"/>
    </row>
    <row r="349" spans="1:53" s="99" customFormat="1" ht="15" customHeight="1">
      <c r="B349" s="150"/>
      <c r="C349" s="150"/>
      <c r="D349" s="150"/>
      <c r="E349" s="150"/>
      <c r="F349" s="150"/>
      <c r="G349" s="97"/>
      <c r="H349" s="97"/>
      <c r="I349" s="98"/>
      <c r="J349" s="98"/>
      <c r="K349" s="98"/>
      <c r="L349" s="98"/>
      <c r="M349" s="98"/>
      <c r="N349" s="98"/>
      <c r="O349" s="98"/>
      <c r="P349" s="98"/>
      <c r="Q349" s="98"/>
      <c r="R349" s="98"/>
      <c r="S349" s="98"/>
      <c r="T349" s="98"/>
      <c r="U349" s="98"/>
      <c r="V349" s="98"/>
      <c r="AM349" s="98"/>
      <c r="AN349" s="98"/>
      <c r="AO349" s="98"/>
      <c r="AP349" s="98"/>
      <c r="AQ349" s="98"/>
      <c r="AR349" s="98"/>
      <c r="AS349" s="98"/>
      <c r="AT349" s="98"/>
      <c r="AU349" s="98"/>
      <c r="AV349" s="98"/>
      <c r="AW349" s="98"/>
      <c r="AX349" s="98"/>
      <c r="AY349" s="98"/>
      <c r="AZ349" s="98"/>
      <c r="BA349" s="98"/>
    </row>
    <row r="350" spans="1:53" s="99" customFormat="1" ht="15" customHeight="1">
      <c r="B350" s="150"/>
      <c r="C350" s="150"/>
      <c r="D350" s="150"/>
      <c r="E350" s="150"/>
      <c r="F350" s="150"/>
      <c r="G350" s="97"/>
      <c r="H350" s="97"/>
      <c r="I350" s="98"/>
      <c r="J350" s="98"/>
      <c r="K350" s="98"/>
      <c r="L350" s="98"/>
      <c r="M350" s="98"/>
      <c r="N350" s="98"/>
      <c r="O350" s="98"/>
      <c r="P350" s="98"/>
      <c r="Q350" s="98"/>
      <c r="R350" s="98"/>
      <c r="S350" s="98"/>
      <c r="T350" s="98"/>
      <c r="U350" s="98"/>
      <c r="V350" s="98"/>
      <c r="AM350" s="98"/>
      <c r="AN350" s="98"/>
      <c r="AO350" s="98"/>
      <c r="AP350" s="98"/>
      <c r="AQ350" s="98"/>
      <c r="AR350" s="98"/>
      <c r="AS350" s="98"/>
      <c r="AT350" s="98"/>
      <c r="AU350" s="98"/>
      <c r="AV350" s="98"/>
      <c r="AW350" s="98"/>
      <c r="AX350" s="98"/>
      <c r="AY350" s="98"/>
      <c r="AZ350" s="98"/>
      <c r="BA350" s="98"/>
    </row>
    <row r="351" spans="1:53" s="99" customFormat="1" ht="15" customHeight="1">
      <c r="B351" s="150"/>
      <c r="C351" s="150"/>
      <c r="D351" s="150"/>
      <c r="E351" s="150"/>
      <c r="F351" s="150"/>
      <c r="H351" s="97"/>
      <c r="I351" s="98"/>
      <c r="J351" s="98"/>
      <c r="K351" s="98"/>
      <c r="L351" s="98"/>
      <c r="M351" s="98"/>
      <c r="N351" s="98"/>
      <c r="O351" s="98"/>
      <c r="P351" s="98"/>
      <c r="Q351" s="98"/>
      <c r="R351" s="98"/>
      <c r="S351" s="98"/>
      <c r="T351" s="98"/>
      <c r="U351" s="98"/>
      <c r="V351" s="98"/>
      <c r="AM351" s="98"/>
      <c r="AN351" s="98"/>
      <c r="AO351" s="98"/>
      <c r="AP351" s="98"/>
      <c r="AQ351" s="98"/>
      <c r="AR351" s="98"/>
      <c r="AS351" s="98"/>
      <c r="AT351" s="98"/>
      <c r="AU351" s="98"/>
      <c r="AV351" s="98"/>
      <c r="AW351" s="98"/>
      <c r="AX351" s="98"/>
      <c r="AY351" s="98"/>
      <c r="AZ351" s="98"/>
      <c r="BA351" s="98"/>
    </row>
    <row r="352" spans="1:53" s="99" customFormat="1" ht="15" customHeight="1">
      <c r="B352" s="150"/>
      <c r="C352" s="150"/>
      <c r="D352" s="150"/>
      <c r="E352" s="150"/>
      <c r="F352" s="150"/>
      <c r="H352" s="97"/>
      <c r="I352" s="98"/>
      <c r="J352" s="98"/>
      <c r="K352" s="98"/>
      <c r="L352" s="98"/>
      <c r="M352" s="98"/>
      <c r="N352" s="98"/>
      <c r="O352" s="98"/>
      <c r="P352" s="98"/>
      <c r="Q352" s="98"/>
      <c r="R352" s="98"/>
      <c r="S352" s="98"/>
      <c r="T352" s="98"/>
      <c r="U352" s="98"/>
      <c r="V352" s="98"/>
      <c r="AM352" s="98"/>
      <c r="AN352" s="98"/>
      <c r="AO352" s="98"/>
      <c r="AP352" s="98"/>
      <c r="AQ352" s="98"/>
      <c r="AR352" s="98"/>
      <c r="AS352" s="98"/>
      <c r="AT352" s="98"/>
      <c r="AU352" s="98"/>
      <c r="AV352" s="98"/>
      <c r="AW352" s="98"/>
      <c r="AX352" s="98"/>
      <c r="AY352" s="98"/>
      <c r="AZ352" s="98"/>
      <c r="BA352" s="98"/>
    </row>
    <row r="353" spans="2:53" s="99" customFormat="1" ht="15" customHeight="1">
      <c r="B353" s="150"/>
      <c r="C353" s="150"/>
      <c r="D353" s="150"/>
      <c r="E353" s="150"/>
      <c r="F353" s="150"/>
      <c r="G353" s="97"/>
      <c r="H353" s="97"/>
      <c r="I353" s="98"/>
      <c r="J353" s="98"/>
      <c r="K353" s="98"/>
      <c r="L353" s="98"/>
      <c r="M353" s="98"/>
      <c r="N353" s="98"/>
      <c r="O353" s="98"/>
      <c r="P353" s="98"/>
      <c r="Q353" s="98"/>
      <c r="R353" s="98"/>
      <c r="S353" s="98"/>
      <c r="T353" s="98"/>
      <c r="U353" s="98"/>
      <c r="V353" s="98"/>
      <c r="AM353" s="98"/>
      <c r="AN353" s="98"/>
      <c r="AO353" s="98"/>
      <c r="AP353" s="98"/>
      <c r="AQ353" s="98"/>
      <c r="AR353" s="98"/>
      <c r="AS353" s="98"/>
      <c r="AT353" s="98"/>
      <c r="AU353" s="98"/>
      <c r="AV353" s="98"/>
      <c r="AW353" s="98"/>
      <c r="AX353" s="98"/>
      <c r="AY353" s="98"/>
      <c r="AZ353" s="98"/>
      <c r="BA353" s="98"/>
    </row>
    <row r="354" spans="2:53" s="99" customFormat="1" ht="15" customHeight="1">
      <c r="B354" s="150"/>
      <c r="C354" s="150"/>
      <c r="D354" s="150"/>
      <c r="E354" s="150"/>
      <c r="F354" s="150"/>
      <c r="G354" s="97"/>
      <c r="H354" s="97"/>
      <c r="I354" s="98"/>
      <c r="J354" s="98"/>
      <c r="K354" s="98"/>
      <c r="L354" s="98"/>
      <c r="M354" s="98"/>
      <c r="N354" s="98"/>
      <c r="O354" s="98"/>
      <c r="P354" s="98"/>
      <c r="Q354" s="98"/>
      <c r="R354" s="98"/>
      <c r="S354" s="98"/>
      <c r="T354" s="98"/>
      <c r="U354" s="98"/>
      <c r="V354" s="98"/>
      <c r="AM354" s="98"/>
      <c r="AN354" s="98"/>
      <c r="AO354" s="98"/>
      <c r="AP354" s="98"/>
      <c r="AQ354" s="98"/>
      <c r="AR354" s="98"/>
      <c r="AS354" s="98"/>
      <c r="AT354" s="98"/>
      <c r="AU354" s="98"/>
      <c r="AV354" s="98"/>
      <c r="AW354" s="98"/>
      <c r="AX354" s="98"/>
      <c r="AY354" s="98"/>
      <c r="AZ354" s="98"/>
      <c r="BA354" s="98"/>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00B050"/>
  </sheetPr>
  <dimension ref="A1:BK227"/>
  <sheetViews>
    <sheetView showGridLines="0" zoomScale="60" zoomScaleNormal="60" zoomScaleSheetLayoutView="80" workbookViewId="0">
      <pane xSplit="7" topLeftCell="H1" activePane="topRight" state="frozen"/>
      <selection pane="topRight" activeCell="O55" sqref="O55"/>
    </sheetView>
  </sheetViews>
  <sheetFormatPr defaultColWidth="11.875" defaultRowHeight="15" customHeight="1"/>
  <cols>
    <col min="1" max="1" width="11.875" style="341"/>
    <col min="2" max="6" width="4.375" style="341" customWidth="1"/>
    <col min="7" max="7" width="38.5" style="341" customWidth="1"/>
    <col min="8" max="8" width="11.875" style="341"/>
    <col min="9" max="9" width="15.625" style="175" customWidth="1"/>
    <col min="10" max="20" width="15.625" style="341" customWidth="1"/>
    <col min="21" max="21" width="15.625" style="175" customWidth="1"/>
    <col min="22" max="27" width="15.625" style="341" customWidth="1"/>
    <col min="28" max="28" width="5.625" style="341" customWidth="1"/>
    <col min="29" max="47" width="15.625" style="341" customWidth="1"/>
    <col min="48" max="48" width="11.875" style="341"/>
    <col min="49" max="49" width="36.625" style="341" customWidth="1"/>
    <col min="50" max="51" width="18.625" style="341" customWidth="1"/>
    <col min="52" max="53" width="14.75" style="341" customWidth="1"/>
    <col min="54" max="54" width="95" style="341" customWidth="1"/>
    <col min="55" max="16384" width="11.875" style="341"/>
  </cols>
  <sheetData>
    <row r="1" spans="1:63" s="2" customFormat="1" ht="25.15" customHeight="1">
      <c r="A1" s="1" t="s">
        <v>0</v>
      </c>
      <c r="E1" s="3"/>
      <c r="H1" s="4" t="s">
        <v>1</v>
      </c>
      <c r="J1" s="3"/>
    </row>
    <row r="2" spans="1:63" s="2" customFormat="1" ht="25.15" customHeight="1">
      <c r="A2" s="5" t="str">
        <f>Fixed_Data!I12</f>
        <v>MASTER</v>
      </c>
      <c r="B2" s="6"/>
      <c r="D2" s="7"/>
      <c r="E2" s="3"/>
    </row>
    <row r="3" spans="1:63" s="9" customFormat="1" ht="25.15" customHeight="1" thickBot="1">
      <c r="A3" s="8" t="str">
        <f>Fixed_Data!A3</f>
        <v>RIIO-GD2</v>
      </c>
      <c r="D3" s="10"/>
      <c r="E3" s="11"/>
    </row>
    <row r="4" spans="1:63" s="330" customFormat="1" ht="25.15" customHeight="1">
      <c r="A4" s="251"/>
      <c r="B4" s="308" t="s">
        <v>2258</v>
      </c>
      <c r="C4" s="308"/>
      <c r="D4" s="308"/>
      <c r="E4" s="308"/>
      <c r="F4" s="308"/>
      <c r="G4" s="329"/>
      <c r="H4" s="311"/>
      <c r="I4" s="310"/>
      <c r="J4" s="309"/>
      <c r="K4" s="309"/>
      <c r="L4" s="311"/>
      <c r="M4" s="311"/>
      <c r="N4" s="311"/>
      <c r="O4" s="311"/>
      <c r="P4" s="311"/>
      <c r="Q4" s="311"/>
      <c r="R4" s="311"/>
      <c r="S4" s="311"/>
      <c r="T4" s="311"/>
      <c r="U4" s="319"/>
      <c r="V4" s="309"/>
      <c r="W4" s="309"/>
      <c r="X4" s="311"/>
      <c r="Y4" s="311"/>
      <c r="Z4" s="311"/>
      <c r="AA4" s="311"/>
      <c r="AB4" s="311"/>
      <c r="AC4" s="311"/>
      <c r="AD4" s="311"/>
      <c r="AE4" s="311"/>
      <c r="AF4" s="311"/>
      <c r="AG4" s="311"/>
      <c r="AH4" s="311"/>
      <c r="AI4" s="309"/>
      <c r="AJ4" s="309"/>
      <c r="AK4" s="311"/>
      <c r="AL4" s="311"/>
      <c r="AM4" s="311"/>
      <c r="AN4" s="311"/>
      <c r="AO4" s="311"/>
      <c r="AP4" s="311"/>
      <c r="AQ4" s="311"/>
      <c r="AR4" s="311"/>
      <c r="AS4" s="311"/>
      <c r="AT4" s="311"/>
      <c r="AU4" s="311"/>
      <c r="AV4" s="311"/>
      <c r="AW4" s="311"/>
      <c r="AX4" s="312"/>
      <c r="AY4" s="312"/>
    </row>
    <row r="5" spans="1:63" s="254" customFormat="1" ht="25.15" customHeight="1">
      <c r="A5" s="251"/>
      <c r="B5" s="95" t="s">
        <v>1663</v>
      </c>
      <c r="C5" s="95"/>
      <c r="D5" s="95"/>
      <c r="E5" s="95"/>
      <c r="F5" s="95" t="s">
        <v>463</v>
      </c>
      <c r="G5" s="95"/>
      <c r="H5" s="95"/>
      <c r="I5" s="95"/>
      <c r="K5" s="255"/>
      <c r="L5" s="256"/>
      <c r="M5" s="256"/>
      <c r="N5" s="256"/>
      <c r="O5" s="256"/>
      <c r="P5" s="256"/>
      <c r="Q5" s="256"/>
      <c r="R5" s="256"/>
      <c r="S5" s="256"/>
      <c r="T5" s="257"/>
      <c r="U5" s="257"/>
      <c r="V5" s="257"/>
      <c r="W5" s="257"/>
      <c r="X5" s="257"/>
      <c r="Y5" s="257"/>
      <c r="Z5" s="257"/>
      <c r="AA5" s="257"/>
      <c r="AB5" s="257"/>
      <c r="AC5" s="257"/>
      <c r="AD5" s="257"/>
      <c r="AE5" s="257"/>
      <c r="AF5" s="257"/>
      <c r="AG5" s="257"/>
      <c r="AH5" s="256"/>
      <c r="AI5" s="257"/>
      <c r="AJ5" s="257"/>
      <c r="AK5" s="257"/>
      <c r="AL5" s="257"/>
      <c r="AM5" s="257"/>
      <c r="AN5" s="257"/>
      <c r="AO5" s="257"/>
      <c r="AP5" s="257"/>
      <c r="AQ5" s="257"/>
      <c r="AR5" s="257"/>
      <c r="AS5" s="257"/>
      <c r="AT5" s="257"/>
      <c r="AU5" s="257"/>
      <c r="AV5" s="256"/>
      <c r="AW5" s="256"/>
      <c r="AX5" s="257"/>
      <c r="AY5" s="257"/>
      <c r="AZ5" s="257"/>
      <c r="BA5" s="257"/>
      <c r="BB5" s="257"/>
      <c r="BC5" s="257"/>
      <c r="BD5" s="257"/>
      <c r="BE5" s="257"/>
      <c r="BF5" s="257"/>
      <c r="BG5" s="257"/>
      <c r="BH5" s="257"/>
      <c r="BI5" s="257"/>
      <c r="BJ5" s="257"/>
      <c r="BK5" s="256"/>
    </row>
    <row r="6" spans="1:63" s="254" customFormat="1" ht="15" customHeight="1">
      <c r="A6" s="251"/>
      <c r="B6" s="95"/>
      <c r="C6" s="95"/>
      <c r="D6" s="95"/>
      <c r="E6" s="95"/>
      <c r="F6" s="95"/>
      <c r="G6" s="95"/>
      <c r="H6" s="95"/>
      <c r="J6" s="95"/>
      <c r="K6" s="255"/>
      <c r="L6" s="256"/>
      <c r="M6" s="256"/>
      <c r="N6" s="256"/>
      <c r="O6" s="256"/>
      <c r="P6" s="256"/>
      <c r="Q6" s="256"/>
      <c r="R6" s="256"/>
      <c r="S6" s="256"/>
      <c r="T6" s="257"/>
      <c r="U6" s="257"/>
      <c r="V6" s="257"/>
      <c r="W6" s="257"/>
      <c r="X6" s="257"/>
      <c r="Y6" s="257"/>
      <c r="Z6" s="257"/>
      <c r="AA6" s="257"/>
      <c r="AB6" s="257"/>
      <c r="AC6" s="257"/>
      <c r="AD6" s="257"/>
      <c r="AE6" s="257"/>
      <c r="AF6" s="257"/>
      <c r="AG6" s="257"/>
      <c r="AH6" s="256"/>
      <c r="AI6" s="257"/>
      <c r="AJ6" s="257"/>
      <c r="AK6" s="257"/>
      <c r="AL6" s="257"/>
      <c r="AM6" s="257"/>
      <c r="AN6" s="257"/>
      <c r="AO6" s="257"/>
      <c r="AP6" s="257"/>
      <c r="AQ6" s="257"/>
      <c r="AR6" s="257"/>
      <c r="AS6" s="257"/>
      <c r="AT6" s="257"/>
      <c r="AU6" s="257"/>
      <c r="AV6" s="256"/>
      <c r="AW6" s="256"/>
      <c r="AX6" s="257"/>
      <c r="AY6" s="257"/>
      <c r="AZ6" s="257"/>
      <c r="BA6" s="257"/>
      <c r="BB6" s="257"/>
      <c r="BC6" s="257"/>
      <c r="BD6" s="257"/>
      <c r="BE6" s="257"/>
      <c r="BF6" s="257"/>
      <c r="BG6" s="257"/>
      <c r="BH6" s="257"/>
      <c r="BI6" s="257"/>
      <c r="BJ6" s="257"/>
      <c r="BK6" s="256"/>
    </row>
    <row r="7" spans="1:63" s="331" customFormat="1" ht="15" customHeight="1" thickBot="1">
      <c r="A7" s="258"/>
      <c r="B7" s="258"/>
      <c r="C7" s="258"/>
      <c r="D7" s="258"/>
      <c r="E7" s="258"/>
      <c r="F7" s="258"/>
      <c r="G7" s="259"/>
      <c r="H7" s="259"/>
      <c r="I7" s="96"/>
      <c r="J7" s="259"/>
      <c r="K7" s="259"/>
      <c r="L7" s="259"/>
      <c r="M7" s="259"/>
      <c r="N7" s="259"/>
      <c r="O7" s="259"/>
      <c r="P7" s="259"/>
      <c r="Q7" s="259"/>
      <c r="R7" s="259"/>
      <c r="S7" s="259"/>
      <c r="T7" s="259"/>
      <c r="U7" s="96"/>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row>
    <row r="8" spans="1:63" s="330" customFormat="1" ht="30" customHeight="1" thickBot="1">
      <c r="A8" s="251"/>
      <c r="B8" s="313" t="s">
        <v>1744</v>
      </c>
      <c r="C8" s="782"/>
      <c r="D8" s="782"/>
      <c r="E8" s="782"/>
      <c r="F8" s="782"/>
      <c r="G8" s="314"/>
      <c r="H8" s="314"/>
      <c r="I8" s="789" t="s">
        <v>1704</v>
      </c>
      <c r="J8" s="790"/>
      <c r="K8" s="790"/>
      <c r="L8" s="790"/>
      <c r="M8" s="790"/>
      <c r="N8" s="790"/>
      <c r="O8" s="790"/>
      <c r="P8" s="790"/>
      <c r="Q8" s="790"/>
      <c r="R8" s="790"/>
      <c r="S8" s="790"/>
      <c r="T8" s="790"/>
      <c r="U8" s="790"/>
      <c r="V8" s="790"/>
      <c r="W8" s="790"/>
      <c r="X8" s="790"/>
      <c r="Y8" s="790"/>
      <c r="Z8" s="790"/>
      <c r="AA8" s="791"/>
      <c r="AB8" s="311"/>
      <c r="AC8" s="311"/>
      <c r="AD8" s="311"/>
      <c r="AE8" s="311"/>
      <c r="AF8" s="311"/>
      <c r="AG8" s="309"/>
      <c r="AH8" s="309"/>
      <c r="AI8" s="311"/>
      <c r="AJ8" s="311"/>
      <c r="AK8" s="311"/>
      <c r="AL8" s="311"/>
      <c r="AM8" s="311"/>
      <c r="AN8" s="311"/>
      <c r="AO8" s="311"/>
      <c r="AP8" s="311"/>
      <c r="AQ8" s="311"/>
      <c r="AR8" s="311"/>
      <c r="AS8" s="311"/>
      <c r="AT8" s="311"/>
      <c r="AU8" s="311"/>
      <c r="AV8" s="309"/>
      <c r="AW8" s="309"/>
      <c r="AX8" s="312"/>
    </row>
    <row r="9" spans="1:63" s="330" customFormat="1" ht="30" customHeight="1">
      <c r="A9" s="251"/>
      <c r="B9" s="332"/>
      <c r="C9" s="320"/>
      <c r="D9" s="320"/>
      <c r="E9" s="320"/>
      <c r="F9" s="320"/>
      <c r="G9" s="315"/>
      <c r="H9" s="315"/>
      <c r="I9" s="316"/>
      <c r="J9" s="266" t="s">
        <v>1666</v>
      </c>
      <c r="K9" s="267"/>
      <c r="L9" s="267"/>
      <c r="M9" s="267"/>
      <c r="N9" s="267"/>
      <c r="O9" s="267"/>
      <c r="P9" s="267"/>
      <c r="Q9" s="268"/>
      <c r="R9" s="269" t="s">
        <v>2</v>
      </c>
      <c r="S9" s="270"/>
      <c r="T9" s="270"/>
      <c r="U9" s="270"/>
      <c r="V9" s="271"/>
      <c r="W9" s="266" t="s">
        <v>2259</v>
      </c>
      <c r="X9" s="267"/>
      <c r="Y9" s="267"/>
      <c r="Z9" s="267"/>
      <c r="AA9" s="268"/>
      <c r="AB9" s="311"/>
      <c r="AC9" s="311"/>
      <c r="AD9" s="311"/>
      <c r="AE9" s="311"/>
      <c r="AF9" s="311"/>
      <c r="AG9" s="309"/>
      <c r="AH9" s="309"/>
      <c r="AI9" s="311"/>
      <c r="AJ9" s="311"/>
      <c r="AK9" s="311"/>
      <c r="AL9" s="311"/>
      <c r="AM9" s="311"/>
      <c r="AN9" s="311"/>
      <c r="AO9" s="311"/>
      <c r="AP9" s="311"/>
      <c r="AQ9" s="311"/>
      <c r="AR9" s="311"/>
      <c r="AS9" s="311"/>
      <c r="AT9" s="311"/>
      <c r="AU9" s="311"/>
      <c r="AV9" s="309"/>
      <c r="AW9" s="309"/>
      <c r="AX9" s="312"/>
    </row>
    <row r="10" spans="1:63" s="330" customFormat="1" ht="15" customHeight="1">
      <c r="A10" s="251"/>
      <c r="B10" s="317"/>
      <c r="C10" s="783"/>
      <c r="D10" s="783"/>
      <c r="E10" s="783"/>
      <c r="F10" s="783"/>
      <c r="G10" s="315"/>
      <c r="H10" s="315"/>
      <c r="I10" s="318" t="s">
        <v>1667</v>
      </c>
      <c r="J10" s="273" t="s">
        <v>453</v>
      </c>
      <c r="K10" s="274" t="s">
        <v>455</v>
      </c>
      <c r="L10" s="274" t="s">
        <v>457</v>
      </c>
      <c r="M10" s="274" t="s">
        <v>459</v>
      </c>
      <c r="N10" s="274" t="s">
        <v>461</v>
      </c>
      <c r="O10" s="274" t="s">
        <v>463</v>
      </c>
      <c r="P10" s="274" t="s">
        <v>465</v>
      </c>
      <c r="Q10" s="275" t="s">
        <v>467</v>
      </c>
      <c r="R10" s="273" t="s">
        <v>469</v>
      </c>
      <c r="S10" s="274" t="s">
        <v>471</v>
      </c>
      <c r="T10" s="274" t="s">
        <v>473</v>
      </c>
      <c r="U10" s="274" t="s">
        <v>475</v>
      </c>
      <c r="V10" s="275" t="s">
        <v>477</v>
      </c>
      <c r="W10" s="321" t="s">
        <v>2170</v>
      </c>
      <c r="X10" s="322" t="s">
        <v>2171</v>
      </c>
      <c r="Y10" s="322" t="s">
        <v>2172</v>
      </c>
      <c r="Z10" s="322" t="s">
        <v>2173</v>
      </c>
      <c r="AA10" s="792" t="s">
        <v>2174</v>
      </c>
      <c r="AB10" s="311"/>
      <c r="AC10" s="311"/>
      <c r="AD10" s="311"/>
      <c r="AE10" s="311"/>
      <c r="AF10" s="311"/>
      <c r="AG10" s="309"/>
      <c r="AH10" s="309"/>
      <c r="AI10" s="311"/>
      <c r="AJ10" s="311"/>
      <c r="AK10" s="311"/>
      <c r="AL10" s="311"/>
      <c r="AM10" s="311"/>
      <c r="AN10" s="311"/>
      <c r="AO10" s="311"/>
      <c r="AP10" s="311"/>
      <c r="AQ10" s="311"/>
      <c r="AR10" s="311"/>
      <c r="AS10" s="311"/>
      <c r="AT10" s="311"/>
      <c r="AU10" s="311"/>
      <c r="AV10" s="309"/>
      <c r="AW10" s="309"/>
      <c r="AX10" s="312"/>
    </row>
    <row r="11" spans="1:63" s="330" customFormat="1" ht="15" customHeight="1">
      <c r="A11" s="251"/>
      <c r="B11" s="793"/>
      <c r="C11" s="775" t="s">
        <v>1897</v>
      </c>
      <c r="D11" s="780"/>
      <c r="E11" s="780"/>
      <c r="F11" s="780"/>
      <c r="G11" s="315"/>
      <c r="H11" s="315"/>
      <c r="I11" s="319"/>
      <c r="J11" s="334"/>
      <c r="K11" s="319"/>
      <c r="L11" s="319"/>
      <c r="M11" s="319"/>
      <c r="N11" s="319"/>
      <c r="O11" s="319"/>
      <c r="P11" s="319"/>
      <c r="Q11" s="335"/>
      <c r="R11" s="334"/>
      <c r="S11" s="319"/>
      <c r="T11" s="319"/>
      <c r="U11" s="319"/>
      <c r="V11" s="335"/>
      <c r="W11" s="334"/>
      <c r="X11" s="319"/>
      <c r="Y11" s="319"/>
      <c r="Z11" s="319"/>
      <c r="AA11" s="335"/>
      <c r="AB11" s="311"/>
      <c r="AC11" s="311"/>
      <c r="AD11" s="311"/>
      <c r="AE11" s="311"/>
      <c r="AF11" s="311"/>
      <c r="AG11" s="309"/>
      <c r="AH11" s="309"/>
      <c r="AI11" s="311"/>
      <c r="AJ11" s="311"/>
      <c r="AK11" s="311"/>
      <c r="AL11" s="311"/>
      <c r="AM11" s="311"/>
      <c r="AN11" s="311"/>
      <c r="AO11" s="311"/>
      <c r="AP11" s="311"/>
      <c r="AQ11" s="311"/>
      <c r="AR11" s="311"/>
      <c r="AS11" s="311"/>
      <c r="AT11" s="311"/>
      <c r="AU11" s="311"/>
      <c r="AV11" s="309"/>
      <c r="AW11" s="309"/>
      <c r="AX11" s="312"/>
    </row>
    <row r="12" spans="1:63" s="330" customFormat="1" ht="15" customHeight="1">
      <c r="A12" s="251"/>
      <c r="B12" s="793"/>
      <c r="C12" s="343"/>
      <c r="D12" s="776" t="s">
        <v>2260</v>
      </c>
      <c r="E12" s="784"/>
      <c r="F12" s="784"/>
      <c r="G12" s="320"/>
      <c r="H12" s="315"/>
      <c r="I12" s="316" t="s">
        <v>498</v>
      </c>
      <c r="J12" s="128">
        <f>J28</f>
        <v>0.84061335836112039</v>
      </c>
      <c r="K12" s="129">
        <f t="shared" ref="K12:AA12" si="0">K28</f>
        <v>1.6325163584415576</v>
      </c>
      <c r="L12" s="129">
        <f t="shared" si="0"/>
        <v>1.8114748974450983</v>
      </c>
      <c r="M12" s="129">
        <f t="shared" si="0"/>
        <v>3.7208645433423122</v>
      </c>
      <c r="N12" s="129">
        <f t="shared" si="0"/>
        <v>1.9912688434545371</v>
      </c>
      <c r="O12" s="129">
        <f t="shared" si="0"/>
        <v>1.5502009799999994</v>
      </c>
      <c r="P12" s="129">
        <f t="shared" si="0"/>
        <v>2.7401920602778924</v>
      </c>
      <c r="Q12" s="130">
        <f t="shared" si="0"/>
        <v>0.673426767167567</v>
      </c>
      <c r="R12" s="128">
        <f t="shared" si="0"/>
        <v>3.0441627146852031</v>
      </c>
      <c r="S12" s="129">
        <f t="shared" si="0"/>
        <v>3.1453577887485933</v>
      </c>
      <c r="T12" s="129">
        <f t="shared" si="0"/>
        <v>3.3189832210761887</v>
      </c>
      <c r="U12" s="129">
        <f t="shared" si="0"/>
        <v>3.7118083477291632</v>
      </c>
      <c r="V12" s="130">
        <f t="shared" si="0"/>
        <v>2.7661115443553879</v>
      </c>
      <c r="W12" s="128">
        <f t="shared" si="0"/>
        <v>0</v>
      </c>
      <c r="X12" s="129">
        <f t="shared" si="0"/>
        <v>0</v>
      </c>
      <c r="Y12" s="129">
        <f t="shared" si="0"/>
        <v>0</v>
      </c>
      <c r="Z12" s="129">
        <f t="shared" si="0"/>
        <v>0</v>
      </c>
      <c r="AA12" s="130">
        <f t="shared" si="0"/>
        <v>0</v>
      </c>
      <c r="AB12" s="311"/>
      <c r="AC12" s="311"/>
      <c r="AD12" s="311"/>
      <c r="AE12" s="311"/>
      <c r="AF12" s="311"/>
      <c r="AG12" s="309"/>
      <c r="AH12" s="309"/>
      <c r="AI12" s="311"/>
      <c r="AJ12" s="311"/>
      <c r="AK12" s="311"/>
      <c r="AL12" s="311"/>
      <c r="AM12" s="311"/>
      <c r="AN12" s="311"/>
      <c r="AO12" s="311"/>
      <c r="AP12" s="311"/>
      <c r="AQ12" s="311"/>
      <c r="AR12" s="311"/>
      <c r="AS12" s="311"/>
      <c r="AT12" s="311"/>
      <c r="AU12" s="311"/>
      <c r="AV12" s="309"/>
      <c r="AW12" s="309"/>
      <c r="AX12" s="312"/>
    </row>
    <row r="13" spans="1:63" s="330" customFormat="1" ht="15" customHeight="1" thickBot="1">
      <c r="A13" s="251"/>
      <c r="B13" s="1065"/>
      <c r="C13" s="346"/>
      <c r="D13" s="798" t="s">
        <v>2261</v>
      </c>
      <c r="E13" s="785"/>
      <c r="F13" s="785"/>
      <c r="G13" s="347"/>
      <c r="H13" s="327"/>
      <c r="I13" s="326" t="s">
        <v>498</v>
      </c>
      <c r="J13" s="177">
        <f>J40</f>
        <v>0</v>
      </c>
      <c r="K13" s="178">
        <f t="shared" ref="K13:AA13" si="1">K40</f>
        <v>0</v>
      </c>
      <c r="L13" s="178">
        <f t="shared" si="1"/>
        <v>0</v>
      </c>
      <c r="M13" s="178">
        <f t="shared" si="1"/>
        <v>0</v>
      </c>
      <c r="N13" s="178">
        <f t="shared" si="1"/>
        <v>0</v>
      </c>
      <c r="O13" s="178">
        <f t="shared" si="1"/>
        <v>0</v>
      </c>
      <c r="P13" s="178">
        <f t="shared" si="1"/>
        <v>0</v>
      </c>
      <c r="Q13" s="179">
        <f t="shared" si="1"/>
        <v>0</v>
      </c>
      <c r="R13" s="177">
        <f t="shared" si="1"/>
        <v>0</v>
      </c>
      <c r="S13" s="178">
        <f t="shared" si="1"/>
        <v>0</v>
      </c>
      <c r="T13" s="178">
        <f t="shared" si="1"/>
        <v>0</v>
      </c>
      <c r="U13" s="178">
        <f t="shared" si="1"/>
        <v>0</v>
      </c>
      <c r="V13" s="179">
        <f t="shared" si="1"/>
        <v>0</v>
      </c>
      <c r="W13" s="177">
        <f t="shared" si="1"/>
        <v>0</v>
      </c>
      <c r="X13" s="178">
        <f t="shared" si="1"/>
        <v>0</v>
      </c>
      <c r="Y13" s="178">
        <f t="shared" si="1"/>
        <v>0</v>
      </c>
      <c r="Z13" s="178">
        <f t="shared" si="1"/>
        <v>0</v>
      </c>
      <c r="AA13" s="179">
        <f t="shared" si="1"/>
        <v>0</v>
      </c>
      <c r="AB13" s="311"/>
      <c r="AC13" s="311"/>
      <c r="AD13" s="311"/>
      <c r="AE13" s="311"/>
      <c r="AF13" s="311"/>
      <c r="AG13" s="309"/>
      <c r="AH13" s="309"/>
      <c r="AI13" s="311"/>
      <c r="AJ13" s="311"/>
      <c r="AK13" s="311"/>
      <c r="AL13" s="311"/>
      <c r="AM13" s="311"/>
      <c r="AN13" s="311"/>
      <c r="AO13" s="311"/>
      <c r="AP13" s="311"/>
      <c r="AQ13" s="311"/>
      <c r="AR13" s="311"/>
      <c r="AS13" s="311"/>
      <c r="AT13" s="311"/>
      <c r="AU13" s="311"/>
      <c r="AV13" s="309"/>
      <c r="AW13" s="309"/>
      <c r="AX13" s="312"/>
    </row>
    <row r="14" spans="1:63" s="330" customFormat="1" ht="15" customHeight="1" thickBot="1">
      <c r="A14" s="251"/>
      <c r="B14" s="309"/>
      <c r="C14" s="309"/>
      <c r="D14" s="309"/>
      <c r="E14" s="309"/>
      <c r="F14" s="309"/>
      <c r="G14" s="309"/>
      <c r="H14" s="311"/>
      <c r="I14" s="310"/>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09"/>
      <c r="AH14" s="309"/>
      <c r="AI14" s="311"/>
      <c r="AJ14" s="311"/>
      <c r="AK14" s="311"/>
      <c r="AL14" s="311"/>
      <c r="AM14" s="311"/>
      <c r="AN14" s="311"/>
      <c r="AO14" s="311"/>
      <c r="AP14" s="311"/>
      <c r="AQ14" s="311"/>
      <c r="AR14" s="311"/>
      <c r="AS14" s="311"/>
      <c r="AT14" s="311"/>
      <c r="AU14" s="311"/>
      <c r="AV14" s="309"/>
      <c r="AW14" s="309"/>
      <c r="AX14" s="312"/>
    </row>
    <row r="15" spans="1:63" s="330" customFormat="1" ht="30" customHeight="1" thickBot="1">
      <c r="A15" s="251"/>
      <c r="B15" s="313" t="s">
        <v>2262</v>
      </c>
      <c r="C15" s="782"/>
      <c r="D15" s="782"/>
      <c r="E15" s="782"/>
      <c r="F15" s="782"/>
      <c r="G15" s="314"/>
      <c r="H15" s="314"/>
      <c r="I15" s="789" t="s">
        <v>1704</v>
      </c>
      <c r="J15" s="790"/>
      <c r="K15" s="790"/>
      <c r="L15" s="790"/>
      <c r="M15" s="790"/>
      <c r="N15" s="790"/>
      <c r="O15" s="790"/>
      <c r="P15" s="790"/>
      <c r="Q15" s="790"/>
      <c r="R15" s="790"/>
      <c r="S15" s="790"/>
      <c r="T15" s="790"/>
      <c r="U15" s="790"/>
      <c r="V15" s="790"/>
      <c r="W15" s="790"/>
      <c r="X15" s="790"/>
      <c r="Y15" s="790"/>
      <c r="Z15" s="790"/>
      <c r="AA15" s="791"/>
      <c r="AB15" s="342"/>
      <c r="AC15" s="789" t="s">
        <v>2231</v>
      </c>
      <c r="AD15" s="790"/>
      <c r="AE15" s="790"/>
      <c r="AF15" s="790"/>
      <c r="AG15" s="790"/>
      <c r="AH15" s="790"/>
      <c r="AI15" s="790"/>
      <c r="AJ15" s="790"/>
      <c r="AK15" s="790"/>
      <c r="AL15" s="790"/>
      <c r="AM15" s="790"/>
      <c r="AN15" s="790"/>
      <c r="AO15" s="790"/>
      <c r="AP15" s="790"/>
      <c r="AQ15" s="790"/>
      <c r="AR15" s="790"/>
      <c r="AS15" s="790"/>
      <c r="AT15" s="790"/>
      <c r="AU15" s="791"/>
      <c r="AX15" s="312"/>
    </row>
    <row r="16" spans="1:63" s="330" customFormat="1" ht="30" customHeight="1">
      <c r="A16" s="251"/>
      <c r="B16" s="332"/>
      <c r="C16" s="320"/>
      <c r="D16" s="320"/>
      <c r="E16" s="320"/>
      <c r="F16" s="320"/>
      <c r="G16" s="315"/>
      <c r="H16" s="315"/>
      <c r="I16" s="316"/>
      <c r="J16" s="266" t="s">
        <v>1666</v>
      </c>
      <c r="K16" s="267"/>
      <c r="L16" s="267"/>
      <c r="M16" s="267"/>
      <c r="N16" s="267"/>
      <c r="O16" s="267"/>
      <c r="P16" s="267"/>
      <c r="Q16" s="268"/>
      <c r="R16" s="269" t="s">
        <v>2</v>
      </c>
      <c r="S16" s="270"/>
      <c r="T16" s="270"/>
      <c r="U16" s="270"/>
      <c r="V16" s="271"/>
      <c r="W16" s="266" t="s">
        <v>2259</v>
      </c>
      <c r="X16" s="267"/>
      <c r="Y16" s="267"/>
      <c r="Z16" s="267"/>
      <c r="AA16" s="268"/>
      <c r="AB16" s="343"/>
      <c r="AC16" s="316"/>
      <c r="AD16" s="266" t="s">
        <v>1666</v>
      </c>
      <c r="AE16" s="267"/>
      <c r="AF16" s="267"/>
      <c r="AG16" s="267"/>
      <c r="AH16" s="267"/>
      <c r="AI16" s="267"/>
      <c r="AJ16" s="267"/>
      <c r="AK16" s="268"/>
      <c r="AL16" s="269" t="s">
        <v>2</v>
      </c>
      <c r="AM16" s="270"/>
      <c r="AN16" s="270"/>
      <c r="AO16" s="270"/>
      <c r="AP16" s="271"/>
      <c r="AQ16" s="266" t="s">
        <v>2259</v>
      </c>
      <c r="AR16" s="267"/>
      <c r="AS16" s="267"/>
      <c r="AT16" s="267"/>
      <c r="AU16" s="268"/>
      <c r="AX16" s="312"/>
    </row>
    <row r="17" spans="1:50" s="330" customFormat="1" ht="15" customHeight="1">
      <c r="A17" s="251"/>
      <c r="B17" s="332"/>
      <c r="C17" s="783"/>
      <c r="D17" s="783"/>
      <c r="E17" s="783"/>
      <c r="F17" s="783"/>
      <c r="G17" s="315"/>
      <c r="H17" s="315"/>
      <c r="I17" s="318" t="s">
        <v>1667</v>
      </c>
      <c r="J17" s="273" t="s">
        <v>453</v>
      </c>
      <c r="K17" s="274" t="s">
        <v>455</v>
      </c>
      <c r="L17" s="274" t="s">
        <v>457</v>
      </c>
      <c r="M17" s="274" t="s">
        <v>459</v>
      </c>
      <c r="N17" s="274" t="s">
        <v>461</v>
      </c>
      <c r="O17" s="274" t="s">
        <v>463</v>
      </c>
      <c r="P17" s="274" t="s">
        <v>465</v>
      </c>
      <c r="Q17" s="275" t="s">
        <v>467</v>
      </c>
      <c r="R17" s="273" t="s">
        <v>469</v>
      </c>
      <c r="S17" s="274" t="s">
        <v>471</v>
      </c>
      <c r="T17" s="274" t="s">
        <v>473</v>
      </c>
      <c r="U17" s="274" t="s">
        <v>475</v>
      </c>
      <c r="V17" s="275" t="s">
        <v>477</v>
      </c>
      <c r="W17" s="321" t="s">
        <v>2170</v>
      </c>
      <c r="X17" s="322" t="s">
        <v>2171</v>
      </c>
      <c r="Y17" s="322" t="s">
        <v>2172</v>
      </c>
      <c r="Z17" s="322" t="s">
        <v>2173</v>
      </c>
      <c r="AA17" s="792" t="s">
        <v>2174</v>
      </c>
      <c r="AB17" s="343"/>
      <c r="AC17" s="318" t="s">
        <v>1667</v>
      </c>
      <c r="AD17" s="273" t="s">
        <v>453</v>
      </c>
      <c r="AE17" s="274" t="s">
        <v>455</v>
      </c>
      <c r="AF17" s="274" t="s">
        <v>457</v>
      </c>
      <c r="AG17" s="274" t="s">
        <v>459</v>
      </c>
      <c r="AH17" s="274" t="s">
        <v>461</v>
      </c>
      <c r="AI17" s="274" t="s">
        <v>463</v>
      </c>
      <c r="AJ17" s="274" t="s">
        <v>465</v>
      </c>
      <c r="AK17" s="275" t="s">
        <v>467</v>
      </c>
      <c r="AL17" s="273" t="s">
        <v>469</v>
      </c>
      <c r="AM17" s="274" t="s">
        <v>471</v>
      </c>
      <c r="AN17" s="274" t="s">
        <v>473</v>
      </c>
      <c r="AO17" s="274" t="s">
        <v>475</v>
      </c>
      <c r="AP17" s="275" t="s">
        <v>477</v>
      </c>
      <c r="AQ17" s="321" t="s">
        <v>2170</v>
      </c>
      <c r="AR17" s="322" t="s">
        <v>2171</v>
      </c>
      <c r="AS17" s="322" t="s">
        <v>2172</v>
      </c>
      <c r="AT17" s="322" t="s">
        <v>2173</v>
      </c>
      <c r="AU17" s="792" t="s">
        <v>2174</v>
      </c>
      <c r="AX17" s="312"/>
    </row>
    <row r="18" spans="1:50" s="330" customFormat="1" ht="15" customHeight="1">
      <c r="A18" s="251"/>
      <c r="B18" s="332"/>
      <c r="C18" s="775" t="s">
        <v>2263</v>
      </c>
      <c r="D18" s="780"/>
      <c r="E18" s="780"/>
      <c r="F18" s="780"/>
      <c r="G18" s="315"/>
      <c r="H18" s="315"/>
      <c r="I18" s="337"/>
      <c r="J18" s="332"/>
      <c r="K18" s="320"/>
      <c r="L18" s="320"/>
      <c r="M18" s="320"/>
      <c r="N18" s="320"/>
      <c r="O18" s="320"/>
      <c r="P18" s="320"/>
      <c r="Q18" s="336"/>
      <c r="R18" s="332"/>
      <c r="S18" s="320"/>
      <c r="T18" s="320"/>
      <c r="U18" s="320"/>
      <c r="V18" s="336"/>
      <c r="W18" s="332"/>
      <c r="X18" s="320"/>
      <c r="Y18" s="320"/>
      <c r="Z18" s="320"/>
      <c r="AA18" s="336"/>
      <c r="AB18" s="343"/>
      <c r="AC18" s="324"/>
      <c r="AD18" s="332"/>
      <c r="AE18" s="320"/>
      <c r="AF18" s="320"/>
      <c r="AG18" s="320"/>
      <c r="AH18" s="320"/>
      <c r="AI18" s="320"/>
      <c r="AJ18" s="320"/>
      <c r="AK18" s="320"/>
      <c r="AL18" s="332"/>
      <c r="AM18" s="336"/>
      <c r="AN18" s="320"/>
      <c r="AO18" s="343"/>
      <c r="AP18" s="344"/>
      <c r="AQ18" s="793"/>
      <c r="AR18" s="343"/>
      <c r="AS18" s="343"/>
      <c r="AT18" s="343"/>
      <c r="AU18" s="344"/>
      <c r="AX18" s="312"/>
    </row>
    <row r="19" spans="1:50" s="330" customFormat="1" ht="15" customHeight="1">
      <c r="A19" s="251"/>
      <c r="B19" s="332"/>
      <c r="D19" s="776" t="s">
        <v>2264</v>
      </c>
      <c r="E19" s="776"/>
      <c r="F19" s="784"/>
      <c r="G19" s="320"/>
      <c r="H19" s="315"/>
      <c r="I19" s="316" t="s">
        <v>498</v>
      </c>
      <c r="J19" s="143">
        <v>0.84061335836112039</v>
      </c>
      <c r="K19" s="141">
        <v>1.6325163584415576</v>
      </c>
      <c r="L19" s="141">
        <v>1.8114748974450983</v>
      </c>
      <c r="M19" s="141">
        <v>3.7208645433423122</v>
      </c>
      <c r="N19" s="141">
        <v>1.9912688434545371</v>
      </c>
      <c r="O19" s="141">
        <v>1.5502009799999994</v>
      </c>
      <c r="P19" s="141">
        <v>2.7401920602778924</v>
      </c>
      <c r="Q19" s="144">
        <v>0.673426767167567</v>
      </c>
      <c r="R19" s="143">
        <v>3.0441627146852031</v>
      </c>
      <c r="S19" s="141">
        <v>3.1453577887485933</v>
      </c>
      <c r="T19" s="141">
        <v>3.3189832210761887</v>
      </c>
      <c r="U19" s="141">
        <v>3.7118083477291632</v>
      </c>
      <c r="V19" s="144">
        <v>2.7661115443553879</v>
      </c>
      <c r="W19" s="143">
        <v>0</v>
      </c>
      <c r="X19" s="141">
        <v>0</v>
      </c>
      <c r="Y19" s="141">
        <v>0</v>
      </c>
      <c r="Z19" s="141">
        <v>0</v>
      </c>
      <c r="AA19" s="144">
        <v>0</v>
      </c>
      <c r="AB19" s="343"/>
      <c r="AC19" s="316" t="s">
        <v>2265</v>
      </c>
      <c r="AD19" s="143">
        <v>4.4999999999999998E-2</v>
      </c>
      <c r="AE19" s="141">
        <v>0.20600000000000002</v>
      </c>
      <c r="AF19" s="141">
        <v>0.17799999999999999</v>
      </c>
      <c r="AG19" s="141">
        <v>0.36499999999999999</v>
      </c>
      <c r="AH19" s="141">
        <v>0.22699999999999998</v>
      </c>
      <c r="AI19" s="141">
        <v>7.7649999999999997E-2</v>
      </c>
      <c r="AJ19" s="141">
        <v>0.249</v>
      </c>
      <c r="AK19" s="144">
        <v>1.7000000000000001E-2</v>
      </c>
      <c r="AL19" s="143">
        <v>0.22099999999999997</v>
      </c>
      <c r="AM19" s="141">
        <v>0.21299999999999999</v>
      </c>
      <c r="AN19" s="141">
        <v>0.22899999999999998</v>
      </c>
      <c r="AO19" s="141">
        <v>0.24099999999999999</v>
      </c>
      <c r="AP19" s="144">
        <v>0.185</v>
      </c>
      <c r="AQ19" s="143">
        <v>0</v>
      </c>
      <c r="AR19" s="141">
        <v>0</v>
      </c>
      <c r="AS19" s="141">
        <v>0</v>
      </c>
      <c r="AT19" s="141">
        <v>0</v>
      </c>
      <c r="AU19" s="144">
        <v>0</v>
      </c>
      <c r="AX19" s="312"/>
    </row>
    <row r="20" spans="1:50" s="330" customFormat="1" ht="15" customHeight="1">
      <c r="A20" s="251"/>
      <c r="B20" s="332"/>
      <c r="D20" s="776" t="s">
        <v>2266</v>
      </c>
      <c r="E20" s="776"/>
      <c r="F20" s="784"/>
      <c r="G20" s="320"/>
      <c r="H20" s="315"/>
      <c r="I20" s="316" t="s">
        <v>498</v>
      </c>
      <c r="J20" s="143">
        <v>0</v>
      </c>
      <c r="K20" s="141">
        <v>0</v>
      </c>
      <c r="L20" s="141">
        <v>0</v>
      </c>
      <c r="M20" s="141">
        <v>0</v>
      </c>
      <c r="N20" s="141">
        <v>0</v>
      </c>
      <c r="O20" s="141">
        <v>0</v>
      </c>
      <c r="P20" s="141">
        <v>0</v>
      </c>
      <c r="Q20" s="144">
        <v>0</v>
      </c>
      <c r="R20" s="143">
        <v>0</v>
      </c>
      <c r="S20" s="141">
        <v>0</v>
      </c>
      <c r="T20" s="141">
        <v>0</v>
      </c>
      <c r="U20" s="141">
        <v>0</v>
      </c>
      <c r="V20" s="144">
        <v>0</v>
      </c>
      <c r="W20" s="143">
        <v>0</v>
      </c>
      <c r="X20" s="141">
        <v>0</v>
      </c>
      <c r="Y20" s="141">
        <v>0</v>
      </c>
      <c r="Z20" s="141">
        <v>0</v>
      </c>
      <c r="AA20" s="144">
        <v>0</v>
      </c>
      <c r="AB20" s="343"/>
      <c r="AC20" s="316" t="s">
        <v>2265</v>
      </c>
      <c r="AD20" s="143">
        <v>0</v>
      </c>
      <c r="AE20" s="141">
        <v>0</v>
      </c>
      <c r="AF20" s="141">
        <v>0</v>
      </c>
      <c r="AG20" s="141">
        <v>0</v>
      </c>
      <c r="AH20" s="141">
        <v>0</v>
      </c>
      <c r="AI20" s="141">
        <v>0</v>
      </c>
      <c r="AJ20" s="141">
        <v>0</v>
      </c>
      <c r="AK20" s="144">
        <v>0</v>
      </c>
      <c r="AL20" s="143">
        <v>0</v>
      </c>
      <c r="AM20" s="141">
        <v>0</v>
      </c>
      <c r="AN20" s="141">
        <v>0</v>
      </c>
      <c r="AO20" s="141">
        <v>0</v>
      </c>
      <c r="AP20" s="144">
        <v>0</v>
      </c>
      <c r="AQ20" s="143">
        <v>0</v>
      </c>
      <c r="AR20" s="141">
        <v>0</v>
      </c>
      <c r="AS20" s="141">
        <v>0</v>
      </c>
      <c r="AT20" s="141">
        <v>0</v>
      </c>
      <c r="AU20" s="144">
        <v>0</v>
      </c>
      <c r="AX20" s="312"/>
    </row>
    <row r="21" spans="1:50" s="330" customFormat="1" ht="15" customHeight="1">
      <c r="A21" s="251"/>
      <c r="B21" s="332"/>
      <c r="D21" s="776" t="s">
        <v>2267</v>
      </c>
      <c r="E21" s="776"/>
      <c r="F21" s="784"/>
      <c r="G21" s="320"/>
      <c r="H21" s="315"/>
      <c r="I21" s="316" t="s">
        <v>498</v>
      </c>
      <c r="J21" s="143">
        <v>0</v>
      </c>
      <c r="K21" s="141">
        <v>0</v>
      </c>
      <c r="L21" s="141">
        <v>0</v>
      </c>
      <c r="M21" s="141">
        <v>0</v>
      </c>
      <c r="N21" s="141">
        <v>0</v>
      </c>
      <c r="O21" s="141">
        <v>0</v>
      </c>
      <c r="P21" s="141">
        <v>0</v>
      </c>
      <c r="Q21" s="144">
        <v>0</v>
      </c>
      <c r="R21" s="143">
        <v>0</v>
      </c>
      <c r="S21" s="141">
        <v>0</v>
      </c>
      <c r="T21" s="141">
        <v>0</v>
      </c>
      <c r="U21" s="141">
        <v>0</v>
      </c>
      <c r="V21" s="144">
        <v>0</v>
      </c>
      <c r="W21" s="143">
        <v>0</v>
      </c>
      <c r="X21" s="141">
        <v>0</v>
      </c>
      <c r="Y21" s="141">
        <v>0</v>
      </c>
      <c r="Z21" s="141">
        <v>0</v>
      </c>
      <c r="AA21" s="144">
        <v>0</v>
      </c>
      <c r="AB21" s="343"/>
      <c r="AC21" s="316" t="s">
        <v>2265</v>
      </c>
      <c r="AD21" s="143">
        <v>0</v>
      </c>
      <c r="AE21" s="141">
        <v>0</v>
      </c>
      <c r="AF21" s="141">
        <v>0</v>
      </c>
      <c r="AG21" s="141">
        <v>0</v>
      </c>
      <c r="AH21" s="141">
        <v>0</v>
      </c>
      <c r="AI21" s="141">
        <v>0</v>
      </c>
      <c r="AJ21" s="141">
        <v>0</v>
      </c>
      <c r="AK21" s="144">
        <v>0</v>
      </c>
      <c r="AL21" s="143">
        <v>0</v>
      </c>
      <c r="AM21" s="141">
        <v>0</v>
      </c>
      <c r="AN21" s="141">
        <v>0</v>
      </c>
      <c r="AO21" s="141">
        <v>0</v>
      </c>
      <c r="AP21" s="144">
        <v>0</v>
      </c>
      <c r="AQ21" s="143">
        <v>0</v>
      </c>
      <c r="AR21" s="141">
        <v>0</v>
      </c>
      <c r="AS21" s="141">
        <v>0</v>
      </c>
      <c r="AT21" s="141">
        <v>0</v>
      </c>
      <c r="AU21" s="144">
        <v>0</v>
      </c>
      <c r="AX21" s="312"/>
    </row>
    <row r="22" spans="1:50" s="330" customFormat="1" ht="15" customHeight="1">
      <c r="A22" s="251"/>
      <c r="B22" s="332"/>
      <c r="D22" s="776" t="s">
        <v>2268</v>
      </c>
      <c r="E22" s="776"/>
      <c r="F22" s="784"/>
      <c r="G22" s="320"/>
      <c r="H22" s="315"/>
      <c r="I22" s="316" t="s">
        <v>498</v>
      </c>
      <c r="J22" s="143">
        <v>0</v>
      </c>
      <c r="K22" s="141">
        <v>0</v>
      </c>
      <c r="L22" s="141">
        <v>0</v>
      </c>
      <c r="M22" s="141">
        <v>0</v>
      </c>
      <c r="N22" s="141">
        <v>0</v>
      </c>
      <c r="O22" s="141">
        <v>0</v>
      </c>
      <c r="P22" s="141">
        <v>0</v>
      </c>
      <c r="Q22" s="144">
        <v>0</v>
      </c>
      <c r="R22" s="143">
        <v>0</v>
      </c>
      <c r="S22" s="141">
        <v>0</v>
      </c>
      <c r="T22" s="141">
        <v>0</v>
      </c>
      <c r="U22" s="141">
        <v>0</v>
      </c>
      <c r="V22" s="144">
        <v>0</v>
      </c>
      <c r="W22" s="143">
        <v>0</v>
      </c>
      <c r="X22" s="141">
        <v>0</v>
      </c>
      <c r="Y22" s="141">
        <v>0</v>
      </c>
      <c r="Z22" s="141">
        <v>0</v>
      </c>
      <c r="AA22" s="144">
        <v>0</v>
      </c>
      <c r="AB22" s="343"/>
      <c r="AC22" s="316" t="s">
        <v>2265</v>
      </c>
      <c r="AD22" s="143">
        <v>0</v>
      </c>
      <c r="AE22" s="141">
        <v>0</v>
      </c>
      <c r="AF22" s="141">
        <v>0</v>
      </c>
      <c r="AG22" s="141">
        <v>0</v>
      </c>
      <c r="AH22" s="141">
        <v>0</v>
      </c>
      <c r="AI22" s="141">
        <v>0</v>
      </c>
      <c r="AJ22" s="141">
        <v>0</v>
      </c>
      <c r="AK22" s="144">
        <v>0</v>
      </c>
      <c r="AL22" s="143">
        <v>0</v>
      </c>
      <c r="AM22" s="141">
        <v>0</v>
      </c>
      <c r="AN22" s="141">
        <v>0</v>
      </c>
      <c r="AO22" s="141">
        <v>0</v>
      </c>
      <c r="AP22" s="144">
        <v>0</v>
      </c>
      <c r="AQ22" s="143">
        <v>0</v>
      </c>
      <c r="AR22" s="141">
        <v>0</v>
      </c>
      <c r="AS22" s="141">
        <v>0</v>
      </c>
      <c r="AT22" s="141">
        <v>0</v>
      </c>
      <c r="AU22" s="144">
        <v>0</v>
      </c>
      <c r="AX22" s="312"/>
    </row>
    <row r="23" spans="1:50" s="330" customFormat="1" ht="15" customHeight="1">
      <c r="A23" s="251"/>
      <c r="B23" s="332"/>
      <c r="D23" s="776" t="s">
        <v>85</v>
      </c>
      <c r="E23" s="776"/>
      <c r="F23" s="784"/>
      <c r="G23" s="293"/>
      <c r="H23" s="315"/>
      <c r="I23" s="316" t="s">
        <v>498</v>
      </c>
      <c r="J23" s="143">
        <v>0</v>
      </c>
      <c r="K23" s="141">
        <v>0</v>
      </c>
      <c r="L23" s="141">
        <v>0</v>
      </c>
      <c r="M23" s="141">
        <v>0</v>
      </c>
      <c r="N23" s="141">
        <v>0</v>
      </c>
      <c r="O23" s="141">
        <v>0</v>
      </c>
      <c r="P23" s="141">
        <v>0</v>
      </c>
      <c r="Q23" s="144">
        <v>0</v>
      </c>
      <c r="R23" s="143">
        <v>0</v>
      </c>
      <c r="S23" s="141">
        <v>0</v>
      </c>
      <c r="T23" s="141">
        <v>0</v>
      </c>
      <c r="U23" s="141">
        <v>0</v>
      </c>
      <c r="V23" s="144">
        <v>0</v>
      </c>
      <c r="W23" s="143">
        <v>0</v>
      </c>
      <c r="X23" s="141">
        <v>0</v>
      </c>
      <c r="Y23" s="141">
        <v>0</v>
      </c>
      <c r="Z23" s="141">
        <v>0</v>
      </c>
      <c r="AA23" s="144">
        <v>0</v>
      </c>
      <c r="AB23" s="343"/>
      <c r="AC23" s="328">
        <v>0</v>
      </c>
      <c r="AD23" s="143">
        <v>0</v>
      </c>
      <c r="AE23" s="141">
        <v>0</v>
      </c>
      <c r="AF23" s="141">
        <v>0</v>
      </c>
      <c r="AG23" s="141">
        <v>0</v>
      </c>
      <c r="AH23" s="141">
        <v>0</v>
      </c>
      <c r="AI23" s="141">
        <v>0</v>
      </c>
      <c r="AJ23" s="141">
        <v>0</v>
      </c>
      <c r="AK23" s="144">
        <v>0</v>
      </c>
      <c r="AL23" s="143">
        <v>0</v>
      </c>
      <c r="AM23" s="141">
        <v>0</v>
      </c>
      <c r="AN23" s="141">
        <v>0</v>
      </c>
      <c r="AO23" s="141">
        <v>0</v>
      </c>
      <c r="AP23" s="144">
        <v>0</v>
      </c>
      <c r="AQ23" s="143">
        <v>0</v>
      </c>
      <c r="AR23" s="141">
        <v>0</v>
      </c>
      <c r="AS23" s="141">
        <v>0</v>
      </c>
      <c r="AT23" s="141">
        <v>0</v>
      </c>
      <c r="AU23" s="144">
        <v>0</v>
      </c>
      <c r="AX23" s="312"/>
    </row>
    <row r="24" spans="1:50" s="330" customFormat="1" ht="15" customHeight="1">
      <c r="A24" s="251"/>
      <c r="B24" s="332"/>
      <c r="D24" s="776" t="s">
        <v>85</v>
      </c>
      <c r="E24" s="776"/>
      <c r="F24" s="784"/>
      <c r="G24" s="293"/>
      <c r="H24" s="315"/>
      <c r="I24" s="316" t="s">
        <v>498</v>
      </c>
      <c r="J24" s="143">
        <v>0</v>
      </c>
      <c r="K24" s="141">
        <v>0</v>
      </c>
      <c r="L24" s="141">
        <v>0</v>
      </c>
      <c r="M24" s="141">
        <v>0</v>
      </c>
      <c r="N24" s="141">
        <v>0</v>
      </c>
      <c r="O24" s="141">
        <v>0</v>
      </c>
      <c r="P24" s="141">
        <v>0</v>
      </c>
      <c r="Q24" s="144">
        <v>0</v>
      </c>
      <c r="R24" s="143">
        <v>0</v>
      </c>
      <c r="S24" s="141">
        <v>0</v>
      </c>
      <c r="T24" s="141">
        <v>0</v>
      </c>
      <c r="U24" s="141">
        <v>0</v>
      </c>
      <c r="V24" s="144">
        <v>0</v>
      </c>
      <c r="W24" s="143">
        <v>0</v>
      </c>
      <c r="X24" s="141">
        <v>0</v>
      </c>
      <c r="Y24" s="141">
        <v>0</v>
      </c>
      <c r="Z24" s="141">
        <v>0</v>
      </c>
      <c r="AA24" s="144">
        <v>0</v>
      </c>
      <c r="AB24" s="343"/>
      <c r="AC24" s="328">
        <v>0</v>
      </c>
      <c r="AD24" s="143">
        <v>0</v>
      </c>
      <c r="AE24" s="141">
        <v>0</v>
      </c>
      <c r="AF24" s="141">
        <v>0</v>
      </c>
      <c r="AG24" s="141">
        <v>0</v>
      </c>
      <c r="AH24" s="141">
        <v>0</v>
      </c>
      <c r="AI24" s="141">
        <v>0</v>
      </c>
      <c r="AJ24" s="141">
        <v>0</v>
      </c>
      <c r="AK24" s="144">
        <v>0</v>
      </c>
      <c r="AL24" s="143">
        <v>0</v>
      </c>
      <c r="AM24" s="141">
        <v>0</v>
      </c>
      <c r="AN24" s="141">
        <v>0</v>
      </c>
      <c r="AO24" s="141">
        <v>0</v>
      </c>
      <c r="AP24" s="144">
        <v>0</v>
      </c>
      <c r="AQ24" s="143">
        <v>0</v>
      </c>
      <c r="AR24" s="141">
        <v>0</v>
      </c>
      <c r="AS24" s="141">
        <v>0</v>
      </c>
      <c r="AT24" s="141">
        <v>0</v>
      </c>
      <c r="AU24" s="144">
        <v>0</v>
      </c>
      <c r="AX24" s="312"/>
    </row>
    <row r="25" spans="1:50" s="330" customFormat="1" ht="15" customHeight="1">
      <c r="A25" s="251"/>
      <c r="B25" s="332"/>
      <c r="D25" s="776" t="s">
        <v>85</v>
      </c>
      <c r="E25" s="776"/>
      <c r="F25" s="784"/>
      <c r="G25" s="293"/>
      <c r="H25" s="315"/>
      <c r="I25" s="316" t="s">
        <v>498</v>
      </c>
      <c r="J25" s="143">
        <v>0</v>
      </c>
      <c r="K25" s="141">
        <v>0</v>
      </c>
      <c r="L25" s="141">
        <v>0</v>
      </c>
      <c r="M25" s="141">
        <v>0</v>
      </c>
      <c r="N25" s="141">
        <v>0</v>
      </c>
      <c r="O25" s="141">
        <v>0</v>
      </c>
      <c r="P25" s="141">
        <v>0</v>
      </c>
      <c r="Q25" s="144">
        <v>0</v>
      </c>
      <c r="R25" s="143">
        <v>0</v>
      </c>
      <c r="S25" s="141">
        <v>0</v>
      </c>
      <c r="T25" s="141">
        <v>0</v>
      </c>
      <c r="U25" s="141">
        <v>0</v>
      </c>
      <c r="V25" s="144">
        <v>0</v>
      </c>
      <c r="W25" s="143">
        <v>0</v>
      </c>
      <c r="X25" s="141">
        <v>0</v>
      </c>
      <c r="Y25" s="141">
        <v>0</v>
      </c>
      <c r="Z25" s="141">
        <v>0</v>
      </c>
      <c r="AA25" s="144">
        <v>0</v>
      </c>
      <c r="AB25" s="343"/>
      <c r="AC25" s="328">
        <v>0</v>
      </c>
      <c r="AD25" s="143">
        <v>0</v>
      </c>
      <c r="AE25" s="141">
        <v>0</v>
      </c>
      <c r="AF25" s="141">
        <v>0</v>
      </c>
      <c r="AG25" s="141">
        <v>0</v>
      </c>
      <c r="AH25" s="141">
        <v>0</v>
      </c>
      <c r="AI25" s="141">
        <v>0</v>
      </c>
      <c r="AJ25" s="141">
        <v>0</v>
      </c>
      <c r="AK25" s="144">
        <v>0</v>
      </c>
      <c r="AL25" s="143">
        <v>0</v>
      </c>
      <c r="AM25" s="141">
        <v>0</v>
      </c>
      <c r="AN25" s="141">
        <v>0</v>
      </c>
      <c r="AO25" s="141">
        <v>0</v>
      </c>
      <c r="AP25" s="144">
        <v>0</v>
      </c>
      <c r="AQ25" s="143">
        <v>0</v>
      </c>
      <c r="AR25" s="141">
        <v>0</v>
      </c>
      <c r="AS25" s="141">
        <v>0</v>
      </c>
      <c r="AT25" s="141">
        <v>0</v>
      </c>
      <c r="AU25" s="144">
        <v>0</v>
      </c>
      <c r="AX25" s="312"/>
    </row>
    <row r="26" spans="1:50" s="330" customFormat="1" ht="15" customHeight="1">
      <c r="A26" s="251"/>
      <c r="B26" s="332"/>
      <c r="D26" s="776" t="s">
        <v>85</v>
      </c>
      <c r="E26" s="776"/>
      <c r="F26" s="784"/>
      <c r="G26" s="293"/>
      <c r="H26" s="315"/>
      <c r="I26" s="316" t="s">
        <v>498</v>
      </c>
      <c r="J26" s="143">
        <v>0</v>
      </c>
      <c r="K26" s="141">
        <v>0</v>
      </c>
      <c r="L26" s="141">
        <v>0</v>
      </c>
      <c r="M26" s="141">
        <v>0</v>
      </c>
      <c r="N26" s="141">
        <v>0</v>
      </c>
      <c r="O26" s="141">
        <v>0</v>
      </c>
      <c r="P26" s="141">
        <v>0</v>
      </c>
      <c r="Q26" s="144">
        <v>0</v>
      </c>
      <c r="R26" s="143">
        <v>0</v>
      </c>
      <c r="S26" s="141">
        <v>0</v>
      </c>
      <c r="T26" s="141">
        <v>0</v>
      </c>
      <c r="U26" s="141">
        <v>0</v>
      </c>
      <c r="V26" s="144">
        <v>0</v>
      </c>
      <c r="W26" s="143">
        <v>0</v>
      </c>
      <c r="X26" s="141">
        <v>0</v>
      </c>
      <c r="Y26" s="141">
        <v>0</v>
      </c>
      <c r="Z26" s="141">
        <v>0</v>
      </c>
      <c r="AA26" s="144">
        <v>0</v>
      </c>
      <c r="AB26" s="343"/>
      <c r="AC26" s="328">
        <v>0</v>
      </c>
      <c r="AD26" s="143">
        <v>0</v>
      </c>
      <c r="AE26" s="141">
        <v>0</v>
      </c>
      <c r="AF26" s="141">
        <v>0</v>
      </c>
      <c r="AG26" s="141">
        <v>0</v>
      </c>
      <c r="AH26" s="141">
        <v>0</v>
      </c>
      <c r="AI26" s="141">
        <v>0</v>
      </c>
      <c r="AJ26" s="141">
        <v>0</v>
      </c>
      <c r="AK26" s="144">
        <v>0</v>
      </c>
      <c r="AL26" s="143">
        <v>0</v>
      </c>
      <c r="AM26" s="141">
        <v>0</v>
      </c>
      <c r="AN26" s="141">
        <v>0</v>
      </c>
      <c r="AO26" s="141">
        <v>0</v>
      </c>
      <c r="AP26" s="144">
        <v>0</v>
      </c>
      <c r="AQ26" s="143">
        <v>0</v>
      </c>
      <c r="AR26" s="141">
        <v>0</v>
      </c>
      <c r="AS26" s="141">
        <v>0</v>
      </c>
      <c r="AT26" s="141">
        <v>0</v>
      </c>
      <c r="AU26" s="144">
        <v>0</v>
      </c>
      <c r="AX26" s="312"/>
    </row>
    <row r="27" spans="1:50" s="330" customFormat="1" ht="15" customHeight="1" thickBot="1">
      <c r="A27" s="251"/>
      <c r="B27" s="332"/>
      <c r="D27" s="776" t="s">
        <v>85</v>
      </c>
      <c r="E27" s="776"/>
      <c r="F27" s="784"/>
      <c r="G27" s="293"/>
      <c r="H27" s="315"/>
      <c r="I27" s="316" t="s">
        <v>498</v>
      </c>
      <c r="J27" s="143">
        <v>0</v>
      </c>
      <c r="K27" s="141">
        <v>0</v>
      </c>
      <c r="L27" s="141">
        <v>0</v>
      </c>
      <c r="M27" s="141">
        <v>0</v>
      </c>
      <c r="N27" s="141">
        <v>0</v>
      </c>
      <c r="O27" s="141">
        <v>0</v>
      </c>
      <c r="P27" s="141">
        <v>0</v>
      </c>
      <c r="Q27" s="144">
        <v>0</v>
      </c>
      <c r="R27" s="143">
        <v>0</v>
      </c>
      <c r="S27" s="141">
        <v>0</v>
      </c>
      <c r="T27" s="141">
        <v>0</v>
      </c>
      <c r="U27" s="141">
        <v>0</v>
      </c>
      <c r="V27" s="144">
        <v>0</v>
      </c>
      <c r="W27" s="143">
        <v>0</v>
      </c>
      <c r="X27" s="141">
        <v>0</v>
      </c>
      <c r="Y27" s="141">
        <v>0</v>
      </c>
      <c r="Z27" s="141">
        <v>0</v>
      </c>
      <c r="AA27" s="144">
        <v>0</v>
      </c>
      <c r="AB27" s="343"/>
      <c r="AC27" s="328">
        <v>0</v>
      </c>
      <c r="AD27" s="799">
        <v>0</v>
      </c>
      <c r="AE27" s="235">
        <v>0</v>
      </c>
      <c r="AF27" s="235">
        <v>0</v>
      </c>
      <c r="AG27" s="235">
        <v>0</v>
      </c>
      <c r="AH27" s="235">
        <v>0</v>
      </c>
      <c r="AI27" s="235">
        <v>0</v>
      </c>
      <c r="AJ27" s="235">
        <v>0</v>
      </c>
      <c r="AK27" s="800">
        <v>0</v>
      </c>
      <c r="AL27" s="799">
        <v>0</v>
      </c>
      <c r="AM27" s="235">
        <v>0</v>
      </c>
      <c r="AN27" s="235">
        <v>0</v>
      </c>
      <c r="AO27" s="235">
        <v>0</v>
      </c>
      <c r="AP27" s="800">
        <v>0</v>
      </c>
      <c r="AQ27" s="799">
        <v>0</v>
      </c>
      <c r="AR27" s="235">
        <v>0</v>
      </c>
      <c r="AS27" s="235">
        <v>0</v>
      </c>
      <c r="AT27" s="235">
        <v>0</v>
      </c>
      <c r="AU27" s="800">
        <v>0</v>
      </c>
      <c r="AX27" s="312"/>
    </row>
    <row r="28" spans="1:50" s="330" customFormat="1" ht="15" customHeight="1" thickBot="1">
      <c r="A28" s="251"/>
      <c r="B28" s="794" t="s">
        <v>1701</v>
      </c>
      <c r="C28" s="798"/>
      <c r="D28" s="785"/>
      <c r="E28" s="785"/>
      <c r="F28" s="785"/>
      <c r="G28" s="325"/>
      <c r="H28" s="327"/>
      <c r="I28" s="326" t="s">
        <v>498</v>
      </c>
      <c r="J28" s="177">
        <f t="shared" ref="J28:Y28" si="2">SUM(J19:J27)</f>
        <v>0.84061335836112039</v>
      </c>
      <c r="K28" s="178">
        <f t="shared" si="2"/>
        <v>1.6325163584415576</v>
      </c>
      <c r="L28" s="178">
        <f t="shared" si="2"/>
        <v>1.8114748974450983</v>
      </c>
      <c r="M28" s="178">
        <f t="shared" si="2"/>
        <v>3.7208645433423122</v>
      </c>
      <c r="N28" s="178">
        <f t="shared" si="2"/>
        <v>1.9912688434545371</v>
      </c>
      <c r="O28" s="178">
        <f t="shared" si="2"/>
        <v>1.5502009799999994</v>
      </c>
      <c r="P28" s="178">
        <f t="shared" si="2"/>
        <v>2.7401920602778924</v>
      </c>
      <c r="Q28" s="179">
        <f t="shared" si="2"/>
        <v>0.673426767167567</v>
      </c>
      <c r="R28" s="177">
        <f t="shared" si="2"/>
        <v>3.0441627146852031</v>
      </c>
      <c r="S28" s="178">
        <f t="shared" si="2"/>
        <v>3.1453577887485933</v>
      </c>
      <c r="T28" s="178">
        <f t="shared" si="2"/>
        <v>3.3189832210761887</v>
      </c>
      <c r="U28" s="178">
        <f t="shared" si="2"/>
        <v>3.7118083477291632</v>
      </c>
      <c r="V28" s="179">
        <f t="shared" si="2"/>
        <v>2.7661115443553879</v>
      </c>
      <c r="W28" s="177">
        <f t="shared" si="2"/>
        <v>0</v>
      </c>
      <c r="X28" s="178">
        <f t="shared" si="2"/>
        <v>0</v>
      </c>
      <c r="Y28" s="178">
        <f t="shared" si="2"/>
        <v>0</v>
      </c>
      <c r="Z28" s="178">
        <f>SUM(Z19:Z27)</f>
        <v>0</v>
      </c>
      <c r="AA28" s="179">
        <f>SUM(AA19:AA27)</f>
        <v>0</v>
      </c>
      <c r="AB28" s="346"/>
      <c r="AC28" s="346"/>
      <c r="AD28" s="346"/>
      <c r="AE28" s="346"/>
      <c r="AF28" s="346"/>
      <c r="AG28" s="346"/>
      <c r="AH28" s="346"/>
      <c r="AI28" s="346"/>
      <c r="AJ28" s="346"/>
      <c r="AK28" s="346"/>
      <c r="AL28" s="346"/>
      <c r="AM28" s="346"/>
      <c r="AN28" s="346"/>
      <c r="AO28" s="346"/>
      <c r="AP28" s="346"/>
      <c r="AQ28" s="346"/>
      <c r="AR28" s="346"/>
      <c r="AS28" s="346"/>
      <c r="AT28" s="346"/>
      <c r="AU28" s="348"/>
      <c r="AX28" s="312"/>
    </row>
    <row r="29" spans="1:50" ht="15" customHeight="1" thickBot="1">
      <c r="A29" s="338"/>
      <c r="B29" s="339"/>
      <c r="C29" s="339"/>
      <c r="D29" s="339"/>
      <c r="E29" s="339"/>
      <c r="F29" s="339"/>
      <c r="G29" s="339"/>
      <c r="H29" s="339"/>
      <c r="I29" s="340"/>
      <c r="J29" s="339"/>
      <c r="K29" s="339"/>
      <c r="L29" s="339"/>
      <c r="M29" s="339"/>
      <c r="N29" s="339"/>
      <c r="O29" s="339"/>
      <c r="P29" s="339"/>
      <c r="Q29" s="339"/>
      <c r="R29" s="339"/>
      <c r="S29" s="339"/>
      <c r="T29" s="339"/>
      <c r="U29" s="339"/>
      <c r="V29" s="339"/>
      <c r="W29" s="339"/>
      <c r="X29" s="339"/>
      <c r="Y29" s="339"/>
      <c r="Z29" s="339"/>
      <c r="AA29" s="339"/>
      <c r="AC29" s="340"/>
      <c r="AD29" s="339"/>
      <c r="AE29" s="339"/>
      <c r="AF29" s="339"/>
      <c r="AG29" s="339"/>
      <c r="AH29" s="339"/>
      <c r="AI29" s="339"/>
      <c r="AJ29" s="339"/>
      <c r="AK29" s="339"/>
      <c r="AL29" s="339"/>
      <c r="AM29" s="339"/>
      <c r="AN29" s="339"/>
      <c r="AX29" s="338"/>
    </row>
    <row r="30" spans="1:50" s="330" customFormat="1" ht="30" customHeight="1" thickBot="1">
      <c r="A30" s="251"/>
      <c r="B30" s="313" t="s">
        <v>2269</v>
      </c>
      <c r="C30" s="782"/>
      <c r="D30" s="782"/>
      <c r="E30" s="782"/>
      <c r="F30" s="782"/>
      <c r="G30" s="314"/>
      <c r="H30" s="314"/>
      <c r="I30" s="789" t="s">
        <v>1704</v>
      </c>
      <c r="J30" s="790"/>
      <c r="K30" s="790"/>
      <c r="L30" s="790"/>
      <c r="M30" s="790"/>
      <c r="N30" s="790"/>
      <c r="O30" s="790"/>
      <c r="P30" s="790"/>
      <c r="Q30" s="790"/>
      <c r="R30" s="790"/>
      <c r="S30" s="790"/>
      <c r="T30" s="790"/>
      <c r="U30" s="790"/>
      <c r="V30" s="790"/>
      <c r="W30" s="790"/>
      <c r="X30" s="790"/>
      <c r="Y30" s="790"/>
      <c r="Z30" s="790"/>
      <c r="AA30" s="791"/>
      <c r="AB30" s="342"/>
      <c r="AC30" s="789" t="s">
        <v>2231</v>
      </c>
      <c r="AD30" s="790"/>
      <c r="AE30" s="790"/>
      <c r="AF30" s="790"/>
      <c r="AG30" s="790"/>
      <c r="AH30" s="790"/>
      <c r="AI30" s="790"/>
      <c r="AJ30" s="790"/>
      <c r="AK30" s="790"/>
      <c r="AL30" s="790"/>
      <c r="AM30" s="790"/>
      <c r="AN30" s="790"/>
      <c r="AO30" s="790"/>
      <c r="AP30" s="790"/>
      <c r="AQ30" s="790"/>
      <c r="AR30" s="790"/>
      <c r="AS30" s="790"/>
      <c r="AT30" s="790"/>
      <c r="AU30" s="791"/>
      <c r="AX30" s="312"/>
    </row>
    <row r="31" spans="1:50" s="330" customFormat="1" ht="30" customHeight="1">
      <c r="A31" s="251"/>
      <c r="B31" s="332"/>
      <c r="C31" s="320"/>
      <c r="D31" s="320"/>
      <c r="E31" s="320"/>
      <c r="F31" s="320"/>
      <c r="G31" s="315"/>
      <c r="H31" s="315"/>
      <c r="I31" s="316"/>
      <c r="J31" s="266" t="s">
        <v>1666</v>
      </c>
      <c r="K31" s="267"/>
      <c r="L31" s="267"/>
      <c r="M31" s="267"/>
      <c r="N31" s="267"/>
      <c r="O31" s="267"/>
      <c r="P31" s="267"/>
      <c r="Q31" s="268"/>
      <c r="R31" s="269" t="s">
        <v>2</v>
      </c>
      <c r="S31" s="270"/>
      <c r="T31" s="270"/>
      <c r="U31" s="270"/>
      <c r="V31" s="271"/>
      <c r="W31" s="266" t="s">
        <v>2259</v>
      </c>
      <c r="X31" s="267"/>
      <c r="Y31" s="267"/>
      <c r="Z31" s="267"/>
      <c r="AA31" s="268"/>
      <c r="AB31" s="343"/>
      <c r="AC31" s="316"/>
      <c r="AD31" s="266" t="s">
        <v>1666</v>
      </c>
      <c r="AE31" s="267"/>
      <c r="AF31" s="267"/>
      <c r="AG31" s="267"/>
      <c r="AH31" s="267"/>
      <c r="AI31" s="267"/>
      <c r="AJ31" s="267"/>
      <c r="AK31" s="268"/>
      <c r="AL31" s="269" t="s">
        <v>2</v>
      </c>
      <c r="AM31" s="270"/>
      <c r="AN31" s="270"/>
      <c r="AO31" s="270"/>
      <c r="AP31" s="271"/>
      <c r="AQ31" s="266" t="s">
        <v>2259</v>
      </c>
      <c r="AR31" s="267"/>
      <c r="AS31" s="267"/>
      <c r="AT31" s="267"/>
      <c r="AU31" s="268"/>
      <c r="AX31" s="312"/>
    </row>
    <row r="32" spans="1:50" s="330" customFormat="1" ht="15" customHeight="1">
      <c r="A32" s="251"/>
      <c r="B32" s="332"/>
      <c r="C32" s="783"/>
      <c r="D32" s="783"/>
      <c r="E32" s="783"/>
      <c r="F32" s="783"/>
      <c r="G32" s="315"/>
      <c r="H32" s="315"/>
      <c r="I32" s="318" t="s">
        <v>1667</v>
      </c>
      <c r="J32" s="273" t="s">
        <v>453</v>
      </c>
      <c r="K32" s="274" t="s">
        <v>455</v>
      </c>
      <c r="L32" s="274" t="s">
        <v>457</v>
      </c>
      <c r="M32" s="274" t="s">
        <v>459</v>
      </c>
      <c r="N32" s="274" t="s">
        <v>461</v>
      </c>
      <c r="O32" s="274" t="s">
        <v>463</v>
      </c>
      <c r="P32" s="274" t="s">
        <v>465</v>
      </c>
      <c r="Q32" s="275" t="s">
        <v>467</v>
      </c>
      <c r="R32" s="273" t="s">
        <v>469</v>
      </c>
      <c r="S32" s="274" t="s">
        <v>471</v>
      </c>
      <c r="T32" s="274" t="s">
        <v>473</v>
      </c>
      <c r="U32" s="274" t="s">
        <v>475</v>
      </c>
      <c r="V32" s="275" t="s">
        <v>477</v>
      </c>
      <c r="W32" s="321" t="s">
        <v>2170</v>
      </c>
      <c r="X32" s="322" t="s">
        <v>2171</v>
      </c>
      <c r="Y32" s="322" t="s">
        <v>2172</v>
      </c>
      <c r="Z32" s="322" t="s">
        <v>2173</v>
      </c>
      <c r="AA32" s="792" t="s">
        <v>2174</v>
      </c>
      <c r="AB32" s="343"/>
      <c r="AC32" s="318" t="s">
        <v>1667</v>
      </c>
      <c r="AD32" s="273" t="s">
        <v>453</v>
      </c>
      <c r="AE32" s="274" t="s">
        <v>455</v>
      </c>
      <c r="AF32" s="274" t="s">
        <v>457</v>
      </c>
      <c r="AG32" s="274" t="s">
        <v>459</v>
      </c>
      <c r="AH32" s="274" t="s">
        <v>461</v>
      </c>
      <c r="AI32" s="274" t="s">
        <v>463</v>
      </c>
      <c r="AJ32" s="274" t="s">
        <v>465</v>
      </c>
      <c r="AK32" s="275" t="s">
        <v>467</v>
      </c>
      <c r="AL32" s="273" t="s">
        <v>469</v>
      </c>
      <c r="AM32" s="274" t="s">
        <v>471</v>
      </c>
      <c r="AN32" s="274" t="s">
        <v>473</v>
      </c>
      <c r="AO32" s="274" t="s">
        <v>475</v>
      </c>
      <c r="AP32" s="275" t="s">
        <v>477</v>
      </c>
      <c r="AQ32" s="321" t="s">
        <v>2170</v>
      </c>
      <c r="AR32" s="322" t="s">
        <v>2171</v>
      </c>
      <c r="AS32" s="322" t="s">
        <v>2172</v>
      </c>
      <c r="AT32" s="322" t="s">
        <v>2173</v>
      </c>
      <c r="AU32" s="792" t="s">
        <v>2174</v>
      </c>
      <c r="AX32" s="312"/>
    </row>
    <row r="33" spans="1:50" s="330" customFormat="1" ht="15" customHeight="1">
      <c r="A33" s="251"/>
      <c r="B33" s="332"/>
      <c r="C33" s="775" t="s">
        <v>2270</v>
      </c>
      <c r="D33" s="780"/>
      <c r="E33" s="780"/>
      <c r="F33" s="780"/>
      <c r="G33" s="315"/>
      <c r="H33" s="315"/>
      <c r="I33" s="337"/>
      <c r="J33" s="332"/>
      <c r="K33" s="320"/>
      <c r="L33" s="320"/>
      <c r="M33" s="320"/>
      <c r="N33" s="320"/>
      <c r="O33" s="320"/>
      <c r="P33" s="320"/>
      <c r="Q33" s="336"/>
      <c r="R33" s="332"/>
      <c r="S33" s="320"/>
      <c r="T33" s="320"/>
      <c r="U33" s="320"/>
      <c r="V33" s="336"/>
      <c r="W33" s="332"/>
      <c r="X33" s="320"/>
      <c r="Y33" s="320"/>
      <c r="Z33" s="320"/>
      <c r="AA33" s="336"/>
      <c r="AB33" s="343"/>
      <c r="AC33" s="324"/>
      <c r="AD33" s="332"/>
      <c r="AE33" s="320"/>
      <c r="AF33" s="320"/>
      <c r="AG33" s="320"/>
      <c r="AH33" s="320"/>
      <c r="AI33" s="320"/>
      <c r="AJ33" s="320"/>
      <c r="AK33" s="320"/>
      <c r="AL33" s="332"/>
      <c r="AM33" s="336"/>
      <c r="AN33" s="320"/>
      <c r="AO33" s="343"/>
      <c r="AP33" s="344"/>
      <c r="AQ33" s="793"/>
      <c r="AR33" s="343"/>
      <c r="AS33" s="343"/>
      <c r="AT33" s="343"/>
      <c r="AU33" s="344"/>
      <c r="AX33" s="312"/>
    </row>
    <row r="34" spans="1:50" s="330" customFormat="1" ht="15" customHeight="1">
      <c r="A34" s="251"/>
      <c r="B34" s="332"/>
      <c r="D34" s="776" t="s">
        <v>2271</v>
      </c>
      <c r="E34" s="776"/>
      <c r="F34" s="784"/>
      <c r="G34" s="320"/>
      <c r="H34" s="315"/>
      <c r="I34" s="316" t="s">
        <v>498</v>
      </c>
      <c r="J34" s="143">
        <v>0</v>
      </c>
      <c r="K34" s="141">
        <v>0</v>
      </c>
      <c r="L34" s="141">
        <v>0</v>
      </c>
      <c r="M34" s="141">
        <v>0</v>
      </c>
      <c r="N34" s="141">
        <v>0</v>
      </c>
      <c r="O34" s="141">
        <v>0</v>
      </c>
      <c r="P34" s="141">
        <v>0</v>
      </c>
      <c r="Q34" s="144">
        <v>0</v>
      </c>
      <c r="R34" s="143">
        <v>0</v>
      </c>
      <c r="S34" s="141">
        <v>0</v>
      </c>
      <c r="T34" s="141">
        <v>0</v>
      </c>
      <c r="U34" s="141">
        <v>0</v>
      </c>
      <c r="V34" s="144">
        <v>0</v>
      </c>
      <c r="W34" s="143">
        <v>0</v>
      </c>
      <c r="X34" s="141">
        <v>0</v>
      </c>
      <c r="Y34" s="141">
        <v>0</v>
      </c>
      <c r="Z34" s="141">
        <v>0</v>
      </c>
      <c r="AA34" s="144">
        <v>0</v>
      </c>
      <c r="AB34" s="343"/>
      <c r="AC34" s="328">
        <v>0</v>
      </c>
      <c r="AD34" s="143">
        <v>0</v>
      </c>
      <c r="AE34" s="141">
        <v>0</v>
      </c>
      <c r="AF34" s="141">
        <v>0</v>
      </c>
      <c r="AG34" s="141">
        <v>0</v>
      </c>
      <c r="AH34" s="141">
        <v>0</v>
      </c>
      <c r="AI34" s="141">
        <v>0</v>
      </c>
      <c r="AJ34" s="141">
        <v>0</v>
      </c>
      <c r="AK34" s="144">
        <v>0</v>
      </c>
      <c r="AL34" s="143">
        <v>0</v>
      </c>
      <c r="AM34" s="141">
        <v>0</v>
      </c>
      <c r="AN34" s="141">
        <v>0</v>
      </c>
      <c r="AO34" s="141">
        <v>0</v>
      </c>
      <c r="AP34" s="144">
        <v>0</v>
      </c>
      <c r="AQ34" s="143">
        <v>0</v>
      </c>
      <c r="AR34" s="141">
        <v>0</v>
      </c>
      <c r="AS34" s="141">
        <v>0</v>
      </c>
      <c r="AT34" s="141">
        <v>0</v>
      </c>
      <c r="AU34" s="144">
        <v>0</v>
      </c>
      <c r="AX34" s="312"/>
    </row>
    <row r="35" spans="1:50" s="330" customFormat="1" ht="15" customHeight="1">
      <c r="A35" s="251"/>
      <c r="B35" s="332"/>
      <c r="D35" s="776" t="s">
        <v>85</v>
      </c>
      <c r="E35" s="776"/>
      <c r="F35" s="784"/>
      <c r="G35" s="293"/>
      <c r="H35" s="315"/>
      <c r="I35" s="316" t="s">
        <v>498</v>
      </c>
      <c r="J35" s="143">
        <v>0</v>
      </c>
      <c r="K35" s="141">
        <v>0</v>
      </c>
      <c r="L35" s="141">
        <v>0</v>
      </c>
      <c r="M35" s="141">
        <v>0</v>
      </c>
      <c r="N35" s="141">
        <v>0</v>
      </c>
      <c r="O35" s="141">
        <v>0</v>
      </c>
      <c r="P35" s="141">
        <v>0</v>
      </c>
      <c r="Q35" s="144">
        <v>0</v>
      </c>
      <c r="R35" s="143">
        <v>0</v>
      </c>
      <c r="S35" s="141">
        <v>0</v>
      </c>
      <c r="T35" s="141">
        <v>0</v>
      </c>
      <c r="U35" s="141">
        <v>0</v>
      </c>
      <c r="V35" s="144">
        <v>0</v>
      </c>
      <c r="W35" s="143">
        <v>0</v>
      </c>
      <c r="X35" s="141">
        <v>0</v>
      </c>
      <c r="Y35" s="141">
        <v>0</v>
      </c>
      <c r="Z35" s="141">
        <v>0</v>
      </c>
      <c r="AA35" s="144">
        <v>0</v>
      </c>
      <c r="AB35" s="343"/>
      <c r="AC35" s="328">
        <v>0</v>
      </c>
      <c r="AD35" s="143">
        <v>0</v>
      </c>
      <c r="AE35" s="141">
        <v>0</v>
      </c>
      <c r="AF35" s="141">
        <v>0</v>
      </c>
      <c r="AG35" s="141">
        <v>0</v>
      </c>
      <c r="AH35" s="141">
        <v>0</v>
      </c>
      <c r="AI35" s="141">
        <v>0</v>
      </c>
      <c r="AJ35" s="141">
        <v>0</v>
      </c>
      <c r="AK35" s="144">
        <v>0</v>
      </c>
      <c r="AL35" s="143">
        <v>0</v>
      </c>
      <c r="AM35" s="141">
        <v>0</v>
      </c>
      <c r="AN35" s="141">
        <v>0</v>
      </c>
      <c r="AO35" s="141">
        <v>0</v>
      </c>
      <c r="AP35" s="144">
        <v>0</v>
      </c>
      <c r="AQ35" s="143">
        <v>0</v>
      </c>
      <c r="AR35" s="141">
        <v>0</v>
      </c>
      <c r="AS35" s="141">
        <v>0</v>
      </c>
      <c r="AT35" s="141">
        <v>0</v>
      </c>
      <c r="AU35" s="144">
        <v>0</v>
      </c>
      <c r="AX35" s="312"/>
    </row>
    <row r="36" spans="1:50" s="330" customFormat="1" ht="15" customHeight="1">
      <c r="A36" s="251"/>
      <c r="B36" s="332"/>
      <c r="D36" s="776" t="s">
        <v>85</v>
      </c>
      <c r="E36" s="776"/>
      <c r="F36" s="784"/>
      <c r="G36" s="293"/>
      <c r="H36" s="315"/>
      <c r="I36" s="316" t="s">
        <v>498</v>
      </c>
      <c r="J36" s="143">
        <v>0</v>
      </c>
      <c r="K36" s="141">
        <v>0</v>
      </c>
      <c r="L36" s="141">
        <v>0</v>
      </c>
      <c r="M36" s="141">
        <v>0</v>
      </c>
      <c r="N36" s="141">
        <v>0</v>
      </c>
      <c r="O36" s="141">
        <v>0</v>
      </c>
      <c r="P36" s="141">
        <v>0</v>
      </c>
      <c r="Q36" s="144">
        <v>0</v>
      </c>
      <c r="R36" s="143">
        <v>0</v>
      </c>
      <c r="S36" s="141">
        <v>0</v>
      </c>
      <c r="T36" s="141">
        <v>0</v>
      </c>
      <c r="U36" s="141">
        <v>0</v>
      </c>
      <c r="V36" s="144">
        <v>0</v>
      </c>
      <c r="W36" s="143">
        <v>0</v>
      </c>
      <c r="X36" s="141">
        <v>0</v>
      </c>
      <c r="Y36" s="141">
        <v>0</v>
      </c>
      <c r="Z36" s="141">
        <v>0</v>
      </c>
      <c r="AA36" s="144">
        <v>0</v>
      </c>
      <c r="AB36" s="343"/>
      <c r="AC36" s="328">
        <v>0</v>
      </c>
      <c r="AD36" s="143">
        <v>0</v>
      </c>
      <c r="AE36" s="141">
        <v>0</v>
      </c>
      <c r="AF36" s="141">
        <v>0</v>
      </c>
      <c r="AG36" s="141">
        <v>0</v>
      </c>
      <c r="AH36" s="141">
        <v>0</v>
      </c>
      <c r="AI36" s="141">
        <v>0</v>
      </c>
      <c r="AJ36" s="141">
        <v>0</v>
      </c>
      <c r="AK36" s="144">
        <v>0</v>
      </c>
      <c r="AL36" s="143">
        <v>0</v>
      </c>
      <c r="AM36" s="141">
        <v>0</v>
      </c>
      <c r="AN36" s="141">
        <v>0</v>
      </c>
      <c r="AO36" s="141">
        <v>0</v>
      </c>
      <c r="AP36" s="144">
        <v>0</v>
      </c>
      <c r="AQ36" s="143">
        <v>0</v>
      </c>
      <c r="AR36" s="141">
        <v>0</v>
      </c>
      <c r="AS36" s="141">
        <v>0</v>
      </c>
      <c r="AT36" s="141">
        <v>0</v>
      </c>
      <c r="AU36" s="144">
        <v>0</v>
      </c>
      <c r="AX36" s="312"/>
    </row>
    <row r="37" spans="1:50" s="330" customFormat="1" ht="15" customHeight="1">
      <c r="A37" s="251"/>
      <c r="B37" s="332"/>
      <c r="D37" s="776" t="s">
        <v>85</v>
      </c>
      <c r="E37" s="776"/>
      <c r="F37" s="784"/>
      <c r="G37" s="293"/>
      <c r="H37" s="315"/>
      <c r="I37" s="316" t="s">
        <v>498</v>
      </c>
      <c r="J37" s="143">
        <v>0</v>
      </c>
      <c r="K37" s="141">
        <v>0</v>
      </c>
      <c r="L37" s="141">
        <v>0</v>
      </c>
      <c r="M37" s="141">
        <v>0</v>
      </c>
      <c r="N37" s="141">
        <v>0</v>
      </c>
      <c r="O37" s="141">
        <v>0</v>
      </c>
      <c r="P37" s="141">
        <v>0</v>
      </c>
      <c r="Q37" s="144">
        <v>0</v>
      </c>
      <c r="R37" s="143">
        <v>0</v>
      </c>
      <c r="S37" s="141">
        <v>0</v>
      </c>
      <c r="T37" s="141">
        <v>0</v>
      </c>
      <c r="U37" s="141">
        <v>0</v>
      </c>
      <c r="V37" s="144">
        <v>0</v>
      </c>
      <c r="W37" s="143">
        <v>0</v>
      </c>
      <c r="X37" s="141">
        <v>0</v>
      </c>
      <c r="Y37" s="141">
        <v>0</v>
      </c>
      <c r="Z37" s="141">
        <v>0</v>
      </c>
      <c r="AA37" s="144">
        <v>0</v>
      </c>
      <c r="AB37" s="343"/>
      <c r="AC37" s="328">
        <v>0</v>
      </c>
      <c r="AD37" s="143">
        <v>0</v>
      </c>
      <c r="AE37" s="141">
        <v>0</v>
      </c>
      <c r="AF37" s="141">
        <v>0</v>
      </c>
      <c r="AG37" s="141">
        <v>0</v>
      </c>
      <c r="AH37" s="141">
        <v>0</v>
      </c>
      <c r="AI37" s="141">
        <v>0</v>
      </c>
      <c r="AJ37" s="141">
        <v>0</v>
      </c>
      <c r="AK37" s="144">
        <v>0</v>
      </c>
      <c r="AL37" s="143">
        <v>0</v>
      </c>
      <c r="AM37" s="141">
        <v>0</v>
      </c>
      <c r="AN37" s="141">
        <v>0</v>
      </c>
      <c r="AO37" s="141">
        <v>0</v>
      </c>
      <c r="AP37" s="144">
        <v>0</v>
      </c>
      <c r="AQ37" s="143">
        <v>0</v>
      </c>
      <c r="AR37" s="141">
        <v>0</v>
      </c>
      <c r="AS37" s="141">
        <v>0</v>
      </c>
      <c r="AT37" s="141">
        <v>0</v>
      </c>
      <c r="AU37" s="144">
        <v>0</v>
      </c>
      <c r="AX37" s="312"/>
    </row>
    <row r="38" spans="1:50" s="330" customFormat="1" ht="15" customHeight="1">
      <c r="A38" s="251"/>
      <c r="B38" s="332"/>
      <c r="D38" s="776" t="s">
        <v>85</v>
      </c>
      <c r="E38" s="776"/>
      <c r="F38" s="784"/>
      <c r="G38" s="293"/>
      <c r="H38" s="315"/>
      <c r="I38" s="316" t="s">
        <v>498</v>
      </c>
      <c r="J38" s="143">
        <v>0</v>
      </c>
      <c r="K38" s="141">
        <v>0</v>
      </c>
      <c r="L38" s="141">
        <v>0</v>
      </c>
      <c r="M38" s="141">
        <v>0</v>
      </c>
      <c r="N38" s="141">
        <v>0</v>
      </c>
      <c r="O38" s="141">
        <v>0</v>
      </c>
      <c r="P38" s="141">
        <v>0</v>
      </c>
      <c r="Q38" s="144">
        <v>0</v>
      </c>
      <c r="R38" s="143">
        <v>0</v>
      </c>
      <c r="S38" s="141">
        <v>0</v>
      </c>
      <c r="T38" s="141">
        <v>0</v>
      </c>
      <c r="U38" s="141">
        <v>0</v>
      </c>
      <c r="V38" s="144">
        <v>0</v>
      </c>
      <c r="W38" s="143">
        <v>0</v>
      </c>
      <c r="X38" s="141">
        <v>0</v>
      </c>
      <c r="Y38" s="141">
        <v>0</v>
      </c>
      <c r="Z38" s="141">
        <v>0</v>
      </c>
      <c r="AA38" s="144">
        <v>0</v>
      </c>
      <c r="AB38" s="343"/>
      <c r="AC38" s="328">
        <v>0</v>
      </c>
      <c r="AD38" s="143">
        <v>0</v>
      </c>
      <c r="AE38" s="141">
        <v>0</v>
      </c>
      <c r="AF38" s="141">
        <v>0</v>
      </c>
      <c r="AG38" s="141">
        <v>0</v>
      </c>
      <c r="AH38" s="141">
        <v>0</v>
      </c>
      <c r="AI38" s="141">
        <v>0</v>
      </c>
      <c r="AJ38" s="141">
        <v>0</v>
      </c>
      <c r="AK38" s="144">
        <v>0</v>
      </c>
      <c r="AL38" s="143">
        <v>0</v>
      </c>
      <c r="AM38" s="141">
        <v>0</v>
      </c>
      <c r="AN38" s="141">
        <v>0</v>
      </c>
      <c r="AO38" s="141">
        <v>0</v>
      </c>
      <c r="AP38" s="144">
        <v>0</v>
      </c>
      <c r="AQ38" s="143">
        <v>0</v>
      </c>
      <c r="AR38" s="141">
        <v>0</v>
      </c>
      <c r="AS38" s="141">
        <v>0</v>
      </c>
      <c r="AT38" s="141">
        <v>0</v>
      </c>
      <c r="AU38" s="144">
        <v>0</v>
      </c>
      <c r="AX38" s="312"/>
    </row>
    <row r="39" spans="1:50" s="330" customFormat="1" ht="15" customHeight="1" thickBot="1">
      <c r="A39" s="251"/>
      <c r="B39" s="332"/>
      <c r="D39" s="776" t="s">
        <v>85</v>
      </c>
      <c r="E39" s="776"/>
      <c r="F39" s="784"/>
      <c r="G39" s="293"/>
      <c r="H39" s="315"/>
      <c r="I39" s="316" t="s">
        <v>498</v>
      </c>
      <c r="J39" s="143">
        <v>0</v>
      </c>
      <c r="K39" s="141">
        <v>0</v>
      </c>
      <c r="L39" s="141">
        <v>0</v>
      </c>
      <c r="M39" s="141">
        <v>0</v>
      </c>
      <c r="N39" s="141">
        <v>0</v>
      </c>
      <c r="O39" s="141">
        <v>0</v>
      </c>
      <c r="P39" s="141">
        <v>0</v>
      </c>
      <c r="Q39" s="144">
        <v>0</v>
      </c>
      <c r="R39" s="143">
        <v>0</v>
      </c>
      <c r="S39" s="141">
        <v>0</v>
      </c>
      <c r="T39" s="141">
        <v>0</v>
      </c>
      <c r="U39" s="141">
        <v>0</v>
      </c>
      <c r="V39" s="144">
        <v>0</v>
      </c>
      <c r="W39" s="143">
        <v>0</v>
      </c>
      <c r="X39" s="141">
        <v>0</v>
      </c>
      <c r="Y39" s="141">
        <v>0</v>
      </c>
      <c r="Z39" s="141">
        <v>0</v>
      </c>
      <c r="AA39" s="144">
        <v>0</v>
      </c>
      <c r="AB39" s="343"/>
      <c r="AC39" s="328">
        <v>0</v>
      </c>
      <c r="AD39" s="799">
        <v>0</v>
      </c>
      <c r="AE39" s="235">
        <v>0</v>
      </c>
      <c r="AF39" s="235">
        <v>0</v>
      </c>
      <c r="AG39" s="235">
        <v>0</v>
      </c>
      <c r="AH39" s="235">
        <v>0</v>
      </c>
      <c r="AI39" s="235">
        <v>0</v>
      </c>
      <c r="AJ39" s="235">
        <v>0</v>
      </c>
      <c r="AK39" s="800">
        <v>0</v>
      </c>
      <c r="AL39" s="799">
        <v>0</v>
      </c>
      <c r="AM39" s="235">
        <v>0</v>
      </c>
      <c r="AN39" s="235">
        <v>0</v>
      </c>
      <c r="AO39" s="235">
        <v>0</v>
      </c>
      <c r="AP39" s="800">
        <v>0</v>
      </c>
      <c r="AQ39" s="799">
        <v>0</v>
      </c>
      <c r="AR39" s="235">
        <v>0</v>
      </c>
      <c r="AS39" s="235">
        <v>0</v>
      </c>
      <c r="AT39" s="235">
        <v>0</v>
      </c>
      <c r="AU39" s="800">
        <v>0</v>
      </c>
      <c r="AX39" s="312"/>
    </row>
    <row r="40" spans="1:50" s="330" customFormat="1" ht="15" customHeight="1" thickBot="1">
      <c r="A40" s="251"/>
      <c r="B40" s="794" t="s">
        <v>1701</v>
      </c>
      <c r="C40" s="798"/>
      <c r="D40" s="785"/>
      <c r="E40" s="785"/>
      <c r="F40" s="785"/>
      <c r="G40" s="325"/>
      <c r="H40" s="327"/>
      <c r="I40" s="326" t="s">
        <v>498</v>
      </c>
      <c r="J40" s="177">
        <f t="shared" ref="J40:AA40" si="3">SUM(J34:J39)</f>
        <v>0</v>
      </c>
      <c r="K40" s="178">
        <f t="shared" si="3"/>
        <v>0</v>
      </c>
      <c r="L40" s="178">
        <f t="shared" si="3"/>
        <v>0</v>
      </c>
      <c r="M40" s="178">
        <f t="shared" si="3"/>
        <v>0</v>
      </c>
      <c r="N40" s="178">
        <f t="shared" si="3"/>
        <v>0</v>
      </c>
      <c r="O40" s="178">
        <f t="shared" si="3"/>
        <v>0</v>
      </c>
      <c r="P40" s="178">
        <f t="shared" si="3"/>
        <v>0</v>
      </c>
      <c r="Q40" s="179">
        <f t="shared" si="3"/>
        <v>0</v>
      </c>
      <c r="R40" s="177">
        <f t="shared" si="3"/>
        <v>0</v>
      </c>
      <c r="S40" s="178">
        <f t="shared" si="3"/>
        <v>0</v>
      </c>
      <c r="T40" s="178">
        <f t="shared" si="3"/>
        <v>0</v>
      </c>
      <c r="U40" s="178">
        <f t="shared" si="3"/>
        <v>0</v>
      </c>
      <c r="V40" s="179">
        <f t="shared" si="3"/>
        <v>0</v>
      </c>
      <c r="W40" s="177">
        <f t="shared" si="3"/>
        <v>0</v>
      </c>
      <c r="X40" s="178">
        <f t="shared" si="3"/>
        <v>0</v>
      </c>
      <c r="Y40" s="178">
        <f t="shared" si="3"/>
        <v>0</v>
      </c>
      <c r="Z40" s="178">
        <f t="shared" si="3"/>
        <v>0</v>
      </c>
      <c r="AA40" s="179">
        <f t="shared" si="3"/>
        <v>0</v>
      </c>
      <c r="AB40" s="346"/>
      <c r="AC40" s="346"/>
      <c r="AD40" s="346"/>
      <c r="AE40" s="346"/>
      <c r="AF40" s="346"/>
      <c r="AG40" s="346"/>
      <c r="AH40" s="346"/>
      <c r="AI40" s="346"/>
      <c r="AJ40" s="346"/>
      <c r="AK40" s="346"/>
      <c r="AL40" s="346"/>
      <c r="AM40" s="346"/>
      <c r="AN40" s="346"/>
      <c r="AO40" s="346"/>
      <c r="AP40" s="346"/>
      <c r="AQ40" s="346"/>
      <c r="AR40" s="346"/>
      <c r="AS40" s="346"/>
      <c r="AT40" s="346"/>
      <c r="AU40" s="348"/>
      <c r="AX40" s="312"/>
    </row>
    <row r="41" spans="1:50" ht="15" customHeight="1" thickBot="1">
      <c r="A41" s="338"/>
      <c r="B41" s="339"/>
      <c r="C41" s="339"/>
      <c r="D41" s="339"/>
      <c r="E41" s="339"/>
      <c r="F41" s="339"/>
      <c r="G41" s="339"/>
      <c r="H41" s="339"/>
      <c r="I41" s="340"/>
      <c r="J41" s="339"/>
      <c r="K41" s="339"/>
      <c r="L41" s="339"/>
      <c r="M41" s="339"/>
      <c r="N41" s="339"/>
      <c r="O41" s="339"/>
      <c r="P41" s="339"/>
      <c r="Q41" s="339"/>
      <c r="R41" s="339"/>
      <c r="S41" s="339"/>
      <c r="T41" s="339"/>
      <c r="U41" s="339"/>
      <c r="V41" s="339"/>
      <c r="W41" s="339"/>
      <c r="X41" s="339"/>
      <c r="Y41" s="339"/>
      <c r="Z41" s="339"/>
      <c r="AA41" s="339"/>
      <c r="AC41" s="340"/>
      <c r="AD41" s="339"/>
      <c r="AE41" s="339"/>
      <c r="AF41" s="339"/>
      <c r="AG41" s="339"/>
      <c r="AH41" s="339"/>
      <c r="AI41" s="339"/>
      <c r="AJ41" s="339"/>
      <c r="AK41" s="339"/>
      <c r="AL41" s="339"/>
      <c r="AM41" s="339"/>
      <c r="AN41" s="339"/>
      <c r="AX41" s="338"/>
    </row>
    <row r="42" spans="1:50" s="330" customFormat="1" ht="30" customHeight="1" thickBot="1">
      <c r="A42" s="251"/>
      <c r="B42" s="313" t="s">
        <v>2272</v>
      </c>
      <c r="C42" s="782"/>
      <c r="D42" s="782"/>
      <c r="E42" s="782"/>
      <c r="F42" s="782"/>
      <c r="G42" s="314"/>
      <c r="H42" s="314"/>
      <c r="I42" s="789" t="s">
        <v>1704</v>
      </c>
      <c r="J42" s="790"/>
      <c r="K42" s="790"/>
      <c r="L42" s="790"/>
      <c r="M42" s="790"/>
      <c r="N42" s="790"/>
      <c r="O42" s="790"/>
      <c r="P42" s="790"/>
      <c r="Q42" s="790"/>
      <c r="R42" s="790"/>
      <c r="S42" s="790"/>
      <c r="T42" s="790"/>
      <c r="U42" s="790"/>
      <c r="V42" s="790"/>
      <c r="W42" s="790"/>
      <c r="X42" s="790"/>
      <c r="Y42" s="790"/>
      <c r="Z42" s="790"/>
      <c r="AA42" s="791"/>
      <c r="AB42" s="342"/>
      <c r="AC42" s="789" t="s">
        <v>1925</v>
      </c>
      <c r="AD42" s="790"/>
      <c r="AE42" s="790"/>
      <c r="AF42" s="790"/>
      <c r="AG42" s="801"/>
      <c r="AH42" s="802"/>
    </row>
    <row r="43" spans="1:50" s="330" customFormat="1" ht="30" customHeight="1">
      <c r="A43" s="251"/>
      <c r="B43" s="349"/>
      <c r="C43" s="339"/>
      <c r="D43" s="339"/>
      <c r="E43" s="339"/>
      <c r="F43" s="339"/>
      <c r="G43" s="339"/>
      <c r="H43" s="339"/>
      <c r="I43" s="316"/>
      <c r="J43" s="266" t="s">
        <v>1666</v>
      </c>
      <c r="K43" s="267"/>
      <c r="L43" s="267"/>
      <c r="M43" s="267"/>
      <c r="N43" s="267"/>
      <c r="O43" s="267"/>
      <c r="P43" s="267"/>
      <c r="Q43" s="268"/>
      <c r="R43" s="269" t="s">
        <v>2</v>
      </c>
      <c r="S43" s="270"/>
      <c r="T43" s="270"/>
      <c r="U43" s="270"/>
      <c r="V43" s="271"/>
      <c r="W43" s="266" t="s">
        <v>2259</v>
      </c>
      <c r="X43" s="267"/>
      <c r="Y43" s="267"/>
      <c r="Z43" s="267"/>
      <c r="AA43" s="267"/>
      <c r="AB43" s="350"/>
      <c r="AC43" s="351" t="s">
        <v>2273</v>
      </c>
      <c r="AD43" s="351" t="s">
        <v>2274</v>
      </c>
      <c r="AE43" s="316" t="s">
        <v>2275</v>
      </c>
      <c r="AF43" s="316" t="s">
        <v>2276</v>
      </c>
      <c r="AG43" s="351" t="s">
        <v>2277</v>
      </c>
      <c r="AH43" s="323" t="s">
        <v>2278</v>
      </c>
      <c r="AI43" s="341"/>
      <c r="AJ43" s="341"/>
      <c r="AK43" s="341"/>
      <c r="AL43" s="341"/>
      <c r="AM43" s="341"/>
      <c r="AN43" s="341"/>
    </row>
    <row r="44" spans="1:50" s="330" customFormat="1" ht="15" customHeight="1">
      <c r="A44" s="251"/>
      <c r="B44" s="349"/>
      <c r="C44" s="339"/>
      <c r="D44" s="339"/>
      <c r="E44" s="339"/>
      <c r="F44" s="339"/>
      <c r="G44" s="339"/>
      <c r="H44" s="339"/>
      <c r="I44" s="318" t="s">
        <v>1667</v>
      </c>
      <c r="J44" s="273" t="s">
        <v>453</v>
      </c>
      <c r="K44" s="274" t="s">
        <v>455</v>
      </c>
      <c r="L44" s="274" t="s">
        <v>457</v>
      </c>
      <c r="M44" s="274" t="s">
        <v>459</v>
      </c>
      <c r="N44" s="274" t="s">
        <v>461</v>
      </c>
      <c r="O44" s="274" t="s">
        <v>463</v>
      </c>
      <c r="P44" s="274" t="s">
        <v>465</v>
      </c>
      <c r="Q44" s="275" t="s">
        <v>467</v>
      </c>
      <c r="R44" s="273" t="s">
        <v>469</v>
      </c>
      <c r="S44" s="274" t="s">
        <v>471</v>
      </c>
      <c r="T44" s="274" t="s">
        <v>473</v>
      </c>
      <c r="U44" s="274" t="s">
        <v>475</v>
      </c>
      <c r="V44" s="275" t="s">
        <v>477</v>
      </c>
      <c r="W44" s="321" t="s">
        <v>2170</v>
      </c>
      <c r="X44" s="322" t="s">
        <v>2171</v>
      </c>
      <c r="Y44" s="322" t="s">
        <v>2172</v>
      </c>
      <c r="Z44" s="322" t="s">
        <v>2173</v>
      </c>
      <c r="AA44" s="322" t="s">
        <v>2174</v>
      </c>
      <c r="AB44" s="350"/>
      <c r="AC44" s="340"/>
      <c r="AD44" s="352"/>
      <c r="AE44" s="352"/>
      <c r="AF44" s="316" t="s">
        <v>2279</v>
      </c>
      <c r="AG44" s="351" t="s">
        <v>2280</v>
      </c>
      <c r="AH44" s="353"/>
      <c r="AI44" s="341"/>
      <c r="AJ44" s="341"/>
      <c r="AK44" s="341"/>
      <c r="AL44" s="341"/>
      <c r="AM44" s="341"/>
      <c r="AN44" s="341"/>
    </row>
    <row r="45" spans="1:50" s="330" customFormat="1" ht="15" customHeight="1">
      <c r="A45" s="251"/>
      <c r="B45" s="333"/>
      <c r="C45" s="775" t="s">
        <v>2281</v>
      </c>
      <c r="D45" s="780"/>
      <c r="E45" s="780"/>
      <c r="F45" s="780"/>
      <c r="G45" s="339"/>
      <c r="H45" s="339"/>
      <c r="I45" s="340"/>
      <c r="J45" s="349"/>
      <c r="K45" s="339"/>
      <c r="L45" s="339"/>
      <c r="M45" s="339"/>
      <c r="N45" s="339"/>
      <c r="O45" s="339"/>
      <c r="P45" s="339"/>
      <c r="Q45" s="353"/>
      <c r="R45" s="349"/>
      <c r="S45" s="339"/>
      <c r="T45" s="339"/>
      <c r="U45" s="339"/>
      <c r="V45" s="353"/>
      <c r="W45" s="349"/>
      <c r="X45" s="339"/>
      <c r="Y45" s="339"/>
      <c r="Z45" s="339"/>
      <c r="AA45" s="353"/>
      <c r="AB45" s="350"/>
      <c r="AC45" s="352"/>
      <c r="AD45" s="339"/>
      <c r="AE45" s="339"/>
      <c r="AF45" s="339"/>
      <c r="AG45" s="339"/>
      <c r="AH45" s="353"/>
      <c r="AI45" s="341"/>
      <c r="AJ45" s="341"/>
      <c r="AK45" s="341"/>
      <c r="AL45" s="341"/>
      <c r="AM45" s="341"/>
      <c r="AN45" s="341"/>
    </row>
    <row r="46" spans="1:50" s="330" customFormat="1" ht="15" customHeight="1">
      <c r="A46" s="251"/>
      <c r="B46" s="349"/>
      <c r="C46" s="339"/>
      <c r="D46" s="776" t="s">
        <v>85</v>
      </c>
      <c r="E46" s="784"/>
      <c r="F46" s="784"/>
      <c r="G46" s="293" t="s">
        <v>2282</v>
      </c>
      <c r="H46" s="339"/>
      <c r="I46" s="316" t="s">
        <v>498</v>
      </c>
      <c r="J46" s="143">
        <v>6.6077998344436339E-2</v>
      </c>
      <c r="K46" s="141">
        <v>2.3179745454545448E-2</v>
      </c>
      <c r="L46" s="141">
        <v>2.8622258155621222E-2</v>
      </c>
      <c r="M46" s="141">
        <v>0.33459777703230276</v>
      </c>
      <c r="N46" s="141">
        <v>2.197746547470426E-2</v>
      </c>
      <c r="O46" s="141">
        <v>5.9656300000000004E-3</v>
      </c>
      <c r="P46" s="141">
        <v>0</v>
      </c>
      <c r="Q46" s="144">
        <v>0</v>
      </c>
      <c r="R46" s="143">
        <v>0</v>
      </c>
      <c r="S46" s="141">
        <v>0</v>
      </c>
      <c r="T46" s="141">
        <v>0</v>
      </c>
      <c r="U46" s="141">
        <v>0</v>
      </c>
      <c r="V46" s="144">
        <v>0</v>
      </c>
      <c r="W46" s="143">
        <v>0</v>
      </c>
      <c r="X46" s="141">
        <v>0</v>
      </c>
      <c r="Y46" s="141">
        <v>0</v>
      </c>
      <c r="Z46" s="141">
        <v>0</v>
      </c>
      <c r="AA46" s="144">
        <v>0</v>
      </c>
      <c r="AB46" s="350"/>
      <c r="AC46" s="354" t="s">
        <v>2283</v>
      </c>
      <c r="AD46" s="354" t="s">
        <v>2284</v>
      </c>
      <c r="AE46" s="354" t="s">
        <v>2285</v>
      </c>
      <c r="AF46" s="355">
        <v>2.7E-2</v>
      </c>
      <c r="AG46" s="354">
        <v>11349</v>
      </c>
      <c r="AH46" s="356">
        <v>0</v>
      </c>
      <c r="AI46" s="341"/>
      <c r="AJ46" s="341"/>
      <c r="AK46" s="341"/>
      <c r="AL46" s="341"/>
      <c r="AM46" s="341"/>
      <c r="AN46" s="341"/>
    </row>
    <row r="47" spans="1:50" s="330" customFormat="1" ht="15" customHeight="1">
      <c r="A47" s="251"/>
      <c r="B47" s="349"/>
      <c r="C47" s="339"/>
      <c r="D47" s="776" t="s">
        <v>85</v>
      </c>
      <c r="E47" s="784"/>
      <c r="F47" s="784"/>
      <c r="G47" s="293" t="s">
        <v>2286</v>
      </c>
      <c r="H47" s="339"/>
      <c r="I47" s="316" t="s">
        <v>498</v>
      </c>
      <c r="J47" s="143">
        <v>6.6077998344436339E-2</v>
      </c>
      <c r="K47" s="141">
        <v>0.38191390129870112</v>
      </c>
      <c r="L47" s="141">
        <v>-2.2449263310497233E-2</v>
      </c>
      <c r="M47" s="141">
        <v>2.2292575873233901E-3</v>
      </c>
      <c r="N47" s="141">
        <v>0</v>
      </c>
      <c r="O47" s="141">
        <v>0</v>
      </c>
      <c r="P47" s="141">
        <v>0</v>
      </c>
      <c r="Q47" s="144">
        <v>0</v>
      </c>
      <c r="R47" s="143">
        <v>0</v>
      </c>
      <c r="S47" s="141">
        <v>0</v>
      </c>
      <c r="T47" s="141">
        <v>0</v>
      </c>
      <c r="U47" s="141">
        <v>0</v>
      </c>
      <c r="V47" s="144">
        <v>0</v>
      </c>
      <c r="W47" s="143">
        <v>0</v>
      </c>
      <c r="X47" s="141">
        <v>0</v>
      </c>
      <c r="Y47" s="141">
        <v>0</v>
      </c>
      <c r="Z47" s="141">
        <v>0</v>
      </c>
      <c r="AA47" s="144">
        <v>0</v>
      </c>
      <c r="AB47" s="350"/>
      <c r="AC47" s="354" t="s">
        <v>2287</v>
      </c>
      <c r="AD47" s="354" t="s">
        <v>2284</v>
      </c>
      <c r="AE47" s="354" t="s">
        <v>2288</v>
      </c>
      <c r="AF47" s="355">
        <v>7.2999999999999995E-2</v>
      </c>
      <c r="AG47" s="354">
        <v>9306</v>
      </c>
      <c r="AH47" s="356">
        <v>0</v>
      </c>
      <c r="AI47" s="341"/>
      <c r="AJ47" s="341"/>
      <c r="AK47" s="341"/>
      <c r="AL47" s="341"/>
      <c r="AM47" s="341"/>
      <c r="AN47" s="341"/>
    </row>
    <row r="48" spans="1:50" s="330" customFormat="1" ht="15" customHeight="1">
      <c r="A48" s="251"/>
      <c r="B48" s="349"/>
      <c r="C48" s="339"/>
      <c r="D48" s="776" t="s">
        <v>85</v>
      </c>
      <c r="E48" s="784"/>
      <c r="F48" s="784"/>
      <c r="G48" s="293" t="s">
        <v>2289</v>
      </c>
      <c r="H48" s="339"/>
      <c r="I48" s="316" t="s">
        <v>498</v>
      </c>
      <c r="J48" s="143">
        <v>0</v>
      </c>
      <c r="K48" s="141">
        <v>0</v>
      </c>
      <c r="L48" s="141">
        <v>1.2278993882204802E-2</v>
      </c>
      <c r="M48" s="141">
        <v>9.4084915553073259E-3</v>
      </c>
      <c r="N48" s="141">
        <v>5.9572919786983272E-3</v>
      </c>
      <c r="O48" s="141">
        <v>3.35258E-3</v>
      </c>
      <c r="P48" s="141">
        <v>0</v>
      </c>
      <c r="Q48" s="144">
        <v>0.673426767167567</v>
      </c>
      <c r="R48" s="143">
        <v>0</v>
      </c>
      <c r="S48" s="141">
        <v>0</v>
      </c>
      <c r="T48" s="141">
        <v>0</v>
      </c>
      <c r="U48" s="141">
        <v>0</v>
      </c>
      <c r="V48" s="144">
        <v>0</v>
      </c>
      <c r="W48" s="143">
        <v>0</v>
      </c>
      <c r="X48" s="141">
        <v>0</v>
      </c>
      <c r="Y48" s="141">
        <v>0</v>
      </c>
      <c r="Z48" s="141">
        <v>0</v>
      </c>
      <c r="AA48" s="144">
        <v>0</v>
      </c>
      <c r="AB48" s="350"/>
      <c r="AC48" s="354" t="s">
        <v>2289</v>
      </c>
      <c r="AD48" s="354" t="s">
        <v>2290</v>
      </c>
      <c r="AE48" s="354" t="s">
        <v>2288</v>
      </c>
      <c r="AF48" s="355">
        <v>1.7000000000000001E-2</v>
      </c>
      <c r="AG48" s="354">
        <v>4046</v>
      </c>
      <c r="AH48" s="356">
        <v>0</v>
      </c>
      <c r="AI48" s="341"/>
      <c r="AJ48" s="341"/>
      <c r="AK48" s="341"/>
      <c r="AL48" s="341"/>
      <c r="AM48" s="341"/>
      <c r="AN48" s="341"/>
    </row>
    <row r="49" spans="1:40" s="330" customFormat="1" ht="15" customHeight="1">
      <c r="A49" s="251"/>
      <c r="B49" s="349"/>
      <c r="C49" s="339"/>
      <c r="D49" s="776" t="s">
        <v>85</v>
      </c>
      <c r="E49" s="784"/>
      <c r="F49" s="784"/>
      <c r="G49" s="293" t="s">
        <v>2291</v>
      </c>
      <c r="H49" s="339"/>
      <c r="I49" s="316" t="s">
        <v>498</v>
      </c>
      <c r="J49" s="143">
        <v>0</v>
      </c>
      <c r="K49" s="141">
        <v>0</v>
      </c>
      <c r="L49" s="141">
        <v>5.549982971501991E-3</v>
      </c>
      <c r="M49" s="141">
        <v>0</v>
      </c>
      <c r="N49" s="141">
        <v>1.638272298310707E-2</v>
      </c>
      <c r="O49" s="141">
        <v>0.34636540000000005</v>
      </c>
      <c r="P49" s="141">
        <v>0</v>
      </c>
      <c r="Q49" s="144">
        <v>0</v>
      </c>
      <c r="R49" s="143">
        <v>0</v>
      </c>
      <c r="S49" s="141">
        <v>0</v>
      </c>
      <c r="T49" s="141">
        <v>0</v>
      </c>
      <c r="U49" s="141">
        <v>0</v>
      </c>
      <c r="V49" s="144">
        <v>0</v>
      </c>
      <c r="W49" s="143">
        <v>0</v>
      </c>
      <c r="X49" s="141">
        <v>0</v>
      </c>
      <c r="Y49" s="141">
        <v>0</v>
      </c>
      <c r="Z49" s="141">
        <v>0</v>
      </c>
      <c r="AA49" s="144">
        <v>0</v>
      </c>
      <c r="AB49" s="350"/>
      <c r="AC49" s="354" t="s">
        <v>2292</v>
      </c>
      <c r="AD49" s="354" t="s">
        <v>2284</v>
      </c>
      <c r="AE49" s="354" t="s">
        <v>2288</v>
      </c>
      <c r="AF49" s="355">
        <v>2.9649999999999999E-2</v>
      </c>
      <c r="AG49" s="354">
        <v>15375</v>
      </c>
      <c r="AH49" s="356">
        <v>0</v>
      </c>
      <c r="AI49" s="341"/>
      <c r="AJ49" s="341"/>
      <c r="AK49" s="341"/>
      <c r="AL49" s="341"/>
      <c r="AM49" s="341"/>
      <c r="AN49" s="341"/>
    </row>
    <row r="50" spans="1:40" s="330" customFormat="1" ht="15" customHeight="1">
      <c r="A50" s="251"/>
      <c r="B50" s="349"/>
      <c r="C50" s="339"/>
      <c r="D50" s="776" t="s">
        <v>85</v>
      </c>
      <c r="E50" s="784"/>
      <c r="F50" s="784"/>
      <c r="G50" s="293" t="s">
        <v>2293</v>
      </c>
      <c r="H50" s="339"/>
      <c r="I50" s="316" t="s">
        <v>498</v>
      </c>
      <c r="J50" s="143">
        <v>0</v>
      </c>
      <c r="K50" s="141">
        <v>0</v>
      </c>
      <c r="L50" s="141">
        <v>0</v>
      </c>
      <c r="M50" s="141">
        <v>5.6419449876750974E-2</v>
      </c>
      <c r="N50" s="141">
        <v>0.19074791019293727</v>
      </c>
      <c r="O50" s="141">
        <v>2.941059E-2</v>
      </c>
      <c r="P50" s="141">
        <v>0</v>
      </c>
      <c r="Q50" s="144">
        <v>0</v>
      </c>
      <c r="R50" s="143">
        <v>0</v>
      </c>
      <c r="S50" s="141">
        <v>0</v>
      </c>
      <c r="T50" s="141">
        <v>0</v>
      </c>
      <c r="U50" s="141">
        <v>0</v>
      </c>
      <c r="V50" s="144">
        <v>0</v>
      </c>
      <c r="W50" s="143">
        <v>0</v>
      </c>
      <c r="X50" s="141">
        <v>0</v>
      </c>
      <c r="Y50" s="141">
        <v>0</v>
      </c>
      <c r="Z50" s="141">
        <v>0</v>
      </c>
      <c r="AA50" s="144">
        <v>0</v>
      </c>
      <c r="AB50" s="350"/>
      <c r="AC50" s="354" t="s">
        <v>2294</v>
      </c>
      <c r="AD50" s="354" t="s">
        <v>2284</v>
      </c>
      <c r="AE50" s="354" t="s">
        <v>2288</v>
      </c>
      <c r="AF50" s="355">
        <v>6.2E-2</v>
      </c>
      <c r="AG50" s="354">
        <v>6797</v>
      </c>
      <c r="AH50" s="356">
        <v>0</v>
      </c>
      <c r="AI50" s="341"/>
      <c r="AJ50" s="341"/>
      <c r="AK50" s="341"/>
      <c r="AL50" s="341"/>
      <c r="AM50" s="341"/>
      <c r="AN50" s="341"/>
    </row>
    <row r="51" spans="1:40" s="330" customFormat="1" ht="15" customHeight="1">
      <c r="A51" s="251"/>
      <c r="B51" s="349"/>
      <c r="C51" s="339"/>
      <c r="D51" s="776" t="s">
        <v>85</v>
      </c>
      <c r="E51" s="784"/>
      <c r="F51" s="784"/>
      <c r="G51" s="293" t="s">
        <v>2295</v>
      </c>
      <c r="H51" s="339"/>
      <c r="I51" s="316" t="s">
        <v>498</v>
      </c>
      <c r="J51" s="143">
        <v>6.7609000255032095E-2</v>
      </c>
      <c r="K51" s="141">
        <v>6.1812654545454523E-2</v>
      </c>
      <c r="L51" s="141">
        <v>0.89196211684502091</v>
      </c>
      <c r="M51" s="141">
        <v>5.0815183317820894E-2</v>
      </c>
      <c r="N51" s="141">
        <v>4.1328188807019064E-2</v>
      </c>
      <c r="O51" s="141">
        <v>2.4049999999999999E-4</v>
      </c>
      <c r="P51" s="141">
        <v>0</v>
      </c>
      <c r="Q51" s="144">
        <v>0</v>
      </c>
      <c r="R51" s="143">
        <v>0</v>
      </c>
      <c r="S51" s="141">
        <v>0</v>
      </c>
      <c r="T51" s="141">
        <v>0</v>
      </c>
      <c r="U51" s="141">
        <v>0</v>
      </c>
      <c r="V51" s="144">
        <v>0</v>
      </c>
      <c r="W51" s="143">
        <v>0</v>
      </c>
      <c r="X51" s="141">
        <v>0</v>
      </c>
      <c r="Y51" s="141">
        <v>0</v>
      </c>
      <c r="Z51" s="141">
        <v>0</v>
      </c>
      <c r="AA51" s="144">
        <v>0</v>
      </c>
      <c r="AB51" s="350"/>
      <c r="AC51" s="354" t="s">
        <v>2296</v>
      </c>
      <c r="AD51" s="354" t="s">
        <v>2284</v>
      </c>
      <c r="AE51" s="354" t="s">
        <v>2285</v>
      </c>
      <c r="AF51" s="355">
        <v>3.4000000000000002E-2</v>
      </c>
      <c r="AG51" s="3018">
        <v>8072</v>
      </c>
      <c r="AH51" s="356">
        <v>0</v>
      </c>
      <c r="AI51" s="341"/>
      <c r="AJ51" s="341"/>
      <c r="AK51" s="341"/>
      <c r="AL51" s="341"/>
      <c r="AM51" s="341"/>
      <c r="AN51" s="341"/>
    </row>
    <row r="52" spans="1:40" s="330" customFormat="1" ht="15" customHeight="1">
      <c r="A52" s="251"/>
      <c r="B52" s="349"/>
      <c r="C52" s="339"/>
      <c r="D52" s="776" t="s">
        <v>85</v>
      </c>
      <c r="E52" s="784"/>
      <c r="F52" s="784"/>
      <c r="G52" s="293" t="s">
        <v>2297</v>
      </c>
      <c r="H52" s="339"/>
      <c r="I52" s="316" t="s">
        <v>498</v>
      </c>
      <c r="J52" s="143">
        <v>0</v>
      </c>
      <c r="K52" s="141">
        <v>0</v>
      </c>
      <c r="L52" s="141">
        <v>0</v>
      </c>
      <c r="M52" s="141">
        <v>0</v>
      </c>
      <c r="N52" s="141">
        <v>0</v>
      </c>
      <c r="O52" s="141">
        <v>0</v>
      </c>
      <c r="P52" s="141">
        <v>0</v>
      </c>
      <c r="Q52" s="144">
        <v>0</v>
      </c>
      <c r="R52" s="143">
        <v>0</v>
      </c>
      <c r="S52" s="141">
        <v>0</v>
      </c>
      <c r="T52" s="141">
        <v>0</v>
      </c>
      <c r="U52" s="141">
        <v>0</v>
      </c>
      <c r="V52" s="144">
        <v>0</v>
      </c>
      <c r="W52" s="143">
        <v>0</v>
      </c>
      <c r="X52" s="141">
        <v>0</v>
      </c>
      <c r="Y52" s="141">
        <v>0</v>
      </c>
      <c r="Z52" s="141">
        <v>0</v>
      </c>
      <c r="AA52" s="144">
        <v>0</v>
      </c>
      <c r="AB52" s="350"/>
      <c r="AC52" s="354" t="s">
        <v>2296</v>
      </c>
      <c r="AD52" s="354" t="s">
        <v>2284</v>
      </c>
      <c r="AE52" s="354" t="s">
        <v>2288</v>
      </c>
      <c r="AF52" s="355">
        <v>6.9000000000000006E-2</v>
      </c>
      <c r="AG52" s="3020"/>
      <c r="AH52" s="356">
        <v>0</v>
      </c>
      <c r="AI52" s="341"/>
      <c r="AJ52" s="341"/>
      <c r="AK52" s="341"/>
      <c r="AL52" s="341"/>
      <c r="AM52" s="341"/>
      <c r="AN52" s="341"/>
    </row>
    <row r="53" spans="1:40" s="330" customFormat="1" ht="15" customHeight="1">
      <c r="A53" s="251"/>
      <c r="B53" s="349"/>
      <c r="C53" s="339"/>
      <c r="D53" s="776" t="s">
        <v>85</v>
      </c>
      <c r="E53" s="784"/>
      <c r="F53" s="784"/>
      <c r="G53" s="293" t="s">
        <v>2298</v>
      </c>
      <c r="H53" s="339"/>
      <c r="I53" s="316" t="s">
        <v>498</v>
      </c>
      <c r="J53" s="143">
        <v>6.6077998344436339E-2</v>
      </c>
      <c r="K53" s="141">
        <v>2.6491137662337655E-2</v>
      </c>
      <c r="L53" s="141">
        <v>0.11963091447868428</v>
      </c>
      <c r="M53" s="141">
        <v>0.76691360242052564</v>
      </c>
      <c r="N53" s="141">
        <v>2.5732975249901781E-3</v>
      </c>
      <c r="O53" s="141">
        <v>2.2638800000000002E-3</v>
      </c>
      <c r="P53" s="141">
        <v>0</v>
      </c>
      <c r="Q53" s="144">
        <v>0</v>
      </c>
      <c r="R53" s="143">
        <v>0</v>
      </c>
      <c r="S53" s="141">
        <v>0</v>
      </c>
      <c r="T53" s="141">
        <v>0</v>
      </c>
      <c r="U53" s="141">
        <v>0</v>
      </c>
      <c r="V53" s="144">
        <v>0</v>
      </c>
      <c r="W53" s="143">
        <v>0</v>
      </c>
      <c r="X53" s="141">
        <v>0</v>
      </c>
      <c r="Y53" s="141">
        <v>0</v>
      </c>
      <c r="Z53" s="141">
        <v>0</v>
      </c>
      <c r="AA53" s="144">
        <v>0</v>
      </c>
      <c r="AB53" s="350"/>
      <c r="AC53" s="354" t="s">
        <v>2296</v>
      </c>
      <c r="AD53" s="354" t="s">
        <v>2284</v>
      </c>
      <c r="AE53" s="354" t="s">
        <v>2288</v>
      </c>
      <c r="AF53" s="355">
        <v>6.3E-2</v>
      </c>
      <c r="AG53" s="3018">
        <v>16827</v>
      </c>
      <c r="AH53" s="356">
        <v>0</v>
      </c>
      <c r="AI53" s="341"/>
      <c r="AJ53" s="341"/>
      <c r="AK53" s="341"/>
      <c r="AL53" s="341"/>
      <c r="AM53" s="341"/>
      <c r="AN53" s="341"/>
    </row>
    <row r="54" spans="1:40" s="330" customFormat="1" ht="15" customHeight="1">
      <c r="A54" s="251"/>
      <c r="B54" s="349"/>
      <c r="C54" s="339"/>
      <c r="D54" s="776" t="s">
        <v>85</v>
      </c>
      <c r="E54" s="784"/>
      <c r="F54" s="784"/>
      <c r="G54" s="293" t="s">
        <v>2299</v>
      </c>
      <c r="H54" s="339"/>
      <c r="I54" s="316" t="s">
        <v>498</v>
      </c>
      <c r="J54" s="143">
        <v>0</v>
      </c>
      <c r="K54" s="141">
        <v>0</v>
      </c>
      <c r="L54" s="141">
        <v>0</v>
      </c>
      <c r="M54" s="141">
        <v>0</v>
      </c>
      <c r="N54" s="141">
        <v>0</v>
      </c>
      <c r="O54" s="141">
        <v>0</v>
      </c>
      <c r="P54" s="141">
        <v>0</v>
      </c>
      <c r="Q54" s="144">
        <v>0</v>
      </c>
      <c r="R54" s="143">
        <v>0</v>
      </c>
      <c r="S54" s="141">
        <v>0</v>
      </c>
      <c r="T54" s="141">
        <v>0</v>
      </c>
      <c r="U54" s="141">
        <v>0</v>
      </c>
      <c r="V54" s="144">
        <v>0</v>
      </c>
      <c r="W54" s="143">
        <v>0</v>
      </c>
      <c r="X54" s="141">
        <v>0</v>
      </c>
      <c r="Y54" s="141">
        <v>0</v>
      </c>
      <c r="Z54" s="141">
        <v>0</v>
      </c>
      <c r="AA54" s="144">
        <v>0</v>
      </c>
      <c r="AB54" s="350"/>
      <c r="AC54" s="354" t="s">
        <v>2296</v>
      </c>
      <c r="AD54" s="354" t="s">
        <v>2284</v>
      </c>
      <c r="AE54" s="354" t="s">
        <v>2288</v>
      </c>
      <c r="AF54" s="355">
        <v>7.6999999999999999E-2</v>
      </c>
      <c r="AG54" s="3020"/>
      <c r="AH54" s="356">
        <v>0</v>
      </c>
      <c r="AI54" s="341"/>
      <c r="AJ54" s="341"/>
      <c r="AK54" s="341"/>
      <c r="AL54" s="341"/>
      <c r="AM54" s="341"/>
      <c r="AN54" s="341"/>
    </row>
    <row r="55" spans="1:40" s="330" customFormat="1" ht="15" customHeight="1">
      <c r="A55" s="251"/>
      <c r="B55" s="349"/>
      <c r="C55" s="339"/>
      <c r="D55" s="776" t="s">
        <v>85</v>
      </c>
      <c r="E55" s="784"/>
      <c r="F55" s="784"/>
      <c r="G55" s="293" t="s">
        <v>2300</v>
      </c>
      <c r="H55" s="339"/>
      <c r="I55" s="316" t="s">
        <v>498</v>
      </c>
      <c r="J55" s="143">
        <v>6.6077998344436339E-2</v>
      </c>
      <c r="K55" s="141">
        <v>0</v>
      </c>
      <c r="L55" s="141">
        <v>1.1257119435025054E-2</v>
      </c>
      <c r="M55" s="141">
        <v>0.6665113991433852</v>
      </c>
      <c r="N55" s="141">
        <v>-4.5335741584093585E-2</v>
      </c>
      <c r="O55" s="141">
        <v>-4.1648700000000002E-3</v>
      </c>
      <c r="P55" s="141">
        <v>0</v>
      </c>
      <c r="Q55" s="144">
        <v>0</v>
      </c>
      <c r="R55" s="143">
        <v>0</v>
      </c>
      <c r="S55" s="141">
        <v>0</v>
      </c>
      <c r="T55" s="141">
        <v>0</v>
      </c>
      <c r="U55" s="141">
        <v>0</v>
      </c>
      <c r="V55" s="144">
        <v>0</v>
      </c>
      <c r="W55" s="143">
        <v>0</v>
      </c>
      <c r="X55" s="141">
        <v>0</v>
      </c>
      <c r="Y55" s="141">
        <v>0</v>
      </c>
      <c r="Z55" s="141">
        <v>0</v>
      </c>
      <c r="AA55" s="144">
        <v>0</v>
      </c>
      <c r="AB55" s="350"/>
      <c r="AC55" s="354" t="s">
        <v>2301</v>
      </c>
      <c r="AD55" s="354" t="s">
        <v>2284</v>
      </c>
      <c r="AE55" s="354" t="s">
        <v>2302</v>
      </c>
      <c r="AF55" s="355">
        <v>3.4000000000000002E-2</v>
      </c>
      <c r="AG55" s="354">
        <v>3682</v>
      </c>
      <c r="AH55" s="356">
        <v>0</v>
      </c>
      <c r="AI55" s="341"/>
      <c r="AJ55" s="341"/>
      <c r="AK55" s="341"/>
      <c r="AL55" s="341"/>
      <c r="AM55" s="341"/>
      <c r="AN55" s="341"/>
    </row>
    <row r="56" spans="1:40" s="330" customFormat="1" ht="15" customHeight="1">
      <c r="A56" s="251"/>
      <c r="B56" s="349"/>
      <c r="C56" s="339"/>
      <c r="D56" s="776" t="s">
        <v>85</v>
      </c>
      <c r="E56" s="784"/>
      <c r="F56" s="784"/>
      <c r="G56" s="293" t="s">
        <v>2303</v>
      </c>
      <c r="H56" s="339"/>
      <c r="I56" s="316" t="s">
        <v>498</v>
      </c>
      <c r="J56" s="143">
        <v>6.6077998344436339E-2</v>
      </c>
      <c r="K56" s="141">
        <v>6.5124046753246734E-2</v>
      </c>
      <c r="L56" s="141">
        <v>3.7659943519465495E-3</v>
      </c>
      <c r="M56" s="141">
        <v>3.8014217661816188E-2</v>
      </c>
      <c r="N56" s="141">
        <v>1.2609822580863412</v>
      </c>
      <c r="O56" s="141">
        <v>0.52695185</v>
      </c>
      <c r="P56" s="141">
        <v>0</v>
      </c>
      <c r="Q56" s="144">
        <v>0</v>
      </c>
      <c r="R56" s="143">
        <v>0</v>
      </c>
      <c r="S56" s="141">
        <v>0</v>
      </c>
      <c r="T56" s="141">
        <v>0</v>
      </c>
      <c r="U56" s="141">
        <v>0</v>
      </c>
      <c r="V56" s="144">
        <v>0</v>
      </c>
      <c r="W56" s="143">
        <v>0</v>
      </c>
      <c r="X56" s="141">
        <v>0</v>
      </c>
      <c r="Y56" s="141">
        <v>0</v>
      </c>
      <c r="Z56" s="141">
        <v>0</v>
      </c>
      <c r="AA56" s="144">
        <v>0</v>
      </c>
      <c r="AB56" s="350"/>
      <c r="AC56" s="354" t="s">
        <v>2304</v>
      </c>
      <c r="AD56" s="354" t="s">
        <v>2284</v>
      </c>
      <c r="AE56" s="354" t="s">
        <v>2285</v>
      </c>
      <c r="AF56" s="355">
        <v>3.5999999999999997E-2</v>
      </c>
      <c r="AG56" s="3018">
        <v>20230</v>
      </c>
      <c r="AH56" s="356">
        <v>0</v>
      </c>
      <c r="AI56" s="341"/>
      <c r="AJ56" s="341"/>
      <c r="AK56" s="341"/>
      <c r="AL56" s="341"/>
      <c r="AM56" s="341"/>
      <c r="AN56" s="341"/>
    </row>
    <row r="57" spans="1:40" s="330" customFormat="1" ht="15" customHeight="1">
      <c r="A57" s="251"/>
      <c r="B57" s="349"/>
      <c r="C57" s="339"/>
      <c r="D57" s="776" t="s">
        <v>85</v>
      </c>
      <c r="E57" s="784"/>
      <c r="F57" s="784"/>
      <c r="G57" s="293" t="s">
        <v>2305</v>
      </c>
      <c r="H57" s="339"/>
      <c r="I57" s="316" t="s">
        <v>498</v>
      </c>
      <c r="J57" s="143">
        <v>0</v>
      </c>
      <c r="K57" s="141">
        <v>0</v>
      </c>
      <c r="L57" s="141">
        <v>0</v>
      </c>
      <c r="M57" s="141">
        <v>0</v>
      </c>
      <c r="N57" s="141">
        <v>0</v>
      </c>
      <c r="O57" s="141">
        <v>0</v>
      </c>
      <c r="P57" s="141">
        <v>0</v>
      </c>
      <c r="Q57" s="144">
        <v>0</v>
      </c>
      <c r="R57" s="143">
        <v>0</v>
      </c>
      <c r="S57" s="141">
        <v>0</v>
      </c>
      <c r="T57" s="141">
        <v>0</v>
      </c>
      <c r="U57" s="141">
        <v>0</v>
      </c>
      <c r="V57" s="144">
        <v>0</v>
      </c>
      <c r="W57" s="143">
        <v>0</v>
      </c>
      <c r="X57" s="141">
        <v>0</v>
      </c>
      <c r="Y57" s="141">
        <v>0</v>
      </c>
      <c r="Z57" s="141">
        <v>0</v>
      </c>
      <c r="AA57" s="144">
        <v>0</v>
      </c>
      <c r="AB57" s="350"/>
      <c r="AC57" s="354" t="s">
        <v>2304</v>
      </c>
      <c r="AD57" s="354" t="s">
        <v>2284</v>
      </c>
      <c r="AE57" s="354" t="s">
        <v>2285</v>
      </c>
      <c r="AF57" s="355">
        <v>0.08</v>
      </c>
      <c r="AG57" s="3019"/>
      <c r="AH57" s="356">
        <v>0</v>
      </c>
      <c r="AI57" s="341"/>
      <c r="AJ57" s="341"/>
      <c r="AK57" s="341"/>
      <c r="AL57" s="341"/>
      <c r="AM57" s="341"/>
      <c r="AN57" s="341"/>
    </row>
    <row r="58" spans="1:40" s="330" customFormat="1" ht="15" customHeight="1">
      <c r="A58" s="251"/>
      <c r="B58" s="349"/>
      <c r="C58" s="339"/>
      <c r="D58" s="776" t="s">
        <v>85</v>
      </c>
      <c r="E58" s="784"/>
      <c r="F58" s="784"/>
      <c r="G58" s="293" t="s">
        <v>2306</v>
      </c>
      <c r="H58" s="339"/>
      <c r="I58" s="316" t="s">
        <v>498</v>
      </c>
      <c r="J58" s="143">
        <v>0</v>
      </c>
      <c r="K58" s="141">
        <v>0</v>
      </c>
      <c r="L58" s="141">
        <v>0</v>
      </c>
      <c r="M58" s="141">
        <v>0</v>
      </c>
      <c r="N58" s="141">
        <v>0</v>
      </c>
      <c r="O58" s="141">
        <v>0</v>
      </c>
      <c r="P58" s="141">
        <v>0</v>
      </c>
      <c r="Q58" s="144">
        <v>0</v>
      </c>
      <c r="R58" s="143">
        <v>0</v>
      </c>
      <c r="S58" s="141">
        <v>0</v>
      </c>
      <c r="T58" s="141">
        <v>0</v>
      </c>
      <c r="U58" s="141">
        <v>0</v>
      </c>
      <c r="V58" s="144">
        <v>0</v>
      </c>
      <c r="W58" s="143">
        <v>0</v>
      </c>
      <c r="X58" s="141">
        <v>0</v>
      </c>
      <c r="Y58" s="141">
        <v>0</v>
      </c>
      <c r="Z58" s="141">
        <v>0</v>
      </c>
      <c r="AA58" s="144">
        <v>0</v>
      </c>
      <c r="AB58" s="350"/>
      <c r="AC58" s="354" t="s">
        <v>2304</v>
      </c>
      <c r="AD58" s="354" t="s">
        <v>2284</v>
      </c>
      <c r="AE58" s="354" t="s">
        <v>2302</v>
      </c>
      <c r="AF58" s="355">
        <v>4.9000000000000002E-2</v>
      </c>
      <c r="AG58" s="3020"/>
      <c r="AH58" s="356">
        <v>0</v>
      </c>
      <c r="AI58" s="341"/>
      <c r="AJ58" s="341"/>
      <c r="AK58" s="341"/>
      <c r="AL58" s="341"/>
      <c r="AM58" s="341"/>
      <c r="AN58" s="341"/>
    </row>
    <row r="59" spans="1:40" s="330" customFormat="1" ht="15" customHeight="1">
      <c r="A59" s="251"/>
      <c r="B59" s="349"/>
      <c r="C59" s="339"/>
      <c r="D59" s="776" t="s">
        <v>85</v>
      </c>
      <c r="E59" s="784"/>
      <c r="F59" s="784"/>
      <c r="G59" s="293" t="s">
        <v>2307</v>
      </c>
      <c r="H59" s="339"/>
      <c r="I59" s="316" t="s">
        <v>498</v>
      </c>
      <c r="J59" s="143">
        <v>0</v>
      </c>
      <c r="K59" s="141">
        <v>0</v>
      </c>
      <c r="L59" s="141">
        <v>0</v>
      </c>
      <c r="M59" s="141">
        <v>5.3025897034914241E-2</v>
      </c>
      <c r="N59" s="141">
        <v>4.0739411737744985E-3</v>
      </c>
      <c r="O59" s="141">
        <v>0.46824755000000001</v>
      </c>
      <c r="P59" s="141">
        <v>0</v>
      </c>
      <c r="Q59" s="144">
        <v>0</v>
      </c>
      <c r="R59" s="143">
        <v>0</v>
      </c>
      <c r="S59" s="141">
        <v>0</v>
      </c>
      <c r="T59" s="141">
        <v>0</v>
      </c>
      <c r="U59" s="141">
        <v>0</v>
      </c>
      <c r="V59" s="144">
        <v>0</v>
      </c>
      <c r="W59" s="143">
        <v>0</v>
      </c>
      <c r="X59" s="141">
        <v>0</v>
      </c>
      <c r="Y59" s="141">
        <v>0</v>
      </c>
      <c r="Z59" s="141">
        <v>0</v>
      </c>
      <c r="AA59" s="144">
        <v>0</v>
      </c>
      <c r="AB59" s="350"/>
      <c r="AC59" s="354" t="s">
        <v>2308</v>
      </c>
      <c r="AD59" s="354" t="s">
        <v>2284</v>
      </c>
      <c r="AE59" s="354" t="s">
        <v>2288</v>
      </c>
      <c r="AF59" s="355">
        <v>4.8000000000000001E-2</v>
      </c>
      <c r="AG59" s="354">
        <v>8549</v>
      </c>
      <c r="AH59" s="356">
        <v>0</v>
      </c>
      <c r="AI59" s="341"/>
      <c r="AJ59" s="341"/>
      <c r="AK59" s="341"/>
      <c r="AL59" s="341"/>
      <c r="AM59" s="341"/>
      <c r="AN59" s="341"/>
    </row>
    <row r="60" spans="1:40" s="330" customFormat="1" ht="15" customHeight="1">
      <c r="A60" s="251"/>
      <c r="B60" s="349"/>
      <c r="C60" s="339"/>
      <c r="D60" s="776" t="s">
        <v>85</v>
      </c>
      <c r="E60" s="784"/>
      <c r="F60" s="784"/>
      <c r="G60" s="293" t="s">
        <v>2309</v>
      </c>
      <c r="H60" s="339"/>
      <c r="I60" s="316" t="s">
        <v>498</v>
      </c>
      <c r="J60" s="143">
        <v>0</v>
      </c>
      <c r="K60" s="141">
        <v>0</v>
      </c>
      <c r="L60" s="141">
        <v>1.1093359184427597E-2</v>
      </c>
      <c r="M60" s="141">
        <v>3.9207107574915454E-2</v>
      </c>
      <c r="N60" s="141">
        <v>4.5105773084813819E-3</v>
      </c>
      <c r="O60" s="141">
        <v>3.7624099999999999E-3</v>
      </c>
      <c r="P60" s="141">
        <v>0</v>
      </c>
      <c r="Q60" s="144">
        <v>0</v>
      </c>
      <c r="R60" s="143">
        <v>0</v>
      </c>
      <c r="S60" s="141">
        <v>0</v>
      </c>
      <c r="T60" s="141">
        <v>1.1551270791688266</v>
      </c>
      <c r="U60" s="141">
        <v>0</v>
      </c>
      <c r="V60" s="144">
        <v>0</v>
      </c>
      <c r="W60" s="143">
        <v>0</v>
      </c>
      <c r="X60" s="141">
        <v>0</v>
      </c>
      <c r="Y60" s="141">
        <v>0</v>
      </c>
      <c r="Z60" s="141">
        <v>0</v>
      </c>
      <c r="AA60" s="144">
        <v>0</v>
      </c>
      <c r="AB60" s="350"/>
      <c r="AC60" s="354" t="s">
        <v>2296</v>
      </c>
      <c r="AD60" s="354" t="s">
        <v>2290</v>
      </c>
      <c r="AE60" s="354" t="s">
        <v>2285</v>
      </c>
      <c r="AF60" s="355">
        <v>7.4999999999999997E-2</v>
      </c>
      <c r="AG60" s="354">
        <v>11248</v>
      </c>
      <c r="AH60" s="356">
        <v>0</v>
      </c>
      <c r="AI60" s="341"/>
      <c r="AJ60" s="341"/>
      <c r="AK60" s="341"/>
      <c r="AL60" s="341"/>
      <c r="AM60" s="341"/>
      <c r="AN60" s="341"/>
    </row>
    <row r="61" spans="1:40" s="330" customFormat="1" ht="15" customHeight="1">
      <c r="A61" s="251"/>
      <c r="B61" s="349"/>
      <c r="C61" s="339"/>
      <c r="D61" s="776" t="s">
        <v>85</v>
      </c>
      <c r="E61" s="784"/>
      <c r="F61" s="784"/>
      <c r="G61" s="293" t="s">
        <v>2310</v>
      </c>
      <c r="H61" s="339"/>
      <c r="I61" s="316" t="s">
        <v>498</v>
      </c>
      <c r="J61" s="143">
        <v>0</v>
      </c>
      <c r="K61" s="141">
        <v>0</v>
      </c>
      <c r="L61" s="141">
        <v>1.0974503051625334E-2</v>
      </c>
      <c r="M61" s="141">
        <v>3.8754352755630342E-2</v>
      </c>
      <c r="N61" s="141">
        <v>0</v>
      </c>
      <c r="O61" s="141">
        <v>4.9162200000000007E-3</v>
      </c>
      <c r="P61" s="141">
        <v>0</v>
      </c>
      <c r="Q61" s="144">
        <v>0</v>
      </c>
      <c r="R61" s="143">
        <v>0</v>
      </c>
      <c r="S61" s="141">
        <v>0</v>
      </c>
      <c r="T61" s="141">
        <v>0</v>
      </c>
      <c r="U61" s="141">
        <v>0.55446099800103676</v>
      </c>
      <c r="V61" s="144">
        <v>0</v>
      </c>
      <c r="W61" s="143">
        <v>0</v>
      </c>
      <c r="X61" s="141">
        <v>0</v>
      </c>
      <c r="Y61" s="141">
        <v>0</v>
      </c>
      <c r="Z61" s="141">
        <v>0</v>
      </c>
      <c r="AA61" s="144">
        <v>0</v>
      </c>
      <c r="AB61" s="350"/>
      <c r="AC61" s="354" t="s">
        <v>2311</v>
      </c>
      <c r="AD61" s="354" t="s">
        <v>2290</v>
      </c>
      <c r="AE61" s="354" t="s">
        <v>2302</v>
      </c>
      <c r="AF61" s="355">
        <v>3.5999999999999997E-2</v>
      </c>
      <c r="AG61" s="354">
        <v>3237</v>
      </c>
      <c r="AH61" s="356">
        <v>0</v>
      </c>
      <c r="AI61" s="341"/>
      <c r="AJ61" s="341"/>
      <c r="AK61" s="341"/>
      <c r="AL61" s="341"/>
      <c r="AM61" s="341"/>
      <c r="AN61" s="341"/>
    </row>
    <row r="62" spans="1:40" s="330" customFormat="1" ht="15" customHeight="1">
      <c r="A62" s="251"/>
      <c r="B62" s="349"/>
      <c r="C62" s="339"/>
      <c r="D62" s="776" t="s">
        <v>85</v>
      </c>
      <c r="E62" s="784"/>
      <c r="F62" s="784"/>
      <c r="G62" s="293" t="s">
        <v>2312</v>
      </c>
      <c r="H62" s="339"/>
      <c r="I62" s="316" t="s">
        <v>498</v>
      </c>
      <c r="J62" s="143">
        <v>0.10227134853880893</v>
      </c>
      <c r="K62" s="141">
        <v>0.59715439480519461</v>
      </c>
      <c r="L62" s="141">
        <v>8.6504605136168561E-2</v>
      </c>
      <c r="M62" s="141">
        <v>-3.6467587253652929E-3</v>
      </c>
      <c r="N62" s="141">
        <v>3.4366970710201231E-4</v>
      </c>
      <c r="O62" s="141">
        <v>0</v>
      </c>
      <c r="P62" s="141">
        <v>0</v>
      </c>
      <c r="Q62" s="144">
        <v>0</v>
      </c>
      <c r="R62" s="143">
        <v>0</v>
      </c>
      <c r="S62" s="141">
        <v>0</v>
      </c>
      <c r="T62" s="141">
        <v>0</v>
      </c>
      <c r="U62" s="141">
        <v>0</v>
      </c>
      <c r="V62" s="144">
        <v>0</v>
      </c>
      <c r="W62" s="143">
        <v>0</v>
      </c>
      <c r="X62" s="141">
        <v>0</v>
      </c>
      <c r="Y62" s="141">
        <v>0</v>
      </c>
      <c r="Z62" s="141">
        <v>0</v>
      </c>
      <c r="AA62" s="144">
        <v>0</v>
      </c>
      <c r="AB62" s="350"/>
      <c r="AC62" s="354" t="s">
        <v>2296</v>
      </c>
      <c r="AD62" s="354" t="s">
        <v>2284</v>
      </c>
      <c r="AE62" s="354" t="s">
        <v>2302</v>
      </c>
      <c r="AF62" s="355">
        <v>0.13300000000000001</v>
      </c>
      <c r="AG62" s="354">
        <v>12947</v>
      </c>
      <c r="AH62" s="356">
        <v>0</v>
      </c>
      <c r="AI62" s="341"/>
      <c r="AJ62" s="341"/>
      <c r="AK62" s="341"/>
      <c r="AL62" s="341"/>
      <c r="AM62" s="341"/>
      <c r="AN62" s="341"/>
    </row>
    <row r="63" spans="1:40" s="330" customFormat="1" ht="15" customHeight="1">
      <c r="A63" s="251"/>
      <c r="B63" s="349"/>
      <c r="C63" s="339"/>
      <c r="D63" s="776" t="s">
        <v>85</v>
      </c>
      <c r="E63" s="784"/>
      <c r="F63" s="784"/>
      <c r="G63" s="293" t="s">
        <v>2313</v>
      </c>
      <c r="H63" s="339"/>
      <c r="I63" s="316" t="s">
        <v>498</v>
      </c>
      <c r="J63" s="143">
        <v>0</v>
      </c>
      <c r="K63" s="141">
        <v>5.1878477922077906E-2</v>
      </c>
      <c r="L63" s="141">
        <v>1.5707628576795581E-2</v>
      </c>
      <c r="M63" s="141">
        <v>0</v>
      </c>
      <c r="N63" s="141">
        <v>2.1607877292330522E-2</v>
      </c>
      <c r="O63" s="141">
        <v>1.2891999999999998E-4</v>
      </c>
      <c r="P63" s="141">
        <v>0.95491651590587967</v>
      </c>
      <c r="Q63" s="144">
        <v>0</v>
      </c>
      <c r="R63" s="143">
        <v>0</v>
      </c>
      <c r="S63" s="141">
        <v>0</v>
      </c>
      <c r="T63" s="141">
        <v>0</v>
      </c>
      <c r="U63" s="141">
        <v>0</v>
      </c>
      <c r="V63" s="144">
        <v>0</v>
      </c>
      <c r="W63" s="143">
        <v>0</v>
      </c>
      <c r="X63" s="141">
        <v>0</v>
      </c>
      <c r="Y63" s="141">
        <v>0</v>
      </c>
      <c r="Z63" s="141">
        <v>0</v>
      </c>
      <c r="AA63" s="144">
        <v>0</v>
      </c>
      <c r="AB63" s="350"/>
      <c r="AC63" s="354" t="s">
        <v>2314</v>
      </c>
      <c r="AD63" s="354" t="s">
        <v>2290</v>
      </c>
      <c r="AE63" s="354" t="s">
        <v>2288</v>
      </c>
      <c r="AF63" s="355">
        <v>7.3999999999999996E-2</v>
      </c>
      <c r="AG63" s="3018">
        <v>19372</v>
      </c>
      <c r="AH63" s="356">
        <v>0</v>
      </c>
      <c r="AI63" s="341"/>
      <c r="AJ63" s="341"/>
      <c r="AK63" s="341"/>
      <c r="AL63" s="341"/>
      <c r="AM63" s="341"/>
      <c r="AN63" s="341"/>
    </row>
    <row r="64" spans="1:40" s="330" customFormat="1" ht="15" customHeight="1">
      <c r="A64" s="251"/>
      <c r="B64" s="349"/>
      <c r="C64" s="339"/>
      <c r="D64" s="776" t="s">
        <v>85</v>
      </c>
      <c r="E64" s="784"/>
      <c r="F64" s="784"/>
      <c r="G64" s="293" t="s">
        <v>2315</v>
      </c>
      <c r="H64" s="339"/>
      <c r="I64" s="316" t="s">
        <v>498</v>
      </c>
      <c r="J64" s="143">
        <v>0</v>
      </c>
      <c r="K64" s="141">
        <v>0</v>
      </c>
      <c r="L64" s="141">
        <v>0</v>
      </c>
      <c r="M64" s="141">
        <v>0</v>
      </c>
      <c r="N64" s="141">
        <v>0</v>
      </c>
      <c r="O64" s="141">
        <v>0</v>
      </c>
      <c r="P64" s="141">
        <v>0.97935115576978993</v>
      </c>
      <c r="Q64" s="144">
        <v>0</v>
      </c>
      <c r="R64" s="143">
        <v>0</v>
      </c>
      <c r="S64" s="141">
        <v>0</v>
      </c>
      <c r="T64" s="141">
        <v>0</v>
      </c>
      <c r="U64" s="141">
        <v>0</v>
      </c>
      <c r="V64" s="144">
        <v>0</v>
      </c>
      <c r="W64" s="143">
        <v>0</v>
      </c>
      <c r="X64" s="141">
        <v>0</v>
      </c>
      <c r="Y64" s="141">
        <v>0</v>
      </c>
      <c r="Z64" s="141">
        <v>0</v>
      </c>
      <c r="AA64" s="144">
        <v>0</v>
      </c>
      <c r="AB64" s="350"/>
      <c r="AC64" s="354" t="s">
        <v>2314</v>
      </c>
      <c r="AD64" s="354" t="s">
        <v>2290</v>
      </c>
      <c r="AE64" s="354" t="s">
        <v>2288</v>
      </c>
      <c r="AF64" s="355">
        <v>9.6000000000000002E-2</v>
      </c>
      <c r="AG64" s="3020"/>
      <c r="AH64" s="356">
        <v>0</v>
      </c>
      <c r="AI64" s="341"/>
      <c r="AJ64" s="341"/>
      <c r="AK64" s="341"/>
      <c r="AL64" s="341"/>
      <c r="AM64" s="341"/>
      <c r="AN64" s="341"/>
    </row>
    <row r="65" spans="1:40" s="330" customFormat="1" ht="15" customHeight="1">
      <c r="A65" s="251"/>
      <c r="B65" s="349"/>
      <c r="C65" s="339"/>
      <c r="D65" s="776" t="s">
        <v>85</v>
      </c>
      <c r="E65" s="784"/>
      <c r="F65" s="784"/>
      <c r="G65" s="293" t="s">
        <v>2316</v>
      </c>
      <c r="H65" s="339"/>
      <c r="I65" s="316" t="s">
        <v>498</v>
      </c>
      <c r="J65" s="143">
        <v>0</v>
      </c>
      <c r="K65" s="141">
        <v>0</v>
      </c>
      <c r="L65" s="141">
        <v>2.80322254735706E-2</v>
      </c>
      <c r="M65" s="141">
        <v>0.43194636135902953</v>
      </c>
      <c r="N65" s="141">
        <v>2.7426157615784184E-2</v>
      </c>
      <c r="O65" s="141">
        <v>-2.3149999999999998E-3</v>
      </c>
      <c r="P65" s="141">
        <v>0</v>
      </c>
      <c r="Q65" s="144">
        <v>0</v>
      </c>
      <c r="R65" s="143">
        <v>0</v>
      </c>
      <c r="S65" s="141">
        <v>0</v>
      </c>
      <c r="T65" s="141">
        <v>0</v>
      </c>
      <c r="U65" s="141">
        <v>0</v>
      </c>
      <c r="V65" s="144">
        <v>0</v>
      </c>
      <c r="W65" s="143">
        <v>0</v>
      </c>
      <c r="X65" s="141">
        <v>0</v>
      </c>
      <c r="Y65" s="141">
        <v>0</v>
      </c>
      <c r="Z65" s="141">
        <v>0</v>
      </c>
      <c r="AA65" s="144">
        <v>0</v>
      </c>
      <c r="AB65" s="350"/>
      <c r="AC65" s="354" t="s">
        <v>2317</v>
      </c>
      <c r="AD65" s="354" t="s">
        <v>2284</v>
      </c>
      <c r="AE65" s="354" t="s">
        <v>2288</v>
      </c>
      <c r="AF65" s="355">
        <v>1.2E-2</v>
      </c>
      <c r="AG65" s="354">
        <v>3566</v>
      </c>
      <c r="AH65" s="356">
        <v>0</v>
      </c>
      <c r="AI65" s="341"/>
      <c r="AJ65" s="341"/>
      <c r="AK65" s="341"/>
      <c r="AL65" s="341"/>
      <c r="AM65" s="341"/>
      <c r="AN65" s="341"/>
    </row>
    <row r="66" spans="1:40" s="330" customFormat="1" ht="15" customHeight="1">
      <c r="A66" s="251"/>
      <c r="B66" s="349"/>
      <c r="C66" s="339"/>
      <c r="D66" s="776" t="s">
        <v>85</v>
      </c>
      <c r="E66" s="784"/>
      <c r="F66" s="784"/>
      <c r="G66" s="293" t="s">
        <v>2318</v>
      </c>
      <c r="H66" s="339"/>
      <c r="I66" s="316" t="s">
        <v>498</v>
      </c>
      <c r="J66" s="143">
        <v>6.6077998344436339E-2</v>
      </c>
      <c r="K66" s="141">
        <v>0</v>
      </c>
      <c r="L66" s="141">
        <v>0</v>
      </c>
      <c r="M66" s="141">
        <v>5.437539578553313E-4</v>
      </c>
      <c r="N66" s="141">
        <v>0</v>
      </c>
      <c r="O66" s="141">
        <v>8.6297539999999992E-2</v>
      </c>
      <c r="P66" s="141">
        <v>0</v>
      </c>
      <c r="Q66" s="144">
        <v>0</v>
      </c>
      <c r="R66" s="143">
        <v>0.50423897094510683</v>
      </c>
      <c r="S66" s="141">
        <v>0</v>
      </c>
      <c r="T66" s="141">
        <v>0</v>
      </c>
      <c r="U66" s="141">
        <v>0</v>
      </c>
      <c r="V66" s="144">
        <v>0</v>
      </c>
      <c r="W66" s="143">
        <v>0</v>
      </c>
      <c r="X66" s="141">
        <v>0</v>
      </c>
      <c r="Y66" s="141">
        <v>0</v>
      </c>
      <c r="Z66" s="141">
        <v>0</v>
      </c>
      <c r="AA66" s="144">
        <v>0</v>
      </c>
      <c r="AB66" s="350"/>
      <c r="AC66" s="354" t="s">
        <v>2283</v>
      </c>
      <c r="AD66" s="354" t="s">
        <v>2290</v>
      </c>
      <c r="AE66" s="354" t="s">
        <v>2302</v>
      </c>
      <c r="AF66" s="355">
        <v>2.3E-2</v>
      </c>
      <c r="AG66" s="3018">
        <v>31931</v>
      </c>
      <c r="AH66" s="356">
        <v>0</v>
      </c>
      <c r="AI66" s="341"/>
      <c r="AJ66" s="341"/>
      <c r="AK66" s="341"/>
      <c r="AL66" s="341"/>
      <c r="AM66" s="341"/>
      <c r="AN66" s="341"/>
    </row>
    <row r="67" spans="1:40" s="330" customFormat="1" ht="15" customHeight="1">
      <c r="A67" s="251"/>
      <c r="B67" s="349"/>
      <c r="C67" s="339"/>
      <c r="D67" s="776" t="s">
        <v>85</v>
      </c>
      <c r="E67" s="784"/>
      <c r="F67" s="784"/>
      <c r="G67" s="293" t="s">
        <v>2319</v>
      </c>
      <c r="H67" s="339"/>
      <c r="I67" s="316" t="s">
        <v>498</v>
      </c>
      <c r="J67" s="143">
        <v>0</v>
      </c>
      <c r="K67" s="141">
        <v>0</v>
      </c>
      <c r="L67" s="141">
        <v>0</v>
      </c>
      <c r="M67" s="141">
        <v>0</v>
      </c>
      <c r="N67" s="141">
        <v>0</v>
      </c>
      <c r="O67" s="141">
        <v>0</v>
      </c>
      <c r="P67" s="141">
        <v>0</v>
      </c>
      <c r="Q67" s="144">
        <v>0</v>
      </c>
      <c r="R67" s="143">
        <v>0.58526438677887216</v>
      </c>
      <c r="S67" s="141">
        <v>0</v>
      </c>
      <c r="T67" s="141">
        <v>0</v>
      </c>
      <c r="U67" s="141">
        <v>0</v>
      </c>
      <c r="V67" s="144">
        <v>0</v>
      </c>
      <c r="W67" s="143">
        <v>0</v>
      </c>
      <c r="X67" s="141">
        <v>0</v>
      </c>
      <c r="Y67" s="141">
        <v>0</v>
      </c>
      <c r="Z67" s="141">
        <v>0</v>
      </c>
      <c r="AA67" s="144">
        <v>0</v>
      </c>
      <c r="AB67" s="350"/>
      <c r="AC67" s="354" t="s">
        <v>2283</v>
      </c>
      <c r="AD67" s="354" t="s">
        <v>2290</v>
      </c>
      <c r="AE67" s="354" t="s">
        <v>2302</v>
      </c>
      <c r="AF67" s="355">
        <v>3.7999999999999999E-2</v>
      </c>
      <c r="AG67" s="3019"/>
      <c r="AH67" s="356">
        <v>0</v>
      </c>
      <c r="AI67" s="341"/>
      <c r="AJ67" s="341"/>
      <c r="AK67" s="341"/>
      <c r="AL67" s="341"/>
      <c r="AM67" s="341"/>
      <c r="AN67" s="341"/>
    </row>
    <row r="68" spans="1:40" s="330" customFormat="1" ht="15" customHeight="1">
      <c r="A68" s="251"/>
      <c r="B68" s="349"/>
      <c r="C68" s="339"/>
      <c r="D68" s="776" t="s">
        <v>85</v>
      </c>
      <c r="E68" s="784"/>
      <c r="F68" s="784"/>
      <c r="G68" s="293" t="s">
        <v>2320</v>
      </c>
      <c r="H68" s="339"/>
      <c r="I68" s="316" t="s">
        <v>498</v>
      </c>
      <c r="J68" s="143">
        <v>0</v>
      </c>
      <c r="K68" s="141">
        <v>0</v>
      </c>
      <c r="L68" s="141">
        <v>0</v>
      </c>
      <c r="M68" s="141">
        <v>0</v>
      </c>
      <c r="N68" s="141">
        <v>0</v>
      </c>
      <c r="O68" s="141">
        <v>0</v>
      </c>
      <c r="P68" s="141">
        <v>0</v>
      </c>
      <c r="Q68" s="144">
        <v>0</v>
      </c>
      <c r="R68" s="143">
        <v>0.95490505211289667</v>
      </c>
      <c r="S68" s="141">
        <v>0</v>
      </c>
      <c r="T68" s="141">
        <v>0</v>
      </c>
      <c r="U68" s="141">
        <v>0</v>
      </c>
      <c r="V68" s="144">
        <v>0</v>
      </c>
      <c r="W68" s="143">
        <v>0</v>
      </c>
      <c r="X68" s="141">
        <v>0</v>
      </c>
      <c r="Y68" s="141">
        <v>0</v>
      </c>
      <c r="Z68" s="141">
        <v>0</v>
      </c>
      <c r="AA68" s="144">
        <v>0</v>
      </c>
      <c r="AB68" s="350"/>
      <c r="AC68" s="354" t="s">
        <v>2283</v>
      </c>
      <c r="AD68" s="354" t="s">
        <v>2290</v>
      </c>
      <c r="AE68" s="354" t="s">
        <v>2288</v>
      </c>
      <c r="AF68" s="355">
        <v>6.2E-2</v>
      </c>
      <c r="AG68" s="3020"/>
      <c r="AH68" s="356">
        <v>0</v>
      </c>
      <c r="AI68" s="341"/>
      <c r="AJ68" s="341"/>
      <c r="AK68" s="341"/>
      <c r="AL68" s="341"/>
      <c r="AM68" s="341"/>
      <c r="AN68" s="341"/>
    </row>
    <row r="69" spans="1:40" s="330" customFormat="1" ht="15" customHeight="1">
      <c r="A69" s="251"/>
      <c r="B69" s="349"/>
      <c r="C69" s="339"/>
      <c r="D69" s="776" t="s">
        <v>85</v>
      </c>
      <c r="E69" s="784"/>
      <c r="F69" s="784"/>
      <c r="G69" s="293" t="s">
        <v>2321</v>
      </c>
      <c r="H69" s="339"/>
      <c r="I69" s="316" t="s">
        <v>498</v>
      </c>
      <c r="J69" s="143">
        <v>0</v>
      </c>
      <c r="K69" s="141">
        <v>6.070885714285712E-2</v>
      </c>
      <c r="L69" s="141">
        <v>0.3814356698346652</v>
      </c>
      <c r="M69" s="141">
        <v>-1.0082776398381834E-2</v>
      </c>
      <c r="N69" s="141">
        <v>5.0153537845388256E-3</v>
      </c>
      <c r="O69" s="141">
        <v>0</v>
      </c>
      <c r="P69" s="141">
        <v>0</v>
      </c>
      <c r="Q69" s="144">
        <v>0</v>
      </c>
      <c r="R69" s="143">
        <v>0</v>
      </c>
      <c r="S69" s="141">
        <v>0</v>
      </c>
      <c r="T69" s="141">
        <v>0</v>
      </c>
      <c r="U69" s="141">
        <v>0</v>
      </c>
      <c r="V69" s="144">
        <v>0</v>
      </c>
      <c r="W69" s="143">
        <v>0</v>
      </c>
      <c r="X69" s="141">
        <v>0</v>
      </c>
      <c r="Y69" s="141">
        <v>0</v>
      </c>
      <c r="Z69" s="141">
        <v>0</v>
      </c>
      <c r="AA69" s="144">
        <v>0</v>
      </c>
      <c r="AB69" s="350"/>
      <c r="AC69" s="354" t="s">
        <v>2322</v>
      </c>
      <c r="AD69" s="354" t="s">
        <v>2284</v>
      </c>
      <c r="AE69" s="354" t="s">
        <v>2288</v>
      </c>
      <c r="AF69" s="355">
        <v>7.4999999999999997E-2</v>
      </c>
      <c r="AG69" s="354">
        <v>6797</v>
      </c>
      <c r="AH69" s="356">
        <v>0</v>
      </c>
      <c r="AI69" s="341"/>
      <c r="AJ69" s="341"/>
      <c r="AK69" s="341"/>
      <c r="AL69" s="341"/>
      <c r="AM69" s="341"/>
      <c r="AN69" s="341"/>
    </row>
    <row r="70" spans="1:40" s="330" customFormat="1" ht="15" customHeight="1">
      <c r="A70" s="251"/>
      <c r="B70" s="349"/>
      <c r="C70" s="339"/>
      <c r="D70" s="776" t="s">
        <v>85</v>
      </c>
      <c r="E70" s="784"/>
      <c r="F70" s="784"/>
      <c r="G70" s="293" t="s">
        <v>2323</v>
      </c>
      <c r="H70" s="339"/>
      <c r="I70" s="316" t="s">
        <v>498</v>
      </c>
      <c r="J70" s="143">
        <v>0</v>
      </c>
      <c r="K70" s="141">
        <v>4.0840503896103879E-2</v>
      </c>
      <c r="L70" s="141">
        <v>3.2905447041346514E-2</v>
      </c>
      <c r="M70" s="141">
        <v>0</v>
      </c>
      <c r="N70" s="141">
        <v>8.0848535623554048E-3</v>
      </c>
      <c r="O70" s="141">
        <v>3.79452E-3</v>
      </c>
      <c r="P70" s="141">
        <v>0.80592438860222293</v>
      </c>
      <c r="Q70" s="144">
        <v>0</v>
      </c>
      <c r="R70" s="143">
        <v>0</v>
      </c>
      <c r="S70" s="141">
        <v>0</v>
      </c>
      <c r="T70" s="141">
        <v>0</v>
      </c>
      <c r="U70" s="141">
        <v>0</v>
      </c>
      <c r="V70" s="144">
        <v>0</v>
      </c>
      <c r="W70" s="143">
        <v>0</v>
      </c>
      <c r="X70" s="141">
        <v>0</v>
      </c>
      <c r="Y70" s="141">
        <v>0</v>
      </c>
      <c r="Z70" s="141">
        <v>0</v>
      </c>
      <c r="AA70" s="144">
        <v>0</v>
      </c>
      <c r="AB70" s="350"/>
      <c r="AC70" s="354" t="s">
        <v>2324</v>
      </c>
      <c r="AD70" s="354" t="s">
        <v>2290</v>
      </c>
      <c r="AE70" s="354" t="s">
        <v>2288</v>
      </c>
      <c r="AF70" s="355">
        <v>7.9000000000000001E-2</v>
      </c>
      <c r="AG70" s="354">
        <v>5421</v>
      </c>
      <c r="AH70" s="356">
        <v>0</v>
      </c>
      <c r="AI70" s="341"/>
      <c r="AJ70" s="341"/>
      <c r="AK70" s="341"/>
      <c r="AL70" s="341"/>
      <c r="AM70" s="341"/>
      <c r="AN70" s="341"/>
    </row>
    <row r="71" spans="1:40" s="330" customFormat="1" ht="15" customHeight="1">
      <c r="A71" s="251"/>
      <c r="B71" s="349"/>
      <c r="C71" s="339"/>
      <c r="D71" s="776" t="s">
        <v>85</v>
      </c>
      <c r="E71" s="784"/>
      <c r="F71" s="784"/>
      <c r="G71" s="293" t="s">
        <v>2325</v>
      </c>
      <c r="H71" s="339"/>
      <c r="I71" s="316" t="s">
        <v>498</v>
      </c>
      <c r="J71" s="143">
        <v>0</v>
      </c>
      <c r="K71" s="141">
        <v>1.3245568831168827E-2</v>
      </c>
      <c r="L71" s="141">
        <v>2.1446171714146211E-2</v>
      </c>
      <c r="M71" s="141">
        <v>3.1074288891241988E-2</v>
      </c>
      <c r="N71" s="141">
        <v>1.9109810331747343E-2</v>
      </c>
      <c r="O71" s="141">
        <v>8.075810000000001E-3</v>
      </c>
      <c r="P71" s="141">
        <v>0</v>
      </c>
      <c r="Q71" s="144">
        <v>0</v>
      </c>
      <c r="R71" s="143">
        <v>0</v>
      </c>
      <c r="S71" s="141">
        <v>0</v>
      </c>
      <c r="T71" s="141">
        <v>0</v>
      </c>
      <c r="U71" s="141">
        <v>0.75468302505696672</v>
      </c>
      <c r="V71" s="144">
        <v>0</v>
      </c>
      <c r="W71" s="143">
        <v>0</v>
      </c>
      <c r="X71" s="141">
        <v>0</v>
      </c>
      <c r="Y71" s="141">
        <v>0</v>
      </c>
      <c r="Z71" s="141">
        <v>0</v>
      </c>
      <c r="AA71" s="144">
        <v>0</v>
      </c>
      <c r="AB71" s="350"/>
      <c r="AC71" s="354" t="s">
        <v>2326</v>
      </c>
      <c r="AD71" s="354" t="s">
        <v>2290</v>
      </c>
      <c r="AE71" s="354" t="s">
        <v>2302</v>
      </c>
      <c r="AF71" s="355">
        <v>4.9000000000000002E-2</v>
      </c>
      <c r="AG71" s="3018">
        <v>16601</v>
      </c>
      <c r="AH71" s="356">
        <v>0</v>
      </c>
      <c r="AI71" s="341"/>
      <c r="AJ71" s="341"/>
      <c r="AK71" s="341"/>
      <c r="AL71" s="341"/>
      <c r="AM71" s="341"/>
      <c r="AN71" s="341"/>
    </row>
    <row r="72" spans="1:40" s="330" customFormat="1" ht="15" customHeight="1">
      <c r="A72" s="251"/>
      <c r="B72" s="349"/>
      <c r="C72" s="339"/>
      <c r="D72" s="776" t="s">
        <v>85</v>
      </c>
      <c r="E72" s="784"/>
      <c r="F72" s="784"/>
      <c r="G72" s="293" t="s">
        <v>2327</v>
      </c>
      <c r="H72" s="339"/>
      <c r="I72" s="316" t="s">
        <v>498</v>
      </c>
      <c r="J72" s="143">
        <v>0</v>
      </c>
      <c r="K72" s="141">
        <v>0</v>
      </c>
      <c r="L72" s="141">
        <v>0</v>
      </c>
      <c r="M72" s="141">
        <v>0</v>
      </c>
      <c r="N72" s="141">
        <v>0</v>
      </c>
      <c r="O72" s="141">
        <v>0</v>
      </c>
      <c r="P72" s="141">
        <v>0</v>
      </c>
      <c r="Q72" s="144">
        <v>0</v>
      </c>
      <c r="R72" s="143">
        <v>0</v>
      </c>
      <c r="S72" s="141">
        <v>0</v>
      </c>
      <c r="T72" s="141">
        <v>0</v>
      </c>
      <c r="U72" s="141">
        <v>1.632579605225275</v>
      </c>
      <c r="V72" s="144">
        <v>0</v>
      </c>
      <c r="W72" s="143">
        <v>0</v>
      </c>
      <c r="X72" s="141">
        <v>0</v>
      </c>
      <c r="Y72" s="141">
        <v>0</v>
      </c>
      <c r="Z72" s="141">
        <v>0</v>
      </c>
      <c r="AA72" s="144">
        <v>0</v>
      </c>
      <c r="AB72" s="350"/>
      <c r="AC72" s="354" t="s">
        <v>2326</v>
      </c>
      <c r="AD72" s="354" t="s">
        <v>2290</v>
      </c>
      <c r="AE72" s="354" t="s">
        <v>2288</v>
      </c>
      <c r="AF72" s="355">
        <v>0.106</v>
      </c>
      <c r="AG72" s="3020"/>
      <c r="AH72" s="356">
        <v>0</v>
      </c>
      <c r="AI72" s="341"/>
      <c r="AJ72" s="341"/>
      <c r="AK72" s="341"/>
      <c r="AL72" s="341"/>
      <c r="AM72" s="341"/>
      <c r="AN72" s="341"/>
    </row>
    <row r="73" spans="1:40" s="330" customFormat="1" ht="15" customHeight="1">
      <c r="A73" s="251"/>
      <c r="B73" s="349"/>
      <c r="C73" s="339"/>
      <c r="D73" s="776" t="s">
        <v>85</v>
      </c>
      <c r="E73" s="784"/>
      <c r="F73" s="784"/>
      <c r="G73" s="293" t="s">
        <v>2328</v>
      </c>
      <c r="H73" s="339"/>
      <c r="I73" s="316" t="s">
        <v>498</v>
      </c>
      <c r="J73" s="143">
        <v>0</v>
      </c>
      <c r="K73" s="141">
        <v>0</v>
      </c>
      <c r="L73" s="141">
        <v>0</v>
      </c>
      <c r="M73" s="141">
        <v>6.6385751098297276E-3</v>
      </c>
      <c r="N73" s="141">
        <v>1.6648781542188656E-2</v>
      </c>
      <c r="O73" s="141">
        <v>7.1395299999999998E-3</v>
      </c>
      <c r="P73" s="141">
        <v>0</v>
      </c>
      <c r="Q73" s="144">
        <v>0</v>
      </c>
      <c r="R73" s="143">
        <v>0</v>
      </c>
      <c r="S73" s="141">
        <v>0</v>
      </c>
      <c r="T73" s="141">
        <v>0.19382991624610424</v>
      </c>
      <c r="U73" s="141">
        <v>0</v>
      </c>
      <c r="V73" s="144">
        <v>0</v>
      </c>
      <c r="W73" s="143">
        <v>0</v>
      </c>
      <c r="X73" s="141">
        <v>0</v>
      </c>
      <c r="Y73" s="141">
        <v>0</v>
      </c>
      <c r="Z73" s="141">
        <v>0</v>
      </c>
      <c r="AA73" s="144">
        <v>0</v>
      </c>
      <c r="AB73" s="350"/>
      <c r="AC73" s="354" t="s">
        <v>2329</v>
      </c>
      <c r="AD73" s="354" t="s">
        <v>2290</v>
      </c>
      <c r="AE73" s="354" t="s">
        <v>2288</v>
      </c>
      <c r="AF73" s="355">
        <v>1.9E-2</v>
      </c>
      <c r="AG73" s="354">
        <v>2630</v>
      </c>
      <c r="AH73" s="356">
        <v>0</v>
      </c>
      <c r="AI73" s="341"/>
      <c r="AJ73" s="341"/>
      <c r="AK73" s="341"/>
      <c r="AL73" s="341"/>
      <c r="AM73" s="341"/>
      <c r="AN73" s="341"/>
    </row>
    <row r="74" spans="1:40" s="330" customFormat="1" ht="15" customHeight="1">
      <c r="A74" s="251"/>
      <c r="B74" s="349"/>
      <c r="C74" s="339"/>
      <c r="D74" s="776" t="s">
        <v>85</v>
      </c>
      <c r="E74" s="784"/>
      <c r="F74" s="784"/>
      <c r="G74" s="293" t="s">
        <v>2330</v>
      </c>
      <c r="H74" s="339"/>
      <c r="I74" s="316" t="s">
        <v>498</v>
      </c>
      <c r="J74" s="143">
        <v>0</v>
      </c>
      <c r="K74" s="141">
        <v>0</v>
      </c>
      <c r="L74" s="141">
        <v>0</v>
      </c>
      <c r="M74" s="141">
        <v>5.9480509895876076E-2</v>
      </c>
      <c r="N74" s="141">
        <v>0</v>
      </c>
      <c r="O74" s="141">
        <v>7.18E-4</v>
      </c>
      <c r="P74" s="141">
        <v>0</v>
      </c>
      <c r="Q74" s="144">
        <v>0</v>
      </c>
      <c r="R74" s="143">
        <v>0</v>
      </c>
      <c r="S74" s="141">
        <v>0.36964066533402451</v>
      </c>
      <c r="T74" s="141">
        <v>0</v>
      </c>
      <c r="U74" s="141">
        <v>0</v>
      </c>
      <c r="V74" s="144">
        <v>0</v>
      </c>
      <c r="W74" s="143">
        <v>0</v>
      </c>
      <c r="X74" s="141">
        <v>0</v>
      </c>
      <c r="Y74" s="141">
        <v>0</v>
      </c>
      <c r="Z74" s="141">
        <v>0</v>
      </c>
      <c r="AA74" s="144">
        <v>0</v>
      </c>
      <c r="AB74" s="350"/>
      <c r="AC74" s="354" t="s">
        <v>2331</v>
      </c>
      <c r="AD74" s="354" t="s">
        <v>2290</v>
      </c>
      <c r="AE74" s="354" t="s">
        <v>2285</v>
      </c>
      <c r="AF74" s="355">
        <v>2.4E-2</v>
      </c>
      <c r="AG74" s="354">
        <v>7202</v>
      </c>
      <c r="AH74" s="356">
        <v>0</v>
      </c>
      <c r="AI74" s="341"/>
      <c r="AJ74" s="341"/>
      <c r="AK74" s="341"/>
      <c r="AL74" s="341"/>
      <c r="AM74" s="341"/>
      <c r="AN74" s="341"/>
    </row>
    <row r="75" spans="1:40" s="330" customFormat="1" ht="15" customHeight="1">
      <c r="A75" s="251"/>
      <c r="B75" s="349"/>
      <c r="C75" s="339"/>
      <c r="D75" s="776" t="s">
        <v>85</v>
      </c>
      <c r="E75" s="784"/>
      <c r="F75" s="784"/>
      <c r="G75" s="293" t="s">
        <v>2332</v>
      </c>
      <c r="H75" s="339"/>
      <c r="I75" s="316" t="s">
        <v>498</v>
      </c>
      <c r="J75" s="143">
        <v>0</v>
      </c>
      <c r="K75" s="141">
        <v>0</v>
      </c>
      <c r="L75" s="141">
        <v>0</v>
      </c>
      <c r="M75" s="141">
        <v>5.1936932979033304E-2</v>
      </c>
      <c r="N75" s="141">
        <v>0</v>
      </c>
      <c r="O75" s="141">
        <v>3.0705799999999998E-3</v>
      </c>
      <c r="P75" s="141">
        <v>0</v>
      </c>
      <c r="Q75" s="144">
        <v>0</v>
      </c>
      <c r="R75" s="143">
        <v>0</v>
      </c>
      <c r="S75" s="141">
        <v>0</v>
      </c>
      <c r="T75" s="141">
        <v>0.80088810822371981</v>
      </c>
      <c r="U75" s="141">
        <v>0</v>
      </c>
      <c r="V75" s="144">
        <v>0</v>
      </c>
      <c r="W75" s="143">
        <v>0</v>
      </c>
      <c r="X75" s="141">
        <v>0</v>
      </c>
      <c r="Y75" s="141">
        <v>0</v>
      </c>
      <c r="Z75" s="141">
        <v>0</v>
      </c>
      <c r="AA75" s="144">
        <v>0</v>
      </c>
      <c r="AB75" s="350"/>
      <c r="AC75" s="354" t="s">
        <v>2333</v>
      </c>
      <c r="AD75" s="354" t="s">
        <v>2290</v>
      </c>
      <c r="AE75" s="354" t="s">
        <v>2285</v>
      </c>
      <c r="AF75" s="355">
        <v>5.1999999999999998E-2</v>
      </c>
      <c r="AG75" s="354">
        <v>4977</v>
      </c>
      <c r="AH75" s="356">
        <v>0</v>
      </c>
      <c r="AI75" s="341"/>
      <c r="AJ75" s="341"/>
      <c r="AK75" s="341"/>
      <c r="AL75" s="341"/>
      <c r="AM75" s="341"/>
      <c r="AN75" s="341"/>
    </row>
    <row r="76" spans="1:40" ht="15" customHeight="1">
      <c r="A76" s="338"/>
      <c r="B76" s="349"/>
      <c r="C76" s="339"/>
      <c r="D76" s="776" t="s">
        <v>85</v>
      </c>
      <c r="E76" s="784"/>
      <c r="F76" s="784"/>
      <c r="G76" s="293" t="s">
        <v>2334</v>
      </c>
      <c r="H76" s="339"/>
      <c r="I76" s="316" t="s">
        <v>498</v>
      </c>
      <c r="J76" s="143">
        <v>0</v>
      </c>
      <c r="K76" s="141">
        <v>1.3245568831168827E-2</v>
      </c>
      <c r="L76" s="141">
        <v>2.1446171714146211E-2</v>
      </c>
      <c r="M76" s="141">
        <v>5.9825077349338826E-2</v>
      </c>
      <c r="N76" s="141">
        <v>7.0512020962940319E-2</v>
      </c>
      <c r="O76" s="141">
        <v>3.1178099999999999E-3</v>
      </c>
      <c r="P76" s="141">
        <v>0</v>
      </c>
      <c r="Q76" s="144">
        <v>0</v>
      </c>
      <c r="R76" s="143">
        <v>0</v>
      </c>
      <c r="S76" s="141">
        <v>0</v>
      </c>
      <c r="T76" s="141">
        <v>0</v>
      </c>
      <c r="U76" s="141">
        <v>0</v>
      </c>
      <c r="V76" s="144">
        <v>1.047315218446403</v>
      </c>
      <c r="W76" s="143">
        <v>0</v>
      </c>
      <c r="X76" s="141">
        <v>0</v>
      </c>
      <c r="Y76" s="141">
        <v>0</v>
      </c>
      <c r="Z76" s="141">
        <v>0</v>
      </c>
      <c r="AA76" s="144">
        <v>0</v>
      </c>
      <c r="AB76" s="350"/>
      <c r="AC76" s="354" t="s">
        <v>2335</v>
      </c>
      <c r="AD76" s="354" t="s">
        <v>2290</v>
      </c>
      <c r="AE76" s="354" t="s">
        <v>2285</v>
      </c>
      <c r="AF76" s="355">
        <v>6.8000000000000005E-2</v>
      </c>
      <c r="AG76" s="3018">
        <v>20999</v>
      </c>
      <c r="AH76" s="356">
        <v>0</v>
      </c>
    </row>
    <row r="77" spans="1:40" s="330" customFormat="1" ht="15" customHeight="1">
      <c r="A77" s="251"/>
      <c r="B77" s="349"/>
      <c r="C77" s="339"/>
      <c r="D77" s="776" t="s">
        <v>85</v>
      </c>
      <c r="E77" s="784"/>
      <c r="F77" s="784"/>
      <c r="G77" s="293" t="s">
        <v>2336</v>
      </c>
      <c r="H77" s="339"/>
      <c r="I77" s="316" t="s">
        <v>498</v>
      </c>
      <c r="J77" s="143">
        <v>0</v>
      </c>
      <c r="K77" s="141">
        <v>0</v>
      </c>
      <c r="L77" s="141">
        <v>0</v>
      </c>
      <c r="M77" s="141">
        <v>0</v>
      </c>
      <c r="N77" s="141">
        <v>0</v>
      </c>
      <c r="O77" s="141">
        <v>0</v>
      </c>
      <c r="P77" s="141">
        <v>0</v>
      </c>
      <c r="Q77" s="144">
        <v>0</v>
      </c>
      <c r="R77" s="143">
        <v>0</v>
      </c>
      <c r="S77" s="141">
        <v>0</v>
      </c>
      <c r="T77" s="141">
        <v>0</v>
      </c>
      <c r="U77" s="141">
        <v>0</v>
      </c>
      <c r="V77" s="144">
        <v>0.72387963627913132</v>
      </c>
      <c r="W77" s="143">
        <v>0</v>
      </c>
      <c r="X77" s="141">
        <v>0</v>
      </c>
      <c r="Y77" s="141">
        <v>0</v>
      </c>
      <c r="Z77" s="141">
        <v>0</v>
      </c>
      <c r="AA77" s="144">
        <v>0</v>
      </c>
      <c r="AB77" s="350"/>
      <c r="AC77" s="354" t="s">
        <v>2335</v>
      </c>
      <c r="AD77" s="354" t="s">
        <v>2290</v>
      </c>
      <c r="AE77" s="354" t="s">
        <v>2285</v>
      </c>
      <c r="AF77" s="355">
        <v>4.7E-2</v>
      </c>
      <c r="AG77" s="3019"/>
      <c r="AH77" s="356">
        <v>0</v>
      </c>
      <c r="AI77" s="341"/>
      <c r="AJ77" s="341"/>
      <c r="AK77" s="341"/>
      <c r="AL77" s="341"/>
      <c r="AM77" s="341"/>
      <c r="AN77" s="341"/>
    </row>
    <row r="78" spans="1:40" ht="15" customHeight="1">
      <c r="A78" s="338"/>
      <c r="B78" s="349"/>
      <c r="C78" s="339"/>
      <c r="D78" s="776" t="s">
        <v>85</v>
      </c>
      <c r="E78" s="784"/>
      <c r="F78" s="784"/>
      <c r="G78" s="293" t="s">
        <v>2337</v>
      </c>
      <c r="H78" s="339"/>
      <c r="I78" s="316" t="s">
        <v>498</v>
      </c>
      <c r="J78" s="143">
        <v>0</v>
      </c>
      <c r="K78" s="141">
        <v>0</v>
      </c>
      <c r="L78" s="141">
        <v>0</v>
      </c>
      <c r="M78" s="141">
        <v>0</v>
      </c>
      <c r="N78" s="141">
        <v>0</v>
      </c>
      <c r="O78" s="141">
        <v>0</v>
      </c>
      <c r="P78" s="141">
        <v>0</v>
      </c>
      <c r="Q78" s="144">
        <v>0</v>
      </c>
      <c r="R78" s="143">
        <v>0</v>
      </c>
      <c r="S78" s="141">
        <v>0</v>
      </c>
      <c r="T78" s="141">
        <v>0</v>
      </c>
      <c r="U78" s="141">
        <v>0</v>
      </c>
      <c r="V78" s="144">
        <v>0.8316914970015552</v>
      </c>
      <c r="W78" s="143">
        <v>0</v>
      </c>
      <c r="X78" s="141">
        <v>0</v>
      </c>
      <c r="Y78" s="141">
        <v>0</v>
      </c>
      <c r="Z78" s="141">
        <v>0</v>
      </c>
      <c r="AA78" s="144">
        <v>0</v>
      </c>
      <c r="AB78" s="350"/>
      <c r="AC78" s="354" t="s">
        <v>2335</v>
      </c>
      <c r="AD78" s="354" t="s">
        <v>2290</v>
      </c>
      <c r="AE78" s="354" t="s">
        <v>2288</v>
      </c>
      <c r="AF78" s="355">
        <v>5.3999999999999999E-2</v>
      </c>
      <c r="AG78" s="3020"/>
      <c r="AH78" s="356">
        <v>0</v>
      </c>
    </row>
    <row r="79" spans="1:40" ht="15" customHeight="1">
      <c r="A79" s="338"/>
      <c r="B79" s="349"/>
      <c r="C79" s="339"/>
      <c r="D79" s="776" t="s">
        <v>85</v>
      </c>
      <c r="E79" s="784"/>
      <c r="F79" s="784"/>
      <c r="G79" s="293" t="s">
        <v>2338</v>
      </c>
      <c r="H79" s="339"/>
      <c r="I79" s="316" t="s">
        <v>498</v>
      </c>
      <c r="J79" s="143">
        <v>0</v>
      </c>
      <c r="K79" s="141">
        <v>0</v>
      </c>
      <c r="L79" s="141">
        <v>0</v>
      </c>
      <c r="M79" s="141">
        <v>8.5213686264641909E-3</v>
      </c>
      <c r="N79" s="141">
        <v>9.120742364791129E-2</v>
      </c>
      <c r="O79" s="141">
        <v>-2.0881540000000001E-2</v>
      </c>
      <c r="P79" s="141">
        <v>0</v>
      </c>
      <c r="Q79" s="144">
        <v>0</v>
      </c>
      <c r="R79" s="143">
        <v>0</v>
      </c>
      <c r="S79" s="141">
        <v>0</v>
      </c>
      <c r="T79" s="141">
        <v>0</v>
      </c>
      <c r="U79" s="141">
        <v>0.36964066533402451</v>
      </c>
      <c r="V79" s="144">
        <v>0</v>
      </c>
      <c r="W79" s="143">
        <v>0</v>
      </c>
      <c r="X79" s="141">
        <v>0</v>
      </c>
      <c r="Y79" s="141">
        <v>0</v>
      </c>
      <c r="Z79" s="141">
        <v>0</v>
      </c>
      <c r="AA79" s="144">
        <v>0</v>
      </c>
      <c r="AB79" s="350"/>
      <c r="AC79" s="354" t="s">
        <v>2335</v>
      </c>
      <c r="AD79" s="354" t="s">
        <v>2290</v>
      </c>
      <c r="AE79" s="354" t="s">
        <v>2285</v>
      </c>
      <c r="AF79" s="355">
        <v>2.4E-2</v>
      </c>
      <c r="AG79" s="3018">
        <v>25490</v>
      </c>
      <c r="AH79" s="356">
        <v>0</v>
      </c>
    </row>
    <row r="80" spans="1:40" ht="15" customHeight="1">
      <c r="A80" s="338"/>
      <c r="B80" s="349"/>
      <c r="C80" s="339"/>
      <c r="D80" s="776" t="s">
        <v>85</v>
      </c>
      <c r="E80" s="784"/>
      <c r="F80" s="784"/>
      <c r="G80" s="293" t="s">
        <v>2339</v>
      </c>
      <c r="H80" s="339"/>
      <c r="I80" s="316" t="s">
        <v>498</v>
      </c>
      <c r="J80" s="143">
        <v>0</v>
      </c>
      <c r="K80" s="141">
        <v>0</v>
      </c>
      <c r="L80" s="141">
        <v>0</v>
      </c>
      <c r="M80" s="141">
        <v>0</v>
      </c>
      <c r="N80" s="141">
        <v>0</v>
      </c>
      <c r="O80" s="141">
        <v>0</v>
      </c>
      <c r="P80" s="141">
        <v>0</v>
      </c>
      <c r="Q80" s="144">
        <v>0</v>
      </c>
      <c r="R80" s="143">
        <v>0</v>
      </c>
      <c r="S80" s="141">
        <v>0</v>
      </c>
      <c r="T80" s="141">
        <v>0</v>
      </c>
      <c r="U80" s="141">
        <v>0.4004440541118599</v>
      </c>
      <c r="V80" s="144">
        <v>0</v>
      </c>
      <c r="W80" s="143">
        <v>0</v>
      </c>
      <c r="X80" s="141">
        <v>0</v>
      </c>
      <c r="Y80" s="141">
        <v>0</v>
      </c>
      <c r="Z80" s="141">
        <v>0</v>
      </c>
      <c r="AA80" s="144">
        <v>0</v>
      </c>
      <c r="AB80" s="350"/>
      <c r="AC80" s="354" t="s">
        <v>2335</v>
      </c>
      <c r="AD80" s="354" t="s">
        <v>2290</v>
      </c>
      <c r="AE80" s="354" t="s">
        <v>2285</v>
      </c>
      <c r="AF80" s="355">
        <v>2.5999999999999999E-2</v>
      </c>
      <c r="AG80" s="3020"/>
      <c r="AH80" s="356">
        <v>0</v>
      </c>
    </row>
    <row r="81" spans="1:34" ht="15" customHeight="1">
      <c r="A81" s="338"/>
      <c r="B81" s="349"/>
      <c r="C81" s="339"/>
      <c r="D81" s="776" t="s">
        <v>85</v>
      </c>
      <c r="E81" s="784"/>
      <c r="F81" s="784"/>
      <c r="G81" s="293" t="s">
        <v>2340</v>
      </c>
      <c r="H81" s="339"/>
      <c r="I81" s="316" t="s">
        <v>498</v>
      </c>
      <c r="J81" s="143">
        <v>0</v>
      </c>
      <c r="K81" s="141">
        <v>0</v>
      </c>
      <c r="L81" s="141">
        <v>0</v>
      </c>
      <c r="M81" s="141">
        <v>9.1460666580575993E-3</v>
      </c>
      <c r="N81" s="141">
        <v>2.6216749001265874E-2</v>
      </c>
      <c r="O81" s="141">
        <v>2.2520300000000004E-3</v>
      </c>
      <c r="P81" s="141">
        <v>0</v>
      </c>
      <c r="Q81" s="144">
        <v>0</v>
      </c>
      <c r="R81" s="143">
        <v>0</v>
      </c>
      <c r="S81" s="141">
        <v>0.26524093802098475</v>
      </c>
      <c r="T81" s="141">
        <v>0</v>
      </c>
      <c r="U81" s="141">
        <v>0</v>
      </c>
      <c r="V81" s="144">
        <v>0</v>
      </c>
      <c r="W81" s="143">
        <v>0</v>
      </c>
      <c r="X81" s="141">
        <v>0</v>
      </c>
      <c r="Y81" s="141">
        <v>0</v>
      </c>
      <c r="Z81" s="141">
        <v>0</v>
      </c>
      <c r="AA81" s="144">
        <v>0</v>
      </c>
      <c r="AB81" s="350"/>
      <c r="AC81" s="354" t="s">
        <v>2341</v>
      </c>
      <c r="AD81" s="354" t="s">
        <v>2290</v>
      </c>
      <c r="AE81" s="354" t="s">
        <v>2288</v>
      </c>
      <c r="AF81" s="355">
        <v>2.5999999999999999E-2</v>
      </c>
      <c r="AG81" s="354">
        <v>3087</v>
      </c>
      <c r="AH81" s="356">
        <v>0</v>
      </c>
    </row>
    <row r="82" spans="1:34" ht="15" customHeight="1">
      <c r="A82" s="338"/>
      <c r="B82" s="349"/>
      <c r="C82" s="339"/>
      <c r="D82" s="776" t="s">
        <v>85</v>
      </c>
      <c r="E82" s="784"/>
      <c r="F82" s="784"/>
      <c r="G82" s="293" t="s">
        <v>2342</v>
      </c>
      <c r="H82" s="339"/>
      <c r="I82" s="316" t="s">
        <v>498</v>
      </c>
      <c r="J82" s="143">
        <v>0</v>
      </c>
      <c r="K82" s="141">
        <v>1.3245568831168827E-2</v>
      </c>
      <c r="L82" s="141">
        <v>4.2373019443402273E-3</v>
      </c>
      <c r="M82" s="141">
        <v>1.4426312093768864E-2</v>
      </c>
      <c r="N82" s="141">
        <v>0</v>
      </c>
      <c r="O82" s="141">
        <v>0</v>
      </c>
      <c r="P82" s="141">
        <v>0</v>
      </c>
      <c r="Q82" s="144">
        <v>0</v>
      </c>
      <c r="R82" s="143">
        <v>0</v>
      </c>
      <c r="S82" s="141">
        <v>0</v>
      </c>
      <c r="T82" s="141">
        <v>0.21423306532464156</v>
      </c>
      <c r="U82" s="141">
        <v>0</v>
      </c>
      <c r="V82" s="144">
        <v>0</v>
      </c>
      <c r="W82" s="143">
        <v>0</v>
      </c>
      <c r="X82" s="141">
        <v>0</v>
      </c>
      <c r="Y82" s="141">
        <v>0</v>
      </c>
      <c r="Z82" s="141">
        <v>0</v>
      </c>
      <c r="AA82" s="144">
        <v>0</v>
      </c>
      <c r="AB82" s="350"/>
      <c r="AC82" s="354" t="s">
        <v>2343</v>
      </c>
      <c r="AD82" s="354" t="s">
        <v>2290</v>
      </c>
      <c r="AE82" s="354" t="s">
        <v>2344</v>
      </c>
      <c r="AF82" s="355">
        <v>2.1000000000000001E-2</v>
      </c>
      <c r="AG82" s="354">
        <v>2994</v>
      </c>
      <c r="AH82" s="356">
        <v>0</v>
      </c>
    </row>
    <row r="83" spans="1:34" ht="15" customHeight="1">
      <c r="A83" s="338"/>
      <c r="B83" s="349"/>
      <c r="C83" s="339"/>
      <c r="D83" s="776" t="s">
        <v>85</v>
      </c>
      <c r="E83" s="784"/>
      <c r="F83" s="784"/>
      <c r="G83" s="293" t="s">
        <v>2345</v>
      </c>
      <c r="H83" s="339"/>
      <c r="I83" s="316" t="s">
        <v>498</v>
      </c>
      <c r="J83" s="143">
        <v>0</v>
      </c>
      <c r="K83" s="141">
        <v>0</v>
      </c>
      <c r="L83" s="141">
        <v>0</v>
      </c>
      <c r="M83" s="141">
        <v>0</v>
      </c>
      <c r="N83" s="141">
        <v>0.12897114709109953</v>
      </c>
      <c r="O83" s="141">
        <v>4.4263030000000002E-2</v>
      </c>
      <c r="P83" s="141">
        <v>0</v>
      </c>
      <c r="Q83" s="144">
        <v>0</v>
      </c>
      <c r="R83" s="143">
        <v>0</v>
      </c>
      <c r="S83" s="141">
        <v>1.6787846883920281</v>
      </c>
      <c r="T83" s="141">
        <v>0</v>
      </c>
      <c r="U83" s="141">
        <v>0</v>
      </c>
      <c r="V83" s="144">
        <v>0</v>
      </c>
      <c r="W83" s="143">
        <v>0</v>
      </c>
      <c r="X83" s="141">
        <v>0</v>
      </c>
      <c r="Y83" s="141">
        <v>0</v>
      </c>
      <c r="Z83" s="141">
        <v>0</v>
      </c>
      <c r="AA83" s="144">
        <v>0</v>
      </c>
      <c r="AB83" s="350"/>
      <c r="AC83" s="354" t="s">
        <v>2346</v>
      </c>
      <c r="AD83" s="354" t="s">
        <v>2290</v>
      </c>
      <c r="AE83" s="354" t="s">
        <v>2302</v>
      </c>
      <c r="AF83" s="355">
        <v>0.109</v>
      </c>
      <c r="AG83" s="354">
        <v>9654</v>
      </c>
      <c r="AH83" s="356">
        <v>0</v>
      </c>
    </row>
    <row r="84" spans="1:34" ht="15" customHeight="1">
      <c r="A84" s="338"/>
      <c r="B84" s="349"/>
      <c r="C84" s="339"/>
      <c r="D84" s="776" t="s">
        <v>85</v>
      </c>
      <c r="E84" s="784"/>
      <c r="F84" s="784"/>
      <c r="G84" s="293" t="s">
        <v>2347</v>
      </c>
      <c r="H84" s="339"/>
      <c r="I84" s="316" t="s">
        <v>498</v>
      </c>
      <c r="J84" s="143">
        <v>0</v>
      </c>
      <c r="K84" s="141">
        <v>0</v>
      </c>
      <c r="L84" s="141">
        <v>0</v>
      </c>
      <c r="M84" s="141">
        <v>0</v>
      </c>
      <c r="N84" s="141">
        <v>3.9524994622637387E-2</v>
      </c>
      <c r="O84" s="141">
        <v>5.3224099999999996E-3</v>
      </c>
      <c r="P84" s="141">
        <v>0</v>
      </c>
      <c r="Q84" s="144">
        <v>0</v>
      </c>
      <c r="R84" s="143">
        <v>0</v>
      </c>
      <c r="S84" s="141">
        <v>0.4004440541118599</v>
      </c>
      <c r="T84" s="141">
        <v>0</v>
      </c>
      <c r="U84" s="141">
        <v>0</v>
      </c>
      <c r="V84" s="144">
        <v>0</v>
      </c>
      <c r="W84" s="143">
        <v>0</v>
      </c>
      <c r="X84" s="141">
        <v>0</v>
      </c>
      <c r="Y84" s="141">
        <v>0</v>
      </c>
      <c r="Z84" s="141">
        <v>0</v>
      </c>
      <c r="AA84" s="144">
        <v>0</v>
      </c>
      <c r="AB84" s="350"/>
      <c r="AC84" s="354" t="s">
        <v>2348</v>
      </c>
      <c r="AD84" s="354" t="s">
        <v>2290</v>
      </c>
      <c r="AE84" s="354" t="s">
        <v>2302</v>
      </c>
      <c r="AF84" s="355">
        <v>2.5999999999999999E-2</v>
      </c>
      <c r="AG84" s="3018">
        <v>8400</v>
      </c>
      <c r="AH84" s="356">
        <v>0</v>
      </c>
    </row>
    <row r="85" spans="1:34" ht="15" customHeight="1">
      <c r="A85" s="338"/>
      <c r="B85" s="349"/>
      <c r="C85" s="339"/>
      <c r="D85" s="776" t="s">
        <v>85</v>
      </c>
      <c r="E85" s="784"/>
      <c r="F85" s="784"/>
      <c r="G85" s="293" t="s">
        <v>2349</v>
      </c>
      <c r="H85" s="339"/>
      <c r="I85" s="316" t="s">
        <v>498</v>
      </c>
      <c r="J85" s="143">
        <v>0</v>
      </c>
      <c r="K85" s="141">
        <v>0</v>
      </c>
      <c r="L85" s="141">
        <v>0</v>
      </c>
      <c r="M85" s="141">
        <v>0</v>
      </c>
      <c r="N85" s="141">
        <v>0</v>
      </c>
      <c r="O85" s="141">
        <v>0</v>
      </c>
      <c r="P85" s="141">
        <v>0</v>
      </c>
      <c r="Q85" s="144">
        <v>0</v>
      </c>
      <c r="R85" s="143">
        <v>0</v>
      </c>
      <c r="S85" s="141">
        <v>0.4312474428896953</v>
      </c>
      <c r="T85" s="141">
        <v>0</v>
      </c>
      <c r="U85" s="141">
        <v>0</v>
      </c>
      <c r="V85" s="144">
        <v>0</v>
      </c>
      <c r="W85" s="143">
        <v>0</v>
      </c>
      <c r="X85" s="141">
        <v>0</v>
      </c>
      <c r="Y85" s="141">
        <v>0</v>
      </c>
      <c r="Z85" s="141">
        <v>0</v>
      </c>
      <c r="AA85" s="144">
        <v>0</v>
      </c>
      <c r="AB85" s="350"/>
      <c r="AC85" s="354" t="s">
        <v>2348</v>
      </c>
      <c r="AD85" s="354" t="s">
        <v>2290</v>
      </c>
      <c r="AE85" s="354" t="s">
        <v>2302</v>
      </c>
      <c r="AF85" s="355">
        <v>2.8000000000000001E-2</v>
      </c>
      <c r="AG85" s="3020"/>
      <c r="AH85" s="356">
        <v>0</v>
      </c>
    </row>
    <row r="86" spans="1:34" ht="15" customHeight="1">
      <c r="A86" s="338"/>
      <c r="B86" s="349"/>
      <c r="C86" s="339"/>
      <c r="D86" s="776" t="s">
        <v>85</v>
      </c>
      <c r="E86" s="784"/>
      <c r="F86" s="784"/>
      <c r="G86" s="293" t="s">
        <v>2350</v>
      </c>
      <c r="H86" s="339"/>
      <c r="I86" s="316" t="s">
        <v>498</v>
      </c>
      <c r="J86" s="143">
        <v>0</v>
      </c>
      <c r="K86" s="141">
        <v>1.3245568831168827E-2</v>
      </c>
      <c r="L86" s="141">
        <v>3.2543691518437612E-2</v>
      </c>
      <c r="M86" s="141">
        <v>0.86396323646617224</v>
      </c>
      <c r="N86" s="141">
        <v>-2.3007681068139156E-2</v>
      </c>
      <c r="O86" s="141">
        <v>-5.9637900000000001E-3</v>
      </c>
      <c r="P86" s="141">
        <v>0</v>
      </c>
      <c r="Q86" s="144">
        <v>0</v>
      </c>
      <c r="R86" s="143">
        <v>0</v>
      </c>
      <c r="S86" s="141">
        <v>0</v>
      </c>
      <c r="T86" s="141">
        <v>0</v>
      </c>
      <c r="U86" s="141">
        <v>0</v>
      </c>
      <c r="V86" s="144">
        <v>0</v>
      </c>
      <c r="W86" s="143">
        <v>0</v>
      </c>
      <c r="X86" s="141">
        <v>0</v>
      </c>
      <c r="Y86" s="141">
        <v>0</v>
      </c>
      <c r="Z86" s="141">
        <v>0</v>
      </c>
      <c r="AA86" s="144">
        <v>0</v>
      </c>
      <c r="AB86" s="350"/>
      <c r="AC86" s="354" t="s">
        <v>2343</v>
      </c>
      <c r="AD86" s="354" t="s">
        <v>2284</v>
      </c>
      <c r="AE86" s="354" t="s">
        <v>2288</v>
      </c>
      <c r="AF86" s="355">
        <v>7.6999999999999999E-2</v>
      </c>
      <c r="AG86" s="3018">
        <v>19093</v>
      </c>
      <c r="AH86" s="356">
        <v>0</v>
      </c>
    </row>
    <row r="87" spans="1:34" ht="15" customHeight="1">
      <c r="A87" s="338"/>
      <c r="B87" s="349"/>
      <c r="C87" s="339"/>
      <c r="D87" s="776" t="s">
        <v>85</v>
      </c>
      <c r="E87" s="784"/>
      <c r="F87" s="784"/>
      <c r="G87" s="293" t="s">
        <v>2351</v>
      </c>
      <c r="H87" s="339"/>
      <c r="I87" s="316" t="s">
        <v>498</v>
      </c>
      <c r="J87" s="143">
        <v>0</v>
      </c>
      <c r="K87" s="141">
        <v>0</v>
      </c>
      <c r="L87" s="141">
        <v>0</v>
      </c>
      <c r="M87" s="141">
        <v>0</v>
      </c>
      <c r="N87" s="141">
        <v>0</v>
      </c>
      <c r="O87" s="141">
        <v>0</v>
      </c>
      <c r="P87" s="141">
        <v>0</v>
      </c>
      <c r="Q87" s="144">
        <v>0</v>
      </c>
      <c r="R87" s="143">
        <v>0</v>
      </c>
      <c r="S87" s="141">
        <v>0</v>
      </c>
      <c r="T87" s="141">
        <v>0</v>
      </c>
      <c r="U87" s="141">
        <v>0</v>
      </c>
      <c r="V87" s="144">
        <v>0</v>
      </c>
      <c r="W87" s="143">
        <v>0</v>
      </c>
      <c r="X87" s="141">
        <v>0</v>
      </c>
      <c r="Y87" s="141">
        <v>0</v>
      </c>
      <c r="Z87" s="141">
        <v>0</v>
      </c>
      <c r="AA87" s="144">
        <v>0</v>
      </c>
      <c r="AB87" s="350"/>
      <c r="AC87" s="354" t="s">
        <v>2343</v>
      </c>
      <c r="AD87" s="354" t="s">
        <v>2284</v>
      </c>
      <c r="AE87" s="354" t="s">
        <v>2288</v>
      </c>
      <c r="AF87" s="355">
        <v>7.4999999999999997E-2</v>
      </c>
      <c r="AG87" s="3020"/>
      <c r="AH87" s="356">
        <v>0</v>
      </c>
    </row>
    <row r="88" spans="1:34" ht="15" customHeight="1">
      <c r="A88" s="338"/>
      <c r="B88" s="349"/>
      <c r="C88" s="339"/>
      <c r="D88" s="776" t="s">
        <v>85</v>
      </c>
      <c r="E88" s="784"/>
      <c r="F88" s="784"/>
      <c r="G88" s="293" t="s">
        <v>2352</v>
      </c>
      <c r="H88" s="339"/>
      <c r="I88" s="316" t="s">
        <v>498</v>
      </c>
      <c r="J88" s="143">
        <v>0</v>
      </c>
      <c r="K88" s="141">
        <v>0</v>
      </c>
      <c r="L88" s="141">
        <v>0</v>
      </c>
      <c r="M88" s="141">
        <v>0</v>
      </c>
      <c r="N88" s="141">
        <v>4.9418741342267224E-2</v>
      </c>
      <c r="O88" s="141">
        <v>1.598668E-2</v>
      </c>
      <c r="P88" s="141">
        <v>0</v>
      </c>
      <c r="Q88" s="144">
        <v>0</v>
      </c>
      <c r="R88" s="143">
        <v>0.20403149078537289</v>
      </c>
      <c r="S88" s="141">
        <v>0</v>
      </c>
      <c r="T88" s="141">
        <v>0</v>
      </c>
      <c r="U88" s="141">
        <v>0</v>
      </c>
      <c r="V88" s="144">
        <v>0</v>
      </c>
      <c r="W88" s="143">
        <v>0</v>
      </c>
      <c r="X88" s="141">
        <v>0</v>
      </c>
      <c r="Y88" s="141">
        <v>0</v>
      </c>
      <c r="Z88" s="141">
        <v>0</v>
      </c>
      <c r="AA88" s="144">
        <v>0</v>
      </c>
      <c r="AB88" s="350"/>
      <c r="AC88" s="354" t="s">
        <v>2353</v>
      </c>
      <c r="AD88" s="354" t="s">
        <v>2290</v>
      </c>
      <c r="AE88" s="354" t="s">
        <v>2288</v>
      </c>
      <c r="AF88" s="355">
        <v>0.02</v>
      </c>
      <c r="AG88" s="354">
        <v>13599</v>
      </c>
      <c r="AH88" s="356">
        <v>0</v>
      </c>
    </row>
    <row r="89" spans="1:34" ht="15" customHeight="1">
      <c r="A89" s="338"/>
      <c r="B89" s="349"/>
      <c r="C89" s="339"/>
      <c r="D89" s="776" t="s">
        <v>85</v>
      </c>
      <c r="E89" s="784"/>
      <c r="F89" s="784"/>
      <c r="G89" s="293" t="s">
        <v>2354</v>
      </c>
      <c r="H89" s="339"/>
      <c r="I89" s="316" t="s">
        <v>498</v>
      </c>
      <c r="J89" s="143">
        <v>0</v>
      </c>
      <c r="K89" s="141">
        <v>0</v>
      </c>
      <c r="L89" s="141">
        <v>0</v>
      </c>
      <c r="M89" s="141">
        <v>2.5687255566568038E-2</v>
      </c>
      <c r="N89" s="141">
        <v>0</v>
      </c>
      <c r="O89" s="141">
        <v>4.8875000000000004E-3</v>
      </c>
      <c r="P89" s="141">
        <v>0</v>
      </c>
      <c r="Q89" s="144">
        <v>0</v>
      </c>
      <c r="R89" s="143">
        <v>0.79572281406295431</v>
      </c>
      <c r="S89" s="141">
        <v>0</v>
      </c>
      <c r="T89" s="141">
        <v>0</v>
      </c>
      <c r="U89" s="141">
        <v>0</v>
      </c>
      <c r="V89" s="144">
        <v>0</v>
      </c>
      <c r="W89" s="143">
        <v>0</v>
      </c>
      <c r="X89" s="141">
        <v>0</v>
      </c>
      <c r="Y89" s="141">
        <v>0</v>
      </c>
      <c r="Z89" s="141">
        <v>0</v>
      </c>
      <c r="AA89" s="144">
        <v>0</v>
      </c>
      <c r="AB89" s="350"/>
      <c r="AC89" s="354" t="s">
        <v>2343</v>
      </c>
      <c r="AD89" s="354" t="s">
        <v>2290</v>
      </c>
      <c r="AE89" s="354" t="s">
        <v>2288</v>
      </c>
      <c r="AF89" s="355">
        <v>7.8E-2</v>
      </c>
      <c r="AG89" s="354">
        <v>1542</v>
      </c>
      <c r="AH89" s="356">
        <v>0</v>
      </c>
    </row>
    <row r="90" spans="1:34" ht="15" customHeight="1">
      <c r="A90" s="338"/>
      <c r="B90" s="349"/>
      <c r="C90" s="339"/>
      <c r="D90" s="776" t="s">
        <v>85</v>
      </c>
      <c r="E90" s="784"/>
      <c r="F90" s="784"/>
      <c r="G90" s="293" t="s">
        <v>2355</v>
      </c>
      <c r="H90" s="339"/>
      <c r="I90" s="316" t="s">
        <v>498</v>
      </c>
      <c r="J90" s="143">
        <v>0</v>
      </c>
      <c r="K90" s="141">
        <v>0</v>
      </c>
      <c r="L90" s="141">
        <v>7.7571317478093262E-3</v>
      </c>
      <c r="M90" s="141">
        <v>9.6502312223638406E-2</v>
      </c>
      <c r="N90" s="141">
        <v>0</v>
      </c>
      <c r="O90" s="141">
        <v>6.99521E-3</v>
      </c>
      <c r="P90" s="141">
        <v>0</v>
      </c>
      <c r="Q90" s="144">
        <v>0</v>
      </c>
      <c r="R90" s="143">
        <v>0</v>
      </c>
      <c r="S90" s="141">
        <v>0</v>
      </c>
      <c r="T90" s="141">
        <v>0.95490505211289667</v>
      </c>
      <c r="U90" s="141">
        <v>0</v>
      </c>
      <c r="V90" s="144">
        <v>0</v>
      </c>
      <c r="W90" s="143">
        <v>0</v>
      </c>
      <c r="X90" s="141">
        <v>0</v>
      </c>
      <c r="Y90" s="141">
        <v>0</v>
      </c>
      <c r="Z90" s="141">
        <v>0</v>
      </c>
      <c r="AA90" s="144">
        <v>0</v>
      </c>
      <c r="AB90" s="350"/>
      <c r="AC90" s="354" t="s">
        <v>2343</v>
      </c>
      <c r="AD90" s="354" t="s">
        <v>2290</v>
      </c>
      <c r="AE90" s="354" t="s">
        <v>2285</v>
      </c>
      <c r="AF90" s="355">
        <v>6.2E-2</v>
      </c>
      <c r="AG90" s="354">
        <v>8739</v>
      </c>
      <c r="AH90" s="356">
        <v>0</v>
      </c>
    </row>
    <row r="91" spans="1:34" ht="15" customHeight="1">
      <c r="A91" s="338"/>
      <c r="B91" s="349"/>
      <c r="C91" s="339"/>
      <c r="D91" s="776" t="s">
        <v>85</v>
      </c>
      <c r="E91" s="784"/>
      <c r="F91" s="784"/>
      <c r="G91" s="293" t="s">
        <v>2356</v>
      </c>
      <c r="H91" s="339"/>
      <c r="I91" s="316" t="s">
        <v>498</v>
      </c>
      <c r="J91" s="143">
        <v>0</v>
      </c>
      <c r="K91" s="141">
        <v>0</v>
      </c>
      <c r="L91" s="141">
        <v>0</v>
      </c>
      <c r="M91" s="141">
        <v>1.9005291328492928E-2</v>
      </c>
      <c r="N91" s="141">
        <v>6.9910320725479055E-3</v>
      </c>
      <c r="O91" s="141">
        <v>0</v>
      </c>
      <c r="P91" s="141">
        <v>0</v>
      </c>
      <c r="Q91" s="144">
        <v>0</v>
      </c>
      <c r="R91" s="143">
        <v>0</v>
      </c>
      <c r="S91" s="141">
        <v>0</v>
      </c>
      <c r="T91" s="141">
        <v>0</v>
      </c>
      <c r="U91" s="141">
        <v>0</v>
      </c>
      <c r="V91" s="144">
        <v>0.16322519262829832</v>
      </c>
      <c r="W91" s="143">
        <v>0</v>
      </c>
      <c r="X91" s="141">
        <v>0</v>
      </c>
      <c r="Y91" s="141">
        <v>0</v>
      </c>
      <c r="Z91" s="141">
        <v>0</v>
      </c>
      <c r="AA91" s="144">
        <v>0</v>
      </c>
      <c r="AB91" s="350"/>
      <c r="AC91" s="354" t="s">
        <v>2357</v>
      </c>
      <c r="AD91" s="354" t="s">
        <v>2290</v>
      </c>
      <c r="AE91" s="354" t="s">
        <v>2288</v>
      </c>
      <c r="AF91" s="355">
        <v>1.6E-2</v>
      </c>
      <c r="AG91" s="354">
        <v>1618</v>
      </c>
      <c r="AH91" s="356">
        <v>0</v>
      </c>
    </row>
    <row r="92" spans="1:34" ht="15" customHeight="1">
      <c r="A92" s="338"/>
      <c r="B92" s="349"/>
      <c r="C92" s="339"/>
      <c r="D92" s="776" t="s">
        <v>85</v>
      </c>
      <c r="E92" s="784"/>
      <c r="F92" s="784"/>
      <c r="G92" s="293" t="s">
        <v>2358</v>
      </c>
      <c r="H92" s="339"/>
      <c r="I92" s="316" t="s">
        <v>498</v>
      </c>
      <c r="J92" s="143">
        <v>0.27426501950066129</v>
      </c>
      <c r="K92" s="141">
        <v>0.27043036363636352</v>
      </c>
      <c r="L92" s="141">
        <v>0.10677287369811124</v>
      </c>
      <c r="M92" s="141">
        <v>0</v>
      </c>
      <c r="N92" s="141">
        <v>0</v>
      </c>
      <c r="O92" s="141">
        <v>0</v>
      </c>
      <c r="P92" s="141">
        <v>0</v>
      </c>
      <c r="Q92" s="144">
        <v>0</v>
      </c>
      <c r="R92" s="143">
        <v>0</v>
      </c>
      <c r="S92" s="141">
        <v>0</v>
      </c>
      <c r="T92" s="141">
        <v>0</v>
      </c>
      <c r="U92" s="141">
        <v>0</v>
      </c>
      <c r="V92" s="144">
        <v>0</v>
      </c>
      <c r="W92" s="143">
        <v>0</v>
      </c>
      <c r="X92" s="141">
        <v>0</v>
      </c>
      <c r="Y92" s="141">
        <v>0</v>
      </c>
      <c r="Z92" s="141">
        <v>0</v>
      </c>
      <c r="AA92" s="144">
        <v>0</v>
      </c>
      <c r="AB92" s="350"/>
      <c r="AC92" s="354" t="s">
        <v>2326</v>
      </c>
      <c r="AD92" s="354" t="s">
        <v>2284</v>
      </c>
      <c r="AE92" s="354" t="s">
        <v>2302</v>
      </c>
      <c r="AF92" s="355">
        <v>4.4999999999999998E-2</v>
      </c>
      <c r="AG92" s="354">
        <v>11450</v>
      </c>
      <c r="AH92" s="356">
        <v>0</v>
      </c>
    </row>
    <row r="93" spans="1:34" ht="15" customHeight="1">
      <c r="A93" s="338"/>
      <c r="B93" s="349"/>
      <c r="C93" s="339"/>
      <c r="D93" s="776" t="s">
        <v>85</v>
      </c>
      <c r="E93" s="784"/>
      <c r="F93" s="784"/>
      <c r="G93" s="293"/>
      <c r="H93" s="339"/>
      <c r="I93" s="316" t="s">
        <v>498</v>
      </c>
      <c r="J93" s="143">
        <v>0</v>
      </c>
      <c r="K93" s="141">
        <v>0</v>
      </c>
      <c r="L93" s="141">
        <v>0</v>
      </c>
      <c r="M93" s="141">
        <v>0</v>
      </c>
      <c r="N93" s="141">
        <v>0</v>
      </c>
      <c r="O93" s="141">
        <v>0</v>
      </c>
      <c r="P93" s="141">
        <v>0</v>
      </c>
      <c r="Q93" s="144">
        <v>0</v>
      </c>
      <c r="R93" s="143">
        <v>0</v>
      </c>
      <c r="S93" s="141">
        <v>0</v>
      </c>
      <c r="T93" s="141">
        <v>0</v>
      </c>
      <c r="U93" s="141">
        <v>0</v>
      </c>
      <c r="V93" s="144">
        <v>0</v>
      </c>
      <c r="W93" s="143">
        <v>0</v>
      </c>
      <c r="X93" s="141">
        <v>0</v>
      </c>
      <c r="Y93" s="141">
        <v>0</v>
      </c>
      <c r="Z93" s="141">
        <v>0</v>
      </c>
      <c r="AA93" s="144">
        <v>0</v>
      </c>
      <c r="AB93" s="350"/>
      <c r="AC93" s="354">
        <v>0</v>
      </c>
      <c r="AD93" s="354"/>
      <c r="AE93" s="354"/>
      <c r="AF93" s="355">
        <v>0</v>
      </c>
      <c r="AG93" s="354">
        <v>0</v>
      </c>
      <c r="AH93" s="356">
        <v>0</v>
      </c>
    </row>
    <row r="94" spans="1:34" ht="15" customHeight="1">
      <c r="A94" s="338"/>
      <c r="B94" s="349"/>
      <c r="C94" s="339"/>
      <c r="D94" s="776" t="s">
        <v>85</v>
      </c>
      <c r="E94" s="784"/>
      <c r="F94" s="784"/>
      <c r="G94" s="293"/>
      <c r="H94" s="339"/>
      <c r="I94" s="316" t="s">
        <v>498</v>
      </c>
      <c r="J94" s="143">
        <v>0</v>
      </c>
      <c r="K94" s="141">
        <v>0</v>
      </c>
      <c r="L94" s="141">
        <v>0</v>
      </c>
      <c r="M94" s="141">
        <v>0</v>
      </c>
      <c r="N94" s="141">
        <v>0</v>
      </c>
      <c r="O94" s="141">
        <v>0</v>
      </c>
      <c r="P94" s="141">
        <v>0</v>
      </c>
      <c r="Q94" s="144">
        <v>0</v>
      </c>
      <c r="R94" s="143">
        <v>0</v>
      </c>
      <c r="S94" s="141">
        <v>0</v>
      </c>
      <c r="T94" s="141">
        <v>0</v>
      </c>
      <c r="U94" s="141">
        <v>0</v>
      </c>
      <c r="V94" s="144">
        <v>0</v>
      </c>
      <c r="W94" s="143">
        <v>0</v>
      </c>
      <c r="X94" s="141">
        <v>0</v>
      </c>
      <c r="Y94" s="141">
        <v>0</v>
      </c>
      <c r="Z94" s="141">
        <v>0</v>
      </c>
      <c r="AA94" s="144">
        <v>0</v>
      </c>
      <c r="AB94" s="350"/>
      <c r="AC94" s="354">
        <v>0</v>
      </c>
      <c r="AD94" s="354"/>
      <c r="AE94" s="354"/>
      <c r="AF94" s="355">
        <v>0</v>
      </c>
      <c r="AG94" s="354">
        <v>0</v>
      </c>
      <c r="AH94" s="356">
        <v>0</v>
      </c>
    </row>
    <row r="95" spans="1:34" ht="15" customHeight="1">
      <c r="A95" s="338"/>
      <c r="B95" s="349"/>
      <c r="C95" s="339"/>
      <c r="D95" s="776" t="s">
        <v>85</v>
      </c>
      <c r="E95" s="784"/>
      <c r="F95" s="784"/>
      <c r="G95" s="293"/>
      <c r="H95" s="339"/>
      <c r="I95" s="316" t="s">
        <v>498</v>
      </c>
      <c r="J95" s="143">
        <v>0</v>
      </c>
      <c r="K95" s="141">
        <v>0</v>
      </c>
      <c r="L95" s="141">
        <v>0</v>
      </c>
      <c r="M95" s="141">
        <v>0</v>
      </c>
      <c r="N95" s="141">
        <v>0</v>
      </c>
      <c r="O95" s="141">
        <v>0</v>
      </c>
      <c r="P95" s="141">
        <v>0</v>
      </c>
      <c r="Q95" s="144">
        <v>0</v>
      </c>
      <c r="R95" s="143">
        <v>0</v>
      </c>
      <c r="S95" s="141">
        <v>0</v>
      </c>
      <c r="T95" s="141">
        <v>0</v>
      </c>
      <c r="U95" s="141">
        <v>0</v>
      </c>
      <c r="V95" s="144">
        <v>0</v>
      </c>
      <c r="W95" s="143">
        <v>0</v>
      </c>
      <c r="X95" s="141">
        <v>0</v>
      </c>
      <c r="Y95" s="141">
        <v>0</v>
      </c>
      <c r="Z95" s="141">
        <v>0</v>
      </c>
      <c r="AA95" s="144">
        <v>0</v>
      </c>
      <c r="AB95" s="350"/>
      <c r="AC95" s="354">
        <v>0</v>
      </c>
      <c r="AD95" s="354"/>
      <c r="AE95" s="354"/>
      <c r="AF95" s="355">
        <v>0</v>
      </c>
      <c r="AG95" s="354">
        <v>0</v>
      </c>
      <c r="AH95" s="356">
        <v>0</v>
      </c>
    </row>
    <row r="96" spans="1:34" ht="15" customHeight="1">
      <c r="A96" s="338"/>
      <c r="B96" s="349"/>
      <c r="C96" s="339"/>
      <c r="D96" s="776" t="s">
        <v>85</v>
      </c>
      <c r="E96" s="784"/>
      <c r="F96" s="784"/>
      <c r="G96" s="293"/>
      <c r="H96" s="339"/>
      <c r="I96" s="316" t="s">
        <v>498</v>
      </c>
      <c r="J96" s="143">
        <v>0</v>
      </c>
      <c r="K96" s="141">
        <v>0</v>
      </c>
      <c r="L96" s="141">
        <v>0</v>
      </c>
      <c r="M96" s="141">
        <v>0</v>
      </c>
      <c r="N96" s="141">
        <v>0</v>
      </c>
      <c r="O96" s="141">
        <v>0</v>
      </c>
      <c r="P96" s="141">
        <v>0</v>
      </c>
      <c r="Q96" s="144">
        <v>0</v>
      </c>
      <c r="R96" s="143">
        <v>0</v>
      </c>
      <c r="S96" s="141">
        <v>0</v>
      </c>
      <c r="T96" s="141">
        <v>0</v>
      </c>
      <c r="U96" s="141">
        <v>0</v>
      </c>
      <c r="V96" s="144">
        <v>0</v>
      </c>
      <c r="W96" s="143">
        <v>0</v>
      </c>
      <c r="X96" s="141">
        <v>0</v>
      </c>
      <c r="Y96" s="141">
        <v>0</v>
      </c>
      <c r="Z96" s="141">
        <v>0</v>
      </c>
      <c r="AA96" s="144">
        <v>0</v>
      </c>
      <c r="AB96" s="350"/>
      <c r="AC96" s="354">
        <v>0</v>
      </c>
      <c r="AD96" s="354"/>
      <c r="AE96" s="354"/>
      <c r="AF96" s="355">
        <v>0</v>
      </c>
      <c r="AG96" s="354">
        <v>0</v>
      </c>
      <c r="AH96" s="356">
        <v>0</v>
      </c>
    </row>
    <row r="97" spans="1:34" ht="15" customHeight="1">
      <c r="A97" s="338"/>
      <c r="B97" s="349"/>
      <c r="C97" s="339"/>
      <c r="D97" s="776" t="s">
        <v>85</v>
      </c>
      <c r="E97" s="784"/>
      <c r="F97" s="784"/>
      <c r="G97" s="293"/>
      <c r="H97" s="339"/>
      <c r="I97" s="316" t="s">
        <v>498</v>
      </c>
      <c r="J97" s="143">
        <v>0</v>
      </c>
      <c r="K97" s="141">
        <v>0</v>
      </c>
      <c r="L97" s="141">
        <v>0</v>
      </c>
      <c r="M97" s="141">
        <v>0</v>
      </c>
      <c r="N97" s="141">
        <v>0</v>
      </c>
      <c r="O97" s="141">
        <v>0</v>
      </c>
      <c r="P97" s="141">
        <v>0</v>
      </c>
      <c r="Q97" s="144">
        <v>0</v>
      </c>
      <c r="R97" s="143">
        <v>0</v>
      </c>
      <c r="S97" s="141">
        <v>0</v>
      </c>
      <c r="T97" s="141">
        <v>0</v>
      </c>
      <c r="U97" s="141">
        <v>0</v>
      </c>
      <c r="V97" s="144">
        <v>0</v>
      </c>
      <c r="W97" s="143">
        <v>0</v>
      </c>
      <c r="X97" s="141">
        <v>0</v>
      </c>
      <c r="Y97" s="141">
        <v>0</v>
      </c>
      <c r="Z97" s="141">
        <v>0</v>
      </c>
      <c r="AA97" s="144">
        <v>0</v>
      </c>
      <c r="AB97" s="350"/>
      <c r="AC97" s="354">
        <v>0</v>
      </c>
      <c r="AD97" s="354"/>
      <c r="AE97" s="354"/>
      <c r="AF97" s="355">
        <v>0</v>
      </c>
      <c r="AG97" s="354">
        <v>0</v>
      </c>
      <c r="AH97" s="356">
        <v>0</v>
      </c>
    </row>
    <row r="98" spans="1:34" ht="15" customHeight="1">
      <c r="A98" s="338"/>
      <c r="B98" s="349"/>
      <c r="C98" s="339"/>
      <c r="D98" s="776" t="s">
        <v>85</v>
      </c>
      <c r="E98" s="784"/>
      <c r="F98" s="784"/>
      <c r="G98" s="293"/>
      <c r="H98" s="339"/>
      <c r="I98" s="316" t="s">
        <v>498</v>
      </c>
      <c r="J98" s="143">
        <v>0</v>
      </c>
      <c r="K98" s="141">
        <v>0</v>
      </c>
      <c r="L98" s="141">
        <v>0</v>
      </c>
      <c r="M98" s="141">
        <v>0</v>
      </c>
      <c r="N98" s="141">
        <v>0</v>
      </c>
      <c r="O98" s="141">
        <v>0</v>
      </c>
      <c r="P98" s="141">
        <v>0</v>
      </c>
      <c r="Q98" s="144">
        <v>0</v>
      </c>
      <c r="R98" s="143">
        <v>0</v>
      </c>
      <c r="S98" s="141">
        <v>0</v>
      </c>
      <c r="T98" s="141">
        <v>0</v>
      </c>
      <c r="U98" s="141">
        <v>0</v>
      </c>
      <c r="V98" s="144">
        <v>0</v>
      </c>
      <c r="W98" s="143">
        <v>0</v>
      </c>
      <c r="X98" s="141">
        <v>0</v>
      </c>
      <c r="Y98" s="141">
        <v>0</v>
      </c>
      <c r="Z98" s="141">
        <v>0</v>
      </c>
      <c r="AA98" s="144">
        <v>0</v>
      </c>
      <c r="AB98" s="350"/>
      <c r="AC98" s="354">
        <v>0</v>
      </c>
      <c r="AD98" s="354"/>
      <c r="AE98" s="354"/>
      <c r="AF98" s="355">
        <v>0</v>
      </c>
      <c r="AG98" s="354">
        <v>0</v>
      </c>
      <c r="AH98" s="356">
        <v>0</v>
      </c>
    </row>
    <row r="99" spans="1:34" ht="15" customHeight="1">
      <c r="A99" s="338"/>
      <c r="B99" s="349"/>
      <c r="C99" s="339"/>
      <c r="D99" s="776" t="s">
        <v>85</v>
      </c>
      <c r="E99" s="784"/>
      <c r="F99" s="784"/>
      <c r="G99" s="293"/>
      <c r="H99" s="339"/>
      <c r="I99" s="316" t="s">
        <v>498</v>
      </c>
      <c r="J99" s="143">
        <v>0</v>
      </c>
      <c r="K99" s="141">
        <v>0</v>
      </c>
      <c r="L99" s="141">
        <v>0</v>
      </c>
      <c r="M99" s="141">
        <v>0</v>
      </c>
      <c r="N99" s="141">
        <v>0</v>
      </c>
      <c r="O99" s="141">
        <v>0</v>
      </c>
      <c r="P99" s="141">
        <v>0</v>
      </c>
      <c r="Q99" s="144">
        <v>0</v>
      </c>
      <c r="R99" s="143">
        <v>0</v>
      </c>
      <c r="S99" s="141">
        <v>0</v>
      </c>
      <c r="T99" s="141">
        <v>0</v>
      </c>
      <c r="U99" s="141">
        <v>0</v>
      </c>
      <c r="V99" s="144">
        <v>0</v>
      </c>
      <c r="W99" s="143">
        <v>0</v>
      </c>
      <c r="X99" s="141">
        <v>0</v>
      </c>
      <c r="Y99" s="141">
        <v>0</v>
      </c>
      <c r="Z99" s="141">
        <v>0</v>
      </c>
      <c r="AA99" s="144">
        <v>0</v>
      </c>
      <c r="AB99" s="350"/>
      <c r="AC99" s="354">
        <v>0</v>
      </c>
      <c r="AD99" s="354"/>
      <c r="AE99" s="354"/>
      <c r="AF99" s="355">
        <v>0</v>
      </c>
      <c r="AG99" s="354">
        <v>0</v>
      </c>
      <c r="AH99" s="356">
        <v>0</v>
      </c>
    </row>
    <row r="100" spans="1:34" ht="15" customHeight="1">
      <c r="A100" s="338"/>
      <c r="B100" s="349"/>
      <c r="C100" s="339"/>
      <c r="D100" s="776" t="s">
        <v>85</v>
      </c>
      <c r="E100" s="784"/>
      <c r="F100" s="784"/>
      <c r="G100" s="293"/>
      <c r="H100" s="339"/>
      <c r="I100" s="316" t="s">
        <v>498</v>
      </c>
      <c r="J100" s="143">
        <v>0</v>
      </c>
      <c r="K100" s="141">
        <v>0</v>
      </c>
      <c r="L100" s="141">
        <v>0</v>
      </c>
      <c r="M100" s="141">
        <v>0</v>
      </c>
      <c r="N100" s="141">
        <v>0</v>
      </c>
      <c r="O100" s="141">
        <v>0</v>
      </c>
      <c r="P100" s="141">
        <v>0</v>
      </c>
      <c r="Q100" s="144">
        <v>0</v>
      </c>
      <c r="R100" s="143">
        <v>0</v>
      </c>
      <c r="S100" s="141">
        <v>0</v>
      </c>
      <c r="T100" s="141">
        <v>0</v>
      </c>
      <c r="U100" s="141">
        <v>0</v>
      </c>
      <c r="V100" s="144">
        <v>0</v>
      </c>
      <c r="W100" s="143">
        <v>0</v>
      </c>
      <c r="X100" s="141">
        <v>0</v>
      </c>
      <c r="Y100" s="141">
        <v>0</v>
      </c>
      <c r="Z100" s="141">
        <v>0</v>
      </c>
      <c r="AA100" s="144">
        <v>0</v>
      </c>
      <c r="AB100" s="350"/>
      <c r="AC100" s="354">
        <v>0</v>
      </c>
      <c r="AD100" s="354"/>
      <c r="AE100" s="354"/>
      <c r="AF100" s="355">
        <v>0</v>
      </c>
      <c r="AG100" s="354">
        <v>0</v>
      </c>
      <c r="AH100" s="356">
        <v>0</v>
      </c>
    </row>
    <row r="101" spans="1:34" ht="15" customHeight="1">
      <c r="A101" s="338"/>
      <c r="B101" s="349"/>
      <c r="C101" s="339"/>
      <c r="D101" s="776" t="s">
        <v>85</v>
      </c>
      <c r="E101" s="784"/>
      <c r="F101" s="784"/>
      <c r="G101" s="293"/>
      <c r="H101" s="339"/>
      <c r="I101" s="316" t="s">
        <v>498</v>
      </c>
      <c r="J101" s="143">
        <v>0</v>
      </c>
      <c r="K101" s="141">
        <v>0</v>
      </c>
      <c r="L101" s="141">
        <v>0</v>
      </c>
      <c r="M101" s="141">
        <v>0</v>
      </c>
      <c r="N101" s="141">
        <v>0</v>
      </c>
      <c r="O101" s="141">
        <v>0</v>
      </c>
      <c r="P101" s="141">
        <v>0</v>
      </c>
      <c r="Q101" s="144">
        <v>0</v>
      </c>
      <c r="R101" s="143">
        <v>0</v>
      </c>
      <c r="S101" s="141">
        <v>0</v>
      </c>
      <c r="T101" s="141">
        <v>0</v>
      </c>
      <c r="U101" s="141">
        <v>0</v>
      </c>
      <c r="V101" s="144">
        <v>0</v>
      </c>
      <c r="W101" s="143">
        <v>0</v>
      </c>
      <c r="X101" s="141">
        <v>0</v>
      </c>
      <c r="Y101" s="141">
        <v>0</v>
      </c>
      <c r="Z101" s="141">
        <v>0</v>
      </c>
      <c r="AA101" s="144">
        <v>0</v>
      </c>
      <c r="AB101" s="350"/>
      <c r="AC101" s="354">
        <v>0</v>
      </c>
      <c r="AD101" s="354"/>
      <c r="AE101" s="354"/>
      <c r="AF101" s="355">
        <v>0</v>
      </c>
      <c r="AG101" s="354">
        <v>0</v>
      </c>
      <c r="AH101" s="356">
        <v>0</v>
      </c>
    </row>
    <row r="102" spans="1:34" ht="15" customHeight="1">
      <c r="A102" s="338"/>
      <c r="B102" s="349"/>
      <c r="C102" s="339"/>
      <c r="D102" s="776" t="s">
        <v>85</v>
      </c>
      <c r="E102" s="784"/>
      <c r="F102" s="784"/>
      <c r="G102" s="293"/>
      <c r="H102" s="339"/>
      <c r="I102" s="316" t="s">
        <v>498</v>
      </c>
      <c r="J102" s="143">
        <v>0</v>
      </c>
      <c r="K102" s="141">
        <v>0</v>
      </c>
      <c r="L102" s="141">
        <v>0</v>
      </c>
      <c r="M102" s="141">
        <v>0</v>
      </c>
      <c r="N102" s="141">
        <v>0</v>
      </c>
      <c r="O102" s="141">
        <v>0</v>
      </c>
      <c r="P102" s="141">
        <v>0</v>
      </c>
      <c r="Q102" s="144">
        <v>0</v>
      </c>
      <c r="R102" s="143">
        <v>0</v>
      </c>
      <c r="S102" s="141">
        <v>0</v>
      </c>
      <c r="T102" s="141">
        <v>0</v>
      </c>
      <c r="U102" s="141">
        <v>0</v>
      </c>
      <c r="V102" s="144">
        <v>0</v>
      </c>
      <c r="W102" s="143">
        <v>0</v>
      </c>
      <c r="X102" s="141">
        <v>0</v>
      </c>
      <c r="Y102" s="141">
        <v>0</v>
      </c>
      <c r="Z102" s="141">
        <v>0</v>
      </c>
      <c r="AA102" s="144">
        <v>0</v>
      </c>
      <c r="AB102" s="350"/>
      <c r="AC102" s="354">
        <v>0</v>
      </c>
      <c r="AD102" s="354"/>
      <c r="AE102" s="354"/>
      <c r="AF102" s="355">
        <v>0</v>
      </c>
      <c r="AG102" s="354">
        <v>0</v>
      </c>
      <c r="AH102" s="356">
        <v>0</v>
      </c>
    </row>
    <row r="103" spans="1:34" ht="15" customHeight="1">
      <c r="A103" s="338"/>
      <c r="B103" s="349"/>
      <c r="C103" s="339"/>
      <c r="D103" s="776" t="s">
        <v>85</v>
      </c>
      <c r="E103" s="784"/>
      <c r="F103" s="784"/>
      <c r="G103" s="293"/>
      <c r="H103" s="339"/>
      <c r="I103" s="316" t="s">
        <v>498</v>
      </c>
      <c r="J103" s="143">
        <v>0</v>
      </c>
      <c r="K103" s="141">
        <v>0</v>
      </c>
      <c r="L103" s="141">
        <v>0</v>
      </c>
      <c r="M103" s="141">
        <v>0</v>
      </c>
      <c r="N103" s="141">
        <v>0</v>
      </c>
      <c r="O103" s="141">
        <v>0</v>
      </c>
      <c r="P103" s="141">
        <v>0</v>
      </c>
      <c r="Q103" s="144">
        <v>0</v>
      </c>
      <c r="R103" s="143">
        <v>0</v>
      </c>
      <c r="S103" s="141">
        <v>0</v>
      </c>
      <c r="T103" s="141">
        <v>0</v>
      </c>
      <c r="U103" s="141">
        <v>0</v>
      </c>
      <c r="V103" s="144">
        <v>0</v>
      </c>
      <c r="W103" s="143">
        <v>0</v>
      </c>
      <c r="X103" s="141">
        <v>0</v>
      </c>
      <c r="Y103" s="141">
        <v>0</v>
      </c>
      <c r="Z103" s="141">
        <v>0</v>
      </c>
      <c r="AA103" s="144">
        <v>0</v>
      </c>
      <c r="AB103" s="350"/>
      <c r="AC103" s="354">
        <v>0</v>
      </c>
      <c r="AD103" s="354"/>
      <c r="AE103" s="354"/>
      <c r="AF103" s="355">
        <v>0</v>
      </c>
      <c r="AG103" s="354">
        <v>0</v>
      </c>
      <c r="AH103" s="356">
        <v>0</v>
      </c>
    </row>
    <row r="104" spans="1:34" ht="15" customHeight="1">
      <c r="A104" s="338"/>
      <c r="B104" s="349"/>
      <c r="C104" s="339"/>
      <c r="D104" s="776" t="s">
        <v>85</v>
      </c>
      <c r="E104" s="784"/>
      <c r="F104" s="784"/>
      <c r="G104" s="293"/>
      <c r="H104" s="339"/>
      <c r="I104" s="316" t="s">
        <v>498</v>
      </c>
      <c r="J104" s="143">
        <v>0</v>
      </c>
      <c r="K104" s="141">
        <v>0</v>
      </c>
      <c r="L104" s="141">
        <v>0</v>
      </c>
      <c r="M104" s="141">
        <v>0</v>
      </c>
      <c r="N104" s="141">
        <v>0</v>
      </c>
      <c r="O104" s="141">
        <v>0</v>
      </c>
      <c r="P104" s="141">
        <v>0</v>
      </c>
      <c r="Q104" s="144">
        <v>0</v>
      </c>
      <c r="R104" s="143">
        <v>0</v>
      </c>
      <c r="S104" s="141">
        <v>0</v>
      </c>
      <c r="T104" s="141">
        <v>0</v>
      </c>
      <c r="U104" s="141">
        <v>0</v>
      </c>
      <c r="V104" s="144">
        <v>0</v>
      </c>
      <c r="W104" s="143">
        <v>0</v>
      </c>
      <c r="X104" s="141">
        <v>0</v>
      </c>
      <c r="Y104" s="141">
        <v>0</v>
      </c>
      <c r="Z104" s="141">
        <v>0</v>
      </c>
      <c r="AA104" s="144">
        <v>0</v>
      </c>
      <c r="AB104" s="350"/>
      <c r="AC104" s="354">
        <v>0</v>
      </c>
      <c r="AD104" s="354"/>
      <c r="AE104" s="354"/>
      <c r="AF104" s="355">
        <v>0</v>
      </c>
      <c r="AG104" s="354">
        <v>0</v>
      </c>
      <c r="AH104" s="356">
        <v>0</v>
      </c>
    </row>
    <row r="105" spans="1:34" ht="15" customHeight="1">
      <c r="A105" s="338"/>
      <c r="B105" s="349"/>
      <c r="C105" s="339"/>
      <c r="D105" s="776" t="s">
        <v>85</v>
      </c>
      <c r="E105" s="784"/>
      <c r="F105" s="784"/>
      <c r="G105" s="293"/>
      <c r="H105" s="339"/>
      <c r="I105" s="316" t="s">
        <v>498</v>
      </c>
      <c r="J105" s="143">
        <v>0</v>
      </c>
      <c r="K105" s="141">
        <v>0</v>
      </c>
      <c r="L105" s="141">
        <v>0</v>
      </c>
      <c r="M105" s="141">
        <v>0</v>
      </c>
      <c r="N105" s="141">
        <v>0</v>
      </c>
      <c r="O105" s="141">
        <v>0</v>
      </c>
      <c r="P105" s="141">
        <v>0</v>
      </c>
      <c r="Q105" s="144">
        <v>0</v>
      </c>
      <c r="R105" s="143">
        <v>0</v>
      </c>
      <c r="S105" s="141">
        <v>0</v>
      </c>
      <c r="T105" s="141">
        <v>0</v>
      </c>
      <c r="U105" s="141">
        <v>0</v>
      </c>
      <c r="V105" s="144">
        <v>0</v>
      </c>
      <c r="W105" s="143">
        <v>0</v>
      </c>
      <c r="X105" s="141">
        <v>0</v>
      </c>
      <c r="Y105" s="141">
        <v>0</v>
      </c>
      <c r="Z105" s="141">
        <v>0</v>
      </c>
      <c r="AA105" s="144">
        <v>0</v>
      </c>
      <c r="AB105" s="350"/>
      <c r="AC105" s="354">
        <v>0</v>
      </c>
      <c r="AD105" s="354"/>
      <c r="AE105" s="354"/>
      <c r="AF105" s="355">
        <v>0</v>
      </c>
      <c r="AG105" s="354">
        <v>0</v>
      </c>
      <c r="AH105" s="356">
        <v>0</v>
      </c>
    </row>
    <row r="106" spans="1:34" ht="15" customHeight="1">
      <c r="A106" s="338"/>
      <c r="B106" s="349"/>
      <c r="C106" s="339"/>
      <c r="D106" s="776" t="s">
        <v>85</v>
      </c>
      <c r="E106" s="784"/>
      <c r="F106" s="784"/>
      <c r="G106" s="293"/>
      <c r="H106" s="339"/>
      <c r="I106" s="316" t="s">
        <v>498</v>
      </c>
      <c r="J106" s="143">
        <v>0</v>
      </c>
      <c r="K106" s="141">
        <v>0</v>
      </c>
      <c r="L106" s="141">
        <v>0</v>
      </c>
      <c r="M106" s="141">
        <v>0</v>
      </c>
      <c r="N106" s="141">
        <v>0</v>
      </c>
      <c r="O106" s="141">
        <v>0</v>
      </c>
      <c r="P106" s="141">
        <v>0</v>
      </c>
      <c r="Q106" s="144">
        <v>0</v>
      </c>
      <c r="R106" s="143">
        <v>0</v>
      </c>
      <c r="S106" s="141">
        <v>0</v>
      </c>
      <c r="T106" s="141">
        <v>0</v>
      </c>
      <c r="U106" s="141">
        <v>0</v>
      </c>
      <c r="V106" s="144">
        <v>0</v>
      </c>
      <c r="W106" s="143">
        <v>0</v>
      </c>
      <c r="X106" s="141">
        <v>0</v>
      </c>
      <c r="Y106" s="141">
        <v>0</v>
      </c>
      <c r="Z106" s="141">
        <v>0</v>
      </c>
      <c r="AA106" s="144">
        <v>0</v>
      </c>
      <c r="AB106" s="350"/>
      <c r="AC106" s="354">
        <v>0</v>
      </c>
      <c r="AD106" s="354"/>
      <c r="AE106" s="354"/>
      <c r="AF106" s="355">
        <v>0</v>
      </c>
      <c r="AG106" s="354">
        <v>0</v>
      </c>
      <c r="AH106" s="356">
        <v>0</v>
      </c>
    </row>
    <row r="107" spans="1:34" ht="15" customHeight="1">
      <c r="A107" s="338"/>
      <c r="B107" s="349"/>
      <c r="C107" s="339"/>
      <c r="D107" s="776" t="s">
        <v>85</v>
      </c>
      <c r="E107" s="784"/>
      <c r="F107" s="784"/>
      <c r="G107" s="293"/>
      <c r="H107" s="339"/>
      <c r="I107" s="316" t="s">
        <v>498</v>
      </c>
      <c r="J107" s="143">
        <v>0</v>
      </c>
      <c r="K107" s="141">
        <v>0</v>
      </c>
      <c r="L107" s="141">
        <v>0</v>
      </c>
      <c r="M107" s="141">
        <v>0</v>
      </c>
      <c r="N107" s="141">
        <v>0</v>
      </c>
      <c r="O107" s="141">
        <v>0</v>
      </c>
      <c r="P107" s="141">
        <v>0</v>
      </c>
      <c r="Q107" s="144">
        <v>0</v>
      </c>
      <c r="R107" s="143">
        <v>0</v>
      </c>
      <c r="S107" s="141">
        <v>0</v>
      </c>
      <c r="T107" s="141">
        <v>0</v>
      </c>
      <c r="U107" s="141">
        <v>0</v>
      </c>
      <c r="V107" s="144">
        <v>0</v>
      </c>
      <c r="W107" s="143">
        <v>0</v>
      </c>
      <c r="X107" s="141">
        <v>0</v>
      </c>
      <c r="Y107" s="141">
        <v>0</v>
      </c>
      <c r="Z107" s="141">
        <v>0</v>
      </c>
      <c r="AA107" s="144">
        <v>0</v>
      </c>
      <c r="AB107" s="350"/>
      <c r="AC107" s="354">
        <v>0</v>
      </c>
      <c r="AD107" s="354"/>
      <c r="AE107" s="354"/>
      <c r="AF107" s="355">
        <v>0</v>
      </c>
      <c r="AG107" s="354">
        <v>0</v>
      </c>
      <c r="AH107" s="356">
        <v>0</v>
      </c>
    </row>
    <row r="108" spans="1:34" ht="15" customHeight="1">
      <c r="A108" s="338"/>
      <c r="B108" s="349"/>
      <c r="C108" s="339"/>
      <c r="D108" s="776" t="s">
        <v>85</v>
      </c>
      <c r="E108" s="784"/>
      <c r="F108" s="784"/>
      <c r="G108" s="293"/>
      <c r="H108" s="339"/>
      <c r="I108" s="316" t="s">
        <v>498</v>
      </c>
      <c r="J108" s="143">
        <v>0</v>
      </c>
      <c r="K108" s="141">
        <v>0</v>
      </c>
      <c r="L108" s="141">
        <v>0</v>
      </c>
      <c r="M108" s="141">
        <v>0</v>
      </c>
      <c r="N108" s="141">
        <v>0</v>
      </c>
      <c r="O108" s="141">
        <v>0</v>
      </c>
      <c r="P108" s="141">
        <v>0</v>
      </c>
      <c r="Q108" s="144">
        <v>0</v>
      </c>
      <c r="R108" s="143">
        <v>0</v>
      </c>
      <c r="S108" s="141">
        <v>0</v>
      </c>
      <c r="T108" s="141">
        <v>0</v>
      </c>
      <c r="U108" s="141">
        <v>0</v>
      </c>
      <c r="V108" s="144">
        <v>0</v>
      </c>
      <c r="W108" s="143">
        <v>0</v>
      </c>
      <c r="X108" s="141">
        <v>0</v>
      </c>
      <c r="Y108" s="141">
        <v>0</v>
      </c>
      <c r="Z108" s="141">
        <v>0</v>
      </c>
      <c r="AA108" s="144">
        <v>0</v>
      </c>
      <c r="AB108" s="350"/>
      <c r="AC108" s="354">
        <v>0</v>
      </c>
      <c r="AD108" s="354"/>
      <c r="AE108" s="354"/>
      <c r="AF108" s="355">
        <v>0</v>
      </c>
      <c r="AG108" s="354">
        <v>0</v>
      </c>
      <c r="AH108" s="356">
        <v>0</v>
      </c>
    </row>
    <row r="109" spans="1:34" ht="15" customHeight="1">
      <c r="A109" s="338"/>
      <c r="B109" s="349"/>
      <c r="C109" s="339"/>
      <c r="D109" s="776" t="s">
        <v>85</v>
      </c>
      <c r="E109" s="784"/>
      <c r="F109" s="784"/>
      <c r="G109" s="293"/>
      <c r="H109" s="339"/>
      <c r="I109" s="316" t="s">
        <v>498</v>
      </c>
      <c r="J109" s="143">
        <v>0</v>
      </c>
      <c r="K109" s="141">
        <v>0</v>
      </c>
      <c r="L109" s="141">
        <v>0</v>
      </c>
      <c r="M109" s="141">
        <v>0</v>
      </c>
      <c r="N109" s="141">
        <v>0</v>
      </c>
      <c r="O109" s="141">
        <v>0</v>
      </c>
      <c r="P109" s="141">
        <v>0</v>
      </c>
      <c r="Q109" s="144">
        <v>0</v>
      </c>
      <c r="R109" s="143">
        <v>0</v>
      </c>
      <c r="S109" s="141">
        <v>0</v>
      </c>
      <c r="T109" s="141">
        <v>0</v>
      </c>
      <c r="U109" s="141">
        <v>0</v>
      </c>
      <c r="V109" s="144">
        <v>0</v>
      </c>
      <c r="W109" s="143">
        <v>0</v>
      </c>
      <c r="X109" s="141">
        <v>0</v>
      </c>
      <c r="Y109" s="141">
        <v>0</v>
      </c>
      <c r="Z109" s="141">
        <v>0</v>
      </c>
      <c r="AA109" s="144">
        <v>0</v>
      </c>
      <c r="AB109" s="350"/>
      <c r="AC109" s="354">
        <v>0</v>
      </c>
      <c r="AD109" s="354"/>
      <c r="AE109" s="354"/>
      <c r="AF109" s="355">
        <v>0</v>
      </c>
      <c r="AG109" s="354">
        <v>0</v>
      </c>
      <c r="AH109" s="356">
        <v>0</v>
      </c>
    </row>
    <row r="110" spans="1:34" ht="15" customHeight="1">
      <c r="A110" s="338"/>
      <c r="B110" s="349"/>
      <c r="C110" s="339"/>
      <c r="D110" s="776" t="s">
        <v>85</v>
      </c>
      <c r="E110" s="784"/>
      <c r="F110" s="784"/>
      <c r="G110" s="293"/>
      <c r="H110" s="339"/>
      <c r="I110" s="316" t="s">
        <v>498</v>
      </c>
      <c r="J110" s="143">
        <v>0</v>
      </c>
      <c r="K110" s="141">
        <v>0</v>
      </c>
      <c r="L110" s="141">
        <v>0</v>
      </c>
      <c r="M110" s="141">
        <v>0</v>
      </c>
      <c r="N110" s="141">
        <v>0</v>
      </c>
      <c r="O110" s="141">
        <v>0</v>
      </c>
      <c r="P110" s="141">
        <v>0</v>
      </c>
      <c r="Q110" s="144">
        <v>0</v>
      </c>
      <c r="R110" s="143">
        <v>0</v>
      </c>
      <c r="S110" s="141">
        <v>0</v>
      </c>
      <c r="T110" s="141">
        <v>0</v>
      </c>
      <c r="U110" s="141">
        <v>0</v>
      </c>
      <c r="V110" s="144">
        <v>0</v>
      </c>
      <c r="W110" s="143">
        <v>0</v>
      </c>
      <c r="X110" s="141">
        <v>0</v>
      </c>
      <c r="Y110" s="141">
        <v>0</v>
      </c>
      <c r="Z110" s="141">
        <v>0</v>
      </c>
      <c r="AA110" s="144">
        <v>0</v>
      </c>
      <c r="AB110" s="350"/>
      <c r="AC110" s="354">
        <v>0</v>
      </c>
      <c r="AD110" s="354"/>
      <c r="AE110" s="354"/>
      <c r="AF110" s="355">
        <v>0</v>
      </c>
      <c r="AG110" s="354">
        <v>0</v>
      </c>
      <c r="AH110" s="356">
        <v>0</v>
      </c>
    </row>
    <row r="111" spans="1:34" ht="15" customHeight="1">
      <c r="A111" s="338"/>
      <c r="B111" s="349"/>
      <c r="C111" s="339"/>
      <c r="D111" s="776" t="s">
        <v>85</v>
      </c>
      <c r="E111" s="784"/>
      <c r="F111" s="784"/>
      <c r="G111" s="293"/>
      <c r="H111" s="339"/>
      <c r="I111" s="316" t="s">
        <v>498</v>
      </c>
      <c r="J111" s="143">
        <v>0</v>
      </c>
      <c r="K111" s="141">
        <v>0</v>
      </c>
      <c r="L111" s="141">
        <v>0</v>
      </c>
      <c r="M111" s="141">
        <v>0</v>
      </c>
      <c r="N111" s="141">
        <v>0</v>
      </c>
      <c r="O111" s="141">
        <v>0</v>
      </c>
      <c r="P111" s="141">
        <v>0</v>
      </c>
      <c r="Q111" s="144">
        <v>0</v>
      </c>
      <c r="R111" s="143">
        <v>0</v>
      </c>
      <c r="S111" s="141">
        <v>0</v>
      </c>
      <c r="T111" s="141">
        <v>0</v>
      </c>
      <c r="U111" s="141">
        <v>0</v>
      </c>
      <c r="V111" s="144">
        <v>0</v>
      </c>
      <c r="W111" s="143">
        <v>0</v>
      </c>
      <c r="X111" s="141">
        <v>0</v>
      </c>
      <c r="Y111" s="141">
        <v>0</v>
      </c>
      <c r="Z111" s="141">
        <v>0</v>
      </c>
      <c r="AA111" s="144">
        <v>0</v>
      </c>
      <c r="AB111" s="350"/>
      <c r="AC111" s="354">
        <v>0</v>
      </c>
      <c r="AD111" s="354"/>
      <c r="AE111" s="354"/>
      <c r="AF111" s="355">
        <v>0</v>
      </c>
      <c r="AG111" s="354">
        <v>0</v>
      </c>
      <c r="AH111" s="356">
        <v>0</v>
      </c>
    </row>
    <row r="112" spans="1:34" ht="15" customHeight="1">
      <c r="A112" s="338"/>
      <c r="B112" s="349"/>
      <c r="C112" s="339"/>
      <c r="D112" s="776" t="s">
        <v>85</v>
      </c>
      <c r="E112" s="784"/>
      <c r="F112" s="784"/>
      <c r="G112" s="293"/>
      <c r="H112" s="339"/>
      <c r="I112" s="316" t="s">
        <v>498</v>
      </c>
      <c r="J112" s="143">
        <v>0</v>
      </c>
      <c r="K112" s="141">
        <v>0</v>
      </c>
      <c r="L112" s="141">
        <v>0</v>
      </c>
      <c r="M112" s="141">
        <v>0</v>
      </c>
      <c r="N112" s="141">
        <v>0</v>
      </c>
      <c r="O112" s="141">
        <v>0</v>
      </c>
      <c r="P112" s="141">
        <v>0</v>
      </c>
      <c r="Q112" s="144">
        <v>0</v>
      </c>
      <c r="R112" s="143">
        <v>0</v>
      </c>
      <c r="S112" s="141">
        <v>0</v>
      </c>
      <c r="T112" s="141">
        <v>0</v>
      </c>
      <c r="U112" s="141">
        <v>0</v>
      </c>
      <c r="V112" s="144">
        <v>0</v>
      </c>
      <c r="W112" s="143">
        <v>0</v>
      </c>
      <c r="X112" s="141">
        <v>0</v>
      </c>
      <c r="Y112" s="141">
        <v>0</v>
      </c>
      <c r="Z112" s="141">
        <v>0</v>
      </c>
      <c r="AA112" s="144">
        <v>0</v>
      </c>
      <c r="AB112" s="350"/>
      <c r="AC112" s="354">
        <v>0</v>
      </c>
      <c r="AD112" s="354"/>
      <c r="AE112" s="354"/>
      <c r="AF112" s="355">
        <v>0</v>
      </c>
      <c r="AG112" s="354">
        <v>0</v>
      </c>
      <c r="AH112" s="356">
        <v>0</v>
      </c>
    </row>
    <row r="113" spans="1:34" ht="15" customHeight="1">
      <c r="A113" s="338"/>
      <c r="B113" s="349"/>
      <c r="C113" s="339"/>
      <c r="D113" s="776" t="s">
        <v>85</v>
      </c>
      <c r="E113" s="784"/>
      <c r="F113" s="784"/>
      <c r="G113" s="293"/>
      <c r="H113" s="339"/>
      <c r="I113" s="316" t="s">
        <v>498</v>
      </c>
      <c r="J113" s="143">
        <v>0</v>
      </c>
      <c r="K113" s="141">
        <v>0</v>
      </c>
      <c r="L113" s="141">
        <v>0</v>
      </c>
      <c r="M113" s="141">
        <v>0</v>
      </c>
      <c r="N113" s="141">
        <v>0</v>
      </c>
      <c r="O113" s="141">
        <v>0</v>
      </c>
      <c r="P113" s="141">
        <v>0</v>
      </c>
      <c r="Q113" s="144">
        <v>0</v>
      </c>
      <c r="R113" s="143">
        <v>0</v>
      </c>
      <c r="S113" s="141">
        <v>0</v>
      </c>
      <c r="T113" s="141">
        <v>0</v>
      </c>
      <c r="U113" s="141">
        <v>0</v>
      </c>
      <c r="V113" s="144">
        <v>0</v>
      </c>
      <c r="W113" s="143">
        <v>0</v>
      </c>
      <c r="X113" s="141">
        <v>0</v>
      </c>
      <c r="Y113" s="141">
        <v>0</v>
      </c>
      <c r="Z113" s="141">
        <v>0</v>
      </c>
      <c r="AA113" s="144">
        <v>0</v>
      </c>
      <c r="AB113" s="350"/>
      <c r="AC113" s="354">
        <v>0</v>
      </c>
      <c r="AD113" s="354"/>
      <c r="AE113" s="354"/>
      <c r="AF113" s="355">
        <v>0</v>
      </c>
      <c r="AG113" s="354">
        <v>0</v>
      </c>
      <c r="AH113" s="356">
        <v>0</v>
      </c>
    </row>
    <row r="114" spans="1:34" ht="15" customHeight="1">
      <c r="A114" s="338"/>
      <c r="B114" s="349"/>
      <c r="C114" s="339"/>
      <c r="D114" s="776" t="s">
        <v>85</v>
      </c>
      <c r="E114" s="784"/>
      <c r="F114" s="784"/>
      <c r="G114" s="293"/>
      <c r="H114" s="339"/>
      <c r="I114" s="316" t="s">
        <v>498</v>
      </c>
      <c r="J114" s="143">
        <v>0</v>
      </c>
      <c r="K114" s="141">
        <v>0</v>
      </c>
      <c r="L114" s="141">
        <v>0</v>
      </c>
      <c r="M114" s="141">
        <v>0</v>
      </c>
      <c r="N114" s="141">
        <v>0</v>
      </c>
      <c r="O114" s="141">
        <v>0</v>
      </c>
      <c r="P114" s="141">
        <v>0</v>
      </c>
      <c r="Q114" s="144">
        <v>0</v>
      </c>
      <c r="R114" s="143">
        <v>0</v>
      </c>
      <c r="S114" s="141">
        <v>0</v>
      </c>
      <c r="T114" s="141">
        <v>0</v>
      </c>
      <c r="U114" s="141">
        <v>0</v>
      </c>
      <c r="V114" s="144">
        <v>0</v>
      </c>
      <c r="W114" s="143">
        <v>0</v>
      </c>
      <c r="X114" s="141">
        <v>0</v>
      </c>
      <c r="Y114" s="141">
        <v>0</v>
      </c>
      <c r="Z114" s="141">
        <v>0</v>
      </c>
      <c r="AA114" s="144">
        <v>0</v>
      </c>
      <c r="AB114" s="350"/>
      <c r="AC114" s="354">
        <v>0</v>
      </c>
      <c r="AD114" s="354"/>
      <c r="AE114" s="354"/>
      <c r="AF114" s="355">
        <v>0</v>
      </c>
      <c r="AG114" s="354">
        <v>0</v>
      </c>
      <c r="AH114" s="356">
        <v>0</v>
      </c>
    </row>
    <row r="115" spans="1:34" ht="15" customHeight="1">
      <c r="A115" s="338"/>
      <c r="B115" s="349"/>
      <c r="C115" s="339"/>
      <c r="D115" s="776" t="s">
        <v>85</v>
      </c>
      <c r="E115" s="784"/>
      <c r="F115" s="784"/>
      <c r="G115" s="293"/>
      <c r="H115" s="339"/>
      <c r="I115" s="316" t="s">
        <v>498</v>
      </c>
      <c r="J115" s="143">
        <v>0</v>
      </c>
      <c r="K115" s="141">
        <v>0</v>
      </c>
      <c r="L115" s="141">
        <v>0</v>
      </c>
      <c r="M115" s="141">
        <v>0</v>
      </c>
      <c r="N115" s="141">
        <v>0</v>
      </c>
      <c r="O115" s="141">
        <v>0</v>
      </c>
      <c r="P115" s="141">
        <v>0</v>
      </c>
      <c r="Q115" s="144">
        <v>0</v>
      </c>
      <c r="R115" s="143">
        <v>0</v>
      </c>
      <c r="S115" s="141">
        <v>0</v>
      </c>
      <c r="T115" s="141">
        <v>0</v>
      </c>
      <c r="U115" s="141">
        <v>0</v>
      </c>
      <c r="V115" s="144">
        <v>0</v>
      </c>
      <c r="W115" s="143">
        <v>0</v>
      </c>
      <c r="X115" s="141">
        <v>0</v>
      </c>
      <c r="Y115" s="141">
        <v>0</v>
      </c>
      <c r="Z115" s="141">
        <v>0</v>
      </c>
      <c r="AA115" s="144">
        <v>0</v>
      </c>
      <c r="AB115" s="350"/>
      <c r="AC115" s="354">
        <v>0</v>
      </c>
      <c r="AD115" s="354"/>
      <c r="AE115" s="354"/>
      <c r="AF115" s="355">
        <v>0</v>
      </c>
      <c r="AG115" s="354">
        <v>0</v>
      </c>
      <c r="AH115" s="356">
        <v>0</v>
      </c>
    </row>
    <row r="116" spans="1:34" ht="15" customHeight="1">
      <c r="A116" s="338"/>
      <c r="B116" s="349"/>
      <c r="C116" s="339"/>
      <c r="D116" s="776" t="s">
        <v>85</v>
      </c>
      <c r="E116" s="784"/>
      <c r="F116" s="784"/>
      <c r="G116" s="293"/>
      <c r="H116" s="339"/>
      <c r="I116" s="316" t="s">
        <v>498</v>
      </c>
      <c r="J116" s="143">
        <v>0</v>
      </c>
      <c r="K116" s="141">
        <v>0</v>
      </c>
      <c r="L116" s="141">
        <v>0</v>
      </c>
      <c r="M116" s="141">
        <v>0</v>
      </c>
      <c r="N116" s="141">
        <v>0</v>
      </c>
      <c r="O116" s="141">
        <v>0</v>
      </c>
      <c r="P116" s="141">
        <v>0</v>
      </c>
      <c r="Q116" s="144">
        <v>0</v>
      </c>
      <c r="R116" s="143">
        <v>0</v>
      </c>
      <c r="S116" s="141">
        <v>0</v>
      </c>
      <c r="T116" s="141">
        <v>0</v>
      </c>
      <c r="U116" s="141">
        <v>0</v>
      </c>
      <c r="V116" s="144">
        <v>0</v>
      </c>
      <c r="W116" s="143">
        <v>0</v>
      </c>
      <c r="X116" s="141">
        <v>0</v>
      </c>
      <c r="Y116" s="141">
        <v>0</v>
      </c>
      <c r="Z116" s="141">
        <v>0</v>
      </c>
      <c r="AA116" s="144">
        <v>0</v>
      </c>
      <c r="AB116" s="350"/>
      <c r="AC116" s="354">
        <v>0</v>
      </c>
      <c r="AD116" s="354"/>
      <c r="AE116" s="354"/>
      <c r="AF116" s="355">
        <v>0</v>
      </c>
      <c r="AG116" s="354">
        <v>0</v>
      </c>
      <c r="AH116" s="356">
        <v>0</v>
      </c>
    </row>
    <row r="117" spans="1:34" ht="15" customHeight="1">
      <c r="A117" s="338"/>
      <c r="B117" s="349"/>
      <c r="C117" s="339"/>
      <c r="D117" s="776" t="s">
        <v>85</v>
      </c>
      <c r="E117" s="784"/>
      <c r="F117" s="784"/>
      <c r="G117" s="293"/>
      <c r="H117" s="339"/>
      <c r="I117" s="316" t="s">
        <v>498</v>
      </c>
      <c r="J117" s="143">
        <v>0</v>
      </c>
      <c r="K117" s="141">
        <v>0</v>
      </c>
      <c r="L117" s="141">
        <v>0</v>
      </c>
      <c r="M117" s="141">
        <v>0</v>
      </c>
      <c r="N117" s="141">
        <v>0</v>
      </c>
      <c r="O117" s="141">
        <v>0</v>
      </c>
      <c r="P117" s="141">
        <v>0</v>
      </c>
      <c r="Q117" s="144">
        <v>0</v>
      </c>
      <c r="R117" s="143">
        <v>0</v>
      </c>
      <c r="S117" s="141">
        <v>0</v>
      </c>
      <c r="T117" s="141">
        <v>0</v>
      </c>
      <c r="U117" s="141">
        <v>0</v>
      </c>
      <c r="V117" s="144">
        <v>0</v>
      </c>
      <c r="W117" s="143">
        <v>0</v>
      </c>
      <c r="X117" s="141">
        <v>0</v>
      </c>
      <c r="Y117" s="141">
        <v>0</v>
      </c>
      <c r="Z117" s="141">
        <v>0</v>
      </c>
      <c r="AA117" s="144">
        <v>0</v>
      </c>
      <c r="AB117" s="350"/>
      <c r="AC117" s="354">
        <v>0</v>
      </c>
      <c r="AD117" s="354"/>
      <c r="AE117" s="354"/>
      <c r="AF117" s="355">
        <v>0</v>
      </c>
      <c r="AG117" s="354">
        <v>0</v>
      </c>
      <c r="AH117" s="356">
        <v>0</v>
      </c>
    </row>
    <row r="118" spans="1:34" ht="15" customHeight="1">
      <c r="A118" s="338"/>
      <c r="B118" s="349"/>
      <c r="C118" s="339"/>
      <c r="D118" s="776" t="s">
        <v>85</v>
      </c>
      <c r="E118" s="784"/>
      <c r="F118" s="784"/>
      <c r="G118" s="293"/>
      <c r="H118" s="339"/>
      <c r="I118" s="316" t="s">
        <v>498</v>
      </c>
      <c r="J118" s="143">
        <v>0</v>
      </c>
      <c r="K118" s="141">
        <v>0</v>
      </c>
      <c r="L118" s="141">
        <v>0</v>
      </c>
      <c r="M118" s="141">
        <v>0</v>
      </c>
      <c r="N118" s="141">
        <v>0</v>
      </c>
      <c r="O118" s="141">
        <v>0</v>
      </c>
      <c r="P118" s="141">
        <v>0</v>
      </c>
      <c r="Q118" s="144">
        <v>0</v>
      </c>
      <c r="R118" s="143">
        <v>0</v>
      </c>
      <c r="S118" s="141">
        <v>0</v>
      </c>
      <c r="T118" s="141">
        <v>0</v>
      </c>
      <c r="U118" s="141">
        <v>0</v>
      </c>
      <c r="V118" s="144">
        <v>0</v>
      </c>
      <c r="W118" s="143">
        <v>0</v>
      </c>
      <c r="X118" s="141">
        <v>0</v>
      </c>
      <c r="Y118" s="141">
        <v>0</v>
      </c>
      <c r="Z118" s="141">
        <v>0</v>
      </c>
      <c r="AA118" s="144">
        <v>0</v>
      </c>
      <c r="AB118" s="350"/>
      <c r="AC118" s="354">
        <v>0</v>
      </c>
      <c r="AD118" s="354"/>
      <c r="AE118" s="354"/>
      <c r="AF118" s="355">
        <v>0</v>
      </c>
      <c r="AG118" s="354">
        <v>0</v>
      </c>
      <c r="AH118" s="356">
        <v>0</v>
      </c>
    </row>
    <row r="119" spans="1:34" ht="15" customHeight="1">
      <c r="A119" s="338"/>
      <c r="B119" s="349"/>
      <c r="C119" s="339"/>
      <c r="D119" s="776" t="s">
        <v>85</v>
      </c>
      <c r="E119" s="784"/>
      <c r="F119" s="784"/>
      <c r="G119" s="293"/>
      <c r="H119" s="339"/>
      <c r="I119" s="316" t="s">
        <v>498</v>
      </c>
      <c r="J119" s="143">
        <v>0</v>
      </c>
      <c r="K119" s="141">
        <v>0</v>
      </c>
      <c r="L119" s="141">
        <v>0</v>
      </c>
      <c r="M119" s="141">
        <v>0</v>
      </c>
      <c r="N119" s="141">
        <v>0</v>
      </c>
      <c r="O119" s="141">
        <v>0</v>
      </c>
      <c r="P119" s="141">
        <v>0</v>
      </c>
      <c r="Q119" s="144">
        <v>0</v>
      </c>
      <c r="R119" s="143">
        <v>0</v>
      </c>
      <c r="S119" s="141">
        <v>0</v>
      </c>
      <c r="T119" s="141">
        <v>0</v>
      </c>
      <c r="U119" s="141">
        <v>0</v>
      </c>
      <c r="V119" s="144">
        <v>0</v>
      </c>
      <c r="W119" s="143">
        <v>0</v>
      </c>
      <c r="X119" s="141">
        <v>0</v>
      </c>
      <c r="Y119" s="141">
        <v>0</v>
      </c>
      <c r="Z119" s="141">
        <v>0</v>
      </c>
      <c r="AA119" s="144">
        <v>0</v>
      </c>
      <c r="AB119" s="350"/>
      <c r="AC119" s="354">
        <v>0</v>
      </c>
      <c r="AD119" s="354"/>
      <c r="AE119" s="354"/>
      <c r="AF119" s="355">
        <v>0</v>
      </c>
      <c r="AG119" s="354">
        <v>0</v>
      </c>
      <c r="AH119" s="356">
        <v>0</v>
      </c>
    </row>
    <row r="120" spans="1:34" ht="15" customHeight="1">
      <c r="A120" s="338"/>
      <c r="B120" s="349"/>
      <c r="C120" s="339"/>
      <c r="D120" s="776" t="s">
        <v>85</v>
      </c>
      <c r="E120" s="784"/>
      <c r="F120" s="784"/>
      <c r="G120" s="293"/>
      <c r="H120" s="339"/>
      <c r="I120" s="316" t="s">
        <v>498</v>
      </c>
      <c r="J120" s="143">
        <v>0</v>
      </c>
      <c r="K120" s="141">
        <v>0</v>
      </c>
      <c r="L120" s="141">
        <v>0</v>
      </c>
      <c r="M120" s="141">
        <v>0</v>
      </c>
      <c r="N120" s="141">
        <v>0</v>
      </c>
      <c r="O120" s="141">
        <v>0</v>
      </c>
      <c r="P120" s="141">
        <v>0</v>
      </c>
      <c r="Q120" s="144">
        <v>0</v>
      </c>
      <c r="R120" s="143">
        <v>0</v>
      </c>
      <c r="S120" s="141">
        <v>0</v>
      </c>
      <c r="T120" s="141">
        <v>0</v>
      </c>
      <c r="U120" s="141">
        <v>0</v>
      </c>
      <c r="V120" s="144">
        <v>0</v>
      </c>
      <c r="W120" s="143">
        <v>0</v>
      </c>
      <c r="X120" s="141">
        <v>0</v>
      </c>
      <c r="Y120" s="141">
        <v>0</v>
      </c>
      <c r="Z120" s="141">
        <v>0</v>
      </c>
      <c r="AA120" s="144">
        <v>0</v>
      </c>
      <c r="AB120" s="350"/>
      <c r="AC120" s="354">
        <v>0</v>
      </c>
      <c r="AD120" s="354"/>
      <c r="AE120" s="354"/>
      <c r="AF120" s="355">
        <v>0</v>
      </c>
      <c r="AG120" s="354">
        <v>0</v>
      </c>
      <c r="AH120" s="356">
        <v>0</v>
      </c>
    </row>
    <row r="121" spans="1:34" ht="15" customHeight="1">
      <c r="A121" s="338"/>
      <c r="B121" s="349"/>
      <c r="C121" s="339"/>
      <c r="D121" s="776" t="s">
        <v>85</v>
      </c>
      <c r="E121" s="784"/>
      <c r="F121" s="784"/>
      <c r="G121" s="293"/>
      <c r="H121" s="339"/>
      <c r="I121" s="316" t="s">
        <v>498</v>
      </c>
      <c r="J121" s="143">
        <v>0</v>
      </c>
      <c r="K121" s="141">
        <v>0</v>
      </c>
      <c r="L121" s="141">
        <v>0</v>
      </c>
      <c r="M121" s="141">
        <v>0</v>
      </c>
      <c r="N121" s="141">
        <v>0</v>
      </c>
      <c r="O121" s="141">
        <v>0</v>
      </c>
      <c r="P121" s="141">
        <v>0</v>
      </c>
      <c r="Q121" s="144">
        <v>0</v>
      </c>
      <c r="R121" s="143">
        <v>0</v>
      </c>
      <c r="S121" s="141">
        <v>0</v>
      </c>
      <c r="T121" s="141">
        <v>0</v>
      </c>
      <c r="U121" s="141">
        <v>0</v>
      </c>
      <c r="V121" s="144">
        <v>0</v>
      </c>
      <c r="W121" s="143">
        <v>0</v>
      </c>
      <c r="X121" s="141">
        <v>0</v>
      </c>
      <c r="Y121" s="141">
        <v>0</v>
      </c>
      <c r="Z121" s="141">
        <v>0</v>
      </c>
      <c r="AA121" s="144">
        <v>0</v>
      </c>
      <c r="AB121" s="350"/>
      <c r="AC121" s="354">
        <v>0</v>
      </c>
      <c r="AD121" s="354"/>
      <c r="AE121" s="354"/>
      <c r="AF121" s="355">
        <v>0</v>
      </c>
      <c r="AG121" s="354">
        <v>0</v>
      </c>
      <c r="AH121" s="356">
        <v>0</v>
      </c>
    </row>
    <row r="122" spans="1:34" ht="15" customHeight="1">
      <c r="A122" s="338"/>
      <c r="B122" s="349"/>
      <c r="C122" s="339"/>
      <c r="D122" s="776" t="s">
        <v>85</v>
      </c>
      <c r="E122" s="784"/>
      <c r="F122" s="784"/>
      <c r="G122" s="293"/>
      <c r="H122" s="339"/>
      <c r="I122" s="316" t="s">
        <v>498</v>
      </c>
      <c r="J122" s="143">
        <v>0</v>
      </c>
      <c r="K122" s="141">
        <v>0</v>
      </c>
      <c r="L122" s="141">
        <v>0</v>
      </c>
      <c r="M122" s="141">
        <v>0</v>
      </c>
      <c r="N122" s="141">
        <v>0</v>
      </c>
      <c r="O122" s="141">
        <v>0</v>
      </c>
      <c r="P122" s="141">
        <v>0</v>
      </c>
      <c r="Q122" s="144">
        <v>0</v>
      </c>
      <c r="R122" s="143">
        <v>0</v>
      </c>
      <c r="S122" s="141">
        <v>0</v>
      </c>
      <c r="T122" s="141">
        <v>0</v>
      </c>
      <c r="U122" s="141">
        <v>0</v>
      </c>
      <c r="V122" s="144">
        <v>0</v>
      </c>
      <c r="W122" s="143">
        <v>0</v>
      </c>
      <c r="X122" s="141">
        <v>0</v>
      </c>
      <c r="Y122" s="141">
        <v>0</v>
      </c>
      <c r="Z122" s="141">
        <v>0</v>
      </c>
      <c r="AA122" s="144">
        <v>0</v>
      </c>
      <c r="AB122" s="350"/>
      <c r="AC122" s="354">
        <v>0</v>
      </c>
      <c r="AD122" s="354"/>
      <c r="AE122" s="354"/>
      <c r="AF122" s="355">
        <v>0</v>
      </c>
      <c r="AG122" s="354">
        <v>0</v>
      </c>
      <c r="AH122" s="356">
        <v>0</v>
      </c>
    </row>
    <row r="123" spans="1:34" ht="15" customHeight="1">
      <c r="A123" s="338"/>
      <c r="B123" s="349"/>
      <c r="C123" s="339"/>
      <c r="D123" s="776" t="s">
        <v>85</v>
      </c>
      <c r="E123" s="784"/>
      <c r="F123" s="784"/>
      <c r="G123" s="293"/>
      <c r="H123" s="339"/>
      <c r="I123" s="316" t="s">
        <v>498</v>
      </c>
      <c r="J123" s="143">
        <v>0</v>
      </c>
      <c r="K123" s="141">
        <v>0</v>
      </c>
      <c r="L123" s="141">
        <v>0</v>
      </c>
      <c r="M123" s="141">
        <v>0</v>
      </c>
      <c r="N123" s="141">
        <v>0</v>
      </c>
      <c r="O123" s="141">
        <v>0</v>
      </c>
      <c r="P123" s="141">
        <v>0</v>
      </c>
      <c r="Q123" s="144">
        <v>0</v>
      </c>
      <c r="R123" s="143">
        <v>0</v>
      </c>
      <c r="S123" s="141">
        <v>0</v>
      </c>
      <c r="T123" s="141">
        <v>0</v>
      </c>
      <c r="U123" s="141">
        <v>0</v>
      </c>
      <c r="V123" s="144">
        <v>0</v>
      </c>
      <c r="W123" s="143">
        <v>0</v>
      </c>
      <c r="X123" s="141">
        <v>0</v>
      </c>
      <c r="Y123" s="141">
        <v>0</v>
      </c>
      <c r="Z123" s="141">
        <v>0</v>
      </c>
      <c r="AA123" s="144">
        <v>0</v>
      </c>
      <c r="AB123" s="350"/>
      <c r="AC123" s="354">
        <v>0</v>
      </c>
      <c r="AD123" s="354"/>
      <c r="AE123" s="354"/>
      <c r="AF123" s="355">
        <v>0</v>
      </c>
      <c r="AG123" s="354">
        <v>0</v>
      </c>
      <c r="AH123" s="356">
        <v>0</v>
      </c>
    </row>
    <row r="124" spans="1:34" ht="15" customHeight="1">
      <c r="A124" s="338"/>
      <c r="B124" s="349"/>
      <c r="C124" s="339"/>
      <c r="D124" s="776" t="s">
        <v>85</v>
      </c>
      <c r="E124" s="784"/>
      <c r="F124" s="784"/>
      <c r="G124" s="293"/>
      <c r="H124" s="339"/>
      <c r="I124" s="316" t="s">
        <v>498</v>
      </c>
      <c r="J124" s="143">
        <v>0</v>
      </c>
      <c r="K124" s="141">
        <v>0</v>
      </c>
      <c r="L124" s="141">
        <v>0</v>
      </c>
      <c r="M124" s="141">
        <v>0</v>
      </c>
      <c r="N124" s="141">
        <v>0</v>
      </c>
      <c r="O124" s="141">
        <v>0</v>
      </c>
      <c r="P124" s="141">
        <v>0</v>
      </c>
      <c r="Q124" s="144">
        <v>0</v>
      </c>
      <c r="R124" s="143">
        <v>0</v>
      </c>
      <c r="S124" s="141">
        <v>0</v>
      </c>
      <c r="T124" s="141">
        <v>0</v>
      </c>
      <c r="U124" s="141">
        <v>0</v>
      </c>
      <c r="V124" s="144">
        <v>0</v>
      </c>
      <c r="W124" s="143">
        <v>0</v>
      </c>
      <c r="X124" s="141">
        <v>0</v>
      </c>
      <c r="Y124" s="141">
        <v>0</v>
      </c>
      <c r="Z124" s="141">
        <v>0</v>
      </c>
      <c r="AA124" s="144">
        <v>0</v>
      </c>
      <c r="AB124" s="350"/>
      <c r="AC124" s="354">
        <v>0</v>
      </c>
      <c r="AD124" s="354"/>
      <c r="AE124" s="354"/>
      <c r="AF124" s="355">
        <v>0</v>
      </c>
      <c r="AG124" s="354">
        <v>0</v>
      </c>
      <c r="AH124" s="356">
        <v>0</v>
      </c>
    </row>
    <row r="125" spans="1:34" ht="15" customHeight="1">
      <c r="A125" s="338"/>
      <c r="B125" s="349"/>
      <c r="C125" s="339"/>
      <c r="D125" s="776" t="s">
        <v>85</v>
      </c>
      <c r="E125" s="784"/>
      <c r="F125" s="784"/>
      <c r="G125" s="293"/>
      <c r="H125" s="339"/>
      <c r="I125" s="316" t="s">
        <v>498</v>
      </c>
      <c r="J125" s="143">
        <v>0</v>
      </c>
      <c r="K125" s="141">
        <v>0</v>
      </c>
      <c r="L125" s="141">
        <v>0</v>
      </c>
      <c r="M125" s="141">
        <v>0</v>
      </c>
      <c r="N125" s="141">
        <v>0</v>
      </c>
      <c r="O125" s="141">
        <v>0</v>
      </c>
      <c r="P125" s="141">
        <v>0</v>
      </c>
      <c r="Q125" s="144">
        <v>0</v>
      </c>
      <c r="R125" s="143">
        <v>0</v>
      </c>
      <c r="S125" s="141">
        <v>0</v>
      </c>
      <c r="T125" s="141">
        <v>0</v>
      </c>
      <c r="U125" s="141">
        <v>0</v>
      </c>
      <c r="V125" s="144">
        <v>0</v>
      </c>
      <c r="W125" s="143">
        <v>0</v>
      </c>
      <c r="X125" s="141">
        <v>0</v>
      </c>
      <c r="Y125" s="141">
        <v>0</v>
      </c>
      <c r="Z125" s="141">
        <v>0</v>
      </c>
      <c r="AA125" s="144">
        <v>0</v>
      </c>
      <c r="AB125" s="350"/>
      <c r="AC125" s="354">
        <v>0</v>
      </c>
      <c r="AD125" s="354"/>
      <c r="AE125" s="354"/>
      <c r="AF125" s="355">
        <v>0</v>
      </c>
      <c r="AG125" s="354">
        <v>0</v>
      </c>
      <c r="AH125" s="356">
        <v>0</v>
      </c>
    </row>
    <row r="126" spans="1:34" ht="15" customHeight="1">
      <c r="A126" s="338"/>
      <c r="B126" s="349"/>
      <c r="C126" s="339"/>
      <c r="D126" s="776" t="s">
        <v>85</v>
      </c>
      <c r="E126" s="784"/>
      <c r="F126" s="784"/>
      <c r="G126" s="293"/>
      <c r="H126" s="339"/>
      <c r="I126" s="316" t="s">
        <v>498</v>
      </c>
      <c r="J126" s="143">
        <v>0</v>
      </c>
      <c r="K126" s="141">
        <v>0</v>
      </c>
      <c r="L126" s="141">
        <v>0</v>
      </c>
      <c r="M126" s="141">
        <v>0</v>
      </c>
      <c r="N126" s="141">
        <v>0</v>
      </c>
      <c r="O126" s="141">
        <v>0</v>
      </c>
      <c r="P126" s="141">
        <v>0</v>
      </c>
      <c r="Q126" s="144">
        <v>0</v>
      </c>
      <c r="R126" s="143">
        <v>0</v>
      </c>
      <c r="S126" s="141">
        <v>0</v>
      </c>
      <c r="T126" s="141">
        <v>0</v>
      </c>
      <c r="U126" s="141">
        <v>0</v>
      </c>
      <c r="V126" s="144">
        <v>0</v>
      </c>
      <c r="W126" s="143">
        <v>0</v>
      </c>
      <c r="X126" s="141">
        <v>0</v>
      </c>
      <c r="Y126" s="141">
        <v>0</v>
      </c>
      <c r="Z126" s="141">
        <v>0</v>
      </c>
      <c r="AA126" s="144">
        <v>0</v>
      </c>
      <c r="AB126" s="350"/>
      <c r="AC126" s="354">
        <v>0</v>
      </c>
      <c r="AD126" s="354"/>
      <c r="AE126" s="354"/>
      <c r="AF126" s="355">
        <v>0</v>
      </c>
      <c r="AG126" s="354">
        <v>0</v>
      </c>
      <c r="AH126" s="356">
        <v>0</v>
      </c>
    </row>
    <row r="127" spans="1:34" ht="15" customHeight="1">
      <c r="A127" s="338"/>
      <c r="B127" s="349"/>
      <c r="C127" s="339"/>
      <c r="D127" s="776" t="s">
        <v>85</v>
      </c>
      <c r="E127" s="784"/>
      <c r="F127" s="784"/>
      <c r="G127" s="293"/>
      <c r="H127" s="339"/>
      <c r="I127" s="316" t="s">
        <v>498</v>
      </c>
      <c r="J127" s="143">
        <v>0</v>
      </c>
      <c r="K127" s="141">
        <v>0</v>
      </c>
      <c r="L127" s="141">
        <v>0</v>
      </c>
      <c r="M127" s="141">
        <v>0</v>
      </c>
      <c r="N127" s="141">
        <v>0</v>
      </c>
      <c r="O127" s="141">
        <v>0</v>
      </c>
      <c r="P127" s="141">
        <v>0</v>
      </c>
      <c r="Q127" s="144">
        <v>0</v>
      </c>
      <c r="R127" s="143">
        <v>0</v>
      </c>
      <c r="S127" s="141">
        <v>0</v>
      </c>
      <c r="T127" s="141">
        <v>0</v>
      </c>
      <c r="U127" s="141">
        <v>0</v>
      </c>
      <c r="V127" s="144">
        <v>0</v>
      </c>
      <c r="W127" s="143">
        <v>0</v>
      </c>
      <c r="X127" s="141">
        <v>0</v>
      </c>
      <c r="Y127" s="141">
        <v>0</v>
      </c>
      <c r="Z127" s="141">
        <v>0</v>
      </c>
      <c r="AA127" s="144">
        <v>0</v>
      </c>
      <c r="AB127" s="350"/>
      <c r="AC127" s="354">
        <v>0</v>
      </c>
      <c r="AD127" s="354"/>
      <c r="AE127" s="354"/>
      <c r="AF127" s="355">
        <v>0</v>
      </c>
      <c r="AG127" s="354">
        <v>0</v>
      </c>
      <c r="AH127" s="356">
        <v>0</v>
      </c>
    </row>
    <row r="128" spans="1:34" ht="15" customHeight="1">
      <c r="A128" s="338"/>
      <c r="B128" s="349"/>
      <c r="C128" s="339"/>
      <c r="D128" s="776" t="s">
        <v>85</v>
      </c>
      <c r="E128" s="784"/>
      <c r="F128" s="784"/>
      <c r="G128" s="293"/>
      <c r="H128" s="339"/>
      <c r="I128" s="316" t="s">
        <v>498</v>
      </c>
      <c r="J128" s="143">
        <v>0</v>
      </c>
      <c r="K128" s="141">
        <v>0</v>
      </c>
      <c r="L128" s="141">
        <v>0</v>
      </c>
      <c r="M128" s="141">
        <v>0</v>
      </c>
      <c r="N128" s="141">
        <v>0</v>
      </c>
      <c r="O128" s="141">
        <v>0</v>
      </c>
      <c r="P128" s="141">
        <v>0</v>
      </c>
      <c r="Q128" s="144">
        <v>0</v>
      </c>
      <c r="R128" s="143">
        <v>0</v>
      </c>
      <c r="S128" s="141">
        <v>0</v>
      </c>
      <c r="T128" s="141">
        <v>0</v>
      </c>
      <c r="U128" s="141">
        <v>0</v>
      </c>
      <c r="V128" s="144">
        <v>0</v>
      </c>
      <c r="W128" s="143">
        <v>0</v>
      </c>
      <c r="X128" s="141">
        <v>0</v>
      </c>
      <c r="Y128" s="141">
        <v>0</v>
      </c>
      <c r="Z128" s="141">
        <v>0</v>
      </c>
      <c r="AA128" s="144">
        <v>0</v>
      </c>
      <c r="AB128" s="350"/>
      <c r="AC128" s="354">
        <v>0</v>
      </c>
      <c r="AD128" s="354"/>
      <c r="AE128" s="354"/>
      <c r="AF128" s="355">
        <v>0</v>
      </c>
      <c r="AG128" s="354">
        <v>0</v>
      </c>
      <c r="AH128" s="356">
        <v>0</v>
      </c>
    </row>
    <row r="129" spans="1:34" ht="15" customHeight="1">
      <c r="A129" s="338"/>
      <c r="B129" s="349"/>
      <c r="C129" s="339"/>
      <c r="D129" s="776" t="s">
        <v>85</v>
      </c>
      <c r="E129" s="784"/>
      <c r="F129" s="784"/>
      <c r="G129" s="293"/>
      <c r="H129" s="339"/>
      <c r="I129" s="316" t="s">
        <v>498</v>
      </c>
      <c r="J129" s="143">
        <v>0</v>
      </c>
      <c r="K129" s="141">
        <v>0</v>
      </c>
      <c r="L129" s="141">
        <v>0</v>
      </c>
      <c r="M129" s="141">
        <v>0</v>
      </c>
      <c r="N129" s="141">
        <v>0</v>
      </c>
      <c r="O129" s="141">
        <v>0</v>
      </c>
      <c r="P129" s="141">
        <v>0</v>
      </c>
      <c r="Q129" s="144">
        <v>0</v>
      </c>
      <c r="R129" s="143">
        <v>0</v>
      </c>
      <c r="S129" s="141">
        <v>0</v>
      </c>
      <c r="T129" s="141">
        <v>0</v>
      </c>
      <c r="U129" s="141">
        <v>0</v>
      </c>
      <c r="V129" s="144">
        <v>0</v>
      </c>
      <c r="W129" s="143">
        <v>0</v>
      </c>
      <c r="X129" s="141">
        <v>0</v>
      </c>
      <c r="Y129" s="141">
        <v>0</v>
      </c>
      <c r="Z129" s="141">
        <v>0</v>
      </c>
      <c r="AA129" s="144">
        <v>0</v>
      </c>
      <c r="AB129" s="350"/>
      <c r="AC129" s="354">
        <v>0</v>
      </c>
      <c r="AD129" s="354"/>
      <c r="AE129" s="354"/>
      <c r="AF129" s="355">
        <v>0</v>
      </c>
      <c r="AG129" s="354">
        <v>0</v>
      </c>
      <c r="AH129" s="356">
        <v>0</v>
      </c>
    </row>
    <row r="130" spans="1:34" ht="15" customHeight="1">
      <c r="A130" s="338"/>
      <c r="B130" s="349"/>
      <c r="C130" s="339"/>
      <c r="D130" s="776" t="s">
        <v>85</v>
      </c>
      <c r="E130" s="784"/>
      <c r="F130" s="784"/>
      <c r="G130" s="293"/>
      <c r="H130" s="339"/>
      <c r="I130" s="316" t="s">
        <v>498</v>
      </c>
      <c r="J130" s="143">
        <v>0</v>
      </c>
      <c r="K130" s="141">
        <v>0</v>
      </c>
      <c r="L130" s="141">
        <v>0</v>
      </c>
      <c r="M130" s="141">
        <v>0</v>
      </c>
      <c r="N130" s="141">
        <v>0</v>
      </c>
      <c r="O130" s="141">
        <v>0</v>
      </c>
      <c r="P130" s="141">
        <v>0</v>
      </c>
      <c r="Q130" s="144">
        <v>0</v>
      </c>
      <c r="R130" s="143">
        <v>0</v>
      </c>
      <c r="S130" s="141">
        <v>0</v>
      </c>
      <c r="T130" s="141">
        <v>0</v>
      </c>
      <c r="U130" s="141">
        <v>0</v>
      </c>
      <c r="V130" s="144">
        <v>0</v>
      </c>
      <c r="W130" s="143">
        <v>0</v>
      </c>
      <c r="X130" s="141">
        <v>0</v>
      </c>
      <c r="Y130" s="141">
        <v>0</v>
      </c>
      <c r="Z130" s="141">
        <v>0</v>
      </c>
      <c r="AA130" s="144">
        <v>0</v>
      </c>
      <c r="AB130" s="350"/>
      <c r="AC130" s="354">
        <v>0</v>
      </c>
      <c r="AD130" s="354"/>
      <c r="AE130" s="354"/>
      <c r="AF130" s="355">
        <v>0</v>
      </c>
      <c r="AG130" s="354">
        <v>0</v>
      </c>
      <c r="AH130" s="356">
        <v>0</v>
      </c>
    </row>
    <row r="131" spans="1:34" ht="15" customHeight="1">
      <c r="A131" s="338"/>
      <c r="B131" s="349"/>
      <c r="C131" s="339"/>
      <c r="D131" s="776" t="s">
        <v>85</v>
      </c>
      <c r="E131" s="784"/>
      <c r="F131" s="784"/>
      <c r="G131" s="293"/>
      <c r="H131" s="339"/>
      <c r="I131" s="316" t="s">
        <v>498</v>
      </c>
      <c r="J131" s="143">
        <v>0</v>
      </c>
      <c r="K131" s="141">
        <v>0</v>
      </c>
      <c r="L131" s="141">
        <v>0</v>
      </c>
      <c r="M131" s="141">
        <v>0</v>
      </c>
      <c r="N131" s="141">
        <v>0</v>
      </c>
      <c r="O131" s="141">
        <v>0</v>
      </c>
      <c r="P131" s="141">
        <v>0</v>
      </c>
      <c r="Q131" s="144">
        <v>0</v>
      </c>
      <c r="R131" s="143">
        <v>0</v>
      </c>
      <c r="S131" s="141">
        <v>0</v>
      </c>
      <c r="T131" s="141">
        <v>0</v>
      </c>
      <c r="U131" s="141">
        <v>0</v>
      </c>
      <c r="V131" s="144">
        <v>0</v>
      </c>
      <c r="W131" s="143">
        <v>0</v>
      </c>
      <c r="X131" s="141">
        <v>0</v>
      </c>
      <c r="Y131" s="141">
        <v>0</v>
      </c>
      <c r="Z131" s="141">
        <v>0</v>
      </c>
      <c r="AA131" s="144">
        <v>0</v>
      </c>
      <c r="AB131" s="350"/>
      <c r="AC131" s="354">
        <v>0</v>
      </c>
      <c r="AD131" s="354"/>
      <c r="AE131" s="354"/>
      <c r="AF131" s="355">
        <v>0</v>
      </c>
      <c r="AG131" s="354">
        <v>0</v>
      </c>
      <c r="AH131" s="356">
        <v>0</v>
      </c>
    </row>
    <row r="132" spans="1:34" ht="15" customHeight="1">
      <c r="A132" s="338"/>
      <c r="B132" s="349"/>
      <c r="C132" s="339"/>
      <c r="D132" s="776" t="s">
        <v>85</v>
      </c>
      <c r="E132" s="784"/>
      <c r="F132" s="784"/>
      <c r="G132" s="293"/>
      <c r="H132" s="339"/>
      <c r="I132" s="316" t="s">
        <v>498</v>
      </c>
      <c r="J132" s="143">
        <v>0</v>
      </c>
      <c r="K132" s="141">
        <v>0</v>
      </c>
      <c r="L132" s="141">
        <v>0</v>
      </c>
      <c r="M132" s="141">
        <v>0</v>
      </c>
      <c r="N132" s="141">
        <v>0</v>
      </c>
      <c r="O132" s="141">
        <v>0</v>
      </c>
      <c r="P132" s="141">
        <v>0</v>
      </c>
      <c r="Q132" s="144">
        <v>0</v>
      </c>
      <c r="R132" s="143">
        <v>0</v>
      </c>
      <c r="S132" s="141">
        <v>0</v>
      </c>
      <c r="T132" s="141">
        <v>0</v>
      </c>
      <c r="U132" s="141">
        <v>0</v>
      </c>
      <c r="V132" s="144">
        <v>0</v>
      </c>
      <c r="W132" s="143">
        <v>0</v>
      </c>
      <c r="X132" s="141">
        <v>0</v>
      </c>
      <c r="Y132" s="141">
        <v>0</v>
      </c>
      <c r="Z132" s="141">
        <v>0</v>
      </c>
      <c r="AA132" s="144">
        <v>0</v>
      </c>
      <c r="AB132" s="350"/>
      <c r="AC132" s="354">
        <v>0</v>
      </c>
      <c r="AD132" s="354"/>
      <c r="AE132" s="354"/>
      <c r="AF132" s="355">
        <v>0</v>
      </c>
      <c r="AG132" s="354">
        <v>0</v>
      </c>
      <c r="AH132" s="356">
        <v>0</v>
      </c>
    </row>
    <row r="133" spans="1:34" ht="15" customHeight="1">
      <c r="A133" s="338"/>
      <c r="B133" s="349"/>
      <c r="C133" s="339"/>
      <c r="D133" s="776" t="s">
        <v>85</v>
      </c>
      <c r="E133" s="784"/>
      <c r="F133" s="784"/>
      <c r="G133" s="293"/>
      <c r="H133" s="339"/>
      <c r="I133" s="316" t="s">
        <v>498</v>
      </c>
      <c r="J133" s="143">
        <v>0</v>
      </c>
      <c r="K133" s="141">
        <v>0</v>
      </c>
      <c r="L133" s="141">
        <v>0</v>
      </c>
      <c r="M133" s="141">
        <v>0</v>
      </c>
      <c r="N133" s="141">
        <v>0</v>
      </c>
      <c r="O133" s="141">
        <v>0</v>
      </c>
      <c r="P133" s="141">
        <v>0</v>
      </c>
      <c r="Q133" s="144">
        <v>0</v>
      </c>
      <c r="R133" s="143">
        <v>0</v>
      </c>
      <c r="S133" s="141">
        <v>0</v>
      </c>
      <c r="T133" s="141">
        <v>0</v>
      </c>
      <c r="U133" s="141">
        <v>0</v>
      </c>
      <c r="V133" s="144">
        <v>0</v>
      </c>
      <c r="W133" s="143">
        <v>0</v>
      </c>
      <c r="X133" s="141">
        <v>0</v>
      </c>
      <c r="Y133" s="141">
        <v>0</v>
      </c>
      <c r="Z133" s="141">
        <v>0</v>
      </c>
      <c r="AA133" s="144">
        <v>0</v>
      </c>
      <c r="AB133" s="350"/>
      <c r="AC133" s="354">
        <v>0</v>
      </c>
      <c r="AD133" s="354"/>
      <c r="AE133" s="354"/>
      <c r="AF133" s="355">
        <v>0</v>
      </c>
      <c r="AG133" s="354">
        <v>0</v>
      </c>
      <c r="AH133" s="356">
        <v>0</v>
      </c>
    </row>
    <row r="134" spans="1:34" ht="15" customHeight="1">
      <c r="A134" s="338"/>
      <c r="B134" s="349"/>
      <c r="C134" s="339"/>
      <c r="D134" s="776" t="s">
        <v>85</v>
      </c>
      <c r="E134" s="784"/>
      <c r="F134" s="784"/>
      <c r="G134" s="293"/>
      <c r="H134" s="339"/>
      <c r="I134" s="316" t="s">
        <v>498</v>
      </c>
      <c r="J134" s="143">
        <v>0</v>
      </c>
      <c r="K134" s="141">
        <v>0</v>
      </c>
      <c r="L134" s="141">
        <v>0</v>
      </c>
      <c r="M134" s="141">
        <v>0</v>
      </c>
      <c r="N134" s="141">
        <v>0</v>
      </c>
      <c r="O134" s="141">
        <v>0</v>
      </c>
      <c r="P134" s="141">
        <v>0</v>
      </c>
      <c r="Q134" s="144">
        <v>0</v>
      </c>
      <c r="R134" s="143">
        <v>0</v>
      </c>
      <c r="S134" s="141">
        <v>0</v>
      </c>
      <c r="T134" s="141">
        <v>0</v>
      </c>
      <c r="U134" s="141">
        <v>0</v>
      </c>
      <c r="V134" s="144">
        <v>0</v>
      </c>
      <c r="W134" s="143">
        <v>0</v>
      </c>
      <c r="X134" s="141">
        <v>0</v>
      </c>
      <c r="Y134" s="141">
        <v>0</v>
      </c>
      <c r="Z134" s="141">
        <v>0</v>
      </c>
      <c r="AA134" s="144">
        <v>0</v>
      </c>
      <c r="AB134" s="350"/>
      <c r="AC134" s="354">
        <v>0</v>
      </c>
      <c r="AD134" s="354"/>
      <c r="AE134" s="354"/>
      <c r="AF134" s="355">
        <v>0</v>
      </c>
      <c r="AG134" s="354">
        <v>0</v>
      </c>
      <c r="AH134" s="356">
        <v>0</v>
      </c>
    </row>
    <row r="135" spans="1:34" ht="15" customHeight="1">
      <c r="A135" s="338"/>
      <c r="B135" s="349"/>
      <c r="C135" s="339"/>
      <c r="D135" s="776" t="s">
        <v>85</v>
      </c>
      <c r="E135" s="784"/>
      <c r="F135" s="784"/>
      <c r="G135" s="293"/>
      <c r="H135" s="339"/>
      <c r="I135" s="316" t="s">
        <v>498</v>
      </c>
      <c r="J135" s="143">
        <v>0</v>
      </c>
      <c r="K135" s="141">
        <v>0</v>
      </c>
      <c r="L135" s="141">
        <v>0</v>
      </c>
      <c r="M135" s="141">
        <v>0</v>
      </c>
      <c r="N135" s="141">
        <v>0</v>
      </c>
      <c r="O135" s="141">
        <v>0</v>
      </c>
      <c r="P135" s="141">
        <v>0</v>
      </c>
      <c r="Q135" s="144">
        <v>0</v>
      </c>
      <c r="R135" s="143">
        <v>0</v>
      </c>
      <c r="S135" s="141">
        <v>0</v>
      </c>
      <c r="T135" s="141">
        <v>0</v>
      </c>
      <c r="U135" s="141">
        <v>0</v>
      </c>
      <c r="V135" s="144">
        <v>0</v>
      </c>
      <c r="W135" s="143">
        <v>0</v>
      </c>
      <c r="X135" s="141">
        <v>0</v>
      </c>
      <c r="Y135" s="141">
        <v>0</v>
      </c>
      <c r="Z135" s="141">
        <v>0</v>
      </c>
      <c r="AA135" s="144">
        <v>0</v>
      </c>
      <c r="AB135" s="350"/>
      <c r="AC135" s="354">
        <v>0</v>
      </c>
      <c r="AD135" s="354"/>
      <c r="AE135" s="354"/>
      <c r="AF135" s="355">
        <v>0</v>
      </c>
      <c r="AG135" s="354">
        <v>0</v>
      </c>
      <c r="AH135" s="356">
        <v>0</v>
      </c>
    </row>
    <row r="136" spans="1:34" ht="15" customHeight="1">
      <c r="A136" s="338"/>
      <c r="B136" s="349"/>
      <c r="C136" s="339"/>
      <c r="D136" s="776" t="s">
        <v>85</v>
      </c>
      <c r="E136" s="784"/>
      <c r="F136" s="784"/>
      <c r="G136" s="293"/>
      <c r="H136" s="339"/>
      <c r="I136" s="316" t="s">
        <v>498</v>
      </c>
      <c r="J136" s="143">
        <v>0</v>
      </c>
      <c r="K136" s="141">
        <v>0</v>
      </c>
      <c r="L136" s="141">
        <v>0</v>
      </c>
      <c r="M136" s="141">
        <v>0</v>
      </c>
      <c r="N136" s="141">
        <v>0</v>
      </c>
      <c r="O136" s="141">
        <v>0</v>
      </c>
      <c r="P136" s="141">
        <v>0</v>
      </c>
      <c r="Q136" s="144">
        <v>0</v>
      </c>
      <c r="R136" s="143">
        <v>0</v>
      </c>
      <c r="S136" s="141">
        <v>0</v>
      </c>
      <c r="T136" s="141">
        <v>0</v>
      </c>
      <c r="U136" s="141">
        <v>0</v>
      </c>
      <c r="V136" s="144">
        <v>0</v>
      </c>
      <c r="W136" s="143">
        <v>0</v>
      </c>
      <c r="X136" s="141">
        <v>0</v>
      </c>
      <c r="Y136" s="141">
        <v>0</v>
      </c>
      <c r="Z136" s="141">
        <v>0</v>
      </c>
      <c r="AA136" s="144">
        <v>0</v>
      </c>
      <c r="AB136" s="350"/>
      <c r="AC136" s="354">
        <v>0</v>
      </c>
      <c r="AD136" s="354"/>
      <c r="AE136" s="354"/>
      <c r="AF136" s="355">
        <v>0</v>
      </c>
      <c r="AG136" s="354">
        <v>0</v>
      </c>
      <c r="AH136" s="356">
        <v>0</v>
      </c>
    </row>
    <row r="137" spans="1:34" ht="15" customHeight="1">
      <c r="A137" s="338"/>
      <c r="B137" s="349"/>
      <c r="C137" s="339"/>
      <c r="D137" s="776" t="s">
        <v>85</v>
      </c>
      <c r="E137" s="784"/>
      <c r="F137" s="784"/>
      <c r="G137" s="293"/>
      <c r="H137" s="339"/>
      <c r="I137" s="316" t="s">
        <v>498</v>
      </c>
      <c r="J137" s="143">
        <v>0</v>
      </c>
      <c r="K137" s="141">
        <v>0</v>
      </c>
      <c r="L137" s="141">
        <v>0</v>
      </c>
      <c r="M137" s="141">
        <v>0</v>
      </c>
      <c r="N137" s="141">
        <v>0</v>
      </c>
      <c r="O137" s="141">
        <v>0</v>
      </c>
      <c r="P137" s="141">
        <v>0</v>
      </c>
      <c r="Q137" s="144">
        <v>0</v>
      </c>
      <c r="R137" s="143">
        <v>0</v>
      </c>
      <c r="S137" s="141">
        <v>0</v>
      </c>
      <c r="T137" s="141">
        <v>0</v>
      </c>
      <c r="U137" s="141">
        <v>0</v>
      </c>
      <c r="V137" s="144">
        <v>0</v>
      </c>
      <c r="W137" s="143">
        <v>0</v>
      </c>
      <c r="X137" s="141">
        <v>0</v>
      </c>
      <c r="Y137" s="141">
        <v>0</v>
      </c>
      <c r="Z137" s="141">
        <v>0</v>
      </c>
      <c r="AA137" s="144">
        <v>0</v>
      </c>
      <c r="AB137" s="350"/>
      <c r="AC137" s="354">
        <v>0</v>
      </c>
      <c r="AD137" s="354"/>
      <c r="AE137" s="354"/>
      <c r="AF137" s="355">
        <v>0</v>
      </c>
      <c r="AG137" s="354">
        <v>0</v>
      </c>
      <c r="AH137" s="356">
        <v>0</v>
      </c>
    </row>
    <row r="138" spans="1:34" ht="15" customHeight="1">
      <c r="A138" s="338"/>
      <c r="B138" s="349"/>
      <c r="C138" s="339"/>
      <c r="D138" s="776" t="s">
        <v>85</v>
      </c>
      <c r="E138" s="784"/>
      <c r="F138" s="784"/>
      <c r="G138" s="293"/>
      <c r="H138" s="339"/>
      <c r="I138" s="316" t="s">
        <v>498</v>
      </c>
      <c r="J138" s="143">
        <v>0</v>
      </c>
      <c r="K138" s="141">
        <v>0</v>
      </c>
      <c r="L138" s="141">
        <v>0</v>
      </c>
      <c r="M138" s="141">
        <v>0</v>
      </c>
      <c r="N138" s="141">
        <v>0</v>
      </c>
      <c r="O138" s="141">
        <v>0</v>
      </c>
      <c r="P138" s="141">
        <v>0</v>
      </c>
      <c r="Q138" s="144">
        <v>0</v>
      </c>
      <c r="R138" s="143">
        <v>0</v>
      </c>
      <c r="S138" s="141">
        <v>0</v>
      </c>
      <c r="T138" s="141">
        <v>0</v>
      </c>
      <c r="U138" s="141">
        <v>0</v>
      </c>
      <c r="V138" s="144">
        <v>0</v>
      </c>
      <c r="W138" s="143">
        <v>0</v>
      </c>
      <c r="X138" s="141">
        <v>0</v>
      </c>
      <c r="Y138" s="141">
        <v>0</v>
      </c>
      <c r="Z138" s="141">
        <v>0</v>
      </c>
      <c r="AA138" s="144">
        <v>0</v>
      </c>
      <c r="AB138" s="350"/>
      <c r="AC138" s="354">
        <v>0</v>
      </c>
      <c r="AD138" s="354"/>
      <c r="AE138" s="354"/>
      <c r="AF138" s="355">
        <v>0</v>
      </c>
      <c r="AG138" s="354">
        <v>0</v>
      </c>
      <c r="AH138" s="356">
        <v>0</v>
      </c>
    </row>
    <row r="139" spans="1:34" ht="15" customHeight="1">
      <c r="A139" s="338"/>
      <c r="B139" s="349"/>
      <c r="C139" s="339"/>
      <c r="D139" s="776" t="s">
        <v>85</v>
      </c>
      <c r="E139" s="784"/>
      <c r="F139" s="784"/>
      <c r="G139" s="293"/>
      <c r="H139" s="339"/>
      <c r="I139" s="316" t="s">
        <v>498</v>
      </c>
      <c r="J139" s="143">
        <v>0</v>
      </c>
      <c r="K139" s="141">
        <v>0</v>
      </c>
      <c r="L139" s="141">
        <v>0</v>
      </c>
      <c r="M139" s="141">
        <v>0</v>
      </c>
      <c r="N139" s="141">
        <v>0</v>
      </c>
      <c r="O139" s="141">
        <v>0</v>
      </c>
      <c r="P139" s="141">
        <v>0</v>
      </c>
      <c r="Q139" s="144">
        <v>0</v>
      </c>
      <c r="R139" s="143">
        <v>0</v>
      </c>
      <c r="S139" s="141">
        <v>0</v>
      </c>
      <c r="T139" s="141">
        <v>0</v>
      </c>
      <c r="U139" s="141">
        <v>0</v>
      </c>
      <c r="V139" s="144">
        <v>0</v>
      </c>
      <c r="W139" s="143">
        <v>0</v>
      </c>
      <c r="X139" s="141">
        <v>0</v>
      </c>
      <c r="Y139" s="141">
        <v>0</v>
      </c>
      <c r="Z139" s="141">
        <v>0</v>
      </c>
      <c r="AA139" s="144">
        <v>0</v>
      </c>
      <c r="AB139" s="350"/>
      <c r="AC139" s="354">
        <v>0</v>
      </c>
      <c r="AD139" s="354"/>
      <c r="AE139" s="354"/>
      <c r="AF139" s="355">
        <v>0</v>
      </c>
      <c r="AG139" s="354">
        <v>0</v>
      </c>
      <c r="AH139" s="356">
        <v>0</v>
      </c>
    </row>
    <row r="140" spans="1:34" ht="15" customHeight="1">
      <c r="A140" s="338"/>
      <c r="B140" s="349"/>
      <c r="C140" s="339"/>
      <c r="D140" s="776" t="s">
        <v>85</v>
      </c>
      <c r="E140" s="784"/>
      <c r="F140" s="784"/>
      <c r="G140" s="293"/>
      <c r="H140" s="339"/>
      <c r="I140" s="316" t="s">
        <v>498</v>
      </c>
      <c r="J140" s="143">
        <v>0</v>
      </c>
      <c r="K140" s="141">
        <v>0</v>
      </c>
      <c r="L140" s="141">
        <v>0</v>
      </c>
      <c r="M140" s="141">
        <v>0</v>
      </c>
      <c r="N140" s="141">
        <v>0</v>
      </c>
      <c r="O140" s="141">
        <v>0</v>
      </c>
      <c r="P140" s="141">
        <v>0</v>
      </c>
      <c r="Q140" s="144">
        <v>0</v>
      </c>
      <c r="R140" s="143">
        <v>0</v>
      </c>
      <c r="S140" s="141">
        <v>0</v>
      </c>
      <c r="T140" s="141">
        <v>0</v>
      </c>
      <c r="U140" s="141">
        <v>0</v>
      </c>
      <c r="V140" s="144">
        <v>0</v>
      </c>
      <c r="W140" s="143">
        <v>0</v>
      </c>
      <c r="X140" s="141">
        <v>0</v>
      </c>
      <c r="Y140" s="141">
        <v>0</v>
      </c>
      <c r="Z140" s="141">
        <v>0</v>
      </c>
      <c r="AA140" s="144">
        <v>0</v>
      </c>
      <c r="AB140" s="350"/>
      <c r="AC140" s="354">
        <v>0</v>
      </c>
      <c r="AD140" s="354"/>
      <c r="AE140" s="354"/>
      <c r="AF140" s="355">
        <v>0</v>
      </c>
      <c r="AG140" s="354">
        <v>0</v>
      </c>
      <c r="AH140" s="356">
        <v>0</v>
      </c>
    </row>
    <row r="141" spans="1:34" ht="15" customHeight="1">
      <c r="A141" s="338"/>
      <c r="B141" s="349"/>
      <c r="C141" s="339"/>
      <c r="D141" s="776" t="s">
        <v>85</v>
      </c>
      <c r="E141" s="784"/>
      <c r="F141" s="784"/>
      <c r="G141" s="293"/>
      <c r="H141" s="339"/>
      <c r="I141" s="316" t="s">
        <v>498</v>
      </c>
      <c r="J141" s="143">
        <v>0</v>
      </c>
      <c r="K141" s="141">
        <v>0</v>
      </c>
      <c r="L141" s="141">
        <v>0</v>
      </c>
      <c r="M141" s="141">
        <v>0</v>
      </c>
      <c r="N141" s="141">
        <v>0</v>
      </c>
      <c r="O141" s="141">
        <v>0</v>
      </c>
      <c r="P141" s="141">
        <v>0</v>
      </c>
      <c r="Q141" s="144">
        <v>0</v>
      </c>
      <c r="R141" s="143">
        <v>0</v>
      </c>
      <c r="S141" s="141">
        <v>0</v>
      </c>
      <c r="T141" s="141">
        <v>0</v>
      </c>
      <c r="U141" s="141">
        <v>0</v>
      </c>
      <c r="V141" s="144">
        <v>0</v>
      </c>
      <c r="W141" s="143">
        <v>0</v>
      </c>
      <c r="X141" s="141">
        <v>0</v>
      </c>
      <c r="Y141" s="141">
        <v>0</v>
      </c>
      <c r="Z141" s="141">
        <v>0</v>
      </c>
      <c r="AA141" s="144">
        <v>0</v>
      </c>
      <c r="AB141" s="350"/>
      <c r="AC141" s="354">
        <v>0</v>
      </c>
      <c r="AD141" s="354"/>
      <c r="AE141" s="354"/>
      <c r="AF141" s="355">
        <v>0</v>
      </c>
      <c r="AG141" s="354">
        <v>0</v>
      </c>
      <c r="AH141" s="356">
        <v>0</v>
      </c>
    </row>
    <row r="142" spans="1:34" ht="15" customHeight="1">
      <c r="A142" s="338"/>
      <c r="B142" s="349"/>
      <c r="C142" s="339"/>
      <c r="D142" s="776" t="s">
        <v>85</v>
      </c>
      <c r="E142" s="784"/>
      <c r="F142" s="784"/>
      <c r="G142" s="293"/>
      <c r="H142" s="339"/>
      <c r="I142" s="316" t="s">
        <v>498</v>
      </c>
      <c r="J142" s="143">
        <v>0</v>
      </c>
      <c r="K142" s="141">
        <v>0</v>
      </c>
      <c r="L142" s="141">
        <v>0</v>
      </c>
      <c r="M142" s="141">
        <v>0</v>
      </c>
      <c r="N142" s="141">
        <v>0</v>
      </c>
      <c r="O142" s="141">
        <v>0</v>
      </c>
      <c r="P142" s="141">
        <v>0</v>
      </c>
      <c r="Q142" s="144">
        <v>0</v>
      </c>
      <c r="R142" s="143">
        <v>0</v>
      </c>
      <c r="S142" s="141">
        <v>0</v>
      </c>
      <c r="T142" s="141">
        <v>0</v>
      </c>
      <c r="U142" s="141">
        <v>0</v>
      </c>
      <c r="V142" s="144">
        <v>0</v>
      </c>
      <c r="W142" s="143">
        <v>0</v>
      </c>
      <c r="X142" s="141">
        <v>0</v>
      </c>
      <c r="Y142" s="141">
        <v>0</v>
      </c>
      <c r="Z142" s="141">
        <v>0</v>
      </c>
      <c r="AA142" s="144">
        <v>0</v>
      </c>
      <c r="AB142" s="350"/>
      <c r="AC142" s="354">
        <v>0</v>
      </c>
      <c r="AD142" s="354"/>
      <c r="AE142" s="354"/>
      <c r="AF142" s="355">
        <v>0</v>
      </c>
      <c r="AG142" s="354">
        <v>0</v>
      </c>
      <c r="AH142" s="356">
        <v>0</v>
      </c>
    </row>
    <row r="143" spans="1:34" ht="15" customHeight="1">
      <c r="A143" s="338"/>
      <c r="B143" s="349"/>
      <c r="C143" s="339"/>
      <c r="D143" s="776" t="s">
        <v>85</v>
      </c>
      <c r="E143" s="784"/>
      <c r="F143" s="784"/>
      <c r="G143" s="293"/>
      <c r="H143" s="339"/>
      <c r="I143" s="316" t="s">
        <v>498</v>
      </c>
      <c r="J143" s="143">
        <v>0</v>
      </c>
      <c r="K143" s="141">
        <v>0</v>
      </c>
      <c r="L143" s="141">
        <v>0</v>
      </c>
      <c r="M143" s="141">
        <v>0</v>
      </c>
      <c r="N143" s="141">
        <v>0</v>
      </c>
      <c r="O143" s="141">
        <v>0</v>
      </c>
      <c r="P143" s="141">
        <v>0</v>
      </c>
      <c r="Q143" s="144">
        <v>0</v>
      </c>
      <c r="R143" s="143">
        <v>0</v>
      </c>
      <c r="S143" s="141">
        <v>0</v>
      </c>
      <c r="T143" s="141">
        <v>0</v>
      </c>
      <c r="U143" s="141">
        <v>0</v>
      </c>
      <c r="V143" s="144">
        <v>0</v>
      </c>
      <c r="W143" s="143">
        <v>0</v>
      </c>
      <c r="X143" s="141">
        <v>0</v>
      </c>
      <c r="Y143" s="141">
        <v>0</v>
      </c>
      <c r="Z143" s="141">
        <v>0</v>
      </c>
      <c r="AA143" s="144">
        <v>0</v>
      </c>
      <c r="AB143" s="350"/>
      <c r="AC143" s="354">
        <v>0</v>
      </c>
      <c r="AD143" s="354"/>
      <c r="AE143" s="354"/>
      <c r="AF143" s="355">
        <v>0</v>
      </c>
      <c r="AG143" s="354">
        <v>0</v>
      </c>
      <c r="AH143" s="356">
        <v>0</v>
      </c>
    </row>
    <row r="144" spans="1:34" ht="15" customHeight="1">
      <c r="A144" s="338"/>
      <c r="B144" s="349"/>
      <c r="C144" s="339"/>
      <c r="D144" s="776" t="s">
        <v>85</v>
      </c>
      <c r="E144" s="784"/>
      <c r="F144" s="784"/>
      <c r="G144" s="293"/>
      <c r="H144" s="339"/>
      <c r="I144" s="316" t="s">
        <v>498</v>
      </c>
      <c r="J144" s="143">
        <v>0</v>
      </c>
      <c r="K144" s="141">
        <v>0</v>
      </c>
      <c r="L144" s="141">
        <v>0</v>
      </c>
      <c r="M144" s="141">
        <v>0</v>
      </c>
      <c r="N144" s="141">
        <v>0</v>
      </c>
      <c r="O144" s="141">
        <v>0</v>
      </c>
      <c r="P144" s="141">
        <v>0</v>
      </c>
      <c r="Q144" s="144">
        <v>0</v>
      </c>
      <c r="R144" s="143">
        <v>0</v>
      </c>
      <c r="S144" s="141">
        <v>0</v>
      </c>
      <c r="T144" s="141">
        <v>0</v>
      </c>
      <c r="U144" s="141">
        <v>0</v>
      </c>
      <c r="V144" s="144">
        <v>0</v>
      </c>
      <c r="W144" s="143">
        <v>0</v>
      </c>
      <c r="X144" s="141">
        <v>0</v>
      </c>
      <c r="Y144" s="141">
        <v>0</v>
      </c>
      <c r="Z144" s="141">
        <v>0</v>
      </c>
      <c r="AA144" s="144">
        <v>0</v>
      </c>
      <c r="AB144" s="350"/>
      <c r="AC144" s="354">
        <v>0</v>
      </c>
      <c r="AD144" s="354"/>
      <c r="AE144" s="354"/>
      <c r="AF144" s="355">
        <v>0</v>
      </c>
      <c r="AG144" s="354">
        <v>0</v>
      </c>
      <c r="AH144" s="356">
        <v>0</v>
      </c>
    </row>
    <row r="145" spans="1:34" ht="15" customHeight="1">
      <c r="A145" s="338"/>
      <c r="B145" s="349"/>
      <c r="C145" s="339"/>
      <c r="D145" s="776" t="s">
        <v>85</v>
      </c>
      <c r="E145" s="784"/>
      <c r="F145" s="784"/>
      <c r="G145" s="293"/>
      <c r="H145" s="339"/>
      <c r="I145" s="316" t="s">
        <v>498</v>
      </c>
      <c r="J145" s="143">
        <v>0</v>
      </c>
      <c r="K145" s="141">
        <v>0</v>
      </c>
      <c r="L145" s="141">
        <v>0</v>
      </c>
      <c r="M145" s="141">
        <v>0</v>
      </c>
      <c r="N145" s="141">
        <v>0</v>
      </c>
      <c r="O145" s="141">
        <v>0</v>
      </c>
      <c r="P145" s="141">
        <v>0</v>
      </c>
      <c r="Q145" s="144">
        <v>0</v>
      </c>
      <c r="R145" s="143">
        <v>0</v>
      </c>
      <c r="S145" s="141">
        <v>0</v>
      </c>
      <c r="T145" s="141">
        <v>0</v>
      </c>
      <c r="U145" s="141">
        <v>0</v>
      </c>
      <c r="V145" s="144">
        <v>0</v>
      </c>
      <c r="W145" s="143">
        <v>0</v>
      </c>
      <c r="X145" s="141">
        <v>0</v>
      </c>
      <c r="Y145" s="141">
        <v>0</v>
      </c>
      <c r="Z145" s="141">
        <v>0</v>
      </c>
      <c r="AA145" s="144">
        <v>0</v>
      </c>
      <c r="AB145" s="350"/>
      <c r="AC145" s="354">
        <v>0</v>
      </c>
      <c r="AD145" s="354"/>
      <c r="AE145" s="354"/>
      <c r="AF145" s="355">
        <v>0</v>
      </c>
      <c r="AG145" s="354">
        <v>0</v>
      </c>
      <c r="AH145" s="356">
        <v>0</v>
      </c>
    </row>
    <row r="146" spans="1:34" ht="15" customHeight="1">
      <c r="A146" s="338"/>
      <c r="B146" s="349"/>
      <c r="C146" s="339"/>
      <c r="D146" s="776" t="s">
        <v>85</v>
      </c>
      <c r="E146" s="784"/>
      <c r="F146" s="784"/>
      <c r="G146" s="293"/>
      <c r="H146" s="339"/>
      <c r="I146" s="316" t="s">
        <v>498</v>
      </c>
      <c r="J146" s="143">
        <v>0</v>
      </c>
      <c r="K146" s="141">
        <v>0</v>
      </c>
      <c r="L146" s="141">
        <v>0</v>
      </c>
      <c r="M146" s="141">
        <v>0</v>
      </c>
      <c r="N146" s="141">
        <v>0</v>
      </c>
      <c r="O146" s="141">
        <v>0</v>
      </c>
      <c r="P146" s="141">
        <v>0</v>
      </c>
      <c r="Q146" s="144">
        <v>0</v>
      </c>
      <c r="R146" s="143">
        <v>0</v>
      </c>
      <c r="S146" s="141">
        <v>0</v>
      </c>
      <c r="T146" s="141">
        <v>0</v>
      </c>
      <c r="U146" s="141">
        <v>0</v>
      </c>
      <c r="V146" s="144">
        <v>0</v>
      </c>
      <c r="W146" s="143">
        <v>0</v>
      </c>
      <c r="X146" s="141">
        <v>0</v>
      </c>
      <c r="Y146" s="141">
        <v>0</v>
      </c>
      <c r="Z146" s="141">
        <v>0</v>
      </c>
      <c r="AA146" s="144">
        <v>0</v>
      </c>
      <c r="AB146" s="350"/>
      <c r="AC146" s="354">
        <v>0</v>
      </c>
      <c r="AD146" s="354"/>
      <c r="AE146" s="354"/>
      <c r="AF146" s="355">
        <v>0</v>
      </c>
      <c r="AG146" s="354">
        <v>0</v>
      </c>
      <c r="AH146" s="356">
        <v>0</v>
      </c>
    </row>
    <row r="147" spans="1:34" ht="15" customHeight="1">
      <c r="A147" s="338"/>
      <c r="B147" s="349"/>
      <c r="C147" s="339"/>
      <c r="D147" s="776" t="s">
        <v>85</v>
      </c>
      <c r="E147" s="784"/>
      <c r="F147" s="784"/>
      <c r="G147" s="293"/>
      <c r="H147" s="339"/>
      <c r="I147" s="316" t="s">
        <v>498</v>
      </c>
      <c r="J147" s="143">
        <v>0</v>
      </c>
      <c r="K147" s="141">
        <v>0</v>
      </c>
      <c r="L147" s="141">
        <v>0</v>
      </c>
      <c r="M147" s="141">
        <v>0</v>
      </c>
      <c r="N147" s="141">
        <v>0</v>
      </c>
      <c r="O147" s="141">
        <v>0</v>
      </c>
      <c r="P147" s="141">
        <v>0</v>
      </c>
      <c r="Q147" s="144">
        <v>0</v>
      </c>
      <c r="R147" s="143">
        <v>0</v>
      </c>
      <c r="S147" s="141">
        <v>0</v>
      </c>
      <c r="T147" s="141">
        <v>0</v>
      </c>
      <c r="U147" s="141">
        <v>0</v>
      </c>
      <c r="V147" s="144">
        <v>0</v>
      </c>
      <c r="W147" s="143">
        <v>0</v>
      </c>
      <c r="X147" s="141">
        <v>0</v>
      </c>
      <c r="Y147" s="141">
        <v>0</v>
      </c>
      <c r="Z147" s="141">
        <v>0</v>
      </c>
      <c r="AA147" s="144">
        <v>0</v>
      </c>
      <c r="AB147" s="350"/>
      <c r="AC147" s="354">
        <v>0</v>
      </c>
      <c r="AD147" s="354"/>
      <c r="AE147" s="354"/>
      <c r="AF147" s="355">
        <v>0</v>
      </c>
      <c r="AG147" s="354">
        <v>0</v>
      </c>
      <c r="AH147" s="356">
        <v>0</v>
      </c>
    </row>
    <row r="148" spans="1:34" ht="15" customHeight="1">
      <c r="A148" s="338"/>
      <c r="B148" s="349"/>
      <c r="C148" s="339"/>
      <c r="D148" s="776" t="s">
        <v>85</v>
      </c>
      <c r="E148" s="784"/>
      <c r="F148" s="784"/>
      <c r="G148" s="293"/>
      <c r="H148" s="339"/>
      <c r="I148" s="316" t="s">
        <v>498</v>
      </c>
      <c r="J148" s="143">
        <v>0</v>
      </c>
      <c r="K148" s="141">
        <v>0</v>
      </c>
      <c r="L148" s="141">
        <v>0</v>
      </c>
      <c r="M148" s="141">
        <v>0</v>
      </c>
      <c r="N148" s="141">
        <v>0</v>
      </c>
      <c r="O148" s="141">
        <v>0</v>
      </c>
      <c r="P148" s="141">
        <v>0</v>
      </c>
      <c r="Q148" s="144">
        <v>0</v>
      </c>
      <c r="R148" s="143">
        <v>0</v>
      </c>
      <c r="S148" s="141">
        <v>0</v>
      </c>
      <c r="T148" s="141">
        <v>0</v>
      </c>
      <c r="U148" s="141">
        <v>0</v>
      </c>
      <c r="V148" s="144">
        <v>0</v>
      </c>
      <c r="W148" s="143">
        <v>0</v>
      </c>
      <c r="X148" s="141">
        <v>0</v>
      </c>
      <c r="Y148" s="141">
        <v>0</v>
      </c>
      <c r="Z148" s="141">
        <v>0</v>
      </c>
      <c r="AA148" s="144">
        <v>0</v>
      </c>
      <c r="AB148" s="350"/>
      <c r="AC148" s="354">
        <v>0</v>
      </c>
      <c r="AD148" s="354"/>
      <c r="AE148" s="354"/>
      <c r="AF148" s="355">
        <v>0</v>
      </c>
      <c r="AG148" s="354">
        <v>0</v>
      </c>
      <c r="AH148" s="356">
        <v>0</v>
      </c>
    </row>
    <row r="149" spans="1:34" ht="15" customHeight="1">
      <c r="A149" s="338"/>
      <c r="B149" s="349"/>
      <c r="C149" s="339"/>
      <c r="D149" s="776" t="s">
        <v>85</v>
      </c>
      <c r="E149" s="784"/>
      <c r="F149" s="784"/>
      <c r="G149" s="293"/>
      <c r="H149" s="339"/>
      <c r="I149" s="316" t="s">
        <v>498</v>
      </c>
      <c r="J149" s="143">
        <v>0</v>
      </c>
      <c r="K149" s="141">
        <v>0</v>
      </c>
      <c r="L149" s="141">
        <v>0</v>
      </c>
      <c r="M149" s="141">
        <v>0</v>
      </c>
      <c r="N149" s="141">
        <v>0</v>
      </c>
      <c r="O149" s="141">
        <v>0</v>
      </c>
      <c r="P149" s="141">
        <v>0</v>
      </c>
      <c r="Q149" s="144">
        <v>0</v>
      </c>
      <c r="R149" s="143">
        <v>0</v>
      </c>
      <c r="S149" s="141">
        <v>0</v>
      </c>
      <c r="T149" s="141">
        <v>0</v>
      </c>
      <c r="U149" s="141">
        <v>0</v>
      </c>
      <c r="V149" s="144">
        <v>0</v>
      </c>
      <c r="W149" s="143">
        <v>0</v>
      </c>
      <c r="X149" s="141">
        <v>0</v>
      </c>
      <c r="Y149" s="141">
        <v>0</v>
      </c>
      <c r="Z149" s="141">
        <v>0</v>
      </c>
      <c r="AA149" s="144">
        <v>0</v>
      </c>
      <c r="AB149" s="350"/>
      <c r="AC149" s="354">
        <v>0</v>
      </c>
      <c r="AD149" s="354"/>
      <c r="AE149" s="354"/>
      <c r="AF149" s="355">
        <v>0</v>
      </c>
      <c r="AG149" s="354">
        <v>0</v>
      </c>
      <c r="AH149" s="356">
        <v>0</v>
      </c>
    </row>
    <row r="150" spans="1:34" ht="15" customHeight="1">
      <c r="A150" s="338"/>
      <c r="B150" s="349"/>
      <c r="C150" s="339"/>
      <c r="D150" s="776" t="s">
        <v>85</v>
      </c>
      <c r="E150" s="784"/>
      <c r="F150" s="784"/>
      <c r="G150" s="293"/>
      <c r="H150" s="339"/>
      <c r="I150" s="316" t="s">
        <v>498</v>
      </c>
      <c r="J150" s="143">
        <v>0</v>
      </c>
      <c r="K150" s="141">
        <v>0</v>
      </c>
      <c r="L150" s="141">
        <v>0</v>
      </c>
      <c r="M150" s="141">
        <v>0</v>
      </c>
      <c r="N150" s="141">
        <v>0</v>
      </c>
      <c r="O150" s="141">
        <v>0</v>
      </c>
      <c r="P150" s="141">
        <v>0</v>
      </c>
      <c r="Q150" s="144">
        <v>0</v>
      </c>
      <c r="R150" s="143">
        <v>0</v>
      </c>
      <c r="S150" s="141">
        <v>0</v>
      </c>
      <c r="T150" s="141">
        <v>0</v>
      </c>
      <c r="U150" s="141">
        <v>0</v>
      </c>
      <c r="V150" s="144">
        <v>0</v>
      </c>
      <c r="W150" s="143">
        <v>0</v>
      </c>
      <c r="X150" s="141">
        <v>0</v>
      </c>
      <c r="Y150" s="141">
        <v>0</v>
      </c>
      <c r="Z150" s="141">
        <v>0</v>
      </c>
      <c r="AA150" s="144">
        <v>0</v>
      </c>
      <c r="AB150" s="350"/>
      <c r="AC150" s="354">
        <v>0</v>
      </c>
      <c r="AD150" s="354"/>
      <c r="AE150" s="354"/>
      <c r="AF150" s="355">
        <v>0</v>
      </c>
      <c r="AG150" s="354">
        <v>0</v>
      </c>
      <c r="AH150" s="356">
        <v>0</v>
      </c>
    </row>
    <row r="151" spans="1:34" ht="15" customHeight="1">
      <c r="A151" s="338"/>
      <c r="B151" s="349"/>
      <c r="C151" s="339"/>
      <c r="D151" s="776" t="s">
        <v>85</v>
      </c>
      <c r="E151" s="784"/>
      <c r="F151" s="784"/>
      <c r="G151" s="293"/>
      <c r="H151" s="339"/>
      <c r="I151" s="316" t="s">
        <v>498</v>
      </c>
      <c r="J151" s="143">
        <v>0</v>
      </c>
      <c r="K151" s="141">
        <v>0</v>
      </c>
      <c r="L151" s="141">
        <v>0</v>
      </c>
      <c r="M151" s="141">
        <v>0</v>
      </c>
      <c r="N151" s="141">
        <v>0</v>
      </c>
      <c r="O151" s="141">
        <v>0</v>
      </c>
      <c r="P151" s="141">
        <v>0</v>
      </c>
      <c r="Q151" s="144">
        <v>0</v>
      </c>
      <c r="R151" s="143">
        <v>0</v>
      </c>
      <c r="S151" s="141">
        <v>0</v>
      </c>
      <c r="T151" s="141">
        <v>0</v>
      </c>
      <c r="U151" s="141">
        <v>0</v>
      </c>
      <c r="V151" s="144">
        <v>0</v>
      </c>
      <c r="W151" s="143">
        <v>0</v>
      </c>
      <c r="X151" s="141">
        <v>0</v>
      </c>
      <c r="Y151" s="141">
        <v>0</v>
      </c>
      <c r="Z151" s="141">
        <v>0</v>
      </c>
      <c r="AA151" s="144">
        <v>0</v>
      </c>
      <c r="AB151" s="350"/>
      <c r="AC151" s="354">
        <v>0</v>
      </c>
      <c r="AD151" s="354"/>
      <c r="AE151" s="354"/>
      <c r="AF151" s="355">
        <v>0</v>
      </c>
      <c r="AG151" s="354">
        <v>0</v>
      </c>
      <c r="AH151" s="356">
        <v>0</v>
      </c>
    </row>
    <row r="152" spans="1:34" ht="15" customHeight="1">
      <c r="A152" s="338"/>
      <c r="B152" s="349"/>
      <c r="C152" s="339"/>
      <c r="D152" s="776" t="s">
        <v>85</v>
      </c>
      <c r="E152" s="784"/>
      <c r="F152" s="784"/>
      <c r="G152" s="293"/>
      <c r="H152" s="339"/>
      <c r="I152" s="316" t="s">
        <v>498</v>
      </c>
      <c r="J152" s="143">
        <v>0</v>
      </c>
      <c r="K152" s="141">
        <v>0</v>
      </c>
      <c r="L152" s="141">
        <v>0</v>
      </c>
      <c r="M152" s="141">
        <v>0</v>
      </c>
      <c r="N152" s="141">
        <v>0</v>
      </c>
      <c r="O152" s="141">
        <v>0</v>
      </c>
      <c r="P152" s="141">
        <v>0</v>
      </c>
      <c r="Q152" s="144">
        <v>0</v>
      </c>
      <c r="R152" s="143">
        <v>0</v>
      </c>
      <c r="S152" s="141">
        <v>0</v>
      </c>
      <c r="T152" s="141">
        <v>0</v>
      </c>
      <c r="U152" s="141">
        <v>0</v>
      </c>
      <c r="V152" s="144">
        <v>0</v>
      </c>
      <c r="W152" s="143">
        <v>0</v>
      </c>
      <c r="X152" s="141">
        <v>0</v>
      </c>
      <c r="Y152" s="141">
        <v>0</v>
      </c>
      <c r="Z152" s="141">
        <v>0</v>
      </c>
      <c r="AA152" s="144">
        <v>0</v>
      </c>
      <c r="AB152" s="350"/>
      <c r="AC152" s="354">
        <v>0</v>
      </c>
      <c r="AD152" s="354"/>
      <c r="AE152" s="354"/>
      <c r="AF152" s="355">
        <v>0</v>
      </c>
      <c r="AG152" s="354">
        <v>0</v>
      </c>
      <c r="AH152" s="356">
        <v>0</v>
      </c>
    </row>
    <row r="153" spans="1:34" ht="15" customHeight="1">
      <c r="A153" s="338"/>
      <c r="B153" s="349"/>
      <c r="C153" s="339"/>
      <c r="D153" s="776" t="s">
        <v>85</v>
      </c>
      <c r="E153" s="784"/>
      <c r="F153" s="784"/>
      <c r="G153" s="293"/>
      <c r="H153" s="339"/>
      <c r="I153" s="316" t="s">
        <v>498</v>
      </c>
      <c r="J153" s="143">
        <v>0</v>
      </c>
      <c r="K153" s="141">
        <v>0</v>
      </c>
      <c r="L153" s="141">
        <v>0</v>
      </c>
      <c r="M153" s="141">
        <v>0</v>
      </c>
      <c r="N153" s="141">
        <v>0</v>
      </c>
      <c r="O153" s="141">
        <v>0</v>
      </c>
      <c r="P153" s="141">
        <v>0</v>
      </c>
      <c r="Q153" s="144">
        <v>0</v>
      </c>
      <c r="R153" s="143">
        <v>0</v>
      </c>
      <c r="S153" s="141">
        <v>0</v>
      </c>
      <c r="T153" s="141">
        <v>0</v>
      </c>
      <c r="U153" s="141">
        <v>0</v>
      </c>
      <c r="V153" s="144">
        <v>0</v>
      </c>
      <c r="W153" s="143">
        <v>0</v>
      </c>
      <c r="X153" s="141">
        <v>0</v>
      </c>
      <c r="Y153" s="141">
        <v>0</v>
      </c>
      <c r="Z153" s="141">
        <v>0</v>
      </c>
      <c r="AA153" s="144">
        <v>0</v>
      </c>
      <c r="AB153" s="350"/>
      <c r="AC153" s="354">
        <v>0</v>
      </c>
      <c r="AD153" s="354"/>
      <c r="AE153" s="354"/>
      <c r="AF153" s="355">
        <v>0</v>
      </c>
      <c r="AG153" s="354">
        <v>0</v>
      </c>
      <c r="AH153" s="356">
        <v>0</v>
      </c>
    </row>
    <row r="154" spans="1:34" ht="15" customHeight="1">
      <c r="A154" s="338"/>
      <c r="B154" s="349"/>
      <c r="C154" s="339"/>
      <c r="D154" s="776" t="s">
        <v>85</v>
      </c>
      <c r="E154" s="784"/>
      <c r="F154" s="784"/>
      <c r="G154" s="293"/>
      <c r="H154" s="339"/>
      <c r="I154" s="316" t="s">
        <v>498</v>
      </c>
      <c r="J154" s="143">
        <v>0</v>
      </c>
      <c r="K154" s="141">
        <v>0</v>
      </c>
      <c r="L154" s="141">
        <v>0</v>
      </c>
      <c r="M154" s="141">
        <v>0</v>
      </c>
      <c r="N154" s="141">
        <v>0</v>
      </c>
      <c r="O154" s="141">
        <v>0</v>
      </c>
      <c r="P154" s="141">
        <v>0</v>
      </c>
      <c r="Q154" s="144">
        <v>0</v>
      </c>
      <c r="R154" s="143">
        <v>0</v>
      </c>
      <c r="S154" s="141">
        <v>0</v>
      </c>
      <c r="T154" s="141">
        <v>0</v>
      </c>
      <c r="U154" s="141">
        <v>0</v>
      </c>
      <c r="V154" s="144">
        <v>0</v>
      </c>
      <c r="W154" s="143">
        <v>0</v>
      </c>
      <c r="X154" s="141">
        <v>0</v>
      </c>
      <c r="Y154" s="141">
        <v>0</v>
      </c>
      <c r="Z154" s="141">
        <v>0</v>
      </c>
      <c r="AA154" s="144">
        <v>0</v>
      </c>
      <c r="AB154" s="350"/>
      <c r="AC154" s="354">
        <v>0</v>
      </c>
      <c r="AD154" s="354"/>
      <c r="AE154" s="354"/>
      <c r="AF154" s="355">
        <v>0</v>
      </c>
      <c r="AG154" s="354">
        <v>0</v>
      </c>
      <c r="AH154" s="356">
        <v>0</v>
      </c>
    </row>
    <row r="155" spans="1:34" ht="15" customHeight="1">
      <c r="A155" s="338"/>
      <c r="B155" s="349"/>
      <c r="C155" s="339"/>
      <c r="D155" s="776" t="s">
        <v>85</v>
      </c>
      <c r="E155" s="784"/>
      <c r="F155" s="784"/>
      <c r="G155" s="293"/>
      <c r="H155" s="339"/>
      <c r="I155" s="316" t="s">
        <v>498</v>
      </c>
      <c r="J155" s="143">
        <v>0</v>
      </c>
      <c r="K155" s="141">
        <v>0</v>
      </c>
      <c r="L155" s="141">
        <v>0</v>
      </c>
      <c r="M155" s="141">
        <v>0</v>
      </c>
      <c r="N155" s="141">
        <v>0</v>
      </c>
      <c r="O155" s="141">
        <v>0</v>
      </c>
      <c r="P155" s="141">
        <v>0</v>
      </c>
      <c r="Q155" s="144">
        <v>0</v>
      </c>
      <c r="R155" s="143">
        <v>0</v>
      </c>
      <c r="S155" s="141">
        <v>0</v>
      </c>
      <c r="T155" s="141">
        <v>0</v>
      </c>
      <c r="U155" s="141">
        <v>0</v>
      </c>
      <c r="V155" s="144">
        <v>0</v>
      </c>
      <c r="W155" s="143">
        <v>0</v>
      </c>
      <c r="X155" s="141">
        <v>0</v>
      </c>
      <c r="Y155" s="141">
        <v>0</v>
      </c>
      <c r="Z155" s="141">
        <v>0</v>
      </c>
      <c r="AA155" s="144">
        <v>0</v>
      </c>
      <c r="AB155" s="350"/>
      <c r="AC155" s="354">
        <v>0</v>
      </c>
      <c r="AD155" s="354"/>
      <c r="AE155" s="354"/>
      <c r="AF155" s="355">
        <v>0</v>
      </c>
      <c r="AG155" s="354">
        <v>0</v>
      </c>
      <c r="AH155" s="356">
        <v>0</v>
      </c>
    </row>
    <row r="156" spans="1:34" ht="15" customHeight="1">
      <c r="A156" s="338"/>
      <c r="B156" s="349"/>
      <c r="C156" s="339"/>
      <c r="D156" s="776" t="s">
        <v>85</v>
      </c>
      <c r="E156" s="784"/>
      <c r="F156" s="784"/>
      <c r="G156" s="293"/>
      <c r="H156" s="339"/>
      <c r="I156" s="316" t="s">
        <v>498</v>
      </c>
      <c r="J156" s="143">
        <v>0</v>
      </c>
      <c r="K156" s="141">
        <v>0</v>
      </c>
      <c r="L156" s="141">
        <v>0</v>
      </c>
      <c r="M156" s="141">
        <v>0</v>
      </c>
      <c r="N156" s="141">
        <v>0</v>
      </c>
      <c r="O156" s="141">
        <v>0</v>
      </c>
      <c r="P156" s="141">
        <v>0</v>
      </c>
      <c r="Q156" s="144">
        <v>0</v>
      </c>
      <c r="R156" s="143">
        <v>0</v>
      </c>
      <c r="S156" s="141">
        <v>0</v>
      </c>
      <c r="T156" s="141">
        <v>0</v>
      </c>
      <c r="U156" s="141">
        <v>0</v>
      </c>
      <c r="V156" s="144">
        <v>0</v>
      </c>
      <c r="W156" s="143">
        <v>0</v>
      </c>
      <c r="X156" s="141">
        <v>0</v>
      </c>
      <c r="Y156" s="141">
        <v>0</v>
      </c>
      <c r="Z156" s="141">
        <v>0</v>
      </c>
      <c r="AA156" s="144">
        <v>0</v>
      </c>
      <c r="AB156" s="350"/>
      <c r="AC156" s="354">
        <v>0</v>
      </c>
      <c r="AD156" s="354"/>
      <c r="AE156" s="354"/>
      <c r="AF156" s="355">
        <v>0</v>
      </c>
      <c r="AG156" s="354">
        <v>0</v>
      </c>
      <c r="AH156" s="356">
        <v>0</v>
      </c>
    </row>
    <row r="157" spans="1:34" ht="15" customHeight="1">
      <c r="A157" s="338"/>
      <c r="B157" s="349"/>
      <c r="C157" s="339"/>
      <c r="D157" s="776" t="s">
        <v>85</v>
      </c>
      <c r="E157" s="784"/>
      <c r="F157" s="784"/>
      <c r="G157" s="293"/>
      <c r="H157" s="339"/>
      <c r="I157" s="316" t="s">
        <v>498</v>
      </c>
      <c r="J157" s="143">
        <v>0</v>
      </c>
      <c r="K157" s="141">
        <v>0</v>
      </c>
      <c r="L157" s="141">
        <v>0</v>
      </c>
      <c r="M157" s="141">
        <v>0</v>
      </c>
      <c r="N157" s="141">
        <v>0</v>
      </c>
      <c r="O157" s="141">
        <v>0</v>
      </c>
      <c r="P157" s="141">
        <v>0</v>
      </c>
      <c r="Q157" s="144">
        <v>0</v>
      </c>
      <c r="R157" s="143">
        <v>0</v>
      </c>
      <c r="S157" s="141">
        <v>0</v>
      </c>
      <c r="T157" s="141">
        <v>0</v>
      </c>
      <c r="U157" s="141">
        <v>0</v>
      </c>
      <c r="V157" s="144">
        <v>0</v>
      </c>
      <c r="W157" s="143">
        <v>0</v>
      </c>
      <c r="X157" s="141">
        <v>0</v>
      </c>
      <c r="Y157" s="141">
        <v>0</v>
      </c>
      <c r="Z157" s="141">
        <v>0</v>
      </c>
      <c r="AA157" s="144">
        <v>0</v>
      </c>
      <c r="AB157" s="350"/>
      <c r="AC157" s="354">
        <v>0</v>
      </c>
      <c r="AD157" s="354"/>
      <c r="AE157" s="354"/>
      <c r="AF157" s="355">
        <v>0</v>
      </c>
      <c r="AG157" s="354">
        <v>0</v>
      </c>
      <c r="AH157" s="356">
        <v>0</v>
      </c>
    </row>
    <row r="158" spans="1:34" ht="15" customHeight="1">
      <c r="A158" s="338"/>
      <c r="B158" s="349"/>
      <c r="C158" s="339"/>
      <c r="D158" s="776" t="s">
        <v>85</v>
      </c>
      <c r="E158" s="784"/>
      <c r="F158" s="784"/>
      <c r="G158" s="293"/>
      <c r="H158" s="339"/>
      <c r="I158" s="316" t="s">
        <v>498</v>
      </c>
      <c r="J158" s="143">
        <v>0</v>
      </c>
      <c r="K158" s="141">
        <v>0</v>
      </c>
      <c r="L158" s="141">
        <v>0</v>
      </c>
      <c r="M158" s="141">
        <v>0</v>
      </c>
      <c r="N158" s="141">
        <v>0</v>
      </c>
      <c r="O158" s="141">
        <v>0</v>
      </c>
      <c r="P158" s="141">
        <v>0</v>
      </c>
      <c r="Q158" s="144">
        <v>0</v>
      </c>
      <c r="R158" s="143">
        <v>0</v>
      </c>
      <c r="S158" s="141">
        <v>0</v>
      </c>
      <c r="T158" s="141">
        <v>0</v>
      </c>
      <c r="U158" s="141">
        <v>0</v>
      </c>
      <c r="V158" s="144">
        <v>0</v>
      </c>
      <c r="W158" s="143">
        <v>0</v>
      </c>
      <c r="X158" s="141">
        <v>0</v>
      </c>
      <c r="Y158" s="141">
        <v>0</v>
      </c>
      <c r="Z158" s="141">
        <v>0</v>
      </c>
      <c r="AA158" s="144">
        <v>0</v>
      </c>
      <c r="AB158" s="350"/>
      <c r="AC158" s="354">
        <v>0</v>
      </c>
      <c r="AD158" s="354"/>
      <c r="AE158" s="354"/>
      <c r="AF158" s="355">
        <v>0</v>
      </c>
      <c r="AG158" s="354">
        <v>0</v>
      </c>
      <c r="AH158" s="356">
        <v>0</v>
      </c>
    </row>
    <row r="159" spans="1:34" ht="15" customHeight="1">
      <c r="A159" s="338"/>
      <c r="B159" s="349"/>
      <c r="C159" s="339"/>
      <c r="D159" s="776" t="s">
        <v>85</v>
      </c>
      <c r="E159" s="784"/>
      <c r="F159" s="784"/>
      <c r="G159" s="293"/>
      <c r="H159" s="339"/>
      <c r="I159" s="316" t="s">
        <v>498</v>
      </c>
      <c r="J159" s="143">
        <v>0</v>
      </c>
      <c r="K159" s="141">
        <v>0</v>
      </c>
      <c r="L159" s="141">
        <v>0</v>
      </c>
      <c r="M159" s="141">
        <v>0</v>
      </c>
      <c r="N159" s="141">
        <v>0</v>
      </c>
      <c r="O159" s="141">
        <v>0</v>
      </c>
      <c r="P159" s="141">
        <v>0</v>
      </c>
      <c r="Q159" s="144">
        <v>0</v>
      </c>
      <c r="R159" s="143">
        <v>0</v>
      </c>
      <c r="S159" s="141">
        <v>0</v>
      </c>
      <c r="T159" s="141">
        <v>0</v>
      </c>
      <c r="U159" s="141">
        <v>0</v>
      </c>
      <c r="V159" s="144">
        <v>0</v>
      </c>
      <c r="W159" s="143">
        <v>0</v>
      </c>
      <c r="X159" s="141">
        <v>0</v>
      </c>
      <c r="Y159" s="141">
        <v>0</v>
      </c>
      <c r="Z159" s="141">
        <v>0</v>
      </c>
      <c r="AA159" s="144">
        <v>0</v>
      </c>
      <c r="AB159" s="350"/>
      <c r="AC159" s="354">
        <v>0</v>
      </c>
      <c r="AD159" s="354"/>
      <c r="AE159" s="354"/>
      <c r="AF159" s="355">
        <v>0</v>
      </c>
      <c r="AG159" s="354">
        <v>0</v>
      </c>
      <c r="AH159" s="356">
        <v>0</v>
      </c>
    </row>
    <row r="160" spans="1:34" ht="15" customHeight="1">
      <c r="A160" s="338"/>
      <c r="B160" s="349"/>
      <c r="C160" s="339"/>
      <c r="D160" s="776" t="s">
        <v>85</v>
      </c>
      <c r="E160" s="784"/>
      <c r="F160" s="784"/>
      <c r="G160" s="293"/>
      <c r="H160" s="339"/>
      <c r="I160" s="316" t="s">
        <v>498</v>
      </c>
      <c r="J160" s="143">
        <v>0</v>
      </c>
      <c r="K160" s="141">
        <v>0</v>
      </c>
      <c r="L160" s="141">
        <v>0</v>
      </c>
      <c r="M160" s="141">
        <v>0</v>
      </c>
      <c r="N160" s="141">
        <v>0</v>
      </c>
      <c r="O160" s="141">
        <v>0</v>
      </c>
      <c r="P160" s="141">
        <v>0</v>
      </c>
      <c r="Q160" s="144">
        <v>0</v>
      </c>
      <c r="R160" s="143">
        <v>0</v>
      </c>
      <c r="S160" s="141">
        <v>0</v>
      </c>
      <c r="T160" s="141">
        <v>0</v>
      </c>
      <c r="U160" s="141">
        <v>0</v>
      </c>
      <c r="V160" s="144">
        <v>0</v>
      </c>
      <c r="W160" s="143">
        <v>0</v>
      </c>
      <c r="X160" s="141">
        <v>0</v>
      </c>
      <c r="Y160" s="141">
        <v>0</v>
      </c>
      <c r="Z160" s="141">
        <v>0</v>
      </c>
      <c r="AA160" s="144">
        <v>0</v>
      </c>
      <c r="AB160" s="350"/>
      <c r="AC160" s="354">
        <v>0</v>
      </c>
      <c r="AD160" s="354"/>
      <c r="AE160" s="354"/>
      <c r="AF160" s="355">
        <v>0</v>
      </c>
      <c r="AG160" s="354">
        <v>0</v>
      </c>
      <c r="AH160" s="356">
        <v>0</v>
      </c>
    </row>
    <row r="161" spans="1:60" ht="15" customHeight="1">
      <c r="A161" s="338"/>
      <c r="B161" s="349"/>
      <c r="C161" s="339"/>
      <c r="D161" s="776" t="s">
        <v>85</v>
      </c>
      <c r="E161" s="784"/>
      <c r="F161" s="784"/>
      <c r="G161" s="293"/>
      <c r="H161" s="339"/>
      <c r="I161" s="316" t="s">
        <v>498</v>
      </c>
      <c r="J161" s="143">
        <v>0</v>
      </c>
      <c r="K161" s="141">
        <v>0</v>
      </c>
      <c r="L161" s="141">
        <v>0</v>
      </c>
      <c r="M161" s="141">
        <v>0</v>
      </c>
      <c r="N161" s="141">
        <v>0</v>
      </c>
      <c r="O161" s="141">
        <v>0</v>
      </c>
      <c r="P161" s="141">
        <v>0</v>
      </c>
      <c r="Q161" s="144">
        <v>0</v>
      </c>
      <c r="R161" s="143">
        <v>0</v>
      </c>
      <c r="S161" s="141">
        <v>0</v>
      </c>
      <c r="T161" s="141">
        <v>0</v>
      </c>
      <c r="U161" s="141">
        <v>0</v>
      </c>
      <c r="V161" s="144">
        <v>0</v>
      </c>
      <c r="W161" s="143">
        <v>0</v>
      </c>
      <c r="X161" s="141">
        <v>0</v>
      </c>
      <c r="Y161" s="141">
        <v>0</v>
      </c>
      <c r="Z161" s="141">
        <v>0</v>
      </c>
      <c r="AA161" s="144">
        <v>0</v>
      </c>
      <c r="AB161" s="350"/>
      <c r="AC161" s="354">
        <v>0</v>
      </c>
      <c r="AD161" s="354"/>
      <c r="AE161" s="354"/>
      <c r="AF161" s="355">
        <v>0</v>
      </c>
      <c r="AG161" s="354">
        <v>0</v>
      </c>
      <c r="AH161" s="356">
        <v>0</v>
      </c>
    </row>
    <row r="162" spans="1:60" ht="15" customHeight="1">
      <c r="A162" s="338"/>
      <c r="B162" s="349"/>
      <c r="C162" s="339"/>
      <c r="D162" s="776" t="s">
        <v>85</v>
      </c>
      <c r="E162" s="784"/>
      <c r="F162" s="784"/>
      <c r="G162" s="293"/>
      <c r="H162" s="339"/>
      <c r="I162" s="316" t="s">
        <v>498</v>
      </c>
      <c r="J162" s="143">
        <v>0</v>
      </c>
      <c r="K162" s="141">
        <v>0</v>
      </c>
      <c r="L162" s="141">
        <v>0</v>
      </c>
      <c r="M162" s="141">
        <v>0</v>
      </c>
      <c r="N162" s="141">
        <v>0</v>
      </c>
      <c r="O162" s="141">
        <v>0</v>
      </c>
      <c r="P162" s="141">
        <v>0</v>
      </c>
      <c r="Q162" s="144">
        <v>0</v>
      </c>
      <c r="R162" s="143">
        <v>0</v>
      </c>
      <c r="S162" s="141">
        <v>0</v>
      </c>
      <c r="T162" s="141">
        <v>0</v>
      </c>
      <c r="U162" s="141">
        <v>0</v>
      </c>
      <c r="V162" s="144">
        <v>0</v>
      </c>
      <c r="W162" s="143">
        <v>0</v>
      </c>
      <c r="X162" s="141">
        <v>0</v>
      </c>
      <c r="Y162" s="141">
        <v>0</v>
      </c>
      <c r="Z162" s="141">
        <v>0</v>
      </c>
      <c r="AA162" s="144">
        <v>0</v>
      </c>
      <c r="AB162" s="350"/>
      <c r="AC162" s="354">
        <v>0</v>
      </c>
      <c r="AD162" s="354"/>
      <c r="AE162" s="354"/>
      <c r="AF162" s="355">
        <v>0</v>
      </c>
      <c r="AG162" s="354">
        <v>0</v>
      </c>
      <c r="AH162" s="356">
        <v>0</v>
      </c>
    </row>
    <row r="163" spans="1:60" ht="15" customHeight="1">
      <c r="A163" s="338"/>
      <c r="B163" s="349"/>
      <c r="C163" s="339"/>
      <c r="D163" s="776" t="s">
        <v>85</v>
      </c>
      <c r="E163" s="784"/>
      <c r="F163" s="784"/>
      <c r="G163" s="293"/>
      <c r="H163" s="339"/>
      <c r="I163" s="316" t="s">
        <v>498</v>
      </c>
      <c r="J163" s="143">
        <v>0</v>
      </c>
      <c r="K163" s="141">
        <v>0</v>
      </c>
      <c r="L163" s="141">
        <v>0</v>
      </c>
      <c r="M163" s="141">
        <v>0</v>
      </c>
      <c r="N163" s="141">
        <v>0</v>
      </c>
      <c r="O163" s="141">
        <v>0</v>
      </c>
      <c r="P163" s="141">
        <v>0</v>
      </c>
      <c r="Q163" s="144">
        <v>0</v>
      </c>
      <c r="R163" s="143">
        <v>0</v>
      </c>
      <c r="S163" s="141">
        <v>0</v>
      </c>
      <c r="T163" s="141">
        <v>0</v>
      </c>
      <c r="U163" s="141">
        <v>0</v>
      </c>
      <c r="V163" s="144">
        <v>0</v>
      </c>
      <c r="W163" s="143">
        <v>0</v>
      </c>
      <c r="X163" s="141">
        <v>0</v>
      </c>
      <c r="Y163" s="141">
        <v>0</v>
      </c>
      <c r="Z163" s="141">
        <v>0</v>
      </c>
      <c r="AA163" s="144">
        <v>0</v>
      </c>
      <c r="AB163" s="350"/>
      <c r="AC163" s="354">
        <v>0</v>
      </c>
      <c r="AD163" s="354"/>
      <c r="AE163" s="354"/>
      <c r="AF163" s="355">
        <v>0</v>
      </c>
      <c r="AG163" s="354">
        <v>0</v>
      </c>
      <c r="AH163" s="356">
        <v>0</v>
      </c>
    </row>
    <row r="164" spans="1:60" ht="15" customHeight="1">
      <c r="A164" s="338"/>
      <c r="B164" s="349"/>
      <c r="C164" s="339"/>
      <c r="D164" s="776" t="s">
        <v>85</v>
      </c>
      <c r="E164" s="784"/>
      <c r="F164" s="784"/>
      <c r="G164" s="293"/>
      <c r="H164" s="339"/>
      <c r="I164" s="316" t="s">
        <v>498</v>
      </c>
      <c r="J164" s="143">
        <v>0</v>
      </c>
      <c r="K164" s="141">
        <v>0</v>
      </c>
      <c r="L164" s="141">
        <v>0</v>
      </c>
      <c r="M164" s="141">
        <v>0</v>
      </c>
      <c r="N164" s="141">
        <v>0</v>
      </c>
      <c r="O164" s="141">
        <v>0</v>
      </c>
      <c r="P164" s="141">
        <v>0</v>
      </c>
      <c r="Q164" s="144">
        <v>0</v>
      </c>
      <c r="R164" s="143">
        <v>0</v>
      </c>
      <c r="S164" s="141">
        <v>0</v>
      </c>
      <c r="T164" s="141">
        <v>0</v>
      </c>
      <c r="U164" s="141">
        <v>0</v>
      </c>
      <c r="V164" s="144">
        <v>0</v>
      </c>
      <c r="W164" s="143">
        <v>0</v>
      </c>
      <c r="X164" s="141">
        <v>0</v>
      </c>
      <c r="Y164" s="141">
        <v>0</v>
      </c>
      <c r="Z164" s="141">
        <v>0</v>
      </c>
      <c r="AA164" s="144">
        <v>0</v>
      </c>
      <c r="AB164" s="350"/>
      <c r="AC164" s="354">
        <v>0</v>
      </c>
      <c r="AD164" s="354"/>
      <c r="AE164" s="354"/>
      <c r="AF164" s="355">
        <v>0</v>
      </c>
      <c r="AG164" s="354">
        <v>0</v>
      </c>
      <c r="AH164" s="356">
        <v>0</v>
      </c>
    </row>
    <row r="165" spans="1:60" ht="15" customHeight="1">
      <c r="A165" s="338"/>
      <c r="B165" s="349"/>
      <c r="C165" s="339"/>
      <c r="D165" s="776" t="s">
        <v>85</v>
      </c>
      <c r="E165" s="784"/>
      <c r="F165" s="784"/>
      <c r="G165" s="293"/>
      <c r="H165" s="339"/>
      <c r="I165" s="316" t="s">
        <v>498</v>
      </c>
      <c r="J165" s="143">
        <v>0</v>
      </c>
      <c r="K165" s="141">
        <v>0</v>
      </c>
      <c r="L165" s="141">
        <v>0</v>
      </c>
      <c r="M165" s="141">
        <v>0</v>
      </c>
      <c r="N165" s="141">
        <v>0</v>
      </c>
      <c r="O165" s="141">
        <v>0</v>
      </c>
      <c r="P165" s="141">
        <v>0</v>
      </c>
      <c r="Q165" s="144">
        <v>0</v>
      </c>
      <c r="R165" s="143">
        <v>0</v>
      </c>
      <c r="S165" s="141">
        <v>0</v>
      </c>
      <c r="T165" s="141">
        <v>0</v>
      </c>
      <c r="U165" s="141">
        <v>0</v>
      </c>
      <c r="V165" s="144">
        <v>0</v>
      </c>
      <c r="W165" s="143">
        <v>0</v>
      </c>
      <c r="X165" s="141">
        <v>0</v>
      </c>
      <c r="Y165" s="141">
        <v>0</v>
      </c>
      <c r="Z165" s="141">
        <v>0</v>
      </c>
      <c r="AA165" s="144">
        <v>0</v>
      </c>
      <c r="AB165" s="350"/>
      <c r="AC165" s="354">
        <v>0</v>
      </c>
      <c r="AD165" s="354"/>
      <c r="AE165" s="354"/>
      <c r="AF165" s="355">
        <v>0</v>
      </c>
      <c r="AG165" s="354">
        <v>0</v>
      </c>
      <c r="AH165" s="356">
        <v>0</v>
      </c>
    </row>
    <row r="166" spans="1:60" ht="15" customHeight="1">
      <c r="A166" s="338"/>
      <c r="B166" s="349"/>
      <c r="C166" s="339"/>
      <c r="D166" s="776" t="s">
        <v>85</v>
      </c>
      <c r="E166" s="784"/>
      <c r="F166" s="784"/>
      <c r="G166" s="293"/>
      <c r="H166" s="339"/>
      <c r="I166" s="316" t="s">
        <v>498</v>
      </c>
      <c r="J166" s="143">
        <v>0</v>
      </c>
      <c r="K166" s="141">
        <v>0</v>
      </c>
      <c r="L166" s="141">
        <v>0</v>
      </c>
      <c r="M166" s="141">
        <v>0</v>
      </c>
      <c r="N166" s="141">
        <v>0</v>
      </c>
      <c r="O166" s="141">
        <v>0</v>
      </c>
      <c r="P166" s="141">
        <v>0</v>
      </c>
      <c r="Q166" s="144">
        <v>0</v>
      </c>
      <c r="R166" s="143">
        <v>0</v>
      </c>
      <c r="S166" s="141">
        <v>0</v>
      </c>
      <c r="T166" s="141">
        <v>0</v>
      </c>
      <c r="U166" s="141">
        <v>0</v>
      </c>
      <c r="V166" s="144">
        <v>0</v>
      </c>
      <c r="W166" s="143">
        <v>0</v>
      </c>
      <c r="X166" s="141">
        <v>0</v>
      </c>
      <c r="Y166" s="141">
        <v>0</v>
      </c>
      <c r="Z166" s="141">
        <v>0</v>
      </c>
      <c r="AA166" s="144">
        <v>0</v>
      </c>
      <c r="AB166" s="350"/>
      <c r="AC166" s="354">
        <v>0</v>
      </c>
      <c r="AD166" s="354"/>
      <c r="AE166" s="354"/>
      <c r="AF166" s="355">
        <v>0</v>
      </c>
      <c r="AG166" s="354">
        <v>0</v>
      </c>
      <c r="AH166" s="356">
        <v>0</v>
      </c>
    </row>
    <row r="167" spans="1:60" ht="15" customHeight="1">
      <c r="A167" s="338"/>
      <c r="B167" s="349"/>
      <c r="C167" s="339"/>
      <c r="D167" s="776" t="s">
        <v>85</v>
      </c>
      <c r="E167" s="784"/>
      <c r="F167" s="784"/>
      <c r="G167" s="293"/>
      <c r="H167" s="339"/>
      <c r="I167" s="316" t="s">
        <v>498</v>
      </c>
      <c r="J167" s="143">
        <v>0</v>
      </c>
      <c r="K167" s="141">
        <v>0</v>
      </c>
      <c r="L167" s="141">
        <v>0</v>
      </c>
      <c r="M167" s="141">
        <v>0</v>
      </c>
      <c r="N167" s="141">
        <v>0</v>
      </c>
      <c r="O167" s="141">
        <v>0</v>
      </c>
      <c r="P167" s="141">
        <v>0</v>
      </c>
      <c r="Q167" s="144">
        <v>0</v>
      </c>
      <c r="R167" s="143">
        <v>0</v>
      </c>
      <c r="S167" s="141">
        <v>0</v>
      </c>
      <c r="T167" s="141">
        <v>0</v>
      </c>
      <c r="U167" s="141">
        <v>0</v>
      </c>
      <c r="V167" s="144">
        <v>0</v>
      </c>
      <c r="W167" s="143">
        <v>0</v>
      </c>
      <c r="X167" s="141">
        <v>0</v>
      </c>
      <c r="Y167" s="141">
        <v>0</v>
      </c>
      <c r="Z167" s="141">
        <v>0</v>
      </c>
      <c r="AA167" s="144">
        <v>0</v>
      </c>
      <c r="AB167" s="350"/>
      <c r="AC167" s="354">
        <v>0</v>
      </c>
      <c r="AD167" s="354"/>
      <c r="AE167" s="354"/>
      <c r="AF167" s="355">
        <v>0</v>
      </c>
      <c r="AG167" s="354">
        <v>0</v>
      </c>
      <c r="AH167" s="356">
        <v>0</v>
      </c>
    </row>
    <row r="168" spans="1:60" ht="15" customHeight="1">
      <c r="A168" s="338"/>
      <c r="B168" s="349"/>
      <c r="C168" s="339"/>
      <c r="D168" s="776" t="s">
        <v>85</v>
      </c>
      <c r="E168" s="784"/>
      <c r="F168" s="784"/>
      <c r="G168" s="293"/>
      <c r="H168" s="339"/>
      <c r="I168" s="316" t="s">
        <v>498</v>
      </c>
      <c r="J168" s="143">
        <v>0</v>
      </c>
      <c r="K168" s="141">
        <v>0</v>
      </c>
      <c r="L168" s="141">
        <v>0</v>
      </c>
      <c r="M168" s="141">
        <v>0</v>
      </c>
      <c r="N168" s="141">
        <v>0</v>
      </c>
      <c r="O168" s="141">
        <v>0</v>
      </c>
      <c r="P168" s="141">
        <v>0</v>
      </c>
      <c r="Q168" s="144">
        <v>0</v>
      </c>
      <c r="R168" s="143">
        <v>0</v>
      </c>
      <c r="S168" s="141">
        <v>0</v>
      </c>
      <c r="T168" s="141">
        <v>0</v>
      </c>
      <c r="U168" s="141">
        <v>0</v>
      </c>
      <c r="V168" s="144">
        <v>0</v>
      </c>
      <c r="W168" s="143">
        <v>0</v>
      </c>
      <c r="X168" s="141">
        <v>0</v>
      </c>
      <c r="Y168" s="141">
        <v>0</v>
      </c>
      <c r="Z168" s="141">
        <v>0</v>
      </c>
      <c r="AA168" s="144">
        <v>0</v>
      </c>
      <c r="AB168" s="350"/>
      <c r="AC168" s="354">
        <v>0</v>
      </c>
      <c r="AD168" s="354"/>
      <c r="AE168" s="354"/>
      <c r="AF168" s="355">
        <v>0</v>
      </c>
      <c r="AG168" s="354">
        <v>0</v>
      </c>
      <c r="AH168" s="356">
        <v>0</v>
      </c>
    </row>
    <row r="169" spans="1:60" ht="15" customHeight="1">
      <c r="A169" s="338"/>
      <c r="B169" s="349"/>
      <c r="C169" s="339"/>
      <c r="D169" s="776" t="s">
        <v>85</v>
      </c>
      <c r="E169" s="784"/>
      <c r="F169" s="784"/>
      <c r="G169" s="293"/>
      <c r="H169" s="339"/>
      <c r="I169" s="316" t="s">
        <v>498</v>
      </c>
      <c r="J169" s="143">
        <v>0</v>
      </c>
      <c r="K169" s="141">
        <v>0</v>
      </c>
      <c r="L169" s="141">
        <v>0</v>
      </c>
      <c r="M169" s="141">
        <v>0</v>
      </c>
      <c r="N169" s="141">
        <v>0</v>
      </c>
      <c r="O169" s="141">
        <v>0</v>
      </c>
      <c r="P169" s="141">
        <v>0</v>
      </c>
      <c r="Q169" s="144">
        <v>0</v>
      </c>
      <c r="R169" s="143">
        <v>0</v>
      </c>
      <c r="S169" s="141">
        <v>0</v>
      </c>
      <c r="T169" s="141">
        <v>0</v>
      </c>
      <c r="U169" s="141">
        <v>0</v>
      </c>
      <c r="V169" s="144">
        <v>0</v>
      </c>
      <c r="W169" s="143">
        <v>0</v>
      </c>
      <c r="X169" s="141">
        <v>0</v>
      </c>
      <c r="Y169" s="141">
        <v>0</v>
      </c>
      <c r="Z169" s="141">
        <v>0</v>
      </c>
      <c r="AA169" s="144">
        <v>0</v>
      </c>
      <c r="AB169" s="350"/>
      <c r="AC169" s="354">
        <v>0</v>
      </c>
      <c r="AD169" s="354"/>
      <c r="AE169" s="354"/>
      <c r="AF169" s="355">
        <v>0</v>
      </c>
      <c r="AG169" s="354">
        <v>0</v>
      </c>
      <c r="AH169" s="356">
        <v>0</v>
      </c>
    </row>
    <row r="170" spans="1:60" ht="15" customHeight="1">
      <c r="A170" s="338"/>
      <c r="B170" s="349"/>
      <c r="C170" s="339"/>
      <c r="D170" s="776" t="s">
        <v>85</v>
      </c>
      <c r="E170" s="784"/>
      <c r="F170" s="784"/>
      <c r="G170" s="293"/>
      <c r="H170" s="339"/>
      <c r="I170" s="316" t="s">
        <v>498</v>
      </c>
      <c r="J170" s="143">
        <v>0</v>
      </c>
      <c r="K170" s="141">
        <v>0</v>
      </c>
      <c r="L170" s="141">
        <v>0</v>
      </c>
      <c r="M170" s="141">
        <v>0</v>
      </c>
      <c r="N170" s="141">
        <v>0</v>
      </c>
      <c r="O170" s="141">
        <v>0</v>
      </c>
      <c r="P170" s="141">
        <v>0</v>
      </c>
      <c r="Q170" s="144">
        <v>0</v>
      </c>
      <c r="R170" s="143">
        <v>0</v>
      </c>
      <c r="S170" s="141">
        <v>0</v>
      </c>
      <c r="T170" s="141">
        <v>0</v>
      </c>
      <c r="U170" s="141">
        <v>0</v>
      </c>
      <c r="V170" s="144">
        <v>0</v>
      </c>
      <c r="W170" s="143">
        <v>0</v>
      </c>
      <c r="X170" s="141">
        <v>0</v>
      </c>
      <c r="Y170" s="141">
        <v>0</v>
      </c>
      <c r="Z170" s="141">
        <v>0</v>
      </c>
      <c r="AA170" s="144">
        <v>0</v>
      </c>
      <c r="AB170" s="350"/>
      <c r="AC170" s="354">
        <v>0</v>
      </c>
      <c r="AD170" s="354"/>
      <c r="AE170" s="354"/>
      <c r="AF170" s="355">
        <v>0</v>
      </c>
      <c r="AG170" s="354">
        <v>0</v>
      </c>
      <c r="AH170" s="356">
        <v>0</v>
      </c>
    </row>
    <row r="171" spans="1:60" ht="15" customHeight="1" thickBot="1">
      <c r="A171" s="338"/>
      <c r="B171" s="357" t="s">
        <v>1701</v>
      </c>
      <c r="C171" s="358"/>
      <c r="D171" s="358"/>
      <c r="E171" s="358"/>
      <c r="F171" s="358"/>
      <c r="G171" s="325"/>
      <c r="H171" s="358"/>
      <c r="I171" s="326" t="s">
        <v>498</v>
      </c>
      <c r="J171" s="717">
        <f>SUM(J46:J170)</f>
        <v>0.84061335836112039</v>
      </c>
      <c r="K171" s="718">
        <f t="shared" ref="K171:Y171" si="4">SUM(K46:K170)</f>
        <v>1.6325163584415576</v>
      </c>
      <c r="L171" s="718">
        <f t="shared" si="4"/>
        <v>1.8114748974450983</v>
      </c>
      <c r="M171" s="718">
        <f t="shared" si="4"/>
        <v>3.7208645433423122</v>
      </c>
      <c r="N171" s="718">
        <f t="shared" si="4"/>
        <v>1.9912688434545371</v>
      </c>
      <c r="O171" s="718">
        <f t="shared" si="4"/>
        <v>1.5502009799999994</v>
      </c>
      <c r="P171" s="718">
        <f t="shared" si="4"/>
        <v>2.7401920602778924</v>
      </c>
      <c r="Q171" s="719">
        <f t="shared" si="4"/>
        <v>0.673426767167567</v>
      </c>
      <c r="R171" s="717">
        <f t="shared" si="4"/>
        <v>3.0441627146852031</v>
      </c>
      <c r="S171" s="718">
        <f t="shared" si="4"/>
        <v>3.1453577887485933</v>
      </c>
      <c r="T171" s="718">
        <f t="shared" si="4"/>
        <v>3.3189832210761887</v>
      </c>
      <c r="U171" s="718">
        <f t="shared" si="4"/>
        <v>3.7118083477291632</v>
      </c>
      <c r="V171" s="719">
        <f t="shared" si="4"/>
        <v>2.7661115443553879</v>
      </c>
      <c r="W171" s="717">
        <f t="shared" si="4"/>
        <v>0</v>
      </c>
      <c r="X171" s="718">
        <f t="shared" si="4"/>
        <v>0</v>
      </c>
      <c r="Y171" s="718">
        <f t="shared" si="4"/>
        <v>0</v>
      </c>
      <c r="Z171" s="718">
        <f>SUM(Z46:Z170)</f>
        <v>0</v>
      </c>
      <c r="AA171" s="719">
        <f>SUM(AA46:AA170)</f>
        <v>0</v>
      </c>
      <c r="AB171" s="346"/>
      <c r="AC171" s="346"/>
      <c r="AD171" s="346"/>
      <c r="AE171" s="346"/>
      <c r="AF171" s="346"/>
      <c r="AG171" s="346"/>
      <c r="AH171" s="348"/>
      <c r="AI171" s="330"/>
      <c r="AJ171" s="330"/>
      <c r="AK171" s="330"/>
      <c r="AL171" s="330"/>
      <c r="AM171" s="330"/>
      <c r="AN171" s="330"/>
    </row>
    <row r="172" spans="1:60" ht="15" customHeight="1">
      <c r="A172" s="338"/>
      <c r="B172" s="338"/>
      <c r="C172" s="338"/>
      <c r="D172" s="338"/>
      <c r="E172" s="338"/>
      <c r="F172" s="338"/>
      <c r="G172" s="338"/>
      <c r="H172" s="338"/>
      <c r="I172" s="340"/>
      <c r="J172" s="339"/>
      <c r="K172" s="339"/>
      <c r="L172" s="339"/>
      <c r="M172" s="338"/>
      <c r="N172" s="338"/>
      <c r="O172" s="338"/>
      <c r="P172" s="338"/>
      <c r="Q172" s="338"/>
      <c r="R172" s="338"/>
      <c r="S172" s="338"/>
      <c r="T172" s="338"/>
      <c r="U172" s="359"/>
      <c r="V172" s="338"/>
      <c r="W172" s="338"/>
      <c r="X172" s="338"/>
      <c r="Y172" s="338"/>
      <c r="Z172" s="338"/>
      <c r="AA172" s="338"/>
      <c r="AB172" s="338"/>
      <c r="AC172" s="338"/>
      <c r="AD172" s="338"/>
      <c r="AE172" s="338"/>
      <c r="AF172" s="338"/>
      <c r="AG172" s="338"/>
      <c r="AH172" s="338"/>
      <c r="AI172" s="338"/>
      <c r="AJ172" s="338"/>
      <c r="AK172" s="338"/>
      <c r="AL172" s="338"/>
      <c r="AM172" s="338"/>
      <c r="AN172" s="338"/>
      <c r="AO172" s="338"/>
      <c r="AP172" s="338"/>
      <c r="AQ172" s="338"/>
      <c r="AR172" s="338"/>
      <c r="AS172" s="338"/>
      <c r="AT172" s="338"/>
      <c r="AU172" s="338"/>
      <c r="AV172" s="338"/>
    </row>
    <row r="173" spans="1:60" ht="15" customHeight="1">
      <c r="A173" s="338"/>
      <c r="B173" s="338"/>
      <c r="C173" s="338"/>
      <c r="D173" s="338"/>
      <c r="E173" s="338"/>
      <c r="F173" s="338"/>
      <c r="G173" s="338"/>
      <c r="H173" s="338"/>
      <c r="I173" s="359"/>
      <c r="J173" s="338"/>
      <c r="K173" s="338"/>
      <c r="L173" s="338"/>
      <c r="M173" s="338"/>
      <c r="N173" s="338"/>
      <c r="O173" s="338"/>
      <c r="P173" s="338"/>
      <c r="Q173" s="338"/>
      <c r="R173" s="338"/>
      <c r="S173" s="338"/>
      <c r="T173" s="338"/>
      <c r="U173" s="359"/>
      <c r="V173" s="338"/>
      <c r="W173" s="338"/>
      <c r="X173" s="338"/>
      <c r="Y173" s="338"/>
      <c r="Z173" s="338"/>
      <c r="AA173" s="338"/>
      <c r="AB173" s="338"/>
      <c r="AC173" s="338"/>
      <c r="AD173" s="338"/>
      <c r="AE173" s="338"/>
      <c r="AF173" s="338"/>
      <c r="AG173" s="338"/>
      <c r="AH173" s="338"/>
      <c r="AI173" s="338"/>
      <c r="AJ173" s="338"/>
      <c r="AK173" s="338"/>
      <c r="AL173" s="338"/>
      <c r="AM173" s="338"/>
      <c r="AN173" s="338"/>
      <c r="AO173" s="338"/>
      <c r="AP173" s="338"/>
      <c r="AQ173" s="338"/>
      <c r="AR173" s="338"/>
      <c r="AS173" s="338"/>
      <c r="AT173" s="338"/>
      <c r="AU173" s="338"/>
      <c r="AV173" s="338"/>
      <c r="AW173" s="338"/>
      <c r="AX173" s="338"/>
    </row>
    <row r="174" spans="1:60" ht="15" customHeight="1">
      <c r="A174" s="338"/>
      <c r="B174" s="338"/>
      <c r="C174" s="338"/>
      <c r="D174" s="338"/>
      <c r="E174" s="338"/>
      <c r="F174" s="338"/>
      <c r="G174" s="338"/>
      <c r="H174" s="338"/>
      <c r="I174" s="359"/>
      <c r="J174" s="338"/>
      <c r="K174" s="338"/>
      <c r="L174" s="338"/>
      <c r="M174" s="338"/>
      <c r="N174" s="338"/>
      <c r="O174" s="338"/>
      <c r="P174" s="338"/>
      <c r="Q174" s="338"/>
      <c r="R174" s="338"/>
      <c r="S174" s="338"/>
      <c r="T174" s="338"/>
      <c r="U174" s="359"/>
      <c r="V174" s="338"/>
      <c r="W174" s="338"/>
      <c r="X174" s="338"/>
      <c r="Y174" s="338"/>
      <c r="Z174" s="338"/>
      <c r="AA174" s="338"/>
      <c r="AB174" s="338"/>
      <c r="AC174" s="338"/>
      <c r="AD174" s="338"/>
      <c r="AE174" s="338"/>
      <c r="AF174" s="338"/>
      <c r="AG174" s="338"/>
      <c r="AH174" s="338"/>
      <c r="AI174" s="338"/>
      <c r="AJ174" s="338"/>
      <c r="AK174" s="338"/>
      <c r="AL174" s="338"/>
      <c r="AM174" s="338"/>
      <c r="AN174" s="338"/>
      <c r="AO174" s="338"/>
      <c r="AP174" s="338"/>
      <c r="AQ174" s="338"/>
      <c r="AR174" s="338"/>
      <c r="AS174" s="338"/>
      <c r="AT174" s="338"/>
      <c r="AU174" s="338"/>
      <c r="AV174" s="338"/>
      <c r="AW174" s="338"/>
      <c r="AX174" s="338"/>
    </row>
    <row r="175" spans="1:60" ht="15" customHeight="1">
      <c r="A175" s="338"/>
      <c r="B175" s="309"/>
      <c r="C175" s="309"/>
      <c r="D175" s="309"/>
      <c r="E175" s="309"/>
      <c r="F175" s="309"/>
      <c r="G175" s="309"/>
      <c r="H175" s="315"/>
      <c r="I175" s="311"/>
      <c r="J175" s="311"/>
      <c r="K175" s="311"/>
      <c r="L175" s="311"/>
      <c r="M175" s="311"/>
      <c r="N175" s="311"/>
      <c r="O175" s="311"/>
      <c r="P175" s="311"/>
      <c r="Q175" s="311"/>
      <c r="R175" s="311"/>
      <c r="S175" s="311"/>
      <c r="T175" s="311"/>
      <c r="U175" s="311"/>
      <c r="V175" s="309"/>
      <c r="W175" s="309"/>
      <c r="X175" s="311"/>
      <c r="Y175" s="311"/>
      <c r="Z175" s="311"/>
      <c r="AA175" s="311"/>
      <c r="AB175" s="311"/>
      <c r="AC175" s="311"/>
      <c r="AD175" s="311"/>
      <c r="AE175" s="311"/>
      <c r="AF175" s="311"/>
      <c r="AG175" s="311"/>
      <c r="AH175" s="311"/>
      <c r="AI175" s="311"/>
      <c r="AJ175" s="311"/>
      <c r="AK175" s="309"/>
      <c r="AL175" s="309"/>
      <c r="AM175" s="311"/>
      <c r="AN175" s="311"/>
      <c r="AO175" s="311"/>
      <c r="AP175" s="311"/>
      <c r="AQ175" s="311"/>
      <c r="AR175" s="311"/>
      <c r="AS175" s="311"/>
      <c r="AT175" s="311"/>
      <c r="AU175" s="311"/>
      <c r="AV175" s="311"/>
      <c r="AW175" s="311"/>
      <c r="AX175" s="309"/>
      <c r="AY175" s="312"/>
      <c r="AZ175" s="312"/>
      <c r="BA175" s="330"/>
      <c r="BB175" s="330"/>
      <c r="BC175" s="330"/>
      <c r="BD175" s="330"/>
      <c r="BE175" s="330"/>
      <c r="BF175" s="330"/>
      <c r="BG175" s="330"/>
      <c r="BH175" s="330"/>
    </row>
    <row r="176" spans="1:60" ht="15" customHeight="1">
      <c r="A176" s="338"/>
      <c r="B176" s="309"/>
      <c r="C176" s="309"/>
      <c r="D176" s="309"/>
      <c r="E176" s="309"/>
      <c r="F176" s="309"/>
      <c r="G176" s="309"/>
      <c r="H176" s="315"/>
      <c r="I176" s="311"/>
      <c r="J176" s="2835"/>
      <c r="K176" s="2835"/>
      <c r="L176" s="2835"/>
      <c r="M176" s="2835"/>
      <c r="N176" s="2835"/>
      <c r="O176" s="2835"/>
      <c r="P176" s="2835"/>
      <c r="Q176" s="2835"/>
      <c r="R176" s="2835"/>
      <c r="S176" s="2835"/>
      <c r="T176" s="2835"/>
      <c r="U176" s="2835"/>
      <c r="V176" s="2835"/>
      <c r="W176" s="309"/>
      <c r="X176" s="311"/>
      <c r="Y176" s="311"/>
      <c r="Z176" s="311"/>
      <c r="AA176" s="311"/>
      <c r="AB176" s="311"/>
      <c r="AC176" s="311"/>
      <c r="AD176" s="311"/>
      <c r="AE176" s="311"/>
      <c r="AF176" s="311"/>
      <c r="AG176" s="311"/>
      <c r="AH176" s="311"/>
      <c r="AI176" s="311"/>
      <c r="AJ176" s="311"/>
      <c r="AK176" s="309"/>
      <c r="AL176" s="309"/>
      <c r="AM176" s="311"/>
      <c r="AN176" s="311"/>
      <c r="AO176" s="311"/>
      <c r="AP176" s="311"/>
      <c r="AQ176" s="311"/>
      <c r="AR176" s="311"/>
      <c r="AS176" s="311"/>
      <c r="AT176" s="311"/>
      <c r="AU176" s="311"/>
      <c r="AV176" s="311"/>
      <c r="AW176" s="311"/>
      <c r="AX176" s="309"/>
      <c r="AY176" s="312"/>
      <c r="AZ176" s="312"/>
      <c r="BA176" s="330"/>
      <c r="BB176" s="330"/>
      <c r="BC176" s="330"/>
      <c r="BD176" s="330"/>
      <c r="BE176" s="330"/>
      <c r="BF176" s="330"/>
      <c r="BG176" s="330"/>
      <c r="BH176" s="330"/>
    </row>
    <row r="177" spans="1:60" ht="15" customHeight="1">
      <c r="A177" s="338"/>
      <c r="B177" s="309"/>
      <c r="C177" s="309"/>
      <c r="D177" s="309"/>
      <c r="E177" s="309"/>
      <c r="F177" s="309"/>
      <c r="G177" s="309"/>
      <c r="H177" s="315"/>
      <c r="I177" s="311"/>
      <c r="J177" s="311"/>
      <c r="K177" s="311"/>
      <c r="L177" s="311"/>
      <c r="M177" s="311"/>
      <c r="N177" s="311"/>
      <c r="O177" s="311"/>
      <c r="P177" s="311"/>
      <c r="Q177" s="311"/>
      <c r="R177" s="311"/>
      <c r="S177" s="311"/>
      <c r="T177" s="311"/>
      <c r="U177" s="311"/>
      <c r="V177" s="309"/>
      <c r="W177" s="309"/>
      <c r="X177" s="311"/>
      <c r="Y177" s="311"/>
      <c r="Z177" s="311"/>
      <c r="AA177" s="311"/>
      <c r="AB177" s="311"/>
      <c r="AC177" s="311"/>
      <c r="AD177" s="311"/>
      <c r="AE177" s="311"/>
      <c r="AF177" s="311"/>
      <c r="AG177" s="311"/>
      <c r="AH177" s="311"/>
      <c r="AI177" s="311"/>
      <c r="AJ177" s="311"/>
      <c r="AK177" s="309"/>
      <c r="AL177" s="309"/>
      <c r="AM177" s="311"/>
      <c r="AN177" s="311"/>
      <c r="AO177" s="311"/>
      <c r="AP177" s="311"/>
      <c r="AQ177" s="311"/>
      <c r="AR177" s="311"/>
      <c r="AS177" s="311"/>
      <c r="AT177" s="311"/>
      <c r="AU177" s="311"/>
      <c r="AV177" s="311"/>
      <c r="AW177" s="311"/>
      <c r="AX177" s="309"/>
      <c r="AY177" s="312"/>
      <c r="AZ177" s="312"/>
      <c r="BA177" s="330"/>
      <c r="BB177" s="330"/>
      <c r="BC177" s="330"/>
      <c r="BD177" s="330"/>
      <c r="BE177" s="330"/>
      <c r="BF177" s="330"/>
      <c r="BG177" s="330"/>
      <c r="BH177" s="330"/>
    </row>
    <row r="178" spans="1:60" ht="15" customHeight="1">
      <c r="A178" s="338"/>
      <c r="B178" s="309"/>
      <c r="C178" s="309"/>
      <c r="D178" s="309"/>
      <c r="E178" s="309"/>
      <c r="F178" s="309"/>
      <c r="G178" s="309"/>
      <c r="H178" s="315"/>
      <c r="I178" s="311"/>
      <c r="J178" s="311"/>
      <c r="K178" s="311"/>
      <c r="L178" s="311"/>
      <c r="M178" s="311"/>
      <c r="N178" s="311"/>
      <c r="O178" s="311"/>
      <c r="P178" s="311"/>
      <c r="Q178" s="311"/>
      <c r="R178" s="311"/>
      <c r="S178" s="311"/>
      <c r="T178" s="311"/>
      <c r="U178" s="311"/>
      <c r="V178" s="309"/>
      <c r="W178" s="309"/>
      <c r="X178" s="311"/>
      <c r="Y178" s="311"/>
      <c r="Z178" s="311"/>
      <c r="AA178" s="311"/>
      <c r="AB178" s="311"/>
      <c r="AC178" s="311"/>
      <c r="AD178" s="311"/>
      <c r="AE178" s="311"/>
      <c r="AF178" s="311"/>
      <c r="AG178" s="311"/>
      <c r="AH178" s="311"/>
      <c r="AI178" s="311"/>
      <c r="AJ178" s="311"/>
      <c r="AK178" s="309"/>
      <c r="AL178" s="309"/>
      <c r="AM178" s="311"/>
      <c r="AN178" s="311"/>
      <c r="AO178" s="311"/>
      <c r="AP178" s="311"/>
      <c r="AQ178" s="311"/>
      <c r="AR178" s="311"/>
      <c r="AS178" s="311"/>
      <c r="AT178" s="311"/>
      <c r="AU178" s="311"/>
      <c r="AV178" s="311"/>
      <c r="AW178" s="311"/>
      <c r="AX178" s="309"/>
      <c r="AY178" s="312"/>
      <c r="AZ178" s="312"/>
      <c r="BA178" s="330"/>
      <c r="BB178" s="330"/>
      <c r="BC178" s="330"/>
      <c r="BD178" s="330"/>
      <c r="BE178" s="330"/>
      <c r="BF178" s="330"/>
      <c r="BG178" s="330"/>
      <c r="BH178" s="330"/>
    </row>
    <row r="179" spans="1:60" ht="15" customHeight="1">
      <c r="A179" s="338"/>
      <c r="B179" s="309"/>
      <c r="C179" s="309"/>
      <c r="D179" s="309"/>
      <c r="E179" s="309"/>
      <c r="F179" s="309"/>
      <c r="G179" s="309"/>
      <c r="H179" s="309"/>
      <c r="I179" s="311"/>
      <c r="J179" s="311"/>
      <c r="K179" s="311"/>
      <c r="L179" s="311"/>
      <c r="M179" s="311"/>
      <c r="N179" s="311"/>
      <c r="O179" s="311"/>
      <c r="P179" s="311"/>
      <c r="Q179" s="311"/>
      <c r="R179" s="311"/>
      <c r="S179" s="311"/>
      <c r="T179" s="311"/>
      <c r="U179" s="311"/>
      <c r="V179" s="309"/>
      <c r="W179" s="309"/>
      <c r="X179" s="311"/>
      <c r="Y179" s="311"/>
      <c r="Z179" s="311"/>
      <c r="AA179" s="311"/>
      <c r="AB179" s="311"/>
      <c r="AC179" s="311"/>
      <c r="AD179" s="311"/>
      <c r="AE179" s="311"/>
      <c r="AF179" s="311"/>
      <c r="AG179" s="311"/>
      <c r="AH179" s="311"/>
      <c r="AI179" s="311"/>
      <c r="AJ179" s="311"/>
      <c r="AK179" s="309"/>
      <c r="AL179" s="309"/>
      <c r="AM179" s="311"/>
      <c r="AN179" s="311"/>
      <c r="AO179" s="311"/>
      <c r="AP179" s="311"/>
      <c r="AQ179" s="311"/>
      <c r="AR179" s="311"/>
      <c r="AS179" s="311"/>
      <c r="AT179" s="311"/>
      <c r="AU179" s="311"/>
      <c r="AV179" s="311"/>
      <c r="AW179" s="311"/>
      <c r="AX179" s="309"/>
      <c r="AY179" s="312"/>
      <c r="AZ179" s="312"/>
      <c r="BA179" s="330"/>
      <c r="BB179" s="330"/>
      <c r="BC179" s="330"/>
      <c r="BD179" s="330"/>
      <c r="BE179" s="330"/>
      <c r="BF179" s="330"/>
      <c r="BG179" s="330"/>
      <c r="BH179" s="330"/>
    </row>
    <row r="180" spans="1:60" ht="15" customHeight="1">
      <c r="A180" s="338"/>
      <c r="B180" s="309"/>
      <c r="C180" s="309"/>
      <c r="D180" s="309"/>
      <c r="E180" s="309"/>
      <c r="F180" s="309"/>
      <c r="G180" s="309"/>
      <c r="H180" s="315"/>
      <c r="I180" s="360"/>
      <c r="J180" s="311"/>
      <c r="K180" s="311"/>
      <c r="L180" s="311"/>
      <c r="M180" s="311"/>
      <c r="N180" s="311"/>
      <c r="O180" s="311"/>
      <c r="P180" s="311"/>
      <c r="Q180" s="311"/>
      <c r="R180" s="311"/>
      <c r="S180" s="311"/>
      <c r="T180" s="311"/>
      <c r="U180" s="311"/>
      <c r="V180" s="309"/>
      <c r="W180" s="309"/>
      <c r="X180" s="311"/>
      <c r="Y180" s="311"/>
      <c r="Z180" s="311"/>
      <c r="AA180" s="311"/>
      <c r="AB180" s="311"/>
      <c r="AC180" s="311"/>
      <c r="AD180" s="311"/>
      <c r="AE180" s="311"/>
      <c r="AF180" s="311"/>
      <c r="AG180" s="311"/>
      <c r="AH180" s="311"/>
      <c r="AI180" s="311"/>
      <c r="AJ180" s="311"/>
      <c r="AK180" s="309"/>
      <c r="AL180" s="309"/>
      <c r="AM180" s="311"/>
      <c r="AN180" s="311"/>
      <c r="AO180" s="311"/>
      <c r="AP180" s="311"/>
      <c r="AQ180" s="311"/>
      <c r="AR180" s="311"/>
      <c r="AS180" s="311"/>
      <c r="AT180" s="311"/>
      <c r="AU180" s="311"/>
      <c r="AV180" s="311"/>
      <c r="AW180" s="311"/>
      <c r="AX180" s="309"/>
      <c r="AY180" s="312"/>
      <c r="AZ180" s="312"/>
      <c r="BA180" s="330"/>
      <c r="BB180" s="330"/>
      <c r="BC180" s="330"/>
      <c r="BD180" s="330"/>
      <c r="BE180" s="330"/>
      <c r="BF180" s="330"/>
      <c r="BG180" s="330"/>
      <c r="BH180" s="330"/>
    </row>
    <row r="181" spans="1:60" ht="15" customHeight="1">
      <c r="A181" s="338"/>
      <c r="B181" s="309"/>
      <c r="C181" s="309"/>
      <c r="D181" s="309"/>
      <c r="E181" s="309"/>
      <c r="F181" s="309"/>
      <c r="G181" s="309"/>
      <c r="H181" s="315"/>
      <c r="I181" s="360"/>
      <c r="J181" s="311"/>
      <c r="K181" s="311"/>
      <c r="L181" s="311"/>
      <c r="M181" s="311"/>
      <c r="N181" s="311"/>
      <c r="O181" s="311"/>
      <c r="P181" s="311"/>
      <c r="Q181" s="311"/>
      <c r="R181" s="311"/>
      <c r="S181" s="311"/>
      <c r="T181" s="311"/>
      <c r="U181" s="311"/>
      <c r="V181" s="309"/>
      <c r="W181" s="309"/>
      <c r="X181" s="311"/>
      <c r="Y181" s="311"/>
      <c r="Z181" s="311"/>
      <c r="AA181" s="311"/>
      <c r="AB181" s="311"/>
      <c r="AC181" s="311"/>
      <c r="AD181" s="311"/>
      <c r="AE181" s="311"/>
      <c r="AF181" s="311"/>
      <c r="AG181" s="311"/>
      <c r="AH181" s="311"/>
      <c r="AI181" s="311"/>
      <c r="AJ181" s="311"/>
      <c r="AK181" s="309"/>
      <c r="AL181" s="309"/>
      <c r="AM181" s="311"/>
      <c r="AN181" s="311"/>
      <c r="AO181" s="311"/>
      <c r="AP181" s="311"/>
      <c r="AQ181" s="311"/>
      <c r="AR181" s="311"/>
      <c r="AS181" s="311"/>
      <c r="AT181" s="311"/>
      <c r="AU181" s="311"/>
      <c r="AV181" s="311"/>
      <c r="AW181" s="311"/>
      <c r="AX181" s="309"/>
      <c r="AY181" s="312"/>
      <c r="AZ181" s="312"/>
      <c r="BA181" s="330"/>
      <c r="BB181" s="330"/>
      <c r="BC181" s="330"/>
      <c r="BD181" s="330"/>
      <c r="BE181" s="330"/>
      <c r="BF181" s="330"/>
      <c r="BG181" s="330"/>
      <c r="BH181" s="330"/>
    </row>
    <row r="182" spans="1:60" ht="15" customHeight="1">
      <c r="A182" s="338"/>
      <c r="B182" s="309"/>
      <c r="C182" s="309"/>
      <c r="D182" s="309"/>
      <c r="E182" s="309"/>
      <c r="F182" s="309"/>
      <c r="G182" s="309"/>
      <c r="H182" s="315"/>
      <c r="I182" s="360"/>
      <c r="J182" s="311"/>
      <c r="K182" s="311"/>
      <c r="L182" s="311"/>
      <c r="M182" s="311"/>
      <c r="N182" s="311"/>
      <c r="O182" s="311"/>
      <c r="P182" s="311"/>
      <c r="Q182" s="311"/>
      <c r="R182" s="311"/>
      <c r="S182" s="311"/>
      <c r="T182" s="311"/>
      <c r="U182" s="311"/>
      <c r="V182" s="309"/>
      <c r="W182" s="309"/>
      <c r="X182" s="311"/>
      <c r="Y182" s="311"/>
      <c r="Z182" s="311"/>
      <c r="AA182" s="311"/>
      <c r="AB182" s="311"/>
      <c r="AC182" s="311"/>
      <c r="AD182" s="311"/>
      <c r="AE182" s="311"/>
      <c r="AF182" s="311"/>
      <c r="AG182" s="311"/>
      <c r="AH182" s="311"/>
      <c r="AI182" s="311"/>
      <c r="AJ182" s="311"/>
      <c r="AK182" s="309"/>
      <c r="AL182" s="309"/>
      <c r="AM182" s="311"/>
      <c r="AN182" s="311"/>
      <c r="AO182" s="311"/>
      <c r="AP182" s="311"/>
      <c r="AQ182" s="311"/>
      <c r="AR182" s="311"/>
      <c r="AS182" s="311"/>
      <c r="AT182" s="311"/>
      <c r="AU182" s="311"/>
      <c r="AV182" s="311"/>
      <c r="AW182" s="311"/>
      <c r="AX182" s="309"/>
      <c r="AY182" s="312"/>
      <c r="AZ182" s="312"/>
      <c r="BA182" s="330"/>
      <c r="BB182" s="330"/>
      <c r="BC182" s="330"/>
      <c r="BD182" s="330"/>
      <c r="BE182" s="330"/>
      <c r="BF182" s="330"/>
      <c r="BG182" s="330"/>
      <c r="BH182" s="330"/>
    </row>
    <row r="183" spans="1:60" ht="15" customHeight="1">
      <c r="A183" s="338"/>
      <c r="B183" s="338"/>
      <c r="C183" s="338"/>
      <c r="D183" s="338"/>
      <c r="E183" s="338"/>
      <c r="F183" s="338"/>
      <c r="G183" s="338"/>
      <c r="H183" s="338"/>
      <c r="I183" s="359"/>
      <c r="J183" s="338"/>
      <c r="K183" s="338"/>
      <c r="L183" s="338"/>
      <c r="M183" s="338"/>
      <c r="N183" s="338"/>
      <c r="O183" s="338"/>
      <c r="P183" s="338"/>
      <c r="Q183" s="338"/>
      <c r="R183" s="338"/>
      <c r="S183" s="338"/>
      <c r="T183" s="338"/>
      <c r="U183" s="359"/>
      <c r="V183" s="338"/>
      <c r="W183" s="338"/>
      <c r="X183" s="338"/>
      <c r="Y183" s="338"/>
      <c r="Z183" s="338"/>
      <c r="AA183" s="338"/>
      <c r="AB183" s="338"/>
      <c r="AC183" s="338"/>
      <c r="AD183" s="338"/>
      <c r="AE183" s="338"/>
      <c r="AF183" s="338"/>
      <c r="AG183" s="338"/>
      <c r="AH183" s="338"/>
      <c r="AI183" s="338"/>
      <c r="AJ183" s="338"/>
      <c r="AK183" s="338"/>
      <c r="AL183" s="338"/>
      <c r="AM183" s="338"/>
      <c r="AN183" s="338"/>
      <c r="AO183" s="338"/>
      <c r="AP183" s="338"/>
      <c r="AQ183" s="338"/>
      <c r="AR183" s="338"/>
      <c r="AS183" s="338"/>
      <c r="AT183" s="338"/>
      <c r="AU183" s="338"/>
      <c r="AV183" s="338"/>
      <c r="AW183" s="338"/>
      <c r="AX183" s="338"/>
    </row>
    <row r="184" spans="1:60" ht="15" customHeight="1">
      <c r="A184" s="338"/>
      <c r="B184" s="338"/>
      <c r="C184" s="338"/>
      <c r="D184" s="338"/>
      <c r="E184" s="338"/>
      <c r="F184" s="338"/>
      <c r="G184" s="338"/>
      <c r="H184" s="338"/>
      <c r="I184" s="359"/>
      <c r="J184" s="338"/>
      <c r="K184" s="338"/>
      <c r="L184" s="338"/>
      <c r="M184" s="338"/>
      <c r="N184" s="338"/>
      <c r="O184" s="338"/>
      <c r="P184" s="338"/>
      <c r="Q184" s="338"/>
      <c r="R184" s="338"/>
      <c r="S184" s="338"/>
      <c r="T184" s="338"/>
      <c r="U184" s="359"/>
      <c r="V184" s="338"/>
      <c r="W184" s="338"/>
      <c r="X184" s="338"/>
      <c r="Y184" s="338"/>
      <c r="Z184" s="338"/>
      <c r="AA184" s="338"/>
      <c r="AB184" s="338"/>
      <c r="AC184" s="338"/>
      <c r="AD184" s="338"/>
      <c r="AE184" s="338"/>
      <c r="AF184" s="338"/>
      <c r="AG184" s="338"/>
      <c r="AH184" s="338"/>
      <c r="AI184" s="338"/>
      <c r="AJ184" s="338"/>
      <c r="AK184" s="338"/>
      <c r="AL184" s="338"/>
      <c r="AM184" s="338"/>
      <c r="AN184" s="338"/>
      <c r="AO184" s="338"/>
      <c r="AP184" s="338"/>
      <c r="AQ184" s="338"/>
      <c r="AR184" s="338"/>
      <c r="AS184" s="338"/>
      <c r="AT184" s="338"/>
      <c r="AU184" s="338"/>
      <c r="AV184" s="338"/>
      <c r="AW184" s="338"/>
      <c r="AX184" s="338"/>
    </row>
    <row r="185" spans="1:60" ht="15" customHeight="1">
      <c r="A185" s="338"/>
      <c r="B185" s="338"/>
      <c r="C185" s="338"/>
      <c r="D185" s="338"/>
      <c r="E185" s="338"/>
      <c r="F185" s="338"/>
      <c r="G185" s="338"/>
      <c r="H185" s="338"/>
      <c r="I185" s="359"/>
      <c r="J185" s="338"/>
      <c r="K185" s="338"/>
      <c r="L185" s="338"/>
      <c r="M185" s="338"/>
      <c r="N185" s="338"/>
      <c r="O185" s="338"/>
      <c r="P185" s="338"/>
      <c r="Q185" s="338"/>
      <c r="R185" s="338"/>
      <c r="S185" s="338"/>
      <c r="T185" s="338"/>
      <c r="U185" s="359"/>
      <c r="V185" s="338"/>
      <c r="W185" s="338"/>
      <c r="X185" s="338"/>
      <c r="Y185" s="338"/>
      <c r="Z185" s="338"/>
      <c r="AA185" s="338"/>
      <c r="AB185" s="338"/>
      <c r="AC185" s="338"/>
      <c r="AD185" s="338"/>
      <c r="AE185" s="338"/>
      <c r="AF185" s="338"/>
      <c r="AG185" s="338"/>
      <c r="AH185" s="338"/>
      <c r="AI185" s="338"/>
      <c r="AJ185" s="338"/>
      <c r="AK185" s="338"/>
      <c r="AL185" s="338"/>
      <c r="AM185" s="338"/>
      <c r="AN185" s="338"/>
      <c r="AO185" s="338"/>
      <c r="AP185" s="338"/>
      <c r="AQ185" s="338"/>
      <c r="AR185" s="338"/>
      <c r="AS185" s="338"/>
      <c r="AT185" s="338"/>
      <c r="AU185" s="338"/>
      <c r="AV185" s="338"/>
      <c r="AW185" s="338"/>
      <c r="AX185" s="338"/>
    </row>
    <row r="186" spans="1:60" ht="15" customHeight="1">
      <c r="A186" s="338"/>
      <c r="B186" s="338"/>
      <c r="C186" s="338"/>
      <c r="D186" s="338"/>
      <c r="E186" s="338"/>
      <c r="F186" s="338"/>
      <c r="G186" s="338"/>
      <c r="H186" s="338"/>
      <c r="I186" s="359"/>
      <c r="J186" s="338"/>
      <c r="K186" s="338"/>
      <c r="L186" s="338"/>
      <c r="M186" s="338"/>
      <c r="N186" s="338"/>
      <c r="O186" s="338"/>
      <c r="P186" s="338"/>
      <c r="Q186" s="338"/>
      <c r="R186" s="338"/>
      <c r="S186" s="338"/>
      <c r="T186" s="338"/>
      <c r="U186" s="359"/>
      <c r="V186" s="338"/>
      <c r="W186" s="338"/>
      <c r="X186" s="338"/>
      <c r="Y186" s="338"/>
      <c r="Z186" s="338"/>
      <c r="AA186" s="338"/>
      <c r="AB186" s="338"/>
      <c r="AC186" s="338"/>
      <c r="AD186" s="338"/>
      <c r="AE186" s="338"/>
      <c r="AF186" s="338"/>
      <c r="AG186" s="338"/>
      <c r="AH186" s="338"/>
      <c r="AI186" s="338"/>
      <c r="AJ186" s="338"/>
      <c r="AK186" s="338"/>
      <c r="AL186" s="338"/>
      <c r="AM186" s="338"/>
      <c r="AN186" s="338"/>
      <c r="AO186" s="338"/>
      <c r="AP186" s="338"/>
      <c r="AQ186" s="338"/>
      <c r="AR186" s="338"/>
      <c r="AS186" s="338"/>
      <c r="AT186" s="338"/>
      <c r="AU186" s="338"/>
      <c r="AV186" s="338"/>
      <c r="AW186" s="338"/>
      <c r="AX186" s="338"/>
    </row>
    <row r="187" spans="1:60" ht="15" customHeight="1">
      <c r="A187" s="338"/>
      <c r="B187" s="338"/>
      <c r="C187" s="338"/>
      <c r="D187" s="338"/>
      <c r="E187" s="338"/>
      <c r="F187" s="338"/>
      <c r="G187" s="338"/>
      <c r="H187" s="315"/>
      <c r="I187" s="311"/>
      <c r="J187" s="338"/>
      <c r="K187" s="338"/>
      <c r="L187" s="338"/>
      <c r="M187" s="338"/>
      <c r="N187" s="338"/>
      <c r="O187" s="338"/>
      <c r="P187" s="338"/>
      <c r="Q187" s="338"/>
      <c r="R187" s="338"/>
      <c r="S187" s="338"/>
      <c r="T187" s="338"/>
      <c r="U187" s="359"/>
      <c r="V187" s="338"/>
      <c r="W187" s="338"/>
      <c r="X187" s="338"/>
      <c r="Y187" s="338"/>
      <c r="Z187" s="338"/>
      <c r="AA187" s="338"/>
      <c r="AB187" s="338"/>
      <c r="AC187" s="338"/>
      <c r="AD187" s="338"/>
      <c r="AE187" s="338"/>
      <c r="AF187" s="338"/>
      <c r="AG187" s="338"/>
      <c r="AH187" s="338"/>
      <c r="AI187" s="338"/>
      <c r="AJ187" s="338"/>
      <c r="AK187" s="338"/>
      <c r="AL187" s="338"/>
      <c r="AM187" s="338"/>
      <c r="AN187" s="338"/>
      <c r="AO187" s="338"/>
      <c r="AP187" s="338"/>
      <c r="AQ187" s="338"/>
      <c r="AR187" s="338"/>
      <c r="AS187" s="338"/>
      <c r="AT187" s="338"/>
      <c r="AU187" s="338"/>
      <c r="AV187" s="338"/>
      <c r="AW187" s="338"/>
      <c r="AX187" s="338"/>
    </row>
    <row r="188" spans="1:60" ht="15" customHeight="1">
      <c r="A188" s="338"/>
      <c r="B188" s="338"/>
      <c r="C188" s="338"/>
      <c r="D188" s="338"/>
      <c r="E188" s="338"/>
      <c r="F188" s="338"/>
      <c r="G188" s="338"/>
      <c r="H188" s="315"/>
      <c r="I188" s="311"/>
      <c r="J188" s="338"/>
      <c r="K188" s="338"/>
      <c r="L188" s="338"/>
      <c r="M188" s="338"/>
      <c r="N188" s="338"/>
      <c r="O188" s="338"/>
      <c r="P188" s="338"/>
      <c r="Q188" s="338"/>
      <c r="R188" s="338"/>
      <c r="S188" s="338"/>
      <c r="T188" s="338"/>
      <c r="U188" s="359"/>
      <c r="V188" s="338"/>
      <c r="W188" s="338"/>
      <c r="X188" s="338"/>
      <c r="Y188" s="338"/>
      <c r="Z188" s="338"/>
      <c r="AA188" s="338"/>
      <c r="AB188" s="338"/>
      <c r="AC188" s="338"/>
      <c r="AD188" s="338"/>
      <c r="AE188" s="338"/>
      <c r="AF188" s="338"/>
      <c r="AG188" s="338"/>
      <c r="AH188" s="338"/>
      <c r="AI188" s="338"/>
      <c r="AJ188" s="338"/>
      <c r="AK188" s="338"/>
      <c r="AL188" s="338"/>
      <c r="AM188" s="338"/>
      <c r="AN188" s="338"/>
      <c r="AO188" s="338"/>
      <c r="AP188" s="338"/>
      <c r="AQ188" s="338"/>
      <c r="AR188" s="338"/>
      <c r="AS188" s="338"/>
      <c r="AT188" s="338"/>
      <c r="AU188" s="338"/>
      <c r="AV188" s="338"/>
      <c r="AW188" s="338"/>
      <c r="AX188" s="338"/>
    </row>
    <row r="189" spans="1:60" ht="15" customHeight="1">
      <c r="A189" s="338"/>
      <c r="B189" s="338"/>
      <c r="C189" s="338"/>
      <c r="D189" s="338"/>
      <c r="E189" s="338"/>
      <c r="F189" s="338"/>
      <c r="G189" s="338"/>
      <c r="H189" s="315"/>
      <c r="I189" s="311"/>
      <c r="J189" s="338"/>
      <c r="K189" s="338"/>
      <c r="L189" s="338"/>
      <c r="M189" s="338"/>
      <c r="N189" s="338"/>
      <c r="O189" s="338"/>
      <c r="P189" s="338"/>
      <c r="Q189" s="338"/>
      <c r="R189" s="338"/>
      <c r="S189" s="338"/>
      <c r="T189" s="338"/>
      <c r="U189" s="359"/>
      <c r="V189" s="338"/>
      <c r="W189" s="338"/>
      <c r="X189" s="338"/>
      <c r="Y189" s="338"/>
      <c r="Z189" s="338"/>
      <c r="AA189" s="338"/>
      <c r="AB189" s="338"/>
      <c r="AC189" s="338"/>
      <c r="AD189" s="338"/>
      <c r="AE189" s="338"/>
      <c r="AF189" s="338"/>
      <c r="AG189" s="338"/>
      <c r="AH189" s="338"/>
      <c r="AI189" s="338"/>
      <c r="AJ189" s="338"/>
      <c r="AK189" s="338"/>
      <c r="AL189" s="338"/>
      <c r="AM189" s="338"/>
      <c r="AN189" s="338"/>
      <c r="AO189" s="338"/>
      <c r="AP189" s="338"/>
      <c r="AQ189" s="338"/>
      <c r="AR189" s="338"/>
      <c r="AS189" s="338"/>
      <c r="AT189" s="338"/>
      <c r="AU189" s="338"/>
      <c r="AV189" s="338"/>
      <c r="AW189" s="338"/>
      <c r="AX189" s="338"/>
    </row>
    <row r="190" spans="1:60" ht="15" customHeight="1">
      <c r="A190" s="338"/>
      <c r="B190" s="338"/>
      <c r="C190" s="338"/>
      <c r="D190" s="338"/>
      <c r="E190" s="338"/>
      <c r="F190" s="338"/>
      <c r="G190" s="338"/>
      <c r="H190" s="315"/>
      <c r="I190" s="311"/>
      <c r="J190" s="338"/>
      <c r="K190" s="338"/>
      <c r="L190" s="338"/>
      <c r="M190" s="338"/>
      <c r="N190" s="338"/>
      <c r="O190" s="338"/>
      <c r="P190" s="338"/>
      <c r="Q190" s="338"/>
      <c r="R190" s="338"/>
      <c r="S190" s="338"/>
      <c r="T190" s="338"/>
      <c r="U190" s="359"/>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38"/>
      <c r="AT190" s="338"/>
      <c r="AU190" s="338"/>
      <c r="AV190" s="338"/>
      <c r="AW190" s="338"/>
      <c r="AX190" s="338"/>
    </row>
    <row r="191" spans="1:60" ht="15" customHeight="1">
      <c r="A191" s="338"/>
      <c r="B191" s="338"/>
      <c r="C191" s="338"/>
      <c r="D191" s="338"/>
      <c r="E191" s="338"/>
      <c r="F191" s="338"/>
      <c r="G191" s="338"/>
      <c r="H191" s="309"/>
      <c r="I191" s="311"/>
      <c r="J191" s="338"/>
      <c r="K191" s="338"/>
      <c r="L191" s="338"/>
      <c r="M191" s="338"/>
      <c r="N191" s="338"/>
      <c r="O191" s="338"/>
      <c r="P191" s="338"/>
      <c r="Q191" s="338"/>
      <c r="R191" s="338"/>
      <c r="S191" s="338"/>
      <c r="T191" s="338"/>
      <c r="U191" s="359"/>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338"/>
      <c r="AT191" s="338"/>
      <c r="AU191" s="338"/>
      <c r="AV191" s="338"/>
      <c r="AW191" s="338"/>
      <c r="AX191" s="338"/>
    </row>
    <row r="192" spans="1:60" ht="15" customHeight="1">
      <c r="A192" s="338"/>
      <c r="B192" s="338"/>
      <c r="C192" s="338"/>
      <c r="D192" s="338"/>
      <c r="E192" s="338"/>
      <c r="F192" s="338"/>
      <c r="G192" s="338"/>
      <c r="H192" s="315"/>
      <c r="I192" s="360"/>
      <c r="J192" s="338"/>
      <c r="K192" s="338"/>
      <c r="L192" s="338"/>
      <c r="M192" s="338"/>
      <c r="N192" s="338"/>
      <c r="O192" s="338"/>
      <c r="P192" s="338"/>
      <c r="Q192" s="338"/>
      <c r="R192" s="338"/>
      <c r="S192" s="338"/>
      <c r="T192" s="338"/>
      <c r="U192" s="359"/>
      <c r="V192" s="338"/>
      <c r="W192" s="338"/>
      <c r="X192" s="338"/>
      <c r="Y192" s="338"/>
      <c r="Z192" s="338"/>
      <c r="AA192" s="338"/>
      <c r="AB192" s="338"/>
      <c r="AC192" s="338"/>
      <c r="AD192" s="338"/>
      <c r="AE192" s="338"/>
      <c r="AF192" s="338"/>
      <c r="AG192" s="338"/>
      <c r="AH192" s="338"/>
      <c r="AI192" s="338"/>
      <c r="AJ192" s="338"/>
      <c r="AK192" s="338"/>
      <c r="AL192" s="338"/>
      <c r="AM192" s="338"/>
      <c r="AN192" s="338"/>
      <c r="AO192" s="338"/>
      <c r="AP192" s="338"/>
      <c r="AQ192" s="338"/>
      <c r="AR192" s="338"/>
      <c r="AS192" s="338"/>
      <c r="AT192" s="338"/>
      <c r="AU192" s="338"/>
      <c r="AV192" s="338"/>
      <c r="AW192" s="338"/>
      <c r="AX192" s="338"/>
    </row>
    <row r="193" spans="1:60" ht="15" customHeight="1">
      <c r="A193" s="338"/>
      <c r="H193" s="343"/>
      <c r="I193" s="361"/>
    </row>
    <row r="194" spans="1:60" ht="15" customHeight="1">
      <c r="A194" s="338"/>
      <c r="H194" s="343"/>
      <c r="I194" s="361"/>
    </row>
    <row r="195" spans="1:60" ht="15" customHeight="1">
      <c r="A195" s="338"/>
    </row>
    <row r="196" spans="1:60" ht="15" customHeight="1">
      <c r="A196" s="338"/>
    </row>
    <row r="197" spans="1:60" ht="15" customHeight="1">
      <c r="A197" s="338"/>
    </row>
    <row r="198" spans="1:60" ht="15" customHeight="1">
      <c r="A198" s="338"/>
    </row>
    <row r="199" spans="1:60" ht="15" customHeight="1">
      <c r="A199" s="338"/>
    </row>
    <row r="200" spans="1:60" ht="15" customHeight="1">
      <c r="A200" s="338"/>
    </row>
    <row r="201" spans="1:60" ht="15" customHeight="1">
      <c r="A201" s="338"/>
    </row>
    <row r="202" spans="1:60" ht="15" customHeight="1">
      <c r="A202" s="338"/>
    </row>
    <row r="203" spans="1:60" ht="15" customHeight="1">
      <c r="A203" s="338"/>
    </row>
    <row r="204" spans="1:60" ht="15" customHeight="1">
      <c r="A204" s="338"/>
    </row>
    <row r="205" spans="1:60" ht="15" customHeight="1">
      <c r="A205" s="338"/>
    </row>
    <row r="206" spans="1:60" s="330" customFormat="1" ht="15" customHeight="1">
      <c r="A206" s="251"/>
      <c r="B206" s="341"/>
      <c r="C206" s="341"/>
      <c r="D206" s="341"/>
      <c r="E206" s="341"/>
      <c r="F206" s="341"/>
      <c r="G206" s="341"/>
      <c r="H206" s="341"/>
      <c r="I206" s="175"/>
      <c r="J206" s="341"/>
      <c r="K206" s="341"/>
      <c r="L206" s="341"/>
      <c r="M206" s="341"/>
      <c r="N206" s="341"/>
      <c r="O206" s="341"/>
      <c r="P206" s="341"/>
      <c r="Q206" s="341"/>
      <c r="R206" s="341"/>
      <c r="S206" s="341"/>
      <c r="T206" s="341"/>
      <c r="U206" s="175"/>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341"/>
      <c r="BF206" s="341"/>
      <c r="BG206" s="341"/>
      <c r="BH206" s="341"/>
    </row>
    <row r="207" spans="1:60" ht="15" customHeight="1">
      <c r="A207" s="338"/>
    </row>
    <row r="208" spans="1:60" ht="15" customHeight="1">
      <c r="A208" s="338"/>
    </row>
    <row r="209" spans="1:60" ht="15" customHeight="1">
      <c r="A209" s="338"/>
    </row>
    <row r="210" spans="1:60" s="330" customFormat="1" ht="15" customHeight="1">
      <c r="A210" s="251"/>
      <c r="B210" s="341"/>
      <c r="C210" s="341"/>
      <c r="D210" s="341"/>
      <c r="E210" s="341"/>
      <c r="F210" s="341"/>
      <c r="G210" s="341"/>
      <c r="H210" s="341"/>
      <c r="I210" s="175"/>
      <c r="J210" s="341"/>
      <c r="K210" s="341"/>
      <c r="L210" s="341"/>
      <c r="M210" s="341"/>
      <c r="N210" s="341"/>
      <c r="O210" s="341"/>
      <c r="P210" s="341"/>
      <c r="Q210" s="341"/>
      <c r="R210" s="341"/>
      <c r="S210" s="341"/>
      <c r="T210" s="341"/>
      <c r="U210" s="175"/>
      <c r="V210" s="341"/>
      <c r="W210" s="341"/>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c r="AS210" s="341"/>
      <c r="AT210" s="341"/>
      <c r="AU210" s="341"/>
      <c r="AV210" s="341"/>
      <c r="AW210" s="341"/>
      <c r="AX210" s="341"/>
      <c r="AY210" s="341"/>
      <c r="AZ210" s="341"/>
      <c r="BA210" s="341"/>
      <c r="BB210" s="341"/>
      <c r="BC210" s="341"/>
      <c r="BD210" s="341"/>
      <c r="BE210" s="341"/>
      <c r="BF210" s="341"/>
      <c r="BG210" s="341"/>
      <c r="BH210" s="341"/>
    </row>
    <row r="211" spans="1:60" s="330" customFormat="1" ht="15" customHeight="1">
      <c r="A211" s="251"/>
      <c r="B211" s="341"/>
      <c r="C211" s="341"/>
      <c r="D211" s="341"/>
      <c r="E211" s="341"/>
      <c r="F211" s="341"/>
      <c r="G211" s="341"/>
      <c r="H211" s="341"/>
      <c r="I211" s="175"/>
      <c r="J211" s="341"/>
      <c r="K211" s="341"/>
      <c r="L211" s="341"/>
      <c r="M211" s="341"/>
      <c r="N211" s="341"/>
      <c r="O211" s="341"/>
      <c r="P211" s="341"/>
      <c r="Q211" s="341"/>
      <c r="R211" s="341"/>
      <c r="S211" s="341"/>
      <c r="T211" s="341"/>
      <c r="U211" s="175"/>
      <c r="V211" s="341"/>
      <c r="W211" s="341"/>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341"/>
      <c r="BF211" s="341"/>
      <c r="BG211" s="341"/>
      <c r="BH211" s="341"/>
    </row>
    <row r="212" spans="1:60" s="330" customFormat="1" ht="15" customHeight="1">
      <c r="A212" s="251"/>
      <c r="B212" s="341"/>
      <c r="C212" s="341"/>
      <c r="D212" s="341"/>
      <c r="E212" s="341"/>
      <c r="F212" s="341"/>
      <c r="G212" s="341"/>
      <c r="H212" s="341"/>
      <c r="I212" s="175"/>
      <c r="J212" s="341"/>
      <c r="K212" s="341"/>
      <c r="L212" s="341"/>
      <c r="M212" s="341"/>
      <c r="N212" s="341"/>
      <c r="O212" s="341"/>
      <c r="P212" s="341"/>
      <c r="Q212" s="341"/>
      <c r="R212" s="341"/>
      <c r="S212" s="341"/>
      <c r="T212" s="341"/>
      <c r="U212" s="175"/>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341"/>
      <c r="BF212" s="341"/>
      <c r="BG212" s="341"/>
      <c r="BH212" s="341"/>
    </row>
    <row r="213" spans="1:60" s="330" customFormat="1" ht="15" customHeight="1">
      <c r="A213" s="251"/>
      <c r="B213" s="341"/>
      <c r="C213" s="341"/>
      <c r="D213" s="341"/>
      <c r="E213" s="341"/>
      <c r="F213" s="341"/>
      <c r="G213" s="341"/>
      <c r="H213" s="341"/>
      <c r="I213" s="175"/>
      <c r="J213" s="341"/>
      <c r="K213" s="341"/>
      <c r="L213" s="341"/>
      <c r="M213" s="341"/>
      <c r="N213" s="341"/>
      <c r="O213" s="341"/>
      <c r="P213" s="341"/>
      <c r="Q213" s="341"/>
      <c r="R213" s="341"/>
      <c r="S213" s="341"/>
      <c r="T213" s="341"/>
      <c r="U213" s="175"/>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1"/>
      <c r="AT213" s="341"/>
      <c r="AU213" s="341"/>
      <c r="AV213" s="341"/>
      <c r="AW213" s="341"/>
      <c r="AX213" s="341"/>
      <c r="AY213" s="341"/>
      <c r="AZ213" s="341"/>
      <c r="BA213" s="341"/>
      <c r="BB213" s="341"/>
      <c r="BC213" s="341"/>
      <c r="BD213" s="341"/>
      <c r="BE213" s="341"/>
      <c r="BF213" s="341"/>
      <c r="BG213" s="341"/>
      <c r="BH213" s="341"/>
    </row>
    <row r="214" spans="1:60" s="330" customFormat="1" ht="15" customHeight="1">
      <c r="A214" s="251"/>
      <c r="B214" s="341"/>
      <c r="C214" s="341"/>
      <c r="D214" s="341"/>
      <c r="E214" s="341"/>
      <c r="F214" s="341"/>
      <c r="G214" s="341"/>
      <c r="H214" s="341"/>
      <c r="I214" s="175"/>
      <c r="J214" s="341"/>
      <c r="K214" s="341"/>
      <c r="L214" s="341"/>
      <c r="M214" s="341"/>
      <c r="N214" s="341"/>
      <c r="O214" s="341"/>
      <c r="P214" s="341"/>
      <c r="Q214" s="341"/>
      <c r="R214" s="341"/>
      <c r="S214" s="341"/>
      <c r="T214" s="341"/>
      <c r="U214" s="175"/>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1"/>
      <c r="AT214" s="341"/>
      <c r="AU214" s="341"/>
      <c r="AV214" s="341"/>
      <c r="AW214" s="341"/>
      <c r="AX214" s="341"/>
      <c r="AY214" s="341"/>
      <c r="AZ214" s="341"/>
      <c r="BA214" s="341"/>
      <c r="BB214" s="341"/>
      <c r="BC214" s="341"/>
      <c r="BD214" s="341"/>
      <c r="BE214" s="341"/>
      <c r="BF214" s="341"/>
      <c r="BG214" s="341"/>
      <c r="BH214" s="341"/>
    </row>
    <row r="215" spans="1:60" s="330" customFormat="1" ht="15" customHeight="1">
      <c r="A215" s="251"/>
      <c r="B215" s="341"/>
      <c r="C215" s="341"/>
      <c r="D215" s="341"/>
      <c r="E215" s="341"/>
      <c r="F215" s="341"/>
      <c r="G215" s="341"/>
      <c r="H215" s="341"/>
      <c r="I215" s="175"/>
      <c r="J215" s="341"/>
      <c r="K215" s="341"/>
      <c r="L215" s="341"/>
      <c r="M215" s="341"/>
      <c r="N215" s="341"/>
      <c r="O215" s="341"/>
      <c r="P215" s="341"/>
      <c r="Q215" s="341"/>
      <c r="R215" s="341"/>
      <c r="S215" s="341"/>
      <c r="T215" s="341"/>
      <c r="U215" s="175"/>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1"/>
      <c r="AT215" s="341"/>
      <c r="AU215" s="341"/>
      <c r="AV215" s="341"/>
      <c r="AW215" s="341"/>
      <c r="AX215" s="341"/>
      <c r="AY215" s="341"/>
      <c r="AZ215" s="341"/>
      <c r="BA215" s="341"/>
      <c r="BB215" s="341"/>
      <c r="BC215" s="341"/>
      <c r="BD215" s="341"/>
      <c r="BE215" s="341"/>
      <c r="BF215" s="341"/>
      <c r="BG215" s="341"/>
      <c r="BH215" s="341"/>
    </row>
    <row r="216" spans="1:60" s="330" customFormat="1" ht="15" customHeight="1">
      <c r="A216" s="251"/>
      <c r="B216" s="341"/>
      <c r="C216" s="341"/>
      <c r="D216" s="341"/>
      <c r="E216" s="341"/>
      <c r="F216" s="341"/>
      <c r="G216" s="341"/>
      <c r="H216" s="341"/>
      <c r="I216" s="175"/>
      <c r="J216" s="341"/>
      <c r="K216" s="341"/>
      <c r="L216" s="341"/>
      <c r="M216" s="341"/>
      <c r="N216" s="341"/>
      <c r="O216" s="341"/>
      <c r="P216" s="341"/>
      <c r="Q216" s="341"/>
      <c r="R216" s="341"/>
      <c r="S216" s="341"/>
      <c r="T216" s="341"/>
      <c r="U216" s="175"/>
      <c r="V216" s="341"/>
      <c r="W216" s="341"/>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c r="AS216" s="341"/>
      <c r="AT216" s="341"/>
      <c r="AU216" s="341"/>
      <c r="AV216" s="341"/>
      <c r="AW216" s="341"/>
      <c r="AX216" s="341"/>
      <c r="AY216" s="341"/>
      <c r="AZ216" s="341"/>
      <c r="BA216" s="341"/>
      <c r="BB216" s="341"/>
      <c r="BC216" s="341"/>
      <c r="BD216" s="341"/>
      <c r="BE216" s="341"/>
      <c r="BF216" s="341"/>
      <c r="BG216" s="341"/>
      <c r="BH216" s="341"/>
    </row>
    <row r="217" spans="1:60" s="330" customFormat="1" ht="15" customHeight="1">
      <c r="A217" s="251"/>
      <c r="B217" s="341"/>
      <c r="C217" s="341"/>
      <c r="D217" s="341"/>
      <c r="E217" s="341"/>
      <c r="F217" s="341"/>
      <c r="G217" s="341"/>
      <c r="H217" s="341"/>
      <c r="I217" s="175"/>
      <c r="J217" s="341"/>
      <c r="K217" s="341"/>
      <c r="L217" s="341"/>
      <c r="M217" s="341"/>
      <c r="N217" s="341"/>
      <c r="O217" s="341"/>
      <c r="P217" s="341"/>
      <c r="Q217" s="341"/>
      <c r="R217" s="341"/>
      <c r="S217" s="341"/>
      <c r="T217" s="341"/>
      <c r="U217" s="175"/>
      <c r="V217" s="341"/>
      <c r="W217" s="341"/>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c r="AS217" s="341"/>
      <c r="AT217" s="341"/>
      <c r="AU217" s="341"/>
      <c r="AV217" s="341"/>
      <c r="AW217" s="341"/>
      <c r="AX217" s="341"/>
      <c r="AY217" s="341"/>
      <c r="AZ217" s="341"/>
      <c r="BA217" s="341"/>
      <c r="BB217" s="341"/>
      <c r="BC217" s="341"/>
      <c r="BD217" s="341"/>
      <c r="BE217" s="341"/>
      <c r="BF217" s="341"/>
      <c r="BG217" s="341"/>
      <c r="BH217" s="341"/>
    </row>
    <row r="218" spans="1:60" ht="15" customHeight="1">
      <c r="A218" s="338"/>
    </row>
    <row r="219" spans="1:60" ht="15" customHeight="1">
      <c r="A219" s="338"/>
    </row>
    <row r="220" spans="1:60" ht="15" customHeight="1">
      <c r="A220" s="338"/>
    </row>
    <row r="221" spans="1:60" ht="15" customHeight="1">
      <c r="A221" s="338"/>
    </row>
    <row r="222" spans="1:60" ht="15" customHeight="1">
      <c r="A222" s="338"/>
    </row>
    <row r="223" spans="1:60" ht="15" customHeight="1">
      <c r="A223" s="338"/>
    </row>
    <row r="224" spans="1:60" ht="15" customHeight="1">
      <c r="A224" s="338"/>
    </row>
    <row r="225" spans="1:1" ht="15" customHeight="1">
      <c r="A225" s="338"/>
    </row>
    <row r="226" spans="1:1" ht="15" customHeight="1">
      <c r="A226" s="338"/>
    </row>
    <row r="227" spans="1:1" ht="15" customHeight="1">
      <c r="A227" s="338"/>
    </row>
  </sheetData>
  <mergeCells count="10">
    <mergeCell ref="AG76:AG78"/>
    <mergeCell ref="AG79:AG80"/>
    <mergeCell ref="AG84:AG85"/>
    <mergeCell ref="AG86:AG87"/>
    <mergeCell ref="AG51:AG52"/>
    <mergeCell ref="AG53:AG54"/>
    <mergeCell ref="AG56:AG58"/>
    <mergeCell ref="AG63:AG64"/>
    <mergeCell ref="AG66:AG68"/>
    <mergeCell ref="AG71:AG72"/>
  </mergeCells>
  <pageMargins left="0.7" right="0.7" top="0.75" bottom="0.75" header="0.3" footer="0.3"/>
  <pageSetup paperSize="8" scale="51"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100-000000000000}">
          <x14:formula1>
            <xm:f>List!$A$3:$A$9</xm:f>
          </x14:formula1>
          <xm:sqref>AE93:AE170</xm:sqref>
        </x14:dataValidation>
        <x14:dataValidation type="list" allowBlank="1" showInputMessage="1" showErrorMessage="1" xr:uid="{00000000-0002-0000-2100-000001000000}">
          <x14:formula1>
            <xm:f>List!$B$3:$B$8</xm:f>
          </x14:formula1>
          <xm:sqref>AD93:AD170</xm:sqref>
        </x14:dataValidation>
        <x14:dataValidation type="list" allowBlank="1" showInputMessage="1" showErrorMessage="1" xr:uid="{00000000-0002-0000-2100-000002000000}">
          <x14:formula1>
            <xm:f>'C:\sites\gd2businessplanteam\CAPEX Document Library\4. BPDT''s\4. December Submission\[NGN RIIO-GD2 BPDT (NP).xlsx]List'!#REF!</xm:f>
          </x14:formula1>
          <xm:sqref>AD46:AE92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B050"/>
  </sheetPr>
  <dimension ref="A1:AZ41"/>
  <sheetViews>
    <sheetView showGridLines="0" zoomScale="60" zoomScaleNormal="60" workbookViewId="0">
      <pane xSplit="7" topLeftCell="H1" activePane="topRight" state="frozen"/>
      <selection activeCell="G14" sqref="G14"/>
      <selection pane="topRight" activeCell="O20" sqref="O20"/>
    </sheetView>
  </sheetViews>
  <sheetFormatPr defaultColWidth="11.875" defaultRowHeight="12.75"/>
  <cols>
    <col min="1" max="1" width="11.875" style="413"/>
    <col min="2" max="6" width="4.375" style="413" customWidth="1"/>
    <col min="7" max="7" width="38.375" style="413" customWidth="1"/>
    <col min="8" max="8" width="11.875" style="413"/>
    <col min="9" max="9" width="15.625" style="414" customWidth="1"/>
    <col min="10" max="22" width="15.625" style="413" customWidth="1"/>
    <col min="23" max="23" width="5.625" style="413" customWidth="1"/>
    <col min="24" max="37" width="15.625" style="413" customWidth="1"/>
    <col min="38" max="38" width="5.625" style="413" customWidth="1"/>
    <col min="39" max="52" width="15.625" style="413" customWidth="1"/>
    <col min="53" max="16384" width="11.875" style="413"/>
  </cols>
  <sheetData>
    <row r="1" spans="1:52" s="2" customFormat="1" ht="25.15" customHeight="1">
      <c r="A1" s="1" t="s">
        <v>0</v>
      </c>
      <c r="E1" s="3"/>
      <c r="H1" s="4" t="s">
        <v>1</v>
      </c>
      <c r="J1" s="3"/>
    </row>
    <row r="2" spans="1:52" s="2" customFormat="1" ht="25.15" customHeight="1">
      <c r="A2" s="5" t="str">
        <f>Fixed_Data!I12</f>
        <v>MASTER</v>
      </c>
      <c r="B2" s="6"/>
      <c r="D2" s="7"/>
      <c r="E2" s="3"/>
    </row>
    <row r="3" spans="1:52" s="9" customFormat="1" ht="25.15" customHeight="1" thickBot="1">
      <c r="A3" s="8" t="str">
        <f>Fixed_Data!A3</f>
        <v>RIIO-GD2</v>
      </c>
      <c r="D3" s="10"/>
      <c r="E3" s="11"/>
    </row>
    <row r="4" spans="1:52" s="362" customFormat="1" ht="25.15" customHeight="1">
      <c r="A4" s="364"/>
      <c r="B4" s="363" t="s">
        <v>2359</v>
      </c>
      <c r="C4" s="363"/>
      <c r="D4" s="363"/>
      <c r="E4" s="363"/>
      <c r="F4" s="363"/>
      <c r="G4" s="364"/>
      <c r="H4" s="365"/>
      <c r="I4" s="366"/>
      <c r="J4" s="367"/>
      <c r="K4" s="367"/>
      <c r="L4" s="367"/>
      <c r="M4" s="367"/>
      <c r="N4" s="367"/>
      <c r="O4" s="367"/>
      <c r="P4" s="367"/>
      <c r="Q4" s="367"/>
      <c r="R4" s="365"/>
      <c r="S4" s="365"/>
      <c r="T4" s="365"/>
      <c r="U4" s="365"/>
      <c r="V4" s="365"/>
      <c r="W4" s="365"/>
      <c r="X4" s="365"/>
      <c r="Y4" s="365"/>
      <c r="Z4" s="365"/>
      <c r="AA4" s="365"/>
      <c r="AB4" s="365"/>
      <c r="AC4" s="365"/>
      <c r="AD4" s="365"/>
      <c r="AE4" s="367"/>
      <c r="AF4" s="367"/>
      <c r="AG4" s="365"/>
      <c r="AH4" s="365"/>
      <c r="AI4" s="365"/>
      <c r="AJ4" s="365"/>
      <c r="AK4" s="365"/>
      <c r="AL4" s="365"/>
      <c r="AM4" s="365"/>
      <c r="AN4" s="365"/>
      <c r="AO4" s="365"/>
      <c r="AP4" s="365"/>
      <c r="AQ4" s="365"/>
      <c r="AR4" s="365"/>
      <c r="AS4" s="365"/>
      <c r="AT4" s="367"/>
    </row>
    <row r="5" spans="1:52" s="368" customFormat="1" ht="25.15" customHeight="1">
      <c r="A5" s="364"/>
      <c r="B5" s="95" t="s">
        <v>1663</v>
      </c>
      <c r="C5" s="95"/>
      <c r="D5" s="95"/>
      <c r="E5" s="95"/>
      <c r="F5" s="95" t="s">
        <v>463</v>
      </c>
      <c r="G5" s="365"/>
      <c r="H5" s="365"/>
      <c r="I5" s="365"/>
      <c r="J5" s="365"/>
      <c r="K5" s="365"/>
      <c r="L5" s="365"/>
      <c r="M5" s="365"/>
      <c r="N5" s="365"/>
      <c r="O5" s="365"/>
      <c r="P5" s="365"/>
      <c r="Q5" s="365"/>
      <c r="R5" s="365"/>
      <c r="S5" s="365"/>
      <c r="T5" s="365"/>
      <c r="U5" s="365"/>
      <c r="V5" s="365"/>
      <c r="W5" s="365"/>
      <c r="X5" s="365"/>
      <c r="Y5" s="365"/>
      <c r="Z5" s="365"/>
      <c r="AA5" s="365"/>
      <c r="AB5" s="365"/>
      <c r="AC5" s="370"/>
      <c r="AD5" s="370"/>
      <c r="AE5" s="370"/>
      <c r="AF5" s="370"/>
      <c r="AG5" s="369"/>
      <c r="AH5" s="369"/>
      <c r="AI5" s="370"/>
      <c r="AJ5" s="370"/>
      <c r="AK5" s="370"/>
      <c r="AL5" s="370"/>
      <c r="AM5" s="370"/>
      <c r="AN5" s="370"/>
      <c r="AO5" s="370"/>
      <c r="AP5" s="370"/>
      <c r="AQ5" s="370"/>
      <c r="AR5" s="370"/>
      <c r="AS5" s="370"/>
      <c r="AT5" s="370"/>
      <c r="AU5" s="370"/>
      <c r="AV5" s="369"/>
    </row>
    <row r="6" spans="1:52" s="368" customFormat="1" ht="15" customHeight="1">
      <c r="A6" s="364"/>
      <c r="B6" s="811"/>
      <c r="C6" s="811"/>
      <c r="D6" s="811"/>
      <c r="E6" s="811"/>
      <c r="F6" s="365"/>
      <c r="G6" s="365"/>
      <c r="H6" s="365"/>
      <c r="I6" s="365"/>
      <c r="J6" s="365"/>
      <c r="K6" s="365"/>
      <c r="L6" s="365"/>
      <c r="M6" s="365"/>
      <c r="N6" s="365"/>
      <c r="O6" s="365"/>
      <c r="P6" s="365"/>
      <c r="Q6" s="365"/>
      <c r="R6" s="365"/>
      <c r="S6" s="365"/>
      <c r="T6" s="365"/>
      <c r="U6" s="365"/>
      <c r="V6" s="365"/>
      <c r="W6" s="365"/>
      <c r="X6" s="365"/>
      <c r="Y6" s="365"/>
      <c r="Z6" s="365"/>
      <c r="AA6" s="365"/>
      <c r="AB6" s="365"/>
      <c r="AC6" s="370"/>
      <c r="AD6" s="370"/>
      <c r="AE6" s="370"/>
      <c r="AF6" s="370"/>
      <c r="AG6" s="369"/>
      <c r="AH6" s="369"/>
      <c r="AI6" s="370"/>
      <c r="AJ6" s="370"/>
      <c r="AK6" s="370"/>
      <c r="AL6" s="370"/>
      <c r="AM6" s="370"/>
      <c r="AN6" s="370"/>
      <c r="AO6" s="370"/>
      <c r="AP6" s="370"/>
      <c r="AQ6" s="370"/>
      <c r="AR6" s="370"/>
      <c r="AS6" s="370"/>
      <c r="AT6" s="370"/>
      <c r="AU6" s="370"/>
      <c r="AV6" s="369"/>
    </row>
    <row r="7" spans="1:52" s="371" customFormat="1" ht="15" customHeight="1" thickBot="1">
      <c r="A7" s="364"/>
      <c r="G7" s="372"/>
      <c r="H7" s="372"/>
      <c r="I7" s="373"/>
      <c r="J7" s="372"/>
      <c r="K7" s="372"/>
      <c r="L7" s="372"/>
      <c r="M7" s="372"/>
      <c r="N7" s="372"/>
      <c r="O7" s="372"/>
      <c r="P7" s="372"/>
      <c r="Q7" s="372"/>
      <c r="R7" s="372"/>
      <c r="S7" s="372"/>
      <c r="T7" s="372"/>
      <c r="U7" s="372"/>
      <c r="V7" s="372"/>
      <c r="W7" s="372"/>
      <c r="X7" s="374"/>
      <c r="Y7" s="374"/>
      <c r="Z7" s="374"/>
      <c r="AA7" s="374"/>
      <c r="AB7" s="374"/>
      <c r="AC7" s="374"/>
      <c r="AD7" s="374"/>
      <c r="AE7" s="374"/>
      <c r="AF7" s="374"/>
      <c r="AG7" s="374"/>
      <c r="AH7" s="374"/>
      <c r="AI7" s="374"/>
      <c r="AJ7" s="374"/>
      <c r="AK7" s="374"/>
      <c r="AL7" s="374"/>
      <c r="AM7" s="374"/>
      <c r="AN7" s="374"/>
      <c r="AO7" s="374"/>
      <c r="AP7" s="374"/>
      <c r="AQ7" s="374"/>
      <c r="AR7" s="374"/>
      <c r="AS7" s="374"/>
      <c r="AT7" s="374"/>
    </row>
    <row r="8" spans="1:52" s="362" customFormat="1" ht="30" customHeight="1" thickBot="1">
      <c r="A8" s="364"/>
      <c r="B8" s="286" t="s">
        <v>1744</v>
      </c>
      <c r="C8" s="740"/>
      <c r="D8" s="740"/>
      <c r="E8" s="740"/>
      <c r="F8" s="740"/>
      <c r="G8" s="287"/>
      <c r="H8" s="287"/>
      <c r="I8" s="789" t="s">
        <v>1704</v>
      </c>
      <c r="J8" s="790"/>
      <c r="K8" s="790"/>
      <c r="L8" s="790"/>
      <c r="M8" s="790"/>
      <c r="N8" s="790"/>
      <c r="O8" s="790"/>
      <c r="P8" s="790"/>
      <c r="Q8" s="790"/>
      <c r="R8" s="790"/>
      <c r="S8" s="790"/>
      <c r="T8" s="790"/>
      <c r="U8" s="790"/>
      <c r="V8" s="791"/>
      <c r="W8" s="366"/>
      <c r="X8" s="365"/>
      <c r="Y8" s="365"/>
      <c r="Z8" s="365"/>
      <c r="AA8" s="365"/>
      <c r="AB8" s="365"/>
      <c r="AC8" s="367"/>
      <c r="AD8" s="367"/>
      <c r="AE8" s="365"/>
      <c r="AF8" s="365"/>
      <c r="AG8" s="365"/>
      <c r="AH8" s="365"/>
      <c r="AI8" s="365"/>
      <c r="AJ8" s="365"/>
      <c r="AK8" s="365"/>
      <c r="AL8" s="365"/>
      <c r="AM8" s="365"/>
      <c r="AN8" s="365"/>
      <c r="AO8" s="365"/>
      <c r="AP8" s="365"/>
      <c r="AQ8" s="365"/>
      <c r="AR8" s="367"/>
      <c r="AS8" s="367"/>
      <c r="AT8" s="365"/>
    </row>
    <row r="9" spans="1:52" s="362" customFormat="1" ht="30" customHeight="1">
      <c r="A9" s="364"/>
      <c r="B9" s="288"/>
      <c r="C9" s="292"/>
      <c r="D9" s="292"/>
      <c r="E9" s="292"/>
      <c r="F9" s="292"/>
      <c r="G9" s="289"/>
      <c r="H9" s="289"/>
      <c r="I9" s="225"/>
      <c r="J9" s="375" t="s">
        <v>1666</v>
      </c>
      <c r="K9" s="376"/>
      <c r="L9" s="376"/>
      <c r="M9" s="376"/>
      <c r="N9" s="376"/>
      <c r="O9" s="376"/>
      <c r="P9" s="376"/>
      <c r="Q9" s="377"/>
      <c r="R9" s="378" t="s">
        <v>2</v>
      </c>
      <c r="S9" s="379"/>
      <c r="T9" s="379"/>
      <c r="U9" s="379"/>
      <c r="V9" s="380"/>
      <c r="W9" s="366"/>
      <c r="X9" s="365"/>
      <c r="Y9" s="365"/>
      <c r="Z9" s="365"/>
      <c r="AA9" s="365"/>
      <c r="AB9" s="365"/>
      <c r="AC9" s="367"/>
      <c r="AD9" s="367"/>
      <c r="AE9" s="365"/>
      <c r="AF9" s="365"/>
      <c r="AG9" s="365"/>
      <c r="AH9" s="365"/>
      <c r="AI9" s="365"/>
      <c r="AJ9" s="365"/>
      <c r="AK9" s="365"/>
      <c r="AL9" s="365"/>
      <c r="AM9" s="365"/>
      <c r="AN9" s="365"/>
      <c r="AO9" s="365"/>
      <c r="AP9" s="365"/>
      <c r="AQ9" s="365"/>
      <c r="AR9" s="367"/>
      <c r="AS9" s="367"/>
      <c r="AT9" s="365"/>
    </row>
    <row r="10" spans="1:52" s="362" customFormat="1" ht="15" customHeight="1">
      <c r="A10" s="364"/>
      <c r="B10" s="288"/>
      <c r="C10" s="741"/>
      <c r="D10" s="741"/>
      <c r="E10" s="741"/>
      <c r="F10" s="741"/>
      <c r="G10" s="289"/>
      <c r="H10" s="289"/>
      <c r="I10" s="291" t="s">
        <v>1667</v>
      </c>
      <c r="J10" s="381" t="s">
        <v>453</v>
      </c>
      <c r="K10" s="382" t="s">
        <v>455</v>
      </c>
      <c r="L10" s="382" t="s">
        <v>457</v>
      </c>
      <c r="M10" s="382" t="s">
        <v>459</v>
      </c>
      <c r="N10" s="382" t="s">
        <v>461</v>
      </c>
      <c r="O10" s="382" t="s">
        <v>463</v>
      </c>
      <c r="P10" s="382" t="s">
        <v>465</v>
      </c>
      <c r="Q10" s="383" t="s">
        <v>467</v>
      </c>
      <c r="R10" s="381" t="s">
        <v>469</v>
      </c>
      <c r="S10" s="382" t="s">
        <v>471</v>
      </c>
      <c r="T10" s="382" t="s">
        <v>473</v>
      </c>
      <c r="U10" s="382" t="s">
        <v>475</v>
      </c>
      <c r="V10" s="383" t="s">
        <v>477</v>
      </c>
      <c r="W10" s="366"/>
      <c r="X10" s="365"/>
      <c r="Y10" s="365"/>
      <c r="Z10" s="365"/>
      <c r="AA10" s="365"/>
      <c r="AB10" s="365"/>
      <c r="AC10" s="367"/>
      <c r="AD10" s="367"/>
      <c r="AE10" s="365"/>
      <c r="AF10" s="365"/>
      <c r="AG10" s="365"/>
      <c r="AH10" s="365"/>
      <c r="AI10" s="365"/>
      <c r="AJ10" s="365"/>
      <c r="AK10" s="365"/>
      <c r="AL10" s="365"/>
      <c r="AM10" s="365"/>
      <c r="AN10" s="365"/>
      <c r="AO10" s="365"/>
      <c r="AP10" s="365"/>
      <c r="AQ10" s="365"/>
      <c r="AR10" s="367"/>
      <c r="AS10" s="367"/>
      <c r="AT10" s="365"/>
    </row>
    <row r="11" spans="1:52" s="362" customFormat="1" ht="15" customHeight="1">
      <c r="A11" s="364"/>
      <c r="B11" s="288"/>
      <c r="C11" s="803"/>
      <c r="D11" s="803"/>
      <c r="E11" s="803"/>
      <c r="F11" s="803"/>
      <c r="G11" s="289"/>
      <c r="H11" s="289"/>
      <c r="I11" s="385"/>
      <c r="J11" s="386"/>
      <c r="K11" s="385"/>
      <c r="L11" s="385"/>
      <c r="M11" s="385"/>
      <c r="N11" s="385"/>
      <c r="O11" s="385"/>
      <c r="P11" s="385"/>
      <c r="Q11" s="387"/>
      <c r="R11" s="386"/>
      <c r="S11" s="385"/>
      <c r="T11" s="385"/>
      <c r="U11" s="385"/>
      <c r="V11" s="387"/>
      <c r="W11" s="366"/>
      <c r="X11" s="365"/>
      <c r="Y11" s="365"/>
      <c r="Z11" s="365"/>
      <c r="AA11" s="365"/>
      <c r="AB11" s="365"/>
      <c r="AC11" s="367"/>
      <c r="AD11" s="367"/>
      <c r="AE11" s="365"/>
      <c r="AF11" s="365"/>
      <c r="AG11" s="365"/>
      <c r="AH11" s="365"/>
      <c r="AI11" s="365"/>
      <c r="AJ11" s="365"/>
      <c r="AK11" s="365"/>
      <c r="AL11" s="365"/>
      <c r="AM11" s="365"/>
      <c r="AN11" s="365"/>
      <c r="AO11" s="365"/>
      <c r="AP11" s="365"/>
      <c r="AQ11" s="365"/>
      <c r="AR11" s="367"/>
      <c r="AS11" s="367"/>
      <c r="AT11" s="365"/>
    </row>
    <row r="12" spans="1:52" s="362" customFormat="1" ht="15" customHeight="1">
      <c r="A12" s="364"/>
      <c r="B12" s="288"/>
      <c r="C12" s="803" t="s">
        <v>1806</v>
      </c>
      <c r="D12" s="742"/>
      <c r="E12" s="742"/>
      <c r="F12" s="742"/>
      <c r="G12" s="289"/>
      <c r="H12" s="289"/>
      <c r="I12" s="225" t="s">
        <v>498</v>
      </c>
      <c r="J12" s="710">
        <f>SUM(J13:J14)</f>
        <v>0</v>
      </c>
      <c r="K12" s="711">
        <f t="shared" ref="K12:V12" si="0">SUM(K13:K14)</f>
        <v>0.60267338181818164</v>
      </c>
      <c r="L12" s="711">
        <f t="shared" si="0"/>
        <v>0.59297023255813952</v>
      </c>
      <c r="M12" s="711">
        <f t="shared" si="0"/>
        <v>1.0359763766453323</v>
      </c>
      <c r="N12" s="711">
        <f t="shared" si="0"/>
        <v>0.87906399231742971</v>
      </c>
      <c r="O12" s="711">
        <f t="shared" si="0"/>
        <v>0.68399999999999994</v>
      </c>
      <c r="P12" s="711">
        <f t="shared" si="0"/>
        <v>0.5</v>
      </c>
      <c r="Q12" s="712">
        <f t="shared" si="0"/>
        <v>0.8</v>
      </c>
      <c r="R12" s="710">
        <f t="shared" si="0"/>
        <v>1.405784949039375</v>
      </c>
      <c r="S12" s="711">
        <f t="shared" si="0"/>
        <v>0.31054923725575312</v>
      </c>
      <c r="T12" s="711">
        <f t="shared" si="0"/>
        <v>0.22516808555970447</v>
      </c>
      <c r="U12" s="711">
        <f t="shared" si="0"/>
        <v>0.3598223435542941</v>
      </c>
      <c r="V12" s="712">
        <f t="shared" si="0"/>
        <v>1.0970694693286944</v>
      </c>
      <c r="W12" s="366"/>
      <c r="X12" s="365"/>
      <c r="Y12" s="365"/>
      <c r="Z12" s="365"/>
      <c r="AA12" s="365"/>
      <c r="AB12" s="365"/>
      <c r="AC12" s="367"/>
      <c r="AD12" s="367"/>
      <c r="AE12" s="365"/>
      <c r="AF12" s="365"/>
      <c r="AG12" s="365"/>
      <c r="AH12" s="365"/>
      <c r="AI12" s="365"/>
      <c r="AJ12" s="365"/>
      <c r="AK12" s="365"/>
      <c r="AL12" s="365"/>
      <c r="AM12" s="365"/>
      <c r="AN12" s="365"/>
      <c r="AO12" s="365"/>
      <c r="AP12" s="365"/>
      <c r="AQ12" s="365"/>
      <c r="AR12" s="367"/>
      <c r="AS12" s="367"/>
      <c r="AT12" s="365"/>
    </row>
    <row r="13" spans="1:52" s="362" customFormat="1" ht="15" customHeight="1">
      <c r="A13" s="364"/>
      <c r="B13" s="288"/>
      <c r="C13" s="398"/>
      <c r="D13" s="812" t="s">
        <v>2360</v>
      </c>
      <c r="E13" s="804"/>
      <c r="F13" s="804"/>
      <c r="G13" s="388"/>
      <c r="H13" s="209"/>
      <c r="I13" s="389" t="s">
        <v>498</v>
      </c>
      <c r="J13" s="128">
        <f>J23</f>
        <v>0</v>
      </c>
      <c r="K13" s="129">
        <f t="shared" ref="K13:V13" si="1">K23</f>
        <v>0.60267338181818164</v>
      </c>
      <c r="L13" s="129">
        <f t="shared" si="1"/>
        <v>0.59297023255813952</v>
      </c>
      <c r="M13" s="129">
        <f t="shared" si="1"/>
        <v>1.0359763766453323</v>
      </c>
      <c r="N13" s="129">
        <f t="shared" si="1"/>
        <v>0.87906399231742971</v>
      </c>
      <c r="O13" s="129">
        <f t="shared" si="1"/>
        <v>0.68399999999999994</v>
      </c>
      <c r="P13" s="129">
        <f t="shared" si="1"/>
        <v>0.5</v>
      </c>
      <c r="Q13" s="130">
        <f t="shared" si="1"/>
        <v>0.8</v>
      </c>
      <c r="R13" s="128">
        <f t="shared" si="1"/>
        <v>1.405784949039375</v>
      </c>
      <c r="S13" s="129">
        <f t="shared" si="1"/>
        <v>0.31054923725575312</v>
      </c>
      <c r="T13" s="129">
        <f t="shared" si="1"/>
        <v>0.22516808555970447</v>
      </c>
      <c r="U13" s="129">
        <f t="shared" si="1"/>
        <v>0.3598223435542941</v>
      </c>
      <c r="V13" s="130">
        <f t="shared" si="1"/>
        <v>1.0970694693286944</v>
      </c>
      <c r="W13" s="366"/>
      <c r="X13" s="365"/>
      <c r="Y13" s="365"/>
      <c r="Z13" s="365"/>
      <c r="AA13" s="365"/>
      <c r="AB13" s="365"/>
      <c r="AC13" s="367"/>
      <c r="AD13" s="367"/>
      <c r="AE13" s="365"/>
      <c r="AF13" s="365"/>
      <c r="AG13" s="365"/>
      <c r="AH13" s="365"/>
      <c r="AI13" s="365"/>
      <c r="AJ13" s="365"/>
      <c r="AK13" s="365"/>
      <c r="AL13" s="365"/>
      <c r="AM13" s="365"/>
      <c r="AN13" s="365"/>
      <c r="AO13" s="365"/>
      <c r="AP13" s="365"/>
      <c r="AQ13" s="365"/>
      <c r="AR13" s="367"/>
      <c r="AS13" s="367"/>
      <c r="AT13" s="365"/>
    </row>
    <row r="14" spans="1:52" s="362" customFormat="1" ht="15" customHeight="1" thickBot="1">
      <c r="A14" s="364"/>
      <c r="B14" s="1066"/>
      <c r="C14" s="1067"/>
      <c r="D14" s="1068" t="s">
        <v>2361</v>
      </c>
      <c r="E14" s="1069"/>
      <c r="F14" s="1069"/>
      <c r="G14" s="1070"/>
      <c r="H14" s="434"/>
      <c r="I14" s="449" t="s">
        <v>498</v>
      </c>
      <c r="J14" s="177">
        <f>J31</f>
        <v>0</v>
      </c>
      <c r="K14" s="178">
        <f t="shared" ref="K14:V14" si="2">K31</f>
        <v>0</v>
      </c>
      <c r="L14" s="178">
        <f t="shared" si="2"/>
        <v>0</v>
      </c>
      <c r="M14" s="178">
        <f t="shared" si="2"/>
        <v>0</v>
      </c>
      <c r="N14" s="178">
        <f t="shared" si="2"/>
        <v>0</v>
      </c>
      <c r="O14" s="178">
        <f t="shared" si="2"/>
        <v>0</v>
      </c>
      <c r="P14" s="178">
        <f t="shared" si="2"/>
        <v>0</v>
      </c>
      <c r="Q14" s="179">
        <f t="shared" si="2"/>
        <v>0</v>
      </c>
      <c r="R14" s="177">
        <f t="shared" si="2"/>
        <v>0</v>
      </c>
      <c r="S14" s="178">
        <f t="shared" si="2"/>
        <v>0</v>
      </c>
      <c r="T14" s="178">
        <f t="shared" si="2"/>
        <v>0</v>
      </c>
      <c r="U14" s="178">
        <f t="shared" si="2"/>
        <v>0</v>
      </c>
      <c r="V14" s="179">
        <f t="shared" si="2"/>
        <v>0</v>
      </c>
      <c r="W14" s="366"/>
      <c r="X14" s="365"/>
      <c r="Y14" s="365"/>
      <c r="Z14" s="365"/>
      <c r="AA14" s="365"/>
      <c r="AB14" s="365"/>
      <c r="AC14" s="367"/>
      <c r="AD14" s="367"/>
      <c r="AE14" s="365"/>
      <c r="AF14" s="365"/>
      <c r="AG14" s="365"/>
      <c r="AH14" s="365"/>
      <c r="AI14" s="365"/>
      <c r="AJ14" s="365"/>
      <c r="AK14" s="365"/>
      <c r="AL14" s="365"/>
      <c r="AM14" s="365"/>
      <c r="AN14" s="365"/>
      <c r="AO14" s="365"/>
      <c r="AP14" s="365"/>
      <c r="AQ14" s="365"/>
      <c r="AR14" s="367"/>
      <c r="AS14" s="367"/>
      <c r="AT14" s="365"/>
    </row>
    <row r="15" spans="1:52" s="362" customFormat="1" ht="15" customHeight="1" thickBot="1">
      <c r="A15" s="364"/>
      <c r="H15" s="392"/>
      <c r="I15" s="366"/>
      <c r="J15" s="365"/>
      <c r="P15" s="365"/>
      <c r="Q15" s="365"/>
      <c r="R15" s="365"/>
      <c r="S15" s="365"/>
      <c r="T15" s="365"/>
      <c r="U15" s="365"/>
      <c r="V15" s="365"/>
      <c r="W15" s="365"/>
      <c r="X15" s="365"/>
      <c r="Y15" s="365"/>
      <c r="Z15" s="365"/>
      <c r="AA15" s="365"/>
      <c r="AB15" s="365"/>
      <c r="AC15" s="367"/>
      <c r="AD15" s="367"/>
      <c r="AE15" s="365"/>
      <c r="AF15" s="365"/>
      <c r="AG15" s="365"/>
      <c r="AH15" s="365"/>
      <c r="AI15" s="365"/>
      <c r="AJ15" s="365"/>
      <c r="AK15" s="365"/>
      <c r="AL15" s="365"/>
      <c r="AM15" s="365"/>
      <c r="AN15" s="365"/>
      <c r="AO15" s="365"/>
      <c r="AP15" s="365"/>
      <c r="AQ15" s="365"/>
      <c r="AR15" s="367"/>
      <c r="AS15" s="367"/>
      <c r="AT15" s="365"/>
    </row>
    <row r="16" spans="1:52" s="371" customFormat="1" ht="30" customHeight="1" thickBot="1">
      <c r="B16" s="393" t="s">
        <v>2360</v>
      </c>
      <c r="C16" s="805"/>
      <c r="D16" s="805"/>
      <c r="E16" s="805"/>
      <c r="F16" s="805"/>
      <c r="G16" s="394"/>
      <c r="H16" s="395"/>
      <c r="I16" s="789" t="s">
        <v>1704</v>
      </c>
      <c r="J16" s="790"/>
      <c r="K16" s="790"/>
      <c r="L16" s="790"/>
      <c r="M16" s="790"/>
      <c r="N16" s="790"/>
      <c r="O16" s="790"/>
      <c r="P16" s="790"/>
      <c r="Q16" s="790"/>
      <c r="R16" s="790"/>
      <c r="S16" s="790"/>
      <c r="T16" s="790"/>
      <c r="U16" s="790"/>
      <c r="V16" s="791"/>
      <c r="W16" s="396"/>
      <c r="X16" s="789" t="s">
        <v>2231</v>
      </c>
      <c r="Y16" s="790"/>
      <c r="Z16" s="790"/>
      <c r="AA16" s="790"/>
      <c r="AB16" s="790"/>
      <c r="AC16" s="790"/>
      <c r="AD16" s="790"/>
      <c r="AE16" s="790"/>
      <c r="AF16" s="790"/>
      <c r="AG16" s="790"/>
      <c r="AH16" s="790"/>
      <c r="AI16" s="790"/>
      <c r="AJ16" s="790"/>
      <c r="AK16" s="791"/>
      <c r="AL16" s="396"/>
      <c r="AM16" s="789" t="s">
        <v>2362</v>
      </c>
      <c r="AN16" s="790"/>
      <c r="AO16" s="790"/>
      <c r="AP16" s="790"/>
      <c r="AQ16" s="790"/>
      <c r="AR16" s="790"/>
      <c r="AS16" s="790"/>
      <c r="AT16" s="790"/>
      <c r="AU16" s="790"/>
      <c r="AV16" s="790"/>
      <c r="AW16" s="790"/>
      <c r="AX16" s="790"/>
      <c r="AY16" s="790"/>
      <c r="AZ16" s="791"/>
    </row>
    <row r="17" spans="2:52" s="371" customFormat="1" ht="30" customHeight="1">
      <c r="B17" s="397"/>
      <c r="C17" s="398"/>
      <c r="D17" s="398"/>
      <c r="E17" s="398"/>
      <c r="F17" s="398"/>
      <c r="G17" s="398"/>
      <c r="H17" s="399"/>
      <c r="I17" s="400"/>
      <c r="J17" s="375" t="s">
        <v>1666</v>
      </c>
      <c r="K17" s="376"/>
      <c r="L17" s="376"/>
      <c r="M17" s="376"/>
      <c r="N17" s="376"/>
      <c r="O17" s="376"/>
      <c r="P17" s="376"/>
      <c r="Q17" s="377"/>
      <c r="R17" s="378" t="s">
        <v>2</v>
      </c>
      <c r="S17" s="379"/>
      <c r="T17" s="379"/>
      <c r="U17" s="379"/>
      <c r="V17" s="380"/>
      <c r="W17" s="401"/>
      <c r="X17" s="400"/>
      <c r="Y17" s="375" t="s">
        <v>1666</v>
      </c>
      <c r="Z17" s="376"/>
      <c r="AA17" s="376"/>
      <c r="AB17" s="376"/>
      <c r="AC17" s="376"/>
      <c r="AD17" s="376"/>
      <c r="AE17" s="376"/>
      <c r="AF17" s="377"/>
      <c r="AG17" s="378" t="s">
        <v>2</v>
      </c>
      <c r="AH17" s="379"/>
      <c r="AI17" s="379"/>
      <c r="AJ17" s="379"/>
      <c r="AK17" s="380"/>
      <c r="AL17" s="401"/>
      <c r="AM17" s="400"/>
      <c r="AN17" s="375" t="s">
        <v>1666</v>
      </c>
      <c r="AO17" s="376"/>
      <c r="AP17" s="376"/>
      <c r="AQ17" s="376"/>
      <c r="AR17" s="376"/>
      <c r="AS17" s="376"/>
      <c r="AT17" s="376"/>
      <c r="AU17" s="377"/>
      <c r="AV17" s="378" t="s">
        <v>2</v>
      </c>
      <c r="AW17" s="379"/>
      <c r="AX17" s="379"/>
      <c r="AY17" s="379"/>
      <c r="AZ17" s="380"/>
    </row>
    <row r="18" spans="2:52" s="371" customFormat="1" ht="15" customHeight="1">
      <c r="B18" s="402"/>
      <c r="C18" s="806"/>
      <c r="D18" s="806"/>
      <c r="E18" s="806"/>
      <c r="F18" s="806"/>
      <c r="G18" s="398"/>
      <c r="H18" s="399"/>
      <c r="I18" s="403" t="s">
        <v>1667</v>
      </c>
      <c r="J18" s="381" t="s">
        <v>453</v>
      </c>
      <c r="K18" s="382" t="s">
        <v>455</v>
      </c>
      <c r="L18" s="382" t="s">
        <v>457</v>
      </c>
      <c r="M18" s="382" t="s">
        <v>459</v>
      </c>
      <c r="N18" s="382" t="s">
        <v>461</v>
      </c>
      <c r="O18" s="382" t="s">
        <v>463</v>
      </c>
      <c r="P18" s="382" t="s">
        <v>465</v>
      </c>
      <c r="Q18" s="383" t="s">
        <v>467</v>
      </c>
      <c r="R18" s="381" t="s">
        <v>469</v>
      </c>
      <c r="S18" s="382" t="s">
        <v>471</v>
      </c>
      <c r="T18" s="382" t="s">
        <v>473</v>
      </c>
      <c r="U18" s="382" t="s">
        <v>475</v>
      </c>
      <c r="V18" s="383" t="s">
        <v>477</v>
      </c>
      <c r="W18" s="401"/>
      <c r="X18" s="403" t="s">
        <v>1667</v>
      </c>
      <c r="Y18" s="381" t="s">
        <v>453</v>
      </c>
      <c r="Z18" s="382" t="s">
        <v>455</v>
      </c>
      <c r="AA18" s="382" t="s">
        <v>457</v>
      </c>
      <c r="AB18" s="382" t="s">
        <v>459</v>
      </c>
      <c r="AC18" s="382" t="s">
        <v>461</v>
      </c>
      <c r="AD18" s="382" t="s">
        <v>463</v>
      </c>
      <c r="AE18" s="382" t="s">
        <v>465</v>
      </c>
      <c r="AF18" s="383" t="s">
        <v>467</v>
      </c>
      <c r="AG18" s="381" t="s">
        <v>469</v>
      </c>
      <c r="AH18" s="382" t="s">
        <v>471</v>
      </c>
      <c r="AI18" s="382" t="s">
        <v>473</v>
      </c>
      <c r="AJ18" s="382" t="s">
        <v>475</v>
      </c>
      <c r="AK18" s="383" t="s">
        <v>477</v>
      </c>
      <c r="AL18" s="401"/>
      <c r="AM18" s="403" t="s">
        <v>1667</v>
      </c>
      <c r="AN18" s="381" t="s">
        <v>453</v>
      </c>
      <c r="AO18" s="382" t="s">
        <v>455</v>
      </c>
      <c r="AP18" s="382" t="s">
        <v>457</v>
      </c>
      <c r="AQ18" s="382" t="s">
        <v>459</v>
      </c>
      <c r="AR18" s="382" t="s">
        <v>461</v>
      </c>
      <c r="AS18" s="382" t="s">
        <v>463</v>
      </c>
      <c r="AT18" s="382" t="s">
        <v>465</v>
      </c>
      <c r="AU18" s="383" t="s">
        <v>467</v>
      </c>
      <c r="AV18" s="381" t="s">
        <v>469</v>
      </c>
      <c r="AW18" s="382" t="s">
        <v>471</v>
      </c>
      <c r="AX18" s="382" t="s">
        <v>473</v>
      </c>
      <c r="AY18" s="382" t="s">
        <v>475</v>
      </c>
      <c r="AZ18" s="383" t="s">
        <v>477</v>
      </c>
    </row>
    <row r="19" spans="2:52" s="371" customFormat="1" ht="15" customHeight="1">
      <c r="B19" s="397"/>
      <c r="C19" s="841" t="s">
        <v>2363</v>
      </c>
      <c r="D19" s="807"/>
      <c r="E19" s="807"/>
      <c r="F19" s="807"/>
      <c r="G19" s="398"/>
      <c r="H19" s="399"/>
      <c r="I19" s="209"/>
      <c r="J19" s="405"/>
      <c r="K19" s="209"/>
      <c r="L19" s="209"/>
      <c r="M19" s="209"/>
      <c r="N19" s="209"/>
      <c r="O19" s="209"/>
      <c r="P19" s="209"/>
      <c r="Q19" s="210"/>
      <c r="R19" s="405"/>
      <c r="S19" s="209"/>
      <c r="T19" s="209"/>
      <c r="U19" s="209"/>
      <c r="V19" s="210"/>
      <c r="W19" s="401"/>
      <c r="X19" s="209"/>
      <c r="Y19" s="405"/>
      <c r="Z19" s="209"/>
      <c r="AA19" s="209"/>
      <c r="AB19" s="209"/>
      <c r="AC19" s="209"/>
      <c r="AD19" s="209"/>
      <c r="AE19" s="209"/>
      <c r="AF19" s="210"/>
      <c r="AG19" s="405"/>
      <c r="AH19" s="209"/>
      <c r="AI19" s="209"/>
      <c r="AJ19" s="209"/>
      <c r="AK19" s="210"/>
      <c r="AL19" s="401"/>
      <c r="AM19" s="209"/>
      <c r="AN19" s="405"/>
      <c r="AO19" s="209"/>
      <c r="AP19" s="209"/>
      <c r="AQ19" s="209"/>
      <c r="AR19" s="209"/>
      <c r="AS19" s="209"/>
      <c r="AT19" s="209"/>
      <c r="AU19" s="210"/>
      <c r="AV19" s="405"/>
      <c r="AW19" s="209"/>
      <c r="AX19" s="209"/>
      <c r="AY19" s="209"/>
      <c r="AZ19" s="210"/>
    </row>
    <row r="20" spans="2:52" s="371" customFormat="1" ht="15" customHeight="1">
      <c r="B20" s="397"/>
      <c r="C20" s="401"/>
      <c r="D20" s="1546" t="s">
        <v>2364</v>
      </c>
      <c r="E20" s="808"/>
      <c r="F20" s="808"/>
      <c r="G20" s="401"/>
      <c r="H20" s="399"/>
      <c r="I20" s="406" t="s">
        <v>498</v>
      </c>
      <c r="J20" s="297">
        <v>0</v>
      </c>
      <c r="K20" s="298">
        <v>0.60267338181818164</v>
      </c>
      <c r="L20" s="298">
        <v>0.57112970833868681</v>
      </c>
      <c r="M20" s="298">
        <v>0.65109351225697354</v>
      </c>
      <c r="N20" s="298">
        <v>0.47817783403902392</v>
      </c>
      <c r="O20" s="298">
        <v>0.48499999999999999</v>
      </c>
      <c r="P20" s="298">
        <v>0.22800000000000001</v>
      </c>
      <c r="Q20" s="299">
        <v>0.154</v>
      </c>
      <c r="R20" s="297">
        <v>0.32096894903937495</v>
      </c>
      <c r="S20" s="298">
        <v>0.12554923725575312</v>
      </c>
      <c r="T20" s="298">
        <v>0.12266808555970447</v>
      </c>
      <c r="U20" s="298">
        <v>0.1283785935542941</v>
      </c>
      <c r="V20" s="299">
        <v>0.13848396932869445</v>
      </c>
      <c r="W20" s="401"/>
      <c r="X20" s="406" t="s">
        <v>2365</v>
      </c>
      <c r="Y20" s="407">
        <v>0</v>
      </c>
      <c r="Z20" s="408">
        <v>341490</v>
      </c>
      <c r="AA20" s="408">
        <v>213035</v>
      </c>
      <c r="AB20" s="408">
        <v>263880</v>
      </c>
      <c r="AC20" s="408">
        <v>462851</v>
      </c>
      <c r="AD20" s="408">
        <v>144177</v>
      </c>
      <c r="AE20" s="408">
        <v>196660</v>
      </c>
      <c r="AF20" s="409">
        <v>410861</v>
      </c>
      <c r="AG20" s="407">
        <v>259597</v>
      </c>
      <c r="AH20" s="408">
        <v>214770</v>
      </c>
      <c r="AI20" s="408">
        <v>429201</v>
      </c>
      <c r="AJ20" s="408">
        <v>237797</v>
      </c>
      <c r="AK20" s="409">
        <v>214770</v>
      </c>
      <c r="AL20" s="401"/>
      <c r="AM20" s="406" t="s">
        <v>1876</v>
      </c>
      <c r="AN20" s="407">
        <v>0</v>
      </c>
      <c r="AO20" s="408">
        <v>40</v>
      </c>
      <c r="AP20" s="408">
        <v>54</v>
      </c>
      <c r="AQ20" s="408">
        <v>79</v>
      </c>
      <c r="AR20" s="408">
        <v>46</v>
      </c>
      <c r="AS20" s="408">
        <v>39</v>
      </c>
      <c r="AT20" s="408">
        <v>72</v>
      </c>
      <c r="AU20" s="409">
        <v>45</v>
      </c>
      <c r="AV20" s="407">
        <v>56</v>
      </c>
      <c r="AW20" s="408">
        <v>71</v>
      </c>
      <c r="AX20" s="408">
        <v>45</v>
      </c>
      <c r="AY20" s="408">
        <v>49</v>
      </c>
      <c r="AZ20" s="409">
        <v>71</v>
      </c>
    </row>
    <row r="21" spans="2:52" s="371" customFormat="1" ht="15" customHeight="1">
      <c r="B21" s="397"/>
      <c r="C21" s="401"/>
      <c r="D21" s="1546" t="s">
        <v>2366</v>
      </c>
      <c r="E21" s="808"/>
      <c r="F21" s="808"/>
      <c r="G21" s="398"/>
      <c r="H21" s="399"/>
      <c r="I21" s="406" t="s">
        <v>498</v>
      </c>
      <c r="J21" s="297">
        <v>0</v>
      </c>
      <c r="K21" s="298">
        <v>0</v>
      </c>
      <c r="L21" s="298">
        <v>1.3104314531671589E-2</v>
      </c>
      <c r="M21" s="298">
        <v>0.33677250633981393</v>
      </c>
      <c r="N21" s="298">
        <v>0.31431948142651356</v>
      </c>
      <c r="O21" s="298">
        <v>0.13800000000000001</v>
      </c>
      <c r="P21" s="298">
        <v>0.27200000000000002</v>
      </c>
      <c r="Q21" s="299">
        <v>0.64600000000000002</v>
      </c>
      <c r="R21" s="297">
        <v>1.009816</v>
      </c>
      <c r="S21" s="298">
        <v>0</v>
      </c>
      <c r="T21" s="298">
        <v>0</v>
      </c>
      <c r="U21" s="298">
        <v>0</v>
      </c>
      <c r="V21" s="299">
        <v>0.95858549999999998</v>
      </c>
      <c r="W21" s="401"/>
      <c r="X21" s="406" t="s">
        <v>2365</v>
      </c>
      <c r="Y21" s="407">
        <v>0</v>
      </c>
      <c r="Z21" s="408">
        <v>0</v>
      </c>
      <c r="AA21" s="408">
        <v>14</v>
      </c>
      <c r="AB21" s="408">
        <v>690</v>
      </c>
      <c r="AC21" s="408">
        <v>675.7</v>
      </c>
      <c r="AD21" s="408">
        <v>201.44</v>
      </c>
      <c r="AE21" s="408">
        <v>66</v>
      </c>
      <c r="AF21" s="409">
        <v>900</v>
      </c>
      <c r="AG21" s="407">
        <v>490</v>
      </c>
      <c r="AH21" s="408">
        <v>0</v>
      </c>
      <c r="AI21" s="408">
        <v>0</v>
      </c>
      <c r="AJ21" s="408">
        <v>0</v>
      </c>
      <c r="AK21" s="409">
        <v>896</v>
      </c>
      <c r="AL21" s="401"/>
      <c r="AM21" s="406" t="s">
        <v>1876</v>
      </c>
      <c r="AN21" s="407">
        <v>0</v>
      </c>
      <c r="AO21" s="408">
        <v>0</v>
      </c>
      <c r="AP21" s="408">
        <v>2</v>
      </c>
      <c r="AQ21" s="408">
        <v>3</v>
      </c>
      <c r="AR21" s="408">
        <v>2</v>
      </c>
      <c r="AS21" s="408">
        <v>3</v>
      </c>
      <c r="AT21" s="408">
        <v>2</v>
      </c>
      <c r="AU21" s="409">
        <v>2</v>
      </c>
      <c r="AV21" s="407">
        <v>1</v>
      </c>
      <c r="AW21" s="408">
        <v>0</v>
      </c>
      <c r="AX21" s="408">
        <v>0</v>
      </c>
      <c r="AY21" s="408">
        <v>0</v>
      </c>
      <c r="AZ21" s="409">
        <v>3</v>
      </c>
    </row>
    <row r="22" spans="2:52" s="371" customFormat="1" ht="15" customHeight="1">
      <c r="B22" s="397"/>
      <c r="C22" s="401"/>
      <c r="D22" s="1546" t="s">
        <v>2367</v>
      </c>
      <c r="E22" s="808"/>
      <c r="F22" s="808"/>
      <c r="G22" s="398"/>
      <c r="H22" s="399"/>
      <c r="I22" s="406" t="s">
        <v>498</v>
      </c>
      <c r="J22" s="297">
        <v>0</v>
      </c>
      <c r="K22" s="298">
        <v>0</v>
      </c>
      <c r="L22" s="298">
        <v>8.7362096877810595E-3</v>
      </c>
      <c r="M22" s="298">
        <v>4.8110358048544841E-2</v>
      </c>
      <c r="N22" s="298">
        <v>8.656667685189226E-2</v>
      </c>
      <c r="O22" s="298">
        <v>6.0999999999999999E-2</v>
      </c>
      <c r="P22" s="298">
        <v>0</v>
      </c>
      <c r="Q22" s="299">
        <v>0</v>
      </c>
      <c r="R22" s="297">
        <v>7.4999999999999997E-2</v>
      </c>
      <c r="S22" s="298">
        <v>0.185</v>
      </c>
      <c r="T22" s="298">
        <v>0.10249999999999999</v>
      </c>
      <c r="U22" s="298">
        <v>0.23144375</v>
      </c>
      <c r="V22" s="299">
        <v>0</v>
      </c>
      <c r="W22" s="401"/>
      <c r="X22" s="406" t="s">
        <v>2365</v>
      </c>
      <c r="Y22" s="407">
        <v>0</v>
      </c>
      <c r="Z22" s="408">
        <v>0</v>
      </c>
      <c r="AA22" s="408">
        <v>325</v>
      </c>
      <c r="AB22" s="408">
        <v>0</v>
      </c>
      <c r="AC22" s="408">
        <v>1810</v>
      </c>
      <c r="AD22" s="408">
        <v>0</v>
      </c>
      <c r="AE22" s="408">
        <v>0</v>
      </c>
      <c r="AF22" s="409">
        <v>0</v>
      </c>
      <c r="AG22" s="407">
        <v>1134</v>
      </c>
      <c r="AH22" s="408">
        <v>50</v>
      </c>
      <c r="AI22" s="408">
        <v>1134</v>
      </c>
      <c r="AJ22" s="408">
        <v>700</v>
      </c>
      <c r="AK22" s="409">
        <v>0</v>
      </c>
      <c r="AL22" s="401"/>
      <c r="AM22" s="406" t="s">
        <v>1876</v>
      </c>
      <c r="AN22" s="407">
        <v>0</v>
      </c>
      <c r="AO22" s="408">
        <v>0</v>
      </c>
      <c r="AP22" s="408">
        <v>1</v>
      </c>
      <c r="AQ22" s="408">
        <v>0</v>
      </c>
      <c r="AR22" s="408">
        <v>1</v>
      </c>
      <c r="AS22" s="408">
        <v>0</v>
      </c>
      <c r="AT22" s="408">
        <v>0</v>
      </c>
      <c r="AU22" s="409">
        <v>0</v>
      </c>
      <c r="AV22" s="407">
        <v>1</v>
      </c>
      <c r="AW22" s="408">
        <v>1</v>
      </c>
      <c r="AX22" s="408">
        <v>1</v>
      </c>
      <c r="AY22" s="408">
        <v>1</v>
      </c>
      <c r="AZ22" s="409">
        <v>0</v>
      </c>
    </row>
    <row r="23" spans="2:52" s="371" customFormat="1" ht="15" customHeight="1" thickBot="1">
      <c r="B23" s="1547" t="s">
        <v>1701</v>
      </c>
      <c r="C23" s="1548"/>
      <c r="D23" s="1549"/>
      <c r="E23" s="1549"/>
      <c r="F23" s="1549"/>
      <c r="G23" s="1550"/>
      <c r="H23" s="391"/>
      <c r="I23" s="410" t="s">
        <v>498</v>
      </c>
      <c r="J23" s="749">
        <f>SUM(J20:J22)</f>
        <v>0</v>
      </c>
      <c r="K23" s="750">
        <f t="shared" ref="K23:V23" si="3">SUM(K20:K22)</f>
        <v>0.60267338181818164</v>
      </c>
      <c r="L23" s="750">
        <f t="shared" si="3"/>
        <v>0.59297023255813952</v>
      </c>
      <c r="M23" s="750">
        <f t="shared" si="3"/>
        <v>1.0359763766453323</v>
      </c>
      <c r="N23" s="750">
        <f t="shared" si="3"/>
        <v>0.87906399231742971</v>
      </c>
      <c r="O23" s="750">
        <f t="shared" si="3"/>
        <v>0.68399999999999994</v>
      </c>
      <c r="P23" s="750">
        <f t="shared" si="3"/>
        <v>0.5</v>
      </c>
      <c r="Q23" s="751">
        <f t="shared" si="3"/>
        <v>0.8</v>
      </c>
      <c r="R23" s="749">
        <f t="shared" si="3"/>
        <v>1.405784949039375</v>
      </c>
      <c r="S23" s="750">
        <f t="shared" si="3"/>
        <v>0.31054923725575312</v>
      </c>
      <c r="T23" s="750">
        <f t="shared" si="3"/>
        <v>0.22516808555970447</v>
      </c>
      <c r="U23" s="750">
        <f>SUM(U20:U22)</f>
        <v>0.3598223435542941</v>
      </c>
      <c r="V23" s="751">
        <f t="shared" si="3"/>
        <v>1.0970694693286944</v>
      </c>
      <c r="W23" s="411"/>
      <c r="X23" s="412" t="s">
        <v>2365</v>
      </c>
      <c r="Y23" s="819">
        <f>SUM(Y20:Y22)</f>
        <v>0</v>
      </c>
      <c r="Z23" s="820">
        <f t="shared" ref="Z23:AK23" si="4">SUM(Z20:Z22)</f>
        <v>341490</v>
      </c>
      <c r="AA23" s="820">
        <f t="shared" si="4"/>
        <v>213374</v>
      </c>
      <c r="AB23" s="820">
        <f t="shared" si="4"/>
        <v>264570</v>
      </c>
      <c r="AC23" s="820">
        <f t="shared" si="4"/>
        <v>465336.7</v>
      </c>
      <c r="AD23" s="820">
        <f t="shared" si="4"/>
        <v>144378.44</v>
      </c>
      <c r="AE23" s="820">
        <f t="shared" si="4"/>
        <v>196726</v>
      </c>
      <c r="AF23" s="821">
        <f t="shared" si="4"/>
        <v>411761</v>
      </c>
      <c r="AG23" s="819">
        <f t="shared" si="4"/>
        <v>261221</v>
      </c>
      <c r="AH23" s="820">
        <f t="shared" si="4"/>
        <v>214820</v>
      </c>
      <c r="AI23" s="820">
        <f t="shared" si="4"/>
        <v>430335</v>
      </c>
      <c r="AJ23" s="820">
        <f t="shared" si="4"/>
        <v>238497</v>
      </c>
      <c r="AK23" s="821">
        <f t="shared" si="4"/>
        <v>215666</v>
      </c>
      <c r="AL23" s="411"/>
      <c r="AM23" s="412" t="s">
        <v>1876</v>
      </c>
      <c r="AN23" s="819">
        <f>SUM(AN20:AN22)</f>
        <v>0</v>
      </c>
      <c r="AO23" s="820">
        <f t="shared" ref="AO23" si="5">SUM(AO20:AO22)</f>
        <v>40</v>
      </c>
      <c r="AP23" s="820">
        <f t="shared" ref="AP23" si="6">SUM(AP20:AP22)</f>
        <v>57</v>
      </c>
      <c r="AQ23" s="820">
        <f t="shared" ref="AQ23" si="7">SUM(AQ20:AQ22)</f>
        <v>82</v>
      </c>
      <c r="AR23" s="820">
        <f t="shared" ref="AR23" si="8">SUM(AR20:AR22)</f>
        <v>49</v>
      </c>
      <c r="AS23" s="820">
        <f t="shared" ref="AS23" si="9">SUM(AS20:AS22)</f>
        <v>42</v>
      </c>
      <c r="AT23" s="820">
        <f t="shared" ref="AT23" si="10">SUM(AT20:AT22)</f>
        <v>74</v>
      </c>
      <c r="AU23" s="821">
        <f t="shared" ref="AU23" si="11">SUM(AU20:AU22)</f>
        <v>47</v>
      </c>
      <c r="AV23" s="819">
        <f t="shared" ref="AV23" si="12">SUM(AV20:AV22)</f>
        <v>58</v>
      </c>
      <c r="AW23" s="820">
        <f t="shared" ref="AW23" si="13">SUM(AW20:AW22)</f>
        <v>72</v>
      </c>
      <c r="AX23" s="820">
        <f t="shared" ref="AX23" si="14">SUM(AX20:AX22)</f>
        <v>46</v>
      </c>
      <c r="AY23" s="820">
        <f t="shared" ref="AY23" si="15">SUM(AY20:AY22)</f>
        <v>50</v>
      </c>
      <c r="AZ23" s="821">
        <f t="shared" ref="AZ23" si="16">SUM(AZ20:AZ22)</f>
        <v>74</v>
      </c>
    </row>
    <row r="24" spans="2:52" s="371" customFormat="1" ht="15" customHeight="1" thickBot="1">
      <c r="G24" s="372"/>
      <c r="H24" s="372"/>
      <c r="P24" s="2724"/>
      <c r="Q24" s="2724"/>
    </row>
    <row r="25" spans="2:52" s="371" customFormat="1" ht="30" customHeight="1" thickBot="1">
      <c r="B25" s="393" t="s">
        <v>2368</v>
      </c>
      <c r="C25" s="805"/>
      <c r="D25" s="805"/>
      <c r="E25" s="805"/>
      <c r="F25" s="805"/>
      <c r="G25" s="394"/>
      <c r="H25" s="395"/>
      <c r="I25" s="789" t="s">
        <v>1704</v>
      </c>
      <c r="J25" s="790"/>
      <c r="K25" s="790"/>
      <c r="L25" s="790"/>
      <c r="M25" s="790"/>
      <c r="N25" s="790"/>
      <c r="O25" s="790"/>
      <c r="P25" s="790"/>
      <c r="Q25" s="790"/>
      <c r="R25" s="790"/>
      <c r="S25" s="790"/>
      <c r="T25" s="790"/>
      <c r="U25" s="790"/>
      <c r="V25" s="791"/>
      <c r="W25" s="396"/>
      <c r="X25" s="789" t="s">
        <v>2231</v>
      </c>
      <c r="Y25" s="790"/>
      <c r="Z25" s="790"/>
      <c r="AA25" s="790"/>
      <c r="AB25" s="790"/>
      <c r="AC25" s="790"/>
      <c r="AD25" s="790"/>
      <c r="AE25" s="790"/>
      <c r="AF25" s="790"/>
      <c r="AG25" s="790"/>
      <c r="AH25" s="790"/>
      <c r="AI25" s="790"/>
      <c r="AJ25" s="790"/>
      <c r="AK25" s="791"/>
      <c r="AL25" s="396"/>
      <c r="AM25" s="789" t="s">
        <v>2362</v>
      </c>
      <c r="AN25" s="790"/>
      <c r="AO25" s="790"/>
      <c r="AP25" s="790"/>
      <c r="AQ25" s="790"/>
      <c r="AR25" s="790"/>
      <c r="AS25" s="790"/>
      <c r="AT25" s="790"/>
      <c r="AU25" s="790"/>
      <c r="AV25" s="790"/>
      <c r="AW25" s="790"/>
      <c r="AX25" s="790"/>
      <c r="AY25" s="790"/>
      <c r="AZ25" s="791"/>
    </row>
    <row r="26" spans="2:52" s="371" customFormat="1" ht="30" customHeight="1">
      <c r="B26" s="397"/>
      <c r="C26" s="398"/>
      <c r="D26" s="398"/>
      <c r="E26" s="398"/>
      <c r="F26" s="398"/>
      <c r="G26" s="398"/>
      <c r="H26" s="399"/>
      <c r="I26" s="400"/>
      <c r="J26" s="375" t="s">
        <v>1666</v>
      </c>
      <c r="K26" s="376"/>
      <c r="L26" s="376"/>
      <c r="M26" s="376"/>
      <c r="N26" s="376"/>
      <c r="O26" s="376"/>
      <c r="P26" s="376"/>
      <c r="Q26" s="377"/>
      <c r="R26" s="378" t="s">
        <v>2</v>
      </c>
      <c r="S26" s="379"/>
      <c r="T26" s="379"/>
      <c r="U26" s="379"/>
      <c r="V26" s="380"/>
      <c r="W26" s="401"/>
      <c r="X26" s="400"/>
      <c r="Y26" s="375" t="s">
        <v>1666</v>
      </c>
      <c r="Z26" s="376"/>
      <c r="AA26" s="376"/>
      <c r="AB26" s="376"/>
      <c r="AC26" s="376"/>
      <c r="AD26" s="376"/>
      <c r="AE26" s="376"/>
      <c r="AF26" s="377"/>
      <c r="AG26" s="378" t="s">
        <v>2</v>
      </c>
      <c r="AH26" s="379"/>
      <c r="AI26" s="379"/>
      <c r="AJ26" s="379"/>
      <c r="AK26" s="380"/>
      <c r="AL26" s="401"/>
      <c r="AM26" s="400"/>
      <c r="AN26" s="375" t="s">
        <v>1666</v>
      </c>
      <c r="AO26" s="376"/>
      <c r="AP26" s="376"/>
      <c r="AQ26" s="376"/>
      <c r="AR26" s="376"/>
      <c r="AS26" s="376"/>
      <c r="AT26" s="376"/>
      <c r="AU26" s="377"/>
      <c r="AV26" s="378" t="s">
        <v>2</v>
      </c>
      <c r="AW26" s="379"/>
      <c r="AX26" s="379"/>
      <c r="AY26" s="379"/>
      <c r="AZ26" s="380"/>
    </row>
    <row r="27" spans="2:52" s="371" customFormat="1" ht="15" customHeight="1">
      <c r="B27" s="402"/>
      <c r="C27" s="806"/>
      <c r="D27" s="806"/>
      <c r="E27" s="806"/>
      <c r="F27" s="806"/>
      <c r="G27" s="398"/>
      <c r="H27" s="399"/>
      <c r="I27" s="403" t="s">
        <v>1667</v>
      </c>
      <c r="J27" s="381" t="s">
        <v>453</v>
      </c>
      <c r="K27" s="382" t="s">
        <v>455</v>
      </c>
      <c r="L27" s="382" t="s">
        <v>457</v>
      </c>
      <c r="M27" s="382" t="s">
        <v>459</v>
      </c>
      <c r="N27" s="382" t="s">
        <v>461</v>
      </c>
      <c r="O27" s="382" t="s">
        <v>463</v>
      </c>
      <c r="P27" s="382" t="s">
        <v>465</v>
      </c>
      <c r="Q27" s="383" t="s">
        <v>467</v>
      </c>
      <c r="R27" s="381" t="s">
        <v>469</v>
      </c>
      <c r="S27" s="382" t="s">
        <v>471</v>
      </c>
      <c r="T27" s="382" t="s">
        <v>473</v>
      </c>
      <c r="U27" s="382" t="s">
        <v>475</v>
      </c>
      <c r="V27" s="383" t="s">
        <v>477</v>
      </c>
      <c r="W27" s="401"/>
      <c r="X27" s="403" t="s">
        <v>1667</v>
      </c>
      <c r="Y27" s="381" t="s">
        <v>453</v>
      </c>
      <c r="Z27" s="382" t="s">
        <v>455</v>
      </c>
      <c r="AA27" s="382" t="s">
        <v>457</v>
      </c>
      <c r="AB27" s="382" t="s">
        <v>459</v>
      </c>
      <c r="AC27" s="382" t="s">
        <v>461</v>
      </c>
      <c r="AD27" s="382" t="s">
        <v>463</v>
      </c>
      <c r="AE27" s="382" t="s">
        <v>465</v>
      </c>
      <c r="AF27" s="383" t="s">
        <v>467</v>
      </c>
      <c r="AG27" s="381" t="s">
        <v>469</v>
      </c>
      <c r="AH27" s="382" t="s">
        <v>471</v>
      </c>
      <c r="AI27" s="382" t="s">
        <v>473</v>
      </c>
      <c r="AJ27" s="382" t="s">
        <v>475</v>
      </c>
      <c r="AK27" s="383" t="s">
        <v>477</v>
      </c>
      <c r="AL27" s="401"/>
      <c r="AM27" s="403" t="s">
        <v>1667</v>
      </c>
      <c r="AN27" s="381" t="s">
        <v>453</v>
      </c>
      <c r="AO27" s="382" t="s">
        <v>455</v>
      </c>
      <c r="AP27" s="382" t="s">
        <v>457</v>
      </c>
      <c r="AQ27" s="382" t="s">
        <v>459</v>
      </c>
      <c r="AR27" s="382" t="s">
        <v>461</v>
      </c>
      <c r="AS27" s="382" t="s">
        <v>463</v>
      </c>
      <c r="AT27" s="382" t="s">
        <v>465</v>
      </c>
      <c r="AU27" s="383" t="s">
        <v>467</v>
      </c>
      <c r="AV27" s="381" t="s">
        <v>469</v>
      </c>
      <c r="AW27" s="382" t="s">
        <v>471</v>
      </c>
      <c r="AX27" s="382" t="s">
        <v>473</v>
      </c>
      <c r="AY27" s="382" t="s">
        <v>475</v>
      </c>
      <c r="AZ27" s="383" t="s">
        <v>477</v>
      </c>
    </row>
    <row r="28" spans="2:52" s="371" customFormat="1" ht="15" customHeight="1">
      <c r="B28" s="404"/>
      <c r="C28" s="841" t="s">
        <v>2369</v>
      </c>
      <c r="D28" s="807"/>
      <c r="E28" s="807"/>
      <c r="F28" s="807"/>
      <c r="G28" s="398"/>
      <c r="H28" s="399"/>
      <c r="I28" s="209"/>
      <c r="J28" s="405"/>
      <c r="K28" s="209"/>
      <c r="L28" s="209"/>
      <c r="M28" s="209"/>
      <c r="N28" s="209"/>
      <c r="O28" s="209"/>
      <c r="P28" s="209"/>
      <c r="Q28" s="210"/>
      <c r="R28" s="405"/>
      <c r="S28" s="209"/>
      <c r="T28" s="209"/>
      <c r="U28" s="209"/>
      <c r="V28" s="210"/>
      <c r="W28" s="401"/>
      <c r="X28" s="209"/>
      <c r="Y28" s="405"/>
      <c r="Z28" s="209"/>
      <c r="AA28" s="209"/>
      <c r="AB28" s="209"/>
      <c r="AC28" s="209"/>
      <c r="AD28" s="209"/>
      <c r="AE28" s="209"/>
      <c r="AF28" s="210"/>
      <c r="AG28" s="405"/>
      <c r="AH28" s="209"/>
      <c r="AI28" s="209"/>
      <c r="AJ28" s="209"/>
      <c r="AK28" s="210"/>
      <c r="AL28" s="401"/>
      <c r="AM28" s="209"/>
      <c r="AN28" s="405"/>
      <c r="AO28" s="209"/>
      <c r="AP28" s="209"/>
      <c r="AQ28" s="209"/>
      <c r="AR28" s="209"/>
      <c r="AS28" s="209"/>
      <c r="AT28" s="209"/>
      <c r="AU28" s="210"/>
      <c r="AV28" s="405"/>
      <c r="AW28" s="209"/>
      <c r="AX28" s="209"/>
      <c r="AY28" s="209"/>
      <c r="AZ28" s="210"/>
    </row>
    <row r="29" spans="2:52" s="371" customFormat="1" ht="15" customHeight="1">
      <c r="B29" s="404"/>
      <c r="C29" s="401"/>
      <c r="D29" s="1546" t="s">
        <v>2370</v>
      </c>
      <c r="E29" s="808"/>
      <c r="F29" s="808"/>
      <c r="G29" s="398"/>
      <c r="H29" s="399"/>
      <c r="I29" s="406" t="s">
        <v>498</v>
      </c>
      <c r="J29" s="297">
        <v>0</v>
      </c>
      <c r="K29" s="298">
        <v>0</v>
      </c>
      <c r="L29" s="298">
        <v>0</v>
      </c>
      <c r="M29" s="298">
        <v>0</v>
      </c>
      <c r="N29" s="298">
        <v>0</v>
      </c>
      <c r="O29" s="298">
        <v>0</v>
      </c>
      <c r="P29" s="298">
        <v>0</v>
      </c>
      <c r="Q29" s="299">
        <v>0</v>
      </c>
      <c r="R29" s="297">
        <v>0</v>
      </c>
      <c r="S29" s="298">
        <v>0</v>
      </c>
      <c r="T29" s="298">
        <v>0</v>
      </c>
      <c r="U29" s="298">
        <v>0</v>
      </c>
      <c r="V29" s="299">
        <v>0</v>
      </c>
      <c r="W29" s="401"/>
      <c r="X29" s="406" t="s">
        <v>2365</v>
      </c>
      <c r="Y29" s="407">
        <v>0</v>
      </c>
      <c r="Z29" s="408">
        <v>0</v>
      </c>
      <c r="AA29" s="408">
        <v>0</v>
      </c>
      <c r="AB29" s="408">
        <v>0</v>
      </c>
      <c r="AC29" s="408">
        <v>0</v>
      </c>
      <c r="AD29" s="408">
        <v>0</v>
      </c>
      <c r="AE29" s="408">
        <v>0</v>
      </c>
      <c r="AF29" s="409">
        <v>0</v>
      </c>
      <c r="AG29" s="407">
        <v>0</v>
      </c>
      <c r="AH29" s="408">
        <v>0</v>
      </c>
      <c r="AI29" s="408">
        <v>0</v>
      </c>
      <c r="AJ29" s="408">
        <v>0</v>
      </c>
      <c r="AK29" s="409">
        <v>0</v>
      </c>
      <c r="AL29" s="401"/>
      <c r="AM29" s="406" t="s">
        <v>1876</v>
      </c>
      <c r="AN29" s="407">
        <v>0</v>
      </c>
      <c r="AO29" s="408">
        <v>0</v>
      </c>
      <c r="AP29" s="408">
        <v>0</v>
      </c>
      <c r="AQ29" s="408">
        <v>0</v>
      </c>
      <c r="AR29" s="408">
        <v>0</v>
      </c>
      <c r="AS29" s="408">
        <v>0</v>
      </c>
      <c r="AT29" s="408">
        <v>0</v>
      </c>
      <c r="AU29" s="409">
        <v>0</v>
      </c>
      <c r="AV29" s="407">
        <v>0</v>
      </c>
      <c r="AW29" s="408">
        <v>0</v>
      </c>
      <c r="AX29" s="408">
        <v>0</v>
      </c>
      <c r="AY29" s="408">
        <v>0</v>
      </c>
      <c r="AZ29" s="409">
        <v>0</v>
      </c>
    </row>
    <row r="30" spans="2:52" s="371" customFormat="1" ht="15" customHeight="1">
      <c r="B30" s="404"/>
      <c r="C30" s="401"/>
      <c r="D30" s="1546" t="s">
        <v>2371</v>
      </c>
      <c r="E30" s="808"/>
      <c r="F30" s="808"/>
      <c r="G30" s="398"/>
      <c r="H30" s="399"/>
      <c r="I30" s="406" t="s">
        <v>498</v>
      </c>
      <c r="J30" s="297">
        <v>0</v>
      </c>
      <c r="K30" s="298">
        <v>0</v>
      </c>
      <c r="L30" s="298">
        <v>0</v>
      </c>
      <c r="M30" s="298">
        <v>0</v>
      </c>
      <c r="N30" s="298">
        <v>0</v>
      </c>
      <c r="O30" s="298">
        <v>0</v>
      </c>
      <c r="P30" s="298">
        <v>0</v>
      </c>
      <c r="Q30" s="299">
        <v>0</v>
      </c>
      <c r="R30" s="297">
        <v>0</v>
      </c>
      <c r="S30" s="298">
        <v>0</v>
      </c>
      <c r="T30" s="298">
        <v>0</v>
      </c>
      <c r="U30" s="298">
        <v>0</v>
      </c>
      <c r="V30" s="299">
        <v>0</v>
      </c>
      <c r="W30" s="401"/>
      <c r="X30" s="406" t="s">
        <v>2365</v>
      </c>
      <c r="Y30" s="407">
        <v>0</v>
      </c>
      <c r="Z30" s="408">
        <v>0</v>
      </c>
      <c r="AA30" s="408">
        <v>0</v>
      </c>
      <c r="AB30" s="408">
        <v>0</v>
      </c>
      <c r="AC30" s="408">
        <v>0</v>
      </c>
      <c r="AD30" s="408">
        <v>0</v>
      </c>
      <c r="AE30" s="408">
        <v>0</v>
      </c>
      <c r="AF30" s="409">
        <v>0</v>
      </c>
      <c r="AG30" s="407">
        <v>0</v>
      </c>
      <c r="AH30" s="408">
        <v>0</v>
      </c>
      <c r="AI30" s="408">
        <v>0</v>
      </c>
      <c r="AJ30" s="408">
        <v>0</v>
      </c>
      <c r="AK30" s="409">
        <v>0</v>
      </c>
      <c r="AL30" s="401"/>
      <c r="AM30" s="406" t="s">
        <v>1876</v>
      </c>
      <c r="AN30" s="407">
        <v>0</v>
      </c>
      <c r="AO30" s="408">
        <v>0</v>
      </c>
      <c r="AP30" s="408">
        <v>0</v>
      </c>
      <c r="AQ30" s="408">
        <v>0</v>
      </c>
      <c r="AR30" s="408">
        <v>0</v>
      </c>
      <c r="AS30" s="408">
        <v>0</v>
      </c>
      <c r="AT30" s="408">
        <v>0</v>
      </c>
      <c r="AU30" s="409">
        <v>0</v>
      </c>
      <c r="AV30" s="407">
        <v>0</v>
      </c>
      <c r="AW30" s="408">
        <v>0</v>
      </c>
      <c r="AX30" s="408">
        <v>0</v>
      </c>
      <c r="AY30" s="408">
        <v>0</v>
      </c>
      <c r="AZ30" s="409">
        <v>0</v>
      </c>
    </row>
    <row r="31" spans="2:52" s="371" customFormat="1" ht="15" customHeight="1" thickBot="1">
      <c r="B31" s="1547" t="s">
        <v>1701</v>
      </c>
      <c r="C31" s="1549"/>
      <c r="D31" s="1549"/>
      <c r="E31" s="1549"/>
      <c r="F31" s="1549"/>
      <c r="G31" s="1550"/>
      <c r="H31" s="391"/>
      <c r="I31" s="410" t="s">
        <v>498</v>
      </c>
      <c r="J31" s="749">
        <f>SUM(J29:J30)</f>
        <v>0</v>
      </c>
      <c r="K31" s="750">
        <f t="shared" ref="K31:V31" si="17">SUM(K29:K30)</f>
        <v>0</v>
      </c>
      <c r="L31" s="750">
        <f t="shared" si="17"/>
        <v>0</v>
      </c>
      <c r="M31" s="750">
        <f t="shared" si="17"/>
        <v>0</v>
      </c>
      <c r="N31" s="750">
        <f t="shared" si="17"/>
        <v>0</v>
      </c>
      <c r="O31" s="750">
        <f t="shared" si="17"/>
        <v>0</v>
      </c>
      <c r="P31" s="750">
        <f t="shared" si="17"/>
        <v>0</v>
      </c>
      <c r="Q31" s="751">
        <f t="shared" si="17"/>
        <v>0</v>
      </c>
      <c r="R31" s="749">
        <f t="shared" si="17"/>
        <v>0</v>
      </c>
      <c r="S31" s="750">
        <f t="shared" si="17"/>
        <v>0</v>
      </c>
      <c r="T31" s="750">
        <f t="shared" si="17"/>
        <v>0</v>
      </c>
      <c r="U31" s="750">
        <f t="shared" si="17"/>
        <v>0</v>
      </c>
      <c r="V31" s="751">
        <f t="shared" si="17"/>
        <v>0</v>
      </c>
      <c r="W31" s="411"/>
      <c r="X31" s="412" t="s">
        <v>2365</v>
      </c>
      <c r="Y31" s="749">
        <f>SUM(Y29:Y30)</f>
        <v>0</v>
      </c>
      <c r="Z31" s="750">
        <f t="shared" ref="Z31" si="18">SUM(Z29:Z30)</f>
        <v>0</v>
      </c>
      <c r="AA31" s="750">
        <f t="shared" ref="AA31" si="19">SUM(AA29:AA30)</f>
        <v>0</v>
      </c>
      <c r="AB31" s="750">
        <f t="shared" ref="AB31" si="20">SUM(AB29:AB30)</f>
        <v>0</v>
      </c>
      <c r="AC31" s="750">
        <f t="shared" ref="AC31" si="21">SUM(AC29:AC30)</f>
        <v>0</v>
      </c>
      <c r="AD31" s="750">
        <f t="shared" ref="AD31" si="22">SUM(AD29:AD30)</f>
        <v>0</v>
      </c>
      <c r="AE31" s="750">
        <f t="shared" ref="AE31" si="23">SUM(AE29:AE30)</f>
        <v>0</v>
      </c>
      <c r="AF31" s="751">
        <f t="shared" ref="AF31" si="24">SUM(AF29:AF30)</f>
        <v>0</v>
      </c>
      <c r="AG31" s="749">
        <f t="shared" ref="AG31" si="25">SUM(AG29:AG30)</f>
        <v>0</v>
      </c>
      <c r="AH31" s="750">
        <f t="shared" ref="AH31" si="26">SUM(AH29:AH30)</f>
        <v>0</v>
      </c>
      <c r="AI31" s="750">
        <f t="shared" ref="AI31" si="27">SUM(AI29:AI30)</f>
        <v>0</v>
      </c>
      <c r="AJ31" s="750">
        <f t="shared" ref="AJ31" si="28">SUM(AJ29:AJ30)</f>
        <v>0</v>
      </c>
      <c r="AK31" s="751">
        <f t="shared" ref="AK31" si="29">SUM(AK29:AK30)</f>
        <v>0</v>
      </c>
      <c r="AL31" s="411"/>
      <c r="AM31" s="412" t="s">
        <v>1876</v>
      </c>
      <c r="AN31" s="749">
        <f>SUM(AN29:AN30)</f>
        <v>0</v>
      </c>
      <c r="AO31" s="750">
        <f t="shared" ref="AO31" si="30">SUM(AO29:AO30)</f>
        <v>0</v>
      </c>
      <c r="AP31" s="750">
        <f t="shared" ref="AP31" si="31">SUM(AP29:AP30)</f>
        <v>0</v>
      </c>
      <c r="AQ31" s="750">
        <f t="shared" ref="AQ31" si="32">SUM(AQ29:AQ30)</f>
        <v>0</v>
      </c>
      <c r="AR31" s="750">
        <f t="shared" ref="AR31" si="33">SUM(AR29:AR30)</f>
        <v>0</v>
      </c>
      <c r="AS31" s="750">
        <f t="shared" ref="AS31" si="34">SUM(AS29:AS30)</f>
        <v>0</v>
      </c>
      <c r="AT31" s="750">
        <f t="shared" ref="AT31" si="35">SUM(AT29:AT30)</f>
        <v>0</v>
      </c>
      <c r="AU31" s="751">
        <f t="shared" ref="AU31" si="36">SUM(AU29:AU30)</f>
        <v>0</v>
      </c>
      <c r="AV31" s="749">
        <f t="shared" ref="AV31" si="37">SUM(AV29:AV30)</f>
        <v>0</v>
      </c>
      <c r="AW31" s="750">
        <f t="shared" ref="AW31" si="38">SUM(AW29:AW30)</f>
        <v>0</v>
      </c>
      <c r="AX31" s="750">
        <f t="shared" ref="AX31" si="39">SUM(AX29:AX30)</f>
        <v>0</v>
      </c>
      <c r="AY31" s="750">
        <f t="shared" ref="AY31" si="40">SUM(AY29:AY30)</f>
        <v>0</v>
      </c>
      <c r="AZ31" s="751">
        <f t="shared" ref="AZ31" si="41">SUM(AZ29:AZ30)</f>
        <v>0</v>
      </c>
    </row>
    <row r="32" spans="2:52" s="371" customFormat="1" ht="30" customHeight="1">
      <c r="B32" s="413"/>
      <c r="C32" s="413"/>
      <c r="D32" s="413"/>
      <c r="E32" s="413"/>
      <c r="F32" s="413"/>
      <c r="G32" s="413"/>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c r="AE32" s="413"/>
      <c r="AF32" s="413"/>
      <c r="AG32" s="413"/>
      <c r="AH32" s="413"/>
      <c r="AI32" s="413"/>
      <c r="AJ32" s="413"/>
      <c r="AK32" s="413"/>
    </row>
    <row r="33" spans="2:37" s="371" customFormat="1" ht="30" customHeight="1">
      <c r="B33" s="413"/>
      <c r="C33" s="413"/>
      <c r="D33" s="413"/>
      <c r="E33" s="413"/>
      <c r="F33" s="413"/>
      <c r="G33" s="413"/>
      <c r="H33" s="413"/>
      <c r="I33" s="413"/>
      <c r="J33" s="413"/>
      <c r="K33" s="413"/>
      <c r="L33" s="413"/>
      <c r="M33" s="413"/>
      <c r="N33" s="413"/>
      <c r="O33" s="413"/>
      <c r="P33" s="413"/>
      <c r="Q33" s="413"/>
      <c r="R33" s="413"/>
      <c r="S33" s="413"/>
      <c r="T33" s="413"/>
      <c r="U33" s="413"/>
      <c r="V33" s="413"/>
      <c r="W33" s="413"/>
      <c r="X33" s="413"/>
      <c r="Y33" s="413"/>
      <c r="Z33" s="413"/>
      <c r="AA33" s="413"/>
      <c r="AB33" s="413"/>
      <c r="AC33" s="413"/>
      <c r="AD33" s="413"/>
      <c r="AE33" s="413"/>
      <c r="AF33" s="413"/>
      <c r="AG33" s="413"/>
      <c r="AH33" s="413"/>
      <c r="AI33" s="413"/>
      <c r="AJ33" s="413"/>
      <c r="AK33" s="413"/>
    </row>
    <row r="34" spans="2:37" s="371" customFormat="1" ht="15" customHeight="1">
      <c r="B34" s="413"/>
      <c r="C34" s="413"/>
      <c r="D34" s="413"/>
      <c r="E34" s="413"/>
      <c r="F34" s="413"/>
      <c r="G34" s="413"/>
      <c r="H34" s="413"/>
      <c r="I34" s="413"/>
      <c r="J34" s="413"/>
      <c r="K34" s="413"/>
      <c r="L34" s="413"/>
      <c r="M34" s="413"/>
      <c r="N34" s="413"/>
      <c r="O34" s="413"/>
      <c r="P34" s="413"/>
      <c r="Q34" s="413"/>
      <c r="R34" s="413"/>
      <c r="S34" s="413"/>
      <c r="T34" s="413"/>
      <c r="U34" s="413"/>
      <c r="V34" s="413"/>
      <c r="W34" s="413"/>
      <c r="X34" s="413"/>
      <c r="Y34" s="413"/>
      <c r="Z34" s="413"/>
      <c r="AA34" s="413"/>
      <c r="AB34" s="413"/>
      <c r="AC34" s="413"/>
      <c r="AD34" s="413"/>
      <c r="AE34" s="413"/>
      <c r="AF34" s="413"/>
      <c r="AG34" s="413"/>
      <c r="AH34" s="413"/>
      <c r="AI34" s="413"/>
      <c r="AJ34" s="413"/>
      <c r="AK34" s="413"/>
    </row>
    <row r="35" spans="2:37" s="371" customFormat="1" ht="15" customHeight="1">
      <c r="B35" s="413"/>
      <c r="C35" s="413"/>
      <c r="D35" s="413"/>
      <c r="E35" s="413"/>
      <c r="F35" s="413"/>
      <c r="G35" s="413"/>
      <c r="H35" s="413"/>
      <c r="I35" s="413"/>
      <c r="J35" s="413"/>
      <c r="K35" s="413"/>
      <c r="L35" s="413"/>
      <c r="M35" s="413"/>
      <c r="N35" s="413"/>
      <c r="O35" s="413"/>
      <c r="P35" s="413"/>
      <c r="Q35" s="413"/>
      <c r="R35" s="413"/>
      <c r="S35" s="413"/>
      <c r="T35" s="413"/>
      <c r="U35" s="413"/>
      <c r="V35" s="413"/>
      <c r="W35" s="413"/>
      <c r="X35" s="413"/>
      <c r="Y35" s="413"/>
      <c r="Z35" s="413"/>
      <c r="AA35" s="413"/>
      <c r="AB35" s="413"/>
      <c r="AC35" s="413"/>
      <c r="AD35" s="413"/>
      <c r="AE35" s="413"/>
      <c r="AF35" s="413"/>
      <c r="AG35" s="413"/>
      <c r="AH35" s="413"/>
      <c r="AI35" s="413"/>
      <c r="AJ35" s="413"/>
      <c r="AK35" s="413"/>
    </row>
    <row r="36" spans="2:37" s="371" customFormat="1" ht="15" customHeight="1">
      <c r="B36" s="413"/>
      <c r="C36" s="413"/>
      <c r="D36" s="413"/>
      <c r="E36" s="413"/>
      <c r="F36" s="413"/>
      <c r="G36" s="413"/>
      <c r="H36" s="413"/>
      <c r="I36" s="413"/>
      <c r="J36" s="413"/>
      <c r="K36" s="413"/>
      <c r="L36" s="413"/>
      <c r="M36" s="413"/>
      <c r="N36" s="413"/>
      <c r="O36" s="413"/>
      <c r="P36" s="413"/>
      <c r="Q36" s="413"/>
      <c r="R36" s="413"/>
      <c r="S36" s="413"/>
      <c r="T36" s="413"/>
      <c r="U36" s="413"/>
      <c r="V36" s="413"/>
      <c r="W36" s="413"/>
      <c r="X36" s="413"/>
      <c r="Y36" s="413"/>
      <c r="Z36" s="413"/>
      <c r="AA36" s="413"/>
      <c r="AB36" s="413"/>
      <c r="AC36" s="413"/>
      <c r="AD36" s="413"/>
      <c r="AE36" s="413"/>
      <c r="AF36" s="413"/>
      <c r="AG36" s="413"/>
      <c r="AH36" s="413"/>
      <c r="AI36" s="413"/>
      <c r="AJ36" s="413"/>
      <c r="AK36" s="413"/>
    </row>
    <row r="37" spans="2:37" s="371" customFormat="1" ht="15" customHeight="1">
      <c r="B37" s="413"/>
      <c r="C37" s="413"/>
      <c r="D37" s="413"/>
      <c r="E37" s="413"/>
      <c r="F37" s="413"/>
      <c r="G37" s="413"/>
      <c r="H37" s="413"/>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3"/>
      <c r="AI37" s="413"/>
      <c r="AJ37" s="413"/>
      <c r="AK37" s="413"/>
    </row>
    <row r="38" spans="2:37" s="371" customFormat="1" ht="15" customHeight="1">
      <c r="B38" s="413"/>
      <c r="C38" s="413"/>
      <c r="D38" s="413"/>
      <c r="E38" s="413"/>
      <c r="F38" s="413"/>
      <c r="G38" s="413"/>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3"/>
      <c r="AI38" s="413"/>
      <c r="AJ38" s="413"/>
      <c r="AK38" s="413"/>
    </row>
    <row r="39" spans="2:37" s="371" customFormat="1" ht="15" customHeight="1">
      <c r="B39" s="413"/>
      <c r="C39" s="413"/>
      <c r="D39" s="413"/>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3"/>
    </row>
    <row r="40" spans="2:37">
      <c r="I40" s="413"/>
    </row>
    <row r="41" spans="2:37">
      <c r="I41" s="413"/>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00B050"/>
  </sheetPr>
  <dimension ref="A1:BA166"/>
  <sheetViews>
    <sheetView showGridLines="0" zoomScale="80" zoomScaleNormal="80" workbookViewId="0">
      <pane xSplit="7" topLeftCell="H1" activePane="topRight" state="frozen"/>
      <selection activeCell="G14" sqref="G14"/>
      <selection pane="topRight" activeCell="G14" sqref="G14"/>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3" customWidth="1"/>
    <col min="25" max="25" width="15.625" style="175" customWidth="1"/>
    <col min="26" max="37" width="15.625" style="173" customWidth="1"/>
    <col min="38" max="16384" width="11.875" style="173"/>
  </cols>
  <sheetData>
    <row r="1" spans="1:37" s="2" customFormat="1" ht="25.15" customHeight="1">
      <c r="A1" s="1" t="s">
        <v>0</v>
      </c>
      <c r="E1" s="3"/>
      <c r="H1" s="4" t="s">
        <v>1</v>
      </c>
      <c r="J1" s="3"/>
    </row>
    <row r="2" spans="1:37" s="2" customFormat="1" ht="25.15" customHeight="1">
      <c r="A2" s="5" t="str">
        <f>Fixed_Data!I12</f>
        <v>MASTER</v>
      </c>
      <c r="B2" s="6"/>
      <c r="D2" s="7"/>
      <c r="E2" s="3"/>
    </row>
    <row r="3" spans="1:37" s="9" customFormat="1" ht="25.15" customHeight="1" thickBot="1">
      <c r="A3" s="8" t="str">
        <f>Fixed_Data!A3</f>
        <v>RIIO-GD2</v>
      </c>
      <c r="D3" s="10"/>
      <c r="E3" s="11"/>
    </row>
    <row r="4" spans="1:37" s="89" customFormat="1" ht="25.15" customHeight="1">
      <c r="B4" s="90" t="s">
        <v>2372</v>
      </c>
      <c r="C4" s="90"/>
      <c r="D4" s="90"/>
      <c r="E4" s="90"/>
      <c r="F4" s="90"/>
      <c r="G4" s="91"/>
      <c r="H4" s="92"/>
      <c r="I4" s="93"/>
      <c r="J4" s="94"/>
      <c r="K4" s="94"/>
      <c r="L4" s="94"/>
      <c r="M4" s="94"/>
      <c r="N4" s="94"/>
      <c r="O4" s="94"/>
      <c r="P4" s="94"/>
      <c r="Q4" s="94"/>
      <c r="R4" s="92"/>
      <c r="S4" s="92"/>
      <c r="T4" s="92"/>
      <c r="U4" s="92"/>
      <c r="V4" s="92"/>
      <c r="W4" s="92"/>
      <c r="X4" s="92"/>
      <c r="Y4" s="92"/>
      <c r="Z4" s="92"/>
      <c r="AA4" s="92"/>
      <c r="AB4" s="94"/>
      <c r="AC4" s="92"/>
      <c r="AD4" s="92"/>
      <c r="AE4" s="92"/>
      <c r="AF4" s="92"/>
      <c r="AG4" s="92"/>
      <c r="AH4" s="92"/>
    </row>
    <row r="5" spans="1:37"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4"/>
      <c r="AC5" s="92"/>
      <c r="AD5" s="92"/>
      <c r="AE5" s="92"/>
      <c r="AF5" s="92"/>
      <c r="AG5" s="92"/>
      <c r="AH5" s="92"/>
    </row>
    <row r="6" spans="1:37"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4"/>
      <c r="AC6" s="92"/>
      <c r="AD6" s="92"/>
      <c r="AE6" s="92"/>
      <c r="AF6" s="92"/>
      <c r="AG6" s="92"/>
      <c r="AH6" s="92"/>
    </row>
    <row r="7" spans="1:37" s="89" customFormat="1" ht="15" customHeight="1" thickBot="1">
      <c r="B7" s="95"/>
      <c r="C7" s="95"/>
      <c r="D7" s="95"/>
      <c r="E7" s="95"/>
      <c r="F7" s="95"/>
      <c r="G7" s="95"/>
      <c r="H7" s="95"/>
      <c r="I7" s="93"/>
      <c r="J7" s="94"/>
      <c r="K7" s="94"/>
      <c r="L7" s="94"/>
      <c r="M7" s="94"/>
      <c r="N7" s="94"/>
      <c r="O7" s="94"/>
      <c r="P7" s="94"/>
      <c r="Q7" s="94"/>
      <c r="R7" s="92"/>
      <c r="S7" s="92"/>
      <c r="T7" s="92"/>
      <c r="U7" s="92"/>
      <c r="V7" s="92"/>
      <c r="W7" s="92"/>
      <c r="X7" s="92"/>
      <c r="Y7" s="92"/>
      <c r="Z7" s="92"/>
      <c r="AA7" s="92"/>
      <c r="AB7" s="94"/>
      <c r="AC7" s="92"/>
      <c r="AD7" s="92"/>
      <c r="AE7" s="92"/>
      <c r="AF7" s="92"/>
      <c r="AG7" s="92"/>
      <c r="AH7" s="92"/>
    </row>
    <row r="8" spans="1:37" s="100" customFormat="1" ht="30" customHeight="1" thickBot="1">
      <c r="B8" s="621" t="s">
        <v>2152</v>
      </c>
      <c r="C8" s="102"/>
      <c r="D8" s="102"/>
      <c r="E8" s="102"/>
      <c r="F8" s="102"/>
      <c r="G8" s="103"/>
      <c r="H8" s="104"/>
      <c r="I8" s="105" t="s">
        <v>1864</v>
      </c>
      <c r="J8" s="106"/>
      <c r="K8" s="106"/>
      <c r="L8" s="106"/>
      <c r="M8" s="106"/>
      <c r="N8" s="106"/>
      <c r="O8" s="106"/>
      <c r="P8" s="106"/>
      <c r="Q8" s="106"/>
      <c r="R8" s="106"/>
      <c r="S8" s="106"/>
      <c r="T8" s="106"/>
      <c r="U8" s="106"/>
      <c r="V8" s="107"/>
      <c r="W8" s="773"/>
      <c r="X8" s="773"/>
      <c r="Y8" s="108"/>
      <c r="Z8" s="108"/>
      <c r="AA8" s="108"/>
    </row>
    <row r="9" spans="1:37" s="113" customFormat="1" ht="30" customHeight="1">
      <c r="A9" s="89"/>
      <c r="B9" s="109"/>
      <c r="C9" s="110"/>
      <c r="D9" s="110"/>
      <c r="E9" s="110"/>
      <c r="F9" s="110"/>
      <c r="G9" s="111"/>
      <c r="H9" s="112"/>
      <c r="I9" s="112"/>
      <c r="J9" s="869" t="s">
        <v>1666</v>
      </c>
      <c r="K9" s="609"/>
      <c r="L9" s="609"/>
      <c r="M9" s="609"/>
      <c r="N9" s="609"/>
      <c r="O9" s="609"/>
      <c r="P9" s="609"/>
      <c r="Q9" s="610"/>
      <c r="R9" s="870" t="s">
        <v>2</v>
      </c>
      <c r="S9" s="135"/>
      <c r="T9" s="135"/>
      <c r="U9" s="135"/>
      <c r="V9" s="136"/>
      <c r="W9" s="774"/>
      <c r="X9" s="774"/>
      <c r="Y9" s="114"/>
      <c r="Z9" s="114"/>
      <c r="AA9" s="114"/>
    </row>
    <row r="10" spans="1:37" s="89" customFormat="1" ht="15" customHeight="1">
      <c r="B10" s="115"/>
      <c r="C10" s="116"/>
      <c r="D10" s="116"/>
      <c r="E10" s="116"/>
      <c r="F10" s="116"/>
      <c r="G10" s="117"/>
      <c r="H10" s="118"/>
      <c r="I10" s="119" t="s">
        <v>1667</v>
      </c>
      <c r="J10" s="158" t="s">
        <v>453</v>
      </c>
      <c r="K10" s="137" t="s">
        <v>455</v>
      </c>
      <c r="L10" s="137" t="s">
        <v>457</v>
      </c>
      <c r="M10" s="137" t="s">
        <v>459</v>
      </c>
      <c r="N10" s="137" t="s">
        <v>461</v>
      </c>
      <c r="O10" s="137" t="s">
        <v>463</v>
      </c>
      <c r="P10" s="137" t="s">
        <v>465</v>
      </c>
      <c r="Q10" s="138" t="s">
        <v>467</v>
      </c>
      <c r="R10" s="158" t="s">
        <v>469</v>
      </c>
      <c r="S10" s="137" t="s">
        <v>471</v>
      </c>
      <c r="T10" s="137" t="s">
        <v>473</v>
      </c>
      <c r="U10" s="137" t="s">
        <v>475</v>
      </c>
      <c r="V10" s="138" t="s">
        <v>477</v>
      </c>
      <c r="W10" s="92"/>
      <c r="X10" s="92"/>
      <c r="Y10" s="92"/>
      <c r="Z10" s="92"/>
      <c r="AA10" s="92"/>
    </row>
    <row r="11" spans="1:37" s="89" customFormat="1" ht="15" customHeight="1">
      <c r="B11" s="123"/>
      <c r="C11" s="116" t="s">
        <v>1806</v>
      </c>
      <c r="D11" s="116"/>
      <c r="E11" s="116"/>
      <c r="F11" s="116"/>
      <c r="G11" s="117"/>
      <c r="H11" s="118"/>
      <c r="I11" s="164" t="s">
        <v>498</v>
      </c>
      <c r="J11" s="710">
        <f>SUM(J12:J14)</f>
        <v>0</v>
      </c>
      <c r="K11" s="711">
        <f t="shared" ref="K11:V11" si="0">SUM(K12:K14)</f>
        <v>0</v>
      </c>
      <c r="L11" s="711">
        <f t="shared" si="0"/>
        <v>0</v>
      </c>
      <c r="M11" s="711">
        <f t="shared" si="0"/>
        <v>0</v>
      </c>
      <c r="N11" s="711">
        <f t="shared" si="0"/>
        <v>0</v>
      </c>
      <c r="O11" s="711">
        <f t="shared" si="0"/>
        <v>0</v>
      </c>
      <c r="P11" s="711">
        <f t="shared" si="0"/>
        <v>0</v>
      </c>
      <c r="Q11" s="712">
        <f t="shared" si="0"/>
        <v>0</v>
      </c>
      <c r="R11" s="710">
        <f t="shared" si="0"/>
        <v>0</v>
      </c>
      <c r="S11" s="711">
        <f t="shared" si="0"/>
        <v>0</v>
      </c>
      <c r="T11" s="711">
        <f t="shared" si="0"/>
        <v>0</v>
      </c>
      <c r="U11" s="711">
        <f t="shared" si="0"/>
        <v>0</v>
      </c>
      <c r="V11" s="712">
        <f t="shared" si="0"/>
        <v>0</v>
      </c>
      <c r="W11" s="92"/>
      <c r="X11" s="92"/>
      <c r="Y11" s="92"/>
      <c r="Z11" s="92"/>
      <c r="AA11" s="92"/>
    </row>
    <row r="12" spans="1:37" s="89" customFormat="1" ht="15" customHeight="1">
      <c r="B12" s="123"/>
      <c r="C12" s="127"/>
      <c r="D12" s="127" t="s">
        <v>2373</v>
      </c>
      <c r="E12" s="127"/>
      <c r="F12" s="127"/>
      <c r="G12" s="117"/>
      <c r="H12" s="118"/>
      <c r="I12" s="164" t="s">
        <v>498</v>
      </c>
      <c r="J12" s="128">
        <f>J68</f>
        <v>0</v>
      </c>
      <c r="K12" s="129">
        <f t="shared" ref="K12:V12" si="1">K68</f>
        <v>0</v>
      </c>
      <c r="L12" s="129">
        <f t="shared" si="1"/>
        <v>0</v>
      </c>
      <c r="M12" s="129">
        <f t="shared" si="1"/>
        <v>0</v>
      </c>
      <c r="N12" s="129">
        <f t="shared" si="1"/>
        <v>0</v>
      </c>
      <c r="O12" s="129">
        <f t="shared" si="1"/>
        <v>0</v>
      </c>
      <c r="P12" s="129">
        <f t="shared" si="1"/>
        <v>0</v>
      </c>
      <c r="Q12" s="130">
        <f t="shared" si="1"/>
        <v>0</v>
      </c>
      <c r="R12" s="128">
        <f t="shared" si="1"/>
        <v>0</v>
      </c>
      <c r="S12" s="129">
        <f t="shared" si="1"/>
        <v>0</v>
      </c>
      <c r="T12" s="129">
        <f t="shared" si="1"/>
        <v>0</v>
      </c>
      <c r="U12" s="129">
        <f t="shared" si="1"/>
        <v>0</v>
      </c>
      <c r="V12" s="130">
        <f t="shared" si="1"/>
        <v>0</v>
      </c>
      <c r="W12" s="92"/>
      <c r="X12" s="92"/>
      <c r="Y12" s="92"/>
      <c r="Z12" s="92"/>
      <c r="AA12" s="92"/>
    </row>
    <row r="13" spans="1:37" s="89" customFormat="1" ht="15" customHeight="1">
      <c r="B13" s="123"/>
      <c r="C13" s="127"/>
      <c r="D13" s="127" t="s">
        <v>2374</v>
      </c>
      <c r="E13" s="127"/>
      <c r="F13" s="127"/>
      <c r="G13" s="117"/>
      <c r="H13" s="118"/>
      <c r="I13" s="164" t="s">
        <v>498</v>
      </c>
      <c r="J13" s="128">
        <f>J102</f>
        <v>0</v>
      </c>
      <c r="K13" s="129">
        <f t="shared" ref="K13:V13" si="2">K102</f>
        <v>0</v>
      </c>
      <c r="L13" s="129">
        <f t="shared" si="2"/>
        <v>0</v>
      </c>
      <c r="M13" s="129">
        <f t="shared" si="2"/>
        <v>0</v>
      </c>
      <c r="N13" s="129">
        <f t="shared" si="2"/>
        <v>0</v>
      </c>
      <c r="O13" s="129">
        <f t="shared" si="2"/>
        <v>0</v>
      </c>
      <c r="P13" s="129">
        <f t="shared" si="2"/>
        <v>0</v>
      </c>
      <c r="Q13" s="130">
        <f t="shared" si="2"/>
        <v>0</v>
      </c>
      <c r="R13" s="128">
        <f t="shared" si="2"/>
        <v>0</v>
      </c>
      <c r="S13" s="129">
        <f t="shared" si="2"/>
        <v>0</v>
      </c>
      <c r="T13" s="129">
        <f t="shared" si="2"/>
        <v>0</v>
      </c>
      <c r="U13" s="129">
        <f t="shared" si="2"/>
        <v>0</v>
      </c>
      <c r="V13" s="130">
        <f t="shared" si="2"/>
        <v>0</v>
      </c>
      <c r="W13" s="92"/>
      <c r="X13" s="92"/>
      <c r="Y13" s="92"/>
      <c r="Z13" s="92"/>
      <c r="AA13" s="92"/>
    </row>
    <row r="14" spans="1:37" s="89" customFormat="1" ht="15" customHeight="1" thickBot="1">
      <c r="B14" s="176"/>
      <c r="C14" s="132"/>
      <c r="D14" s="132" t="s">
        <v>2375</v>
      </c>
      <c r="E14" s="132"/>
      <c r="F14" s="132"/>
      <c r="G14" s="145"/>
      <c r="H14" s="133"/>
      <c r="I14" s="195" t="s">
        <v>498</v>
      </c>
      <c r="J14" s="177">
        <f>J118</f>
        <v>0</v>
      </c>
      <c r="K14" s="178">
        <f t="shared" ref="K14:V14" si="3">K118</f>
        <v>0</v>
      </c>
      <c r="L14" s="178">
        <f t="shared" si="3"/>
        <v>0</v>
      </c>
      <c r="M14" s="178">
        <f t="shared" si="3"/>
        <v>0</v>
      </c>
      <c r="N14" s="178">
        <f t="shared" si="3"/>
        <v>0</v>
      </c>
      <c r="O14" s="178">
        <f t="shared" si="3"/>
        <v>0</v>
      </c>
      <c r="P14" s="178">
        <f t="shared" si="3"/>
        <v>0</v>
      </c>
      <c r="Q14" s="179">
        <f t="shared" si="3"/>
        <v>0</v>
      </c>
      <c r="R14" s="177">
        <f t="shared" si="3"/>
        <v>0</v>
      </c>
      <c r="S14" s="178">
        <f t="shared" si="3"/>
        <v>0</v>
      </c>
      <c r="T14" s="178">
        <f t="shared" si="3"/>
        <v>0</v>
      </c>
      <c r="U14" s="178">
        <f t="shared" si="3"/>
        <v>0</v>
      </c>
      <c r="V14" s="179">
        <f t="shared" si="3"/>
        <v>0</v>
      </c>
      <c r="W14" s="92"/>
      <c r="X14" s="92"/>
      <c r="Y14" s="92"/>
      <c r="Z14" s="92"/>
      <c r="AA14" s="92"/>
    </row>
    <row r="15" spans="1:37" s="99" customFormat="1" ht="15" customHeight="1" thickBot="1">
      <c r="A15" s="89"/>
      <c r="B15" s="95"/>
      <c r="C15" s="95"/>
      <c r="D15" s="95"/>
      <c r="E15" s="95"/>
      <c r="F15" s="95"/>
      <c r="G15" s="95"/>
      <c r="H15" s="95"/>
      <c r="I15" s="96"/>
      <c r="J15" s="97"/>
      <c r="K15" s="97"/>
      <c r="L15" s="97"/>
      <c r="M15" s="97"/>
      <c r="N15" s="97"/>
      <c r="O15" s="97"/>
      <c r="P15" s="97"/>
      <c r="Q15" s="97"/>
      <c r="R15" s="97"/>
      <c r="S15" s="97"/>
      <c r="T15" s="97"/>
      <c r="U15" s="97"/>
      <c r="V15" s="97"/>
      <c r="W15" s="97"/>
      <c r="X15" s="97"/>
      <c r="Y15" s="96"/>
      <c r="Z15" s="98"/>
      <c r="AA15" s="98"/>
      <c r="AB15" s="98"/>
      <c r="AC15" s="98"/>
      <c r="AD15" s="98"/>
      <c r="AE15" s="98"/>
      <c r="AF15" s="98"/>
      <c r="AG15" s="98"/>
      <c r="AH15" s="98"/>
    </row>
    <row r="16" spans="1:37" s="100" customFormat="1" ht="30" customHeight="1" thickBot="1">
      <c r="A16" s="89"/>
      <c r="B16" s="621" t="s">
        <v>2373</v>
      </c>
      <c r="C16" s="102"/>
      <c r="D16" s="102"/>
      <c r="E16" s="102"/>
      <c r="F16" s="102"/>
      <c r="G16" s="103"/>
      <c r="H16" s="103"/>
      <c r="I16" s="105" t="s">
        <v>1864</v>
      </c>
      <c r="J16" s="106"/>
      <c r="K16" s="106"/>
      <c r="L16" s="106"/>
      <c r="M16" s="106"/>
      <c r="N16" s="106"/>
      <c r="O16" s="106"/>
      <c r="P16" s="106"/>
      <c r="Q16" s="106"/>
      <c r="R16" s="105"/>
      <c r="S16" s="105"/>
      <c r="T16" s="105"/>
      <c r="U16" s="105"/>
      <c r="V16" s="187"/>
      <c r="W16" s="103"/>
      <c r="X16" s="105" t="s">
        <v>2376</v>
      </c>
      <c r="Y16" s="106"/>
      <c r="Z16" s="106"/>
      <c r="AA16" s="106"/>
      <c r="AB16" s="106"/>
      <c r="AC16" s="106"/>
      <c r="AD16" s="106"/>
      <c r="AE16" s="106"/>
      <c r="AF16" s="106"/>
      <c r="AG16" s="105"/>
      <c r="AH16" s="105"/>
      <c r="AI16" s="105"/>
      <c r="AJ16" s="105"/>
      <c r="AK16" s="187"/>
    </row>
    <row r="17" spans="1:37" s="157" customFormat="1" ht="30" customHeight="1">
      <c r="A17" s="99"/>
      <c r="B17" s="109"/>
      <c r="C17" s="110"/>
      <c r="D17" s="110"/>
      <c r="E17" s="110"/>
      <c r="F17" s="110"/>
      <c r="G17" s="111"/>
      <c r="H17" s="111"/>
      <c r="I17" s="117"/>
      <c r="J17" s="695" t="s">
        <v>1666</v>
      </c>
      <c r="K17" s="152"/>
      <c r="L17" s="152"/>
      <c r="M17" s="152"/>
      <c r="N17" s="152"/>
      <c r="O17" s="152"/>
      <c r="P17" s="152"/>
      <c r="Q17" s="153"/>
      <c r="R17" s="696" t="s">
        <v>2</v>
      </c>
      <c r="S17" s="155"/>
      <c r="T17" s="155"/>
      <c r="U17" s="155"/>
      <c r="V17" s="156"/>
      <c r="W17" s="222"/>
      <c r="X17" s="117"/>
      <c r="Y17" s="695" t="s">
        <v>1666</v>
      </c>
      <c r="Z17" s="152"/>
      <c r="AA17" s="152"/>
      <c r="AB17" s="152"/>
      <c r="AC17" s="152"/>
      <c r="AD17" s="152"/>
      <c r="AE17" s="152"/>
      <c r="AF17" s="153"/>
      <c r="AG17" s="696" t="s">
        <v>2</v>
      </c>
      <c r="AH17" s="155"/>
      <c r="AI17" s="155"/>
      <c r="AJ17" s="155"/>
      <c r="AK17" s="156"/>
    </row>
    <row r="18" spans="1:37" s="98" customFormat="1" ht="15" customHeight="1">
      <c r="A18" s="99"/>
      <c r="B18" s="900"/>
      <c r="C18" s="116"/>
      <c r="D18" s="116"/>
      <c r="E18" s="116"/>
      <c r="F18" s="116"/>
      <c r="G18" s="117"/>
      <c r="H18" s="117"/>
      <c r="I18" s="119" t="s">
        <v>1667</v>
      </c>
      <c r="J18" s="158" t="s">
        <v>453</v>
      </c>
      <c r="K18" s="137" t="s">
        <v>455</v>
      </c>
      <c r="L18" s="137" t="s">
        <v>457</v>
      </c>
      <c r="M18" s="137" t="s">
        <v>459</v>
      </c>
      <c r="N18" s="137" t="s">
        <v>461</v>
      </c>
      <c r="O18" s="137" t="s">
        <v>463</v>
      </c>
      <c r="P18" s="137" t="s">
        <v>465</v>
      </c>
      <c r="Q18" s="138" t="s">
        <v>467</v>
      </c>
      <c r="R18" s="120" t="s">
        <v>469</v>
      </c>
      <c r="S18" s="121" t="s">
        <v>471</v>
      </c>
      <c r="T18" s="121" t="s">
        <v>473</v>
      </c>
      <c r="U18" s="121" t="s">
        <v>475</v>
      </c>
      <c r="V18" s="122" t="s">
        <v>477</v>
      </c>
      <c r="W18" s="185"/>
      <c r="X18" s="119" t="s">
        <v>1667</v>
      </c>
      <c r="Y18" s="158" t="s">
        <v>453</v>
      </c>
      <c r="Z18" s="137" t="s">
        <v>455</v>
      </c>
      <c r="AA18" s="137" t="s">
        <v>457</v>
      </c>
      <c r="AB18" s="137" t="s">
        <v>459</v>
      </c>
      <c r="AC18" s="137" t="s">
        <v>461</v>
      </c>
      <c r="AD18" s="137" t="s">
        <v>463</v>
      </c>
      <c r="AE18" s="137" t="s">
        <v>465</v>
      </c>
      <c r="AF18" s="138" t="s">
        <v>467</v>
      </c>
      <c r="AG18" s="120" t="s">
        <v>469</v>
      </c>
      <c r="AH18" s="121" t="s">
        <v>471</v>
      </c>
      <c r="AI18" s="121" t="s">
        <v>473</v>
      </c>
      <c r="AJ18" s="121" t="s">
        <v>475</v>
      </c>
      <c r="AK18" s="122" t="s">
        <v>477</v>
      </c>
    </row>
    <row r="19" spans="1:37" s="98" customFormat="1" ht="15" customHeight="1">
      <c r="B19" s="901"/>
      <c r="C19" s="180" t="s">
        <v>2377</v>
      </c>
      <c r="D19" s="180"/>
      <c r="E19" s="162"/>
      <c r="F19" s="162"/>
      <c r="G19" s="163"/>
      <c r="H19" s="163"/>
      <c r="I19" s="117"/>
      <c r="J19" s="159"/>
      <c r="K19" s="117"/>
      <c r="L19" s="117"/>
      <c r="M19" s="117"/>
      <c r="N19" s="117"/>
      <c r="O19" s="117"/>
      <c r="P19" s="117"/>
      <c r="Q19" s="160"/>
      <c r="R19" s="159"/>
      <c r="S19" s="117"/>
      <c r="T19" s="117"/>
      <c r="U19" s="117"/>
      <c r="V19" s="160"/>
      <c r="W19" s="185"/>
      <c r="X19" s="117"/>
      <c r="Y19" s="159"/>
      <c r="Z19" s="117"/>
      <c r="AA19" s="117"/>
      <c r="AB19" s="117"/>
      <c r="AC19" s="117"/>
      <c r="AD19" s="117"/>
      <c r="AE19" s="117"/>
      <c r="AF19" s="160"/>
      <c r="AG19" s="159"/>
      <c r="AH19" s="117"/>
      <c r="AI19" s="117"/>
      <c r="AJ19" s="117"/>
      <c r="AK19" s="160"/>
    </row>
    <row r="20" spans="1:37" s="98" customFormat="1" ht="15" customHeight="1">
      <c r="B20" s="901"/>
      <c r="C20" s="185"/>
      <c r="D20" s="162" t="s">
        <v>1972</v>
      </c>
      <c r="G20" s="162"/>
      <c r="H20" s="163"/>
      <c r="I20" s="164" t="s">
        <v>498</v>
      </c>
      <c r="J20" s="143">
        <v>0</v>
      </c>
      <c r="K20" s="141">
        <v>0</v>
      </c>
      <c r="L20" s="141">
        <v>0</v>
      </c>
      <c r="M20" s="141">
        <v>0</v>
      </c>
      <c r="N20" s="141">
        <v>0</v>
      </c>
      <c r="O20" s="141">
        <v>0</v>
      </c>
      <c r="P20" s="141">
        <v>0</v>
      </c>
      <c r="Q20" s="144">
        <v>0</v>
      </c>
      <c r="R20" s="143">
        <v>0</v>
      </c>
      <c r="S20" s="141">
        <v>0</v>
      </c>
      <c r="T20" s="141">
        <v>0</v>
      </c>
      <c r="U20" s="141">
        <v>0</v>
      </c>
      <c r="V20" s="144">
        <v>0</v>
      </c>
      <c r="W20" s="185"/>
      <c r="X20" s="164" t="s">
        <v>498</v>
      </c>
      <c r="Y20" s="143">
        <v>0</v>
      </c>
      <c r="Z20" s="141">
        <v>0</v>
      </c>
      <c r="AA20" s="141">
        <v>0</v>
      </c>
      <c r="AB20" s="141">
        <v>0</v>
      </c>
      <c r="AC20" s="141">
        <v>0</v>
      </c>
      <c r="AD20" s="141">
        <v>0</v>
      </c>
      <c r="AE20" s="141">
        <v>0</v>
      </c>
      <c r="AF20" s="144">
        <v>0</v>
      </c>
      <c r="AG20" s="143">
        <v>0</v>
      </c>
      <c r="AH20" s="141">
        <v>0</v>
      </c>
      <c r="AI20" s="141">
        <v>0</v>
      </c>
      <c r="AJ20" s="141">
        <v>0</v>
      </c>
      <c r="AK20" s="144">
        <v>0</v>
      </c>
    </row>
    <row r="21" spans="1:37" s="98" customFormat="1" ht="15" customHeight="1">
      <c r="B21" s="901"/>
      <c r="C21" s="185"/>
      <c r="D21" s="162" t="s">
        <v>2378</v>
      </c>
      <c r="G21" s="162"/>
      <c r="H21" s="163"/>
      <c r="I21" s="164" t="s">
        <v>498</v>
      </c>
      <c r="J21" s="143">
        <v>0</v>
      </c>
      <c r="K21" s="141">
        <v>0</v>
      </c>
      <c r="L21" s="141">
        <v>0</v>
      </c>
      <c r="M21" s="141">
        <v>0</v>
      </c>
      <c r="N21" s="141">
        <v>0</v>
      </c>
      <c r="O21" s="141">
        <v>0</v>
      </c>
      <c r="P21" s="141">
        <v>0</v>
      </c>
      <c r="Q21" s="144">
        <v>0</v>
      </c>
      <c r="R21" s="143">
        <v>0</v>
      </c>
      <c r="S21" s="141">
        <v>0</v>
      </c>
      <c r="T21" s="141">
        <v>0</v>
      </c>
      <c r="U21" s="141">
        <v>0</v>
      </c>
      <c r="V21" s="144">
        <v>0</v>
      </c>
      <c r="W21" s="185"/>
      <c r="X21" s="164" t="s">
        <v>498</v>
      </c>
      <c r="Y21" s="143">
        <v>0</v>
      </c>
      <c r="Z21" s="141">
        <v>0</v>
      </c>
      <c r="AA21" s="141">
        <v>0</v>
      </c>
      <c r="AB21" s="141">
        <v>0</v>
      </c>
      <c r="AC21" s="141">
        <v>0</v>
      </c>
      <c r="AD21" s="141">
        <v>0</v>
      </c>
      <c r="AE21" s="141">
        <v>0</v>
      </c>
      <c r="AF21" s="144">
        <v>0</v>
      </c>
      <c r="AG21" s="143">
        <v>0</v>
      </c>
      <c r="AH21" s="141">
        <v>0</v>
      </c>
      <c r="AI21" s="141">
        <v>0</v>
      </c>
      <c r="AJ21" s="141">
        <v>0</v>
      </c>
      <c r="AK21" s="144">
        <v>0</v>
      </c>
    </row>
    <row r="22" spans="1:37" s="98" customFormat="1" ht="15" customHeight="1">
      <c r="B22" s="901"/>
      <c r="C22" s="185"/>
      <c r="D22" s="162" t="s">
        <v>85</v>
      </c>
      <c r="G22" s="170"/>
      <c r="H22" s="163"/>
      <c r="I22" s="164" t="s">
        <v>498</v>
      </c>
      <c r="J22" s="143">
        <v>0</v>
      </c>
      <c r="K22" s="141">
        <v>0</v>
      </c>
      <c r="L22" s="141">
        <v>0</v>
      </c>
      <c r="M22" s="141">
        <v>0</v>
      </c>
      <c r="N22" s="141">
        <v>0</v>
      </c>
      <c r="O22" s="141">
        <v>0</v>
      </c>
      <c r="P22" s="141">
        <v>0</v>
      </c>
      <c r="Q22" s="144">
        <v>0</v>
      </c>
      <c r="R22" s="143">
        <v>0</v>
      </c>
      <c r="S22" s="141">
        <v>0</v>
      </c>
      <c r="T22" s="141">
        <v>0</v>
      </c>
      <c r="U22" s="141">
        <v>0</v>
      </c>
      <c r="V22" s="144">
        <v>0</v>
      </c>
      <c r="W22" s="185"/>
      <c r="X22" s="164" t="s">
        <v>498</v>
      </c>
      <c r="Y22" s="143">
        <v>0</v>
      </c>
      <c r="Z22" s="141">
        <v>0</v>
      </c>
      <c r="AA22" s="141">
        <v>0</v>
      </c>
      <c r="AB22" s="141">
        <v>0</v>
      </c>
      <c r="AC22" s="141">
        <v>0</v>
      </c>
      <c r="AD22" s="141">
        <v>0</v>
      </c>
      <c r="AE22" s="141">
        <v>0</v>
      </c>
      <c r="AF22" s="144">
        <v>0</v>
      </c>
      <c r="AG22" s="143">
        <v>0</v>
      </c>
      <c r="AH22" s="141">
        <v>0</v>
      </c>
      <c r="AI22" s="141">
        <v>0</v>
      </c>
      <c r="AJ22" s="141">
        <v>0</v>
      </c>
      <c r="AK22" s="144">
        <v>0</v>
      </c>
    </row>
    <row r="23" spans="1:37" s="98" customFormat="1" ht="15" customHeight="1">
      <c r="B23" s="901"/>
      <c r="C23" s="185"/>
      <c r="D23" s="162" t="s">
        <v>85</v>
      </c>
      <c r="G23" s="170"/>
      <c r="H23" s="163"/>
      <c r="I23" s="164" t="s">
        <v>498</v>
      </c>
      <c r="J23" s="143">
        <v>0</v>
      </c>
      <c r="K23" s="141">
        <v>0</v>
      </c>
      <c r="L23" s="141">
        <v>0</v>
      </c>
      <c r="M23" s="141">
        <v>0</v>
      </c>
      <c r="N23" s="141">
        <v>0</v>
      </c>
      <c r="O23" s="141">
        <v>0</v>
      </c>
      <c r="P23" s="141">
        <v>0</v>
      </c>
      <c r="Q23" s="144">
        <v>0</v>
      </c>
      <c r="R23" s="143">
        <v>0</v>
      </c>
      <c r="S23" s="141">
        <v>0</v>
      </c>
      <c r="T23" s="141">
        <v>0</v>
      </c>
      <c r="U23" s="141">
        <v>0</v>
      </c>
      <c r="V23" s="144">
        <v>0</v>
      </c>
      <c r="W23" s="185"/>
      <c r="X23" s="164" t="s">
        <v>498</v>
      </c>
      <c r="Y23" s="143">
        <v>0</v>
      </c>
      <c r="Z23" s="141">
        <v>0</v>
      </c>
      <c r="AA23" s="141">
        <v>0</v>
      </c>
      <c r="AB23" s="141">
        <v>0</v>
      </c>
      <c r="AC23" s="141">
        <v>0</v>
      </c>
      <c r="AD23" s="141">
        <v>0</v>
      </c>
      <c r="AE23" s="141">
        <v>0</v>
      </c>
      <c r="AF23" s="144">
        <v>0</v>
      </c>
      <c r="AG23" s="143">
        <v>0</v>
      </c>
      <c r="AH23" s="141">
        <v>0</v>
      </c>
      <c r="AI23" s="141">
        <v>0</v>
      </c>
      <c r="AJ23" s="141">
        <v>0</v>
      </c>
      <c r="AK23" s="144">
        <v>0</v>
      </c>
    </row>
    <row r="24" spans="1:37" s="98" customFormat="1" ht="15" customHeight="1">
      <c r="B24" s="494"/>
      <c r="C24" s="185" t="s">
        <v>1710</v>
      </c>
      <c r="D24" s="245"/>
      <c r="G24" s="184"/>
      <c r="H24" s="184"/>
      <c r="I24" s="164" t="s">
        <v>498</v>
      </c>
      <c r="J24" s="128">
        <f>SUM(J20:J23)</f>
        <v>0</v>
      </c>
      <c r="K24" s="129">
        <f t="shared" ref="K24:V24" si="4">SUM(K20:K23)</f>
        <v>0</v>
      </c>
      <c r="L24" s="129">
        <f t="shared" si="4"/>
        <v>0</v>
      </c>
      <c r="M24" s="129">
        <f t="shared" si="4"/>
        <v>0</v>
      </c>
      <c r="N24" s="129">
        <f t="shared" si="4"/>
        <v>0</v>
      </c>
      <c r="O24" s="129">
        <f t="shared" si="4"/>
        <v>0</v>
      </c>
      <c r="P24" s="129">
        <f t="shared" si="4"/>
        <v>0</v>
      </c>
      <c r="Q24" s="130">
        <f t="shared" si="4"/>
        <v>0</v>
      </c>
      <c r="R24" s="128">
        <f t="shared" si="4"/>
        <v>0</v>
      </c>
      <c r="S24" s="129">
        <f t="shared" si="4"/>
        <v>0</v>
      </c>
      <c r="T24" s="129">
        <f t="shared" si="4"/>
        <v>0</v>
      </c>
      <c r="U24" s="129">
        <f t="shared" si="4"/>
        <v>0</v>
      </c>
      <c r="V24" s="130">
        <f t="shared" si="4"/>
        <v>0</v>
      </c>
      <c r="W24" s="185"/>
      <c r="X24" s="164" t="s">
        <v>498</v>
      </c>
      <c r="Y24" s="128">
        <f>SUM(Y20:Y23)</f>
        <v>0</v>
      </c>
      <c r="Z24" s="129">
        <f t="shared" ref="Z24" si="5">SUM(Z20:Z23)</f>
        <v>0</v>
      </c>
      <c r="AA24" s="129">
        <f t="shared" ref="AA24" si="6">SUM(AA20:AA23)</f>
        <v>0</v>
      </c>
      <c r="AB24" s="129">
        <f t="shared" ref="AB24" si="7">SUM(AB20:AB23)</f>
        <v>0</v>
      </c>
      <c r="AC24" s="129">
        <f t="shared" ref="AC24" si="8">SUM(AC20:AC23)</f>
        <v>0</v>
      </c>
      <c r="AD24" s="129">
        <f t="shared" ref="AD24" si="9">SUM(AD20:AD23)</f>
        <v>0</v>
      </c>
      <c r="AE24" s="129">
        <f t="shared" ref="AE24" si="10">SUM(AE20:AE23)</f>
        <v>0</v>
      </c>
      <c r="AF24" s="130">
        <f t="shared" ref="AF24" si="11">SUM(AF20:AF23)</f>
        <v>0</v>
      </c>
      <c r="AG24" s="128">
        <f t="shared" ref="AG24" si="12">SUM(AG20:AG23)</f>
        <v>0</v>
      </c>
      <c r="AH24" s="129">
        <f t="shared" ref="AH24" si="13">SUM(AH20:AH23)</f>
        <v>0</v>
      </c>
      <c r="AI24" s="129">
        <f t="shared" ref="AI24" si="14">SUM(AI20:AI23)</f>
        <v>0</v>
      </c>
      <c r="AJ24" s="129">
        <f t="shared" ref="AJ24" si="15">SUM(AJ20:AJ23)</f>
        <v>0</v>
      </c>
      <c r="AK24" s="130">
        <f t="shared" ref="AK24" si="16">SUM(AK20:AK23)</f>
        <v>0</v>
      </c>
    </row>
    <row r="25" spans="1:37" s="98" customFormat="1" ht="15" customHeight="1">
      <c r="B25" s="494"/>
      <c r="C25" s="185"/>
      <c r="D25" s="185"/>
      <c r="E25" s="182"/>
      <c r="F25" s="182"/>
      <c r="G25" s="184"/>
      <c r="H25" s="184"/>
      <c r="I25" s="117"/>
      <c r="J25" s="713"/>
      <c r="K25" s="714"/>
      <c r="L25" s="714"/>
      <c r="M25" s="714"/>
      <c r="N25" s="714"/>
      <c r="O25" s="714"/>
      <c r="P25" s="714"/>
      <c r="Q25" s="715"/>
      <c r="R25" s="714"/>
      <c r="S25" s="714"/>
      <c r="T25" s="714"/>
      <c r="U25" s="714"/>
      <c r="V25" s="715"/>
      <c r="W25" s="185"/>
      <c r="X25" s="117"/>
      <c r="Y25" s="713"/>
      <c r="Z25" s="714"/>
      <c r="AA25" s="714"/>
      <c r="AB25" s="714"/>
      <c r="AC25" s="714"/>
      <c r="AD25" s="714"/>
      <c r="AE25" s="714"/>
      <c r="AF25" s="715"/>
      <c r="AG25" s="714"/>
      <c r="AH25" s="714"/>
      <c r="AI25" s="714"/>
      <c r="AJ25" s="714"/>
      <c r="AK25" s="715"/>
    </row>
    <row r="26" spans="1:37" s="98" customFormat="1" ht="15" customHeight="1">
      <c r="B26" s="901"/>
      <c r="C26" s="180" t="s">
        <v>2379</v>
      </c>
      <c r="D26" s="180"/>
      <c r="E26" s="162"/>
      <c r="F26" s="162"/>
      <c r="G26" s="163"/>
      <c r="H26" s="163"/>
      <c r="I26" s="117"/>
      <c r="J26" s="713"/>
      <c r="K26" s="721"/>
      <c r="L26" s="721"/>
      <c r="M26" s="721"/>
      <c r="N26" s="721"/>
      <c r="O26" s="721"/>
      <c r="P26" s="721"/>
      <c r="Q26" s="715"/>
      <c r="R26" s="713"/>
      <c r="S26" s="721"/>
      <c r="T26" s="721"/>
      <c r="U26" s="721"/>
      <c r="V26" s="715"/>
      <c r="W26" s="185"/>
      <c r="X26" s="117"/>
      <c r="Y26" s="713"/>
      <c r="Z26" s="721"/>
      <c r="AA26" s="721"/>
      <c r="AB26" s="721"/>
      <c r="AC26" s="721"/>
      <c r="AD26" s="721"/>
      <c r="AE26" s="721"/>
      <c r="AF26" s="715"/>
      <c r="AG26" s="713"/>
      <c r="AH26" s="721"/>
      <c r="AI26" s="721"/>
      <c r="AJ26" s="721"/>
      <c r="AK26" s="715"/>
    </row>
    <row r="27" spans="1:37" s="98" customFormat="1" ht="15" customHeight="1">
      <c r="B27" s="901"/>
      <c r="C27" s="185"/>
      <c r="D27" s="162" t="s">
        <v>1972</v>
      </c>
      <c r="G27" s="162"/>
      <c r="H27" s="163"/>
      <c r="I27" s="164" t="s">
        <v>498</v>
      </c>
      <c r="J27" s="143">
        <v>0</v>
      </c>
      <c r="K27" s="141">
        <v>0</v>
      </c>
      <c r="L27" s="141">
        <v>0</v>
      </c>
      <c r="M27" s="141">
        <v>0</v>
      </c>
      <c r="N27" s="141">
        <v>0</v>
      </c>
      <c r="O27" s="141">
        <v>0</v>
      </c>
      <c r="P27" s="141">
        <v>0</v>
      </c>
      <c r="Q27" s="144">
        <v>0</v>
      </c>
      <c r="R27" s="143">
        <v>0</v>
      </c>
      <c r="S27" s="141">
        <v>0</v>
      </c>
      <c r="T27" s="141">
        <v>0</v>
      </c>
      <c r="U27" s="141">
        <v>0</v>
      </c>
      <c r="V27" s="144">
        <v>0</v>
      </c>
      <c r="W27" s="185"/>
      <c r="X27" s="164" t="s">
        <v>498</v>
      </c>
      <c r="Y27" s="143">
        <v>0</v>
      </c>
      <c r="Z27" s="141">
        <v>0</v>
      </c>
      <c r="AA27" s="141">
        <v>0</v>
      </c>
      <c r="AB27" s="141">
        <v>0</v>
      </c>
      <c r="AC27" s="141">
        <v>0</v>
      </c>
      <c r="AD27" s="141">
        <v>0</v>
      </c>
      <c r="AE27" s="141">
        <v>0</v>
      </c>
      <c r="AF27" s="144">
        <v>0</v>
      </c>
      <c r="AG27" s="143">
        <v>0</v>
      </c>
      <c r="AH27" s="141">
        <v>0</v>
      </c>
      <c r="AI27" s="141">
        <v>0</v>
      </c>
      <c r="AJ27" s="141">
        <v>0</v>
      </c>
      <c r="AK27" s="144">
        <v>0</v>
      </c>
    </row>
    <row r="28" spans="1:37" s="98" customFormat="1" ht="15" customHeight="1">
      <c r="B28" s="901"/>
      <c r="C28" s="185"/>
      <c r="D28" s="162" t="s">
        <v>2378</v>
      </c>
      <c r="G28" s="162"/>
      <c r="H28" s="163"/>
      <c r="I28" s="164" t="s">
        <v>498</v>
      </c>
      <c r="J28" s="143">
        <v>0</v>
      </c>
      <c r="K28" s="141">
        <v>0</v>
      </c>
      <c r="L28" s="141">
        <v>0</v>
      </c>
      <c r="M28" s="141">
        <v>0</v>
      </c>
      <c r="N28" s="141">
        <v>0</v>
      </c>
      <c r="O28" s="141">
        <v>0</v>
      </c>
      <c r="P28" s="141">
        <v>0</v>
      </c>
      <c r="Q28" s="144">
        <v>0</v>
      </c>
      <c r="R28" s="143">
        <v>0</v>
      </c>
      <c r="S28" s="141">
        <v>0</v>
      </c>
      <c r="T28" s="141">
        <v>0</v>
      </c>
      <c r="U28" s="141">
        <v>0</v>
      </c>
      <c r="V28" s="144">
        <v>0</v>
      </c>
      <c r="W28" s="185"/>
      <c r="X28" s="164" t="s">
        <v>498</v>
      </c>
      <c r="Y28" s="143">
        <v>0</v>
      </c>
      <c r="Z28" s="141">
        <v>0</v>
      </c>
      <c r="AA28" s="141">
        <v>0</v>
      </c>
      <c r="AB28" s="141">
        <v>0</v>
      </c>
      <c r="AC28" s="141">
        <v>0</v>
      </c>
      <c r="AD28" s="141">
        <v>0</v>
      </c>
      <c r="AE28" s="141">
        <v>0</v>
      </c>
      <c r="AF28" s="144">
        <v>0</v>
      </c>
      <c r="AG28" s="143">
        <v>0</v>
      </c>
      <c r="AH28" s="141">
        <v>0</v>
      </c>
      <c r="AI28" s="141">
        <v>0</v>
      </c>
      <c r="AJ28" s="141">
        <v>0</v>
      </c>
      <c r="AK28" s="144">
        <v>0</v>
      </c>
    </row>
    <row r="29" spans="1:37" s="98" customFormat="1" ht="15" customHeight="1">
      <c r="B29" s="901"/>
      <c r="C29" s="185"/>
      <c r="D29" s="162" t="s">
        <v>85</v>
      </c>
      <c r="G29" s="170"/>
      <c r="H29" s="163"/>
      <c r="I29" s="164" t="s">
        <v>498</v>
      </c>
      <c r="J29" s="143">
        <v>0</v>
      </c>
      <c r="K29" s="141">
        <v>0</v>
      </c>
      <c r="L29" s="141">
        <v>0</v>
      </c>
      <c r="M29" s="141">
        <v>0</v>
      </c>
      <c r="N29" s="141">
        <v>0</v>
      </c>
      <c r="O29" s="141">
        <v>0</v>
      </c>
      <c r="P29" s="141">
        <v>0</v>
      </c>
      <c r="Q29" s="144">
        <v>0</v>
      </c>
      <c r="R29" s="143">
        <v>0</v>
      </c>
      <c r="S29" s="141">
        <v>0</v>
      </c>
      <c r="T29" s="141">
        <v>0</v>
      </c>
      <c r="U29" s="141">
        <v>0</v>
      </c>
      <c r="V29" s="144">
        <v>0</v>
      </c>
      <c r="W29" s="185"/>
      <c r="X29" s="164" t="s">
        <v>498</v>
      </c>
      <c r="Y29" s="143">
        <v>0</v>
      </c>
      <c r="Z29" s="141">
        <v>0</v>
      </c>
      <c r="AA29" s="141">
        <v>0</v>
      </c>
      <c r="AB29" s="141">
        <v>0</v>
      </c>
      <c r="AC29" s="141">
        <v>0</v>
      </c>
      <c r="AD29" s="141">
        <v>0</v>
      </c>
      <c r="AE29" s="141">
        <v>0</v>
      </c>
      <c r="AF29" s="144">
        <v>0</v>
      </c>
      <c r="AG29" s="143">
        <v>0</v>
      </c>
      <c r="AH29" s="141">
        <v>0</v>
      </c>
      <c r="AI29" s="141">
        <v>0</v>
      </c>
      <c r="AJ29" s="141">
        <v>0</v>
      </c>
      <c r="AK29" s="144">
        <v>0</v>
      </c>
    </row>
    <row r="30" spans="1:37" s="98" customFormat="1" ht="15" customHeight="1">
      <c r="B30" s="901"/>
      <c r="C30" s="185"/>
      <c r="D30" s="162" t="s">
        <v>85</v>
      </c>
      <c r="G30" s="170"/>
      <c r="H30" s="163"/>
      <c r="I30" s="164" t="s">
        <v>498</v>
      </c>
      <c r="J30" s="143">
        <v>0</v>
      </c>
      <c r="K30" s="141">
        <v>0</v>
      </c>
      <c r="L30" s="141">
        <v>0</v>
      </c>
      <c r="M30" s="141">
        <v>0</v>
      </c>
      <c r="N30" s="141">
        <v>0</v>
      </c>
      <c r="O30" s="141">
        <v>0</v>
      </c>
      <c r="P30" s="141">
        <v>0</v>
      </c>
      <c r="Q30" s="144">
        <v>0</v>
      </c>
      <c r="R30" s="143">
        <v>0</v>
      </c>
      <c r="S30" s="141">
        <v>0</v>
      </c>
      <c r="T30" s="141">
        <v>0</v>
      </c>
      <c r="U30" s="141">
        <v>0</v>
      </c>
      <c r="V30" s="144">
        <v>0</v>
      </c>
      <c r="W30" s="185"/>
      <c r="X30" s="164" t="s">
        <v>498</v>
      </c>
      <c r="Y30" s="143">
        <v>0</v>
      </c>
      <c r="Z30" s="141">
        <v>0</v>
      </c>
      <c r="AA30" s="141">
        <v>0</v>
      </c>
      <c r="AB30" s="141">
        <v>0</v>
      </c>
      <c r="AC30" s="141">
        <v>0</v>
      </c>
      <c r="AD30" s="141">
        <v>0</v>
      </c>
      <c r="AE30" s="141">
        <v>0</v>
      </c>
      <c r="AF30" s="144">
        <v>0</v>
      </c>
      <c r="AG30" s="143">
        <v>0</v>
      </c>
      <c r="AH30" s="141">
        <v>0</v>
      </c>
      <c r="AI30" s="141">
        <v>0</v>
      </c>
      <c r="AJ30" s="141">
        <v>0</v>
      </c>
      <c r="AK30" s="144">
        <v>0</v>
      </c>
    </row>
    <row r="31" spans="1:37" s="98" customFormat="1" ht="15" customHeight="1">
      <c r="B31" s="494"/>
      <c r="C31" s="185" t="s">
        <v>1710</v>
      </c>
      <c r="D31" s="245"/>
      <c r="G31" s="184"/>
      <c r="H31" s="184"/>
      <c r="I31" s="164" t="s">
        <v>498</v>
      </c>
      <c r="J31" s="128">
        <f>SUM(J27:J30)</f>
        <v>0</v>
      </c>
      <c r="K31" s="129">
        <f t="shared" ref="K31" si="17">SUM(K27:K30)</f>
        <v>0</v>
      </c>
      <c r="L31" s="129">
        <f t="shared" ref="L31" si="18">SUM(L27:L30)</f>
        <v>0</v>
      </c>
      <c r="M31" s="129">
        <f t="shared" ref="M31" si="19">SUM(M27:M30)</f>
        <v>0</v>
      </c>
      <c r="N31" s="129">
        <f t="shared" ref="N31" si="20">SUM(N27:N30)</f>
        <v>0</v>
      </c>
      <c r="O31" s="129">
        <f t="shared" ref="O31" si="21">SUM(O27:O30)</f>
        <v>0</v>
      </c>
      <c r="P31" s="129">
        <f t="shared" ref="P31" si="22">SUM(P27:P30)</f>
        <v>0</v>
      </c>
      <c r="Q31" s="130">
        <f t="shared" ref="Q31" si="23">SUM(Q27:Q30)</f>
        <v>0</v>
      </c>
      <c r="R31" s="128">
        <f t="shared" ref="R31" si="24">SUM(R27:R30)</f>
        <v>0</v>
      </c>
      <c r="S31" s="129">
        <f t="shared" ref="S31" si="25">SUM(S27:S30)</f>
        <v>0</v>
      </c>
      <c r="T31" s="129">
        <f t="shared" ref="T31" si="26">SUM(T27:T30)</f>
        <v>0</v>
      </c>
      <c r="U31" s="129">
        <f t="shared" ref="U31" si="27">SUM(U27:U30)</f>
        <v>0</v>
      </c>
      <c r="V31" s="130">
        <f t="shared" ref="V31" si="28">SUM(V27:V30)</f>
        <v>0</v>
      </c>
      <c r="W31" s="185"/>
      <c r="X31" s="164" t="s">
        <v>498</v>
      </c>
      <c r="Y31" s="128">
        <f>SUM(Y27:Y30)</f>
        <v>0</v>
      </c>
      <c r="Z31" s="129">
        <f t="shared" ref="Z31" si="29">SUM(Z27:Z30)</f>
        <v>0</v>
      </c>
      <c r="AA31" s="129">
        <f t="shared" ref="AA31" si="30">SUM(AA27:AA30)</f>
        <v>0</v>
      </c>
      <c r="AB31" s="129">
        <f t="shared" ref="AB31" si="31">SUM(AB27:AB30)</f>
        <v>0</v>
      </c>
      <c r="AC31" s="129">
        <f t="shared" ref="AC31" si="32">SUM(AC27:AC30)</f>
        <v>0</v>
      </c>
      <c r="AD31" s="129">
        <f t="shared" ref="AD31" si="33">SUM(AD27:AD30)</f>
        <v>0</v>
      </c>
      <c r="AE31" s="129">
        <f t="shared" ref="AE31" si="34">SUM(AE27:AE30)</f>
        <v>0</v>
      </c>
      <c r="AF31" s="130">
        <f t="shared" ref="AF31" si="35">SUM(AF27:AF30)</f>
        <v>0</v>
      </c>
      <c r="AG31" s="128">
        <f t="shared" ref="AG31" si="36">SUM(AG27:AG30)</f>
        <v>0</v>
      </c>
      <c r="AH31" s="129">
        <f t="shared" ref="AH31" si="37">SUM(AH27:AH30)</f>
        <v>0</v>
      </c>
      <c r="AI31" s="129">
        <f t="shared" ref="AI31" si="38">SUM(AI27:AI30)</f>
        <v>0</v>
      </c>
      <c r="AJ31" s="129">
        <f t="shared" ref="AJ31" si="39">SUM(AJ27:AJ30)</f>
        <v>0</v>
      </c>
      <c r="AK31" s="130">
        <f t="shared" ref="AK31" si="40">SUM(AK27:AK30)</f>
        <v>0</v>
      </c>
    </row>
    <row r="32" spans="1:37" s="98" customFormat="1" ht="15" customHeight="1">
      <c r="B32" s="494"/>
      <c r="C32" s="185"/>
      <c r="D32" s="185"/>
      <c r="E32" s="182"/>
      <c r="F32" s="182"/>
      <c r="G32" s="184"/>
      <c r="H32" s="184"/>
      <c r="I32" s="117"/>
      <c r="J32" s="713"/>
      <c r="K32" s="714"/>
      <c r="L32" s="714"/>
      <c r="M32" s="714"/>
      <c r="N32" s="714"/>
      <c r="O32" s="714"/>
      <c r="P32" s="714"/>
      <c r="Q32" s="715"/>
      <c r="R32" s="714"/>
      <c r="S32" s="714"/>
      <c r="T32" s="714"/>
      <c r="U32" s="714"/>
      <c r="V32" s="715"/>
      <c r="W32" s="185"/>
      <c r="X32" s="117"/>
      <c r="Y32" s="713"/>
      <c r="Z32" s="714"/>
      <c r="AA32" s="714"/>
      <c r="AB32" s="714"/>
      <c r="AC32" s="714"/>
      <c r="AD32" s="714"/>
      <c r="AE32" s="714"/>
      <c r="AF32" s="715"/>
      <c r="AG32" s="714"/>
      <c r="AH32" s="714"/>
      <c r="AI32" s="714"/>
      <c r="AJ32" s="714"/>
      <c r="AK32" s="715"/>
    </row>
    <row r="33" spans="2:37" s="98" customFormat="1" ht="15" customHeight="1">
      <c r="B33" s="901"/>
      <c r="C33" s="180" t="s">
        <v>2380</v>
      </c>
      <c r="D33" s="180"/>
      <c r="E33" s="162"/>
      <c r="F33" s="162"/>
      <c r="G33" s="163"/>
      <c r="H33" s="163"/>
      <c r="I33" s="117"/>
      <c r="J33" s="713"/>
      <c r="K33" s="721"/>
      <c r="L33" s="721"/>
      <c r="M33" s="721"/>
      <c r="N33" s="721"/>
      <c r="O33" s="721"/>
      <c r="P33" s="721"/>
      <c r="Q33" s="715"/>
      <c r="R33" s="713"/>
      <c r="S33" s="721"/>
      <c r="T33" s="721"/>
      <c r="U33" s="721"/>
      <c r="V33" s="715"/>
      <c r="W33" s="185"/>
      <c r="X33" s="117"/>
      <c r="Y33" s="713"/>
      <c r="Z33" s="721"/>
      <c r="AA33" s="721"/>
      <c r="AB33" s="721"/>
      <c r="AC33" s="721"/>
      <c r="AD33" s="721"/>
      <c r="AE33" s="721"/>
      <c r="AF33" s="715"/>
      <c r="AG33" s="713"/>
      <c r="AH33" s="721"/>
      <c r="AI33" s="721"/>
      <c r="AJ33" s="721"/>
      <c r="AK33" s="715"/>
    </row>
    <row r="34" spans="2:37" s="98" customFormat="1" ht="15" customHeight="1">
      <c r="B34" s="901"/>
      <c r="C34" s="185"/>
      <c r="D34" s="162" t="s">
        <v>1972</v>
      </c>
      <c r="G34" s="162"/>
      <c r="H34" s="163"/>
      <c r="I34" s="164" t="s">
        <v>498</v>
      </c>
      <c r="J34" s="143">
        <v>0</v>
      </c>
      <c r="K34" s="141">
        <v>0</v>
      </c>
      <c r="L34" s="141">
        <v>0</v>
      </c>
      <c r="M34" s="141">
        <v>0</v>
      </c>
      <c r="N34" s="141">
        <v>0</v>
      </c>
      <c r="O34" s="141">
        <v>0</v>
      </c>
      <c r="P34" s="141">
        <v>0</v>
      </c>
      <c r="Q34" s="144">
        <v>0</v>
      </c>
      <c r="R34" s="143">
        <v>0</v>
      </c>
      <c r="S34" s="141">
        <v>0</v>
      </c>
      <c r="T34" s="141">
        <v>0</v>
      </c>
      <c r="U34" s="141">
        <v>0</v>
      </c>
      <c r="V34" s="144">
        <v>0</v>
      </c>
      <c r="W34" s="185"/>
      <c r="X34" s="164" t="s">
        <v>498</v>
      </c>
      <c r="Y34" s="143">
        <v>0</v>
      </c>
      <c r="Z34" s="141">
        <v>0</v>
      </c>
      <c r="AA34" s="141">
        <v>0</v>
      </c>
      <c r="AB34" s="141">
        <v>0</v>
      </c>
      <c r="AC34" s="141">
        <v>0</v>
      </c>
      <c r="AD34" s="141">
        <v>0</v>
      </c>
      <c r="AE34" s="141">
        <v>0</v>
      </c>
      <c r="AF34" s="144">
        <v>0</v>
      </c>
      <c r="AG34" s="143">
        <v>0</v>
      </c>
      <c r="AH34" s="141">
        <v>0</v>
      </c>
      <c r="AI34" s="141">
        <v>0</v>
      </c>
      <c r="AJ34" s="141">
        <v>0</v>
      </c>
      <c r="AK34" s="144">
        <v>0</v>
      </c>
    </row>
    <row r="35" spans="2:37" s="98" customFormat="1" ht="15" customHeight="1">
      <c r="B35" s="901"/>
      <c r="C35" s="185"/>
      <c r="D35" s="162" t="s">
        <v>2378</v>
      </c>
      <c r="G35" s="162"/>
      <c r="H35" s="163"/>
      <c r="I35" s="164" t="s">
        <v>498</v>
      </c>
      <c r="J35" s="143">
        <v>0</v>
      </c>
      <c r="K35" s="141">
        <v>0</v>
      </c>
      <c r="L35" s="141">
        <v>0</v>
      </c>
      <c r="M35" s="141">
        <v>0</v>
      </c>
      <c r="N35" s="141">
        <v>0</v>
      </c>
      <c r="O35" s="141">
        <v>0</v>
      </c>
      <c r="P35" s="141">
        <v>0</v>
      </c>
      <c r="Q35" s="144">
        <v>0</v>
      </c>
      <c r="R35" s="143">
        <v>0</v>
      </c>
      <c r="S35" s="141">
        <v>0</v>
      </c>
      <c r="T35" s="141">
        <v>0</v>
      </c>
      <c r="U35" s="141">
        <v>0</v>
      </c>
      <c r="V35" s="144">
        <v>0</v>
      </c>
      <c r="W35" s="185"/>
      <c r="X35" s="164" t="s">
        <v>498</v>
      </c>
      <c r="Y35" s="143">
        <v>0</v>
      </c>
      <c r="Z35" s="141">
        <v>0</v>
      </c>
      <c r="AA35" s="141">
        <v>0</v>
      </c>
      <c r="AB35" s="141">
        <v>0</v>
      </c>
      <c r="AC35" s="141">
        <v>0</v>
      </c>
      <c r="AD35" s="141">
        <v>0</v>
      </c>
      <c r="AE35" s="141">
        <v>0</v>
      </c>
      <c r="AF35" s="144">
        <v>0</v>
      </c>
      <c r="AG35" s="143">
        <v>0</v>
      </c>
      <c r="AH35" s="141">
        <v>0</v>
      </c>
      <c r="AI35" s="141">
        <v>0</v>
      </c>
      <c r="AJ35" s="141">
        <v>0</v>
      </c>
      <c r="AK35" s="144">
        <v>0</v>
      </c>
    </row>
    <row r="36" spans="2:37" s="98" customFormat="1" ht="15" customHeight="1">
      <c r="B36" s="901"/>
      <c r="C36" s="185"/>
      <c r="D36" s="162" t="s">
        <v>85</v>
      </c>
      <c r="G36" s="170"/>
      <c r="H36" s="163"/>
      <c r="I36" s="164" t="s">
        <v>498</v>
      </c>
      <c r="J36" s="143">
        <v>0</v>
      </c>
      <c r="K36" s="141">
        <v>0</v>
      </c>
      <c r="L36" s="141">
        <v>0</v>
      </c>
      <c r="M36" s="141">
        <v>0</v>
      </c>
      <c r="N36" s="141">
        <v>0</v>
      </c>
      <c r="O36" s="141">
        <v>0</v>
      </c>
      <c r="P36" s="141">
        <v>0</v>
      </c>
      <c r="Q36" s="144">
        <v>0</v>
      </c>
      <c r="R36" s="143">
        <v>0</v>
      </c>
      <c r="S36" s="141">
        <v>0</v>
      </c>
      <c r="T36" s="141">
        <v>0</v>
      </c>
      <c r="U36" s="141">
        <v>0</v>
      </c>
      <c r="V36" s="144">
        <v>0</v>
      </c>
      <c r="W36" s="185"/>
      <c r="X36" s="164" t="s">
        <v>498</v>
      </c>
      <c r="Y36" s="143">
        <v>0</v>
      </c>
      <c r="Z36" s="141">
        <v>0</v>
      </c>
      <c r="AA36" s="141">
        <v>0</v>
      </c>
      <c r="AB36" s="141">
        <v>0</v>
      </c>
      <c r="AC36" s="141">
        <v>0</v>
      </c>
      <c r="AD36" s="141">
        <v>0</v>
      </c>
      <c r="AE36" s="141">
        <v>0</v>
      </c>
      <c r="AF36" s="144">
        <v>0</v>
      </c>
      <c r="AG36" s="143">
        <v>0</v>
      </c>
      <c r="AH36" s="141">
        <v>0</v>
      </c>
      <c r="AI36" s="141">
        <v>0</v>
      </c>
      <c r="AJ36" s="141">
        <v>0</v>
      </c>
      <c r="AK36" s="144">
        <v>0</v>
      </c>
    </row>
    <row r="37" spans="2:37" s="98" customFormat="1" ht="15" customHeight="1">
      <c r="B37" s="901"/>
      <c r="C37" s="185"/>
      <c r="D37" s="162" t="s">
        <v>85</v>
      </c>
      <c r="G37" s="170"/>
      <c r="H37" s="163"/>
      <c r="I37" s="164" t="s">
        <v>498</v>
      </c>
      <c r="J37" s="143">
        <v>0</v>
      </c>
      <c r="K37" s="141">
        <v>0</v>
      </c>
      <c r="L37" s="141">
        <v>0</v>
      </c>
      <c r="M37" s="141">
        <v>0</v>
      </c>
      <c r="N37" s="141">
        <v>0</v>
      </c>
      <c r="O37" s="141">
        <v>0</v>
      </c>
      <c r="P37" s="141">
        <v>0</v>
      </c>
      <c r="Q37" s="144">
        <v>0</v>
      </c>
      <c r="R37" s="143">
        <v>0</v>
      </c>
      <c r="S37" s="141">
        <v>0</v>
      </c>
      <c r="T37" s="141">
        <v>0</v>
      </c>
      <c r="U37" s="141">
        <v>0</v>
      </c>
      <c r="V37" s="144">
        <v>0</v>
      </c>
      <c r="W37" s="185"/>
      <c r="X37" s="164" t="s">
        <v>498</v>
      </c>
      <c r="Y37" s="143">
        <v>0</v>
      </c>
      <c r="Z37" s="141">
        <v>0</v>
      </c>
      <c r="AA37" s="141">
        <v>0</v>
      </c>
      <c r="AB37" s="141">
        <v>0</v>
      </c>
      <c r="AC37" s="141">
        <v>0</v>
      </c>
      <c r="AD37" s="141">
        <v>0</v>
      </c>
      <c r="AE37" s="141">
        <v>0</v>
      </c>
      <c r="AF37" s="144">
        <v>0</v>
      </c>
      <c r="AG37" s="143">
        <v>0</v>
      </c>
      <c r="AH37" s="141">
        <v>0</v>
      </c>
      <c r="AI37" s="141">
        <v>0</v>
      </c>
      <c r="AJ37" s="141">
        <v>0</v>
      </c>
      <c r="AK37" s="144">
        <v>0</v>
      </c>
    </row>
    <row r="38" spans="2:37" s="98" customFormat="1" ht="15" customHeight="1">
      <c r="B38" s="494"/>
      <c r="C38" s="185" t="s">
        <v>1710</v>
      </c>
      <c r="D38" s="245"/>
      <c r="G38" s="184"/>
      <c r="H38" s="184"/>
      <c r="I38" s="164" t="s">
        <v>498</v>
      </c>
      <c r="J38" s="128">
        <f>SUM(J34:J37)</f>
        <v>0</v>
      </c>
      <c r="K38" s="129">
        <f t="shared" ref="K38" si="41">SUM(K34:K37)</f>
        <v>0</v>
      </c>
      <c r="L38" s="129">
        <f t="shared" ref="L38" si="42">SUM(L34:L37)</f>
        <v>0</v>
      </c>
      <c r="M38" s="129">
        <f t="shared" ref="M38" si="43">SUM(M34:M37)</f>
        <v>0</v>
      </c>
      <c r="N38" s="129">
        <f t="shared" ref="N38" si="44">SUM(N34:N37)</f>
        <v>0</v>
      </c>
      <c r="O38" s="129">
        <f t="shared" ref="O38" si="45">SUM(O34:O37)</f>
        <v>0</v>
      </c>
      <c r="P38" s="129">
        <f t="shared" ref="P38" si="46">SUM(P34:P37)</f>
        <v>0</v>
      </c>
      <c r="Q38" s="130">
        <f t="shared" ref="Q38" si="47">SUM(Q34:Q37)</f>
        <v>0</v>
      </c>
      <c r="R38" s="128">
        <f t="shared" ref="R38" si="48">SUM(R34:R37)</f>
        <v>0</v>
      </c>
      <c r="S38" s="129">
        <f t="shared" ref="S38" si="49">SUM(S34:S37)</f>
        <v>0</v>
      </c>
      <c r="T38" s="129">
        <f t="shared" ref="T38" si="50">SUM(T34:T37)</f>
        <v>0</v>
      </c>
      <c r="U38" s="129">
        <f t="shared" ref="U38" si="51">SUM(U34:U37)</f>
        <v>0</v>
      </c>
      <c r="V38" s="130">
        <f t="shared" ref="V38" si="52">SUM(V34:V37)</f>
        <v>0</v>
      </c>
      <c r="W38" s="185"/>
      <c r="X38" s="164" t="s">
        <v>498</v>
      </c>
      <c r="Y38" s="128">
        <f>SUM(Y34:Y37)</f>
        <v>0</v>
      </c>
      <c r="Z38" s="129">
        <f t="shared" ref="Z38" si="53">SUM(Z34:Z37)</f>
        <v>0</v>
      </c>
      <c r="AA38" s="129">
        <f t="shared" ref="AA38" si="54">SUM(AA34:AA37)</f>
        <v>0</v>
      </c>
      <c r="AB38" s="129">
        <f t="shared" ref="AB38" si="55">SUM(AB34:AB37)</f>
        <v>0</v>
      </c>
      <c r="AC38" s="129">
        <f t="shared" ref="AC38" si="56">SUM(AC34:AC37)</f>
        <v>0</v>
      </c>
      <c r="AD38" s="129">
        <f t="shared" ref="AD38" si="57">SUM(AD34:AD37)</f>
        <v>0</v>
      </c>
      <c r="AE38" s="129">
        <f t="shared" ref="AE38" si="58">SUM(AE34:AE37)</f>
        <v>0</v>
      </c>
      <c r="AF38" s="130">
        <f t="shared" ref="AF38" si="59">SUM(AF34:AF37)</f>
        <v>0</v>
      </c>
      <c r="AG38" s="128">
        <f t="shared" ref="AG38" si="60">SUM(AG34:AG37)</f>
        <v>0</v>
      </c>
      <c r="AH38" s="129">
        <f t="shared" ref="AH38" si="61">SUM(AH34:AH37)</f>
        <v>0</v>
      </c>
      <c r="AI38" s="129">
        <f t="shared" ref="AI38" si="62">SUM(AI34:AI37)</f>
        <v>0</v>
      </c>
      <c r="AJ38" s="129">
        <f t="shared" ref="AJ38" si="63">SUM(AJ34:AJ37)</f>
        <v>0</v>
      </c>
      <c r="AK38" s="130">
        <f t="shared" ref="AK38" si="64">SUM(AK34:AK37)</f>
        <v>0</v>
      </c>
    </row>
    <row r="39" spans="2:37" s="98" customFormat="1" ht="15" customHeight="1">
      <c r="B39" s="494"/>
      <c r="C39" s="185"/>
      <c r="D39" s="185"/>
      <c r="E39" s="182"/>
      <c r="F39" s="182"/>
      <c r="G39" s="184"/>
      <c r="H39" s="184"/>
      <c r="I39" s="117"/>
      <c r="J39" s="713"/>
      <c r="K39" s="714"/>
      <c r="L39" s="714"/>
      <c r="M39" s="714"/>
      <c r="N39" s="714"/>
      <c r="O39" s="714"/>
      <c r="P39" s="714"/>
      <c r="Q39" s="715"/>
      <c r="R39" s="714"/>
      <c r="S39" s="714"/>
      <c r="T39" s="714"/>
      <c r="U39" s="714"/>
      <c r="V39" s="715"/>
      <c r="W39" s="185"/>
      <c r="X39" s="117"/>
      <c r="Y39" s="713"/>
      <c r="Z39" s="714"/>
      <c r="AA39" s="714"/>
      <c r="AB39" s="714"/>
      <c r="AC39" s="714"/>
      <c r="AD39" s="714"/>
      <c r="AE39" s="714"/>
      <c r="AF39" s="715"/>
      <c r="AG39" s="714"/>
      <c r="AH39" s="714"/>
      <c r="AI39" s="714"/>
      <c r="AJ39" s="714"/>
      <c r="AK39" s="715"/>
    </row>
    <row r="40" spans="2:37" s="98" customFormat="1" ht="15" customHeight="1">
      <c r="B40" s="901"/>
      <c r="C40" s="180" t="s">
        <v>1826</v>
      </c>
      <c r="D40" s="180"/>
      <c r="E40" s="162"/>
      <c r="F40" s="162"/>
      <c r="G40" s="163"/>
      <c r="H40" s="163"/>
      <c r="I40" s="117"/>
      <c r="J40" s="713"/>
      <c r="K40" s="721"/>
      <c r="L40" s="721"/>
      <c r="M40" s="721"/>
      <c r="N40" s="721"/>
      <c r="O40" s="721"/>
      <c r="P40" s="721"/>
      <c r="Q40" s="715"/>
      <c r="R40" s="713"/>
      <c r="S40" s="721"/>
      <c r="T40" s="721"/>
      <c r="U40" s="721"/>
      <c r="V40" s="715"/>
      <c r="W40" s="185"/>
      <c r="X40" s="117"/>
      <c r="Y40" s="713"/>
      <c r="Z40" s="721"/>
      <c r="AA40" s="721"/>
      <c r="AB40" s="721"/>
      <c r="AC40" s="721"/>
      <c r="AD40" s="721"/>
      <c r="AE40" s="721"/>
      <c r="AF40" s="715"/>
      <c r="AG40" s="713"/>
      <c r="AH40" s="721"/>
      <c r="AI40" s="721"/>
      <c r="AJ40" s="721"/>
      <c r="AK40" s="715"/>
    </row>
    <row r="41" spans="2:37" s="98" customFormat="1" ht="15" customHeight="1">
      <c r="B41" s="901"/>
      <c r="C41" s="185"/>
      <c r="D41" s="162" t="s">
        <v>1972</v>
      </c>
      <c r="G41" s="162"/>
      <c r="H41" s="163"/>
      <c r="I41" s="164" t="s">
        <v>498</v>
      </c>
      <c r="J41" s="143">
        <v>0</v>
      </c>
      <c r="K41" s="141">
        <v>0</v>
      </c>
      <c r="L41" s="141">
        <v>0</v>
      </c>
      <c r="M41" s="141">
        <v>0</v>
      </c>
      <c r="N41" s="141">
        <v>0</v>
      </c>
      <c r="O41" s="141">
        <v>0</v>
      </c>
      <c r="P41" s="141">
        <v>0</v>
      </c>
      <c r="Q41" s="144">
        <v>0</v>
      </c>
      <c r="R41" s="143">
        <v>0</v>
      </c>
      <c r="S41" s="141">
        <v>0</v>
      </c>
      <c r="T41" s="141">
        <v>0</v>
      </c>
      <c r="U41" s="141">
        <v>0</v>
      </c>
      <c r="V41" s="144">
        <v>0</v>
      </c>
      <c r="W41" s="185"/>
      <c r="X41" s="164" t="s">
        <v>498</v>
      </c>
      <c r="Y41" s="143">
        <v>0</v>
      </c>
      <c r="Z41" s="141">
        <v>0</v>
      </c>
      <c r="AA41" s="141">
        <v>0</v>
      </c>
      <c r="AB41" s="141">
        <v>0</v>
      </c>
      <c r="AC41" s="141">
        <v>0</v>
      </c>
      <c r="AD41" s="141">
        <v>0</v>
      </c>
      <c r="AE41" s="141">
        <v>0</v>
      </c>
      <c r="AF41" s="144">
        <v>0</v>
      </c>
      <c r="AG41" s="143">
        <v>0</v>
      </c>
      <c r="AH41" s="141">
        <v>0</v>
      </c>
      <c r="AI41" s="141">
        <v>0</v>
      </c>
      <c r="AJ41" s="141">
        <v>0</v>
      </c>
      <c r="AK41" s="144">
        <v>0</v>
      </c>
    </row>
    <row r="42" spans="2:37" s="98" customFormat="1" ht="15" customHeight="1">
      <c r="B42" s="901"/>
      <c r="C42" s="185"/>
      <c r="D42" s="162" t="s">
        <v>2378</v>
      </c>
      <c r="G42" s="162"/>
      <c r="H42" s="163"/>
      <c r="I42" s="164" t="s">
        <v>498</v>
      </c>
      <c r="J42" s="143">
        <v>0</v>
      </c>
      <c r="K42" s="141">
        <v>0</v>
      </c>
      <c r="L42" s="141">
        <v>0</v>
      </c>
      <c r="M42" s="141">
        <v>0</v>
      </c>
      <c r="N42" s="141">
        <v>0</v>
      </c>
      <c r="O42" s="141">
        <v>0</v>
      </c>
      <c r="P42" s="141">
        <v>0</v>
      </c>
      <c r="Q42" s="144">
        <v>0</v>
      </c>
      <c r="R42" s="143">
        <v>0</v>
      </c>
      <c r="S42" s="141">
        <v>0</v>
      </c>
      <c r="T42" s="141">
        <v>0</v>
      </c>
      <c r="U42" s="141">
        <v>0</v>
      </c>
      <c r="V42" s="144">
        <v>0</v>
      </c>
      <c r="W42" s="185"/>
      <c r="X42" s="164" t="s">
        <v>498</v>
      </c>
      <c r="Y42" s="143">
        <v>0</v>
      </c>
      <c r="Z42" s="141">
        <v>0</v>
      </c>
      <c r="AA42" s="141">
        <v>0</v>
      </c>
      <c r="AB42" s="141">
        <v>0</v>
      </c>
      <c r="AC42" s="141">
        <v>0</v>
      </c>
      <c r="AD42" s="141">
        <v>0</v>
      </c>
      <c r="AE42" s="141">
        <v>0</v>
      </c>
      <c r="AF42" s="144">
        <v>0</v>
      </c>
      <c r="AG42" s="143">
        <v>0</v>
      </c>
      <c r="AH42" s="141">
        <v>0</v>
      </c>
      <c r="AI42" s="141">
        <v>0</v>
      </c>
      <c r="AJ42" s="141">
        <v>0</v>
      </c>
      <c r="AK42" s="144">
        <v>0</v>
      </c>
    </row>
    <row r="43" spans="2:37" s="98" customFormat="1" ht="15" customHeight="1">
      <c r="B43" s="901"/>
      <c r="C43" s="185"/>
      <c r="D43" s="162" t="s">
        <v>85</v>
      </c>
      <c r="G43" s="170"/>
      <c r="H43" s="163"/>
      <c r="I43" s="164" t="s">
        <v>498</v>
      </c>
      <c r="J43" s="143">
        <v>0</v>
      </c>
      <c r="K43" s="141">
        <v>0</v>
      </c>
      <c r="L43" s="141">
        <v>0</v>
      </c>
      <c r="M43" s="141">
        <v>0</v>
      </c>
      <c r="N43" s="141">
        <v>0</v>
      </c>
      <c r="O43" s="141">
        <v>0</v>
      </c>
      <c r="P43" s="141">
        <v>0</v>
      </c>
      <c r="Q43" s="144">
        <v>0</v>
      </c>
      <c r="R43" s="143">
        <v>0</v>
      </c>
      <c r="S43" s="141">
        <v>0</v>
      </c>
      <c r="T43" s="141">
        <v>0</v>
      </c>
      <c r="U43" s="141">
        <v>0</v>
      </c>
      <c r="V43" s="144">
        <v>0</v>
      </c>
      <c r="W43" s="185"/>
      <c r="X43" s="164" t="s">
        <v>498</v>
      </c>
      <c r="Y43" s="143">
        <v>0</v>
      </c>
      <c r="Z43" s="141">
        <v>0</v>
      </c>
      <c r="AA43" s="141">
        <v>0</v>
      </c>
      <c r="AB43" s="141">
        <v>0</v>
      </c>
      <c r="AC43" s="141">
        <v>0</v>
      </c>
      <c r="AD43" s="141">
        <v>0</v>
      </c>
      <c r="AE43" s="141">
        <v>0</v>
      </c>
      <c r="AF43" s="144">
        <v>0</v>
      </c>
      <c r="AG43" s="143">
        <v>0</v>
      </c>
      <c r="AH43" s="141">
        <v>0</v>
      </c>
      <c r="AI43" s="141">
        <v>0</v>
      </c>
      <c r="AJ43" s="141">
        <v>0</v>
      </c>
      <c r="AK43" s="144">
        <v>0</v>
      </c>
    </row>
    <row r="44" spans="2:37" s="98" customFormat="1" ht="15" customHeight="1">
      <c r="B44" s="901"/>
      <c r="C44" s="185"/>
      <c r="D44" s="162" t="s">
        <v>85</v>
      </c>
      <c r="G44" s="170"/>
      <c r="H44" s="163"/>
      <c r="I44" s="164" t="s">
        <v>498</v>
      </c>
      <c r="J44" s="143">
        <v>0</v>
      </c>
      <c r="K44" s="141">
        <v>0</v>
      </c>
      <c r="L44" s="141">
        <v>0</v>
      </c>
      <c r="M44" s="141">
        <v>0</v>
      </c>
      <c r="N44" s="141">
        <v>0</v>
      </c>
      <c r="O44" s="141">
        <v>0</v>
      </c>
      <c r="P44" s="141">
        <v>0</v>
      </c>
      <c r="Q44" s="144">
        <v>0</v>
      </c>
      <c r="R44" s="143">
        <v>0</v>
      </c>
      <c r="S44" s="141">
        <v>0</v>
      </c>
      <c r="T44" s="141">
        <v>0</v>
      </c>
      <c r="U44" s="141">
        <v>0</v>
      </c>
      <c r="V44" s="144">
        <v>0</v>
      </c>
      <c r="W44" s="185"/>
      <c r="X44" s="164" t="s">
        <v>498</v>
      </c>
      <c r="Y44" s="143">
        <v>0</v>
      </c>
      <c r="Z44" s="141">
        <v>0</v>
      </c>
      <c r="AA44" s="141">
        <v>0</v>
      </c>
      <c r="AB44" s="141">
        <v>0</v>
      </c>
      <c r="AC44" s="141">
        <v>0</v>
      </c>
      <c r="AD44" s="141">
        <v>0</v>
      </c>
      <c r="AE44" s="141">
        <v>0</v>
      </c>
      <c r="AF44" s="144">
        <v>0</v>
      </c>
      <c r="AG44" s="143">
        <v>0</v>
      </c>
      <c r="AH44" s="141">
        <v>0</v>
      </c>
      <c r="AI44" s="141">
        <v>0</v>
      </c>
      <c r="AJ44" s="141">
        <v>0</v>
      </c>
      <c r="AK44" s="144">
        <v>0</v>
      </c>
    </row>
    <row r="45" spans="2:37" s="98" customFormat="1" ht="15" customHeight="1">
      <c r="B45" s="494"/>
      <c r="C45" s="185" t="s">
        <v>1710</v>
      </c>
      <c r="D45" s="245"/>
      <c r="G45" s="184"/>
      <c r="H45" s="184"/>
      <c r="I45" s="164" t="s">
        <v>498</v>
      </c>
      <c r="J45" s="128">
        <f>SUM(J41:J44)</f>
        <v>0</v>
      </c>
      <c r="K45" s="129">
        <f t="shared" ref="K45" si="65">SUM(K41:K44)</f>
        <v>0</v>
      </c>
      <c r="L45" s="129">
        <f t="shared" ref="L45" si="66">SUM(L41:L44)</f>
        <v>0</v>
      </c>
      <c r="M45" s="129">
        <f t="shared" ref="M45" si="67">SUM(M41:M44)</f>
        <v>0</v>
      </c>
      <c r="N45" s="129">
        <f t="shared" ref="N45" si="68">SUM(N41:N44)</f>
        <v>0</v>
      </c>
      <c r="O45" s="129">
        <f t="shared" ref="O45" si="69">SUM(O41:O44)</f>
        <v>0</v>
      </c>
      <c r="P45" s="129">
        <f t="shared" ref="P45" si="70">SUM(P41:P44)</f>
        <v>0</v>
      </c>
      <c r="Q45" s="130">
        <f t="shared" ref="Q45" si="71">SUM(Q41:Q44)</f>
        <v>0</v>
      </c>
      <c r="R45" s="128">
        <f t="shared" ref="R45" si="72">SUM(R41:R44)</f>
        <v>0</v>
      </c>
      <c r="S45" s="129">
        <f t="shared" ref="S45" si="73">SUM(S41:S44)</f>
        <v>0</v>
      </c>
      <c r="T45" s="129">
        <f t="shared" ref="T45" si="74">SUM(T41:T44)</f>
        <v>0</v>
      </c>
      <c r="U45" s="129">
        <f t="shared" ref="U45" si="75">SUM(U41:U44)</f>
        <v>0</v>
      </c>
      <c r="V45" s="130">
        <f t="shared" ref="V45" si="76">SUM(V41:V44)</f>
        <v>0</v>
      </c>
      <c r="W45" s="185"/>
      <c r="X45" s="164" t="s">
        <v>498</v>
      </c>
      <c r="Y45" s="128">
        <f>SUM(Y41:Y44)</f>
        <v>0</v>
      </c>
      <c r="Z45" s="129">
        <f t="shared" ref="Z45" si="77">SUM(Z41:Z44)</f>
        <v>0</v>
      </c>
      <c r="AA45" s="129">
        <f t="shared" ref="AA45" si="78">SUM(AA41:AA44)</f>
        <v>0</v>
      </c>
      <c r="AB45" s="129">
        <f t="shared" ref="AB45" si="79">SUM(AB41:AB44)</f>
        <v>0</v>
      </c>
      <c r="AC45" s="129">
        <f t="shared" ref="AC45" si="80">SUM(AC41:AC44)</f>
        <v>0</v>
      </c>
      <c r="AD45" s="129">
        <f t="shared" ref="AD45" si="81">SUM(AD41:AD44)</f>
        <v>0</v>
      </c>
      <c r="AE45" s="129">
        <f t="shared" ref="AE45" si="82">SUM(AE41:AE44)</f>
        <v>0</v>
      </c>
      <c r="AF45" s="130">
        <f t="shared" ref="AF45" si="83">SUM(AF41:AF44)</f>
        <v>0</v>
      </c>
      <c r="AG45" s="128">
        <f t="shared" ref="AG45" si="84">SUM(AG41:AG44)</f>
        <v>0</v>
      </c>
      <c r="AH45" s="129">
        <f t="shared" ref="AH45" si="85">SUM(AH41:AH44)</f>
        <v>0</v>
      </c>
      <c r="AI45" s="129">
        <f t="shared" ref="AI45" si="86">SUM(AI41:AI44)</f>
        <v>0</v>
      </c>
      <c r="AJ45" s="129">
        <f t="shared" ref="AJ45" si="87">SUM(AJ41:AJ44)</f>
        <v>0</v>
      </c>
      <c r="AK45" s="130">
        <f t="shared" ref="AK45" si="88">SUM(AK41:AK44)</f>
        <v>0</v>
      </c>
    </row>
    <row r="46" spans="2:37" s="98" customFormat="1" ht="15" customHeight="1">
      <c r="B46" s="494"/>
      <c r="C46" s="185"/>
      <c r="D46" s="185"/>
      <c r="E46" s="182"/>
      <c r="F46" s="182"/>
      <c r="G46" s="184"/>
      <c r="H46" s="184"/>
      <c r="I46" s="117"/>
      <c r="J46" s="713"/>
      <c r="K46" s="714"/>
      <c r="L46" s="714"/>
      <c r="M46" s="714"/>
      <c r="N46" s="714"/>
      <c r="O46" s="714"/>
      <c r="P46" s="714"/>
      <c r="Q46" s="715"/>
      <c r="R46" s="714"/>
      <c r="S46" s="714"/>
      <c r="T46" s="714"/>
      <c r="U46" s="714"/>
      <c r="V46" s="715"/>
      <c r="W46" s="185"/>
      <c r="X46" s="117"/>
      <c r="Y46" s="713"/>
      <c r="Z46" s="714"/>
      <c r="AA46" s="714"/>
      <c r="AB46" s="714"/>
      <c r="AC46" s="714"/>
      <c r="AD46" s="714"/>
      <c r="AE46" s="714"/>
      <c r="AF46" s="715"/>
      <c r="AG46" s="714"/>
      <c r="AH46" s="714"/>
      <c r="AI46" s="714"/>
      <c r="AJ46" s="714"/>
      <c r="AK46" s="715"/>
    </row>
    <row r="47" spans="2:37" s="98" customFormat="1" ht="15" customHeight="1">
      <c r="B47" s="901"/>
      <c r="C47" s="180" t="s">
        <v>2381</v>
      </c>
      <c r="D47" s="180"/>
      <c r="E47" s="162"/>
      <c r="F47" s="162"/>
      <c r="G47" s="163"/>
      <c r="H47" s="163"/>
      <c r="I47" s="117"/>
      <c r="J47" s="713"/>
      <c r="K47" s="721"/>
      <c r="L47" s="721"/>
      <c r="M47" s="721"/>
      <c r="N47" s="721"/>
      <c r="O47" s="721"/>
      <c r="P47" s="721"/>
      <c r="Q47" s="715"/>
      <c r="R47" s="713"/>
      <c r="S47" s="721"/>
      <c r="T47" s="721"/>
      <c r="U47" s="721"/>
      <c r="V47" s="715"/>
      <c r="W47" s="185"/>
      <c r="X47" s="117"/>
      <c r="Y47" s="713"/>
      <c r="Z47" s="721"/>
      <c r="AA47" s="721"/>
      <c r="AB47" s="721"/>
      <c r="AC47" s="721"/>
      <c r="AD47" s="721"/>
      <c r="AE47" s="721"/>
      <c r="AF47" s="715"/>
      <c r="AG47" s="713"/>
      <c r="AH47" s="721"/>
      <c r="AI47" s="721"/>
      <c r="AJ47" s="721"/>
      <c r="AK47" s="715"/>
    </row>
    <row r="48" spans="2:37" s="98" customFormat="1" ht="15" customHeight="1">
      <c r="B48" s="901"/>
      <c r="C48" s="185"/>
      <c r="D48" s="162" t="s">
        <v>85</v>
      </c>
      <c r="G48" s="170"/>
      <c r="H48" s="163"/>
      <c r="I48" s="164" t="s">
        <v>498</v>
      </c>
      <c r="J48" s="143">
        <v>0</v>
      </c>
      <c r="K48" s="141">
        <v>0</v>
      </c>
      <c r="L48" s="141">
        <v>0</v>
      </c>
      <c r="M48" s="141">
        <v>0</v>
      </c>
      <c r="N48" s="141">
        <v>0</v>
      </c>
      <c r="O48" s="141">
        <v>0</v>
      </c>
      <c r="P48" s="141">
        <v>0</v>
      </c>
      <c r="Q48" s="144">
        <v>0</v>
      </c>
      <c r="R48" s="143">
        <v>0</v>
      </c>
      <c r="S48" s="141">
        <v>0</v>
      </c>
      <c r="T48" s="141">
        <v>0</v>
      </c>
      <c r="U48" s="141">
        <v>0</v>
      </c>
      <c r="V48" s="144">
        <v>0</v>
      </c>
      <c r="W48" s="185"/>
      <c r="X48" s="164" t="s">
        <v>498</v>
      </c>
      <c r="Y48" s="143">
        <v>0</v>
      </c>
      <c r="Z48" s="141">
        <v>0</v>
      </c>
      <c r="AA48" s="141">
        <v>0</v>
      </c>
      <c r="AB48" s="141">
        <v>0</v>
      </c>
      <c r="AC48" s="141">
        <v>0</v>
      </c>
      <c r="AD48" s="141">
        <v>0</v>
      </c>
      <c r="AE48" s="141">
        <v>0</v>
      </c>
      <c r="AF48" s="144">
        <v>0</v>
      </c>
      <c r="AG48" s="143">
        <v>0</v>
      </c>
      <c r="AH48" s="141">
        <v>0</v>
      </c>
      <c r="AI48" s="141">
        <v>0</v>
      </c>
      <c r="AJ48" s="141">
        <v>0</v>
      </c>
      <c r="AK48" s="144">
        <v>0</v>
      </c>
    </row>
    <row r="49" spans="2:37" s="98" customFormat="1" ht="15" customHeight="1">
      <c r="B49" s="901"/>
      <c r="C49" s="185"/>
      <c r="D49" s="162" t="s">
        <v>85</v>
      </c>
      <c r="G49" s="170"/>
      <c r="H49" s="163"/>
      <c r="I49" s="164" t="s">
        <v>498</v>
      </c>
      <c r="J49" s="143">
        <v>0</v>
      </c>
      <c r="K49" s="141">
        <v>0</v>
      </c>
      <c r="L49" s="141">
        <v>0</v>
      </c>
      <c r="M49" s="141">
        <v>0</v>
      </c>
      <c r="N49" s="141">
        <v>0</v>
      </c>
      <c r="O49" s="141">
        <v>0</v>
      </c>
      <c r="P49" s="141">
        <v>0</v>
      </c>
      <c r="Q49" s="144">
        <v>0</v>
      </c>
      <c r="R49" s="143">
        <v>0</v>
      </c>
      <c r="S49" s="141">
        <v>0</v>
      </c>
      <c r="T49" s="141">
        <v>0</v>
      </c>
      <c r="U49" s="141">
        <v>0</v>
      </c>
      <c r="V49" s="144">
        <v>0</v>
      </c>
      <c r="W49" s="185"/>
      <c r="X49" s="164" t="s">
        <v>498</v>
      </c>
      <c r="Y49" s="143">
        <v>0</v>
      </c>
      <c r="Z49" s="141">
        <v>0</v>
      </c>
      <c r="AA49" s="141">
        <v>0</v>
      </c>
      <c r="AB49" s="141">
        <v>0</v>
      </c>
      <c r="AC49" s="141">
        <v>0</v>
      </c>
      <c r="AD49" s="141">
        <v>0</v>
      </c>
      <c r="AE49" s="141">
        <v>0</v>
      </c>
      <c r="AF49" s="144">
        <v>0</v>
      </c>
      <c r="AG49" s="143">
        <v>0</v>
      </c>
      <c r="AH49" s="141">
        <v>0</v>
      </c>
      <c r="AI49" s="141">
        <v>0</v>
      </c>
      <c r="AJ49" s="141">
        <v>0</v>
      </c>
      <c r="AK49" s="144">
        <v>0</v>
      </c>
    </row>
    <row r="50" spans="2:37" s="98" customFormat="1" ht="15" customHeight="1">
      <c r="B50" s="901"/>
      <c r="C50" s="185"/>
      <c r="D50" s="162" t="s">
        <v>85</v>
      </c>
      <c r="G50" s="170"/>
      <c r="H50" s="163"/>
      <c r="I50" s="164" t="s">
        <v>498</v>
      </c>
      <c r="J50" s="143">
        <v>0</v>
      </c>
      <c r="K50" s="141">
        <v>0</v>
      </c>
      <c r="L50" s="141">
        <v>0</v>
      </c>
      <c r="M50" s="141">
        <v>0</v>
      </c>
      <c r="N50" s="141">
        <v>0</v>
      </c>
      <c r="O50" s="141">
        <v>0</v>
      </c>
      <c r="P50" s="141">
        <v>0</v>
      </c>
      <c r="Q50" s="144">
        <v>0</v>
      </c>
      <c r="R50" s="143">
        <v>0</v>
      </c>
      <c r="S50" s="141">
        <v>0</v>
      </c>
      <c r="T50" s="141">
        <v>0</v>
      </c>
      <c r="U50" s="141">
        <v>0</v>
      </c>
      <c r="V50" s="144">
        <v>0</v>
      </c>
      <c r="W50" s="185"/>
      <c r="X50" s="164" t="s">
        <v>498</v>
      </c>
      <c r="Y50" s="143">
        <v>0</v>
      </c>
      <c r="Z50" s="141">
        <v>0</v>
      </c>
      <c r="AA50" s="141">
        <v>0</v>
      </c>
      <c r="AB50" s="141">
        <v>0</v>
      </c>
      <c r="AC50" s="141">
        <v>0</v>
      </c>
      <c r="AD50" s="141">
        <v>0</v>
      </c>
      <c r="AE50" s="141">
        <v>0</v>
      </c>
      <c r="AF50" s="144">
        <v>0</v>
      </c>
      <c r="AG50" s="143">
        <v>0</v>
      </c>
      <c r="AH50" s="141">
        <v>0</v>
      </c>
      <c r="AI50" s="141">
        <v>0</v>
      </c>
      <c r="AJ50" s="141">
        <v>0</v>
      </c>
      <c r="AK50" s="144">
        <v>0</v>
      </c>
    </row>
    <row r="51" spans="2:37" s="98" customFormat="1" ht="15" customHeight="1">
      <c r="B51" s="901"/>
      <c r="C51" s="185"/>
      <c r="D51" s="162" t="s">
        <v>85</v>
      </c>
      <c r="G51" s="170"/>
      <c r="H51" s="163"/>
      <c r="I51" s="164" t="s">
        <v>498</v>
      </c>
      <c r="J51" s="143">
        <v>0</v>
      </c>
      <c r="K51" s="141">
        <v>0</v>
      </c>
      <c r="L51" s="141">
        <v>0</v>
      </c>
      <c r="M51" s="141">
        <v>0</v>
      </c>
      <c r="N51" s="141">
        <v>0</v>
      </c>
      <c r="O51" s="141">
        <v>0</v>
      </c>
      <c r="P51" s="141">
        <v>0</v>
      </c>
      <c r="Q51" s="144">
        <v>0</v>
      </c>
      <c r="R51" s="143">
        <v>0</v>
      </c>
      <c r="S51" s="141">
        <v>0</v>
      </c>
      <c r="T51" s="141">
        <v>0</v>
      </c>
      <c r="U51" s="141">
        <v>0</v>
      </c>
      <c r="V51" s="144">
        <v>0</v>
      </c>
      <c r="W51" s="185"/>
      <c r="X51" s="164" t="s">
        <v>498</v>
      </c>
      <c r="Y51" s="143">
        <v>0</v>
      </c>
      <c r="Z51" s="141">
        <v>0</v>
      </c>
      <c r="AA51" s="141">
        <v>0</v>
      </c>
      <c r="AB51" s="141">
        <v>0</v>
      </c>
      <c r="AC51" s="141">
        <v>0</v>
      </c>
      <c r="AD51" s="141">
        <v>0</v>
      </c>
      <c r="AE51" s="141">
        <v>0</v>
      </c>
      <c r="AF51" s="144">
        <v>0</v>
      </c>
      <c r="AG51" s="143">
        <v>0</v>
      </c>
      <c r="AH51" s="141">
        <v>0</v>
      </c>
      <c r="AI51" s="141">
        <v>0</v>
      </c>
      <c r="AJ51" s="141">
        <v>0</v>
      </c>
      <c r="AK51" s="144">
        <v>0</v>
      </c>
    </row>
    <row r="52" spans="2:37" s="98" customFormat="1" ht="15" customHeight="1">
      <c r="B52" s="901"/>
      <c r="C52" s="185"/>
      <c r="D52" s="162" t="s">
        <v>85</v>
      </c>
      <c r="G52" s="170"/>
      <c r="H52" s="163"/>
      <c r="I52" s="164" t="s">
        <v>498</v>
      </c>
      <c r="J52" s="143">
        <v>0</v>
      </c>
      <c r="K52" s="141">
        <v>0</v>
      </c>
      <c r="L52" s="141">
        <v>0</v>
      </c>
      <c r="M52" s="141">
        <v>0</v>
      </c>
      <c r="N52" s="141">
        <v>0</v>
      </c>
      <c r="O52" s="141">
        <v>0</v>
      </c>
      <c r="P52" s="141">
        <v>0</v>
      </c>
      <c r="Q52" s="144">
        <v>0</v>
      </c>
      <c r="R52" s="143">
        <v>0</v>
      </c>
      <c r="S52" s="141">
        <v>0</v>
      </c>
      <c r="T52" s="141">
        <v>0</v>
      </c>
      <c r="U52" s="141">
        <v>0</v>
      </c>
      <c r="V52" s="144">
        <v>0</v>
      </c>
      <c r="W52" s="185"/>
      <c r="X52" s="164" t="s">
        <v>498</v>
      </c>
      <c r="Y52" s="143">
        <v>0</v>
      </c>
      <c r="Z52" s="141">
        <v>0</v>
      </c>
      <c r="AA52" s="141">
        <v>0</v>
      </c>
      <c r="AB52" s="141">
        <v>0</v>
      </c>
      <c r="AC52" s="141">
        <v>0</v>
      </c>
      <c r="AD52" s="141">
        <v>0</v>
      </c>
      <c r="AE52" s="141">
        <v>0</v>
      </c>
      <c r="AF52" s="144">
        <v>0</v>
      </c>
      <c r="AG52" s="143">
        <v>0</v>
      </c>
      <c r="AH52" s="141">
        <v>0</v>
      </c>
      <c r="AI52" s="141">
        <v>0</v>
      </c>
      <c r="AJ52" s="141">
        <v>0</v>
      </c>
      <c r="AK52" s="144">
        <v>0</v>
      </c>
    </row>
    <row r="53" spans="2:37" s="98" customFormat="1" ht="15" customHeight="1">
      <c r="B53" s="494"/>
      <c r="C53" s="185" t="s">
        <v>1710</v>
      </c>
      <c r="D53" s="245"/>
      <c r="G53" s="184"/>
      <c r="H53" s="184"/>
      <c r="I53" s="164" t="s">
        <v>498</v>
      </c>
      <c r="J53" s="128">
        <f>SUM(J48:J52)</f>
        <v>0</v>
      </c>
      <c r="K53" s="129">
        <f t="shared" ref="K53:V53" si="89">SUM(K48:K52)</f>
        <v>0</v>
      </c>
      <c r="L53" s="129">
        <f t="shared" si="89"/>
        <v>0</v>
      </c>
      <c r="M53" s="129">
        <f t="shared" si="89"/>
        <v>0</v>
      </c>
      <c r="N53" s="129">
        <f t="shared" si="89"/>
        <v>0</v>
      </c>
      <c r="O53" s="129">
        <f t="shared" si="89"/>
        <v>0</v>
      </c>
      <c r="P53" s="129">
        <f t="shared" si="89"/>
        <v>0</v>
      </c>
      <c r="Q53" s="130">
        <f t="shared" si="89"/>
        <v>0</v>
      </c>
      <c r="R53" s="128">
        <f t="shared" si="89"/>
        <v>0</v>
      </c>
      <c r="S53" s="129">
        <f t="shared" si="89"/>
        <v>0</v>
      </c>
      <c r="T53" s="129">
        <f t="shared" si="89"/>
        <v>0</v>
      </c>
      <c r="U53" s="129">
        <f t="shared" si="89"/>
        <v>0</v>
      </c>
      <c r="V53" s="130">
        <f t="shared" si="89"/>
        <v>0</v>
      </c>
      <c r="W53" s="185"/>
      <c r="X53" s="164" t="s">
        <v>498</v>
      </c>
      <c r="Y53" s="128">
        <f>SUM(Y48:Y52)</f>
        <v>0</v>
      </c>
      <c r="Z53" s="129">
        <f t="shared" ref="Z53:AK53" si="90">SUM(Z48:Z52)</f>
        <v>0</v>
      </c>
      <c r="AA53" s="129">
        <f t="shared" si="90"/>
        <v>0</v>
      </c>
      <c r="AB53" s="129">
        <f t="shared" si="90"/>
        <v>0</v>
      </c>
      <c r="AC53" s="129">
        <f t="shared" si="90"/>
        <v>0</v>
      </c>
      <c r="AD53" s="129">
        <f t="shared" si="90"/>
        <v>0</v>
      </c>
      <c r="AE53" s="129">
        <f t="shared" si="90"/>
        <v>0</v>
      </c>
      <c r="AF53" s="130">
        <f t="shared" si="90"/>
        <v>0</v>
      </c>
      <c r="AG53" s="128">
        <f t="shared" si="90"/>
        <v>0</v>
      </c>
      <c r="AH53" s="129">
        <f t="shared" si="90"/>
        <v>0</v>
      </c>
      <c r="AI53" s="129">
        <f t="shared" si="90"/>
        <v>0</v>
      </c>
      <c r="AJ53" s="129">
        <f t="shared" si="90"/>
        <v>0</v>
      </c>
      <c r="AK53" s="130">
        <f t="shared" si="90"/>
        <v>0</v>
      </c>
    </row>
    <row r="54" spans="2:37" s="98" customFormat="1" ht="15" customHeight="1">
      <c r="B54" s="494"/>
      <c r="C54" s="185"/>
      <c r="D54" s="185"/>
      <c r="E54" s="182"/>
      <c r="F54" s="182"/>
      <c r="G54" s="184"/>
      <c r="H54" s="184"/>
      <c r="I54" s="117"/>
      <c r="J54" s="713"/>
      <c r="K54" s="714"/>
      <c r="L54" s="714"/>
      <c r="M54" s="714"/>
      <c r="N54" s="714"/>
      <c r="O54" s="714"/>
      <c r="P54" s="714"/>
      <c r="Q54" s="715"/>
      <c r="R54" s="714"/>
      <c r="S54" s="714"/>
      <c r="T54" s="714"/>
      <c r="U54" s="714"/>
      <c r="V54" s="715"/>
      <c r="W54" s="185"/>
      <c r="X54" s="117"/>
      <c r="Y54" s="713"/>
      <c r="Z54" s="714"/>
      <c r="AA54" s="714"/>
      <c r="AB54" s="714"/>
      <c r="AC54" s="714"/>
      <c r="AD54" s="714"/>
      <c r="AE54" s="714"/>
      <c r="AF54" s="715"/>
      <c r="AG54" s="714"/>
      <c r="AH54" s="714"/>
      <c r="AI54" s="714"/>
      <c r="AJ54" s="714"/>
      <c r="AK54" s="715"/>
    </row>
    <row r="55" spans="2:37" s="98" customFormat="1" ht="15" customHeight="1">
      <c r="B55" s="901"/>
      <c r="C55" s="180" t="s">
        <v>2382</v>
      </c>
      <c r="D55" s="180"/>
      <c r="E55" s="162"/>
      <c r="F55" s="162"/>
      <c r="G55" s="163"/>
      <c r="H55" s="163"/>
      <c r="I55" s="117"/>
      <c r="J55" s="713"/>
      <c r="K55" s="721"/>
      <c r="L55" s="721"/>
      <c r="M55" s="721"/>
      <c r="N55" s="721"/>
      <c r="O55" s="721"/>
      <c r="P55" s="721"/>
      <c r="Q55" s="715"/>
      <c r="R55" s="713"/>
      <c r="S55" s="721"/>
      <c r="T55" s="721"/>
      <c r="U55" s="721"/>
      <c r="V55" s="715"/>
      <c r="W55" s="185"/>
      <c r="X55" s="117"/>
      <c r="Y55" s="713"/>
      <c r="Z55" s="721"/>
      <c r="AA55" s="721"/>
      <c r="AB55" s="721"/>
      <c r="AC55" s="721"/>
      <c r="AD55" s="721"/>
      <c r="AE55" s="721"/>
      <c r="AF55" s="715"/>
      <c r="AG55" s="713"/>
      <c r="AH55" s="721"/>
      <c r="AI55" s="721"/>
      <c r="AJ55" s="721"/>
      <c r="AK55" s="715"/>
    </row>
    <row r="56" spans="2:37" s="98" customFormat="1" ht="15" customHeight="1">
      <c r="B56" s="901"/>
      <c r="C56" s="185"/>
      <c r="D56" s="162" t="s">
        <v>85</v>
      </c>
      <c r="G56" s="170"/>
      <c r="H56" s="163"/>
      <c r="I56" s="164" t="s">
        <v>498</v>
      </c>
      <c r="J56" s="143">
        <v>0</v>
      </c>
      <c r="K56" s="141">
        <v>0</v>
      </c>
      <c r="L56" s="141">
        <v>0</v>
      </c>
      <c r="M56" s="141">
        <v>0</v>
      </c>
      <c r="N56" s="141">
        <v>0</v>
      </c>
      <c r="O56" s="141">
        <v>0</v>
      </c>
      <c r="P56" s="141">
        <v>0</v>
      </c>
      <c r="Q56" s="144">
        <v>0</v>
      </c>
      <c r="R56" s="143">
        <v>0</v>
      </c>
      <c r="S56" s="141">
        <v>0</v>
      </c>
      <c r="T56" s="141">
        <v>0</v>
      </c>
      <c r="U56" s="141">
        <v>0</v>
      </c>
      <c r="V56" s="144">
        <v>0</v>
      </c>
      <c r="W56" s="185"/>
      <c r="X56" s="164" t="s">
        <v>498</v>
      </c>
      <c r="Y56" s="143">
        <v>0</v>
      </c>
      <c r="Z56" s="141">
        <v>0</v>
      </c>
      <c r="AA56" s="141">
        <v>0</v>
      </c>
      <c r="AB56" s="141">
        <v>0</v>
      </c>
      <c r="AC56" s="141">
        <v>0</v>
      </c>
      <c r="AD56" s="141">
        <v>0</v>
      </c>
      <c r="AE56" s="141">
        <v>0</v>
      </c>
      <c r="AF56" s="144">
        <v>0</v>
      </c>
      <c r="AG56" s="143">
        <v>0</v>
      </c>
      <c r="AH56" s="141">
        <v>0</v>
      </c>
      <c r="AI56" s="141">
        <v>0</v>
      </c>
      <c r="AJ56" s="141">
        <v>0</v>
      </c>
      <c r="AK56" s="144">
        <v>0</v>
      </c>
    </row>
    <row r="57" spans="2:37" s="98" customFormat="1" ht="15" customHeight="1">
      <c r="B57" s="901"/>
      <c r="C57" s="185"/>
      <c r="D57" s="162" t="s">
        <v>85</v>
      </c>
      <c r="G57" s="170"/>
      <c r="H57" s="163"/>
      <c r="I57" s="164" t="s">
        <v>498</v>
      </c>
      <c r="J57" s="143">
        <v>0</v>
      </c>
      <c r="K57" s="141">
        <v>0</v>
      </c>
      <c r="L57" s="141">
        <v>0</v>
      </c>
      <c r="M57" s="141">
        <v>0</v>
      </c>
      <c r="N57" s="141">
        <v>0</v>
      </c>
      <c r="O57" s="141">
        <v>0</v>
      </c>
      <c r="P57" s="141">
        <v>0</v>
      </c>
      <c r="Q57" s="144">
        <v>0</v>
      </c>
      <c r="R57" s="143">
        <v>0</v>
      </c>
      <c r="S57" s="141">
        <v>0</v>
      </c>
      <c r="T57" s="141">
        <v>0</v>
      </c>
      <c r="U57" s="141">
        <v>0</v>
      </c>
      <c r="V57" s="144">
        <v>0</v>
      </c>
      <c r="W57" s="185"/>
      <c r="X57" s="164" t="s">
        <v>498</v>
      </c>
      <c r="Y57" s="143">
        <v>0</v>
      </c>
      <c r="Z57" s="141">
        <v>0</v>
      </c>
      <c r="AA57" s="141">
        <v>0</v>
      </c>
      <c r="AB57" s="141">
        <v>0</v>
      </c>
      <c r="AC57" s="141">
        <v>0</v>
      </c>
      <c r="AD57" s="141">
        <v>0</v>
      </c>
      <c r="AE57" s="141">
        <v>0</v>
      </c>
      <c r="AF57" s="144">
        <v>0</v>
      </c>
      <c r="AG57" s="143">
        <v>0</v>
      </c>
      <c r="AH57" s="141">
        <v>0</v>
      </c>
      <c r="AI57" s="141">
        <v>0</v>
      </c>
      <c r="AJ57" s="141">
        <v>0</v>
      </c>
      <c r="AK57" s="144">
        <v>0</v>
      </c>
    </row>
    <row r="58" spans="2:37" s="98" customFormat="1" ht="15" customHeight="1">
      <c r="B58" s="901"/>
      <c r="C58" s="185"/>
      <c r="D58" s="162" t="s">
        <v>85</v>
      </c>
      <c r="G58" s="170"/>
      <c r="H58" s="163"/>
      <c r="I58" s="164" t="s">
        <v>498</v>
      </c>
      <c r="J58" s="143">
        <v>0</v>
      </c>
      <c r="K58" s="141">
        <v>0</v>
      </c>
      <c r="L58" s="141">
        <v>0</v>
      </c>
      <c r="M58" s="141">
        <v>0</v>
      </c>
      <c r="N58" s="141">
        <v>0</v>
      </c>
      <c r="O58" s="141">
        <v>0</v>
      </c>
      <c r="P58" s="141">
        <v>0</v>
      </c>
      <c r="Q58" s="144">
        <v>0</v>
      </c>
      <c r="R58" s="143">
        <v>0</v>
      </c>
      <c r="S58" s="141">
        <v>0</v>
      </c>
      <c r="T58" s="141">
        <v>0</v>
      </c>
      <c r="U58" s="141">
        <v>0</v>
      </c>
      <c r="V58" s="144">
        <v>0</v>
      </c>
      <c r="W58" s="185"/>
      <c r="X58" s="164" t="s">
        <v>498</v>
      </c>
      <c r="Y58" s="143">
        <v>0</v>
      </c>
      <c r="Z58" s="141">
        <v>0</v>
      </c>
      <c r="AA58" s="141">
        <v>0</v>
      </c>
      <c r="AB58" s="141">
        <v>0</v>
      </c>
      <c r="AC58" s="141">
        <v>0</v>
      </c>
      <c r="AD58" s="141">
        <v>0</v>
      </c>
      <c r="AE58" s="141">
        <v>0</v>
      </c>
      <c r="AF58" s="144">
        <v>0</v>
      </c>
      <c r="AG58" s="143">
        <v>0</v>
      </c>
      <c r="AH58" s="141">
        <v>0</v>
      </c>
      <c r="AI58" s="141">
        <v>0</v>
      </c>
      <c r="AJ58" s="141">
        <v>0</v>
      </c>
      <c r="AK58" s="144">
        <v>0</v>
      </c>
    </row>
    <row r="59" spans="2:37" s="98" customFormat="1" ht="15" customHeight="1">
      <c r="B59" s="901"/>
      <c r="C59" s="185"/>
      <c r="D59" s="162" t="s">
        <v>85</v>
      </c>
      <c r="G59" s="170"/>
      <c r="H59" s="163"/>
      <c r="I59" s="164" t="s">
        <v>498</v>
      </c>
      <c r="J59" s="143">
        <v>0</v>
      </c>
      <c r="K59" s="141">
        <v>0</v>
      </c>
      <c r="L59" s="141">
        <v>0</v>
      </c>
      <c r="M59" s="141">
        <v>0</v>
      </c>
      <c r="N59" s="141">
        <v>0</v>
      </c>
      <c r="O59" s="141">
        <v>0</v>
      </c>
      <c r="P59" s="141">
        <v>0</v>
      </c>
      <c r="Q59" s="144">
        <v>0</v>
      </c>
      <c r="R59" s="143">
        <v>0</v>
      </c>
      <c r="S59" s="141">
        <v>0</v>
      </c>
      <c r="T59" s="141">
        <v>0</v>
      </c>
      <c r="U59" s="141">
        <v>0</v>
      </c>
      <c r="V59" s="144">
        <v>0</v>
      </c>
      <c r="W59" s="185"/>
      <c r="X59" s="164" t="s">
        <v>498</v>
      </c>
      <c r="Y59" s="143">
        <v>0</v>
      </c>
      <c r="Z59" s="141">
        <v>0</v>
      </c>
      <c r="AA59" s="141">
        <v>0</v>
      </c>
      <c r="AB59" s="141">
        <v>0</v>
      </c>
      <c r="AC59" s="141">
        <v>0</v>
      </c>
      <c r="AD59" s="141">
        <v>0</v>
      </c>
      <c r="AE59" s="141">
        <v>0</v>
      </c>
      <c r="AF59" s="144">
        <v>0</v>
      </c>
      <c r="AG59" s="143">
        <v>0</v>
      </c>
      <c r="AH59" s="141">
        <v>0</v>
      </c>
      <c r="AI59" s="141">
        <v>0</v>
      </c>
      <c r="AJ59" s="141">
        <v>0</v>
      </c>
      <c r="AK59" s="144">
        <v>0</v>
      </c>
    </row>
    <row r="60" spans="2:37" s="98" customFormat="1" ht="15" customHeight="1">
      <c r="B60" s="901"/>
      <c r="C60" s="185"/>
      <c r="D60" s="162" t="s">
        <v>85</v>
      </c>
      <c r="G60" s="170"/>
      <c r="H60" s="163"/>
      <c r="I60" s="164" t="s">
        <v>498</v>
      </c>
      <c r="J60" s="143">
        <v>0</v>
      </c>
      <c r="K60" s="141">
        <v>0</v>
      </c>
      <c r="L60" s="141">
        <v>0</v>
      </c>
      <c r="M60" s="141">
        <v>0</v>
      </c>
      <c r="N60" s="141">
        <v>0</v>
      </c>
      <c r="O60" s="141">
        <v>0</v>
      </c>
      <c r="P60" s="141">
        <v>0</v>
      </c>
      <c r="Q60" s="144">
        <v>0</v>
      </c>
      <c r="R60" s="143">
        <v>0</v>
      </c>
      <c r="S60" s="141">
        <v>0</v>
      </c>
      <c r="T60" s="141">
        <v>0</v>
      </c>
      <c r="U60" s="141">
        <v>0</v>
      </c>
      <c r="V60" s="144">
        <v>0</v>
      </c>
      <c r="W60" s="185"/>
      <c r="X60" s="164" t="s">
        <v>498</v>
      </c>
      <c r="Y60" s="143">
        <v>0</v>
      </c>
      <c r="Z60" s="141">
        <v>0</v>
      </c>
      <c r="AA60" s="141">
        <v>0</v>
      </c>
      <c r="AB60" s="141">
        <v>0</v>
      </c>
      <c r="AC60" s="141">
        <v>0</v>
      </c>
      <c r="AD60" s="141">
        <v>0</v>
      </c>
      <c r="AE60" s="141">
        <v>0</v>
      </c>
      <c r="AF60" s="144">
        <v>0</v>
      </c>
      <c r="AG60" s="143">
        <v>0</v>
      </c>
      <c r="AH60" s="141">
        <v>0</v>
      </c>
      <c r="AI60" s="141">
        <v>0</v>
      </c>
      <c r="AJ60" s="141">
        <v>0</v>
      </c>
      <c r="AK60" s="144">
        <v>0</v>
      </c>
    </row>
    <row r="61" spans="2:37" s="98" customFormat="1" ht="15" customHeight="1">
      <c r="B61" s="901"/>
      <c r="C61" s="185"/>
      <c r="D61" s="162" t="s">
        <v>85</v>
      </c>
      <c r="G61" s="170"/>
      <c r="H61" s="163"/>
      <c r="I61" s="164" t="s">
        <v>498</v>
      </c>
      <c r="J61" s="143">
        <v>0</v>
      </c>
      <c r="K61" s="141">
        <v>0</v>
      </c>
      <c r="L61" s="141">
        <v>0</v>
      </c>
      <c r="M61" s="141">
        <v>0</v>
      </c>
      <c r="N61" s="141">
        <v>0</v>
      </c>
      <c r="O61" s="141">
        <v>0</v>
      </c>
      <c r="P61" s="141">
        <v>0</v>
      </c>
      <c r="Q61" s="144">
        <v>0</v>
      </c>
      <c r="R61" s="143">
        <v>0</v>
      </c>
      <c r="S61" s="141">
        <v>0</v>
      </c>
      <c r="T61" s="141">
        <v>0</v>
      </c>
      <c r="U61" s="141">
        <v>0</v>
      </c>
      <c r="V61" s="144">
        <v>0</v>
      </c>
      <c r="W61" s="185"/>
      <c r="X61" s="164" t="s">
        <v>498</v>
      </c>
      <c r="Y61" s="143">
        <v>0</v>
      </c>
      <c r="Z61" s="141">
        <v>0</v>
      </c>
      <c r="AA61" s="141">
        <v>0</v>
      </c>
      <c r="AB61" s="141">
        <v>0</v>
      </c>
      <c r="AC61" s="141">
        <v>0</v>
      </c>
      <c r="AD61" s="141">
        <v>0</v>
      </c>
      <c r="AE61" s="141">
        <v>0</v>
      </c>
      <c r="AF61" s="144">
        <v>0</v>
      </c>
      <c r="AG61" s="143">
        <v>0</v>
      </c>
      <c r="AH61" s="141">
        <v>0</v>
      </c>
      <c r="AI61" s="141">
        <v>0</v>
      </c>
      <c r="AJ61" s="141">
        <v>0</v>
      </c>
      <c r="AK61" s="144">
        <v>0</v>
      </c>
    </row>
    <row r="62" spans="2:37" s="98" customFormat="1" ht="15" customHeight="1">
      <c r="B62" s="901"/>
      <c r="C62" s="185"/>
      <c r="D62" s="162" t="s">
        <v>85</v>
      </c>
      <c r="G62" s="170"/>
      <c r="H62" s="163"/>
      <c r="I62" s="164" t="s">
        <v>498</v>
      </c>
      <c r="J62" s="143">
        <v>0</v>
      </c>
      <c r="K62" s="141">
        <v>0</v>
      </c>
      <c r="L62" s="141">
        <v>0</v>
      </c>
      <c r="M62" s="141">
        <v>0</v>
      </c>
      <c r="N62" s="141">
        <v>0</v>
      </c>
      <c r="O62" s="141">
        <v>0</v>
      </c>
      <c r="P62" s="141">
        <v>0</v>
      </c>
      <c r="Q62" s="144">
        <v>0</v>
      </c>
      <c r="R62" s="143">
        <v>0</v>
      </c>
      <c r="S62" s="141">
        <v>0</v>
      </c>
      <c r="T62" s="141">
        <v>0</v>
      </c>
      <c r="U62" s="141">
        <v>0</v>
      </c>
      <c r="V62" s="144">
        <v>0</v>
      </c>
      <c r="W62" s="185"/>
      <c r="X62" s="164" t="s">
        <v>498</v>
      </c>
      <c r="Y62" s="143">
        <v>0</v>
      </c>
      <c r="Z62" s="141">
        <v>0</v>
      </c>
      <c r="AA62" s="141">
        <v>0</v>
      </c>
      <c r="AB62" s="141">
        <v>0</v>
      </c>
      <c r="AC62" s="141">
        <v>0</v>
      </c>
      <c r="AD62" s="141">
        <v>0</v>
      </c>
      <c r="AE62" s="141">
        <v>0</v>
      </c>
      <c r="AF62" s="144">
        <v>0</v>
      </c>
      <c r="AG62" s="143">
        <v>0</v>
      </c>
      <c r="AH62" s="141">
        <v>0</v>
      </c>
      <c r="AI62" s="141">
        <v>0</v>
      </c>
      <c r="AJ62" s="141">
        <v>0</v>
      </c>
      <c r="AK62" s="144">
        <v>0</v>
      </c>
    </row>
    <row r="63" spans="2:37" s="98" customFormat="1" ht="15" customHeight="1">
      <c r="B63" s="901"/>
      <c r="C63" s="185"/>
      <c r="D63" s="162" t="s">
        <v>85</v>
      </c>
      <c r="G63" s="170"/>
      <c r="H63" s="163"/>
      <c r="I63" s="164" t="s">
        <v>498</v>
      </c>
      <c r="J63" s="143">
        <v>0</v>
      </c>
      <c r="K63" s="141">
        <v>0</v>
      </c>
      <c r="L63" s="141">
        <v>0</v>
      </c>
      <c r="M63" s="141">
        <v>0</v>
      </c>
      <c r="N63" s="141">
        <v>0</v>
      </c>
      <c r="O63" s="141">
        <v>0</v>
      </c>
      <c r="P63" s="141">
        <v>0</v>
      </c>
      <c r="Q63" s="144">
        <v>0</v>
      </c>
      <c r="R63" s="143">
        <v>0</v>
      </c>
      <c r="S63" s="141">
        <v>0</v>
      </c>
      <c r="T63" s="141">
        <v>0</v>
      </c>
      <c r="U63" s="141">
        <v>0</v>
      </c>
      <c r="V63" s="144">
        <v>0</v>
      </c>
      <c r="W63" s="185"/>
      <c r="X63" s="164" t="s">
        <v>498</v>
      </c>
      <c r="Y63" s="143">
        <v>0</v>
      </c>
      <c r="Z63" s="141">
        <v>0</v>
      </c>
      <c r="AA63" s="141">
        <v>0</v>
      </c>
      <c r="AB63" s="141">
        <v>0</v>
      </c>
      <c r="AC63" s="141">
        <v>0</v>
      </c>
      <c r="AD63" s="141">
        <v>0</v>
      </c>
      <c r="AE63" s="141">
        <v>0</v>
      </c>
      <c r="AF63" s="144">
        <v>0</v>
      </c>
      <c r="AG63" s="143">
        <v>0</v>
      </c>
      <c r="AH63" s="141">
        <v>0</v>
      </c>
      <c r="AI63" s="141">
        <v>0</v>
      </c>
      <c r="AJ63" s="141">
        <v>0</v>
      </c>
      <c r="AK63" s="144">
        <v>0</v>
      </c>
    </row>
    <row r="64" spans="2:37" s="98" customFormat="1" ht="15" customHeight="1">
      <c r="B64" s="901"/>
      <c r="C64" s="185"/>
      <c r="D64" s="162" t="s">
        <v>85</v>
      </c>
      <c r="G64" s="170"/>
      <c r="H64" s="163"/>
      <c r="I64" s="164" t="s">
        <v>498</v>
      </c>
      <c r="J64" s="143">
        <v>0</v>
      </c>
      <c r="K64" s="141">
        <v>0</v>
      </c>
      <c r="L64" s="141">
        <v>0</v>
      </c>
      <c r="M64" s="141">
        <v>0</v>
      </c>
      <c r="N64" s="141">
        <v>0</v>
      </c>
      <c r="O64" s="141">
        <v>0</v>
      </c>
      <c r="P64" s="141">
        <v>0</v>
      </c>
      <c r="Q64" s="144">
        <v>0</v>
      </c>
      <c r="R64" s="143">
        <v>0</v>
      </c>
      <c r="S64" s="141">
        <v>0</v>
      </c>
      <c r="T64" s="141">
        <v>0</v>
      </c>
      <c r="U64" s="141">
        <v>0</v>
      </c>
      <c r="V64" s="144">
        <v>0</v>
      </c>
      <c r="W64" s="185"/>
      <c r="X64" s="164" t="s">
        <v>498</v>
      </c>
      <c r="Y64" s="143">
        <v>0</v>
      </c>
      <c r="Z64" s="141">
        <v>0</v>
      </c>
      <c r="AA64" s="141">
        <v>0</v>
      </c>
      <c r="AB64" s="141">
        <v>0</v>
      </c>
      <c r="AC64" s="141">
        <v>0</v>
      </c>
      <c r="AD64" s="141">
        <v>0</v>
      </c>
      <c r="AE64" s="141">
        <v>0</v>
      </c>
      <c r="AF64" s="144">
        <v>0</v>
      </c>
      <c r="AG64" s="143">
        <v>0</v>
      </c>
      <c r="AH64" s="141">
        <v>0</v>
      </c>
      <c r="AI64" s="141">
        <v>0</v>
      </c>
      <c r="AJ64" s="141">
        <v>0</v>
      </c>
      <c r="AK64" s="144">
        <v>0</v>
      </c>
    </row>
    <row r="65" spans="1:53" s="98" customFormat="1" ht="15" customHeight="1">
      <c r="B65" s="901"/>
      <c r="C65" s="185"/>
      <c r="D65" s="162" t="s">
        <v>85</v>
      </c>
      <c r="G65" s="170"/>
      <c r="H65" s="163"/>
      <c r="I65" s="164" t="s">
        <v>498</v>
      </c>
      <c r="J65" s="143">
        <v>0</v>
      </c>
      <c r="K65" s="141">
        <v>0</v>
      </c>
      <c r="L65" s="141">
        <v>0</v>
      </c>
      <c r="M65" s="141">
        <v>0</v>
      </c>
      <c r="N65" s="141">
        <v>0</v>
      </c>
      <c r="O65" s="141">
        <v>0</v>
      </c>
      <c r="P65" s="141">
        <v>0</v>
      </c>
      <c r="Q65" s="144">
        <v>0</v>
      </c>
      <c r="R65" s="143">
        <v>0</v>
      </c>
      <c r="S65" s="141">
        <v>0</v>
      </c>
      <c r="T65" s="141">
        <v>0</v>
      </c>
      <c r="U65" s="141">
        <v>0</v>
      </c>
      <c r="V65" s="144">
        <v>0</v>
      </c>
      <c r="W65" s="185"/>
      <c r="X65" s="164" t="s">
        <v>498</v>
      </c>
      <c r="Y65" s="143">
        <v>0</v>
      </c>
      <c r="Z65" s="141">
        <v>0</v>
      </c>
      <c r="AA65" s="141">
        <v>0</v>
      </c>
      <c r="AB65" s="141">
        <v>0</v>
      </c>
      <c r="AC65" s="141">
        <v>0</v>
      </c>
      <c r="AD65" s="141">
        <v>0</v>
      </c>
      <c r="AE65" s="141">
        <v>0</v>
      </c>
      <c r="AF65" s="144">
        <v>0</v>
      </c>
      <c r="AG65" s="143">
        <v>0</v>
      </c>
      <c r="AH65" s="141">
        <v>0</v>
      </c>
      <c r="AI65" s="141">
        <v>0</v>
      </c>
      <c r="AJ65" s="141">
        <v>0</v>
      </c>
      <c r="AK65" s="144">
        <v>0</v>
      </c>
    </row>
    <row r="66" spans="1:53" s="98" customFormat="1" ht="15" customHeight="1">
      <c r="B66" s="494"/>
      <c r="C66" s="185" t="s">
        <v>1710</v>
      </c>
      <c r="D66" s="245"/>
      <c r="G66" s="184"/>
      <c r="H66" s="184"/>
      <c r="I66" s="164" t="s">
        <v>498</v>
      </c>
      <c r="J66" s="128">
        <f>SUM(J56:J65)</f>
        <v>0</v>
      </c>
      <c r="K66" s="129">
        <f t="shared" ref="K66:V66" si="91">SUM(K56:K65)</f>
        <v>0</v>
      </c>
      <c r="L66" s="129">
        <f t="shared" si="91"/>
        <v>0</v>
      </c>
      <c r="M66" s="129">
        <f t="shared" si="91"/>
        <v>0</v>
      </c>
      <c r="N66" s="129">
        <f t="shared" si="91"/>
        <v>0</v>
      </c>
      <c r="O66" s="129">
        <f t="shared" si="91"/>
        <v>0</v>
      </c>
      <c r="P66" s="129">
        <f t="shared" si="91"/>
        <v>0</v>
      </c>
      <c r="Q66" s="130">
        <f t="shared" si="91"/>
        <v>0</v>
      </c>
      <c r="R66" s="128">
        <f t="shared" si="91"/>
        <v>0</v>
      </c>
      <c r="S66" s="129">
        <f t="shared" si="91"/>
        <v>0</v>
      </c>
      <c r="T66" s="129">
        <f t="shared" si="91"/>
        <v>0</v>
      </c>
      <c r="U66" s="129">
        <f t="shared" si="91"/>
        <v>0</v>
      </c>
      <c r="V66" s="130">
        <f t="shared" si="91"/>
        <v>0</v>
      </c>
      <c r="W66" s="185"/>
      <c r="X66" s="164" t="s">
        <v>498</v>
      </c>
      <c r="Y66" s="128">
        <f>SUM(Y56:Y65)</f>
        <v>0</v>
      </c>
      <c r="Z66" s="129">
        <f t="shared" ref="Z66" si="92">SUM(Z56:Z65)</f>
        <v>0</v>
      </c>
      <c r="AA66" s="129">
        <f t="shared" ref="AA66" si="93">SUM(AA56:AA65)</f>
        <v>0</v>
      </c>
      <c r="AB66" s="129">
        <f t="shared" ref="AB66" si="94">SUM(AB56:AB65)</f>
        <v>0</v>
      </c>
      <c r="AC66" s="129">
        <f t="shared" ref="AC66" si="95">SUM(AC56:AC65)</f>
        <v>0</v>
      </c>
      <c r="AD66" s="129">
        <f t="shared" ref="AD66" si="96">SUM(AD56:AD65)</f>
        <v>0</v>
      </c>
      <c r="AE66" s="129">
        <f t="shared" ref="AE66" si="97">SUM(AE56:AE65)</f>
        <v>0</v>
      </c>
      <c r="AF66" s="130">
        <f t="shared" ref="AF66" si="98">SUM(AF56:AF65)</f>
        <v>0</v>
      </c>
      <c r="AG66" s="128">
        <f t="shared" ref="AG66" si="99">SUM(AG56:AG65)</f>
        <v>0</v>
      </c>
      <c r="AH66" s="129">
        <f t="shared" ref="AH66" si="100">SUM(AH56:AH65)</f>
        <v>0</v>
      </c>
      <c r="AI66" s="129">
        <f t="shared" ref="AI66" si="101">SUM(AI56:AI65)</f>
        <v>0</v>
      </c>
      <c r="AJ66" s="129">
        <f t="shared" ref="AJ66" si="102">SUM(AJ56:AJ65)</f>
        <v>0</v>
      </c>
      <c r="AK66" s="130">
        <f t="shared" ref="AK66" si="103">SUM(AK56:AK65)</f>
        <v>0</v>
      </c>
    </row>
    <row r="67" spans="1:53" s="98" customFormat="1" ht="15" customHeight="1">
      <c r="B67" s="494"/>
      <c r="C67" s="185"/>
      <c r="D67" s="185"/>
      <c r="E67" s="182"/>
      <c r="F67" s="182"/>
      <c r="G67" s="184"/>
      <c r="H67" s="184"/>
      <c r="I67" s="117"/>
      <c r="J67" s="713"/>
      <c r="K67" s="714"/>
      <c r="L67" s="714"/>
      <c r="M67" s="714"/>
      <c r="N67" s="714"/>
      <c r="O67" s="714"/>
      <c r="P67" s="714"/>
      <c r="Q67" s="715"/>
      <c r="R67" s="714"/>
      <c r="S67" s="714"/>
      <c r="T67" s="714"/>
      <c r="U67" s="714"/>
      <c r="V67" s="715"/>
      <c r="W67" s="185"/>
      <c r="X67" s="117"/>
      <c r="Y67" s="713"/>
      <c r="Z67" s="714"/>
      <c r="AA67" s="714"/>
      <c r="AB67" s="714"/>
      <c r="AC67" s="714"/>
      <c r="AD67" s="714"/>
      <c r="AE67" s="714"/>
      <c r="AF67" s="715"/>
      <c r="AG67" s="714"/>
      <c r="AH67" s="714"/>
      <c r="AI67" s="714"/>
      <c r="AJ67" s="714"/>
      <c r="AK67" s="715"/>
    </row>
    <row r="68" spans="1:53" s="98" customFormat="1" ht="15" customHeight="1" thickBot="1">
      <c r="A68" s="99"/>
      <c r="B68" s="902" t="s">
        <v>1701</v>
      </c>
      <c r="C68" s="240"/>
      <c r="D68" s="240"/>
      <c r="E68" s="240"/>
      <c r="F68" s="240"/>
      <c r="G68" s="241"/>
      <c r="H68" s="241"/>
      <c r="I68" s="195" t="s">
        <v>498</v>
      </c>
      <c r="J68" s="717">
        <f>SUM(J24,J31,J38,J45,J53,J66)</f>
        <v>0</v>
      </c>
      <c r="K68" s="718">
        <f t="shared" ref="K68:V68" si="104">SUM(K24,K31,K38,K45,K53,K66)</f>
        <v>0</v>
      </c>
      <c r="L68" s="718">
        <f t="shared" si="104"/>
        <v>0</v>
      </c>
      <c r="M68" s="718">
        <f t="shared" si="104"/>
        <v>0</v>
      </c>
      <c r="N68" s="718">
        <f t="shared" si="104"/>
        <v>0</v>
      </c>
      <c r="O68" s="718">
        <f t="shared" si="104"/>
        <v>0</v>
      </c>
      <c r="P68" s="718">
        <f t="shared" si="104"/>
        <v>0</v>
      </c>
      <c r="Q68" s="719">
        <f t="shared" si="104"/>
        <v>0</v>
      </c>
      <c r="R68" s="717">
        <f t="shared" si="104"/>
        <v>0</v>
      </c>
      <c r="S68" s="718">
        <f t="shared" si="104"/>
        <v>0</v>
      </c>
      <c r="T68" s="718">
        <f t="shared" si="104"/>
        <v>0</v>
      </c>
      <c r="U68" s="718">
        <f t="shared" si="104"/>
        <v>0</v>
      </c>
      <c r="V68" s="719">
        <f t="shared" si="104"/>
        <v>0</v>
      </c>
      <c r="W68" s="192"/>
      <c r="X68" s="195" t="s">
        <v>498</v>
      </c>
      <c r="Y68" s="717">
        <f>SUM(Y24,Y31,Y38,Y45,Y53,Y66)</f>
        <v>0</v>
      </c>
      <c r="Z68" s="718">
        <f t="shared" ref="Z68:AK68" si="105">SUM(Z24,Z31,Z38,Z45,Z53,Z66)</f>
        <v>0</v>
      </c>
      <c r="AA68" s="718">
        <f t="shared" si="105"/>
        <v>0</v>
      </c>
      <c r="AB68" s="718">
        <f t="shared" si="105"/>
        <v>0</v>
      </c>
      <c r="AC68" s="718">
        <f t="shared" si="105"/>
        <v>0</v>
      </c>
      <c r="AD68" s="718">
        <f t="shared" si="105"/>
        <v>0</v>
      </c>
      <c r="AE68" s="718">
        <f t="shared" si="105"/>
        <v>0</v>
      </c>
      <c r="AF68" s="719">
        <f t="shared" si="105"/>
        <v>0</v>
      </c>
      <c r="AG68" s="717">
        <f t="shared" si="105"/>
        <v>0</v>
      </c>
      <c r="AH68" s="718">
        <f t="shared" si="105"/>
        <v>0</v>
      </c>
      <c r="AI68" s="718">
        <f t="shared" si="105"/>
        <v>0</v>
      </c>
      <c r="AJ68" s="718">
        <f t="shared" si="105"/>
        <v>0</v>
      </c>
      <c r="AK68" s="719">
        <f t="shared" si="105"/>
        <v>0</v>
      </c>
    </row>
    <row r="69" spans="1:53" s="99" customFormat="1" ht="15" customHeight="1" thickBot="1">
      <c r="B69" s="894"/>
      <c r="C69" s="150"/>
      <c r="D69" s="150"/>
      <c r="E69" s="150"/>
      <c r="F69" s="150"/>
      <c r="G69" s="97"/>
      <c r="H69" s="97"/>
      <c r="I69" s="98"/>
      <c r="J69" s="98"/>
      <c r="K69" s="98"/>
      <c r="L69" s="98"/>
      <c r="M69" s="98"/>
      <c r="N69" s="98"/>
      <c r="O69" s="98"/>
      <c r="P69" s="98"/>
      <c r="Q69" s="98"/>
      <c r="R69" s="98"/>
      <c r="S69" s="98"/>
      <c r="T69" s="98"/>
      <c r="U69" s="98"/>
      <c r="V69" s="98"/>
      <c r="AL69" s="98"/>
      <c r="AM69" s="98"/>
      <c r="AN69" s="98"/>
      <c r="AO69" s="98"/>
      <c r="AP69" s="98"/>
      <c r="AQ69" s="98"/>
      <c r="AR69" s="98"/>
      <c r="AS69" s="98"/>
      <c r="AT69" s="98"/>
      <c r="AU69" s="98"/>
      <c r="AV69" s="98"/>
      <c r="AW69" s="98"/>
      <c r="AX69" s="98"/>
      <c r="AY69" s="98"/>
      <c r="AZ69" s="98"/>
      <c r="BA69" s="98"/>
    </row>
    <row r="70" spans="1:53" s="100" customFormat="1" ht="30" customHeight="1" thickBot="1">
      <c r="A70" s="89"/>
      <c r="B70" s="621" t="s">
        <v>2374</v>
      </c>
      <c r="C70" s="102"/>
      <c r="D70" s="102"/>
      <c r="E70" s="102"/>
      <c r="F70" s="102"/>
      <c r="G70" s="103"/>
      <c r="H70" s="103"/>
      <c r="I70" s="105" t="s">
        <v>1864</v>
      </c>
      <c r="J70" s="106"/>
      <c r="K70" s="106"/>
      <c r="L70" s="106"/>
      <c r="M70" s="106"/>
      <c r="N70" s="106"/>
      <c r="O70" s="106"/>
      <c r="P70" s="106"/>
      <c r="Q70" s="106"/>
      <c r="R70" s="105"/>
      <c r="S70" s="105"/>
      <c r="T70" s="105"/>
      <c r="U70" s="105"/>
      <c r="V70" s="187"/>
      <c r="W70" s="103"/>
      <c r="X70" s="105" t="s">
        <v>2376</v>
      </c>
      <c r="Y70" s="106"/>
      <c r="Z70" s="106"/>
      <c r="AA70" s="106"/>
      <c r="AB70" s="106"/>
      <c r="AC70" s="106"/>
      <c r="AD70" s="106"/>
      <c r="AE70" s="106"/>
      <c r="AF70" s="106"/>
      <c r="AG70" s="105"/>
      <c r="AH70" s="105"/>
      <c r="AI70" s="105"/>
      <c r="AJ70" s="105"/>
      <c r="AK70" s="187"/>
    </row>
    <row r="71" spans="1:53" s="157" customFormat="1" ht="30" customHeight="1">
      <c r="A71" s="99"/>
      <c r="B71" s="109"/>
      <c r="C71" s="110"/>
      <c r="D71" s="110"/>
      <c r="E71" s="110"/>
      <c r="F71" s="110"/>
      <c r="G71" s="111"/>
      <c r="H71" s="111"/>
      <c r="I71" s="117"/>
      <c r="J71" s="695" t="s">
        <v>1666</v>
      </c>
      <c r="K71" s="152"/>
      <c r="L71" s="152"/>
      <c r="M71" s="152"/>
      <c r="N71" s="152"/>
      <c r="O71" s="152"/>
      <c r="P71" s="152"/>
      <c r="Q71" s="153"/>
      <c r="R71" s="696" t="s">
        <v>2</v>
      </c>
      <c r="S71" s="155"/>
      <c r="T71" s="155"/>
      <c r="U71" s="155"/>
      <c r="V71" s="156"/>
      <c r="W71" s="222"/>
      <c r="X71" s="117"/>
      <c r="Y71" s="695" t="s">
        <v>1666</v>
      </c>
      <c r="Z71" s="152"/>
      <c r="AA71" s="152"/>
      <c r="AB71" s="152"/>
      <c r="AC71" s="152"/>
      <c r="AD71" s="152"/>
      <c r="AE71" s="152"/>
      <c r="AF71" s="153"/>
      <c r="AG71" s="696" t="s">
        <v>2</v>
      </c>
      <c r="AH71" s="155"/>
      <c r="AI71" s="155"/>
      <c r="AJ71" s="155"/>
      <c r="AK71" s="156"/>
    </row>
    <row r="72" spans="1:53" s="98" customFormat="1" ht="15" customHeight="1">
      <c r="A72" s="99"/>
      <c r="B72" s="900"/>
      <c r="C72" s="116"/>
      <c r="D72" s="116"/>
      <c r="E72" s="116"/>
      <c r="F72" s="116"/>
      <c r="G72" s="117"/>
      <c r="H72" s="117"/>
      <c r="I72" s="119" t="s">
        <v>1667</v>
      </c>
      <c r="J72" s="158" t="s">
        <v>453</v>
      </c>
      <c r="K72" s="137" t="s">
        <v>455</v>
      </c>
      <c r="L72" s="137" t="s">
        <v>457</v>
      </c>
      <c r="M72" s="137" t="s">
        <v>459</v>
      </c>
      <c r="N72" s="137" t="s">
        <v>461</v>
      </c>
      <c r="O72" s="137" t="s">
        <v>463</v>
      </c>
      <c r="P72" s="137" t="s">
        <v>465</v>
      </c>
      <c r="Q72" s="138" t="s">
        <v>467</v>
      </c>
      <c r="R72" s="120" t="s">
        <v>469</v>
      </c>
      <c r="S72" s="121" t="s">
        <v>471</v>
      </c>
      <c r="T72" s="121" t="s">
        <v>473</v>
      </c>
      <c r="U72" s="121" t="s">
        <v>475</v>
      </c>
      <c r="V72" s="122" t="s">
        <v>477</v>
      </c>
      <c r="W72" s="185"/>
      <c r="X72" s="119" t="s">
        <v>1667</v>
      </c>
      <c r="Y72" s="158" t="s">
        <v>453</v>
      </c>
      <c r="Z72" s="137" t="s">
        <v>455</v>
      </c>
      <c r="AA72" s="137" t="s">
        <v>457</v>
      </c>
      <c r="AB72" s="137" t="s">
        <v>459</v>
      </c>
      <c r="AC72" s="137" t="s">
        <v>461</v>
      </c>
      <c r="AD72" s="137" t="s">
        <v>463</v>
      </c>
      <c r="AE72" s="137" t="s">
        <v>465</v>
      </c>
      <c r="AF72" s="138" t="s">
        <v>467</v>
      </c>
      <c r="AG72" s="120" t="s">
        <v>469</v>
      </c>
      <c r="AH72" s="121" t="s">
        <v>471</v>
      </c>
      <c r="AI72" s="121" t="s">
        <v>473</v>
      </c>
      <c r="AJ72" s="121" t="s">
        <v>475</v>
      </c>
      <c r="AK72" s="122" t="s">
        <v>477</v>
      </c>
    </row>
    <row r="73" spans="1:53" s="98" customFormat="1" ht="15" customHeight="1">
      <c r="B73" s="901"/>
      <c r="C73" s="180" t="s">
        <v>2383</v>
      </c>
      <c r="D73" s="180"/>
      <c r="E73" s="162"/>
      <c r="F73" s="162"/>
      <c r="G73" s="163"/>
      <c r="H73" s="163"/>
      <c r="I73" s="117"/>
      <c r="J73" s="159"/>
      <c r="K73" s="117"/>
      <c r="L73" s="117"/>
      <c r="M73" s="117"/>
      <c r="N73" s="117"/>
      <c r="O73" s="117"/>
      <c r="P73" s="117"/>
      <c r="Q73" s="160"/>
      <c r="R73" s="159"/>
      <c r="S73" s="117"/>
      <c r="T73" s="117"/>
      <c r="U73" s="117"/>
      <c r="V73" s="160"/>
      <c r="W73" s="185"/>
      <c r="X73" s="117"/>
      <c r="Y73" s="159"/>
      <c r="Z73" s="117"/>
      <c r="AA73" s="117"/>
      <c r="AB73" s="117"/>
      <c r="AC73" s="117"/>
      <c r="AD73" s="117"/>
      <c r="AE73" s="117"/>
      <c r="AF73" s="160"/>
      <c r="AG73" s="159"/>
      <c r="AH73" s="117"/>
      <c r="AI73" s="117"/>
      <c r="AJ73" s="117"/>
      <c r="AK73" s="160"/>
    </row>
    <row r="74" spans="1:53" s="98" customFormat="1" ht="15" customHeight="1">
      <c r="B74" s="901"/>
      <c r="C74" s="185"/>
      <c r="D74" s="162" t="s">
        <v>85</v>
      </c>
      <c r="G74" s="170"/>
      <c r="H74" s="163"/>
      <c r="I74" s="164" t="s">
        <v>498</v>
      </c>
      <c r="J74" s="143">
        <v>0</v>
      </c>
      <c r="K74" s="141">
        <v>0</v>
      </c>
      <c r="L74" s="141">
        <v>0</v>
      </c>
      <c r="M74" s="141">
        <v>0</v>
      </c>
      <c r="N74" s="141">
        <v>0</v>
      </c>
      <c r="O74" s="141">
        <v>0</v>
      </c>
      <c r="P74" s="141">
        <v>0</v>
      </c>
      <c r="Q74" s="144">
        <v>0</v>
      </c>
      <c r="R74" s="143">
        <v>0</v>
      </c>
      <c r="S74" s="141">
        <v>0</v>
      </c>
      <c r="T74" s="141">
        <v>0</v>
      </c>
      <c r="U74" s="141">
        <v>0</v>
      </c>
      <c r="V74" s="144">
        <v>0</v>
      </c>
      <c r="W74" s="185"/>
      <c r="X74" s="164" t="s">
        <v>498</v>
      </c>
      <c r="Y74" s="143">
        <v>0</v>
      </c>
      <c r="Z74" s="141">
        <v>0</v>
      </c>
      <c r="AA74" s="141">
        <v>0</v>
      </c>
      <c r="AB74" s="141">
        <v>0</v>
      </c>
      <c r="AC74" s="141">
        <v>0</v>
      </c>
      <c r="AD74" s="141">
        <v>0</v>
      </c>
      <c r="AE74" s="141">
        <v>0</v>
      </c>
      <c r="AF74" s="144">
        <v>0</v>
      </c>
      <c r="AG74" s="143">
        <v>0</v>
      </c>
      <c r="AH74" s="141">
        <v>0</v>
      </c>
      <c r="AI74" s="141">
        <v>0</v>
      </c>
      <c r="AJ74" s="141">
        <v>0</v>
      </c>
      <c r="AK74" s="144">
        <v>0</v>
      </c>
    </row>
    <row r="75" spans="1:53" s="98" customFormat="1" ht="15" customHeight="1">
      <c r="B75" s="901"/>
      <c r="C75" s="185"/>
      <c r="D75" s="162" t="s">
        <v>85</v>
      </c>
      <c r="G75" s="170"/>
      <c r="H75" s="163"/>
      <c r="I75" s="164" t="s">
        <v>498</v>
      </c>
      <c r="J75" s="143">
        <v>0</v>
      </c>
      <c r="K75" s="141">
        <v>0</v>
      </c>
      <c r="L75" s="141">
        <v>0</v>
      </c>
      <c r="M75" s="141">
        <v>0</v>
      </c>
      <c r="N75" s="141">
        <v>0</v>
      </c>
      <c r="O75" s="141">
        <v>0</v>
      </c>
      <c r="P75" s="141">
        <v>0</v>
      </c>
      <c r="Q75" s="144">
        <v>0</v>
      </c>
      <c r="R75" s="143">
        <v>0</v>
      </c>
      <c r="S75" s="141">
        <v>0</v>
      </c>
      <c r="T75" s="141">
        <v>0</v>
      </c>
      <c r="U75" s="141">
        <v>0</v>
      </c>
      <c r="V75" s="144">
        <v>0</v>
      </c>
      <c r="W75" s="185"/>
      <c r="X75" s="164" t="s">
        <v>498</v>
      </c>
      <c r="Y75" s="143">
        <v>0</v>
      </c>
      <c r="Z75" s="141">
        <v>0</v>
      </c>
      <c r="AA75" s="141">
        <v>0</v>
      </c>
      <c r="AB75" s="141">
        <v>0</v>
      </c>
      <c r="AC75" s="141">
        <v>0</v>
      </c>
      <c r="AD75" s="141">
        <v>0</v>
      </c>
      <c r="AE75" s="141">
        <v>0</v>
      </c>
      <c r="AF75" s="144">
        <v>0</v>
      </c>
      <c r="AG75" s="143">
        <v>0</v>
      </c>
      <c r="AH75" s="141">
        <v>0</v>
      </c>
      <c r="AI75" s="141">
        <v>0</v>
      </c>
      <c r="AJ75" s="141">
        <v>0</v>
      </c>
      <c r="AK75" s="144">
        <v>0</v>
      </c>
    </row>
    <row r="76" spans="1:53" s="98" customFormat="1" ht="15" customHeight="1">
      <c r="B76" s="901"/>
      <c r="C76" s="185"/>
      <c r="D76" s="162" t="s">
        <v>85</v>
      </c>
      <c r="G76" s="170"/>
      <c r="H76" s="163"/>
      <c r="I76" s="164" t="s">
        <v>498</v>
      </c>
      <c r="J76" s="143">
        <v>0</v>
      </c>
      <c r="K76" s="141">
        <v>0</v>
      </c>
      <c r="L76" s="141">
        <v>0</v>
      </c>
      <c r="M76" s="141">
        <v>0</v>
      </c>
      <c r="N76" s="141">
        <v>0</v>
      </c>
      <c r="O76" s="141">
        <v>0</v>
      </c>
      <c r="P76" s="141">
        <v>0</v>
      </c>
      <c r="Q76" s="144">
        <v>0</v>
      </c>
      <c r="R76" s="143">
        <v>0</v>
      </c>
      <c r="S76" s="141">
        <v>0</v>
      </c>
      <c r="T76" s="141">
        <v>0</v>
      </c>
      <c r="U76" s="141">
        <v>0</v>
      </c>
      <c r="V76" s="144">
        <v>0</v>
      </c>
      <c r="W76" s="185"/>
      <c r="X76" s="164" t="s">
        <v>498</v>
      </c>
      <c r="Y76" s="143">
        <v>0</v>
      </c>
      <c r="Z76" s="141">
        <v>0</v>
      </c>
      <c r="AA76" s="141">
        <v>0</v>
      </c>
      <c r="AB76" s="141">
        <v>0</v>
      </c>
      <c r="AC76" s="141">
        <v>0</v>
      </c>
      <c r="AD76" s="141">
        <v>0</v>
      </c>
      <c r="AE76" s="141">
        <v>0</v>
      </c>
      <c r="AF76" s="144">
        <v>0</v>
      </c>
      <c r="AG76" s="143">
        <v>0</v>
      </c>
      <c r="AH76" s="141">
        <v>0</v>
      </c>
      <c r="AI76" s="141">
        <v>0</v>
      </c>
      <c r="AJ76" s="141">
        <v>0</v>
      </c>
      <c r="AK76" s="144">
        <v>0</v>
      </c>
    </row>
    <row r="77" spans="1:53" s="98" customFormat="1" ht="15" customHeight="1">
      <c r="B77" s="901"/>
      <c r="C77" s="185"/>
      <c r="D77" s="162" t="s">
        <v>85</v>
      </c>
      <c r="G77" s="170"/>
      <c r="H77" s="163"/>
      <c r="I77" s="164" t="s">
        <v>498</v>
      </c>
      <c r="J77" s="143">
        <v>0</v>
      </c>
      <c r="K77" s="141">
        <v>0</v>
      </c>
      <c r="L77" s="141">
        <v>0</v>
      </c>
      <c r="M77" s="141">
        <v>0</v>
      </c>
      <c r="N77" s="141">
        <v>0</v>
      </c>
      <c r="O77" s="141">
        <v>0</v>
      </c>
      <c r="P77" s="141">
        <v>0</v>
      </c>
      <c r="Q77" s="144">
        <v>0</v>
      </c>
      <c r="R77" s="143">
        <v>0</v>
      </c>
      <c r="S77" s="141">
        <v>0</v>
      </c>
      <c r="T77" s="141">
        <v>0</v>
      </c>
      <c r="U77" s="141">
        <v>0</v>
      </c>
      <c r="V77" s="144">
        <v>0</v>
      </c>
      <c r="W77" s="185"/>
      <c r="X77" s="164" t="s">
        <v>498</v>
      </c>
      <c r="Y77" s="143">
        <v>0</v>
      </c>
      <c r="Z77" s="141">
        <v>0</v>
      </c>
      <c r="AA77" s="141">
        <v>0</v>
      </c>
      <c r="AB77" s="141">
        <v>0</v>
      </c>
      <c r="AC77" s="141">
        <v>0</v>
      </c>
      <c r="AD77" s="141">
        <v>0</v>
      </c>
      <c r="AE77" s="141">
        <v>0</v>
      </c>
      <c r="AF77" s="144">
        <v>0</v>
      </c>
      <c r="AG77" s="143">
        <v>0</v>
      </c>
      <c r="AH77" s="141">
        <v>0</v>
      </c>
      <c r="AI77" s="141">
        <v>0</v>
      </c>
      <c r="AJ77" s="141">
        <v>0</v>
      </c>
      <c r="AK77" s="144">
        <v>0</v>
      </c>
    </row>
    <row r="78" spans="1:53" s="98" customFormat="1" ht="15" customHeight="1">
      <c r="B78" s="901"/>
      <c r="C78" s="185"/>
      <c r="D78" s="162" t="s">
        <v>85</v>
      </c>
      <c r="G78" s="170"/>
      <c r="H78" s="163"/>
      <c r="I78" s="164" t="s">
        <v>498</v>
      </c>
      <c r="J78" s="143">
        <v>0</v>
      </c>
      <c r="K78" s="141">
        <v>0</v>
      </c>
      <c r="L78" s="141">
        <v>0</v>
      </c>
      <c r="M78" s="141">
        <v>0</v>
      </c>
      <c r="N78" s="141">
        <v>0</v>
      </c>
      <c r="O78" s="141">
        <v>0</v>
      </c>
      <c r="P78" s="141">
        <v>0</v>
      </c>
      <c r="Q78" s="144">
        <v>0</v>
      </c>
      <c r="R78" s="143">
        <v>0</v>
      </c>
      <c r="S78" s="141">
        <v>0</v>
      </c>
      <c r="T78" s="141">
        <v>0</v>
      </c>
      <c r="U78" s="141">
        <v>0</v>
      </c>
      <c r="V78" s="144">
        <v>0</v>
      </c>
      <c r="W78" s="185"/>
      <c r="X78" s="164" t="s">
        <v>498</v>
      </c>
      <c r="Y78" s="143">
        <v>0</v>
      </c>
      <c r="Z78" s="141">
        <v>0</v>
      </c>
      <c r="AA78" s="141">
        <v>0</v>
      </c>
      <c r="AB78" s="141">
        <v>0</v>
      </c>
      <c r="AC78" s="141">
        <v>0</v>
      </c>
      <c r="AD78" s="141">
        <v>0</v>
      </c>
      <c r="AE78" s="141">
        <v>0</v>
      </c>
      <c r="AF78" s="144">
        <v>0</v>
      </c>
      <c r="AG78" s="143">
        <v>0</v>
      </c>
      <c r="AH78" s="141">
        <v>0</v>
      </c>
      <c r="AI78" s="141">
        <v>0</v>
      </c>
      <c r="AJ78" s="141">
        <v>0</v>
      </c>
      <c r="AK78" s="144">
        <v>0</v>
      </c>
    </row>
    <row r="79" spans="1:53" s="98" customFormat="1" ht="15" customHeight="1">
      <c r="B79" s="494"/>
      <c r="C79" s="185" t="s">
        <v>1710</v>
      </c>
      <c r="D79" s="245"/>
      <c r="G79" s="184"/>
      <c r="H79" s="184"/>
      <c r="I79" s="164" t="s">
        <v>498</v>
      </c>
      <c r="J79" s="128">
        <f>SUM(J74:J78)</f>
        <v>0</v>
      </c>
      <c r="K79" s="129">
        <f t="shared" ref="K79" si="106">SUM(K74:K78)</f>
        <v>0</v>
      </c>
      <c r="L79" s="129">
        <f t="shared" ref="L79" si="107">SUM(L74:L78)</f>
        <v>0</v>
      </c>
      <c r="M79" s="129">
        <f t="shared" ref="M79" si="108">SUM(M74:M78)</f>
        <v>0</v>
      </c>
      <c r="N79" s="129">
        <f t="shared" ref="N79" si="109">SUM(N74:N78)</f>
        <v>0</v>
      </c>
      <c r="O79" s="129">
        <f t="shared" ref="O79" si="110">SUM(O74:O78)</f>
        <v>0</v>
      </c>
      <c r="P79" s="129">
        <f t="shared" ref="P79" si="111">SUM(P74:P78)</f>
        <v>0</v>
      </c>
      <c r="Q79" s="130">
        <f t="shared" ref="Q79" si="112">SUM(Q74:Q78)</f>
        <v>0</v>
      </c>
      <c r="R79" s="128">
        <f t="shared" ref="R79" si="113">SUM(R74:R78)</f>
        <v>0</v>
      </c>
      <c r="S79" s="129">
        <f t="shared" ref="S79" si="114">SUM(S74:S78)</f>
        <v>0</v>
      </c>
      <c r="T79" s="129">
        <f t="shared" ref="T79" si="115">SUM(T74:T78)</f>
        <v>0</v>
      </c>
      <c r="U79" s="129">
        <f t="shared" ref="U79" si="116">SUM(U74:U78)</f>
        <v>0</v>
      </c>
      <c r="V79" s="130">
        <f t="shared" ref="V79" si="117">SUM(V74:V78)</f>
        <v>0</v>
      </c>
      <c r="W79" s="185"/>
      <c r="X79" s="164" t="s">
        <v>498</v>
      </c>
      <c r="Y79" s="128">
        <f>SUM(Y74:Y78)</f>
        <v>0</v>
      </c>
      <c r="Z79" s="129">
        <f t="shared" ref="Z79" si="118">SUM(Z74:Z78)</f>
        <v>0</v>
      </c>
      <c r="AA79" s="129">
        <f t="shared" ref="AA79" si="119">SUM(AA74:AA78)</f>
        <v>0</v>
      </c>
      <c r="AB79" s="129">
        <f t="shared" ref="AB79" si="120">SUM(AB74:AB78)</f>
        <v>0</v>
      </c>
      <c r="AC79" s="129">
        <f t="shared" ref="AC79" si="121">SUM(AC74:AC78)</f>
        <v>0</v>
      </c>
      <c r="AD79" s="129">
        <f t="shared" ref="AD79" si="122">SUM(AD74:AD78)</f>
        <v>0</v>
      </c>
      <c r="AE79" s="129">
        <f t="shared" ref="AE79" si="123">SUM(AE74:AE78)</f>
        <v>0</v>
      </c>
      <c r="AF79" s="130">
        <f t="shared" ref="AF79" si="124">SUM(AF74:AF78)</f>
        <v>0</v>
      </c>
      <c r="AG79" s="128">
        <f t="shared" ref="AG79" si="125">SUM(AG74:AG78)</f>
        <v>0</v>
      </c>
      <c r="AH79" s="129">
        <f t="shared" ref="AH79" si="126">SUM(AH74:AH78)</f>
        <v>0</v>
      </c>
      <c r="AI79" s="129">
        <f t="shared" ref="AI79" si="127">SUM(AI74:AI78)</f>
        <v>0</v>
      </c>
      <c r="AJ79" s="129">
        <f t="shared" ref="AJ79" si="128">SUM(AJ74:AJ78)</f>
        <v>0</v>
      </c>
      <c r="AK79" s="130">
        <f t="shared" ref="AK79" si="129">SUM(AK74:AK78)</f>
        <v>0</v>
      </c>
    </row>
    <row r="80" spans="1:53" s="98" customFormat="1" ht="15" customHeight="1">
      <c r="B80" s="494"/>
      <c r="C80" s="185"/>
      <c r="D80" s="185"/>
      <c r="E80" s="182"/>
      <c r="F80" s="182"/>
      <c r="G80" s="184"/>
      <c r="H80" s="184"/>
      <c r="I80" s="117"/>
      <c r="J80" s="713"/>
      <c r="K80" s="714"/>
      <c r="L80" s="714"/>
      <c r="M80" s="714"/>
      <c r="N80" s="714"/>
      <c r="O80" s="714"/>
      <c r="P80" s="714"/>
      <c r="Q80" s="715"/>
      <c r="R80" s="716"/>
      <c r="S80" s="714"/>
      <c r="T80" s="714"/>
      <c r="U80" s="714"/>
      <c r="V80" s="715"/>
      <c r="W80" s="185"/>
      <c r="X80" s="117"/>
      <c r="Y80" s="713"/>
      <c r="Z80" s="714"/>
      <c r="AA80" s="714"/>
      <c r="AB80" s="714"/>
      <c r="AC80" s="714"/>
      <c r="AD80" s="714"/>
      <c r="AE80" s="714"/>
      <c r="AF80" s="715"/>
      <c r="AG80" s="714"/>
      <c r="AH80" s="714"/>
      <c r="AI80" s="714"/>
      <c r="AJ80" s="714"/>
      <c r="AK80" s="715"/>
    </row>
    <row r="81" spans="2:37" s="98" customFormat="1" ht="15" customHeight="1">
      <c r="B81" s="901"/>
      <c r="C81" s="180" t="s">
        <v>2384</v>
      </c>
      <c r="D81" s="180"/>
      <c r="E81" s="162"/>
      <c r="F81" s="162"/>
      <c r="G81" s="163"/>
      <c r="H81" s="163"/>
      <c r="I81" s="117"/>
      <c r="J81" s="713"/>
      <c r="K81" s="721"/>
      <c r="L81" s="721"/>
      <c r="M81" s="721"/>
      <c r="N81" s="721"/>
      <c r="O81" s="721"/>
      <c r="P81" s="721"/>
      <c r="Q81" s="715"/>
      <c r="R81" s="713"/>
      <c r="S81" s="721"/>
      <c r="T81" s="721"/>
      <c r="U81" s="721"/>
      <c r="V81" s="715"/>
      <c r="W81" s="185"/>
      <c r="X81" s="117"/>
      <c r="Y81" s="713"/>
      <c r="Z81" s="721"/>
      <c r="AA81" s="721"/>
      <c r="AB81" s="721"/>
      <c r="AC81" s="721"/>
      <c r="AD81" s="721"/>
      <c r="AE81" s="721"/>
      <c r="AF81" s="715"/>
      <c r="AG81" s="713"/>
      <c r="AH81" s="721"/>
      <c r="AI81" s="721"/>
      <c r="AJ81" s="721"/>
      <c r="AK81" s="715"/>
    </row>
    <row r="82" spans="2:37" s="98" customFormat="1" ht="15" customHeight="1">
      <c r="B82" s="901"/>
      <c r="C82" s="185"/>
      <c r="D82" s="162" t="s">
        <v>85</v>
      </c>
      <c r="G82" s="170"/>
      <c r="H82" s="163"/>
      <c r="I82" s="164" t="s">
        <v>498</v>
      </c>
      <c r="J82" s="143">
        <v>0</v>
      </c>
      <c r="K82" s="141">
        <v>0</v>
      </c>
      <c r="L82" s="141">
        <v>0</v>
      </c>
      <c r="M82" s="141">
        <v>0</v>
      </c>
      <c r="N82" s="141">
        <v>0</v>
      </c>
      <c r="O82" s="141">
        <v>0</v>
      </c>
      <c r="P82" s="141">
        <v>0</v>
      </c>
      <c r="Q82" s="144">
        <v>0</v>
      </c>
      <c r="R82" s="143">
        <v>0</v>
      </c>
      <c r="S82" s="141">
        <v>0</v>
      </c>
      <c r="T82" s="141">
        <v>0</v>
      </c>
      <c r="U82" s="141">
        <v>0</v>
      </c>
      <c r="V82" s="144">
        <v>0</v>
      </c>
      <c r="W82" s="185"/>
      <c r="X82" s="164" t="s">
        <v>498</v>
      </c>
      <c r="Y82" s="143">
        <v>0</v>
      </c>
      <c r="Z82" s="141">
        <v>0</v>
      </c>
      <c r="AA82" s="141">
        <v>0</v>
      </c>
      <c r="AB82" s="141">
        <v>0</v>
      </c>
      <c r="AC82" s="141">
        <v>0</v>
      </c>
      <c r="AD82" s="141">
        <v>0</v>
      </c>
      <c r="AE82" s="141">
        <v>0</v>
      </c>
      <c r="AF82" s="144">
        <v>0</v>
      </c>
      <c r="AG82" s="143">
        <v>0</v>
      </c>
      <c r="AH82" s="141">
        <v>0</v>
      </c>
      <c r="AI82" s="141">
        <v>0</v>
      </c>
      <c r="AJ82" s="141">
        <v>0</v>
      </c>
      <c r="AK82" s="144">
        <v>0</v>
      </c>
    </row>
    <row r="83" spans="2:37" s="98" customFormat="1" ht="15" customHeight="1">
      <c r="B83" s="901"/>
      <c r="C83" s="185"/>
      <c r="D83" s="162" t="s">
        <v>85</v>
      </c>
      <c r="G83" s="170"/>
      <c r="H83" s="163"/>
      <c r="I83" s="164" t="s">
        <v>498</v>
      </c>
      <c r="J83" s="143">
        <v>0</v>
      </c>
      <c r="K83" s="141">
        <v>0</v>
      </c>
      <c r="L83" s="141">
        <v>0</v>
      </c>
      <c r="M83" s="141">
        <v>0</v>
      </c>
      <c r="N83" s="141">
        <v>0</v>
      </c>
      <c r="O83" s="141">
        <v>0</v>
      </c>
      <c r="P83" s="141">
        <v>0</v>
      </c>
      <c r="Q83" s="144">
        <v>0</v>
      </c>
      <c r="R83" s="143">
        <v>0</v>
      </c>
      <c r="S83" s="141">
        <v>0</v>
      </c>
      <c r="T83" s="141">
        <v>0</v>
      </c>
      <c r="U83" s="141">
        <v>0</v>
      </c>
      <c r="V83" s="144">
        <v>0</v>
      </c>
      <c r="W83" s="185"/>
      <c r="X83" s="164" t="s">
        <v>498</v>
      </c>
      <c r="Y83" s="143">
        <v>0</v>
      </c>
      <c r="Z83" s="141">
        <v>0</v>
      </c>
      <c r="AA83" s="141">
        <v>0</v>
      </c>
      <c r="AB83" s="141">
        <v>0</v>
      </c>
      <c r="AC83" s="141">
        <v>0</v>
      </c>
      <c r="AD83" s="141">
        <v>0</v>
      </c>
      <c r="AE83" s="141">
        <v>0</v>
      </c>
      <c r="AF83" s="144">
        <v>0</v>
      </c>
      <c r="AG83" s="143">
        <v>0</v>
      </c>
      <c r="AH83" s="141">
        <v>0</v>
      </c>
      <c r="AI83" s="141">
        <v>0</v>
      </c>
      <c r="AJ83" s="141">
        <v>0</v>
      </c>
      <c r="AK83" s="144">
        <v>0</v>
      </c>
    </row>
    <row r="84" spans="2:37" s="98" customFormat="1" ht="15" customHeight="1">
      <c r="B84" s="901"/>
      <c r="C84" s="185"/>
      <c r="D84" s="162" t="s">
        <v>85</v>
      </c>
      <c r="G84" s="170"/>
      <c r="H84" s="163"/>
      <c r="I84" s="164" t="s">
        <v>498</v>
      </c>
      <c r="J84" s="143">
        <v>0</v>
      </c>
      <c r="K84" s="141">
        <v>0</v>
      </c>
      <c r="L84" s="141">
        <v>0</v>
      </c>
      <c r="M84" s="141">
        <v>0</v>
      </c>
      <c r="N84" s="141">
        <v>0</v>
      </c>
      <c r="O84" s="141">
        <v>0</v>
      </c>
      <c r="P84" s="141">
        <v>0</v>
      </c>
      <c r="Q84" s="144">
        <v>0</v>
      </c>
      <c r="R84" s="143">
        <v>0</v>
      </c>
      <c r="S84" s="141">
        <v>0</v>
      </c>
      <c r="T84" s="141">
        <v>0</v>
      </c>
      <c r="U84" s="141">
        <v>0</v>
      </c>
      <c r="V84" s="144">
        <v>0</v>
      </c>
      <c r="W84" s="185"/>
      <c r="X84" s="164" t="s">
        <v>498</v>
      </c>
      <c r="Y84" s="143">
        <v>0</v>
      </c>
      <c r="Z84" s="141">
        <v>0</v>
      </c>
      <c r="AA84" s="141">
        <v>0</v>
      </c>
      <c r="AB84" s="141">
        <v>0</v>
      </c>
      <c r="AC84" s="141">
        <v>0</v>
      </c>
      <c r="AD84" s="141">
        <v>0</v>
      </c>
      <c r="AE84" s="141">
        <v>0</v>
      </c>
      <c r="AF84" s="144">
        <v>0</v>
      </c>
      <c r="AG84" s="143">
        <v>0</v>
      </c>
      <c r="AH84" s="141">
        <v>0</v>
      </c>
      <c r="AI84" s="141">
        <v>0</v>
      </c>
      <c r="AJ84" s="141">
        <v>0</v>
      </c>
      <c r="AK84" s="144">
        <v>0</v>
      </c>
    </row>
    <row r="85" spans="2:37" s="98" customFormat="1" ht="15" customHeight="1">
      <c r="B85" s="901"/>
      <c r="C85" s="185"/>
      <c r="D85" s="162" t="s">
        <v>85</v>
      </c>
      <c r="G85" s="170"/>
      <c r="H85" s="163"/>
      <c r="I85" s="164" t="s">
        <v>498</v>
      </c>
      <c r="J85" s="143">
        <v>0</v>
      </c>
      <c r="K85" s="141">
        <v>0</v>
      </c>
      <c r="L85" s="141">
        <v>0</v>
      </c>
      <c r="M85" s="141">
        <v>0</v>
      </c>
      <c r="N85" s="141">
        <v>0</v>
      </c>
      <c r="O85" s="141">
        <v>0</v>
      </c>
      <c r="P85" s="141">
        <v>0</v>
      </c>
      <c r="Q85" s="144">
        <v>0</v>
      </c>
      <c r="R85" s="143">
        <v>0</v>
      </c>
      <c r="S85" s="141">
        <v>0</v>
      </c>
      <c r="T85" s="141">
        <v>0</v>
      </c>
      <c r="U85" s="141">
        <v>0</v>
      </c>
      <c r="V85" s="144">
        <v>0</v>
      </c>
      <c r="W85" s="185"/>
      <c r="X85" s="164" t="s">
        <v>498</v>
      </c>
      <c r="Y85" s="143">
        <v>0</v>
      </c>
      <c r="Z85" s="141">
        <v>0</v>
      </c>
      <c r="AA85" s="141">
        <v>0</v>
      </c>
      <c r="AB85" s="141">
        <v>0</v>
      </c>
      <c r="AC85" s="141">
        <v>0</v>
      </c>
      <c r="AD85" s="141">
        <v>0</v>
      </c>
      <c r="AE85" s="141">
        <v>0</v>
      </c>
      <c r="AF85" s="144">
        <v>0</v>
      </c>
      <c r="AG85" s="143">
        <v>0</v>
      </c>
      <c r="AH85" s="141">
        <v>0</v>
      </c>
      <c r="AI85" s="141">
        <v>0</v>
      </c>
      <c r="AJ85" s="141">
        <v>0</v>
      </c>
      <c r="AK85" s="144">
        <v>0</v>
      </c>
    </row>
    <row r="86" spans="2:37" s="98" customFormat="1" ht="15" customHeight="1">
      <c r="B86" s="901"/>
      <c r="C86" s="185"/>
      <c r="D86" s="162" t="s">
        <v>85</v>
      </c>
      <c r="G86" s="170"/>
      <c r="H86" s="163"/>
      <c r="I86" s="164" t="s">
        <v>498</v>
      </c>
      <c r="J86" s="143">
        <v>0</v>
      </c>
      <c r="K86" s="141">
        <v>0</v>
      </c>
      <c r="L86" s="141">
        <v>0</v>
      </c>
      <c r="M86" s="141">
        <v>0</v>
      </c>
      <c r="N86" s="141">
        <v>0</v>
      </c>
      <c r="O86" s="141">
        <v>0</v>
      </c>
      <c r="P86" s="141">
        <v>0</v>
      </c>
      <c r="Q86" s="144">
        <v>0</v>
      </c>
      <c r="R86" s="143">
        <v>0</v>
      </c>
      <c r="S86" s="141">
        <v>0</v>
      </c>
      <c r="T86" s="141">
        <v>0</v>
      </c>
      <c r="U86" s="141">
        <v>0</v>
      </c>
      <c r="V86" s="144">
        <v>0</v>
      </c>
      <c r="W86" s="185"/>
      <c r="X86" s="164" t="s">
        <v>498</v>
      </c>
      <c r="Y86" s="143">
        <v>0</v>
      </c>
      <c r="Z86" s="141">
        <v>0</v>
      </c>
      <c r="AA86" s="141">
        <v>0</v>
      </c>
      <c r="AB86" s="141">
        <v>0</v>
      </c>
      <c r="AC86" s="141">
        <v>0</v>
      </c>
      <c r="AD86" s="141">
        <v>0</v>
      </c>
      <c r="AE86" s="141">
        <v>0</v>
      </c>
      <c r="AF86" s="144">
        <v>0</v>
      </c>
      <c r="AG86" s="143">
        <v>0</v>
      </c>
      <c r="AH86" s="141">
        <v>0</v>
      </c>
      <c r="AI86" s="141">
        <v>0</v>
      </c>
      <c r="AJ86" s="141">
        <v>0</v>
      </c>
      <c r="AK86" s="144">
        <v>0</v>
      </c>
    </row>
    <row r="87" spans="2:37" s="98" customFormat="1" ht="15" customHeight="1">
      <c r="B87" s="494"/>
      <c r="C87" s="185" t="s">
        <v>1710</v>
      </c>
      <c r="D87" s="245"/>
      <c r="G87" s="184"/>
      <c r="H87" s="184"/>
      <c r="I87" s="164" t="s">
        <v>498</v>
      </c>
      <c r="J87" s="128">
        <f>SUM(J82:J86)</f>
        <v>0</v>
      </c>
      <c r="K87" s="129">
        <f t="shared" ref="K87" si="130">SUM(K82:K86)</f>
        <v>0</v>
      </c>
      <c r="L87" s="129">
        <f t="shared" ref="L87" si="131">SUM(L82:L86)</f>
        <v>0</v>
      </c>
      <c r="M87" s="129">
        <f t="shared" ref="M87" si="132">SUM(M82:M86)</f>
        <v>0</v>
      </c>
      <c r="N87" s="129">
        <f t="shared" ref="N87" si="133">SUM(N82:N86)</f>
        <v>0</v>
      </c>
      <c r="O87" s="129">
        <f t="shared" ref="O87" si="134">SUM(O82:O86)</f>
        <v>0</v>
      </c>
      <c r="P87" s="129">
        <f t="shared" ref="P87" si="135">SUM(P82:P86)</f>
        <v>0</v>
      </c>
      <c r="Q87" s="130">
        <f t="shared" ref="Q87" si="136">SUM(Q82:Q86)</f>
        <v>0</v>
      </c>
      <c r="R87" s="128">
        <f t="shared" ref="R87" si="137">SUM(R82:R86)</f>
        <v>0</v>
      </c>
      <c r="S87" s="129">
        <f t="shared" ref="S87" si="138">SUM(S82:S86)</f>
        <v>0</v>
      </c>
      <c r="T87" s="129">
        <f t="shared" ref="T87" si="139">SUM(T82:T86)</f>
        <v>0</v>
      </c>
      <c r="U87" s="129">
        <f t="shared" ref="U87" si="140">SUM(U82:U86)</f>
        <v>0</v>
      </c>
      <c r="V87" s="130">
        <f t="shared" ref="V87" si="141">SUM(V82:V86)</f>
        <v>0</v>
      </c>
      <c r="W87" s="185"/>
      <c r="X87" s="164" t="s">
        <v>498</v>
      </c>
      <c r="Y87" s="128">
        <f>SUM(Y82:Y86)</f>
        <v>0</v>
      </c>
      <c r="Z87" s="129">
        <f t="shared" ref="Z87" si="142">SUM(Z82:Z86)</f>
        <v>0</v>
      </c>
      <c r="AA87" s="129">
        <f t="shared" ref="AA87" si="143">SUM(AA82:AA86)</f>
        <v>0</v>
      </c>
      <c r="AB87" s="129">
        <f t="shared" ref="AB87" si="144">SUM(AB82:AB86)</f>
        <v>0</v>
      </c>
      <c r="AC87" s="129">
        <f t="shared" ref="AC87" si="145">SUM(AC82:AC86)</f>
        <v>0</v>
      </c>
      <c r="AD87" s="129">
        <f t="shared" ref="AD87" si="146">SUM(AD82:AD86)</f>
        <v>0</v>
      </c>
      <c r="AE87" s="129">
        <f t="shared" ref="AE87" si="147">SUM(AE82:AE86)</f>
        <v>0</v>
      </c>
      <c r="AF87" s="130">
        <f t="shared" ref="AF87" si="148">SUM(AF82:AF86)</f>
        <v>0</v>
      </c>
      <c r="AG87" s="128">
        <f t="shared" ref="AG87" si="149">SUM(AG82:AG86)</f>
        <v>0</v>
      </c>
      <c r="AH87" s="129">
        <f t="shared" ref="AH87" si="150">SUM(AH82:AH86)</f>
        <v>0</v>
      </c>
      <c r="AI87" s="129">
        <f t="shared" ref="AI87" si="151">SUM(AI82:AI86)</f>
        <v>0</v>
      </c>
      <c r="AJ87" s="129">
        <f t="shared" ref="AJ87" si="152">SUM(AJ82:AJ86)</f>
        <v>0</v>
      </c>
      <c r="AK87" s="130">
        <f t="shared" ref="AK87" si="153">SUM(AK82:AK86)</f>
        <v>0</v>
      </c>
    </row>
    <row r="88" spans="2:37" s="98" customFormat="1" ht="15" customHeight="1">
      <c r="B88" s="494"/>
      <c r="C88" s="185"/>
      <c r="D88" s="185"/>
      <c r="E88" s="182"/>
      <c r="F88" s="182"/>
      <c r="G88" s="184"/>
      <c r="H88" s="184"/>
      <c r="I88" s="117"/>
      <c r="J88" s="713"/>
      <c r="K88" s="714"/>
      <c r="L88" s="714"/>
      <c r="M88" s="714"/>
      <c r="N88" s="714"/>
      <c r="O88" s="714"/>
      <c r="P88" s="714"/>
      <c r="Q88" s="715"/>
      <c r="R88" s="716"/>
      <c r="S88" s="714"/>
      <c r="T88" s="714"/>
      <c r="U88" s="714"/>
      <c r="V88" s="715"/>
      <c r="W88" s="185"/>
      <c r="X88" s="117"/>
      <c r="Y88" s="713"/>
      <c r="Z88" s="714"/>
      <c r="AA88" s="714"/>
      <c r="AB88" s="714"/>
      <c r="AC88" s="714"/>
      <c r="AD88" s="714"/>
      <c r="AE88" s="714"/>
      <c r="AF88" s="715"/>
      <c r="AG88" s="714"/>
      <c r="AH88" s="714"/>
      <c r="AI88" s="714"/>
      <c r="AJ88" s="714"/>
      <c r="AK88" s="715"/>
    </row>
    <row r="89" spans="2:37" s="98" customFormat="1" ht="15" customHeight="1">
      <c r="B89" s="901"/>
      <c r="C89" s="180" t="s">
        <v>2385</v>
      </c>
      <c r="D89" s="180"/>
      <c r="E89" s="162"/>
      <c r="F89" s="162"/>
      <c r="G89" s="163"/>
      <c r="H89" s="163"/>
      <c r="I89" s="117"/>
      <c r="J89" s="713"/>
      <c r="K89" s="721"/>
      <c r="L89" s="721"/>
      <c r="M89" s="721"/>
      <c r="N89" s="721"/>
      <c r="O89" s="721"/>
      <c r="P89" s="721"/>
      <c r="Q89" s="715"/>
      <c r="R89" s="713"/>
      <c r="S89" s="721"/>
      <c r="T89" s="721"/>
      <c r="U89" s="721"/>
      <c r="V89" s="715"/>
      <c r="W89" s="185"/>
      <c r="X89" s="117"/>
      <c r="Y89" s="713"/>
      <c r="Z89" s="721"/>
      <c r="AA89" s="721"/>
      <c r="AB89" s="721"/>
      <c r="AC89" s="721"/>
      <c r="AD89" s="721"/>
      <c r="AE89" s="721"/>
      <c r="AF89" s="715"/>
      <c r="AG89" s="713"/>
      <c r="AH89" s="721"/>
      <c r="AI89" s="721"/>
      <c r="AJ89" s="721"/>
      <c r="AK89" s="715"/>
    </row>
    <row r="90" spans="2:37" s="98" customFormat="1" ht="15" customHeight="1">
      <c r="B90" s="901"/>
      <c r="C90" s="185"/>
      <c r="D90" s="162" t="s">
        <v>85</v>
      </c>
      <c r="G90" s="170"/>
      <c r="H90" s="163"/>
      <c r="I90" s="164" t="s">
        <v>498</v>
      </c>
      <c r="J90" s="143">
        <v>0</v>
      </c>
      <c r="K90" s="141">
        <v>0</v>
      </c>
      <c r="L90" s="141">
        <v>0</v>
      </c>
      <c r="M90" s="141">
        <v>0</v>
      </c>
      <c r="N90" s="141">
        <v>0</v>
      </c>
      <c r="O90" s="141">
        <v>0</v>
      </c>
      <c r="P90" s="141">
        <v>0</v>
      </c>
      <c r="Q90" s="144">
        <v>0</v>
      </c>
      <c r="R90" s="143">
        <v>0</v>
      </c>
      <c r="S90" s="141">
        <v>0</v>
      </c>
      <c r="T90" s="141">
        <v>0</v>
      </c>
      <c r="U90" s="141">
        <v>0</v>
      </c>
      <c r="V90" s="144">
        <v>0</v>
      </c>
      <c r="W90" s="185"/>
      <c r="X90" s="164" t="s">
        <v>498</v>
      </c>
      <c r="Y90" s="143">
        <v>0</v>
      </c>
      <c r="Z90" s="141">
        <v>0</v>
      </c>
      <c r="AA90" s="141">
        <v>0</v>
      </c>
      <c r="AB90" s="141">
        <v>0</v>
      </c>
      <c r="AC90" s="141">
        <v>0</v>
      </c>
      <c r="AD90" s="141">
        <v>0</v>
      </c>
      <c r="AE90" s="141">
        <v>0</v>
      </c>
      <c r="AF90" s="144">
        <v>0</v>
      </c>
      <c r="AG90" s="143">
        <v>0</v>
      </c>
      <c r="AH90" s="141">
        <v>0</v>
      </c>
      <c r="AI90" s="141">
        <v>0</v>
      </c>
      <c r="AJ90" s="141">
        <v>0</v>
      </c>
      <c r="AK90" s="144">
        <v>0</v>
      </c>
    </row>
    <row r="91" spans="2:37" s="98" customFormat="1" ht="15" customHeight="1">
      <c r="B91" s="901"/>
      <c r="C91" s="185"/>
      <c r="D91" s="162" t="s">
        <v>85</v>
      </c>
      <c r="G91" s="170"/>
      <c r="H91" s="163"/>
      <c r="I91" s="164" t="s">
        <v>498</v>
      </c>
      <c r="J91" s="143">
        <v>0</v>
      </c>
      <c r="K91" s="141">
        <v>0</v>
      </c>
      <c r="L91" s="141">
        <v>0</v>
      </c>
      <c r="M91" s="141">
        <v>0</v>
      </c>
      <c r="N91" s="141">
        <v>0</v>
      </c>
      <c r="O91" s="141">
        <v>0</v>
      </c>
      <c r="P91" s="141">
        <v>0</v>
      </c>
      <c r="Q91" s="144">
        <v>0</v>
      </c>
      <c r="R91" s="143">
        <v>0</v>
      </c>
      <c r="S91" s="141">
        <v>0</v>
      </c>
      <c r="T91" s="141">
        <v>0</v>
      </c>
      <c r="U91" s="141">
        <v>0</v>
      </c>
      <c r="V91" s="144">
        <v>0</v>
      </c>
      <c r="W91" s="185"/>
      <c r="X91" s="164" t="s">
        <v>498</v>
      </c>
      <c r="Y91" s="143">
        <v>0</v>
      </c>
      <c r="Z91" s="141">
        <v>0</v>
      </c>
      <c r="AA91" s="141">
        <v>0</v>
      </c>
      <c r="AB91" s="141">
        <v>0</v>
      </c>
      <c r="AC91" s="141">
        <v>0</v>
      </c>
      <c r="AD91" s="141">
        <v>0</v>
      </c>
      <c r="AE91" s="141">
        <v>0</v>
      </c>
      <c r="AF91" s="144">
        <v>0</v>
      </c>
      <c r="AG91" s="143">
        <v>0</v>
      </c>
      <c r="AH91" s="141">
        <v>0</v>
      </c>
      <c r="AI91" s="141">
        <v>0</v>
      </c>
      <c r="AJ91" s="141">
        <v>0</v>
      </c>
      <c r="AK91" s="144">
        <v>0</v>
      </c>
    </row>
    <row r="92" spans="2:37" s="98" customFormat="1" ht="15" customHeight="1">
      <c r="B92" s="901"/>
      <c r="C92" s="185"/>
      <c r="D92" s="162" t="s">
        <v>85</v>
      </c>
      <c r="G92" s="170"/>
      <c r="H92" s="163"/>
      <c r="I92" s="164" t="s">
        <v>498</v>
      </c>
      <c r="J92" s="143">
        <v>0</v>
      </c>
      <c r="K92" s="141">
        <v>0</v>
      </c>
      <c r="L92" s="141">
        <v>0</v>
      </c>
      <c r="M92" s="141">
        <v>0</v>
      </c>
      <c r="N92" s="141">
        <v>0</v>
      </c>
      <c r="O92" s="141">
        <v>0</v>
      </c>
      <c r="P92" s="141">
        <v>0</v>
      </c>
      <c r="Q92" s="144">
        <v>0</v>
      </c>
      <c r="R92" s="143">
        <v>0</v>
      </c>
      <c r="S92" s="141">
        <v>0</v>
      </c>
      <c r="T92" s="141">
        <v>0</v>
      </c>
      <c r="U92" s="141">
        <v>0</v>
      </c>
      <c r="V92" s="144">
        <v>0</v>
      </c>
      <c r="W92" s="185"/>
      <c r="X92" s="164" t="s">
        <v>498</v>
      </c>
      <c r="Y92" s="143">
        <v>0</v>
      </c>
      <c r="Z92" s="141">
        <v>0</v>
      </c>
      <c r="AA92" s="141">
        <v>0</v>
      </c>
      <c r="AB92" s="141">
        <v>0</v>
      </c>
      <c r="AC92" s="141">
        <v>0</v>
      </c>
      <c r="AD92" s="141">
        <v>0</v>
      </c>
      <c r="AE92" s="141">
        <v>0</v>
      </c>
      <c r="AF92" s="144">
        <v>0</v>
      </c>
      <c r="AG92" s="143">
        <v>0</v>
      </c>
      <c r="AH92" s="141">
        <v>0</v>
      </c>
      <c r="AI92" s="141">
        <v>0</v>
      </c>
      <c r="AJ92" s="141">
        <v>0</v>
      </c>
      <c r="AK92" s="144">
        <v>0</v>
      </c>
    </row>
    <row r="93" spans="2:37" s="98" customFormat="1" ht="15" customHeight="1">
      <c r="B93" s="901"/>
      <c r="C93" s="185"/>
      <c r="D93" s="162" t="s">
        <v>85</v>
      </c>
      <c r="G93" s="170"/>
      <c r="H93" s="163"/>
      <c r="I93" s="164" t="s">
        <v>498</v>
      </c>
      <c r="J93" s="143">
        <v>0</v>
      </c>
      <c r="K93" s="141">
        <v>0</v>
      </c>
      <c r="L93" s="141">
        <v>0</v>
      </c>
      <c r="M93" s="141">
        <v>0</v>
      </c>
      <c r="N93" s="141">
        <v>0</v>
      </c>
      <c r="O93" s="141">
        <v>0</v>
      </c>
      <c r="P93" s="141">
        <v>0</v>
      </c>
      <c r="Q93" s="144">
        <v>0</v>
      </c>
      <c r="R93" s="143">
        <v>0</v>
      </c>
      <c r="S93" s="141">
        <v>0</v>
      </c>
      <c r="T93" s="141">
        <v>0</v>
      </c>
      <c r="U93" s="141">
        <v>0</v>
      </c>
      <c r="V93" s="144">
        <v>0</v>
      </c>
      <c r="W93" s="185"/>
      <c r="X93" s="164" t="s">
        <v>498</v>
      </c>
      <c r="Y93" s="143">
        <v>0</v>
      </c>
      <c r="Z93" s="141">
        <v>0</v>
      </c>
      <c r="AA93" s="141">
        <v>0</v>
      </c>
      <c r="AB93" s="141">
        <v>0</v>
      </c>
      <c r="AC93" s="141">
        <v>0</v>
      </c>
      <c r="AD93" s="141">
        <v>0</v>
      </c>
      <c r="AE93" s="141">
        <v>0</v>
      </c>
      <c r="AF93" s="144">
        <v>0</v>
      </c>
      <c r="AG93" s="143">
        <v>0</v>
      </c>
      <c r="AH93" s="141">
        <v>0</v>
      </c>
      <c r="AI93" s="141">
        <v>0</v>
      </c>
      <c r="AJ93" s="141">
        <v>0</v>
      </c>
      <c r="AK93" s="144">
        <v>0</v>
      </c>
    </row>
    <row r="94" spans="2:37" s="98" customFormat="1" ht="15" customHeight="1">
      <c r="B94" s="901"/>
      <c r="C94" s="185"/>
      <c r="D94" s="162" t="s">
        <v>85</v>
      </c>
      <c r="G94" s="170"/>
      <c r="H94" s="163"/>
      <c r="I94" s="164" t="s">
        <v>498</v>
      </c>
      <c r="J94" s="143">
        <v>0</v>
      </c>
      <c r="K94" s="141">
        <v>0</v>
      </c>
      <c r="L94" s="141">
        <v>0</v>
      </c>
      <c r="M94" s="141">
        <v>0</v>
      </c>
      <c r="N94" s="141">
        <v>0</v>
      </c>
      <c r="O94" s="141">
        <v>0</v>
      </c>
      <c r="P94" s="141">
        <v>0</v>
      </c>
      <c r="Q94" s="144">
        <v>0</v>
      </c>
      <c r="R94" s="143">
        <v>0</v>
      </c>
      <c r="S94" s="141">
        <v>0</v>
      </c>
      <c r="T94" s="141">
        <v>0</v>
      </c>
      <c r="U94" s="141">
        <v>0</v>
      </c>
      <c r="V94" s="144">
        <v>0</v>
      </c>
      <c r="W94" s="185"/>
      <c r="X94" s="164" t="s">
        <v>498</v>
      </c>
      <c r="Y94" s="143">
        <v>0</v>
      </c>
      <c r="Z94" s="141">
        <v>0</v>
      </c>
      <c r="AA94" s="141">
        <v>0</v>
      </c>
      <c r="AB94" s="141">
        <v>0</v>
      </c>
      <c r="AC94" s="141">
        <v>0</v>
      </c>
      <c r="AD94" s="141">
        <v>0</v>
      </c>
      <c r="AE94" s="141">
        <v>0</v>
      </c>
      <c r="AF94" s="144">
        <v>0</v>
      </c>
      <c r="AG94" s="143">
        <v>0</v>
      </c>
      <c r="AH94" s="141">
        <v>0</v>
      </c>
      <c r="AI94" s="141">
        <v>0</v>
      </c>
      <c r="AJ94" s="141">
        <v>0</v>
      </c>
      <c r="AK94" s="144">
        <v>0</v>
      </c>
    </row>
    <row r="95" spans="2:37" s="98" customFormat="1" ht="15" customHeight="1">
      <c r="B95" s="901"/>
      <c r="C95" s="185"/>
      <c r="D95" s="162" t="s">
        <v>85</v>
      </c>
      <c r="G95" s="170"/>
      <c r="H95" s="163"/>
      <c r="I95" s="164" t="s">
        <v>498</v>
      </c>
      <c r="J95" s="143">
        <v>0</v>
      </c>
      <c r="K95" s="141">
        <v>0</v>
      </c>
      <c r="L95" s="141">
        <v>0</v>
      </c>
      <c r="M95" s="141">
        <v>0</v>
      </c>
      <c r="N95" s="141">
        <v>0</v>
      </c>
      <c r="O95" s="141">
        <v>0</v>
      </c>
      <c r="P95" s="141">
        <v>0</v>
      </c>
      <c r="Q95" s="144">
        <v>0</v>
      </c>
      <c r="R95" s="143">
        <v>0</v>
      </c>
      <c r="S95" s="141">
        <v>0</v>
      </c>
      <c r="T95" s="141">
        <v>0</v>
      </c>
      <c r="U95" s="141">
        <v>0</v>
      </c>
      <c r="V95" s="144">
        <v>0</v>
      </c>
      <c r="W95" s="185"/>
      <c r="X95" s="164" t="s">
        <v>498</v>
      </c>
      <c r="Y95" s="143">
        <v>0</v>
      </c>
      <c r="Z95" s="141">
        <v>0</v>
      </c>
      <c r="AA95" s="141">
        <v>0</v>
      </c>
      <c r="AB95" s="141">
        <v>0</v>
      </c>
      <c r="AC95" s="141">
        <v>0</v>
      </c>
      <c r="AD95" s="141">
        <v>0</v>
      </c>
      <c r="AE95" s="141">
        <v>0</v>
      </c>
      <c r="AF95" s="144">
        <v>0</v>
      </c>
      <c r="AG95" s="143">
        <v>0</v>
      </c>
      <c r="AH95" s="141">
        <v>0</v>
      </c>
      <c r="AI95" s="141">
        <v>0</v>
      </c>
      <c r="AJ95" s="141">
        <v>0</v>
      </c>
      <c r="AK95" s="144">
        <v>0</v>
      </c>
    </row>
    <row r="96" spans="2:37" s="98" customFormat="1" ht="15" customHeight="1">
      <c r="B96" s="901"/>
      <c r="C96" s="185"/>
      <c r="D96" s="162" t="s">
        <v>85</v>
      </c>
      <c r="G96" s="170"/>
      <c r="H96" s="163"/>
      <c r="I96" s="164" t="s">
        <v>498</v>
      </c>
      <c r="J96" s="143">
        <v>0</v>
      </c>
      <c r="K96" s="141">
        <v>0</v>
      </c>
      <c r="L96" s="141">
        <v>0</v>
      </c>
      <c r="M96" s="141">
        <v>0</v>
      </c>
      <c r="N96" s="141">
        <v>0</v>
      </c>
      <c r="O96" s="141">
        <v>0</v>
      </c>
      <c r="P96" s="141">
        <v>0</v>
      </c>
      <c r="Q96" s="144">
        <v>0</v>
      </c>
      <c r="R96" s="143">
        <v>0</v>
      </c>
      <c r="S96" s="141">
        <v>0</v>
      </c>
      <c r="T96" s="141">
        <v>0</v>
      </c>
      <c r="U96" s="141">
        <v>0</v>
      </c>
      <c r="V96" s="144">
        <v>0</v>
      </c>
      <c r="W96" s="185"/>
      <c r="X96" s="164" t="s">
        <v>498</v>
      </c>
      <c r="Y96" s="143">
        <v>0</v>
      </c>
      <c r="Z96" s="141">
        <v>0</v>
      </c>
      <c r="AA96" s="141">
        <v>0</v>
      </c>
      <c r="AB96" s="141">
        <v>0</v>
      </c>
      <c r="AC96" s="141">
        <v>0</v>
      </c>
      <c r="AD96" s="141">
        <v>0</v>
      </c>
      <c r="AE96" s="141">
        <v>0</v>
      </c>
      <c r="AF96" s="144">
        <v>0</v>
      </c>
      <c r="AG96" s="143">
        <v>0</v>
      </c>
      <c r="AH96" s="141">
        <v>0</v>
      </c>
      <c r="AI96" s="141">
        <v>0</v>
      </c>
      <c r="AJ96" s="141">
        <v>0</v>
      </c>
      <c r="AK96" s="144">
        <v>0</v>
      </c>
    </row>
    <row r="97" spans="1:53" s="98" customFormat="1" ht="15" customHeight="1">
      <c r="B97" s="901"/>
      <c r="C97" s="185"/>
      <c r="D97" s="162" t="s">
        <v>85</v>
      </c>
      <c r="G97" s="170"/>
      <c r="H97" s="163"/>
      <c r="I97" s="164" t="s">
        <v>498</v>
      </c>
      <c r="J97" s="143">
        <v>0</v>
      </c>
      <c r="K97" s="141">
        <v>0</v>
      </c>
      <c r="L97" s="141">
        <v>0</v>
      </c>
      <c r="M97" s="141">
        <v>0</v>
      </c>
      <c r="N97" s="141">
        <v>0</v>
      </c>
      <c r="O97" s="141">
        <v>0</v>
      </c>
      <c r="P97" s="141">
        <v>0</v>
      </c>
      <c r="Q97" s="144">
        <v>0</v>
      </c>
      <c r="R97" s="143">
        <v>0</v>
      </c>
      <c r="S97" s="141">
        <v>0</v>
      </c>
      <c r="T97" s="141">
        <v>0</v>
      </c>
      <c r="U97" s="141">
        <v>0</v>
      </c>
      <c r="V97" s="144">
        <v>0</v>
      </c>
      <c r="W97" s="185"/>
      <c r="X97" s="164" t="s">
        <v>498</v>
      </c>
      <c r="Y97" s="143">
        <v>0</v>
      </c>
      <c r="Z97" s="141">
        <v>0</v>
      </c>
      <c r="AA97" s="141">
        <v>0</v>
      </c>
      <c r="AB97" s="141">
        <v>0</v>
      </c>
      <c r="AC97" s="141">
        <v>0</v>
      </c>
      <c r="AD97" s="141">
        <v>0</v>
      </c>
      <c r="AE97" s="141">
        <v>0</v>
      </c>
      <c r="AF97" s="144">
        <v>0</v>
      </c>
      <c r="AG97" s="143">
        <v>0</v>
      </c>
      <c r="AH97" s="141">
        <v>0</v>
      </c>
      <c r="AI97" s="141">
        <v>0</v>
      </c>
      <c r="AJ97" s="141">
        <v>0</v>
      </c>
      <c r="AK97" s="144">
        <v>0</v>
      </c>
    </row>
    <row r="98" spans="1:53" s="98" customFormat="1" ht="15" customHeight="1">
      <c r="B98" s="901"/>
      <c r="C98" s="185"/>
      <c r="D98" s="162" t="s">
        <v>85</v>
      </c>
      <c r="G98" s="170"/>
      <c r="H98" s="163"/>
      <c r="I98" s="164" t="s">
        <v>498</v>
      </c>
      <c r="J98" s="143">
        <v>0</v>
      </c>
      <c r="K98" s="141">
        <v>0</v>
      </c>
      <c r="L98" s="141">
        <v>0</v>
      </c>
      <c r="M98" s="141">
        <v>0</v>
      </c>
      <c r="N98" s="141">
        <v>0</v>
      </c>
      <c r="O98" s="141">
        <v>0</v>
      </c>
      <c r="P98" s="141">
        <v>0</v>
      </c>
      <c r="Q98" s="144">
        <v>0</v>
      </c>
      <c r="R98" s="143">
        <v>0</v>
      </c>
      <c r="S98" s="141">
        <v>0</v>
      </c>
      <c r="T98" s="141">
        <v>0</v>
      </c>
      <c r="U98" s="141">
        <v>0</v>
      </c>
      <c r="V98" s="144">
        <v>0</v>
      </c>
      <c r="W98" s="185"/>
      <c r="X98" s="164" t="s">
        <v>498</v>
      </c>
      <c r="Y98" s="143">
        <v>0</v>
      </c>
      <c r="Z98" s="141">
        <v>0</v>
      </c>
      <c r="AA98" s="141">
        <v>0</v>
      </c>
      <c r="AB98" s="141">
        <v>0</v>
      </c>
      <c r="AC98" s="141">
        <v>0</v>
      </c>
      <c r="AD98" s="141">
        <v>0</v>
      </c>
      <c r="AE98" s="141">
        <v>0</v>
      </c>
      <c r="AF98" s="144">
        <v>0</v>
      </c>
      <c r="AG98" s="143">
        <v>0</v>
      </c>
      <c r="AH98" s="141">
        <v>0</v>
      </c>
      <c r="AI98" s="141">
        <v>0</v>
      </c>
      <c r="AJ98" s="141">
        <v>0</v>
      </c>
      <c r="AK98" s="144">
        <v>0</v>
      </c>
    </row>
    <row r="99" spans="1:53" s="98" customFormat="1" ht="15" customHeight="1">
      <c r="B99" s="901"/>
      <c r="C99" s="185"/>
      <c r="D99" s="162" t="s">
        <v>85</v>
      </c>
      <c r="G99" s="170"/>
      <c r="H99" s="163"/>
      <c r="I99" s="164" t="s">
        <v>498</v>
      </c>
      <c r="J99" s="143">
        <v>0</v>
      </c>
      <c r="K99" s="141">
        <v>0</v>
      </c>
      <c r="L99" s="141">
        <v>0</v>
      </c>
      <c r="M99" s="141">
        <v>0</v>
      </c>
      <c r="N99" s="141">
        <v>0</v>
      </c>
      <c r="O99" s="141">
        <v>0</v>
      </c>
      <c r="P99" s="141">
        <v>0</v>
      </c>
      <c r="Q99" s="144">
        <v>0</v>
      </c>
      <c r="R99" s="143">
        <v>0</v>
      </c>
      <c r="S99" s="141">
        <v>0</v>
      </c>
      <c r="T99" s="141">
        <v>0</v>
      </c>
      <c r="U99" s="141">
        <v>0</v>
      </c>
      <c r="V99" s="144">
        <v>0</v>
      </c>
      <c r="W99" s="185"/>
      <c r="X99" s="164" t="s">
        <v>498</v>
      </c>
      <c r="Y99" s="143">
        <v>0</v>
      </c>
      <c r="Z99" s="141">
        <v>0</v>
      </c>
      <c r="AA99" s="141">
        <v>0</v>
      </c>
      <c r="AB99" s="141">
        <v>0</v>
      </c>
      <c r="AC99" s="141">
        <v>0</v>
      </c>
      <c r="AD99" s="141">
        <v>0</v>
      </c>
      <c r="AE99" s="141">
        <v>0</v>
      </c>
      <c r="AF99" s="144">
        <v>0</v>
      </c>
      <c r="AG99" s="143">
        <v>0</v>
      </c>
      <c r="AH99" s="141">
        <v>0</v>
      </c>
      <c r="AI99" s="141">
        <v>0</v>
      </c>
      <c r="AJ99" s="141">
        <v>0</v>
      </c>
      <c r="AK99" s="144">
        <v>0</v>
      </c>
    </row>
    <row r="100" spans="1:53" s="98" customFormat="1" ht="15" customHeight="1">
      <c r="B100" s="494"/>
      <c r="C100" s="185" t="s">
        <v>1710</v>
      </c>
      <c r="D100" s="245"/>
      <c r="G100" s="184"/>
      <c r="H100" s="184"/>
      <c r="I100" s="164" t="s">
        <v>498</v>
      </c>
      <c r="J100" s="128">
        <f>SUM(J90:J99)</f>
        <v>0</v>
      </c>
      <c r="K100" s="129">
        <f t="shared" ref="K100" si="154">SUM(K90:K99)</f>
        <v>0</v>
      </c>
      <c r="L100" s="129">
        <f t="shared" ref="L100" si="155">SUM(L90:L99)</f>
        <v>0</v>
      </c>
      <c r="M100" s="129">
        <f t="shared" ref="M100" si="156">SUM(M90:M99)</f>
        <v>0</v>
      </c>
      <c r="N100" s="129">
        <f t="shared" ref="N100" si="157">SUM(N90:N99)</f>
        <v>0</v>
      </c>
      <c r="O100" s="129">
        <f t="shared" ref="O100" si="158">SUM(O90:O99)</f>
        <v>0</v>
      </c>
      <c r="P100" s="129">
        <f t="shared" ref="P100" si="159">SUM(P90:P99)</f>
        <v>0</v>
      </c>
      <c r="Q100" s="130">
        <f t="shared" ref="Q100" si="160">SUM(Q90:Q99)</f>
        <v>0</v>
      </c>
      <c r="R100" s="128">
        <f t="shared" ref="R100" si="161">SUM(R90:R99)</f>
        <v>0</v>
      </c>
      <c r="S100" s="129">
        <f t="shared" ref="S100" si="162">SUM(S90:S99)</f>
        <v>0</v>
      </c>
      <c r="T100" s="129">
        <f t="shared" ref="T100" si="163">SUM(T90:T99)</f>
        <v>0</v>
      </c>
      <c r="U100" s="129">
        <f t="shared" ref="U100" si="164">SUM(U90:U99)</f>
        <v>0</v>
      </c>
      <c r="V100" s="130">
        <f t="shared" ref="V100" si="165">SUM(V90:V99)</f>
        <v>0</v>
      </c>
      <c r="W100" s="185"/>
      <c r="X100" s="164" t="s">
        <v>498</v>
      </c>
      <c r="Y100" s="128">
        <f>SUM(Y90:Y99)</f>
        <v>0</v>
      </c>
      <c r="Z100" s="129">
        <f t="shared" ref="Z100" si="166">SUM(Z90:Z99)</f>
        <v>0</v>
      </c>
      <c r="AA100" s="129">
        <f t="shared" ref="AA100" si="167">SUM(AA90:AA99)</f>
        <v>0</v>
      </c>
      <c r="AB100" s="129">
        <f t="shared" ref="AB100" si="168">SUM(AB90:AB99)</f>
        <v>0</v>
      </c>
      <c r="AC100" s="129">
        <f t="shared" ref="AC100" si="169">SUM(AC90:AC99)</f>
        <v>0</v>
      </c>
      <c r="AD100" s="129">
        <f t="shared" ref="AD100" si="170">SUM(AD90:AD99)</f>
        <v>0</v>
      </c>
      <c r="AE100" s="129">
        <f t="shared" ref="AE100" si="171">SUM(AE90:AE99)</f>
        <v>0</v>
      </c>
      <c r="AF100" s="130">
        <f t="shared" ref="AF100" si="172">SUM(AF90:AF99)</f>
        <v>0</v>
      </c>
      <c r="AG100" s="128">
        <f t="shared" ref="AG100" si="173">SUM(AG90:AG99)</f>
        <v>0</v>
      </c>
      <c r="AH100" s="129">
        <f t="shared" ref="AH100" si="174">SUM(AH90:AH99)</f>
        <v>0</v>
      </c>
      <c r="AI100" s="129">
        <f t="shared" ref="AI100" si="175">SUM(AI90:AI99)</f>
        <v>0</v>
      </c>
      <c r="AJ100" s="129">
        <f t="shared" ref="AJ100" si="176">SUM(AJ90:AJ99)</f>
        <v>0</v>
      </c>
      <c r="AK100" s="130">
        <f t="shared" ref="AK100" si="177">SUM(AK90:AK99)</f>
        <v>0</v>
      </c>
    </row>
    <row r="101" spans="1:53" s="98" customFormat="1" ht="15" customHeight="1">
      <c r="B101" s="494"/>
      <c r="C101" s="185"/>
      <c r="D101" s="185"/>
      <c r="E101" s="182"/>
      <c r="F101" s="182"/>
      <c r="G101" s="184"/>
      <c r="H101" s="184"/>
      <c r="I101" s="117"/>
      <c r="J101" s="713"/>
      <c r="K101" s="714"/>
      <c r="L101" s="714"/>
      <c r="M101" s="714"/>
      <c r="N101" s="714"/>
      <c r="O101" s="714"/>
      <c r="P101" s="714"/>
      <c r="Q101" s="715"/>
      <c r="R101" s="716"/>
      <c r="S101" s="714"/>
      <c r="T101" s="714"/>
      <c r="U101" s="714"/>
      <c r="V101" s="715"/>
      <c r="W101" s="185"/>
      <c r="X101" s="117"/>
      <c r="Y101" s="713"/>
      <c r="Z101" s="714"/>
      <c r="AA101" s="714"/>
      <c r="AB101" s="714"/>
      <c r="AC101" s="714"/>
      <c r="AD101" s="714"/>
      <c r="AE101" s="714"/>
      <c r="AF101" s="715"/>
      <c r="AG101" s="714"/>
      <c r="AH101" s="714"/>
      <c r="AI101" s="714"/>
      <c r="AJ101" s="714"/>
      <c r="AK101" s="715"/>
    </row>
    <row r="102" spans="1:53" s="98" customFormat="1" ht="15" customHeight="1" thickBot="1">
      <c r="A102" s="99"/>
      <c r="B102" s="902" t="s">
        <v>1701</v>
      </c>
      <c r="C102" s="240"/>
      <c r="D102" s="240"/>
      <c r="E102" s="240"/>
      <c r="F102" s="240"/>
      <c r="G102" s="241"/>
      <c r="H102" s="241"/>
      <c r="I102" s="195" t="s">
        <v>498</v>
      </c>
      <c r="J102" s="717">
        <f>SUM(J79,J87,J100)</f>
        <v>0</v>
      </c>
      <c r="K102" s="718">
        <f t="shared" ref="K102:V102" si="178">SUM(K79,K87,K100)</f>
        <v>0</v>
      </c>
      <c r="L102" s="718">
        <f t="shared" si="178"/>
        <v>0</v>
      </c>
      <c r="M102" s="718">
        <f t="shared" si="178"/>
        <v>0</v>
      </c>
      <c r="N102" s="718">
        <f t="shared" si="178"/>
        <v>0</v>
      </c>
      <c r="O102" s="718">
        <f t="shared" si="178"/>
        <v>0</v>
      </c>
      <c r="P102" s="718">
        <f t="shared" si="178"/>
        <v>0</v>
      </c>
      <c r="Q102" s="719">
        <f t="shared" si="178"/>
        <v>0</v>
      </c>
      <c r="R102" s="717">
        <f t="shared" si="178"/>
        <v>0</v>
      </c>
      <c r="S102" s="718">
        <f t="shared" si="178"/>
        <v>0</v>
      </c>
      <c r="T102" s="718">
        <f t="shared" si="178"/>
        <v>0</v>
      </c>
      <c r="U102" s="718">
        <f t="shared" si="178"/>
        <v>0</v>
      </c>
      <c r="V102" s="719">
        <f t="shared" si="178"/>
        <v>0</v>
      </c>
      <c r="W102" s="192"/>
      <c r="X102" s="195" t="s">
        <v>498</v>
      </c>
      <c r="Y102" s="717">
        <f>SUM(Y79,Y87,Y100)</f>
        <v>0</v>
      </c>
      <c r="Z102" s="718">
        <f t="shared" ref="Z102:AK102" si="179">SUM(Z79,Z87,Z100)</f>
        <v>0</v>
      </c>
      <c r="AA102" s="718">
        <f t="shared" si="179"/>
        <v>0</v>
      </c>
      <c r="AB102" s="718">
        <f t="shared" si="179"/>
        <v>0</v>
      </c>
      <c r="AC102" s="718">
        <f t="shared" si="179"/>
        <v>0</v>
      </c>
      <c r="AD102" s="718">
        <f t="shared" si="179"/>
        <v>0</v>
      </c>
      <c r="AE102" s="718">
        <f t="shared" si="179"/>
        <v>0</v>
      </c>
      <c r="AF102" s="719">
        <f t="shared" si="179"/>
        <v>0</v>
      </c>
      <c r="AG102" s="717">
        <f t="shared" si="179"/>
        <v>0</v>
      </c>
      <c r="AH102" s="718">
        <f t="shared" si="179"/>
        <v>0</v>
      </c>
      <c r="AI102" s="718">
        <f t="shared" si="179"/>
        <v>0</v>
      </c>
      <c r="AJ102" s="718">
        <f t="shared" si="179"/>
        <v>0</v>
      </c>
      <c r="AK102" s="719">
        <f t="shared" si="179"/>
        <v>0</v>
      </c>
    </row>
    <row r="103" spans="1:53" s="99" customFormat="1" ht="15" customHeight="1" thickBot="1">
      <c r="B103" s="894"/>
      <c r="C103" s="150"/>
      <c r="D103" s="150"/>
      <c r="E103" s="150"/>
      <c r="F103" s="150"/>
      <c r="G103" s="97"/>
      <c r="H103" s="97"/>
      <c r="I103" s="98"/>
      <c r="J103" s="98"/>
      <c r="K103" s="98"/>
      <c r="L103" s="98"/>
      <c r="M103" s="98"/>
      <c r="N103" s="98"/>
      <c r="O103" s="98"/>
      <c r="P103" s="98"/>
      <c r="Q103" s="98"/>
      <c r="R103" s="98"/>
      <c r="S103" s="98"/>
      <c r="T103" s="98"/>
      <c r="U103" s="98"/>
      <c r="V103" s="98"/>
      <c r="AL103" s="98"/>
      <c r="AM103" s="98"/>
      <c r="AN103" s="98"/>
      <c r="AO103" s="98"/>
      <c r="AP103" s="98"/>
      <c r="AQ103" s="98"/>
      <c r="AR103" s="98"/>
      <c r="AS103" s="98"/>
      <c r="AT103" s="98"/>
      <c r="AU103" s="98"/>
      <c r="AV103" s="98"/>
      <c r="AW103" s="98"/>
      <c r="AX103" s="98"/>
      <c r="AY103" s="98"/>
      <c r="AZ103" s="98"/>
      <c r="BA103" s="98"/>
    </row>
    <row r="104" spans="1:53" s="100" customFormat="1" ht="30" customHeight="1" thickBot="1">
      <c r="A104" s="89"/>
      <c r="B104" s="621" t="s">
        <v>2375</v>
      </c>
      <c r="C104" s="102"/>
      <c r="D104" s="102"/>
      <c r="E104" s="102"/>
      <c r="F104" s="102"/>
      <c r="G104" s="103"/>
      <c r="H104" s="103"/>
      <c r="I104" s="105" t="s">
        <v>1864</v>
      </c>
      <c r="J104" s="106"/>
      <c r="K104" s="106"/>
      <c r="L104" s="106"/>
      <c r="M104" s="106"/>
      <c r="N104" s="106"/>
      <c r="O104" s="106"/>
      <c r="P104" s="106"/>
      <c r="Q104" s="106"/>
      <c r="R104" s="105"/>
      <c r="S104" s="105"/>
      <c r="T104" s="105"/>
      <c r="U104" s="105"/>
      <c r="V104" s="187"/>
      <c r="W104" s="103"/>
      <c r="X104" s="105" t="s">
        <v>2376</v>
      </c>
      <c r="Y104" s="106"/>
      <c r="Z104" s="106"/>
      <c r="AA104" s="106"/>
      <c r="AB104" s="106"/>
      <c r="AC104" s="106"/>
      <c r="AD104" s="106"/>
      <c r="AE104" s="106"/>
      <c r="AF104" s="106"/>
      <c r="AG104" s="105"/>
      <c r="AH104" s="105"/>
      <c r="AI104" s="105"/>
      <c r="AJ104" s="105"/>
      <c r="AK104" s="187"/>
    </row>
    <row r="105" spans="1:53" s="157" customFormat="1" ht="30" customHeight="1">
      <c r="A105" s="99"/>
      <c r="B105" s="109"/>
      <c r="C105" s="110"/>
      <c r="D105" s="110"/>
      <c r="E105" s="110"/>
      <c r="F105" s="110"/>
      <c r="G105" s="111"/>
      <c r="H105" s="111"/>
      <c r="I105" s="117"/>
      <c r="J105" s="695" t="s">
        <v>1666</v>
      </c>
      <c r="K105" s="152"/>
      <c r="L105" s="152"/>
      <c r="M105" s="152"/>
      <c r="N105" s="152"/>
      <c r="O105" s="152"/>
      <c r="P105" s="152"/>
      <c r="Q105" s="153"/>
      <c r="R105" s="696" t="s">
        <v>2</v>
      </c>
      <c r="S105" s="155"/>
      <c r="T105" s="155"/>
      <c r="U105" s="155"/>
      <c r="V105" s="156"/>
      <c r="W105" s="222"/>
      <c r="X105" s="117"/>
      <c r="Y105" s="695" t="s">
        <v>1666</v>
      </c>
      <c r="Z105" s="152"/>
      <c r="AA105" s="152"/>
      <c r="AB105" s="152"/>
      <c r="AC105" s="152"/>
      <c r="AD105" s="152"/>
      <c r="AE105" s="152"/>
      <c r="AF105" s="153"/>
      <c r="AG105" s="696" t="s">
        <v>2</v>
      </c>
      <c r="AH105" s="155"/>
      <c r="AI105" s="155"/>
      <c r="AJ105" s="155"/>
      <c r="AK105" s="156"/>
    </row>
    <row r="106" spans="1:53" s="98" customFormat="1" ht="15" customHeight="1">
      <c r="A106" s="99"/>
      <c r="B106" s="900"/>
      <c r="C106" s="116"/>
      <c r="D106" s="116"/>
      <c r="E106" s="116"/>
      <c r="F106" s="116"/>
      <c r="G106" s="117"/>
      <c r="H106" s="117"/>
      <c r="I106" s="119" t="s">
        <v>1667</v>
      </c>
      <c r="J106" s="158" t="s">
        <v>453</v>
      </c>
      <c r="K106" s="137" t="s">
        <v>455</v>
      </c>
      <c r="L106" s="137" t="s">
        <v>457</v>
      </c>
      <c r="M106" s="137" t="s">
        <v>459</v>
      </c>
      <c r="N106" s="137" t="s">
        <v>461</v>
      </c>
      <c r="O106" s="137" t="s">
        <v>463</v>
      </c>
      <c r="P106" s="137" t="s">
        <v>465</v>
      </c>
      <c r="Q106" s="138" t="s">
        <v>467</v>
      </c>
      <c r="R106" s="120" t="s">
        <v>469</v>
      </c>
      <c r="S106" s="121" t="s">
        <v>471</v>
      </c>
      <c r="T106" s="121" t="s">
        <v>473</v>
      </c>
      <c r="U106" s="121" t="s">
        <v>475</v>
      </c>
      <c r="V106" s="122" t="s">
        <v>477</v>
      </c>
      <c r="W106" s="185"/>
      <c r="X106" s="119" t="s">
        <v>1667</v>
      </c>
      <c r="Y106" s="158" t="s">
        <v>453</v>
      </c>
      <c r="Z106" s="137" t="s">
        <v>455</v>
      </c>
      <c r="AA106" s="137" t="s">
        <v>457</v>
      </c>
      <c r="AB106" s="137" t="s">
        <v>459</v>
      </c>
      <c r="AC106" s="137" t="s">
        <v>461</v>
      </c>
      <c r="AD106" s="137" t="s">
        <v>463</v>
      </c>
      <c r="AE106" s="137" t="s">
        <v>465</v>
      </c>
      <c r="AF106" s="138" t="s">
        <v>467</v>
      </c>
      <c r="AG106" s="120" t="s">
        <v>469</v>
      </c>
      <c r="AH106" s="121" t="s">
        <v>471</v>
      </c>
      <c r="AI106" s="121" t="s">
        <v>473</v>
      </c>
      <c r="AJ106" s="121" t="s">
        <v>475</v>
      </c>
      <c r="AK106" s="122" t="s">
        <v>477</v>
      </c>
    </row>
    <row r="107" spans="1:53" s="98" customFormat="1" ht="15" customHeight="1">
      <c r="B107" s="901"/>
      <c r="C107" s="180" t="s">
        <v>2375</v>
      </c>
      <c r="D107" s="180"/>
      <c r="E107" s="162"/>
      <c r="F107" s="162"/>
      <c r="G107" s="163"/>
      <c r="H107" s="163"/>
      <c r="I107" s="117"/>
      <c r="J107" s="159"/>
      <c r="K107" s="117"/>
      <c r="L107" s="117"/>
      <c r="M107" s="117"/>
      <c r="N107" s="117"/>
      <c r="O107" s="117"/>
      <c r="P107" s="117"/>
      <c r="Q107" s="160"/>
      <c r="R107" s="159"/>
      <c r="S107" s="117"/>
      <c r="T107" s="117"/>
      <c r="U107" s="117"/>
      <c r="V107" s="160"/>
      <c r="W107" s="185"/>
      <c r="X107" s="117"/>
      <c r="Y107" s="159"/>
      <c r="Z107" s="117"/>
      <c r="AA107" s="117"/>
      <c r="AB107" s="117"/>
      <c r="AC107" s="117"/>
      <c r="AD107" s="117"/>
      <c r="AE107" s="117"/>
      <c r="AF107" s="160"/>
      <c r="AG107" s="159"/>
      <c r="AH107" s="117"/>
      <c r="AI107" s="117"/>
      <c r="AJ107" s="117"/>
      <c r="AK107" s="160"/>
    </row>
    <row r="108" spans="1:53" s="98" customFormat="1" ht="15" customHeight="1">
      <c r="B108" s="901"/>
      <c r="C108" s="185"/>
      <c r="D108" s="162" t="s">
        <v>85</v>
      </c>
      <c r="G108" s="170"/>
      <c r="H108" s="163"/>
      <c r="I108" s="164" t="s">
        <v>498</v>
      </c>
      <c r="J108" s="143">
        <v>0</v>
      </c>
      <c r="K108" s="141">
        <v>0</v>
      </c>
      <c r="L108" s="141">
        <v>0</v>
      </c>
      <c r="M108" s="141">
        <v>0</v>
      </c>
      <c r="N108" s="141">
        <v>0</v>
      </c>
      <c r="O108" s="141">
        <v>0</v>
      </c>
      <c r="P108" s="141">
        <v>0</v>
      </c>
      <c r="Q108" s="144">
        <v>0</v>
      </c>
      <c r="R108" s="143">
        <v>0</v>
      </c>
      <c r="S108" s="141">
        <v>0</v>
      </c>
      <c r="T108" s="141">
        <v>0</v>
      </c>
      <c r="U108" s="141">
        <v>0</v>
      </c>
      <c r="V108" s="144">
        <v>0</v>
      </c>
      <c r="W108" s="185"/>
      <c r="X108" s="164" t="s">
        <v>498</v>
      </c>
      <c r="Y108" s="143">
        <v>0</v>
      </c>
      <c r="Z108" s="141">
        <v>0</v>
      </c>
      <c r="AA108" s="141">
        <v>0</v>
      </c>
      <c r="AB108" s="141">
        <v>0</v>
      </c>
      <c r="AC108" s="141">
        <v>0</v>
      </c>
      <c r="AD108" s="141">
        <v>0</v>
      </c>
      <c r="AE108" s="141">
        <v>0</v>
      </c>
      <c r="AF108" s="144">
        <v>0</v>
      </c>
      <c r="AG108" s="143">
        <v>0</v>
      </c>
      <c r="AH108" s="141">
        <v>0</v>
      </c>
      <c r="AI108" s="141">
        <v>0</v>
      </c>
      <c r="AJ108" s="141">
        <v>0</v>
      </c>
      <c r="AK108" s="144">
        <v>0</v>
      </c>
    </row>
    <row r="109" spans="1:53" s="98" customFormat="1" ht="15" customHeight="1">
      <c r="B109" s="901"/>
      <c r="C109" s="185"/>
      <c r="D109" s="162" t="s">
        <v>85</v>
      </c>
      <c r="G109" s="170"/>
      <c r="H109" s="163"/>
      <c r="I109" s="164" t="s">
        <v>498</v>
      </c>
      <c r="J109" s="143">
        <v>0</v>
      </c>
      <c r="K109" s="141">
        <v>0</v>
      </c>
      <c r="L109" s="141">
        <v>0</v>
      </c>
      <c r="M109" s="141">
        <v>0</v>
      </c>
      <c r="N109" s="141">
        <v>0</v>
      </c>
      <c r="O109" s="141">
        <v>0</v>
      </c>
      <c r="P109" s="141">
        <v>0</v>
      </c>
      <c r="Q109" s="144">
        <v>0</v>
      </c>
      <c r="R109" s="143">
        <v>0</v>
      </c>
      <c r="S109" s="141">
        <v>0</v>
      </c>
      <c r="T109" s="141">
        <v>0</v>
      </c>
      <c r="U109" s="141">
        <v>0</v>
      </c>
      <c r="V109" s="144">
        <v>0</v>
      </c>
      <c r="W109" s="185"/>
      <c r="X109" s="164" t="s">
        <v>498</v>
      </c>
      <c r="Y109" s="143">
        <v>0</v>
      </c>
      <c r="Z109" s="141">
        <v>0</v>
      </c>
      <c r="AA109" s="141">
        <v>0</v>
      </c>
      <c r="AB109" s="141">
        <v>0</v>
      </c>
      <c r="AC109" s="141">
        <v>0</v>
      </c>
      <c r="AD109" s="141">
        <v>0</v>
      </c>
      <c r="AE109" s="141">
        <v>0</v>
      </c>
      <c r="AF109" s="144">
        <v>0</v>
      </c>
      <c r="AG109" s="143">
        <v>0</v>
      </c>
      <c r="AH109" s="141">
        <v>0</v>
      </c>
      <c r="AI109" s="141">
        <v>0</v>
      </c>
      <c r="AJ109" s="141">
        <v>0</v>
      </c>
      <c r="AK109" s="144">
        <v>0</v>
      </c>
    </row>
    <row r="110" spans="1:53" s="98" customFormat="1" ht="15" customHeight="1">
      <c r="B110" s="901"/>
      <c r="C110" s="185"/>
      <c r="D110" s="162" t="s">
        <v>85</v>
      </c>
      <c r="G110" s="170"/>
      <c r="H110" s="163"/>
      <c r="I110" s="164" t="s">
        <v>498</v>
      </c>
      <c r="J110" s="143">
        <v>0</v>
      </c>
      <c r="K110" s="141">
        <v>0</v>
      </c>
      <c r="L110" s="141">
        <v>0</v>
      </c>
      <c r="M110" s="141">
        <v>0</v>
      </c>
      <c r="N110" s="141">
        <v>0</v>
      </c>
      <c r="O110" s="141">
        <v>0</v>
      </c>
      <c r="P110" s="141">
        <v>0</v>
      </c>
      <c r="Q110" s="144">
        <v>0</v>
      </c>
      <c r="R110" s="143">
        <v>0</v>
      </c>
      <c r="S110" s="141">
        <v>0</v>
      </c>
      <c r="T110" s="141">
        <v>0</v>
      </c>
      <c r="U110" s="141">
        <v>0</v>
      </c>
      <c r="V110" s="144">
        <v>0</v>
      </c>
      <c r="W110" s="185"/>
      <c r="X110" s="164" t="s">
        <v>498</v>
      </c>
      <c r="Y110" s="143">
        <v>0</v>
      </c>
      <c r="Z110" s="141">
        <v>0</v>
      </c>
      <c r="AA110" s="141">
        <v>0</v>
      </c>
      <c r="AB110" s="141">
        <v>0</v>
      </c>
      <c r="AC110" s="141">
        <v>0</v>
      </c>
      <c r="AD110" s="141">
        <v>0</v>
      </c>
      <c r="AE110" s="141">
        <v>0</v>
      </c>
      <c r="AF110" s="144">
        <v>0</v>
      </c>
      <c r="AG110" s="143">
        <v>0</v>
      </c>
      <c r="AH110" s="141">
        <v>0</v>
      </c>
      <c r="AI110" s="141">
        <v>0</v>
      </c>
      <c r="AJ110" s="141">
        <v>0</v>
      </c>
      <c r="AK110" s="144">
        <v>0</v>
      </c>
    </row>
    <row r="111" spans="1:53" s="98" customFormat="1" ht="15" customHeight="1">
      <c r="B111" s="901"/>
      <c r="C111" s="185"/>
      <c r="D111" s="162" t="s">
        <v>85</v>
      </c>
      <c r="G111" s="170"/>
      <c r="H111" s="163"/>
      <c r="I111" s="164" t="s">
        <v>498</v>
      </c>
      <c r="J111" s="143">
        <v>0</v>
      </c>
      <c r="K111" s="141">
        <v>0</v>
      </c>
      <c r="L111" s="141">
        <v>0</v>
      </c>
      <c r="M111" s="141">
        <v>0</v>
      </c>
      <c r="N111" s="141">
        <v>0</v>
      </c>
      <c r="O111" s="141">
        <v>0</v>
      </c>
      <c r="P111" s="141">
        <v>0</v>
      </c>
      <c r="Q111" s="144">
        <v>0</v>
      </c>
      <c r="R111" s="143">
        <v>0</v>
      </c>
      <c r="S111" s="141">
        <v>0</v>
      </c>
      <c r="T111" s="141">
        <v>0</v>
      </c>
      <c r="U111" s="141">
        <v>0</v>
      </c>
      <c r="V111" s="144">
        <v>0</v>
      </c>
      <c r="W111" s="185"/>
      <c r="X111" s="164" t="s">
        <v>498</v>
      </c>
      <c r="Y111" s="143">
        <v>0</v>
      </c>
      <c r="Z111" s="141">
        <v>0</v>
      </c>
      <c r="AA111" s="141">
        <v>0</v>
      </c>
      <c r="AB111" s="141">
        <v>0</v>
      </c>
      <c r="AC111" s="141">
        <v>0</v>
      </c>
      <c r="AD111" s="141">
        <v>0</v>
      </c>
      <c r="AE111" s="141">
        <v>0</v>
      </c>
      <c r="AF111" s="144">
        <v>0</v>
      </c>
      <c r="AG111" s="143">
        <v>0</v>
      </c>
      <c r="AH111" s="141">
        <v>0</v>
      </c>
      <c r="AI111" s="141">
        <v>0</v>
      </c>
      <c r="AJ111" s="141">
        <v>0</v>
      </c>
      <c r="AK111" s="144">
        <v>0</v>
      </c>
    </row>
    <row r="112" spans="1:53" s="98" customFormat="1" ht="15" customHeight="1">
      <c r="B112" s="901"/>
      <c r="C112" s="185"/>
      <c r="D112" s="162" t="s">
        <v>85</v>
      </c>
      <c r="G112" s="170"/>
      <c r="H112" s="163"/>
      <c r="I112" s="164" t="s">
        <v>498</v>
      </c>
      <c r="J112" s="143">
        <v>0</v>
      </c>
      <c r="K112" s="141">
        <v>0</v>
      </c>
      <c r="L112" s="141">
        <v>0</v>
      </c>
      <c r="M112" s="141">
        <v>0</v>
      </c>
      <c r="N112" s="141">
        <v>0</v>
      </c>
      <c r="O112" s="141">
        <v>0</v>
      </c>
      <c r="P112" s="141">
        <v>0</v>
      </c>
      <c r="Q112" s="144">
        <v>0</v>
      </c>
      <c r="R112" s="143">
        <v>0</v>
      </c>
      <c r="S112" s="141">
        <v>0</v>
      </c>
      <c r="T112" s="141">
        <v>0</v>
      </c>
      <c r="U112" s="141">
        <v>0</v>
      </c>
      <c r="V112" s="144">
        <v>0</v>
      </c>
      <c r="W112" s="185"/>
      <c r="X112" s="164" t="s">
        <v>498</v>
      </c>
      <c r="Y112" s="143">
        <v>0</v>
      </c>
      <c r="Z112" s="141">
        <v>0</v>
      </c>
      <c r="AA112" s="141">
        <v>0</v>
      </c>
      <c r="AB112" s="141">
        <v>0</v>
      </c>
      <c r="AC112" s="141">
        <v>0</v>
      </c>
      <c r="AD112" s="141">
        <v>0</v>
      </c>
      <c r="AE112" s="141">
        <v>0</v>
      </c>
      <c r="AF112" s="144">
        <v>0</v>
      </c>
      <c r="AG112" s="143">
        <v>0</v>
      </c>
      <c r="AH112" s="141">
        <v>0</v>
      </c>
      <c r="AI112" s="141">
        <v>0</v>
      </c>
      <c r="AJ112" s="141">
        <v>0</v>
      </c>
      <c r="AK112" s="144">
        <v>0</v>
      </c>
    </row>
    <row r="113" spans="1:53" s="98" customFormat="1" ht="15" customHeight="1">
      <c r="B113" s="901"/>
      <c r="C113" s="185"/>
      <c r="D113" s="162" t="s">
        <v>85</v>
      </c>
      <c r="G113" s="170"/>
      <c r="H113" s="163"/>
      <c r="I113" s="164" t="s">
        <v>498</v>
      </c>
      <c r="J113" s="143">
        <v>0</v>
      </c>
      <c r="K113" s="141">
        <v>0</v>
      </c>
      <c r="L113" s="141">
        <v>0</v>
      </c>
      <c r="M113" s="141">
        <v>0</v>
      </c>
      <c r="N113" s="141">
        <v>0</v>
      </c>
      <c r="O113" s="141">
        <v>0</v>
      </c>
      <c r="P113" s="141">
        <v>0</v>
      </c>
      <c r="Q113" s="144">
        <v>0</v>
      </c>
      <c r="R113" s="143">
        <v>0</v>
      </c>
      <c r="S113" s="141">
        <v>0</v>
      </c>
      <c r="T113" s="141">
        <v>0</v>
      </c>
      <c r="U113" s="141">
        <v>0</v>
      </c>
      <c r="V113" s="144">
        <v>0</v>
      </c>
      <c r="W113" s="185"/>
      <c r="X113" s="164" t="s">
        <v>498</v>
      </c>
      <c r="Y113" s="143">
        <v>0</v>
      </c>
      <c r="Z113" s="141">
        <v>0</v>
      </c>
      <c r="AA113" s="141">
        <v>0</v>
      </c>
      <c r="AB113" s="141">
        <v>0</v>
      </c>
      <c r="AC113" s="141">
        <v>0</v>
      </c>
      <c r="AD113" s="141">
        <v>0</v>
      </c>
      <c r="AE113" s="141">
        <v>0</v>
      </c>
      <c r="AF113" s="144">
        <v>0</v>
      </c>
      <c r="AG113" s="143">
        <v>0</v>
      </c>
      <c r="AH113" s="141">
        <v>0</v>
      </c>
      <c r="AI113" s="141">
        <v>0</v>
      </c>
      <c r="AJ113" s="141">
        <v>0</v>
      </c>
      <c r="AK113" s="144">
        <v>0</v>
      </c>
    </row>
    <row r="114" spans="1:53" s="98" customFormat="1" ht="15" customHeight="1">
      <c r="B114" s="901"/>
      <c r="C114" s="185"/>
      <c r="D114" s="162" t="s">
        <v>85</v>
      </c>
      <c r="G114" s="170"/>
      <c r="H114" s="163"/>
      <c r="I114" s="164" t="s">
        <v>498</v>
      </c>
      <c r="J114" s="143">
        <v>0</v>
      </c>
      <c r="K114" s="141">
        <v>0</v>
      </c>
      <c r="L114" s="141">
        <v>0</v>
      </c>
      <c r="M114" s="141">
        <v>0</v>
      </c>
      <c r="N114" s="141">
        <v>0</v>
      </c>
      <c r="O114" s="141">
        <v>0</v>
      </c>
      <c r="P114" s="141">
        <v>0</v>
      </c>
      <c r="Q114" s="144">
        <v>0</v>
      </c>
      <c r="R114" s="143">
        <v>0</v>
      </c>
      <c r="S114" s="141">
        <v>0</v>
      </c>
      <c r="T114" s="141">
        <v>0</v>
      </c>
      <c r="U114" s="141">
        <v>0</v>
      </c>
      <c r="V114" s="144">
        <v>0</v>
      </c>
      <c r="W114" s="185"/>
      <c r="X114" s="164" t="s">
        <v>498</v>
      </c>
      <c r="Y114" s="143">
        <v>0</v>
      </c>
      <c r="Z114" s="141">
        <v>0</v>
      </c>
      <c r="AA114" s="141">
        <v>0</v>
      </c>
      <c r="AB114" s="141">
        <v>0</v>
      </c>
      <c r="AC114" s="141">
        <v>0</v>
      </c>
      <c r="AD114" s="141">
        <v>0</v>
      </c>
      <c r="AE114" s="141">
        <v>0</v>
      </c>
      <c r="AF114" s="144">
        <v>0</v>
      </c>
      <c r="AG114" s="143">
        <v>0</v>
      </c>
      <c r="AH114" s="141">
        <v>0</v>
      </c>
      <c r="AI114" s="141">
        <v>0</v>
      </c>
      <c r="AJ114" s="141">
        <v>0</v>
      </c>
      <c r="AK114" s="144">
        <v>0</v>
      </c>
    </row>
    <row r="115" spans="1:53" s="98" customFormat="1" ht="15" customHeight="1">
      <c r="B115" s="901"/>
      <c r="C115" s="185"/>
      <c r="D115" s="162" t="s">
        <v>85</v>
      </c>
      <c r="G115" s="170"/>
      <c r="H115" s="163"/>
      <c r="I115" s="164" t="s">
        <v>498</v>
      </c>
      <c r="J115" s="143">
        <v>0</v>
      </c>
      <c r="K115" s="141">
        <v>0</v>
      </c>
      <c r="L115" s="141">
        <v>0</v>
      </c>
      <c r="M115" s="141">
        <v>0</v>
      </c>
      <c r="N115" s="141">
        <v>0</v>
      </c>
      <c r="O115" s="141">
        <v>0</v>
      </c>
      <c r="P115" s="141">
        <v>0</v>
      </c>
      <c r="Q115" s="144">
        <v>0</v>
      </c>
      <c r="R115" s="143">
        <v>0</v>
      </c>
      <c r="S115" s="141">
        <v>0</v>
      </c>
      <c r="T115" s="141">
        <v>0</v>
      </c>
      <c r="U115" s="141">
        <v>0</v>
      </c>
      <c r="V115" s="144">
        <v>0</v>
      </c>
      <c r="W115" s="185"/>
      <c r="X115" s="164" t="s">
        <v>498</v>
      </c>
      <c r="Y115" s="143">
        <v>0</v>
      </c>
      <c r="Z115" s="141">
        <v>0</v>
      </c>
      <c r="AA115" s="141">
        <v>0</v>
      </c>
      <c r="AB115" s="141">
        <v>0</v>
      </c>
      <c r="AC115" s="141">
        <v>0</v>
      </c>
      <c r="AD115" s="141">
        <v>0</v>
      </c>
      <c r="AE115" s="141">
        <v>0</v>
      </c>
      <c r="AF115" s="144">
        <v>0</v>
      </c>
      <c r="AG115" s="143">
        <v>0</v>
      </c>
      <c r="AH115" s="141">
        <v>0</v>
      </c>
      <c r="AI115" s="141">
        <v>0</v>
      </c>
      <c r="AJ115" s="141">
        <v>0</v>
      </c>
      <c r="AK115" s="144">
        <v>0</v>
      </c>
    </row>
    <row r="116" spans="1:53" s="98" customFormat="1" ht="15" customHeight="1">
      <c r="B116" s="901"/>
      <c r="C116" s="185"/>
      <c r="D116" s="162" t="s">
        <v>85</v>
      </c>
      <c r="G116" s="170"/>
      <c r="H116" s="163"/>
      <c r="I116" s="164" t="s">
        <v>498</v>
      </c>
      <c r="J116" s="143">
        <v>0</v>
      </c>
      <c r="K116" s="141">
        <v>0</v>
      </c>
      <c r="L116" s="141">
        <v>0</v>
      </c>
      <c r="M116" s="141">
        <v>0</v>
      </c>
      <c r="N116" s="141">
        <v>0</v>
      </c>
      <c r="O116" s="141">
        <v>0</v>
      </c>
      <c r="P116" s="141">
        <v>0</v>
      </c>
      <c r="Q116" s="144">
        <v>0</v>
      </c>
      <c r="R116" s="143">
        <v>0</v>
      </c>
      <c r="S116" s="141">
        <v>0</v>
      </c>
      <c r="T116" s="141">
        <v>0</v>
      </c>
      <c r="U116" s="141">
        <v>0</v>
      </c>
      <c r="V116" s="144">
        <v>0</v>
      </c>
      <c r="W116" s="185"/>
      <c r="X116" s="164" t="s">
        <v>498</v>
      </c>
      <c r="Y116" s="143">
        <v>0</v>
      </c>
      <c r="Z116" s="141">
        <v>0</v>
      </c>
      <c r="AA116" s="141">
        <v>0</v>
      </c>
      <c r="AB116" s="141">
        <v>0</v>
      </c>
      <c r="AC116" s="141">
        <v>0</v>
      </c>
      <c r="AD116" s="141">
        <v>0</v>
      </c>
      <c r="AE116" s="141">
        <v>0</v>
      </c>
      <c r="AF116" s="144">
        <v>0</v>
      </c>
      <c r="AG116" s="143">
        <v>0</v>
      </c>
      <c r="AH116" s="141">
        <v>0</v>
      </c>
      <c r="AI116" s="141">
        <v>0</v>
      </c>
      <c r="AJ116" s="141">
        <v>0</v>
      </c>
      <c r="AK116" s="144">
        <v>0</v>
      </c>
    </row>
    <row r="117" spans="1:53" s="98" customFormat="1" ht="15" customHeight="1">
      <c r="B117" s="901"/>
      <c r="C117" s="185"/>
      <c r="D117" s="162" t="s">
        <v>85</v>
      </c>
      <c r="G117" s="170"/>
      <c r="H117" s="163"/>
      <c r="I117" s="164" t="s">
        <v>498</v>
      </c>
      <c r="J117" s="143">
        <v>0</v>
      </c>
      <c r="K117" s="141">
        <v>0</v>
      </c>
      <c r="L117" s="141">
        <v>0</v>
      </c>
      <c r="M117" s="141">
        <v>0</v>
      </c>
      <c r="N117" s="141">
        <v>0</v>
      </c>
      <c r="O117" s="141">
        <v>0</v>
      </c>
      <c r="P117" s="141">
        <v>0</v>
      </c>
      <c r="Q117" s="144">
        <v>0</v>
      </c>
      <c r="R117" s="143">
        <v>0</v>
      </c>
      <c r="S117" s="141">
        <v>0</v>
      </c>
      <c r="T117" s="141">
        <v>0</v>
      </c>
      <c r="U117" s="141">
        <v>0</v>
      </c>
      <c r="V117" s="144">
        <v>0</v>
      </c>
      <c r="W117" s="185"/>
      <c r="X117" s="164" t="s">
        <v>498</v>
      </c>
      <c r="Y117" s="143">
        <v>0</v>
      </c>
      <c r="Z117" s="141">
        <v>0</v>
      </c>
      <c r="AA117" s="141">
        <v>0</v>
      </c>
      <c r="AB117" s="141">
        <v>0</v>
      </c>
      <c r="AC117" s="141">
        <v>0</v>
      </c>
      <c r="AD117" s="141">
        <v>0</v>
      </c>
      <c r="AE117" s="141">
        <v>0</v>
      </c>
      <c r="AF117" s="144">
        <v>0</v>
      </c>
      <c r="AG117" s="143">
        <v>0</v>
      </c>
      <c r="AH117" s="141">
        <v>0</v>
      </c>
      <c r="AI117" s="141">
        <v>0</v>
      </c>
      <c r="AJ117" s="141">
        <v>0</v>
      </c>
      <c r="AK117" s="144">
        <v>0</v>
      </c>
    </row>
    <row r="118" spans="1:53" s="98" customFormat="1" ht="15" customHeight="1" thickBot="1">
      <c r="B118" s="902" t="s">
        <v>1701</v>
      </c>
      <c r="C118" s="246"/>
      <c r="D118" s="246"/>
      <c r="E118" s="192"/>
      <c r="F118" s="192"/>
      <c r="G118" s="241"/>
      <c r="H118" s="241"/>
      <c r="I118" s="195" t="s">
        <v>498</v>
      </c>
      <c r="J118" s="177">
        <f>SUM(J108:J117)</f>
        <v>0</v>
      </c>
      <c r="K118" s="178">
        <f t="shared" ref="K118:V118" si="180">SUM(K108:K117)</f>
        <v>0</v>
      </c>
      <c r="L118" s="178">
        <f t="shared" si="180"/>
        <v>0</v>
      </c>
      <c r="M118" s="178">
        <f t="shared" si="180"/>
        <v>0</v>
      </c>
      <c r="N118" s="178">
        <f t="shared" si="180"/>
        <v>0</v>
      </c>
      <c r="O118" s="178">
        <f t="shared" si="180"/>
        <v>0</v>
      </c>
      <c r="P118" s="178">
        <f t="shared" si="180"/>
        <v>0</v>
      </c>
      <c r="Q118" s="179">
        <f t="shared" si="180"/>
        <v>0</v>
      </c>
      <c r="R118" s="177">
        <f t="shared" si="180"/>
        <v>0</v>
      </c>
      <c r="S118" s="178">
        <f t="shared" si="180"/>
        <v>0</v>
      </c>
      <c r="T118" s="178">
        <f t="shared" si="180"/>
        <v>0</v>
      </c>
      <c r="U118" s="178">
        <f t="shared" si="180"/>
        <v>0</v>
      </c>
      <c r="V118" s="179">
        <f t="shared" si="180"/>
        <v>0</v>
      </c>
      <c r="W118" s="192"/>
      <c r="X118" s="195" t="s">
        <v>498</v>
      </c>
      <c r="Y118" s="177">
        <f>SUM(Y108:Y117)</f>
        <v>0</v>
      </c>
      <c r="Z118" s="178">
        <f t="shared" ref="Z118" si="181">SUM(Z108:Z117)</f>
        <v>0</v>
      </c>
      <c r="AA118" s="178">
        <f t="shared" ref="AA118" si="182">SUM(AA108:AA117)</f>
        <v>0</v>
      </c>
      <c r="AB118" s="178">
        <f t="shared" ref="AB118" si="183">SUM(AB108:AB117)</f>
        <v>0</v>
      </c>
      <c r="AC118" s="178">
        <f t="shared" ref="AC118" si="184">SUM(AC108:AC117)</f>
        <v>0</v>
      </c>
      <c r="AD118" s="178">
        <f t="shared" ref="AD118" si="185">SUM(AD108:AD117)</f>
        <v>0</v>
      </c>
      <c r="AE118" s="178">
        <f t="shared" ref="AE118" si="186">SUM(AE108:AE117)</f>
        <v>0</v>
      </c>
      <c r="AF118" s="179">
        <f t="shared" ref="AF118" si="187">SUM(AF108:AF117)</f>
        <v>0</v>
      </c>
      <c r="AG118" s="177">
        <f t="shared" ref="AG118" si="188">SUM(AG108:AG117)</f>
        <v>0</v>
      </c>
      <c r="AH118" s="178">
        <f t="shared" ref="AH118" si="189">SUM(AH108:AH117)</f>
        <v>0</v>
      </c>
      <c r="AI118" s="178">
        <f t="shared" ref="AI118" si="190">SUM(AI108:AI117)</f>
        <v>0</v>
      </c>
      <c r="AJ118" s="178">
        <f t="shared" ref="AJ118" si="191">SUM(AJ108:AJ117)</f>
        <v>0</v>
      </c>
      <c r="AK118" s="179">
        <f t="shared" ref="AK118" si="192">SUM(AK108:AK117)</f>
        <v>0</v>
      </c>
    </row>
    <row r="119" spans="1:53" s="99" customFormat="1" ht="15" customHeight="1" thickBot="1">
      <c r="B119" s="894"/>
      <c r="C119" s="150"/>
      <c r="D119" s="150"/>
      <c r="E119" s="150"/>
      <c r="F119" s="150"/>
      <c r="G119" s="97"/>
      <c r="H119" s="97"/>
      <c r="I119" s="98"/>
      <c r="J119" s="98"/>
      <c r="K119" s="98"/>
      <c r="L119" s="98"/>
      <c r="M119" s="98"/>
      <c r="N119" s="98"/>
      <c r="O119" s="98"/>
      <c r="P119" s="98"/>
      <c r="Q119" s="98"/>
      <c r="R119" s="98"/>
      <c r="S119" s="98"/>
      <c r="T119" s="98"/>
      <c r="U119" s="98"/>
      <c r="V119" s="98"/>
      <c r="AM119" s="98"/>
      <c r="AN119" s="98"/>
      <c r="AO119" s="98"/>
      <c r="AP119" s="98"/>
      <c r="AQ119" s="98"/>
      <c r="AR119" s="98"/>
      <c r="AS119" s="98"/>
      <c r="AT119" s="98"/>
      <c r="AU119" s="98"/>
      <c r="AV119" s="98"/>
      <c r="AW119" s="98"/>
      <c r="AX119" s="98"/>
      <c r="AY119" s="98"/>
      <c r="AZ119" s="98"/>
      <c r="BA119" s="98"/>
    </row>
    <row r="120" spans="1:53" s="100" customFormat="1" ht="30" customHeight="1" thickBot="1">
      <c r="A120" s="89"/>
      <c r="B120" s="621" t="s">
        <v>2386</v>
      </c>
      <c r="C120" s="102"/>
      <c r="D120" s="102"/>
      <c r="E120" s="102"/>
      <c r="F120" s="102"/>
      <c r="G120" s="103"/>
      <c r="H120" s="103"/>
      <c r="I120" s="105" t="s">
        <v>2387</v>
      </c>
      <c r="J120" s="106"/>
      <c r="K120" s="106"/>
      <c r="L120" s="106"/>
      <c r="M120" s="106"/>
      <c r="N120" s="106"/>
      <c r="O120" s="106"/>
      <c r="P120" s="106"/>
      <c r="Q120" s="106"/>
      <c r="R120" s="105"/>
      <c r="S120" s="105"/>
      <c r="T120" s="105"/>
      <c r="U120" s="105"/>
      <c r="V120" s="187"/>
    </row>
    <row r="121" spans="1:53" s="157" customFormat="1" ht="30" customHeight="1">
      <c r="A121" s="99"/>
      <c r="B121" s="109"/>
      <c r="C121" s="110"/>
      <c r="D121" s="110"/>
      <c r="E121" s="110"/>
      <c r="F121" s="110"/>
      <c r="G121" s="111"/>
      <c r="H121" s="111"/>
      <c r="I121" s="117"/>
      <c r="J121" s="695" t="s">
        <v>1666</v>
      </c>
      <c r="K121" s="152"/>
      <c r="L121" s="152"/>
      <c r="M121" s="152"/>
      <c r="N121" s="152"/>
      <c r="O121" s="152"/>
      <c r="P121" s="152"/>
      <c r="Q121" s="153"/>
      <c r="R121" s="696" t="s">
        <v>2</v>
      </c>
      <c r="S121" s="155"/>
      <c r="T121" s="155"/>
      <c r="U121" s="155"/>
      <c r="V121" s="156"/>
    </row>
    <row r="122" spans="1:53" s="98" customFormat="1" ht="15" customHeight="1">
      <c r="A122" s="99"/>
      <c r="B122" s="900"/>
      <c r="C122" s="116"/>
      <c r="D122" s="116"/>
      <c r="E122" s="116"/>
      <c r="F122" s="116"/>
      <c r="G122" s="117"/>
      <c r="H122" s="117"/>
      <c r="I122" s="119" t="s">
        <v>1667</v>
      </c>
      <c r="J122" s="158" t="s">
        <v>453</v>
      </c>
      <c r="K122" s="137" t="s">
        <v>455</v>
      </c>
      <c r="L122" s="137" t="s">
        <v>457</v>
      </c>
      <c r="M122" s="137" t="s">
        <v>459</v>
      </c>
      <c r="N122" s="137" t="s">
        <v>461</v>
      </c>
      <c r="O122" s="137" t="s">
        <v>463</v>
      </c>
      <c r="P122" s="137" t="s">
        <v>465</v>
      </c>
      <c r="Q122" s="138" t="s">
        <v>467</v>
      </c>
      <c r="R122" s="120" t="s">
        <v>469</v>
      </c>
      <c r="S122" s="121" t="s">
        <v>471</v>
      </c>
      <c r="T122" s="121" t="s">
        <v>473</v>
      </c>
      <c r="U122" s="121" t="s">
        <v>475</v>
      </c>
      <c r="V122" s="122" t="s">
        <v>477</v>
      </c>
    </row>
    <row r="123" spans="1:53" s="98" customFormat="1" ht="15" customHeight="1">
      <c r="B123" s="901"/>
      <c r="C123" s="180" t="s">
        <v>2388</v>
      </c>
      <c r="D123" s="180"/>
      <c r="E123" s="162"/>
      <c r="F123" s="162"/>
      <c r="G123" s="163"/>
      <c r="H123" s="163"/>
      <c r="I123" s="117"/>
      <c r="J123" s="159"/>
      <c r="K123" s="117"/>
      <c r="L123" s="117"/>
      <c r="M123" s="117"/>
      <c r="N123" s="117"/>
      <c r="O123" s="117"/>
      <c r="P123" s="117"/>
      <c r="Q123" s="160"/>
      <c r="R123" s="159"/>
      <c r="S123" s="117"/>
      <c r="T123" s="117"/>
      <c r="U123" s="117"/>
      <c r="V123" s="160"/>
    </row>
    <row r="124" spans="1:53" s="98" customFormat="1" ht="15" customHeight="1">
      <c r="B124" s="901"/>
      <c r="C124" s="185"/>
      <c r="D124" s="162" t="s">
        <v>85</v>
      </c>
      <c r="G124" s="170"/>
      <c r="H124" s="163"/>
      <c r="I124" s="164" t="s">
        <v>498</v>
      </c>
      <c r="J124" s="143">
        <v>0</v>
      </c>
      <c r="K124" s="141">
        <v>0</v>
      </c>
      <c r="L124" s="141">
        <v>0</v>
      </c>
      <c r="M124" s="141">
        <v>0</v>
      </c>
      <c r="N124" s="141">
        <v>0</v>
      </c>
      <c r="O124" s="141">
        <v>0</v>
      </c>
      <c r="P124" s="141">
        <v>0</v>
      </c>
      <c r="Q124" s="144">
        <v>0</v>
      </c>
      <c r="R124" s="143">
        <v>0</v>
      </c>
      <c r="S124" s="141">
        <v>0</v>
      </c>
      <c r="T124" s="141">
        <v>0</v>
      </c>
      <c r="U124" s="141">
        <v>0</v>
      </c>
      <c r="V124" s="144">
        <v>0</v>
      </c>
    </row>
    <row r="125" spans="1:53" s="98" customFormat="1" ht="15" customHeight="1">
      <c r="B125" s="901"/>
      <c r="C125" s="185"/>
      <c r="D125" s="162" t="s">
        <v>85</v>
      </c>
      <c r="G125" s="170"/>
      <c r="H125" s="163"/>
      <c r="I125" s="164" t="s">
        <v>498</v>
      </c>
      <c r="J125" s="143">
        <v>0</v>
      </c>
      <c r="K125" s="141">
        <v>0</v>
      </c>
      <c r="L125" s="141">
        <v>0</v>
      </c>
      <c r="M125" s="141">
        <v>0</v>
      </c>
      <c r="N125" s="141">
        <v>0</v>
      </c>
      <c r="O125" s="141">
        <v>0</v>
      </c>
      <c r="P125" s="141">
        <v>0</v>
      </c>
      <c r="Q125" s="144">
        <v>0</v>
      </c>
      <c r="R125" s="143">
        <v>0</v>
      </c>
      <c r="S125" s="141">
        <v>0</v>
      </c>
      <c r="T125" s="141">
        <v>0</v>
      </c>
      <c r="U125" s="141">
        <v>0</v>
      </c>
      <c r="V125" s="144">
        <v>0</v>
      </c>
    </row>
    <row r="126" spans="1:53" s="98" customFormat="1" ht="15" customHeight="1">
      <c r="B126" s="901"/>
      <c r="C126" s="185"/>
      <c r="D126" s="162" t="s">
        <v>85</v>
      </c>
      <c r="G126" s="170"/>
      <c r="H126" s="163"/>
      <c r="I126" s="164" t="s">
        <v>498</v>
      </c>
      <c r="J126" s="143">
        <v>0</v>
      </c>
      <c r="K126" s="141">
        <v>0</v>
      </c>
      <c r="L126" s="141">
        <v>0</v>
      </c>
      <c r="M126" s="141">
        <v>0</v>
      </c>
      <c r="N126" s="141">
        <v>0</v>
      </c>
      <c r="O126" s="141">
        <v>0</v>
      </c>
      <c r="P126" s="141">
        <v>0</v>
      </c>
      <c r="Q126" s="144">
        <v>0</v>
      </c>
      <c r="R126" s="143">
        <v>0</v>
      </c>
      <c r="S126" s="141">
        <v>0</v>
      </c>
      <c r="T126" s="141">
        <v>0</v>
      </c>
      <c r="U126" s="141">
        <v>0</v>
      </c>
      <c r="V126" s="144">
        <v>0</v>
      </c>
    </row>
    <row r="127" spans="1:53" s="98" customFormat="1" ht="15" customHeight="1">
      <c r="B127" s="901"/>
      <c r="C127" s="185"/>
      <c r="D127" s="162" t="s">
        <v>85</v>
      </c>
      <c r="G127" s="170"/>
      <c r="H127" s="163"/>
      <c r="I127" s="164" t="s">
        <v>498</v>
      </c>
      <c r="J127" s="143">
        <v>0</v>
      </c>
      <c r="K127" s="141">
        <v>0</v>
      </c>
      <c r="L127" s="141">
        <v>0</v>
      </c>
      <c r="M127" s="141">
        <v>0</v>
      </c>
      <c r="N127" s="141">
        <v>0</v>
      </c>
      <c r="O127" s="141">
        <v>0</v>
      </c>
      <c r="P127" s="141">
        <v>0</v>
      </c>
      <c r="Q127" s="144">
        <v>0</v>
      </c>
      <c r="R127" s="143">
        <v>0</v>
      </c>
      <c r="S127" s="141">
        <v>0</v>
      </c>
      <c r="T127" s="141">
        <v>0</v>
      </c>
      <c r="U127" s="141">
        <v>0</v>
      </c>
      <c r="V127" s="144">
        <v>0</v>
      </c>
    </row>
    <row r="128" spans="1:53" s="98" customFormat="1" ht="15" customHeight="1">
      <c r="B128" s="901"/>
      <c r="C128" s="185"/>
      <c r="D128" s="162" t="s">
        <v>85</v>
      </c>
      <c r="G128" s="170"/>
      <c r="H128" s="163"/>
      <c r="I128" s="164" t="s">
        <v>498</v>
      </c>
      <c r="J128" s="143">
        <v>0</v>
      </c>
      <c r="K128" s="141">
        <v>0</v>
      </c>
      <c r="L128" s="141">
        <v>0</v>
      </c>
      <c r="M128" s="141">
        <v>0</v>
      </c>
      <c r="N128" s="141">
        <v>0</v>
      </c>
      <c r="O128" s="141">
        <v>0</v>
      </c>
      <c r="P128" s="141">
        <v>0</v>
      </c>
      <c r="Q128" s="144">
        <v>0</v>
      </c>
      <c r="R128" s="143">
        <v>0</v>
      </c>
      <c r="S128" s="141">
        <v>0</v>
      </c>
      <c r="T128" s="141">
        <v>0</v>
      </c>
      <c r="U128" s="141">
        <v>0</v>
      </c>
      <c r="V128" s="144">
        <v>0</v>
      </c>
    </row>
    <row r="129" spans="1:53" s="98" customFormat="1" ht="15" customHeight="1">
      <c r="B129" s="901"/>
      <c r="C129" s="185"/>
      <c r="D129" s="162" t="s">
        <v>85</v>
      </c>
      <c r="G129" s="170"/>
      <c r="H129" s="163"/>
      <c r="I129" s="164" t="s">
        <v>498</v>
      </c>
      <c r="J129" s="143">
        <v>0</v>
      </c>
      <c r="K129" s="141">
        <v>0</v>
      </c>
      <c r="L129" s="141">
        <v>0</v>
      </c>
      <c r="M129" s="141">
        <v>0</v>
      </c>
      <c r="N129" s="141">
        <v>0</v>
      </c>
      <c r="O129" s="141">
        <v>0</v>
      </c>
      <c r="P129" s="141">
        <v>0</v>
      </c>
      <c r="Q129" s="144">
        <v>0</v>
      </c>
      <c r="R129" s="143">
        <v>0</v>
      </c>
      <c r="S129" s="141">
        <v>0</v>
      </c>
      <c r="T129" s="141">
        <v>0</v>
      </c>
      <c r="U129" s="141">
        <v>0</v>
      </c>
      <c r="V129" s="144">
        <v>0</v>
      </c>
    </row>
    <row r="130" spans="1:53" s="98" customFormat="1" ht="15" customHeight="1" thickBot="1">
      <c r="B130" s="902" t="s">
        <v>1701</v>
      </c>
      <c r="C130" s="246"/>
      <c r="D130" s="246"/>
      <c r="E130" s="192"/>
      <c r="F130" s="192"/>
      <c r="G130" s="241"/>
      <c r="H130" s="241"/>
      <c r="I130" s="195" t="s">
        <v>498</v>
      </c>
      <c r="J130" s="177">
        <f>SUM(J124:J129)</f>
        <v>0</v>
      </c>
      <c r="K130" s="178">
        <f t="shared" ref="K130:V130" si="193">SUM(K124:K129)</f>
        <v>0</v>
      </c>
      <c r="L130" s="178">
        <f t="shared" si="193"/>
        <v>0</v>
      </c>
      <c r="M130" s="178">
        <f t="shared" si="193"/>
        <v>0</v>
      </c>
      <c r="N130" s="178">
        <f t="shared" si="193"/>
        <v>0</v>
      </c>
      <c r="O130" s="178">
        <f t="shared" si="193"/>
        <v>0</v>
      </c>
      <c r="P130" s="178">
        <f t="shared" si="193"/>
        <v>0</v>
      </c>
      <c r="Q130" s="179">
        <f t="shared" si="193"/>
        <v>0</v>
      </c>
      <c r="R130" s="177">
        <f t="shared" si="193"/>
        <v>0</v>
      </c>
      <c r="S130" s="178">
        <f t="shared" si="193"/>
        <v>0</v>
      </c>
      <c r="T130" s="178">
        <f t="shared" si="193"/>
        <v>0</v>
      </c>
      <c r="U130" s="178">
        <f t="shared" si="193"/>
        <v>0</v>
      </c>
      <c r="V130" s="179">
        <f t="shared" si="193"/>
        <v>0</v>
      </c>
      <c r="W130" s="185"/>
      <c r="X130" s="185"/>
      <c r="Y130" s="185"/>
      <c r="Z130" s="185"/>
      <c r="AA130" s="185"/>
      <c r="AB130" s="185"/>
      <c r="AC130" s="185"/>
      <c r="AD130" s="185"/>
      <c r="AE130" s="185"/>
      <c r="AF130" s="185"/>
      <c r="AG130" s="185"/>
      <c r="AH130" s="185"/>
      <c r="AI130" s="185"/>
      <c r="AJ130" s="185"/>
      <c r="AK130" s="185"/>
      <c r="AL130" s="185"/>
    </row>
    <row r="131" spans="1:53" s="99" customFormat="1" ht="15" customHeight="1" thickBot="1">
      <c r="B131" s="894"/>
      <c r="C131" s="150"/>
      <c r="D131" s="150"/>
      <c r="E131" s="150"/>
      <c r="F131" s="150"/>
      <c r="G131" s="97"/>
      <c r="H131" s="97"/>
      <c r="I131" s="98"/>
      <c r="J131" s="98"/>
      <c r="K131" s="98"/>
      <c r="L131" s="98"/>
      <c r="M131" s="98"/>
      <c r="N131" s="98"/>
      <c r="O131" s="98"/>
      <c r="P131" s="98"/>
      <c r="Q131" s="98"/>
      <c r="R131" s="98"/>
      <c r="S131" s="98"/>
      <c r="T131" s="98"/>
      <c r="U131" s="98"/>
      <c r="V131" s="98"/>
      <c r="AM131" s="98"/>
      <c r="AN131" s="98"/>
      <c r="AO131" s="98"/>
      <c r="AP131" s="98"/>
      <c r="AQ131" s="98"/>
      <c r="AR131" s="98"/>
      <c r="AS131" s="98"/>
      <c r="AT131" s="98"/>
      <c r="AU131" s="98"/>
      <c r="AV131" s="98"/>
      <c r="AW131" s="98"/>
      <c r="AX131" s="98"/>
      <c r="AY131" s="98"/>
      <c r="AZ131" s="98"/>
      <c r="BA131" s="98"/>
    </row>
    <row r="132" spans="1:53" s="100" customFormat="1" ht="30" customHeight="1" thickBot="1">
      <c r="A132" s="89"/>
      <c r="B132" s="621" t="s">
        <v>2389</v>
      </c>
      <c r="C132" s="102"/>
      <c r="D132" s="102"/>
      <c r="E132" s="102"/>
      <c r="F132" s="102"/>
      <c r="G132" s="103"/>
      <c r="H132" s="103"/>
      <c r="I132" s="105" t="s">
        <v>2390</v>
      </c>
      <c r="J132" s="106"/>
      <c r="K132" s="106"/>
      <c r="L132" s="106"/>
      <c r="M132" s="106"/>
      <c r="N132" s="106"/>
      <c r="O132" s="106"/>
      <c r="P132" s="106"/>
      <c r="Q132" s="106"/>
      <c r="R132" s="105"/>
      <c r="S132" s="105"/>
      <c r="T132" s="105"/>
      <c r="U132" s="105"/>
      <c r="V132" s="187"/>
    </row>
    <row r="133" spans="1:53" s="157" customFormat="1" ht="30" customHeight="1">
      <c r="A133" s="99"/>
      <c r="B133" s="109"/>
      <c r="C133" s="110"/>
      <c r="D133" s="110"/>
      <c r="E133" s="110"/>
      <c r="F133" s="110"/>
      <c r="G133" s="111"/>
      <c r="H133" s="111"/>
      <c r="I133" s="117"/>
      <c r="J133" s="695" t="s">
        <v>1666</v>
      </c>
      <c r="K133" s="152"/>
      <c r="L133" s="152"/>
      <c r="M133" s="152"/>
      <c r="N133" s="152"/>
      <c r="O133" s="152"/>
      <c r="P133" s="152"/>
      <c r="Q133" s="153"/>
      <c r="R133" s="696" t="s">
        <v>2</v>
      </c>
      <c r="S133" s="155"/>
      <c r="T133" s="155"/>
      <c r="U133" s="155"/>
      <c r="V133" s="156"/>
    </row>
    <row r="134" spans="1:53" s="98" customFormat="1" ht="15" customHeight="1">
      <c r="A134" s="99"/>
      <c r="B134" s="900"/>
      <c r="C134" s="116"/>
      <c r="D134" s="116"/>
      <c r="E134" s="116"/>
      <c r="F134" s="116"/>
      <c r="G134" s="117"/>
      <c r="H134" s="117"/>
      <c r="I134" s="119" t="s">
        <v>1667</v>
      </c>
      <c r="J134" s="158" t="s">
        <v>453</v>
      </c>
      <c r="K134" s="137" t="s">
        <v>455</v>
      </c>
      <c r="L134" s="137" t="s">
        <v>457</v>
      </c>
      <c r="M134" s="137" t="s">
        <v>459</v>
      </c>
      <c r="N134" s="137" t="s">
        <v>461</v>
      </c>
      <c r="O134" s="137" t="s">
        <v>463</v>
      </c>
      <c r="P134" s="137" t="s">
        <v>465</v>
      </c>
      <c r="Q134" s="138" t="s">
        <v>467</v>
      </c>
      <c r="R134" s="120" t="s">
        <v>469</v>
      </c>
      <c r="S134" s="121" t="s">
        <v>471</v>
      </c>
      <c r="T134" s="121" t="s">
        <v>473</v>
      </c>
      <c r="U134" s="121" t="s">
        <v>475</v>
      </c>
      <c r="V134" s="122" t="s">
        <v>477</v>
      </c>
    </row>
    <row r="135" spans="1:53" s="98" customFormat="1" ht="15" customHeight="1">
      <c r="B135" s="901"/>
      <c r="C135" s="180" t="s">
        <v>2388</v>
      </c>
      <c r="D135" s="180"/>
      <c r="E135" s="162"/>
      <c r="F135" s="162"/>
      <c r="G135" s="163"/>
      <c r="H135" s="163"/>
      <c r="I135" s="117"/>
      <c r="J135" s="159"/>
      <c r="K135" s="117"/>
      <c r="L135" s="117"/>
      <c r="M135" s="117"/>
      <c r="N135" s="117"/>
      <c r="O135" s="117"/>
      <c r="P135" s="117"/>
      <c r="Q135" s="160"/>
      <c r="R135" s="159"/>
      <c r="S135" s="117"/>
      <c r="T135" s="117"/>
      <c r="U135" s="117"/>
      <c r="V135" s="160"/>
    </row>
    <row r="136" spans="1:53" s="98" customFormat="1" ht="15" customHeight="1">
      <c r="B136" s="901"/>
      <c r="C136" s="185"/>
      <c r="D136" s="162" t="s">
        <v>85</v>
      </c>
      <c r="G136" s="170"/>
      <c r="H136" s="163"/>
      <c r="I136" s="164" t="s">
        <v>2391</v>
      </c>
      <c r="J136" s="143">
        <v>0</v>
      </c>
      <c r="K136" s="141">
        <v>0</v>
      </c>
      <c r="L136" s="141">
        <v>0</v>
      </c>
      <c r="M136" s="141">
        <v>0</v>
      </c>
      <c r="N136" s="141">
        <v>0</v>
      </c>
      <c r="O136" s="141">
        <v>0</v>
      </c>
      <c r="P136" s="141">
        <v>0</v>
      </c>
      <c r="Q136" s="144">
        <v>0</v>
      </c>
      <c r="R136" s="143">
        <v>0</v>
      </c>
      <c r="S136" s="141">
        <v>0</v>
      </c>
      <c r="T136" s="141">
        <v>0</v>
      </c>
      <c r="U136" s="141">
        <v>0</v>
      </c>
      <c r="V136" s="144">
        <v>0</v>
      </c>
    </row>
    <row r="137" spans="1:53" s="98" customFormat="1" ht="15" customHeight="1">
      <c r="B137" s="901"/>
      <c r="C137" s="185"/>
      <c r="D137" s="162" t="s">
        <v>85</v>
      </c>
      <c r="G137" s="170"/>
      <c r="H137" s="163"/>
      <c r="I137" s="164" t="s">
        <v>2391</v>
      </c>
      <c r="J137" s="143">
        <v>0</v>
      </c>
      <c r="K137" s="141">
        <v>0</v>
      </c>
      <c r="L137" s="141">
        <v>0</v>
      </c>
      <c r="M137" s="141">
        <v>0</v>
      </c>
      <c r="N137" s="141">
        <v>0</v>
      </c>
      <c r="O137" s="141">
        <v>0</v>
      </c>
      <c r="P137" s="141">
        <v>0</v>
      </c>
      <c r="Q137" s="144">
        <v>0</v>
      </c>
      <c r="R137" s="143">
        <v>0</v>
      </c>
      <c r="S137" s="141">
        <v>0</v>
      </c>
      <c r="T137" s="141">
        <v>0</v>
      </c>
      <c r="U137" s="141">
        <v>0</v>
      </c>
      <c r="V137" s="144">
        <v>0</v>
      </c>
    </row>
    <row r="138" spans="1:53" s="98" customFormat="1" ht="15" customHeight="1">
      <c r="B138" s="901"/>
      <c r="C138" s="185"/>
      <c r="D138" s="162" t="s">
        <v>85</v>
      </c>
      <c r="G138" s="170"/>
      <c r="H138" s="163"/>
      <c r="I138" s="164" t="s">
        <v>2391</v>
      </c>
      <c r="J138" s="143">
        <v>0</v>
      </c>
      <c r="K138" s="141">
        <v>0</v>
      </c>
      <c r="L138" s="141">
        <v>0</v>
      </c>
      <c r="M138" s="141">
        <v>0</v>
      </c>
      <c r="N138" s="141">
        <v>0</v>
      </c>
      <c r="O138" s="141">
        <v>0</v>
      </c>
      <c r="P138" s="141">
        <v>0</v>
      </c>
      <c r="Q138" s="144">
        <v>0</v>
      </c>
      <c r="R138" s="143">
        <v>0</v>
      </c>
      <c r="S138" s="141">
        <v>0</v>
      </c>
      <c r="T138" s="141">
        <v>0</v>
      </c>
      <c r="U138" s="141">
        <v>0</v>
      </c>
      <c r="V138" s="144">
        <v>0</v>
      </c>
    </row>
    <row r="139" spans="1:53" s="98" customFormat="1" ht="15" customHeight="1">
      <c r="B139" s="901"/>
      <c r="C139" s="185"/>
      <c r="D139" s="162" t="s">
        <v>85</v>
      </c>
      <c r="G139" s="170"/>
      <c r="H139" s="163"/>
      <c r="I139" s="164" t="s">
        <v>2391</v>
      </c>
      <c r="J139" s="143">
        <v>0</v>
      </c>
      <c r="K139" s="141">
        <v>0</v>
      </c>
      <c r="L139" s="141">
        <v>0</v>
      </c>
      <c r="M139" s="141">
        <v>0</v>
      </c>
      <c r="N139" s="141">
        <v>0</v>
      </c>
      <c r="O139" s="141">
        <v>0</v>
      </c>
      <c r="P139" s="141">
        <v>0</v>
      </c>
      <c r="Q139" s="144">
        <v>0</v>
      </c>
      <c r="R139" s="143">
        <v>0</v>
      </c>
      <c r="S139" s="141">
        <v>0</v>
      </c>
      <c r="T139" s="141">
        <v>0</v>
      </c>
      <c r="U139" s="141">
        <v>0</v>
      </c>
      <c r="V139" s="144">
        <v>0</v>
      </c>
    </row>
    <row r="140" spans="1:53" s="98" customFormat="1" ht="15" customHeight="1">
      <c r="B140" s="901"/>
      <c r="C140" s="185"/>
      <c r="D140" s="162" t="s">
        <v>85</v>
      </c>
      <c r="G140" s="170"/>
      <c r="H140" s="163"/>
      <c r="I140" s="164" t="s">
        <v>2391</v>
      </c>
      <c r="J140" s="143">
        <v>0</v>
      </c>
      <c r="K140" s="141">
        <v>0</v>
      </c>
      <c r="L140" s="141">
        <v>0</v>
      </c>
      <c r="M140" s="141">
        <v>0</v>
      </c>
      <c r="N140" s="141">
        <v>0</v>
      </c>
      <c r="O140" s="141">
        <v>0</v>
      </c>
      <c r="P140" s="141">
        <v>0</v>
      </c>
      <c r="Q140" s="144">
        <v>0</v>
      </c>
      <c r="R140" s="143">
        <v>0</v>
      </c>
      <c r="S140" s="141">
        <v>0</v>
      </c>
      <c r="T140" s="141">
        <v>0</v>
      </c>
      <c r="U140" s="141">
        <v>0</v>
      </c>
      <c r="V140" s="144">
        <v>0</v>
      </c>
    </row>
    <row r="141" spans="1:53" s="98" customFormat="1" ht="15" customHeight="1">
      <c r="B141" s="901"/>
      <c r="C141" s="185"/>
      <c r="D141" s="162" t="s">
        <v>85</v>
      </c>
      <c r="G141" s="170"/>
      <c r="H141" s="163"/>
      <c r="I141" s="164" t="s">
        <v>2391</v>
      </c>
      <c r="J141" s="143">
        <v>0</v>
      </c>
      <c r="K141" s="141">
        <v>0</v>
      </c>
      <c r="L141" s="141">
        <v>0</v>
      </c>
      <c r="M141" s="141">
        <v>0</v>
      </c>
      <c r="N141" s="141">
        <v>0</v>
      </c>
      <c r="O141" s="141">
        <v>0</v>
      </c>
      <c r="P141" s="141">
        <v>0</v>
      </c>
      <c r="Q141" s="144">
        <v>0</v>
      </c>
      <c r="R141" s="143">
        <v>0</v>
      </c>
      <c r="S141" s="141">
        <v>0</v>
      </c>
      <c r="T141" s="141">
        <v>0</v>
      </c>
      <c r="U141" s="141">
        <v>0</v>
      </c>
      <c r="V141" s="144">
        <v>0</v>
      </c>
    </row>
    <row r="142" spans="1:53" s="98" customFormat="1" ht="15" customHeight="1" thickBot="1">
      <c r="B142" s="902" t="s">
        <v>1701</v>
      </c>
      <c r="C142" s="246"/>
      <c r="D142" s="246"/>
      <c r="E142" s="192"/>
      <c r="F142" s="192"/>
      <c r="G142" s="241"/>
      <c r="H142" s="241"/>
      <c r="I142" s="195" t="s">
        <v>2391</v>
      </c>
      <c r="J142" s="177">
        <f>SUM(J136:J141)</f>
        <v>0</v>
      </c>
      <c r="K142" s="178">
        <f t="shared" ref="K142:V142" si="194">SUM(K136:K141)</f>
        <v>0</v>
      </c>
      <c r="L142" s="178">
        <f t="shared" si="194"/>
        <v>0</v>
      </c>
      <c r="M142" s="178">
        <f t="shared" si="194"/>
        <v>0</v>
      </c>
      <c r="N142" s="178">
        <f t="shared" si="194"/>
        <v>0</v>
      </c>
      <c r="O142" s="178">
        <f t="shared" si="194"/>
        <v>0</v>
      </c>
      <c r="P142" s="178">
        <f t="shared" si="194"/>
        <v>0</v>
      </c>
      <c r="Q142" s="179">
        <f t="shared" si="194"/>
        <v>0</v>
      </c>
      <c r="R142" s="177">
        <f t="shared" si="194"/>
        <v>0</v>
      </c>
      <c r="S142" s="178">
        <f t="shared" si="194"/>
        <v>0</v>
      </c>
      <c r="T142" s="178">
        <f t="shared" si="194"/>
        <v>0</v>
      </c>
      <c r="U142" s="178">
        <f t="shared" si="194"/>
        <v>0</v>
      </c>
      <c r="V142" s="179">
        <f t="shared" si="194"/>
        <v>0</v>
      </c>
      <c r="W142" s="185"/>
      <c r="X142" s="185"/>
      <c r="Y142" s="185"/>
      <c r="Z142" s="185"/>
      <c r="AA142" s="185"/>
      <c r="AB142" s="185"/>
      <c r="AC142" s="185"/>
      <c r="AD142" s="185"/>
      <c r="AE142" s="185"/>
      <c r="AF142" s="185"/>
      <c r="AG142" s="185"/>
      <c r="AH142" s="185"/>
      <c r="AI142" s="185"/>
      <c r="AJ142" s="185"/>
      <c r="AK142" s="185"/>
      <c r="AL142" s="185"/>
    </row>
    <row r="143" spans="1:53" s="99" customFormat="1" ht="15" customHeight="1">
      <c r="B143" s="894"/>
      <c r="C143" s="150"/>
      <c r="D143" s="150"/>
      <c r="E143" s="150"/>
      <c r="F143" s="150"/>
      <c r="G143" s="97"/>
      <c r="H143" s="97"/>
      <c r="I143" s="98"/>
      <c r="J143" s="98"/>
      <c r="K143" s="98"/>
      <c r="L143" s="98"/>
      <c r="M143" s="98"/>
      <c r="N143" s="98"/>
      <c r="O143" s="98"/>
      <c r="P143" s="98"/>
      <c r="Q143" s="98"/>
      <c r="R143" s="98"/>
      <c r="S143" s="98"/>
      <c r="T143" s="98"/>
      <c r="U143" s="98"/>
      <c r="V143" s="98"/>
      <c r="AM143" s="98"/>
      <c r="AN143" s="98"/>
      <c r="AO143" s="98"/>
      <c r="AP143" s="98"/>
      <c r="AQ143" s="98"/>
      <c r="AR143" s="98"/>
      <c r="AS143" s="98"/>
      <c r="AT143" s="98"/>
      <c r="AU143" s="98"/>
      <c r="AV143" s="98"/>
      <c r="AW143" s="98"/>
      <c r="AX143" s="98"/>
      <c r="AY143" s="98"/>
      <c r="AZ143" s="98"/>
      <c r="BA143" s="98"/>
    </row>
    <row r="144" spans="1:53" s="99" customFormat="1" ht="15" customHeight="1">
      <c r="B144" s="894"/>
      <c r="C144" s="150"/>
      <c r="D144" s="150"/>
      <c r="E144" s="150"/>
      <c r="F144" s="150"/>
      <c r="G144" s="97"/>
      <c r="H144" s="97"/>
      <c r="I144" s="98"/>
      <c r="J144" s="98"/>
      <c r="K144" s="98"/>
      <c r="L144" s="98"/>
      <c r="M144" s="98"/>
      <c r="N144" s="98"/>
      <c r="O144" s="98"/>
      <c r="P144" s="98"/>
      <c r="Q144" s="98"/>
      <c r="R144" s="98"/>
      <c r="S144" s="98"/>
      <c r="T144" s="98"/>
      <c r="U144" s="98"/>
      <c r="V144" s="98"/>
      <c r="AM144" s="98"/>
      <c r="AN144" s="98"/>
      <c r="AO144" s="98"/>
      <c r="AP144" s="98"/>
      <c r="AQ144" s="98"/>
      <c r="AR144" s="98"/>
      <c r="AS144" s="98"/>
      <c r="AT144" s="98"/>
      <c r="AU144" s="98"/>
      <c r="AV144" s="98"/>
      <c r="AW144" s="98"/>
      <c r="AX144" s="98"/>
      <c r="AY144" s="98"/>
      <c r="AZ144" s="98"/>
      <c r="BA144" s="98"/>
    </row>
    <row r="145" spans="2:53" s="99" customFormat="1" ht="15" customHeight="1">
      <c r="B145" s="894"/>
      <c r="C145" s="150"/>
      <c r="D145" s="150"/>
      <c r="E145" s="150"/>
      <c r="F145" s="150"/>
      <c r="G145" s="97"/>
      <c r="H145" s="97"/>
      <c r="I145" s="98"/>
      <c r="J145" s="98"/>
      <c r="K145" s="98"/>
      <c r="L145" s="98"/>
      <c r="M145" s="98"/>
      <c r="N145" s="98"/>
      <c r="O145" s="98"/>
      <c r="P145" s="98"/>
      <c r="Q145" s="98"/>
      <c r="R145" s="98"/>
      <c r="S145" s="98"/>
      <c r="T145" s="98"/>
      <c r="U145" s="98"/>
      <c r="V145" s="98"/>
      <c r="AM145" s="98"/>
      <c r="AN145" s="98"/>
      <c r="AO145" s="98"/>
      <c r="AP145" s="98"/>
      <c r="AQ145" s="98"/>
      <c r="AR145" s="98"/>
      <c r="AS145" s="98"/>
      <c r="AT145" s="98"/>
      <c r="AU145" s="98"/>
      <c r="AV145" s="98"/>
      <c r="AW145" s="98"/>
      <c r="AX145" s="98"/>
      <c r="AY145" s="98"/>
      <c r="AZ145" s="98"/>
      <c r="BA145" s="98"/>
    </row>
    <row r="146" spans="2:53" s="99" customFormat="1" ht="15" customHeight="1">
      <c r="B146" s="150"/>
      <c r="C146" s="150"/>
      <c r="D146" s="150"/>
      <c r="E146" s="150"/>
      <c r="F146" s="150"/>
      <c r="G146" s="97"/>
      <c r="H146" s="97"/>
      <c r="I146" s="98"/>
      <c r="J146" s="98"/>
      <c r="K146" s="98"/>
      <c r="L146" s="98"/>
      <c r="M146" s="98"/>
      <c r="N146" s="98"/>
      <c r="O146" s="98"/>
      <c r="P146" s="98"/>
      <c r="Q146" s="98"/>
      <c r="R146" s="98"/>
      <c r="S146" s="98"/>
      <c r="T146" s="98"/>
      <c r="U146" s="98"/>
      <c r="V146" s="98"/>
      <c r="AM146" s="98"/>
      <c r="AN146" s="98"/>
      <c r="AO146" s="98"/>
      <c r="AP146" s="98"/>
      <c r="AQ146" s="98"/>
      <c r="AR146" s="98"/>
      <c r="AS146" s="98"/>
      <c r="AT146" s="98"/>
      <c r="AU146" s="98"/>
      <c r="AV146" s="98"/>
      <c r="AW146" s="98"/>
      <c r="AX146" s="98"/>
      <c r="AY146" s="98"/>
      <c r="AZ146" s="98"/>
      <c r="BA146" s="98"/>
    </row>
    <row r="147" spans="2:53" s="99" customFormat="1" ht="15" customHeight="1">
      <c r="B147" s="150"/>
      <c r="C147" s="150"/>
      <c r="D147" s="150"/>
      <c r="E147" s="150"/>
      <c r="F147" s="150"/>
      <c r="G147" s="97"/>
      <c r="H147" s="97"/>
      <c r="I147" s="98"/>
      <c r="J147" s="98"/>
      <c r="K147" s="98"/>
      <c r="L147" s="98"/>
      <c r="M147" s="98"/>
      <c r="N147" s="98"/>
      <c r="O147" s="98"/>
      <c r="P147" s="98"/>
      <c r="Q147" s="98"/>
      <c r="R147" s="98"/>
      <c r="S147" s="98"/>
      <c r="T147" s="98"/>
      <c r="U147" s="98"/>
      <c r="V147" s="98"/>
      <c r="AM147" s="98"/>
      <c r="AN147" s="98"/>
      <c r="AO147" s="98"/>
      <c r="AP147" s="98"/>
      <c r="AQ147" s="98"/>
      <c r="AR147" s="98"/>
      <c r="AS147" s="98"/>
      <c r="AT147" s="98"/>
      <c r="AU147" s="98"/>
      <c r="AV147" s="98"/>
      <c r="AW147" s="98"/>
      <c r="AX147" s="98"/>
      <c r="AY147" s="98"/>
      <c r="AZ147" s="98"/>
      <c r="BA147" s="98"/>
    </row>
    <row r="148" spans="2:53" s="99" customFormat="1" ht="15" customHeight="1">
      <c r="B148" s="150"/>
      <c r="C148" s="150"/>
      <c r="D148" s="150"/>
      <c r="E148" s="150"/>
      <c r="F148" s="150"/>
      <c r="G148" s="97"/>
      <c r="H148" s="97"/>
      <c r="I148" s="98"/>
      <c r="J148" s="98"/>
      <c r="K148" s="98"/>
      <c r="L148" s="98"/>
      <c r="M148" s="98"/>
      <c r="N148" s="98"/>
      <c r="O148" s="98"/>
      <c r="P148" s="98"/>
      <c r="Q148" s="98"/>
      <c r="R148" s="98"/>
      <c r="S148" s="98"/>
      <c r="T148" s="98"/>
      <c r="U148" s="98"/>
      <c r="V148" s="98"/>
      <c r="AM148" s="98"/>
      <c r="AN148" s="98"/>
      <c r="AO148" s="98"/>
      <c r="AP148" s="98"/>
      <c r="AQ148" s="98"/>
      <c r="AR148" s="98"/>
      <c r="AS148" s="98"/>
      <c r="AT148" s="98"/>
      <c r="AU148" s="98"/>
      <c r="AV148" s="98"/>
      <c r="AW148" s="98"/>
      <c r="AX148" s="98"/>
      <c r="AY148" s="98"/>
      <c r="AZ148" s="98"/>
      <c r="BA148" s="98"/>
    </row>
    <row r="149" spans="2:53" s="99" customFormat="1" ht="15" customHeight="1">
      <c r="B149" s="150"/>
      <c r="C149" s="150"/>
      <c r="D149" s="150"/>
      <c r="E149" s="150"/>
      <c r="F149" s="150"/>
      <c r="G149" s="97"/>
      <c r="H149" s="97"/>
      <c r="I149" s="98"/>
      <c r="J149" s="98"/>
      <c r="K149" s="98"/>
      <c r="L149" s="98"/>
      <c r="M149" s="98"/>
      <c r="N149" s="98"/>
      <c r="O149" s="98"/>
      <c r="P149" s="98"/>
      <c r="Q149" s="98"/>
      <c r="R149" s="98"/>
      <c r="S149" s="98"/>
      <c r="T149" s="98"/>
      <c r="U149" s="98"/>
      <c r="V149" s="98"/>
      <c r="AM149" s="98"/>
      <c r="AN149" s="98"/>
      <c r="AO149" s="98"/>
      <c r="AP149" s="98"/>
      <c r="AQ149" s="98"/>
      <c r="AR149" s="98"/>
      <c r="AS149" s="98"/>
      <c r="AT149" s="98"/>
      <c r="AU149" s="98"/>
      <c r="AV149" s="98"/>
      <c r="AW149" s="98"/>
      <c r="AX149" s="98"/>
      <c r="AY149" s="98"/>
      <c r="AZ149" s="98"/>
      <c r="BA149" s="98"/>
    </row>
    <row r="150" spans="2:53" s="99" customFormat="1" ht="15" customHeight="1">
      <c r="B150" s="150"/>
      <c r="C150" s="150"/>
      <c r="D150" s="150"/>
      <c r="E150" s="150"/>
      <c r="F150" s="150"/>
      <c r="G150" s="97"/>
      <c r="H150" s="97"/>
      <c r="I150" s="98"/>
      <c r="J150" s="98"/>
      <c r="K150" s="98"/>
      <c r="L150" s="98"/>
      <c r="M150" s="98"/>
      <c r="N150" s="98"/>
      <c r="O150" s="98"/>
      <c r="P150" s="98"/>
      <c r="Q150" s="98"/>
      <c r="R150" s="98"/>
      <c r="S150" s="98"/>
      <c r="T150" s="98"/>
      <c r="U150" s="98"/>
      <c r="V150" s="98"/>
      <c r="AM150" s="98"/>
      <c r="AN150" s="98"/>
      <c r="AO150" s="98"/>
      <c r="AP150" s="98"/>
      <c r="AQ150" s="98"/>
      <c r="AR150" s="98"/>
      <c r="AS150" s="98"/>
      <c r="AT150" s="98"/>
      <c r="AU150" s="98"/>
      <c r="AV150" s="98"/>
      <c r="AW150" s="98"/>
      <c r="AX150" s="98"/>
      <c r="AY150" s="98"/>
      <c r="AZ150" s="98"/>
      <c r="BA150" s="98"/>
    </row>
    <row r="151" spans="2:53" s="99" customFormat="1" ht="15" customHeight="1">
      <c r="B151" s="150"/>
      <c r="C151" s="150"/>
      <c r="D151" s="150"/>
      <c r="E151" s="150"/>
      <c r="F151" s="150"/>
      <c r="G151" s="97"/>
      <c r="H151" s="97"/>
      <c r="I151" s="98"/>
      <c r="J151" s="98"/>
      <c r="K151" s="98"/>
      <c r="L151" s="98"/>
      <c r="M151" s="98"/>
      <c r="N151" s="98"/>
      <c r="O151" s="98"/>
      <c r="P151" s="98"/>
      <c r="Q151" s="98"/>
      <c r="R151" s="98"/>
      <c r="S151" s="98"/>
      <c r="T151" s="98"/>
      <c r="U151" s="98"/>
      <c r="V151" s="98"/>
      <c r="AM151" s="98"/>
      <c r="AN151" s="98"/>
      <c r="AO151" s="98"/>
      <c r="AP151" s="98"/>
      <c r="AQ151" s="98"/>
      <c r="AR151" s="98"/>
      <c r="AS151" s="98"/>
      <c r="AT151" s="98"/>
      <c r="AU151" s="98"/>
      <c r="AV151" s="98"/>
      <c r="AW151" s="98"/>
      <c r="AX151" s="98"/>
      <c r="AY151" s="98"/>
      <c r="AZ151" s="98"/>
      <c r="BA151" s="98"/>
    </row>
    <row r="152" spans="2:53" s="99" customFormat="1" ht="15" customHeight="1">
      <c r="B152" s="150"/>
      <c r="C152" s="150"/>
      <c r="D152" s="150"/>
      <c r="E152" s="150"/>
      <c r="F152" s="150"/>
      <c r="G152" s="97"/>
      <c r="H152" s="97"/>
      <c r="I152" s="98"/>
      <c r="J152" s="98"/>
      <c r="K152" s="98"/>
      <c r="L152" s="98"/>
      <c r="M152" s="98"/>
      <c r="N152" s="98"/>
      <c r="O152" s="98"/>
      <c r="P152" s="98"/>
      <c r="Q152" s="98"/>
      <c r="R152" s="98"/>
      <c r="S152" s="98"/>
      <c r="T152" s="98"/>
      <c r="U152" s="98"/>
      <c r="V152" s="98"/>
      <c r="AM152" s="98"/>
      <c r="AN152" s="98"/>
      <c r="AO152" s="98"/>
      <c r="AP152" s="98"/>
      <c r="AQ152" s="98"/>
      <c r="AR152" s="98"/>
      <c r="AS152" s="98"/>
      <c r="AT152" s="98"/>
      <c r="AU152" s="98"/>
      <c r="AV152" s="98"/>
      <c r="AW152" s="98"/>
      <c r="AX152" s="98"/>
      <c r="AY152" s="98"/>
      <c r="AZ152" s="98"/>
      <c r="BA152" s="98"/>
    </row>
    <row r="153" spans="2:53" s="99" customFormat="1" ht="15" customHeight="1">
      <c r="B153" s="150"/>
      <c r="C153" s="150"/>
      <c r="D153" s="150"/>
      <c r="E153" s="150"/>
      <c r="F153" s="150"/>
      <c r="G153" s="97"/>
      <c r="H153" s="97"/>
      <c r="I153" s="98"/>
      <c r="J153" s="98"/>
      <c r="K153" s="98"/>
      <c r="L153" s="98"/>
      <c r="M153" s="98"/>
      <c r="N153" s="98"/>
      <c r="O153" s="98"/>
      <c r="P153" s="98"/>
      <c r="Q153" s="98"/>
      <c r="R153" s="98"/>
      <c r="S153" s="98"/>
      <c r="T153" s="98"/>
      <c r="U153" s="98"/>
      <c r="V153" s="98"/>
      <c r="AM153" s="98"/>
      <c r="AN153" s="98"/>
      <c r="AO153" s="98"/>
      <c r="AP153" s="98"/>
      <c r="AQ153" s="98"/>
      <c r="AR153" s="98"/>
      <c r="AS153" s="98"/>
      <c r="AT153" s="98"/>
      <c r="AU153" s="98"/>
      <c r="AV153" s="98"/>
      <c r="AW153" s="98"/>
      <c r="AX153" s="98"/>
      <c r="AY153" s="98"/>
      <c r="AZ153" s="98"/>
      <c r="BA153" s="98"/>
    </row>
    <row r="154" spans="2:53" s="99" customFormat="1" ht="15" customHeight="1">
      <c r="B154" s="150"/>
      <c r="C154" s="150"/>
      <c r="D154" s="150"/>
      <c r="E154" s="150"/>
      <c r="F154" s="150"/>
      <c r="G154" s="97"/>
      <c r="H154" s="97"/>
      <c r="I154" s="98"/>
      <c r="J154" s="98"/>
      <c r="K154" s="98"/>
      <c r="L154" s="98"/>
      <c r="M154" s="98"/>
      <c r="N154" s="98"/>
      <c r="O154" s="98"/>
      <c r="P154" s="98"/>
      <c r="Q154" s="98"/>
      <c r="R154" s="98"/>
      <c r="S154" s="98"/>
      <c r="T154" s="98"/>
      <c r="U154" s="98"/>
      <c r="V154" s="98"/>
      <c r="AM154" s="98"/>
      <c r="AN154" s="98"/>
      <c r="AO154" s="98"/>
      <c r="AP154" s="98"/>
      <c r="AQ154" s="98"/>
      <c r="AR154" s="98"/>
      <c r="AS154" s="98"/>
      <c r="AT154" s="98"/>
      <c r="AU154" s="98"/>
      <c r="AV154" s="98"/>
      <c r="AW154" s="98"/>
      <c r="AX154" s="98"/>
      <c r="AY154" s="98"/>
      <c r="AZ154" s="98"/>
      <c r="BA154" s="98"/>
    </row>
    <row r="155" spans="2:53" s="99" customFormat="1" ht="15" customHeight="1">
      <c r="B155" s="150"/>
      <c r="C155" s="150"/>
      <c r="D155" s="150"/>
      <c r="E155" s="150"/>
      <c r="F155" s="150"/>
      <c r="G155" s="97"/>
      <c r="H155" s="97"/>
      <c r="I155" s="98"/>
      <c r="J155" s="98"/>
      <c r="K155" s="98"/>
      <c r="L155" s="98"/>
      <c r="M155" s="98"/>
      <c r="N155" s="98"/>
      <c r="O155" s="98"/>
      <c r="P155" s="98"/>
      <c r="Q155" s="98"/>
      <c r="R155" s="98"/>
      <c r="S155" s="98"/>
      <c r="T155" s="98"/>
      <c r="U155" s="98"/>
      <c r="V155" s="98"/>
      <c r="AM155" s="98"/>
      <c r="AN155" s="98"/>
      <c r="AO155" s="98"/>
      <c r="AP155" s="98"/>
      <c r="AQ155" s="98"/>
      <c r="AR155" s="98"/>
      <c r="AS155" s="98"/>
      <c r="AT155" s="98"/>
      <c r="AU155" s="98"/>
      <c r="AV155" s="98"/>
      <c r="AW155" s="98"/>
      <c r="AX155" s="98"/>
      <c r="AY155" s="98"/>
      <c r="AZ155" s="98"/>
      <c r="BA155" s="98"/>
    </row>
    <row r="156" spans="2:53" s="99" customFormat="1" ht="15" customHeight="1">
      <c r="B156" s="150"/>
      <c r="C156" s="150"/>
      <c r="D156" s="150"/>
      <c r="E156" s="150"/>
      <c r="F156" s="150"/>
      <c r="G156" s="97"/>
      <c r="H156" s="97"/>
      <c r="I156" s="98"/>
      <c r="J156" s="98"/>
      <c r="K156" s="98"/>
      <c r="L156" s="98"/>
      <c r="M156" s="98"/>
      <c r="N156" s="98"/>
      <c r="O156" s="98"/>
      <c r="P156" s="98"/>
      <c r="Q156" s="98"/>
      <c r="R156" s="98"/>
      <c r="S156" s="98"/>
      <c r="T156" s="98"/>
      <c r="U156" s="98"/>
      <c r="V156" s="98"/>
      <c r="AM156" s="98"/>
      <c r="AN156" s="98"/>
      <c r="AO156" s="98"/>
      <c r="AP156" s="98"/>
      <c r="AQ156" s="98"/>
      <c r="AR156" s="98"/>
      <c r="AS156" s="98"/>
      <c r="AT156" s="98"/>
      <c r="AU156" s="98"/>
      <c r="AV156" s="98"/>
      <c r="AW156" s="98"/>
      <c r="AX156" s="98"/>
      <c r="AY156" s="98"/>
      <c r="AZ156" s="98"/>
      <c r="BA156" s="98"/>
    </row>
    <row r="157" spans="2:53" s="99" customFormat="1" ht="15" customHeight="1">
      <c r="B157" s="150"/>
      <c r="C157" s="150"/>
      <c r="D157" s="150"/>
      <c r="E157" s="150"/>
      <c r="F157" s="150"/>
      <c r="G157" s="97"/>
      <c r="H157" s="97"/>
      <c r="I157" s="98"/>
      <c r="J157" s="98"/>
      <c r="K157" s="98"/>
      <c r="L157" s="98"/>
      <c r="M157" s="98"/>
      <c r="N157" s="98"/>
      <c r="O157" s="98"/>
      <c r="P157" s="98"/>
      <c r="Q157" s="98"/>
      <c r="R157" s="98"/>
      <c r="S157" s="98"/>
      <c r="T157" s="98"/>
      <c r="U157" s="98"/>
      <c r="V157" s="98"/>
      <c r="AM157" s="98"/>
      <c r="AN157" s="98"/>
      <c r="AO157" s="98"/>
      <c r="AP157" s="98"/>
      <c r="AQ157" s="98"/>
      <c r="AR157" s="98"/>
      <c r="AS157" s="98"/>
      <c r="AT157" s="98"/>
      <c r="AU157" s="98"/>
      <c r="AV157" s="98"/>
      <c r="AW157" s="98"/>
      <c r="AX157" s="98"/>
      <c r="AY157" s="98"/>
      <c r="AZ157" s="98"/>
      <c r="BA157" s="98"/>
    </row>
    <row r="158" spans="2:53" s="99" customFormat="1" ht="15" customHeight="1">
      <c r="B158" s="150"/>
      <c r="C158" s="150"/>
      <c r="D158" s="150"/>
      <c r="E158" s="150"/>
      <c r="F158" s="150"/>
      <c r="G158" s="97"/>
      <c r="H158" s="97"/>
      <c r="I158" s="98"/>
      <c r="J158" s="98"/>
      <c r="K158" s="98"/>
      <c r="L158" s="98"/>
      <c r="M158" s="98"/>
      <c r="N158" s="98"/>
      <c r="O158" s="98"/>
      <c r="P158" s="98"/>
      <c r="Q158" s="98"/>
      <c r="R158" s="98"/>
      <c r="S158" s="98"/>
      <c r="T158" s="98"/>
      <c r="U158" s="98"/>
      <c r="V158" s="98"/>
      <c r="AM158" s="98"/>
      <c r="AN158" s="98"/>
      <c r="AO158" s="98"/>
      <c r="AP158" s="98"/>
      <c r="AQ158" s="98"/>
      <c r="AR158" s="98"/>
      <c r="AS158" s="98"/>
      <c r="AT158" s="98"/>
      <c r="AU158" s="98"/>
      <c r="AV158" s="98"/>
      <c r="AW158" s="98"/>
      <c r="AX158" s="98"/>
      <c r="AY158" s="98"/>
      <c r="AZ158" s="98"/>
      <c r="BA158" s="98"/>
    </row>
    <row r="159" spans="2:53" s="99" customFormat="1" ht="15" customHeight="1">
      <c r="B159" s="150"/>
      <c r="C159" s="150"/>
      <c r="D159" s="150"/>
      <c r="E159" s="150"/>
      <c r="F159" s="150"/>
      <c r="G159" s="97"/>
      <c r="H159" s="97"/>
      <c r="I159" s="98"/>
      <c r="J159" s="98"/>
      <c r="K159" s="98"/>
      <c r="L159" s="98"/>
      <c r="M159" s="98"/>
      <c r="N159" s="98"/>
      <c r="O159" s="98"/>
      <c r="P159" s="98"/>
      <c r="Q159" s="98"/>
      <c r="R159" s="98"/>
      <c r="S159" s="98"/>
      <c r="T159" s="98"/>
      <c r="U159" s="98"/>
      <c r="V159" s="98"/>
      <c r="AM159" s="98"/>
      <c r="AN159" s="98"/>
      <c r="AO159" s="98"/>
      <c r="AP159" s="98"/>
      <c r="AQ159" s="98"/>
      <c r="AR159" s="98"/>
      <c r="AS159" s="98"/>
      <c r="AT159" s="98"/>
      <c r="AU159" s="98"/>
      <c r="AV159" s="98"/>
      <c r="AW159" s="98"/>
      <c r="AX159" s="98"/>
      <c r="AY159" s="98"/>
      <c r="AZ159" s="98"/>
      <c r="BA159" s="98"/>
    </row>
    <row r="160" spans="2:53" s="99" customFormat="1" ht="15" customHeight="1">
      <c r="B160" s="150"/>
      <c r="C160" s="150"/>
      <c r="D160" s="150"/>
      <c r="E160" s="150"/>
      <c r="F160" s="150"/>
      <c r="G160" s="97"/>
      <c r="H160" s="97"/>
      <c r="I160" s="98"/>
      <c r="J160" s="98"/>
      <c r="K160" s="98"/>
      <c r="L160" s="98"/>
      <c r="M160" s="98"/>
      <c r="N160" s="98"/>
      <c r="O160" s="98"/>
      <c r="P160" s="98"/>
      <c r="Q160" s="98"/>
      <c r="R160" s="98"/>
      <c r="S160" s="98"/>
      <c r="T160" s="98"/>
      <c r="U160" s="98"/>
      <c r="V160" s="98"/>
      <c r="AM160" s="98"/>
      <c r="AN160" s="98"/>
      <c r="AO160" s="98"/>
      <c r="AP160" s="98"/>
      <c r="AQ160" s="98"/>
      <c r="AR160" s="98"/>
      <c r="AS160" s="98"/>
      <c r="AT160" s="98"/>
      <c r="AU160" s="98"/>
      <c r="AV160" s="98"/>
      <c r="AW160" s="98"/>
      <c r="AX160" s="98"/>
      <c r="AY160" s="98"/>
      <c r="AZ160" s="98"/>
      <c r="BA160" s="98"/>
    </row>
    <row r="161" spans="2:53" s="99" customFormat="1" ht="15" customHeight="1">
      <c r="B161" s="150"/>
      <c r="C161" s="150"/>
      <c r="D161" s="150"/>
      <c r="E161" s="150"/>
      <c r="F161" s="150"/>
      <c r="G161" s="97"/>
      <c r="H161" s="97"/>
      <c r="I161" s="98"/>
      <c r="J161" s="98"/>
      <c r="K161" s="98"/>
      <c r="L161" s="98"/>
      <c r="M161" s="98"/>
      <c r="N161" s="98"/>
      <c r="O161" s="98"/>
      <c r="P161" s="98"/>
      <c r="Q161" s="98"/>
      <c r="R161" s="98"/>
      <c r="S161" s="98"/>
      <c r="T161" s="98"/>
      <c r="U161" s="98"/>
      <c r="V161" s="98"/>
      <c r="AM161" s="98"/>
      <c r="AN161" s="98"/>
      <c r="AO161" s="98"/>
      <c r="AP161" s="98"/>
      <c r="AQ161" s="98"/>
      <c r="AR161" s="98"/>
      <c r="AS161" s="98"/>
      <c r="AT161" s="98"/>
      <c r="AU161" s="98"/>
      <c r="AV161" s="98"/>
      <c r="AW161" s="98"/>
      <c r="AX161" s="98"/>
      <c r="AY161" s="98"/>
      <c r="AZ161" s="98"/>
      <c r="BA161" s="98"/>
    </row>
    <row r="162" spans="2:53" s="99" customFormat="1" ht="15" customHeight="1">
      <c r="B162" s="150"/>
      <c r="C162" s="150"/>
      <c r="D162" s="150"/>
      <c r="E162" s="150"/>
      <c r="F162" s="150"/>
      <c r="G162" s="97"/>
      <c r="H162" s="97"/>
      <c r="I162" s="98"/>
      <c r="J162" s="98"/>
      <c r="K162" s="98"/>
      <c r="L162" s="98"/>
      <c r="M162" s="98"/>
      <c r="N162" s="98"/>
      <c r="O162" s="98"/>
      <c r="P162" s="98"/>
      <c r="Q162" s="98"/>
      <c r="R162" s="98"/>
      <c r="S162" s="98"/>
      <c r="T162" s="98"/>
      <c r="U162" s="98"/>
      <c r="V162" s="98"/>
      <c r="AM162" s="98"/>
      <c r="AN162" s="98"/>
      <c r="AO162" s="98"/>
      <c r="AP162" s="98"/>
      <c r="AQ162" s="98"/>
      <c r="AR162" s="98"/>
      <c r="AS162" s="98"/>
      <c r="AT162" s="98"/>
      <c r="AU162" s="98"/>
      <c r="AV162" s="98"/>
      <c r="AW162" s="98"/>
      <c r="AX162" s="98"/>
      <c r="AY162" s="98"/>
      <c r="AZ162" s="98"/>
      <c r="BA162" s="98"/>
    </row>
    <row r="163" spans="2:53" s="99" customFormat="1" ht="15" customHeight="1">
      <c r="B163" s="150"/>
      <c r="C163" s="150"/>
      <c r="D163" s="150"/>
      <c r="E163" s="150"/>
      <c r="F163" s="150"/>
      <c r="G163" s="97"/>
      <c r="H163" s="97"/>
      <c r="I163" s="98"/>
      <c r="J163" s="98"/>
      <c r="K163" s="98"/>
      <c r="L163" s="98"/>
      <c r="M163" s="98"/>
      <c r="N163" s="98"/>
      <c r="O163" s="98"/>
      <c r="P163" s="98"/>
      <c r="Q163" s="98"/>
      <c r="R163" s="98"/>
      <c r="S163" s="98"/>
      <c r="T163" s="98"/>
      <c r="U163" s="98"/>
      <c r="V163" s="98"/>
      <c r="AM163" s="98"/>
      <c r="AN163" s="98"/>
      <c r="AO163" s="98"/>
      <c r="AP163" s="98"/>
      <c r="AQ163" s="98"/>
      <c r="AR163" s="98"/>
      <c r="AS163" s="98"/>
      <c r="AT163" s="98"/>
      <c r="AU163" s="98"/>
      <c r="AV163" s="98"/>
      <c r="AW163" s="98"/>
      <c r="AX163" s="98"/>
      <c r="AY163" s="98"/>
      <c r="AZ163" s="98"/>
      <c r="BA163" s="98"/>
    </row>
    <row r="164" spans="2:53" s="99" customFormat="1" ht="15" customHeight="1">
      <c r="B164" s="150"/>
      <c r="C164" s="150"/>
      <c r="D164" s="150"/>
      <c r="E164" s="150"/>
      <c r="F164" s="150"/>
      <c r="G164" s="97"/>
      <c r="H164" s="97"/>
      <c r="I164" s="98"/>
      <c r="J164" s="98"/>
      <c r="K164" s="98"/>
      <c r="L164" s="98"/>
      <c r="M164" s="98"/>
      <c r="N164" s="98"/>
      <c r="O164" s="98"/>
      <c r="P164" s="98"/>
      <c r="Q164" s="98"/>
      <c r="R164" s="98"/>
      <c r="S164" s="98"/>
      <c r="T164" s="98"/>
      <c r="U164" s="98"/>
      <c r="V164" s="98"/>
      <c r="AM164" s="98"/>
      <c r="AN164" s="98"/>
      <c r="AO164" s="98"/>
      <c r="AP164" s="98"/>
      <c r="AQ164" s="98"/>
      <c r="AR164" s="98"/>
      <c r="AS164" s="98"/>
      <c r="AT164" s="98"/>
      <c r="AU164" s="98"/>
      <c r="AV164" s="98"/>
      <c r="AW164" s="98"/>
      <c r="AX164" s="98"/>
      <c r="AY164" s="98"/>
      <c r="AZ164" s="98"/>
      <c r="BA164" s="98"/>
    </row>
    <row r="165" spans="2:53" s="99" customFormat="1" ht="15" customHeight="1">
      <c r="B165" s="150"/>
      <c r="C165" s="150"/>
      <c r="D165" s="150"/>
      <c r="E165" s="150"/>
      <c r="F165" s="150"/>
      <c r="G165" s="97"/>
      <c r="H165" s="97"/>
      <c r="I165" s="98"/>
      <c r="J165" s="98"/>
      <c r="K165" s="98"/>
      <c r="L165" s="98"/>
      <c r="M165" s="98"/>
      <c r="N165" s="98"/>
      <c r="O165" s="98"/>
      <c r="P165" s="98"/>
      <c r="Q165" s="98"/>
      <c r="R165" s="98"/>
      <c r="S165" s="98"/>
      <c r="T165" s="98"/>
      <c r="U165" s="98"/>
      <c r="V165" s="98"/>
      <c r="AM165" s="98"/>
      <c r="AN165" s="98"/>
      <c r="AO165" s="98"/>
      <c r="AP165" s="98"/>
      <c r="AQ165" s="98"/>
      <c r="AR165" s="98"/>
      <c r="AS165" s="98"/>
      <c r="AT165" s="98"/>
      <c r="AU165" s="98"/>
      <c r="AV165" s="98"/>
      <c r="AW165" s="98"/>
      <c r="AX165" s="98"/>
      <c r="AY165" s="98"/>
      <c r="AZ165" s="98"/>
      <c r="BA165" s="98"/>
    </row>
    <row r="166" spans="2:53" s="99" customFormat="1" ht="15" customHeight="1">
      <c r="B166" s="150"/>
      <c r="C166" s="150"/>
      <c r="D166" s="150"/>
      <c r="E166" s="150"/>
      <c r="F166" s="150"/>
      <c r="G166" s="97"/>
      <c r="H166" s="97"/>
      <c r="I166" s="98"/>
      <c r="J166" s="98"/>
      <c r="K166" s="98"/>
      <c r="L166" s="98"/>
      <c r="M166" s="98"/>
      <c r="N166" s="98"/>
      <c r="O166" s="98"/>
      <c r="P166" s="98"/>
      <c r="Q166" s="98"/>
      <c r="R166" s="98"/>
      <c r="S166" s="98"/>
      <c r="T166" s="98"/>
      <c r="U166" s="98"/>
      <c r="V166" s="98"/>
      <c r="AM166" s="98"/>
      <c r="AN166" s="98"/>
      <c r="AO166" s="98"/>
      <c r="AP166" s="98"/>
      <c r="AQ166" s="98"/>
      <c r="AR166" s="98"/>
      <c r="AS166" s="98"/>
      <c r="AT166" s="98"/>
      <c r="AU166" s="98"/>
      <c r="AV166" s="98"/>
      <c r="AW166" s="98"/>
      <c r="AX166" s="98"/>
      <c r="AY166" s="98"/>
      <c r="AZ166" s="98"/>
      <c r="BA166" s="98"/>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00B050"/>
  </sheetPr>
  <dimension ref="A1:BF25"/>
  <sheetViews>
    <sheetView showGridLines="0" zoomScale="80" zoomScaleNormal="80" workbookViewId="0">
      <pane xSplit="7" topLeftCell="H1" activePane="topRight" state="frozen"/>
      <selection pane="topRight" activeCell="G17" sqref="G17"/>
    </sheetView>
  </sheetViews>
  <sheetFormatPr defaultColWidth="11.875" defaultRowHeight="14.25"/>
  <cols>
    <col min="1" max="1" width="11.875" style="248"/>
    <col min="2" max="6" width="4.375" style="248" customWidth="1"/>
    <col min="7" max="7" width="38.25" style="248" customWidth="1"/>
    <col min="8" max="22" width="15.625" style="248" customWidth="1"/>
    <col min="23" max="23" width="4.375" style="248" customWidth="1"/>
    <col min="24" max="51" width="15.625" style="248" customWidth="1"/>
    <col min="52" max="16384" width="11.875" style="248"/>
  </cols>
  <sheetData>
    <row r="1" spans="1:58" s="2" customFormat="1" ht="25.15" customHeight="1">
      <c r="A1" s="1" t="s">
        <v>0</v>
      </c>
      <c r="E1" s="3"/>
      <c r="H1" s="4" t="s">
        <v>1</v>
      </c>
      <c r="J1" s="3"/>
      <c r="W1" s="4" t="s">
        <v>1</v>
      </c>
      <c r="Y1" s="3"/>
      <c r="AM1" s="3"/>
    </row>
    <row r="2" spans="1:58" s="2" customFormat="1" ht="25.15" customHeight="1">
      <c r="A2" s="5" t="str">
        <f>Fixed_Data!I12</f>
        <v>MASTER</v>
      </c>
      <c r="B2" s="6"/>
      <c r="D2" s="7"/>
      <c r="E2" s="3"/>
    </row>
    <row r="3" spans="1:58" s="9" customFormat="1" ht="25.15" customHeight="1" thickBot="1">
      <c r="A3" s="8" t="str">
        <f>Fixed_Data!A3</f>
        <v>RIIO-GD2</v>
      </c>
      <c r="D3" s="10"/>
      <c r="E3" s="11"/>
    </row>
    <row r="4" spans="1:58" ht="25.15" customHeight="1">
      <c r="A4" s="249"/>
      <c r="B4" s="250" t="s">
        <v>2392</v>
      </c>
      <c r="C4" s="250"/>
      <c r="D4" s="250"/>
      <c r="E4" s="250"/>
      <c r="F4" s="250"/>
      <c r="G4" s="251"/>
      <c r="H4" s="252"/>
      <c r="I4" s="253"/>
      <c r="J4" s="249"/>
      <c r="K4" s="249"/>
      <c r="L4" s="249"/>
      <c r="M4" s="249"/>
      <c r="N4" s="249"/>
      <c r="O4" s="249"/>
      <c r="P4" s="249"/>
      <c r="Q4" s="249"/>
      <c r="R4" s="252"/>
      <c r="S4" s="252"/>
      <c r="T4" s="252"/>
      <c r="U4" s="252"/>
      <c r="V4" s="252"/>
      <c r="W4" s="252"/>
      <c r="X4" s="253"/>
      <c r="Y4" s="249"/>
      <c r="Z4" s="249"/>
      <c r="AA4" s="249"/>
      <c r="AB4" s="249"/>
      <c r="AC4" s="249"/>
      <c r="AD4" s="249"/>
      <c r="AE4" s="249"/>
      <c r="AF4" s="249"/>
      <c r="AG4" s="252"/>
      <c r="AH4" s="252"/>
      <c r="AI4" s="252"/>
      <c r="AJ4" s="252"/>
      <c r="AK4" s="252"/>
      <c r="AL4" s="253"/>
      <c r="AM4" s="249"/>
      <c r="AN4" s="249"/>
      <c r="AO4" s="249"/>
      <c r="AP4" s="249"/>
      <c r="AQ4" s="249"/>
      <c r="AR4" s="249"/>
      <c r="AS4" s="249"/>
      <c r="AT4" s="249"/>
      <c r="AU4" s="252"/>
      <c r="AV4" s="252"/>
      <c r="AW4" s="252"/>
      <c r="AX4" s="252"/>
      <c r="AY4" s="252"/>
    </row>
    <row r="5" spans="1:58" s="254" customFormat="1" ht="25.15" customHeight="1">
      <c r="B5" s="95" t="s">
        <v>1663</v>
      </c>
      <c r="C5" s="95"/>
      <c r="D5" s="95"/>
      <c r="E5" s="95"/>
      <c r="F5" s="95" t="s">
        <v>463</v>
      </c>
      <c r="J5" s="95"/>
      <c r="K5" s="255"/>
      <c r="L5" s="256"/>
      <c r="M5" s="256"/>
      <c r="N5" s="256"/>
      <c r="O5" s="256"/>
      <c r="P5" s="256"/>
      <c r="Q5" s="256"/>
      <c r="R5" s="256"/>
      <c r="S5" s="256"/>
      <c r="T5" s="257"/>
      <c r="U5" s="257"/>
      <c r="V5" s="257"/>
      <c r="Y5" s="95"/>
      <c r="Z5" s="255"/>
      <c r="AA5" s="256"/>
      <c r="AB5" s="256"/>
      <c r="AC5" s="256"/>
      <c r="AD5" s="256"/>
      <c r="AE5" s="256"/>
      <c r="AF5" s="256"/>
      <c r="AG5" s="256"/>
      <c r="AH5" s="256"/>
      <c r="AI5" s="257"/>
      <c r="AJ5" s="257"/>
      <c r="AK5" s="257"/>
      <c r="AM5" s="95"/>
      <c r="AN5" s="255"/>
      <c r="AO5" s="256"/>
      <c r="AP5" s="256"/>
      <c r="AQ5" s="256"/>
      <c r="AR5" s="256"/>
      <c r="AS5" s="256"/>
      <c r="AT5" s="256"/>
      <c r="AU5" s="256"/>
      <c r="AV5" s="256"/>
      <c r="AW5" s="257"/>
      <c r="AX5" s="257"/>
      <c r="AY5" s="257"/>
      <c r="AZ5" s="257"/>
      <c r="BA5" s="257"/>
      <c r="BB5" s="257"/>
      <c r="BC5" s="257"/>
      <c r="BD5" s="257"/>
      <c r="BE5" s="257"/>
      <c r="BF5" s="256"/>
    </row>
    <row r="6" spans="1:58" s="254" customFormat="1" ht="15" customHeight="1">
      <c r="B6" s="95"/>
      <c r="C6" s="95"/>
      <c r="D6" s="95"/>
      <c r="E6" s="95"/>
      <c r="F6" s="95"/>
      <c r="J6" s="95"/>
      <c r="K6" s="255"/>
      <c r="L6" s="256"/>
      <c r="M6" s="256"/>
      <c r="N6" s="256"/>
      <c r="O6" s="256"/>
      <c r="P6" s="256"/>
      <c r="Q6" s="256"/>
      <c r="R6" s="256"/>
      <c r="S6" s="256"/>
      <c r="T6" s="257"/>
      <c r="U6" s="257"/>
      <c r="V6" s="257"/>
      <c r="Y6" s="95"/>
      <c r="Z6" s="255"/>
      <c r="AA6" s="256"/>
      <c r="AB6" s="256"/>
      <c r="AC6" s="256"/>
      <c r="AD6" s="256"/>
      <c r="AE6" s="256"/>
      <c r="AF6" s="256"/>
      <c r="AG6" s="256"/>
      <c r="AH6" s="256"/>
      <c r="AI6" s="257"/>
      <c r="AJ6" s="257"/>
      <c r="AK6" s="257"/>
      <c r="AM6" s="95"/>
      <c r="AN6" s="255"/>
      <c r="AO6" s="256"/>
      <c r="AP6" s="256"/>
      <c r="AQ6" s="256"/>
      <c r="AR6" s="256"/>
      <c r="AS6" s="256"/>
      <c r="AT6" s="256"/>
      <c r="AU6" s="256"/>
      <c r="AV6" s="256"/>
      <c r="AW6" s="257"/>
      <c r="AX6" s="257"/>
      <c r="AY6" s="257"/>
      <c r="AZ6" s="257"/>
      <c r="BA6" s="257"/>
      <c r="BB6" s="257"/>
      <c r="BC6" s="257"/>
      <c r="BD6" s="257"/>
      <c r="BE6" s="257"/>
      <c r="BF6" s="256"/>
    </row>
    <row r="7" spans="1:58" ht="15" customHeight="1" thickBot="1">
      <c r="A7" s="258"/>
      <c r="B7" s="258"/>
      <c r="C7" s="258"/>
      <c r="D7" s="258"/>
      <c r="E7" s="258"/>
      <c r="F7" s="258"/>
      <c r="G7" s="259"/>
      <c r="H7" s="259"/>
      <c r="I7" s="260"/>
      <c r="J7" s="259"/>
      <c r="K7" s="259"/>
      <c r="L7" s="259"/>
      <c r="M7" s="259"/>
      <c r="N7" s="259"/>
      <c r="O7" s="259"/>
      <c r="P7" s="259"/>
      <c r="Q7" s="259"/>
      <c r="R7" s="259"/>
      <c r="S7" s="259"/>
      <c r="T7" s="259"/>
      <c r="U7" s="259"/>
      <c r="V7" s="259"/>
      <c r="W7" s="259"/>
      <c r="X7" s="260"/>
      <c r="Y7" s="259"/>
      <c r="Z7" s="259"/>
      <c r="AA7" s="259"/>
      <c r="AB7" s="259"/>
      <c r="AC7" s="259"/>
      <c r="AD7" s="259"/>
      <c r="AE7" s="259"/>
      <c r="AF7" s="259"/>
      <c r="AG7" s="259"/>
      <c r="AH7" s="259"/>
      <c r="AI7" s="259"/>
      <c r="AJ7" s="259"/>
      <c r="AK7" s="259"/>
      <c r="AL7" s="260"/>
      <c r="AM7" s="259"/>
      <c r="AN7" s="259"/>
      <c r="AO7" s="259"/>
      <c r="AP7" s="259"/>
      <c r="AQ7" s="259"/>
      <c r="AR7" s="259"/>
      <c r="AS7" s="259"/>
      <c r="AT7" s="259"/>
      <c r="AU7" s="259"/>
      <c r="AV7" s="259"/>
      <c r="AW7" s="259"/>
      <c r="AX7" s="259"/>
      <c r="AY7" s="259"/>
    </row>
    <row r="8" spans="1:58" ht="30" customHeight="1" thickBot="1">
      <c r="A8" s="258"/>
      <c r="B8" s="261" t="s">
        <v>2393</v>
      </c>
      <c r="C8" s="738"/>
      <c r="D8" s="738"/>
      <c r="E8" s="738"/>
      <c r="F8" s="738"/>
      <c r="G8" s="262"/>
      <c r="H8" s="294"/>
      <c r="I8" s="603" t="s">
        <v>1704</v>
      </c>
      <c r="J8" s="671"/>
      <c r="K8" s="106"/>
      <c r="L8" s="106"/>
      <c r="M8" s="106"/>
      <c r="N8" s="106"/>
      <c r="O8" s="106"/>
      <c r="P8" s="106"/>
      <c r="Q8" s="106"/>
      <c r="R8" s="105"/>
      <c r="S8" s="105"/>
      <c r="T8" s="105"/>
      <c r="U8" s="105"/>
      <c r="V8" s="187"/>
      <c r="W8" s="294"/>
      <c r="X8" s="105" t="s">
        <v>2231</v>
      </c>
      <c r="Y8" s="106"/>
      <c r="Z8" s="106"/>
      <c r="AA8" s="106"/>
      <c r="AB8" s="106"/>
      <c r="AC8" s="106"/>
      <c r="AD8" s="106"/>
      <c r="AE8" s="106"/>
      <c r="AF8" s="106"/>
      <c r="AG8" s="105"/>
      <c r="AH8" s="105"/>
      <c r="AI8" s="105"/>
      <c r="AJ8" s="105"/>
      <c r="AK8" s="187"/>
    </row>
    <row r="9" spans="1:58" ht="30" customHeight="1">
      <c r="A9" s="258"/>
      <c r="B9" s="263"/>
      <c r="C9" s="264"/>
      <c r="D9" s="264"/>
      <c r="E9" s="264"/>
      <c r="F9" s="264"/>
      <c r="G9" s="264"/>
      <c r="H9" s="259"/>
      <c r="I9" s="265"/>
      <c r="J9" s="266" t="s">
        <v>1666</v>
      </c>
      <c r="K9" s="267"/>
      <c r="L9" s="267"/>
      <c r="M9" s="267"/>
      <c r="N9" s="267"/>
      <c r="O9" s="267"/>
      <c r="P9" s="267"/>
      <c r="Q9" s="268"/>
      <c r="R9" s="269" t="s">
        <v>2</v>
      </c>
      <c r="S9" s="270"/>
      <c r="T9" s="270"/>
      <c r="U9" s="270"/>
      <c r="V9" s="271"/>
      <c r="W9" s="259"/>
      <c r="X9" s="265"/>
      <c r="Y9" s="266" t="s">
        <v>1666</v>
      </c>
      <c r="Z9" s="267"/>
      <c r="AA9" s="267"/>
      <c r="AB9" s="267"/>
      <c r="AC9" s="267"/>
      <c r="AD9" s="267"/>
      <c r="AE9" s="267"/>
      <c r="AF9" s="268"/>
      <c r="AG9" s="269" t="s">
        <v>2</v>
      </c>
      <c r="AH9" s="270"/>
      <c r="AI9" s="270"/>
      <c r="AJ9" s="270"/>
      <c r="AK9" s="271"/>
    </row>
    <row r="10" spans="1:58" ht="15">
      <c r="A10" s="258"/>
      <c r="B10" s="276"/>
      <c r="C10" s="739"/>
      <c r="D10" s="739"/>
      <c r="E10" s="739"/>
      <c r="F10" s="739"/>
      <c r="G10" s="264"/>
      <c r="H10" s="259"/>
      <c r="I10" s="272" t="s">
        <v>1745</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259"/>
      <c r="X10" s="272" t="s">
        <v>1745</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row>
    <row r="11" spans="1:58" ht="15">
      <c r="A11" s="258"/>
      <c r="B11" s="276"/>
      <c r="C11" s="739"/>
      <c r="D11" s="739"/>
      <c r="E11" s="739"/>
      <c r="F11" s="739"/>
      <c r="G11" s="264"/>
      <c r="H11" s="259"/>
      <c r="I11" s="260"/>
      <c r="J11" s="295"/>
      <c r="K11" s="259"/>
      <c r="L11" s="259"/>
      <c r="M11" s="259"/>
      <c r="N11" s="259"/>
      <c r="O11" s="259"/>
      <c r="P11" s="259"/>
      <c r="Q11" s="296"/>
      <c r="R11" s="295"/>
      <c r="S11" s="259"/>
      <c r="T11" s="259"/>
      <c r="U11" s="259"/>
      <c r="V11" s="296"/>
      <c r="W11" s="259"/>
      <c r="X11" s="260"/>
      <c r="Y11" s="295"/>
      <c r="Z11" s="259"/>
      <c r="AA11" s="259"/>
      <c r="AB11" s="259"/>
      <c r="AC11" s="259"/>
      <c r="AD11" s="259"/>
      <c r="AE11" s="259"/>
      <c r="AF11" s="296"/>
      <c r="AG11" s="295"/>
      <c r="AH11" s="259"/>
      <c r="AI11" s="259"/>
      <c r="AJ11" s="259"/>
      <c r="AK11" s="296"/>
    </row>
    <row r="12" spans="1:58" ht="15">
      <c r="A12" s="258"/>
      <c r="B12" s="276"/>
      <c r="C12" s="506" t="s">
        <v>36</v>
      </c>
      <c r="D12" s="739"/>
      <c r="E12" s="739"/>
      <c r="F12" s="739"/>
      <c r="G12" s="264"/>
      <c r="H12" s="259"/>
      <c r="I12" s="260"/>
      <c r="J12" s="295"/>
      <c r="K12" s="259"/>
      <c r="L12" s="259"/>
      <c r="M12" s="259"/>
      <c r="N12" s="259"/>
      <c r="O12" s="259"/>
      <c r="P12" s="259"/>
      <c r="Q12" s="296"/>
      <c r="R12" s="295"/>
      <c r="S12" s="259"/>
      <c r="T12" s="259"/>
      <c r="U12" s="259"/>
      <c r="V12" s="296"/>
      <c r="W12" s="259"/>
      <c r="X12" s="260"/>
      <c r="Y12" s="295"/>
      <c r="Z12" s="259"/>
      <c r="AA12" s="259"/>
      <c r="AB12" s="259"/>
      <c r="AC12" s="259"/>
      <c r="AD12" s="259"/>
      <c r="AE12" s="259"/>
      <c r="AF12" s="296"/>
      <c r="AG12" s="295"/>
      <c r="AH12" s="259"/>
      <c r="AI12" s="259"/>
      <c r="AJ12" s="259"/>
      <c r="AK12" s="296"/>
    </row>
    <row r="13" spans="1:58" ht="15">
      <c r="A13" s="258"/>
      <c r="B13" s="276"/>
      <c r="C13" s="264"/>
      <c r="D13" s="264" t="s">
        <v>1669</v>
      </c>
      <c r="E13" s="743"/>
      <c r="F13" s="743"/>
      <c r="G13" s="264"/>
      <c r="H13" s="259"/>
      <c r="I13" s="277" t="s">
        <v>498</v>
      </c>
      <c r="J13" s="297">
        <v>0</v>
      </c>
      <c r="K13" s="298">
        <v>0</v>
      </c>
      <c r="L13" s="298">
        <v>0</v>
      </c>
      <c r="M13" s="298">
        <v>0</v>
      </c>
      <c r="N13" s="298">
        <v>0</v>
      </c>
      <c r="O13" s="298">
        <v>0</v>
      </c>
      <c r="P13" s="298">
        <v>0</v>
      </c>
      <c r="Q13" s="299">
        <v>0</v>
      </c>
      <c r="R13" s="297">
        <v>0</v>
      </c>
      <c r="S13" s="298">
        <v>0</v>
      </c>
      <c r="T13" s="298">
        <v>0</v>
      </c>
      <c r="U13" s="298">
        <v>0</v>
      </c>
      <c r="V13" s="299">
        <v>0</v>
      </c>
      <c r="W13" s="259"/>
      <c r="X13" s="164" t="s">
        <v>1876</v>
      </c>
      <c r="Y13" s="297">
        <v>0</v>
      </c>
      <c r="Z13" s="298">
        <v>0</v>
      </c>
      <c r="AA13" s="298">
        <v>0</v>
      </c>
      <c r="AB13" s="298">
        <v>0</v>
      </c>
      <c r="AC13" s="298">
        <v>0</v>
      </c>
      <c r="AD13" s="298">
        <v>0</v>
      </c>
      <c r="AE13" s="298">
        <v>0</v>
      </c>
      <c r="AF13" s="299">
        <v>0</v>
      </c>
      <c r="AG13" s="297">
        <v>0</v>
      </c>
      <c r="AH13" s="298">
        <v>0</v>
      </c>
      <c r="AI13" s="298">
        <v>0</v>
      </c>
      <c r="AJ13" s="298">
        <v>0</v>
      </c>
      <c r="AK13" s="299">
        <v>0</v>
      </c>
    </row>
    <row r="14" spans="1:58" ht="15">
      <c r="A14" s="258"/>
      <c r="B14" s="276"/>
      <c r="C14" s="264"/>
      <c r="D14" s="264" t="s">
        <v>40</v>
      </c>
      <c r="E14" s="743"/>
      <c r="F14" s="743"/>
      <c r="G14" s="264"/>
      <c r="H14" s="259"/>
      <c r="I14" s="277" t="s">
        <v>498</v>
      </c>
      <c r="J14" s="297">
        <v>0</v>
      </c>
      <c r="K14" s="298">
        <v>0</v>
      </c>
      <c r="L14" s="298">
        <v>0</v>
      </c>
      <c r="M14" s="298">
        <v>0</v>
      </c>
      <c r="N14" s="298">
        <v>0</v>
      </c>
      <c r="O14" s="298">
        <v>0</v>
      </c>
      <c r="P14" s="298">
        <v>0</v>
      </c>
      <c r="Q14" s="299">
        <v>0</v>
      </c>
      <c r="R14" s="297">
        <v>0</v>
      </c>
      <c r="S14" s="298">
        <v>0</v>
      </c>
      <c r="T14" s="298">
        <v>0</v>
      </c>
      <c r="U14" s="298">
        <v>0</v>
      </c>
      <c r="V14" s="299">
        <v>0</v>
      </c>
      <c r="W14" s="259"/>
      <c r="X14" s="164" t="s">
        <v>1876</v>
      </c>
      <c r="Y14" s="297">
        <v>0</v>
      </c>
      <c r="Z14" s="298">
        <v>0</v>
      </c>
      <c r="AA14" s="298">
        <v>0</v>
      </c>
      <c r="AB14" s="298">
        <v>0</v>
      </c>
      <c r="AC14" s="298">
        <v>0</v>
      </c>
      <c r="AD14" s="298">
        <v>0</v>
      </c>
      <c r="AE14" s="298">
        <v>0</v>
      </c>
      <c r="AF14" s="299">
        <v>0</v>
      </c>
      <c r="AG14" s="297">
        <v>0</v>
      </c>
      <c r="AH14" s="298">
        <v>0</v>
      </c>
      <c r="AI14" s="298">
        <v>0</v>
      </c>
      <c r="AJ14" s="298">
        <v>0</v>
      </c>
      <c r="AK14" s="299">
        <v>0</v>
      </c>
    </row>
    <row r="15" spans="1:58" ht="15">
      <c r="A15" s="258"/>
      <c r="B15" s="276"/>
      <c r="C15" s="264"/>
      <c r="D15" s="264" t="s">
        <v>1770</v>
      </c>
      <c r="E15" s="743"/>
      <c r="F15" s="743"/>
      <c r="G15" s="264"/>
      <c r="H15" s="259"/>
      <c r="I15" s="277" t="s">
        <v>498</v>
      </c>
      <c r="J15" s="297">
        <v>0</v>
      </c>
      <c r="K15" s="298">
        <v>0</v>
      </c>
      <c r="L15" s="298">
        <v>0</v>
      </c>
      <c r="M15" s="298">
        <v>0</v>
      </c>
      <c r="N15" s="298">
        <v>0</v>
      </c>
      <c r="O15" s="298">
        <v>0</v>
      </c>
      <c r="P15" s="298">
        <v>0</v>
      </c>
      <c r="Q15" s="299">
        <v>0</v>
      </c>
      <c r="R15" s="297">
        <v>0</v>
      </c>
      <c r="S15" s="298">
        <v>0</v>
      </c>
      <c r="T15" s="298">
        <v>0</v>
      </c>
      <c r="U15" s="298">
        <v>0</v>
      </c>
      <c r="V15" s="299">
        <v>0</v>
      </c>
      <c r="W15" s="259"/>
      <c r="X15" s="164" t="s">
        <v>1876</v>
      </c>
      <c r="Y15" s="297">
        <v>0</v>
      </c>
      <c r="Z15" s="298">
        <v>0</v>
      </c>
      <c r="AA15" s="298">
        <v>0</v>
      </c>
      <c r="AB15" s="298">
        <v>0</v>
      </c>
      <c r="AC15" s="298">
        <v>0</v>
      </c>
      <c r="AD15" s="298">
        <v>0</v>
      </c>
      <c r="AE15" s="298">
        <v>0</v>
      </c>
      <c r="AF15" s="299">
        <v>0</v>
      </c>
      <c r="AG15" s="297">
        <v>0</v>
      </c>
      <c r="AH15" s="298">
        <v>0</v>
      </c>
      <c r="AI15" s="298">
        <v>0</v>
      </c>
      <c r="AJ15" s="298">
        <v>0</v>
      </c>
      <c r="AK15" s="299">
        <v>0</v>
      </c>
    </row>
    <row r="16" spans="1:58" ht="15">
      <c r="A16" s="258"/>
      <c r="B16" s="276"/>
      <c r="C16" s="264"/>
      <c r="D16" s="264" t="s">
        <v>41</v>
      </c>
      <c r="E16" s="743"/>
      <c r="F16" s="743"/>
      <c r="G16" s="264"/>
      <c r="H16" s="259"/>
      <c r="I16" s="277" t="s">
        <v>498</v>
      </c>
      <c r="J16" s="297">
        <v>0</v>
      </c>
      <c r="K16" s="298">
        <v>0</v>
      </c>
      <c r="L16" s="298">
        <v>0</v>
      </c>
      <c r="M16" s="298">
        <v>0</v>
      </c>
      <c r="N16" s="298">
        <v>0</v>
      </c>
      <c r="O16" s="298">
        <v>0</v>
      </c>
      <c r="P16" s="298">
        <v>0</v>
      </c>
      <c r="Q16" s="299">
        <v>0</v>
      </c>
      <c r="R16" s="297">
        <v>0</v>
      </c>
      <c r="S16" s="298">
        <v>0</v>
      </c>
      <c r="T16" s="298">
        <v>0</v>
      </c>
      <c r="U16" s="298">
        <v>0</v>
      </c>
      <c r="V16" s="299">
        <v>0</v>
      </c>
      <c r="W16" s="259"/>
      <c r="X16" s="164" t="s">
        <v>1876</v>
      </c>
      <c r="Y16" s="297">
        <v>0</v>
      </c>
      <c r="Z16" s="298">
        <v>0</v>
      </c>
      <c r="AA16" s="298">
        <v>0</v>
      </c>
      <c r="AB16" s="298">
        <v>0</v>
      </c>
      <c r="AC16" s="298">
        <v>0</v>
      </c>
      <c r="AD16" s="298">
        <v>0</v>
      </c>
      <c r="AE16" s="298">
        <v>0</v>
      </c>
      <c r="AF16" s="299">
        <v>0</v>
      </c>
      <c r="AG16" s="297">
        <v>0</v>
      </c>
      <c r="AH16" s="298">
        <v>0</v>
      </c>
      <c r="AI16" s="298">
        <v>0</v>
      </c>
      <c r="AJ16" s="298">
        <v>0</v>
      </c>
      <c r="AK16" s="299">
        <v>0</v>
      </c>
    </row>
    <row r="17" spans="1:37" ht="15">
      <c r="A17" s="258"/>
      <c r="B17" s="276"/>
      <c r="C17" s="264"/>
      <c r="D17" s="264" t="s">
        <v>1675</v>
      </c>
      <c r="E17" s="743"/>
      <c r="F17" s="743"/>
      <c r="G17" s="264"/>
      <c r="H17" s="259"/>
      <c r="I17" s="277" t="s">
        <v>498</v>
      </c>
      <c r="J17" s="297">
        <v>0</v>
      </c>
      <c r="K17" s="298">
        <v>0</v>
      </c>
      <c r="L17" s="298">
        <v>0</v>
      </c>
      <c r="M17" s="298">
        <v>0</v>
      </c>
      <c r="N17" s="298">
        <v>0</v>
      </c>
      <c r="O17" s="298">
        <v>0</v>
      </c>
      <c r="P17" s="298">
        <v>0</v>
      </c>
      <c r="Q17" s="299">
        <v>0</v>
      </c>
      <c r="R17" s="297">
        <v>0</v>
      </c>
      <c r="S17" s="298">
        <v>0</v>
      </c>
      <c r="T17" s="298">
        <v>0</v>
      </c>
      <c r="U17" s="298">
        <v>0</v>
      </c>
      <c r="V17" s="299">
        <v>0</v>
      </c>
      <c r="W17" s="259"/>
      <c r="X17" s="164" t="s">
        <v>1876</v>
      </c>
      <c r="Y17" s="297">
        <v>0</v>
      </c>
      <c r="Z17" s="298">
        <v>0</v>
      </c>
      <c r="AA17" s="298">
        <v>0</v>
      </c>
      <c r="AB17" s="298">
        <v>0</v>
      </c>
      <c r="AC17" s="298">
        <v>0</v>
      </c>
      <c r="AD17" s="298">
        <v>0</v>
      </c>
      <c r="AE17" s="298">
        <v>0</v>
      </c>
      <c r="AF17" s="299">
        <v>0</v>
      </c>
      <c r="AG17" s="297">
        <v>0</v>
      </c>
      <c r="AH17" s="298">
        <v>0</v>
      </c>
      <c r="AI17" s="298">
        <v>0</v>
      </c>
      <c r="AJ17" s="298">
        <v>0</v>
      </c>
      <c r="AK17" s="299">
        <v>0</v>
      </c>
    </row>
    <row r="18" spans="1:37" ht="15">
      <c r="A18" s="258"/>
      <c r="B18" s="276"/>
      <c r="C18" s="264"/>
      <c r="D18" s="264" t="s">
        <v>2394</v>
      </c>
      <c r="E18" s="743"/>
      <c r="F18" s="743"/>
      <c r="G18" s="264"/>
      <c r="H18" s="259"/>
      <c r="I18" s="277" t="s">
        <v>498</v>
      </c>
      <c r="J18" s="297">
        <v>0</v>
      </c>
      <c r="K18" s="298">
        <v>0</v>
      </c>
      <c r="L18" s="298">
        <v>0</v>
      </c>
      <c r="M18" s="298">
        <v>0</v>
      </c>
      <c r="N18" s="298">
        <v>0</v>
      </c>
      <c r="O18" s="298">
        <v>0</v>
      </c>
      <c r="P18" s="298">
        <v>0</v>
      </c>
      <c r="Q18" s="299">
        <v>0</v>
      </c>
      <c r="R18" s="297">
        <v>0</v>
      </c>
      <c r="S18" s="298">
        <v>0</v>
      </c>
      <c r="T18" s="298">
        <v>0</v>
      </c>
      <c r="U18" s="298">
        <v>0</v>
      </c>
      <c r="V18" s="299">
        <v>0</v>
      </c>
      <c r="W18" s="259"/>
      <c r="X18" s="164" t="s">
        <v>1876</v>
      </c>
      <c r="Y18" s="297">
        <v>0</v>
      </c>
      <c r="Z18" s="298">
        <v>0</v>
      </c>
      <c r="AA18" s="298">
        <v>0</v>
      </c>
      <c r="AB18" s="298">
        <v>0</v>
      </c>
      <c r="AC18" s="298">
        <v>0</v>
      </c>
      <c r="AD18" s="298">
        <v>0</v>
      </c>
      <c r="AE18" s="298">
        <v>0</v>
      </c>
      <c r="AF18" s="299">
        <v>0</v>
      </c>
      <c r="AG18" s="297">
        <v>0</v>
      </c>
      <c r="AH18" s="298">
        <v>0</v>
      </c>
      <c r="AI18" s="298">
        <v>0</v>
      </c>
      <c r="AJ18" s="298">
        <v>0</v>
      </c>
      <c r="AK18" s="299">
        <v>0</v>
      </c>
    </row>
    <row r="19" spans="1:37" s="338" customFormat="1">
      <c r="B19" s="349"/>
      <c r="C19" s="339" t="s">
        <v>2395</v>
      </c>
      <c r="D19" s="339"/>
      <c r="E19" s="339"/>
      <c r="F19" s="339"/>
      <c r="G19" s="625"/>
      <c r="H19" s="339"/>
      <c r="I19" s="576" t="s">
        <v>498</v>
      </c>
      <c r="J19" s="631">
        <f t="shared" ref="J19:V19" si="0">SUM(J13:J18)</f>
        <v>0</v>
      </c>
      <c r="K19" s="632">
        <f t="shared" si="0"/>
        <v>0</v>
      </c>
      <c r="L19" s="632">
        <f t="shared" si="0"/>
        <v>0</v>
      </c>
      <c r="M19" s="632">
        <f t="shared" si="0"/>
        <v>0</v>
      </c>
      <c r="N19" s="632">
        <f t="shared" si="0"/>
        <v>0</v>
      </c>
      <c r="O19" s="632">
        <f t="shared" si="0"/>
        <v>0</v>
      </c>
      <c r="P19" s="632">
        <f t="shared" si="0"/>
        <v>0</v>
      </c>
      <c r="Q19" s="633">
        <f t="shared" si="0"/>
        <v>0</v>
      </c>
      <c r="R19" s="631">
        <f t="shared" si="0"/>
        <v>0</v>
      </c>
      <c r="S19" s="632">
        <f t="shared" si="0"/>
        <v>0</v>
      </c>
      <c r="T19" s="632">
        <f t="shared" si="0"/>
        <v>0</v>
      </c>
      <c r="U19" s="632">
        <f t="shared" si="0"/>
        <v>0</v>
      </c>
      <c r="V19" s="633">
        <f t="shared" si="0"/>
        <v>0</v>
      </c>
      <c r="W19" s="339"/>
      <c r="X19" s="164" t="s">
        <v>1876</v>
      </c>
      <c r="Y19" s="631">
        <f t="shared" ref="Y19:AK19" si="1">SUM(Y13:Y18)</f>
        <v>0</v>
      </c>
      <c r="Z19" s="632">
        <f t="shared" si="1"/>
        <v>0</v>
      </c>
      <c r="AA19" s="632">
        <f t="shared" si="1"/>
        <v>0</v>
      </c>
      <c r="AB19" s="632">
        <f t="shared" si="1"/>
        <v>0</v>
      </c>
      <c r="AC19" s="632">
        <f t="shared" si="1"/>
        <v>0</v>
      </c>
      <c r="AD19" s="632">
        <f t="shared" si="1"/>
        <v>0</v>
      </c>
      <c r="AE19" s="632">
        <f t="shared" si="1"/>
        <v>0</v>
      </c>
      <c r="AF19" s="633">
        <f t="shared" si="1"/>
        <v>0</v>
      </c>
      <c r="AG19" s="631">
        <f t="shared" si="1"/>
        <v>0</v>
      </c>
      <c r="AH19" s="632">
        <f t="shared" si="1"/>
        <v>0</v>
      </c>
      <c r="AI19" s="632">
        <f t="shared" si="1"/>
        <v>0</v>
      </c>
      <c r="AJ19" s="632">
        <f t="shared" si="1"/>
        <v>0</v>
      </c>
      <c r="AK19" s="633">
        <f t="shared" si="1"/>
        <v>0</v>
      </c>
    </row>
    <row r="20" spans="1:37" ht="15">
      <c r="A20" s="258"/>
      <c r="B20" s="276"/>
      <c r="C20" s="506"/>
      <c r="D20" s="739"/>
      <c r="E20" s="739"/>
      <c r="F20" s="739"/>
      <c r="G20" s="264"/>
      <c r="H20" s="259"/>
      <c r="I20" s="260"/>
      <c r="J20" s="295"/>
      <c r="K20" s="259"/>
      <c r="L20" s="259"/>
      <c r="M20" s="259"/>
      <c r="N20" s="259"/>
      <c r="O20" s="259"/>
      <c r="P20" s="259"/>
      <c r="Q20" s="296"/>
      <c r="R20" s="295"/>
      <c r="S20" s="259"/>
      <c r="T20" s="259"/>
      <c r="U20" s="259"/>
      <c r="V20" s="296"/>
      <c r="W20" s="259"/>
      <c r="X20" s="260"/>
      <c r="Y20" s="295"/>
      <c r="Z20" s="259"/>
      <c r="AA20" s="259"/>
      <c r="AB20" s="259"/>
      <c r="AC20" s="259"/>
      <c r="AD20" s="259"/>
      <c r="AE20" s="259"/>
      <c r="AF20" s="296"/>
      <c r="AG20" s="295"/>
      <c r="AH20" s="259"/>
      <c r="AI20" s="259"/>
      <c r="AJ20" s="259"/>
      <c r="AK20" s="296"/>
    </row>
    <row r="21" spans="1:37" ht="15">
      <c r="A21" s="258"/>
      <c r="B21" s="276"/>
      <c r="C21" s="339" t="s">
        <v>68</v>
      </c>
      <c r="D21" s="264"/>
      <c r="E21" s="743"/>
      <c r="F21" s="743"/>
      <c r="G21" s="264"/>
      <c r="H21" s="259"/>
      <c r="I21" s="277" t="s">
        <v>498</v>
      </c>
      <c r="J21" s="297">
        <v>0</v>
      </c>
      <c r="K21" s="298">
        <v>0</v>
      </c>
      <c r="L21" s="298">
        <v>0</v>
      </c>
      <c r="M21" s="298">
        <v>0</v>
      </c>
      <c r="N21" s="298">
        <v>0</v>
      </c>
      <c r="O21" s="298">
        <v>0</v>
      </c>
      <c r="P21" s="298">
        <v>0</v>
      </c>
      <c r="Q21" s="299">
        <v>0</v>
      </c>
      <c r="R21" s="297">
        <v>0</v>
      </c>
      <c r="S21" s="298">
        <v>0</v>
      </c>
      <c r="T21" s="298">
        <v>0</v>
      </c>
      <c r="U21" s="298">
        <v>0</v>
      </c>
      <c r="V21" s="299">
        <v>0</v>
      </c>
      <c r="W21" s="259"/>
      <c r="X21" s="164" t="s">
        <v>1876</v>
      </c>
      <c r="Y21" s="297">
        <v>0</v>
      </c>
      <c r="Z21" s="298">
        <v>0</v>
      </c>
      <c r="AA21" s="298">
        <v>0</v>
      </c>
      <c r="AB21" s="298">
        <v>0</v>
      </c>
      <c r="AC21" s="298">
        <v>0</v>
      </c>
      <c r="AD21" s="298">
        <v>0</v>
      </c>
      <c r="AE21" s="298">
        <v>0</v>
      </c>
      <c r="AF21" s="299">
        <v>0</v>
      </c>
      <c r="AG21" s="297">
        <v>0</v>
      </c>
      <c r="AH21" s="298">
        <v>0</v>
      </c>
      <c r="AI21" s="298">
        <v>0</v>
      </c>
      <c r="AJ21" s="298">
        <v>0</v>
      </c>
      <c r="AK21" s="299">
        <v>0</v>
      </c>
    </row>
    <row r="22" spans="1:37" ht="15">
      <c r="A22" s="258"/>
      <c r="B22" s="276"/>
      <c r="C22" s="506"/>
      <c r="D22" s="739"/>
      <c r="E22" s="739"/>
      <c r="F22" s="739"/>
      <c r="G22" s="264"/>
      <c r="H22" s="259"/>
      <c r="I22" s="260"/>
      <c r="J22" s="295"/>
      <c r="K22" s="259"/>
      <c r="L22" s="259"/>
      <c r="M22" s="259"/>
      <c r="N22" s="259"/>
      <c r="O22" s="259"/>
      <c r="P22" s="259"/>
      <c r="Q22" s="296"/>
      <c r="R22" s="295"/>
      <c r="S22" s="259"/>
      <c r="T22" s="259"/>
      <c r="U22" s="259"/>
      <c r="V22" s="296"/>
      <c r="W22" s="259"/>
      <c r="X22" s="260"/>
      <c r="Y22" s="295"/>
      <c r="Z22" s="259"/>
      <c r="AA22" s="259"/>
      <c r="AB22" s="259"/>
      <c r="AC22" s="259"/>
      <c r="AD22" s="259"/>
      <c r="AE22" s="259"/>
      <c r="AF22" s="296"/>
      <c r="AG22" s="295"/>
      <c r="AH22" s="259"/>
      <c r="AI22" s="259"/>
      <c r="AJ22" s="259"/>
      <c r="AK22" s="296"/>
    </row>
    <row r="23" spans="1:37" ht="15">
      <c r="A23" s="258"/>
      <c r="B23" s="276"/>
      <c r="C23" s="339" t="s">
        <v>2396</v>
      </c>
      <c r="D23" s="264"/>
      <c r="E23" s="743"/>
      <c r="F23" s="743"/>
      <c r="G23" s="264"/>
      <c r="H23" s="259"/>
      <c r="I23" s="277" t="s">
        <v>498</v>
      </c>
      <c r="J23" s="631">
        <f>SUM('4.07_Repex_Services'!J$336:J$337)-SUM('4.07_Repex_Services'!Y$336:Y$337)</f>
        <v>0</v>
      </c>
      <c r="K23" s="632">
        <f>SUM('4.07_Repex_Services'!K$336:K$337)-SUM('4.07_Repex_Services'!Z$336:Z$337)</f>
        <v>0</v>
      </c>
      <c r="L23" s="632">
        <f>SUM('4.07_Repex_Services'!L$336:L$337)-SUM('4.07_Repex_Services'!AA$336:AA$337)</f>
        <v>0</v>
      </c>
      <c r="M23" s="632">
        <f>SUM('4.07_Repex_Services'!M$336:M$337)-SUM('4.07_Repex_Services'!AB$336:AB$337)</f>
        <v>0</v>
      </c>
      <c r="N23" s="632">
        <f>SUM('4.07_Repex_Services'!N$336:N$337)-SUM('4.07_Repex_Services'!AC$336:AC$337)</f>
        <v>0</v>
      </c>
      <c r="O23" s="632">
        <f>SUM('4.07_Repex_Services'!O$336:O$337)-SUM('4.07_Repex_Services'!AD$336:AD$337)</f>
        <v>0</v>
      </c>
      <c r="P23" s="632">
        <f>SUM('4.07_Repex_Services'!P$336:P$337)-SUM('4.07_Repex_Services'!AE$336:AE$337)</f>
        <v>0</v>
      </c>
      <c r="Q23" s="632">
        <f>SUM('4.07_Repex_Services'!Q$336:Q$337)-SUM('4.07_Repex_Services'!AF$336:AF$337)</f>
        <v>0</v>
      </c>
      <c r="R23" s="632">
        <f>SUM('4.07_Repex_Services'!R$336:R$337)-SUM('4.07_Repex_Services'!AG$336:AG$337)</f>
        <v>0</v>
      </c>
      <c r="S23" s="632">
        <f>SUM('4.07_Repex_Services'!S$336:S$337)-SUM('4.07_Repex_Services'!AH$336:AH$337)</f>
        <v>0</v>
      </c>
      <c r="T23" s="632">
        <f>SUM('4.07_Repex_Services'!T$336:T$337)-SUM('4.07_Repex_Services'!AI$336:AI$337)</f>
        <v>0</v>
      </c>
      <c r="U23" s="632">
        <f>SUM('4.07_Repex_Services'!U$336:U$337)-SUM('4.07_Repex_Services'!AJ$336:AJ$337)</f>
        <v>0</v>
      </c>
      <c r="V23" s="633">
        <f>SUM('4.07_Repex_Services'!V$336:V$337)-SUM('4.07_Repex_Services'!AK$336:AK$337)</f>
        <v>0</v>
      </c>
      <c r="W23" s="259"/>
      <c r="X23" s="164" t="s">
        <v>1876</v>
      </c>
      <c r="Y23" s="631">
        <f>SUM('4.07_Repex_Services'!AN$336:AZ$337)</f>
        <v>0</v>
      </c>
      <c r="Z23" s="632">
        <f>SUM('4.07_Repex_Services'!AO$336:BA$337)</f>
        <v>0</v>
      </c>
      <c r="AA23" s="632">
        <f>SUM('4.07_Repex_Services'!AP$336:BB$337)</f>
        <v>0</v>
      </c>
      <c r="AB23" s="632">
        <f>SUM('4.07_Repex_Services'!AQ$336:BC$337)</f>
        <v>0</v>
      </c>
      <c r="AC23" s="632">
        <f>SUM('4.07_Repex_Services'!AR$336:BD$337)</f>
        <v>0</v>
      </c>
      <c r="AD23" s="632">
        <f>SUM('4.07_Repex_Services'!AS$336:BE$337)</f>
        <v>0</v>
      </c>
      <c r="AE23" s="632">
        <f>SUM('4.07_Repex_Services'!AT$336:BF$337)</f>
        <v>0</v>
      </c>
      <c r="AF23" s="632">
        <f>SUM('4.07_Repex_Services'!AU$336:BG$337)</f>
        <v>0</v>
      </c>
      <c r="AG23" s="632">
        <f>SUM('4.07_Repex_Services'!AV$336:BH$337)</f>
        <v>0</v>
      </c>
      <c r="AH23" s="632">
        <f>SUM('4.07_Repex_Services'!AW$336:BI$337)</f>
        <v>0</v>
      </c>
      <c r="AI23" s="632">
        <f>SUM('4.07_Repex_Services'!AX$336:BJ$337)</f>
        <v>0</v>
      </c>
      <c r="AJ23" s="632">
        <f>SUM('4.07_Repex_Services'!AY$336:BK$337)</f>
        <v>0</v>
      </c>
      <c r="AK23" s="633">
        <f>SUM('4.07_Repex_Services'!AZ$336:BL$337)</f>
        <v>0</v>
      </c>
    </row>
    <row r="24" spans="1:37" ht="15">
      <c r="A24" s="258"/>
      <c r="B24" s="276"/>
      <c r="C24" s="506"/>
      <c r="D24" s="739"/>
      <c r="E24" s="739"/>
      <c r="F24" s="739"/>
      <c r="G24" s="264"/>
      <c r="H24" s="259"/>
      <c r="I24" s="260"/>
      <c r="J24" s="295"/>
      <c r="K24" s="259"/>
      <c r="L24" s="259"/>
      <c r="M24" s="259"/>
      <c r="N24" s="259"/>
      <c r="O24" s="259"/>
      <c r="P24" s="259"/>
      <c r="Q24" s="296"/>
      <c r="R24" s="295"/>
      <c r="S24" s="259"/>
      <c r="T24" s="259"/>
      <c r="U24" s="259"/>
      <c r="V24" s="296"/>
      <c r="W24" s="259"/>
      <c r="X24" s="260"/>
      <c r="Y24" s="295"/>
      <c r="Z24" s="259"/>
      <c r="AA24" s="259"/>
      <c r="AB24" s="259"/>
      <c r="AC24" s="259"/>
      <c r="AD24" s="259"/>
      <c r="AE24" s="259"/>
      <c r="AF24" s="296"/>
      <c r="AG24" s="295"/>
      <c r="AH24" s="259"/>
      <c r="AI24" s="259"/>
      <c r="AJ24" s="259"/>
      <c r="AK24" s="296"/>
    </row>
    <row r="25" spans="1:37" ht="15" thickBot="1">
      <c r="A25" s="258"/>
      <c r="B25" s="746" t="s">
        <v>1701</v>
      </c>
      <c r="C25" s="747"/>
      <c r="D25" s="747"/>
      <c r="E25" s="747"/>
      <c r="F25" s="747"/>
      <c r="G25" s="748"/>
      <c r="H25" s="300"/>
      <c r="I25" s="285" t="s">
        <v>498</v>
      </c>
      <c r="J25" s="749">
        <f>SUM(J19,J21,J23)</f>
        <v>0</v>
      </c>
      <c r="K25" s="750">
        <f t="shared" ref="K25:V25" si="2">SUM(K19,K21,K23)</f>
        <v>0</v>
      </c>
      <c r="L25" s="750">
        <f t="shared" si="2"/>
        <v>0</v>
      </c>
      <c r="M25" s="750">
        <f t="shared" si="2"/>
        <v>0</v>
      </c>
      <c r="N25" s="750">
        <f t="shared" si="2"/>
        <v>0</v>
      </c>
      <c r="O25" s="750">
        <f t="shared" si="2"/>
        <v>0</v>
      </c>
      <c r="P25" s="750">
        <f t="shared" si="2"/>
        <v>0</v>
      </c>
      <c r="Q25" s="751">
        <f t="shared" si="2"/>
        <v>0</v>
      </c>
      <c r="R25" s="749">
        <f t="shared" si="2"/>
        <v>0</v>
      </c>
      <c r="S25" s="750">
        <f t="shared" si="2"/>
        <v>0</v>
      </c>
      <c r="T25" s="750">
        <f t="shared" si="2"/>
        <v>0</v>
      </c>
      <c r="U25" s="750">
        <f t="shared" si="2"/>
        <v>0</v>
      </c>
      <c r="V25" s="751">
        <f t="shared" si="2"/>
        <v>0</v>
      </c>
      <c r="W25" s="300"/>
      <c r="X25" s="195" t="s">
        <v>1876</v>
      </c>
      <c r="Y25" s="749">
        <f>SUM(Y19,Y21,Y23)</f>
        <v>0</v>
      </c>
      <c r="Z25" s="750">
        <f t="shared" ref="Z25:AK25" si="3">SUM(Z19,Z21,Z23)</f>
        <v>0</v>
      </c>
      <c r="AA25" s="750">
        <f t="shared" si="3"/>
        <v>0</v>
      </c>
      <c r="AB25" s="750">
        <f t="shared" si="3"/>
        <v>0</v>
      </c>
      <c r="AC25" s="750">
        <f t="shared" si="3"/>
        <v>0</v>
      </c>
      <c r="AD25" s="750">
        <f t="shared" si="3"/>
        <v>0</v>
      </c>
      <c r="AE25" s="750">
        <f t="shared" si="3"/>
        <v>0</v>
      </c>
      <c r="AF25" s="751">
        <f t="shared" si="3"/>
        <v>0</v>
      </c>
      <c r="AG25" s="749">
        <f t="shared" si="3"/>
        <v>0</v>
      </c>
      <c r="AH25" s="750">
        <f t="shared" si="3"/>
        <v>0</v>
      </c>
      <c r="AI25" s="750">
        <f t="shared" si="3"/>
        <v>0</v>
      </c>
      <c r="AJ25" s="750">
        <f t="shared" si="3"/>
        <v>0</v>
      </c>
      <c r="AK25" s="751">
        <f t="shared" si="3"/>
        <v>0</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00B050"/>
  </sheetPr>
  <dimension ref="A1:AS119"/>
  <sheetViews>
    <sheetView showGridLines="0" topLeftCell="A7" zoomScale="80" zoomScaleNormal="80" workbookViewId="0">
      <pane xSplit="7" topLeftCell="H1" activePane="topRight" state="frozen"/>
      <selection activeCell="G14" sqref="G14"/>
      <selection pane="topRight" activeCell="K33" sqref="K33"/>
    </sheetView>
  </sheetViews>
  <sheetFormatPr defaultColWidth="11.875" defaultRowHeight="14.25"/>
  <cols>
    <col min="1" max="1" width="11.875" style="248"/>
    <col min="2" max="5" width="4.375" style="248" customWidth="1"/>
    <col min="6" max="6" width="7.875" style="248" customWidth="1"/>
    <col min="7" max="7" width="38.25" style="248" customWidth="1"/>
    <col min="8" max="23" width="15.625" style="248" customWidth="1"/>
    <col min="24" max="24" width="52.25" style="173" customWidth="1"/>
    <col min="25" max="38" width="15.625" style="248" customWidth="1"/>
    <col min="39" max="16384" width="11.875" style="248"/>
  </cols>
  <sheetData>
    <row r="1" spans="1:45" s="2" customFormat="1" ht="25.15" customHeight="1">
      <c r="A1" s="1" t="s">
        <v>0</v>
      </c>
      <c r="E1" s="3"/>
      <c r="H1" s="4" t="s">
        <v>1</v>
      </c>
      <c r="J1" s="3"/>
      <c r="W1" s="4" t="s">
        <v>1</v>
      </c>
      <c r="Z1" s="3"/>
    </row>
    <row r="2" spans="1:45" s="2" customFormat="1" ht="25.15" customHeight="1">
      <c r="A2" s="5" t="str">
        <f>Fixed_Data!I12</f>
        <v>MASTER</v>
      </c>
      <c r="B2" s="6"/>
      <c r="D2" s="7"/>
      <c r="E2" s="3"/>
    </row>
    <row r="3" spans="1:45" s="9" customFormat="1" ht="25.15" customHeight="1" thickBot="1">
      <c r="A3" s="8" t="str">
        <f>Fixed_Data!A3</f>
        <v>RIIO-GD2</v>
      </c>
      <c r="D3" s="10"/>
      <c r="E3" s="11"/>
    </row>
    <row r="4" spans="1:45" ht="25.15" customHeight="1">
      <c r="A4" s="249"/>
      <c r="B4" s="250" t="s">
        <v>2397</v>
      </c>
      <c r="C4" s="250"/>
      <c r="D4" s="250"/>
      <c r="E4" s="250"/>
      <c r="F4" s="250"/>
      <c r="G4" s="251"/>
      <c r="H4" s="252"/>
      <c r="I4" s="253"/>
      <c r="J4" s="249"/>
      <c r="K4" s="249"/>
      <c r="L4" s="249"/>
      <c r="M4" s="249"/>
      <c r="N4" s="249"/>
      <c r="O4" s="249"/>
      <c r="P4" s="249"/>
      <c r="Q4" s="249"/>
      <c r="R4" s="252"/>
      <c r="S4" s="252"/>
      <c r="T4" s="252"/>
      <c r="U4" s="252"/>
      <c r="V4" s="252"/>
      <c r="W4" s="252"/>
      <c r="X4" s="89"/>
      <c r="Y4" s="253"/>
      <c r="Z4" s="249"/>
      <c r="AA4" s="249"/>
      <c r="AB4" s="249"/>
      <c r="AC4" s="249"/>
      <c r="AD4" s="249"/>
      <c r="AE4" s="249"/>
      <c r="AF4" s="249"/>
      <c r="AG4" s="249"/>
      <c r="AH4" s="252"/>
      <c r="AI4" s="252"/>
      <c r="AJ4" s="252"/>
      <c r="AK4" s="252"/>
      <c r="AL4" s="252"/>
    </row>
    <row r="5" spans="1:45" s="254" customFormat="1" ht="25.15" customHeight="1">
      <c r="B5" s="95" t="s">
        <v>1663</v>
      </c>
      <c r="C5" s="95"/>
      <c r="D5" s="95"/>
      <c r="E5" s="95"/>
      <c r="F5" s="95" t="s">
        <v>463</v>
      </c>
      <c r="J5" s="95"/>
      <c r="K5" s="255"/>
      <c r="L5" s="256"/>
      <c r="M5" s="256"/>
      <c r="N5" s="256"/>
      <c r="O5" s="256"/>
      <c r="P5" s="256"/>
      <c r="Q5" s="256"/>
      <c r="R5" s="256"/>
      <c r="S5" s="256"/>
      <c r="T5" s="257"/>
      <c r="U5" s="257"/>
      <c r="V5" s="257"/>
      <c r="X5" s="89"/>
      <c r="Z5" s="95"/>
      <c r="AA5" s="255"/>
      <c r="AB5" s="256"/>
      <c r="AC5" s="256"/>
      <c r="AD5" s="256"/>
      <c r="AE5" s="256"/>
      <c r="AF5" s="256"/>
      <c r="AG5" s="256"/>
      <c r="AH5" s="256"/>
      <c r="AI5" s="256"/>
      <c r="AJ5" s="257"/>
      <c r="AK5" s="257"/>
      <c r="AL5" s="257"/>
      <c r="AM5" s="257"/>
      <c r="AN5" s="257"/>
      <c r="AO5" s="257"/>
      <c r="AP5" s="257"/>
      <c r="AQ5" s="257"/>
      <c r="AR5" s="257"/>
      <c r="AS5" s="256"/>
    </row>
    <row r="6" spans="1:45" s="254" customFormat="1" ht="15" customHeight="1" thickBot="1">
      <c r="B6" s="95"/>
      <c r="C6" s="95"/>
      <c r="D6" s="95"/>
      <c r="E6" s="95"/>
      <c r="F6" s="95"/>
      <c r="J6" s="95"/>
      <c r="K6" s="255"/>
      <c r="L6" s="256"/>
      <c r="M6" s="256"/>
      <c r="N6" s="256"/>
      <c r="O6" s="256"/>
      <c r="P6" s="256"/>
      <c r="Q6" s="256"/>
      <c r="R6" s="256"/>
      <c r="S6" s="256"/>
      <c r="T6" s="257"/>
      <c r="U6" s="257"/>
      <c r="V6" s="257"/>
      <c r="X6" s="89"/>
      <c r="Z6" s="95"/>
      <c r="AA6" s="255"/>
      <c r="AB6" s="256"/>
      <c r="AC6" s="256"/>
      <c r="AD6" s="256"/>
      <c r="AE6" s="256"/>
      <c r="AF6" s="256"/>
      <c r="AG6" s="256"/>
      <c r="AH6" s="256"/>
      <c r="AI6" s="256"/>
      <c r="AJ6" s="257"/>
      <c r="AK6" s="257"/>
      <c r="AL6" s="257"/>
      <c r="AM6" s="257"/>
      <c r="AN6" s="257"/>
      <c r="AO6" s="257"/>
      <c r="AP6" s="257"/>
      <c r="AQ6" s="257"/>
      <c r="AR6" s="257"/>
      <c r="AS6" s="256"/>
    </row>
    <row r="7" spans="1:45" ht="30" customHeight="1" thickBot="1">
      <c r="A7" s="258"/>
      <c r="B7" s="1709" t="s">
        <v>2398</v>
      </c>
      <c r="C7" s="738"/>
      <c r="D7" s="738"/>
      <c r="E7" s="738"/>
      <c r="F7" s="738"/>
      <c r="G7" s="262"/>
      <c r="H7" s="294"/>
      <c r="I7" s="105" t="s">
        <v>1864</v>
      </c>
      <c r="J7" s="106"/>
      <c r="K7" s="106"/>
      <c r="L7" s="106"/>
      <c r="M7" s="106"/>
      <c r="N7" s="106"/>
      <c r="O7" s="106"/>
      <c r="P7" s="106"/>
      <c r="Q7" s="106"/>
      <c r="R7" s="105"/>
      <c r="S7" s="105"/>
      <c r="T7" s="105"/>
      <c r="U7" s="105"/>
      <c r="V7" s="187"/>
      <c r="W7" s="259"/>
      <c r="X7" s="89"/>
      <c r="Y7" s="260"/>
      <c r="Z7" s="259"/>
      <c r="AA7" s="259"/>
      <c r="AB7" s="259"/>
      <c r="AC7" s="259"/>
      <c r="AD7" s="259"/>
      <c r="AE7" s="259"/>
      <c r="AF7" s="259"/>
      <c r="AG7" s="259"/>
      <c r="AH7" s="259"/>
      <c r="AI7" s="259"/>
      <c r="AJ7" s="259"/>
      <c r="AK7" s="259"/>
      <c r="AL7" s="259"/>
    </row>
    <row r="8" spans="1:45" ht="30" customHeight="1">
      <c r="B8" s="263"/>
      <c r="C8" s="264"/>
      <c r="D8" s="264"/>
      <c r="E8" s="264"/>
      <c r="F8" s="264"/>
      <c r="G8" s="264"/>
      <c r="H8" s="259"/>
      <c r="I8" s="265"/>
      <c r="J8" s="266" t="s">
        <v>1666</v>
      </c>
      <c r="K8" s="267"/>
      <c r="L8" s="267"/>
      <c r="M8" s="267"/>
      <c r="N8" s="267"/>
      <c r="O8" s="267"/>
      <c r="P8" s="267"/>
      <c r="Q8" s="268"/>
      <c r="R8" s="269" t="s">
        <v>2</v>
      </c>
      <c r="S8" s="270"/>
      <c r="T8" s="270"/>
      <c r="U8" s="270"/>
      <c r="V8" s="271"/>
      <c r="X8" s="98"/>
    </row>
    <row r="9" spans="1:45" ht="15">
      <c r="B9" s="276"/>
      <c r="C9" s="739"/>
      <c r="D9" s="739"/>
      <c r="E9" s="739"/>
      <c r="F9" s="739"/>
      <c r="G9" s="264"/>
      <c r="H9" s="259"/>
      <c r="I9" s="272" t="s">
        <v>1745</v>
      </c>
      <c r="J9" s="158" t="s">
        <v>453</v>
      </c>
      <c r="K9" s="137" t="s">
        <v>455</v>
      </c>
      <c r="L9" s="137" t="s">
        <v>457</v>
      </c>
      <c r="M9" s="137" t="s">
        <v>459</v>
      </c>
      <c r="N9" s="137" t="s">
        <v>461</v>
      </c>
      <c r="O9" s="137" t="s">
        <v>463</v>
      </c>
      <c r="P9" s="137" t="s">
        <v>465</v>
      </c>
      <c r="Q9" s="138" t="s">
        <v>467</v>
      </c>
      <c r="R9" s="120" t="s">
        <v>469</v>
      </c>
      <c r="S9" s="121" t="s">
        <v>471</v>
      </c>
      <c r="T9" s="121" t="s">
        <v>473</v>
      </c>
      <c r="U9" s="121" t="s">
        <v>475</v>
      </c>
      <c r="V9" s="122" t="s">
        <v>477</v>
      </c>
      <c r="X9" s="98"/>
    </row>
    <row r="10" spans="1:45" ht="15">
      <c r="B10" s="745"/>
      <c r="C10" s="693" t="s">
        <v>2399</v>
      </c>
      <c r="D10" s="301"/>
      <c r="E10" s="301"/>
      <c r="F10" s="301"/>
      <c r="G10" s="1710" t="s">
        <v>2400</v>
      </c>
      <c r="H10" s="301"/>
      <c r="I10" s="301"/>
      <c r="J10" s="745"/>
      <c r="K10" s="301"/>
      <c r="L10" s="301"/>
      <c r="M10" s="301"/>
      <c r="N10" s="301"/>
      <c r="O10" s="301"/>
      <c r="P10" s="301"/>
      <c r="Q10" s="1711"/>
      <c r="R10" s="745"/>
      <c r="S10" s="301"/>
      <c r="T10" s="301"/>
      <c r="U10" s="301"/>
      <c r="V10" s="1711"/>
      <c r="X10" s="98"/>
    </row>
    <row r="11" spans="1:45" ht="15">
      <c r="B11" s="745"/>
      <c r="C11" s="693" t="s">
        <v>2401</v>
      </c>
      <c r="D11" s="301"/>
      <c r="E11" s="301"/>
      <c r="F11" s="301"/>
      <c r="G11" s="1710" t="s">
        <v>2402</v>
      </c>
      <c r="H11" s="301"/>
      <c r="I11" s="301"/>
      <c r="J11" s="745"/>
      <c r="K11" s="301"/>
      <c r="L11" s="301"/>
      <c r="M11" s="301"/>
      <c r="N11" s="301"/>
      <c r="O11" s="301"/>
      <c r="P11" s="301"/>
      <c r="Q11" s="1711"/>
      <c r="R11" s="745"/>
      <c r="S11" s="301"/>
      <c r="T11" s="301"/>
      <c r="U11" s="301"/>
      <c r="V11" s="1711"/>
      <c r="X11" s="98"/>
    </row>
    <row r="12" spans="1:45">
      <c r="B12" s="745"/>
      <c r="C12" s="301"/>
      <c r="D12" s="301"/>
      <c r="E12" s="301"/>
      <c r="F12" s="301"/>
      <c r="G12" s="301"/>
      <c r="H12" s="301"/>
      <c r="I12" s="301"/>
      <c r="J12" s="745"/>
      <c r="K12" s="301"/>
      <c r="L12" s="301"/>
      <c r="M12" s="301"/>
      <c r="N12" s="301"/>
      <c r="O12" s="301"/>
      <c r="P12" s="301"/>
      <c r="Q12" s="1711"/>
      <c r="R12" s="745"/>
      <c r="S12" s="301"/>
      <c r="T12" s="301"/>
      <c r="U12" s="301"/>
      <c r="V12" s="1711"/>
      <c r="X12" s="98"/>
    </row>
    <row r="13" spans="1:45" ht="15">
      <c r="B13" s="745"/>
      <c r="D13" s="693" t="s">
        <v>2403</v>
      </c>
      <c r="E13" s="301"/>
      <c r="F13" s="301"/>
      <c r="G13" s="301"/>
      <c r="H13" s="301"/>
      <c r="I13" s="301"/>
      <c r="J13" s="745"/>
      <c r="K13" s="301"/>
      <c r="L13" s="301"/>
      <c r="M13" s="301"/>
      <c r="N13" s="301"/>
      <c r="O13" s="301"/>
      <c r="P13" s="301"/>
      <c r="Q13" s="1711"/>
      <c r="R13" s="745"/>
      <c r="S13" s="301"/>
      <c r="T13" s="301"/>
      <c r="U13" s="301"/>
      <c r="V13" s="1711"/>
      <c r="X13" s="98"/>
    </row>
    <row r="14" spans="1:45">
      <c r="B14" s="745"/>
      <c r="D14" s="301"/>
      <c r="E14" s="301" t="s">
        <v>36</v>
      </c>
      <c r="F14" s="301"/>
      <c r="G14" s="301"/>
      <c r="H14" s="301"/>
      <c r="I14" s="164" t="s">
        <v>498</v>
      </c>
      <c r="J14" s="143">
        <v>0</v>
      </c>
      <c r="K14" s="141">
        <v>1.6380393164589486</v>
      </c>
      <c r="L14" s="141">
        <v>1.5332048002055758</v>
      </c>
      <c r="M14" s="141">
        <v>1.4005459787465278</v>
      </c>
      <c r="N14" s="141">
        <v>1.3397223798507134</v>
      </c>
      <c r="O14" s="141">
        <v>1.432445</v>
      </c>
      <c r="P14" s="141">
        <v>0</v>
      </c>
      <c r="Q14" s="144">
        <v>0</v>
      </c>
      <c r="R14" s="143">
        <v>0</v>
      </c>
      <c r="S14" s="141">
        <v>0</v>
      </c>
      <c r="T14" s="141">
        <v>0</v>
      </c>
      <c r="U14" s="141">
        <v>0</v>
      </c>
      <c r="V14" s="144">
        <v>0</v>
      </c>
      <c r="X14" s="98"/>
    </row>
    <row r="15" spans="1:45">
      <c r="B15" s="745"/>
      <c r="D15" s="301"/>
      <c r="E15" s="301" t="s">
        <v>62</v>
      </c>
      <c r="F15" s="301"/>
      <c r="G15" s="301"/>
      <c r="H15" s="301"/>
      <c r="I15" s="1713" t="s">
        <v>498</v>
      </c>
      <c r="J15" s="143">
        <v>0</v>
      </c>
      <c r="K15" s="141">
        <v>0</v>
      </c>
      <c r="L15" s="141">
        <v>0</v>
      </c>
      <c r="M15" s="141">
        <v>0</v>
      </c>
      <c r="N15" s="141">
        <v>0</v>
      </c>
      <c r="O15" s="141">
        <v>0</v>
      </c>
      <c r="P15" s="141">
        <v>0</v>
      </c>
      <c r="Q15" s="144">
        <v>0</v>
      </c>
      <c r="R15" s="143">
        <v>0</v>
      </c>
      <c r="S15" s="141">
        <v>0</v>
      </c>
      <c r="T15" s="141">
        <v>0</v>
      </c>
      <c r="U15" s="141">
        <v>0</v>
      </c>
      <c r="V15" s="144">
        <v>0</v>
      </c>
      <c r="X15" s="98"/>
    </row>
    <row r="16" spans="1:45">
      <c r="B16" s="745"/>
      <c r="D16" s="301"/>
      <c r="E16" s="301" t="s">
        <v>71</v>
      </c>
      <c r="F16" s="301"/>
      <c r="G16" s="301"/>
      <c r="H16" s="301"/>
      <c r="I16" s="1713" t="s">
        <v>498</v>
      </c>
      <c r="J16" s="143">
        <v>0</v>
      </c>
      <c r="K16" s="141">
        <v>0</v>
      </c>
      <c r="L16" s="141">
        <v>0</v>
      </c>
      <c r="M16" s="141">
        <v>0</v>
      </c>
      <c r="N16" s="141">
        <v>0</v>
      </c>
      <c r="O16" s="141">
        <v>0</v>
      </c>
      <c r="P16" s="141">
        <v>0</v>
      </c>
      <c r="Q16" s="144">
        <v>0</v>
      </c>
      <c r="R16" s="143">
        <v>0</v>
      </c>
      <c r="S16" s="141">
        <v>0</v>
      </c>
      <c r="T16" s="141">
        <v>0</v>
      </c>
      <c r="U16" s="141">
        <v>0</v>
      </c>
      <c r="V16" s="144">
        <v>0</v>
      </c>
      <c r="X16" s="98"/>
    </row>
    <row r="17" spans="1:38" ht="15">
      <c r="B17" s="745"/>
      <c r="D17" s="693" t="s">
        <v>2404</v>
      </c>
      <c r="E17" s="301"/>
      <c r="F17" s="301"/>
      <c r="G17" s="301"/>
      <c r="H17" s="301"/>
      <c r="I17" s="1714"/>
      <c r="J17" s="1716"/>
      <c r="K17" s="1717"/>
      <c r="L17" s="1717"/>
      <c r="M17" s="1717"/>
      <c r="N17" s="1717"/>
      <c r="O17" s="1717"/>
      <c r="P17" s="1717"/>
      <c r="Q17" s="1718"/>
      <c r="R17" s="1716"/>
      <c r="S17" s="1717"/>
      <c r="T17" s="1717"/>
      <c r="U17" s="1717"/>
      <c r="V17" s="1718"/>
      <c r="X17" s="98"/>
    </row>
    <row r="18" spans="1:38">
      <c r="B18" s="745"/>
      <c r="D18" s="301"/>
      <c r="E18" s="301" t="s">
        <v>36</v>
      </c>
      <c r="F18" s="301"/>
      <c r="G18" s="301"/>
      <c r="H18" s="301"/>
      <c r="I18" s="1713" t="s">
        <v>498</v>
      </c>
      <c r="J18" s="143">
        <v>0</v>
      </c>
      <c r="K18" s="141">
        <v>1.5288366953616852</v>
      </c>
      <c r="L18" s="141">
        <v>1.4720513323911086</v>
      </c>
      <c r="M18" s="141">
        <v>1.3150164533268924</v>
      </c>
      <c r="N18" s="141">
        <v>1.2366668121698892</v>
      </c>
      <c r="O18" s="141">
        <v>1.3</v>
      </c>
      <c r="P18" s="141">
        <v>0</v>
      </c>
      <c r="Q18" s="144">
        <v>0</v>
      </c>
      <c r="R18" s="143">
        <v>0</v>
      </c>
      <c r="S18" s="141">
        <v>0</v>
      </c>
      <c r="T18" s="141">
        <v>0</v>
      </c>
      <c r="U18" s="141">
        <v>0</v>
      </c>
      <c r="V18" s="144">
        <v>0</v>
      </c>
      <c r="X18" s="98"/>
    </row>
    <row r="19" spans="1:38">
      <c r="B19" s="745"/>
      <c r="D19" s="301"/>
      <c r="E19" s="301" t="s">
        <v>62</v>
      </c>
      <c r="F19" s="301"/>
      <c r="G19" s="301"/>
      <c r="H19" s="301"/>
      <c r="I19" s="1713" t="s">
        <v>498</v>
      </c>
      <c r="J19" s="143">
        <v>0</v>
      </c>
      <c r="K19" s="141">
        <v>0</v>
      </c>
      <c r="L19" s="141">
        <v>0</v>
      </c>
      <c r="M19" s="141">
        <v>0</v>
      </c>
      <c r="N19" s="141">
        <v>0</v>
      </c>
      <c r="O19" s="141">
        <v>0</v>
      </c>
      <c r="P19" s="141">
        <v>0</v>
      </c>
      <c r="Q19" s="144">
        <v>0</v>
      </c>
      <c r="R19" s="143">
        <v>0</v>
      </c>
      <c r="S19" s="141">
        <v>0</v>
      </c>
      <c r="T19" s="141">
        <v>0</v>
      </c>
      <c r="U19" s="141">
        <v>0</v>
      </c>
      <c r="V19" s="144">
        <v>0</v>
      </c>
      <c r="X19" s="98"/>
    </row>
    <row r="20" spans="1:38">
      <c r="B20" s="745"/>
      <c r="D20" s="301"/>
      <c r="E20" s="301" t="s">
        <v>71</v>
      </c>
      <c r="F20" s="301"/>
      <c r="G20" s="301"/>
      <c r="H20" s="301"/>
      <c r="I20" s="1713" t="s">
        <v>498</v>
      </c>
      <c r="J20" s="143">
        <v>0</v>
      </c>
      <c r="K20" s="141">
        <v>0</v>
      </c>
      <c r="L20" s="141">
        <v>0</v>
      </c>
      <c r="M20" s="141">
        <v>0</v>
      </c>
      <c r="N20" s="141">
        <v>0</v>
      </c>
      <c r="O20" s="141">
        <v>0</v>
      </c>
      <c r="P20" s="141">
        <v>0</v>
      </c>
      <c r="Q20" s="144">
        <v>0</v>
      </c>
      <c r="R20" s="143">
        <v>0</v>
      </c>
      <c r="S20" s="141">
        <v>0</v>
      </c>
      <c r="T20" s="141">
        <v>0</v>
      </c>
      <c r="U20" s="141">
        <v>0</v>
      </c>
      <c r="V20" s="144">
        <v>0</v>
      </c>
      <c r="X20" s="98"/>
    </row>
    <row r="21" spans="1:38" ht="15">
      <c r="B21" s="745"/>
      <c r="D21" s="693" t="s">
        <v>2405</v>
      </c>
      <c r="E21" s="301"/>
      <c r="F21" s="301"/>
      <c r="G21" s="301"/>
      <c r="H21" s="301"/>
      <c r="I21" s="1714"/>
      <c r="J21" s="1716"/>
      <c r="K21" s="1717"/>
      <c r="L21" s="1717"/>
      <c r="M21" s="1717"/>
      <c r="N21" s="1717"/>
      <c r="O21" s="1717"/>
      <c r="P21" s="1717"/>
      <c r="Q21" s="1718"/>
      <c r="R21" s="1716"/>
      <c r="S21" s="1717"/>
      <c r="T21" s="1717"/>
      <c r="U21" s="1717"/>
      <c r="V21" s="1718"/>
      <c r="X21" s="98"/>
    </row>
    <row r="22" spans="1:38">
      <c r="B22" s="745"/>
      <c r="D22" s="301"/>
      <c r="E22" s="301" t="s">
        <v>36</v>
      </c>
      <c r="F22" s="301"/>
      <c r="G22" s="301"/>
      <c r="H22" s="301"/>
      <c r="I22" s="1713" t="s">
        <v>498</v>
      </c>
      <c r="J22" s="641">
        <f>J14-J18</f>
        <v>0</v>
      </c>
      <c r="K22" s="642">
        <f>K33-K37</f>
        <v>0</v>
      </c>
      <c r="L22" s="642">
        <f t="shared" ref="L22:V22" si="0">L14-L18</f>
        <v>6.1153467814467177E-2</v>
      </c>
      <c r="M22" s="642">
        <f t="shared" si="0"/>
        <v>8.5529525419635322E-2</v>
      </c>
      <c r="N22" s="642">
        <f t="shared" si="0"/>
        <v>0.10305556768082424</v>
      </c>
      <c r="O22" s="642">
        <f t="shared" si="0"/>
        <v>0.13244499999999992</v>
      </c>
      <c r="P22" s="642">
        <f t="shared" si="0"/>
        <v>0</v>
      </c>
      <c r="Q22" s="643">
        <f t="shared" si="0"/>
        <v>0</v>
      </c>
      <c r="R22" s="641">
        <f t="shared" si="0"/>
        <v>0</v>
      </c>
      <c r="S22" s="642">
        <f t="shared" si="0"/>
        <v>0</v>
      </c>
      <c r="T22" s="642">
        <f t="shared" si="0"/>
        <v>0</v>
      </c>
      <c r="U22" s="642">
        <f t="shared" si="0"/>
        <v>0</v>
      </c>
      <c r="V22" s="643">
        <f t="shared" si="0"/>
        <v>0</v>
      </c>
      <c r="X22" s="98"/>
    </row>
    <row r="23" spans="1:38">
      <c r="B23" s="745"/>
      <c r="D23" s="301"/>
      <c r="E23" s="301" t="s">
        <v>62</v>
      </c>
      <c r="F23" s="301"/>
      <c r="G23" s="301"/>
      <c r="H23" s="301"/>
      <c r="I23" s="1713" t="s">
        <v>498</v>
      </c>
      <c r="J23" s="641">
        <f t="shared" ref="J23:J24" si="1">J15-J19</f>
        <v>0</v>
      </c>
      <c r="K23" s="642">
        <f t="shared" ref="K23:V23" si="2">K15-K19</f>
        <v>0</v>
      </c>
      <c r="L23" s="642">
        <f t="shared" si="2"/>
        <v>0</v>
      </c>
      <c r="M23" s="642">
        <f t="shared" si="2"/>
        <v>0</v>
      </c>
      <c r="N23" s="642">
        <f t="shared" si="2"/>
        <v>0</v>
      </c>
      <c r="O23" s="642">
        <f t="shared" si="2"/>
        <v>0</v>
      </c>
      <c r="P23" s="642">
        <f t="shared" si="2"/>
        <v>0</v>
      </c>
      <c r="Q23" s="643">
        <f t="shared" si="2"/>
        <v>0</v>
      </c>
      <c r="R23" s="641">
        <f t="shared" si="2"/>
        <v>0</v>
      </c>
      <c r="S23" s="642">
        <f t="shared" si="2"/>
        <v>0</v>
      </c>
      <c r="T23" s="642">
        <f t="shared" si="2"/>
        <v>0</v>
      </c>
      <c r="U23" s="642">
        <f t="shared" si="2"/>
        <v>0</v>
      </c>
      <c r="V23" s="643">
        <f t="shared" si="2"/>
        <v>0</v>
      </c>
      <c r="X23" s="98"/>
    </row>
    <row r="24" spans="1:38" ht="15" thickBot="1">
      <c r="B24" s="1712"/>
      <c r="C24" s="307"/>
      <c r="D24" s="307"/>
      <c r="E24" s="307" t="s">
        <v>71</v>
      </c>
      <c r="F24" s="307"/>
      <c r="G24" s="307"/>
      <c r="H24" s="307"/>
      <c r="I24" s="1715" t="s">
        <v>498</v>
      </c>
      <c r="J24" s="1092">
        <f t="shared" si="1"/>
        <v>0</v>
      </c>
      <c r="K24" s="1093">
        <f t="shared" ref="K24:V24" si="3">K16-K20</f>
        <v>0</v>
      </c>
      <c r="L24" s="1093">
        <f t="shared" si="3"/>
        <v>0</v>
      </c>
      <c r="M24" s="1093">
        <f t="shared" si="3"/>
        <v>0</v>
      </c>
      <c r="N24" s="1093">
        <f t="shared" si="3"/>
        <v>0</v>
      </c>
      <c r="O24" s="1093">
        <f t="shared" si="3"/>
        <v>0</v>
      </c>
      <c r="P24" s="1093">
        <f t="shared" si="3"/>
        <v>0</v>
      </c>
      <c r="Q24" s="1094">
        <f t="shared" si="3"/>
        <v>0</v>
      </c>
      <c r="R24" s="1092">
        <f t="shared" si="3"/>
        <v>0</v>
      </c>
      <c r="S24" s="1093">
        <f t="shared" si="3"/>
        <v>0</v>
      </c>
      <c r="T24" s="1093">
        <f t="shared" si="3"/>
        <v>0</v>
      </c>
      <c r="U24" s="1093">
        <f t="shared" si="3"/>
        <v>0</v>
      </c>
      <c r="V24" s="1094">
        <f t="shared" si="3"/>
        <v>0</v>
      </c>
      <c r="X24" s="98"/>
    </row>
    <row r="25" spans="1:38" ht="15" thickBot="1">
      <c r="X25" s="98"/>
    </row>
    <row r="26" spans="1:38" ht="30" customHeight="1" thickBot="1">
      <c r="A26" s="258"/>
      <c r="B26" s="1709" t="s">
        <v>2406</v>
      </c>
      <c r="C26" s="738"/>
      <c r="D26" s="738"/>
      <c r="E26" s="738"/>
      <c r="F26" s="738"/>
      <c r="G26" s="262"/>
      <c r="H26" s="294"/>
      <c r="I26" s="105" t="s">
        <v>1864</v>
      </c>
      <c r="J26" s="106"/>
      <c r="K26" s="106"/>
      <c r="L26" s="106"/>
      <c r="M26" s="106"/>
      <c r="N26" s="106"/>
      <c r="O26" s="106"/>
      <c r="P26" s="106"/>
      <c r="Q26" s="106"/>
      <c r="R26" s="105"/>
      <c r="S26" s="105"/>
      <c r="T26" s="105"/>
      <c r="U26" s="105"/>
      <c r="V26" s="187"/>
      <c r="W26" s="259"/>
      <c r="X26" s="89"/>
      <c r="Y26" s="260"/>
      <c r="Z26" s="259"/>
      <c r="AA26" s="259"/>
      <c r="AB26" s="259"/>
      <c r="AC26" s="259"/>
      <c r="AD26" s="259"/>
      <c r="AE26" s="259"/>
      <c r="AF26" s="259"/>
      <c r="AG26" s="259"/>
      <c r="AH26" s="259"/>
      <c r="AI26" s="259"/>
      <c r="AJ26" s="259"/>
      <c r="AK26" s="259"/>
      <c r="AL26" s="259"/>
    </row>
    <row r="27" spans="1:38" ht="30" customHeight="1">
      <c r="B27" s="263"/>
      <c r="C27" s="264"/>
      <c r="D27" s="264"/>
      <c r="E27" s="264"/>
      <c r="F27" s="264"/>
      <c r="G27" s="264"/>
      <c r="H27" s="259"/>
      <c r="I27" s="265"/>
      <c r="J27" s="266" t="s">
        <v>1666</v>
      </c>
      <c r="K27" s="267"/>
      <c r="L27" s="267"/>
      <c r="M27" s="267"/>
      <c r="N27" s="267"/>
      <c r="O27" s="267"/>
      <c r="P27" s="267"/>
      <c r="Q27" s="268"/>
      <c r="R27" s="269" t="s">
        <v>2</v>
      </c>
      <c r="S27" s="270"/>
      <c r="T27" s="270"/>
      <c r="U27" s="270"/>
      <c r="V27" s="271"/>
      <c r="X27" s="98"/>
    </row>
    <row r="28" spans="1:38" ht="15">
      <c r="B28" s="276"/>
      <c r="C28" s="739"/>
      <c r="D28" s="739"/>
      <c r="E28" s="739"/>
      <c r="F28" s="739"/>
      <c r="G28" s="264"/>
      <c r="H28" s="259"/>
      <c r="I28" s="272" t="s">
        <v>1745</v>
      </c>
      <c r="J28" s="158" t="s">
        <v>453</v>
      </c>
      <c r="K28" s="137" t="s">
        <v>455</v>
      </c>
      <c r="L28" s="137" t="s">
        <v>457</v>
      </c>
      <c r="M28" s="137" t="s">
        <v>459</v>
      </c>
      <c r="N28" s="137" t="s">
        <v>461</v>
      </c>
      <c r="O28" s="137" t="s">
        <v>463</v>
      </c>
      <c r="P28" s="137" t="s">
        <v>465</v>
      </c>
      <c r="Q28" s="138" t="s">
        <v>467</v>
      </c>
      <c r="R28" s="120" t="s">
        <v>469</v>
      </c>
      <c r="S28" s="121" t="s">
        <v>471</v>
      </c>
      <c r="T28" s="121" t="s">
        <v>473</v>
      </c>
      <c r="U28" s="121" t="s">
        <v>475</v>
      </c>
      <c r="V28" s="122" t="s">
        <v>477</v>
      </c>
    </row>
    <row r="29" spans="1:38" ht="15">
      <c r="B29" s="745"/>
      <c r="C29" s="693" t="s">
        <v>2399</v>
      </c>
      <c r="D29" s="301"/>
      <c r="E29" s="301"/>
      <c r="F29" s="301"/>
      <c r="G29" s="1710" t="s">
        <v>2407</v>
      </c>
      <c r="H29" s="301"/>
      <c r="I29" s="301"/>
      <c r="J29" s="745"/>
      <c r="K29" s="301"/>
      <c r="L29" s="301"/>
      <c r="M29" s="301"/>
      <c r="N29" s="301"/>
      <c r="O29" s="301"/>
      <c r="P29" s="301"/>
      <c r="Q29" s="1711"/>
      <c r="R29" s="745"/>
      <c r="S29" s="301"/>
      <c r="T29" s="301"/>
      <c r="U29" s="301"/>
      <c r="V29" s="1711"/>
    </row>
    <row r="30" spans="1:38" ht="15">
      <c r="B30" s="745"/>
      <c r="C30" s="693" t="s">
        <v>2401</v>
      </c>
      <c r="D30" s="301"/>
      <c r="E30" s="301"/>
      <c r="F30" s="301"/>
      <c r="G30" s="1710" t="s">
        <v>2408</v>
      </c>
      <c r="H30" s="301"/>
      <c r="I30" s="301"/>
      <c r="J30" s="745"/>
      <c r="K30" s="301"/>
      <c r="L30" s="301"/>
      <c r="M30" s="301"/>
      <c r="N30" s="301"/>
      <c r="O30" s="301"/>
      <c r="P30" s="301"/>
      <c r="Q30" s="1711"/>
      <c r="R30" s="745"/>
      <c r="S30" s="301"/>
      <c r="T30" s="301"/>
      <c r="U30" s="301"/>
      <c r="V30" s="1711"/>
    </row>
    <row r="31" spans="1:38">
      <c r="B31" s="745"/>
      <c r="C31" s="301"/>
      <c r="D31" s="301"/>
      <c r="E31" s="301"/>
      <c r="F31" s="301"/>
      <c r="G31" s="301"/>
      <c r="H31" s="301"/>
      <c r="I31" s="301"/>
      <c r="J31" s="745"/>
      <c r="K31" s="301"/>
      <c r="L31" s="301"/>
      <c r="M31" s="301"/>
      <c r="N31" s="301"/>
      <c r="O31" s="301"/>
      <c r="P31" s="301"/>
      <c r="Q31" s="1711"/>
      <c r="R31" s="745"/>
      <c r="S31" s="301"/>
      <c r="T31" s="301"/>
      <c r="U31" s="301"/>
      <c r="V31" s="1711"/>
    </row>
    <row r="32" spans="1:38" ht="15">
      <c r="B32" s="745"/>
      <c r="D32" s="693" t="s">
        <v>2403</v>
      </c>
      <c r="E32" s="301"/>
      <c r="F32" s="301"/>
      <c r="G32" s="301"/>
      <c r="H32" s="301"/>
      <c r="I32" s="301"/>
      <c r="J32" s="745"/>
      <c r="K32" s="301"/>
      <c r="L32" s="301"/>
      <c r="M32" s="301"/>
      <c r="N32" s="301"/>
      <c r="O32" s="301"/>
      <c r="P32" s="301"/>
      <c r="Q32" s="1711"/>
      <c r="R32" s="745"/>
      <c r="S32" s="301"/>
      <c r="T32" s="301"/>
      <c r="U32" s="301"/>
      <c r="V32" s="1711"/>
    </row>
    <row r="33" spans="1:38">
      <c r="B33" s="745"/>
      <c r="D33" s="301"/>
      <c r="E33" s="301" t="s">
        <v>36</v>
      </c>
      <c r="F33" s="301"/>
      <c r="G33" s="301"/>
      <c r="H33" s="301"/>
      <c r="I33" s="164" t="s">
        <v>498</v>
      </c>
      <c r="J33" s="143">
        <v>2.1383179797642731</v>
      </c>
      <c r="K33" s="141">
        <v>3.2010124675324665</v>
      </c>
      <c r="L33" s="141">
        <v>0</v>
      </c>
      <c r="M33" s="141">
        <v>0</v>
      </c>
      <c r="N33" s="141">
        <v>0</v>
      </c>
      <c r="O33" s="141">
        <v>0</v>
      </c>
      <c r="P33" s="141">
        <v>0</v>
      </c>
      <c r="Q33" s="144">
        <v>0</v>
      </c>
      <c r="R33" s="143">
        <v>0</v>
      </c>
      <c r="S33" s="141">
        <v>0</v>
      </c>
      <c r="T33" s="141">
        <v>0</v>
      </c>
      <c r="U33" s="141">
        <v>0</v>
      </c>
      <c r="V33" s="144">
        <v>0</v>
      </c>
    </row>
    <row r="34" spans="1:38">
      <c r="B34" s="745"/>
      <c r="D34" s="301"/>
      <c r="E34" s="301" t="s">
        <v>62</v>
      </c>
      <c r="F34" s="301"/>
      <c r="G34" s="301"/>
      <c r="H34" s="301"/>
      <c r="I34" s="1713" t="s">
        <v>498</v>
      </c>
      <c r="J34" s="143">
        <v>0</v>
      </c>
      <c r="K34" s="141">
        <v>0</v>
      </c>
      <c r="L34" s="141">
        <v>0</v>
      </c>
      <c r="M34" s="141">
        <v>0</v>
      </c>
      <c r="N34" s="141">
        <v>0</v>
      </c>
      <c r="O34" s="141">
        <v>0</v>
      </c>
      <c r="P34" s="141">
        <v>0</v>
      </c>
      <c r="Q34" s="144">
        <v>0</v>
      </c>
      <c r="R34" s="143">
        <v>0</v>
      </c>
      <c r="S34" s="141">
        <v>0</v>
      </c>
      <c r="T34" s="141">
        <v>0</v>
      </c>
      <c r="U34" s="141">
        <v>0</v>
      </c>
      <c r="V34" s="144">
        <v>0</v>
      </c>
    </row>
    <row r="35" spans="1:38">
      <c r="B35" s="745"/>
      <c r="D35" s="301"/>
      <c r="E35" s="301" t="s">
        <v>71</v>
      </c>
      <c r="F35" s="301"/>
      <c r="G35" s="301"/>
      <c r="H35" s="301"/>
      <c r="I35" s="1713" t="s">
        <v>498</v>
      </c>
      <c r="J35" s="143">
        <v>0</v>
      </c>
      <c r="K35" s="141">
        <v>0</v>
      </c>
      <c r="L35" s="141">
        <v>0</v>
      </c>
      <c r="M35" s="141">
        <v>0</v>
      </c>
      <c r="N35" s="141">
        <v>0</v>
      </c>
      <c r="O35" s="141">
        <v>0</v>
      </c>
      <c r="P35" s="141">
        <v>0</v>
      </c>
      <c r="Q35" s="144">
        <v>0</v>
      </c>
      <c r="R35" s="143">
        <v>0</v>
      </c>
      <c r="S35" s="141">
        <v>0</v>
      </c>
      <c r="T35" s="141">
        <v>0</v>
      </c>
      <c r="U35" s="141">
        <v>0</v>
      </c>
      <c r="V35" s="144">
        <v>0</v>
      </c>
    </row>
    <row r="36" spans="1:38" ht="15">
      <c r="B36" s="745"/>
      <c r="D36" s="693" t="s">
        <v>2404</v>
      </c>
      <c r="E36" s="301"/>
      <c r="F36" s="301"/>
      <c r="G36" s="301"/>
      <c r="H36" s="301"/>
      <c r="I36" s="1714"/>
      <c r="J36" s="1716"/>
      <c r="K36" s="1717"/>
      <c r="L36" s="1717"/>
      <c r="M36" s="1717"/>
      <c r="N36" s="1717"/>
      <c r="O36" s="1717"/>
      <c r="P36" s="1717"/>
      <c r="Q36" s="1718"/>
      <c r="R36" s="1716"/>
      <c r="S36" s="1717"/>
      <c r="T36" s="1717"/>
      <c r="U36" s="1717"/>
      <c r="V36" s="1718"/>
    </row>
    <row r="37" spans="1:38">
      <c r="B37" s="745"/>
      <c r="D37" s="301"/>
      <c r="E37" s="301" t="s">
        <v>36</v>
      </c>
      <c r="F37" s="301"/>
      <c r="G37" s="301"/>
      <c r="H37" s="301"/>
      <c r="I37" s="1713" t="s">
        <v>498</v>
      </c>
      <c r="J37" s="143">
        <v>2.0257749281977326</v>
      </c>
      <c r="K37" s="141">
        <v>3.2010124675324665</v>
      </c>
      <c r="L37" s="141">
        <v>0</v>
      </c>
      <c r="M37" s="141">
        <v>0</v>
      </c>
      <c r="N37" s="141">
        <v>0</v>
      </c>
      <c r="O37" s="141">
        <v>0</v>
      </c>
      <c r="P37" s="141">
        <v>0</v>
      </c>
      <c r="Q37" s="144">
        <v>0</v>
      </c>
      <c r="R37" s="143">
        <v>0</v>
      </c>
      <c r="S37" s="141">
        <v>0</v>
      </c>
      <c r="T37" s="141">
        <v>0</v>
      </c>
      <c r="U37" s="141">
        <v>0</v>
      </c>
      <c r="V37" s="144">
        <v>0</v>
      </c>
    </row>
    <row r="38" spans="1:38">
      <c r="B38" s="745"/>
      <c r="D38" s="301"/>
      <c r="E38" s="301" t="s">
        <v>62</v>
      </c>
      <c r="F38" s="301"/>
      <c r="G38" s="301"/>
      <c r="H38" s="301"/>
      <c r="I38" s="1713" t="s">
        <v>498</v>
      </c>
      <c r="J38" s="143">
        <v>0</v>
      </c>
      <c r="K38" s="141">
        <v>0</v>
      </c>
      <c r="L38" s="141">
        <v>0</v>
      </c>
      <c r="M38" s="141">
        <v>0</v>
      </c>
      <c r="N38" s="141">
        <v>0</v>
      </c>
      <c r="O38" s="141">
        <v>0</v>
      </c>
      <c r="P38" s="141">
        <v>0</v>
      </c>
      <c r="Q38" s="144">
        <v>0</v>
      </c>
      <c r="R38" s="143">
        <v>0</v>
      </c>
      <c r="S38" s="141">
        <v>0</v>
      </c>
      <c r="T38" s="141">
        <v>0</v>
      </c>
      <c r="U38" s="141">
        <v>0</v>
      </c>
      <c r="V38" s="144">
        <v>0</v>
      </c>
    </row>
    <row r="39" spans="1:38">
      <c r="B39" s="745"/>
      <c r="D39" s="301"/>
      <c r="E39" s="301" t="s">
        <v>71</v>
      </c>
      <c r="F39" s="301"/>
      <c r="G39" s="301"/>
      <c r="H39" s="301"/>
      <c r="I39" s="1713" t="s">
        <v>498</v>
      </c>
      <c r="J39" s="143">
        <v>0</v>
      </c>
      <c r="K39" s="141">
        <v>0</v>
      </c>
      <c r="L39" s="141">
        <v>0</v>
      </c>
      <c r="M39" s="141">
        <v>0</v>
      </c>
      <c r="N39" s="141">
        <v>0</v>
      </c>
      <c r="O39" s="141">
        <v>0</v>
      </c>
      <c r="P39" s="141">
        <v>0</v>
      </c>
      <c r="Q39" s="144">
        <v>0</v>
      </c>
      <c r="R39" s="143">
        <v>0</v>
      </c>
      <c r="S39" s="141">
        <v>0</v>
      </c>
      <c r="T39" s="141">
        <v>0</v>
      </c>
      <c r="U39" s="141">
        <v>0</v>
      </c>
      <c r="V39" s="144">
        <v>0</v>
      </c>
    </row>
    <row r="40" spans="1:38" ht="15">
      <c r="B40" s="745"/>
      <c r="D40" s="693" t="s">
        <v>2405</v>
      </c>
      <c r="E40" s="301"/>
      <c r="F40" s="301"/>
      <c r="G40" s="301"/>
      <c r="H40" s="301"/>
      <c r="I40" s="1714"/>
      <c r="J40" s="1716"/>
      <c r="K40" s="1717"/>
      <c r="L40" s="1717"/>
      <c r="M40" s="1717"/>
      <c r="N40" s="1717"/>
      <c r="O40" s="1717"/>
      <c r="P40" s="1717"/>
      <c r="Q40" s="1718"/>
      <c r="R40" s="1716"/>
      <c r="S40" s="1717"/>
      <c r="T40" s="1717"/>
      <c r="U40" s="1717"/>
      <c r="V40" s="1718"/>
    </row>
    <row r="41" spans="1:38">
      <c r="B41" s="745"/>
      <c r="D41" s="301"/>
      <c r="E41" s="301" t="s">
        <v>36</v>
      </c>
      <c r="F41" s="301"/>
      <c r="G41" s="301"/>
      <c r="H41" s="301"/>
      <c r="I41" s="1713" t="s">
        <v>498</v>
      </c>
      <c r="J41" s="641">
        <f>J33-J37</f>
        <v>0.11254305156654043</v>
      </c>
      <c r="K41" s="642">
        <f t="shared" ref="K41:V41" si="4">K33-K37</f>
        <v>0</v>
      </c>
      <c r="L41" s="642">
        <f t="shared" si="4"/>
        <v>0</v>
      </c>
      <c r="M41" s="642">
        <f t="shared" si="4"/>
        <v>0</v>
      </c>
      <c r="N41" s="642">
        <f t="shared" si="4"/>
        <v>0</v>
      </c>
      <c r="O41" s="642">
        <f t="shared" si="4"/>
        <v>0</v>
      </c>
      <c r="P41" s="642">
        <f t="shared" si="4"/>
        <v>0</v>
      </c>
      <c r="Q41" s="643">
        <f t="shared" si="4"/>
        <v>0</v>
      </c>
      <c r="R41" s="641">
        <f t="shared" si="4"/>
        <v>0</v>
      </c>
      <c r="S41" s="642">
        <f t="shared" si="4"/>
        <v>0</v>
      </c>
      <c r="T41" s="642">
        <f t="shared" si="4"/>
        <v>0</v>
      </c>
      <c r="U41" s="642">
        <f t="shared" si="4"/>
        <v>0</v>
      </c>
      <c r="V41" s="643">
        <f t="shared" si="4"/>
        <v>0</v>
      </c>
    </row>
    <row r="42" spans="1:38">
      <c r="B42" s="745"/>
      <c r="D42" s="301"/>
      <c r="E42" s="301" t="s">
        <v>62</v>
      </c>
      <c r="F42" s="301"/>
      <c r="G42" s="301"/>
      <c r="H42" s="301"/>
      <c r="I42" s="1713" t="s">
        <v>498</v>
      </c>
      <c r="J42" s="641">
        <f t="shared" ref="J42:V42" si="5">J34-J38</f>
        <v>0</v>
      </c>
      <c r="K42" s="642">
        <f t="shared" si="5"/>
        <v>0</v>
      </c>
      <c r="L42" s="642">
        <f t="shared" si="5"/>
        <v>0</v>
      </c>
      <c r="M42" s="642">
        <f t="shared" si="5"/>
        <v>0</v>
      </c>
      <c r="N42" s="642">
        <f t="shared" si="5"/>
        <v>0</v>
      </c>
      <c r="O42" s="642">
        <f t="shared" si="5"/>
        <v>0</v>
      </c>
      <c r="P42" s="642">
        <f t="shared" si="5"/>
        <v>0</v>
      </c>
      <c r="Q42" s="643">
        <f t="shared" si="5"/>
        <v>0</v>
      </c>
      <c r="R42" s="641">
        <f t="shared" si="5"/>
        <v>0</v>
      </c>
      <c r="S42" s="642">
        <f t="shared" si="5"/>
        <v>0</v>
      </c>
      <c r="T42" s="642">
        <f t="shared" si="5"/>
        <v>0</v>
      </c>
      <c r="U42" s="642">
        <f t="shared" si="5"/>
        <v>0</v>
      </c>
      <c r="V42" s="643">
        <f t="shared" si="5"/>
        <v>0</v>
      </c>
    </row>
    <row r="43" spans="1:38" ht="15" thickBot="1">
      <c r="B43" s="1712"/>
      <c r="C43" s="307"/>
      <c r="D43" s="307"/>
      <c r="E43" s="307" t="s">
        <v>71</v>
      </c>
      <c r="F43" s="307"/>
      <c r="G43" s="307"/>
      <c r="H43" s="307"/>
      <c r="I43" s="1715" t="s">
        <v>498</v>
      </c>
      <c r="J43" s="1092">
        <f t="shared" ref="J43:V43" si="6">J35-J39</f>
        <v>0</v>
      </c>
      <c r="K43" s="1093">
        <f t="shared" si="6"/>
        <v>0</v>
      </c>
      <c r="L43" s="1093">
        <f t="shared" si="6"/>
        <v>0</v>
      </c>
      <c r="M43" s="1093">
        <f t="shared" si="6"/>
        <v>0</v>
      </c>
      <c r="N43" s="1093">
        <f t="shared" si="6"/>
        <v>0</v>
      </c>
      <c r="O43" s="1093">
        <f t="shared" si="6"/>
        <v>0</v>
      </c>
      <c r="P43" s="1093">
        <f t="shared" si="6"/>
        <v>0</v>
      </c>
      <c r="Q43" s="1094">
        <f t="shared" si="6"/>
        <v>0</v>
      </c>
      <c r="R43" s="1092">
        <f t="shared" si="6"/>
        <v>0</v>
      </c>
      <c r="S43" s="1093">
        <f t="shared" si="6"/>
        <v>0</v>
      </c>
      <c r="T43" s="1093">
        <f t="shared" si="6"/>
        <v>0</v>
      </c>
      <c r="U43" s="1093">
        <f t="shared" si="6"/>
        <v>0</v>
      </c>
      <c r="V43" s="1094">
        <f t="shared" si="6"/>
        <v>0</v>
      </c>
    </row>
    <row r="44" spans="1:38" ht="15" thickBot="1"/>
    <row r="45" spans="1:38" ht="30" customHeight="1" thickBot="1">
      <c r="A45" s="258"/>
      <c r="B45" s="1709" t="s">
        <v>2409</v>
      </c>
      <c r="C45" s="738"/>
      <c r="D45" s="738"/>
      <c r="E45" s="738"/>
      <c r="F45" s="738"/>
      <c r="G45" s="262"/>
      <c r="H45" s="294"/>
      <c r="I45" s="105" t="s">
        <v>1864</v>
      </c>
      <c r="J45" s="106"/>
      <c r="K45" s="106"/>
      <c r="L45" s="106"/>
      <c r="M45" s="106"/>
      <c r="N45" s="106"/>
      <c r="O45" s="106"/>
      <c r="P45" s="106"/>
      <c r="Q45" s="106"/>
      <c r="R45" s="105"/>
      <c r="S45" s="105"/>
      <c r="T45" s="105"/>
      <c r="U45" s="105"/>
      <c r="V45" s="187"/>
      <c r="W45" s="259"/>
      <c r="X45" s="89"/>
      <c r="Y45" s="260"/>
      <c r="Z45" s="259"/>
      <c r="AA45" s="259"/>
      <c r="AB45" s="259"/>
      <c r="AC45" s="259"/>
      <c r="AD45" s="259"/>
      <c r="AE45" s="259"/>
      <c r="AF45" s="259"/>
      <c r="AG45" s="259"/>
      <c r="AH45" s="259"/>
      <c r="AI45" s="259"/>
      <c r="AJ45" s="259"/>
      <c r="AK45" s="259"/>
      <c r="AL45" s="259"/>
    </row>
    <row r="46" spans="1:38" ht="30" customHeight="1">
      <c r="B46" s="263"/>
      <c r="C46" s="264"/>
      <c r="D46" s="264"/>
      <c r="E46" s="264"/>
      <c r="F46" s="264"/>
      <c r="G46" s="264"/>
      <c r="H46" s="259"/>
      <c r="I46" s="265"/>
      <c r="J46" s="266" t="s">
        <v>1666</v>
      </c>
      <c r="K46" s="267"/>
      <c r="L46" s="267"/>
      <c r="M46" s="267"/>
      <c r="N46" s="267"/>
      <c r="O46" s="267"/>
      <c r="P46" s="267"/>
      <c r="Q46" s="268"/>
      <c r="R46" s="269" t="s">
        <v>2</v>
      </c>
      <c r="S46" s="270"/>
      <c r="T46" s="270"/>
      <c r="U46" s="270"/>
      <c r="V46" s="271"/>
      <c r="X46" s="98"/>
    </row>
    <row r="47" spans="1:38" ht="15">
      <c r="B47" s="276"/>
      <c r="C47" s="739"/>
      <c r="D47" s="739"/>
      <c r="E47" s="739"/>
      <c r="F47" s="739"/>
      <c r="G47" s="264"/>
      <c r="H47" s="259"/>
      <c r="I47" s="272" t="s">
        <v>1745</v>
      </c>
      <c r="J47" s="158" t="s">
        <v>453</v>
      </c>
      <c r="K47" s="137" t="s">
        <v>455</v>
      </c>
      <c r="L47" s="137" t="s">
        <v>457</v>
      </c>
      <c r="M47" s="137" t="s">
        <v>459</v>
      </c>
      <c r="N47" s="137" t="s">
        <v>461</v>
      </c>
      <c r="O47" s="137" t="s">
        <v>463</v>
      </c>
      <c r="P47" s="137" t="s">
        <v>465</v>
      </c>
      <c r="Q47" s="138" t="s">
        <v>467</v>
      </c>
      <c r="R47" s="120" t="s">
        <v>469</v>
      </c>
      <c r="S47" s="121" t="s">
        <v>471</v>
      </c>
      <c r="T47" s="121" t="s">
        <v>473</v>
      </c>
      <c r="U47" s="121" t="s">
        <v>475</v>
      </c>
      <c r="V47" s="122" t="s">
        <v>477</v>
      </c>
    </row>
    <row r="48" spans="1:38" ht="15">
      <c r="B48" s="745"/>
      <c r="C48" s="693" t="s">
        <v>2399</v>
      </c>
      <c r="D48" s="301"/>
      <c r="E48" s="301"/>
      <c r="F48" s="301"/>
      <c r="G48" s="1710"/>
      <c r="H48" s="301"/>
      <c r="I48" s="301"/>
      <c r="J48" s="745"/>
      <c r="K48" s="301"/>
      <c r="L48" s="301"/>
      <c r="M48" s="301"/>
      <c r="N48" s="301"/>
      <c r="O48" s="301"/>
      <c r="P48" s="301"/>
      <c r="Q48" s="1711"/>
      <c r="R48" s="745"/>
      <c r="S48" s="301"/>
      <c r="T48" s="301"/>
      <c r="U48" s="301"/>
      <c r="V48" s="1711"/>
    </row>
    <row r="49" spans="1:38" ht="15">
      <c r="B49" s="745"/>
      <c r="C49" s="693" t="s">
        <v>2401</v>
      </c>
      <c r="D49" s="301"/>
      <c r="E49" s="301"/>
      <c r="F49" s="301"/>
      <c r="G49" s="1710"/>
      <c r="H49" s="301"/>
      <c r="I49" s="301"/>
      <c r="J49" s="745"/>
      <c r="K49" s="301"/>
      <c r="L49" s="301"/>
      <c r="M49" s="301"/>
      <c r="N49" s="301"/>
      <c r="O49" s="301"/>
      <c r="P49" s="301"/>
      <c r="Q49" s="1711"/>
      <c r="R49" s="745"/>
      <c r="S49" s="301"/>
      <c r="T49" s="301"/>
      <c r="U49" s="301"/>
      <c r="V49" s="1711"/>
    </row>
    <row r="50" spans="1:38">
      <c r="B50" s="745"/>
      <c r="C50" s="301"/>
      <c r="D50" s="301"/>
      <c r="E50" s="301"/>
      <c r="F50" s="301"/>
      <c r="G50" s="301"/>
      <c r="H50" s="301"/>
      <c r="I50" s="301"/>
      <c r="J50" s="745"/>
      <c r="K50" s="301"/>
      <c r="L50" s="301"/>
      <c r="M50" s="301"/>
      <c r="N50" s="301"/>
      <c r="O50" s="301"/>
      <c r="P50" s="301"/>
      <c r="Q50" s="1711"/>
      <c r="R50" s="745"/>
      <c r="S50" s="301"/>
      <c r="T50" s="301"/>
      <c r="U50" s="301"/>
      <c r="V50" s="1711"/>
    </row>
    <row r="51" spans="1:38" ht="15">
      <c r="B51" s="745"/>
      <c r="D51" s="693" t="s">
        <v>2403</v>
      </c>
      <c r="E51" s="301"/>
      <c r="F51" s="301"/>
      <c r="G51" s="301"/>
      <c r="H51" s="301"/>
      <c r="I51" s="301"/>
      <c r="J51" s="745"/>
      <c r="K51" s="301"/>
      <c r="L51" s="301"/>
      <c r="M51" s="301"/>
      <c r="N51" s="301"/>
      <c r="O51" s="301"/>
      <c r="P51" s="301"/>
      <c r="Q51" s="1711"/>
      <c r="R51" s="745"/>
      <c r="S51" s="301"/>
      <c r="T51" s="301"/>
      <c r="U51" s="301"/>
      <c r="V51" s="1711"/>
    </row>
    <row r="52" spans="1:38">
      <c r="B52" s="745"/>
      <c r="D52" s="301"/>
      <c r="E52" s="301" t="s">
        <v>36</v>
      </c>
      <c r="F52" s="301"/>
      <c r="G52" s="301"/>
      <c r="H52" s="301"/>
      <c r="I52" s="164" t="s">
        <v>498</v>
      </c>
      <c r="J52" s="143">
        <v>0</v>
      </c>
      <c r="K52" s="141">
        <v>0</v>
      </c>
      <c r="L52" s="141">
        <v>0</v>
      </c>
      <c r="M52" s="141">
        <v>0</v>
      </c>
      <c r="N52" s="141">
        <v>0</v>
      </c>
      <c r="O52" s="141">
        <v>0</v>
      </c>
      <c r="P52" s="141">
        <v>0</v>
      </c>
      <c r="Q52" s="144">
        <v>0</v>
      </c>
      <c r="R52" s="143">
        <v>0</v>
      </c>
      <c r="S52" s="141">
        <v>0</v>
      </c>
      <c r="T52" s="141">
        <v>0</v>
      </c>
      <c r="U52" s="141">
        <v>0</v>
      </c>
      <c r="V52" s="144">
        <v>0</v>
      </c>
    </row>
    <row r="53" spans="1:38">
      <c r="B53" s="745"/>
      <c r="D53" s="301"/>
      <c r="E53" s="301" t="s">
        <v>62</v>
      </c>
      <c r="F53" s="301"/>
      <c r="G53" s="301"/>
      <c r="H53" s="301"/>
      <c r="I53" s="1713" t="s">
        <v>498</v>
      </c>
      <c r="J53" s="143">
        <v>0</v>
      </c>
      <c r="K53" s="141">
        <v>0</v>
      </c>
      <c r="L53" s="141">
        <v>0</v>
      </c>
      <c r="M53" s="141">
        <v>0</v>
      </c>
      <c r="N53" s="141">
        <v>0</v>
      </c>
      <c r="O53" s="141">
        <v>0</v>
      </c>
      <c r="P53" s="141">
        <v>0</v>
      </c>
      <c r="Q53" s="144">
        <v>0</v>
      </c>
      <c r="R53" s="143">
        <v>0</v>
      </c>
      <c r="S53" s="141">
        <v>0</v>
      </c>
      <c r="T53" s="141">
        <v>0</v>
      </c>
      <c r="U53" s="141">
        <v>0</v>
      </c>
      <c r="V53" s="144">
        <v>0</v>
      </c>
    </row>
    <row r="54" spans="1:38">
      <c r="B54" s="745"/>
      <c r="D54" s="301"/>
      <c r="E54" s="301" t="s">
        <v>71</v>
      </c>
      <c r="F54" s="301"/>
      <c r="G54" s="301"/>
      <c r="H54" s="301"/>
      <c r="I54" s="1713" t="s">
        <v>498</v>
      </c>
      <c r="J54" s="143">
        <v>0</v>
      </c>
      <c r="K54" s="141">
        <v>0</v>
      </c>
      <c r="L54" s="141">
        <v>0</v>
      </c>
      <c r="M54" s="141">
        <v>0</v>
      </c>
      <c r="N54" s="141">
        <v>0</v>
      </c>
      <c r="O54" s="141">
        <v>0</v>
      </c>
      <c r="P54" s="141">
        <v>0</v>
      </c>
      <c r="Q54" s="144">
        <v>0</v>
      </c>
      <c r="R54" s="143">
        <v>0</v>
      </c>
      <c r="S54" s="141">
        <v>0</v>
      </c>
      <c r="T54" s="141">
        <v>0</v>
      </c>
      <c r="U54" s="141">
        <v>0</v>
      </c>
      <c r="V54" s="144">
        <v>0</v>
      </c>
    </row>
    <row r="55" spans="1:38" ht="15">
      <c r="B55" s="745"/>
      <c r="D55" s="693" t="s">
        <v>2404</v>
      </c>
      <c r="E55" s="301"/>
      <c r="F55" s="301"/>
      <c r="G55" s="301"/>
      <c r="H55" s="301"/>
      <c r="I55" s="1714"/>
      <c r="J55" s="1716"/>
      <c r="K55" s="1717"/>
      <c r="L55" s="1717"/>
      <c r="M55" s="1717"/>
      <c r="N55" s="1717"/>
      <c r="O55" s="1717"/>
      <c r="P55" s="1717"/>
      <c r="Q55" s="1718"/>
      <c r="R55" s="1716"/>
      <c r="S55" s="1717"/>
      <c r="T55" s="1717"/>
      <c r="U55" s="1717"/>
      <c r="V55" s="1718"/>
    </row>
    <row r="56" spans="1:38">
      <c r="B56" s="745"/>
      <c r="D56" s="301"/>
      <c r="E56" s="301" t="s">
        <v>36</v>
      </c>
      <c r="F56" s="301"/>
      <c r="G56" s="301"/>
      <c r="H56" s="301"/>
      <c r="I56" s="1713" t="s">
        <v>498</v>
      </c>
      <c r="J56" s="143">
        <v>0</v>
      </c>
      <c r="K56" s="141">
        <v>0</v>
      </c>
      <c r="L56" s="141">
        <v>0</v>
      </c>
      <c r="M56" s="141">
        <v>0</v>
      </c>
      <c r="N56" s="141">
        <v>0</v>
      </c>
      <c r="O56" s="141">
        <v>0</v>
      </c>
      <c r="P56" s="141">
        <v>0</v>
      </c>
      <c r="Q56" s="144">
        <v>0</v>
      </c>
      <c r="R56" s="143">
        <v>0</v>
      </c>
      <c r="S56" s="141">
        <v>0</v>
      </c>
      <c r="T56" s="141">
        <v>0</v>
      </c>
      <c r="U56" s="141">
        <v>0</v>
      </c>
      <c r="V56" s="144">
        <v>0</v>
      </c>
    </row>
    <row r="57" spans="1:38">
      <c r="B57" s="745"/>
      <c r="D57" s="301"/>
      <c r="E57" s="301" t="s">
        <v>62</v>
      </c>
      <c r="F57" s="301"/>
      <c r="G57" s="301"/>
      <c r="H57" s="301"/>
      <c r="I57" s="1713" t="s">
        <v>498</v>
      </c>
      <c r="J57" s="143">
        <v>0</v>
      </c>
      <c r="K57" s="141">
        <v>0</v>
      </c>
      <c r="L57" s="141">
        <v>0</v>
      </c>
      <c r="M57" s="141">
        <v>0</v>
      </c>
      <c r="N57" s="141">
        <v>0</v>
      </c>
      <c r="O57" s="141">
        <v>0</v>
      </c>
      <c r="P57" s="141">
        <v>0</v>
      </c>
      <c r="Q57" s="144">
        <v>0</v>
      </c>
      <c r="R57" s="143">
        <v>0</v>
      </c>
      <c r="S57" s="141">
        <v>0</v>
      </c>
      <c r="T57" s="141">
        <v>0</v>
      </c>
      <c r="U57" s="141">
        <v>0</v>
      </c>
      <c r="V57" s="144">
        <v>0</v>
      </c>
    </row>
    <row r="58" spans="1:38">
      <c r="B58" s="745"/>
      <c r="D58" s="301"/>
      <c r="E58" s="301" t="s">
        <v>71</v>
      </c>
      <c r="F58" s="301"/>
      <c r="G58" s="301"/>
      <c r="H58" s="301"/>
      <c r="I58" s="1713" t="s">
        <v>498</v>
      </c>
      <c r="J58" s="143">
        <v>0</v>
      </c>
      <c r="K58" s="141">
        <v>0</v>
      </c>
      <c r="L58" s="141">
        <v>0</v>
      </c>
      <c r="M58" s="141">
        <v>0</v>
      </c>
      <c r="N58" s="141">
        <v>0</v>
      </c>
      <c r="O58" s="141">
        <v>0</v>
      </c>
      <c r="P58" s="141">
        <v>0</v>
      </c>
      <c r="Q58" s="144">
        <v>0</v>
      </c>
      <c r="R58" s="143">
        <v>0</v>
      </c>
      <c r="S58" s="141">
        <v>0</v>
      </c>
      <c r="T58" s="141">
        <v>0</v>
      </c>
      <c r="U58" s="141">
        <v>0</v>
      </c>
      <c r="V58" s="144">
        <v>0</v>
      </c>
    </row>
    <row r="59" spans="1:38" ht="15">
      <c r="B59" s="745"/>
      <c r="D59" s="693" t="s">
        <v>2405</v>
      </c>
      <c r="E59" s="301"/>
      <c r="F59" s="301"/>
      <c r="G59" s="301"/>
      <c r="H59" s="301"/>
      <c r="I59" s="1714"/>
      <c r="J59" s="1716"/>
      <c r="K59" s="1717"/>
      <c r="L59" s="1717"/>
      <c r="M59" s="1717"/>
      <c r="N59" s="1717"/>
      <c r="O59" s="1717"/>
      <c r="P59" s="1717"/>
      <c r="Q59" s="1718"/>
      <c r="R59" s="1716"/>
      <c r="S59" s="1717"/>
      <c r="T59" s="1717"/>
      <c r="U59" s="1717"/>
      <c r="V59" s="1718"/>
    </row>
    <row r="60" spans="1:38">
      <c r="B60" s="745"/>
      <c r="D60" s="301"/>
      <c r="E60" s="301" t="s">
        <v>36</v>
      </c>
      <c r="F60" s="301"/>
      <c r="G60" s="301"/>
      <c r="H60" s="301"/>
      <c r="I60" s="1713" t="s">
        <v>498</v>
      </c>
      <c r="J60" s="641">
        <f>J52-J56</f>
        <v>0</v>
      </c>
      <c r="K60" s="642">
        <f t="shared" ref="K60:V60" si="7">K52-K56</f>
        <v>0</v>
      </c>
      <c r="L60" s="642">
        <f t="shared" si="7"/>
        <v>0</v>
      </c>
      <c r="M60" s="642">
        <f t="shared" si="7"/>
        <v>0</v>
      </c>
      <c r="N60" s="642">
        <f t="shared" si="7"/>
        <v>0</v>
      </c>
      <c r="O60" s="642">
        <f t="shared" si="7"/>
        <v>0</v>
      </c>
      <c r="P60" s="642">
        <f t="shared" si="7"/>
        <v>0</v>
      </c>
      <c r="Q60" s="643">
        <f t="shared" si="7"/>
        <v>0</v>
      </c>
      <c r="R60" s="641">
        <f t="shared" si="7"/>
        <v>0</v>
      </c>
      <c r="S60" s="642">
        <f t="shared" si="7"/>
        <v>0</v>
      </c>
      <c r="T60" s="642">
        <f t="shared" si="7"/>
        <v>0</v>
      </c>
      <c r="U60" s="642">
        <f t="shared" si="7"/>
        <v>0</v>
      </c>
      <c r="V60" s="643">
        <f t="shared" si="7"/>
        <v>0</v>
      </c>
    </row>
    <row r="61" spans="1:38">
      <c r="B61" s="745"/>
      <c r="D61" s="301"/>
      <c r="E61" s="301" t="s">
        <v>62</v>
      </c>
      <c r="F61" s="301"/>
      <c r="G61" s="301"/>
      <c r="H61" s="301"/>
      <c r="I61" s="1713" t="s">
        <v>498</v>
      </c>
      <c r="J61" s="641">
        <f t="shared" ref="J61:V61" si="8">J53-J57</f>
        <v>0</v>
      </c>
      <c r="K61" s="642">
        <f t="shared" si="8"/>
        <v>0</v>
      </c>
      <c r="L61" s="642">
        <f t="shared" si="8"/>
        <v>0</v>
      </c>
      <c r="M61" s="642">
        <f t="shared" si="8"/>
        <v>0</v>
      </c>
      <c r="N61" s="642">
        <f t="shared" si="8"/>
        <v>0</v>
      </c>
      <c r="O61" s="642">
        <f t="shared" si="8"/>
        <v>0</v>
      </c>
      <c r="P61" s="642">
        <f t="shared" si="8"/>
        <v>0</v>
      </c>
      <c r="Q61" s="643">
        <f t="shared" si="8"/>
        <v>0</v>
      </c>
      <c r="R61" s="641">
        <f t="shared" si="8"/>
        <v>0</v>
      </c>
      <c r="S61" s="642">
        <f t="shared" si="8"/>
        <v>0</v>
      </c>
      <c r="T61" s="642">
        <f t="shared" si="8"/>
        <v>0</v>
      </c>
      <c r="U61" s="642">
        <f t="shared" si="8"/>
        <v>0</v>
      </c>
      <c r="V61" s="643">
        <f t="shared" si="8"/>
        <v>0</v>
      </c>
    </row>
    <row r="62" spans="1:38" ht="15" thickBot="1">
      <c r="B62" s="1712"/>
      <c r="C62" s="307"/>
      <c r="D62" s="307"/>
      <c r="E62" s="307" t="s">
        <v>71</v>
      </c>
      <c r="F62" s="307"/>
      <c r="G62" s="307"/>
      <c r="H62" s="307"/>
      <c r="I62" s="1715" t="s">
        <v>498</v>
      </c>
      <c r="J62" s="1092">
        <f t="shared" ref="J62:V62" si="9">J54-J58</f>
        <v>0</v>
      </c>
      <c r="K62" s="1093">
        <f t="shared" si="9"/>
        <v>0</v>
      </c>
      <c r="L62" s="1093">
        <f t="shared" si="9"/>
        <v>0</v>
      </c>
      <c r="M62" s="1093">
        <f t="shared" si="9"/>
        <v>0</v>
      </c>
      <c r="N62" s="1093">
        <f t="shared" si="9"/>
        <v>0</v>
      </c>
      <c r="O62" s="1093">
        <f t="shared" si="9"/>
        <v>0</v>
      </c>
      <c r="P62" s="1093">
        <f t="shared" si="9"/>
        <v>0</v>
      </c>
      <c r="Q62" s="1094">
        <f t="shared" si="9"/>
        <v>0</v>
      </c>
      <c r="R62" s="1092">
        <f t="shared" si="9"/>
        <v>0</v>
      </c>
      <c r="S62" s="1093">
        <f t="shared" si="9"/>
        <v>0</v>
      </c>
      <c r="T62" s="1093">
        <f t="shared" si="9"/>
        <v>0</v>
      </c>
      <c r="U62" s="1093">
        <f t="shared" si="9"/>
        <v>0</v>
      </c>
      <c r="V62" s="1094">
        <f t="shared" si="9"/>
        <v>0</v>
      </c>
    </row>
    <row r="63" spans="1:38" ht="15" thickBot="1"/>
    <row r="64" spans="1:38" ht="30" customHeight="1" thickBot="1">
      <c r="A64" s="258"/>
      <c r="B64" s="1709" t="s">
        <v>2410</v>
      </c>
      <c r="C64" s="738"/>
      <c r="D64" s="738"/>
      <c r="E64" s="738"/>
      <c r="F64" s="738"/>
      <c r="G64" s="262"/>
      <c r="H64" s="294"/>
      <c r="I64" s="105" t="s">
        <v>1864</v>
      </c>
      <c r="J64" s="106"/>
      <c r="K64" s="106"/>
      <c r="L64" s="106"/>
      <c r="M64" s="106"/>
      <c r="N64" s="106"/>
      <c r="O64" s="106"/>
      <c r="P64" s="106"/>
      <c r="Q64" s="106"/>
      <c r="R64" s="105"/>
      <c r="S64" s="105"/>
      <c r="T64" s="105"/>
      <c r="U64" s="105"/>
      <c r="V64" s="187"/>
      <c r="W64" s="259"/>
      <c r="X64" s="89"/>
      <c r="Y64" s="260"/>
      <c r="Z64" s="259"/>
      <c r="AA64" s="259"/>
      <c r="AB64" s="259"/>
      <c r="AC64" s="259"/>
      <c r="AD64" s="259"/>
      <c r="AE64" s="259"/>
      <c r="AF64" s="259"/>
      <c r="AG64" s="259"/>
      <c r="AH64" s="259"/>
      <c r="AI64" s="259"/>
      <c r="AJ64" s="259"/>
      <c r="AK64" s="259"/>
      <c r="AL64" s="259"/>
    </row>
    <row r="65" spans="2:24" ht="30" customHeight="1">
      <c r="B65" s="263"/>
      <c r="C65" s="264"/>
      <c r="D65" s="264"/>
      <c r="E65" s="264"/>
      <c r="F65" s="264"/>
      <c r="G65" s="264"/>
      <c r="H65" s="259"/>
      <c r="I65" s="265"/>
      <c r="J65" s="266" t="s">
        <v>1666</v>
      </c>
      <c r="K65" s="267"/>
      <c r="L65" s="267"/>
      <c r="M65" s="267"/>
      <c r="N65" s="267"/>
      <c r="O65" s="267"/>
      <c r="P65" s="267"/>
      <c r="Q65" s="268"/>
      <c r="R65" s="269" t="s">
        <v>2</v>
      </c>
      <c r="S65" s="270"/>
      <c r="T65" s="270"/>
      <c r="U65" s="270"/>
      <c r="V65" s="271"/>
      <c r="X65" s="98"/>
    </row>
    <row r="66" spans="2:24" ht="15">
      <c r="B66" s="276"/>
      <c r="C66" s="739"/>
      <c r="D66" s="739"/>
      <c r="E66" s="739"/>
      <c r="F66" s="739"/>
      <c r="G66" s="264"/>
      <c r="H66" s="259"/>
      <c r="I66" s="272" t="s">
        <v>1745</v>
      </c>
      <c r="J66" s="158" t="s">
        <v>453</v>
      </c>
      <c r="K66" s="137" t="s">
        <v>455</v>
      </c>
      <c r="L66" s="137" t="s">
        <v>457</v>
      </c>
      <c r="M66" s="137" t="s">
        <v>459</v>
      </c>
      <c r="N66" s="137" t="s">
        <v>461</v>
      </c>
      <c r="O66" s="137" t="s">
        <v>463</v>
      </c>
      <c r="P66" s="137" t="s">
        <v>465</v>
      </c>
      <c r="Q66" s="138" t="s">
        <v>467</v>
      </c>
      <c r="R66" s="120" t="s">
        <v>469</v>
      </c>
      <c r="S66" s="121" t="s">
        <v>471</v>
      </c>
      <c r="T66" s="121" t="s">
        <v>473</v>
      </c>
      <c r="U66" s="121" t="s">
        <v>475</v>
      </c>
      <c r="V66" s="122" t="s">
        <v>477</v>
      </c>
    </row>
    <row r="67" spans="2:24" ht="15">
      <c r="B67" s="745"/>
      <c r="C67" s="693" t="s">
        <v>2399</v>
      </c>
      <c r="D67" s="301"/>
      <c r="E67" s="301"/>
      <c r="F67" s="301"/>
      <c r="G67" s="1710"/>
      <c r="H67" s="301"/>
      <c r="I67" s="301"/>
      <c r="J67" s="745"/>
      <c r="K67" s="301"/>
      <c r="L67" s="301"/>
      <c r="M67" s="301"/>
      <c r="N67" s="301"/>
      <c r="O67" s="301"/>
      <c r="P67" s="301"/>
      <c r="Q67" s="1711"/>
      <c r="R67" s="745"/>
      <c r="S67" s="301"/>
      <c r="T67" s="301"/>
      <c r="U67" s="301"/>
      <c r="V67" s="1711"/>
    </row>
    <row r="68" spans="2:24" ht="15">
      <c r="B68" s="745"/>
      <c r="C68" s="693" t="s">
        <v>2401</v>
      </c>
      <c r="D68" s="301"/>
      <c r="E68" s="301"/>
      <c r="F68" s="301"/>
      <c r="G68" s="1710"/>
      <c r="H68" s="301"/>
      <c r="I68" s="301"/>
      <c r="J68" s="745"/>
      <c r="K68" s="301"/>
      <c r="L68" s="301"/>
      <c r="M68" s="301"/>
      <c r="N68" s="301"/>
      <c r="O68" s="301"/>
      <c r="P68" s="301"/>
      <c r="Q68" s="1711"/>
      <c r="R68" s="745"/>
      <c r="S68" s="301"/>
      <c r="T68" s="301"/>
      <c r="U68" s="301"/>
      <c r="V68" s="1711"/>
    </row>
    <row r="69" spans="2:24">
      <c r="B69" s="745"/>
      <c r="C69" s="301"/>
      <c r="D69" s="301"/>
      <c r="E69" s="301"/>
      <c r="F69" s="301"/>
      <c r="G69" s="301"/>
      <c r="H69" s="301"/>
      <c r="I69" s="301"/>
      <c r="J69" s="745"/>
      <c r="K69" s="301"/>
      <c r="L69" s="301"/>
      <c r="M69" s="301"/>
      <c r="N69" s="301"/>
      <c r="O69" s="301"/>
      <c r="P69" s="301"/>
      <c r="Q69" s="1711"/>
      <c r="R69" s="745"/>
      <c r="S69" s="301"/>
      <c r="T69" s="301"/>
      <c r="U69" s="301"/>
      <c r="V69" s="1711"/>
    </row>
    <row r="70" spans="2:24" ht="15">
      <c r="B70" s="745"/>
      <c r="D70" s="693" t="s">
        <v>2403</v>
      </c>
      <c r="E70" s="301"/>
      <c r="F70" s="301"/>
      <c r="G70" s="301"/>
      <c r="H70" s="301"/>
      <c r="I70" s="301"/>
      <c r="J70" s="745"/>
      <c r="K70" s="301"/>
      <c r="L70" s="301"/>
      <c r="M70" s="301"/>
      <c r="N70" s="301"/>
      <c r="O70" s="301"/>
      <c r="P70" s="301"/>
      <c r="Q70" s="1711"/>
      <c r="R70" s="745"/>
      <c r="S70" s="301"/>
      <c r="T70" s="301"/>
      <c r="U70" s="301"/>
      <c r="V70" s="1711"/>
    </row>
    <row r="71" spans="2:24">
      <c r="B71" s="745"/>
      <c r="D71" s="301"/>
      <c r="E71" s="301" t="s">
        <v>36</v>
      </c>
      <c r="F71" s="301"/>
      <c r="G71" s="301"/>
      <c r="H71" s="301"/>
      <c r="I71" s="164" t="s">
        <v>498</v>
      </c>
      <c r="J71" s="143">
        <v>0</v>
      </c>
      <c r="K71" s="141">
        <v>0</v>
      </c>
      <c r="L71" s="141">
        <v>0</v>
      </c>
      <c r="M71" s="141">
        <v>0</v>
      </c>
      <c r="N71" s="141">
        <v>0</v>
      </c>
      <c r="O71" s="141">
        <v>0</v>
      </c>
      <c r="P71" s="141">
        <v>0</v>
      </c>
      <c r="Q71" s="144">
        <v>0</v>
      </c>
      <c r="R71" s="143">
        <v>0</v>
      </c>
      <c r="S71" s="141">
        <v>0</v>
      </c>
      <c r="T71" s="141">
        <v>0</v>
      </c>
      <c r="U71" s="141">
        <v>0</v>
      </c>
      <c r="V71" s="144">
        <v>0</v>
      </c>
    </row>
    <row r="72" spans="2:24">
      <c r="B72" s="745"/>
      <c r="D72" s="301"/>
      <c r="E72" s="301" t="s">
        <v>62</v>
      </c>
      <c r="F72" s="301"/>
      <c r="G72" s="301"/>
      <c r="H72" s="301"/>
      <c r="I72" s="1713" t="s">
        <v>498</v>
      </c>
      <c r="J72" s="143">
        <v>0</v>
      </c>
      <c r="K72" s="141">
        <v>0</v>
      </c>
      <c r="L72" s="141">
        <v>0</v>
      </c>
      <c r="M72" s="141">
        <v>0</v>
      </c>
      <c r="N72" s="141">
        <v>0</v>
      </c>
      <c r="O72" s="141">
        <v>0</v>
      </c>
      <c r="P72" s="141">
        <v>0</v>
      </c>
      <c r="Q72" s="144">
        <v>0</v>
      </c>
      <c r="R72" s="143">
        <v>0</v>
      </c>
      <c r="S72" s="141">
        <v>0</v>
      </c>
      <c r="T72" s="141">
        <v>0</v>
      </c>
      <c r="U72" s="141">
        <v>0</v>
      </c>
      <c r="V72" s="144">
        <v>0</v>
      </c>
    </row>
    <row r="73" spans="2:24">
      <c r="B73" s="745"/>
      <c r="D73" s="301"/>
      <c r="E73" s="301" t="s">
        <v>71</v>
      </c>
      <c r="F73" s="301"/>
      <c r="G73" s="301"/>
      <c r="H73" s="301"/>
      <c r="I73" s="1713" t="s">
        <v>498</v>
      </c>
      <c r="J73" s="143">
        <v>0</v>
      </c>
      <c r="K73" s="141">
        <v>0</v>
      </c>
      <c r="L73" s="141">
        <v>0</v>
      </c>
      <c r="M73" s="141">
        <v>0</v>
      </c>
      <c r="N73" s="141">
        <v>0</v>
      </c>
      <c r="O73" s="141">
        <v>0</v>
      </c>
      <c r="P73" s="141">
        <v>0</v>
      </c>
      <c r="Q73" s="144">
        <v>0</v>
      </c>
      <c r="R73" s="143">
        <v>0</v>
      </c>
      <c r="S73" s="141">
        <v>0</v>
      </c>
      <c r="T73" s="141">
        <v>0</v>
      </c>
      <c r="U73" s="141">
        <v>0</v>
      </c>
      <c r="V73" s="144">
        <v>0</v>
      </c>
    </row>
    <row r="74" spans="2:24" ht="15">
      <c r="B74" s="745"/>
      <c r="D74" s="693" t="s">
        <v>2404</v>
      </c>
      <c r="E74" s="301"/>
      <c r="F74" s="301"/>
      <c r="G74" s="301"/>
      <c r="H74" s="301"/>
      <c r="I74" s="1714"/>
      <c r="J74" s="1716"/>
      <c r="K74" s="1717"/>
      <c r="L74" s="1717"/>
      <c r="M74" s="1717"/>
      <c r="N74" s="1717"/>
      <c r="O74" s="1717"/>
      <c r="P74" s="1717"/>
      <c r="Q74" s="1718"/>
      <c r="R74" s="1716"/>
      <c r="S74" s="1717"/>
      <c r="T74" s="1717"/>
      <c r="U74" s="1717"/>
      <c r="V74" s="1718"/>
    </row>
    <row r="75" spans="2:24">
      <c r="B75" s="745"/>
      <c r="D75" s="301"/>
      <c r="E75" s="301" t="s">
        <v>36</v>
      </c>
      <c r="F75" s="301"/>
      <c r="G75" s="301"/>
      <c r="H75" s="301"/>
      <c r="I75" s="1713" t="s">
        <v>498</v>
      </c>
      <c r="J75" s="143">
        <v>0</v>
      </c>
      <c r="K75" s="141">
        <v>0</v>
      </c>
      <c r="L75" s="141">
        <v>0</v>
      </c>
      <c r="M75" s="141">
        <v>0</v>
      </c>
      <c r="N75" s="141">
        <v>0</v>
      </c>
      <c r="O75" s="141">
        <v>0</v>
      </c>
      <c r="P75" s="141">
        <v>0</v>
      </c>
      <c r="Q75" s="144">
        <v>0</v>
      </c>
      <c r="R75" s="143">
        <v>0</v>
      </c>
      <c r="S75" s="141">
        <v>0</v>
      </c>
      <c r="T75" s="141">
        <v>0</v>
      </c>
      <c r="U75" s="141">
        <v>0</v>
      </c>
      <c r="V75" s="144">
        <v>0</v>
      </c>
    </row>
    <row r="76" spans="2:24">
      <c r="B76" s="745"/>
      <c r="D76" s="301"/>
      <c r="E76" s="301" t="s">
        <v>62</v>
      </c>
      <c r="F76" s="301"/>
      <c r="G76" s="301"/>
      <c r="H76" s="301"/>
      <c r="I76" s="1713" t="s">
        <v>498</v>
      </c>
      <c r="J76" s="143">
        <v>0</v>
      </c>
      <c r="K76" s="141">
        <v>0</v>
      </c>
      <c r="L76" s="141">
        <v>0</v>
      </c>
      <c r="M76" s="141">
        <v>0</v>
      </c>
      <c r="N76" s="141">
        <v>0</v>
      </c>
      <c r="O76" s="141">
        <v>0</v>
      </c>
      <c r="P76" s="141">
        <v>0</v>
      </c>
      <c r="Q76" s="144">
        <v>0</v>
      </c>
      <c r="R76" s="143">
        <v>0</v>
      </c>
      <c r="S76" s="141">
        <v>0</v>
      </c>
      <c r="T76" s="141">
        <v>0</v>
      </c>
      <c r="U76" s="141">
        <v>0</v>
      </c>
      <c r="V76" s="144">
        <v>0</v>
      </c>
    </row>
    <row r="77" spans="2:24">
      <c r="B77" s="745"/>
      <c r="D77" s="301"/>
      <c r="E77" s="301" t="s">
        <v>71</v>
      </c>
      <c r="F77" s="301"/>
      <c r="G77" s="301"/>
      <c r="H77" s="301"/>
      <c r="I77" s="1713" t="s">
        <v>498</v>
      </c>
      <c r="J77" s="143">
        <v>0</v>
      </c>
      <c r="K77" s="141">
        <v>0</v>
      </c>
      <c r="L77" s="141">
        <v>0</v>
      </c>
      <c r="M77" s="141">
        <v>0</v>
      </c>
      <c r="N77" s="141">
        <v>0</v>
      </c>
      <c r="O77" s="141">
        <v>0</v>
      </c>
      <c r="P77" s="141">
        <v>0</v>
      </c>
      <c r="Q77" s="144">
        <v>0</v>
      </c>
      <c r="R77" s="143">
        <v>0</v>
      </c>
      <c r="S77" s="141">
        <v>0</v>
      </c>
      <c r="T77" s="141">
        <v>0</v>
      </c>
      <c r="U77" s="141">
        <v>0</v>
      </c>
      <c r="V77" s="144">
        <v>0</v>
      </c>
    </row>
    <row r="78" spans="2:24" ht="15">
      <c r="B78" s="745"/>
      <c r="D78" s="693" t="s">
        <v>2405</v>
      </c>
      <c r="E78" s="301"/>
      <c r="F78" s="301"/>
      <c r="G78" s="301"/>
      <c r="H78" s="301"/>
      <c r="I78" s="1714"/>
      <c r="J78" s="1716"/>
      <c r="K78" s="1717"/>
      <c r="L78" s="1717"/>
      <c r="M78" s="1717"/>
      <c r="N78" s="1717"/>
      <c r="O78" s="1717"/>
      <c r="P78" s="1717"/>
      <c r="Q78" s="1718"/>
      <c r="R78" s="1716"/>
      <c r="S78" s="1717"/>
      <c r="T78" s="1717"/>
      <c r="U78" s="1717"/>
      <c r="V78" s="1718"/>
    </row>
    <row r="79" spans="2:24">
      <c r="B79" s="745"/>
      <c r="D79" s="301"/>
      <c r="E79" s="301" t="s">
        <v>36</v>
      </c>
      <c r="F79" s="301"/>
      <c r="G79" s="301"/>
      <c r="H79" s="301"/>
      <c r="I79" s="1713" t="s">
        <v>498</v>
      </c>
      <c r="J79" s="641">
        <f>J71-J75</f>
        <v>0</v>
      </c>
      <c r="K79" s="642">
        <f t="shared" ref="K79:V79" si="10">K71-K75</f>
        <v>0</v>
      </c>
      <c r="L79" s="642">
        <f t="shared" si="10"/>
        <v>0</v>
      </c>
      <c r="M79" s="642">
        <f t="shared" si="10"/>
        <v>0</v>
      </c>
      <c r="N79" s="642">
        <f t="shared" si="10"/>
        <v>0</v>
      </c>
      <c r="O79" s="642">
        <f t="shared" si="10"/>
        <v>0</v>
      </c>
      <c r="P79" s="642">
        <f t="shared" si="10"/>
        <v>0</v>
      </c>
      <c r="Q79" s="643">
        <f t="shared" si="10"/>
        <v>0</v>
      </c>
      <c r="R79" s="641">
        <f t="shared" si="10"/>
        <v>0</v>
      </c>
      <c r="S79" s="642">
        <f t="shared" si="10"/>
        <v>0</v>
      </c>
      <c r="T79" s="642">
        <f t="shared" si="10"/>
        <v>0</v>
      </c>
      <c r="U79" s="642">
        <f t="shared" si="10"/>
        <v>0</v>
      </c>
      <c r="V79" s="643">
        <f t="shared" si="10"/>
        <v>0</v>
      </c>
    </row>
    <row r="80" spans="2:24">
      <c r="B80" s="745"/>
      <c r="D80" s="301"/>
      <c r="E80" s="301" t="s">
        <v>62</v>
      </c>
      <c r="F80" s="301"/>
      <c r="G80" s="301"/>
      <c r="H80" s="301"/>
      <c r="I80" s="1713" t="s">
        <v>498</v>
      </c>
      <c r="J80" s="641">
        <f t="shared" ref="J80:V80" si="11">J72-J76</f>
        <v>0</v>
      </c>
      <c r="K80" s="642">
        <f t="shared" si="11"/>
        <v>0</v>
      </c>
      <c r="L80" s="642">
        <f t="shared" si="11"/>
        <v>0</v>
      </c>
      <c r="M80" s="642">
        <f t="shared" si="11"/>
        <v>0</v>
      </c>
      <c r="N80" s="642">
        <f t="shared" si="11"/>
        <v>0</v>
      </c>
      <c r="O80" s="642">
        <f t="shared" si="11"/>
        <v>0</v>
      </c>
      <c r="P80" s="642">
        <f t="shared" si="11"/>
        <v>0</v>
      </c>
      <c r="Q80" s="643">
        <f t="shared" si="11"/>
        <v>0</v>
      </c>
      <c r="R80" s="641">
        <f t="shared" si="11"/>
        <v>0</v>
      </c>
      <c r="S80" s="642">
        <f t="shared" si="11"/>
        <v>0</v>
      </c>
      <c r="T80" s="642">
        <f t="shared" si="11"/>
        <v>0</v>
      </c>
      <c r="U80" s="642">
        <f t="shared" si="11"/>
        <v>0</v>
      </c>
      <c r="V80" s="643">
        <f t="shared" si="11"/>
        <v>0</v>
      </c>
    </row>
    <row r="81" spans="1:38" ht="15" thickBot="1">
      <c r="B81" s="1712"/>
      <c r="C81" s="307"/>
      <c r="D81" s="307"/>
      <c r="E81" s="307" t="s">
        <v>71</v>
      </c>
      <c r="F81" s="307"/>
      <c r="G81" s="307"/>
      <c r="H81" s="307"/>
      <c r="I81" s="1715" t="s">
        <v>498</v>
      </c>
      <c r="J81" s="1092">
        <f t="shared" ref="J81:V81" si="12">J73-J77</f>
        <v>0</v>
      </c>
      <c r="K81" s="1093">
        <f t="shared" si="12"/>
        <v>0</v>
      </c>
      <c r="L81" s="1093">
        <f t="shared" si="12"/>
        <v>0</v>
      </c>
      <c r="M81" s="1093">
        <f t="shared" si="12"/>
        <v>0</v>
      </c>
      <c r="N81" s="1093">
        <f t="shared" si="12"/>
        <v>0</v>
      </c>
      <c r="O81" s="1093">
        <f t="shared" si="12"/>
        <v>0</v>
      </c>
      <c r="P81" s="1093">
        <f t="shared" si="12"/>
        <v>0</v>
      </c>
      <c r="Q81" s="1094">
        <f t="shared" si="12"/>
        <v>0</v>
      </c>
      <c r="R81" s="1092">
        <f t="shared" si="12"/>
        <v>0</v>
      </c>
      <c r="S81" s="1093">
        <f t="shared" si="12"/>
        <v>0</v>
      </c>
      <c r="T81" s="1093">
        <f t="shared" si="12"/>
        <v>0</v>
      </c>
      <c r="U81" s="1093">
        <f t="shared" si="12"/>
        <v>0</v>
      </c>
      <c r="V81" s="1094">
        <f t="shared" si="12"/>
        <v>0</v>
      </c>
    </row>
    <row r="82" spans="1:38" ht="15" thickBot="1"/>
    <row r="83" spans="1:38" ht="30" customHeight="1" thickBot="1">
      <c r="A83" s="258"/>
      <c r="B83" s="1709" t="s">
        <v>2411</v>
      </c>
      <c r="C83" s="738"/>
      <c r="D83" s="738"/>
      <c r="E83" s="738"/>
      <c r="F83" s="738"/>
      <c r="G83" s="262"/>
      <c r="H83" s="294"/>
      <c r="I83" s="105" t="s">
        <v>1864</v>
      </c>
      <c r="J83" s="106"/>
      <c r="K83" s="106"/>
      <c r="L83" s="106"/>
      <c r="M83" s="106"/>
      <c r="N83" s="106"/>
      <c r="O83" s="106"/>
      <c r="P83" s="106"/>
      <c r="Q83" s="106"/>
      <c r="R83" s="105"/>
      <c r="S83" s="105"/>
      <c r="T83" s="105"/>
      <c r="U83" s="105"/>
      <c r="V83" s="187"/>
      <c r="W83" s="259"/>
      <c r="X83" s="89"/>
      <c r="Y83" s="260"/>
      <c r="Z83" s="259"/>
      <c r="AA83" s="259"/>
      <c r="AB83" s="259"/>
      <c r="AC83" s="259"/>
      <c r="AD83" s="259"/>
      <c r="AE83" s="259"/>
      <c r="AF83" s="259"/>
      <c r="AG83" s="259"/>
      <c r="AH83" s="259"/>
      <c r="AI83" s="259"/>
      <c r="AJ83" s="259"/>
      <c r="AK83" s="259"/>
      <c r="AL83" s="259"/>
    </row>
    <row r="84" spans="1:38" ht="30" customHeight="1">
      <c r="B84" s="263"/>
      <c r="C84" s="264"/>
      <c r="D84" s="264"/>
      <c r="E84" s="264"/>
      <c r="F84" s="264"/>
      <c r="G84" s="264"/>
      <c r="H84" s="259"/>
      <c r="I84" s="265"/>
      <c r="J84" s="266" t="s">
        <v>1666</v>
      </c>
      <c r="K84" s="267"/>
      <c r="L84" s="267"/>
      <c r="M84" s="267"/>
      <c r="N84" s="267"/>
      <c r="O84" s="267"/>
      <c r="P84" s="267"/>
      <c r="Q84" s="268"/>
      <c r="R84" s="269" t="s">
        <v>2</v>
      </c>
      <c r="S84" s="270"/>
      <c r="T84" s="270"/>
      <c r="U84" s="270"/>
      <c r="V84" s="271"/>
      <c r="X84" s="98"/>
    </row>
    <row r="85" spans="1:38" ht="15">
      <c r="B85" s="276"/>
      <c r="C85" s="739"/>
      <c r="D85" s="739"/>
      <c r="E85" s="739"/>
      <c r="F85" s="739"/>
      <c r="G85" s="264"/>
      <c r="H85" s="259"/>
      <c r="I85" s="272" t="s">
        <v>1745</v>
      </c>
      <c r="J85" s="158" t="s">
        <v>453</v>
      </c>
      <c r="K85" s="137" t="s">
        <v>455</v>
      </c>
      <c r="L85" s="137" t="s">
        <v>457</v>
      </c>
      <c r="M85" s="137" t="s">
        <v>459</v>
      </c>
      <c r="N85" s="137" t="s">
        <v>461</v>
      </c>
      <c r="O85" s="137" t="s">
        <v>463</v>
      </c>
      <c r="P85" s="137" t="s">
        <v>465</v>
      </c>
      <c r="Q85" s="138" t="s">
        <v>467</v>
      </c>
      <c r="R85" s="120" t="s">
        <v>469</v>
      </c>
      <c r="S85" s="121" t="s">
        <v>471</v>
      </c>
      <c r="T85" s="121" t="s">
        <v>473</v>
      </c>
      <c r="U85" s="121" t="s">
        <v>475</v>
      </c>
      <c r="V85" s="122" t="s">
        <v>477</v>
      </c>
    </row>
    <row r="86" spans="1:38" ht="15">
      <c r="B86" s="745"/>
      <c r="C86" s="693" t="s">
        <v>2399</v>
      </c>
      <c r="D86" s="301"/>
      <c r="E86" s="301"/>
      <c r="F86" s="301"/>
      <c r="G86" s="1710"/>
      <c r="H86" s="301"/>
      <c r="I86" s="301"/>
      <c r="J86" s="745"/>
      <c r="K86" s="301"/>
      <c r="L86" s="301"/>
      <c r="M86" s="301"/>
      <c r="N86" s="301"/>
      <c r="O86" s="301"/>
      <c r="P86" s="301"/>
      <c r="Q86" s="1711"/>
      <c r="R86" s="745"/>
      <c r="S86" s="301"/>
      <c r="T86" s="301"/>
      <c r="U86" s="301"/>
      <c r="V86" s="1711"/>
    </row>
    <row r="87" spans="1:38" ht="15">
      <c r="B87" s="745"/>
      <c r="C87" s="693" t="s">
        <v>2401</v>
      </c>
      <c r="D87" s="301"/>
      <c r="E87" s="301"/>
      <c r="F87" s="301"/>
      <c r="G87" s="1710"/>
      <c r="H87" s="301"/>
      <c r="I87" s="301"/>
      <c r="J87" s="745"/>
      <c r="K87" s="301"/>
      <c r="L87" s="301"/>
      <c r="M87" s="301"/>
      <c r="N87" s="301"/>
      <c r="O87" s="301"/>
      <c r="P87" s="301"/>
      <c r="Q87" s="1711"/>
      <c r="R87" s="745"/>
      <c r="S87" s="301"/>
      <c r="T87" s="301"/>
      <c r="U87" s="301"/>
      <c r="V87" s="1711"/>
    </row>
    <row r="88" spans="1:38">
      <c r="B88" s="745"/>
      <c r="C88" s="301"/>
      <c r="D88" s="301"/>
      <c r="E88" s="301"/>
      <c r="F88" s="301"/>
      <c r="G88" s="301"/>
      <c r="H88" s="301"/>
      <c r="I88" s="301"/>
      <c r="J88" s="745"/>
      <c r="K88" s="301"/>
      <c r="L88" s="301"/>
      <c r="M88" s="301"/>
      <c r="N88" s="301"/>
      <c r="O88" s="301"/>
      <c r="P88" s="301"/>
      <c r="Q88" s="1711"/>
      <c r="R88" s="745"/>
      <c r="S88" s="301"/>
      <c r="T88" s="301"/>
      <c r="U88" s="301"/>
      <c r="V88" s="1711"/>
    </row>
    <row r="89" spans="1:38" ht="15">
      <c r="B89" s="745"/>
      <c r="D89" s="693" t="s">
        <v>2403</v>
      </c>
      <c r="E89" s="301"/>
      <c r="F89" s="301"/>
      <c r="G89" s="301"/>
      <c r="H89" s="301"/>
      <c r="I89" s="301"/>
      <c r="J89" s="745"/>
      <c r="K89" s="301"/>
      <c r="L89" s="301"/>
      <c r="M89" s="301"/>
      <c r="N89" s="301"/>
      <c r="O89" s="301"/>
      <c r="P89" s="301"/>
      <c r="Q89" s="1711"/>
      <c r="R89" s="745"/>
      <c r="S89" s="301"/>
      <c r="T89" s="301"/>
      <c r="U89" s="301"/>
      <c r="V89" s="1711"/>
    </row>
    <row r="90" spans="1:38">
      <c r="B90" s="745"/>
      <c r="D90" s="301"/>
      <c r="E90" s="301" t="s">
        <v>36</v>
      </c>
      <c r="F90" s="301"/>
      <c r="G90" s="301"/>
      <c r="H90" s="301"/>
      <c r="I90" s="164" t="s">
        <v>498</v>
      </c>
      <c r="J90" s="143">
        <v>0</v>
      </c>
      <c r="K90" s="141">
        <v>0</v>
      </c>
      <c r="L90" s="141">
        <v>0</v>
      </c>
      <c r="M90" s="141">
        <v>0</v>
      </c>
      <c r="N90" s="141">
        <v>0</v>
      </c>
      <c r="O90" s="141">
        <v>0</v>
      </c>
      <c r="P90" s="141">
        <v>0</v>
      </c>
      <c r="Q90" s="144">
        <v>0</v>
      </c>
      <c r="R90" s="143">
        <v>0</v>
      </c>
      <c r="S90" s="141">
        <v>0</v>
      </c>
      <c r="T90" s="141">
        <v>0</v>
      </c>
      <c r="U90" s="141">
        <v>0</v>
      </c>
      <c r="V90" s="144">
        <v>0</v>
      </c>
    </row>
    <row r="91" spans="1:38">
      <c r="B91" s="745"/>
      <c r="D91" s="301"/>
      <c r="E91" s="301" t="s">
        <v>62</v>
      </c>
      <c r="F91" s="301"/>
      <c r="G91" s="301"/>
      <c r="H91" s="301"/>
      <c r="I91" s="1713" t="s">
        <v>498</v>
      </c>
      <c r="J91" s="143">
        <v>0</v>
      </c>
      <c r="K91" s="141">
        <v>0</v>
      </c>
      <c r="L91" s="141">
        <v>0</v>
      </c>
      <c r="M91" s="141">
        <v>0</v>
      </c>
      <c r="N91" s="141">
        <v>0</v>
      </c>
      <c r="O91" s="141">
        <v>0</v>
      </c>
      <c r="P91" s="141">
        <v>0</v>
      </c>
      <c r="Q91" s="144">
        <v>0</v>
      </c>
      <c r="R91" s="143">
        <v>0</v>
      </c>
      <c r="S91" s="141">
        <v>0</v>
      </c>
      <c r="T91" s="141">
        <v>0</v>
      </c>
      <c r="U91" s="141">
        <v>0</v>
      </c>
      <c r="V91" s="144">
        <v>0</v>
      </c>
    </row>
    <row r="92" spans="1:38">
      <c r="B92" s="745"/>
      <c r="D92" s="301"/>
      <c r="E92" s="301" t="s">
        <v>71</v>
      </c>
      <c r="F92" s="301"/>
      <c r="G92" s="301"/>
      <c r="H92" s="301"/>
      <c r="I92" s="1713" t="s">
        <v>498</v>
      </c>
      <c r="J92" s="143">
        <v>0</v>
      </c>
      <c r="K92" s="141">
        <v>0</v>
      </c>
      <c r="L92" s="141">
        <v>0</v>
      </c>
      <c r="M92" s="141">
        <v>0</v>
      </c>
      <c r="N92" s="141">
        <v>0</v>
      </c>
      <c r="O92" s="141">
        <v>0</v>
      </c>
      <c r="P92" s="141">
        <v>0</v>
      </c>
      <c r="Q92" s="144">
        <v>0</v>
      </c>
      <c r="R92" s="143">
        <v>0</v>
      </c>
      <c r="S92" s="141">
        <v>0</v>
      </c>
      <c r="T92" s="141">
        <v>0</v>
      </c>
      <c r="U92" s="141">
        <v>0</v>
      </c>
      <c r="V92" s="144">
        <v>0</v>
      </c>
    </row>
    <row r="93" spans="1:38" ht="15">
      <c r="B93" s="745"/>
      <c r="D93" s="693" t="s">
        <v>2404</v>
      </c>
      <c r="E93" s="301"/>
      <c r="F93" s="301"/>
      <c r="G93" s="301"/>
      <c r="H93" s="301"/>
      <c r="I93" s="1714"/>
      <c r="J93" s="1716"/>
      <c r="K93" s="1717"/>
      <c r="L93" s="1717"/>
      <c r="M93" s="1717"/>
      <c r="N93" s="1717"/>
      <c r="O93" s="1717"/>
      <c r="P93" s="1717"/>
      <c r="Q93" s="1718"/>
      <c r="R93" s="1716"/>
      <c r="S93" s="1717"/>
      <c r="T93" s="1717"/>
      <c r="U93" s="1717"/>
      <c r="V93" s="1718"/>
    </row>
    <row r="94" spans="1:38">
      <c r="B94" s="745"/>
      <c r="D94" s="301"/>
      <c r="E94" s="301" t="s">
        <v>36</v>
      </c>
      <c r="F94" s="301"/>
      <c r="G94" s="301"/>
      <c r="H94" s="301"/>
      <c r="I94" s="1713" t="s">
        <v>498</v>
      </c>
      <c r="J94" s="143">
        <v>0</v>
      </c>
      <c r="K94" s="141">
        <v>0</v>
      </c>
      <c r="L94" s="141">
        <v>0</v>
      </c>
      <c r="M94" s="141">
        <v>0</v>
      </c>
      <c r="N94" s="141">
        <v>0</v>
      </c>
      <c r="O94" s="141">
        <v>0</v>
      </c>
      <c r="P94" s="141">
        <v>0</v>
      </c>
      <c r="Q94" s="144">
        <v>0</v>
      </c>
      <c r="R94" s="143">
        <v>0</v>
      </c>
      <c r="S94" s="141">
        <v>0</v>
      </c>
      <c r="T94" s="141">
        <v>0</v>
      </c>
      <c r="U94" s="141">
        <v>0</v>
      </c>
      <c r="V94" s="144">
        <v>0</v>
      </c>
    </row>
    <row r="95" spans="1:38">
      <c r="B95" s="745"/>
      <c r="D95" s="301"/>
      <c r="E95" s="301" t="s">
        <v>62</v>
      </c>
      <c r="F95" s="301"/>
      <c r="G95" s="301"/>
      <c r="H95" s="301"/>
      <c r="I95" s="1713" t="s">
        <v>498</v>
      </c>
      <c r="J95" s="143">
        <v>0</v>
      </c>
      <c r="K95" s="141">
        <v>0</v>
      </c>
      <c r="L95" s="141">
        <v>0</v>
      </c>
      <c r="M95" s="141">
        <v>0</v>
      </c>
      <c r="N95" s="141">
        <v>0</v>
      </c>
      <c r="O95" s="141">
        <v>0</v>
      </c>
      <c r="P95" s="141">
        <v>0</v>
      </c>
      <c r="Q95" s="144">
        <v>0</v>
      </c>
      <c r="R95" s="143">
        <v>0</v>
      </c>
      <c r="S95" s="141">
        <v>0</v>
      </c>
      <c r="T95" s="141">
        <v>0</v>
      </c>
      <c r="U95" s="141">
        <v>0</v>
      </c>
      <c r="V95" s="144">
        <v>0</v>
      </c>
    </row>
    <row r="96" spans="1:38">
      <c r="B96" s="745"/>
      <c r="D96" s="301"/>
      <c r="E96" s="301" t="s">
        <v>71</v>
      </c>
      <c r="F96" s="301"/>
      <c r="G96" s="301"/>
      <c r="H96" s="301"/>
      <c r="I96" s="1713" t="s">
        <v>498</v>
      </c>
      <c r="J96" s="143">
        <v>0</v>
      </c>
      <c r="K96" s="141">
        <v>0</v>
      </c>
      <c r="L96" s="141">
        <v>0</v>
      </c>
      <c r="M96" s="141">
        <v>0</v>
      </c>
      <c r="N96" s="141">
        <v>0</v>
      </c>
      <c r="O96" s="141">
        <v>0</v>
      </c>
      <c r="P96" s="141">
        <v>0</v>
      </c>
      <c r="Q96" s="144">
        <v>0</v>
      </c>
      <c r="R96" s="143">
        <v>0</v>
      </c>
      <c r="S96" s="141">
        <v>0</v>
      </c>
      <c r="T96" s="141">
        <v>0</v>
      </c>
      <c r="U96" s="141">
        <v>0</v>
      </c>
      <c r="V96" s="144">
        <v>0</v>
      </c>
    </row>
    <row r="97" spans="1:38" ht="15">
      <c r="B97" s="745"/>
      <c r="D97" s="693" t="s">
        <v>2405</v>
      </c>
      <c r="E97" s="301"/>
      <c r="F97" s="301"/>
      <c r="G97" s="301"/>
      <c r="H97" s="301"/>
      <c r="I97" s="1714"/>
      <c r="J97" s="1716"/>
      <c r="K97" s="1717"/>
      <c r="L97" s="1717"/>
      <c r="M97" s="1717"/>
      <c r="N97" s="1717"/>
      <c r="O97" s="1717"/>
      <c r="P97" s="1717"/>
      <c r="Q97" s="1718"/>
      <c r="R97" s="1716"/>
      <c r="S97" s="1717"/>
      <c r="T97" s="1717"/>
      <c r="U97" s="1717"/>
      <c r="V97" s="1718"/>
    </row>
    <row r="98" spans="1:38">
      <c r="B98" s="745"/>
      <c r="D98" s="301"/>
      <c r="E98" s="301" t="s">
        <v>36</v>
      </c>
      <c r="F98" s="301"/>
      <c r="G98" s="301"/>
      <c r="H98" s="301"/>
      <c r="I98" s="1713" t="s">
        <v>498</v>
      </c>
      <c r="J98" s="641">
        <f>J90-J94</f>
        <v>0</v>
      </c>
      <c r="K98" s="642">
        <f t="shared" ref="K98:V98" si="13">K90-K94</f>
        <v>0</v>
      </c>
      <c r="L98" s="642">
        <f t="shared" si="13"/>
        <v>0</v>
      </c>
      <c r="M98" s="642">
        <f t="shared" si="13"/>
        <v>0</v>
      </c>
      <c r="N98" s="642">
        <f t="shared" si="13"/>
        <v>0</v>
      </c>
      <c r="O98" s="642">
        <f t="shared" si="13"/>
        <v>0</v>
      </c>
      <c r="P98" s="642">
        <f t="shared" si="13"/>
        <v>0</v>
      </c>
      <c r="Q98" s="643">
        <f t="shared" si="13"/>
        <v>0</v>
      </c>
      <c r="R98" s="641">
        <f t="shared" si="13"/>
        <v>0</v>
      </c>
      <c r="S98" s="642">
        <f t="shared" si="13"/>
        <v>0</v>
      </c>
      <c r="T98" s="642">
        <f t="shared" si="13"/>
        <v>0</v>
      </c>
      <c r="U98" s="642">
        <f t="shared" si="13"/>
        <v>0</v>
      </c>
      <c r="V98" s="643">
        <f t="shared" si="13"/>
        <v>0</v>
      </c>
    </row>
    <row r="99" spans="1:38">
      <c r="B99" s="745"/>
      <c r="D99" s="301"/>
      <c r="E99" s="301" t="s">
        <v>62</v>
      </c>
      <c r="F99" s="301"/>
      <c r="G99" s="301"/>
      <c r="H99" s="301"/>
      <c r="I99" s="1713" t="s">
        <v>498</v>
      </c>
      <c r="J99" s="641">
        <f t="shared" ref="J99:V99" si="14">J91-J95</f>
        <v>0</v>
      </c>
      <c r="K99" s="642">
        <f t="shared" si="14"/>
        <v>0</v>
      </c>
      <c r="L99" s="642">
        <f t="shared" si="14"/>
        <v>0</v>
      </c>
      <c r="M99" s="642">
        <f t="shared" si="14"/>
        <v>0</v>
      </c>
      <c r="N99" s="642">
        <f t="shared" si="14"/>
        <v>0</v>
      </c>
      <c r="O99" s="642">
        <f t="shared" si="14"/>
        <v>0</v>
      </c>
      <c r="P99" s="642">
        <f t="shared" si="14"/>
        <v>0</v>
      </c>
      <c r="Q99" s="643">
        <f t="shared" si="14"/>
        <v>0</v>
      </c>
      <c r="R99" s="641">
        <f t="shared" si="14"/>
        <v>0</v>
      </c>
      <c r="S99" s="642">
        <f t="shared" si="14"/>
        <v>0</v>
      </c>
      <c r="T99" s="642">
        <f t="shared" si="14"/>
        <v>0</v>
      </c>
      <c r="U99" s="642">
        <f t="shared" si="14"/>
        <v>0</v>
      </c>
      <c r="V99" s="643">
        <f t="shared" si="14"/>
        <v>0</v>
      </c>
    </row>
    <row r="100" spans="1:38" ht="15" thickBot="1">
      <c r="B100" s="1712"/>
      <c r="C100" s="307"/>
      <c r="D100" s="307"/>
      <c r="E100" s="307" t="s">
        <v>71</v>
      </c>
      <c r="F100" s="307"/>
      <c r="G100" s="307"/>
      <c r="H100" s="307"/>
      <c r="I100" s="1715" t="s">
        <v>498</v>
      </c>
      <c r="J100" s="1092">
        <f t="shared" ref="J100:V100" si="15">J92-J96</f>
        <v>0</v>
      </c>
      <c r="K100" s="1093">
        <f t="shared" si="15"/>
        <v>0</v>
      </c>
      <c r="L100" s="1093">
        <f t="shared" si="15"/>
        <v>0</v>
      </c>
      <c r="M100" s="1093">
        <f t="shared" si="15"/>
        <v>0</v>
      </c>
      <c r="N100" s="1093">
        <f t="shared" si="15"/>
        <v>0</v>
      </c>
      <c r="O100" s="1093">
        <f t="shared" si="15"/>
        <v>0</v>
      </c>
      <c r="P100" s="1093">
        <f t="shared" si="15"/>
        <v>0</v>
      </c>
      <c r="Q100" s="1094">
        <f t="shared" si="15"/>
        <v>0</v>
      </c>
      <c r="R100" s="1092">
        <f t="shared" si="15"/>
        <v>0</v>
      </c>
      <c r="S100" s="1093">
        <f t="shared" si="15"/>
        <v>0</v>
      </c>
      <c r="T100" s="1093">
        <f t="shared" si="15"/>
        <v>0</v>
      </c>
      <c r="U100" s="1093">
        <f t="shared" si="15"/>
        <v>0</v>
      </c>
      <c r="V100" s="1094">
        <f t="shared" si="15"/>
        <v>0</v>
      </c>
    </row>
    <row r="101" spans="1:38" ht="15" thickBot="1"/>
    <row r="102" spans="1:38" ht="30" customHeight="1" thickBot="1">
      <c r="A102" s="258"/>
      <c r="B102" s="1709" t="s">
        <v>2412</v>
      </c>
      <c r="C102" s="738"/>
      <c r="D102" s="738"/>
      <c r="E102" s="738"/>
      <c r="F102" s="738"/>
      <c r="G102" s="262"/>
      <c r="H102" s="294"/>
      <c r="I102" s="105" t="s">
        <v>1864</v>
      </c>
      <c r="J102" s="106"/>
      <c r="K102" s="106"/>
      <c r="L102" s="106"/>
      <c r="M102" s="106"/>
      <c r="N102" s="106"/>
      <c r="O102" s="106"/>
      <c r="P102" s="106"/>
      <c r="Q102" s="106"/>
      <c r="R102" s="105"/>
      <c r="S102" s="105"/>
      <c r="T102" s="105"/>
      <c r="U102" s="105"/>
      <c r="V102" s="187"/>
      <c r="W102" s="259"/>
      <c r="X102" s="89"/>
      <c r="Y102" s="260"/>
      <c r="Z102" s="259"/>
      <c r="AA102" s="259"/>
      <c r="AB102" s="259"/>
      <c r="AC102" s="259"/>
      <c r="AD102" s="259"/>
      <c r="AE102" s="259"/>
      <c r="AF102" s="259"/>
      <c r="AG102" s="259"/>
      <c r="AH102" s="259"/>
      <c r="AI102" s="259"/>
      <c r="AJ102" s="259"/>
      <c r="AK102" s="259"/>
      <c r="AL102" s="259"/>
    </row>
    <row r="103" spans="1:38" ht="30" customHeight="1">
      <c r="B103" s="263"/>
      <c r="C103" s="264"/>
      <c r="D103" s="264"/>
      <c r="E103" s="264"/>
      <c r="F103" s="264"/>
      <c r="G103" s="264"/>
      <c r="H103" s="259"/>
      <c r="I103" s="265"/>
      <c r="J103" s="266" t="s">
        <v>1666</v>
      </c>
      <c r="K103" s="267"/>
      <c r="L103" s="267"/>
      <c r="M103" s="267"/>
      <c r="N103" s="267"/>
      <c r="O103" s="267"/>
      <c r="P103" s="267"/>
      <c r="Q103" s="268"/>
      <c r="R103" s="269" t="s">
        <v>2</v>
      </c>
      <c r="S103" s="270"/>
      <c r="T103" s="270"/>
      <c r="U103" s="270"/>
      <c r="V103" s="271"/>
      <c r="X103" s="98"/>
    </row>
    <row r="104" spans="1:38" ht="15">
      <c r="B104" s="276"/>
      <c r="C104" s="739"/>
      <c r="D104" s="739"/>
      <c r="E104" s="739"/>
      <c r="F104" s="739"/>
      <c r="G104" s="264"/>
      <c r="H104" s="259"/>
      <c r="I104" s="272" t="s">
        <v>1745</v>
      </c>
      <c r="J104" s="158" t="s">
        <v>453</v>
      </c>
      <c r="K104" s="137" t="s">
        <v>455</v>
      </c>
      <c r="L104" s="137" t="s">
        <v>457</v>
      </c>
      <c r="M104" s="137" t="s">
        <v>459</v>
      </c>
      <c r="N104" s="137" t="s">
        <v>461</v>
      </c>
      <c r="O104" s="137" t="s">
        <v>463</v>
      </c>
      <c r="P104" s="137" t="s">
        <v>465</v>
      </c>
      <c r="Q104" s="138" t="s">
        <v>467</v>
      </c>
      <c r="R104" s="120" t="s">
        <v>469</v>
      </c>
      <c r="S104" s="121" t="s">
        <v>471</v>
      </c>
      <c r="T104" s="121" t="s">
        <v>473</v>
      </c>
      <c r="U104" s="121" t="s">
        <v>475</v>
      </c>
      <c r="V104" s="122" t="s">
        <v>477</v>
      </c>
    </row>
    <row r="105" spans="1:38" ht="15">
      <c r="B105" s="745"/>
      <c r="C105" s="693" t="s">
        <v>2399</v>
      </c>
      <c r="D105" s="301"/>
      <c r="E105" s="301"/>
      <c r="F105" s="301"/>
      <c r="G105" s="1710"/>
      <c r="H105" s="301"/>
      <c r="I105" s="301"/>
      <c r="J105" s="745"/>
      <c r="K105" s="301"/>
      <c r="L105" s="301"/>
      <c r="M105" s="301"/>
      <c r="N105" s="301"/>
      <c r="O105" s="301"/>
      <c r="P105" s="301"/>
      <c r="Q105" s="1711"/>
      <c r="R105" s="745"/>
      <c r="S105" s="301"/>
      <c r="T105" s="301"/>
      <c r="U105" s="301"/>
      <c r="V105" s="1711"/>
    </row>
    <row r="106" spans="1:38" ht="15">
      <c r="B106" s="745"/>
      <c r="C106" s="693" t="s">
        <v>2401</v>
      </c>
      <c r="D106" s="301"/>
      <c r="E106" s="301"/>
      <c r="F106" s="301"/>
      <c r="G106" s="1710"/>
      <c r="H106" s="301"/>
      <c r="I106" s="301"/>
      <c r="J106" s="745"/>
      <c r="K106" s="301"/>
      <c r="L106" s="301"/>
      <c r="M106" s="301"/>
      <c r="N106" s="301"/>
      <c r="O106" s="301"/>
      <c r="P106" s="301"/>
      <c r="Q106" s="1711"/>
      <c r="R106" s="745"/>
      <c r="S106" s="301"/>
      <c r="T106" s="301"/>
      <c r="U106" s="301"/>
      <c r="V106" s="1711"/>
    </row>
    <row r="107" spans="1:38">
      <c r="B107" s="745"/>
      <c r="C107" s="301"/>
      <c r="D107" s="301"/>
      <c r="E107" s="301"/>
      <c r="F107" s="301"/>
      <c r="G107" s="301"/>
      <c r="H107" s="301"/>
      <c r="I107" s="301"/>
      <c r="J107" s="745"/>
      <c r="K107" s="301"/>
      <c r="L107" s="301"/>
      <c r="M107" s="301"/>
      <c r="N107" s="301"/>
      <c r="O107" s="301"/>
      <c r="P107" s="301"/>
      <c r="Q107" s="1711"/>
      <c r="R107" s="745"/>
      <c r="S107" s="301"/>
      <c r="T107" s="301"/>
      <c r="U107" s="301"/>
      <c r="V107" s="1711"/>
    </row>
    <row r="108" spans="1:38" ht="15">
      <c r="B108" s="745"/>
      <c r="D108" s="693" t="s">
        <v>2403</v>
      </c>
      <c r="E108" s="301"/>
      <c r="F108" s="301"/>
      <c r="G108" s="301"/>
      <c r="H108" s="301"/>
      <c r="I108" s="301"/>
      <c r="J108" s="745"/>
      <c r="K108" s="301"/>
      <c r="L108" s="301"/>
      <c r="M108" s="301"/>
      <c r="N108" s="301"/>
      <c r="O108" s="301"/>
      <c r="P108" s="301"/>
      <c r="Q108" s="1711"/>
      <c r="R108" s="745"/>
      <c r="S108" s="301"/>
      <c r="T108" s="301"/>
      <c r="U108" s="301"/>
      <c r="V108" s="1711"/>
    </row>
    <row r="109" spans="1:38">
      <c r="B109" s="745"/>
      <c r="D109" s="301"/>
      <c r="E109" s="301" t="s">
        <v>36</v>
      </c>
      <c r="F109" s="301"/>
      <c r="G109" s="301"/>
      <c r="H109" s="301"/>
      <c r="I109" s="164" t="s">
        <v>498</v>
      </c>
      <c r="J109" s="143">
        <v>0</v>
      </c>
      <c r="K109" s="141">
        <v>0</v>
      </c>
      <c r="L109" s="141">
        <v>0</v>
      </c>
      <c r="M109" s="141">
        <v>0</v>
      </c>
      <c r="N109" s="141">
        <v>0</v>
      </c>
      <c r="O109" s="141">
        <v>0</v>
      </c>
      <c r="P109" s="141">
        <v>0</v>
      </c>
      <c r="Q109" s="144">
        <v>0</v>
      </c>
      <c r="R109" s="143">
        <v>0</v>
      </c>
      <c r="S109" s="141">
        <v>0</v>
      </c>
      <c r="T109" s="141">
        <v>0</v>
      </c>
      <c r="U109" s="141">
        <v>0</v>
      </c>
      <c r="V109" s="144">
        <v>0</v>
      </c>
    </row>
    <row r="110" spans="1:38">
      <c r="B110" s="745"/>
      <c r="D110" s="301"/>
      <c r="E110" s="301" t="s">
        <v>62</v>
      </c>
      <c r="F110" s="301"/>
      <c r="G110" s="301"/>
      <c r="H110" s="301"/>
      <c r="I110" s="1713" t="s">
        <v>498</v>
      </c>
      <c r="J110" s="143">
        <v>0</v>
      </c>
      <c r="K110" s="141">
        <v>0</v>
      </c>
      <c r="L110" s="141">
        <v>0</v>
      </c>
      <c r="M110" s="141">
        <v>0</v>
      </c>
      <c r="N110" s="141">
        <v>0</v>
      </c>
      <c r="O110" s="141">
        <v>0</v>
      </c>
      <c r="P110" s="141">
        <v>0</v>
      </c>
      <c r="Q110" s="144">
        <v>0</v>
      </c>
      <c r="R110" s="143">
        <v>0</v>
      </c>
      <c r="S110" s="141">
        <v>0</v>
      </c>
      <c r="T110" s="141">
        <v>0</v>
      </c>
      <c r="U110" s="141">
        <v>0</v>
      </c>
      <c r="V110" s="144">
        <v>0</v>
      </c>
    </row>
    <row r="111" spans="1:38">
      <c r="B111" s="745"/>
      <c r="D111" s="301"/>
      <c r="E111" s="301" t="s">
        <v>71</v>
      </c>
      <c r="F111" s="301"/>
      <c r="G111" s="301"/>
      <c r="H111" s="301"/>
      <c r="I111" s="1713" t="s">
        <v>498</v>
      </c>
      <c r="J111" s="143">
        <v>0</v>
      </c>
      <c r="K111" s="141">
        <v>0</v>
      </c>
      <c r="L111" s="141">
        <v>0</v>
      </c>
      <c r="M111" s="141">
        <v>0</v>
      </c>
      <c r="N111" s="141">
        <v>0</v>
      </c>
      <c r="O111" s="141">
        <v>0</v>
      </c>
      <c r="P111" s="141">
        <v>0</v>
      </c>
      <c r="Q111" s="144">
        <v>0</v>
      </c>
      <c r="R111" s="143">
        <v>0</v>
      </c>
      <c r="S111" s="141">
        <v>0</v>
      </c>
      <c r="T111" s="141">
        <v>0</v>
      </c>
      <c r="U111" s="141">
        <v>0</v>
      </c>
      <c r="V111" s="144">
        <v>0</v>
      </c>
    </row>
    <row r="112" spans="1:38" ht="15">
      <c r="B112" s="745"/>
      <c r="D112" s="693" t="s">
        <v>2404</v>
      </c>
      <c r="E112" s="301"/>
      <c r="F112" s="301"/>
      <c r="G112" s="301"/>
      <c r="H112" s="301"/>
      <c r="I112" s="1714"/>
      <c r="J112" s="1716"/>
      <c r="K112" s="1717"/>
      <c r="L112" s="1717"/>
      <c r="M112" s="1717"/>
      <c r="N112" s="1717"/>
      <c r="O112" s="1717"/>
      <c r="P112" s="1717"/>
      <c r="Q112" s="1718"/>
      <c r="R112" s="1716"/>
      <c r="S112" s="1717"/>
      <c r="T112" s="1717"/>
      <c r="U112" s="1717"/>
      <c r="V112" s="1718"/>
    </row>
    <row r="113" spans="2:22">
      <c r="B113" s="745"/>
      <c r="D113" s="301"/>
      <c r="E113" s="301" t="s">
        <v>36</v>
      </c>
      <c r="F113" s="301"/>
      <c r="G113" s="301"/>
      <c r="H113" s="301"/>
      <c r="I113" s="1713" t="s">
        <v>498</v>
      </c>
      <c r="J113" s="143">
        <v>0</v>
      </c>
      <c r="K113" s="141">
        <v>0</v>
      </c>
      <c r="L113" s="141">
        <v>0</v>
      </c>
      <c r="M113" s="141">
        <v>0</v>
      </c>
      <c r="N113" s="141">
        <v>0</v>
      </c>
      <c r="O113" s="141">
        <v>0</v>
      </c>
      <c r="P113" s="141">
        <v>0</v>
      </c>
      <c r="Q113" s="144">
        <v>0</v>
      </c>
      <c r="R113" s="143">
        <v>0</v>
      </c>
      <c r="S113" s="141">
        <v>0</v>
      </c>
      <c r="T113" s="141">
        <v>0</v>
      </c>
      <c r="U113" s="141">
        <v>0</v>
      </c>
      <c r="V113" s="144">
        <v>0</v>
      </c>
    </row>
    <row r="114" spans="2:22">
      <c r="B114" s="745"/>
      <c r="D114" s="301"/>
      <c r="E114" s="301" t="s">
        <v>62</v>
      </c>
      <c r="F114" s="301"/>
      <c r="G114" s="301"/>
      <c r="H114" s="301"/>
      <c r="I114" s="1713" t="s">
        <v>498</v>
      </c>
      <c r="J114" s="143">
        <v>0</v>
      </c>
      <c r="K114" s="141">
        <v>0</v>
      </c>
      <c r="L114" s="141">
        <v>0</v>
      </c>
      <c r="M114" s="141">
        <v>0</v>
      </c>
      <c r="N114" s="141">
        <v>0</v>
      </c>
      <c r="O114" s="141">
        <v>0</v>
      </c>
      <c r="P114" s="141">
        <v>0</v>
      </c>
      <c r="Q114" s="144">
        <v>0</v>
      </c>
      <c r="R114" s="143">
        <v>0</v>
      </c>
      <c r="S114" s="141">
        <v>0</v>
      </c>
      <c r="T114" s="141">
        <v>0</v>
      </c>
      <c r="U114" s="141">
        <v>0</v>
      </c>
      <c r="V114" s="144">
        <v>0</v>
      </c>
    </row>
    <row r="115" spans="2:22">
      <c r="B115" s="745"/>
      <c r="D115" s="301"/>
      <c r="E115" s="301" t="s">
        <v>71</v>
      </c>
      <c r="F115" s="301"/>
      <c r="G115" s="301"/>
      <c r="H115" s="301"/>
      <c r="I115" s="1713" t="s">
        <v>498</v>
      </c>
      <c r="J115" s="143">
        <v>0</v>
      </c>
      <c r="K115" s="141">
        <v>0</v>
      </c>
      <c r="L115" s="141">
        <v>0</v>
      </c>
      <c r="M115" s="141">
        <v>0</v>
      </c>
      <c r="N115" s="141">
        <v>0</v>
      </c>
      <c r="O115" s="141">
        <v>0</v>
      </c>
      <c r="P115" s="141">
        <v>0</v>
      </c>
      <c r="Q115" s="144">
        <v>0</v>
      </c>
      <c r="R115" s="143">
        <v>0</v>
      </c>
      <c r="S115" s="141">
        <v>0</v>
      </c>
      <c r="T115" s="141">
        <v>0</v>
      </c>
      <c r="U115" s="141">
        <v>0</v>
      </c>
      <c r="V115" s="144">
        <v>0</v>
      </c>
    </row>
    <row r="116" spans="2:22" ht="15">
      <c r="B116" s="745"/>
      <c r="D116" s="693" t="s">
        <v>2405</v>
      </c>
      <c r="E116" s="301"/>
      <c r="F116" s="301"/>
      <c r="G116" s="301"/>
      <c r="H116" s="301"/>
      <c r="I116" s="1714"/>
      <c r="J116" s="1716"/>
      <c r="K116" s="1717"/>
      <c r="L116" s="1717"/>
      <c r="M116" s="1717"/>
      <c r="N116" s="1717"/>
      <c r="O116" s="1717"/>
      <c r="P116" s="1717"/>
      <c r="Q116" s="1718"/>
      <c r="R116" s="1716"/>
      <c r="S116" s="1717"/>
      <c r="T116" s="1717"/>
      <c r="U116" s="1717"/>
      <c r="V116" s="1718"/>
    </row>
    <row r="117" spans="2:22">
      <c r="B117" s="745"/>
      <c r="D117" s="301"/>
      <c r="E117" s="301" t="s">
        <v>36</v>
      </c>
      <c r="F117" s="301"/>
      <c r="G117" s="301"/>
      <c r="H117" s="301"/>
      <c r="I117" s="1713" t="s">
        <v>498</v>
      </c>
      <c r="J117" s="641">
        <f>J109-J113</f>
        <v>0</v>
      </c>
      <c r="K117" s="642">
        <f t="shared" ref="K117:V117" si="16">K109-K113</f>
        <v>0</v>
      </c>
      <c r="L117" s="642">
        <f t="shared" si="16"/>
        <v>0</v>
      </c>
      <c r="M117" s="642">
        <f t="shared" si="16"/>
        <v>0</v>
      </c>
      <c r="N117" s="642">
        <f t="shared" si="16"/>
        <v>0</v>
      </c>
      <c r="O117" s="642">
        <f t="shared" si="16"/>
        <v>0</v>
      </c>
      <c r="P117" s="642">
        <f t="shared" si="16"/>
        <v>0</v>
      </c>
      <c r="Q117" s="643">
        <f t="shared" si="16"/>
        <v>0</v>
      </c>
      <c r="R117" s="641">
        <f t="shared" si="16"/>
        <v>0</v>
      </c>
      <c r="S117" s="642">
        <f t="shared" si="16"/>
        <v>0</v>
      </c>
      <c r="T117" s="642">
        <f t="shared" si="16"/>
        <v>0</v>
      </c>
      <c r="U117" s="642">
        <f t="shared" si="16"/>
        <v>0</v>
      </c>
      <c r="V117" s="643">
        <f t="shared" si="16"/>
        <v>0</v>
      </c>
    </row>
    <row r="118" spans="2:22">
      <c r="B118" s="745"/>
      <c r="D118" s="301"/>
      <c r="E118" s="301" t="s">
        <v>62</v>
      </c>
      <c r="F118" s="301"/>
      <c r="G118" s="301"/>
      <c r="H118" s="301"/>
      <c r="I118" s="1713" t="s">
        <v>498</v>
      </c>
      <c r="J118" s="641">
        <f t="shared" ref="J118:V118" si="17">J110-J114</f>
        <v>0</v>
      </c>
      <c r="K118" s="642">
        <f t="shared" si="17"/>
        <v>0</v>
      </c>
      <c r="L118" s="642">
        <f t="shared" si="17"/>
        <v>0</v>
      </c>
      <c r="M118" s="642">
        <f t="shared" si="17"/>
        <v>0</v>
      </c>
      <c r="N118" s="642">
        <f t="shared" si="17"/>
        <v>0</v>
      </c>
      <c r="O118" s="642">
        <f t="shared" si="17"/>
        <v>0</v>
      </c>
      <c r="P118" s="642">
        <f t="shared" si="17"/>
        <v>0</v>
      </c>
      <c r="Q118" s="643">
        <f t="shared" si="17"/>
        <v>0</v>
      </c>
      <c r="R118" s="641">
        <f t="shared" si="17"/>
        <v>0</v>
      </c>
      <c r="S118" s="642">
        <f t="shared" si="17"/>
        <v>0</v>
      </c>
      <c r="T118" s="642">
        <f t="shared" si="17"/>
        <v>0</v>
      </c>
      <c r="U118" s="642">
        <f t="shared" si="17"/>
        <v>0</v>
      </c>
      <c r="V118" s="643">
        <f t="shared" si="17"/>
        <v>0</v>
      </c>
    </row>
    <row r="119" spans="2:22" ht="15" thickBot="1">
      <c r="B119" s="1712"/>
      <c r="C119" s="307"/>
      <c r="D119" s="307"/>
      <c r="E119" s="307" t="s">
        <v>71</v>
      </c>
      <c r="F119" s="307"/>
      <c r="G119" s="307"/>
      <c r="H119" s="307"/>
      <c r="I119" s="1715" t="s">
        <v>498</v>
      </c>
      <c r="J119" s="1092">
        <f t="shared" ref="J119:V119" si="18">J111-J115</f>
        <v>0</v>
      </c>
      <c r="K119" s="1093">
        <f t="shared" si="18"/>
        <v>0</v>
      </c>
      <c r="L119" s="1093">
        <f t="shared" si="18"/>
        <v>0</v>
      </c>
      <c r="M119" s="1093">
        <f t="shared" si="18"/>
        <v>0</v>
      </c>
      <c r="N119" s="1093">
        <f t="shared" si="18"/>
        <v>0</v>
      </c>
      <c r="O119" s="1093">
        <f t="shared" si="18"/>
        <v>0</v>
      </c>
      <c r="P119" s="1093">
        <f t="shared" si="18"/>
        <v>0</v>
      </c>
      <c r="Q119" s="1094">
        <f t="shared" si="18"/>
        <v>0</v>
      </c>
      <c r="R119" s="1092">
        <f t="shared" si="18"/>
        <v>0</v>
      </c>
      <c r="S119" s="1093">
        <f t="shared" si="18"/>
        <v>0</v>
      </c>
      <c r="T119" s="1093">
        <f t="shared" si="18"/>
        <v>0</v>
      </c>
      <c r="U119" s="1093">
        <f t="shared" si="18"/>
        <v>0</v>
      </c>
      <c r="V119" s="1094">
        <f t="shared" si="18"/>
        <v>0</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00B050"/>
  </sheetPr>
  <dimension ref="A1:CD53"/>
  <sheetViews>
    <sheetView showGridLines="0" tabSelected="1" zoomScale="60" zoomScaleNormal="60" workbookViewId="0">
      <pane xSplit="7" topLeftCell="AI1" activePane="topRight" state="frozen"/>
      <selection activeCell="G14" sqref="G14"/>
      <selection pane="topRight" activeCell="AS54" sqref="AS54"/>
    </sheetView>
  </sheetViews>
  <sheetFormatPr defaultColWidth="11.875" defaultRowHeight="12.75"/>
  <cols>
    <col min="1" max="1" width="11.875" style="173" customWidth="1"/>
    <col min="2" max="6" width="4.375" style="174" customWidth="1"/>
    <col min="7" max="7" width="38.25" style="173" customWidth="1"/>
    <col min="8" max="8" width="11.875" style="173" customWidth="1"/>
    <col min="9" max="9" width="15.625" style="175" customWidth="1"/>
    <col min="10" max="22" width="15.625" style="173" customWidth="1"/>
    <col min="23" max="23" width="5.625" style="173" customWidth="1"/>
    <col min="24" max="33" width="15.625" style="173" customWidth="1"/>
    <col min="34" max="34" width="15.625" style="175" customWidth="1"/>
    <col min="35" max="37" width="15.625" style="173" customWidth="1"/>
    <col min="38" max="38" width="5.625" style="173" customWidth="1"/>
    <col min="39" max="42" width="15.625" style="173" customWidth="1"/>
    <col min="43" max="43" width="15.625" style="175" customWidth="1"/>
    <col min="44" max="52" width="15.625" style="173" customWidth="1"/>
    <col min="53" max="53" width="5.625" style="173" customWidth="1"/>
    <col min="54" max="67" width="11.875" style="173"/>
    <col min="68" max="68" width="5.625" style="173" customWidth="1"/>
    <col min="69" max="69" width="15.625" style="173" customWidth="1"/>
    <col min="70" max="16384" width="11.875" style="173"/>
  </cols>
  <sheetData>
    <row r="1" spans="1:82" s="2" customFormat="1" ht="25.15" customHeight="1">
      <c r="A1" s="1" t="s">
        <v>0</v>
      </c>
      <c r="E1" s="3"/>
      <c r="H1" s="4" t="s">
        <v>1</v>
      </c>
      <c r="J1" s="3"/>
    </row>
    <row r="2" spans="1:82" s="2" customFormat="1" ht="25.15" customHeight="1">
      <c r="A2" s="5" t="str">
        <f>Fixed_Data!I12</f>
        <v>MASTER</v>
      </c>
      <c r="B2" s="6"/>
      <c r="D2" s="7"/>
      <c r="E2" s="3"/>
    </row>
    <row r="3" spans="1:82" s="9" customFormat="1" ht="25.15" customHeight="1" thickBot="1">
      <c r="A3" s="8" t="str">
        <f>Fixed_Data!A3</f>
        <v>RIIO-GD2</v>
      </c>
      <c r="D3" s="10"/>
      <c r="E3" s="11"/>
    </row>
    <row r="4" spans="1:82" s="89" customFormat="1" ht="25.15" customHeight="1">
      <c r="B4" s="90" t="s">
        <v>2413</v>
      </c>
      <c r="C4" s="90"/>
      <c r="D4" s="90"/>
      <c r="E4" s="90"/>
      <c r="F4" s="90"/>
      <c r="G4" s="91"/>
      <c r="H4" s="92"/>
      <c r="I4" s="93"/>
      <c r="J4" s="94"/>
      <c r="K4" s="94"/>
      <c r="L4" s="94"/>
      <c r="M4" s="94"/>
      <c r="N4" s="94"/>
      <c r="O4" s="94"/>
      <c r="P4" s="94"/>
      <c r="Q4" s="94"/>
      <c r="R4" s="92"/>
      <c r="S4" s="92"/>
      <c r="T4" s="92"/>
      <c r="U4" s="92"/>
      <c r="V4" s="92"/>
      <c r="W4" s="94"/>
      <c r="X4" s="94"/>
      <c r="Y4" s="94"/>
      <c r="Z4" s="94"/>
      <c r="AA4" s="94"/>
      <c r="AB4" s="92"/>
      <c r="AC4" s="92"/>
      <c r="AD4" s="92"/>
      <c r="AE4" s="92"/>
      <c r="AF4" s="92"/>
      <c r="AG4" s="92"/>
      <c r="AH4" s="93"/>
      <c r="AI4" s="94"/>
      <c r="AJ4" s="94"/>
      <c r="AK4" s="94"/>
      <c r="AL4" s="92"/>
      <c r="AM4" s="92"/>
      <c r="AN4" s="92"/>
      <c r="AO4" s="92"/>
      <c r="AP4" s="92"/>
      <c r="AQ4" s="92"/>
      <c r="AR4" s="92"/>
      <c r="AS4" s="92"/>
      <c r="AT4" s="94"/>
      <c r="AU4" s="92"/>
      <c r="AV4" s="92"/>
      <c r="AW4" s="92"/>
      <c r="AX4" s="92"/>
      <c r="AY4" s="92"/>
      <c r="AZ4" s="92"/>
    </row>
    <row r="5" spans="1:82" s="89" customFormat="1" ht="25.15" customHeight="1">
      <c r="B5" s="95" t="s">
        <v>1663</v>
      </c>
      <c r="C5" s="95"/>
      <c r="E5" s="254"/>
      <c r="F5" s="95" t="s">
        <v>463</v>
      </c>
      <c r="G5" s="95"/>
      <c r="H5" s="95"/>
      <c r="J5" s="94"/>
      <c r="K5" s="94"/>
      <c r="L5" s="94"/>
      <c r="M5" s="94"/>
      <c r="N5" s="94"/>
      <c r="O5" s="94"/>
      <c r="P5" s="94"/>
      <c r="Q5" s="94"/>
      <c r="R5" s="92"/>
      <c r="S5" s="92"/>
      <c r="T5" s="92"/>
      <c r="U5" s="92"/>
      <c r="V5" s="92"/>
      <c r="W5" s="94"/>
      <c r="X5" s="94"/>
      <c r="Y5" s="94"/>
      <c r="Z5" s="94"/>
      <c r="AA5" s="94"/>
      <c r="AB5" s="92"/>
      <c r="AC5" s="92"/>
      <c r="AD5" s="92"/>
      <c r="AE5" s="92"/>
      <c r="AF5" s="92"/>
      <c r="AG5" s="92"/>
      <c r="AH5" s="93"/>
      <c r="AI5" s="94"/>
      <c r="AJ5" s="94"/>
      <c r="AK5" s="94"/>
      <c r="AL5" s="92"/>
      <c r="AM5" s="92"/>
      <c r="AN5" s="92"/>
      <c r="AO5" s="92"/>
      <c r="AP5" s="92"/>
      <c r="AQ5" s="92"/>
      <c r="AR5" s="92"/>
      <c r="AS5" s="92"/>
      <c r="AT5" s="94"/>
      <c r="AU5" s="92"/>
      <c r="AV5" s="92"/>
      <c r="AW5" s="92"/>
      <c r="AX5" s="92"/>
      <c r="AY5" s="92"/>
      <c r="AZ5" s="92"/>
    </row>
    <row r="6" spans="1:82" s="89" customFormat="1" ht="15" customHeight="1">
      <c r="B6" s="95"/>
      <c r="C6" s="95"/>
      <c r="D6" s="95"/>
      <c r="E6" s="95"/>
      <c r="F6" s="95"/>
      <c r="G6" s="95"/>
      <c r="H6" s="95"/>
      <c r="I6" s="93"/>
      <c r="J6" s="94"/>
      <c r="K6" s="94"/>
      <c r="L6" s="94"/>
      <c r="M6" s="94"/>
      <c r="N6" s="94"/>
      <c r="O6" s="94"/>
      <c r="P6" s="94"/>
      <c r="Q6" s="94"/>
      <c r="R6" s="92"/>
      <c r="S6" s="92"/>
      <c r="T6" s="92"/>
      <c r="U6" s="92"/>
      <c r="V6" s="92"/>
      <c r="W6" s="94"/>
      <c r="X6" s="94"/>
      <c r="Y6" s="94"/>
      <c r="Z6" s="94"/>
      <c r="AA6" s="94"/>
      <c r="AB6" s="92"/>
      <c r="AC6" s="92"/>
      <c r="AD6" s="92"/>
      <c r="AE6" s="92"/>
      <c r="AF6" s="92"/>
      <c r="AG6" s="92"/>
      <c r="AH6" s="93"/>
      <c r="AI6" s="94"/>
      <c r="AJ6" s="94"/>
      <c r="AK6" s="94"/>
      <c r="AL6" s="92"/>
      <c r="AM6" s="92"/>
      <c r="AN6" s="92"/>
      <c r="AO6" s="92"/>
      <c r="AP6" s="92"/>
      <c r="AQ6" s="92"/>
      <c r="AR6" s="92"/>
      <c r="AS6" s="92"/>
      <c r="AT6" s="94"/>
      <c r="AU6" s="92"/>
      <c r="AV6" s="92"/>
      <c r="AW6" s="92"/>
      <c r="AX6" s="92"/>
      <c r="AY6" s="92"/>
      <c r="AZ6" s="92"/>
    </row>
    <row r="7" spans="1:82"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7"/>
      <c r="AD7" s="97"/>
      <c r="AE7" s="97"/>
      <c r="AF7" s="97"/>
      <c r="AG7" s="97"/>
      <c r="AH7" s="96"/>
      <c r="AI7" s="97"/>
      <c r="AJ7" s="97"/>
      <c r="AK7" s="97"/>
      <c r="AL7" s="97"/>
      <c r="AM7" s="97"/>
      <c r="AN7" s="97"/>
      <c r="AO7" s="97"/>
      <c r="AP7" s="97"/>
      <c r="AQ7" s="96"/>
      <c r="AR7" s="98"/>
      <c r="AS7" s="98"/>
      <c r="AT7" s="98"/>
      <c r="AU7" s="98"/>
      <c r="AV7" s="98"/>
      <c r="AW7" s="98"/>
      <c r="AX7" s="98"/>
      <c r="AY7" s="98"/>
      <c r="AZ7" s="98"/>
    </row>
    <row r="8" spans="1:82" s="100" customFormat="1" ht="30" customHeight="1" thickBot="1">
      <c r="A8" s="89"/>
      <c r="B8" s="621" t="s">
        <v>63</v>
      </c>
      <c r="C8" s="102"/>
      <c r="D8" s="102"/>
      <c r="E8" s="102"/>
      <c r="F8" s="102"/>
      <c r="G8" s="103"/>
      <c r="H8" s="103"/>
      <c r="I8" s="105" t="s">
        <v>1864</v>
      </c>
      <c r="J8" s="106"/>
      <c r="K8" s="106"/>
      <c r="L8" s="106"/>
      <c r="M8" s="106"/>
      <c r="N8" s="106"/>
      <c r="O8" s="106"/>
      <c r="P8" s="106"/>
      <c r="Q8" s="106"/>
      <c r="R8" s="105"/>
      <c r="S8" s="105"/>
      <c r="T8" s="105"/>
      <c r="U8" s="105"/>
      <c r="V8" s="187"/>
      <c r="W8" s="103"/>
      <c r="X8" s="105" t="s">
        <v>2202</v>
      </c>
      <c r="Y8" s="106"/>
      <c r="Z8" s="106"/>
      <c r="AA8" s="106"/>
      <c r="AB8" s="106"/>
      <c r="AC8" s="106"/>
      <c r="AD8" s="106"/>
      <c r="AE8" s="106"/>
      <c r="AF8" s="106"/>
      <c r="AG8" s="105"/>
      <c r="AH8" s="105"/>
      <c r="AI8" s="105"/>
      <c r="AJ8" s="105"/>
      <c r="AK8" s="187"/>
      <c r="AL8" s="103"/>
      <c r="AM8" s="105" t="s">
        <v>1704</v>
      </c>
      <c r="AN8" s="106"/>
      <c r="AO8" s="106"/>
      <c r="AP8" s="106"/>
      <c r="AQ8" s="106"/>
      <c r="AR8" s="106"/>
      <c r="AS8" s="106"/>
      <c r="AT8" s="106"/>
      <c r="AU8" s="106"/>
      <c r="AV8" s="105"/>
      <c r="AW8" s="105"/>
      <c r="AX8" s="105"/>
      <c r="AY8" s="105"/>
      <c r="AZ8" s="187"/>
      <c r="BA8" s="103"/>
      <c r="BB8" s="105" t="s">
        <v>2231</v>
      </c>
      <c r="BC8" s="106"/>
      <c r="BD8" s="106"/>
      <c r="BE8" s="106"/>
      <c r="BF8" s="106"/>
      <c r="BG8" s="106"/>
      <c r="BH8" s="106"/>
      <c r="BI8" s="106"/>
      <c r="BJ8" s="106"/>
      <c r="BK8" s="105"/>
      <c r="BL8" s="105"/>
      <c r="BM8" s="105"/>
      <c r="BN8" s="105"/>
      <c r="BO8" s="187"/>
      <c r="BP8" s="103"/>
      <c r="BQ8" s="105" t="s">
        <v>2414</v>
      </c>
      <c r="BR8" s="106"/>
      <c r="BS8" s="106"/>
      <c r="BT8" s="106"/>
      <c r="BU8" s="106"/>
      <c r="BV8" s="106"/>
      <c r="BW8" s="106"/>
      <c r="BX8" s="106"/>
      <c r="BY8" s="106"/>
      <c r="BZ8" s="105"/>
      <c r="CA8" s="105"/>
      <c r="CB8" s="105"/>
      <c r="CC8" s="105"/>
      <c r="CD8" s="187"/>
    </row>
    <row r="9" spans="1:82"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c r="W9" s="222"/>
      <c r="X9" s="117"/>
      <c r="Y9" s="695" t="s">
        <v>1666</v>
      </c>
      <c r="Z9" s="152"/>
      <c r="AA9" s="152"/>
      <c r="AB9" s="152"/>
      <c r="AC9" s="152"/>
      <c r="AD9" s="152"/>
      <c r="AE9" s="152"/>
      <c r="AF9" s="153"/>
      <c r="AG9" s="696" t="s">
        <v>2</v>
      </c>
      <c r="AH9" s="155"/>
      <c r="AI9" s="155"/>
      <c r="AJ9" s="155"/>
      <c r="AK9" s="156"/>
      <c r="AL9" s="222"/>
      <c r="AM9" s="117"/>
      <c r="AN9" s="695" t="s">
        <v>1666</v>
      </c>
      <c r="AO9" s="152"/>
      <c r="AP9" s="152"/>
      <c r="AQ9" s="152"/>
      <c r="AR9" s="152"/>
      <c r="AS9" s="152"/>
      <c r="AT9" s="152"/>
      <c r="AU9" s="153"/>
      <c r="AV9" s="696" t="s">
        <v>2</v>
      </c>
      <c r="AW9" s="155"/>
      <c r="AX9" s="155"/>
      <c r="AY9" s="155"/>
      <c r="AZ9" s="156"/>
      <c r="BA9" s="222"/>
      <c r="BB9" s="117"/>
      <c r="BC9" s="695" t="s">
        <v>1666</v>
      </c>
      <c r="BD9" s="152"/>
      <c r="BE9" s="152"/>
      <c r="BF9" s="152"/>
      <c r="BG9" s="152"/>
      <c r="BH9" s="152"/>
      <c r="BI9" s="152"/>
      <c r="BJ9" s="153"/>
      <c r="BK9" s="696" t="s">
        <v>2</v>
      </c>
      <c r="BL9" s="155"/>
      <c r="BM9" s="155"/>
      <c r="BN9" s="155"/>
      <c r="BO9" s="156"/>
      <c r="BP9" s="222"/>
      <c r="BQ9" s="117"/>
      <c r="BR9" s="695" t="s">
        <v>1666</v>
      </c>
      <c r="BS9" s="152"/>
      <c r="BT9" s="152"/>
      <c r="BU9" s="152"/>
      <c r="BV9" s="152"/>
      <c r="BW9" s="152"/>
      <c r="BX9" s="152"/>
      <c r="BY9" s="153"/>
      <c r="BZ9" s="696" t="s">
        <v>2</v>
      </c>
      <c r="CA9" s="155"/>
      <c r="CB9" s="155"/>
      <c r="CC9" s="155"/>
      <c r="CD9" s="156"/>
    </row>
    <row r="10" spans="1:82" s="98" customFormat="1" ht="15" customHeight="1">
      <c r="A10" s="99"/>
      <c r="B10" s="115"/>
      <c r="C10" s="185"/>
      <c r="D10" s="185"/>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8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185"/>
      <c r="AM10" s="119" t="s">
        <v>1667</v>
      </c>
      <c r="AN10" s="158" t="s">
        <v>453</v>
      </c>
      <c r="AO10" s="137" t="s">
        <v>455</v>
      </c>
      <c r="AP10" s="137" t="s">
        <v>457</v>
      </c>
      <c r="AQ10" s="137" t="s">
        <v>459</v>
      </c>
      <c r="AR10" s="137" t="s">
        <v>461</v>
      </c>
      <c r="AS10" s="137" t="s">
        <v>463</v>
      </c>
      <c r="AT10" s="137" t="s">
        <v>465</v>
      </c>
      <c r="AU10" s="138" t="s">
        <v>467</v>
      </c>
      <c r="AV10" s="120" t="s">
        <v>469</v>
      </c>
      <c r="AW10" s="121" t="s">
        <v>471</v>
      </c>
      <c r="AX10" s="121" t="s">
        <v>473</v>
      </c>
      <c r="AY10" s="121" t="s">
        <v>475</v>
      </c>
      <c r="AZ10" s="122" t="s">
        <v>477</v>
      </c>
      <c r="BA10" s="185"/>
      <c r="BB10" s="119" t="s">
        <v>1667</v>
      </c>
      <c r="BC10" s="158" t="s">
        <v>453</v>
      </c>
      <c r="BD10" s="137" t="s">
        <v>455</v>
      </c>
      <c r="BE10" s="137" t="s">
        <v>457</v>
      </c>
      <c r="BF10" s="137" t="s">
        <v>459</v>
      </c>
      <c r="BG10" s="137" t="s">
        <v>461</v>
      </c>
      <c r="BH10" s="137" t="s">
        <v>463</v>
      </c>
      <c r="BI10" s="137" t="s">
        <v>465</v>
      </c>
      <c r="BJ10" s="138" t="s">
        <v>467</v>
      </c>
      <c r="BK10" s="120" t="s">
        <v>469</v>
      </c>
      <c r="BL10" s="121" t="s">
        <v>471</v>
      </c>
      <c r="BM10" s="121" t="s">
        <v>473</v>
      </c>
      <c r="BN10" s="121" t="s">
        <v>475</v>
      </c>
      <c r="BO10" s="122" t="s">
        <v>477</v>
      </c>
      <c r="BP10" s="185"/>
      <c r="BQ10" s="119" t="s">
        <v>1667</v>
      </c>
      <c r="BR10" s="158" t="s">
        <v>453</v>
      </c>
      <c r="BS10" s="137" t="s">
        <v>455</v>
      </c>
      <c r="BT10" s="137" t="s">
        <v>457</v>
      </c>
      <c r="BU10" s="137" t="s">
        <v>459</v>
      </c>
      <c r="BV10" s="137" t="s">
        <v>461</v>
      </c>
      <c r="BW10" s="137" t="s">
        <v>463</v>
      </c>
      <c r="BX10" s="137" t="s">
        <v>465</v>
      </c>
      <c r="BY10" s="138" t="s">
        <v>467</v>
      </c>
      <c r="BZ10" s="120" t="s">
        <v>469</v>
      </c>
      <c r="CA10" s="121" t="s">
        <v>471</v>
      </c>
      <c r="CB10" s="121" t="s">
        <v>473</v>
      </c>
      <c r="CC10" s="121" t="s">
        <v>475</v>
      </c>
      <c r="CD10" s="122" t="s">
        <v>477</v>
      </c>
    </row>
    <row r="11" spans="1:82" s="98" customFormat="1" ht="15" customHeight="1">
      <c r="A11" s="99"/>
      <c r="B11" s="161"/>
      <c r="C11" s="116" t="s">
        <v>64</v>
      </c>
      <c r="D11" s="116"/>
      <c r="E11" s="180"/>
      <c r="F11" s="180"/>
      <c r="G11" s="162"/>
      <c r="H11" s="163"/>
      <c r="I11" s="117"/>
      <c r="J11" s="159"/>
      <c r="K11" s="117"/>
      <c r="L11" s="117"/>
      <c r="M11" s="117"/>
      <c r="N11" s="117"/>
      <c r="O11" s="117"/>
      <c r="P11" s="117"/>
      <c r="Q11" s="160"/>
      <c r="R11" s="159"/>
      <c r="S11" s="117"/>
      <c r="T11" s="117"/>
      <c r="U11" s="117"/>
      <c r="V11" s="160"/>
      <c r="W11" s="185"/>
      <c r="X11" s="117"/>
      <c r="Y11" s="159"/>
      <c r="Z11" s="117"/>
      <c r="AA11" s="117"/>
      <c r="AB11" s="117"/>
      <c r="AC11" s="117"/>
      <c r="AD11" s="117"/>
      <c r="AE11" s="117"/>
      <c r="AF11" s="160"/>
      <c r="AG11" s="159"/>
      <c r="AH11" s="117"/>
      <c r="AI11" s="117"/>
      <c r="AJ11" s="117"/>
      <c r="AK11" s="160"/>
      <c r="AL11" s="185"/>
      <c r="AM11" s="117"/>
      <c r="AN11" s="159"/>
      <c r="AO11" s="117"/>
      <c r="AP11" s="117"/>
      <c r="AQ11" s="117"/>
      <c r="AR11" s="117"/>
      <c r="AS11" s="117"/>
      <c r="AT11" s="117"/>
      <c r="AU11" s="160"/>
      <c r="AV11" s="159"/>
      <c r="AW11" s="117"/>
      <c r="AX11" s="117"/>
      <c r="AY11" s="117"/>
      <c r="AZ11" s="160"/>
      <c r="BA11" s="185"/>
      <c r="BB11" s="117"/>
      <c r="BC11" s="159"/>
      <c r="BD11" s="117"/>
      <c r="BE11" s="117"/>
      <c r="BF11" s="117"/>
      <c r="BG11" s="117"/>
      <c r="BH11" s="117"/>
      <c r="BI11" s="117"/>
      <c r="BJ11" s="160"/>
      <c r="BK11" s="159"/>
      <c r="BL11" s="117"/>
      <c r="BM11" s="117"/>
      <c r="BN11" s="117"/>
      <c r="BO11" s="160"/>
      <c r="BP11" s="185"/>
      <c r="BQ11" s="117"/>
      <c r="BR11" s="159"/>
      <c r="BS11" s="117"/>
      <c r="BT11" s="117"/>
      <c r="BU11" s="117"/>
      <c r="BV11" s="117"/>
      <c r="BW11" s="117"/>
      <c r="BX11" s="117"/>
      <c r="BY11" s="160"/>
      <c r="BZ11" s="159"/>
      <c r="CA11" s="117"/>
      <c r="CB11" s="117"/>
      <c r="CC11" s="117"/>
      <c r="CD11" s="160"/>
    </row>
    <row r="12" spans="1:82" s="98" customFormat="1" ht="15" customHeight="1">
      <c r="A12" s="99"/>
      <c r="B12" s="161"/>
      <c r="C12" s="616"/>
      <c r="D12" s="162" t="s">
        <v>1819</v>
      </c>
      <c r="E12" s="617"/>
      <c r="F12" s="162"/>
      <c r="G12" s="162"/>
      <c r="H12" s="185"/>
      <c r="I12" s="164" t="s">
        <v>498</v>
      </c>
      <c r="J12" s="641">
        <f>'3.01_LTS_Storage_&amp;_Entry'!J13</f>
        <v>1.3656390664557374</v>
      </c>
      <c r="K12" s="642">
        <f>'3.01_LTS_Storage_&amp;_Entry'!K13</f>
        <v>3.7838174961038948</v>
      </c>
      <c r="L12" s="642">
        <f>'3.01_LTS_Storage_&amp;_Entry'!L13</f>
        <v>6.6838520171381512</v>
      </c>
      <c r="M12" s="642">
        <f>'3.01_LTS_Storage_&amp;_Entry'!M13</f>
        <v>5.2995398888288481</v>
      </c>
      <c r="N12" s="642">
        <f>'3.01_LTS_Storage_&amp;_Entry'!N13</f>
        <v>7.0865896920031979</v>
      </c>
      <c r="O12" s="642">
        <f>'3.01_LTS_Storage_&amp;_Entry'!O13</f>
        <v>3.3034204243434786</v>
      </c>
      <c r="P12" s="642">
        <f>'3.01_LTS_Storage_&amp;_Entry'!P13</f>
        <v>4.8348236806488378</v>
      </c>
      <c r="Q12" s="643">
        <f>'3.01_LTS_Storage_&amp;_Entry'!Q13</f>
        <v>8.7044356771302152</v>
      </c>
      <c r="R12" s="641">
        <f>'3.01_LTS_Storage_&amp;_Entry'!R13</f>
        <v>3.1893774830364552</v>
      </c>
      <c r="S12" s="642">
        <f>'3.01_LTS_Storage_&amp;_Entry'!S13</f>
        <v>8.2208103819912441</v>
      </c>
      <c r="T12" s="642">
        <f>'3.01_LTS_Storage_&amp;_Entry'!T13</f>
        <v>9.8013298223630532</v>
      </c>
      <c r="U12" s="642">
        <f>'3.01_LTS_Storage_&amp;_Entry'!U13</f>
        <v>6.5238574180136304</v>
      </c>
      <c r="V12" s="643">
        <f>'3.01_LTS_Storage_&amp;_Entry'!V13</f>
        <v>5.8989590932201299</v>
      </c>
      <c r="W12" s="185"/>
      <c r="X12" s="164" t="s">
        <v>498</v>
      </c>
      <c r="Y12" s="641">
        <f>'3.01_LTS_Storage_&amp;_Entry'!Y93</f>
        <v>-6.1839030544267121E-2</v>
      </c>
      <c r="Z12" s="642">
        <f>'3.01_LTS_Storage_&amp;_Entry'!Z93</f>
        <v>-0.19978732987012979</v>
      </c>
      <c r="AA12" s="642">
        <f>'3.01_LTS_Storage_&amp;_Entry'!AA93</f>
        <v>-0.95022278538609772</v>
      </c>
      <c r="AB12" s="642">
        <f>'3.01_LTS_Storage_&amp;_Entry'!AB93</f>
        <v>-0.90023723512287124</v>
      </c>
      <c r="AC12" s="642">
        <f>'3.01_LTS_Storage_&amp;_Entry'!AC93</f>
        <v>-3.2586588494059097</v>
      </c>
      <c r="AD12" s="642">
        <f>'3.01_LTS_Storage_&amp;_Entry'!AD93</f>
        <v>-0.10707116</v>
      </c>
      <c r="AE12" s="642">
        <f>'3.01_LTS_Storage_&amp;_Entry'!AE93</f>
        <v>-1.7015121703286411</v>
      </c>
      <c r="AF12" s="643">
        <f>'3.01_LTS_Storage_&amp;_Entry'!AF93</f>
        <v>-4.3914334637257522</v>
      </c>
      <c r="AG12" s="641">
        <f>'3.01_LTS_Storage_&amp;_Entry'!AG93</f>
        <v>0</v>
      </c>
      <c r="AH12" s="642">
        <f>'3.01_LTS_Storage_&amp;_Entry'!AH93</f>
        <v>0</v>
      </c>
      <c r="AI12" s="642">
        <f>'3.01_LTS_Storage_&amp;_Entry'!AI93</f>
        <v>0</v>
      </c>
      <c r="AJ12" s="642">
        <f>'3.01_LTS_Storage_&amp;_Entry'!AJ93</f>
        <v>0</v>
      </c>
      <c r="AK12" s="643">
        <f>'3.01_LTS_Storage_&amp;_Entry'!AK93</f>
        <v>0</v>
      </c>
      <c r="AL12" s="185"/>
      <c r="AM12" s="164" t="s">
        <v>498</v>
      </c>
      <c r="AN12" s="641">
        <f>SUM(J12,Y12)</f>
        <v>1.3038000359114703</v>
      </c>
      <c r="AO12" s="642">
        <f t="shared" ref="AO12:AZ16" si="0">SUM(K12,Z12)</f>
        <v>3.5840301662337652</v>
      </c>
      <c r="AP12" s="642">
        <f t="shared" si="0"/>
        <v>5.7336292317520536</v>
      </c>
      <c r="AQ12" s="642">
        <f t="shared" si="0"/>
        <v>4.399302653705977</v>
      </c>
      <c r="AR12" s="642">
        <f t="shared" si="0"/>
        <v>3.8279308425972882</v>
      </c>
      <c r="AS12" s="642">
        <f t="shared" si="0"/>
        <v>3.1963492643434788</v>
      </c>
      <c r="AT12" s="642">
        <f t="shared" si="0"/>
        <v>3.1333115103201967</v>
      </c>
      <c r="AU12" s="643">
        <f t="shared" si="0"/>
        <v>4.313002213404463</v>
      </c>
      <c r="AV12" s="641">
        <f t="shared" si="0"/>
        <v>3.1893774830364552</v>
      </c>
      <c r="AW12" s="642">
        <f t="shared" si="0"/>
        <v>8.2208103819912441</v>
      </c>
      <c r="AX12" s="642">
        <f t="shared" si="0"/>
        <v>9.8013298223630532</v>
      </c>
      <c r="AY12" s="642">
        <f t="shared" si="0"/>
        <v>6.5238574180136304</v>
      </c>
      <c r="AZ12" s="643">
        <f t="shared" si="0"/>
        <v>5.8989590932201299</v>
      </c>
      <c r="BA12" s="185"/>
      <c r="BB12" s="164" t="s">
        <v>2233</v>
      </c>
      <c r="BC12" s="641">
        <f>'3.01_LTS_Storage_&amp;_Entry'!AN93</f>
        <v>0</v>
      </c>
      <c r="BD12" s="642">
        <f>'3.01_LTS_Storage_&amp;_Entry'!AO93</f>
        <v>0</v>
      </c>
      <c r="BE12" s="642">
        <f>'3.01_LTS_Storage_&amp;_Entry'!AP93</f>
        <v>2.1819999999999999</v>
      </c>
      <c r="BF12" s="642">
        <f>'3.01_LTS_Storage_&amp;_Entry'!AQ93</f>
        <v>2.8029999999999999</v>
      </c>
      <c r="BG12" s="642">
        <f>'3.01_LTS_Storage_&amp;_Entry'!AR93</f>
        <v>2.6010000000000004</v>
      </c>
      <c r="BH12" s="642">
        <f>'3.01_LTS_Storage_&amp;_Entry'!AS93</f>
        <v>2.6750000000000003</v>
      </c>
      <c r="BI12" s="642">
        <f>'3.01_LTS_Storage_&amp;_Entry'!AT93</f>
        <v>0</v>
      </c>
      <c r="BJ12" s="643">
        <f>'3.01_LTS_Storage_&amp;_Entry'!AU93</f>
        <v>0.7</v>
      </c>
      <c r="BK12" s="641">
        <f>'3.01_LTS_Storage_&amp;_Entry'!AV93</f>
        <v>0</v>
      </c>
      <c r="BL12" s="642">
        <f>'3.01_LTS_Storage_&amp;_Entry'!AW93</f>
        <v>0</v>
      </c>
      <c r="BM12" s="642">
        <f>'3.01_LTS_Storage_&amp;_Entry'!AX93</f>
        <v>0</v>
      </c>
      <c r="BN12" s="642">
        <f>'3.01_LTS_Storage_&amp;_Entry'!AY93</f>
        <v>0</v>
      </c>
      <c r="BO12" s="643">
        <f>'3.01_LTS_Storage_&amp;_Entry'!AZ93</f>
        <v>0</v>
      </c>
      <c r="BP12" s="185"/>
      <c r="BQ12" s="164" t="s">
        <v>2415</v>
      </c>
      <c r="BR12" s="641">
        <f>IFERROR(AN12/BC12,0)</f>
        <v>0</v>
      </c>
      <c r="BS12" s="642">
        <f t="shared" ref="BS12:CD12" si="1">IFERROR(AO12/BD12,0)</f>
        <v>0</v>
      </c>
      <c r="BT12" s="642">
        <f t="shared" si="1"/>
        <v>2.6276944233510786</v>
      </c>
      <c r="BU12" s="642">
        <f t="shared" si="1"/>
        <v>1.5694979142725569</v>
      </c>
      <c r="BV12" s="642">
        <f t="shared" si="1"/>
        <v>1.4717150490570117</v>
      </c>
      <c r="BW12" s="642">
        <f t="shared" si="1"/>
        <v>1.1948969212498985</v>
      </c>
      <c r="BX12" s="642">
        <f t="shared" si="1"/>
        <v>0</v>
      </c>
      <c r="BY12" s="643">
        <f t="shared" si="1"/>
        <v>6.1614317334349478</v>
      </c>
      <c r="BZ12" s="641">
        <f t="shared" si="1"/>
        <v>0</v>
      </c>
      <c r="CA12" s="642">
        <f t="shared" si="1"/>
        <v>0</v>
      </c>
      <c r="CB12" s="642">
        <f t="shared" si="1"/>
        <v>0</v>
      </c>
      <c r="CC12" s="642">
        <f t="shared" si="1"/>
        <v>0</v>
      </c>
      <c r="CD12" s="643">
        <f t="shared" si="1"/>
        <v>0</v>
      </c>
    </row>
    <row r="13" spans="1:82" s="98" customFormat="1" ht="15" customHeight="1">
      <c r="A13" s="99"/>
      <c r="B13" s="161"/>
      <c r="C13" s="616"/>
      <c r="D13" s="185" t="s">
        <v>2271</v>
      </c>
      <c r="E13" s="185"/>
      <c r="F13" s="162"/>
      <c r="G13" s="185"/>
      <c r="H13" s="185"/>
      <c r="I13" s="164" t="s">
        <v>498</v>
      </c>
      <c r="J13" s="641">
        <f>'3.01_LTS_Storage_&amp;_Entry'!J14</f>
        <v>2.4007486405725368E-2</v>
      </c>
      <c r="K13" s="642">
        <f>'3.01_LTS_Storage_&amp;_Entry'!K14</f>
        <v>0</v>
      </c>
      <c r="L13" s="642">
        <f>'3.01_LTS_Storage_&amp;_Entry'!L14</f>
        <v>0</v>
      </c>
      <c r="M13" s="642">
        <f>'3.01_LTS_Storage_&amp;_Entry'!M14</f>
        <v>0</v>
      </c>
      <c r="N13" s="642">
        <f>'3.01_LTS_Storage_&amp;_Entry'!N14</f>
        <v>2.4654384554133397E-2</v>
      </c>
      <c r="O13" s="642">
        <f>'3.01_LTS_Storage_&amp;_Entry'!O14</f>
        <v>0</v>
      </c>
      <c r="P13" s="642">
        <f>'3.01_LTS_Storage_&amp;_Entry'!P14</f>
        <v>0</v>
      </c>
      <c r="Q13" s="643">
        <f>'3.01_LTS_Storage_&amp;_Entry'!Q14</f>
        <v>0</v>
      </c>
      <c r="R13" s="641">
        <f>'3.01_LTS_Storage_&amp;_Entry'!R14</f>
        <v>0</v>
      </c>
      <c r="S13" s="642">
        <f>'3.01_LTS_Storage_&amp;_Entry'!S14</f>
        <v>0</v>
      </c>
      <c r="T13" s="642">
        <f>'3.01_LTS_Storage_&amp;_Entry'!T14</f>
        <v>0</v>
      </c>
      <c r="U13" s="642">
        <f>'3.01_LTS_Storage_&amp;_Entry'!U14</f>
        <v>0</v>
      </c>
      <c r="V13" s="643">
        <f>'3.01_LTS_Storage_&amp;_Entry'!V14</f>
        <v>0</v>
      </c>
      <c r="W13" s="185"/>
      <c r="X13" s="164" t="s">
        <v>498</v>
      </c>
      <c r="Y13" s="641">
        <f>'3.01_LTS_Storage_&amp;_Entry'!Y116</f>
        <v>0</v>
      </c>
      <c r="Z13" s="642">
        <f>'3.01_LTS_Storage_&amp;_Entry'!Z116</f>
        <v>0</v>
      </c>
      <c r="AA13" s="642">
        <f>'3.01_LTS_Storage_&amp;_Entry'!AA116</f>
        <v>0</v>
      </c>
      <c r="AB13" s="642">
        <f>'3.01_LTS_Storage_&amp;_Entry'!AB116</f>
        <v>0</v>
      </c>
      <c r="AC13" s="642">
        <f>'3.01_LTS_Storage_&amp;_Entry'!AC116</f>
        <v>0</v>
      </c>
      <c r="AD13" s="642">
        <f>'3.01_LTS_Storage_&amp;_Entry'!AD116</f>
        <v>0</v>
      </c>
      <c r="AE13" s="642">
        <f>'3.01_LTS_Storage_&amp;_Entry'!AE116</f>
        <v>0</v>
      </c>
      <c r="AF13" s="643">
        <f>'3.01_LTS_Storage_&amp;_Entry'!AF116</f>
        <v>0</v>
      </c>
      <c r="AG13" s="641">
        <f>'3.01_LTS_Storage_&amp;_Entry'!AG116</f>
        <v>0</v>
      </c>
      <c r="AH13" s="642">
        <f>'3.01_LTS_Storage_&amp;_Entry'!AH116</f>
        <v>0</v>
      </c>
      <c r="AI13" s="642">
        <f>'3.01_LTS_Storage_&amp;_Entry'!AI116</f>
        <v>0</v>
      </c>
      <c r="AJ13" s="642">
        <f>'3.01_LTS_Storage_&amp;_Entry'!AJ116</f>
        <v>0</v>
      </c>
      <c r="AK13" s="643">
        <f>'3.01_LTS_Storage_&amp;_Entry'!AK116</f>
        <v>0</v>
      </c>
      <c r="AL13" s="185"/>
      <c r="AM13" s="164" t="s">
        <v>498</v>
      </c>
      <c r="AN13" s="641">
        <f t="shared" ref="AN13:AN16" si="2">SUM(J13,Y13)</f>
        <v>2.4007486405725368E-2</v>
      </c>
      <c r="AO13" s="642">
        <f t="shared" si="0"/>
        <v>0</v>
      </c>
      <c r="AP13" s="642">
        <f t="shared" si="0"/>
        <v>0</v>
      </c>
      <c r="AQ13" s="642">
        <f t="shared" si="0"/>
        <v>0</v>
      </c>
      <c r="AR13" s="642">
        <f t="shared" si="0"/>
        <v>2.4654384554133397E-2</v>
      </c>
      <c r="AS13" s="642">
        <f t="shared" si="0"/>
        <v>0</v>
      </c>
      <c r="AT13" s="642">
        <f t="shared" si="0"/>
        <v>0</v>
      </c>
      <c r="AU13" s="643">
        <f t="shared" si="0"/>
        <v>0</v>
      </c>
      <c r="AV13" s="641">
        <f t="shared" si="0"/>
        <v>0</v>
      </c>
      <c r="AW13" s="642">
        <f t="shared" si="0"/>
        <v>0</v>
      </c>
      <c r="AX13" s="642">
        <f t="shared" si="0"/>
        <v>0</v>
      </c>
      <c r="AY13" s="642">
        <f t="shared" si="0"/>
        <v>0</v>
      </c>
      <c r="AZ13" s="643">
        <f t="shared" si="0"/>
        <v>0</v>
      </c>
      <c r="BA13" s="185"/>
      <c r="BB13" s="185"/>
      <c r="BC13" s="161"/>
      <c r="BD13" s="185"/>
      <c r="BE13" s="185"/>
      <c r="BF13" s="185"/>
      <c r="BG13" s="185"/>
      <c r="BH13" s="185"/>
      <c r="BI13" s="185"/>
      <c r="BJ13" s="215"/>
      <c r="BK13" s="161"/>
      <c r="BL13" s="185"/>
      <c r="BM13" s="185"/>
      <c r="BN13" s="185"/>
      <c r="BO13" s="215"/>
      <c r="BP13" s="185"/>
      <c r="BQ13" s="185"/>
      <c r="BR13" s="161"/>
      <c r="BS13" s="185"/>
      <c r="BT13" s="185"/>
      <c r="BU13" s="185"/>
      <c r="BV13" s="185"/>
      <c r="BW13" s="185"/>
      <c r="BX13" s="185"/>
      <c r="BY13" s="215"/>
      <c r="BZ13" s="161"/>
      <c r="CA13" s="185"/>
      <c r="CB13" s="185"/>
      <c r="CC13" s="185"/>
      <c r="CD13" s="215"/>
    </row>
    <row r="14" spans="1:82" s="98" customFormat="1" ht="15" customHeight="1">
      <c r="A14" s="99"/>
      <c r="B14" s="161"/>
      <c r="C14" s="616"/>
      <c r="D14" s="185" t="s">
        <v>1825</v>
      </c>
      <c r="E14" s="185"/>
      <c r="F14" s="162"/>
      <c r="G14" s="185"/>
      <c r="H14" s="185"/>
      <c r="I14" s="164" t="s">
        <v>498</v>
      </c>
      <c r="J14" s="641">
        <f>'3.01_LTS_Storage_&amp;_Entry'!J15</f>
        <v>4.0400893632073318</v>
      </c>
      <c r="K14" s="642">
        <f>'3.01_LTS_Storage_&amp;_Entry'!K15</f>
        <v>4.8953414805194795</v>
      </c>
      <c r="L14" s="642">
        <f>'3.01_LTS_Storage_&amp;_Entry'!L15</f>
        <v>5.5438759453909308</v>
      </c>
      <c r="M14" s="642">
        <f>'3.01_LTS_Storage_&amp;_Entry'!M15</f>
        <v>8.6314457573299439</v>
      </c>
      <c r="N14" s="642">
        <f>'3.01_LTS_Storage_&amp;_Entry'!N15</f>
        <v>4.8479229848261802</v>
      </c>
      <c r="O14" s="642">
        <f>'3.01_LTS_Storage_&amp;_Entry'!O15</f>
        <v>7.3980908708752944</v>
      </c>
      <c r="P14" s="642">
        <f>'3.01_LTS_Storage_&amp;_Entry'!P15</f>
        <v>4.3275051485215572</v>
      </c>
      <c r="Q14" s="643">
        <f>'3.01_LTS_Storage_&amp;_Entry'!Q15</f>
        <v>3.7560068410035097</v>
      </c>
      <c r="R14" s="641">
        <f>'3.01_LTS_Storage_&amp;_Entry'!R15</f>
        <v>3.7112130888439712</v>
      </c>
      <c r="S14" s="642">
        <f>'3.01_LTS_Storage_&amp;_Entry'!S15</f>
        <v>5.5417205454354335</v>
      </c>
      <c r="T14" s="642">
        <f>'3.01_LTS_Storage_&amp;_Entry'!T15</f>
        <v>9.4420735844629089</v>
      </c>
      <c r="U14" s="642">
        <f>'3.01_LTS_Storage_&amp;_Entry'!U15</f>
        <v>5.3370678164842831</v>
      </c>
      <c r="V14" s="643">
        <f>'3.01_LTS_Storage_&amp;_Entry'!V15</f>
        <v>5.6014057712929928</v>
      </c>
      <c r="W14" s="185"/>
      <c r="X14" s="164" t="s">
        <v>498</v>
      </c>
      <c r="Y14" s="641">
        <f>'3.01_LTS_Storage_&amp;_Entry'!Y154</f>
        <v>0</v>
      </c>
      <c r="Z14" s="642">
        <f>'3.01_LTS_Storage_&amp;_Entry'!Z154</f>
        <v>0</v>
      </c>
      <c r="AA14" s="642">
        <f>'3.01_LTS_Storage_&amp;_Entry'!AA154</f>
        <v>0</v>
      </c>
      <c r="AB14" s="642">
        <f>'3.01_LTS_Storage_&amp;_Entry'!AB154</f>
        <v>-0.1055292685401823</v>
      </c>
      <c r="AC14" s="642">
        <f>'3.01_LTS_Storage_&amp;_Entry'!AC154</f>
        <v>-5.4619450870836778E-2</v>
      </c>
      <c r="AD14" s="642">
        <f>'3.01_LTS_Storage_&amp;_Entry'!AD154</f>
        <v>0</v>
      </c>
      <c r="AE14" s="642">
        <f>'3.01_LTS_Storage_&amp;_Entry'!AE154</f>
        <v>0</v>
      </c>
      <c r="AF14" s="643">
        <f>'3.01_LTS_Storage_&amp;_Entry'!AF154</f>
        <v>0</v>
      </c>
      <c r="AG14" s="641">
        <f>'3.01_LTS_Storage_&amp;_Entry'!AG154</f>
        <v>0</v>
      </c>
      <c r="AH14" s="642">
        <f>'3.01_LTS_Storage_&amp;_Entry'!AH154</f>
        <v>0</v>
      </c>
      <c r="AI14" s="642">
        <f>'3.01_LTS_Storage_&amp;_Entry'!AI154</f>
        <v>0</v>
      </c>
      <c r="AJ14" s="642">
        <f>'3.01_LTS_Storage_&amp;_Entry'!AJ154</f>
        <v>0</v>
      </c>
      <c r="AK14" s="643">
        <f>'3.01_LTS_Storage_&amp;_Entry'!AK154</f>
        <v>0</v>
      </c>
      <c r="AL14" s="185"/>
      <c r="AM14" s="164" t="s">
        <v>498</v>
      </c>
      <c r="AN14" s="641">
        <f t="shared" si="2"/>
        <v>4.0400893632073318</v>
      </c>
      <c r="AO14" s="642">
        <f t="shared" si="0"/>
        <v>4.8953414805194795</v>
      </c>
      <c r="AP14" s="642">
        <f t="shared" si="0"/>
        <v>5.5438759453909308</v>
      </c>
      <c r="AQ14" s="642">
        <f t="shared" si="0"/>
        <v>8.5259164887897612</v>
      </c>
      <c r="AR14" s="642">
        <f t="shared" si="0"/>
        <v>4.7933035339553438</v>
      </c>
      <c r="AS14" s="642">
        <f t="shared" si="0"/>
        <v>7.3980908708752944</v>
      </c>
      <c r="AT14" s="642">
        <f t="shared" si="0"/>
        <v>4.3275051485215572</v>
      </c>
      <c r="AU14" s="643">
        <f t="shared" si="0"/>
        <v>3.7560068410035097</v>
      </c>
      <c r="AV14" s="641">
        <f t="shared" si="0"/>
        <v>3.7112130888439712</v>
      </c>
      <c r="AW14" s="642">
        <f t="shared" si="0"/>
        <v>5.5417205454354335</v>
      </c>
      <c r="AX14" s="642">
        <f t="shared" si="0"/>
        <v>9.4420735844629089</v>
      </c>
      <c r="AY14" s="642">
        <f t="shared" si="0"/>
        <v>5.3370678164842831</v>
      </c>
      <c r="AZ14" s="643">
        <f t="shared" si="0"/>
        <v>5.6014057712929928</v>
      </c>
      <c r="BA14" s="185"/>
      <c r="BB14" s="185"/>
      <c r="BC14" s="161"/>
      <c r="BD14" s="185"/>
      <c r="BE14" s="185"/>
      <c r="BF14" s="185"/>
      <c r="BG14" s="185"/>
      <c r="BH14" s="185"/>
      <c r="BI14" s="185"/>
      <c r="BJ14" s="215"/>
      <c r="BK14" s="161"/>
      <c r="BL14" s="185"/>
      <c r="BM14" s="185"/>
      <c r="BN14" s="185"/>
      <c r="BO14" s="215"/>
      <c r="BP14" s="185"/>
      <c r="BQ14" s="185"/>
      <c r="BR14" s="161"/>
      <c r="BS14" s="185"/>
      <c r="BT14" s="185"/>
      <c r="BU14" s="185"/>
      <c r="BV14" s="185"/>
      <c r="BW14" s="185"/>
      <c r="BX14" s="185"/>
      <c r="BY14" s="215"/>
      <c r="BZ14" s="161"/>
      <c r="CA14" s="185"/>
      <c r="CB14" s="185"/>
      <c r="CC14" s="185"/>
      <c r="CD14" s="215"/>
    </row>
    <row r="15" spans="1:82" s="98" customFormat="1" ht="15" customHeight="1">
      <c r="A15" s="99"/>
      <c r="B15" s="161"/>
      <c r="C15" s="616"/>
      <c r="D15" s="185" t="s">
        <v>1809</v>
      </c>
      <c r="E15" s="185"/>
      <c r="F15" s="162"/>
      <c r="G15" s="185"/>
      <c r="H15" s="185"/>
      <c r="I15" s="164" t="s">
        <v>498</v>
      </c>
      <c r="J15" s="641">
        <f>'3.01_LTS_Storage_&amp;_Entry'!J16</f>
        <v>4.611664624625476</v>
      </c>
      <c r="K15" s="642">
        <f>'3.01_LTS_Storage_&amp;_Entry'!K16</f>
        <v>8.0698628103896084</v>
      </c>
      <c r="L15" s="642">
        <f>'3.01_LTS_Storage_&amp;_Entry'!L16</f>
        <v>10.467881919160165</v>
      </c>
      <c r="M15" s="642">
        <f>'3.01_LTS_Storage_&amp;_Entry'!M16</f>
        <v>3.0659847026691196</v>
      </c>
      <c r="N15" s="642">
        <f>'3.01_LTS_Storage_&amp;_Entry'!N16</f>
        <v>3.0782148758404273</v>
      </c>
      <c r="O15" s="642">
        <f>'3.01_LTS_Storage_&amp;_Entry'!O16</f>
        <v>5.1449289342990108</v>
      </c>
      <c r="P15" s="642">
        <f>'3.01_LTS_Storage_&amp;_Entry'!P16</f>
        <v>5.9365300478684198</v>
      </c>
      <c r="Q15" s="643">
        <f>'3.01_LTS_Storage_&amp;_Entry'!Q16</f>
        <v>5.9951093760664111</v>
      </c>
      <c r="R15" s="641">
        <f>'3.01_LTS_Storage_&amp;_Entry'!R16</f>
        <v>4.2064233773350752</v>
      </c>
      <c r="S15" s="642">
        <f>'3.01_LTS_Storage_&amp;_Entry'!S16</f>
        <v>4.6493894717327349</v>
      </c>
      <c r="T15" s="642">
        <f>'3.01_LTS_Storage_&amp;_Entry'!T16</f>
        <v>2.406831846324641</v>
      </c>
      <c r="U15" s="642">
        <f>'3.01_LTS_Storage_&amp;_Entry'!U16</f>
        <v>4.7760222042234837</v>
      </c>
      <c r="V15" s="643">
        <f>'3.01_LTS_Storage_&amp;_Entry'!V16</f>
        <v>3.8508372058238227</v>
      </c>
      <c r="W15" s="185"/>
      <c r="X15" s="164" t="s">
        <v>498</v>
      </c>
      <c r="Y15" s="641">
        <f>'3.01_LTS_Storage_&amp;_Entry'!Y177</f>
        <v>0</v>
      </c>
      <c r="Z15" s="642">
        <f>'3.01_LTS_Storage_&amp;_Entry'!Z177</f>
        <v>0</v>
      </c>
      <c r="AA15" s="642">
        <f>'3.01_LTS_Storage_&amp;_Entry'!AA177</f>
        <v>0</v>
      </c>
      <c r="AB15" s="642">
        <f>'3.01_LTS_Storage_&amp;_Entry'!AB177</f>
        <v>0</v>
      </c>
      <c r="AC15" s="642">
        <f>'3.01_LTS_Storage_&amp;_Entry'!AC177</f>
        <v>0</v>
      </c>
      <c r="AD15" s="642">
        <f>'3.01_LTS_Storage_&amp;_Entry'!AD177</f>
        <v>0</v>
      </c>
      <c r="AE15" s="642">
        <f>'3.01_LTS_Storage_&amp;_Entry'!AE177</f>
        <v>0</v>
      </c>
      <c r="AF15" s="643">
        <f>'3.01_LTS_Storage_&amp;_Entry'!AF177</f>
        <v>0</v>
      </c>
      <c r="AG15" s="641">
        <f>'3.01_LTS_Storage_&amp;_Entry'!AG177</f>
        <v>0</v>
      </c>
      <c r="AH15" s="642">
        <f>'3.01_LTS_Storage_&amp;_Entry'!AH177</f>
        <v>0</v>
      </c>
      <c r="AI15" s="642">
        <f>'3.01_LTS_Storage_&amp;_Entry'!AI177</f>
        <v>0</v>
      </c>
      <c r="AJ15" s="642">
        <f>'3.01_LTS_Storage_&amp;_Entry'!AJ177</f>
        <v>0</v>
      </c>
      <c r="AK15" s="643">
        <f>'3.01_LTS_Storage_&amp;_Entry'!AK177</f>
        <v>0</v>
      </c>
      <c r="AL15" s="185"/>
      <c r="AM15" s="164" t="s">
        <v>498</v>
      </c>
      <c r="AN15" s="641">
        <f t="shared" si="2"/>
        <v>4.611664624625476</v>
      </c>
      <c r="AO15" s="642">
        <f t="shared" si="0"/>
        <v>8.0698628103896084</v>
      </c>
      <c r="AP15" s="642">
        <f t="shared" si="0"/>
        <v>10.467881919160165</v>
      </c>
      <c r="AQ15" s="642">
        <f t="shared" si="0"/>
        <v>3.0659847026691196</v>
      </c>
      <c r="AR15" s="642">
        <f t="shared" si="0"/>
        <v>3.0782148758404273</v>
      </c>
      <c r="AS15" s="642">
        <f t="shared" si="0"/>
        <v>5.1449289342990108</v>
      </c>
      <c r="AT15" s="642">
        <f t="shared" si="0"/>
        <v>5.9365300478684198</v>
      </c>
      <c r="AU15" s="643">
        <f t="shared" si="0"/>
        <v>5.9951093760664111</v>
      </c>
      <c r="AV15" s="641">
        <f t="shared" si="0"/>
        <v>4.2064233773350752</v>
      </c>
      <c r="AW15" s="642">
        <f t="shared" si="0"/>
        <v>4.6493894717327349</v>
      </c>
      <c r="AX15" s="642">
        <f t="shared" si="0"/>
        <v>2.406831846324641</v>
      </c>
      <c r="AY15" s="642">
        <f t="shared" si="0"/>
        <v>4.7760222042234837</v>
      </c>
      <c r="AZ15" s="643">
        <f t="shared" si="0"/>
        <v>3.8508372058238227</v>
      </c>
      <c r="BA15" s="185"/>
      <c r="BB15" s="185"/>
      <c r="BC15" s="161"/>
      <c r="BD15" s="185"/>
      <c r="BE15" s="185"/>
      <c r="BF15" s="185"/>
      <c r="BG15" s="185"/>
      <c r="BH15" s="185"/>
      <c r="BI15" s="185"/>
      <c r="BJ15" s="215"/>
      <c r="BK15" s="161"/>
      <c r="BL15" s="185"/>
      <c r="BM15" s="185"/>
      <c r="BN15" s="185"/>
      <c r="BO15" s="215"/>
      <c r="BP15" s="185"/>
      <c r="BQ15" s="185"/>
      <c r="BR15" s="161"/>
      <c r="BS15" s="185"/>
      <c r="BT15" s="185"/>
      <c r="BU15" s="185"/>
      <c r="BV15" s="185"/>
      <c r="BW15" s="185"/>
      <c r="BX15" s="185"/>
      <c r="BY15" s="215"/>
      <c r="BZ15" s="161"/>
      <c r="CA15" s="185"/>
      <c r="CB15" s="185"/>
      <c r="CC15" s="185"/>
      <c r="CD15" s="215"/>
    </row>
    <row r="16" spans="1:82" s="98" customFormat="1" ht="15" customHeight="1">
      <c r="A16" s="99"/>
      <c r="B16" s="161"/>
      <c r="C16" s="616"/>
      <c r="D16" s="185" t="s">
        <v>2416</v>
      </c>
      <c r="E16" s="162"/>
      <c r="F16" s="162"/>
      <c r="G16" s="185"/>
      <c r="H16" s="185"/>
      <c r="I16" s="164" t="s">
        <v>498</v>
      </c>
      <c r="J16" s="641">
        <f>'3.01_LTS_Storage_&amp;_Entry'!J17</f>
        <v>0</v>
      </c>
      <c r="K16" s="642">
        <f>'3.01_LTS_Storage_&amp;_Entry'!K17</f>
        <v>0</v>
      </c>
      <c r="L16" s="642">
        <f>'3.01_LTS_Storage_&amp;_Entry'!L17</f>
        <v>0</v>
      </c>
      <c r="M16" s="642">
        <f>'3.01_LTS_Storage_&amp;_Entry'!M17</f>
        <v>0</v>
      </c>
      <c r="N16" s="642">
        <f>'3.01_LTS_Storage_&amp;_Entry'!N17</f>
        <v>0</v>
      </c>
      <c r="O16" s="642">
        <f>'3.01_LTS_Storage_&amp;_Entry'!O17</f>
        <v>0</v>
      </c>
      <c r="P16" s="642">
        <f>'3.01_LTS_Storage_&amp;_Entry'!P17</f>
        <v>0</v>
      </c>
      <c r="Q16" s="643">
        <f>'3.01_LTS_Storage_&amp;_Entry'!Q17</f>
        <v>0</v>
      </c>
      <c r="R16" s="641">
        <f>'3.01_LTS_Storage_&amp;_Entry'!R17</f>
        <v>0</v>
      </c>
      <c r="S16" s="642">
        <f>'3.01_LTS_Storage_&amp;_Entry'!S17</f>
        <v>0</v>
      </c>
      <c r="T16" s="642">
        <f>'3.01_LTS_Storage_&amp;_Entry'!T17</f>
        <v>0</v>
      </c>
      <c r="U16" s="642">
        <f>'3.01_LTS_Storage_&amp;_Entry'!U17</f>
        <v>0</v>
      </c>
      <c r="V16" s="643">
        <f>'3.01_LTS_Storage_&amp;_Entry'!V17</f>
        <v>0</v>
      </c>
      <c r="W16" s="185"/>
      <c r="X16" s="164" t="s">
        <v>498</v>
      </c>
      <c r="Y16" s="641">
        <f>'3.01_LTS_Storage_&amp;_Entry'!Y210</f>
        <v>0</v>
      </c>
      <c r="Z16" s="642">
        <f>'3.01_LTS_Storage_&amp;_Entry'!Z210</f>
        <v>0</v>
      </c>
      <c r="AA16" s="642">
        <f>'3.01_LTS_Storage_&amp;_Entry'!AA210</f>
        <v>0</v>
      </c>
      <c r="AB16" s="642">
        <f>'3.01_LTS_Storage_&amp;_Entry'!AB210</f>
        <v>0</v>
      </c>
      <c r="AC16" s="642">
        <f>'3.01_LTS_Storage_&amp;_Entry'!AC210</f>
        <v>0</v>
      </c>
      <c r="AD16" s="642">
        <f>'3.01_LTS_Storage_&amp;_Entry'!AD210</f>
        <v>0</v>
      </c>
      <c r="AE16" s="642">
        <f>'3.01_LTS_Storage_&amp;_Entry'!AE210</f>
        <v>0</v>
      </c>
      <c r="AF16" s="643">
        <f>'3.01_LTS_Storage_&amp;_Entry'!AF210</f>
        <v>0</v>
      </c>
      <c r="AG16" s="641">
        <f>'3.01_LTS_Storage_&amp;_Entry'!AG210</f>
        <v>0</v>
      </c>
      <c r="AH16" s="642">
        <f>'3.01_LTS_Storage_&amp;_Entry'!AH210</f>
        <v>0</v>
      </c>
      <c r="AI16" s="642">
        <f>'3.01_LTS_Storage_&amp;_Entry'!AI210</f>
        <v>0</v>
      </c>
      <c r="AJ16" s="642">
        <f>'3.01_LTS_Storage_&amp;_Entry'!AJ210</f>
        <v>0</v>
      </c>
      <c r="AK16" s="643">
        <f>'3.01_LTS_Storage_&amp;_Entry'!AK210</f>
        <v>0</v>
      </c>
      <c r="AL16" s="185"/>
      <c r="AM16" s="164" t="s">
        <v>498</v>
      </c>
      <c r="AN16" s="641">
        <f t="shared" si="2"/>
        <v>0</v>
      </c>
      <c r="AO16" s="642">
        <f t="shared" si="0"/>
        <v>0</v>
      </c>
      <c r="AP16" s="642">
        <f t="shared" si="0"/>
        <v>0</v>
      </c>
      <c r="AQ16" s="642">
        <f t="shared" si="0"/>
        <v>0</v>
      </c>
      <c r="AR16" s="642">
        <f t="shared" si="0"/>
        <v>0</v>
      </c>
      <c r="AS16" s="642">
        <f t="shared" si="0"/>
        <v>0</v>
      </c>
      <c r="AT16" s="642">
        <f t="shared" si="0"/>
        <v>0</v>
      </c>
      <c r="AU16" s="643">
        <f t="shared" si="0"/>
        <v>0</v>
      </c>
      <c r="AV16" s="641">
        <f t="shared" si="0"/>
        <v>0</v>
      </c>
      <c r="AW16" s="642">
        <f t="shared" si="0"/>
        <v>0</v>
      </c>
      <c r="AX16" s="642">
        <f t="shared" si="0"/>
        <v>0</v>
      </c>
      <c r="AY16" s="642">
        <f t="shared" si="0"/>
        <v>0</v>
      </c>
      <c r="AZ16" s="643">
        <f t="shared" si="0"/>
        <v>0</v>
      </c>
      <c r="BA16" s="185"/>
      <c r="BB16" s="185"/>
      <c r="BC16" s="161"/>
      <c r="BD16" s="185"/>
      <c r="BE16" s="185"/>
      <c r="BF16" s="185"/>
      <c r="BG16" s="185"/>
      <c r="BH16" s="185"/>
      <c r="BI16" s="185"/>
      <c r="BJ16" s="215"/>
      <c r="BK16" s="161"/>
      <c r="BL16" s="185"/>
      <c r="BM16" s="185"/>
      <c r="BN16" s="185"/>
      <c r="BO16" s="215"/>
      <c r="BP16" s="185"/>
      <c r="BQ16" s="185"/>
      <c r="BR16" s="161"/>
      <c r="BS16" s="185"/>
      <c r="BT16" s="185"/>
      <c r="BU16" s="185"/>
      <c r="BV16" s="185"/>
      <c r="BW16" s="185"/>
      <c r="BX16" s="185"/>
      <c r="BY16" s="215"/>
      <c r="BZ16" s="161"/>
      <c r="CA16" s="185"/>
      <c r="CB16" s="185"/>
      <c r="CC16" s="185"/>
      <c r="CD16" s="215"/>
    </row>
    <row r="17" spans="1:82" ht="14.25">
      <c r="B17" s="161"/>
      <c r="C17" s="185" t="s">
        <v>1710</v>
      </c>
      <c r="D17" s="185"/>
      <c r="E17" s="185"/>
      <c r="F17" s="162"/>
      <c r="G17" s="185"/>
      <c r="H17" s="185"/>
      <c r="I17" s="164" t="s">
        <v>498</v>
      </c>
      <c r="J17" s="697">
        <f>SUM(J12:J16)</f>
        <v>10.041400540694271</v>
      </c>
      <c r="K17" s="698">
        <f t="shared" ref="K17:V17" si="3">SUM(K12:K16)</f>
        <v>16.749021787012982</v>
      </c>
      <c r="L17" s="698">
        <f t="shared" si="3"/>
        <v>22.695609881689247</v>
      </c>
      <c r="M17" s="698">
        <f t="shared" si="3"/>
        <v>16.996970348827912</v>
      </c>
      <c r="N17" s="698">
        <f t="shared" si="3"/>
        <v>15.037381937223937</v>
      </c>
      <c r="O17" s="698">
        <f t="shared" si="3"/>
        <v>15.846440229517782</v>
      </c>
      <c r="P17" s="698">
        <f t="shared" si="3"/>
        <v>15.098858877038815</v>
      </c>
      <c r="Q17" s="699">
        <f t="shared" si="3"/>
        <v>18.455551894200134</v>
      </c>
      <c r="R17" s="697">
        <f t="shared" si="3"/>
        <v>11.107013949215503</v>
      </c>
      <c r="S17" s="698">
        <f t="shared" si="3"/>
        <v>18.411920399159413</v>
      </c>
      <c r="T17" s="698">
        <f t="shared" si="3"/>
        <v>21.650235253150605</v>
      </c>
      <c r="U17" s="698">
        <f t="shared" si="3"/>
        <v>16.636947438721396</v>
      </c>
      <c r="V17" s="699">
        <f t="shared" si="3"/>
        <v>15.351202070336946</v>
      </c>
      <c r="W17" s="185"/>
      <c r="X17" s="164" t="s">
        <v>498</v>
      </c>
      <c r="Y17" s="697">
        <f>SUM(Y12:Y16)</f>
        <v>-6.1839030544267121E-2</v>
      </c>
      <c r="Z17" s="698">
        <f t="shared" ref="Z17:AK17" si="4">SUM(Z12:Z16)</f>
        <v>-0.19978732987012979</v>
      </c>
      <c r="AA17" s="698">
        <f t="shared" si="4"/>
        <v>-0.95022278538609772</v>
      </c>
      <c r="AB17" s="698">
        <f t="shared" si="4"/>
        <v>-1.0057665036630534</v>
      </c>
      <c r="AC17" s="698">
        <f t="shared" si="4"/>
        <v>-3.3132783002767465</v>
      </c>
      <c r="AD17" s="698">
        <f t="shared" si="4"/>
        <v>-0.10707116</v>
      </c>
      <c r="AE17" s="698">
        <f t="shared" si="4"/>
        <v>-1.7015121703286411</v>
      </c>
      <c r="AF17" s="699">
        <f t="shared" si="4"/>
        <v>-4.3914334637257522</v>
      </c>
      <c r="AG17" s="697">
        <f t="shared" si="4"/>
        <v>0</v>
      </c>
      <c r="AH17" s="698">
        <f t="shared" si="4"/>
        <v>0</v>
      </c>
      <c r="AI17" s="698">
        <f t="shared" si="4"/>
        <v>0</v>
      </c>
      <c r="AJ17" s="698">
        <f t="shared" si="4"/>
        <v>0</v>
      </c>
      <c r="AK17" s="699">
        <f t="shared" si="4"/>
        <v>0</v>
      </c>
      <c r="AL17" s="185"/>
      <c r="AM17" s="164" t="s">
        <v>498</v>
      </c>
      <c r="AN17" s="697">
        <f>SUM(AN12:AN16)</f>
        <v>9.9795615101500026</v>
      </c>
      <c r="AO17" s="698">
        <f t="shared" ref="AO17:AZ17" si="5">SUM(AO12:AO16)</f>
        <v>16.549234457142852</v>
      </c>
      <c r="AP17" s="698">
        <f t="shared" si="5"/>
        <v>21.745387096303148</v>
      </c>
      <c r="AQ17" s="698">
        <f t="shared" si="5"/>
        <v>15.991203845164858</v>
      </c>
      <c r="AR17" s="698">
        <f t="shared" si="5"/>
        <v>11.724103636947191</v>
      </c>
      <c r="AS17" s="698">
        <f t="shared" si="5"/>
        <v>15.739369069517785</v>
      </c>
      <c r="AT17" s="698">
        <f t="shared" si="5"/>
        <v>13.397346706710174</v>
      </c>
      <c r="AU17" s="699">
        <f t="shared" si="5"/>
        <v>14.064118430474384</v>
      </c>
      <c r="AV17" s="697">
        <f t="shared" si="5"/>
        <v>11.107013949215503</v>
      </c>
      <c r="AW17" s="698">
        <f t="shared" si="5"/>
        <v>18.411920399159413</v>
      </c>
      <c r="AX17" s="698">
        <f t="shared" si="5"/>
        <v>21.650235253150605</v>
      </c>
      <c r="AY17" s="698">
        <f t="shared" si="5"/>
        <v>16.636947438721396</v>
      </c>
      <c r="AZ17" s="699">
        <f t="shared" si="5"/>
        <v>15.351202070336946</v>
      </c>
      <c r="BA17" s="185"/>
      <c r="BB17" s="185"/>
      <c r="BC17" s="161"/>
      <c r="BD17" s="185"/>
      <c r="BE17" s="185"/>
      <c r="BF17" s="185"/>
      <c r="BG17" s="185"/>
      <c r="BH17" s="185"/>
      <c r="BI17" s="185"/>
      <c r="BJ17" s="215"/>
      <c r="BK17" s="161"/>
      <c r="BL17" s="185"/>
      <c r="BM17" s="185"/>
      <c r="BN17" s="185"/>
      <c r="BO17" s="215"/>
      <c r="BP17" s="185"/>
      <c r="BQ17" s="185"/>
      <c r="BR17" s="161"/>
      <c r="BS17" s="185"/>
      <c r="BT17" s="185"/>
      <c r="BU17" s="185"/>
      <c r="BV17" s="185"/>
      <c r="BW17" s="185"/>
      <c r="BX17" s="185"/>
      <c r="BY17" s="215"/>
      <c r="BZ17" s="161"/>
      <c r="CA17" s="185"/>
      <c r="CB17" s="185"/>
      <c r="CC17" s="185"/>
      <c r="CD17" s="215"/>
    </row>
    <row r="18" spans="1:82" s="98" customFormat="1" ht="15" customHeight="1">
      <c r="A18" s="99"/>
      <c r="B18" s="181"/>
      <c r="C18" s="185"/>
      <c r="D18" s="185"/>
      <c r="E18" s="182"/>
      <c r="F18" s="185"/>
      <c r="G18" s="184"/>
      <c r="H18" s="184"/>
      <c r="I18" s="117"/>
      <c r="J18" s="713"/>
      <c r="K18" s="714"/>
      <c r="L18" s="714"/>
      <c r="M18" s="714"/>
      <c r="N18" s="714"/>
      <c r="O18" s="714"/>
      <c r="P18" s="714"/>
      <c r="Q18" s="715"/>
      <c r="R18" s="716"/>
      <c r="S18" s="714"/>
      <c r="T18" s="714"/>
      <c r="U18" s="714"/>
      <c r="V18" s="715"/>
      <c r="W18" s="185"/>
      <c r="X18" s="117"/>
      <c r="Y18" s="713"/>
      <c r="Z18" s="714"/>
      <c r="AA18" s="714"/>
      <c r="AB18" s="714"/>
      <c r="AC18" s="714"/>
      <c r="AD18" s="714"/>
      <c r="AE18" s="714"/>
      <c r="AF18" s="715"/>
      <c r="AG18" s="716"/>
      <c r="AH18" s="714"/>
      <c r="AI18" s="714"/>
      <c r="AJ18" s="714"/>
      <c r="AK18" s="715"/>
      <c r="AL18" s="185"/>
      <c r="AM18" s="117"/>
      <c r="AN18" s="713"/>
      <c r="AO18" s="714"/>
      <c r="AP18" s="714"/>
      <c r="AQ18" s="714"/>
      <c r="AR18" s="714"/>
      <c r="AS18" s="714"/>
      <c r="AT18" s="714"/>
      <c r="AU18" s="715"/>
      <c r="AV18" s="716"/>
      <c r="AW18" s="714"/>
      <c r="AX18" s="714"/>
      <c r="AY18" s="714"/>
      <c r="AZ18" s="715"/>
      <c r="BA18" s="185"/>
      <c r="BB18" s="117"/>
      <c r="BC18" s="159"/>
      <c r="BD18" s="117"/>
      <c r="BE18" s="117"/>
      <c r="BF18" s="117"/>
      <c r="BG18" s="117"/>
      <c r="BH18" s="117"/>
      <c r="BI18" s="117"/>
      <c r="BJ18" s="160"/>
      <c r="BK18" s="159"/>
      <c r="BL18" s="117"/>
      <c r="BM18" s="117"/>
      <c r="BN18" s="117"/>
      <c r="BO18" s="160"/>
      <c r="BP18" s="185"/>
      <c r="BQ18" s="185"/>
      <c r="BR18" s="161"/>
      <c r="BS18" s="185"/>
      <c r="BT18" s="185"/>
      <c r="BU18" s="185"/>
      <c r="BV18" s="185"/>
      <c r="BW18" s="185"/>
      <c r="BX18" s="185"/>
      <c r="BY18" s="215"/>
      <c r="BZ18" s="161"/>
      <c r="CA18" s="185"/>
      <c r="CB18" s="185"/>
      <c r="CC18" s="185"/>
      <c r="CD18" s="215"/>
    </row>
    <row r="19" spans="1:82" s="98" customFormat="1" ht="15" customHeight="1">
      <c r="A19" s="99"/>
      <c r="B19" s="161"/>
      <c r="C19" s="616" t="s">
        <v>1679</v>
      </c>
      <c r="D19" s="617"/>
      <c r="E19" s="180"/>
      <c r="F19" s="162"/>
      <c r="G19" s="163"/>
      <c r="H19" s="163"/>
      <c r="I19" s="117"/>
      <c r="J19" s="713"/>
      <c r="K19" s="714"/>
      <c r="L19" s="714"/>
      <c r="M19" s="714"/>
      <c r="N19" s="714"/>
      <c r="O19" s="714"/>
      <c r="P19" s="714"/>
      <c r="Q19" s="715"/>
      <c r="R19" s="716"/>
      <c r="S19" s="714"/>
      <c r="T19" s="714"/>
      <c r="U19" s="714"/>
      <c r="V19" s="715"/>
      <c r="W19" s="185"/>
      <c r="X19" s="117"/>
      <c r="Y19" s="713"/>
      <c r="Z19" s="714"/>
      <c r="AA19" s="714"/>
      <c r="AB19" s="714"/>
      <c r="AC19" s="714"/>
      <c r="AD19" s="714"/>
      <c r="AE19" s="714"/>
      <c r="AF19" s="715"/>
      <c r="AG19" s="716"/>
      <c r="AH19" s="714"/>
      <c r="AI19" s="714"/>
      <c r="AJ19" s="714"/>
      <c r="AK19" s="715"/>
      <c r="AL19" s="185"/>
      <c r="AM19" s="117"/>
      <c r="AN19" s="713"/>
      <c r="AO19" s="714"/>
      <c r="AP19" s="714"/>
      <c r="AQ19" s="714"/>
      <c r="AR19" s="714"/>
      <c r="AS19" s="714"/>
      <c r="AT19" s="714"/>
      <c r="AU19" s="715"/>
      <c r="AV19" s="716"/>
      <c r="AW19" s="714"/>
      <c r="AX19" s="714"/>
      <c r="AY19" s="714"/>
      <c r="AZ19" s="715"/>
      <c r="BA19" s="185"/>
      <c r="BB19" s="117"/>
      <c r="BC19" s="159"/>
      <c r="BD19" s="117"/>
      <c r="BE19" s="117"/>
      <c r="BF19" s="117"/>
      <c r="BG19" s="117"/>
      <c r="BH19" s="117"/>
      <c r="BI19" s="117"/>
      <c r="BJ19" s="160"/>
      <c r="BK19" s="159"/>
      <c r="BL19" s="117"/>
      <c r="BM19" s="117"/>
      <c r="BN19" s="117"/>
      <c r="BO19" s="160"/>
      <c r="BP19" s="185"/>
      <c r="BQ19" s="185"/>
      <c r="BR19" s="161"/>
      <c r="BS19" s="185"/>
      <c r="BT19" s="185"/>
      <c r="BU19" s="185"/>
      <c r="BV19" s="185"/>
      <c r="BW19" s="185"/>
      <c r="BX19" s="185"/>
      <c r="BY19" s="215"/>
      <c r="BZ19" s="161"/>
      <c r="CA19" s="185"/>
      <c r="CB19" s="185"/>
      <c r="CC19" s="185"/>
      <c r="CD19" s="215"/>
    </row>
    <row r="20" spans="1:82" s="98" customFormat="1" ht="15" customHeight="1">
      <c r="A20" s="99"/>
      <c r="B20" s="161"/>
      <c r="C20" s="616"/>
      <c r="D20" s="162" t="s">
        <v>2417</v>
      </c>
      <c r="E20" s="617"/>
      <c r="F20" s="162"/>
      <c r="G20" s="162"/>
      <c r="H20" s="185"/>
      <c r="I20" s="164" t="s">
        <v>498</v>
      </c>
      <c r="J20" s="641">
        <f>'3.02_Reinforcement'!J13</f>
        <v>2.3014179142270361</v>
      </c>
      <c r="K20" s="642">
        <f>'3.02_Reinforcement'!K13</f>
        <v>1.0662682909090906</v>
      </c>
      <c r="L20" s="642">
        <f>'3.02_Reinforcement'!L13</f>
        <v>1.5663104285714713</v>
      </c>
      <c r="M20" s="642">
        <f>'3.02_Reinforcement'!M13</f>
        <v>1.3463407118782451</v>
      </c>
      <c r="N20" s="642">
        <f>'3.02_Reinforcement'!N13</f>
        <v>1.8806387571001493</v>
      </c>
      <c r="O20" s="642">
        <f>'3.02_Reinforcement'!O13</f>
        <v>1.0417347264116268</v>
      </c>
      <c r="P20" s="642">
        <f>'3.02_Reinforcement'!P13</f>
        <v>2.2860724538458594</v>
      </c>
      <c r="Q20" s="643">
        <f>'3.02_Reinforcement'!Q13</f>
        <v>1.8340921597694015</v>
      </c>
      <c r="R20" s="641">
        <f>'3.02_Reinforcement'!R13</f>
        <v>2.282889613894691</v>
      </c>
      <c r="S20" s="642">
        <f>'3.02_Reinforcement'!S13</f>
        <v>2.1236503364255888</v>
      </c>
      <c r="T20" s="642">
        <f>'3.02_Reinforcement'!T13</f>
        <v>2.0928140763912486</v>
      </c>
      <c r="U20" s="642">
        <f>'3.02_Reinforcement'!U13</f>
        <v>2.0619778163569089</v>
      </c>
      <c r="V20" s="643">
        <f>'3.02_Reinforcement'!V13</f>
        <v>1.7743355214530434</v>
      </c>
      <c r="W20" s="185"/>
      <c r="X20" s="164" t="s">
        <v>498</v>
      </c>
      <c r="Y20" s="641">
        <f>'3.02_Reinforcement'!Y34</f>
        <v>0</v>
      </c>
      <c r="Z20" s="642">
        <f>'3.02_Reinforcement'!Z34</f>
        <v>0</v>
      </c>
      <c r="AA20" s="642">
        <f>'3.02_Reinforcement'!AA34</f>
        <v>0</v>
      </c>
      <c r="AB20" s="642">
        <f>'3.02_Reinforcement'!AB34</f>
        <v>0</v>
      </c>
      <c r="AC20" s="642">
        <f>'3.02_Reinforcement'!AC34</f>
        <v>0</v>
      </c>
      <c r="AD20" s="642">
        <f>'3.02_Reinforcement'!AD34</f>
        <v>0</v>
      </c>
      <c r="AE20" s="642">
        <f>'3.02_Reinforcement'!AE34</f>
        <v>0</v>
      </c>
      <c r="AF20" s="643">
        <f>'3.02_Reinforcement'!AF34</f>
        <v>0</v>
      </c>
      <c r="AG20" s="641">
        <f>'3.02_Reinforcement'!AG34</f>
        <v>0</v>
      </c>
      <c r="AH20" s="642">
        <f>'3.02_Reinforcement'!AH34</f>
        <v>0</v>
      </c>
      <c r="AI20" s="642">
        <f>'3.02_Reinforcement'!AI34</f>
        <v>0</v>
      </c>
      <c r="AJ20" s="642">
        <f>'3.02_Reinforcement'!AJ34</f>
        <v>0</v>
      </c>
      <c r="AK20" s="643">
        <f>'3.02_Reinforcement'!AK34</f>
        <v>0</v>
      </c>
      <c r="AL20" s="185"/>
      <c r="AM20" s="164" t="s">
        <v>498</v>
      </c>
      <c r="AN20" s="641">
        <f t="shared" ref="AN20:AN21" si="6">SUM(J20,Y20)</f>
        <v>2.3014179142270361</v>
      </c>
      <c r="AO20" s="642">
        <f t="shared" ref="AO20:AO21" si="7">SUM(K20,Z20)</f>
        <v>1.0662682909090906</v>
      </c>
      <c r="AP20" s="642">
        <f t="shared" ref="AP20:AP21" si="8">SUM(L20,AA20)</f>
        <v>1.5663104285714713</v>
      </c>
      <c r="AQ20" s="642">
        <f t="shared" ref="AQ20:AQ21" si="9">SUM(M20,AB20)</f>
        <v>1.3463407118782451</v>
      </c>
      <c r="AR20" s="642">
        <f t="shared" ref="AR20:AR21" si="10">SUM(N20,AC20)</f>
        <v>1.8806387571001493</v>
      </c>
      <c r="AS20" s="642">
        <f t="shared" ref="AS20:AS21" si="11">SUM(O20,AD20)</f>
        <v>1.0417347264116268</v>
      </c>
      <c r="AT20" s="642">
        <f t="shared" ref="AT20:AT21" si="12">SUM(P20,AE20)</f>
        <v>2.2860724538458594</v>
      </c>
      <c r="AU20" s="643">
        <f t="shared" ref="AU20:AU21" si="13">SUM(Q20,AF20)</f>
        <v>1.8340921597694015</v>
      </c>
      <c r="AV20" s="641">
        <f t="shared" ref="AV20:AV21" si="14">SUM(R20,AG20)</f>
        <v>2.282889613894691</v>
      </c>
      <c r="AW20" s="642">
        <f t="shared" ref="AW20:AW21" si="15">SUM(S20,AH20)</f>
        <v>2.1236503364255888</v>
      </c>
      <c r="AX20" s="642">
        <f t="shared" ref="AX20:AX21" si="16">SUM(T20,AI20)</f>
        <v>2.0928140763912486</v>
      </c>
      <c r="AY20" s="642">
        <f t="shared" ref="AY20:AY21" si="17">SUM(U20,AJ20)</f>
        <v>2.0619778163569089</v>
      </c>
      <c r="AZ20" s="643">
        <f t="shared" ref="AZ20:AZ21" si="18">SUM(V20,AK20)</f>
        <v>1.7743355214530434</v>
      </c>
      <c r="BA20" s="185"/>
      <c r="BB20" s="164" t="s">
        <v>2233</v>
      </c>
      <c r="BC20" s="641">
        <f>SUM('3.02_Reinforcement'!AN23,'3.02_Reinforcement'!AN28,'3.02_Reinforcement'!AN32)</f>
        <v>7.9649999999999999</v>
      </c>
      <c r="BD20" s="642">
        <f>SUM('3.02_Reinforcement'!AO23,'3.02_Reinforcement'!AO28,'3.02_Reinforcement'!AO32)</f>
        <v>5.4365000000000006</v>
      </c>
      <c r="BE20" s="642">
        <f>SUM('3.02_Reinforcement'!AP23,'3.02_Reinforcement'!AP28,'3.02_Reinforcement'!AP32)</f>
        <v>6.7355</v>
      </c>
      <c r="BF20" s="642">
        <f>SUM('3.02_Reinforcement'!AQ23,'3.02_Reinforcement'!AQ28,'3.02_Reinforcement'!AQ32)</f>
        <v>9.2629999999999999</v>
      </c>
      <c r="BG20" s="642">
        <f>SUM('3.02_Reinforcement'!AR23,'3.02_Reinforcement'!AR28,'3.02_Reinforcement'!AR32)</f>
        <v>6.2170000000000005</v>
      </c>
      <c r="BH20" s="642">
        <f>SUM('3.02_Reinforcement'!AS23,'3.02_Reinforcement'!AS28,'3.02_Reinforcement'!AS32)</f>
        <v>1.766</v>
      </c>
      <c r="BI20" s="642">
        <f>SUM('3.02_Reinforcement'!AT23,'3.02_Reinforcement'!AT28,'3.02_Reinforcement'!AT32)</f>
        <v>1.5188494779160562</v>
      </c>
      <c r="BJ20" s="643">
        <f>SUM('3.02_Reinforcement'!AU23,'3.02_Reinforcement'!AU28,'3.02_Reinforcement'!AU32)</f>
        <v>1.2185571435539098</v>
      </c>
      <c r="BK20" s="641">
        <f>SUM('3.02_Reinforcement'!AV23,'3.02_Reinforcement'!AV28,'3.02_Reinforcement'!AV32)</f>
        <v>21.001371428571428</v>
      </c>
      <c r="BL20" s="642">
        <f>SUM('3.02_Reinforcement'!AW23,'3.02_Reinforcement'!AW28,'3.02_Reinforcement'!AW32)</f>
        <v>18.91207142857143</v>
      </c>
      <c r="BM20" s="642">
        <f>SUM('3.02_Reinforcement'!AX23,'3.02_Reinforcement'!AX28,'3.02_Reinforcement'!AX32)</f>
        <v>18.822771428571428</v>
      </c>
      <c r="BN20" s="642">
        <f>SUM('3.02_Reinforcement'!AY23,'3.02_Reinforcement'!AY28,'3.02_Reinforcement'!AY32)</f>
        <v>18.733471428571431</v>
      </c>
      <c r="BO20" s="643">
        <f>SUM('3.02_Reinforcement'!AZ23,'3.02_Reinforcement'!AZ28,'3.02_Reinforcement'!AZ32)</f>
        <v>14.644171428571429</v>
      </c>
      <c r="BP20" s="185"/>
      <c r="BQ20" s="164" t="s">
        <v>2415</v>
      </c>
      <c r="BR20" s="641">
        <f>IFERROR(AN20/BC20,0)</f>
        <v>0.28894135771839752</v>
      </c>
      <c r="BS20" s="642">
        <f t="shared" ref="BS20:CD21" si="19">IFERROR(AO20/BD20,0)</f>
        <v>0.19613138800866192</v>
      </c>
      <c r="BT20" s="642">
        <f t="shared" si="19"/>
        <v>0.23254553167121539</v>
      </c>
      <c r="BU20" s="642">
        <f t="shared" si="19"/>
        <v>0.14534607706771513</v>
      </c>
      <c r="BV20" s="642">
        <f t="shared" si="19"/>
        <v>0.30249939795723807</v>
      </c>
      <c r="BW20" s="642">
        <f t="shared" si="19"/>
        <v>0.5898837635399925</v>
      </c>
      <c r="BX20" s="642">
        <f t="shared" si="19"/>
        <v>1.5051343053312134</v>
      </c>
      <c r="BY20" s="643">
        <f t="shared" si="19"/>
        <v>1.5051343053312134</v>
      </c>
      <c r="BZ20" s="641">
        <f t="shared" si="19"/>
        <v>0.10870193033150786</v>
      </c>
      <c r="CA20" s="642">
        <f t="shared" si="19"/>
        <v>0.11229073158095638</v>
      </c>
      <c r="CB20" s="642">
        <f t="shared" si="19"/>
        <v>0.11118522499904174</v>
      </c>
      <c r="CC20" s="642">
        <f t="shared" si="19"/>
        <v>0.11006917880751535</v>
      </c>
      <c r="CD20" s="643">
        <f t="shared" si="19"/>
        <v>0.12116325803119431</v>
      </c>
    </row>
    <row r="21" spans="1:82" s="98" customFormat="1" ht="15" customHeight="1">
      <c r="A21" s="99"/>
      <c r="B21" s="161"/>
      <c r="C21" s="616"/>
      <c r="D21" s="185" t="s">
        <v>2418</v>
      </c>
      <c r="E21" s="185"/>
      <c r="F21" s="162"/>
      <c r="G21" s="185"/>
      <c r="H21" s="185"/>
      <c r="I21" s="164" t="s">
        <v>498</v>
      </c>
      <c r="J21" s="641">
        <f>'3.02_Reinforcement'!J14</f>
        <v>0.91766736144413519</v>
      </c>
      <c r="K21" s="642">
        <f>'3.02_Reinforcement'!K14</f>
        <v>0.89628349090909054</v>
      </c>
      <c r="L21" s="642">
        <f>'3.02_Reinforcement'!L14</f>
        <v>1.9472034349310055</v>
      </c>
      <c r="M21" s="642">
        <f>'3.02_Reinforcement'!M14</f>
        <v>0.94482078319073726</v>
      </c>
      <c r="N21" s="642">
        <f>'3.02_Reinforcement'!N14</f>
        <v>0.37124320486457546</v>
      </c>
      <c r="O21" s="642">
        <f>'3.02_Reinforcement'!O14</f>
        <v>1.3213748994917858</v>
      </c>
      <c r="P21" s="642">
        <f>'3.02_Reinforcement'!P14</f>
        <v>3.2184221493358551</v>
      </c>
      <c r="Q21" s="643">
        <f>'3.02_Reinforcement'!Q14</f>
        <v>8.031232696854298</v>
      </c>
      <c r="R21" s="641">
        <f>'3.02_Reinforcement'!R14</f>
        <v>3.2124061309059777</v>
      </c>
      <c r="S21" s="642">
        <f>'3.02_Reinforcement'!S14</f>
        <v>3.7416934029172038</v>
      </c>
      <c r="T21" s="642">
        <f>'3.02_Reinforcement'!T14</f>
        <v>4.2709806749284285</v>
      </c>
      <c r="U21" s="642">
        <f>'3.02_Reinforcement'!U14</f>
        <v>4.4083452280321769</v>
      </c>
      <c r="V21" s="643">
        <f>'3.02_Reinforcement'!V14</f>
        <v>4.937632500043402</v>
      </c>
      <c r="W21" s="185"/>
      <c r="X21" s="164" t="s">
        <v>498</v>
      </c>
      <c r="Y21" s="641">
        <f>'3.02_Reinforcement'!Y54</f>
        <v>0</v>
      </c>
      <c r="Z21" s="642">
        <f>'3.02_Reinforcement'!Z54</f>
        <v>0</v>
      </c>
      <c r="AA21" s="642">
        <f>'3.02_Reinforcement'!AA54</f>
        <v>0</v>
      </c>
      <c r="AB21" s="642">
        <f>'3.02_Reinforcement'!AB54</f>
        <v>0</v>
      </c>
      <c r="AC21" s="642">
        <f>'3.02_Reinforcement'!AC54</f>
        <v>0</v>
      </c>
      <c r="AD21" s="642">
        <f>'3.02_Reinforcement'!AD54</f>
        <v>0</v>
      </c>
      <c r="AE21" s="642">
        <f>'3.02_Reinforcement'!AE54</f>
        <v>0</v>
      </c>
      <c r="AF21" s="643">
        <f>'3.02_Reinforcement'!AF54</f>
        <v>0</v>
      </c>
      <c r="AG21" s="641">
        <f>'3.02_Reinforcement'!AG54</f>
        <v>-0.29983385250000016</v>
      </c>
      <c r="AH21" s="642">
        <f>'3.02_Reinforcement'!AH54</f>
        <v>-0.39977847000000022</v>
      </c>
      <c r="AI21" s="642">
        <f>'3.02_Reinforcement'!AI54</f>
        <v>-0.49972308750000016</v>
      </c>
      <c r="AJ21" s="642">
        <f>'3.02_Reinforcement'!AJ54</f>
        <v>-0.49972308750000016</v>
      </c>
      <c r="AK21" s="643">
        <f>'3.02_Reinforcement'!AK54</f>
        <v>-0.59966770500000033</v>
      </c>
      <c r="AL21" s="185"/>
      <c r="AM21" s="164" t="s">
        <v>498</v>
      </c>
      <c r="AN21" s="641">
        <f t="shared" si="6"/>
        <v>0.91766736144413519</v>
      </c>
      <c r="AO21" s="642">
        <f t="shared" si="7"/>
        <v>0.89628349090909054</v>
      </c>
      <c r="AP21" s="642">
        <f t="shared" si="8"/>
        <v>1.9472034349310055</v>
      </c>
      <c r="AQ21" s="642">
        <f t="shared" si="9"/>
        <v>0.94482078319073726</v>
      </c>
      <c r="AR21" s="642">
        <f t="shared" si="10"/>
        <v>0.37124320486457546</v>
      </c>
      <c r="AS21" s="642">
        <f t="shared" si="11"/>
        <v>1.3213748994917858</v>
      </c>
      <c r="AT21" s="642">
        <f t="shared" si="12"/>
        <v>3.2184221493358551</v>
      </c>
      <c r="AU21" s="643">
        <f t="shared" si="13"/>
        <v>8.031232696854298</v>
      </c>
      <c r="AV21" s="641">
        <f t="shared" si="14"/>
        <v>2.9125722784059773</v>
      </c>
      <c r="AW21" s="642">
        <f t="shared" si="15"/>
        <v>3.3419149329172035</v>
      </c>
      <c r="AX21" s="642">
        <f t="shared" si="16"/>
        <v>3.7712575874284284</v>
      </c>
      <c r="AY21" s="642">
        <f t="shared" si="17"/>
        <v>3.9086221405321768</v>
      </c>
      <c r="AZ21" s="643">
        <f t="shared" si="18"/>
        <v>4.3379647950434013</v>
      </c>
      <c r="BA21" s="185"/>
      <c r="BB21" s="164" t="s">
        <v>2233</v>
      </c>
      <c r="BC21" s="641">
        <f>SUM('3.02_Reinforcement'!AN43,'3.02_Reinforcement'!AN48,'3.02_Reinforcement'!AN52)</f>
        <v>4.5984999999999996</v>
      </c>
      <c r="BD21" s="642">
        <f>SUM('3.02_Reinforcement'!AO43,'3.02_Reinforcement'!AO48,'3.02_Reinforcement'!AO52)</f>
        <v>3.3319999999999999</v>
      </c>
      <c r="BE21" s="642">
        <f>SUM('3.02_Reinforcement'!AP43,'3.02_Reinforcement'!AP48,'3.02_Reinforcement'!AP52)</f>
        <v>7.1539999999999999</v>
      </c>
      <c r="BF21" s="642">
        <f>SUM('3.02_Reinforcement'!AQ43,'3.02_Reinforcement'!AQ48,'3.02_Reinforcement'!AQ52)</f>
        <v>2.8079999999999998</v>
      </c>
      <c r="BG21" s="642">
        <f>SUM('3.02_Reinforcement'!AR43,'3.02_Reinforcement'!AR48,'3.02_Reinforcement'!AR52)</f>
        <v>1.7010099999999997</v>
      </c>
      <c r="BH21" s="642">
        <f>SUM('3.02_Reinforcement'!AS43,'3.02_Reinforcement'!AS48,'3.02_Reinforcement'!AS52)</f>
        <v>7.3411</v>
      </c>
      <c r="BI21" s="642">
        <f>SUM('3.02_Reinforcement'!AT43,'3.02_Reinforcement'!AT48,'3.02_Reinforcement'!AT52)</f>
        <v>0.89930046790624907</v>
      </c>
      <c r="BJ21" s="643">
        <f>SUM('3.02_Reinforcement'!AU43,'3.02_Reinforcement'!AU48,'3.02_Reinforcement'!AU52)</f>
        <v>2.2320532269056383</v>
      </c>
      <c r="BK21" s="641">
        <f>SUM('3.02_Reinforcement'!AV43,'3.02_Reinforcement'!AV48,'3.02_Reinforcement'!AV52)</f>
        <v>10.440668757870428</v>
      </c>
      <c r="BL21" s="642">
        <f>SUM('3.02_Reinforcement'!AW43,'3.02_Reinforcement'!AW48,'3.02_Reinforcement'!AW52)</f>
        <v>12.088201200970094</v>
      </c>
      <c r="BM21" s="642">
        <f>SUM('3.02_Reinforcement'!AX43,'3.02_Reinforcement'!AX48,'3.02_Reinforcement'!AX52)</f>
        <v>13.735733644069761</v>
      </c>
      <c r="BN21" s="642">
        <f>SUM('3.02_Reinforcement'!AY43,'3.02_Reinforcement'!AY48,'3.02_Reinforcement'!AY52)</f>
        <v>14.18193364406976</v>
      </c>
      <c r="BO21" s="643">
        <f>SUM('3.02_Reinforcement'!AZ43,'3.02_Reinforcement'!AZ48,'3.02_Reinforcement'!AZ52)</f>
        <v>15.829466087169427</v>
      </c>
      <c r="BP21" s="185"/>
      <c r="BQ21" s="164" t="s">
        <v>2415</v>
      </c>
      <c r="BR21" s="641">
        <f>IFERROR(AN21/BC21,0)</f>
        <v>0.19955797791543661</v>
      </c>
      <c r="BS21" s="642">
        <f t="shared" si="19"/>
        <v>0.26899264433045939</v>
      </c>
      <c r="BT21" s="642">
        <f t="shared" si="19"/>
        <v>0.2721838740468277</v>
      </c>
      <c r="BU21" s="642">
        <f t="shared" si="19"/>
        <v>0.33647463788843923</v>
      </c>
      <c r="BV21" s="642">
        <f t="shared" si="19"/>
        <v>0.21824869040427483</v>
      </c>
      <c r="BW21" s="642">
        <f t="shared" si="19"/>
        <v>0.17999685326337822</v>
      </c>
      <c r="BX21" s="642">
        <f t="shared" si="19"/>
        <v>3.5788062657511834</v>
      </c>
      <c r="BY21" s="643">
        <f t="shared" si="19"/>
        <v>3.5981367290188837</v>
      </c>
      <c r="BZ21" s="641">
        <f t="shared" si="19"/>
        <v>0.27896414932332853</v>
      </c>
      <c r="CA21" s="642">
        <f t="shared" si="19"/>
        <v>0.27646089582369049</v>
      </c>
      <c r="CB21" s="642">
        <f t="shared" si="19"/>
        <v>0.27455814775912052</v>
      </c>
      <c r="CC21" s="642">
        <f t="shared" si="19"/>
        <v>0.27560572758472784</v>
      </c>
      <c r="CD21" s="643">
        <f t="shared" si="19"/>
        <v>0.27404365827344856</v>
      </c>
    </row>
    <row r="22" spans="1:82" ht="14.25">
      <c r="B22" s="161"/>
      <c r="C22" s="185" t="s">
        <v>1710</v>
      </c>
      <c r="D22" s="185"/>
      <c r="E22" s="185"/>
      <c r="F22" s="162"/>
      <c r="G22" s="185"/>
      <c r="H22" s="185"/>
      <c r="I22" s="164" t="s">
        <v>498</v>
      </c>
      <c r="J22" s="697">
        <f t="shared" ref="J22:V22" si="20">SUM(J20:J21)</f>
        <v>3.2190852756711714</v>
      </c>
      <c r="K22" s="698">
        <f t="shared" si="20"/>
        <v>1.9625517818181812</v>
      </c>
      <c r="L22" s="698">
        <f t="shared" si="20"/>
        <v>3.5135138635024767</v>
      </c>
      <c r="M22" s="698">
        <f t="shared" si="20"/>
        <v>2.2911614950689825</v>
      </c>
      <c r="N22" s="698">
        <f t="shared" si="20"/>
        <v>2.2518819619647248</v>
      </c>
      <c r="O22" s="698">
        <f t="shared" si="20"/>
        <v>2.3631096259034123</v>
      </c>
      <c r="P22" s="698">
        <f t="shared" si="20"/>
        <v>5.5044946031817146</v>
      </c>
      <c r="Q22" s="699">
        <f t="shared" si="20"/>
        <v>9.8653248566236993</v>
      </c>
      <c r="R22" s="697">
        <f t="shared" si="20"/>
        <v>5.4952957448006687</v>
      </c>
      <c r="S22" s="698">
        <f t="shared" si="20"/>
        <v>5.8653437393427925</v>
      </c>
      <c r="T22" s="698">
        <f t="shared" si="20"/>
        <v>6.3637947513196771</v>
      </c>
      <c r="U22" s="698">
        <f t="shared" si="20"/>
        <v>6.4703230443890858</v>
      </c>
      <c r="V22" s="699">
        <f t="shared" si="20"/>
        <v>6.7119680214964452</v>
      </c>
      <c r="W22" s="185"/>
      <c r="X22" s="164" t="s">
        <v>498</v>
      </c>
      <c r="Y22" s="697">
        <f t="shared" ref="Y22:AK22" si="21">SUM(Y20:Y21)</f>
        <v>0</v>
      </c>
      <c r="Z22" s="698">
        <f t="shared" si="21"/>
        <v>0</v>
      </c>
      <c r="AA22" s="698">
        <f t="shared" si="21"/>
        <v>0</v>
      </c>
      <c r="AB22" s="698">
        <f t="shared" si="21"/>
        <v>0</v>
      </c>
      <c r="AC22" s="698">
        <f t="shared" si="21"/>
        <v>0</v>
      </c>
      <c r="AD22" s="698">
        <f t="shared" si="21"/>
        <v>0</v>
      </c>
      <c r="AE22" s="698">
        <f t="shared" si="21"/>
        <v>0</v>
      </c>
      <c r="AF22" s="699">
        <f t="shared" si="21"/>
        <v>0</v>
      </c>
      <c r="AG22" s="697">
        <f t="shared" si="21"/>
        <v>-0.29983385250000016</v>
      </c>
      <c r="AH22" s="698">
        <f t="shared" si="21"/>
        <v>-0.39977847000000022</v>
      </c>
      <c r="AI22" s="698">
        <f t="shared" si="21"/>
        <v>-0.49972308750000016</v>
      </c>
      <c r="AJ22" s="698">
        <f t="shared" si="21"/>
        <v>-0.49972308750000016</v>
      </c>
      <c r="AK22" s="699">
        <f t="shared" si="21"/>
        <v>-0.59966770500000033</v>
      </c>
      <c r="AL22" s="185"/>
      <c r="AM22" s="164" t="s">
        <v>498</v>
      </c>
      <c r="AN22" s="697">
        <f t="shared" ref="AN22:AZ22" si="22">SUM(AN20:AN21)</f>
        <v>3.2190852756711714</v>
      </c>
      <c r="AO22" s="698">
        <f t="shared" si="22"/>
        <v>1.9625517818181812</v>
      </c>
      <c r="AP22" s="698">
        <f t="shared" si="22"/>
        <v>3.5135138635024767</v>
      </c>
      <c r="AQ22" s="698">
        <f t="shared" si="22"/>
        <v>2.2911614950689825</v>
      </c>
      <c r="AR22" s="698">
        <f t="shared" si="22"/>
        <v>2.2518819619647248</v>
      </c>
      <c r="AS22" s="698">
        <f t="shared" si="22"/>
        <v>2.3631096259034123</v>
      </c>
      <c r="AT22" s="698">
        <f t="shared" si="22"/>
        <v>5.5044946031817146</v>
      </c>
      <c r="AU22" s="699">
        <f t="shared" si="22"/>
        <v>9.8653248566236993</v>
      </c>
      <c r="AV22" s="697">
        <f t="shared" si="22"/>
        <v>5.1954618923006688</v>
      </c>
      <c r="AW22" s="698">
        <f t="shared" si="22"/>
        <v>5.4655652693427923</v>
      </c>
      <c r="AX22" s="698">
        <f t="shared" si="22"/>
        <v>5.8640716638196775</v>
      </c>
      <c r="AY22" s="698">
        <f t="shared" si="22"/>
        <v>5.9705999568890853</v>
      </c>
      <c r="AZ22" s="699">
        <f t="shared" si="22"/>
        <v>6.1123003164964445</v>
      </c>
      <c r="BA22" s="185"/>
      <c r="BB22" s="185"/>
      <c r="BC22" s="161"/>
      <c r="BD22" s="185"/>
      <c r="BE22" s="185"/>
      <c r="BF22" s="185"/>
      <c r="BG22" s="185"/>
      <c r="BH22" s="185"/>
      <c r="BI22" s="185"/>
      <c r="BJ22" s="215"/>
      <c r="BK22" s="161"/>
      <c r="BL22" s="185"/>
      <c r="BM22" s="185"/>
      <c r="BN22" s="185"/>
      <c r="BO22" s="215"/>
      <c r="BP22" s="185"/>
      <c r="BQ22" s="185"/>
      <c r="BR22" s="161"/>
      <c r="BS22" s="185"/>
      <c r="BT22" s="185"/>
      <c r="BU22" s="185"/>
      <c r="BV22" s="185"/>
      <c r="BW22" s="185"/>
      <c r="BX22" s="185"/>
      <c r="BY22" s="215"/>
      <c r="BZ22" s="161"/>
      <c r="CA22" s="185"/>
      <c r="CB22" s="185"/>
      <c r="CC22" s="185"/>
      <c r="CD22" s="215"/>
    </row>
    <row r="23" spans="1:82" s="98" customFormat="1" ht="15" customHeight="1">
      <c r="A23" s="99"/>
      <c r="B23" s="181"/>
      <c r="C23" s="185"/>
      <c r="D23" s="185"/>
      <c r="E23" s="182"/>
      <c r="F23" s="185"/>
      <c r="G23" s="184"/>
      <c r="H23" s="184"/>
      <c r="I23" s="117"/>
      <c r="J23" s="713"/>
      <c r="K23" s="714"/>
      <c r="L23" s="714"/>
      <c r="M23" s="714"/>
      <c r="N23" s="714"/>
      <c r="O23" s="714"/>
      <c r="P23" s="714"/>
      <c r="Q23" s="715"/>
      <c r="R23" s="716"/>
      <c r="S23" s="714"/>
      <c r="T23" s="714"/>
      <c r="U23" s="714"/>
      <c r="V23" s="715"/>
      <c r="W23" s="185"/>
      <c r="X23" s="117"/>
      <c r="Y23" s="713"/>
      <c r="Z23" s="714"/>
      <c r="AA23" s="714"/>
      <c r="AB23" s="714"/>
      <c r="AC23" s="714"/>
      <c r="AD23" s="714"/>
      <c r="AE23" s="714"/>
      <c r="AF23" s="715"/>
      <c r="AG23" s="716"/>
      <c r="AH23" s="714"/>
      <c r="AI23" s="714"/>
      <c r="AJ23" s="714"/>
      <c r="AK23" s="715"/>
      <c r="AL23" s="185"/>
      <c r="AM23" s="117"/>
      <c r="AN23" s="713"/>
      <c r="AO23" s="714"/>
      <c r="AP23" s="714"/>
      <c r="AQ23" s="714"/>
      <c r="AR23" s="714"/>
      <c r="AS23" s="714"/>
      <c r="AT23" s="714"/>
      <c r="AU23" s="715"/>
      <c r="AV23" s="716"/>
      <c r="AW23" s="714"/>
      <c r="AX23" s="714"/>
      <c r="AY23" s="714"/>
      <c r="AZ23" s="715"/>
      <c r="BA23" s="185"/>
      <c r="BB23" s="117"/>
      <c r="BC23" s="713"/>
      <c r="BD23" s="714"/>
      <c r="BE23" s="714"/>
      <c r="BF23" s="714"/>
      <c r="BG23" s="714"/>
      <c r="BH23" s="714"/>
      <c r="BI23" s="714"/>
      <c r="BJ23" s="715"/>
      <c r="BK23" s="716"/>
      <c r="BL23" s="714"/>
      <c r="BM23" s="714"/>
      <c r="BN23" s="714"/>
      <c r="BO23" s="715"/>
      <c r="BP23" s="185"/>
      <c r="BQ23" s="117"/>
      <c r="BR23" s="713"/>
      <c r="BS23" s="714"/>
      <c r="BT23" s="714"/>
      <c r="BU23" s="714"/>
      <c r="BV23" s="714"/>
      <c r="BW23" s="714"/>
      <c r="BX23" s="714"/>
      <c r="BY23" s="715"/>
      <c r="BZ23" s="716"/>
      <c r="CA23" s="714"/>
      <c r="CB23" s="714"/>
      <c r="CC23" s="714"/>
      <c r="CD23" s="715"/>
    </row>
    <row r="24" spans="1:82" s="98" customFormat="1" ht="15" customHeight="1">
      <c r="A24" s="99"/>
      <c r="B24" s="161"/>
      <c r="C24" s="616" t="s">
        <v>66</v>
      </c>
      <c r="D24" s="617"/>
      <c r="E24" s="162"/>
      <c r="F24" s="162"/>
      <c r="G24" s="185"/>
      <c r="H24" s="163"/>
      <c r="I24" s="117"/>
      <c r="J24" s="713"/>
      <c r="K24" s="714"/>
      <c r="L24" s="714"/>
      <c r="M24" s="714"/>
      <c r="N24" s="714"/>
      <c r="O24" s="714"/>
      <c r="P24" s="714"/>
      <c r="Q24" s="715"/>
      <c r="R24" s="716"/>
      <c r="S24" s="714"/>
      <c r="T24" s="714"/>
      <c r="U24" s="714"/>
      <c r="V24" s="715"/>
      <c r="W24" s="185"/>
      <c r="X24" s="117"/>
      <c r="Y24" s="713"/>
      <c r="Z24" s="714"/>
      <c r="AA24" s="714"/>
      <c r="AB24" s="714"/>
      <c r="AC24" s="714"/>
      <c r="AD24" s="714"/>
      <c r="AE24" s="714"/>
      <c r="AF24" s="715"/>
      <c r="AG24" s="716"/>
      <c r="AH24" s="714"/>
      <c r="AI24" s="714"/>
      <c r="AJ24" s="714"/>
      <c r="AK24" s="715"/>
      <c r="AL24" s="185"/>
      <c r="AM24" s="117"/>
      <c r="AN24" s="713"/>
      <c r="AO24" s="714"/>
      <c r="AP24" s="714"/>
      <c r="AQ24" s="714"/>
      <c r="AR24" s="714"/>
      <c r="AS24" s="714"/>
      <c r="AT24" s="714"/>
      <c r="AU24" s="715"/>
      <c r="AV24" s="716"/>
      <c r="AW24" s="714"/>
      <c r="AX24" s="714"/>
      <c r="AY24" s="714"/>
      <c r="AZ24" s="715"/>
      <c r="BA24" s="185"/>
      <c r="BB24" s="117"/>
      <c r="BC24" s="713"/>
      <c r="BD24" s="714"/>
      <c r="BE24" s="714"/>
      <c r="BF24" s="714"/>
      <c r="BG24" s="714"/>
      <c r="BH24" s="714"/>
      <c r="BI24" s="714"/>
      <c r="BJ24" s="715"/>
      <c r="BK24" s="716"/>
      <c r="BL24" s="714"/>
      <c r="BM24" s="714"/>
      <c r="BN24" s="714"/>
      <c r="BO24" s="715"/>
      <c r="BP24" s="185"/>
      <c r="BQ24" s="117"/>
      <c r="BR24" s="713"/>
      <c r="BS24" s="714"/>
      <c r="BT24" s="714"/>
      <c r="BU24" s="714"/>
      <c r="BV24" s="714"/>
      <c r="BW24" s="714"/>
      <c r="BX24" s="714"/>
      <c r="BY24" s="715"/>
      <c r="BZ24" s="716"/>
      <c r="CA24" s="714"/>
      <c r="CB24" s="714"/>
      <c r="CC24" s="714"/>
      <c r="CD24" s="715"/>
    </row>
    <row r="25" spans="1:82" s="98" customFormat="1" ht="15" customHeight="1">
      <c r="A25" s="99"/>
      <c r="B25" s="161"/>
      <c r="C25" s="616"/>
      <c r="D25" s="185" t="s">
        <v>2419</v>
      </c>
      <c r="E25" s="162"/>
      <c r="F25" s="185"/>
      <c r="G25" s="185"/>
      <c r="H25" s="163"/>
      <c r="I25" s="164" t="s">
        <v>498</v>
      </c>
      <c r="J25" s="641">
        <f>SUM('3.03_Governors'!J20:J21)</f>
        <v>0.99900789313261873</v>
      </c>
      <c r="K25" s="642">
        <f>SUM('3.03_Governors'!K20:K21)</f>
        <v>0.89186830129870098</v>
      </c>
      <c r="L25" s="642">
        <f>SUM('3.03_Governors'!L20:L21)</f>
        <v>1.3513884250587322</v>
      </c>
      <c r="M25" s="642">
        <f>SUM('3.03_Governors'!M20:M21)</f>
        <v>1.1745621894508544</v>
      </c>
      <c r="N25" s="642">
        <f>SUM('3.03_Governors'!N20:N21)</f>
        <v>0.78304277776855802</v>
      </c>
      <c r="O25" s="642">
        <f>SUM('3.03_Governors'!O20:O21)</f>
        <v>1.4147243129552776</v>
      </c>
      <c r="P25" s="642">
        <f>SUM('3.03_Governors'!P20:P21)</f>
        <v>1.473179193072105</v>
      </c>
      <c r="Q25" s="643">
        <f>SUM('3.03_Governors'!Q20:Q21)</f>
        <v>1.6570752681734888</v>
      </c>
      <c r="R25" s="641">
        <f>SUM('3.03_Governors'!R20:R21)</f>
        <v>1.1148009793499243</v>
      </c>
      <c r="S25" s="642">
        <f>SUM('3.03_Governors'!S20:S21)</f>
        <v>1.1148009793499243</v>
      </c>
      <c r="T25" s="642">
        <f>SUM('3.03_Governors'!T20:T21)</f>
        <v>1.1148009793499243</v>
      </c>
      <c r="U25" s="642">
        <f>SUM('3.03_Governors'!U20:U21)</f>
        <v>1.1148009793499243</v>
      </c>
      <c r="V25" s="643">
        <f>SUM('3.03_Governors'!V20:V21)</f>
        <v>1.1148009793499243</v>
      </c>
      <c r="W25" s="185"/>
      <c r="X25" s="164" t="s">
        <v>498</v>
      </c>
      <c r="Y25" s="641">
        <f>SUM('3.03_Governors'!Y20:Y21)</f>
        <v>0</v>
      </c>
      <c r="Z25" s="642">
        <f>SUM('3.03_Governors'!Z20:Z21)</f>
        <v>0</v>
      </c>
      <c r="AA25" s="642">
        <f>SUM('3.03_Governors'!AA20:AA21)</f>
        <v>0</v>
      </c>
      <c r="AB25" s="642">
        <f>SUM('3.03_Governors'!AB20:AB21)</f>
        <v>0</v>
      </c>
      <c r="AC25" s="642">
        <f>SUM('3.03_Governors'!AC20:AC21)</f>
        <v>0</v>
      </c>
      <c r="AD25" s="642">
        <f>SUM('3.03_Governors'!AD20:AD21)</f>
        <v>0</v>
      </c>
      <c r="AE25" s="642">
        <f>SUM('3.03_Governors'!AE20:AE21)</f>
        <v>0</v>
      </c>
      <c r="AF25" s="643">
        <f>SUM('3.03_Governors'!AF20:AF21)</f>
        <v>0</v>
      </c>
      <c r="AG25" s="641">
        <f>SUM('3.03_Governors'!AG20:AG21)</f>
        <v>0</v>
      </c>
      <c r="AH25" s="642">
        <f>SUM('3.03_Governors'!AH20:AH21)</f>
        <v>0</v>
      </c>
      <c r="AI25" s="642">
        <f>SUM('3.03_Governors'!AI20:AI21)</f>
        <v>0</v>
      </c>
      <c r="AJ25" s="642">
        <f>SUM('3.03_Governors'!AJ20:AJ21)</f>
        <v>0</v>
      </c>
      <c r="AK25" s="643">
        <f>SUM('3.03_Governors'!AK20:AK21)</f>
        <v>0</v>
      </c>
      <c r="AL25" s="185"/>
      <c r="AM25" s="164" t="s">
        <v>498</v>
      </c>
      <c r="AN25" s="641">
        <f>SUM(J25,Y25)</f>
        <v>0.99900789313261873</v>
      </c>
      <c r="AO25" s="642">
        <f t="shared" ref="AO25:AO29" si="23">SUM(K25,Z25)</f>
        <v>0.89186830129870098</v>
      </c>
      <c r="AP25" s="642">
        <f t="shared" ref="AP25:AP29" si="24">SUM(L25,AA25)</f>
        <v>1.3513884250587322</v>
      </c>
      <c r="AQ25" s="642">
        <f t="shared" ref="AQ25:AQ29" si="25">SUM(M25,AB25)</f>
        <v>1.1745621894508544</v>
      </c>
      <c r="AR25" s="642">
        <f t="shared" ref="AR25:AR29" si="26">SUM(N25,AC25)</f>
        <v>0.78304277776855802</v>
      </c>
      <c r="AS25" s="642">
        <f t="shared" ref="AS25:AS29" si="27">SUM(O25,AD25)</f>
        <v>1.4147243129552776</v>
      </c>
      <c r="AT25" s="642">
        <f t="shared" ref="AT25:AT29" si="28">SUM(P25,AE25)</f>
        <v>1.473179193072105</v>
      </c>
      <c r="AU25" s="643">
        <f t="shared" ref="AU25:AU29" si="29">SUM(Q25,AF25)</f>
        <v>1.6570752681734888</v>
      </c>
      <c r="AV25" s="641">
        <f t="shared" ref="AV25:AV29" si="30">SUM(R25,AG25)</f>
        <v>1.1148009793499243</v>
      </c>
      <c r="AW25" s="642">
        <f t="shared" ref="AW25:AW29" si="31">SUM(S25,AH25)</f>
        <v>1.1148009793499243</v>
      </c>
      <c r="AX25" s="642">
        <f t="shared" ref="AX25:AX29" si="32">SUM(T25,AI25)</f>
        <v>1.1148009793499243</v>
      </c>
      <c r="AY25" s="642">
        <f t="shared" ref="AY25:AY29" si="33">SUM(U25,AJ25)</f>
        <v>1.1148009793499243</v>
      </c>
      <c r="AZ25" s="643">
        <f t="shared" ref="AZ25:AZ29" si="34">SUM(V25,AK25)</f>
        <v>1.1148009793499243</v>
      </c>
      <c r="BA25" s="185"/>
      <c r="BB25" s="164" t="s">
        <v>1654</v>
      </c>
      <c r="BC25" s="641">
        <f>SUM('3.03_Governors'!AN20:AN21)</f>
        <v>9</v>
      </c>
      <c r="BD25" s="642">
        <f>SUM('3.03_Governors'!AO20:AO21)</f>
        <v>5</v>
      </c>
      <c r="BE25" s="642">
        <f>SUM('3.03_Governors'!AP20:AP21)</f>
        <v>6</v>
      </c>
      <c r="BF25" s="642">
        <f>SUM('3.03_Governors'!AQ20:AQ21)</f>
        <v>8</v>
      </c>
      <c r="BG25" s="642">
        <f>SUM('3.03_Governors'!AR20:AR21)</f>
        <v>6</v>
      </c>
      <c r="BH25" s="642">
        <f>SUM('3.03_Governors'!AS20:AS21)</f>
        <v>10</v>
      </c>
      <c r="BI25" s="642">
        <f>SUM('3.03_Governors'!AT20:AT21)</f>
        <v>11</v>
      </c>
      <c r="BJ25" s="643">
        <f>SUM('3.03_Governors'!AU20:AU21)</f>
        <v>12</v>
      </c>
      <c r="BK25" s="641">
        <f>SUM('3.03_Governors'!AV20:AV21)</f>
        <v>8</v>
      </c>
      <c r="BL25" s="642">
        <f>SUM('3.03_Governors'!AW20:AW21)</f>
        <v>8</v>
      </c>
      <c r="BM25" s="642">
        <f>SUM('3.03_Governors'!AX20:AX21)</f>
        <v>8</v>
      </c>
      <c r="BN25" s="642">
        <f>SUM('3.03_Governors'!AY20:AY21)</f>
        <v>8</v>
      </c>
      <c r="BO25" s="643">
        <f>SUM('3.03_Governors'!AZ20:AZ21)</f>
        <v>8</v>
      </c>
      <c r="BP25" s="185"/>
      <c r="BQ25" s="164" t="s">
        <v>2420</v>
      </c>
      <c r="BR25" s="641">
        <f>IFERROR(AN25/BC25,0)</f>
        <v>0.11100087701473542</v>
      </c>
      <c r="BS25" s="642">
        <f t="shared" ref="BS25:CD29" si="35">IFERROR(AO25/BD25,0)</f>
        <v>0.17837366025974019</v>
      </c>
      <c r="BT25" s="642">
        <f t="shared" si="35"/>
        <v>0.22523140417645537</v>
      </c>
      <c r="BU25" s="642">
        <f t="shared" si="35"/>
        <v>0.14682027368135681</v>
      </c>
      <c r="BV25" s="642">
        <f t="shared" si="35"/>
        <v>0.13050712962809299</v>
      </c>
      <c r="BW25" s="642">
        <f t="shared" si="35"/>
        <v>0.14147243129552775</v>
      </c>
      <c r="BX25" s="642">
        <f t="shared" si="35"/>
        <v>0.13392538118837319</v>
      </c>
      <c r="BY25" s="643">
        <f t="shared" si="35"/>
        <v>0.13808960568112408</v>
      </c>
      <c r="BZ25" s="641">
        <f t="shared" si="35"/>
        <v>0.13935012241874054</v>
      </c>
      <c r="CA25" s="642">
        <f t="shared" si="35"/>
        <v>0.13935012241874054</v>
      </c>
      <c r="CB25" s="642">
        <f t="shared" si="35"/>
        <v>0.13935012241874054</v>
      </c>
      <c r="CC25" s="642">
        <f t="shared" si="35"/>
        <v>0.13935012241874054</v>
      </c>
      <c r="CD25" s="643">
        <f t="shared" si="35"/>
        <v>0.13935012241874054</v>
      </c>
    </row>
    <row r="26" spans="1:82" s="98" customFormat="1" ht="15" customHeight="1">
      <c r="A26" s="99"/>
      <c r="B26" s="161"/>
      <c r="C26" s="616"/>
      <c r="D26" s="185" t="s">
        <v>2421</v>
      </c>
      <c r="E26" s="162"/>
      <c r="F26" s="185"/>
      <c r="G26" s="185"/>
      <c r="H26" s="163"/>
      <c r="I26" s="164" t="s">
        <v>498</v>
      </c>
      <c r="J26" s="641">
        <f>SUM('3.03_Governors'!J23:J24)</f>
        <v>0</v>
      </c>
      <c r="K26" s="642">
        <f>SUM('3.03_Governors'!K23:K24)</f>
        <v>0</v>
      </c>
      <c r="L26" s="642">
        <f>SUM('3.03_Governors'!L23:L24)</f>
        <v>7.2963840488757523E-2</v>
      </c>
      <c r="M26" s="642">
        <f>SUM('3.03_Governors'!M23:M24)</f>
        <v>0.47956800476844574</v>
      </c>
      <c r="N26" s="642">
        <f>SUM('3.03_Governors'!N23:N24)</f>
        <v>0.4708026002711872</v>
      </c>
      <c r="O26" s="642">
        <f>SUM('3.03_Governors'!O23:O24)</f>
        <v>0.7453623909209961</v>
      </c>
      <c r="P26" s="642">
        <f>SUM('3.03_Governors'!P23:P24)</f>
        <v>0.92439322763095244</v>
      </c>
      <c r="Q26" s="643">
        <f>SUM('3.03_Governors'!Q23:Q24)</f>
        <v>0.60103897333042045</v>
      </c>
      <c r="R26" s="641">
        <f>SUM('3.03_Governors'!R23:R24)</f>
        <v>0.19492685497922338</v>
      </c>
      <c r="S26" s="642">
        <f>SUM('3.03_Governors'!S23:S24)</f>
        <v>0.19492685497922338</v>
      </c>
      <c r="T26" s="642">
        <f>SUM('3.03_Governors'!T23:T24)</f>
        <v>0.19492685497922338</v>
      </c>
      <c r="U26" s="642">
        <f>SUM('3.03_Governors'!U23:U24)</f>
        <v>0.19492685497922338</v>
      </c>
      <c r="V26" s="643">
        <f>SUM('3.03_Governors'!V23:V24)</f>
        <v>0.19492685497922338</v>
      </c>
      <c r="W26" s="185"/>
      <c r="X26" s="164" t="s">
        <v>498</v>
      </c>
      <c r="Y26" s="641">
        <f>SUM('3.03_Governors'!Y23:Y24)</f>
        <v>0</v>
      </c>
      <c r="Z26" s="642">
        <f>SUM('3.03_Governors'!Z23:Z24)</f>
        <v>0</v>
      </c>
      <c r="AA26" s="642">
        <f>SUM('3.03_Governors'!AA23:AA24)</f>
        <v>0</v>
      </c>
      <c r="AB26" s="642">
        <f>SUM('3.03_Governors'!AB23:AB24)</f>
        <v>0</v>
      </c>
      <c r="AC26" s="642">
        <f>SUM('3.03_Governors'!AC23:AC24)</f>
        <v>0</v>
      </c>
      <c r="AD26" s="642">
        <f>SUM('3.03_Governors'!AD23:AD24)</f>
        <v>0</v>
      </c>
      <c r="AE26" s="642">
        <f>SUM('3.03_Governors'!AE23:AE24)</f>
        <v>0</v>
      </c>
      <c r="AF26" s="643">
        <f>SUM('3.03_Governors'!AF23:AF24)</f>
        <v>0</v>
      </c>
      <c r="AG26" s="641">
        <f>SUM('3.03_Governors'!AG23:AG24)</f>
        <v>0</v>
      </c>
      <c r="AH26" s="642">
        <f>SUM('3.03_Governors'!AH23:AH24)</f>
        <v>0</v>
      </c>
      <c r="AI26" s="642">
        <f>SUM('3.03_Governors'!AI23:AI24)</f>
        <v>0</v>
      </c>
      <c r="AJ26" s="642">
        <f>SUM('3.03_Governors'!AJ23:AJ24)</f>
        <v>0</v>
      </c>
      <c r="AK26" s="643">
        <f>SUM('3.03_Governors'!AK23:AK24)</f>
        <v>0</v>
      </c>
      <c r="AL26" s="185"/>
      <c r="AM26" s="164" t="s">
        <v>498</v>
      </c>
      <c r="AN26" s="641">
        <f t="shared" ref="AN26:AN29" si="36">SUM(J26,Y26)</f>
        <v>0</v>
      </c>
      <c r="AO26" s="642">
        <f t="shared" si="23"/>
        <v>0</v>
      </c>
      <c r="AP26" s="642">
        <f t="shared" si="24"/>
        <v>7.2963840488757523E-2</v>
      </c>
      <c r="AQ26" s="642">
        <f t="shared" si="25"/>
        <v>0.47956800476844574</v>
      </c>
      <c r="AR26" s="642">
        <f t="shared" si="26"/>
        <v>0.4708026002711872</v>
      </c>
      <c r="AS26" s="642">
        <f t="shared" si="27"/>
        <v>0.7453623909209961</v>
      </c>
      <c r="AT26" s="642">
        <f t="shared" si="28"/>
        <v>0.92439322763095244</v>
      </c>
      <c r="AU26" s="643">
        <f t="shared" si="29"/>
        <v>0.60103897333042045</v>
      </c>
      <c r="AV26" s="641">
        <f t="shared" si="30"/>
        <v>0.19492685497922338</v>
      </c>
      <c r="AW26" s="642">
        <f t="shared" si="31"/>
        <v>0.19492685497922338</v>
      </c>
      <c r="AX26" s="642">
        <f t="shared" si="32"/>
        <v>0.19492685497922338</v>
      </c>
      <c r="AY26" s="642">
        <f t="shared" si="33"/>
        <v>0.19492685497922338</v>
      </c>
      <c r="AZ26" s="643">
        <f t="shared" si="34"/>
        <v>0.19492685497922338</v>
      </c>
      <c r="BA26" s="185"/>
      <c r="BB26" s="164" t="s">
        <v>1654</v>
      </c>
      <c r="BC26" s="641">
        <f>SUM('3.03_Governors'!AN23:AN24)</f>
        <v>6</v>
      </c>
      <c r="BD26" s="642">
        <f>SUM('3.03_Governors'!AO23:AO24)</f>
        <v>0</v>
      </c>
      <c r="BE26" s="642">
        <f>SUM('3.03_Governors'!AP23:AP24)</f>
        <v>10</v>
      </c>
      <c r="BF26" s="642">
        <f>SUM('3.03_Governors'!AQ23:AQ24)</f>
        <v>10</v>
      </c>
      <c r="BG26" s="642">
        <f>SUM('3.03_Governors'!AR23:AR24)</f>
        <v>25</v>
      </c>
      <c r="BH26" s="642">
        <f>SUM('3.03_Governors'!AS23:AS24)</f>
        <v>36</v>
      </c>
      <c r="BI26" s="642">
        <f>SUM('3.03_Governors'!AT23:AT24)</f>
        <v>39</v>
      </c>
      <c r="BJ26" s="643">
        <f>SUM('3.03_Governors'!AU23:AU24)</f>
        <v>47</v>
      </c>
      <c r="BK26" s="641">
        <f>SUM('3.03_Governors'!AV23:AV24)</f>
        <v>15</v>
      </c>
      <c r="BL26" s="642">
        <f>SUM('3.03_Governors'!AW23:AW24)</f>
        <v>15</v>
      </c>
      <c r="BM26" s="642">
        <f>SUM('3.03_Governors'!AX23:AX24)</f>
        <v>15</v>
      </c>
      <c r="BN26" s="642">
        <f>SUM('3.03_Governors'!AY23:AY24)</f>
        <v>15</v>
      </c>
      <c r="BO26" s="643">
        <f>SUM('3.03_Governors'!AZ23:AZ24)</f>
        <v>15</v>
      </c>
      <c r="BP26" s="185"/>
      <c r="BQ26" s="164" t="s">
        <v>2420</v>
      </c>
      <c r="BR26" s="641">
        <f>IFERROR(AN26/BC26,0)</f>
        <v>0</v>
      </c>
      <c r="BS26" s="642">
        <f t="shared" si="35"/>
        <v>0</v>
      </c>
      <c r="BT26" s="642">
        <f t="shared" si="35"/>
        <v>7.2963840488757519E-3</v>
      </c>
      <c r="BU26" s="642">
        <f t="shared" si="35"/>
        <v>4.7956800476844572E-2</v>
      </c>
      <c r="BV26" s="642">
        <f t="shared" si="35"/>
        <v>1.8832104010847488E-2</v>
      </c>
      <c r="BW26" s="642">
        <f t="shared" si="35"/>
        <v>2.0704510858916558E-2</v>
      </c>
      <c r="BX26" s="642">
        <f t="shared" si="35"/>
        <v>2.3702390452075704E-2</v>
      </c>
      <c r="BY26" s="643">
        <f t="shared" si="35"/>
        <v>1.2788063262349372E-2</v>
      </c>
      <c r="BZ26" s="641">
        <f t="shared" si="35"/>
        <v>1.2995123665281558E-2</v>
      </c>
      <c r="CA26" s="642">
        <f t="shared" si="35"/>
        <v>1.2995123665281558E-2</v>
      </c>
      <c r="CB26" s="642">
        <f t="shared" si="35"/>
        <v>1.2995123665281558E-2</v>
      </c>
      <c r="CC26" s="642">
        <f t="shared" si="35"/>
        <v>1.2995123665281558E-2</v>
      </c>
      <c r="CD26" s="643">
        <f t="shared" si="35"/>
        <v>1.2995123665281558E-2</v>
      </c>
    </row>
    <row r="27" spans="1:82" s="98" customFormat="1" ht="15" customHeight="1">
      <c r="A27" s="99"/>
      <c r="B27" s="161"/>
      <c r="C27" s="616"/>
      <c r="D27" s="185" t="s">
        <v>2422</v>
      </c>
      <c r="E27" s="162"/>
      <c r="F27" s="185"/>
      <c r="G27" s="185"/>
      <c r="H27" s="163"/>
      <c r="I27" s="164" t="s">
        <v>498</v>
      </c>
      <c r="J27" s="641">
        <f>SUM('3.03_Governors'!J26:J27)</f>
        <v>0.35084840440266196</v>
      </c>
      <c r="K27" s="642">
        <f>SUM('3.03_Governors'!K26:K27)</f>
        <v>0.60598477402597373</v>
      </c>
      <c r="L27" s="642">
        <f>SUM('3.03_Governors'!L26:L27)</f>
        <v>0.26669355934194566</v>
      </c>
      <c r="M27" s="642">
        <f>SUM('3.03_Governors'!M26:M27)</f>
        <v>2.3760655216868425E-2</v>
      </c>
      <c r="N27" s="642">
        <f>SUM('3.03_Governors'!N26:N27)</f>
        <v>8.4260772423229505E-2</v>
      </c>
      <c r="O27" s="642">
        <f>SUM('3.03_Governors'!O26:O27)</f>
        <v>0.1381628330557709</v>
      </c>
      <c r="P27" s="642">
        <f>SUM('3.03_Governors'!P26:P27)</f>
        <v>0.59474897753833122</v>
      </c>
      <c r="Q27" s="643">
        <f>SUM('3.03_Governors'!Q26:Q27)</f>
        <v>9.0271245482442489E-2</v>
      </c>
      <c r="R27" s="641">
        <f>SUM('3.03_Governors'!R26:R27)</f>
        <v>7.6898529702296867E-2</v>
      </c>
      <c r="S27" s="642">
        <f>SUM('3.03_Governors'!S26:S27)</f>
        <v>7.6898529702296867E-2</v>
      </c>
      <c r="T27" s="642">
        <f>SUM('3.03_Governors'!T26:T27)</f>
        <v>7.6898529702296867E-2</v>
      </c>
      <c r="U27" s="642">
        <f>SUM('3.03_Governors'!U26:U27)</f>
        <v>7.6898529702296867E-2</v>
      </c>
      <c r="V27" s="643">
        <f>SUM('3.03_Governors'!V26:V27)</f>
        <v>7.6898529702296867E-2</v>
      </c>
      <c r="W27" s="185"/>
      <c r="X27" s="164" t="s">
        <v>498</v>
      </c>
      <c r="Y27" s="641">
        <f>SUM('3.03_Governors'!Y26:Y27)</f>
        <v>0</v>
      </c>
      <c r="Z27" s="642">
        <f>SUM('3.03_Governors'!Z26:Z27)</f>
        <v>0</v>
      </c>
      <c r="AA27" s="642">
        <f>SUM('3.03_Governors'!AA26:AA27)</f>
        <v>0</v>
      </c>
      <c r="AB27" s="642">
        <f>SUM('3.03_Governors'!AB26:AB27)</f>
        <v>0</v>
      </c>
      <c r="AC27" s="642">
        <f>SUM('3.03_Governors'!AC26:AC27)</f>
        <v>0</v>
      </c>
      <c r="AD27" s="642">
        <f>SUM('3.03_Governors'!AD26:AD27)</f>
        <v>0</v>
      </c>
      <c r="AE27" s="642">
        <f>SUM('3.03_Governors'!AE26:AE27)</f>
        <v>0</v>
      </c>
      <c r="AF27" s="643">
        <f>SUM('3.03_Governors'!AF26:AF27)</f>
        <v>0</v>
      </c>
      <c r="AG27" s="641">
        <f>SUM('3.03_Governors'!AG26:AG27)</f>
        <v>0</v>
      </c>
      <c r="AH27" s="642">
        <f>SUM('3.03_Governors'!AH26:AH27)</f>
        <v>0</v>
      </c>
      <c r="AI27" s="642">
        <f>SUM('3.03_Governors'!AI26:AI27)</f>
        <v>0</v>
      </c>
      <c r="AJ27" s="642">
        <f>SUM('3.03_Governors'!AJ26:AJ27)</f>
        <v>0</v>
      </c>
      <c r="AK27" s="643">
        <f>SUM('3.03_Governors'!AK26:AK27)</f>
        <v>0</v>
      </c>
      <c r="AL27" s="185"/>
      <c r="AM27" s="164" t="s">
        <v>498</v>
      </c>
      <c r="AN27" s="641">
        <f t="shared" si="36"/>
        <v>0.35084840440266196</v>
      </c>
      <c r="AO27" s="642">
        <f t="shared" si="23"/>
        <v>0.60598477402597373</v>
      </c>
      <c r="AP27" s="642">
        <f t="shared" si="24"/>
        <v>0.26669355934194566</v>
      </c>
      <c r="AQ27" s="642">
        <f t="shared" si="25"/>
        <v>2.3760655216868425E-2</v>
      </c>
      <c r="AR27" s="642">
        <f t="shared" si="26"/>
        <v>8.4260772423229505E-2</v>
      </c>
      <c r="AS27" s="642">
        <f t="shared" si="27"/>
        <v>0.1381628330557709</v>
      </c>
      <c r="AT27" s="642">
        <f t="shared" si="28"/>
        <v>0.59474897753833122</v>
      </c>
      <c r="AU27" s="643">
        <f t="shared" si="29"/>
        <v>9.0271245482442489E-2</v>
      </c>
      <c r="AV27" s="641">
        <f t="shared" si="30"/>
        <v>7.6898529702296867E-2</v>
      </c>
      <c r="AW27" s="642">
        <f t="shared" si="31"/>
        <v>7.6898529702296867E-2</v>
      </c>
      <c r="AX27" s="642">
        <f t="shared" si="32"/>
        <v>7.6898529702296867E-2</v>
      </c>
      <c r="AY27" s="642">
        <f t="shared" si="33"/>
        <v>7.6898529702296867E-2</v>
      </c>
      <c r="AZ27" s="643">
        <f t="shared" si="34"/>
        <v>7.6898529702296867E-2</v>
      </c>
      <c r="BA27" s="185"/>
      <c r="BB27" s="164" t="s">
        <v>1654</v>
      </c>
      <c r="BC27" s="641">
        <f>SUM('3.03_Governors'!AN26:AN27)</f>
        <v>11</v>
      </c>
      <c r="BD27" s="642">
        <f>SUM('3.03_Governors'!AO26:AO27)</f>
        <v>1</v>
      </c>
      <c r="BE27" s="642">
        <f>SUM('3.03_Governors'!AP26:AP27)</f>
        <v>9</v>
      </c>
      <c r="BF27" s="642">
        <f>SUM('3.03_Governors'!AQ26:AQ27)</f>
        <v>2</v>
      </c>
      <c r="BG27" s="642">
        <f>SUM('3.03_Governors'!AR26:AR27)</f>
        <v>4</v>
      </c>
      <c r="BH27" s="642">
        <f>SUM('3.03_Governors'!AS26:AS27)</f>
        <v>5</v>
      </c>
      <c r="BI27" s="642">
        <f>SUM('3.03_Governors'!AT26:AT27)</f>
        <v>14</v>
      </c>
      <c r="BJ27" s="643">
        <f>SUM('3.03_Governors'!AU26:AU27)</f>
        <v>2</v>
      </c>
      <c r="BK27" s="641">
        <f>SUM('3.03_Governors'!AV26:AV27)</f>
        <v>5</v>
      </c>
      <c r="BL27" s="642">
        <f>SUM('3.03_Governors'!AW26:AW27)</f>
        <v>5</v>
      </c>
      <c r="BM27" s="642">
        <f>SUM('3.03_Governors'!AX26:AX27)</f>
        <v>5</v>
      </c>
      <c r="BN27" s="642">
        <f>SUM('3.03_Governors'!AY26:AY27)</f>
        <v>5</v>
      </c>
      <c r="BO27" s="643">
        <f>SUM('3.03_Governors'!AZ26:AZ27)</f>
        <v>5</v>
      </c>
      <c r="BP27" s="185"/>
      <c r="BQ27" s="164" t="s">
        <v>2420</v>
      </c>
      <c r="BR27" s="641">
        <f>IFERROR(AN27/BC27,0)</f>
        <v>3.1895309491151089E-2</v>
      </c>
      <c r="BS27" s="642">
        <f t="shared" si="35"/>
        <v>0.60598477402597373</v>
      </c>
      <c r="BT27" s="642">
        <f t="shared" si="35"/>
        <v>2.9632617704660628E-2</v>
      </c>
      <c r="BU27" s="642">
        <f t="shared" si="35"/>
        <v>1.1880327608434212E-2</v>
      </c>
      <c r="BV27" s="642">
        <f t="shared" si="35"/>
        <v>2.1065193105807376E-2</v>
      </c>
      <c r="BW27" s="642">
        <f t="shared" si="35"/>
        <v>2.763256661115418E-2</v>
      </c>
      <c r="BX27" s="642">
        <f t="shared" si="35"/>
        <v>4.2482069824166517E-2</v>
      </c>
      <c r="BY27" s="643">
        <f t="shared" si="35"/>
        <v>4.5135622741221244E-2</v>
      </c>
      <c r="BZ27" s="641">
        <f t="shared" si="35"/>
        <v>1.5379705940459374E-2</v>
      </c>
      <c r="CA27" s="642">
        <f t="shared" si="35"/>
        <v>1.5379705940459374E-2</v>
      </c>
      <c r="CB27" s="642">
        <f t="shared" si="35"/>
        <v>1.5379705940459374E-2</v>
      </c>
      <c r="CC27" s="642">
        <f t="shared" si="35"/>
        <v>1.5379705940459374E-2</v>
      </c>
      <c r="CD27" s="643">
        <f t="shared" si="35"/>
        <v>1.5379705940459374E-2</v>
      </c>
    </row>
    <row r="28" spans="1:82" s="98" customFormat="1" ht="15" customHeight="1">
      <c r="A28" s="99"/>
      <c r="B28" s="161"/>
      <c r="C28" s="616"/>
      <c r="D28" s="185" t="s">
        <v>2423</v>
      </c>
      <c r="E28" s="162"/>
      <c r="F28" s="185"/>
      <c r="G28" s="185"/>
      <c r="H28" s="163"/>
      <c r="I28" s="164" t="s">
        <v>498</v>
      </c>
      <c r="J28" s="641">
        <f>SUM('3.03_Governors'!J29:J30)</f>
        <v>0</v>
      </c>
      <c r="K28" s="642">
        <f>SUM('3.03_Governors'!K29:K30)</f>
        <v>2.2075948051948045E-2</v>
      </c>
      <c r="L28" s="642">
        <f>SUM('3.03_Governors'!L29:L30)</f>
        <v>8.3955652155826774E-2</v>
      </c>
      <c r="M28" s="642">
        <f>SUM('3.03_Governors'!M29:M30)</f>
        <v>0</v>
      </c>
      <c r="N28" s="642">
        <f>SUM('3.03_Governors'!N29:N30)</f>
        <v>0</v>
      </c>
      <c r="O28" s="642">
        <f>SUM('3.03_Governors'!O29:O30)</f>
        <v>0.10473430811496769</v>
      </c>
      <c r="P28" s="642">
        <f>SUM('3.03_Governors'!P29:P30)</f>
        <v>1.195412360192632E-6</v>
      </c>
      <c r="Q28" s="643">
        <f>SUM('3.03_Governors'!Q29:Q30)</f>
        <v>0</v>
      </c>
      <c r="R28" s="641">
        <f>SUM('3.03_Governors'!R29:R30)</f>
        <v>1.3422109371362935E-2</v>
      </c>
      <c r="S28" s="642">
        <f>SUM('3.03_Governors'!S29:S30)</f>
        <v>1.3422109371362935E-2</v>
      </c>
      <c r="T28" s="642">
        <f>SUM('3.03_Governors'!T29:T30)</f>
        <v>1.3422109371362935E-2</v>
      </c>
      <c r="U28" s="642">
        <f>SUM('3.03_Governors'!U29:U30)</f>
        <v>1.3422109371362935E-2</v>
      </c>
      <c r="V28" s="643">
        <f>SUM('3.03_Governors'!V29:V30)</f>
        <v>1.3422109371362935E-2</v>
      </c>
      <c r="W28" s="185"/>
      <c r="X28" s="164" t="s">
        <v>498</v>
      </c>
      <c r="Y28" s="641">
        <f>SUM('3.03_Governors'!Y29:Y30)</f>
        <v>0</v>
      </c>
      <c r="Z28" s="642">
        <f>SUM('3.03_Governors'!Z29:Z30)</f>
        <v>0</v>
      </c>
      <c r="AA28" s="642">
        <f>SUM('3.03_Governors'!AA29:AA30)</f>
        <v>0</v>
      </c>
      <c r="AB28" s="642">
        <f>SUM('3.03_Governors'!AB29:AB30)</f>
        <v>0</v>
      </c>
      <c r="AC28" s="642">
        <f>SUM('3.03_Governors'!AC29:AC30)</f>
        <v>0</v>
      </c>
      <c r="AD28" s="642">
        <f>SUM('3.03_Governors'!AD29:AD30)</f>
        <v>0</v>
      </c>
      <c r="AE28" s="642">
        <f>SUM('3.03_Governors'!AE29:AE30)</f>
        <v>0</v>
      </c>
      <c r="AF28" s="643">
        <f>SUM('3.03_Governors'!AF29:AF30)</f>
        <v>0</v>
      </c>
      <c r="AG28" s="641">
        <f>SUM('3.03_Governors'!AG29:AG30)</f>
        <v>0</v>
      </c>
      <c r="AH28" s="642">
        <f>SUM('3.03_Governors'!AH29:AH30)</f>
        <v>0</v>
      </c>
      <c r="AI28" s="642">
        <f>SUM('3.03_Governors'!AI29:AI30)</f>
        <v>0</v>
      </c>
      <c r="AJ28" s="642">
        <f>SUM('3.03_Governors'!AJ29:AJ30)</f>
        <v>0</v>
      </c>
      <c r="AK28" s="643">
        <f>SUM('3.03_Governors'!AK29:AK30)</f>
        <v>0</v>
      </c>
      <c r="AL28" s="185"/>
      <c r="AM28" s="164" t="s">
        <v>498</v>
      </c>
      <c r="AN28" s="641">
        <f t="shared" si="36"/>
        <v>0</v>
      </c>
      <c r="AO28" s="642">
        <f t="shared" si="23"/>
        <v>2.2075948051948045E-2</v>
      </c>
      <c r="AP28" s="642">
        <f t="shared" si="24"/>
        <v>8.3955652155826774E-2</v>
      </c>
      <c r="AQ28" s="642">
        <f t="shared" si="25"/>
        <v>0</v>
      </c>
      <c r="AR28" s="642">
        <f t="shared" si="26"/>
        <v>0</v>
      </c>
      <c r="AS28" s="642">
        <f t="shared" si="27"/>
        <v>0.10473430811496769</v>
      </c>
      <c r="AT28" s="642">
        <f t="shared" si="28"/>
        <v>1.195412360192632E-6</v>
      </c>
      <c r="AU28" s="643">
        <f t="shared" si="29"/>
        <v>0</v>
      </c>
      <c r="AV28" s="641">
        <f t="shared" si="30"/>
        <v>1.3422109371362935E-2</v>
      </c>
      <c r="AW28" s="642">
        <f t="shared" si="31"/>
        <v>1.3422109371362935E-2</v>
      </c>
      <c r="AX28" s="642">
        <f t="shared" si="32"/>
        <v>1.3422109371362935E-2</v>
      </c>
      <c r="AY28" s="642">
        <f t="shared" si="33"/>
        <v>1.3422109371362935E-2</v>
      </c>
      <c r="AZ28" s="643">
        <f t="shared" si="34"/>
        <v>1.3422109371362935E-2</v>
      </c>
      <c r="BA28" s="185"/>
      <c r="BB28" s="164" t="s">
        <v>1654</v>
      </c>
      <c r="BC28" s="641">
        <f>SUM('3.03_Governors'!AN29:AN30)</f>
        <v>0</v>
      </c>
      <c r="BD28" s="642">
        <f>SUM('3.03_Governors'!AO29:AO30)</f>
        <v>2</v>
      </c>
      <c r="BE28" s="642">
        <f>SUM('3.03_Governors'!AP29:AP30)</f>
        <v>10</v>
      </c>
      <c r="BF28" s="642">
        <f>SUM('3.03_Governors'!AQ29:AQ30)</f>
        <v>0</v>
      </c>
      <c r="BG28" s="642">
        <f>SUM('3.03_Governors'!AR29:AR30)</f>
        <v>1</v>
      </c>
      <c r="BH28" s="642">
        <f>SUM('3.03_Governors'!AS29:AS30)</f>
        <v>2</v>
      </c>
      <c r="BI28" s="642">
        <f>SUM('3.03_Governors'!AT29:AT30)</f>
        <v>1</v>
      </c>
      <c r="BJ28" s="643">
        <f>SUM('3.03_Governors'!AU29:AU30)</f>
        <v>0</v>
      </c>
      <c r="BK28" s="641">
        <f>SUM('3.03_Governors'!AV29:AV30)</f>
        <v>2</v>
      </c>
      <c r="BL28" s="642">
        <f>SUM('3.03_Governors'!AW29:AW30)</f>
        <v>2</v>
      </c>
      <c r="BM28" s="642">
        <f>SUM('3.03_Governors'!AX29:AX30)</f>
        <v>2</v>
      </c>
      <c r="BN28" s="642">
        <f>SUM('3.03_Governors'!AY29:AY30)</f>
        <v>2</v>
      </c>
      <c r="BO28" s="643">
        <f>SUM('3.03_Governors'!AZ29:AZ30)</f>
        <v>2</v>
      </c>
      <c r="BP28" s="185"/>
      <c r="BQ28" s="164" t="s">
        <v>2420</v>
      </c>
      <c r="BR28" s="641">
        <f>IFERROR(AN28/BC28,0)</f>
        <v>0</v>
      </c>
      <c r="BS28" s="642">
        <f t="shared" si="35"/>
        <v>1.1037974025974022E-2</v>
      </c>
      <c r="BT28" s="642">
        <f t="shared" si="35"/>
        <v>8.3955652155826774E-3</v>
      </c>
      <c r="BU28" s="642">
        <f t="shared" si="35"/>
        <v>0</v>
      </c>
      <c r="BV28" s="642">
        <f t="shared" si="35"/>
        <v>0</v>
      </c>
      <c r="BW28" s="642">
        <f t="shared" si="35"/>
        <v>5.2367154057483843E-2</v>
      </c>
      <c r="BX28" s="642">
        <f t="shared" si="35"/>
        <v>1.195412360192632E-6</v>
      </c>
      <c r="BY28" s="643">
        <f t="shared" si="35"/>
        <v>0</v>
      </c>
      <c r="BZ28" s="641">
        <f t="shared" si="35"/>
        <v>6.7110546856814675E-3</v>
      </c>
      <c r="CA28" s="642">
        <f t="shared" si="35"/>
        <v>6.7110546856814675E-3</v>
      </c>
      <c r="CB28" s="642">
        <f t="shared" si="35"/>
        <v>6.7110546856814675E-3</v>
      </c>
      <c r="CC28" s="642">
        <f t="shared" si="35"/>
        <v>6.7110546856814675E-3</v>
      </c>
      <c r="CD28" s="643">
        <f t="shared" si="35"/>
        <v>6.7110546856814675E-3</v>
      </c>
    </row>
    <row r="29" spans="1:82" s="98" customFormat="1" ht="15" customHeight="1">
      <c r="A29" s="99"/>
      <c r="B29" s="161"/>
      <c r="C29" s="616"/>
      <c r="D29" s="185" t="s">
        <v>2424</v>
      </c>
      <c r="E29" s="162"/>
      <c r="F29" s="185"/>
      <c r="G29" s="185"/>
      <c r="H29" s="163"/>
      <c r="I29" s="164" t="s">
        <v>498</v>
      </c>
      <c r="J29" s="641">
        <f>'3.03_Governors'!J41</f>
        <v>0.94638398348524067</v>
      </c>
      <c r="K29" s="642">
        <f>'3.03_Governors'!K41</f>
        <v>0</v>
      </c>
      <c r="L29" s="642">
        <f>'3.03_Governors'!L41</f>
        <v>0.18404932225871773</v>
      </c>
      <c r="M29" s="642">
        <f>'3.03_Governors'!M41</f>
        <v>7.2888325816669167E-2</v>
      </c>
      <c r="N29" s="642">
        <f>'3.03_Governors'!N41</f>
        <v>0.15963050731292586</v>
      </c>
      <c r="O29" s="642">
        <f>'3.03_Governors'!O41</f>
        <v>0.2260068690983611</v>
      </c>
      <c r="P29" s="642">
        <f>'3.03_Governors'!P41</f>
        <v>0.38500000000000001</v>
      </c>
      <c r="Q29" s="643">
        <f>'3.03_Governors'!Q41</f>
        <v>0.45499999999999996</v>
      </c>
      <c r="R29" s="641">
        <f>'3.03_Governors'!R41</f>
        <v>0.17796724104750408</v>
      </c>
      <c r="S29" s="642">
        <f>'3.03_Governors'!S41</f>
        <v>0.17796724104750408</v>
      </c>
      <c r="T29" s="642">
        <f>'3.03_Governors'!T41</f>
        <v>0.17796724104750408</v>
      </c>
      <c r="U29" s="642">
        <f>'3.03_Governors'!U41</f>
        <v>0.17796724104750408</v>
      </c>
      <c r="V29" s="643">
        <f>'3.03_Governors'!V41</f>
        <v>0.17796724104750408</v>
      </c>
      <c r="W29" s="185"/>
      <c r="X29" s="164" t="s">
        <v>498</v>
      </c>
      <c r="Y29" s="641">
        <f>'3.03_Governors'!Y41</f>
        <v>0</v>
      </c>
      <c r="Z29" s="642">
        <f>'3.03_Governors'!Z41</f>
        <v>0</v>
      </c>
      <c r="AA29" s="642">
        <f>'3.03_Governors'!AA41</f>
        <v>0</v>
      </c>
      <c r="AB29" s="642">
        <f>'3.03_Governors'!AB41</f>
        <v>0</v>
      </c>
      <c r="AC29" s="642">
        <f>'3.03_Governors'!AC41</f>
        <v>0</v>
      </c>
      <c r="AD29" s="642">
        <f>'3.03_Governors'!AD41</f>
        <v>0</v>
      </c>
      <c r="AE29" s="642">
        <f>'3.03_Governors'!AE41</f>
        <v>0</v>
      </c>
      <c r="AF29" s="643">
        <f>'3.03_Governors'!AF41</f>
        <v>0</v>
      </c>
      <c r="AG29" s="641">
        <f>'3.03_Governors'!AG41</f>
        <v>0</v>
      </c>
      <c r="AH29" s="642">
        <f>'3.03_Governors'!AH41</f>
        <v>0</v>
      </c>
      <c r="AI29" s="642">
        <f>'3.03_Governors'!AI41</f>
        <v>0</v>
      </c>
      <c r="AJ29" s="642">
        <f>'3.03_Governors'!AJ41</f>
        <v>0</v>
      </c>
      <c r="AK29" s="643">
        <f>'3.03_Governors'!AK41</f>
        <v>0</v>
      </c>
      <c r="AL29" s="185"/>
      <c r="AM29" s="164" t="s">
        <v>498</v>
      </c>
      <c r="AN29" s="641">
        <f t="shared" si="36"/>
        <v>0.94638398348524067</v>
      </c>
      <c r="AO29" s="642">
        <f t="shared" si="23"/>
        <v>0</v>
      </c>
      <c r="AP29" s="642">
        <f t="shared" si="24"/>
        <v>0.18404932225871773</v>
      </c>
      <c r="AQ29" s="642">
        <f t="shared" si="25"/>
        <v>7.2888325816669167E-2</v>
      </c>
      <c r="AR29" s="642">
        <f t="shared" si="26"/>
        <v>0.15963050731292586</v>
      </c>
      <c r="AS29" s="642">
        <f t="shared" si="27"/>
        <v>0.2260068690983611</v>
      </c>
      <c r="AT29" s="642">
        <f t="shared" si="28"/>
        <v>0.38500000000000001</v>
      </c>
      <c r="AU29" s="643">
        <f t="shared" si="29"/>
        <v>0.45499999999999996</v>
      </c>
      <c r="AV29" s="641">
        <f t="shared" si="30"/>
        <v>0.17796724104750408</v>
      </c>
      <c r="AW29" s="642">
        <f t="shared" si="31"/>
        <v>0.17796724104750408</v>
      </c>
      <c r="AX29" s="642">
        <f t="shared" si="32"/>
        <v>0.17796724104750408</v>
      </c>
      <c r="AY29" s="642">
        <f t="shared" si="33"/>
        <v>0.17796724104750408</v>
      </c>
      <c r="AZ29" s="643">
        <f t="shared" si="34"/>
        <v>0.17796724104750408</v>
      </c>
      <c r="BA29" s="185"/>
      <c r="BB29" s="164" t="s">
        <v>1654</v>
      </c>
      <c r="BC29" s="641">
        <f>'3.03_Governors'!AN41</f>
        <v>438</v>
      </c>
      <c r="BD29" s="642">
        <f>'3.03_Governors'!AO41</f>
        <v>1</v>
      </c>
      <c r="BE29" s="642">
        <f>'3.03_Governors'!AP41</f>
        <v>11</v>
      </c>
      <c r="BF29" s="642">
        <f>'3.03_Governors'!AQ41</f>
        <v>2</v>
      </c>
      <c r="BG29" s="642">
        <f>'3.03_Governors'!AR41</f>
        <v>27</v>
      </c>
      <c r="BH29" s="642">
        <f>'3.03_Governors'!AS41</f>
        <v>33</v>
      </c>
      <c r="BI29" s="642">
        <f>'3.03_Governors'!AT41</f>
        <v>59</v>
      </c>
      <c r="BJ29" s="643">
        <f>'3.03_Governors'!AU41</f>
        <v>68</v>
      </c>
      <c r="BK29" s="641">
        <f>'3.03_Governors'!AV41</f>
        <v>85</v>
      </c>
      <c r="BL29" s="642">
        <f>'3.03_Governors'!AW41</f>
        <v>85</v>
      </c>
      <c r="BM29" s="642">
        <f>'3.03_Governors'!AX41</f>
        <v>85</v>
      </c>
      <c r="BN29" s="642">
        <f>'3.03_Governors'!AY41</f>
        <v>85</v>
      </c>
      <c r="BO29" s="643">
        <f>'3.03_Governors'!AZ41</f>
        <v>85</v>
      </c>
      <c r="BP29" s="185"/>
      <c r="BQ29" s="164" t="s">
        <v>2420</v>
      </c>
      <c r="BR29" s="641">
        <f>IFERROR(AN29/BC29,0)</f>
        <v>2.1606940262220106E-3</v>
      </c>
      <c r="BS29" s="642">
        <f t="shared" si="35"/>
        <v>0</v>
      </c>
      <c r="BT29" s="642">
        <f t="shared" si="35"/>
        <v>1.673175656897434E-2</v>
      </c>
      <c r="BU29" s="642">
        <f t="shared" si="35"/>
        <v>3.6444162908334583E-2</v>
      </c>
      <c r="BV29" s="642">
        <f t="shared" si="35"/>
        <v>5.9122410115898466E-3</v>
      </c>
      <c r="BW29" s="642">
        <f t="shared" si="35"/>
        <v>6.8486930029806395E-3</v>
      </c>
      <c r="BX29" s="642">
        <f t="shared" si="35"/>
        <v>6.5254237288135597E-3</v>
      </c>
      <c r="BY29" s="643">
        <f t="shared" si="35"/>
        <v>6.6911764705882351E-3</v>
      </c>
      <c r="BZ29" s="641">
        <f t="shared" si="35"/>
        <v>2.0937322476176951E-3</v>
      </c>
      <c r="CA29" s="642">
        <f t="shared" si="35"/>
        <v>2.0937322476176951E-3</v>
      </c>
      <c r="CB29" s="642">
        <f t="shared" si="35"/>
        <v>2.0937322476176951E-3</v>
      </c>
      <c r="CC29" s="642">
        <f t="shared" si="35"/>
        <v>2.0937322476176951E-3</v>
      </c>
      <c r="CD29" s="643">
        <f t="shared" si="35"/>
        <v>2.0937322476176951E-3</v>
      </c>
    </row>
    <row r="30" spans="1:82" ht="14.25">
      <c r="B30" s="161"/>
      <c r="C30" s="185" t="s">
        <v>1710</v>
      </c>
      <c r="D30" s="185"/>
      <c r="E30" s="185"/>
      <c r="F30" s="162"/>
      <c r="G30" s="185"/>
      <c r="H30" s="185"/>
      <c r="I30" s="164" t="s">
        <v>498</v>
      </c>
      <c r="J30" s="697">
        <f>SUM(J25:J29)</f>
        <v>2.2962402810205216</v>
      </c>
      <c r="K30" s="698">
        <f t="shared" ref="K30:V30" si="37">SUM(K25:K29)</f>
        <v>1.5199290233766227</v>
      </c>
      <c r="L30" s="698">
        <f t="shared" si="37"/>
        <v>1.9590507993039799</v>
      </c>
      <c r="M30" s="698">
        <f t="shared" si="37"/>
        <v>1.7507791752528377</v>
      </c>
      <c r="N30" s="698">
        <f t="shared" si="37"/>
        <v>1.4977366577759006</v>
      </c>
      <c r="O30" s="698">
        <f t="shared" si="37"/>
        <v>2.6289907141453734</v>
      </c>
      <c r="P30" s="698">
        <f t="shared" si="37"/>
        <v>3.3773225936537488</v>
      </c>
      <c r="Q30" s="699">
        <f t="shared" si="37"/>
        <v>2.8033854869863517</v>
      </c>
      <c r="R30" s="697">
        <f t="shared" si="37"/>
        <v>1.5780157144503115</v>
      </c>
      <c r="S30" s="698">
        <f t="shared" si="37"/>
        <v>1.5780157144503115</v>
      </c>
      <c r="T30" s="698">
        <f t="shared" si="37"/>
        <v>1.5780157144503115</v>
      </c>
      <c r="U30" s="698">
        <f t="shared" si="37"/>
        <v>1.5780157144503115</v>
      </c>
      <c r="V30" s="699">
        <f t="shared" si="37"/>
        <v>1.5780157144503115</v>
      </c>
      <c r="W30" s="185"/>
      <c r="X30" s="164" t="s">
        <v>498</v>
      </c>
      <c r="Y30" s="697">
        <f>SUM(Y25:Y29)</f>
        <v>0</v>
      </c>
      <c r="Z30" s="698">
        <f t="shared" ref="Z30:AK30" si="38">SUM(Z25:Z29)</f>
        <v>0</v>
      </c>
      <c r="AA30" s="698">
        <f t="shared" si="38"/>
        <v>0</v>
      </c>
      <c r="AB30" s="698">
        <f t="shared" si="38"/>
        <v>0</v>
      </c>
      <c r="AC30" s="698">
        <f t="shared" si="38"/>
        <v>0</v>
      </c>
      <c r="AD30" s="698">
        <f t="shared" si="38"/>
        <v>0</v>
      </c>
      <c r="AE30" s="698">
        <f t="shared" si="38"/>
        <v>0</v>
      </c>
      <c r="AF30" s="699">
        <f t="shared" si="38"/>
        <v>0</v>
      </c>
      <c r="AG30" s="697">
        <f t="shared" si="38"/>
        <v>0</v>
      </c>
      <c r="AH30" s="698">
        <f t="shared" si="38"/>
        <v>0</v>
      </c>
      <c r="AI30" s="698">
        <f t="shared" si="38"/>
        <v>0</v>
      </c>
      <c r="AJ30" s="698">
        <f t="shared" si="38"/>
        <v>0</v>
      </c>
      <c r="AK30" s="699">
        <f t="shared" si="38"/>
        <v>0</v>
      </c>
      <c r="AL30" s="185"/>
      <c r="AM30" s="164" t="s">
        <v>498</v>
      </c>
      <c r="AN30" s="697">
        <f>SUM(AN25:AN29)</f>
        <v>2.2962402810205216</v>
      </c>
      <c r="AO30" s="698">
        <f t="shared" ref="AO30" si="39">SUM(AO25:AO29)</f>
        <v>1.5199290233766227</v>
      </c>
      <c r="AP30" s="698">
        <f t="shared" ref="AP30" si="40">SUM(AP25:AP29)</f>
        <v>1.9590507993039799</v>
      </c>
      <c r="AQ30" s="698">
        <f t="shared" ref="AQ30" si="41">SUM(AQ25:AQ29)</f>
        <v>1.7507791752528377</v>
      </c>
      <c r="AR30" s="698">
        <f t="shared" ref="AR30" si="42">SUM(AR25:AR29)</f>
        <v>1.4977366577759006</v>
      </c>
      <c r="AS30" s="698">
        <f t="shared" ref="AS30" si="43">SUM(AS25:AS29)</f>
        <v>2.6289907141453734</v>
      </c>
      <c r="AT30" s="698">
        <f t="shared" ref="AT30" si="44">SUM(AT25:AT29)</f>
        <v>3.3773225936537488</v>
      </c>
      <c r="AU30" s="699">
        <f t="shared" ref="AU30" si="45">SUM(AU25:AU29)</f>
        <v>2.8033854869863517</v>
      </c>
      <c r="AV30" s="697">
        <f t="shared" ref="AV30" si="46">SUM(AV25:AV29)</f>
        <v>1.5780157144503115</v>
      </c>
      <c r="AW30" s="698">
        <f t="shared" ref="AW30" si="47">SUM(AW25:AW29)</f>
        <v>1.5780157144503115</v>
      </c>
      <c r="AX30" s="698">
        <f t="shared" ref="AX30" si="48">SUM(AX25:AX29)</f>
        <v>1.5780157144503115</v>
      </c>
      <c r="AY30" s="698">
        <f t="shared" ref="AY30" si="49">SUM(AY25:AY29)</f>
        <v>1.5780157144503115</v>
      </c>
      <c r="AZ30" s="699">
        <f t="shared" ref="AZ30" si="50">SUM(AZ25:AZ29)</f>
        <v>1.5780157144503115</v>
      </c>
      <c r="BA30" s="185"/>
      <c r="BB30" s="185"/>
      <c r="BC30" s="161"/>
      <c r="BD30" s="185"/>
      <c r="BE30" s="185"/>
      <c r="BF30" s="185"/>
      <c r="BG30" s="185"/>
      <c r="BH30" s="185"/>
      <c r="BI30" s="185"/>
      <c r="BJ30" s="215"/>
      <c r="BK30" s="161"/>
      <c r="BL30" s="185"/>
      <c r="BM30" s="185"/>
      <c r="BN30" s="185"/>
      <c r="BO30" s="215"/>
      <c r="BP30" s="185"/>
      <c r="BQ30" s="185"/>
      <c r="BR30" s="161"/>
      <c r="BS30" s="185"/>
      <c r="BT30" s="185"/>
      <c r="BU30" s="185"/>
      <c r="BV30" s="185"/>
      <c r="BW30" s="185"/>
      <c r="BX30" s="185"/>
      <c r="BY30" s="215"/>
      <c r="BZ30" s="161"/>
      <c r="CA30" s="185"/>
      <c r="CB30" s="185"/>
      <c r="CC30" s="185"/>
      <c r="CD30" s="215"/>
    </row>
    <row r="31" spans="1:82" s="98" customFormat="1" ht="15" customHeight="1">
      <c r="A31" s="99"/>
      <c r="B31" s="161"/>
      <c r="C31" s="185"/>
      <c r="D31" s="185"/>
      <c r="E31" s="162"/>
      <c r="F31" s="185"/>
      <c r="G31" s="185"/>
      <c r="H31" s="163"/>
      <c r="I31" s="117"/>
      <c r="J31" s="713"/>
      <c r="K31" s="714"/>
      <c r="L31" s="714"/>
      <c r="M31" s="714"/>
      <c r="N31" s="714"/>
      <c r="O31" s="714"/>
      <c r="P31" s="714"/>
      <c r="Q31" s="715"/>
      <c r="R31" s="716"/>
      <c r="S31" s="714"/>
      <c r="T31" s="714"/>
      <c r="U31" s="714"/>
      <c r="V31" s="715"/>
      <c r="W31" s="185"/>
      <c r="X31" s="117"/>
      <c r="Y31" s="713"/>
      <c r="Z31" s="714"/>
      <c r="AA31" s="714"/>
      <c r="AB31" s="714"/>
      <c r="AC31" s="714"/>
      <c r="AD31" s="714"/>
      <c r="AE31" s="714"/>
      <c r="AF31" s="715"/>
      <c r="AG31" s="716"/>
      <c r="AH31" s="714"/>
      <c r="AI31" s="714"/>
      <c r="AJ31" s="714"/>
      <c r="AK31" s="715"/>
      <c r="AL31" s="185"/>
      <c r="AM31" s="117"/>
      <c r="AN31" s="713"/>
      <c r="AO31" s="714"/>
      <c r="AP31" s="714"/>
      <c r="AQ31" s="714"/>
      <c r="AR31" s="714"/>
      <c r="AS31" s="714"/>
      <c r="AT31" s="714"/>
      <c r="AU31" s="715"/>
      <c r="AV31" s="716"/>
      <c r="AW31" s="714"/>
      <c r="AX31" s="714"/>
      <c r="AY31" s="714"/>
      <c r="AZ31" s="715"/>
      <c r="BA31" s="185"/>
      <c r="BB31" s="117"/>
      <c r="BC31" s="713"/>
      <c r="BD31" s="714"/>
      <c r="BE31" s="714"/>
      <c r="BF31" s="714"/>
      <c r="BG31" s="714"/>
      <c r="BH31" s="714"/>
      <c r="BI31" s="714"/>
      <c r="BJ31" s="715"/>
      <c r="BK31" s="716"/>
      <c r="BL31" s="714"/>
      <c r="BM31" s="714"/>
      <c r="BN31" s="714"/>
      <c r="BO31" s="715"/>
      <c r="BP31" s="185"/>
      <c r="BQ31" s="117"/>
      <c r="BR31" s="713"/>
      <c r="BS31" s="714"/>
      <c r="BT31" s="714"/>
      <c r="BU31" s="714"/>
      <c r="BV31" s="714"/>
      <c r="BW31" s="714"/>
      <c r="BX31" s="714"/>
      <c r="BY31" s="715"/>
      <c r="BZ31" s="716"/>
      <c r="CA31" s="714"/>
      <c r="CB31" s="714"/>
      <c r="CC31" s="714"/>
      <c r="CD31" s="715"/>
    </row>
    <row r="32" spans="1:82" s="98" customFormat="1" ht="15" customHeight="1">
      <c r="A32" s="99"/>
      <c r="B32" s="161"/>
      <c r="C32" s="616" t="s">
        <v>67</v>
      </c>
      <c r="D32" s="617"/>
      <c r="E32" s="162"/>
      <c r="F32" s="162"/>
      <c r="G32" s="185"/>
      <c r="H32" s="163"/>
      <c r="I32" s="117"/>
      <c r="J32" s="713"/>
      <c r="K32" s="714"/>
      <c r="L32" s="714"/>
      <c r="M32" s="714"/>
      <c r="N32" s="714"/>
      <c r="O32" s="714"/>
      <c r="P32" s="714"/>
      <c r="Q32" s="715"/>
      <c r="R32" s="716"/>
      <c r="S32" s="714"/>
      <c r="T32" s="714"/>
      <c r="U32" s="714"/>
      <c r="V32" s="715"/>
      <c r="W32" s="185"/>
      <c r="X32" s="117"/>
      <c r="Y32" s="713"/>
      <c r="Z32" s="714"/>
      <c r="AA32" s="714"/>
      <c r="AB32" s="714"/>
      <c r="AC32" s="714"/>
      <c r="AD32" s="714"/>
      <c r="AE32" s="714"/>
      <c r="AF32" s="715"/>
      <c r="AG32" s="716"/>
      <c r="AH32" s="714"/>
      <c r="AI32" s="714"/>
      <c r="AJ32" s="714"/>
      <c r="AK32" s="715"/>
      <c r="AL32" s="185"/>
      <c r="AM32" s="117"/>
      <c r="AN32" s="713"/>
      <c r="AO32" s="714"/>
      <c r="AP32" s="714"/>
      <c r="AQ32" s="714"/>
      <c r="AR32" s="714"/>
      <c r="AS32" s="714"/>
      <c r="AT32" s="714"/>
      <c r="AU32" s="715"/>
      <c r="AV32" s="716"/>
      <c r="AW32" s="714"/>
      <c r="AX32" s="714"/>
      <c r="AY32" s="714"/>
      <c r="AZ32" s="715"/>
      <c r="BA32" s="185"/>
      <c r="BB32" s="185"/>
      <c r="BC32" s="161"/>
      <c r="BD32" s="185"/>
      <c r="BE32" s="185"/>
      <c r="BF32" s="185"/>
      <c r="BG32" s="185"/>
      <c r="BH32" s="185"/>
      <c r="BI32" s="185"/>
      <c r="BJ32" s="215"/>
      <c r="BK32" s="161"/>
      <c r="BL32" s="185"/>
      <c r="BM32" s="185"/>
      <c r="BN32" s="185"/>
      <c r="BO32" s="215"/>
      <c r="BP32" s="185"/>
      <c r="BQ32" s="117"/>
      <c r="BR32" s="713"/>
      <c r="BS32" s="714"/>
      <c r="BT32" s="714"/>
      <c r="BU32" s="714"/>
      <c r="BV32" s="714"/>
      <c r="BW32" s="714"/>
      <c r="BX32" s="714"/>
      <c r="BY32" s="715"/>
      <c r="BZ32" s="716"/>
      <c r="CA32" s="714"/>
      <c r="CB32" s="714"/>
      <c r="CC32" s="714"/>
      <c r="CD32" s="715"/>
    </row>
    <row r="33" spans="1:82" s="98" customFormat="1" ht="15" customHeight="1">
      <c r="A33" s="99"/>
      <c r="B33" s="161"/>
      <c r="C33" s="616"/>
      <c r="D33" s="185" t="s">
        <v>2425</v>
      </c>
      <c r="E33" s="162"/>
      <c r="F33" s="185"/>
      <c r="G33" s="185"/>
      <c r="H33" s="163"/>
      <c r="I33" s="164" t="s">
        <v>498</v>
      </c>
      <c r="J33" s="641">
        <f>'3.04_Connections'!J12</f>
        <v>2.2199870847402594</v>
      </c>
      <c r="K33" s="642">
        <f>'3.04_Connections'!K12</f>
        <v>2.8440370141752251</v>
      </c>
      <c r="L33" s="642">
        <f>'3.04_Connections'!L12</f>
        <v>2.9471352296820474</v>
      </c>
      <c r="M33" s="642">
        <f>'3.04_Connections'!M12</f>
        <v>2.9006966529050113</v>
      </c>
      <c r="N33" s="642">
        <f>'3.04_Connections'!N12</f>
        <v>3.1342070599576557</v>
      </c>
      <c r="O33" s="642">
        <f>'3.04_Connections'!O12</f>
        <v>3.1567645148551122</v>
      </c>
      <c r="P33" s="642">
        <f>'3.04_Connections'!P12</f>
        <v>3.562625657134574</v>
      </c>
      <c r="Q33" s="643">
        <f>'3.04_Connections'!Q12</f>
        <v>3.6989978593765285</v>
      </c>
      <c r="R33" s="641">
        <f>'3.04_Connections'!R12</f>
        <v>4.152522075291639</v>
      </c>
      <c r="S33" s="642">
        <f>'3.04_Connections'!S12</f>
        <v>4.6504430187499963</v>
      </c>
      <c r="T33" s="642">
        <f>'3.04_Connections'!T12</f>
        <v>5.1448981550877182</v>
      </c>
      <c r="U33" s="642">
        <f>'3.04_Connections'!U12</f>
        <v>5.6472806092724737</v>
      </c>
      <c r="V33" s="643">
        <f>'3.04_Connections'!V12</f>
        <v>0</v>
      </c>
      <c r="W33" s="185"/>
      <c r="X33" s="164" t="s">
        <v>498</v>
      </c>
      <c r="Y33" s="641">
        <f>'3.04_Connections'!Y48</f>
        <v>-1.5441640680711701</v>
      </c>
      <c r="Z33" s="642">
        <f>'3.04_Connections'!Z48</f>
        <v>-2.2594732831168822</v>
      </c>
      <c r="AA33" s="642">
        <f>'3.04_Connections'!AA48</f>
        <v>-1.5977381437443143</v>
      </c>
      <c r="AB33" s="642">
        <f>'3.04_Connections'!AB48</f>
        <v>-1.4878164683472703</v>
      </c>
      <c r="AC33" s="642">
        <f>'3.04_Connections'!AC48</f>
        <v>-1.4295286600004333</v>
      </c>
      <c r="AD33" s="642">
        <f>'3.04_Connections'!AD48</f>
        <v>-1.8003498200000001</v>
      </c>
      <c r="AE33" s="642">
        <f>'3.04_Connections'!AE48</f>
        <v>-1.8169390851386331</v>
      </c>
      <c r="AF33" s="643">
        <f>'3.04_Connections'!AF48</f>
        <v>-1.8864889082820295</v>
      </c>
      <c r="AG33" s="641">
        <f>'3.04_Connections'!AG48</f>
        <v>-2.4893745926170334</v>
      </c>
      <c r="AH33" s="642">
        <f>'3.04_Connections'!AH48</f>
        <v>-2.7883877713348628</v>
      </c>
      <c r="AI33" s="642">
        <f>'3.04_Connections'!AI48</f>
        <v>-3.0850361289055765</v>
      </c>
      <c r="AJ33" s="642">
        <f>'3.04_Connections'!AJ48</f>
        <v>-3.3844011198211783</v>
      </c>
      <c r="AK33" s="643">
        <f>'3.04_Connections'!AK48</f>
        <v>0</v>
      </c>
      <c r="AL33" s="185"/>
      <c r="AM33" s="164" t="s">
        <v>498</v>
      </c>
      <c r="AN33" s="641">
        <f>SUM(J33,Y33)</f>
        <v>0.67582301666908928</v>
      </c>
      <c r="AO33" s="642">
        <f t="shared" ref="AO33" si="51">SUM(K33,Z33)</f>
        <v>0.58456373105834292</v>
      </c>
      <c r="AP33" s="642">
        <f t="shared" ref="AP33" si="52">SUM(L33,AA33)</f>
        <v>1.3493970859377331</v>
      </c>
      <c r="AQ33" s="642">
        <f t="shared" ref="AQ33" si="53">SUM(M33,AB33)</f>
        <v>1.412880184557741</v>
      </c>
      <c r="AR33" s="642">
        <f t="shared" ref="AR33" si="54">SUM(N33,AC33)</f>
        <v>1.7046783999572224</v>
      </c>
      <c r="AS33" s="642">
        <f t="shared" ref="AS33" si="55">SUM(O33,AD33)</f>
        <v>1.3564146948551121</v>
      </c>
      <c r="AT33" s="642">
        <f t="shared" ref="AT33" si="56">SUM(P33,AE33)</f>
        <v>1.7456865719959409</v>
      </c>
      <c r="AU33" s="643">
        <f t="shared" ref="AU33" si="57">SUM(Q33,AF33)</f>
        <v>1.8125089510944989</v>
      </c>
      <c r="AV33" s="641">
        <f t="shared" ref="AV33" si="58">SUM(R33,AG33)</f>
        <v>1.6631474826746055</v>
      </c>
      <c r="AW33" s="642">
        <f t="shared" ref="AW33" si="59">SUM(S33,AH33)</f>
        <v>1.8620552474151335</v>
      </c>
      <c r="AX33" s="642">
        <f t="shared" ref="AX33" si="60">SUM(T33,AI33)</f>
        <v>2.0598620261821416</v>
      </c>
      <c r="AY33" s="642">
        <f t="shared" ref="AY33" si="61">SUM(U33,AJ33)</f>
        <v>2.2628794894512954</v>
      </c>
      <c r="AZ33" s="643">
        <f t="shared" ref="AZ33" si="62">SUM(V33,AK33)</f>
        <v>0</v>
      </c>
      <c r="BA33" s="185"/>
      <c r="BB33" s="117"/>
      <c r="BC33" s="713"/>
      <c r="BD33" s="714"/>
      <c r="BE33" s="714"/>
      <c r="BF33" s="714"/>
      <c r="BG33" s="714"/>
      <c r="BH33" s="714"/>
      <c r="BI33" s="714"/>
      <c r="BJ33" s="715"/>
      <c r="BK33" s="716"/>
      <c r="BL33" s="714"/>
      <c r="BM33" s="714"/>
      <c r="BN33" s="714"/>
      <c r="BO33" s="715"/>
      <c r="BP33" s="185"/>
      <c r="BQ33" s="117"/>
      <c r="BR33" s="713"/>
      <c r="BS33" s="714"/>
      <c r="BT33" s="714"/>
      <c r="BU33" s="714"/>
      <c r="BV33" s="714"/>
      <c r="BW33" s="714"/>
      <c r="BX33" s="714"/>
      <c r="BY33" s="715"/>
      <c r="BZ33" s="716"/>
      <c r="CA33" s="714"/>
      <c r="CB33" s="714"/>
      <c r="CC33" s="714"/>
      <c r="CD33" s="715"/>
    </row>
    <row r="34" spans="1:82" s="98" customFormat="1" ht="15" customHeight="1">
      <c r="A34" s="99"/>
      <c r="B34" s="161"/>
      <c r="C34" s="616"/>
      <c r="D34" s="185" t="s">
        <v>2426</v>
      </c>
      <c r="E34" s="162"/>
      <c r="F34" s="185"/>
      <c r="G34" s="185"/>
      <c r="H34" s="163"/>
      <c r="I34" s="164" t="s">
        <v>498</v>
      </c>
      <c r="J34" s="641">
        <f>'3.04_Connections'!J13</f>
        <v>5.4713364308212249</v>
      </c>
      <c r="K34" s="642">
        <f>'3.04_Connections'!K13</f>
        <v>4.5093500604299326</v>
      </c>
      <c r="L34" s="642">
        <f>'3.04_Connections'!L13</f>
        <v>3.8683482461972436</v>
      </c>
      <c r="M34" s="642">
        <f>'3.04_Connections'!M13</f>
        <v>4.1435558122813232</v>
      </c>
      <c r="N34" s="642">
        <f>'3.04_Connections'!N13</f>
        <v>3.8260845570011672</v>
      </c>
      <c r="O34" s="642">
        <f>'3.04_Connections'!O13</f>
        <v>4.2778339833776222</v>
      </c>
      <c r="P34" s="642">
        <f>'3.04_Connections'!P13</f>
        <v>4.0386453336878425</v>
      </c>
      <c r="Q34" s="643">
        <f>'3.04_Connections'!Q13</f>
        <v>3.9981678737501896</v>
      </c>
      <c r="R34" s="641">
        <f>'3.04_Connections'!R13</f>
        <v>4.0384961910981092</v>
      </c>
      <c r="S34" s="642">
        <f>'3.04_Connections'!S13</f>
        <v>3.9974423605585505</v>
      </c>
      <c r="T34" s="642">
        <f>'3.04_Connections'!T13</f>
        <v>3.9563468629818139</v>
      </c>
      <c r="U34" s="642">
        <f>'3.04_Connections'!U13</f>
        <v>3.9152096983679008</v>
      </c>
      <c r="V34" s="643">
        <f>'3.04_Connections'!V13</f>
        <v>3.8740308667168124</v>
      </c>
      <c r="W34" s="185"/>
      <c r="X34" s="164" t="s">
        <v>498</v>
      </c>
      <c r="Y34" s="641">
        <f>'3.04_Connections'!Y80</f>
        <v>-1.9399980468567881</v>
      </c>
      <c r="Z34" s="642">
        <f>'3.04_Connections'!Z80</f>
        <v>-1.4084454857142854</v>
      </c>
      <c r="AA34" s="642">
        <f>'3.04_Connections'!AA80</f>
        <v>-1.3562701160734418</v>
      </c>
      <c r="AB34" s="642">
        <f>'3.04_Connections'!AB80</f>
        <v>-1.3401063899320727</v>
      </c>
      <c r="AC34" s="642">
        <f>'3.04_Connections'!AC80</f>
        <v>-1.1468974671356222</v>
      </c>
      <c r="AD34" s="642">
        <f>'3.04_Connections'!AD80</f>
        <v>-1.2867718700000002</v>
      </c>
      <c r="AE34" s="642">
        <f>'3.04_Connections'!AE80</f>
        <v>-1.2923665067801096</v>
      </c>
      <c r="AF34" s="643">
        <f>'3.04_Connections'!AF80</f>
        <v>-1.2794137196000608</v>
      </c>
      <c r="AG34" s="641">
        <f>'3.04_Connections'!AG80</f>
        <v>-1.4188229335415459</v>
      </c>
      <c r="AH34" s="642">
        <f>'3.04_Connections'!AH80</f>
        <v>-1.404423365228554</v>
      </c>
      <c r="AI34" s="642">
        <f>'3.04_Connections'!AI80</f>
        <v>-1.3900091822659584</v>
      </c>
      <c r="AJ34" s="642">
        <f>'3.04_Connections'!AJ80</f>
        <v>-1.3755803846537584</v>
      </c>
      <c r="AK34" s="643">
        <f>'3.04_Connections'!AK80</f>
        <v>-1.3611369723919551</v>
      </c>
      <c r="AL34" s="185"/>
      <c r="AM34" s="164" t="s">
        <v>498</v>
      </c>
      <c r="AN34" s="641">
        <f t="shared" ref="AN34:AN37" si="63">SUM(J34,Y34)</f>
        <v>3.531338383964437</v>
      </c>
      <c r="AO34" s="642">
        <f t="shared" ref="AO34:AO37" si="64">SUM(K34,Z34)</f>
        <v>3.1009045747156474</v>
      </c>
      <c r="AP34" s="642">
        <f t="shared" ref="AP34:AP37" si="65">SUM(L34,AA34)</f>
        <v>2.5120781301238018</v>
      </c>
      <c r="AQ34" s="642">
        <f t="shared" ref="AQ34:AQ37" si="66">SUM(M34,AB34)</f>
        <v>2.8034494223492503</v>
      </c>
      <c r="AR34" s="642">
        <f t="shared" ref="AR34:AR37" si="67">SUM(N34,AC34)</f>
        <v>2.679187089865545</v>
      </c>
      <c r="AS34" s="642">
        <f t="shared" ref="AS34:AS37" si="68">SUM(O34,AD34)</f>
        <v>2.9910621133776223</v>
      </c>
      <c r="AT34" s="642">
        <f t="shared" ref="AT34:AT37" si="69">SUM(P34,AE34)</f>
        <v>2.7462788269077327</v>
      </c>
      <c r="AU34" s="643">
        <f t="shared" ref="AU34:AU37" si="70">SUM(Q34,AF34)</f>
        <v>2.7187541541501288</v>
      </c>
      <c r="AV34" s="641">
        <f t="shared" ref="AV34:AV37" si="71">SUM(R34,AG34)</f>
        <v>2.6196732575565633</v>
      </c>
      <c r="AW34" s="642">
        <f t="shared" ref="AW34:AW37" si="72">SUM(S34,AH34)</f>
        <v>2.5930189953299965</v>
      </c>
      <c r="AX34" s="642">
        <f t="shared" ref="AX34:AX37" si="73">SUM(T34,AI34)</f>
        <v>2.5663376807158556</v>
      </c>
      <c r="AY34" s="642">
        <f t="shared" ref="AY34:AY37" si="74">SUM(U34,AJ34)</f>
        <v>2.5396293137141424</v>
      </c>
      <c r="AZ34" s="643">
        <f t="shared" ref="AZ34:AZ37" si="75">SUM(V34,AK34)</f>
        <v>2.5128938943248573</v>
      </c>
      <c r="BA34" s="185"/>
      <c r="BB34" s="185"/>
      <c r="BC34" s="161"/>
      <c r="BD34" s="185"/>
      <c r="BE34" s="185"/>
      <c r="BF34" s="185"/>
      <c r="BG34" s="185"/>
      <c r="BH34" s="185"/>
      <c r="BI34" s="185"/>
      <c r="BJ34" s="215"/>
      <c r="BK34" s="161"/>
      <c r="BL34" s="185"/>
      <c r="BM34" s="185"/>
      <c r="BN34" s="185"/>
      <c r="BO34" s="215"/>
      <c r="BP34" s="185"/>
      <c r="BQ34" s="117"/>
      <c r="BR34" s="713"/>
      <c r="BS34" s="714"/>
      <c r="BT34" s="714"/>
      <c r="BU34" s="714"/>
      <c r="BV34" s="714"/>
      <c r="BW34" s="714"/>
      <c r="BX34" s="714"/>
      <c r="BY34" s="715"/>
      <c r="BZ34" s="716"/>
      <c r="CA34" s="714"/>
      <c r="CB34" s="714"/>
      <c r="CC34" s="714"/>
      <c r="CD34" s="715"/>
    </row>
    <row r="35" spans="1:82" s="98" customFormat="1" ht="15" customHeight="1">
      <c r="A35" s="99"/>
      <c r="B35" s="161"/>
      <c r="C35" s="616"/>
      <c r="D35" s="185" t="s">
        <v>2427</v>
      </c>
      <c r="E35" s="162"/>
      <c r="F35" s="185"/>
      <c r="G35" s="185"/>
      <c r="H35" s="163"/>
      <c r="I35" s="164" t="s">
        <v>498</v>
      </c>
      <c r="J35" s="641">
        <f>'3.04_Connections'!J14</f>
        <v>2.7118404542269774</v>
      </c>
      <c r="K35" s="642">
        <f>'3.04_Connections'!K14</f>
        <v>2.6378691194622754</v>
      </c>
      <c r="L35" s="642">
        <f>'3.04_Connections'!L14</f>
        <v>3.538454415780758</v>
      </c>
      <c r="M35" s="642">
        <f>'3.04_Connections'!M14</f>
        <v>2.358311083964642</v>
      </c>
      <c r="N35" s="642">
        <f>'3.04_Connections'!N14</f>
        <v>2.997499170706273</v>
      </c>
      <c r="O35" s="642">
        <f>'3.04_Connections'!O14</f>
        <v>3.3866012998338522</v>
      </c>
      <c r="P35" s="642">
        <f>'3.04_Connections'!P14</f>
        <v>3.0397835833226123</v>
      </c>
      <c r="Q35" s="643">
        <f>'3.04_Connections'!Q14</f>
        <v>3.109677913943472</v>
      </c>
      <c r="R35" s="641">
        <f>'3.04_Connections'!R14</f>
        <v>3.2027251390855267</v>
      </c>
      <c r="S35" s="642">
        <f>'3.04_Connections'!S14</f>
        <v>3.2508959862576803</v>
      </c>
      <c r="T35" s="642">
        <f>'3.04_Connections'!T14</f>
        <v>3.2947379314851775</v>
      </c>
      <c r="U35" s="642">
        <f>'3.04_Connections'!U14</f>
        <v>3.3349832197485241</v>
      </c>
      <c r="V35" s="643">
        <f>'3.04_Connections'!V14</f>
        <v>3.3721913430277022</v>
      </c>
      <c r="W35" s="185"/>
      <c r="X35" s="164" t="s">
        <v>498</v>
      </c>
      <c r="Y35" s="641">
        <f>'3.04_Connections'!Y112</f>
        <v>-1.7218493675255917</v>
      </c>
      <c r="Z35" s="642">
        <f>'3.04_Connections'!Z112</f>
        <v>-2.0817619012987008</v>
      </c>
      <c r="AA35" s="642">
        <f>'3.04_Connections'!AA112</f>
        <v>-2.0553326497544901</v>
      </c>
      <c r="AB35" s="642">
        <f>'3.04_Connections'!AB112</f>
        <v>-1.8825670237599619</v>
      </c>
      <c r="AC35" s="642">
        <f>'3.04_Connections'!AC112</f>
        <v>-1.6207352293028938</v>
      </c>
      <c r="AD35" s="642">
        <f>'3.04_Connections'!AD112</f>
        <v>-2.4498928499999999</v>
      </c>
      <c r="AE35" s="642">
        <f>'3.04_Connections'!AE112</f>
        <v>-1.9758593291596982</v>
      </c>
      <c r="AF35" s="643">
        <f>'3.04_Connections'!AF112</f>
        <v>-2.021290644063257</v>
      </c>
      <c r="AG35" s="641">
        <f>'3.04_Connections'!AG112</f>
        <v>-2.0773806294680432</v>
      </c>
      <c r="AH35" s="642">
        <f>'3.04_Connections'!AH112</f>
        <v>-2.1086366073110363</v>
      </c>
      <c r="AI35" s="642">
        <f>'3.04_Connections'!AI112</f>
        <v>-2.1370837480417584</v>
      </c>
      <c r="AJ35" s="642">
        <f>'3.04_Connections'!AJ112</f>
        <v>-2.1631971737356954</v>
      </c>
      <c r="AK35" s="643">
        <f>'3.04_Connections'!AK112</f>
        <v>-2.187339914523232</v>
      </c>
      <c r="AL35" s="185"/>
      <c r="AM35" s="164" t="s">
        <v>498</v>
      </c>
      <c r="AN35" s="641">
        <f t="shared" si="63"/>
        <v>0.98999108670138569</v>
      </c>
      <c r="AO35" s="642">
        <f t="shared" si="64"/>
        <v>0.55610721816357467</v>
      </c>
      <c r="AP35" s="642">
        <f t="shared" si="65"/>
        <v>1.4831217660262679</v>
      </c>
      <c r="AQ35" s="642">
        <f t="shared" si="66"/>
        <v>0.47574406020468007</v>
      </c>
      <c r="AR35" s="642">
        <f t="shared" si="67"/>
        <v>1.3767639414033792</v>
      </c>
      <c r="AS35" s="642">
        <f t="shared" si="68"/>
        <v>0.93670844983385226</v>
      </c>
      <c r="AT35" s="642">
        <f t="shared" si="69"/>
        <v>1.0639242541629141</v>
      </c>
      <c r="AU35" s="643">
        <f t="shared" si="70"/>
        <v>1.0883872698802151</v>
      </c>
      <c r="AV35" s="641">
        <f t="shared" si="71"/>
        <v>1.1253445096174834</v>
      </c>
      <c r="AW35" s="642">
        <f t="shared" si="72"/>
        <v>1.142259378946644</v>
      </c>
      <c r="AX35" s="642">
        <f t="shared" si="73"/>
        <v>1.1576541834434191</v>
      </c>
      <c r="AY35" s="642">
        <f t="shared" si="74"/>
        <v>1.1717860460128287</v>
      </c>
      <c r="AZ35" s="643">
        <f t="shared" si="75"/>
        <v>1.1848514285044702</v>
      </c>
      <c r="BA35" s="185"/>
      <c r="BB35" s="117"/>
      <c r="BC35" s="713"/>
      <c r="BD35" s="714"/>
      <c r="BE35" s="714"/>
      <c r="BF35" s="714"/>
      <c r="BG35" s="714"/>
      <c r="BH35" s="714"/>
      <c r="BI35" s="714"/>
      <c r="BJ35" s="715"/>
      <c r="BK35" s="716"/>
      <c r="BL35" s="714"/>
      <c r="BM35" s="714"/>
      <c r="BN35" s="714"/>
      <c r="BO35" s="715"/>
      <c r="BP35" s="185"/>
      <c r="BQ35" s="117"/>
      <c r="BR35" s="713"/>
      <c r="BS35" s="714"/>
      <c r="BT35" s="714"/>
      <c r="BU35" s="714"/>
      <c r="BV35" s="714"/>
      <c r="BW35" s="714"/>
      <c r="BX35" s="714"/>
      <c r="BY35" s="715"/>
      <c r="BZ35" s="716"/>
      <c r="CA35" s="714"/>
      <c r="CB35" s="714"/>
      <c r="CC35" s="714"/>
      <c r="CD35" s="715"/>
    </row>
    <row r="36" spans="1:82" s="98" customFormat="1" ht="15" customHeight="1">
      <c r="A36" s="99"/>
      <c r="B36" s="161"/>
      <c r="C36" s="616"/>
      <c r="D36" s="185" t="s">
        <v>2428</v>
      </c>
      <c r="E36" s="162"/>
      <c r="F36" s="185"/>
      <c r="G36" s="185"/>
      <c r="H36" s="163"/>
      <c r="I36" s="164" t="s">
        <v>498</v>
      </c>
      <c r="J36" s="641">
        <f>'3.04_Connections'!J15</f>
        <v>2.1701569380047903</v>
      </c>
      <c r="K36" s="642">
        <f>'3.04_Connections'!K15</f>
        <v>3.3963846077922066</v>
      </c>
      <c r="L36" s="642">
        <f>'3.04_Connections'!L15</f>
        <v>5.5024427242740321</v>
      </c>
      <c r="M36" s="642">
        <f>'3.04_Connections'!M15</f>
        <v>4.9143005094007526</v>
      </c>
      <c r="N36" s="642">
        <f>'3.04_Connections'!N15</f>
        <v>4.6291367000419035</v>
      </c>
      <c r="O36" s="642">
        <f>'3.04_Connections'!O15</f>
        <v>5.140382496279341</v>
      </c>
      <c r="P36" s="642">
        <f>'3.04_Connections'!P15</f>
        <v>3.6142299086786007</v>
      </c>
      <c r="Q36" s="643">
        <f>'3.04_Connections'!Q15</f>
        <v>2.752838447110201</v>
      </c>
      <c r="R36" s="641">
        <f>'3.04_Connections'!R15</f>
        <v>2.5553854051641172</v>
      </c>
      <c r="S36" s="642">
        <f>'3.04_Connections'!S15</f>
        <v>2.5706904691002919</v>
      </c>
      <c r="T36" s="642">
        <f>'3.04_Connections'!T15</f>
        <v>2.5859955330364666</v>
      </c>
      <c r="U36" s="642">
        <f>'3.04_Connections'!U15</f>
        <v>2.6013005969726413</v>
      </c>
      <c r="V36" s="643">
        <f>'3.04_Connections'!V15</f>
        <v>2.616605660908816</v>
      </c>
      <c r="W36" s="185"/>
      <c r="X36" s="164" t="s">
        <v>498</v>
      </c>
      <c r="Y36" s="641">
        <f>'3.04_Connections'!Y136</f>
        <v>-3.8464975418717434E-2</v>
      </c>
      <c r="Z36" s="642">
        <f>'3.04_Connections'!Z136</f>
        <v>-0.13355948571428566</v>
      </c>
      <c r="AA36" s="642">
        <f>'3.04_Connections'!AA136</f>
        <v>-7.195875048444042E-2</v>
      </c>
      <c r="AB36" s="642">
        <f>'3.04_Connections'!AB136</f>
        <v>-0.1651142677190254</v>
      </c>
      <c r="AC36" s="642">
        <f>'3.04_Connections'!AC136</f>
        <v>-8.1509729840237452E-2</v>
      </c>
      <c r="AD36" s="642">
        <f>'3.04_Connections'!AD136</f>
        <v>-8.591509E-2</v>
      </c>
      <c r="AE36" s="642">
        <f>'3.04_Connections'!AE136</f>
        <v>-7.2284598173572009E-2</v>
      </c>
      <c r="AF36" s="643">
        <f>'3.04_Connections'!AF136</f>
        <v>-5.5056768942204022E-2</v>
      </c>
      <c r="AG36" s="641">
        <f>'3.04_Connections'!AG136</f>
        <v>-5.7902316226452977E-2</v>
      </c>
      <c r="AH36" s="642">
        <f>'3.04_Connections'!AH136</f>
        <v>-5.823933833746682E-2</v>
      </c>
      <c r="AI36" s="642">
        <f>'3.04_Connections'!AI136</f>
        <v>-5.8576360448480705E-2</v>
      </c>
      <c r="AJ36" s="642">
        <f>'3.04_Connections'!AJ136</f>
        <v>-5.8913382559494604E-2</v>
      </c>
      <c r="AK36" s="643">
        <f>'3.04_Connections'!AK136</f>
        <v>-5.9250404670508447E-2</v>
      </c>
      <c r="AL36" s="185"/>
      <c r="AM36" s="164" t="s">
        <v>498</v>
      </c>
      <c r="AN36" s="641">
        <f t="shared" si="63"/>
        <v>2.1316919625860726</v>
      </c>
      <c r="AO36" s="642">
        <f t="shared" si="64"/>
        <v>3.262825122077921</v>
      </c>
      <c r="AP36" s="642">
        <f t="shared" si="65"/>
        <v>5.4304839737895918</v>
      </c>
      <c r="AQ36" s="642">
        <f t="shared" si="66"/>
        <v>4.749186241681727</v>
      </c>
      <c r="AR36" s="642">
        <f t="shared" si="67"/>
        <v>4.5476269702016658</v>
      </c>
      <c r="AS36" s="642">
        <f t="shared" si="68"/>
        <v>5.0544674062793407</v>
      </c>
      <c r="AT36" s="642">
        <f t="shared" si="69"/>
        <v>3.5419453105050289</v>
      </c>
      <c r="AU36" s="643">
        <f t="shared" si="70"/>
        <v>2.6977816781679969</v>
      </c>
      <c r="AV36" s="641">
        <f t="shared" si="71"/>
        <v>2.4974830889376642</v>
      </c>
      <c r="AW36" s="642">
        <f t="shared" si="72"/>
        <v>2.512451130762825</v>
      </c>
      <c r="AX36" s="642">
        <f t="shared" si="73"/>
        <v>2.5274191725879858</v>
      </c>
      <c r="AY36" s="642">
        <f t="shared" si="74"/>
        <v>2.5423872144131465</v>
      </c>
      <c r="AZ36" s="643">
        <f t="shared" si="75"/>
        <v>2.5573552562383077</v>
      </c>
      <c r="BA36" s="185"/>
      <c r="BB36" s="185"/>
      <c r="BC36" s="161"/>
      <c r="BD36" s="185"/>
      <c r="BE36" s="185"/>
      <c r="BF36" s="185"/>
      <c r="BG36" s="185"/>
      <c r="BH36" s="185"/>
      <c r="BI36" s="185"/>
      <c r="BJ36" s="215"/>
      <c r="BK36" s="161"/>
      <c r="BL36" s="185"/>
      <c r="BM36" s="185"/>
      <c r="BN36" s="185"/>
      <c r="BO36" s="215"/>
      <c r="BP36" s="185"/>
      <c r="BQ36" s="117"/>
      <c r="BR36" s="713"/>
      <c r="BS36" s="714"/>
      <c r="BT36" s="714"/>
      <c r="BU36" s="714"/>
      <c r="BV36" s="714"/>
      <c r="BW36" s="714"/>
      <c r="BX36" s="714"/>
      <c r="BY36" s="715"/>
      <c r="BZ36" s="716"/>
      <c r="CA36" s="714"/>
      <c r="CB36" s="714"/>
      <c r="CC36" s="714"/>
      <c r="CD36" s="715"/>
    </row>
    <row r="37" spans="1:82" s="98" customFormat="1" ht="15" customHeight="1">
      <c r="A37" s="99"/>
      <c r="B37" s="161"/>
      <c r="C37" s="616"/>
      <c r="D37" s="185" t="s">
        <v>2429</v>
      </c>
      <c r="E37" s="162"/>
      <c r="F37" s="185"/>
      <c r="G37" s="185"/>
      <c r="H37" s="163"/>
      <c r="I37" s="164" t="s">
        <v>498</v>
      </c>
      <c r="J37" s="641">
        <f>'3.04_Connections'!J16</f>
        <v>0</v>
      </c>
      <c r="K37" s="642">
        <f>'3.04_Connections'!K16</f>
        <v>0</v>
      </c>
      <c r="L37" s="642">
        <f>'3.04_Connections'!L16</f>
        <v>0</v>
      </c>
      <c r="M37" s="642">
        <f>'3.04_Connections'!M16</f>
        <v>0</v>
      </c>
      <c r="N37" s="642">
        <f>'3.04_Connections'!N16</f>
        <v>0</v>
      </c>
      <c r="O37" s="642">
        <f>'3.04_Connections'!O16</f>
        <v>0</v>
      </c>
      <c r="P37" s="642">
        <f>'3.04_Connections'!P16</f>
        <v>0</v>
      </c>
      <c r="Q37" s="643">
        <f>'3.04_Connections'!Q16</f>
        <v>0</v>
      </c>
      <c r="R37" s="641">
        <f>'3.04_Connections'!R16</f>
        <v>0</v>
      </c>
      <c r="S37" s="642">
        <f>'3.04_Connections'!S16</f>
        <v>0</v>
      </c>
      <c r="T37" s="642">
        <f>'3.04_Connections'!T16</f>
        <v>0</v>
      </c>
      <c r="U37" s="642">
        <f>'3.04_Connections'!U16</f>
        <v>0</v>
      </c>
      <c r="V37" s="643">
        <f>'3.04_Connections'!V16</f>
        <v>0</v>
      </c>
      <c r="W37" s="185"/>
      <c r="X37" s="164" t="s">
        <v>498</v>
      </c>
      <c r="Y37" s="641">
        <f>'3.04_Connections'!Y148</f>
        <v>0</v>
      </c>
      <c r="Z37" s="642">
        <f>'3.04_Connections'!Z148</f>
        <v>0</v>
      </c>
      <c r="AA37" s="642">
        <f>'3.04_Connections'!AA148</f>
        <v>0</v>
      </c>
      <c r="AB37" s="642">
        <f>'3.04_Connections'!AB148</f>
        <v>0</v>
      </c>
      <c r="AC37" s="642">
        <f>'3.04_Connections'!AC148</f>
        <v>0</v>
      </c>
      <c r="AD37" s="642">
        <f>'3.04_Connections'!AD148</f>
        <v>0</v>
      </c>
      <c r="AE37" s="642">
        <f>'3.04_Connections'!AE148</f>
        <v>0</v>
      </c>
      <c r="AF37" s="643">
        <f>'3.04_Connections'!AF148</f>
        <v>0</v>
      </c>
      <c r="AG37" s="641">
        <f>'3.04_Connections'!AG148</f>
        <v>0</v>
      </c>
      <c r="AH37" s="642">
        <f>'3.04_Connections'!AH148</f>
        <v>0</v>
      </c>
      <c r="AI37" s="642">
        <f>'3.04_Connections'!AI148</f>
        <v>0</v>
      </c>
      <c r="AJ37" s="642">
        <f>'3.04_Connections'!AJ148</f>
        <v>0</v>
      </c>
      <c r="AK37" s="643">
        <f>'3.04_Connections'!AK148</f>
        <v>0</v>
      </c>
      <c r="AL37" s="185"/>
      <c r="AM37" s="164" t="s">
        <v>498</v>
      </c>
      <c r="AN37" s="641">
        <f t="shared" si="63"/>
        <v>0</v>
      </c>
      <c r="AO37" s="642">
        <f t="shared" si="64"/>
        <v>0</v>
      </c>
      <c r="AP37" s="642">
        <f t="shared" si="65"/>
        <v>0</v>
      </c>
      <c r="AQ37" s="642">
        <f t="shared" si="66"/>
        <v>0</v>
      </c>
      <c r="AR37" s="642">
        <f t="shared" si="67"/>
        <v>0</v>
      </c>
      <c r="AS37" s="642">
        <f t="shared" si="68"/>
        <v>0</v>
      </c>
      <c r="AT37" s="642">
        <f t="shared" si="69"/>
        <v>0</v>
      </c>
      <c r="AU37" s="643">
        <f t="shared" si="70"/>
        <v>0</v>
      </c>
      <c r="AV37" s="641">
        <f t="shared" si="71"/>
        <v>0</v>
      </c>
      <c r="AW37" s="642">
        <f t="shared" si="72"/>
        <v>0</v>
      </c>
      <c r="AX37" s="642">
        <f t="shared" si="73"/>
        <v>0</v>
      </c>
      <c r="AY37" s="642">
        <f t="shared" si="74"/>
        <v>0</v>
      </c>
      <c r="AZ37" s="643">
        <f t="shared" si="75"/>
        <v>0</v>
      </c>
      <c r="BA37" s="185"/>
      <c r="BB37" s="117"/>
      <c r="BC37" s="713"/>
      <c r="BD37" s="714"/>
      <c r="BE37" s="714"/>
      <c r="BF37" s="714"/>
      <c r="BG37" s="714"/>
      <c r="BH37" s="714"/>
      <c r="BI37" s="714"/>
      <c r="BJ37" s="715"/>
      <c r="BK37" s="716"/>
      <c r="BL37" s="714"/>
      <c r="BM37" s="714"/>
      <c r="BN37" s="714"/>
      <c r="BO37" s="715"/>
      <c r="BP37" s="185"/>
      <c r="BQ37" s="117"/>
      <c r="BR37" s="713"/>
      <c r="BS37" s="714"/>
      <c r="BT37" s="714"/>
      <c r="BU37" s="714"/>
      <c r="BV37" s="714"/>
      <c r="BW37" s="714"/>
      <c r="BX37" s="714"/>
      <c r="BY37" s="715"/>
      <c r="BZ37" s="716"/>
      <c r="CA37" s="714"/>
      <c r="CB37" s="714"/>
      <c r="CC37" s="714"/>
      <c r="CD37" s="715"/>
    </row>
    <row r="38" spans="1:82" ht="14.25">
      <c r="B38" s="161"/>
      <c r="C38" s="185" t="s">
        <v>1710</v>
      </c>
      <c r="D38" s="185"/>
      <c r="E38" s="185"/>
      <c r="F38" s="162"/>
      <c r="G38" s="185"/>
      <c r="H38" s="185"/>
      <c r="I38" s="164" t="s">
        <v>498</v>
      </c>
      <c r="J38" s="697">
        <f t="shared" ref="J38:V38" si="76">SUM(J33:J37)</f>
        <v>12.573320907793253</v>
      </c>
      <c r="K38" s="698">
        <f t="shared" si="76"/>
        <v>13.387640801859639</v>
      </c>
      <c r="L38" s="698">
        <f t="shared" si="76"/>
        <v>15.856380615934082</v>
      </c>
      <c r="M38" s="698">
        <f t="shared" si="76"/>
        <v>14.316864058551729</v>
      </c>
      <c r="N38" s="698">
        <f t="shared" si="76"/>
        <v>14.586927487707001</v>
      </c>
      <c r="O38" s="698">
        <f t="shared" si="76"/>
        <v>15.961582294345927</v>
      </c>
      <c r="P38" s="698">
        <f t="shared" si="76"/>
        <v>14.25528448282363</v>
      </c>
      <c r="Q38" s="699">
        <f t="shared" si="76"/>
        <v>13.559682094180392</v>
      </c>
      <c r="R38" s="697">
        <f t="shared" si="76"/>
        <v>13.94912881063939</v>
      </c>
      <c r="S38" s="698">
        <f t="shared" si="76"/>
        <v>14.469471834666519</v>
      </c>
      <c r="T38" s="698">
        <f t="shared" si="76"/>
        <v>14.981978482591177</v>
      </c>
      <c r="U38" s="698">
        <f t="shared" si="76"/>
        <v>15.498774124361539</v>
      </c>
      <c r="V38" s="699">
        <f t="shared" si="76"/>
        <v>9.8628278706533301</v>
      </c>
      <c r="W38" s="185"/>
      <c r="X38" s="164" t="s">
        <v>498</v>
      </c>
      <c r="Y38" s="697">
        <f t="shared" ref="Y38:AK38" si="77">SUM(Y33:Y37)</f>
        <v>-5.2444764578722678</v>
      </c>
      <c r="Z38" s="698">
        <f t="shared" si="77"/>
        <v>-5.8832401558441543</v>
      </c>
      <c r="AA38" s="698">
        <f t="shared" si="77"/>
        <v>-5.0812996600566871</v>
      </c>
      <c r="AB38" s="698">
        <f t="shared" si="77"/>
        <v>-4.8756041497583302</v>
      </c>
      <c r="AC38" s="698">
        <f t="shared" si="77"/>
        <v>-4.2786710862791866</v>
      </c>
      <c r="AD38" s="698">
        <f t="shared" si="77"/>
        <v>-5.6229296299999998</v>
      </c>
      <c r="AE38" s="698">
        <f t="shared" si="77"/>
        <v>-5.1574495192520127</v>
      </c>
      <c r="AF38" s="699">
        <f t="shared" si="77"/>
        <v>-5.2422500408875505</v>
      </c>
      <c r="AG38" s="697">
        <f t="shared" si="77"/>
        <v>-6.0434804718530764</v>
      </c>
      <c r="AH38" s="698">
        <f t="shared" si="77"/>
        <v>-6.35968708221192</v>
      </c>
      <c r="AI38" s="698">
        <f t="shared" si="77"/>
        <v>-6.6707054196617737</v>
      </c>
      <c r="AJ38" s="698">
        <f t="shared" si="77"/>
        <v>-6.9820920607701265</v>
      </c>
      <c r="AK38" s="699">
        <f t="shared" si="77"/>
        <v>-3.6077272915856953</v>
      </c>
      <c r="AL38" s="185"/>
      <c r="AM38" s="164" t="s">
        <v>498</v>
      </c>
      <c r="AN38" s="697">
        <f t="shared" ref="AN38:AZ38" si="78">SUM(AN33:AN37)</f>
        <v>7.3288444499209842</v>
      </c>
      <c r="AO38" s="698">
        <f t="shared" si="78"/>
        <v>7.5044006460154851</v>
      </c>
      <c r="AP38" s="698">
        <f t="shared" si="78"/>
        <v>10.775080955877394</v>
      </c>
      <c r="AQ38" s="698">
        <f t="shared" si="78"/>
        <v>9.4412599087933984</v>
      </c>
      <c r="AR38" s="698">
        <f t="shared" si="78"/>
        <v>10.308256401427812</v>
      </c>
      <c r="AS38" s="698">
        <f t="shared" si="78"/>
        <v>10.338652664345927</v>
      </c>
      <c r="AT38" s="698">
        <f t="shared" si="78"/>
        <v>9.097834963571616</v>
      </c>
      <c r="AU38" s="699">
        <f t="shared" si="78"/>
        <v>8.3174320532928405</v>
      </c>
      <c r="AV38" s="697">
        <f t="shared" si="78"/>
        <v>7.9056483387863166</v>
      </c>
      <c r="AW38" s="698">
        <f t="shared" si="78"/>
        <v>8.1097847524545994</v>
      </c>
      <c r="AX38" s="698">
        <f t="shared" si="78"/>
        <v>8.311273062929402</v>
      </c>
      <c r="AY38" s="698">
        <f t="shared" si="78"/>
        <v>8.5166820635914124</v>
      </c>
      <c r="AZ38" s="699">
        <f t="shared" si="78"/>
        <v>6.2551005790676353</v>
      </c>
      <c r="BA38" s="185"/>
      <c r="BB38" s="117"/>
      <c r="BC38" s="713"/>
      <c r="BD38" s="714"/>
      <c r="BE38" s="714"/>
      <c r="BF38" s="714"/>
      <c r="BG38" s="714"/>
      <c r="BH38" s="714"/>
      <c r="BI38" s="714"/>
      <c r="BJ38" s="715"/>
      <c r="BK38" s="716"/>
      <c r="BL38" s="714"/>
      <c r="BM38" s="714"/>
      <c r="BN38" s="714"/>
      <c r="BO38" s="715"/>
      <c r="BP38" s="185"/>
      <c r="BQ38" s="185"/>
      <c r="BR38" s="161"/>
      <c r="BS38" s="185"/>
      <c r="BT38" s="185"/>
      <c r="BU38" s="185"/>
      <c r="BV38" s="185"/>
      <c r="BW38" s="185"/>
      <c r="BX38" s="185"/>
      <c r="BY38" s="215"/>
      <c r="BZ38" s="161"/>
      <c r="CA38" s="185"/>
      <c r="CB38" s="185"/>
      <c r="CC38" s="185"/>
      <c r="CD38" s="215"/>
    </row>
    <row r="39" spans="1:82" s="98" customFormat="1" ht="15" customHeight="1">
      <c r="A39" s="99"/>
      <c r="B39" s="161"/>
      <c r="C39" s="185"/>
      <c r="D39" s="185"/>
      <c r="E39" s="162"/>
      <c r="F39" s="185"/>
      <c r="G39" s="185"/>
      <c r="H39" s="163"/>
      <c r="I39" s="117"/>
      <c r="J39" s="713"/>
      <c r="K39" s="714"/>
      <c r="L39" s="714"/>
      <c r="M39" s="714"/>
      <c r="N39" s="714"/>
      <c r="O39" s="714"/>
      <c r="P39" s="714"/>
      <c r="Q39" s="715"/>
      <c r="R39" s="716"/>
      <c r="S39" s="714"/>
      <c r="T39" s="714"/>
      <c r="U39" s="714"/>
      <c r="V39" s="715"/>
      <c r="W39" s="185"/>
      <c r="X39" s="117"/>
      <c r="Y39" s="713"/>
      <c r="Z39" s="714"/>
      <c r="AA39" s="714"/>
      <c r="AB39" s="714"/>
      <c r="AC39" s="714"/>
      <c r="AD39" s="714"/>
      <c r="AE39" s="714"/>
      <c r="AF39" s="715"/>
      <c r="AG39" s="716"/>
      <c r="AH39" s="714"/>
      <c r="AI39" s="714"/>
      <c r="AJ39" s="714"/>
      <c r="AK39" s="715"/>
      <c r="AL39" s="185"/>
      <c r="AM39" s="117"/>
      <c r="AN39" s="713"/>
      <c r="AO39" s="714"/>
      <c r="AP39" s="714"/>
      <c r="AQ39" s="714"/>
      <c r="AR39" s="714"/>
      <c r="AS39" s="714"/>
      <c r="AT39" s="714"/>
      <c r="AU39" s="715"/>
      <c r="AV39" s="716"/>
      <c r="AW39" s="714"/>
      <c r="AX39" s="714"/>
      <c r="AY39" s="714"/>
      <c r="AZ39" s="715"/>
      <c r="BA39" s="185"/>
      <c r="BB39" s="185"/>
      <c r="BC39" s="161"/>
      <c r="BD39" s="185"/>
      <c r="BE39" s="185"/>
      <c r="BF39" s="185"/>
      <c r="BG39" s="185"/>
      <c r="BH39" s="185"/>
      <c r="BI39" s="185"/>
      <c r="BJ39" s="215"/>
      <c r="BK39" s="161"/>
      <c r="BL39" s="185"/>
      <c r="BM39" s="185"/>
      <c r="BN39" s="185"/>
      <c r="BO39" s="215"/>
      <c r="BP39" s="185"/>
      <c r="BQ39" s="117"/>
      <c r="BR39" s="713"/>
      <c r="BS39" s="714"/>
      <c r="BT39" s="714"/>
      <c r="BU39" s="714"/>
      <c r="BV39" s="714"/>
      <c r="BW39" s="714"/>
      <c r="BX39" s="714"/>
      <c r="BY39" s="715"/>
      <c r="BZ39" s="716"/>
      <c r="CA39" s="714"/>
      <c r="CB39" s="714"/>
      <c r="CC39" s="714"/>
      <c r="CD39" s="715"/>
    </row>
    <row r="40" spans="1:82" s="98" customFormat="1" ht="15" customHeight="1">
      <c r="A40" s="99"/>
      <c r="B40" s="161"/>
      <c r="C40" s="616" t="s">
        <v>68</v>
      </c>
      <c r="D40" s="162"/>
      <c r="E40" s="162"/>
      <c r="F40" s="185"/>
      <c r="G40" s="185"/>
      <c r="H40" s="163"/>
      <c r="I40" s="164" t="s">
        <v>498</v>
      </c>
      <c r="J40" s="641">
        <f>'3.05_Other_Capex'!J12</f>
        <v>18.032545427864733</v>
      </c>
      <c r="K40" s="642">
        <f>'3.05_Other_Capex'!K12</f>
        <v>21.141787112966334</v>
      </c>
      <c r="L40" s="642">
        <f>'3.05_Other_Capex'!L12</f>
        <v>25.026882823307464</v>
      </c>
      <c r="M40" s="642">
        <f>'3.05_Other_Capex'!M12</f>
        <v>30.152237501587972</v>
      </c>
      <c r="N40" s="642">
        <f>'3.05_Other_Capex'!N12</f>
        <v>24.538939317678548</v>
      </c>
      <c r="O40" s="642">
        <f>'3.05_Other_Capex'!O12</f>
        <v>28.253145718237121</v>
      </c>
      <c r="P40" s="642">
        <f>'3.05_Other_Capex'!P12</f>
        <v>27.501536622518984</v>
      </c>
      <c r="Q40" s="643">
        <f>'3.05_Other_Capex'!Q12</f>
        <v>19.714705836022151</v>
      </c>
      <c r="R40" s="641">
        <f>'3.05_Other_Capex'!R12</f>
        <v>21.018189019752437</v>
      </c>
      <c r="S40" s="642">
        <f>'3.05_Other_Capex'!S12</f>
        <v>20.073454614170906</v>
      </c>
      <c r="T40" s="642">
        <f>'3.05_Other_Capex'!T12</f>
        <v>17.8197581645118</v>
      </c>
      <c r="U40" s="642">
        <f>'3.05_Other_Capex'!U12</f>
        <v>18.40376267412227</v>
      </c>
      <c r="V40" s="643">
        <f>'3.05_Other_Capex'!V12</f>
        <v>18.543422756515419</v>
      </c>
      <c r="W40" s="185"/>
      <c r="X40" s="164" t="s">
        <v>498</v>
      </c>
      <c r="Y40" s="641">
        <f>SUM('3.05_Other_Capex'!Y29,'3.05_Other_Capex'!Y40,'3.05_Other_Capex'!Y58,'3.05_Other_Capex'!Y95,'3.05_Other_Capex'!Y168,'3.05_Other_Capex'!Y207)</f>
        <v>0</v>
      </c>
      <c r="Z40" s="642">
        <f>SUM('3.05_Other_Capex'!Z29,'3.05_Other_Capex'!Z40,'3.05_Other_Capex'!Z58,'3.05_Other_Capex'!Z95,'3.05_Other_Capex'!Z168,'3.05_Other_Capex'!Z207)</f>
        <v>0</v>
      </c>
      <c r="AA40" s="642">
        <f>SUM('3.05_Other_Capex'!AA29,'3.05_Other_Capex'!AA40,'3.05_Other_Capex'!AA58,'3.05_Other_Capex'!AA95,'3.05_Other_Capex'!AA168,'3.05_Other_Capex'!AA207)</f>
        <v>0</v>
      </c>
      <c r="AB40" s="642">
        <f>SUM('3.05_Other_Capex'!AB29,'3.05_Other_Capex'!AB40,'3.05_Other_Capex'!AB58,'3.05_Other_Capex'!AB95,'3.05_Other_Capex'!AB168,'3.05_Other_Capex'!AB207)</f>
        <v>0</v>
      </c>
      <c r="AC40" s="642">
        <f>SUM('3.05_Other_Capex'!AC29,'3.05_Other_Capex'!AC40,'3.05_Other_Capex'!AC58,'3.05_Other_Capex'!AC95,'3.05_Other_Capex'!AC168,'3.05_Other_Capex'!AC207)</f>
        <v>0</v>
      </c>
      <c r="AD40" s="642">
        <f>SUM('3.05_Other_Capex'!AD29,'3.05_Other_Capex'!AD40,'3.05_Other_Capex'!AD58,'3.05_Other_Capex'!AD95,'3.05_Other_Capex'!AD168,'3.05_Other_Capex'!AD207)</f>
        <v>0</v>
      </c>
      <c r="AE40" s="642">
        <f>SUM('3.05_Other_Capex'!AE29,'3.05_Other_Capex'!AE40,'3.05_Other_Capex'!AE58,'3.05_Other_Capex'!AE95,'3.05_Other_Capex'!AE168,'3.05_Other_Capex'!AE207)</f>
        <v>-0.31565527488864337</v>
      </c>
      <c r="AF40" s="643">
        <f>SUM('3.05_Other_Capex'!AF29,'3.05_Other_Capex'!AF40,'3.05_Other_Capex'!AF58,'3.05_Other_Capex'!AF95,'3.05_Other_Capex'!AF168,'3.05_Other_Capex'!AF207)</f>
        <v>-0.88532940598408694</v>
      </c>
      <c r="AG40" s="641">
        <f>SUM('3.05_Other_Capex'!AG29,'3.05_Other_Capex'!AG40,'3.05_Other_Capex'!AG58,'3.05_Other_Capex'!AG95,'3.05_Other_Capex'!AG168,'3.05_Other_Capex'!AG207)</f>
        <v>0</v>
      </c>
      <c r="AH40" s="642">
        <f>SUM('3.05_Other_Capex'!AH29,'3.05_Other_Capex'!AH40,'3.05_Other_Capex'!AH58,'3.05_Other_Capex'!AH95,'3.05_Other_Capex'!AH168,'3.05_Other_Capex'!AH207)</f>
        <v>0</v>
      </c>
      <c r="AI40" s="642">
        <f>SUM('3.05_Other_Capex'!AI29,'3.05_Other_Capex'!AI40,'3.05_Other_Capex'!AI58,'3.05_Other_Capex'!AI95,'3.05_Other_Capex'!AI168,'3.05_Other_Capex'!AI207)</f>
        <v>0</v>
      </c>
      <c r="AJ40" s="642">
        <f>SUM('3.05_Other_Capex'!AJ29,'3.05_Other_Capex'!AJ40,'3.05_Other_Capex'!AJ58,'3.05_Other_Capex'!AJ95,'3.05_Other_Capex'!AJ168,'3.05_Other_Capex'!AJ207)</f>
        <v>0</v>
      </c>
      <c r="AK40" s="643">
        <f>SUM('3.05_Other_Capex'!AK29,'3.05_Other_Capex'!AK40,'3.05_Other_Capex'!AK58,'3.05_Other_Capex'!AK95,'3.05_Other_Capex'!AK168,'3.05_Other_Capex'!AK207)</f>
        <v>0</v>
      </c>
      <c r="AL40" s="185"/>
      <c r="AM40" s="164" t="s">
        <v>498</v>
      </c>
      <c r="AN40" s="641">
        <f>SUM(J40,Y40)</f>
        <v>18.032545427864733</v>
      </c>
      <c r="AO40" s="642">
        <f t="shared" ref="AO40:AZ40" si="79">SUM(K40,Z40)</f>
        <v>21.141787112966334</v>
      </c>
      <c r="AP40" s="642">
        <f t="shared" si="79"/>
        <v>25.026882823307464</v>
      </c>
      <c r="AQ40" s="642">
        <f t="shared" si="79"/>
        <v>30.152237501587972</v>
      </c>
      <c r="AR40" s="642">
        <f t="shared" si="79"/>
        <v>24.538939317678548</v>
      </c>
      <c r="AS40" s="642">
        <f t="shared" si="79"/>
        <v>28.253145718237121</v>
      </c>
      <c r="AT40" s="642">
        <f t="shared" si="79"/>
        <v>27.185881347630339</v>
      </c>
      <c r="AU40" s="643">
        <f t="shared" si="79"/>
        <v>18.829376430038064</v>
      </c>
      <c r="AV40" s="641">
        <f t="shared" si="79"/>
        <v>21.018189019752437</v>
      </c>
      <c r="AW40" s="642">
        <f t="shared" si="79"/>
        <v>20.073454614170906</v>
      </c>
      <c r="AX40" s="642">
        <f t="shared" si="79"/>
        <v>17.8197581645118</v>
      </c>
      <c r="AY40" s="642">
        <f t="shared" si="79"/>
        <v>18.40376267412227</v>
      </c>
      <c r="AZ40" s="643">
        <f t="shared" si="79"/>
        <v>18.543422756515419</v>
      </c>
      <c r="BA40" s="185"/>
      <c r="BB40" s="117"/>
      <c r="BC40" s="713"/>
      <c r="BD40" s="714"/>
      <c r="BE40" s="714"/>
      <c r="BF40" s="714"/>
      <c r="BG40" s="714"/>
      <c r="BH40" s="714"/>
      <c r="BI40" s="714"/>
      <c r="BJ40" s="715"/>
      <c r="BK40" s="716"/>
      <c r="BL40" s="714"/>
      <c r="BM40" s="714"/>
      <c r="BN40" s="714"/>
      <c r="BO40" s="715"/>
      <c r="BP40" s="185"/>
      <c r="BQ40" s="117"/>
      <c r="BR40" s="713"/>
      <c r="BS40" s="714"/>
      <c r="BT40" s="714"/>
      <c r="BU40" s="714"/>
      <c r="BV40" s="714"/>
      <c r="BW40" s="714"/>
      <c r="BX40" s="714"/>
      <c r="BY40" s="715"/>
      <c r="BZ40" s="716"/>
      <c r="CA40" s="714"/>
      <c r="CB40" s="714"/>
      <c r="CC40" s="714"/>
      <c r="CD40" s="715"/>
    </row>
    <row r="41" spans="1:82" s="98" customFormat="1" ht="15" customHeight="1">
      <c r="A41" s="99"/>
      <c r="B41" s="161"/>
      <c r="C41" s="615"/>
      <c r="D41" s="162"/>
      <c r="E41" s="162"/>
      <c r="F41" s="185"/>
      <c r="G41" s="185"/>
      <c r="H41" s="163"/>
      <c r="I41" s="117"/>
      <c r="J41" s="713"/>
      <c r="K41" s="714"/>
      <c r="L41" s="714"/>
      <c r="M41" s="714"/>
      <c r="N41" s="714"/>
      <c r="O41" s="714"/>
      <c r="P41" s="714"/>
      <c r="Q41" s="715"/>
      <c r="R41" s="716"/>
      <c r="S41" s="714"/>
      <c r="T41" s="714"/>
      <c r="U41" s="714"/>
      <c r="V41" s="715"/>
      <c r="W41" s="185"/>
      <c r="X41" s="117"/>
      <c r="Y41" s="713"/>
      <c r="Z41" s="714"/>
      <c r="AA41" s="714"/>
      <c r="AB41" s="714"/>
      <c r="AC41" s="714"/>
      <c r="AD41" s="714"/>
      <c r="AE41" s="714"/>
      <c r="AF41" s="715"/>
      <c r="AG41" s="716"/>
      <c r="AH41" s="714"/>
      <c r="AI41" s="714"/>
      <c r="AJ41" s="714"/>
      <c r="AK41" s="715"/>
      <c r="AL41" s="185"/>
      <c r="AM41" s="117"/>
      <c r="AN41" s="713"/>
      <c r="AO41" s="714"/>
      <c r="AP41" s="714"/>
      <c r="AQ41" s="714"/>
      <c r="AR41" s="714"/>
      <c r="AS41" s="714"/>
      <c r="AT41" s="714"/>
      <c r="AU41" s="715"/>
      <c r="AV41" s="716"/>
      <c r="AW41" s="714"/>
      <c r="AX41" s="714"/>
      <c r="AY41" s="714"/>
      <c r="AZ41" s="715"/>
      <c r="BA41" s="185"/>
      <c r="BB41" s="117"/>
      <c r="BC41" s="713"/>
      <c r="BD41" s="714"/>
      <c r="BE41" s="714"/>
      <c r="BF41" s="714"/>
      <c r="BG41" s="714"/>
      <c r="BH41" s="714"/>
      <c r="BI41" s="714"/>
      <c r="BJ41" s="715"/>
      <c r="BK41" s="716"/>
      <c r="BL41" s="714"/>
      <c r="BM41" s="714"/>
      <c r="BN41" s="714"/>
      <c r="BO41" s="715"/>
      <c r="BP41" s="185"/>
      <c r="BQ41" s="117"/>
      <c r="BR41" s="713"/>
      <c r="BS41" s="714"/>
      <c r="BT41" s="714"/>
      <c r="BU41" s="714"/>
      <c r="BV41" s="714"/>
      <c r="BW41" s="714"/>
      <c r="BX41" s="714"/>
      <c r="BY41" s="715"/>
      <c r="BZ41" s="716"/>
      <c r="CA41" s="714"/>
      <c r="CB41" s="714"/>
      <c r="CC41" s="714"/>
      <c r="CD41" s="715"/>
    </row>
    <row r="42" spans="1:82" s="98" customFormat="1" ht="15" customHeight="1">
      <c r="A42" s="99"/>
      <c r="B42" s="161"/>
      <c r="C42" s="616" t="s">
        <v>1680</v>
      </c>
      <c r="D42" s="162"/>
      <c r="E42" s="162"/>
      <c r="F42" s="185"/>
      <c r="G42" s="185"/>
      <c r="H42" s="163"/>
      <c r="I42" s="164" t="s">
        <v>498</v>
      </c>
      <c r="J42" s="641">
        <f>'3.06_Transport_&amp;_Plant'!J13</f>
        <v>4.4155591023822902</v>
      </c>
      <c r="K42" s="642">
        <f>'3.06_Transport_&amp;_Plant'!K13</f>
        <v>4.9343227259946989</v>
      </c>
      <c r="L42" s="642">
        <f>'3.06_Transport_&amp;_Plant'!L13</f>
        <v>3.5868599645758135</v>
      </c>
      <c r="M42" s="642">
        <f>'3.06_Transport_&amp;_Plant'!M13</f>
        <v>3.4152201754967684</v>
      </c>
      <c r="N42" s="642">
        <f>'3.06_Transport_&amp;_Plant'!N13</f>
        <v>3.6460955778894562</v>
      </c>
      <c r="O42" s="642">
        <f>'3.06_Transport_&amp;_Plant'!O13</f>
        <v>0.37623034194205729</v>
      </c>
      <c r="P42" s="642">
        <f>'3.06_Transport_&amp;_Plant'!P13</f>
        <v>1.1872667481351091</v>
      </c>
      <c r="Q42" s="643">
        <f>'3.06_Transport_&amp;_Plant'!Q13</f>
        <v>2.8634080396199688</v>
      </c>
      <c r="R42" s="641">
        <f>'3.06_Transport_&amp;_Plant'!R13</f>
        <v>4.2003070674334833</v>
      </c>
      <c r="S42" s="642">
        <f>'3.06_Transport_&amp;_Plant'!S13</f>
        <v>5.249313025909597</v>
      </c>
      <c r="T42" s="642">
        <f>'3.06_Transport_&amp;_Plant'!T13</f>
        <v>4.22266449464788</v>
      </c>
      <c r="U42" s="642">
        <f>'3.06_Transport_&amp;_Plant'!U13</f>
        <v>3.7300006013282538</v>
      </c>
      <c r="V42" s="643">
        <f>'3.06_Transport_&amp;_Plant'!V13</f>
        <v>2.0028420299796537</v>
      </c>
      <c r="W42" s="185"/>
      <c r="X42" s="117"/>
      <c r="Y42" s="713"/>
      <c r="Z42" s="714"/>
      <c r="AA42" s="714"/>
      <c r="AB42" s="714"/>
      <c r="AC42" s="714"/>
      <c r="AD42" s="714"/>
      <c r="AE42" s="714"/>
      <c r="AF42" s="715"/>
      <c r="AG42" s="716"/>
      <c r="AH42" s="714"/>
      <c r="AI42" s="714"/>
      <c r="AJ42" s="714"/>
      <c r="AK42" s="715"/>
      <c r="AL42" s="185"/>
      <c r="AM42" s="164" t="s">
        <v>498</v>
      </c>
      <c r="AN42" s="641">
        <f>J42</f>
        <v>4.4155591023822902</v>
      </c>
      <c r="AO42" s="642">
        <f t="shared" ref="AO42:AZ42" si="80">K42</f>
        <v>4.9343227259946989</v>
      </c>
      <c r="AP42" s="642">
        <f t="shared" si="80"/>
        <v>3.5868599645758135</v>
      </c>
      <c r="AQ42" s="642">
        <f t="shared" si="80"/>
        <v>3.4152201754967684</v>
      </c>
      <c r="AR42" s="642">
        <f t="shared" si="80"/>
        <v>3.6460955778894562</v>
      </c>
      <c r="AS42" s="642">
        <f t="shared" si="80"/>
        <v>0.37623034194205729</v>
      </c>
      <c r="AT42" s="642">
        <f t="shared" si="80"/>
        <v>1.1872667481351091</v>
      </c>
      <c r="AU42" s="643">
        <f t="shared" si="80"/>
        <v>2.8634080396199688</v>
      </c>
      <c r="AV42" s="641">
        <f t="shared" si="80"/>
        <v>4.2003070674334833</v>
      </c>
      <c r="AW42" s="642">
        <f t="shared" si="80"/>
        <v>5.249313025909597</v>
      </c>
      <c r="AX42" s="642">
        <f t="shared" si="80"/>
        <v>4.22266449464788</v>
      </c>
      <c r="AY42" s="642">
        <f t="shared" si="80"/>
        <v>3.7300006013282538</v>
      </c>
      <c r="AZ42" s="643">
        <f t="shared" si="80"/>
        <v>2.0028420299796537</v>
      </c>
      <c r="BA42" s="185"/>
      <c r="BB42" s="117"/>
      <c r="BC42" s="713"/>
      <c r="BD42" s="714"/>
      <c r="BE42" s="714"/>
      <c r="BF42" s="714"/>
      <c r="BG42" s="714"/>
      <c r="BH42" s="714"/>
      <c r="BI42" s="714"/>
      <c r="BJ42" s="715"/>
      <c r="BK42" s="716"/>
      <c r="BL42" s="714"/>
      <c r="BM42" s="714"/>
      <c r="BN42" s="714"/>
      <c r="BO42" s="715"/>
      <c r="BP42" s="185"/>
      <c r="BQ42" s="117"/>
      <c r="BR42" s="713"/>
      <c r="BS42" s="714"/>
      <c r="BT42" s="714"/>
      <c r="BU42" s="714"/>
      <c r="BV42" s="714"/>
      <c r="BW42" s="714"/>
      <c r="BX42" s="714"/>
      <c r="BY42" s="715"/>
      <c r="BZ42" s="716"/>
      <c r="CA42" s="714"/>
      <c r="CB42" s="714"/>
      <c r="CC42" s="714"/>
      <c r="CD42" s="715"/>
    </row>
    <row r="43" spans="1:82" s="98" customFormat="1" ht="15" customHeight="1">
      <c r="A43" s="99"/>
      <c r="B43" s="161"/>
      <c r="C43" s="615"/>
      <c r="D43" s="162"/>
      <c r="E43" s="162"/>
      <c r="F43" s="185"/>
      <c r="G43" s="185"/>
      <c r="H43" s="163"/>
      <c r="I43" s="117"/>
      <c r="J43" s="713"/>
      <c r="K43" s="714"/>
      <c r="L43" s="714"/>
      <c r="M43" s="714"/>
      <c r="N43" s="714"/>
      <c r="O43" s="714"/>
      <c r="P43" s="714"/>
      <c r="Q43" s="715"/>
      <c r="R43" s="716"/>
      <c r="S43" s="714"/>
      <c r="T43" s="714"/>
      <c r="U43" s="714"/>
      <c r="V43" s="715"/>
      <c r="W43" s="185"/>
      <c r="X43" s="117"/>
      <c r="Y43" s="713"/>
      <c r="Z43" s="714"/>
      <c r="AA43" s="714"/>
      <c r="AB43" s="714"/>
      <c r="AC43" s="714"/>
      <c r="AD43" s="714"/>
      <c r="AE43" s="714"/>
      <c r="AF43" s="715"/>
      <c r="AG43" s="716"/>
      <c r="AH43" s="714"/>
      <c r="AI43" s="714"/>
      <c r="AJ43" s="714"/>
      <c r="AK43" s="715"/>
      <c r="AL43" s="185"/>
      <c r="AM43" s="117"/>
      <c r="AN43" s="713"/>
      <c r="AO43" s="714"/>
      <c r="AP43" s="714"/>
      <c r="AQ43" s="714"/>
      <c r="AR43" s="714"/>
      <c r="AS43" s="714"/>
      <c r="AT43" s="714"/>
      <c r="AU43" s="715"/>
      <c r="AV43" s="716"/>
      <c r="AW43" s="714"/>
      <c r="AX43" s="714"/>
      <c r="AY43" s="714"/>
      <c r="AZ43" s="715"/>
      <c r="BA43" s="185"/>
      <c r="BB43" s="117"/>
      <c r="BC43" s="713"/>
      <c r="BD43" s="714"/>
      <c r="BE43" s="714"/>
      <c r="BF43" s="714"/>
      <c r="BG43" s="714"/>
      <c r="BH43" s="714"/>
      <c r="BI43" s="714"/>
      <c r="BJ43" s="715"/>
      <c r="BK43" s="716"/>
      <c r="BL43" s="714"/>
      <c r="BM43" s="714"/>
      <c r="BN43" s="714"/>
      <c r="BO43" s="715"/>
      <c r="BP43" s="185"/>
      <c r="BQ43" s="117"/>
      <c r="BR43" s="713"/>
      <c r="BS43" s="714"/>
      <c r="BT43" s="714"/>
      <c r="BU43" s="714"/>
      <c r="BV43" s="714"/>
      <c r="BW43" s="714"/>
      <c r="BX43" s="714"/>
      <c r="BY43" s="715"/>
      <c r="BZ43" s="716"/>
      <c r="CA43" s="714"/>
      <c r="CB43" s="714"/>
      <c r="CC43" s="714"/>
      <c r="CD43" s="715"/>
    </row>
    <row r="44" spans="1:82" s="98" customFormat="1" ht="15" customHeight="1" thickBot="1">
      <c r="A44" s="99"/>
      <c r="B44" s="191" t="s">
        <v>1701</v>
      </c>
      <c r="C44" s="654"/>
      <c r="D44" s="653"/>
      <c r="E44" s="653"/>
      <c r="F44" s="192"/>
      <c r="G44" s="192"/>
      <c r="H44" s="652"/>
      <c r="I44" s="195" t="s">
        <v>498</v>
      </c>
      <c r="J44" s="701">
        <f t="shared" ref="J44:V44" si="81">SUM(J17,J22,J30,J38,J40,J42)</f>
        <v>50.578151535426237</v>
      </c>
      <c r="K44" s="702">
        <f t="shared" si="81"/>
        <v>59.695253233028453</v>
      </c>
      <c r="L44" s="702">
        <f t="shared" si="81"/>
        <v>72.638297948313053</v>
      </c>
      <c r="M44" s="702">
        <f t="shared" si="81"/>
        <v>68.923232754786213</v>
      </c>
      <c r="N44" s="702">
        <f t="shared" si="81"/>
        <v>61.55896294023956</v>
      </c>
      <c r="O44" s="702">
        <f t="shared" si="81"/>
        <v>65.429498924091675</v>
      </c>
      <c r="P44" s="702">
        <f t="shared" si="81"/>
        <v>66.924763927352004</v>
      </c>
      <c r="Q44" s="703">
        <f t="shared" si="81"/>
        <v>67.262058207632691</v>
      </c>
      <c r="R44" s="701">
        <f t="shared" si="81"/>
        <v>57.347950306291793</v>
      </c>
      <c r="S44" s="702">
        <f t="shared" si="81"/>
        <v>65.647519327699541</v>
      </c>
      <c r="T44" s="702">
        <f t="shared" si="81"/>
        <v>66.616446860671459</v>
      </c>
      <c r="U44" s="702">
        <f t="shared" si="81"/>
        <v>62.317823597372858</v>
      </c>
      <c r="V44" s="703">
        <f t="shared" si="81"/>
        <v>54.050278463432107</v>
      </c>
      <c r="W44" s="192"/>
      <c r="X44" s="195" t="s">
        <v>498</v>
      </c>
      <c r="Y44" s="701">
        <f t="shared" ref="Y44:AK44" si="82">SUM(Y17,Y22,Y30,Y38,Y40)</f>
        <v>-5.3063154884165353</v>
      </c>
      <c r="Z44" s="702">
        <f t="shared" si="82"/>
        <v>-6.0830274857142843</v>
      </c>
      <c r="AA44" s="702">
        <f t="shared" si="82"/>
        <v>-6.0315224454427847</v>
      </c>
      <c r="AB44" s="702">
        <f t="shared" si="82"/>
        <v>-5.8813706534213832</v>
      </c>
      <c r="AC44" s="702">
        <f t="shared" si="82"/>
        <v>-7.5919493865559335</v>
      </c>
      <c r="AD44" s="702">
        <f t="shared" si="82"/>
        <v>-5.7300007900000001</v>
      </c>
      <c r="AE44" s="702">
        <f t="shared" si="82"/>
        <v>-7.1746169644692968</v>
      </c>
      <c r="AF44" s="703">
        <f t="shared" si="82"/>
        <v>-10.51901291059739</v>
      </c>
      <c r="AG44" s="701">
        <f t="shared" si="82"/>
        <v>-6.3433143243530763</v>
      </c>
      <c r="AH44" s="702">
        <f t="shared" si="82"/>
        <v>-6.7594655522119202</v>
      </c>
      <c r="AI44" s="702">
        <f t="shared" si="82"/>
        <v>-7.1704285071617742</v>
      </c>
      <c r="AJ44" s="702">
        <f t="shared" si="82"/>
        <v>-7.4818151482701269</v>
      </c>
      <c r="AK44" s="703">
        <f t="shared" si="82"/>
        <v>-4.2073949965856956</v>
      </c>
      <c r="AL44" s="192"/>
      <c r="AM44" s="195" t="s">
        <v>498</v>
      </c>
      <c r="AN44" s="701">
        <f t="shared" ref="AN44:AZ44" si="83">SUM(AN17,AN22,AN30,AN38,AN40,AN42)</f>
        <v>45.2718360470097</v>
      </c>
      <c r="AO44" s="702">
        <f t="shared" si="83"/>
        <v>53.61222574731417</v>
      </c>
      <c r="AP44" s="702">
        <f t="shared" si="83"/>
        <v>66.606775502870278</v>
      </c>
      <c r="AQ44" s="702">
        <f t="shared" si="83"/>
        <v>63.041862101364821</v>
      </c>
      <c r="AR44" s="702">
        <f t="shared" si="83"/>
        <v>53.967013553683628</v>
      </c>
      <c r="AS44" s="702">
        <f t="shared" si="83"/>
        <v>59.699498134091677</v>
      </c>
      <c r="AT44" s="702">
        <f t="shared" si="83"/>
        <v>59.750146962882702</v>
      </c>
      <c r="AU44" s="703">
        <f t="shared" si="83"/>
        <v>56.743045297035309</v>
      </c>
      <c r="AV44" s="701">
        <f t="shared" si="83"/>
        <v>51.004635981938719</v>
      </c>
      <c r="AW44" s="702">
        <f t="shared" si="83"/>
        <v>58.88805377548762</v>
      </c>
      <c r="AX44" s="702">
        <f t="shared" si="83"/>
        <v>59.446018353509679</v>
      </c>
      <c r="AY44" s="702">
        <f t="shared" si="83"/>
        <v>54.836008449102735</v>
      </c>
      <c r="AZ44" s="703">
        <f t="shared" si="83"/>
        <v>49.842883466846409</v>
      </c>
      <c r="BA44" s="192"/>
      <c r="BB44" s="145"/>
      <c r="BC44" s="968"/>
      <c r="BD44" s="969"/>
      <c r="BE44" s="969"/>
      <c r="BF44" s="969"/>
      <c r="BG44" s="969"/>
      <c r="BH44" s="969"/>
      <c r="BI44" s="969"/>
      <c r="BJ44" s="970"/>
      <c r="BK44" s="971"/>
      <c r="BL44" s="969"/>
      <c r="BM44" s="969"/>
      <c r="BN44" s="969"/>
      <c r="BO44" s="970"/>
      <c r="BP44" s="192"/>
      <c r="BQ44" s="145"/>
      <c r="BR44" s="968"/>
      <c r="BS44" s="969"/>
      <c r="BT44" s="969"/>
      <c r="BU44" s="969"/>
      <c r="BV44" s="969"/>
      <c r="BW44" s="969"/>
      <c r="BX44" s="969"/>
      <c r="BY44" s="970"/>
      <c r="BZ44" s="971"/>
      <c r="CA44" s="969"/>
      <c r="CB44" s="969"/>
      <c r="CC44" s="969"/>
      <c r="CD44" s="970"/>
    </row>
    <row r="45" spans="1:82" s="98" customFormat="1" ht="15" customHeight="1">
      <c r="A45" s="162"/>
      <c r="B45" s="162"/>
      <c r="C45" s="162"/>
      <c r="D45" s="185"/>
      <c r="E45" s="162"/>
      <c r="F45" s="185"/>
      <c r="G45" s="185"/>
      <c r="H45" s="163"/>
      <c r="I45" s="185"/>
      <c r="J45" s="185"/>
      <c r="K45" s="185"/>
      <c r="L45" s="185"/>
      <c r="M45" s="185"/>
      <c r="N45" s="185"/>
      <c r="O45" s="185"/>
      <c r="P45" s="185"/>
      <c r="Q45" s="185"/>
      <c r="R45" s="185"/>
      <c r="S45" s="185"/>
      <c r="T45" s="185"/>
      <c r="U45" s="163"/>
      <c r="V45" s="163"/>
      <c r="Y45" s="722"/>
      <c r="Z45" s="722"/>
      <c r="AA45" s="722"/>
      <c r="AB45" s="722"/>
      <c r="AC45" s="722"/>
      <c r="AD45" s="722"/>
      <c r="AE45" s="722"/>
      <c r="AF45" s="722"/>
      <c r="AG45" s="722"/>
      <c r="AH45" s="722"/>
      <c r="AI45" s="722"/>
      <c r="AJ45" s="722"/>
      <c r="AK45" s="722"/>
    </row>
    <row r="46" spans="1:82">
      <c r="AN46" s="2562"/>
      <c r="AO46" s="2562"/>
      <c r="AP46" s="2562"/>
      <c r="AQ46" s="2562"/>
      <c r="AR46" s="2562"/>
      <c r="AS46" s="2562"/>
      <c r="AT46" s="2562"/>
      <c r="AU46" s="2562"/>
      <c r="AV46" s="2562"/>
      <c r="AW46" s="2562"/>
      <c r="AX46" s="2562"/>
      <c r="AY46" s="2562"/>
      <c r="AZ46" s="2562"/>
      <c r="BC46" s="2564"/>
      <c r="BD46" s="2564"/>
      <c r="BE46" s="2564"/>
      <c r="BF46" s="2564"/>
      <c r="BG46" s="2564"/>
      <c r="BH46" s="2564"/>
      <c r="BI46" s="2564"/>
      <c r="BJ46" s="2564"/>
      <c r="BK46" s="2564"/>
      <c r="BL46" s="2564"/>
      <c r="BM46" s="2564"/>
      <c r="BN46" s="2564"/>
      <c r="BO46" s="2564"/>
    </row>
    <row r="47" spans="1:82">
      <c r="J47" s="2564"/>
      <c r="K47" s="2564"/>
      <c r="L47" s="2564"/>
      <c r="M47" s="2564"/>
      <c r="N47" s="2564"/>
      <c r="O47" s="2564"/>
      <c r="P47" s="2564"/>
      <c r="Q47" s="2564"/>
      <c r="R47" s="2564"/>
      <c r="S47" s="2564"/>
      <c r="T47" s="2564"/>
      <c r="U47" s="2564"/>
      <c r="V47" s="2564"/>
      <c r="W47" s="2564"/>
      <c r="X47" s="2564"/>
      <c r="Y47" s="2564"/>
      <c r="Z47" s="2564"/>
      <c r="AA47" s="2564"/>
      <c r="AB47" s="2564"/>
      <c r="AC47" s="2564"/>
      <c r="AD47" s="2564"/>
      <c r="AE47" s="2564"/>
      <c r="AF47" s="2564"/>
      <c r="AG47" s="2564"/>
      <c r="AH47" s="2564"/>
      <c r="AI47" s="2564"/>
      <c r="AJ47" s="2564"/>
      <c r="AK47" s="2564"/>
      <c r="AL47" s="2564"/>
      <c r="AM47" s="2564"/>
      <c r="AN47" s="2564"/>
      <c r="AO47" s="2564"/>
      <c r="AP47" s="2564"/>
      <c r="AQ47" s="2564"/>
      <c r="AR47" s="2564"/>
      <c r="AS47" s="2564"/>
      <c r="AT47" s="2564"/>
      <c r="AU47" s="2564"/>
      <c r="AV47" s="2564"/>
      <c r="AW47" s="2564"/>
      <c r="AX47" s="2564"/>
      <c r="AY47" s="2564"/>
      <c r="AZ47" s="2564"/>
      <c r="BA47" s="2564"/>
      <c r="BB47" s="2564"/>
      <c r="BC47" s="2564"/>
      <c r="BD47" s="2564"/>
      <c r="BE47" s="2564"/>
      <c r="BF47" s="2564"/>
      <c r="BG47" s="2564"/>
      <c r="BH47" s="2564"/>
      <c r="BI47" s="2564"/>
      <c r="BJ47" s="2564"/>
      <c r="BK47" s="2564"/>
      <c r="BL47" s="2564"/>
      <c r="BM47" s="2564"/>
      <c r="BN47" s="2564"/>
      <c r="BO47" s="2564"/>
      <c r="BP47" s="2564"/>
      <c r="BQ47" s="2564"/>
      <c r="BR47" s="2564"/>
      <c r="BS47" s="2564"/>
      <c r="BT47" s="2564"/>
      <c r="BU47" s="2564"/>
      <c r="BV47" s="2564"/>
      <c r="BW47" s="2564"/>
      <c r="BX47" s="2564"/>
      <c r="BY47" s="2564"/>
      <c r="BZ47" s="2564"/>
      <c r="CA47" s="2564"/>
      <c r="CB47" s="2564"/>
      <c r="CC47" s="2564"/>
      <c r="CD47" s="2564"/>
    </row>
    <row r="51" spans="8:8">
      <c r="H51" s="174"/>
    </row>
    <row r="52" spans="8:8">
      <c r="H52" s="174"/>
    </row>
    <row r="53" spans="8:8">
      <c r="H53" s="17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48"/>
  <sheetViews>
    <sheetView showGridLines="0" view="pageBreakPreview" zoomScale="80" zoomScaleNormal="100" zoomScaleSheetLayoutView="80" workbookViewId="0">
      <selection activeCell="T33" sqref="T33"/>
    </sheetView>
  </sheetViews>
  <sheetFormatPr defaultColWidth="9" defaultRowHeight="14.25"/>
  <cols>
    <col min="1" max="1" width="9" style="20"/>
    <col min="2" max="2" width="12.125" style="20" customWidth="1"/>
    <col min="3" max="3" width="4.625" style="20" customWidth="1"/>
    <col min="4" max="7" width="9" style="20"/>
    <col min="8" max="8" width="3.75" style="20" customWidth="1"/>
    <col min="9" max="9" width="23.5" style="20" customWidth="1"/>
    <col min="10" max="10" width="2.875" style="20" customWidth="1"/>
    <col min="11" max="11" width="3.75" style="20" customWidth="1"/>
    <col min="12" max="12" width="23" style="20" customWidth="1"/>
    <col min="13" max="13" width="3.75" style="20" customWidth="1"/>
    <col min="14" max="16" width="12.625" style="20" customWidth="1"/>
    <col min="17" max="18" width="3.75" style="20" customWidth="1"/>
    <col min="19" max="20" width="12.625" style="20" customWidth="1"/>
    <col min="21" max="21" width="3.75" style="20" customWidth="1"/>
    <col min="22" max="22" width="12.625" style="20" customWidth="1"/>
    <col min="23" max="23" width="17.5" style="20" customWidth="1"/>
    <col min="24" max="25" width="12.625" style="20" customWidth="1"/>
    <col min="26" max="26" width="16.875" style="20" customWidth="1"/>
    <col min="27" max="27" width="17.125" style="20" customWidth="1"/>
    <col min="28" max="28" width="9" style="20" customWidth="1"/>
    <col min="29" max="29" width="41.75" style="20" hidden="1" customWidth="1"/>
    <col min="30" max="16384" width="9" style="20"/>
  </cols>
  <sheetData>
    <row r="1" spans="1:27" s="2" customFormat="1" ht="26.25">
      <c r="A1" s="1" t="s">
        <v>3</v>
      </c>
      <c r="E1" s="3"/>
      <c r="H1" s="4" t="s">
        <v>1</v>
      </c>
      <c r="J1" s="3"/>
      <c r="M1" s="4"/>
      <c r="Q1" s="4"/>
      <c r="R1" s="4"/>
      <c r="U1" s="4"/>
    </row>
    <row r="2" spans="1:27" s="2" customFormat="1" ht="26.25">
      <c r="A2" s="5" t="str">
        <f>+$I$12</f>
        <v>MASTER</v>
      </c>
      <c r="B2" s="6"/>
      <c r="D2" s="7"/>
      <c r="E2" s="3"/>
    </row>
    <row r="3" spans="1:27" s="9" customFormat="1" ht="27" thickBot="1">
      <c r="A3" s="8" t="s">
        <v>2</v>
      </c>
      <c r="D3" s="10"/>
      <c r="E3" s="11"/>
    </row>
    <row r="5" spans="1:27" ht="25.5">
      <c r="A5" s="679"/>
    </row>
    <row r="6" spans="1:27" ht="20.25">
      <c r="A6" s="38" t="s">
        <v>305</v>
      </c>
    </row>
    <row r="7" spans="1:27" s="39" customFormat="1" ht="18"/>
    <row r="8" spans="1:27" s="39" customFormat="1" ht="18">
      <c r="B8" s="40" t="s">
        <v>306</v>
      </c>
      <c r="I8" s="41" t="s">
        <v>307</v>
      </c>
    </row>
    <row r="9" spans="1:27" s="39" customFormat="1" ht="18">
      <c r="B9" s="40"/>
      <c r="I9" s="41"/>
    </row>
    <row r="10" spans="1:27" s="39" customFormat="1" ht="18">
      <c r="B10" s="40"/>
      <c r="I10" s="41"/>
      <c r="V10" s="42"/>
      <c r="W10" s="42"/>
      <c r="X10" s="42"/>
      <c r="Y10" s="42"/>
      <c r="Z10" s="42"/>
    </row>
    <row r="11" spans="1:27" s="39" customFormat="1" ht="18">
      <c r="B11" s="39" t="s">
        <v>308</v>
      </c>
      <c r="C11" s="20"/>
      <c r="D11" s="20"/>
      <c r="E11" s="20"/>
      <c r="F11" s="20"/>
      <c r="G11" s="20"/>
      <c r="H11" s="20"/>
      <c r="I11" s="1145">
        <v>0</v>
      </c>
      <c r="K11" s="43">
        <v>0</v>
      </c>
      <c r="L11" s="44" t="s">
        <v>309</v>
      </c>
      <c r="M11" s="20"/>
      <c r="N11" s="45" t="s">
        <v>310</v>
      </c>
      <c r="O11" s="46" t="s">
        <v>311</v>
      </c>
      <c r="P11" s="47" t="s">
        <v>312</v>
      </c>
      <c r="Q11" s="20"/>
      <c r="R11" s="20"/>
      <c r="S11" s="48" t="s">
        <v>313</v>
      </c>
      <c r="T11" s="49" t="s">
        <v>314</v>
      </c>
      <c r="U11" s="20"/>
      <c r="V11" s="50" t="s">
        <v>315</v>
      </c>
      <c r="W11" s="51" t="s">
        <v>316</v>
      </c>
      <c r="X11" s="51" t="s">
        <v>317</v>
      </c>
      <c r="Y11" s="51" t="s">
        <v>318</v>
      </c>
      <c r="Z11" s="52" t="s">
        <v>319</v>
      </c>
      <c r="AA11" s="53" t="str">
        <f>IF($I$11=$K$11,V11,(IF($I$11&lt;=4,W11,(IF($I$11=5,Y11,(IF($I$11=8,Z11,X11)))))))</f>
        <v>GDN1</v>
      </c>
    </row>
    <row r="12" spans="1:27" ht="18">
      <c r="A12" s="54"/>
      <c r="B12" s="40"/>
      <c r="C12" s="39"/>
      <c r="D12" s="39"/>
      <c r="E12" s="39"/>
      <c r="F12" s="39"/>
      <c r="G12" s="39"/>
      <c r="I12" s="55" t="str">
        <f>VLOOKUP(I11,K11:L19,2)</f>
        <v>MASTER</v>
      </c>
      <c r="K12" s="43">
        <v>1</v>
      </c>
      <c r="L12" s="56" t="s">
        <v>316</v>
      </c>
      <c r="N12" s="57" t="s">
        <v>320</v>
      </c>
      <c r="O12" s="58" t="s">
        <v>321</v>
      </c>
      <c r="P12" s="59"/>
      <c r="S12" s="57" t="s">
        <v>322</v>
      </c>
      <c r="T12" s="59" t="s">
        <v>323</v>
      </c>
      <c r="V12" s="60" t="s">
        <v>324</v>
      </c>
      <c r="W12" s="61" t="s">
        <v>325</v>
      </c>
      <c r="X12" s="61" t="s">
        <v>326</v>
      </c>
      <c r="Y12" s="61" t="s">
        <v>282</v>
      </c>
      <c r="Z12" s="62" t="s">
        <v>282</v>
      </c>
      <c r="AA12" s="63" t="str">
        <f>IF($I$11=$K$11,V12,(IF($I$11&lt;=4,W12,(IF($I$11=5,Y12,(IF($I$11=8,Z12,X12)))))))</f>
        <v>GDN2</v>
      </c>
    </row>
    <row r="13" spans="1:27" ht="18">
      <c r="A13" s="54"/>
      <c r="K13" s="64">
        <v>2</v>
      </c>
      <c r="L13" s="65" t="s">
        <v>325</v>
      </c>
      <c r="N13" s="57" t="s">
        <v>327</v>
      </c>
      <c r="O13" s="58"/>
      <c r="P13" s="59"/>
      <c r="S13" s="57" t="s">
        <v>320</v>
      </c>
      <c r="T13" s="59" t="s">
        <v>328</v>
      </c>
      <c r="V13" s="60" t="s">
        <v>329</v>
      </c>
      <c r="W13" s="61" t="s">
        <v>323</v>
      </c>
      <c r="X13" s="61" t="s">
        <v>282</v>
      </c>
      <c r="Y13" s="61" t="s">
        <v>282</v>
      </c>
      <c r="Z13" s="62" t="s">
        <v>282</v>
      </c>
      <c r="AA13" s="63" t="str">
        <f>IF($I$11=$K$11,V13,(IF($I$11&lt;=4,W13,(IF($I$11=5,Y13,(IF($I$11=8,Z13,X13)))))))</f>
        <v>GDN3</v>
      </c>
    </row>
    <row r="14" spans="1:27" ht="18">
      <c r="A14" s="54"/>
      <c r="B14" s="66" t="s">
        <v>330</v>
      </c>
      <c r="I14" s="39"/>
      <c r="K14" s="64">
        <v>3</v>
      </c>
      <c r="L14" s="65" t="s">
        <v>323</v>
      </c>
      <c r="N14" s="57" t="s">
        <v>322</v>
      </c>
      <c r="O14" s="58"/>
      <c r="P14" s="59"/>
      <c r="S14" s="57" t="s">
        <v>321</v>
      </c>
      <c r="T14" s="59" t="s">
        <v>331</v>
      </c>
      <c r="V14" s="67" t="s">
        <v>332</v>
      </c>
      <c r="W14" s="68" t="s">
        <v>333</v>
      </c>
      <c r="X14" s="68" t="s">
        <v>282</v>
      </c>
      <c r="Y14" s="68" t="s">
        <v>282</v>
      </c>
      <c r="Z14" s="69" t="s">
        <v>282</v>
      </c>
      <c r="AA14" s="70" t="str">
        <f>IF($I$11=$K$11,V14,(IF($I$11&lt;=4,W14,(IF($I$11=5,Y14,(IF($I$11=8,Z14,X14)))))))</f>
        <v>GDN4</v>
      </c>
    </row>
    <row r="15" spans="1:27" ht="18">
      <c r="A15" s="54"/>
      <c r="B15" s="1142" t="s">
        <v>324</v>
      </c>
      <c r="C15" s="1143"/>
      <c r="D15" s="1143"/>
      <c r="E15" s="1143"/>
      <c r="F15" s="1143"/>
      <c r="G15" s="1144"/>
      <c r="I15" s="1146" t="s">
        <v>324</v>
      </c>
      <c r="K15" s="64">
        <v>4</v>
      </c>
      <c r="L15" s="65" t="s">
        <v>333</v>
      </c>
      <c r="N15" s="57" t="s">
        <v>334</v>
      </c>
      <c r="O15" s="58"/>
      <c r="P15" s="59"/>
      <c r="S15" s="57" t="s">
        <v>310</v>
      </c>
      <c r="T15" s="59" t="s">
        <v>310</v>
      </c>
      <c r="V15" s="42"/>
      <c r="W15" s="42"/>
      <c r="X15" s="42"/>
      <c r="Y15" s="42"/>
      <c r="Z15" s="42"/>
      <c r="AA15" s="39"/>
    </row>
    <row r="16" spans="1:27" ht="18">
      <c r="A16" s="54"/>
      <c r="B16" s="1142" t="s">
        <v>329</v>
      </c>
      <c r="C16" s="1143"/>
      <c r="D16" s="1143"/>
      <c r="E16" s="1143"/>
      <c r="F16" s="1143"/>
      <c r="G16" s="1144"/>
      <c r="I16" s="1146" t="s">
        <v>329</v>
      </c>
      <c r="K16" s="64">
        <v>5</v>
      </c>
      <c r="L16" s="65" t="s">
        <v>318</v>
      </c>
      <c r="N16" s="57" t="s">
        <v>335</v>
      </c>
      <c r="O16" s="58" t="s">
        <v>336</v>
      </c>
      <c r="P16" s="59"/>
      <c r="S16" s="57" t="s">
        <v>311</v>
      </c>
      <c r="T16" s="59" t="s">
        <v>311</v>
      </c>
      <c r="V16" s="42"/>
      <c r="W16" s="42"/>
      <c r="X16" s="42"/>
      <c r="Y16" s="42"/>
      <c r="Z16" s="42"/>
      <c r="AA16" s="39"/>
    </row>
    <row r="17" spans="1:39" ht="18">
      <c r="A17" s="54"/>
      <c r="B17" s="1142" t="s">
        <v>332</v>
      </c>
      <c r="C17" s="1143"/>
      <c r="D17" s="1143"/>
      <c r="E17" s="1143"/>
      <c r="F17" s="1143"/>
      <c r="G17" s="1144"/>
      <c r="I17" s="1146" t="s">
        <v>332</v>
      </c>
      <c r="K17" s="64">
        <v>6</v>
      </c>
      <c r="L17" s="65" t="s">
        <v>317</v>
      </c>
      <c r="N17" s="57" t="s">
        <v>337</v>
      </c>
      <c r="O17" s="58"/>
      <c r="P17" s="59"/>
      <c r="S17" s="57" t="s">
        <v>312</v>
      </c>
      <c r="T17" s="59" t="s">
        <v>312</v>
      </c>
      <c r="X17" s="42"/>
      <c r="Y17" s="42"/>
      <c r="Z17" s="42"/>
      <c r="AA17" s="39"/>
    </row>
    <row r="18" spans="1:39" ht="18">
      <c r="A18" s="54"/>
      <c r="B18" s="39"/>
      <c r="K18" s="64">
        <v>7</v>
      </c>
      <c r="L18" s="65" t="s">
        <v>326</v>
      </c>
      <c r="N18" s="57" t="s">
        <v>338</v>
      </c>
      <c r="O18" s="58" t="s">
        <v>339</v>
      </c>
      <c r="P18" s="59"/>
      <c r="S18" s="57" t="s">
        <v>327</v>
      </c>
      <c r="T18" s="59" t="s">
        <v>340</v>
      </c>
      <c r="AA18" s="39"/>
    </row>
    <row r="19" spans="1:39" ht="18">
      <c r="A19" s="54"/>
      <c r="B19" s="66" t="s">
        <v>341</v>
      </c>
      <c r="I19" s="39"/>
      <c r="K19" s="71">
        <v>8</v>
      </c>
      <c r="L19" s="72" t="s">
        <v>342</v>
      </c>
      <c r="N19" s="73" t="s">
        <v>343</v>
      </c>
      <c r="O19" s="74" t="s">
        <v>344</v>
      </c>
      <c r="P19" s="75" t="s">
        <v>345</v>
      </c>
      <c r="S19" s="57" t="s">
        <v>343</v>
      </c>
      <c r="T19" s="59" t="s">
        <v>346</v>
      </c>
      <c r="AA19" s="39"/>
    </row>
    <row r="20" spans="1:39" ht="18">
      <c r="A20" s="54"/>
      <c r="B20" s="1142" t="s">
        <v>347</v>
      </c>
      <c r="C20" s="1143"/>
      <c r="D20" s="1143"/>
      <c r="E20" s="1143"/>
      <c r="F20" s="1143"/>
      <c r="G20" s="1144"/>
      <c r="I20" s="1146" t="s">
        <v>347</v>
      </c>
      <c r="K20" s="76"/>
      <c r="L20" s="77"/>
      <c r="S20" s="57" t="s">
        <v>336</v>
      </c>
      <c r="T20" s="59" t="s">
        <v>348</v>
      </c>
      <c r="AA20" s="39"/>
    </row>
    <row r="21" spans="1:39" ht="17.25" customHeight="1">
      <c r="A21" s="54"/>
      <c r="B21" s="1142" t="s">
        <v>349</v>
      </c>
      <c r="C21" s="1143"/>
      <c r="D21" s="1143"/>
      <c r="E21" s="1143"/>
      <c r="F21" s="1143"/>
      <c r="G21" s="1144"/>
      <c r="I21" s="1146" t="s">
        <v>349</v>
      </c>
      <c r="K21" s="76"/>
      <c r="L21" s="77"/>
      <c r="S21" s="57" t="s">
        <v>335</v>
      </c>
      <c r="T21" s="59" t="s">
        <v>318</v>
      </c>
      <c r="AA21" s="39"/>
    </row>
    <row r="22" spans="1:39" ht="18">
      <c r="A22" s="54"/>
      <c r="B22" s="1142" t="s">
        <v>350</v>
      </c>
      <c r="C22" s="1143"/>
      <c r="D22" s="1143"/>
      <c r="E22" s="1143"/>
      <c r="F22" s="1143"/>
      <c r="G22" s="1144"/>
      <c r="I22" s="1146" t="s">
        <v>350</v>
      </c>
      <c r="S22" s="57" t="s">
        <v>344</v>
      </c>
      <c r="T22" s="59" t="s">
        <v>351</v>
      </c>
      <c r="AA22" s="39"/>
    </row>
    <row r="23" spans="1:39" ht="18">
      <c r="A23" s="54"/>
      <c r="B23" s="1142" t="s">
        <v>352</v>
      </c>
      <c r="C23" s="1143"/>
      <c r="D23" s="1143"/>
      <c r="E23" s="1143"/>
      <c r="F23" s="1143"/>
      <c r="G23" s="1144"/>
      <c r="I23" s="1146" t="s">
        <v>352</v>
      </c>
      <c r="S23" s="57" t="s">
        <v>337</v>
      </c>
      <c r="T23" s="59" t="s">
        <v>317</v>
      </c>
    </row>
    <row r="24" spans="1:39" ht="18">
      <c r="A24" s="54"/>
      <c r="B24" s="1142" t="s">
        <v>353</v>
      </c>
      <c r="C24" s="1143"/>
      <c r="D24" s="1143"/>
      <c r="E24" s="1143"/>
      <c r="F24" s="1143"/>
      <c r="G24" s="1144"/>
      <c r="I24" s="1146" t="s">
        <v>353</v>
      </c>
      <c r="S24" s="57" t="s">
        <v>338</v>
      </c>
      <c r="T24" s="59" t="s">
        <v>354</v>
      </c>
    </row>
    <row r="25" spans="1:39" ht="18">
      <c r="A25" s="54"/>
      <c r="B25" s="1142" t="s">
        <v>355</v>
      </c>
      <c r="C25" s="1143"/>
      <c r="D25" s="1143"/>
      <c r="E25" s="1143"/>
      <c r="F25" s="1143"/>
      <c r="G25" s="1144"/>
      <c r="I25" s="1146" t="s">
        <v>355</v>
      </c>
      <c r="S25" s="57" t="s">
        <v>339</v>
      </c>
      <c r="T25" s="59" t="s">
        <v>326</v>
      </c>
    </row>
    <row r="26" spans="1:39" ht="18">
      <c r="A26" s="54"/>
      <c r="B26" s="1142" t="s">
        <v>356</v>
      </c>
      <c r="C26" s="1143"/>
      <c r="D26" s="1143"/>
      <c r="E26" s="1143"/>
      <c r="F26" s="1143"/>
      <c r="G26" s="1144"/>
      <c r="I26" s="1146" t="s">
        <v>356</v>
      </c>
      <c r="S26" s="57" t="s">
        <v>345</v>
      </c>
      <c r="T26" s="59" t="s">
        <v>357</v>
      </c>
    </row>
    <row r="27" spans="1:39" ht="18">
      <c r="A27" s="54"/>
      <c r="B27" s="1142" t="s">
        <v>358</v>
      </c>
      <c r="C27" s="1143"/>
      <c r="D27" s="1143"/>
      <c r="E27" s="1143"/>
      <c r="F27" s="1143"/>
      <c r="G27" s="1144"/>
      <c r="I27" s="1146" t="s">
        <v>358</v>
      </c>
      <c r="S27" s="73" t="s">
        <v>334</v>
      </c>
      <c r="T27" s="75" t="s">
        <v>333</v>
      </c>
      <c r="AC27" s="78"/>
      <c r="AD27" s="78"/>
      <c r="AE27" s="78"/>
      <c r="AF27" s="79"/>
    </row>
    <row r="28" spans="1:39" ht="18">
      <c r="A28" s="54"/>
      <c r="B28" s="1142" t="s">
        <v>359</v>
      </c>
      <c r="C28" s="1143"/>
      <c r="D28" s="1143"/>
      <c r="E28" s="1143"/>
      <c r="F28" s="1143"/>
      <c r="G28" s="1144"/>
      <c r="I28" s="1146" t="s">
        <v>359</v>
      </c>
      <c r="AC28" s="80"/>
      <c r="AD28" s="80"/>
      <c r="AE28" s="80"/>
      <c r="AF28" s="80"/>
      <c r="AG28" s="80"/>
      <c r="AH28" s="80"/>
      <c r="AI28" s="80"/>
      <c r="AJ28" s="80"/>
      <c r="AK28" s="80"/>
      <c r="AL28" s="80"/>
      <c r="AM28" s="80"/>
    </row>
    <row r="29" spans="1:39" ht="18">
      <c r="A29" s="54"/>
      <c r="B29" s="1142" t="s">
        <v>360</v>
      </c>
      <c r="C29" s="1143"/>
      <c r="D29" s="1143"/>
      <c r="E29" s="1143"/>
      <c r="F29" s="1143"/>
      <c r="G29" s="1144"/>
      <c r="I29" s="1146" t="s">
        <v>360</v>
      </c>
      <c r="AC29" s="80"/>
      <c r="AD29" s="80"/>
      <c r="AE29" s="80"/>
      <c r="AF29" s="80"/>
      <c r="AG29" s="80"/>
      <c r="AH29" s="80"/>
      <c r="AI29" s="80"/>
      <c r="AJ29" s="80"/>
      <c r="AK29" s="80"/>
      <c r="AL29" s="80"/>
      <c r="AM29" s="80"/>
    </row>
    <row r="30" spans="1:39" ht="18">
      <c r="A30" s="54"/>
      <c r="B30" s="39"/>
      <c r="AC30" s="79"/>
      <c r="AD30" s="79"/>
      <c r="AE30" s="79"/>
      <c r="AF30" s="81"/>
      <c r="AG30" s="82"/>
      <c r="AH30" s="82"/>
      <c r="AI30" s="82"/>
      <c r="AJ30" s="82"/>
      <c r="AK30" s="82"/>
      <c r="AL30" s="82"/>
      <c r="AM30" s="82"/>
    </row>
    <row r="31" spans="1:39" ht="18">
      <c r="A31" s="54"/>
      <c r="B31" s="66" t="s">
        <v>361</v>
      </c>
      <c r="I31" s="39"/>
      <c r="AC31" s="84"/>
      <c r="AD31" s="84"/>
      <c r="AE31" s="79"/>
      <c r="AF31" s="81"/>
      <c r="AG31" s="82"/>
      <c r="AH31" s="82"/>
      <c r="AI31" s="82"/>
      <c r="AJ31" s="82"/>
      <c r="AK31" s="82"/>
      <c r="AL31" s="82"/>
      <c r="AM31" s="82"/>
    </row>
    <row r="32" spans="1:39" ht="18">
      <c r="A32" s="54"/>
      <c r="B32" s="1148" t="str">
        <f>IF(I32=0," ",VLOOKUP($I32,$S$11:$T$27,2,FALSE))</f>
        <v>LDZ1</v>
      </c>
      <c r="C32" s="1149"/>
      <c r="D32" s="1149"/>
      <c r="E32" s="1149"/>
      <c r="F32" s="1149"/>
      <c r="G32" s="1150"/>
      <c r="H32" s="85"/>
      <c r="I32" s="1147" t="str">
        <f>VLOOKUP($I$11,$K$11:$P$19,$J32,FALSE)</f>
        <v>LDZ1</v>
      </c>
      <c r="J32" s="86">
        <v>4</v>
      </c>
      <c r="M32" s="85"/>
      <c r="Q32" s="85"/>
      <c r="R32" s="85"/>
      <c r="U32" s="85"/>
      <c r="AC32" s="84"/>
      <c r="AD32" s="84"/>
      <c r="AE32" s="79"/>
      <c r="AF32" s="81"/>
      <c r="AG32" s="82"/>
      <c r="AH32" s="82"/>
      <c r="AI32" s="82"/>
      <c r="AJ32" s="82"/>
      <c r="AK32" s="82"/>
      <c r="AL32" s="82"/>
      <c r="AM32" s="82"/>
    </row>
    <row r="33" spans="1:39" ht="18">
      <c r="A33" s="54"/>
      <c r="B33" s="1148" t="str">
        <f>IF(I33=0," ",VLOOKUP($I33,$S$11:$T$27,2,FALSE))</f>
        <v>LDZ2</v>
      </c>
      <c r="C33" s="1149"/>
      <c r="D33" s="1149"/>
      <c r="E33" s="1149"/>
      <c r="F33" s="1149"/>
      <c r="G33" s="1150"/>
      <c r="H33" s="85"/>
      <c r="I33" s="1147" t="str">
        <f>VLOOKUP($I$11,$K$11:$P$19,$J33,FALSE)</f>
        <v>LDZ2</v>
      </c>
      <c r="J33" s="86">
        <v>5</v>
      </c>
      <c r="M33" s="85"/>
      <c r="Q33" s="85"/>
      <c r="R33" s="85"/>
      <c r="U33" s="85"/>
      <c r="AC33" s="84"/>
      <c r="AD33" s="84"/>
      <c r="AE33" s="79"/>
      <c r="AF33" s="81"/>
      <c r="AG33" s="82"/>
      <c r="AH33" s="82"/>
      <c r="AI33" s="82"/>
      <c r="AJ33" s="82"/>
      <c r="AK33" s="82"/>
      <c r="AL33" s="82"/>
      <c r="AM33" s="82"/>
    </row>
    <row r="34" spans="1:39" ht="18">
      <c r="A34" s="54"/>
      <c r="B34" s="1148" t="str">
        <f>IF(I34=0," ",VLOOKUP($I34,$S$11:$T$27,2,FALSE))</f>
        <v>LDZ3</v>
      </c>
      <c r="C34" s="1149"/>
      <c r="D34" s="1149"/>
      <c r="E34" s="1149"/>
      <c r="F34" s="1149"/>
      <c r="G34" s="1150"/>
      <c r="H34" s="85"/>
      <c r="I34" s="1147" t="str">
        <f>VLOOKUP($I$11,$K$11:$P$19,$J34,FALSE)</f>
        <v>LDZ3</v>
      </c>
      <c r="J34" s="86">
        <v>6</v>
      </c>
      <c r="M34" s="85"/>
      <c r="Q34" s="85"/>
      <c r="R34" s="85"/>
      <c r="U34" s="85"/>
      <c r="AC34" s="84"/>
      <c r="AD34" s="84"/>
      <c r="AE34" s="79"/>
      <c r="AF34" s="81"/>
      <c r="AG34" s="82"/>
      <c r="AH34" s="82"/>
      <c r="AI34" s="82"/>
      <c r="AJ34" s="82"/>
      <c r="AK34" s="82"/>
      <c r="AL34" s="82"/>
      <c r="AM34" s="82"/>
    </row>
    <row r="35" spans="1:39" ht="18">
      <c r="A35" s="54"/>
      <c r="B35" s="39"/>
      <c r="C35" s="39"/>
      <c r="AC35" s="84"/>
      <c r="AD35" s="84"/>
      <c r="AE35" s="79"/>
      <c r="AF35" s="81"/>
      <c r="AG35" s="80"/>
      <c r="AH35" s="80"/>
      <c r="AI35" s="80"/>
      <c r="AJ35" s="80"/>
      <c r="AK35" s="80"/>
      <c r="AL35" s="80"/>
      <c r="AM35" s="80"/>
    </row>
    <row r="36" spans="1:39" ht="18">
      <c r="A36" s="54"/>
      <c r="B36" s="39"/>
      <c r="AC36" s="84"/>
      <c r="AD36" s="84"/>
      <c r="AE36" s="79"/>
      <c r="AF36" s="81"/>
      <c r="AG36" s="80"/>
      <c r="AH36" s="80"/>
      <c r="AI36" s="80"/>
      <c r="AJ36" s="80"/>
      <c r="AK36" s="80"/>
      <c r="AL36" s="80"/>
      <c r="AM36" s="80"/>
    </row>
    <row r="37" spans="1:39" ht="18">
      <c r="A37" s="54"/>
      <c r="B37" s="39"/>
      <c r="AC37" s="84"/>
      <c r="AD37" s="84"/>
      <c r="AE37" s="79"/>
      <c r="AF37" s="81"/>
      <c r="AG37" s="80"/>
      <c r="AH37" s="80"/>
      <c r="AI37" s="80"/>
      <c r="AJ37" s="80"/>
      <c r="AK37" s="80"/>
      <c r="AL37" s="80"/>
      <c r="AM37" s="80"/>
    </row>
    <row r="38" spans="1:39" ht="18">
      <c r="A38" s="54"/>
      <c r="B38" s="87"/>
      <c r="AC38" s="83"/>
      <c r="AD38" s="83"/>
      <c r="AE38" s="79"/>
      <c r="AF38" s="81"/>
      <c r="AG38" s="80"/>
      <c r="AH38" s="80"/>
      <c r="AI38" s="80"/>
      <c r="AJ38" s="80"/>
      <c r="AK38" s="80"/>
      <c r="AL38" s="80"/>
      <c r="AM38" s="80"/>
    </row>
    <row r="39" spans="1:39" ht="18">
      <c r="A39" s="54"/>
      <c r="B39" s="39"/>
      <c r="AC39" s="83"/>
      <c r="AD39" s="83"/>
      <c r="AE39" s="79"/>
      <c r="AF39" s="81"/>
      <c r="AG39" s="80"/>
      <c r="AH39" s="80"/>
      <c r="AI39" s="80"/>
      <c r="AJ39" s="80"/>
      <c r="AK39" s="80"/>
      <c r="AL39" s="80"/>
      <c r="AM39" s="80"/>
    </row>
    <row r="40" spans="1:39">
      <c r="A40" s="88"/>
      <c r="AC40" s="83"/>
      <c r="AD40" s="83"/>
      <c r="AE40" s="79"/>
      <c r="AF40" s="81"/>
      <c r="AG40" s="80"/>
      <c r="AH40" s="80"/>
      <c r="AI40" s="80"/>
      <c r="AJ40" s="80"/>
      <c r="AK40" s="80"/>
      <c r="AL40" s="80"/>
      <c r="AM40" s="80"/>
    </row>
    <row r="41" spans="1:39">
      <c r="A41" s="88"/>
      <c r="AC41" s="84"/>
      <c r="AD41" s="84"/>
      <c r="AE41" s="79"/>
      <c r="AF41" s="81"/>
      <c r="AG41" s="80"/>
      <c r="AH41" s="80"/>
      <c r="AI41" s="80"/>
      <c r="AJ41" s="80"/>
      <c r="AK41" s="80"/>
      <c r="AL41" s="80"/>
      <c r="AM41" s="80"/>
    </row>
    <row r="42" spans="1:39">
      <c r="A42" s="88"/>
      <c r="AC42" s="84"/>
      <c r="AD42" s="84"/>
      <c r="AE42" s="79"/>
      <c r="AF42" s="81"/>
      <c r="AG42" s="80"/>
      <c r="AH42" s="80"/>
      <c r="AI42" s="80"/>
      <c r="AJ42" s="80"/>
      <c r="AK42" s="80"/>
      <c r="AL42" s="80"/>
      <c r="AM42" s="80"/>
    </row>
    <row r="43" spans="1:39">
      <c r="A43" s="88"/>
      <c r="AC43" s="84"/>
      <c r="AD43" s="84"/>
      <c r="AE43" s="79"/>
      <c r="AF43" s="81"/>
      <c r="AG43" s="80"/>
      <c r="AH43" s="80"/>
      <c r="AI43" s="80"/>
      <c r="AJ43" s="80"/>
      <c r="AK43" s="80"/>
      <c r="AL43" s="80"/>
      <c r="AM43" s="80"/>
    </row>
    <row r="44" spans="1:39">
      <c r="AC44" s="79"/>
      <c r="AD44" s="79"/>
      <c r="AE44" s="79"/>
      <c r="AF44" s="81"/>
      <c r="AG44" s="80"/>
      <c r="AH44" s="80"/>
      <c r="AI44" s="80"/>
      <c r="AJ44" s="80"/>
      <c r="AK44" s="80"/>
      <c r="AL44" s="80"/>
      <c r="AM44" s="80"/>
    </row>
    <row r="45" spans="1:39">
      <c r="AC45" s="79"/>
      <c r="AD45" s="79"/>
      <c r="AE45" s="79"/>
      <c r="AF45" s="81"/>
      <c r="AG45" s="80"/>
      <c r="AH45" s="80"/>
      <c r="AI45" s="80"/>
      <c r="AJ45" s="80"/>
      <c r="AK45" s="80"/>
      <c r="AL45" s="80"/>
      <c r="AM45" s="80"/>
    </row>
    <row r="46" spans="1:39">
      <c r="AC46" s="79"/>
      <c r="AD46" s="79"/>
      <c r="AE46" s="79"/>
      <c r="AF46" s="81"/>
      <c r="AG46" s="80"/>
      <c r="AH46" s="80"/>
      <c r="AI46" s="80"/>
      <c r="AJ46" s="80"/>
      <c r="AK46" s="80"/>
      <c r="AL46" s="80"/>
      <c r="AM46" s="80"/>
    </row>
    <row r="47" spans="1:39">
      <c r="AC47" s="78"/>
      <c r="AD47" s="78"/>
      <c r="AE47" s="78"/>
      <c r="AF47" s="78"/>
      <c r="AG47" s="78"/>
      <c r="AH47" s="78"/>
      <c r="AI47" s="78"/>
      <c r="AJ47" s="78"/>
      <c r="AK47" s="78"/>
      <c r="AL47" s="78"/>
      <c r="AM47" s="78"/>
    </row>
    <row r="48" spans="1:39">
      <c r="AC48" s="78"/>
      <c r="AD48" s="78"/>
      <c r="AE48" s="78"/>
      <c r="AF48" s="78"/>
      <c r="AG48" s="78"/>
      <c r="AH48" s="78"/>
      <c r="AI48" s="78"/>
      <c r="AJ48" s="78"/>
      <c r="AK48" s="78"/>
      <c r="AL48" s="78"/>
      <c r="AM48" s="78"/>
    </row>
  </sheetData>
  <pageMargins left="0.7" right="0.7" top="0.75" bottom="0.75" header="0.3" footer="0.3"/>
  <pageSetup paperSize="8" scale="2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00B050"/>
  </sheetPr>
  <dimension ref="A1:BK210"/>
  <sheetViews>
    <sheetView showGridLines="0" topLeftCell="A19" zoomScale="60" zoomScaleNormal="60" workbookViewId="0">
      <pane xSplit="7" topLeftCell="H1" activePane="topRight" state="frozen"/>
      <selection activeCell="G14" sqref="G14"/>
      <selection pane="topRight" activeCell="O42" sqref="O42"/>
    </sheetView>
  </sheetViews>
  <sheetFormatPr defaultColWidth="11.875" defaultRowHeight="14.25"/>
  <cols>
    <col min="1" max="1" width="11.875" style="458" customWidth="1"/>
    <col min="2" max="6" width="4.375" style="458" customWidth="1"/>
    <col min="7" max="7" width="38.375" style="458" customWidth="1"/>
    <col min="8" max="8" width="15.625" style="458" customWidth="1"/>
    <col min="9" max="9" width="15.625" style="461" customWidth="1"/>
    <col min="10" max="22" width="15.625" style="458" customWidth="1"/>
    <col min="23" max="23" width="5.625" style="458" customWidth="1"/>
    <col min="24" max="28" width="15.625" style="458" customWidth="1"/>
    <col min="29" max="29" width="15.625" style="461" customWidth="1"/>
    <col min="30" max="37" width="15.625" style="458" customWidth="1"/>
    <col min="38" max="38" width="5.625" style="458" customWidth="1"/>
    <col min="39" max="52" width="15.625" style="458" customWidth="1"/>
    <col min="53" max="53" width="5.625" style="458" customWidth="1"/>
    <col min="54" max="60" width="21" style="458" customWidth="1"/>
    <col min="61" max="62" width="27.625" style="458" customWidth="1"/>
    <col min="63" max="16384" width="11.875" style="458"/>
  </cols>
  <sheetData>
    <row r="1" spans="1:61" s="2" customFormat="1" ht="25.15" customHeight="1">
      <c r="A1" s="1" t="s">
        <v>0</v>
      </c>
      <c r="E1" s="3"/>
      <c r="H1" s="4" t="s">
        <v>1</v>
      </c>
      <c r="J1" s="3"/>
    </row>
    <row r="2" spans="1:61" s="2" customFormat="1" ht="25.15" customHeight="1">
      <c r="A2" s="5" t="str">
        <f>Fixed_Data!I12</f>
        <v>MASTER</v>
      </c>
      <c r="B2" s="6"/>
      <c r="D2" s="7"/>
      <c r="E2" s="3"/>
    </row>
    <row r="3" spans="1:61" s="9" customFormat="1" ht="25.15" customHeight="1" thickBot="1">
      <c r="A3" s="8" t="str">
        <f>Fixed_Data!A3</f>
        <v>RIIO-GD2</v>
      </c>
      <c r="D3" s="10"/>
      <c r="E3" s="11"/>
    </row>
    <row r="4" spans="1:61" s="415" customFormat="1" ht="25.15" customHeight="1">
      <c r="B4" s="416" t="s">
        <v>2430</v>
      </c>
      <c r="C4" s="416"/>
      <c r="D4" s="416"/>
      <c r="E4" s="416"/>
      <c r="F4" s="416"/>
      <c r="G4" s="417"/>
      <c r="H4" s="418"/>
      <c r="I4" s="419"/>
      <c r="R4" s="418"/>
      <c r="S4" s="418"/>
      <c r="T4" s="418"/>
      <c r="U4" s="418"/>
      <c r="V4" s="418"/>
      <c r="W4" s="418"/>
      <c r="X4" s="418"/>
      <c r="Y4" s="418"/>
      <c r="Z4" s="418"/>
      <c r="AA4" s="418"/>
      <c r="AB4" s="418"/>
      <c r="AC4" s="418"/>
      <c r="AD4" s="418"/>
      <c r="AE4" s="418"/>
      <c r="AG4" s="418"/>
      <c r="AH4" s="418"/>
      <c r="AI4" s="418"/>
      <c r="AJ4" s="418"/>
      <c r="AK4" s="418"/>
      <c r="AL4" s="418"/>
      <c r="AM4" s="418"/>
      <c r="AN4" s="418"/>
      <c r="AO4" s="418"/>
      <c r="AP4" s="418"/>
      <c r="AQ4" s="418"/>
      <c r="AR4" s="418"/>
      <c r="AS4" s="418"/>
      <c r="AV4" s="418"/>
      <c r="AW4" s="418"/>
      <c r="AX4" s="418"/>
      <c r="AY4" s="418"/>
      <c r="AZ4" s="418"/>
      <c r="BA4" s="418"/>
    </row>
    <row r="5" spans="1:61" s="420" customFormat="1" ht="25.15" customHeight="1">
      <c r="A5" s="415"/>
      <c r="B5" s="95" t="s">
        <v>1663</v>
      </c>
      <c r="C5" s="95"/>
      <c r="D5" s="95"/>
      <c r="E5" s="95"/>
      <c r="F5" s="95" t="s">
        <v>463</v>
      </c>
      <c r="G5" s="95"/>
      <c r="H5" s="95"/>
      <c r="J5" s="95"/>
      <c r="K5" s="421"/>
      <c r="L5" s="422"/>
      <c r="M5" s="422"/>
      <c r="N5" s="422"/>
      <c r="O5" s="422"/>
      <c r="P5" s="422"/>
      <c r="Q5" s="422"/>
      <c r="R5" s="422"/>
      <c r="S5" s="422"/>
      <c r="T5" s="423"/>
      <c r="U5" s="423"/>
      <c r="V5" s="423"/>
      <c r="W5" s="423"/>
      <c r="X5" s="423"/>
      <c r="Y5" s="423"/>
      <c r="Z5" s="423"/>
      <c r="AA5" s="423"/>
      <c r="AB5" s="423"/>
      <c r="AC5" s="423"/>
      <c r="AD5" s="423"/>
      <c r="AE5" s="423"/>
      <c r="AF5" s="423"/>
      <c r="AG5" s="423"/>
      <c r="AH5" s="422"/>
      <c r="AI5" s="423"/>
      <c r="AJ5" s="423"/>
      <c r="AK5" s="423"/>
      <c r="AL5" s="423"/>
      <c r="AM5" s="423"/>
      <c r="AN5" s="423"/>
      <c r="AO5" s="423"/>
      <c r="AP5" s="423"/>
      <c r="AQ5" s="423"/>
      <c r="AR5" s="423"/>
      <c r="AS5" s="423"/>
      <c r="AT5" s="423"/>
      <c r="AU5" s="423"/>
      <c r="AV5" s="422"/>
      <c r="AW5" s="422"/>
      <c r="AX5" s="423"/>
      <c r="AY5" s="423"/>
      <c r="AZ5" s="423"/>
      <c r="BA5" s="423"/>
      <c r="BB5" s="423"/>
      <c r="BC5" s="423"/>
      <c r="BD5" s="423"/>
      <c r="BE5" s="423"/>
      <c r="BF5" s="423"/>
      <c r="BG5" s="423"/>
      <c r="BH5" s="423"/>
      <c r="BI5" s="423"/>
    </row>
    <row r="6" spans="1:61" s="374" customFormat="1" ht="15" customHeight="1">
      <c r="G6" s="372"/>
      <c r="H6" s="372"/>
      <c r="I6" s="373"/>
      <c r="J6" s="372"/>
      <c r="K6" s="372"/>
      <c r="L6" s="372"/>
      <c r="M6" s="372"/>
      <c r="N6" s="372"/>
      <c r="O6" s="372"/>
      <c r="P6" s="372"/>
      <c r="Q6" s="372"/>
      <c r="R6" s="372"/>
      <c r="S6" s="372"/>
      <c r="T6" s="372"/>
      <c r="U6" s="372"/>
      <c r="V6" s="372"/>
      <c r="W6" s="372"/>
      <c r="X6" s="372"/>
      <c r="Y6" s="372"/>
      <c r="Z6" s="372"/>
      <c r="AA6" s="372"/>
      <c r="AB6" s="372"/>
      <c r="AC6" s="373"/>
    </row>
    <row r="7" spans="1:61" s="374" customFormat="1" ht="15" customHeight="1" thickBot="1">
      <c r="G7" s="372"/>
      <c r="H7" s="372"/>
      <c r="I7" s="373"/>
      <c r="J7" s="372"/>
      <c r="K7" s="372"/>
      <c r="L7" s="372"/>
      <c r="M7" s="372"/>
      <c r="N7" s="372"/>
      <c r="O7" s="372"/>
      <c r="P7" s="372"/>
      <c r="Q7" s="372"/>
      <c r="R7" s="372"/>
      <c r="S7" s="372"/>
      <c r="T7" s="372"/>
      <c r="U7" s="372"/>
      <c r="V7" s="372"/>
      <c r="W7" s="372"/>
      <c r="X7" s="372"/>
      <c r="Y7" s="372"/>
      <c r="Z7" s="372"/>
      <c r="AA7" s="372"/>
      <c r="AB7" s="372"/>
      <c r="AC7" s="373"/>
    </row>
    <row r="8" spans="1:61" s="415" customFormat="1" ht="30" customHeight="1" thickBot="1">
      <c r="A8" s="417"/>
      <c r="B8" s="286" t="s">
        <v>1744</v>
      </c>
      <c r="C8" s="740"/>
      <c r="D8" s="740"/>
      <c r="E8" s="740"/>
      <c r="F8" s="740"/>
      <c r="G8" s="287"/>
      <c r="H8" s="287"/>
      <c r="I8" s="105" t="s">
        <v>1864</v>
      </c>
      <c r="J8" s="106"/>
      <c r="K8" s="106"/>
      <c r="L8" s="106"/>
      <c r="M8" s="106"/>
      <c r="N8" s="106"/>
      <c r="O8" s="106"/>
      <c r="P8" s="106"/>
      <c r="Q8" s="106"/>
      <c r="R8" s="105"/>
      <c r="S8" s="105"/>
      <c r="T8" s="105"/>
      <c r="U8" s="105"/>
      <c r="V8" s="187"/>
      <c r="W8" s="419"/>
      <c r="X8" s="419"/>
      <c r="Y8" s="419"/>
      <c r="Z8" s="419"/>
      <c r="AA8" s="419"/>
      <c r="AB8" s="419"/>
      <c r="AC8" s="419"/>
      <c r="AF8" s="418"/>
      <c r="AG8" s="418"/>
      <c r="AH8" s="418"/>
      <c r="AI8" s="418"/>
      <c r="AJ8" s="418"/>
      <c r="AK8" s="418"/>
      <c r="AL8" s="418"/>
      <c r="AM8" s="418"/>
      <c r="AN8" s="418"/>
      <c r="AO8" s="418"/>
      <c r="AP8" s="418"/>
      <c r="AQ8" s="418"/>
      <c r="AT8" s="418"/>
      <c r="AU8" s="418"/>
      <c r="AV8" s="418"/>
      <c r="AW8" s="418"/>
      <c r="AX8" s="418"/>
      <c r="AY8" s="418"/>
      <c r="AZ8" s="418"/>
      <c r="BA8" s="418"/>
      <c r="BB8" s="418"/>
      <c r="BC8" s="418"/>
      <c r="BD8" s="418"/>
    </row>
    <row r="9" spans="1:61" s="415" customFormat="1" ht="30" customHeight="1">
      <c r="A9" s="417"/>
      <c r="B9" s="288"/>
      <c r="C9" s="292"/>
      <c r="D9" s="292"/>
      <c r="E9" s="292"/>
      <c r="F9" s="292"/>
      <c r="G9" s="289"/>
      <c r="H9" s="289"/>
      <c r="I9" s="225"/>
      <c r="J9" s="424" t="s">
        <v>1666</v>
      </c>
      <c r="K9" s="425"/>
      <c r="L9" s="425"/>
      <c r="M9" s="425"/>
      <c r="N9" s="425"/>
      <c r="O9" s="425"/>
      <c r="P9" s="425"/>
      <c r="Q9" s="426"/>
      <c r="R9" s="427" t="s">
        <v>2</v>
      </c>
      <c r="S9" s="428"/>
      <c r="T9" s="428"/>
      <c r="U9" s="428"/>
      <c r="V9" s="429"/>
      <c r="W9" s="419"/>
      <c r="X9" s="419"/>
      <c r="Y9" s="419"/>
      <c r="Z9" s="419"/>
      <c r="AA9" s="419"/>
      <c r="AB9" s="419"/>
      <c r="AC9" s="419"/>
      <c r="AF9" s="418"/>
      <c r="AG9" s="418"/>
      <c r="AH9" s="418"/>
      <c r="AI9" s="418"/>
      <c r="AJ9" s="418"/>
      <c r="AK9" s="418"/>
      <c r="AL9" s="418"/>
      <c r="AM9" s="418"/>
      <c r="AN9" s="418"/>
      <c r="AO9" s="418"/>
      <c r="AP9" s="418"/>
      <c r="AQ9" s="418"/>
      <c r="AT9" s="418"/>
      <c r="AU9" s="418"/>
      <c r="AV9" s="418"/>
      <c r="AW9" s="418"/>
      <c r="AX9" s="418"/>
      <c r="AY9" s="418"/>
      <c r="AZ9" s="418"/>
      <c r="BA9" s="418"/>
      <c r="BB9" s="418"/>
      <c r="BC9" s="418"/>
      <c r="BD9" s="418"/>
    </row>
    <row r="10" spans="1:61" s="415" customFormat="1" ht="15" customHeight="1">
      <c r="A10" s="417"/>
      <c r="B10" s="290"/>
      <c r="C10" s="741"/>
      <c r="D10" s="741"/>
      <c r="E10" s="741"/>
      <c r="F10" s="741"/>
      <c r="G10" s="289"/>
      <c r="H10" s="289"/>
      <c r="I10" s="291" t="s">
        <v>1667</v>
      </c>
      <c r="J10" s="430" t="s">
        <v>453</v>
      </c>
      <c r="K10" s="431" t="s">
        <v>455</v>
      </c>
      <c r="L10" s="431" t="s">
        <v>457</v>
      </c>
      <c r="M10" s="431" t="s">
        <v>459</v>
      </c>
      <c r="N10" s="431" t="s">
        <v>461</v>
      </c>
      <c r="O10" s="431" t="s">
        <v>463</v>
      </c>
      <c r="P10" s="431" t="s">
        <v>465</v>
      </c>
      <c r="Q10" s="432" t="s">
        <v>467</v>
      </c>
      <c r="R10" s="430" t="s">
        <v>469</v>
      </c>
      <c r="S10" s="431" t="s">
        <v>471</v>
      </c>
      <c r="T10" s="431" t="s">
        <v>473</v>
      </c>
      <c r="U10" s="431" t="s">
        <v>475</v>
      </c>
      <c r="V10" s="432" t="s">
        <v>477</v>
      </c>
      <c r="W10" s="419"/>
      <c r="X10" s="419"/>
      <c r="Y10" s="419"/>
      <c r="Z10" s="419"/>
      <c r="AA10" s="419"/>
      <c r="AB10" s="419"/>
      <c r="AC10" s="419"/>
      <c r="AF10" s="418"/>
      <c r="AG10" s="418"/>
      <c r="AH10" s="418"/>
      <c r="AI10" s="418"/>
      <c r="AJ10" s="418"/>
      <c r="AK10" s="418"/>
      <c r="AL10" s="418"/>
      <c r="AM10" s="418"/>
      <c r="AN10" s="418"/>
      <c r="AO10" s="418"/>
      <c r="AP10" s="418"/>
      <c r="AQ10" s="418"/>
      <c r="AT10" s="418"/>
      <c r="AU10" s="418"/>
      <c r="AV10" s="418"/>
      <c r="AW10" s="418"/>
      <c r="AX10" s="418"/>
      <c r="AY10" s="418"/>
      <c r="AZ10" s="418"/>
      <c r="BA10" s="418"/>
      <c r="BB10" s="418"/>
      <c r="BC10" s="418"/>
      <c r="BD10" s="418"/>
    </row>
    <row r="11" spans="1:61" s="415" customFormat="1" ht="15" customHeight="1">
      <c r="A11" s="417"/>
      <c r="B11" s="384"/>
      <c r="C11" s="803"/>
      <c r="D11" s="803"/>
      <c r="E11" s="803"/>
      <c r="F11" s="803"/>
      <c r="G11" s="289"/>
      <c r="H11" s="289"/>
      <c r="I11" s="385"/>
      <c r="J11" s="386"/>
      <c r="K11" s="385"/>
      <c r="L11" s="385"/>
      <c r="M11" s="385"/>
      <c r="N11" s="385"/>
      <c r="O11" s="385"/>
      <c r="P11" s="385"/>
      <c r="Q11" s="387"/>
      <c r="R11" s="386"/>
      <c r="S11" s="385"/>
      <c r="T11" s="385"/>
      <c r="U11" s="385"/>
      <c r="V11" s="387"/>
      <c r="W11" s="419"/>
      <c r="X11" s="419"/>
      <c r="Y11" s="419"/>
      <c r="Z11" s="419"/>
      <c r="AA11" s="419"/>
      <c r="AB11" s="419"/>
      <c r="AC11" s="419"/>
      <c r="AF11" s="418"/>
      <c r="AG11" s="418"/>
      <c r="AH11" s="418"/>
      <c r="AI11" s="418"/>
      <c r="AJ11" s="418"/>
      <c r="AK11" s="418"/>
      <c r="AL11" s="418"/>
      <c r="AM11" s="418"/>
      <c r="AN11" s="418"/>
      <c r="AO11" s="418"/>
      <c r="AP11" s="418"/>
      <c r="AQ11" s="418"/>
      <c r="AT11" s="418"/>
      <c r="AU11" s="418"/>
      <c r="AV11" s="418"/>
      <c r="AW11" s="418"/>
      <c r="AX11" s="418"/>
      <c r="AY11" s="418"/>
      <c r="AZ11" s="418"/>
      <c r="BA11" s="418"/>
      <c r="BB11" s="418"/>
      <c r="BC11" s="418"/>
      <c r="BD11" s="418"/>
    </row>
    <row r="12" spans="1:61" s="415" customFormat="1" ht="15" customHeight="1">
      <c r="A12" s="417"/>
      <c r="B12" s="440"/>
      <c r="C12" s="803" t="s">
        <v>1806</v>
      </c>
      <c r="D12" s="742"/>
      <c r="E12" s="742"/>
      <c r="F12" s="742"/>
      <c r="G12" s="289"/>
      <c r="H12" s="289"/>
      <c r="I12" s="225" t="s">
        <v>498</v>
      </c>
      <c r="J12" s="124">
        <f>SUM(J13:J17)</f>
        <v>10.041400540694271</v>
      </c>
      <c r="K12" s="125">
        <f t="shared" ref="K12:V12" si="0">SUM(K13:K17)</f>
        <v>16.749021787012982</v>
      </c>
      <c r="L12" s="125">
        <f t="shared" si="0"/>
        <v>22.695609881689247</v>
      </c>
      <c r="M12" s="125">
        <f t="shared" si="0"/>
        <v>16.996970348827912</v>
      </c>
      <c r="N12" s="125">
        <f t="shared" si="0"/>
        <v>15.037381937223937</v>
      </c>
      <c r="O12" s="125">
        <f t="shared" si="0"/>
        <v>15.846440229517782</v>
      </c>
      <c r="P12" s="125">
        <f t="shared" si="0"/>
        <v>15.098858877038815</v>
      </c>
      <c r="Q12" s="126">
        <f t="shared" si="0"/>
        <v>18.455551894200134</v>
      </c>
      <c r="R12" s="124">
        <f t="shared" si="0"/>
        <v>11.107013949215503</v>
      </c>
      <c r="S12" s="125">
        <f t="shared" si="0"/>
        <v>18.411920399159413</v>
      </c>
      <c r="T12" s="125">
        <f t="shared" si="0"/>
        <v>21.650235253150605</v>
      </c>
      <c r="U12" s="125">
        <f t="shared" si="0"/>
        <v>16.636947438721396</v>
      </c>
      <c r="V12" s="126">
        <f t="shared" si="0"/>
        <v>15.351202070336946</v>
      </c>
      <c r="W12" s="419"/>
      <c r="X12" s="419"/>
      <c r="Y12" s="419"/>
      <c r="Z12" s="419"/>
      <c r="AA12" s="419"/>
      <c r="AB12" s="419"/>
      <c r="AC12" s="419"/>
      <c r="AF12" s="418"/>
      <c r="AG12" s="418"/>
      <c r="AH12" s="418"/>
      <c r="AI12" s="418"/>
      <c r="AJ12" s="418"/>
      <c r="AK12" s="418"/>
      <c r="AL12" s="418"/>
      <c r="AM12" s="418"/>
      <c r="AN12" s="418"/>
      <c r="AO12" s="418"/>
      <c r="AP12" s="418"/>
      <c r="AQ12" s="418"/>
      <c r="AT12" s="418"/>
      <c r="AU12" s="418"/>
      <c r="AV12" s="418"/>
      <c r="AW12" s="418"/>
      <c r="AX12" s="418"/>
      <c r="AY12" s="418"/>
      <c r="AZ12" s="418"/>
      <c r="BA12" s="418"/>
      <c r="BB12" s="418"/>
      <c r="BC12" s="418"/>
      <c r="BD12" s="418"/>
    </row>
    <row r="13" spans="1:61" s="415" customFormat="1" ht="15" customHeight="1">
      <c r="A13" s="417"/>
      <c r="B13" s="440"/>
      <c r="C13" s="388"/>
      <c r="D13" s="812" t="s">
        <v>1819</v>
      </c>
      <c r="E13" s="822"/>
      <c r="F13" s="822"/>
      <c r="G13" s="388"/>
      <c r="H13" s="209"/>
      <c r="I13" s="389" t="s">
        <v>498</v>
      </c>
      <c r="J13" s="128">
        <f>J93</f>
        <v>1.3656390664557374</v>
      </c>
      <c r="K13" s="129">
        <f t="shared" ref="K13:V13" si="1">K93</f>
        <v>3.7838174961038948</v>
      </c>
      <c r="L13" s="129">
        <f t="shared" si="1"/>
        <v>6.6838520171381512</v>
      </c>
      <c r="M13" s="129">
        <f t="shared" si="1"/>
        <v>5.2995398888288481</v>
      </c>
      <c r="N13" s="129">
        <f t="shared" si="1"/>
        <v>7.0865896920031979</v>
      </c>
      <c r="O13" s="129">
        <f t="shared" si="1"/>
        <v>3.3034204243434786</v>
      </c>
      <c r="P13" s="129">
        <f t="shared" si="1"/>
        <v>4.8348236806488378</v>
      </c>
      <c r="Q13" s="130">
        <f t="shared" si="1"/>
        <v>8.7044356771302152</v>
      </c>
      <c r="R13" s="128">
        <f t="shared" si="1"/>
        <v>3.1893774830364552</v>
      </c>
      <c r="S13" s="129">
        <f t="shared" si="1"/>
        <v>8.2208103819912441</v>
      </c>
      <c r="T13" s="129">
        <f t="shared" si="1"/>
        <v>9.8013298223630532</v>
      </c>
      <c r="U13" s="129">
        <f t="shared" si="1"/>
        <v>6.5238574180136304</v>
      </c>
      <c r="V13" s="130">
        <f t="shared" si="1"/>
        <v>5.8989590932201299</v>
      </c>
      <c r="W13" s="419"/>
      <c r="X13" s="419"/>
      <c r="Y13" s="419"/>
      <c r="Z13" s="419"/>
      <c r="AA13" s="419"/>
      <c r="AB13" s="419"/>
      <c r="AC13" s="419"/>
      <c r="AF13" s="418"/>
      <c r="AG13" s="418"/>
      <c r="AH13" s="418"/>
      <c r="AI13" s="418"/>
      <c r="AJ13" s="418"/>
      <c r="AK13" s="418"/>
      <c r="AL13" s="418"/>
      <c r="AM13" s="418"/>
      <c r="AN13" s="418"/>
      <c r="AO13" s="418"/>
      <c r="AP13" s="418"/>
      <c r="AQ13" s="418"/>
      <c r="AT13" s="418"/>
      <c r="AU13" s="418"/>
      <c r="AV13" s="418"/>
      <c r="AW13" s="418"/>
      <c r="AX13" s="418"/>
      <c r="AY13" s="418"/>
      <c r="AZ13" s="418"/>
      <c r="BA13" s="418"/>
      <c r="BB13" s="418"/>
      <c r="BC13" s="418"/>
      <c r="BD13" s="418"/>
    </row>
    <row r="14" spans="1:61" s="415" customFormat="1" ht="15" customHeight="1">
      <c r="A14" s="417"/>
      <c r="B14" s="440"/>
      <c r="C14" s="388"/>
      <c r="D14" s="812" t="s">
        <v>2271</v>
      </c>
      <c r="E14" s="822"/>
      <c r="F14" s="822"/>
      <c r="G14" s="388"/>
      <c r="H14" s="209"/>
      <c r="I14" s="389" t="s">
        <v>498</v>
      </c>
      <c r="J14" s="128">
        <f>J116</f>
        <v>2.4007486405725368E-2</v>
      </c>
      <c r="K14" s="129">
        <f t="shared" ref="K14:V14" si="2">K116</f>
        <v>0</v>
      </c>
      <c r="L14" s="129">
        <f t="shared" si="2"/>
        <v>0</v>
      </c>
      <c r="M14" s="129">
        <f t="shared" si="2"/>
        <v>0</v>
      </c>
      <c r="N14" s="129">
        <f t="shared" si="2"/>
        <v>2.4654384554133397E-2</v>
      </c>
      <c r="O14" s="129">
        <f t="shared" si="2"/>
        <v>0</v>
      </c>
      <c r="P14" s="129">
        <f t="shared" si="2"/>
        <v>0</v>
      </c>
      <c r="Q14" s="130">
        <f t="shared" si="2"/>
        <v>0</v>
      </c>
      <c r="R14" s="128">
        <f t="shared" si="2"/>
        <v>0</v>
      </c>
      <c r="S14" s="129">
        <f t="shared" si="2"/>
        <v>0</v>
      </c>
      <c r="T14" s="129">
        <f t="shared" si="2"/>
        <v>0</v>
      </c>
      <c r="U14" s="129">
        <f t="shared" si="2"/>
        <v>0</v>
      </c>
      <c r="V14" s="130">
        <f t="shared" si="2"/>
        <v>0</v>
      </c>
      <c r="W14" s="419"/>
      <c r="X14" s="419"/>
      <c r="Y14" s="419"/>
      <c r="Z14" s="419"/>
      <c r="AA14" s="419"/>
      <c r="AB14" s="419"/>
      <c r="AC14" s="419"/>
      <c r="AF14" s="418"/>
      <c r="AG14" s="418"/>
      <c r="AH14" s="418"/>
      <c r="AI14" s="418"/>
      <c r="AJ14" s="418"/>
      <c r="AK14" s="418"/>
      <c r="AL14" s="418"/>
      <c r="AM14" s="418"/>
      <c r="AN14" s="418"/>
      <c r="AO14" s="418"/>
      <c r="AP14" s="418"/>
      <c r="AQ14" s="418"/>
      <c r="AT14" s="418"/>
      <c r="AU14" s="418"/>
      <c r="AV14" s="418"/>
      <c r="AW14" s="418"/>
      <c r="AX14" s="418"/>
      <c r="AY14" s="418"/>
      <c r="AZ14" s="418"/>
      <c r="BA14" s="418"/>
      <c r="BB14" s="418"/>
      <c r="BC14" s="418"/>
      <c r="BD14" s="418"/>
    </row>
    <row r="15" spans="1:61" s="415" customFormat="1" ht="15" customHeight="1">
      <c r="A15" s="417"/>
      <c r="B15" s="440"/>
      <c r="C15" s="388"/>
      <c r="D15" s="812" t="s">
        <v>1825</v>
      </c>
      <c r="E15" s="822"/>
      <c r="F15" s="822"/>
      <c r="G15" s="388"/>
      <c r="H15" s="209"/>
      <c r="I15" s="389" t="s">
        <v>498</v>
      </c>
      <c r="J15" s="128">
        <f>J154</f>
        <v>4.0400893632073318</v>
      </c>
      <c r="K15" s="129">
        <f t="shared" ref="K15:V15" si="3">K154</f>
        <v>4.8953414805194795</v>
      </c>
      <c r="L15" s="129">
        <f t="shared" si="3"/>
        <v>5.5438759453909308</v>
      </c>
      <c r="M15" s="129">
        <f t="shared" si="3"/>
        <v>8.6314457573299439</v>
      </c>
      <c r="N15" s="129">
        <f t="shared" si="3"/>
        <v>4.8479229848261802</v>
      </c>
      <c r="O15" s="129">
        <f t="shared" si="3"/>
        <v>7.3980908708752944</v>
      </c>
      <c r="P15" s="129">
        <f t="shared" si="3"/>
        <v>4.3275051485215572</v>
      </c>
      <c r="Q15" s="130">
        <f t="shared" si="3"/>
        <v>3.7560068410035097</v>
      </c>
      <c r="R15" s="128">
        <f t="shared" si="3"/>
        <v>3.7112130888439712</v>
      </c>
      <c r="S15" s="129">
        <f t="shared" si="3"/>
        <v>5.5417205454354335</v>
      </c>
      <c r="T15" s="129">
        <f t="shared" si="3"/>
        <v>9.4420735844629089</v>
      </c>
      <c r="U15" s="129">
        <f t="shared" si="3"/>
        <v>5.3370678164842831</v>
      </c>
      <c r="V15" s="130">
        <f t="shared" si="3"/>
        <v>5.6014057712929928</v>
      </c>
      <c r="W15" s="419"/>
      <c r="X15" s="419"/>
      <c r="Y15" s="419"/>
      <c r="Z15" s="419"/>
      <c r="AA15" s="419"/>
      <c r="AB15" s="419"/>
      <c r="AC15" s="419"/>
      <c r="AF15" s="418"/>
      <c r="AG15" s="418"/>
      <c r="AH15" s="418"/>
      <c r="AI15" s="418"/>
      <c r="AJ15" s="418"/>
      <c r="AK15" s="418"/>
      <c r="AL15" s="418"/>
      <c r="AM15" s="418"/>
      <c r="AN15" s="418"/>
      <c r="AO15" s="418"/>
      <c r="AP15" s="418"/>
      <c r="AQ15" s="418"/>
      <c r="AT15" s="418"/>
      <c r="AU15" s="418"/>
      <c r="AV15" s="418"/>
      <c r="AW15" s="418"/>
      <c r="AX15" s="418"/>
      <c r="AY15" s="418"/>
      <c r="AZ15" s="418"/>
      <c r="BA15" s="418"/>
      <c r="BB15" s="418"/>
      <c r="BC15" s="418"/>
      <c r="BD15" s="418"/>
    </row>
    <row r="16" spans="1:61" s="415" customFormat="1" ht="15" customHeight="1">
      <c r="A16" s="417"/>
      <c r="B16" s="440"/>
      <c r="C16" s="388"/>
      <c r="D16" s="812" t="s">
        <v>1809</v>
      </c>
      <c r="E16" s="822"/>
      <c r="F16" s="822"/>
      <c r="G16" s="388"/>
      <c r="H16" s="209"/>
      <c r="I16" s="389" t="s">
        <v>498</v>
      </c>
      <c r="J16" s="128">
        <f>J177</f>
        <v>4.611664624625476</v>
      </c>
      <c r="K16" s="129">
        <f t="shared" ref="K16:V16" si="4">K177</f>
        <v>8.0698628103896084</v>
      </c>
      <c r="L16" s="129">
        <f t="shared" si="4"/>
        <v>10.467881919160165</v>
      </c>
      <c r="M16" s="129">
        <f t="shared" si="4"/>
        <v>3.0659847026691196</v>
      </c>
      <c r="N16" s="129">
        <f t="shared" si="4"/>
        <v>3.0782148758404273</v>
      </c>
      <c r="O16" s="129">
        <f t="shared" si="4"/>
        <v>5.1449289342990108</v>
      </c>
      <c r="P16" s="129">
        <f t="shared" si="4"/>
        <v>5.9365300478684198</v>
      </c>
      <c r="Q16" s="130">
        <f t="shared" si="4"/>
        <v>5.9951093760664111</v>
      </c>
      <c r="R16" s="128">
        <f t="shared" si="4"/>
        <v>4.2064233773350752</v>
      </c>
      <c r="S16" s="129">
        <f t="shared" si="4"/>
        <v>4.6493894717327349</v>
      </c>
      <c r="T16" s="129">
        <f t="shared" si="4"/>
        <v>2.406831846324641</v>
      </c>
      <c r="U16" s="129">
        <f t="shared" si="4"/>
        <v>4.7760222042234837</v>
      </c>
      <c r="V16" s="130">
        <f t="shared" si="4"/>
        <v>3.8508372058238227</v>
      </c>
      <c r="W16" s="419"/>
      <c r="X16" s="419"/>
      <c r="Y16" s="419"/>
      <c r="Z16" s="419"/>
      <c r="AA16" s="419"/>
      <c r="AB16" s="419"/>
      <c r="AC16" s="419"/>
      <c r="AF16" s="418"/>
      <c r="AG16" s="418"/>
      <c r="AH16" s="418"/>
      <c r="AI16" s="418"/>
      <c r="AJ16" s="418"/>
      <c r="AK16" s="418"/>
      <c r="AL16" s="418"/>
      <c r="AM16" s="418"/>
      <c r="AN16" s="418"/>
      <c r="AO16" s="418"/>
      <c r="AP16" s="418"/>
      <c r="AQ16" s="418"/>
      <c r="AT16" s="418"/>
      <c r="AU16" s="418"/>
      <c r="AV16" s="418"/>
      <c r="AW16" s="418"/>
      <c r="AX16" s="418"/>
      <c r="AY16" s="418"/>
      <c r="AZ16" s="418"/>
      <c r="BA16" s="418"/>
      <c r="BB16" s="418"/>
      <c r="BC16" s="418"/>
      <c r="BD16" s="418"/>
    </row>
    <row r="17" spans="1:62" s="415" customFormat="1" ht="15" customHeight="1" thickBot="1">
      <c r="A17" s="417"/>
      <c r="B17" s="1071"/>
      <c r="C17" s="1070"/>
      <c r="D17" s="1068" t="s">
        <v>2416</v>
      </c>
      <c r="E17" s="1072"/>
      <c r="F17" s="1072"/>
      <c r="G17" s="1070"/>
      <c r="H17" s="434"/>
      <c r="I17" s="449" t="s">
        <v>498</v>
      </c>
      <c r="J17" s="177">
        <f>J210</f>
        <v>0</v>
      </c>
      <c r="K17" s="178">
        <f t="shared" ref="K17:V17" si="5">K210</f>
        <v>0</v>
      </c>
      <c r="L17" s="178">
        <f t="shared" si="5"/>
        <v>0</v>
      </c>
      <c r="M17" s="178">
        <f t="shared" si="5"/>
        <v>0</v>
      </c>
      <c r="N17" s="178">
        <f t="shared" si="5"/>
        <v>0</v>
      </c>
      <c r="O17" s="178">
        <f t="shared" si="5"/>
        <v>0</v>
      </c>
      <c r="P17" s="178">
        <f t="shared" si="5"/>
        <v>0</v>
      </c>
      <c r="Q17" s="179">
        <f t="shared" si="5"/>
        <v>0</v>
      </c>
      <c r="R17" s="177">
        <f t="shared" si="5"/>
        <v>0</v>
      </c>
      <c r="S17" s="178">
        <f t="shared" si="5"/>
        <v>0</v>
      </c>
      <c r="T17" s="178">
        <f t="shared" si="5"/>
        <v>0</v>
      </c>
      <c r="U17" s="178">
        <f t="shared" si="5"/>
        <v>0</v>
      </c>
      <c r="V17" s="179">
        <f t="shared" si="5"/>
        <v>0</v>
      </c>
      <c r="W17" s="419"/>
      <c r="X17" s="419"/>
      <c r="Y17" s="419"/>
      <c r="Z17" s="419"/>
      <c r="AA17" s="419"/>
      <c r="AB17" s="419"/>
      <c r="AC17" s="419"/>
      <c r="AF17" s="418"/>
      <c r="AG17" s="418"/>
      <c r="AH17" s="418"/>
      <c r="AI17" s="418"/>
      <c r="AJ17" s="418"/>
      <c r="AK17" s="418"/>
      <c r="AL17" s="418"/>
      <c r="AM17" s="418"/>
      <c r="AN17" s="418"/>
      <c r="AO17" s="418"/>
      <c r="AP17" s="418"/>
      <c r="AQ17" s="418"/>
      <c r="AT17" s="418"/>
      <c r="AU17" s="418"/>
      <c r="AV17" s="418"/>
      <c r="AW17" s="418"/>
      <c r="AX17" s="418"/>
      <c r="AY17" s="418"/>
      <c r="AZ17" s="418"/>
      <c r="BA17" s="418"/>
      <c r="BB17" s="418"/>
      <c r="BC17" s="418"/>
      <c r="BD17" s="418"/>
    </row>
    <row r="18" spans="1:62" s="415" customFormat="1" ht="15" customHeight="1" thickBot="1">
      <c r="A18" s="417"/>
      <c r="H18" s="418"/>
      <c r="I18" s="419"/>
      <c r="J18" s="418"/>
      <c r="K18" s="418"/>
      <c r="L18" s="418"/>
      <c r="M18" s="418"/>
      <c r="N18" s="418"/>
      <c r="O18" s="418"/>
      <c r="P18" s="418"/>
      <c r="Q18" s="418"/>
      <c r="W18" s="418"/>
      <c r="X18" s="418"/>
      <c r="Y18" s="418"/>
      <c r="Z18" s="418"/>
      <c r="AA18" s="418"/>
      <c r="AB18" s="418"/>
      <c r="AC18" s="418"/>
      <c r="AD18" s="418"/>
      <c r="AE18" s="418"/>
      <c r="AF18" s="418"/>
      <c r="AG18" s="418"/>
      <c r="AH18" s="418"/>
      <c r="AI18" s="418"/>
      <c r="AJ18" s="418"/>
      <c r="AK18" s="418"/>
      <c r="AL18" s="418"/>
      <c r="AM18" s="418"/>
      <c r="AN18" s="418"/>
      <c r="AO18" s="418"/>
      <c r="AP18" s="418"/>
      <c r="AQ18" s="418"/>
      <c r="AT18" s="418"/>
      <c r="AU18" s="418"/>
      <c r="AV18" s="418"/>
      <c r="AW18" s="418"/>
      <c r="AX18" s="418"/>
      <c r="AY18" s="418"/>
      <c r="AZ18" s="418"/>
      <c r="BA18" s="418"/>
      <c r="BB18" s="418"/>
      <c r="BC18" s="418"/>
      <c r="BD18" s="418"/>
    </row>
    <row r="19" spans="1:62" s="374" customFormat="1" ht="30" customHeight="1" thickBot="1">
      <c r="B19" s="436" t="s">
        <v>1819</v>
      </c>
      <c r="C19" s="920"/>
      <c r="D19" s="920"/>
      <c r="E19" s="920"/>
      <c r="F19" s="920"/>
      <c r="G19" s="437"/>
      <c r="H19" s="438"/>
      <c r="I19" s="105" t="s">
        <v>1864</v>
      </c>
      <c r="J19" s="106"/>
      <c r="K19" s="106"/>
      <c r="L19" s="106"/>
      <c r="M19" s="106"/>
      <c r="N19" s="106"/>
      <c r="O19" s="106"/>
      <c r="P19" s="106"/>
      <c r="Q19" s="106"/>
      <c r="R19" s="105"/>
      <c r="S19" s="105"/>
      <c r="T19" s="105"/>
      <c r="U19" s="105"/>
      <c r="V19" s="187"/>
      <c r="W19" s="439"/>
      <c r="X19" s="105" t="s">
        <v>2202</v>
      </c>
      <c r="Y19" s="106"/>
      <c r="Z19" s="106"/>
      <c r="AA19" s="106"/>
      <c r="AB19" s="106"/>
      <c r="AC19" s="106"/>
      <c r="AD19" s="106"/>
      <c r="AE19" s="106"/>
      <c r="AF19" s="106"/>
      <c r="AG19" s="105"/>
      <c r="AH19" s="105"/>
      <c r="AI19" s="105"/>
      <c r="AJ19" s="105"/>
      <c r="AK19" s="187"/>
      <c r="AL19" s="439"/>
      <c r="AM19" s="105" t="s">
        <v>2231</v>
      </c>
      <c r="AN19" s="106"/>
      <c r="AO19" s="106"/>
      <c r="AP19" s="106"/>
      <c r="AQ19" s="106"/>
      <c r="AR19" s="106"/>
      <c r="AS19" s="106"/>
      <c r="AT19" s="106"/>
      <c r="AU19" s="106"/>
      <c r="AV19" s="105"/>
      <c r="AW19" s="105"/>
      <c r="AX19" s="105"/>
      <c r="AY19" s="105"/>
      <c r="AZ19" s="187"/>
      <c r="BA19" s="439"/>
      <c r="BB19" s="1493" t="s">
        <v>1925</v>
      </c>
      <c r="BC19" s="789"/>
      <c r="BD19" s="789"/>
      <c r="BE19" s="790"/>
      <c r="BF19" s="790"/>
      <c r="BG19" s="790"/>
      <c r="BH19" s="790"/>
      <c r="BI19" s="791"/>
      <c r="BJ19" s="791"/>
    </row>
    <row r="20" spans="1:62" s="374" customFormat="1" ht="30" customHeight="1">
      <c r="B20" s="440"/>
      <c r="C20" s="388"/>
      <c r="D20" s="388"/>
      <c r="E20" s="388"/>
      <c r="F20" s="388"/>
      <c r="G20" s="388"/>
      <c r="H20" s="209"/>
      <c r="I20" s="225"/>
      <c r="J20" s="424" t="s">
        <v>1666</v>
      </c>
      <c r="K20" s="425"/>
      <c r="L20" s="425"/>
      <c r="M20" s="425"/>
      <c r="N20" s="425"/>
      <c r="O20" s="425"/>
      <c r="P20" s="425"/>
      <c r="Q20" s="426"/>
      <c r="R20" s="427" t="s">
        <v>2</v>
      </c>
      <c r="S20" s="428"/>
      <c r="T20" s="428"/>
      <c r="U20" s="428"/>
      <c r="V20" s="429"/>
      <c r="W20" s="441"/>
      <c r="X20" s="225"/>
      <c r="Y20" s="424" t="s">
        <v>1666</v>
      </c>
      <c r="Z20" s="425"/>
      <c r="AA20" s="425"/>
      <c r="AB20" s="425"/>
      <c r="AC20" s="425"/>
      <c r="AD20" s="425"/>
      <c r="AE20" s="425"/>
      <c r="AF20" s="426"/>
      <c r="AG20" s="427" t="s">
        <v>2</v>
      </c>
      <c r="AH20" s="428"/>
      <c r="AI20" s="428"/>
      <c r="AJ20" s="428"/>
      <c r="AK20" s="429"/>
      <c r="AL20" s="441"/>
      <c r="AM20" s="225"/>
      <c r="AN20" s="424" t="s">
        <v>1666</v>
      </c>
      <c r="AO20" s="425"/>
      <c r="AP20" s="425"/>
      <c r="AQ20" s="425"/>
      <c r="AR20" s="425"/>
      <c r="AS20" s="425"/>
      <c r="AT20" s="425"/>
      <c r="AU20" s="426"/>
      <c r="AV20" s="427" t="s">
        <v>2</v>
      </c>
      <c r="AW20" s="428"/>
      <c r="AX20" s="428"/>
      <c r="AY20" s="428"/>
      <c r="AZ20" s="429"/>
      <c r="BA20" s="441"/>
      <c r="BB20" s="1494" t="s">
        <v>2431</v>
      </c>
      <c r="BC20" s="202" t="s">
        <v>2432</v>
      </c>
      <c r="BD20" s="202" t="s">
        <v>2433</v>
      </c>
      <c r="BE20" s="202" t="s">
        <v>2434</v>
      </c>
      <c r="BF20" s="202" t="s">
        <v>2435</v>
      </c>
      <c r="BG20" s="202" t="s">
        <v>2436</v>
      </c>
      <c r="BH20" s="202" t="s">
        <v>2437</v>
      </c>
      <c r="BI20" s="1786" t="s">
        <v>2438</v>
      </c>
      <c r="BJ20" s="452" t="s">
        <v>2439</v>
      </c>
    </row>
    <row r="21" spans="1:62" s="374" customFormat="1" ht="15" customHeight="1">
      <c r="B21" s="443"/>
      <c r="C21" s="921"/>
      <c r="D21" s="921"/>
      <c r="E21" s="921"/>
      <c r="F21" s="921"/>
      <c r="G21" s="388"/>
      <c r="H21" s="209"/>
      <c r="I21" s="291" t="s">
        <v>1667</v>
      </c>
      <c r="J21" s="430" t="s">
        <v>453</v>
      </c>
      <c r="K21" s="431" t="s">
        <v>455</v>
      </c>
      <c r="L21" s="431" t="s">
        <v>457</v>
      </c>
      <c r="M21" s="431" t="s">
        <v>459</v>
      </c>
      <c r="N21" s="431" t="s">
        <v>461</v>
      </c>
      <c r="O21" s="431" t="s">
        <v>463</v>
      </c>
      <c r="P21" s="431" t="s">
        <v>465</v>
      </c>
      <c r="Q21" s="432" t="s">
        <v>467</v>
      </c>
      <c r="R21" s="430" t="s">
        <v>469</v>
      </c>
      <c r="S21" s="431" t="s">
        <v>471</v>
      </c>
      <c r="T21" s="431" t="s">
        <v>473</v>
      </c>
      <c r="U21" s="431" t="s">
        <v>475</v>
      </c>
      <c r="V21" s="432" t="s">
        <v>477</v>
      </c>
      <c r="W21" s="441"/>
      <c r="X21" s="291" t="s">
        <v>1667</v>
      </c>
      <c r="Y21" s="430" t="s">
        <v>453</v>
      </c>
      <c r="Z21" s="431" t="s">
        <v>455</v>
      </c>
      <c r="AA21" s="431" t="s">
        <v>457</v>
      </c>
      <c r="AB21" s="431" t="s">
        <v>459</v>
      </c>
      <c r="AC21" s="431" t="s">
        <v>461</v>
      </c>
      <c r="AD21" s="431" t="s">
        <v>463</v>
      </c>
      <c r="AE21" s="431" t="s">
        <v>465</v>
      </c>
      <c r="AF21" s="432" t="s">
        <v>467</v>
      </c>
      <c r="AG21" s="430" t="s">
        <v>469</v>
      </c>
      <c r="AH21" s="431" t="s">
        <v>471</v>
      </c>
      <c r="AI21" s="431" t="s">
        <v>473</v>
      </c>
      <c r="AJ21" s="431" t="s">
        <v>475</v>
      </c>
      <c r="AK21" s="432" t="s">
        <v>477</v>
      </c>
      <c r="AL21" s="441"/>
      <c r="AM21" s="291" t="s">
        <v>1667</v>
      </c>
      <c r="AN21" s="430" t="s">
        <v>453</v>
      </c>
      <c r="AO21" s="431" t="s">
        <v>455</v>
      </c>
      <c r="AP21" s="431" t="s">
        <v>457</v>
      </c>
      <c r="AQ21" s="431" t="s">
        <v>459</v>
      </c>
      <c r="AR21" s="431" t="s">
        <v>461</v>
      </c>
      <c r="AS21" s="431" t="s">
        <v>463</v>
      </c>
      <c r="AT21" s="431" t="s">
        <v>465</v>
      </c>
      <c r="AU21" s="432" t="s">
        <v>467</v>
      </c>
      <c r="AV21" s="430" t="s">
        <v>469</v>
      </c>
      <c r="AW21" s="431" t="s">
        <v>471</v>
      </c>
      <c r="AX21" s="431" t="s">
        <v>473</v>
      </c>
      <c r="AY21" s="431" t="s">
        <v>475</v>
      </c>
      <c r="AZ21" s="432" t="s">
        <v>477</v>
      </c>
      <c r="BA21" s="441"/>
      <c r="BB21" s="1788" t="s">
        <v>627</v>
      </c>
      <c r="BC21" s="205"/>
      <c r="BD21" s="205"/>
      <c r="BE21" s="206" t="s">
        <v>2440</v>
      </c>
      <c r="BF21" s="205"/>
      <c r="BG21" s="206" t="s">
        <v>2233</v>
      </c>
      <c r="BH21" s="206" t="s">
        <v>2233</v>
      </c>
      <c r="BI21" s="444" t="s">
        <v>2441</v>
      </c>
      <c r="BJ21" s="210"/>
    </row>
    <row r="22" spans="1:62" s="374" customFormat="1" ht="15" customHeight="1">
      <c r="B22" s="923"/>
      <c r="C22" s="924" t="s">
        <v>172</v>
      </c>
      <c r="D22" s="921"/>
      <c r="E22" s="921"/>
      <c r="F22" s="921"/>
      <c r="G22" s="388"/>
      <c r="H22" s="209"/>
      <c r="I22" s="209"/>
      <c r="J22" s="405"/>
      <c r="K22" s="209"/>
      <c r="L22" s="209"/>
      <c r="M22" s="209"/>
      <c r="N22" s="209"/>
      <c r="O22" s="209"/>
      <c r="P22" s="209"/>
      <c r="Q22" s="210"/>
      <c r="R22" s="405"/>
      <c r="S22" s="209"/>
      <c r="T22" s="209"/>
      <c r="U22" s="209"/>
      <c r="V22" s="210"/>
      <c r="W22" s="441"/>
      <c r="X22" s="209"/>
      <c r="Y22" s="405"/>
      <c r="Z22" s="209"/>
      <c r="AA22" s="209"/>
      <c r="AB22" s="209"/>
      <c r="AC22" s="209"/>
      <c r="AD22" s="209"/>
      <c r="AE22" s="209"/>
      <c r="AF22" s="210"/>
      <c r="AG22" s="405"/>
      <c r="AH22" s="209"/>
      <c r="AI22" s="209"/>
      <c r="AJ22" s="209"/>
      <c r="AK22" s="210"/>
      <c r="AL22" s="441"/>
      <c r="AM22" s="209"/>
      <c r="AN22" s="405"/>
      <c r="AO22" s="209"/>
      <c r="AP22" s="209"/>
      <c r="AQ22" s="209"/>
      <c r="AR22" s="209"/>
      <c r="AS22" s="209"/>
      <c r="AT22" s="209"/>
      <c r="AU22" s="210"/>
      <c r="AV22" s="405"/>
      <c r="AW22" s="209"/>
      <c r="AX22" s="209"/>
      <c r="AY22" s="209"/>
      <c r="AZ22" s="210"/>
      <c r="BA22" s="441"/>
      <c r="BB22" s="405"/>
      <c r="BC22" s="209"/>
      <c r="BD22" s="209"/>
      <c r="BE22" s="209"/>
      <c r="BF22" s="209"/>
      <c r="BG22" s="209"/>
      <c r="BH22" s="209"/>
      <c r="BI22" s="209"/>
      <c r="BJ22" s="210"/>
    </row>
    <row r="23" spans="1:62" s="374" customFormat="1" ht="15" customHeight="1">
      <c r="B23" s="435"/>
      <c r="C23" s="823"/>
      <c r="D23" s="926" t="s">
        <v>85</v>
      </c>
      <c r="E23" s="823"/>
      <c r="F23" s="823"/>
      <c r="G23" s="447"/>
      <c r="H23" s="209"/>
      <c r="I23" s="406" t="s">
        <v>498</v>
      </c>
      <c r="J23" s="929"/>
      <c r="K23" s="930"/>
      <c r="L23" s="930"/>
      <c r="M23" s="930"/>
      <c r="N23" s="930"/>
      <c r="O23" s="930"/>
      <c r="P23" s="298">
        <v>0</v>
      </c>
      <c r="Q23" s="299">
        <v>0</v>
      </c>
      <c r="R23" s="297">
        <v>0</v>
      </c>
      <c r="S23" s="298">
        <v>0</v>
      </c>
      <c r="T23" s="298">
        <v>0</v>
      </c>
      <c r="U23" s="298">
        <v>0</v>
      </c>
      <c r="V23" s="299">
        <v>0</v>
      </c>
      <c r="W23" s="441"/>
      <c r="X23" s="406" t="s">
        <v>498</v>
      </c>
      <c r="Y23" s="929"/>
      <c r="Z23" s="930"/>
      <c r="AA23" s="930"/>
      <c r="AB23" s="930"/>
      <c r="AC23" s="930"/>
      <c r="AD23" s="930"/>
      <c r="AE23" s="298">
        <v>0</v>
      </c>
      <c r="AF23" s="299">
        <v>0</v>
      </c>
      <c r="AG23" s="297">
        <v>0</v>
      </c>
      <c r="AH23" s="298">
        <v>0</v>
      </c>
      <c r="AI23" s="298">
        <v>0</v>
      </c>
      <c r="AJ23" s="298">
        <v>0</v>
      </c>
      <c r="AK23" s="299">
        <v>0</v>
      </c>
      <c r="AL23" s="441"/>
      <c r="AM23" s="406" t="s">
        <v>2233</v>
      </c>
      <c r="AN23" s="929"/>
      <c r="AO23" s="930"/>
      <c r="AP23" s="930"/>
      <c r="AQ23" s="930"/>
      <c r="AR23" s="930"/>
      <c r="AS23" s="930"/>
      <c r="AT23" s="298">
        <v>0</v>
      </c>
      <c r="AU23" s="299">
        <v>0</v>
      </c>
      <c r="AV23" s="297">
        <v>0</v>
      </c>
      <c r="AW23" s="298">
        <v>0</v>
      </c>
      <c r="AX23" s="298">
        <v>0</v>
      </c>
      <c r="AY23" s="298">
        <v>0</v>
      </c>
      <c r="AZ23" s="299">
        <v>0</v>
      </c>
      <c r="BA23" s="441"/>
      <c r="BB23" s="1789"/>
      <c r="BC23" s="1461"/>
      <c r="BD23" s="211"/>
      <c r="BE23" s="211"/>
      <c r="BF23" s="209"/>
      <c r="BG23" s="456"/>
      <c r="BH23" s="456"/>
      <c r="BI23" s="1787"/>
      <c r="BJ23" s="457"/>
    </row>
    <row r="24" spans="1:62" s="374" customFormat="1" ht="15" customHeight="1">
      <c r="B24" s="435"/>
      <c r="C24" s="823"/>
      <c r="D24" s="926" t="s">
        <v>85</v>
      </c>
      <c r="E24" s="823"/>
      <c r="F24" s="823"/>
      <c r="G24" s="447"/>
      <c r="H24" s="209"/>
      <c r="I24" s="406" t="s">
        <v>498</v>
      </c>
      <c r="J24" s="929"/>
      <c r="K24" s="930"/>
      <c r="L24" s="930"/>
      <c r="M24" s="930"/>
      <c r="N24" s="930"/>
      <c r="O24" s="930"/>
      <c r="P24" s="298">
        <v>0</v>
      </c>
      <c r="Q24" s="299">
        <v>0</v>
      </c>
      <c r="R24" s="297">
        <v>0</v>
      </c>
      <c r="S24" s="298">
        <v>0</v>
      </c>
      <c r="T24" s="298">
        <v>0</v>
      </c>
      <c r="U24" s="298">
        <v>0</v>
      </c>
      <c r="V24" s="299">
        <v>0</v>
      </c>
      <c r="W24" s="441"/>
      <c r="X24" s="406" t="s">
        <v>498</v>
      </c>
      <c r="Y24" s="929"/>
      <c r="Z24" s="930"/>
      <c r="AA24" s="930"/>
      <c r="AB24" s="930"/>
      <c r="AC24" s="930"/>
      <c r="AD24" s="930"/>
      <c r="AE24" s="298">
        <v>0</v>
      </c>
      <c r="AF24" s="299">
        <v>0</v>
      </c>
      <c r="AG24" s="297">
        <v>0</v>
      </c>
      <c r="AH24" s="298">
        <v>0</v>
      </c>
      <c r="AI24" s="298">
        <v>0</v>
      </c>
      <c r="AJ24" s="298">
        <v>0</v>
      </c>
      <c r="AK24" s="299">
        <v>0</v>
      </c>
      <c r="AL24" s="441"/>
      <c r="AM24" s="406" t="s">
        <v>2233</v>
      </c>
      <c r="AN24" s="929"/>
      <c r="AO24" s="930"/>
      <c r="AP24" s="930"/>
      <c r="AQ24" s="930"/>
      <c r="AR24" s="930"/>
      <c r="AS24" s="930"/>
      <c r="AT24" s="298">
        <v>0</v>
      </c>
      <c r="AU24" s="299">
        <v>0</v>
      </c>
      <c r="AV24" s="297">
        <v>0</v>
      </c>
      <c r="AW24" s="298">
        <v>0</v>
      </c>
      <c r="AX24" s="298">
        <v>0</v>
      </c>
      <c r="AY24" s="298">
        <v>0</v>
      </c>
      <c r="AZ24" s="299">
        <v>0</v>
      </c>
      <c r="BA24" s="441"/>
      <c r="BB24" s="1789"/>
      <c r="BC24" s="1461"/>
      <c r="BD24" s="211"/>
      <c r="BE24" s="211"/>
      <c r="BF24" s="209"/>
      <c r="BG24" s="456"/>
      <c r="BH24" s="456"/>
      <c r="BI24" s="1787"/>
      <c r="BJ24" s="457"/>
    </row>
    <row r="25" spans="1:62" s="374" customFormat="1" ht="15" customHeight="1">
      <c r="B25" s="435"/>
      <c r="C25" s="823"/>
      <c r="D25" s="926" t="s">
        <v>85</v>
      </c>
      <c r="E25" s="823"/>
      <c r="F25" s="823"/>
      <c r="G25" s="447"/>
      <c r="H25" s="209"/>
      <c r="I25" s="406" t="s">
        <v>498</v>
      </c>
      <c r="J25" s="929"/>
      <c r="K25" s="930"/>
      <c r="L25" s="930"/>
      <c r="M25" s="930"/>
      <c r="N25" s="930"/>
      <c r="O25" s="930"/>
      <c r="P25" s="298">
        <v>0</v>
      </c>
      <c r="Q25" s="299">
        <v>0</v>
      </c>
      <c r="R25" s="297">
        <v>0</v>
      </c>
      <c r="S25" s="298">
        <v>0</v>
      </c>
      <c r="T25" s="298">
        <v>0</v>
      </c>
      <c r="U25" s="298">
        <v>0</v>
      </c>
      <c r="V25" s="299">
        <v>0</v>
      </c>
      <c r="W25" s="441"/>
      <c r="X25" s="406" t="s">
        <v>498</v>
      </c>
      <c r="Y25" s="929"/>
      <c r="Z25" s="930"/>
      <c r="AA25" s="930"/>
      <c r="AB25" s="930"/>
      <c r="AC25" s="930"/>
      <c r="AD25" s="930"/>
      <c r="AE25" s="298">
        <v>0</v>
      </c>
      <c r="AF25" s="299">
        <v>0</v>
      </c>
      <c r="AG25" s="297">
        <v>0</v>
      </c>
      <c r="AH25" s="298">
        <v>0</v>
      </c>
      <c r="AI25" s="298">
        <v>0</v>
      </c>
      <c r="AJ25" s="298">
        <v>0</v>
      </c>
      <c r="AK25" s="299">
        <v>0</v>
      </c>
      <c r="AL25" s="441"/>
      <c r="AM25" s="406" t="s">
        <v>2233</v>
      </c>
      <c r="AN25" s="929"/>
      <c r="AO25" s="930"/>
      <c r="AP25" s="930"/>
      <c r="AQ25" s="930"/>
      <c r="AR25" s="930"/>
      <c r="AS25" s="930"/>
      <c r="AT25" s="298">
        <v>0</v>
      </c>
      <c r="AU25" s="299">
        <v>0</v>
      </c>
      <c r="AV25" s="297">
        <v>0</v>
      </c>
      <c r="AW25" s="298">
        <v>0</v>
      </c>
      <c r="AX25" s="298">
        <v>0</v>
      </c>
      <c r="AY25" s="298">
        <v>0</v>
      </c>
      <c r="AZ25" s="299">
        <v>0</v>
      </c>
      <c r="BA25" s="441"/>
      <c r="BB25" s="1789"/>
      <c r="BC25" s="1461"/>
      <c r="BD25" s="211"/>
      <c r="BE25" s="211"/>
      <c r="BF25" s="209"/>
      <c r="BG25" s="456"/>
      <c r="BH25" s="456"/>
      <c r="BI25" s="1787"/>
      <c r="BJ25" s="457"/>
    </row>
    <row r="26" spans="1:62" s="374" customFormat="1" ht="15" customHeight="1">
      <c r="B26" s="435"/>
      <c r="C26" s="823"/>
      <c r="D26" s="926" t="s">
        <v>85</v>
      </c>
      <c r="E26" s="823"/>
      <c r="F26" s="823"/>
      <c r="G26" s="447"/>
      <c r="H26" s="209"/>
      <c r="I26" s="406" t="s">
        <v>498</v>
      </c>
      <c r="J26" s="929"/>
      <c r="K26" s="930"/>
      <c r="L26" s="930"/>
      <c r="M26" s="930"/>
      <c r="N26" s="930"/>
      <c r="O26" s="930"/>
      <c r="P26" s="298">
        <v>0</v>
      </c>
      <c r="Q26" s="299">
        <v>0</v>
      </c>
      <c r="R26" s="297">
        <v>0</v>
      </c>
      <c r="S26" s="298">
        <v>0</v>
      </c>
      <c r="T26" s="298">
        <v>0</v>
      </c>
      <c r="U26" s="298">
        <v>0</v>
      </c>
      <c r="V26" s="299">
        <v>0</v>
      </c>
      <c r="W26" s="441"/>
      <c r="X26" s="406" t="s">
        <v>498</v>
      </c>
      <c r="Y26" s="929"/>
      <c r="Z26" s="930"/>
      <c r="AA26" s="930"/>
      <c r="AB26" s="930"/>
      <c r="AC26" s="930"/>
      <c r="AD26" s="930"/>
      <c r="AE26" s="298">
        <v>0</v>
      </c>
      <c r="AF26" s="299">
        <v>0</v>
      </c>
      <c r="AG26" s="297">
        <v>0</v>
      </c>
      <c r="AH26" s="298">
        <v>0</v>
      </c>
      <c r="AI26" s="298">
        <v>0</v>
      </c>
      <c r="AJ26" s="298">
        <v>0</v>
      </c>
      <c r="AK26" s="299">
        <v>0</v>
      </c>
      <c r="AL26" s="441"/>
      <c r="AM26" s="406" t="s">
        <v>2233</v>
      </c>
      <c r="AN26" s="929"/>
      <c r="AO26" s="930"/>
      <c r="AP26" s="930"/>
      <c r="AQ26" s="930"/>
      <c r="AR26" s="930"/>
      <c r="AS26" s="930"/>
      <c r="AT26" s="298">
        <v>0</v>
      </c>
      <c r="AU26" s="299">
        <v>0</v>
      </c>
      <c r="AV26" s="297">
        <v>0</v>
      </c>
      <c r="AW26" s="298">
        <v>0</v>
      </c>
      <c r="AX26" s="298">
        <v>0</v>
      </c>
      <c r="AY26" s="298">
        <v>0</v>
      </c>
      <c r="AZ26" s="299">
        <v>0</v>
      </c>
      <c r="BA26" s="441"/>
      <c r="BB26" s="1789"/>
      <c r="BC26" s="1461"/>
      <c r="BD26" s="211"/>
      <c r="BE26" s="211"/>
      <c r="BF26" s="209"/>
      <c r="BG26" s="456"/>
      <c r="BH26" s="456"/>
      <c r="BI26" s="1787"/>
      <c r="BJ26" s="457"/>
    </row>
    <row r="27" spans="1:62" s="374" customFormat="1" ht="15" customHeight="1">
      <c r="B27" s="435"/>
      <c r="C27" s="823"/>
      <c r="D27" s="926" t="s">
        <v>85</v>
      </c>
      <c r="E27" s="823"/>
      <c r="F27" s="823"/>
      <c r="G27" s="447"/>
      <c r="H27" s="209"/>
      <c r="I27" s="406" t="s">
        <v>498</v>
      </c>
      <c r="J27" s="929"/>
      <c r="K27" s="930"/>
      <c r="L27" s="930"/>
      <c r="M27" s="930"/>
      <c r="N27" s="930"/>
      <c r="O27" s="930"/>
      <c r="P27" s="298">
        <v>0</v>
      </c>
      <c r="Q27" s="299">
        <v>0</v>
      </c>
      <c r="R27" s="297">
        <v>0</v>
      </c>
      <c r="S27" s="298">
        <v>0</v>
      </c>
      <c r="T27" s="298">
        <v>0</v>
      </c>
      <c r="U27" s="298">
        <v>0</v>
      </c>
      <c r="V27" s="299">
        <v>0</v>
      </c>
      <c r="W27" s="441"/>
      <c r="X27" s="406" t="s">
        <v>498</v>
      </c>
      <c r="Y27" s="929"/>
      <c r="Z27" s="930"/>
      <c r="AA27" s="930"/>
      <c r="AB27" s="930"/>
      <c r="AC27" s="930"/>
      <c r="AD27" s="930"/>
      <c r="AE27" s="298">
        <v>0</v>
      </c>
      <c r="AF27" s="299">
        <v>0</v>
      </c>
      <c r="AG27" s="297">
        <v>0</v>
      </c>
      <c r="AH27" s="298">
        <v>0</v>
      </c>
      <c r="AI27" s="298">
        <v>0</v>
      </c>
      <c r="AJ27" s="298">
        <v>0</v>
      </c>
      <c r="AK27" s="299">
        <v>0</v>
      </c>
      <c r="AL27" s="441"/>
      <c r="AM27" s="406" t="s">
        <v>2233</v>
      </c>
      <c r="AN27" s="929"/>
      <c r="AO27" s="930"/>
      <c r="AP27" s="930"/>
      <c r="AQ27" s="930"/>
      <c r="AR27" s="930"/>
      <c r="AS27" s="930"/>
      <c r="AT27" s="298">
        <v>0</v>
      </c>
      <c r="AU27" s="299">
        <v>0</v>
      </c>
      <c r="AV27" s="297">
        <v>0</v>
      </c>
      <c r="AW27" s="298">
        <v>0</v>
      </c>
      <c r="AX27" s="298">
        <v>0</v>
      </c>
      <c r="AY27" s="298">
        <v>0</v>
      </c>
      <c r="AZ27" s="299">
        <v>0</v>
      </c>
      <c r="BA27" s="441"/>
      <c r="BB27" s="1789"/>
      <c r="BC27" s="1461"/>
      <c r="BD27" s="211"/>
      <c r="BE27" s="211"/>
      <c r="BF27" s="209"/>
      <c r="BG27" s="456"/>
      <c r="BH27" s="456"/>
      <c r="BI27" s="1787"/>
      <c r="BJ27" s="457"/>
    </row>
    <row r="28" spans="1:62" s="374" customFormat="1" ht="15" customHeight="1">
      <c r="B28" s="435"/>
      <c r="C28" s="823"/>
      <c r="D28" s="926" t="s">
        <v>85</v>
      </c>
      <c r="E28" s="823"/>
      <c r="F28" s="823"/>
      <c r="G28" s="447"/>
      <c r="H28" s="209"/>
      <c r="I28" s="406" t="s">
        <v>498</v>
      </c>
      <c r="J28" s="929"/>
      <c r="K28" s="930"/>
      <c r="L28" s="930"/>
      <c r="M28" s="930"/>
      <c r="N28" s="930"/>
      <c r="O28" s="930"/>
      <c r="P28" s="298">
        <v>0</v>
      </c>
      <c r="Q28" s="299">
        <v>0</v>
      </c>
      <c r="R28" s="297">
        <v>0</v>
      </c>
      <c r="S28" s="298">
        <v>0</v>
      </c>
      <c r="T28" s="298">
        <v>0</v>
      </c>
      <c r="U28" s="298">
        <v>0</v>
      </c>
      <c r="V28" s="299">
        <v>0</v>
      </c>
      <c r="W28" s="441"/>
      <c r="X28" s="406" t="s">
        <v>498</v>
      </c>
      <c r="Y28" s="929"/>
      <c r="Z28" s="930"/>
      <c r="AA28" s="930"/>
      <c r="AB28" s="930"/>
      <c r="AC28" s="930"/>
      <c r="AD28" s="930"/>
      <c r="AE28" s="298">
        <v>0</v>
      </c>
      <c r="AF28" s="299">
        <v>0</v>
      </c>
      <c r="AG28" s="297">
        <v>0</v>
      </c>
      <c r="AH28" s="298">
        <v>0</v>
      </c>
      <c r="AI28" s="298">
        <v>0</v>
      </c>
      <c r="AJ28" s="298">
        <v>0</v>
      </c>
      <c r="AK28" s="299">
        <v>0</v>
      </c>
      <c r="AL28" s="441"/>
      <c r="AM28" s="406" t="s">
        <v>2233</v>
      </c>
      <c r="AN28" s="929"/>
      <c r="AO28" s="930"/>
      <c r="AP28" s="930"/>
      <c r="AQ28" s="930"/>
      <c r="AR28" s="930"/>
      <c r="AS28" s="930"/>
      <c r="AT28" s="298">
        <v>0</v>
      </c>
      <c r="AU28" s="299">
        <v>0</v>
      </c>
      <c r="AV28" s="297">
        <v>0</v>
      </c>
      <c r="AW28" s="298">
        <v>0</v>
      </c>
      <c r="AX28" s="298">
        <v>0</v>
      </c>
      <c r="AY28" s="298">
        <v>0</v>
      </c>
      <c r="AZ28" s="299">
        <v>0</v>
      </c>
      <c r="BA28" s="441"/>
      <c r="BB28" s="1789"/>
      <c r="BC28" s="1461"/>
      <c r="BD28" s="211"/>
      <c r="BE28" s="211"/>
      <c r="BF28" s="209"/>
      <c r="BG28" s="456"/>
      <c r="BH28" s="456"/>
      <c r="BI28" s="1787"/>
      <c r="BJ28" s="457"/>
    </row>
    <row r="29" spans="1:62" s="374" customFormat="1" ht="15" customHeight="1">
      <c r="B29" s="435"/>
      <c r="C29" s="823"/>
      <c r="D29" s="926" t="s">
        <v>85</v>
      </c>
      <c r="E29" s="823"/>
      <c r="F29" s="823"/>
      <c r="G29" s="447"/>
      <c r="H29" s="209"/>
      <c r="I29" s="406" t="s">
        <v>498</v>
      </c>
      <c r="J29" s="929"/>
      <c r="K29" s="930"/>
      <c r="L29" s="930"/>
      <c r="M29" s="930"/>
      <c r="N29" s="930"/>
      <c r="O29" s="930"/>
      <c r="P29" s="298">
        <v>0</v>
      </c>
      <c r="Q29" s="299">
        <v>0</v>
      </c>
      <c r="R29" s="297">
        <v>0</v>
      </c>
      <c r="S29" s="298">
        <v>0</v>
      </c>
      <c r="T29" s="298">
        <v>0</v>
      </c>
      <c r="U29" s="298">
        <v>0</v>
      </c>
      <c r="V29" s="299">
        <v>0</v>
      </c>
      <c r="W29" s="441"/>
      <c r="X29" s="406" t="s">
        <v>498</v>
      </c>
      <c r="Y29" s="929"/>
      <c r="Z29" s="930"/>
      <c r="AA29" s="930"/>
      <c r="AB29" s="930"/>
      <c r="AC29" s="930"/>
      <c r="AD29" s="930"/>
      <c r="AE29" s="298">
        <v>0</v>
      </c>
      <c r="AF29" s="299">
        <v>0</v>
      </c>
      <c r="AG29" s="297">
        <v>0</v>
      </c>
      <c r="AH29" s="298">
        <v>0</v>
      </c>
      <c r="AI29" s="298">
        <v>0</v>
      </c>
      <c r="AJ29" s="298">
        <v>0</v>
      </c>
      <c r="AK29" s="299">
        <v>0</v>
      </c>
      <c r="AL29" s="441"/>
      <c r="AM29" s="406" t="s">
        <v>2233</v>
      </c>
      <c r="AN29" s="929"/>
      <c r="AO29" s="930"/>
      <c r="AP29" s="930"/>
      <c r="AQ29" s="930"/>
      <c r="AR29" s="930"/>
      <c r="AS29" s="930"/>
      <c r="AT29" s="298">
        <v>0</v>
      </c>
      <c r="AU29" s="299">
        <v>0</v>
      </c>
      <c r="AV29" s="297">
        <v>0</v>
      </c>
      <c r="AW29" s="298">
        <v>0</v>
      </c>
      <c r="AX29" s="298">
        <v>0</v>
      </c>
      <c r="AY29" s="298">
        <v>0</v>
      </c>
      <c r="AZ29" s="299">
        <v>0</v>
      </c>
      <c r="BA29" s="441"/>
      <c r="BB29" s="1789"/>
      <c r="BC29" s="1461"/>
      <c r="BD29" s="211"/>
      <c r="BE29" s="211"/>
      <c r="BF29" s="209"/>
      <c r="BG29" s="456"/>
      <c r="BH29" s="456"/>
      <c r="BI29" s="1787"/>
      <c r="BJ29" s="457"/>
    </row>
    <row r="30" spans="1:62" s="374" customFormat="1" ht="15" customHeight="1">
      <c r="B30" s="435"/>
      <c r="C30" s="823"/>
      <c r="D30" s="926" t="s">
        <v>85</v>
      </c>
      <c r="E30" s="823"/>
      <c r="F30" s="823"/>
      <c r="G30" s="447"/>
      <c r="H30" s="209"/>
      <c r="I30" s="406" t="s">
        <v>498</v>
      </c>
      <c r="J30" s="929"/>
      <c r="K30" s="930"/>
      <c r="L30" s="930"/>
      <c r="M30" s="930"/>
      <c r="N30" s="930"/>
      <c r="O30" s="930"/>
      <c r="P30" s="298">
        <v>0</v>
      </c>
      <c r="Q30" s="299">
        <v>0</v>
      </c>
      <c r="R30" s="297">
        <v>0</v>
      </c>
      <c r="S30" s="298">
        <v>0</v>
      </c>
      <c r="T30" s="298">
        <v>0</v>
      </c>
      <c r="U30" s="298">
        <v>0</v>
      </c>
      <c r="V30" s="299">
        <v>0</v>
      </c>
      <c r="W30" s="441"/>
      <c r="X30" s="406" t="s">
        <v>498</v>
      </c>
      <c r="Y30" s="929"/>
      <c r="Z30" s="930"/>
      <c r="AA30" s="930"/>
      <c r="AB30" s="930"/>
      <c r="AC30" s="930"/>
      <c r="AD30" s="930"/>
      <c r="AE30" s="298">
        <v>0</v>
      </c>
      <c r="AF30" s="299">
        <v>0</v>
      </c>
      <c r="AG30" s="297">
        <v>0</v>
      </c>
      <c r="AH30" s="298">
        <v>0</v>
      </c>
      <c r="AI30" s="298">
        <v>0</v>
      </c>
      <c r="AJ30" s="298">
        <v>0</v>
      </c>
      <c r="AK30" s="299">
        <v>0</v>
      </c>
      <c r="AL30" s="441"/>
      <c r="AM30" s="406" t="s">
        <v>2233</v>
      </c>
      <c r="AN30" s="929"/>
      <c r="AO30" s="930"/>
      <c r="AP30" s="930"/>
      <c r="AQ30" s="930"/>
      <c r="AR30" s="930"/>
      <c r="AS30" s="930"/>
      <c r="AT30" s="298">
        <v>0</v>
      </c>
      <c r="AU30" s="299">
        <v>0</v>
      </c>
      <c r="AV30" s="297">
        <v>0</v>
      </c>
      <c r="AW30" s="298">
        <v>0</v>
      </c>
      <c r="AX30" s="298">
        <v>0</v>
      </c>
      <c r="AY30" s="298">
        <v>0</v>
      </c>
      <c r="AZ30" s="299">
        <v>0</v>
      </c>
      <c r="BA30" s="441"/>
      <c r="BB30" s="1789"/>
      <c r="BC30" s="1461"/>
      <c r="BD30" s="211"/>
      <c r="BE30" s="211"/>
      <c r="BF30" s="209"/>
      <c r="BG30" s="456"/>
      <c r="BH30" s="456"/>
      <c r="BI30" s="1787"/>
      <c r="BJ30" s="457"/>
    </row>
    <row r="31" spans="1:62" s="374" customFormat="1" ht="15" customHeight="1">
      <c r="B31" s="435"/>
      <c r="C31" s="823"/>
      <c r="D31" s="926" t="s">
        <v>85</v>
      </c>
      <c r="E31" s="823"/>
      <c r="F31" s="823"/>
      <c r="G31" s="447"/>
      <c r="H31" s="209"/>
      <c r="I31" s="406" t="s">
        <v>498</v>
      </c>
      <c r="J31" s="929"/>
      <c r="K31" s="930"/>
      <c r="L31" s="930"/>
      <c r="M31" s="930"/>
      <c r="N31" s="930"/>
      <c r="O31" s="930"/>
      <c r="P31" s="298">
        <v>0</v>
      </c>
      <c r="Q31" s="299">
        <v>0</v>
      </c>
      <c r="R31" s="297">
        <v>0</v>
      </c>
      <c r="S31" s="298">
        <v>0</v>
      </c>
      <c r="T31" s="298">
        <v>0</v>
      </c>
      <c r="U31" s="298">
        <v>0</v>
      </c>
      <c r="V31" s="299">
        <v>0</v>
      </c>
      <c r="W31" s="441"/>
      <c r="X31" s="406" t="s">
        <v>498</v>
      </c>
      <c r="Y31" s="929"/>
      <c r="Z31" s="930"/>
      <c r="AA31" s="930"/>
      <c r="AB31" s="930"/>
      <c r="AC31" s="930"/>
      <c r="AD31" s="930"/>
      <c r="AE31" s="298">
        <v>0</v>
      </c>
      <c r="AF31" s="299">
        <v>0</v>
      </c>
      <c r="AG31" s="297">
        <v>0</v>
      </c>
      <c r="AH31" s="298">
        <v>0</v>
      </c>
      <c r="AI31" s="298">
        <v>0</v>
      </c>
      <c r="AJ31" s="298">
        <v>0</v>
      </c>
      <c r="AK31" s="299">
        <v>0</v>
      </c>
      <c r="AL31" s="441"/>
      <c r="AM31" s="406" t="s">
        <v>2233</v>
      </c>
      <c r="AN31" s="929"/>
      <c r="AO31" s="930"/>
      <c r="AP31" s="930"/>
      <c r="AQ31" s="930"/>
      <c r="AR31" s="930"/>
      <c r="AS31" s="930"/>
      <c r="AT31" s="298">
        <v>0</v>
      </c>
      <c r="AU31" s="299">
        <v>0</v>
      </c>
      <c r="AV31" s="297">
        <v>0</v>
      </c>
      <c r="AW31" s="298">
        <v>0</v>
      </c>
      <c r="AX31" s="298">
        <v>0</v>
      </c>
      <c r="AY31" s="298">
        <v>0</v>
      </c>
      <c r="AZ31" s="299">
        <v>0</v>
      </c>
      <c r="BA31" s="441"/>
      <c r="BB31" s="1789"/>
      <c r="BC31" s="1461"/>
      <c r="BD31" s="211"/>
      <c r="BE31" s="211"/>
      <c r="BF31" s="209"/>
      <c r="BG31" s="456"/>
      <c r="BH31" s="456"/>
      <c r="BI31" s="1787"/>
      <c r="BJ31" s="457"/>
    </row>
    <row r="32" spans="1:62" s="374" customFormat="1" ht="15" customHeight="1">
      <c r="B32" s="435"/>
      <c r="C32" s="823"/>
      <c r="D32" s="926" t="s">
        <v>85</v>
      </c>
      <c r="E32" s="823"/>
      <c r="F32" s="823"/>
      <c r="G32" s="447"/>
      <c r="H32" s="209"/>
      <c r="I32" s="406" t="s">
        <v>498</v>
      </c>
      <c r="J32" s="929"/>
      <c r="K32" s="930"/>
      <c r="L32" s="930"/>
      <c r="M32" s="930"/>
      <c r="N32" s="930"/>
      <c r="O32" s="930"/>
      <c r="P32" s="298">
        <v>0</v>
      </c>
      <c r="Q32" s="299">
        <v>0</v>
      </c>
      <c r="R32" s="297">
        <v>0</v>
      </c>
      <c r="S32" s="298">
        <v>0</v>
      </c>
      <c r="T32" s="298">
        <v>0</v>
      </c>
      <c r="U32" s="298">
        <v>0</v>
      </c>
      <c r="V32" s="299">
        <v>0</v>
      </c>
      <c r="W32" s="441"/>
      <c r="X32" s="406" t="s">
        <v>498</v>
      </c>
      <c r="Y32" s="929"/>
      <c r="Z32" s="930"/>
      <c r="AA32" s="930"/>
      <c r="AB32" s="930"/>
      <c r="AC32" s="930"/>
      <c r="AD32" s="930"/>
      <c r="AE32" s="298">
        <v>0</v>
      </c>
      <c r="AF32" s="299">
        <v>0</v>
      </c>
      <c r="AG32" s="297">
        <v>0</v>
      </c>
      <c r="AH32" s="298">
        <v>0</v>
      </c>
      <c r="AI32" s="298">
        <v>0</v>
      </c>
      <c r="AJ32" s="298">
        <v>0</v>
      </c>
      <c r="AK32" s="299">
        <v>0</v>
      </c>
      <c r="AL32" s="441"/>
      <c r="AM32" s="406" t="s">
        <v>2233</v>
      </c>
      <c r="AN32" s="929"/>
      <c r="AO32" s="930"/>
      <c r="AP32" s="930"/>
      <c r="AQ32" s="930"/>
      <c r="AR32" s="930"/>
      <c r="AS32" s="930"/>
      <c r="AT32" s="298">
        <v>0</v>
      </c>
      <c r="AU32" s="299">
        <v>0</v>
      </c>
      <c r="AV32" s="297">
        <v>0</v>
      </c>
      <c r="AW32" s="298">
        <v>0</v>
      </c>
      <c r="AX32" s="298">
        <v>0</v>
      </c>
      <c r="AY32" s="298">
        <v>0</v>
      </c>
      <c r="AZ32" s="299">
        <v>0</v>
      </c>
      <c r="BA32" s="441"/>
      <c r="BB32" s="1789"/>
      <c r="BC32" s="1461"/>
      <c r="BD32" s="211"/>
      <c r="BE32" s="211"/>
      <c r="BF32" s="209"/>
      <c r="BG32" s="456"/>
      <c r="BH32" s="456"/>
      <c r="BI32" s="1787"/>
      <c r="BJ32" s="457"/>
    </row>
    <row r="33" spans="2:62" s="374" customFormat="1" ht="15" customHeight="1">
      <c r="B33" s="435"/>
      <c r="C33" s="823"/>
      <c r="D33" s="926" t="s">
        <v>2442</v>
      </c>
      <c r="E33" s="823"/>
      <c r="F33" s="823"/>
      <c r="G33" s="927"/>
      <c r="H33" s="209"/>
      <c r="I33" s="406" t="s">
        <v>498</v>
      </c>
      <c r="J33" s="929"/>
      <c r="K33" s="930"/>
      <c r="L33" s="930"/>
      <c r="M33" s="930"/>
      <c r="N33" s="930"/>
      <c r="O33" s="930"/>
      <c r="P33" s="298">
        <v>0</v>
      </c>
      <c r="Q33" s="299">
        <v>0</v>
      </c>
      <c r="R33" s="297">
        <v>0</v>
      </c>
      <c r="S33" s="298">
        <v>0</v>
      </c>
      <c r="T33" s="298">
        <v>0</v>
      </c>
      <c r="U33" s="298">
        <v>0</v>
      </c>
      <c r="V33" s="299">
        <v>0</v>
      </c>
      <c r="W33" s="441"/>
      <c r="X33" s="406" t="s">
        <v>498</v>
      </c>
      <c r="Y33" s="929"/>
      <c r="Z33" s="930"/>
      <c r="AA33" s="930"/>
      <c r="AB33" s="930"/>
      <c r="AC33" s="930"/>
      <c r="AD33" s="930"/>
      <c r="AE33" s="298">
        <v>0</v>
      </c>
      <c r="AF33" s="299">
        <v>0</v>
      </c>
      <c r="AG33" s="297">
        <v>0</v>
      </c>
      <c r="AH33" s="298">
        <v>0</v>
      </c>
      <c r="AI33" s="298">
        <v>0</v>
      </c>
      <c r="AJ33" s="298">
        <v>0</v>
      </c>
      <c r="AK33" s="299">
        <v>0</v>
      </c>
      <c r="AL33" s="441"/>
      <c r="AM33" s="406" t="s">
        <v>2233</v>
      </c>
      <c r="AN33" s="929"/>
      <c r="AO33" s="930"/>
      <c r="AP33" s="930"/>
      <c r="AQ33" s="930"/>
      <c r="AR33" s="930"/>
      <c r="AS33" s="930"/>
      <c r="AT33" s="298">
        <v>0</v>
      </c>
      <c r="AU33" s="299">
        <v>0</v>
      </c>
      <c r="AV33" s="297">
        <v>0</v>
      </c>
      <c r="AW33" s="298">
        <v>0</v>
      </c>
      <c r="AX33" s="298">
        <v>0</v>
      </c>
      <c r="AY33" s="298">
        <v>0</v>
      </c>
      <c r="AZ33" s="299">
        <v>0</v>
      </c>
      <c r="BA33" s="441"/>
      <c r="BB33" s="405"/>
      <c r="BC33" s="209"/>
      <c r="BD33" s="209"/>
      <c r="BE33" s="209"/>
      <c r="BF33" s="209"/>
      <c r="BG33" s="209"/>
      <c r="BH33" s="209"/>
      <c r="BI33" s="209"/>
      <c r="BJ33" s="210"/>
    </row>
    <row r="34" spans="2:62" s="374" customFormat="1" ht="15" customHeight="1">
      <c r="B34" s="435"/>
      <c r="C34" s="823"/>
      <c r="D34" s="926" t="s">
        <v>2443</v>
      </c>
      <c r="E34" s="823"/>
      <c r="F34" s="823"/>
      <c r="G34" s="926"/>
      <c r="H34" s="209"/>
      <c r="I34" s="406" t="s">
        <v>498</v>
      </c>
      <c r="J34" s="297">
        <v>0</v>
      </c>
      <c r="K34" s="298">
        <v>0</v>
      </c>
      <c r="L34" s="298">
        <v>0</v>
      </c>
      <c r="M34" s="298">
        <v>0</v>
      </c>
      <c r="N34" s="298">
        <v>0</v>
      </c>
      <c r="O34" s="298">
        <v>0</v>
      </c>
      <c r="P34" s="209"/>
      <c r="Q34" s="210"/>
      <c r="R34" s="405"/>
      <c r="S34" s="209"/>
      <c r="T34" s="209"/>
      <c r="U34" s="209"/>
      <c r="V34" s="210"/>
      <c r="W34" s="441"/>
      <c r="X34" s="406" t="s">
        <v>498</v>
      </c>
      <c r="Y34" s="297">
        <v>0</v>
      </c>
      <c r="Z34" s="298">
        <v>0</v>
      </c>
      <c r="AA34" s="298">
        <v>0</v>
      </c>
      <c r="AB34" s="298">
        <v>0</v>
      </c>
      <c r="AC34" s="298">
        <v>0</v>
      </c>
      <c r="AD34" s="298">
        <v>0</v>
      </c>
      <c r="AE34" s="209"/>
      <c r="AF34" s="210"/>
      <c r="AG34" s="405"/>
      <c r="AH34" s="209"/>
      <c r="AI34" s="209"/>
      <c r="AJ34" s="209"/>
      <c r="AK34" s="210"/>
      <c r="AL34" s="441"/>
      <c r="AM34" s="406" t="s">
        <v>2233</v>
      </c>
      <c r="AN34" s="297">
        <v>0</v>
      </c>
      <c r="AO34" s="298">
        <v>0</v>
      </c>
      <c r="AP34" s="298">
        <v>0</v>
      </c>
      <c r="AQ34" s="298">
        <v>0</v>
      </c>
      <c r="AR34" s="298">
        <v>0</v>
      </c>
      <c r="AS34" s="298">
        <v>0</v>
      </c>
      <c r="AT34" s="209"/>
      <c r="AU34" s="210"/>
      <c r="AV34" s="405"/>
      <c r="AW34" s="209"/>
      <c r="AX34" s="209"/>
      <c r="AY34" s="209"/>
      <c r="AZ34" s="210"/>
      <c r="BA34" s="441"/>
      <c r="BB34" s="405"/>
      <c r="BC34" s="209"/>
      <c r="BD34" s="209"/>
      <c r="BE34" s="209"/>
      <c r="BF34" s="209"/>
      <c r="BG34" s="209"/>
      <c r="BH34" s="209"/>
      <c r="BI34" s="209"/>
      <c r="BJ34" s="210"/>
    </row>
    <row r="35" spans="2:62" s="374" customFormat="1" ht="15" customHeight="1">
      <c r="B35" s="435"/>
      <c r="C35" s="926" t="s">
        <v>1710</v>
      </c>
      <c r="D35" s="823"/>
      <c r="E35" s="823"/>
      <c r="F35" s="823"/>
      <c r="G35" s="927"/>
      <c r="H35" s="209"/>
      <c r="I35" s="406" t="s">
        <v>498</v>
      </c>
      <c r="J35" s="1551">
        <f>J34</f>
        <v>0</v>
      </c>
      <c r="K35" s="282">
        <f t="shared" ref="K35:O35" si="6">K34</f>
        <v>0</v>
      </c>
      <c r="L35" s="282">
        <f t="shared" si="6"/>
        <v>0</v>
      </c>
      <c r="M35" s="282">
        <f t="shared" si="6"/>
        <v>0</v>
      </c>
      <c r="N35" s="282">
        <f t="shared" si="6"/>
        <v>0</v>
      </c>
      <c r="O35" s="282">
        <f t="shared" si="6"/>
        <v>0</v>
      </c>
      <c r="P35" s="282">
        <f>SUM(P23:P33)</f>
        <v>0</v>
      </c>
      <c r="Q35" s="283">
        <f>SUM(Q23:Q33)</f>
        <v>0</v>
      </c>
      <c r="R35" s="281">
        <f t="shared" ref="R35:V35" si="7">SUM(R23:R33)</f>
        <v>0</v>
      </c>
      <c r="S35" s="282">
        <f t="shared" si="7"/>
        <v>0</v>
      </c>
      <c r="T35" s="282">
        <f t="shared" si="7"/>
        <v>0</v>
      </c>
      <c r="U35" s="282">
        <f t="shared" si="7"/>
        <v>0</v>
      </c>
      <c r="V35" s="283">
        <f t="shared" si="7"/>
        <v>0</v>
      </c>
      <c r="W35" s="441"/>
      <c r="X35" s="406" t="s">
        <v>498</v>
      </c>
      <c r="Y35" s="282">
        <f>Y34</f>
        <v>0</v>
      </c>
      <c r="Z35" s="282">
        <f t="shared" ref="Z35:AD35" si="8">Z34</f>
        <v>0</v>
      </c>
      <c r="AA35" s="282">
        <f t="shared" si="8"/>
        <v>0</v>
      </c>
      <c r="AB35" s="282">
        <f t="shared" si="8"/>
        <v>0</v>
      </c>
      <c r="AC35" s="282">
        <f t="shared" si="8"/>
        <v>0</v>
      </c>
      <c r="AD35" s="282">
        <f t="shared" si="8"/>
        <v>0</v>
      </c>
      <c r="AE35" s="282">
        <f>SUM(AE23:AE33)</f>
        <v>0</v>
      </c>
      <c r="AF35" s="283">
        <f t="shared" ref="AF35" si="9">SUM(AF23:AF33)</f>
        <v>0</v>
      </c>
      <c r="AG35" s="281">
        <f t="shared" ref="AG35" si="10">SUM(AG23:AG33)</f>
        <v>0</v>
      </c>
      <c r="AH35" s="282">
        <f t="shared" ref="AH35" si="11">SUM(AH23:AH33)</f>
        <v>0</v>
      </c>
      <c r="AI35" s="282">
        <f t="shared" ref="AI35" si="12">SUM(AI23:AI33)</f>
        <v>0</v>
      </c>
      <c r="AJ35" s="282">
        <f t="shared" ref="AJ35" si="13">SUM(AJ23:AJ33)</f>
        <v>0</v>
      </c>
      <c r="AK35" s="283">
        <f t="shared" ref="AK35" si="14">SUM(AK23:AK33)</f>
        <v>0</v>
      </c>
      <c r="AL35" s="441"/>
      <c r="AM35" s="406" t="s">
        <v>2233</v>
      </c>
      <c r="AN35" s="282">
        <f>AN34</f>
        <v>0</v>
      </c>
      <c r="AO35" s="282">
        <f t="shared" ref="AO35" si="15">AO34</f>
        <v>0</v>
      </c>
      <c r="AP35" s="282">
        <f t="shared" ref="AP35" si="16">AP34</f>
        <v>0</v>
      </c>
      <c r="AQ35" s="282">
        <f t="shared" ref="AQ35" si="17">AQ34</f>
        <v>0</v>
      </c>
      <c r="AR35" s="282">
        <f t="shared" ref="AR35" si="18">AR34</f>
        <v>0</v>
      </c>
      <c r="AS35" s="282">
        <f t="shared" ref="AS35" si="19">AS34</f>
        <v>0</v>
      </c>
      <c r="AT35" s="282">
        <f>SUM(AT23:AT33)</f>
        <v>0</v>
      </c>
      <c r="AU35" s="283">
        <f t="shared" ref="AU35:AZ35" si="20">SUM(AU23:AU33)</f>
        <v>0</v>
      </c>
      <c r="AV35" s="281">
        <f t="shared" si="20"/>
        <v>0</v>
      </c>
      <c r="AW35" s="282">
        <f t="shared" si="20"/>
        <v>0</v>
      </c>
      <c r="AX35" s="282">
        <f t="shared" si="20"/>
        <v>0</v>
      </c>
      <c r="AY35" s="282">
        <f t="shared" si="20"/>
        <v>0</v>
      </c>
      <c r="AZ35" s="283">
        <f t="shared" si="20"/>
        <v>0</v>
      </c>
      <c r="BA35" s="441"/>
      <c r="BB35" s="405"/>
      <c r="BC35" s="209"/>
      <c r="BD35" s="209"/>
      <c r="BE35" s="209"/>
      <c r="BF35" s="209"/>
      <c r="BG35" s="209"/>
      <c r="BH35" s="209"/>
      <c r="BI35" s="209"/>
      <c r="BJ35" s="210"/>
    </row>
    <row r="36" spans="2:62" s="374" customFormat="1" ht="15" customHeight="1">
      <c r="B36" s="443"/>
      <c r="C36" s="924" t="s">
        <v>175</v>
      </c>
      <c r="D36" s="921"/>
      <c r="E36" s="921"/>
      <c r="F36" s="921"/>
      <c r="G36" s="388"/>
      <c r="H36" s="209"/>
      <c r="I36" s="209"/>
      <c r="J36" s="405"/>
      <c r="K36" s="209"/>
      <c r="L36" s="209"/>
      <c r="M36" s="209"/>
      <c r="N36" s="209"/>
      <c r="O36" s="209"/>
      <c r="P36" s="209"/>
      <c r="Q36" s="210"/>
      <c r="R36" s="405"/>
      <c r="S36" s="209"/>
      <c r="T36" s="209"/>
      <c r="U36" s="209"/>
      <c r="V36" s="210"/>
      <c r="W36" s="441"/>
      <c r="X36" s="209"/>
      <c r="Y36" s="405"/>
      <c r="Z36" s="209"/>
      <c r="AA36" s="209"/>
      <c r="AB36" s="209"/>
      <c r="AC36" s="209"/>
      <c r="AD36" s="209"/>
      <c r="AE36" s="209"/>
      <c r="AF36" s="210"/>
      <c r="AG36" s="405"/>
      <c r="AH36" s="209"/>
      <c r="AI36" s="209"/>
      <c r="AJ36" s="209"/>
      <c r="AK36" s="210"/>
      <c r="AL36" s="441"/>
      <c r="AM36" s="209"/>
      <c r="AN36" s="405"/>
      <c r="AO36" s="209"/>
      <c r="AP36" s="209"/>
      <c r="AQ36" s="209"/>
      <c r="AR36" s="209"/>
      <c r="AS36" s="209"/>
      <c r="AT36" s="209"/>
      <c r="AU36" s="210"/>
      <c r="AV36" s="405"/>
      <c r="AW36" s="209"/>
      <c r="AX36" s="209"/>
      <c r="AY36" s="209"/>
      <c r="AZ36" s="210"/>
      <c r="BA36" s="441"/>
      <c r="BB36" s="405"/>
      <c r="BC36" s="209"/>
      <c r="BD36" s="209"/>
      <c r="BE36" s="209"/>
      <c r="BF36" s="209"/>
      <c r="BG36" s="209"/>
      <c r="BH36" s="209"/>
      <c r="BI36" s="209"/>
      <c r="BJ36" s="210"/>
    </row>
    <row r="37" spans="2:62" s="374" customFormat="1" ht="15" customHeight="1">
      <c r="B37" s="435"/>
      <c r="C37" s="823"/>
      <c r="D37" s="926" t="s">
        <v>85</v>
      </c>
      <c r="E37" s="823"/>
      <c r="F37" s="823"/>
      <c r="G37" s="447" t="s">
        <v>2444</v>
      </c>
      <c r="H37" s="209"/>
      <c r="I37" s="406" t="s">
        <v>498</v>
      </c>
      <c r="J37" s="929"/>
      <c r="K37" s="930"/>
      <c r="L37" s="930"/>
      <c r="M37" s="930"/>
      <c r="N37" s="930"/>
      <c r="O37" s="930"/>
      <c r="P37" s="298">
        <v>0.12790864437566754</v>
      </c>
      <c r="Q37" s="299">
        <v>0</v>
      </c>
      <c r="R37" s="297">
        <v>0</v>
      </c>
      <c r="S37" s="298">
        <v>0</v>
      </c>
      <c r="T37" s="298">
        <v>0</v>
      </c>
      <c r="U37" s="298">
        <v>0</v>
      </c>
      <c r="V37" s="299">
        <v>0</v>
      </c>
      <c r="W37" s="441"/>
      <c r="X37" s="406" t="s">
        <v>498</v>
      </c>
      <c r="Y37" s="929"/>
      <c r="Z37" s="930"/>
      <c r="AA37" s="930"/>
      <c r="AB37" s="930"/>
      <c r="AC37" s="930"/>
      <c r="AD37" s="930"/>
      <c r="AE37" s="298">
        <v>0</v>
      </c>
      <c r="AF37" s="299">
        <v>0</v>
      </c>
      <c r="AG37" s="297">
        <v>0</v>
      </c>
      <c r="AH37" s="298">
        <v>0</v>
      </c>
      <c r="AI37" s="298">
        <v>0</v>
      </c>
      <c r="AJ37" s="298">
        <v>0</v>
      </c>
      <c r="AK37" s="299">
        <v>0</v>
      </c>
      <c r="AL37" s="441"/>
      <c r="AM37" s="406" t="s">
        <v>2233</v>
      </c>
      <c r="AN37" s="929"/>
      <c r="AO37" s="930"/>
      <c r="AP37" s="930"/>
      <c r="AQ37" s="930"/>
      <c r="AR37" s="930"/>
      <c r="AS37" s="930"/>
      <c r="AT37" s="298">
        <v>0</v>
      </c>
      <c r="AU37" s="299">
        <v>0</v>
      </c>
      <c r="AV37" s="297">
        <v>0</v>
      </c>
      <c r="AW37" s="298">
        <v>0</v>
      </c>
      <c r="AX37" s="298">
        <v>0</v>
      </c>
      <c r="AY37" s="298">
        <v>0</v>
      </c>
      <c r="AZ37" s="299">
        <v>0</v>
      </c>
      <c r="BA37" s="441"/>
      <c r="BB37" s="1789"/>
      <c r="BC37" s="1461"/>
      <c r="BD37" s="211"/>
      <c r="BE37" s="211"/>
      <c r="BF37" s="209"/>
      <c r="BG37" s="456"/>
      <c r="BH37" s="456"/>
      <c r="BI37" s="1787"/>
      <c r="BJ37" s="457"/>
    </row>
    <row r="38" spans="2:62" s="374" customFormat="1" ht="15" customHeight="1">
      <c r="B38" s="435"/>
      <c r="C38" s="823"/>
      <c r="D38" s="926" t="s">
        <v>85</v>
      </c>
      <c r="E38" s="823"/>
      <c r="F38" s="823"/>
      <c r="G38" s="447" t="s">
        <v>2445</v>
      </c>
      <c r="H38" s="209"/>
      <c r="I38" s="406" t="s">
        <v>498</v>
      </c>
      <c r="J38" s="929"/>
      <c r="K38" s="930"/>
      <c r="L38" s="930"/>
      <c r="M38" s="930"/>
      <c r="N38" s="930"/>
      <c r="O38" s="930"/>
      <c r="P38" s="298">
        <v>3.2106504582831952</v>
      </c>
      <c r="Q38" s="299">
        <v>3.9880072639161459</v>
      </c>
      <c r="R38" s="297">
        <v>0</v>
      </c>
      <c r="S38" s="298">
        <v>0</v>
      </c>
      <c r="T38" s="298">
        <v>0</v>
      </c>
      <c r="U38" s="298">
        <v>0</v>
      </c>
      <c r="V38" s="299">
        <v>0</v>
      </c>
      <c r="W38" s="441"/>
      <c r="X38" s="406" t="s">
        <v>498</v>
      </c>
      <c r="Y38" s="929"/>
      <c r="Z38" s="930"/>
      <c r="AA38" s="930"/>
      <c r="AB38" s="930"/>
      <c r="AC38" s="930"/>
      <c r="AD38" s="930"/>
      <c r="AE38" s="298">
        <v>-1.7015121703286411</v>
      </c>
      <c r="AF38" s="299">
        <v>-2.9850022661325681</v>
      </c>
      <c r="AG38" s="297">
        <v>0</v>
      </c>
      <c r="AH38" s="298">
        <v>0</v>
      </c>
      <c r="AI38" s="298">
        <v>0</v>
      </c>
      <c r="AJ38" s="298">
        <v>0</v>
      </c>
      <c r="AK38" s="299">
        <v>0</v>
      </c>
      <c r="AL38" s="441"/>
      <c r="AM38" s="406" t="s">
        <v>2233</v>
      </c>
      <c r="AN38" s="929"/>
      <c r="AO38" s="930"/>
      <c r="AP38" s="930"/>
      <c r="AQ38" s="930"/>
      <c r="AR38" s="930"/>
      <c r="AS38" s="930"/>
      <c r="AT38" s="298">
        <v>0</v>
      </c>
      <c r="AU38" s="299">
        <v>0.1</v>
      </c>
      <c r="AV38" s="297">
        <v>0</v>
      </c>
      <c r="AW38" s="298">
        <v>0</v>
      </c>
      <c r="AX38" s="298">
        <v>0</v>
      </c>
      <c r="AY38" s="298">
        <v>0</v>
      </c>
      <c r="AZ38" s="299">
        <v>0</v>
      </c>
      <c r="BA38" s="441"/>
      <c r="BB38" s="1789"/>
      <c r="BC38" s="1461"/>
      <c r="BD38" s="211"/>
      <c r="BE38" s="211"/>
      <c r="BF38" s="209"/>
      <c r="BG38" s="456"/>
      <c r="BH38" s="456"/>
      <c r="BI38" s="1787"/>
      <c r="BJ38" s="457"/>
    </row>
    <row r="39" spans="2:62" s="374" customFormat="1" ht="15" customHeight="1">
      <c r="B39" s="435"/>
      <c r="C39" s="823"/>
      <c r="D39" s="926" t="s">
        <v>85</v>
      </c>
      <c r="E39" s="823"/>
      <c r="F39" s="823"/>
      <c r="G39" s="447" t="s">
        <v>2446</v>
      </c>
      <c r="H39" s="209"/>
      <c r="I39" s="406" t="s">
        <v>498</v>
      </c>
      <c r="J39" s="929"/>
      <c r="K39" s="930"/>
      <c r="L39" s="930"/>
      <c r="M39" s="930"/>
      <c r="N39" s="930"/>
      <c r="O39" s="930"/>
      <c r="P39" s="298">
        <v>0</v>
      </c>
      <c r="Q39" s="299">
        <v>1.9834286119903872</v>
      </c>
      <c r="R39" s="297">
        <v>0</v>
      </c>
      <c r="S39" s="298">
        <v>0</v>
      </c>
      <c r="T39" s="298">
        <v>0</v>
      </c>
      <c r="U39" s="298">
        <v>0</v>
      </c>
      <c r="V39" s="299">
        <v>0</v>
      </c>
      <c r="W39" s="441"/>
      <c r="X39" s="406" t="s">
        <v>498</v>
      </c>
      <c r="Y39" s="929"/>
      <c r="Z39" s="930"/>
      <c r="AA39" s="930"/>
      <c r="AB39" s="930"/>
      <c r="AC39" s="930"/>
      <c r="AD39" s="930"/>
      <c r="AE39" s="298">
        <v>0</v>
      </c>
      <c r="AF39" s="299">
        <v>-1.4064311975931838</v>
      </c>
      <c r="AG39" s="297">
        <v>0</v>
      </c>
      <c r="AH39" s="298">
        <v>0</v>
      </c>
      <c r="AI39" s="298">
        <v>0</v>
      </c>
      <c r="AJ39" s="298">
        <v>0</v>
      </c>
      <c r="AK39" s="299">
        <v>0</v>
      </c>
      <c r="AL39" s="441"/>
      <c r="AM39" s="406" t="s">
        <v>2233</v>
      </c>
      <c r="AN39" s="929"/>
      <c r="AO39" s="930"/>
      <c r="AP39" s="930"/>
      <c r="AQ39" s="930"/>
      <c r="AR39" s="930"/>
      <c r="AS39" s="930"/>
      <c r="AT39" s="298">
        <v>0</v>
      </c>
      <c r="AU39" s="299">
        <v>0.6</v>
      </c>
      <c r="AV39" s="297">
        <v>0</v>
      </c>
      <c r="AW39" s="298">
        <v>0</v>
      </c>
      <c r="AX39" s="298">
        <v>0</v>
      </c>
      <c r="AY39" s="298">
        <v>0</v>
      </c>
      <c r="AZ39" s="299">
        <v>0</v>
      </c>
      <c r="BA39" s="441"/>
      <c r="BB39" s="1789"/>
      <c r="BC39" s="1461"/>
      <c r="BD39" s="211"/>
      <c r="BE39" s="211"/>
      <c r="BF39" s="209"/>
      <c r="BG39" s="456"/>
      <c r="BH39" s="456"/>
      <c r="BI39" s="1787"/>
      <c r="BJ39" s="457"/>
    </row>
    <row r="40" spans="2:62" s="374" customFormat="1" ht="15" customHeight="1">
      <c r="B40" s="435"/>
      <c r="C40" s="823"/>
      <c r="D40" s="926" t="s">
        <v>85</v>
      </c>
      <c r="E40" s="823"/>
      <c r="F40" s="823"/>
      <c r="G40" s="447" t="s">
        <v>2447</v>
      </c>
      <c r="H40" s="209"/>
      <c r="I40" s="406" t="s">
        <v>498</v>
      </c>
      <c r="J40" s="929"/>
      <c r="K40" s="930"/>
      <c r="L40" s="930"/>
      <c r="M40" s="930"/>
      <c r="N40" s="930"/>
      <c r="O40" s="930"/>
      <c r="P40" s="298"/>
      <c r="Q40" s="299"/>
      <c r="R40" s="297">
        <v>0</v>
      </c>
      <c r="S40" s="298">
        <v>1.5228304239783246</v>
      </c>
      <c r="T40" s="298">
        <v>1.5228304239783246</v>
      </c>
      <c r="U40" s="298">
        <v>1.5228304239783246</v>
      </c>
      <c r="V40" s="299">
        <v>1.5228304239783246</v>
      </c>
      <c r="W40" s="441"/>
      <c r="X40" s="406" t="s">
        <v>498</v>
      </c>
      <c r="Y40" s="929"/>
      <c r="Z40" s="930"/>
      <c r="AA40" s="930"/>
      <c r="AB40" s="930"/>
      <c r="AC40" s="930"/>
      <c r="AD40" s="930"/>
      <c r="AE40" s="298">
        <v>0</v>
      </c>
      <c r="AF40" s="299">
        <v>0</v>
      </c>
      <c r="AG40" s="297">
        <v>0</v>
      </c>
      <c r="AH40" s="298">
        <v>0</v>
      </c>
      <c r="AI40" s="298">
        <v>0</v>
      </c>
      <c r="AJ40" s="298">
        <v>0</v>
      </c>
      <c r="AK40" s="299">
        <v>0</v>
      </c>
      <c r="AL40" s="441"/>
      <c r="AM40" s="406" t="s">
        <v>2233</v>
      </c>
      <c r="AN40" s="929"/>
      <c r="AO40" s="930"/>
      <c r="AP40" s="930"/>
      <c r="AQ40" s="930"/>
      <c r="AR40" s="930"/>
      <c r="AS40" s="930"/>
      <c r="AT40" s="298">
        <v>0</v>
      </c>
      <c r="AU40" s="299">
        <v>0</v>
      </c>
      <c r="AV40" s="297">
        <v>0</v>
      </c>
      <c r="AW40" s="298">
        <v>0</v>
      </c>
      <c r="AX40" s="298">
        <v>0</v>
      </c>
      <c r="AY40" s="298">
        <v>0</v>
      </c>
      <c r="AZ40" s="299">
        <v>0</v>
      </c>
      <c r="BA40" s="441"/>
      <c r="BB40" s="1789"/>
      <c r="BC40" s="1461"/>
      <c r="BD40" s="211"/>
      <c r="BE40" s="211"/>
      <c r="BF40" s="209"/>
      <c r="BG40" s="456"/>
      <c r="BH40" s="456"/>
      <c r="BI40" s="1787"/>
      <c r="BJ40" s="457"/>
    </row>
    <row r="41" spans="2:62" s="374" customFormat="1" ht="15" customHeight="1">
      <c r="B41" s="435"/>
      <c r="C41" s="823"/>
      <c r="D41" s="926" t="s">
        <v>85</v>
      </c>
      <c r="E41" s="823"/>
      <c r="F41" s="823"/>
      <c r="G41" s="447" t="s">
        <v>2451</v>
      </c>
      <c r="H41" s="209"/>
      <c r="I41" s="406" t="s">
        <v>498</v>
      </c>
      <c r="J41" s="929"/>
      <c r="K41" s="930"/>
      <c r="L41" s="930"/>
      <c r="M41" s="930"/>
      <c r="N41" s="930"/>
      <c r="O41" s="930"/>
      <c r="P41" s="298">
        <v>0.25</v>
      </c>
      <c r="Q41" s="299">
        <v>0.51822911352405177</v>
      </c>
      <c r="R41" s="297">
        <v>2.3956983020860436</v>
      </c>
      <c r="S41" s="298">
        <v>5.4901419422805162</v>
      </c>
      <c r="T41" s="298">
        <v>6.887632618497376</v>
      </c>
      <c r="U41" s="298">
        <v>3.793188978302902</v>
      </c>
      <c r="V41" s="299">
        <v>0.89838686328226636</v>
      </c>
      <c r="W41" s="441"/>
      <c r="X41" s="406" t="s">
        <v>498</v>
      </c>
      <c r="Y41" s="929"/>
      <c r="Z41" s="930"/>
      <c r="AA41" s="930"/>
      <c r="AB41" s="930"/>
      <c r="AC41" s="930"/>
      <c r="AD41" s="930"/>
      <c r="AE41" s="298">
        <v>0</v>
      </c>
      <c r="AF41" s="299">
        <v>0</v>
      </c>
      <c r="AG41" s="297">
        <v>0</v>
      </c>
      <c r="AH41" s="298">
        <v>0</v>
      </c>
      <c r="AI41" s="298">
        <v>0</v>
      </c>
      <c r="AJ41" s="298">
        <v>0</v>
      </c>
      <c r="AK41" s="299">
        <v>0</v>
      </c>
      <c r="AL41" s="441"/>
      <c r="AM41" s="406" t="s">
        <v>2233</v>
      </c>
      <c r="AN41" s="929"/>
      <c r="AO41" s="930"/>
      <c r="AP41" s="930"/>
      <c r="AQ41" s="930"/>
      <c r="AR41" s="930"/>
      <c r="AS41" s="930"/>
      <c r="AT41" s="298">
        <v>0</v>
      </c>
      <c r="AU41" s="299">
        <v>0</v>
      </c>
      <c r="AV41" s="297">
        <v>0</v>
      </c>
      <c r="AW41" s="298">
        <v>0</v>
      </c>
      <c r="AX41" s="298">
        <v>0</v>
      </c>
      <c r="AY41" s="298">
        <v>0</v>
      </c>
      <c r="AZ41" s="299">
        <v>0</v>
      </c>
      <c r="BA41" s="441"/>
      <c r="BB41" s="1789"/>
      <c r="BC41" s="1461"/>
      <c r="BD41" s="211"/>
      <c r="BE41" s="211"/>
      <c r="BF41" s="209"/>
      <c r="BG41" s="456"/>
      <c r="BH41" s="456"/>
      <c r="BI41" s="1787"/>
      <c r="BJ41" s="457"/>
    </row>
    <row r="42" spans="2:62" s="374" customFormat="1" ht="15" customHeight="1">
      <c r="B42" s="435"/>
      <c r="C42" s="823"/>
      <c r="D42" s="926" t="s">
        <v>85</v>
      </c>
      <c r="E42" s="823"/>
      <c r="F42" s="823"/>
      <c r="G42" s="447"/>
      <c r="H42" s="209"/>
      <c r="I42" s="406" t="s">
        <v>498</v>
      </c>
      <c r="J42" s="929"/>
      <c r="K42" s="930"/>
      <c r="L42" s="930"/>
      <c r="M42" s="930"/>
      <c r="N42" s="930"/>
      <c r="O42" s="930"/>
      <c r="P42" s="298"/>
      <c r="Q42" s="299"/>
      <c r="R42" s="297">
        <v>0</v>
      </c>
      <c r="S42" s="298">
        <v>0</v>
      </c>
      <c r="T42" s="298">
        <v>0</v>
      </c>
      <c r="U42" s="298">
        <v>0</v>
      </c>
      <c r="V42" s="299">
        <v>0</v>
      </c>
      <c r="W42" s="441"/>
      <c r="X42" s="406" t="s">
        <v>498</v>
      </c>
      <c r="Y42" s="929"/>
      <c r="Z42" s="930"/>
      <c r="AA42" s="930"/>
      <c r="AB42" s="930"/>
      <c r="AC42" s="930"/>
      <c r="AD42" s="930"/>
      <c r="AE42" s="298">
        <v>0</v>
      </c>
      <c r="AF42" s="299">
        <v>0</v>
      </c>
      <c r="AG42" s="297">
        <v>0</v>
      </c>
      <c r="AH42" s="298">
        <v>0</v>
      </c>
      <c r="AI42" s="298">
        <v>0</v>
      </c>
      <c r="AJ42" s="298">
        <v>0</v>
      </c>
      <c r="AK42" s="299">
        <v>0</v>
      </c>
      <c r="AL42" s="441"/>
      <c r="AM42" s="406" t="s">
        <v>2233</v>
      </c>
      <c r="AN42" s="929"/>
      <c r="AO42" s="930"/>
      <c r="AP42" s="930"/>
      <c r="AQ42" s="930"/>
      <c r="AR42" s="930"/>
      <c r="AS42" s="930"/>
      <c r="AT42" s="298">
        <v>0</v>
      </c>
      <c r="AU42" s="299">
        <v>0</v>
      </c>
      <c r="AV42" s="297">
        <v>0</v>
      </c>
      <c r="AW42" s="298">
        <v>0</v>
      </c>
      <c r="AX42" s="298">
        <v>0</v>
      </c>
      <c r="AY42" s="298">
        <v>0</v>
      </c>
      <c r="AZ42" s="299">
        <v>0</v>
      </c>
      <c r="BA42" s="441"/>
      <c r="BB42" s="1789"/>
      <c r="BC42" s="1461"/>
      <c r="BD42" s="211"/>
      <c r="BE42" s="211"/>
      <c r="BF42" s="209"/>
      <c r="BG42" s="456"/>
      <c r="BH42" s="456"/>
      <c r="BI42" s="1787"/>
      <c r="BJ42" s="457"/>
    </row>
    <row r="43" spans="2:62" s="374" customFormat="1" ht="15" customHeight="1">
      <c r="B43" s="435"/>
      <c r="C43" s="823"/>
      <c r="D43" s="926" t="s">
        <v>85</v>
      </c>
      <c r="E43" s="823"/>
      <c r="F43" s="823"/>
      <c r="G43" s="447"/>
      <c r="H43" s="209"/>
      <c r="I43" s="406" t="s">
        <v>498</v>
      </c>
      <c r="J43" s="929"/>
      <c r="K43" s="930"/>
      <c r="L43" s="930"/>
      <c r="M43" s="930"/>
      <c r="N43" s="930"/>
      <c r="O43" s="930"/>
      <c r="P43" s="298">
        <v>0</v>
      </c>
      <c r="Q43" s="299">
        <v>0</v>
      </c>
      <c r="R43" s="297">
        <v>0</v>
      </c>
      <c r="S43" s="298">
        <v>0</v>
      </c>
      <c r="T43" s="298">
        <v>0</v>
      </c>
      <c r="U43" s="298">
        <v>0</v>
      </c>
      <c r="V43" s="299">
        <v>0</v>
      </c>
      <c r="W43" s="441"/>
      <c r="X43" s="406" t="s">
        <v>498</v>
      </c>
      <c r="Y43" s="929"/>
      <c r="Z43" s="930"/>
      <c r="AA43" s="930"/>
      <c r="AB43" s="930"/>
      <c r="AC43" s="930"/>
      <c r="AD43" s="930"/>
      <c r="AE43" s="298">
        <v>0</v>
      </c>
      <c r="AF43" s="299">
        <v>0</v>
      </c>
      <c r="AG43" s="297">
        <v>0</v>
      </c>
      <c r="AH43" s="298">
        <v>0</v>
      </c>
      <c r="AI43" s="298">
        <v>0</v>
      </c>
      <c r="AJ43" s="298">
        <v>0</v>
      </c>
      <c r="AK43" s="299">
        <v>0</v>
      </c>
      <c r="AL43" s="441"/>
      <c r="AM43" s="406" t="s">
        <v>2233</v>
      </c>
      <c r="AN43" s="929"/>
      <c r="AO43" s="930"/>
      <c r="AP43" s="930"/>
      <c r="AQ43" s="930"/>
      <c r="AR43" s="930"/>
      <c r="AS43" s="930"/>
      <c r="AT43" s="298">
        <v>0</v>
      </c>
      <c r="AU43" s="299">
        <v>0</v>
      </c>
      <c r="AV43" s="297">
        <v>0</v>
      </c>
      <c r="AW43" s="298">
        <v>0</v>
      </c>
      <c r="AX43" s="298">
        <v>0</v>
      </c>
      <c r="AY43" s="298">
        <v>0</v>
      </c>
      <c r="AZ43" s="299">
        <v>0</v>
      </c>
      <c r="BA43" s="441"/>
      <c r="BB43" s="1789"/>
      <c r="BC43" s="1461"/>
      <c r="BD43" s="211"/>
      <c r="BE43" s="211"/>
      <c r="BF43" s="209"/>
      <c r="BG43" s="456"/>
      <c r="BH43" s="456"/>
      <c r="BI43" s="1787"/>
      <c r="BJ43" s="457"/>
    </row>
    <row r="44" spans="2:62" s="374" customFormat="1" ht="15" customHeight="1">
      <c r="B44" s="435"/>
      <c r="C44" s="823"/>
      <c r="D44" s="926" t="s">
        <v>85</v>
      </c>
      <c r="E44" s="823"/>
      <c r="F44" s="823"/>
      <c r="G44" s="447"/>
      <c r="H44" s="209"/>
      <c r="I44" s="406" t="s">
        <v>498</v>
      </c>
      <c r="J44" s="929"/>
      <c r="K44" s="930"/>
      <c r="L44" s="930"/>
      <c r="M44" s="930"/>
      <c r="N44" s="930"/>
      <c r="O44" s="930"/>
      <c r="P44" s="298">
        <v>0</v>
      </c>
      <c r="Q44" s="299">
        <v>0</v>
      </c>
      <c r="R44" s="297">
        <v>0</v>
      </c>
      <c r="S44" s="298">
        <v>0</v>
      </c>
      <c r="T44" s="298">
        <v>0</v>
      </c>
      <c r="U44" s="298">
        <v>0</v>
      </c>
      <c r="V44" s="299">
        <v>0</v>
      </c>
      <c r="W44" s="441"/>
      <c r="X44" s="406" t="s">
        <v>498</v>
      </c>
      <c r="Y44" s="929"/>
      <c r="Z44" s="930"/>
      <c r="AA44" s="930"/>
      <c r="AB44" s="930"/>
      <c r="AC44" s="930"/>
      <c r="AD44" s="930"/>
      <c r="AE44" s="298">
        <v>0</v>
      </c>
      <c r="AF44" s="299">
        <v>0</v>
      </c>
      <c r="AG44" s="297">
        <v>0</v>
      </c>
      <c r="AH44" s="298">
        <v>0</v>
      </c>
      <c r="AI44" s="298">
        <v>0</v>
      </c>
      <c r="AJ44" s="298">
        <v>0</v>
      </c>
      <c r="AK44" s="299">
        <v>0</v>
      </c>
      <c r="AL44" s="441"/>
      <c r="AM44" s="406" t="s">
        <v>2233</v>
      </c>
      <c r="AN44" s="929"/>
      <c r="AO44" s="930"/>
      <c r="AP44" s="930"/>
      <c r="AQ44" s="930"/>
      <c r="AR44" s="930"/>
      <c r="AS44" s="930"/>
      <c r="AT44" s="298">
        <v>0</v>
      </c>
      <c r="AU44" s="299">
        <v>0</v>
      </c>
      <c r="AV44" s="297">
        <v>0</v>
      </c>
      <c r="AW44" s="298">
        <v>0</v>
      </c>
      <c r="AX44" s="298">
        <v>0</v>
      </c>
      <c r="AY44" s="298">
        <v>0</v>
      </c>
      <c r="AZ44" s="299">
        <v>0</v>
      </c>
      <c r="BA44" s="441"/>
      <c r="BB44" s="1789"/>
      <c r="BC44" s="1461"/>
      <c r="BD44" s="211"/>
      <c r="BE44" s="211"/>
      <c r="BF44" s="209"/>
      <c r="BG44" s="456"/>
      <c r="BH44" s="456"/>
      <c r="BI44" s="1787"/>
      <c r="BJ44" s="457"/>
    </row>
    <row r="45" spans="2:62" s="374" customFormat="1" ht="15" customHeight="1">
      <c r="B45" s="435"/>
      <c r="C45" s="823"/>
      <c r="D45" s="926" t="s">
        <v>85</v>
      </c>
      <c r="E45" s="823"/>
      <c r="F45" s="823"/>
      <c r="G45" s="447"/>
      <c r="H45" s="209"/>
      <c r="I45" s="406" t="s">
        <v>498</v>
      </c>
      <c r="J45" s="929"/>
      <c r="K45" s="930"/>
      <c r="L45" s="930"/>
      <c r="M45" s="930"/>
      <c r="N45" s="930"/>
      <c r="O45" s="930"/>
      <c r="P45" s="298">
        <v>0</v>
      </c>
      <c r="Q45" s="299">
        <v>0</v>
      </c>
      <c r="R45" s="297">
        <v>0</v>
      </c>
      <c r="S45" s="298">
        <v>0</v>
      </c>
      <c r="T45" s="298">
        <v>0</v>
      </c>
      <c r="U45" s="298">
        <v>0</v>
      </c>
      <c r="V45" s="299">
        <v>0</v>
      </c>
      <c r="W45" s="441"/>
      <c r="X45" s="406" t="s">
        <v>498</v>
      </c>
      <c r="Y45" s="929"/>
      <c r="Z45" s="930"/>
      <c r="AA45" s="930"/>
      <c r="AB45" s="930"/>
      <c r="AC45" s="930"/>
      <c r="AD45" s="930"/>
      <c r="AE45" s="298">
        <v>0</v>
      </c>
      <c r="AF45" s="299">
        <v>0</v>
      </c>
      <c r="AG45" s="297">
        <v>0</v>
      </c>
      <c r="AH45" s="298">
        <v>0</v>
      </c>
      <c r="AI45" s="298">
        <v>0</v>
      </c>
      <c r="AJ45" s="298">
        <v>0</v>
      </c>
      <c r="AK45" s="299">
        <v>0</v>
      </c>
      <c r="AL45" s="441"/>
      <c r="AM45" s="406" t="s">
        <v>2233</v>
      </c>
      <c r="AN45" s="929"/>
      <c r="AO45" s="930"/>
      <c r="AP45" s="930"/>
      <c r="AQ45" s="930"/>
      <c r="AR45" s="930"/>
      <c r="AS45" s="930"/>
      <c r="AT45" s="298">
        <v>0</v>
      </c>
      <c r="AU45" s="299">
        <v>0</v>
      </c>
      <c r="AV45" s="297">
        <v>0</v>
      </c>
      <c r="AW45" s="298">
        <v>0</v>
      </c>
      <c r="AX45" s="298">
        <v>0</v>
      </c>
      <c r="AY45" s="298">
        <v>0</v>
      </c>
      <c r="AZ45" s="299">
        <v>0</v>
      </c>
      <c r="BA45" s="441"/>
      <c r="BB45" s="1789"/>
      <c r="BC45" s="1461"/>
      <c r="BD45" s="211"/>
      <c r="BE45" s="211"/>
      <c r="BF45" s="209"/>
      <c r="BG45" s="456"/>
      <c r="BH45" s="456"/>
      <c r="BI45" s="1787"/>
      <c r="BJ45" s="457"/>
    </row>
    <row r="46" spans="2:62" s="374" customFormat="1" ht="15" customHeight="1">
      <c r="B46" s="435"/>
      <c r="C46" s="823"/>
      <c r="D46" s="926" t="s">
        <v>85</v>
      </c>
      <c r="E46" s="823"/>
      <c r="F46" s="823"/>
      <c r="G46" s="447"/>
      <c r="H46" s="209"/>
      <c r="I46" s="406" t="s">
        <v>498</v>
      </c>
      <c r="J46" s="929"/>
      <c r="K46" s="930"/>
      <c r="L46" s="930"/>
      <c r="M46" s="930"/>
      <c r="N46" s="930"/>
      <c r="O46" s="930"/>
      <c r="P46" s="298">
        <v>0</v>
      </c>
      <c r="Q46" s="299">
        <v>0</v>
      </c>
      <c r="R46" s="297">
        <v>0</v>
      </c>
      <c r="S46" s="298">
        <v>0</v>
      </c>
      <c r="T46" s="298">
        <v>0</v>
      </c>
      <c r="U46" s="298">
        <v>0</v>
      </c>
      <c r="V46" s="299">
        <v>0</v>
      </c>
      <c r="W46" s="441"/>
      <c r="X46" s="406" t="s">
        <v>498</v>
      </c>
      <c r="Y46" s="929"/>
      <c r="Z46" s="930"/>
      <c r="AA46" s="930"/>
      <c r="AB46" s="930"/>
      <c r="AC46" s="930"/>
      <c r="AD46" s="930"/>
      <c r="AE46" s="298">
        <v>0</v>
      </c>
      <c r="AF46" s="299">
        <v>0</v>
      </c>
      <c r="AG46" s="297">
        <v>0</v>
      </c>
      <c r="AH46" s="298">
        <v>0</v>
      </c>
      <c r="AI46" s="298">
        <v>0</v>
      </c>
      <c r="AJ46" s="298">
        <v>0</v>
      </c>
      <c r="AK46" s="299">
        <v>0</v>
      </c>
      <c r="AL46" s="441"/>
      <c r="AM46" s="406" t="s">
        <v>2233</v>
      </c>
      <c r="AN46" s="929"/>
      <c r="AO46" s="930"/>
      <c r="AP46" s="930"/>
      <c r="AQ46" s="930"/>
      <c r="AR46" s="930"/>
      <c r="AS46" s="930"/>
      <c r="AT46" s="298">
        <v>0</v>
      </c>
      <c r="AU46" s="299">
        <v>0</v>
      </c>
      <c r="AV46" s="297">
        <v>0</v>
      </c>
      <c r="AW46" s="298">
        <v>0</v>
      </c>
      <c r="AX46" s="298">
        <v>0</v>
      </c>
      <c r="AY46" s="298">
        <v>0</v>
      </c>
      <c r="AZ46" s="299">
        <v>0</v>
      </c>
      <c r="BA46" s="441"/>
      <c r="BB46" s="1789"/>
      <c r="BC46" s="1461"/>
      <c r="BD46" s="211"/>
      <c r="BE46" s="211"/>
      <c r="BF46" s="209"/>
      <c r="BG46" s="456"/>
      <c r="BH46" s="456"/>
      <c r="BI46" s="1787"/>
      <c r="BJ46" s="457"/>
    </row>
    <row r="47" spans="2:62" s="374" customFormat="1" ht="15" customHeight="1">
      <c r="B47" s="435"/>
      <c r="C47" s="823"/>
      <c r="D47" s="926" t="s">
        <v>2442</v>
      </c>
      <c r="E47" s="823"/>
      <c r="F47" s="823"/>
      <c r="G47" s="927"/>
      <c r="H47" s="209"/>
      <c r="I47" s="406" t="s">
        <v>498</v>
      </c>
      <c r="J47" s="929"/>
      <c r="K47" s="930"/>
      <c r="L47" s="930"/>
      <c r="M47" s="930"/>
      <c r="N47" s="930"/>
      <c r="O47" s="930"/>
      <c r="P47" s="298">
        <v>0.19139902702651057</v>
      </c>
      <c r="Q47" s="299">
        <v>0.45</v>
      </c>
      <c r="R47" s="297">
        <v>0</v>
      </c>
      <c r="S47" s="298">
        <v>0.414158834781992</v>
      </c>
      <c r="T47" s="298">
        <v>0.414158834781992</v>
      </c>
      <c r="U47" s="298">
        <v>0.414158834781992</v>
      </c>
      <c r="V47" s="299">
        <v>0.828317669563984</v>
      </c>
      <c r="W47" s="441"/>
      <c r="X47" s="406" t="s">
        <v>498</v>
      </c>
      <c r="Y47" s="929"/>
      <c r="Z47" s="930"/>
      <c r="AA47" s="930"/>
      <c r="AB47" s="930"/>
      <c r="AC47" s="930"/>
      <c r="AD47" s="930"/>
      <c r="AE47" s="298">
        <v>0</v>
      </c>
      <c r="AF47" s="299">
        <v>0</v>
      </c>
      <c r="AG47" s="297">
        <v>0</v>
      </c>
      <c r="AH47" s="298">
        <v>0</v>
      </c>
      <c r="AI47" s="298">
        <v>0</v>
      </c>
      <c r="AJ47" s="298">
        <v>0</v>
      </c>
      <c r="AK47" s="299">
        <v>0</v>
      </c>
      <c r="AL47" s="441"/>
      <c r="AM47" s="406" t="s">
        <v>2233</v>
      </c>
      <c r="AN47" s="929"/>
      <c r="AO47" s="930"/>
      <c r="AP47" s="930"/>
      <c r="AQ47" s="930"/>
      <c r="AR47" s="930"/>
      <c r="AS47" s="930"/>
      <c r="AT47" s="298">
        <v>0</v>
      </c>
      <c r="AU47" s="299">
        <v>0</v>
      </c>
      <c r="AV47" s="297">
        <v>0</v>
      </c>
      <c r="AW47" s="298">
        <v>0</v>
      </c>
      <c r="AX47" s="298">
        <v>0</v>
      </c>
      <c r="AY47" s="298">
        <v>0</v>
      </c>
      <c r="AZ47" s="299">
        <v>0</v>
      </c>
      <c r="BA47" s="441"/>
      <c r="BB47" s="405"/>
      <c r="BC47" s="209"/>
      <c r="BD47" s="209"/>
      <c r="BE47" s="209"/>
      <c r="BF47" s="209"/>
      <c r="BG47" s="209"/>
      <c r="BH47" s="209"/>
      <c r="BI47" s="209"/>
      <c r="BJ47" s="210"/>
    </row>
    <row r="48" spans="2:62" s="374" customFormat="1" ht="15" customHeight="1">
      <c r="B48" s="435"/>
      <c r="C48" s="823"/>
      <c r="D48" s="926" t="s">
        <v>2443</v>
      </c>
      <c r="E48" s="823"/>
      <c r="F48" s="823"/>
      <c r="G48" s="926"/>
      <c r="H48" s="209"/>
      <c r="I48" s="406" t="s">
        <v>498</v>
      </c>
      <c r="J48" s="297">
        <v>3.7055474986592923E-2</v>
      </c>
      <c r="K48" s="298">
        <v>0.31568605714285708</v>
      </c>
      <c r="L48" s="298">
        <v>1.6162011048339993</v>
      </c>
      <c r="M48" s="298">
        <v>4.0509785859641028</v>
      </c>
      <c r="N48" s="298">
        <v>5.7186397395160951</v>
      </c>
      <c r="O48" s="298">
        <v>1.9113998850685161</v>
      </c>
      <c r="P48" s="209"/>
      <c r="Q48" s="210"/>
      <c r="R48" s="405"/>
      <c r="S48" s="209"/>
      <c r="T48" s="209"/>
      <c r="U48" s="209"/>
      <c r="V48" s="210"/>
      <c r="W48" s="441"/>
      <c r="X48" s="406" t="s">
        <v>498</v>
      </c>
      <c r="Y48" s="297">
        <v>-6.1839030544267121E-2</v>
      </c>
      <c r="Z48" s="298">
        <v>-0.19978732987012979</v>
      </c>
      <c r="AA48" s="298">
        <v>-0.95022278538609772</v>
      </c>
      <c r="AB48" s="298">
        <v>-0.90023723512287124</v>
      </c>
      <c r="AC48" s="298">
        <v>-3.2536855010707577</v>
      </c>
      <c r="AD48" s="298">
        <v>0</v>
      </c>
      <c r="AE48" s="209"/>
      <c r="AF48" s="210"/>
      <c r="AG48" s="405"/>
      <c r="AH48" s="209"/>
      <c r="AI48" s="209"/>
      <c r="AJ48" s="209"/>
      <c r="AK48" s="210"/>
      <c r="AL48" s="441"/>
      <c r="AM48" s="406" t="s">
        <v>2233</v>
      </c>
      <c r="AN48" s="297">
        <v>0</v>
      </c>
      <c r="AO48" s="298">
        <v>0</v>
      </c>
      <c r="AP48" s="298">
        <v>2.1819999999999999</v>
      </c>
      <c r="AQ48" s="298">
        <v>2.8029999999999999</v>
      </c>
      <c r="AR48" s="298">
        <v>2.6010000000000004</v>
      </c>
      <c r="AS48" s="298">
        <v>2.6750000000000003</v>
      </c>
      <c r="AT48" s="209"/>
      <c r="AU48" s="210"/>
      <c r="AV48" s="405"/>
      <c r="AW48" s="209"/>
      <c r="AX48" s="209"/>
      <c r="AY48" s="209"/>
      <c r="AZ48" s="210"/>
      <c r="BA48" s="441"/>
      <c r="BB48" s="405"/>
      <c r="BC48" s="209"/>
      <c r="BD48" s="209"/>
      <c r="BE48" s="209"/>
      <c r="BF48" s="209"/>
      <c r="BG48" s="209"/>
      <c r="BH48" s="209"/>
      <c r="BI48" s="209"/>
      <c r="BJ48" s="210"/>
    </row>
    <row r="49" spans="2:62" s="374" customFormat="1" ht="15" customHeight="1">
      <c r="B49" s="435"/>
      <c r="C49" s="926" t="s">
        <v>1710</v>
      </c>
      <c r="D49" s="823"/>
      <c r="E49" s="823"/>
      <c r="F49" s="823"/>
      <c r="G49" s="927"/>
      <c r="H49" s="209"/>
      <c r="I49" s="406" t="s">
        <v>498</v>
      </c>
      <c r="J49" s="1551">
        <f>J48</f>
        <v>3.7055474986592923E-2</v>
      </c>
      <c r="K49" s="282">
        <f t="shared" ref="K49" si="21">K48</f>
        <v>0.31568605714285708</v>
      </c>
      <c r="L49" s="282">
        <f t="shared" ref="L49" si="22">L48</f>
        <v>1.6162011048339993</v>
      </c>
      <c r="M49" s="282">
        <f t="shared" ref="M49" si="23">M48</f>
        <v>4.0509785859641028</v>
      </c>
      <c r="N49" s="282">
        <f t="shared" ref="N49" si="24">N48</f>
        <v>5.7186397395160951</v>
      </c>
      <c r="O49" s="282">
        <f t="shared" ref="O49" si="25">O48</f>
        <v>1.9113998850685161</v>
      </c>
      <c r="P49" s="282">
        <f>SUM(P37:P47)</f>
        <v>3.7799581296853733</v>
      </c>
      <c r="Q49" s="283">
        <f>SUM(Q37:Q47)</f>
        <v>6.9396649894305851</v>
      </c>
      <c r="R49" s="281">
        <f t="shared" ref="R49:V49" si="26">SUM(R37:R47)</f>
        <v>2.3956983020860436</v>
      </c>
      <c r="S49" s="282">
        <f t="shared" si="26"/>
        <v>7.427131201040833</v>
      </c>
      <c r="T49" s="282">
        <f t="shared" si="26"/>
        <v>8.8246218772576928</v>
      </c>
      <c r="U49" s="282">
        <f t="shared" si="26"/>
        <v>5.7301782370632193</v>
      </c>
      <c r="V49" s="283">
        <f t="shared" si="26"/>
        <v>3.2495349568245748</v>
      </c>
      <c r="W49" s="441"/>
      <c r="X49" s="406" t="s">
        <v>498</v>
      </c>
      <c r="Y49" s="282">
        <f>Y48</f>
        <v>-6.1839030544267121E-2</v>
      </c>
      <c r="Z49" s="282">
        <f t="shared" ref="Z49" si="27">Z48</f>
        <v>-0.19978732987012979</v>
      </c>
      <c r="AA49" s="282">
        <f t="shared" ref="AA49" si="28">AA48</f>
        <v>-0.95022278538609772</v>
      </c>
      <c r="AB49" s="282">
        <f t="shared" ref="AB49" si="29">AB48</f>
        <v>-0.90023723512287124</v>
      </c>
      <c r="AC49" s="282">
        <f t="shared" ref="AC49" si="30">AC48</f>
        <v>-3.2536855010707577</v>
      </c>
      <c r="AD49" s="282">
        <f t="shared" ref="AD49" si="31">AD48</f>
        <v>0</v>
      </c>
      <c r="AE49" s="282">
        <f>SUM(AE37:AE47)</f>
        <v>-1.7015121703286411</v>
      </c>
      <c r="AF49" s="283">
        <f t="shared" ref="AF49:AK49" si="32">SUM(AF37:AF47)</f>
        <v>-4.3914334637257522</v>
      </c>
      <c r="AG49" s="281">
        <f t="shared" si="32"/>
        <v>0</v>
      </c>
      <c r="AH49" s="282">
        <f t="shared" si="32"/>
        <v>0</v>
      </c>
      <c r="AI49" s="282">
        <f t="shared" si="32"/>
        <v>0</v>
      </c>
      <c r="AJ49" s="282">
        <f t="shared" si="32"/>
        <v>0</v>
      </c>
      <c r="AK49" s="283">
        <f t="shared" si="32"/>
        <v>0</v>
      </c>
      <c r="AL49" s="441"/>
      <c r="AM49" s="406" t="s">
        <v>2233</v>
      </c>
      <c r="AN49" s="282">
        <f>AN48</f>
        <v>0</v>
      </c>
      <c r="AO49" s="282">
        <f t="shared" ref="AO49" si="33">AO48</f>
        <v>0</v>
      </c>
      <c r="AP49" s="282">
        <f t="shared" ref="AP49" si="34">AP48</f>
        <v>2.1819999999999999</v>
      </c>
      <c r="AQ49" s="282">
        <f t="shared" ref="AQ49" si="35">AQ48</f>
        <v>2.8029999999999999</v>
      </c>
      <c r="AR49" s="282">
        <f t="shared" ref="AR49" si="36">AR48</f>
        <v>2.6010000000000004</v>
      </c>
      <c r="AS49" s="282">
        <f t="shared" ref="AS49" si="37">AS48</f>
        <v>2.6750000000000003</v>
      </c>
      <c r="AT49" s="282">
        <f>SUM(AT37:AT47)</f>
        <v>0</v>
      </c>
      <c r="AU49" s="283">
        <f t="shared" ref="AU49:AZ49" si="38">SUM(AU37:AU47)</f>
        <v>0.7</v>
      </c>
      <c r="AV49" s="281">
        <f t="shared" si="38"/>
        <v>0</v>
      </c>
      <c r="AW49" s="282">
        <f t="shared" si="38"/>
        <v>0</v>
      </c>
      <c r="AX49" s="282">
        <f t="shared" si="38"/>
        <v>0</v>
      </c>
      <c r="AY49" s="282">
        <f t="shared" si="38"/>
        <v>0</v>
      </c>
      <c r="AZ49" s="283">
        <f t="shared" si="38"/>
        <v>0</v>
      </c>
      <c r="BA49" s="441"/>
      <c r="BB49" s="405"/>
      <c r="BC49" s="209"/>
      <c r="BD49" s="209"/>
      <c r="BE49" s="209"/>
      <c r="BF49" s="209"/>
      <c r="BG49" s="209"/>
      <c r="BH49" s="209"/>
      <c r="BI49" s="209"/>
      <c r="BJ49" s="210"/>
    </row>
    <row r="50" spans="2:62" s="374" customFormat="1" ht="15" customHeight="1">
      <c r="B50" s="443"/>
      <c r="C50" s="924" t="s">
        <v>2448</v>
      </c>
      <c r="D50" s="921"/>
      <c r="E50" s="921"/>
      <c r="F50" s="921"/>
      <c r="G50" s="388"/>
      <c r="H50" s="209"/>
      <c r="I50" s="209"/>
      <c r="J50" s="405"/>
      <c r="K50" s="209"/>
      <c r="L50" s="209"/>
      <c r="M50" s="209"/>
      <c r="N50" s="209"/>
      <c r="O50" s="209"/>
      <c r="P50" s="209"/>
      <c r="Q50" s="210"/>
      <c r="R50" s="405"/>
      <c r="S50" s="209"/>
      <c r="T50" s="209"/>
      <c r="U50" s="209"/>
      <c r="V50" s="210"/>
      <c r="W50" s="441"/>
      <c r="X50" s="209"/>
      <c r="Y50" s="405"/>
      <c r="Z50" s="209"/>
      <c r="AA50" s="209"/>
      <c r="AB50" s="209"/>
      <c r="AC50" s="209"/>
      <c r="AD50" s="209"/>
      <c r="AE50" s="209"/>
      <c r="AF50" s="210"/>
      <c r="AG50" s="405"/>
      <c r="AH50" s="209"/>
      <c r="AI50" s="209"/>
      <c r="AJ50" s="209"/>
      <c r="AK50" s="210"/>
      <c r="AL50" s="441"/>
      <c r="AM50" s="209"/>
      <c r="AN50" s="405"/>
      <c r="AO50" s="209"/>
      <c r="AP50" s="209"/>
      <c r="AQ50" s="209"/>
      <c r="AR50" s="209"/>
      <c r="AS50" s="209"/>
      <c r="AT50" s="209"/>
      <c r="AU50" s="210"/>
      <c r="AV50" s="405"/>
      <c r="AW50" s="209"/>
      <c r="AX50" s="209"/>
      <c r="AY50" s="209"/>
      <c r="AZ50" s="210"/>
      <c r="BA50" s="441"/>
      <c r="BB50" s="405"/>
      <c r="BC50" s="209"/>
      <c r="BD50" s="209"/>
      <c r="BE50" s="209"/>
      <c r="BF50" s="209"/>
      <c r="BG50" s="209"/>
      <c r="BH50" s="209"/>
      <c r="BI50" s="209"/>
      <c r="BJ50" s="210"/>
    </row>
    <row r="51" spans="2:62" s="374" customFormat="1" ht="15" customHeight="1">
      <c r="B51" s="435"/>
      <c r="C51" s="823"/>
      <c r="D51" s="926" t="s">
        <v>85</v>
      </c>
      <c r="E51" s="823"/>
      <c r="F51" s="823"/>
      <c r="G51" s="447"/>
      <c r="H51" s="209"/>
      <c r="I51" s="406" t="s">
        <v>498</v>
      </c>
      <c r="J51" s="929"/>
      <c r="K51" s="930"/>
      <c r="L51" s="930"/>
      <c r="M51" s="930"/>
      <c r="N51" s="930"/>
      <c r="O51" s="930"/>
      <c r="P51" s="298">
        <v>0</v>
      </c>
      <c r="Q51" s="299">
        <v>0</v>
      </c>
      <c r="R51" s="297">
        <v>0</v>
      </c>
      <c r="S51" s="298">
        <v>0</v>
      </c>
      <c r="T51" s="298">
        <v>0</v>
      </c>
      <c r="U51" s="298">
        <v>0</v>
      </c>
      <c r="V51" s="299">
        <v>0</v>
      </c>
      <c r="W51" s="441"/>
      <c r="X51" s="406" t="s">
        <v>498</v>
      </c>
      <c r="Y51" s="929"/>
      <c r="Z51" s="930"/>
      <c r="AA51" s="930"/>
      <c r="AB51" s="930"/>
      <c r="AC51" s="930"/>
      <c r="AD51" s="930"/>
      <c r="AE51" s="298">
        <v>0</v>
      </c>
      <c r="AF51" s="299">
        <v>0</v>
      </c>
      <c r="AG51" s="297">
        <v>0</v>
      </c>
      <c r="AH51" s="298">
        <v>0</v>
      </c>
      <c r="AI51" s="298">
        <v>0</v>
      </c>
      <c r="AJ51" s="298">
        <v>0</v>
      </c>
      <c r="AK51" s="299">
        <v>0</v>
      </c>
      <c r="AL51" s="441"/>
      <c r="AM51" s="406" t="s">
        <v>2233</v>
      </c>
      <c r="AN51" s="929"/>
      <c r="AO51" s="930"/>
      <c r="AP51" s="930"/>
      <c r="AQ51" s="930"/>
      <c r="AR51" s="930"/>
      <c r="AS51" s="930"/>
      <c r="AT51" s="298">
        <v>0</v>
      </c>
      <c r="AU51" s="299">
        <v>0</v>
      </c>
      <c r="AV51" s="297">
        <v>0</v>
      </c>
      <c r="AW51" s="298">
        <v>0</v>
      </c>
      <c r="AX51" s="298">
        <v>0</v>
      </c>
      <c r="AY51" s="298">
        <v>0</v>
      </c>
      <c r="AZ51" s="299">
        <v>0</v>
      </c>
      <c r="BA51" s="441"/>
      <c r="BB51" s="1789"/>
      <c r="BC51" s="1461"/>
      <c r="BD51" s="211"/>
      <c r="BE51" s="211"/>
      <c r="BF51" s="211"/>
      <c r="BG51" s="456"/>
      <c r="BH51" s="456"/>
      <c r="BI51" s="1787"/>
      <c r="BJ51" s="457" t="s">
        <v>2448</v>
      </c>
    </row>
    <row r="52" spans="2:62" s="374" customFormat="1" ht="15" customHeight="1">
      <c r="B52" s="435"/>
      <c r="C52" s="823"/>
      <c r="D52" s="926" t="s">
        <v>85</v>
      </c>
      <c r="E52" s="823"/>
      <c r="F52" s="823"/>
      <c r="G52" s="447"/>
      <c r="H52" s="209"/>
      <c r="I52" s="406" t="s">
        <v>498</v>
      </c>
      <c r="J52" s="929"/>
      <c r="K52" s="930"/>
      <c r="L52" s="930"/>
      <c r="M52" s="930"/>
      <c r="N52" s="930"/>
      <c r="O52" s="930"/>
      <c r="P52" s="298">
        <v>0</v>
      </c>
      <c r="Q52" s="299">
        <v>0</v>
      </c>
      <c r="R52" s="297">
        <v>0</v>
      </c>
      <c r="S52" s="298">
        <v>0</v>
      </c>
      <c r="T52" s="298">
        <v>0</v>
      </c>
      <c r="U52" s="298">
        <v>0</v>
      </c>
      <c r="V52" s="299">
        <v>0</v>
      </c>
      <c r="W52" s="441"/>
      <c r="X52" s="406" t="s">
        <v>498</v>
      </c>
      <c r="Y52" s="929"/>
      <c r="Z52" s="930"/>
      <c r="AA52" s="930"/>
      <c r="AB52" s="930"/>
      <c r="AC52" s="930"/>
      <c r="AD52" s="930"/>
      <c r="AE52" s="298">
        <v>0</v>
      </c>
      <c r="AF52" s="299">
        <v>0</v>
      </c>
      <c r="AG52" s="297">
        <v>0</v>
      </c>
      <c r="AH52" s="298">
        <v>0</v>
      </c>
      <c r="AI52" s="298">
        <v>0</v>
      </c>
      <c r="AJ52" s="298">
        <v>0</v>
      </c>
      <c r="AK52" s="299">
        <v>0</v>
      </c>
      <c r="AL52" s="441"/>
      <c r="AM52" s="406" t="s">
        <v>2233</v>
      </c>
      <c r="AN52" s="929"/>
      <c r="AO52" s="930"/>
      <c r="AP52" s="930"/>
      <c r="AQ52" s="930"/>
      <c r="AR52" s="930"/>
      <c r="AS52" s="930"/>
      <c r="AT52" s="298">
        <v>0</v>
      </c>
      <c r="AU52" s="299">
        <v>0</v>
      </c>
      <c r="AV52" s="297">
        <v>0</v>
      </c>
      <c r="AW52" s="298">
        <v>0</v>
      </c>
      <c r="AX52" s="298">
        <v>0</v>
      </c>
      <c r="AY52" s="298">
        <v>0</v>
      </c>
      <c r="AZ52" s="299">
        <v>0</v>
      </c>
      <c r="BA52" s="441"/>
      <c r="BB52" s="1789"/>
      <c r="BC52" s="1461"/>
      <c r="BD52" s="211"/>
      <c r="BE52" s="211"/>
      <c r="BF52" s="211"/>
      <c r="BG52" s="456"/>
      <c r="BH52" s="456"/>
      <c r="BI52" s="1787"/>
      <c r="BJ52" s="457" t="s">
        <v>2448</v>
      </c>
    </row>
    <row r="53" spans="2:62" s="374" customFormat="1" ht="15" customHeight="1">
      <c r="B53" s="435"/>
      <c r="C53" s="823"/>
      <c r="D53" s="926" t="s">
        <v>85</v>
      </c>
      <c r="E53" s="823"/>
      <c r="F53" s="823"/>
      <c r="G53" s="447"/>
      <c r="H53" s="209"/>
      <c r="I53" s="406" t="s">
        <v>498</v>
      </c>
      <c r="J53" s="929"/>
      <c r="K53" s="930"/>
      <c r="L53" s="930"/>
      <c r="M53" s="930"/>
      <c r="N53" s="930"/>
      <c r="O53" s="930"/>
      <c r="P53" s="298">
        <v>0</v>
      </c>
      <c r="Q53" s="299">
        <v>0</v>
      </c>
      <c r="R53" s="297">
        <v>0</v>
      </c>
      <c r="S53" s="298">
        <v>0</v>
      </c>
      <c r="T53" s="298">
        <v>0</v>
      </c>
      <c r="U53" s="298">
        <v>0</v>
      </c>
      <c r="V53" s="299">
        <v>0</v>
      </c>
      <c r="W53" s="441"/>
      <c r="X53" s="406" t="s">
        <v>498</v>
      </c>
      <c r="Y53" s="929"/>
      <c r="Z53" s="930"/>
      <c r="AA53" s="930"/>
      <c r="AB53" s="930"/>
      <c r="AC53" s="930"/>
      <c r="AD53" s="930"/>
      <c r="AE53" s="298">
        <v>0</v>
      </c>
      <c r="AF53" s="299">
        <v>0</v>
      </c>
      <c r="AG53" s="297">
        <v>0</v>
      </c>
      <c r="AH53" s="298">
        <v>0</v>
      </c>
      <c r="AI53" s="298">
        <v>0</v>
      </c>
      <c r="AJ53" s="298">
        <v>0</v>
      </c>
      <c r="AK53" s="299">
        <v>0</v>
      </c>
      <c r="AL53" s="441"/>
      <c r="AM53" s="406" t="s">
        <v>2233</v>
      </c>
      <c r="AN53" s="929"/>
      <c r="AO53" s="930"/>
      <c r="AP53" s="930"/>
      <c r="AQ53" s="930"/>
      <c r="AR53" s="930"/>
      <c r="AS53" s="930"/>
      <c r="AT53" s="298">
        <v>0</v>
      </c>
      <c r="AU53" s="299">
        <v>0</v>
      </c>
      <c r="AV53" s="297">
        <v>0</v>
      </c>
      <c r="AW53" s="298">
        <v>0</v>
      </c>
      <c r="AX53" s="298">
        <v>0</v>
      </c>
      <c r="AY53" s="298">
        <v>0</v>
      </c>
      <c r="AZ53" s="299">
        <v>0</v>
      </c>
      <c r="BA53" s="441"/>
      <c r="BB53" s="1789"/>
      <c r="BC53" s="1461"/>
      <c r="BD53" s="211"/>
      <c r="BE53" s="211"/>
      <c r="BF53" s="211"/>
      <c r="BG53" s="456"/>
      <c r="BH53" s="456"/>
      <c r="BI53" s="1787"/>
      <c r="BJ53" s="457" t="s">
        <v>2448</v>
      </c>
    </row>
    <row r="54" spans="2:62" s="374" customFormat="1" ht="15" customHeight="1">
      <c r="B54" s="435"/>
      <c r="C54" s="823"/>
      <c r="D54" s="926" t="s">
        <v>85</v>
      </c>
      <c r="E54" s="823"/>
      <c r="F54" s="823"/>
      <c r="G54" s="447"/>
      <c r="H54" s="209"/>
      <c r="I54" s="406" t="s">
        <v>498</v>
      </c>
      <c r="J54" s="929"/>
      <c r="K54" s="930"/>
      <c r="L54" s="930"/>
      <c r="M54" s="930"/>
      <c r="N54" s="930"/>
      <c r="O54" s="930"/>
      <c r="P54" s="298">
        <v>0</v>
      </c>
      <c r="Q54" s="299">
        <v>0</v>
      </c>
      <c r="R54" s="297">
        <v>0</v>
      </c>
      <c r="S54" s="298">
        <v>0</v>
      </c>
      <c r="T54" s="298">
        <v>0</v>
      </c>
      <c r="U54" s="298">
        <v>0</v>
      </c>
      <c r="V54" s="299">
        <v>0</v>
      </c>
      <c r="W54" s="441"/>
      <c r="X54" s="406" t="s">
        <v>498</v>
      </c>
      <c r="Y54" s="929"/>
      <c r="Z54" s="930"/>
      <c r="AA54" s="930"/>
      <c r="AB54" s="930"/>
      <c r="AC54" s="930"/>
      <c r="AD54" s="930"/>
      <c r="AE54" s="298">
        <v>0</v>
      </c>
      <c r="AF54" s="299">
        <v>0</v>
      </c>
      <c r="AG54" s="297">
        <v>0</v>
      </c>
      <c r="AH54" s="298">
        <v>0</v>
      </c>
      <c r="AI54" s="298">
        <v>0</v>
      </c>
      <c r="AJ54" s="298">
        <v>0</v>
      </c>
      <c r="AK54" s="299">
        <v>0</v>
      </c>
      <c r="AL54" s="441"/>
      <c r="AM54" s="406" t="s">
        <v>2233</v>
      </c>
      <c r="AN54" s="929"/>
      <c r="AO54" s="930"/>
      <c r="AP54" s="930"/>
      <c r="AQ54" s="930"/>
      <c r="AR54" s="930"/>
      <c r="AS54" s="930"/>
      <c r="AT54" s="298">
        <v>0</v>
      </c>
      <c r="AU54" s="299">
        <v>0</v>
      </c>
      <c r="AV54" s="297">
        <v>0</v>
      </c>
      <c r="AW54" s="298">
        <v>0</v>
      </c>
      <c r="AX54" s="298">
        <v>0</v>
      </c>
      <c r="AY54" s="298">
        <v>0</v>
      </c>
      <c r="AZ54" s="299">
        <v>0</v>
      </c>
      <c r="BA54" s="441"/>
      <c r="BB54" s="1789"/>
      <c r="BC54" s="1461"/>
      <c r="BD54" s="211"/>
      <c r="BE54" s="211"/>
      <c r="BF54" s="211"/>
      <c r="BG54" s="456"/>
      <c r="BH54" s="456"/>
      <c r="BI54" s="1787"/>
      <c r="BJ54" s="457" t="s">
        <v>2448</v>
      </c>
    </row>
    <row r="55" spans="2:62" s="374" customFormat="1" ht="15" customHeight="1">
      <c r="B55" s="435"/>
      <c r="C55" s="823"/>
      <c r="D55" s="926" t="s">
        <v>85</v>
      </c>
      <c r="E55" s="823"/>
      <c r="F55" s="823"/>
      <c r="G55" s="447"/>
      <c r="H55" s="209"/>
      <c r="I55" s="406" t="s">
        <v>498</v>
      </c>
      <c r="J55" s="929"/>
      <c r="K55" s="930"/>
      <c r="L55" s="930"/>
      <c r="M55" s="930"/>
      <c r="N55" s="930"/>
      <c r="O55" s="930"/>
      <c r="P55" s="298">
        <v>0</v>
      </c>
      <c r="Q55" s="299">
        <v>0</v>
      </c>
      <c r="R55" s="297">
        <v>0</v>
      </c>
      <c r="S55" s="298">
        <v>0</v>
      </c>
      <c r="T55" s="298">
        <v>0</v>
      </c>
      <c r="U55" s="298">
        <v>0</v>
      </c>
      <c r="V55" s="299">
        <v>0</v>
      </c>
      <c r="W55" s="441"/>
      <c r="X55" s="406" t="s">
        <v>498</v>
      </c>
      <c r="Y55" s="929"/>
      <c r="Z55" s="930"/>
      <c r="AA55" s="930"/>
      <c r="AB55" s="930"/>
      <c r="AC55" s="930"/>
      <c r="AD55" s="930"/>
      <c r="AE55" s="298">
        <v>0</v>
      </c>
      <c r="AF55" s="299">
        <v>0</v>
      </c>
      <c r="AG55" s="297">
        <v>0</v>
      </c>
      <c r="AH55" s="298">
        <v>0</v>
      </c>
      <c r="AI55" s="298">
        <v>0</v>
      </c>
      <c r="AJ55" s="298">
        <v>0</v>
      </c>
      <c r="AK55" s="299">
        <v>0</v>
      </c>
      <c r="AL55" s="441"/>
      <c r="AM55" s="406" t="s">
        <v>2233</v>
      </c>
      <c r="AN55" s="929"/>
      <c r="AO55" s="930"/>
      <c r="AP55" s="930"/>
      <c r="AQ55" s="930"/>
      <c r="AR55" s="930"/>
      <c r="AS55" s="930"/>
      <c r="AT55" s="298">
        <v>0</v>
      </c>
      <c r="AU55" s="299">
        <v>0</v>
      </c>
      <c r="AV55" s="297">
        <v>0</v>
      </c>
      <c r="AW55" s="298">
        <v>0</v>
      </c>
      <c r="AX55" s="298">
        <v>0</v>
      </c>
      <c r="AY55" s="298">
        <v>0</v>
      </c>
      <c r="AZ55" s="299">
        <v>0</v>
      </c>
      <c r="BA55" s="441"/>
      <c r="BB55" s="1789"/>
      <c r="BC55" s="1461"/>
      <c r="BD55" s="211"/>
      <c r="BE55" s="211"/>
      <c r="BF55" s="211"/>
      <c r="BG55" s="456"/>
      <c r="BH55" s="456"/>
      <c r="BI55" s="1787"/>
      <c r="BJ55" s="457" t="s">
        <v>2448</v>
      </c>
    </row>
    <row r="56" spans="2:62" s="374" customFormat="1" ht="15" customHeight="1">
      <c r="B56" s="435"/>
      <c r="C56" s="823"/>
      <c r="D56" s="926" t="s">
        <v>85</v>
      </c>
      <c r="E56" s="823"/>
      <c r="F56" s="823"/>
      <c r="G56" s="447"/>
      <c r="H56" s="209"/>
      <c r="I56" s="406" t="s">
        <v>498</v>
      </c>
      <c r="J56" s="929"/>
      <c r="K56" s="930"/>
      <c r="L56" s="930"/>
      <c r="M56" s="930"/>
      <c r="N56" s="930"/>
      <c r="O56" s="930"/>
      <c r="P56" s="298">
        <v>0</v>
      </c>
      <c r="Q56" s="299">
        <v>0</v>
      </c>
      <c r="R56" s="297">
        <v>0</v>
      </c>
      <c r="S56" s="298">
        <v>0</v>
      </c>
      <c r="T56" s="298">
        <v>0</v>
      </c>
      <c r="U56" s="298">
        <v>0</v>
      </c>
      <c r="V56" s="299">
        <v>0</v>
      </c>
      <c r="W56" s="441"/>
      <c r="X56" s="406" t="s">
        <v>498</v>
      </c>
      <c r="Y56" s="929"/>
      <c r="Z56" s="930"/>
      <c r="AA56" s="930"/>
      <c r="AB56" s="930"/>
      <c r="AC56" s="930"/>
      <c r="AD56" s="930"/>
      <c r="AE56" s="298">
        <v>0</v>
      </c>
      <c r="AF56" s="299">
        <v>0</v>
      </c>
      <c r="AG56" s="297">
        <v>0</v>
      </c>
      <c r="AH56" s="298">
        <v>0</v>
      </c>
      <c r="AI56" s="298">
        <v>0</v>
      </c>
      <c r="AJ56" s="298">
        <v>0</v>
      </c>
      <c r="AK56" s="299">
        <v>0</v>
      </c>
      <c r="AL56" s="441"/>
      <c r="AM56" s="406" t="s">
        <v>2233</v>
      </c>
      <c r="AN56" s="929"/>
      <c r="AO56" s="930"/>
      <c r="AP56" s="930"/>
      <c r="AQ56" s="930"/>
      <c r="AR56" s="930"/>
      <c r="AS56" s="930"/>
      <c r="AT56" s="298">
        <v>0</v>
      </c>
      <c r="AU56" s="299">
        <v>0</v>
      </c>
      <c r="AV56" s="297">
        <v>0</v>
      </c>
      <c r="AW56" s="298">
        <v>0</v>
      </c>
      <c r="AX56" s="298">
        <v>0</v>
      </c>
      <c r="AY56" s="298">
        <v>0</v>
      </c>
      <c r="AZ56" s="299">
        <v>0</v>
      </c>
      <c r="BA56" s="441"/>
      <c r="BB56" s="1789"/>
      <c r="BC56" s="1461"/>
      <c r="BD56" s="211"/>
      <c r="BE56" s="211"/>
      <c r="BF56" s="211"/>
      <c r="BG56" s="456"/>
      <c r="BH56" s="456"/>
      <c r="BI56" s="1787"/>
      <c r="BJ56" s="457" t="s">
        <v>2448</v>
      </c>
    </row>
    <row r="57" spans="2:62" s="374" customFormat="1" ht="15" customHeight="1">
      <c r="B57" s="435"/>
      <c r="C57" s="823"/>
      <c r="D57" s="926" t="s">
        <v>85</v>
      </c>
      <c r="E57" s="823"/>
      <c r="F57" s="823"/>
      <c r="G57" s="447"/>
      <c r="H57" s="209"/>
      <c r="I57" s="406" t="s">
        <v>498</v>
      </c>
      <c r="J57" s="929"/>
      <c r="K57" s="930"/>
      <c r="L57" s="930"/>
      <c r="M57" s="930"/>
      <c r="N57" s="930"/>
      <c r="O57" s="930"/>
      <c r="P57" s="298">
        <v>0</v>
      </c>
      <c r="Q57" s="299">
        <v>0</v>
      </c>
      <c r="R57" s="297">
        <v>0</v>
      </c>
      <c r="S57" s="298">
        <v>0</v>
      </c>
      <c r="T57" s="298">
        <v>0</v>
      </c>
      <c r="U57" s="298">
        <v>0</v>
      </c>
      <c r="V57" s="299">
        <v>0</v>
      </c>
      <c r="W57" s="441"/>
      <c r="X57" s="406" t="s">
        <v>498</v>
      </c>
      <c r="Y57" s="929"/>
      <c r="Z57" s="930"/>
      <c r="AA57" s="930"/>
      <c r="AB57" s="930"/>
      <c r="AC57" s="930"/>
      <c r="AD57" s="930"/>
      <c r="AE57" s="298">
        <v>0</v>
      </c>
      <c r="AF57" s="299">
        <v>0</v>
      </c>
      <c r="AG57" s="297">
        <v>0</v>
      </c>
      <c r="AH57" s="298">
        <v>0</v>
      </c>
      <c r="AI57" s="298">
        <v>0</v>
      </c>
      <c r="AJ57" s="298">
        <v>0</v>
      </c>
      <c r="AK57" s="299">
        <v>0</v>
      </c>
      <c r="AL57" s="441"/>
      <c r="AM57" s="406" t="s">
        <v>2233</v>
      </c>
      <c r="AN57" s="929"/>
      <c r="AO57" s="930"/>
      <c r="AP57" s="930"/>
      <c r="AQ57" s="930"/>
      <c r="AR57" s="930"/>
      <c r="AS57" s="930"/>
      <c r="AT57" s="298">
        <v>0</v>
      </c>
      <c r="AU57" s="299">
        <v>0</v>
      </c>
      <c r="AV57" s="297">
        <v>0</v>
      </c>
      <c r="AW57" s="298">
        <v>0</v>
      </c>
      <c r="AX57" s="298">
        <v>0</v>
      </c>
      <c r="AY57" s="298">
        <v>0</v>
      </c>
      <c r="AZ57" s="299">
        <v>0</v>
      </c>
      <c r="BA57" s="441"/>
      <c r="BB57" s="1789"/>
      <c r="BC57" s="1461"/>
      <c r="BD57" s="211"/>
      <c r="BE57" s="211"/>
      <c r="BF57" s="211"/>
      <c r="BG57" s="456"/>
      <c r="BH57" s="456"/>
      <c r="BI57" s="1787"/>
      <c r="BJ57" s="457" t="s">
        <v>2448</v>
      </c>
    </row>
    <row r="58" spans="2:62" s="374" customFormat="1" ht="15" customHeight="1">
      <c r="B58" s="435"/>
      <c r="C58" s="823"/>
      <c r="D58" s="926" t="s">
        <v>85</v>
      </c>
      <c r="E58" s="823"/>
      <c r="F58" s="823"/>
      <c r="G58" s="447"/>
      <c r="H58" s="209"/>
      <c r="I58" s="406" t="s">
        <v>498</v>
      </c>
      <c r="J58" s="929"/>
      <c r="K58" s="930"/>
      <c r="L58" s="930"/>
      <c r="M58" s="930"/>
      <c r="N58" s="930"/>
      <c r="O58" s="930"/>
      <c r="P58" s="298">
        <v>0</v>
      </c>
      <c r="Q58" s="299">
        <v>0</v>
      </c>
      <c r="R58" s="297">
        <v>0</v>
      </c>
      <c r="S58" s="298">
        <v>0</v>
      </c>
      <c r="T58" s="298">
        <v>0</v>
      </c>
      <c r="U58" s="298">
        <v>0</v>
      </c>
      <c r="V58" s="299">
        <v>0</v>
      </c>
      <c r="W58" s="441"/>
      <c r="X58" s="406" t="s">
        <v>498</v>
      </c>
      <c r="Y58" s="929"/>
      <c r="Z58" s="930"/>
      <c r="AA58" s="930"/>
      <c r="AB58" s="930"/>
      <c r="AC58" s="930"/>
      <c r="AD58" s="930"/>
      <c r="AE58" s="298">
        <v>0</v>
      </c>
      <c r="AF58" s="299">
        <v>0</v>
      </c>
      <c r="AG58" s="297">
        <v>0</v>
      </c>
      <c r="AH58" s="298">
        <v>0</v>
      </c>
      <c r="AI58" s="298">
        <v>0</v>
      </c>
      <c r="AJ58" s="298">
        <v>0</v>
      </c>
      <c r="AK58" s="299">
        <v>0</v>
      </c>
      <c r="AL58" s="441"/>
      <c r="AM58" s="406" t="s">
        <v>2233</v>
      </c>
      <c r="AN58" s="929"/>
      <c r="AO58" s="930"/>
      <c r="AP58" s="930"/>
      <c r="AQ58" s="930"/>
      <c r="AR58" s="930"/>
      <c r="AS58" s="930"/>
      <c r="AT58" s="298">
        <v>0</v>
      </c>
      <c r="AU58" s="299">
        <v>0</v>
      </c>
      <c r="AV58" s="297">
        <v>0</v>
      </c>
      <c r="AW58" s="298">
        <v>0</v>
      </c>
      <c r="AX58" s="298">
        <v>0</v>
      </c>
      <c r="AY58" s="298">
        <v>0</v>
      </c>
      <c r="AZ58" s="299">
        <v>0</v>
      </c>
      <c r="BA58" s="441"/>
      <c r="BB58" s="1789"/>
      <c r="BC58" s="1461"/>
      <c r="BD58" s="211"/>
      <c r="BE58" s="211"/>
      <c r="BF58" s="211"/>
      <c r="BG58" s="456"/>
      <c r="BH58" s="456"/>
      <c r="BI58" s="1787"/>
      <c r="BJ58" s="457" t="s">
        <v>2448</v>
      </c>
    </row>
    <row r="59" spans="2:62" s="374" customFormat="1" ht="15" customHeight="1">
      <c r="B59" s="435"/>
      <c r="C59" s="823"/>
      <c r="D59" s="926" t="s">
        <v>85</v>
      </c>
      <c r="E59" s="823"/>
      <c r="F59" s="823"/>
      <c r="G59" s="447"/>
      <c r="H59" s="209"/>
      <c r="I59" s="406" t="s">
        <v>498</v>
      </c>
      <c r="J59" s="929"/>
      <c r="K59" s="930"/>
      <c r="L59" s="930"/>
      <c r="M59" s="930"/>
      <c r="N59" s="930"/>
      <c r="O59" s="930"/>
      <c r="P59" s="298">
        <v>0</v>
      </c>
      <c r="Q59" s="299">
        <v>0</v>
      </c>
      <c r="R59" s="297">
        <v>0</v>
      </c>
      <c r="S59" s="298">
        <v>0</v>
      </c>
      <c r="T59" s="298">
        <v>0</v>
      </c>
      <c r="U59" s="298">
        <v>0</v>
      </c>
      <c r="V59" s="299">
        <v>0</v>
      </c>
      <c r="W59" s="441"/>
      <c r="X59" s="406" t="s">
        <v>498</v>
      </c>
      <c r="Y59" s="929"/>
      <c r="Z59" s="930"/>
      <c r="AA59" s="930"/>
      <c r="AB59" s="930"/>
      <c r="AC59" s="930"/>
      <c r="AD59" s="930"/>
      <c r="AE59" s="298">
        <v>0</v>
      </c>
      <c r="AF59" s="299">
        <v>0</v>
      </c>
      <c r="AG59" s="297">
        <v>0</v>
      </c>
      <c r="AH59" s="298">
        <v>0</v>
      </c>
      <c r="AI59" s="298">
        <v>0</v>
      </c>
      <c r="AJ59" s="298">
        <v>0</v>
      </c>
      <c r="AK59" s="299">
        <v>0</v>
      </c>
      <c r="AL59" s="441"/>
      <c r="AM59" s="406" t="s">
        <v>2233</v>
      </c>
      <c r="AN59" s="929"/>
      <c r="AO59" s="930"/>
      <c r="AP59" s="930"/>
      <c r="AQ59" s="930"/>
      <c r="AR59" s="930"/>
      <c r="AS59" s="930"/>
      <c r="AT59" s="298">
        <v>0</v>
      </c>
      <c r="AU59" s="299">
        <v>0</v>
      </c>
      <c r="AV59" s="297">
        <v>0</v>
      </c>
      <c r="AW59" s="298">
        <v>0</v>
      </c>
      <c r="AX59" s="298">
        <v>0</v>
      </c>
      <c r="AY59" s="298">
        <v>0</v>
      </c>
      <c r="AZ59" s="299">
        <v>0</v>
      </c>
      <c r="BA59" s="441"/>
      <c r="BB59" s="1789"/>
      <c r="BC59" s="1461"/>
      <c r="BD59" s="211"/>
      <c r="BE59" s="211"/>
      <c r="BF59" s="211"/>
      <c r="BG59" s="456"/>
      <c r="BH59" s="456"/>
      <c r="BI59" s="1787"/>
      <c r="BJ59" s="457" t="s">
        <v>2448</v>
      </c>
    </row>
    <row r="60" spans="2:62" s="374" customFormat="1" ht="15" customHeight="1">
      <c r="B60" s="435"/>
      <c r="C60" s="823"/>
      <c r="D60" s="926" t="s">
        <v>85</v>
      </c>
      <c r="E60" s="823"/>
      <c r="F60" s="823"/>
      <c r="G60" s="447"/>
      <c r="H60" s="209"/>
      <c r="I60" s="406" t="s">
        <v>498</v>
      </c>
      <c r="J60" s="929"/>
      <c r="K60" s="930"/>
      <c r="L60" s="930"/>
      <c r="M60" s="930"/>
      <c r="N60" s="930"/>
      <c r="O60" s="930"/>
      <c r="P60" s="298">
        <v>0</v>
      </c>
      <c r="Q60" s="299">
        <v>0</v>
      </c>
      <c r="R60" s="297">
        <v>0</v>
      </c>
      <c r="S60" s="298">
        <v>0</v>
      </c>
      <c r="T60" s="298">
        <v>0</v>
      </c>
      <c r="U60" s="298">
        <v>0</v>
      </c>
      <c r="V60" s="299">
        <v>0</v>
      </c>
      <c r="W60" s="441"/>
      <c r="X60" s="406" t="s">
        <v>498</v>
      </c>
      <c r="Y60" s="929"/>
      <c r="Z60" s="930"/>
      <c r="AA60" s="930"/>
      <c r="AB60" s="930"/>
      <c r="AC60" s="930"/>
      <c r="AD60" s="930"/>
      <c r="AE60" s="298">
        <v>0</v>
      </c>
      <c r="AF60" s="299">
        <v>0</v>
      </c>
      <c r="AG60" s="297">
        <v>0</v>
      </c>
      <c r="AH60" s="298">
        <v>0</v>
      </c>
      <c r="AI60" s="298">
        <v>0</v>
      </c>
      <c r="AJ60" s="298">
        <v>0</v>
      </c>
      <c r="AK60" s="299">
        <v>0</v>
      </c>
      <c r="AL60" s="441"/>
      <c r="AM60" s="406" t="s">
        <v>2233</v>
      </c>
      <c r="AN60" s="929"/>
      <c r="AO60" s="930"/>
      <c r="AP60" s="930"/>
      <c r="AQ60" s="930"/>
      <c r="AR60" s="930"/>
      <c r="AS60" s="930"/>
      <c r="AT60" s="298">
        <v>0</v>
      </c>
      <c r="AU60" s="299">
        <v>0</v>
      </c>
      <c r="AV60" s="297">
        <v>0</v>
      </c>
      <c r="AW60" s="298">
        <v>0</v>
      </c>
      <c r="AX60" s="298">
        <v>0</v>
      </c>
      <c r="AY60" s="298">
        <v>0</v>
      </c>
      <c r="AZ60" s="299">
        <v>0</v>
      </c>
      <c r="BA60" s="441"/>
      <c r="BB60" s="1789"/>
      <c r="BC60" s="1461"/>
      <c r="BD60" s="211"/>
      <c r="BE60" s="211"/>
      <c r="BF60" s="211"/>
      <c r="BG60" s="456"/>
      <c r="BH60" s="456"/>
      <c r="BI60" s="1787"/>
      <c r="BJ60" s="457" t="s">
        <v>2448</v>
      </c>
    </row>
    <row r="61" spans="2:62" s="374" customFormat="1" ht="15" customHeight="1">
      <c r="B61" s="435"/>
      <c r="C61" s="823"/>
      <c r="D61" s="926" t="s">
        <v>2442</v>
      </c>
      <c r="E61" s="823"/>
      <c r="F61" s="823"/>
      <c r="G61" s="927"/>
      <c r="H61" s="209"/>
      <c r="I61" s="406" t="s">
        <v>498</v>
      </c>
      <c r="J61" s="929"/>
      <c r="K61" s="930"/>
      <c r="L61" s="930"/>
      <c r="M61" s="930"/>
      <c r="N61" s="930"/>
      <c r="O61" s="930"/>
      <c r="P61" s="298">
        <v>0</v>
      </c>
      <c r="Q61" s="299">
        <v>0</v>
      </c>
      <c r="R61" s="297">
        <v>0</v>
      </c>
      <c r="S61" s="298">
        <v>0</v>
      </c>
      <c r="T61" s="298">
        <v>0</v>
      </c>
      <c r="U61" s="298">
        <v>0</v>
      </c>
      <c r="V61" s="299">
        <v>0</v>
      </c>
      <c r="W61" s="441"/>
      <c r="X61" s="406" t="s">
        <v>498</v>
      </c>
      <c r="Y61" s="929"/>
      <c r="Z61" s="930"/>
      <c r="AA61" s="930"/>
      <c r="AB61" s="930"/>
      <c r="AC61" s="930"/>
      <c r="AD61" s="930"/>
      <c r="AE61" s="298">
        <v>0</v>
      </c>
      <c r="AF61" s="299">
        <v>0</v>
      </c>
      <c r="AG61" s="297">
        <v>0</v>
      </c>
      <c r="AH61" s="298">
        <v>0</v>
      </c>
      <c r="AI61" s="298">
        <v>0</v>
      </c>
      <c r="AJ61" s="298">
        <v>0</v>
      </c>
      <c r="AK61" s="299">
        <v>0</v>
      </c>
      <c r="AL61" s="441"/>
      <c r="AM61" s="406" t="s">
        <v>2233</v>
      </c>
      <c r="AN61" s="929"/>
      <c r="AO61" s="930"/>
      <c r="AP61" s="930"/>
      <c r="AQ61" s="930"/>
      <c r="AR61" s="930"/>
      <c r="AS61" s="930"/>
      <c r="AT61" s="298">
        <v>0</v>
      </c>
      <c r="AU61" s="299">
        <v>0</v>
      </c>
      <c r="AV61" s="297">
        <v>0</v>
      </c>
      <c r="AW61" s="298">
        <v>0</v>
      </c>
      <c r="AX61" s="298">
        <v>0</v>
      </c>
      <c r="AY61" s="298">
        <v>0</v>
      </c>
      <c r="AZ61" s="299">
        <v>0</v>
      </c>
      <c r="BA61" s="441"/>
      <c r="BB61" s="405"/>
      <c r="BC61" s="209"/>
      <c r="BD61" s="209"/>
      <c r="BE61" s="209"/>
      <c r="BF61" s="209"/>
      <c r="BG61" s="209"/>
      <c r="BH61" s="209"/>
      <c r="BI61" s="209"/>
      <c r="BJ61" s="210"/>
    </row>
    <row r="62" spans="2:62" s="374" customFormat="1" ht="15" customHeight="1">
      <c r="B62" s="435"/>
      <c r="C62" s="823"/>
      <c r="D62" s="926" t="s">
        <v>2443</v>
      </c>
      <c r="E62" s="823"/>
      <c r="F62" s="823"/>
      <c r="G62" s="926"/>
      <c r="H62" s="209"/>
      <c r="I62" s="406" t="s">
        <v>498</v>
      </c>
      <c r="J62" s="297">
        <v>0</v>
      </c>
      <c r="K62" s="298">
        <v>0</v>
      </c>
      <c r="L62" s="298">
        <v>0</v>
      </c>
      <c r="M62" s="298">
        <v>0</v>
      </c>
      <c r="N62" s="298">
        <v>0</v>
      </c>
      <c r="O62" s="298">
        <v>0</v>
      </c>
      <c r="P62" s="209"/>
      <c r="Q62" s="210"/>
      <c r="R62" s="405"/>
      <c r="S62" s="209"/>
      <c r="T62" s="209"/>
      <c r="U62" s="209"/>
      <c r="V62" s="210"/>
      <c r="W62" s="441"/>
      <c r="X62" s="406" t="s">
        <v>498</v>
      </c>
      <c r="Y62" s="297">
        <v>0</v>
      </c>
      <c r="Z62" s="298">
        <v>0</v>
      </c>
      <c r="AA62" s="298">
        <v>0</v>
      </c>
      <c r="AB62" s="298">
        <v>0</v>
      </c>
      <c r="AC62" s="298">
        <v>0</v>
      </c>
      <c r="AD62" s="298">
        <v>0</v>
      </c>
      <c r="AE62" s="209"/>
      <c r="AF62" s="210"/>
      <c r="AG62" s="405"/>
      <c r="AH62" s="209"/>
      <c r="AI62" s="209"/>
      <c r="AJ62" s="209"/>
      <c r="AK62" s="210"/>
      <c r="AL62" s="441"/>
      <c r="AM62" s="406" t="s">
        <v>2233</v>
      </c>
      <c r="AN62" s="297">
        <v>0</v>
      </c>
      <c r="AO62" s="298">
        <v>0</v>
      </c>
      <c r="AP62" s="298">
        <v>0</v>
      </c>
      <c r="AQ62" s="298">
        <v>0</v>
      </c>
      <c r="AR62" s="298">
        <v>0</v>
      </c>
      <c r="AS62" s="298">
        <v>0</v>
      </c>
      <c r="AT62" s="209"/>
      <c r="AU62" s="210"/>
      <c r="AV62" s="405"/>
      <c r="AW62" s="209"/>
      <c r="AX62" s="209"/>
      <c r="AY62" s="209"/>
      <c r="AZ62" s="210"/>
      <c r="BA62" s="441"/>
      <c r="BB62" s="405"/>
      <c r="BC62" s="209"/>
      <c r="BD62" s="209"/>
      <c r="BE62" s="209"/>
      <c r="BF62" s="209"/>
      <c r="BG62" s="209"/>
      <c r="BH62" s="209"/>
      <c r="BI62" s="209"/>
      <c r="BJ62" s="210"/>
    </row>
    <row r="63" spans="2:62" s="374" customFormat="1" ht="15" customHeight="1">
      <c r="B63" s="435"/>
      <c r="C63" s="926" t="s">
        <v>1710</v>
      </c>
      <c r="D63" s="823"/>
      <c r="E63" s="823"/>
      <c r="F63" s="823"/>
      <c r="G63" s="927"/>
      <c r="H63" s="209"/>
      <c r="I63" s="406" t="s">
        <v>498</v>
      </c>
      <c r="J63" s="1551">
        <f>J62</f>
        <v>0</v>
      </c>
      <c r="K63" s="282">
        <f t="shared" ref="K63" si="39">K62</f>
        <v>0</v>
      </c>
      <c r="L63" s="282">
        <f t="shared" ref="L63" si="40">L62</f>
        <v>0</v>
      </c>
      <c r="M63" s="282">
        <f t="shared" ref="M63" si="41">M62</f>
        <v>0</v>
      </c>
      <c r="N63" s="282">
        <f t="shared" ref="N63" si="42">N62</f>
        <v>0</v>
      </c>
      <c r="O63" s="282">
        <f t="shared" ref="O63" si="43">O62</f>
        <v>0</v>
      </c>
      <c r="P63" s="282">
        <f>SUM(P51:P61)</f>
        <v>0</v>
      </c>
      <c r="Q63" s="283">
        <f>SUM(Q51:Q61)</f>
        <v>0</v>
      </c>
      <c r="R63" s="281">
        <f t="shared" ref="R63:V63" si="44">SUM(R51:R61)</f>
        <v>0</v>
      </c>
      <c r="S63" s="282">
        <f t="shared" si="44"/>
        <v>0</v>
      </c>
      <c r="T63" s="282">
        <f t="shared" si="44"/>
        <v>0</v>
      </c>
      <c r="U63" s="282">
        <f t="shared" si="44"/>
        <v>0</v>
      </c>
      <c r="V63" s="283">
        <f t="shared" si="44"/>
        <v>0</v>
      </c>
      <c r="W63" s="441"/>
      <c r="X63" s="406" t="s">
        <v>498</v>
      </c>
      <c r="Y63" s="282">
        <f>Y62</f>
        <v>0</v>
      </c>
      <c r="Z63" s="282">
        <f t="shared" ref="Z63" si="45">Z62</f>
        <v>0</v>
      </c>
      <c r="AA63" s="282">
        <f t="shared" ref="AA63" si="46">AA62</f>
        <v>0</v>
      </c>
      <c r="AB63" s="282">
        <f t="shared" ref="AB63" si="47">AB62</f>
        <v>0</v>
      </c>
      <c r="AC63" s="282">
        <f t="shared" ref="AC63" si="48">AC62</f>
        <v>0</v>
      </c>
      <c r="AD63" s="282">
        <f t="shared" ref="AD63" si="49">AD62</f>
        <v>0</v>
      </c>
      <c r="AE63" s="282">
        <f>SUM(AE51:AE61)</f>
        <v>0</v>
      </c>
      <c r="AF63" s="283">
        <f t="shared" ref="AF63:AK63" si="50">SUM(AF51:AF61)</f>
        <v>0</v>
      </c>
      <c r="AG63" s="281">
        <f t="shared" si="50"/>
        <v>0</v>
      </c>
      <c r="AH63" s="282">
        <f t="shared" si="50"/>
        <v>0</v>
      </c>
      <c r="AI63" s="282">
        <f t="shared" si="50"/>
        <v>0</v>
      </c>
      <c r="AJ63" s="282">
        <f t="shared" si="50"/>
        <v>0</v>
      </c>
      <c r="AK63" s="283">
        <f t="shared" si="50"/>
        <v>0</v>
      </c>
      <c r="AL63" s="441"/>
      <c r="AM63" s="406" t="s">
        <v>2233</v>
      </c>
      <c r="AN63" s="282">
        <f>AN62</f>
        <v>0</v>
      </c>
      <c r="AO63" s="282">
        <f t="shared" ref="AO63" si="51">AO62</f>
        <v>0</v>
      </c>
      <c r="AP63" s="282">
        <f t="shared" ref="AP63" si="52">AP62</f>
        <v>0</v>
      </c>
      <c r="AQ63" s="282">
        <f t="shared" ref="AQ63" si="53">AQ62</f>
        <v>0</v>
      </c>
      <c r="AR63" s="282">
        <f t="shared" ref="AR63" si="54">AR62</f>
        <v>0</v>
      </c>
      <c r="AS63" s="282">
        <f t="shared" ref="AS63" si="55">AS62</f>
        <v>0</v>
      </c>
      <c r="AT63" s="282">
        <f>SUM(AT51:AT61)</f>
        <v>0</v>
      </c>
      <c r="AU63" s="283">
        <f t="shared" ref="AU63:AZ63" si="56">SUM(AU51:AU61)</f>
        <v>0</v>
      </c>
      <c r="AV63" s="281">
        <f t="shared" si="56"/>
        <v>0</v>
      </c>
      <c r="AW63" s="282">
        <f t="shared" si="56"/>
        <v>0</v>
      </c>
      <c r="AX63" s="282">
        <f t="shared" si="56"/>
        <v>0</v>
      </c>
      <c r="AY63" s="282">
        <f t="shared" si="56"/>
        <v>0</v>
      </c>
      <c r="AZ63" s="283">
        <f t="shared" si="56"/>
        <v>0</v>
      </c>
      <c r="BA63" s="441"/>
      <c r="BB63" s="405"/>
      <c r="BC63" s="209"/>
      <c r="BD63" s="209"/>
      <c r="BE63" s="209"/>
      <c r="BF63" s="209"/>
      <c r="BG63" s="209"/>
      <c r="BH63" s="209"/>
      <c r="BI63" s="209"/>
      <c r="BJ63" s="210"/>
    </row>
    <row r="64" spans="2:62" s="374" customFormat="1" ht="15" customHeight="1">
      <c r="B64" s="443"/>
      <c r="C64" s="924" t="s">
        <v>2449</v>
      </c>
      <c r="D64" s="921"/>
      <c r="E64" s="921"/>
      <c r="F64" s="921"/>
      <c r="G64" s="388"/>
      <c r="H64" s="209"/>
      <c r="I64" s="209"/>
      <c r="J64" s="405"/>
      <c r="K64" s="209"/>
      <c r="L64" s="209"/>
      <c r="M64" s="209"/>
      <c r="N64" s="209"/>
      <c r="O64" s="209"/>
      <c r="P64" s="209"/>
      <c r="Q64" s="210"/>
      <c r="R64" s="405"/>
      <c r="S64" s="209"/>
      <c r="T64" s="209"/>
      <c r="U64" s="209"/>
      <c r="V64" s="210"/>
      <c r="W64" s="441"/>
      <c r="X64" s="209"/>
      <c r="Y64" s="405"/>
      <c r="Z64" s="209"/>
      <c r="AA64" s="209"/>
      <c r="AB64" s="209"/>
      <c r="AC64" s="209"/>
      <c r="AD64" s="209"/>
      <c r="AE64" s="209"/>
      <c r="AF64" s="210"/>
      <c r="AG64" s="405"/>
      <c r="AH64" s="209"/>
      <c r="AI64" s="209"/>
      <c r="AJ64" s="209"/>
      <c r="AK64" s="210"/>
      <c r="AL64" s="441"/>
      <c r="AM64" s="209"/>
      <c r="AN64" s="405"/>
      <c r="AO64" s="209"/>
      <c r="AP64" s="209"/>
      <c r="AQ64" s="209"/>
      <c r="AR64" s="209"/>
      <c r="AS64" s="209"/>
      <c r="AT64" s="209"/>
      <c r="AU64" s="210"/>
      <c r="AV64" s="405"/>
      <c r="AW64" s="209"/>
      <c r="AX64" s="209"/>
      <c r="AY64" s="209"/>
      <c r="AZ64" s="210"/>
      <c r="BA64" s="441"/>
      <c r="BB64" s="405"/>
      <c r="BC64" s="209"/>
      <c r="BD64" s="209"/>
      <c r="BE64" s="209"/>
      <c r="BF64" s="209"/>
      <c r="BG64" s="209"/>
      <c r="BH64" s="209"/>
      <c r="BI64" s="209"/>
      <c r="BJ64" s="210"/>
    </row>
    <row r="65" spans="2:62" s="374" customFormat="1" ht="15" customHeight="1">
      <c r="B65" s="435"/>
      <c r="C65" s="823"/>
      <c r="D65" s="926" t="s">
        <v>85</v>
      </c>
      <c r="E65" s="823"/>
      <c r="F65" s="823"/>
      <c r="G65" s="447"/>
      <c r="H65" s="209"/>
      <c r="I65" s="406" t="s">
        <v>498</v>
      </c>
      <c r="J65" s="929"/>
      <c r="K65" s="930"/>
      <c r="L65" s="930"/>
      <c r="M65" s="930"/>
      <c r="N65" s="930"/>
      <c r="O65" s="930"/>
      <c r="P65" s="298">
        <v>0</v>
      </c>
      <c r="Q65" s="299">
        <v>0</v>
      </c>
      <c r="R65" s="297">
        <v>0</v>
      </c>
      <c r="S65" s="298">
        <v>0</v>
      </c>
      <c r="T65" s="298">
        <v>0</v>
      </c>
      <c r="U65" s="298">
        <v>0</v>
      </c>
      <c r="V65" s="299">
        <v>0</v>
      </c>
      <c r="W65" s="441"/>
      <c r="X65" s="406" t="s">
        <v>498</v>
      </c>
      <c r="Y65" s="929"/>
      <c r="Z65" s="930"/>
      <c r="AA65" s="930"/>
      <c r="AB65" s="930"/>
      <c r="AC65" s="930"/>
      <c r="AD65" s="930"/>
      <c r="AE65" s="298">
        <v>0</v>
      </c>
      <c r="AF65" s="299">
        <v>0</v>
      </c>
      <c r="AG65" s="297">
        <v>0</v>
      </c>
      <c r="AH65" s="298">
        <v>0</v>
      </c>
      <c r="AI65" s="298">
        <v>0</v>
      </c>
      <c r="AJ65" s="298">
        <v>0</v>
      </c>
      <c r="AK65" s="299">
        <v>0</v>
      </c>
      <c r="AL65" s="441"/>
      <c r="AM65" s="406" t="s">
        <v>2233</v>
      </c>
      <c r="AN65" s="929"/>
      <c r="AO65" s="930"/>
      <c r="AP65" s="930"/>
      <c r="AQ65" s="930"/>
      <c r="AR65" s="930"/>
      <c r="AS65" s="930"/>
      <c r="AT65" s="298">
        <v>0</v>
      </c>
      <c r="AU65" s="299">
        <v>0</v>
      </c>
      <c r="AV65" s="297">
        <v>0</v>
      </c>
      <c r="AW65" s="298">
        <v>0</v>
      </c>
      <c r="AX65" s="298">
        <v>0</v>
      </c>
      <c r="AY65" s="298">
        <v>0</v>
      </c>
      <c r="AZ65" s="299">
        <v>0</v>
      </c>
      <c r="BA65" s="441"/>
      <c r="BB65" s="1789"/>
      <c r="BC65" s="1461"/>
      <c r="BD65" s="211"/>
      <c r="BE65" s="211"/>
      <c r="BF65" s="211"/>
      <c r="BG65" s="456"/>
      <c r="BH65" s="456"/>
      <c r="BI65" s="1787"/>
      <c r="BJ65" s="457"/>
    </row>
    <row r="66" spans="2:62" s="374" customFormat="1" ht="15" customHeight="1">
      <c r="B66" s="435"/>
      <c r="C66" s="823"/>
      <c r="D66" s="926" t="s">
        <v>85</v>
      </c>
      <c r="E66" s="823"/>
      <c r="F66" s="823"/>
      <c r="G66" s="447"/>
      <c r="H66" s="209"/>
      <c r="I66" s="406" t="s">
        <v>498</v>
      </c>
      <c r="J66" s="929"/>
      <c r="K66" s="930"/>
      <c r="L66" s="930"/>
      <c r="M66" s="930"/>
      <c r="N66" s="930"/>
      <c r="O66" s="930"/>
      <c r="P66" s="298">
        <v>0</v>
      </c>
      <c r="Q66" s="299">
        <v>0</v>
      </c>
      <c r="R66" s="297">
        <v>0</v>
      </c>
      <c r="S66" s="298">
        <v>0</v>
      </c>
      <c r="T66" s="298">
        <v>0</v>
      </c>
      <c r="U66" s="298">
        <v>0</v>
      </c>
      <c r="V66" s="299">
        <v>0</v>
      </c>
      <c r="W66" s="441"/>
      <c r="X66" s="406" t="s">
        <v>498</v>
      </c>
      <c r="Y66" s="929"/>
      <c r="Z66" s="930"/>
      <c r="AA66" s="930"/>
      <c r="AB66" s="930"/>
      <c r="AC66" s="930"/>
      <c r="AD66" s="930"/>
      <c r="AE66" s="298">
        <v>0</v>
      </c>
      <c r="AF66" s="299">
        <v>0</v>
      </c>
      <c r="AG66" s="297">
        <v>0</v>
      </c>
      <c r="AH66" s="298">
        <v>0</v>
      </c>
      <c r="AI66" s="298">
        <v>0</v>
      </c>
      <c r="AJ66" s="298">
        <v>0</v>
      </c>
      <c r="AK66" s="299">
        <v>0</v>
      </c>
      <c r="AL66" s="441"/>
      <c r="AM66" s="406" t="s">
        <v>2233</v>
      </c>
      <c r="AN66" s="929"/>
      <c r="AO66" s="930"/>
      <c r="AP66" s="930"/>
      <c r="AQ66" s="930"/>
      <c r="AR66" s="930"/>
      <c r="AS66" s="930"/>
      <c r="AT66" s="298">
        <v>0</v>
      </c>
      <c r="AU66" s="299">
        <v>0</v>
      </c>
      <c r="AV66" s="297">
        <v>0</v>
      </c>
      <c r="AW66" s="298">
        <v>0</v>
      </c>
      <c r="AX66" s="298">
        <v>0</v>
      </c>
      <c r="AY66" s="298">
        <v>0</v>
      </c>
      <c r="AZ66" s="299">
        <v>0</v>
      </c>
      <c r="BA66" s="441"/>
      <c r="BB66" s="1789"/>
      <c r="BC66" s="1461"/>
      <c r="BD66" s="211"/>
      <c r="BE66" s="211"/>
      <c r="BF66" s="211"/>
      <c r="BG66" s="456"/>
      <c r="BH66" s="456"/>
      <c r="BI66" s="1787"/>
      <c r="BJ66" s="457"/>
    </row>
    <row r="67" spans="2:62" s="374" customFormat="1" ht="15" customHeight="1">
      <c r="B67" s="435"/>
      <c r="C67" s="823"/>
      <c r="D67" s="926" t="s">
        <v>85</v>
      </c>
      <c r="E67" s="823"/>
      <c r="F67" s="823"/>
      <c r="G67" s="447"/>
      <c r="H67" s="209"/>
      <c r="I67" s="406" t="s">
        <v>498</v>
      </c>
      <c r="J67" s="929"/>
      <c r="K67" s="930"/>
      <c r="L67" s="930"/>
      <c r="M67" s="930"/>
      <c r="N67" s="930"/>
      <c r="O67" s="930"/>
      <c r="P67" s="298">
        <v>0</v>
      </c>
      <c r="Q67" s="299">
        <v>0</v>
      </c>
      <c r="R67" s="297">
        <v>0</v>
      </c>
      <c r="S67" s="298">
        <v>0</v>
      </c>
      <c r="T67" s="298">
        <v>0</v>
      </c>
      <c r="U67" s="298">
        <v>0</v>
      </c>
      <c r="V67" s="299">
        <v>0</v>
      </c>
      <c r="W67" s="441"/>
      <c r="X67" s="406" t="s">
        <v>498</v>
      </c>
      <c r="Y67" s="929"/>
      <c r="Z67" s="930"/>
      <c r="AA67" s="930"/>
      <c r="AB67" s="930"/>
      <c r="AC67" s="930"/>
      <c r="AD67" s="930"/>
      <c r="AE67" s="298">
        <v>0</v>
      </c>
      <c r="AF67" s="299">
        <v>0</v>
      </c>
      <c r="AG67" s="297">
        <v>0</v>
      </c>
      <c r="AH67" s="298">
        <v>0</v>
      </c>
      <c r="AI67" s="298">
        <v>0</v>
      </c>
      <c r="AJ67" s="298">
        <v>0</v>
      </c>
      <c r="AK67" s="299">
        <v>0</v>
      </c>
      <c r="AL67" s="441"/>
      <c r="AM67" s="406" t="s">
        <v>2233</v>
      </c>
      <c r="AN67" s="929"/>
      <c r="AO67" s="930"/>
      <c r="AP67" s="930"/>
      <c r="AQ67" s="930"/>
      <c r="AR67" s="930"/>
      <c r="AS67" s="930"/>
      <c r="AT67" s="298">
        <v>0</v>
      </c>
      <c r="AU67" s="299">
        <v>0</v>
      </c>
      <c r="AV67" s="297">
        <v>0</v>
      </c>
      <c r="AW67" s="298">
        <v>0</v>
      </c>
      <c r="AX67" s="298">
        <v>0</v>
      </c>
      <c r="AY67" s="298">
        <v>0</v>
      </c>
      <c r="AZ67" s="299">
        <v>0</v>
      </c>
      <c r="BA67" s="441"/>
      <c r="BB67" s="1789"/>
      <c r="BC67" s="1461"/>
      <c r="BD67" s="211"/>
      <c r="BE67" s="211"/>
      <c r="BF67" s="211"/>
      <c r="BG67" s="456"/>
      <c r="BH67" s="456"/>
      <c r="BI67" s="1787"/>
      <c r="BJ67" s="457"/>
    </row>
    <row r="68" spans="2:62" s="374" customFormat="1" ht="15" customHeight="1">
      <c r="B68" s="435"/>
      <c r="C68" s="823"/>
      <c r="D68" s="926" t="s">
        <v>85</v>
      </c>
      <c r="E68" s="823"/>
      <c r="F68" s="823"/>
      <c r="G68" s="447"/>
      <c r="H68" s="209"/>
      <c r="I68" s="406" t="s">
        <v>498</v>
      </c>
      <c r="J68" s="929"/>
      <c r="K68" s="930"/>
      <c r="L68" s="930"/>
      <c r="M68" s="930"/>
      <c r="N68" s="930"/>
      <c r="O68" s="930"/>
      <c r="P68" s="298">
        <v>0</v>
      </c>
      <c r="Q68" s="299">
        <v>0</v>
      </c>
      <c r="R68" s="297">
        <v>0</v>
      </c>
      <c r="S68" s="298">
        <v>0</v>
      </c>
      <c r="T68" s="298">
        <v>0</v>
      </c>
      <c r="U68" s="298">
        <v>0</v>
      </c>
      <c r="V68" s="299">
        <v>0</v>
      </c>
      <c r="W68" s="441"/>
      <c r="X68" s="406" t="s">
        <v>498</v>
      </c>
      <c r="Y68" s="929"/>
      <c r="Z68" s="930"/>
      <c r="AA68" s="930"/>
      <c r="AB68" s="930"/>
      <c r="AC68" s="930"/>
      <c r="AD68" s="930"/>
      <c r="AE68" s="298">
        <v>0</v>
      </c>
      <c r="AF68" s="299">
        <v>0</v>
      </c>
      <c r="AG68" s="297">
        <v>0</v>
      </c>
      <c r="AH68" s="298">
        <v>0</v>
      </c>
      <c r="AI68" s="298">
        <v>0</v>
      </c>
      <c r="AJ68" s="298">
        <v>0</v>
      </c>
      <c r="AK68" s="299">
        <v>0</v>
      </c>
      <c r="AL68" s="441"/>
      <c r="AM68" s="406" t="s">
        <v>2233</v>
      </c>
      <c r="AN68" s="929"/>
      <c r="AO68" s="930"/>
      <c r="AP68" s="930"/>
      <c r="AQ68" s="930"/>
      <c r="AR68" s="930"/>
      <c r="AS68" s="930"/>
      <c r="AT68" s="298">
        <v>0</v>
      </c>
      <c r="AU68" s="299">
        <v>0</v>
      </c>
      <c r="AV68" s="297">
        <v>0</v>
      </c>
      <c r="AW68" s="298">
        <v>0</v>
      </c>
      <c r="AX68" s="298">
        <v>0</v>
      </c>
      <c r="AY68" s="298">
        <v>0</v>
      </c>
      <c r="AZ68" s="299">
        <v>0</v>
      </c>
      <c r="BA68" s="441"/>
      <c r="BB68" s="1789"/>
      <c r="BC68" s="1461"/>
      <c r="BD68" s="211"/>
      <c r="BE68" s="211"/>
      <c r="BF68" s="211"/>
      <c r="BG68" s="456"/>
      <c r="BH68" s="456"/>
      <c r="BI68" s="1787"/>
      <c r="BJ68" s="457"/>
    </row>
    <row r="69" spans="2:62" s="374" customFormat="1" ht="15" customHeight="1">
      <c r="B69" s="435"/>
      <c r="C69" s="823"/>
      <c r="D69" s="926" t="s">
        <v>85</v>
      </c>
      <c r="E69" s="823"/>
      <c r="F69" s="823"/>
      <c r="G69" s="447"/>
      <c r="H69" s="209"/>
      <c r="I69" s="406" t="s">
        <v>498</v>
      </c>
      <c r="J69" s="929"/>
      <c r="K69" s="930"/>
      <c r="L69" s="930"/>
      <c r="M69" s="930"/>
      <c r="N69" s="930"/>
      <c r="O69" s="930"/>
      <c r="P69" s="298">
        <v>0</v>
      </c>
      <c r="Q69" s="299">
        <v>0</v>
      </c>
      <c r="R69" s="297">
        <v>0</v>
      </c>
      <c r="S69" s="298">
        <v>0</v>
      </c>
      <c r="T69" s="298">
        <v>0</v>
      </c>
      <c r="U69" s="298">
        <v>0</v>
      </c>
      <c r="V69" s="299">
        <v>0</v>
      </c>
      <c r="W69" s="441"/>
      <c r="X69" s="406" t="s">
        <v>498</v>
      </c>
      <c r="Y69" s="929"/>
      <c r="Z69" s="930"/>
      <c r="AA69" s="930"/>
      <c r="AB69" s="930"/>
      <c r="AC69" s="930"/>
      <c r="AD69" s="930"/>
      <c r="AE69" s="298">
        <v>0</v>
      </c>
      <c r="AF69" s="299">
        <v>0</v>
      </c>
      <c r="AG69" s="297">
        <v>0</v>
      </c>
      <c r="AH69" s="298">
        <v>0</v>
      </c>
      <c r="AI69" s="298">
        <v>0</v>
      </c>
      <c r="AJ69" s="298">
        <v>0</v>
      </c>
      <c r="AK69" s="299">
        <v>0</v>
      </c>
      <c r="AL69" s="441"/>
      <c r="AM69" s="406" t="s">
        <v>2233</v>
      </c>
      <c r="AN69" s="929"/>
      <c r="AO69" s="930"/>
      <c r="AP69" s="930"/>
      <c r="AQ69" s="930"/>
      <c r="AR69" s="930"/>
      <c r="AS69" s="930"/>
      <c r="AT69" s="298">
        <v>0</v>
      </c>
      <c r="AU69" s="299">
        <v>0</v>
      </c>
      <c r="AV69" s="297">
        <v>0</v>
      </c>
      <c r="AW69" s="298">
        <v>0</v>
      </c>
      <c r="AX69" s="298">
        <v>0</v>
      </c>
      <c r="AY69" s="298">
        <v>0</v>
      </c>
      <c r="AZ69" s="299">
        <v>0</v>
      </c>
      <c r="BA69" s="441"/>
      <c r="BB69" s="1789"/>
      <c r="BC69" s="1461"/>
      <c r="BD69" s="211"/>
      <c r="BE69" s="211"/>
      <c r="BF69" s="211"/>
      <c r="BG69" s="456"/>
      <c r="BH69" s="456"/>
      <c r="BI69" s="1787"/>
      <c r="BJ69" s="457"/>
    </row>
    <row r="70" spans="2:62" s="374" customFormat="1" ht="15" customHeight="1">
      <c r="B70" s="435"/>
      <c r="C70" s="823"/>
      <c r="D70" s="926" t="s">
        <v>85</v>
      </c>
      <c r="E70" s="823"/>
      <c r="F70" s="823"/>
      <c r="G70" s="447"/>
      <c r="H70" s="209"/>
      <c r="I70" s="406" t="s">
        <v>498</v>
      </c>
      <c r="J70" s="929"/>
      <c r="K70" s="930"/>
      <c r="L70" s="930"/>
      <c r="M70" s="930"/>
      <c r="N70" s="930"/>
      <c r="O70" s="930"/>
      <c r="P70" s="298">
        <v>0</v>
      </c>
      <c r="Q70" s="299">
        <v>0</v>
      </c>
      <c r="R70" s="297">
        <v>0</v>
      </c>
      <c r="S70" s="298">
        <v>0</v>
      </c>
      <c r="T70" s="298">
        <v>0</v>
      </c>
      <c r="U70" s="298">
        <v>0</v>
      </c>
      <c r="V70" s="299">
        <v>0</v>
      </c>
      <c r="W70" s="441"/>
      <c r="X70" s="406" t="s">
        <v>498</v>
      </c>
      <c r="Y70" s="929"/>
      <c r="Z70" s="930"/>
      <c r="AA70" s="930"/>
      <c r="AB70" s="930"/>
      <c r="AC70" s="930"/>
      <c r="AD70" s="930"/>
      <c r="AE70" s="298">
        <v>0</v>
      </c>
      <c r="AF70" s="299">
        <v>0</v>
      </c>
      <c r="AG70" s="297">
        <v>0</v>
      </c>
      <c r="AH70" s="298">
        <v>0</v>
      </c>
      <c r="AI70" s="298">
        <v>0</v>
      </c>
      <c r="AJ70" s="298">
        <v>0</v>
      </c>
      <c r="AK70" s="299">
        <v>0</v>
      </c>
      <c r="AL70" s="441"/>
      <c r="AM70" s="406" t="s">
        <v>2233</v>
      </c>
      <c r="AN70" s="929"/>
      <c r="AO70" s="930"/>
      <c r="AP70" s="930"/>
      <c r="AQ70" s="930"/>
      <c r="AR70" s="930"/>
      <c r="AS70" s="930"/>
      <c r="AT70" s="298">
        <v>0</v>
      </c>
      <c r="AU70" s="299">
        <v>0</v>
      </c>
      <c r="AV70" s="297">
        <v>0</v>
      </c>
      <c r="AW70" s="298">
        <v>0</v>
      </c>
      <c r="AX70" s="298">
        <v>0</v>
      </c>
      <c r="AY70" s="298">
        <v>0</v>
      </c>
      <c r="AZ70" s="299">
        <v>0</v>
      </c>
      <c r="BA70" s="441"/>
      <c r="BB70" s="1789"/>
      <c r="BC70" s="1461"/>
      <c r="BD70" s="211"/>
      <c r="BE70" s="211"/>
      <c r="BF70" s="211"/>
      <c r="BG70" s="456"/>
      <c r="BH70" s="456"/>
      <c r="BI70" s="1787"/>
      <c r="BJ70" s="457"/>
    </row>
    <row r="71" spans="2:62" s="374" customFormat="1" ht="15" customHeight="1">
      <c r="B71" s="435"/>
      <c r="C71" s="823"/>
      <c r="D71" s="926" t="s">
        <v>85</v>
      </c>
      <c r="E71" s="823"/>
      <c r="F71" s="823"/>
      <c r="G71" s="447"/>
      <c r="H71" s="209"/>
      <c r="I71" s="406" t="s">
        <v>498</v>
      </c>
      <c r="J71" s="929"/>
      <c r="K71" s="930"/>
      <c r="L71" s="930"/>
      <c r="M71" s="930"/>
      <c r="N71" s="930"/>
      <c r="O71" s="930"/>
      <c r="P71" s="298">
        <v>0</v>
      </c>
      <c r="Q71" s="299">
        <v>0</v>
      </c>
      <c r="R71" s="297">
        <v>0</v>
      </c>
      <c r="S71" s="298">
        <v>0</v>
      </c>
      <c r="T71" s="298">
        <v>0</v>
      </c>
      <c r="U71" s="298">
        <v>0</v>
      </c>
      <c r="V71" s="299">
        <v>0</v>
      </c>
      <c r="W71" s="441"/>
      <c r="X71" s="406" t="s">
        <v>498</v>
      </c>
      <c r="Y71" s="929"/>
      <c r="Z71" s="930"/>
      <c r="AA71" s="930"/>
      <c r="AB71" s="930"/>
      <c r="AC71" s="930"/>
      <c r="AD71" s="930"/>
      <c r="AE71" s="298">
        <v>0</v>
      </c>
      <c r="AF71" s="299">
        <v>0</v>
      </c>
      <c r="AG71" s="297">
        <v>0</v>
      </c>
      <c r="AH71" s="298">
        <v>0</v>
      </c>
      <c r="AI71" s="298">
        <v>0</v>
      </c>
      <c r="AJ71" s="298">
        <v>0</v>
      </c>
      <c r="AK71" s="299">
        <v>0</v>
      </c>
      <c r="AL71" s="441"/>
      <c r="AM71" s="406" t="s">
        <v>2233</v>
      </c>
      <c r="AN71" s="929"/>
      <c r="AO71" s="930"/>
      <c r="AP71" s="930"/>
      <c r="AQ71" s="930"/>
      <c r="AR71" s="930"/>
      <c r="AS71" s="930"/>
      <c r="AT71" s="298">
        <v>0</v>
      </c>
      <c r="AU71" s="299">
        <v>0</v>
      </c>
      <c r="AV71" s="297">
        <v>0</v>
      </c>
      <c r="AW71" s="298">
        <v>0</v>
      </c>
      <c r="AX71" s="298">
        <v>0</v>
      </c>
      <c r="AY71" s="298">
        <v>0</v>
      </c>
      <c r="AZ71" s="299">
        <v>0</v>
      </c>
      <c r="BA71" s="441"/>
      <c r="BB71" s="1789"/>
      <c r="BC71" s="1461"/>
      <c r="BD71" s="211"/>
      <c r="BE71" s="211"/>
      <c r="BF71" s="211"/>
      <c r="BG71" s="456"/>
      <c r="BH71" s="456"/>
      <c r="BI71" s="1787"/>
      <c r="BJ71" s="457"/>
    </row>
    <row r="72" spans="2:62" s="374" customFormat="1" ht="15" customHeight="1">
      <c r="B72" s="435"/>
      <c r="C72" s="823"/>
      <c r="D72" s="926" t="s">
        <v>85</v>
      </c>
      <c r="E72" s="823"/>
      <c r="F72" s="823"/>
      <c r="G72" s="447"/>
      <c r="H72" s="209"/>
      <c r="I72" s="406" t="s">
        <v>498</v>
      </c>
      <c r="J72" s="929"/>
      <c r="K72" s="930"/>
      <c r="L72" s="930"/>
      <c r="M72" s="930"/>
      <c r="N72" s="930"/>
      <c r="O72" s="930"/>
      <c r="P72" s="298">
        <v>0</v>
      </c>
      <c r="Q72" s="299">
        <v>0</v>
      </c>
      <c r="R72" s="297">
        <v>0</v>
      </c>
      <c r="S72" s="298">
        <v>0</v>
      </c>
      <c r="T72" s="298">
        <v>0</v>
      </c>
      <c r="U72" s="298">
        <v>0</v>
      </c>
      <c r="V72" s="299">
        <v>0</v>
      </c>
      <c r="W72" s="441"/>
      <c r="X72" s="406" t="s">
        <v>498</v>
      </c>
      <c r="Y72" s="929"/>
      <c r="Z72" s="930"/>
      <c r="AA72" s="930"/>
      <c r="AB72" s="930"/>
      <c r="AC72" s="930"/>
      <c r="AD72" s="930"/>
      <c r="AE72" s="298">
        <v>0</v>
      </c>
      <c r="AF72" s="299">
        <v>0</v>
      </c>
      <c r="AG72" s="297">
        <v>0</v>
      </c>
      <c r="AH72" s="298">
        <v>0</v>
      </c>
      <c r="AI72" s="298">
        <v>0</v>
      </c>
      <c r="AJ72" s="298">
        <v>0</v>
      </c>
      <c r="AK72" s="299">
        <v>0</v>
      </c>
      <c r="AL72" s="441"/>
      <c r="AM72" s="406" t="s">
        <v>2233</v>
      </c>
      <c r="AN72" s="929"/>
      <c r="AO72" s="930"/>
      <c r="AP72" s="930"/>
      <c r="AQ72" s="930"/>
      <c r="AR72" s="930"/>
      <c r="AS72" s="930"/>
      <c r="AT72" s="298">
        <v>0</v>
      </c>
      <c r="AU72" s="299">
        <v>0</v>
      </c>
      <c r="AV72" s="297">
        <v>0</v>
      </c>
      <c r="AW72" s="298">
        <v>0</v>
      </c>
      <c r="AX72" s="298">
        <v>0</v>
      </c>
      <c r="AY72" s="298">
        <v>0</v>
      </c>
      <c r="AZ72" s="299">
        <v>0</v>
      </c>
      <c r="BA72" s="441"/>
      <c r="BB72" s="1789"/>
      <c r="BC72" s="1461"/>
      <c r="BD72" s="211"/>
      <c r="BE72" s="211"/>
      <c r="BF72" s="211"/>
      <c r="BG72" s="456"/>
      <c r="BH72" s="456"/>
      <c r="BI72" s="1787"/>
      <c r="BJ72" s="457"/>
    </row>
    <row r="73" spans="2:62" s="374" customFormat="1" ht="15" customHeight="1">
      <c r="B73" s="435"/>
      <c r="C73" s="823"/>
      <c r="D73" s="926" t="s">
        <v>85</v>
      </c>
      <c r="E73" s="823"/>
      <c r="F73" s="823"/>
      <c r="G73" s="447"/>
      <c r="H73" s="209"/>
      <c r="I73" s="406" t="s">
        <v>498</v>
      </c>
      <c r="J73" s="929"/>
      <c r="K73" s="930"/>
      <c r="L73" s="930"/>
      <c r="M73" s="930"/>
      <c r="N73" s="930"/>
      <c r="O73" s="930"/>
      <c r="P73" s="298">
        <v>0</v>
      </c>
      <c r="Q73" s="299">
        <v>0</v>
      </c>
      <c r="R73" s="297">
        <v>0</v>
      </c>
      <c r="S73" s="298">
        <v>0</v>
      </c>
      <c r="T73" s="298">
        <v>0</v>
      </c>
      <c r="U73" s="298">
        <v>0</v>
      </c>
      <c r="V73" s="299">
        <v>0</v>
      </c>
      <c r="W73" s="441"/>
      <c r="X73" s="406" t="s">
        <v>498</v>
      </c>
      <c r="Y73" s="929"/>
      <c r="Z73" s="930"/>
      <c r="AA73" s="930"/>
      <c r="AB73" s="930"/>
      <c r="AC73" s="930"/>
      <c r="AD73" s="930"/>
      <c r="AE73" s="298">
        <v>0</v>
      </c>
      <c r="AF73" s="299">
        <v>0</v>
      </c>
      <c r="AG73" s="297">
        <v>0</v>
      </c>
      <c r="AH73" s="298">
        <v>0</v>
      </c>
      <c r="AI73" s="298">
        <v>0</v>
      </c>
      <c r="AJ73" s="298">
        <v>0</v>
      </c>
      <c r="AK73" s="299">
        <v>0</v>
      </c>
      <c r="AL73" s="441"/>
      <c r="AM73" s="406" t="s">
        <v>2233</v>
      </c>
      <c r="AN73" s="929"/>
      <c r="AO73" s="930"/>
      <c r="AP73" s="930"/>
      <c r="AQ73" s="930"/>
      <c r="AR73" s="930"/>
      <c r="AS73" s="930"/>
      <c r="AT73" s="298">
        <v>0</v>
      </c>
      <c r="AU73" s="299">
        <v>0</v>
      </c>
      <c r="AV73" s="297">
        <v>0</v>
      </c>
      <c r="AW73" s="298">
        <v>0</v>
      </c>
      <c r="AX73" s="298">
        <v>0</v>
      </c>
      <c r="AY73" s="298">
        <v>0</v>
      </c>
      <c r="AZ73" s="299">
        <v>0</v>
      </c>
      <c r="BA73" s="441"/>
      <c r="BB73" s="1789"/>
      <c r="BC73" s="1461"/>
      <c r="BD73" s="211"/>
      <c r="BE73" s="211"/>
      <c r="BF73" s="211"/>
      <c r="BG73" s="456"/>
      <c r="BH73" s="456"/>
      <c r="BI73" s="1787"/>
      <c r="BJ73" s="457"/>
    </row>
    <row r="74" spans="2:62" s="374" customFormat="1" ht="15" customHeight="1">
      <c r="B74" s="435"/>
      <c r="C74" s="823"/>
      <c r="D74" s="926" t="s">
        <v>85</v>
      </c>
      <c r="E74" s="823"/>
      <c r="F74" s="823"/>
      <c r="G74" s="447"/>
      <c r="H74" s="209"/>
      <c r="I74" s="406" t="s">
        <v>498</v>
      </c>
      <c r="J74" s="929"/>
      <c r="K74" s="930"/>
      <c r="L74" s="930"/>
      <c r="M74" s="930"/>
      <c r="N74" s="930"/>
      <c r="O74" s="930"/>
      <c r="P74" s="298">
        <v>0</v>
      </c>
      <c r="Q74" s="299">
        <v>0</v>
      </c>
      <c r="R74" s="297">
        <v>0</v>
      </c>
      <c r="S74" s="298">
        <v>0</v>
      </c>
      <c r="T74" s="298">
        <v>0</v>
      </c>
      <c r="U74" s="298">
        <v>0</v>
      </c>
      <c r="V74" s="299">
        <v>0</v>
      </c>
      <c r="W74" s="441"/>
      <c r="X74" s="406" t="s">
        <v>498</v>
      </c>
      <c r="Y74" s="929"/>
      <c r="Z74" s="930"/>
      <c r="AA74" s="930"/>
      <c r="AB74" s="930"/>
      <c r="AC74" s="930"/>
      <c r="AD74" s="930"/>
      <c r="AE74" s="298">
        <v>0</v>
      </c>
      <c r="AF74" s="299">
        <v>0</v>
      </c>
      <c r="AG74" s="297">
        <v>0</v>
      </c>
      <c r="AH74" s="298">
        <v>0</v>
      </c>
      <c r="AI74" s="298">
        <v>0</v>
      </c>
      <c r="AJ74" s="298">
        <v>0</v>
      </c>
      <c r="AK74" s="299">
        <v>0</v>
      </c>
      <c r="AL74" s="441"/>
      <c r="AM74" s="406" t="s">
        <v>2233</v>
      </c>
      <c r="AN74" s="929"/>
      <c r="AO74" s="930"/>
      <c r="AP74" s="930"/>
      <c r="AQ74" s="930"/>
      <c r="AR74" s="930"/>
      <c r="AS74" s="930"/>
      <c r="AT74" s="298">
        <v>0</v>
      </c>
      <c r="AU74" s="299">
        <v>0</v>
      </c>
      <c r="AV74" s="297">
        <v>0</v>
      </c>
      <c r="AW74" s="298">
        <v>0</v>
      </c>
      <c r="AX74" s="298">
        <v>0</v>
      </c>
      <c r="AY74" s="298">
        <v>0</v>
      </c>
      <c r="AZ74" s="299">
        <v>0</v>
      </c>
      <c r="BA74" s="441"/>
      <c r="BB74" s="1789"/>
      <c r="BC74" s="1461"/>
      <c r="BD74" s="211"/>
      <c r="BE74" s="211"/>
      <c r="BF74" s="211"/>
      <c r="BG74" s="456"/>
      <c r="BH74" s="456"/>
      <c r="BI74" s="1787"/>
      <c r="BJ74" s="457"/>
    </row>
    <row r="75" spans="2:62" s="374" customFormat="1" ht="15" customHeight="1">
      <c r="B75" s="435"/>
      <c r="C75" s="823"/>
      <c r="D75" s="926" t="s">
        <v>2442</v>
      </c>
      <c r="E75" s="823"/>
      <c r="F75" s="823"/>
      <c r="G75" s="927"/>
      <c r="H75" s="209"/>
      <c r="I75" s="406" t="s">
        <v>498</v>
      </c>
      <c r="J75" s="929"/>
      <c r="K75" s="930"/>
      <c r="L75" s="930"/>
      <c r="M75" s="930"/>
      <c r="N75" s="930"/>
      <c r="O75" s="930"/>
      <c r="P75" s="298">
        <v>0</v>
      </c>
      <c r="Q75" s="299">
        <v>0</v>
      </c>
      <c r="R75" s="297">
        <v>0</v>
      </c>
      <c r="S75" s="298">
        <v>0</v>
      </c>
      <c r="T75" s="298">
        <v>0</v>
      </c>
      <c r="U75" s="298">
        <v>0</v>
      </c>
      <c r="V75" s="299">
        <v>0</v>
      </c>
      <c r="W75" s="441"/>
      <c r="X75" s="406" t="s">
        <v>498</v>
      </c>
      <c r="Y75" s="929"/>
      <c r="Z75" s="930"/>
      <c r="AA75" s="930"/>
      <c r="AB75" s="930"/>
      <c r="AC75" s="930"/>
      <c r="AD75" s="930"/>
      <c r="AE75" s="298">
        <v>0</v>
      </c>
      <c r="AF75" s="299">
        <v>0</v>
      </c>
      <c r="AG75" s="297">
        <v>0</v>
      </c>
      <c r="AH75" s="298">
        <v>0</v>
      </c>
      <c r="AI75" s="298">
        <v>0</v>
      </c>
      <c r="AJ75" s="298">
        <v>0</v>
      </c>
      <c r="AK75" s="299">
        <v>0</v>
      </c>
      <c r="AL75" s="441"/>
      <c r="AM75" s="406" t="s">
        <v>2233</v>
      </c>
      <c r="AN75" s="929"/>
      <c r="AO75" s="930"/>
      <c r="AP75" s="930"/>
      <c r="AQ75" s="930"/>
      <c r="AR75" s="930"/>
      <c r="AS75" s="930"/>
      <c r="AT75" s="298">
        <v>0</v>
      </c>
      <c r="AU75" s="299">
        <v>0</v>
      </c>
      <c r="AV75" s="297">
        <v>0</v>
      </c>
      <c r="AW75" s="298">
        <v>0</v>
      </c>
      <c r="AX75" s="298">
        <v>0</v>
      </c>
      <c r="AY75" s="298">
        <v>0</v>
      </c>
      <c r="AZ75" s="299">
        <v>0</v>
      </c>
      <c r="BA75" s="441"/>
      <c r="BB75" s="405"/>
      <c r="BC75" s="209"/>
      <c r="BD75" s="209"/>
      <c r="BE75" s="209"/>
      <c r="BF75" s="209"/>
      <c r="BG75" s="209"/>
      <c r="BH75" s="209"/>
      <c r="BI75" s="209"/>
      <c r="BJ75" s="210"/>
    </row>
    <row r="76" spans="2:62" s="374" customFormat="1" ht="15" customHeight="1">
      <c r="B76" s="435"/>
      <c r="C76" s="823"/>
      <c r="D76" s="926" t="s">
        <v>2443</v>
      </c>
      <c r="E76" s="823"/>
      <c r="F76" s="823"/>
      <c r="G76" s="926"/>
      <c r="H76" s="209"/>
      <c r="I76" s="406" t="s">
        <v>498</v>
      </c>
      <c r="J76" s="297">
        <v>0</v>
      </c>
      <c r="K76" s="298">
        <v>0</v>
      </c>
      <c r="L76" s="298">
        <v>0</v>
      </c>
      <c r="M76" s="298">
        <v>0</v>
      </c>
      <c r="N76" s="298">
        <v>0</v>
      </c>
      <c r="O76" s="298">
        <v>0</v>
      </c>
      <c r="P76" s="209"/>
      <c r="Q76" s="210"/>
      <c r="R76" s="405"/>
      <c r="S76" s="209"/>
      <c r="T76" s="209"/>
      <c r="U76" s="209"/>
      <c r="V76" s="210"/>
      <c r="W76" s="441"/>
      <c r="X76" s="406" t="s">
        <v>498</v>
      </c>
      <c r="Y76" s="297">
        <v>0</v>
      </c>
      <c r="Z76" s="298">
        <v>0</v>
      </c>
      <c r="AA76" s="298">
        <v>0</v>
      </c>
      <c r="AB76" s="298">
        <v>0</v>
      </c>
      <c r="AC76" s="298">
        <v>0</v>
      </c>
      <c r="AD76" s="298">
        <v>0</v>
      </c>
      <c r="AE76" s="209"/>
      <c r="AF76" s="210"/>
      <c r="AG76" s="405"/>
      <c r="AH76" s="209"/>
      <c r="AI76" s="209"/>
      <c r="AJ76" s="209"/>
      <c r="AK76" s="210"/>
      <c r="AL76" s="441"/>
      <c r="AM76" s="406" t="s">
        <v>2233</v>
      </c>
      <c r="AN76" s="297">
        <v>0</v>
      </c>
      <c r="AO76" s="298">
        <v>0</v>
      </c>
      <c r="AP76" s="298">
        <v>0</v>
      </c>
      <c r="AQ76" s="298">
        <v>0</v>
      </c>
      <c r="AR76" s="298">
        <v>0</v>
      </c>
      <c r="AS76" s="298">
        <v>0</v>
      </c>
      <c r="AT76" s="209"/>
      <c r="AU76" s="210"/>
      <c r="AV76" s="405"/>
      <c r="AW76" s="209"/>
      <c r="AX76" s="209"/>
      <c r="AY76" s="209"/>
      <c r="AZ76" s="210"/>
      <c r="BA76" s="441"/>
      <c r="BB76" s="405"/>
      <c r="BC76" s="209"/>
      <c r="BD76" s="209"/>
      <c r="BE76" s="209"/>
      <c r="BF76" s="209"/>
      <c r="BG76" s="209"/>
      <c r="BH76" s="209"/>
      <c r="BI76" s="209"/>
      <c r="BJ76" s="210"/>
    </row>
    <row r="77" spans="2:62" s="374" customFormat="1" ht="15" customHeight="1">
      <c r="B77" s="435"/>
      <c r="C77" s="926" t="s">
        <v>1710</v>
      </c>
      <c r="D77" s="823"/>
      <c r="E77" s="823"/>
      <c r="F77" s="823"/>
      <c r="G77" s="927"/>
      <c r="H77" s="209"/>
      <c r="I77" s="406" t="s">
        <v>498</v>
      </c>
      <c r="J77" s="1551">
        <f>J76</f>
        <v>0</v>
      </c>
      <c r="K77" s="282">
        <f t="shared" ref="K77" si="57">K76</f>
        <v>0</v>
      </c>
      <c r="L77" s="282">
        <f t="shared" ref="L77" si="58">L76</f>
        <v>0</v>
      </c>
      <c r="M77" s="282">
        <f t="shared" ref="M77" si="59">M76</f>
        <v>0</v>
      </c>
      <c r="N77" s="282">
        <f t="shared" ref="N77" si="60">N76</f>
        <v>0</v>
      </c>
      <c r="O77" s="282">
        <f t="shared" ref="O77" si="61">O76</f>
        <v>0</v>
      </c>
      <c r="P77" s="282">
        <f>SUM(P65:P75)</f>
        <v>0</v>
      </c>
      <c r="Q77" s="283">
        <f>SUM(Q65:Q75)</f>
        <v>0</v>
      </c>
      <c r="R77" s="281">
        <f t="shared" ref="R77:V77" si="62">SUM(R65:R75)</f>
        <v>0</v>
      </c>
      <c r="S77" s="282">
        <f t="shared" si="62"/>
        <v>0</v>
      </c>
      <c r="T77" s="282">
        <f t="shared" si="62"/>
        <v>0</v>
      </c>
      <c r="U77" s="282">
        <f t="shared" si="62"/>
        <v>0</v>
      </c>
      <c r="V77" s="283">
        <f t="shared" si="62"/>
        <v>0</v>
      </c>
      <c r="W77" s="441"/>
      <c r="X77" s="406" t="s">
        <v>498</v>
      </c>
      <c r="Y77" s="282">
        <f>Y76</f>
        <v>0</v>
      </c>
      <c r="Z77" s="282">
        <f t="shared" ref="Z77" si="63">Z76</f>
        <v>0</v>
      </c>
      <c r="AA77" s="282">
        <f t="shared" ref="AA77" si="64">AA76</f>
        <v>0</v>
      </c>
      <c r="AB77" s="282">
        <f t="shared" ref="AB77" si="65">AB76</f>
        <v>0</v>
      </c>
      <c r="AC77" s="282">
        <f t="shared" ref="AC77" si="66">AC76</f>
        <v>0</v>
      </c>
      <c r="AD77" s="282">
        <f t="shared" ref="AD77" si="67">AD76</f>
        <v>0</v>
      </c>
      <c r="AE77" s="282">
        <f>SUM(AE65:AE75)</f>
        <v>0</v>
      </c>
      <c r="AF77" s="283">
        <f t="shared" ref="AF77:AK77" si="68">SUM(AF65:AF75)</f>
        <v>0</v>
      </c>
      <c r="AG77" s="281">
        <f t="shared" si="68"/>
        <v>0</v>
      </c>
      <c r="AH77" s="282">
        <f t="shared" si="68"/>
        <v>0</v>
      </c>
      <c r="AI77" s="282">
        <f t="shared" si="68"/>
        <v>0</v>
      </c>
      <c r="AJ77" s="282">
        <f t="shared" si="68"/>
        <v>0</v>
      </c>
      <c r="AK77" s="283">
        <f t="shared" si="68"/>
        <v>0</v>
      </c>
      <c r="AL77" s="441"/>
      <c r="AM77" s="406" t="s">
        <v>2233</v>
      </c>
      <c r="AN77" s="282">
        <f>AN76</f>
        <v>0</v>
      </c>
      <c r="AO77" s="282">
        <f t="shared" ref="AO77" si="69">AO76</f>
        <v>0</v>
      </c>
      <c r="AP77" s="282">
        <f t="shared" ref="AP77" si="70">AP76</f>
        <v>0</v>
      </c>
      <c r="AQ77" s="282">
        <f t="shared" ref="AQ77" si="71">AQ76</f>
        <v>0</v>
      </c>
      <c r="AR77" s="282">
        <f t="shared" ref="AR77" si="72">AR76</f>
        <v>0</v>
      </c>
      <c r="AS77" s="282">
        <f t="shared" ref="AS77" si="73">AS76</f>
        <v>0</v>
      </c>
      <c r="AT77" s="282">
        <f>SUM(AT65:AT75)</f>
        <v>0</v>
      </c>
      <c r="AU77" s="283">
        <f t="shared" ref="AU77:AZ77" si="74">SUM(AU65:AU75)</f>
        <v>0</v>
      </c>
      <c r="AV77" s="281">
        <f t="shared" si="74"/>
        <v>0</v>
      </c>
      <c r="AW77" s="282">
        <f t="shared" si="74"/>
        <v>0</v>
      </c>
      <c r="AX77" s="282">
        <f t="shared" si="74"/>
        <v>0</v>
      </c>
      <c r="AY77" s="282">
        <f t="shared" si="74"/>
        <v>0</v>
      </c>
      <c r="AZ77" s="283">
        <f t="shared" si="74"/>
        <v>0</v>
      </c>
      <c r="BA77" s="441"/>
      <c r="BB77" s="405"/>
      <c r="BC77" s="209"/>
      <c r="BD77" s="209"/>
      <c r="BE77" s="209"/>
      <c r="BF77" s="209"/>
      <c r="BG77" s="209"/>
      <c r="BH77" s="209"/>
      <c r="BI77" s="209"/>
      <c r="BJ77" s="210"/>
    </row>
    <row r="78" spans="2:62" s="374" customFormat="1" ht="15" customHeight="1">
      <c r="B78" s="443"/>
      <c r="C78" s="924" t="s">
        <v>2450</v>
      </c>
      <c r="D78" s="921"/>
      <c r="E78" s="921"/>
      <c r="F78" s="921"/>
      <c r="G78" s="388"/>
      <c r="H78" s="209"/>
      <c r="I78" s="209"/>
      <c r="J78" s="405"/>
      <c r="K78" s="209"/>
      <c r="L78" s="209"/>
      <c r="M78" s="209"/>
      <c r="N78" s="209"/>
      <c r="O78" s="209"/>
      <c r="P78" s="209"/>
      <c r="Q78" s="210"/>
      <c r="R78" s="405"/>
      <c r="S78" s="209"/>
      <c r="T78" s="209"/>
      <c r="U78" s="209"/>
      <c r="V78" s="210"/>
      <c r="W78" s="441"/>
      <c r="X78" s="209"/>
      <c r="Y78" s="405"/>
      <c r="Z78" s="209"/>
      <c r="AA78" s="209"/>
      <c r="AB78" s="209"/>
      <c r="AC78" s="209"/>
      <c r="AD78" s="209"/>
      <c r="AE78" s="209"/>
      <c r="AF78" s="210"/>
      <c r="AG78" s="405"/>
      <c r="AH78" s="209"/>
      <c r="AI78" s="209"/>
      <c r="AJ78" s="209"/>
      <c r="AK78" s="210"/>
      <c r="AL78" s="441"/>
      <c r="AM78" s="209"/>
      <c r="AN78" s="405"/>
      <c r="AO78" s="209"/>
      <c r="AP78" s="209"/>
      <c r="AQ78" s="209"/>
      <c r="AR78" s="209"/>
      <c r="AS78" s="209"/>
      <c r="AT78" s="209"/>
      <c r="AU78" s="210"/>
      <c r="AV78" s="405"/>
      <c r="AW78" s="209"/>
      <c r="AX78" s="209"/>
      <c r="AY78" s="209"/>
      <c r="AZ78" s="210"/>
      <c r="BA78" s="441"/>
      <c r="BB78" s="405"/>
      <c r="BC78" s="209"/>
      <c r="BD78" s="209"/>
      <c r="BE78" s="209"/>
      <c r="BF78" s="209"/>
      <c r="BG78" s="209"/>
      <c r="BH78" s="209"/>
      <c r="BI78" s="209"/>
      <c r="BJ78" s="210"/>
    </row>
    <row r="79" spans="2:62" s="374" customFormat="1" ht="15" customHeight="1">
      <c r="B79" s="435"/>
      <c r="C79" s="823"/>
      <c r="D79" s="926" t="s">
        <v>85</v>
      </c>
      <c r="E79" s="823"/>
      <c r="F79" s="823"/>
      <c r="G79" s="447"/>
      <c r="H79" s="209"/>
      <c r="I79" s="406" t="s">
        <v>498</v>
      </c>
      <c r="J79" s="929"/>
      <c r="K79" s="930"/>
      <c r="L79" s="930"/>
      <c r="M79" s="930"/>
      <c r="N79" s="930"/>
      <c r="O79" s="930"/>
      <c r="P79" s="298">
        <v>0</v>
      </c>
      <c r="Q79" s="299">
        <v>0</v>
      </c>
      <c r="R79" s="297">
        <v>0</v>
      </c>
      <c r="S79" s="298">
        <v>0</v>
      </c>
      <c r="T79" s="298">
        <v>0</v>
      </c>
      <c r="U79" s="298">
        <v>0</v>
      </c>
      <c r="V79" s="299">
        <v>0</v>
      </c>
      <c r="W79" s="441"/>
      <c r="X79" s="406" t="s">
        <v>498</v>
      </c>
      <c r="Y79" s="929"/>
      <c r="Z79" s="930"/>
      <c r="AA79" s="930"/>
      <c r="AB79" s="930"/>
      <c r="AC79" s="930"/>
      <c r="AD79" s="930"/>
      <c r="AE79" s="298">
        <v>0</v>
      </c>
      <c r="AF79" s="299">
        <v>0</v>
      </c>
      <c r="AG79" s="297">
        <v>0</v>
      </c>
      <c r="AH79" s="298">
        <v>0</v>
      </c>
      <c r="AI79" s="298">
        <v>0</v>
      </c>
      <c r="AJ79" s="298">
        <v>0</v>
      </c>
      <c r="AK79" s="299">
        <v>0</v>
      </c>
      <c r="AL79" s="441"/>
      <c r="AM79" s="406" t="s">
        <v>2233</v>
      </c>
      <c r="AN79" s="929"/>
      <c r="AO79" s="930"/>
      <c r="AP79" s="930"/>
      <c r="AQ79" s="930"/>
      <c r="AR79" s="930"/>
      <c r="AS79" s="930"/>
      <c r="AT79" s="298">
        <v>0</v>
      </c>
      <c r="AU79" s="299">
        <v>0</v>
      </c>
      <c r="AV79" s="297">
        <v>0</v>
      </c>
      <c r="AW79" s="298">
        <v>0</v>
      </c>
      <c r="AX79" s="298">
        <v>0</v>
      </c>
      <c r="AY79" s="298">
        <v>0</v>
      </c>
      <c r="AZ79" s="299">
        <v>0</v>
      </c>
      <c r="BA79" s="441"/>
      <c r="BB79" s="1789"/>
      <c r="BC79" s="1461"/>
      <c r="BD79" s="211">
        <v>0</v>
      </c>
      <c r="BE79" s="211">
        <v>0</v>
      </c>
      <c r="BF79" s="211"/>
      <c r="BG79" s="456"/>
      <c r="BH79" s="456"/>
      <c r="BI79" s="1787"/>
      <c r="BJ79" s="457"/>
    </row>
    <row r="80" spans="2:62" s="374" customFormat="1" ht="15" customHeight="1">
      <c r="B80" s="435"/>
      <c r="C80" s="823"/>
      <c r="D80" s="926" t="s">
        <v>85</v>
      </c>
      <c r="E80" s="823"/>
      <c r="F80" s="823"/>
      <c r="G80" s="447"/>
      <c r="H80" s="209"/>
      <c r="I80" s="406" t="s">
        <v>498</v>
      </c>
      <c r="J80" s="929"/>
      <c r="K80" s="930"/>
      <c r="L80" s="930"/>
      <c r="M80" s="930"/>
      <c r="N80" s="930"/>
      <c r="O80" s="930"/>
      <c r="P80" s="298">
        <v>0</v>
      </c>
      <c r="Q80" s="299">
        <v>0</v>
      </c>
      <c r="R80" s="297">
        <v>0</v>
      </c>
      <c r="S80" s="298">
        <v>0</v>
      </c>
      <c r="T80" s="298">
        <v>0</v>
      </c>
      <c r="U80" s="298">
        <v>0</v>
      </c>
      <c r="V80" s="299">
        <v>0</v>
      </c>
      <c r="W80" s="441"/>
      <c r="X80" s="406" t="s">
        <v>498</v>
      </c>
      <c r="Y80" s="929"/>
      <c r="Z80" s="930"/>
      <c r="AA80" s="930"/>
      <c r="AB80" s="930"/>
      <c r="AC80" s="930"/>
      <c r="AD80" s="930"/>
      <c r="AE80" s="298">
        <v>0</v>
      </c>
      <c r="AF80" s="299">
        <v>0</v>
      </c>
      <c r="AG80" s="297">
        <v>0</v>
      </c>
      <c r="AH80" s="298">
        <v>0</v>
      </c>
      <c r="AI80" s="298">
        <v>0</v>
      </c>
      <c r="AJ80" s="298">
        <v>0</v>
      </c>
      <c r="AK80" s="299">
        <v>0</v>
      </c>
      <c r="AL80" s="441"/>
      <c r="AM80" s="406" t="s">
        <v>2233</v>
      </c>
      <c r="AN80" s="929"/>
      <c r="AO80" s="930"/>
      <c r="AP80" s="930"/>
      <c r="AQ80" s="930"/>
      <c r="AR80" s="930"/>
      <c r="AS80" s="930"/>
      <c r="AT80" s="298">
        <v>0</v>
      </c>
      <c r="AU80" s="299">
        <v>0</v>
      </c>
      <c r="AV80" s="297">
        <v>0</v>
      </c>
      <c r="AW80" s="298">
        <v>0</v>
      </c>
      <c r="AX80" s="298">
        <v>0</v>
      </c>
      <c r="AY80" s="298">
        <v>0</v>
      </c>
      <c r="AZ80" s="299">
        <v>0</v>
      </c>
      <c r="BA80" s="441"/>
      <c r="BB80" s="1789"/>
      <c r="BC80" s="1461"/>
      <c r="BD80" s="211">
        <v>0</v>
      </c>
      <c r="BE80" s="211">
        <v>0</v>
      </c>
      <c r="BF80" s="211"/>
      <c r="BG80" s="456"/>
      <c r="BH80" s="456"/>
      <c r="BI80" s="1787"/>
      <c r="BJ80" s="457"/>
    </row>
    <row r="81" spans="2:63" s="374" customFormat="1" ht="15" customHeight="1">
      <c r="B81" s="435"/>
      <c r="C81" s="823"/>
      <c r="D81" s="926" t="s">
        <v>85</v>
      </c>
      <c r="E81" s="823"/>
      <c r="F81" s="823"/>
      <c r="G81" s="447"/>
      <c r="H81" s="209"/>
      <c r="I81" s="406" t="s">
        <v>498</v>
      </c>
      <c r="J81" s="929"/>
      <c r="K81" s="930"/>
      <c r="L81" s="930"/>
      <c r="M81" s="930"/>
      <c r="N81" s="930"/>
      <c r="O81" s="930"/>
      <c r="P81" s="298">
        <v>0</v>
      </c>
      <c r="Q81" s="299">
        <v>0</v>
      </c>
      <c r="R81" s="297">
        <v>0</v>
      </c>
      <c r="S81" s="298">
        <v>0</v>
      </c>
      <c r="T81" s="298">
        <v>0</v>
      </c>
      <c r="U81" s="298">
        <v>0</v>
      </c>
      <c r="V81" s="299">
        <v>0</v>
      </c>
      <c r="W81" s="441"/>
      <c r="X81" s="406" t="s">
        <v>498</v>
      </c>
      <c r="Y81" s="929"/>
      <c r="Z81" s="930"/>
      <c r="AA81" s="930"/>
      <c r="AB81" s="930"/>
      <c r="AC81" s="930"/>
      <c r="AD81" s="930"/>
      <c r="AE81" s="298">
        <v>0</v>
      </c>
      <c r="AF81" s="299">
        <v>0</v>
      </c>
      <c r="AG81" s="297">
        <v>0</v>
      </c>
      <c r="AH81" s="298">
        <v>0</v>
      </c>
      <c r="AI81" s="298">
        <v>0</v>
      </c>
      <c r="AJ81" s="298">
        <v>0</v>
      </c>
      <c r="AK81" s="299">
        <v>0</v>
      </c>
      <c r="AL81" s="441"/>
      <c r="AM81" s="406" t="s">
        <v>2233</v>
      </c>
      <c r="AN81" s="929"/>
      <c r="AO81" s="930"/>
      <c r="AP81" s="930"/>
      <c r="AQ81" s="930"/>
      <c r="AR81" s="930"/>
      <c r="AS81" s="930"/>
      <c r="AT81" s="298">
        <v>0</v>
      </c>
      <c r="AU81" s="299">
        <v>0</v>
      </c>
      <c r="AV81" s="297">
        <v>0</v>
      </c>
      <c r="AW81" s="298">
        <v>0</v>
      </c>
      <c r="AX81" s="298">
        <v>0</v>
      </c>
      <c r="AY81" s="298">
        <v>0</v>
      </c>
      <c r="AZ81" s="299">
        <v>0</v>
      </c>
      <c r="BA81" s="441"/>
      <c r="BB81" s="1789"/>
      <c r="BC81" s="1461"/>
      <c r="BD81" s="211">
        <v>0</v>
      </c>
      <c r="BE81" s="211">
        <v>0</v>
      </c>
      <c r="BF81" s="211"/>
      <c r="BG81" s="456"/>
      <c r="BH81" s="456"/>
      <c r="BI81" s="1787"/>
      <c r="BJ81" s="457"/>
    </row>
    <row r="82" spans="2:63" s="374" customFormat="1" ht="15" customHeight="1">
      <c r="B82" s="435"/>
      <c r="C82" s="823"/>
      <c r="D82" s="926" t="s">
        <v>85</v>
      </c>
      <c r="E82" s="823"/>
      <c r="F82" s="823"/>
      <c r="G82" s="447"/>
      <c r="H82" s="209"/>
      <c r="I82" s="406" t="s">
        <v>498</v>
      </c>
      <c r="J82" s="929"/>
      <c r="K82" s="930"/>
      <c r="L82" s="930"/>
      <c r="M82" s="930"/>
      <c r="N82" s="930"/>
      <c r="O82" s="930"/>
      <c r="P82" s="298">
        <v>0</v>
      </c>
      <c r="Q82" s="299">
        <v>0</v>
      </c>
      <c r="R82" s="297">
        <v>0</v>
      </c>
      <c r="S82" s="298">
        <v>0</v>
      </c>
      <c r="T82" s="298">
        <v>0</v>
      </c>
      <c r="U82" s="298">
        <v>0</v>
      </c>
      <c r="V82" s="299">
        <v>0</v>
      </c>
      <c r="W82" s="441"/>
      <c r="X82" s="406" t="s">
        <v>498</v>
      </c>
      <c r="Y82" s="929"/>
      <c r="Z82" s="930"/>
      <c r="AA82" s="930"/>
      <c r="AB82" s="930"/>
      <c r="AC82" s="930"/>
      <c r="AD82" s="930"/>
      <c r="AE82" s="298">
        <v>0</v>
      </c>
      <c r="AF82" s="299">
        <v>0</v>
      </c>
      <c r="AG82" s="297">
        <v>0</v>
      </c>
      <c r="AH82" s="298">
        <v>0</v>
      </c>
      <c r="AI82" s="298">
        <v>0</v>
      </c>
      <c r="AJ82" s="298">
        <v>0</v>
      </c>
      <c r="AK82" s="299">
        <v>0</v>
      </c>
      <c r="AL82" s="441"/>
      <c r="AM82" s="406" t="s">
        <v>2233</v>
      </c>
      <c r="AN82" s="929"/>
      <c r="AO82" s="930"/>
      <c r="AP82" s="930"/>
      <c r="AQ82" s="930"/>
      <c r="AR82" s="930"/>
      <c r="AS82" s="930"/>
      <c r="AT82" s="298">
        <v>0</v>
      </c>
      <c r="AU82" s="299">
        <v>0</v>
      </c>
      <c r="AV82" s="297">
        <v>0</v>
      </c>
      <c r="AW82" s="298">
        <v>0</v>
      </c>
      <c r="AX82" s="298">
        <v>0</v>
      </c>
      <c r="AY82" s="298">
        <v>0</v>
      </c>
      <c r="AZ82" s="299">
        <v>0</v>
      </c>
      <c r="BA82" s="441"/>
      <c r="BB82" s="1789"/>
      <c r="BC82" s="1461"/>
      <c r="BD82" s="211">
        <v>0</v>
      </c>
      <c r="BE82" s="211">
        <v>0</v>
      </c>
      <c r="BF82" s="211"/>
      <c r="BG82" s="456"/>
      <c r="BH82" s="456"/>
      <c r="BI82" s="1787"/>
      <c r="BJ82" s="457"/>
    </row>
    <row r="83" spans="2:63" s="374" customFormat="1" ht="15" customHeight="1">
      <c r="B83" s="435"/>
      <c r="C83" s="823"/>
      <c r="D83" s="926" t="s">
        <v>85</v>
      </c>
      <c r="E83" s="823"/>
      <c r="F83" s="823"/>
      <c r="G83" s="447"/>
      <c r="H83" s="209"/>
      <c r="I83" s="406" t="s">
        <v>498</v>
      </c>
      <c r="J83" s="929"/>
      <c r="K83" s="930"/>
      <c r="L83" s="930"/>
      <c r="M83" s="930"/>
      <c r="N83" s="930"/>
      <c r="O83" s="930"/>
      <c r="P83" s="298">
        <v>0</v>
      </c>
      <c r="Q83" s="299">
        <v>0</v>
      </c>
      <c r="R83" s="297">
        <v>0</v>
      </c>
      <c r="S83" s="298">
        <v>0</v>
      </c>
      <c r="T83" s="298">
        <v>0</v>
      </c>
      <c r="U83" s="298">
        <v>0</v>
      </c>
      <c r="V83" s="299">
        <v>0</v>
      </c>
      <c r="W83" s="441"/>
      <c r="X83" s="406" t="s">
        <v>498</v>
      </c>
      <c r="Y83" s="929"/>
      <c r="Z83" s="930"/>
      <c r="AA83" s="930"/>
      <c r="AB83" s="930"/>
      <c r="AC83" s="930"/>
      <c r="AD83" s="930"/>
      <c r="AE83" s="298">
        <v>0</v>
      </c>
      <c r="AF83" s="299">
        <v>0</v>
      </c>
      <c r="AG83" s="297">
        <v>0</v>
      </c>
      <c r="AH83" s="298">
        <v>0</v>
      </c>
      <c r="AI83" s="298">
        <v>0</v>
      </c>
      <c r="AJ83" s="298">
        <v>0</v>
      </c>
      <c r="AK83" s="299">
        <v>0</v>
      </c>
      <c r="AL83" s="441"/>
      <c r="AM83" s="406" t="s">
        <v>2233</v>
      </c>
      <c r="AN83" s="929"/>
      <c r="AO83" s="930"/>
      <c r="AP83" s="930"/>
      <c r="AQ83" s="930"/>
      <c r="AR83" s="930"/>
      <c r="AS83" s="930"/>
      <c r="AT83" s="298">
        <v>0</v>
      </c>
      <c r="AU83" s="299">
        <v>0</v>
      </c>
      <c r="AV83" s="297">
        <v>0</v>
      </c>
      <c r="AW83" s="298">
        <v>0</v>
      </c>
      <c r="AX83" s="298">
        <v>0</v>
      </c>
      <c r="AY83" s="298">
        <v>0</v>
      </c>
      <c r="AZ83" s="299">
        <v>0</v>
      </c>
      <c r="BA83" s="441"/>
      <c r="BB83" s="1789"/>
      <c r="BC83" s="1461"/>
      <c r="BD83" s="211">
        <v>0</v>
      </c>
      <c r="BE83" s="211">
        <v>0</v>
      </c>
      <c r="BF83" s="211"/>
      <c r="BG83" s="456"/>
      <c r="BH83" s="456"/>
      <c r="BI83" s="1787"/>
      <c r="BJ83" s="457"/>
    </row>
    <row r="84" spans="2:63" s="374" customFormat="1" ht="15" customHeight="1">
      <c r="B84" s="435"/>
      <c r="C84" s="823"/>
      <c r="D84" s="926" t="s">
        <v>85</v>
      </c>
      <c r="E84" s="823"/>
      <c r="F84" s="823"/>
      <c r="G84" s="447"/>
      <c r="H84" s="209"/>
      <c r="I84" s="406" t="s">
        <v>498</v>
      </c>
      <c r="J84" s="929"/>
      <c r="K84" s="930"/>
      <c r="L84" s="930"/>
      <c r="M84" s="930"/>
      <c r="N84" s="930"/>
      <c r="O84" s="930"/>
      <c r="P84" s="298">
        <v>0</v>
      </c>
      <c r="Q84" s="299">
        <v>0</v>
      </c>
      <c r="R84" s="297">
        <v>0</v>
      </c>
      <c r="S84" s="298">
        <v>0</v>
      </c>
      <c r="T84" s="298">
        <v>0</v>
      </c>
      <c r="U84" s="298">
        <v>0</v>
      </c>
      <c r="V84" s="299">
        <v>0</v>
      </c>
      <c r="W84" s="441"/>
      <c r="X84" s="406" t="s">
        <v>498</v>
      </c>
      <c r="Y84" s="929"/>
      <c r="Z84" s="930"/>
      <c r="AA84" s="930"/>
      <c r="AB84" s="930"/>
      <c r="AC84" s="930"/>
      <c r="AD84" s="930"/>
      <c r="AE84" s="298">
        <v>0</v>
      </c>
      <c r="AF84" s="299">
        <v>0</v>
      </c>
      <c r="AG84" s="297">
        <v>0</v>
      </c>
      <c r="AH84" s="298">
        <v>0</v>
      </c>
      <c r="AI84" s="298">
        <v>0</v>
      </c>
      <c r="AJ84" s="298">
        <v>0</v>
      </c>
      <c r="AK84" s="299">
        <v>0</v>
      </c>
      <c r="AL84" s="441"/>
      <c r="AM84" s="406" t="s">
        <v>2233</v>
      </c>
      <c r="AN84" s="929"/>
      <c r="AO84" s="930"/>
      <c r="AP84" s="930"/>
      <c r="AQ84" s="930"/>
      <c r="AR84" s="930"/>
      <c r="AS84" s="930"/>
      <c r="AT84" s="298">
        <v>0</v>
      </c>
      <c r="AU84" s="299">
        <v>0</v>
      </c>
      <c r="AV84" s="297">
        <v>0</v>
      </c>
      <c r="AW84" s="298">
        <v>0</v>
      </c>
      <c r="AX84" s="298">
        <v>0</v>
      </c>
      <c r="AY84" s="298">
        <v>0</v>
      </c>
      <c r="AZ84" s="299">
        <v>0</v>
      </c>
      <c r="BA84" s="441"/>
      <c r="BB84" s="1789"/>
      <c r="BC84" s="1461"/>
      <c r="BD84" s="211">
        <v>0</v>
      </c>
      <c r="BE84" s="211">
        <v>0</v>
      </c>
      <c r="BF84" s="211"/>
      <c r="BG84" s="456"/>
      <c r="BH84" s="456"/>
      <c r="BI84" s="1787"/>
      <c r="BJ84" s="457"/>
    </row>
    <row r="85" spans="2:63" s="374" customFormat="1" ht="15" customHeight="1">
      <c r="B85" s="435"/>
      <c r="C85" s="823"/>
      <c r="D85" s="926" t="s">
        <v>85</v>
      </c>
      <c r="E85" s="823"/>
      <c r="F85" s="823"/>
      <c r="G85" s="447"/>
      <c r="H85" s="209"/>
      <c r="I85" s="406" t="s">
        <v>498</v>
      </c>
      <c r="J85" s="929"/>
      <c r="K85" s="930"/>
      <c r="L85" s="930"/>
      <c r="M85" s="930"/>
      <c r="N85" s="930"/>
      <c r="O85" s="930"/>
      <c r="P85" s="298">
        <v>0</v>
      </c>
      <c r="Q85" s="299">
        <v>0</v>
      </c>
      <c r="R85" s="297">
        <v>0</v>
      </c>
      <c r="S85" s="298">
        <v>0</v>
      </c>
      <c r="T85" s="298">
        <v>0</v>
      </c>
      <c r="U85" s="298">
        <v>0</v>
      </c>
      <c r="V85" s="299">
        <v>0</v>
      </c>
      <c r="W85" s="441"/>
      <c r="X85" s="406" t="s">
        <v>498</v>
      </c>
      <c r="Y85" s="929"/>
      <c r="Z85" s="930"/>
      <c r="AA85" s="930"/>
      <c r="AB85" s="930"/>
      <c r="AC85" s="930"/>
      <c r="AD85" s="930"/>
      <c r="AE85" s="298">
        <v>0</v>
      </c>
      <c r="AF85" s="299">
        <v>0</v>
      </c>
      <c r="AG85" s="297">
        <v>0</v>
      </c>
      <c r="AH85" s="298">
        <v>0</v>
      </c>
      <c r="AI85" s="298">
        <v>0</v>
      </c>
      <c r="AJ85" s="298">
        <v>0</v>
      </c>
      <c r="AK85" s="299">
        <v>0</v>
      </c>
      <c r="AL85" s="441"/>
      <c r="AM85" s="406" t="s">
        <v>2233</v>
      </c>
      <c r="AN85" s="929"/>
      <c r="AO85" s="930"/>
      <c r="AP85" s="930"/>
      <c r="AQ85" s="930"/>
      <c r="AR85" s="930"/>
      <c r="AS85" s="930"/>
      <c r="AT85" s="298">
        <v>0</v>
      </c>
      <c r="AU85" s="299">
        <v>0</v>
      </c>
      <c r="AV85" s="297">
        <v>0</v>
      </c>
      <c r="AW85" s="298">
        <v>0</v>
      </c>
      <c r="AX85" s="298">
        <v>0</v>
      </c>
      <c r="AY85" s="298">
        <v>0</v>
      </c>
      <c r="AZ85" s="299">
        <v>0</v>
      </c>
      <c r="BA85" s="441"/>
      <c r="BB85" s="1789"/>
      <c r="BC85" s="1461"/>
      <c r="BD85" s="211">
        <v>0</v>
      </c>
      <c r="BE85" s="211">
        <v>0</v>
      </c>
      <c r="BF85" s="211"/>
      <c r="BG85" s="456"/>
      <c r="BH85" s="456"/>
      <c r="BI85" s="1787"/>
      <c r="BJ85" s="457"/>
    </row>
    <row r="86" spans="2:63" s="374" customFormat="1" ht="15" customHeight="1">
      <c r="B86" s="435"/>
      <c r="C86" s="823"/>
      <c r="D86" s="926" t="s">
        <v>85</v>
      </c>
      <c r="E86" s="823"/>
      <c r="F86" s="823"/>
      <c r="G86" s="447"/>
      <c r="H86" s="209"/>
      <c r="I86" s="406" t="s">
        <v>498</v>
      </c>
      <c r="J86" s="929"/>
      <c r="K86" s="930"/>
      <c r="L86" s="930"/>
      <c r="M86" s="930"/>
      <c r="N86" s="930"/>
      <c r="O86" s="930"/>
      <c r="P86" s="298">
        <v>0</v>
      </c>
      <c r="Q86" s="299">
        <v>0</v>
      </c>
      <c r="R86" s="297">
        <v>0</v>
      </c>
      <c r="S86" s="298">
        <v>0</v>
      </c>
      <c r="T86" s="298">
        <v>0</v>
      </c>
      <c r="U86" s="298">
        <v>0</v>
      </c>
      <c r="V86" s="299">
        <v>0</v>
      </c>
      <c r="W86" s="441"/>
      <c r="X86" s="406" t="s">
        <v>498</v>
      </c>
      <c r="Y86" s="929"/>
      <c r="Z86" s="930"/>
      <c r="AA86" s="930"/>
      <c r="AB86" s="930"/>
      <c r="AC86" s="930"/>
      <c r="AD86" s="930"/>
      <c r="AE86" s="298">
        <v>0</v>
      </c>
      <c r="AF86" s="299">
        <v>0</v>
      </c>
      <c r="AG86" s="297">
        <v>0</v>
      </c>
      <c r="AH86" s="298">
        <v>0</v>
      </c>
      <c r="AI86" s="298">
        <v>0</v>
      </c>
      <c r="AJ86" s="298">
        <v>0</v>
      </c>
      <c r="AK86" s="299">
        <v>0</v>
      </c>
      <c r="AL86" s="441"/>
      <c r="AM86" s="406" t="s">
        <v>2233</v>
      </c>
      <c r="AN86" s="929"/>
      <c r="AO86" s="930"/>
      <c r="AP86" s="930"/>
      <c r="AQ86" s="930"/>
      <c r="AR86" s="930"/>
      <c r="AS86" s="930"/>
      <c r="AT86" s="298">
        <v>0</v>
      </c>
      <c r="AU86" s="299">
        <v>0</v>
      </c>
      <c r="AV86" s="297">
        <v>0</v>
      </c>
      <c r="AW86" s="298">
        <v>0</v>
      </c>
      <c r="AX86" s="298">
        <v>0</v>
      </c>
      <c r="AY86" s="298">
        <v>0</v>
      </c>
      <c r="AZ86" s="299">
        <v>0</v>
      </c>
      <c r="BA86" s="441"/>
      <c r="BB86" s="1789"/>
      <c r="BC86" s="1461"/>
      <c r="BD86" s="211">
        <v>0</v>
      </c>
      <c r="BE86" s="211">
        <v>0</v>
      </c>
      <c r="BF86" s="211"/>
      <c r="BG86" s="456"/>
      <c r="BH86" s="456"/>
      <c r="BI86" s="1787"/>
      <c r="BJ86" s="457"/>
    </row>
    <row r="87" spans="2:63" s="374" customFormat="1" ht="15" customHeight="1">
      <c r="B87" s="435"/>
      <c r="C87" s="823"/>
      <c r="D87" s="926" t="s">
        <v>85</v>
      </c>
      <c r="E87" s="823"/>
      <c r="F87" s="823"/>
      <c r="G87" s="447"/>
      <c r="H87" s="209"/>
      <c r="I87" s="406" t="s">
        <v>498</v>
      </c>
      <c r="J87" s="929"/>
      <c r="K87" s="930"/>
      <c r="L87" s="930"/>
      <c r="M87" s="930"/>
      <c r="N87" s="930"/>
      <c r="O87" s="930"/>
      <c r="P87" s="298">
        <v>0</v>
      </c>
      <c r="Q87" s="299">
        <v>0</v>
      </c>
      <c r="R87" s="297">
        <v>0</v>
      </c>
      <c r="S87" s="298">
        <v>0</v>
      </c>
      <c r="T87" s="298">
        <v>0</v>
      </c>
      <c r="U87" s="298">
        <v>0</v>
      </c>
      <c r="V87" s="299">
        <v>0</v>
      </c>
      <c r="W87" s="441"/>
      <c r="X87" s="406" t="s">
        <v>498</v>
      </c>
      <c r="Y87" s="929"/>
      <c r="Z87" s="930"/>
      <c r="AA87" s="930"/>
      <c r="AB87" s="930"/>
      <c r="AC87" s="930"/>
      <c r="AD87" s="930"/>
      <c r="AE87" s="298">
        <v>0</v>
      </c>
      <c r="AF87" s="299">
        <v>0</v>
      </c>
      <c r="AG87" s="297">
        <v>0</v>
      </c>
      <c r="AH87" s="298">
        <v>0</v>
      </c>
      <c r="AI87" s="298">
        <v>0</v>
      </c>
      <c r="AJ87" s="298">
        <v>0</v>
      </c>
      <c r="AK87" s="299">
        <v>0</v>
      </c>
      <c r="AL87" s="441"/>
      <c r="AM87" s="406" t="s">
        <v>2233</v>
      </c>
      <c r="AN87" s="929"/>
      <c r="AO87" s="930"/>
      <c r="AP87" s="930"/>
      <c r="AQ87" s="930"/>
      <c r="AR87" s="930"/>
      <c r="AS87" s="930"/>
      <c r="AT87" s="298">
        <v>0</v>
      </c>
      <c r="AU87" s="299">
        <v>0</v>
      </c>
      <c r="AV87" s="297">
        <v>0</v>
      </c>
      <c r="AW87" s="298">
        <v>0</v>
      </c>
      <c r="AX87" s="298">
        <v>0</v>
      </c>
      <c r="AY87" s="298">
        <v>0</v>
      </c>
      <c r="AZ87" s="299">
        <v>0</v>
      </c>
      <c r="BA87" s="441"/>
      <c r="BB87" s="1789"/>
      <c r="BC87" s="1461"/>
      <c r="BD87" s="211">
        <v>0</v>
      </c>
      <c r="BE87" s="211">
        <v>0</v>
      </c>
      <c r="BF87" s="211"/>
      <c r="BG87" s="456"/>
      <c r="BH87" s="456"/>
      <c r="BI87" s="1787"/>
      <c r="BJ87" s="457"/>
    </row>
    <row r="88" spans="2:63" s="374" customFormat="1" ht="15" customHeight="1">
      <c r="B88" s="435"/>
      <c r="C88" s="823"/>
      <c r="D88" s="926" t="s">
        <v>85</v>
      </c>
      <c r="E88" s="823"/>
      <c r="F88" s="823"/>
      <c r="G88" s="447"/>
      <c r="H88" s="209"/>
      <c r="I88" s="406" t="s">
        <v>498</v>
      </c>
      <c r="J88" s="929"/>
      <c r="K88" s="930"/>
      <c r="L88" s="930"/>
      <c r="M88" s="930"/>
      <c r="N88" s="930"/>
      <c r="O88" s="930"/>
      <c r="P88" s="298">
        <v>0</v>
      </c>
      <c r="Q88" s="299">
        <v>0</v>
      </c>
      <c r="R88" s="297">
        <v>0</v>
      </c>
      <c r="S88" s="298">
        <v>0</v>
      </c>
      <c r="T88" s="298">
        <v>0</v>
      </c>
      <c r="U88" s="298">
        <v>0</v>
      </c>
      <c r="V88" s="299">
        <v>0</v>
      </c>
      <c r="W88" s="441"/>
      <c r="X88" s="406" t="s">
        <v>498</v>
      </c>
      <c r="Y88" s="929"/>
      <c r="Z88" s="930"/>
      <c r="AA88" s="930"/>
      <c r="AB88" s="930"/>
      <c r="AC88" s="930"/>
      <c r="AD88" s="930"/>
      <c r="AE88" s="298">
        <v>0</v>
      </c>
      <c r="AF88" s="299">
        <v>0</v>
      </c>
      <c r="AG88" s="297">
        <v>0</v>
      </c>
      <c r="AH88" s="298">
        <v>0</v>
      </c>
      <c r="AI88" s="298">
        <v>0</v>
      </c>
      <c r="AJ88" s="298">
        <v>0</v>
      </c>
      <c r="AK88" s="299">
        <v>0</v>
      </c>
      <c r="AL88" s="441"/>
      <c r="AM88" s="406" t="s">
        <v>2233</v>
      </c>
      <c r="AN88" s="929"/>
      <c r="AO88" s="930"/>
      <c r="AP88" s="930"/>
      <c r="AQ88" s="930"/>
      <c r="AR88" s="930"/>
      <c r="AS88" s="930"/>
      <c r="AT88" s="298">
        <v>0</v>
      </c>
      <c r="AU88" s="299">
        <v>0</v>
      </c>
      <c r="AV88" s="297">
        <v>0</v>
      </c>
      <c r="AW88" s="298">
        <v>0</v>
      </c>
      <c r="AX88" s="298">
        <v>0</v>
      </c>
      <c r="AY88" s="298">
        <v>0</v>
      </c>
      <c r="AZ88" s="299">
        <v>0</v>
      </c>
      <c r="BA88" s="441"/>
      <c r="BB88" s="1789"/>
      <c r="BC88" s="1461"/>
      <c r="BD88" s="211">
        <v>0</v>
      </c>
      <c r="BE88" s="211">
        <v>0</v>
      </c>
      <c r="BF88" s="211"/>
      <c r="BG88" s="456"/>
      <c r="BH88" s="456"/>
      <c r="BI88" s="1787"/>
      <c r="BJ88" s="457"/>
    </row>
    <row r="89" spans="2:63" s="374" customFormat="1" ht="15" customHeight="1">
      <c r="B89" s="435"/>
      <c r="C89" s="823"/>
      <c r="D89" s="926" t="s">
        <v>2442</v>
      </c>
      <c r="E89" s="823"/>
      <c r="F89" s="823"/>
      <c r="G89" s="927"/>
      <c r="H89" s="209"/>
      <c r="I89" s="406" t="s">
        <v>498</v>
      </c>
      <c r="J89" s="929"/>
      <c r="K89" s="930"/>
      <c r="L89" s="930"/>
      <c r="M89" s="930"/>
      <c r="N89" s="930"/>
      <c r="O89" s="930"/>
      <c r="P89" s="298">
        <v>1.0548655509634646</v>
      </c>
      <c r="Q89" s="299">
        <v>1.7647706876996301</v>
      </c>
      <c r="R89" s="297">
        <v>0.79367918095041157</v>
      </c>
      <c r="S89" s="298">
        <v>0.79367918095041157</v>
      </c>
      <c r="T89" s="298">
        <v>0.97670794510536063</v>
      </c>
      <c r="U89" s="298">
        <v>0.79367918095041157</v>
      </c>
      <c r="V89" s="299">
        <v>2.6494241363955551</v>
      </c>
      <c r="W89" s="441"/>
      <c r="X89" s="406" t="s">
        <v>498</v>
      </c>
      <c r="Y89" s="929"/>
      <c r="Z89" s="930"/>
      <c r="AA89" s="930"/>
      <c r="AB89" s="930"/>
      <c r="AC89" s="930"/>
      <c r="AD89" s="930"/>
      <c r="AE89" s="298">
        <v>0</v>
      </c>
      <c r="AF89" s="299">
        <v>0</v>
      </c>
      <c r="AG89" s="297">
        <v>0</v>
      </c>
      <c r="AH89" s="298">
        <v>0</v>
      </c>
      <c r="AI89" s="298">
        <v>0</v>
      </c>
      <c r="AJ89" s="298">
        <v>0</v>
      </c>
      <c r="AK89" s="299">
        <v>0</v>
      </c>
      <c r="AL89" s="441"/>
      <c r="AM89" s="406" t="s">
        <v>2233</v>
      </c>
      <c r="AN89" s="929"/>
      <c r="AO89" s="930"/>
      <c r="AP89" s="930"/>
      <c r="AQ89" s="930"/>
      <c r="AR89" s="930"/>
      <c r="AS89" s="930"/>
      <c r="AT89" s="298">
        <v>0</v>
      </c>
      <c r="AU89" s="299">
        <v>0</v>
      </c>
      <c r="AV89" s="297">
        <v>0</v>
      </c>
      <c r="AW89" s="298">
        <v>0</v>
      </c>
      <c r="AX89" s="298">
        <v>0</v>
      </c>
      <c r="AY89" s="298">
        <v>0</v>
      </c>
      <c r="AZ89" s="299">
        <v>0</v>
      </c>
      <c r="BA89" s="441"/>
      <c r="BB89" s="405"/>
      <c r="BC89" s="209"/>
      <c r="BD89" s="209"/>
      <c r="BE89" s="209"/>
      <c r="BF89" s="209"/>
      <c r="BG89" s="209"/>
      <c r="BH89" s="209"/>
      <c r="BI89" s="209"/>
      <c r="BJ89" s="210"/>
    </row>
    <row r="90" spans="2:63" s="374" customFormat="1" ht="15" customHeight="1">
      <c r="B90" s="435"/>
      <c r="C90" s="823"/>
      <c r="D90" s="926" t="s">
        <v>2443</v>
      </c>
      <c r="E90" s="823"/>
      <c r="F90" s="823"/>
      <c r="G90" s="926"/>
      <c r="H90" s="209"/>
      <c r="I90" s="406" t="s">
        <v>498</v>
      </c>
      <c r="J90" s="297">
        <v>1.3285835914691444</v>
      </c>
      <c r="K90" s="298">
        <v>3.4681314389610378</v>
      </c>
      <c r="L90" s="298">
        <v>5.0676509123041518</v>
      </c>
      <c r="M90" s="298">
        <v>1.2485613028647453</v>
      </c>
      <c r="N90" s="298">
        <v>1.3679499524871028</v>
      </c>
      <c r="O90" s="298">
        <v>1.3920205392749623</v>
      </c>
      <c r="P90" s="209"/>
      <c r="Q90" s="210"/>
      <c r="R90" s="405"/>
      <c r="S90" s="209"/>
      <c r="T90" s="209"/>
      <c r="U90" s="209"/>
      <c r="V90" s="210"/>
      <c r="W90" s="441"/>
      <c r="X90" s="406" t="s">
        <v>498</v>
      </c>
      <c r="Y90" s="297">
        <v>0</v>
      </c>
      <c r="Z90" s="298">
        <v>0</v>
      </c>
      <c r="AA90" s="298">
        <v>0</v>
      </c>
      <c r="AB90" s="298">
        <v>0</v>
      </c>
      <c r="AC90" s="298">
        <v>-4.9733483351521229E-3</v>
      </c>
      <c r="AD90" s="298">
        <v>-0.10707116</v>
      </c>
      <c r="AE90" s="209"/>
      <c r="AF90" s="210"/>
      <c r="AG90" s="405"/>
      <c r="AH90" s="209"/>
      <c r="AI90" s="209"/>
      <c r="AJ90" s="209"/>
      <c r="AK90" s="210"/>
      <c r="AL90" s="441"/>
      <c r="AM90" s="406" t="s">
        <v>2233</v>
      </c>
      <c r="AN90" s="297">
        <v>0</v>
      </c>
      <c r="AO90" s="298">
        <v>0</v>
      </c>
      <c r="AP90" s="298">
        <v>0</v>
      </c>
      <c r="AQ90" s="298">
        <v>0</v>
      </c>
      <c r="AR90" s="298">
        <v>0</v>
      </c>
      <c r="AS90" s="298">
        <v>0</v>
      </c>
      <c r="AT90" s="209"/>
      <c r="AU90" s="210"/>
      <c r="AV90" s="405"/>
      <c r="AW90" s="209"/>
      <c r="AX90" s="209"/>
      <c r="AY90" s="209"/>
      <c r="AZ90" s="210"/>
      <c r="BA90" s="441"/>
      <c r="BB90" s="405"/>
      <c r="BC90" s="209"/>
      <c r="BD90" s="209"/>
      <c r="BE90" s="209"/>
      <c r="BF90" s="209"/>
      <c r="BG90" s="209"/>
      <c r="BH90" s="209"/>
      <c r="BI90" s="209"/>
      <c r="BJ90" s="210"/>
    </row>
    <row r="91" spans="2:63" s="374" customFormat="1" ht="15" customHeight="1">
      <c r="B91" s="435"/>
      <c r="C91" s="926" t="s">
        <v>1710</v>
      </c>
      <c r="D91" s="823"/>
      <c r="E91" s="823"/>
      <c r="F91" s="823"/>
      <c r="G91" s="927"/>
      <c r="H91" s="209"/>
      <c r="I91" s="406" t="s">
        <v>498</v>
      </c>
      <c r="J91" s="1551">
        <f>J90</f>
        <v>1.3285835914691444</v>
      </c>
      <c r="K91" s="282">
        <f t="shared" ref="K91" si="75">K90</f>
        <v>3.4681314389610378</v>
      </c>
      <c r="L91" s="282">
        <f t="shared" ref="L91" si="76">L90</f>
        <v>5.0676509123041518</v>
      </c>
      <c r="M91" s="282">
        <f t="shared" ref="M91" si="77">M90</f>
        <v>1.2485613028647453</v>
      </c>
      <c r="N91" s="282">
        <f t="shared" ref="N91" si="78">N90</f>
        <v>1.3679499524871028</v>
      </c>
      <c r="O91" s="282">
        <f t="shared" ref="O91" si="79">O90</f>
        <v>1.3920205392749623</v>
      </c>
      <c r="P91" s="282">
        <f>SUM(P79:P89)</f>
        <v>1.0548655509634646</v>
      </c>
      <c r="Q91" s="283">
        <f>SUM(Q79:Q89)</f>
        <v>1.7647706876996301</v>
      </c>
      <c r="R91" s="281">
        <f t="shared" ref="R91:V91" si="80">SUM(R79:R89)</f>
        <v>0.79367918095041157</v>
      </c>
      <c r="S91" s="282">
        <f t="shared" si="80"/>
        <v>0.79367918095041157</v>
      </c>
      <c r="T91" s="282">
        <f t="shared" si="80"/>
        <v>0.97670794510536063</v>
      </c>
      <c r="U91" s="282">
        <f t="shared" si="80"/>
        <v>0.79367918095041157</v>
      </c>
      <c r="V91" s="283">
        <f t="shared" si="80"/>
        <v>2.6494241363955551</v>
      </c>
      <c r="W91" s="441"/>
      <c r="X91" s="406" t="s">
        <v>498</v>
      </c>
      <c r="Y91" s="282">
        <f>Y90</f>
        <v>0</v>
      </c>
      <c r="Z91" s="282">
        <f t="shared" ref="Z91" si="81">Z90</f>
        <v>0</v>
      </c>
      <c r="AA91" s="282">
        <f t="shared" ref="AA91" si="82">AA90</f>
        <v>0</v>
      </c>
      <c r="AB91" s="282">
        <f t="shared" ref="AB91" si="83">AB90</f>
        <v>0</v>
      </c>
      <c r="AC91" s="282">
        <f t="shared" ref="AC91" si="84">AC90</f>
        <v>-4.9733483351521229E-3</v>
      </c>
      <c r="AD91" s="282">
        <f t="shared" ref="AD91" si="85">AD90</f>
        <v>-0.10707116</v>
      </c>
      <c r="AE91" s="282">
        <f>SUM(AE79:AE89)</f>
        <v>0</v>
      </c>
      <c r="AF91" s="283">
        <f t="shared" ref="AF91:AK91" si="86">SUM(AF79:AF89)</f>
        <v>0</v>
      </c>
      <c r="AG91" s="281">
        <f t="shared" si="86"/>
        <v>0</v>
      </c>
      <c r="AH91" s="282">
        <f t="shared" si="86"/>
        <v>0</v>
      </c>
      <c r="AI91" s="282">
        <f t="shared" si="86"/>
        <v>0</v>
      </c>
      <c r="AJ91" s="282">
        <f t="shared" si="86"/>
        <v>0</v>
      </c>
      <c r="AK91" s="283">
        <f t="shared" si="86"/>
        <v>0</v>
      </c>
      <c r="AL91" s="441"/>
      <c r="AM91" s="406" t="s">
        <v>2233</v>
      </c>
      <c r="AN91" s="282">
        <f>AN90</f>
        <v>0</v>
      </c>
      <c r="AO91" s="282">
        <f t="shared" ref="AO91" si="87">AO90</f>
        <v>0</v>
      </c>
      <c r="AP91" s="282">
        <f t="shared" ref="AP91" si="88">AP90</f>
        <v>0</v>
      </c>
      <c r="AQ91" s="282">
        <f t="shared" ref="AQ91" si="89">AQ90</f>
        <v>0</v>
      </c>
      <c r="AR91" s="282">
        <f t="shared" ref="AR91" si="90">AR90</f>
        <v>0</v>
      </c>
      <c r="AS91" s="282">
        <f t="shared" ref="AS91" si="91">AS90</f>
        <v>0</v>
      </c>
      <c r="AT91" s="282">
        <f>SUM(AT79:AT89)</f>
        <v>0</v>
      </c>
      <c r="AU91" s="283">
        <f t="shared" ref="AU91:AZ91" si="92">SUM(AU79:AU89)</f>
        <v>0</v>
      </c>
      <c r="AV91" s="281">
        <f t="shared" si="92"/>
        <v>0</v>
      </c>
      <c r="AW91" s="282">
        <f t="shared" si="92"/>
        <v>0</v>
      </c>
      <c r="AX91" s="282">
        <f t="shared" si="92"/>
        <v>0</v>
      </c>
      <c r="AY91" s="282">
        <f t="shared" si="92"/>
        <v>0</v>
      </c>
      <c r="AZ91" s="283">
        <f t="shared" si="92"/>
        <v>0</v>
      </c>
      <c r="BA91" s="441"/>
      <c r="BB91" s="405"/>
      <c r="BC91" s="209"/>
      <c r="BD91" s="209"/>
      <c r="BE91" s="209"/>
      <c r="BF91" s="209"/>
      <c r="BG91" s="209"/>
      <c r="BH91" s="209"/>
      <c r="BI91" s="209"/>
      <c r="BJ91" s="210"/>
    </row>
    <row r="92" spans="2:63" s="374" customFormat="1" ht="15" customHeight="1">
      <c r="B92" s="443"/>
      <c r="C92" s="921"/>
      <c r="D92" s="921"/>
      <c r="E92" s="921"/>
      <c r="F92" s="921"/>
      <c r="G92" s="209"/>
      <c r="H92" s="209"/>
      <c r="I92" s="209"/>
      <c r="J92" s="405"/>
      <c r="K92" s="209"/>
      <c r="L92" s="209"/>
      <c r="M92" s="209"/>
      <c r="N92" s="209"/>
      <c r="O92" s="209"/>
      <c r="P92" s="209"/>
      <c r="Q92" s="210"/>
      <c r="R92" s="405"/>
      <c r="S92" s="209"/>
      <c r="T92" s="209"/>
      <c r="U92" s="209"/>
      <c r="V92" s="210"/>
      <c r="W92" s="441"/>
      <c r="X92" s="209"/>
      <c r="Y92" s="405"/>
      <c r="Z92" s="209"/>
      <c r="AA92" s="209"/>
      <c r="AB92" s="209"/>
      <c r="AC92" s="209"/>
      <c r="AD92" s="209"/>
      <c r="AE92" s="209"/>
      <c r="AF92" s="210"/>
      <c r="AG92" s="405"/>
      <c r="AH92" s="209"/>
      <c r="AI92" s="209"/>
      <c r="AJ92" s="209"/>
      <c r="AK92" s="210"/>
      <c r="AL92" s="441"/>
      <c r="AM92" s="209"/>
      <c r="AN92" s="405"/>
      <c r="AO92" s="209"/>
      <c r="AP92" s="209"/>
      <c r="AQ92" s="209"/>
      <c r="AR92" s="209"/>
      <c r="AS92" s="209"/>
      <c r="AT92" s="209"/>
      <c r="AU92" s="210"/>
      <c r="AV92" s="405"/>
      <c r="AW92" s="209"/>
      <c r="AX92" s="209"/>
      <c r="AY92" s="209"/>
      <c r="AZ92" s="210"/>
      <c r="BA92" s="441"/>
      <c r="BB92" s="405"/>
      <c r="BC92" s="209"/>
      <c r="BD92" s="209"/>
      <c r="BE92" s="209"/>
      <c r="BF92" s="209"/>
      <c r="BG92" s="209"/>
      <c r="BH92" s="209"/>
      <c r="BI92" s="209"/>
      <c r="BJ92" s="210"/>
    </row>
    <row r="93" spans="2:63" s="374" customFormat="1" ht="15" customHeight="1" thickBot="1">
      <c r="B93" s="925" t="s">
        <v>1701</v>
      </c>
      <c r="C93" s="922"/>
      <c r="D93" s="922"/>
      <c r="E93" s="922"/>
      <c r="F93" s="922"/>
      <c r="G93" s="448"/>
      <c r="H93" s="434"/>
      <c r="I93" s="449" t="s">
        <v>498</v>
      </c>
      <c r="J93" s="749">
        <f>SUM(J35,J49,J63,J77,J91)</f>
        <v>1.3656390664557374</v>
      </c>
      <c r="K93" s="750">
        <f t="shared" ref="K93:V93" si="93">SUM(K35,K49,K63,K77,K91)</f>
        <v>3.7838174961038948</v>
      </c>
      <c r="L93" s="750">
        <f t="shared" si="93"/>
        <v>6.6838520171381512</v>
      </c>
      <c r="M93" s="750">
        <f t="shared" si="93"/>
        <v>5.2995398888288481</v>
      </c>
      <c r="N93" s="750">
        <f t="shared" si="93"/>
        <v>7.0865896920031979</v>
      </c>
      <c r="O93" s="750">
        <f t="shared" si="93"/>
        <v>3.3034204243434786</v>
      </c>
      <c r="P93" s="750">
        <f t="shared" si="93"/>
        <v>4.8348236806488378</v>
      </c>
      <c r="Q93" s="751">
        <f t="shared" si="93"/>
        <v>8.7044356771302152</v>
      </c>
      <c r="R93" s="749">
        <f t="shared" si="93"/>
        <v>3.1893774830364552</v>
      </c>
      <c r="S93" s="750">
        <f t="shared" si="93"/>
        <v>8.2208103819912441</v>
      </c>
      <c r="T93" s="750">
        <f t="shared" si="93"/>
        <v>9.8013298223630532</v>
      </c>
      <c r="U93" s="750">
        <f t="shared" si="93"/>
        <v>6.5238574180136304</v>
      </c>
      <c r="V93" s="751">
        <f t="shared" si="93"/>
        <v>5.8989590932201299</v>
      </c>
      <c r="W93" s="450"/>
      <c r="X93" s="449" t="s">
        <v>498</v>
      </c>
      <c r="Y93" s="749">
        <f>SUM(Y35,Y49,Y63,Y77,Y91)</f>
        <v>-6.1839030544267121E-2</v>
      </c>
      <c r="Z93" s="750">
        <f t="shared" ref="Z93:AK93" si="94">SUM(Z35,Z49,Z63,Z77,Z91)</f>
        <v>-0.19978732987012979</v>
      </c>
      <c r="AA93" s="750">
        <f t="shared" si="94"/>
        <v>-0.95022278538609772</v>
      </c>
      <c r="AB93" s="750">
        <f t="shared" si="94"/>
        <v>-0.90023723512287124</v>
      </c>
      <c r="AC93" s="750">
        <f t="shared" si="94"/>
        <v>-3.2586588494059097</v>
      </c>
      <c r="AD93" s="750">
        <f t="shared" si="94"/>
        <v>-0.10707116</v>
      </c>
      <c r="AE93" s="750">
        <f t="shared" si="94"/>
        <v>-1.7015121703286411</v>
      </c>
      <c r="AF93" s="751">
        <f t="shared" si="94"/>
        <v>-4.3914334637257522</v>
      </c>
      <c r="AG93" s="749">
        <f t="shared" si="94"/>
        <v>0</v>
      </c>
      <c r="AH93" s="750">
        <f t="shared" si="94"/>
        <v>0</v>
      </c>
      <c r="AI93" s="750">
        <f t="shared" si="94"/>
        <v>0</v>
      </c>
      <c r="AJ93" s="750">
        <f t="shared" si="94"/>
        <v>0</v>
      </c>
      <c r="AK93" s="751">
        <f t="shared" si="94"/>
        <v>0</v>
      </c>
      <c r="AL93" s="450"/>
      <c r="AM93" s="449" t="s">
        <v>2233</v>
      </c>
      <c r="AN93" s="749">
        <f>SUM(AN35,AN49,AN63,AN77,AN91)</f>
        <v>0</v>
      </c>
      <c r="AO93" s="750">
        <f t="shared" ref="AO93:AZ93" si="95">SUM(AO35,AO49,AO63,AO77,AO91)</f>
        <v>0</v>
      </c>
      <c r="AP93" s="750">
        <f t="shared" si="95"/>
        <v>2.1819999999999999</v>
      </c>
      <c r="AQ93" s="750">
        <f t="shared" si="95"/>
        <v>2.8029999999999999</v>
      </c>
      <c r="AR93" s="750">
        <f t="shared" si="95"/>
        <v>2.6010000000000004</v>
      </c>
      <c r="AS93" s="750">
        <f t="shared" si="95"/>
        <v>2.6750000000000003</v>
      </c>
      <c r="AT93" s="750">
        <f t="shared" si="95"/>
        <v>0</v>
      </c>
      <c r="AU93" s="751">
        <f t="shared" si="95"/>
        <v>0.7</v>
      </c>
      <c r="AV93" s="749">
        <f t="shared" si="95"/>
        <v>0</v>
      </c>
      <c r="AW93" s="750">
        <f t="shared" si="95"/>
        <v>0</v>
      </c>
      <c r="AX93" s="750">
        <f t="shared" si="95"/>
        <v>0</v>
      </c>
      <c r="AY93" s="750">
        <f t="shared" si="95"/>
        <v>0</v>
      </c>
      <c r="AZ93" s="751">
        <f t="shared" si="95"/>
        <v>0</v>
      </c>
      <c r="BA93" s="450"/>
      <c r="BB93" s="1790"/>
      <c r="BC93" s="434"/>
      <c r="BD93" s="434"/>
      <c r="BE93" s="434"/>
      <c r="BF93" s="434"/>
      <c r="BG93" s="434"/>
      <c r="BH93" s="434"/>
      <c r="BI93" s="434"/>
      <c r="BJ93" s="237"/>
    </row>
    <row r="94" spans="2:63" s="374" customFormat="1" ht="15" customHeight="1" thickBot="1">
      <c r="G94" s="372"/>
      <c r="H94" s="372"/>
      <c r="BB94" s="372"/>
      <c r="BC94" s="372"/>
      <c r="BD94" s="372"/>
      <c r="BE94" s="372"/>
      <c r="BF94" s="372"/>
      <c r="BG94" s="372"/>
      <c r="BH94" s="372"/>
      <c r="BJ94" s="372"/>
      <c r="BK94" s="373"/>
    </row>
    <row r="95" spans="2:63" s="374" customFormat="1" ht="30" customHeight="1" thickBot="1">
      <c r="B95" s="436" t="s">
        <v>2452</v>
      </c>
      <c r="C95" s="920"/>
      <c r="D95" s="920"/>
      <c r="E95" s="920"/>
      <c r="F95" s="920"/>
      <c r="G95" s="437"/>
      <c r="H95" s="438"/>
      <c r="I95" s="105" t="s">
        <v>1864</v>
      </c>
      <c r="J95" s="106"/>
      <c r="K95" s="106"/>
      <c r="L95" s="106"/>
      <c r="M95" s="106"/>
      <c r="N95" s="106"/>
      <c r="O95" s="106"/>
      <c r="P95" s="106"/>
      <c r="Q95" s="106"/>
      <c r="R95" s="105"/>
      <c r="S95" s="105"/>
      <c r="T95" s="105"/>
      <c r="U95" s="105"/>
      <c r="V95" s="187"/>
      <c r="W95" s="439"/>
      <c r="X95" s="105" t="s">
        <v>2202</v>
      </c>
      <c r="Y95" s="106"/>
      <c r="Z95" s="106"/>
      <c r="AA95" s="106"/>
      <c r="AB95" s="106"/>
      <c r="AC95" s="106"/>
      <c r="AD95" s="106"/>
      <c r="AE95" s="106"/>
      <c r="AF95" s="106"/>
      <c r="AG95" s="105"/>
      <c r="AH95" s="105"/>
      <c r="AI95" s="105"/>
      <c r="AJ95" s="105"/>
      <c r="AK95" s="187"/>
      <c r="AL95" s="439"/>
      <c r="AM95" s="105" t="s">
        <v>2231</v>
      </c>
      <c r="AN95" s="106"/>
      <c r="AO95" s="106"/>
      <c r="AP95" s="106"/>
      <c r="AQ95" s="106"/>
      <c r="AR95" s="106"/>
      <c r="AS95" s="106"/>
      <c r="AT95" s="106"/>
      <c r="AU95" s="106"/>
      <c r="AV95" s="105"/>
      <c r="AW95" s="105"/>
      <c r="AX95" s="105"/>
      <c r="AY95" s="105"/>
      <c r="AZ95" s="187"/>
      <c r="BA95" s="439"/>
      <c r="BB95" s="789" t="s">
        <v>1925</v>
      </c>
      <c r="BC95" s="789"/>
      <c r="BD95" s="789"/>
      <c r="BE95" s="790"/>
      <c r="BF95" s="790"/>
      <c r="BG95" s="790"/>
      <c r="BH95" s="790"/>
      <c r="BI95" s="791"/>
    </row>
    <row r="96" spans="2:63" s="374" customFormat="1" ht="30" customHeight="1">
      <c r="B96" s="440"/>
      <c r="C96" s="388"/>
      <c r="D96" s="388"/>
      <c r="E96" s="388"/>
      <c r="F96" s="388"/>
      <c r="G96" s="388"/>
      <c r="H96" s="209"/>
      <c r="I96" s="225"/>
      <c r="J96" s="424" t="s">
        <v>1666</v>
      </c>
      <c r="K96" s="425"/>
      <c r="L96" s="425"/>
      <c r="M96" s="425"/>
      <c r="N96" s="425"/>
      <c r="O96" s="425"/>
      <c r="P96" s="425"/>
      <c r="Q96" s="426"/>
      <c r="R96" s="428" t="s">
        <v>2</v>
      </c>
      <c r="S96" s="428"/>
      <c r="T96" s="428"/>
      <c r="U96" s="428"/>
      <c r="V96" s="429"/>
      <c r="W96" s="441"/>
      <c r="X96" s="225"/>
      <c r="Y96" s="424" t="s">
        <v>1666</v>
      </c>
      <c r="Z96" s="425"/>
      <c r="AA96" s="425"/>
      <c r="AB96" s="425"/>
      <c r="AC96" s="425"/>
      <c r="AD96" s="425"/>
      <c r="AE96" s="425"/>
      <c r="AF96" s="426"/>
      <c r="AG96" s="427" t="s">
        <v>2</v>
      </c>
      <c r="AH96" s="428"/>
      <c r="AI96" s="428"/>
      <c r="AJ96" s="428"/>
      <c r="AK96" s="429"/>
      <c r="AL96" s="441"/>
      <c r="AM96" s="451"/>
      <c r="AN96" s="424" t="s">
        <v>1666</v>
      </c>
      <c r="AO96" s="425"/>
      <c r="AP96" s="425"/>
      <c r="AQ96" s="425"/>
      <c r="AR96" s="425"/>
      <c r="AS96" s="425"/>
      <c r="AT96" s="425"/>
      <c r="AU96" s="426"/>
      <c r="AV96" s="427" t="s">
        <v>2</v>
      </c>
      <c r="AW96" s="428"/>
      <c r="AX96" s="428"/>
      <c r="AY96" s="428"/>
      <c r="AZ96" s="429"/>
      <c r="BA96" s="441"/>
      <c r="BB96" s="202" t="s">
        <v>2431</v>
      </c>
      <c r="BC96" s="202" t="s">
        <v>2432</v>
      </c>
      <c r="BD96" s="202" t="s">
        <v>313</v>
      </c>
      <c r="BE96" s="202" t="s">
        <v>2435</v>
      </c>
      <c r="BF96" s="202" t="s">
        <v>2453</v>
      </c>
      <c r="BG96" s="202" t="s">
        <v>2454</v>
      </c>
      <c r="BH96" s="202" t="s">
        <v>2455</v>
      </c>
      <c r="BI96" s="452" t="s">
        <v>2439</v>
      </c>
    </row>
    <row r="97" spans="2:61" s="374" customFormat="1" ht="15" customHeight="1">
      <c r="B97" s="443"/>
      <c r="C97" s="921"/>
      <c r="D97" s="921"/>
      <c r="E97" s="921"/>
      <c r="F97" s="921"/>
      <c r="G97" s="388"/>
      <c r="H97" s="209"/>
      <c r="I97" s="389" t="s">
        <v>1667</v>
      </c>
      <c r="J97" s="430" t="s">
        <v>453</v>
      </c>
      <c r="K97" s="431" t="s">
        <v>455</v>
      </c>
      <c r="L97" s="431" t="s">
        <v>457</v>
      </c>
      <c r="M97" s="431" t="s">
        <v>459</v>
      </c>
      <c r="N97" s="431" t="s">
        <v>461</v>
      </c>
      <c r="O97" s="431" t="s">
        <v>463</v>
      </c>
      <c r="P97" s="431" t="s">
        <v>465</v>
      </c>
      <c r="Q97" s="432" t="s">
        <v>467</v>
      </c>
      <c r="R97" s="459" t="s">
        <v>469</v>
      </c>
      <c r="S97" s="431" t="s">
        <v>471</v>
      </c>
      <c r="T97" s="431" t="s">
        <v>473</v>
      </c>
      <c r="U97" s="431" t="s">
        <v>475</v>
      </c>
      <c r="V97" s="432" t="s">
        <v>477</v>
      </c>
      <c r="W97" s="441"/>
      <c r="X97" s="389" t="s">
        <v>1667</v>
      </c>
      <c r="Y97" s="430" t="s">
        <v>453</v>
      </c>
      <c r="Z97" s="431" t="s">
        <v>455</v>
      </c>
      <c r="AA97" s="431" t="s">
        <v>457</v>
      </c>
      <c r="AB97" s="431" t="s">
        <v>459</v>
      </c>
      <c r="AC97" s="431" t="s">
        <v>461</v>
      </c>
      <c r="AD97" s="431" t="s">
        <v>463</v>
      </c>
      <c r="AE97" s="431" t="s">
        <v>465</v>
      </c>
      <c r="AF97" s="432" t="s">
        <v>467</v>
      </c>
      <c r="AG97" s="430" t="s">
        <v>469</v>
      </c>
      <c r="AH97" s="431" t="s">
        <v>471</v>
      </c>
      <c r="AI97" s="431" t="s">
        <v>473</v>
      </c>
      <c r="AJ97" s="431" t="s">
        <v>475</v>
      </c>
      <c r="AK97" s="432" t="s">
        <v>477</v>
      </c>
      <c r="AL97" s="441"/>
      <c r="AM97" s="389" t="s">
        <v>1667</v>
      </c>
      <c r="AN97" s="453" t="s">
        <v>2456</v>
      </c>
      <c r="AO97" s="454" t="s">
        <v>465</v>
      </c>
      <c r="AP97" s="431" t="s">
        <v>471</v>
      </c>
      <c r="AQ97" s="431" t="s">
        <v>471</v>
      </c>
      <c r="AR97" s="431" t="s">
        <v>471</v>
      </c>
      <c r="AS97" s="431" t="s">
        <v>471</v>
      </c>
      <c r="AT97" s="431" t="s">
        <v>471</v>
      </c>
      <c r="AU97" s="432" t="s">
        <v>467</v>
      </c>
      <c r="AV97" s="430" t="s">
        <v>469</v>
      </c>
      <c r="AW97" s="431" t="s">
        <v>471</v>
      </c>
      <c r="AX97" s="431" t="s">
        <v>473</v>
      </c>
      <c r="AY97" s="431" t="s">
        <v>475</v>
      </c>
      <c r="AZ97" s="432" t="s">
        <v>477</v>
      </c>
      <c r="BA97" s="441"/>
      <c r="BB97" s="206" t="s">
        <v>627</v>
      </c>
      <c r="BC97" s="205"/>
      <c r="BD97" s="205"/>
      <c r="BE97" s="205"/>
      <c r="BF97" s="206" t="s">
        <v>2391</v>
      </c>
      <c r="BG97" s="444" t="s">
        <v>2265</v>
      </c>
      <c r="BH97" s="444" t="s">
        <v>2265</v>
      </c>
      <c r="BI97" s="210"/>
    </row>
    <row r="98" spans="2:61" s="374" customFormat="1" ht="15" customHeight="1">
      <c r="B98" s="923"/>
      <c r="C98" s="924" t="s">
        <v>2457</v>
      </c>
      <c r="D98" s="921"/>
      <c r="E98" s="921"/>
      <c r="F98" s="921"/>
      <c r="G98" s="388"/>
      <c r="H98" s="209"/>
      <c r="I98" s="209"/>
      <c r="J98" s="405"/>
      <c r="K98" s="209"/>
      <c r="L98" s="209"/>
      <c r="M98" s="209"/>
      <c r="N98" s="209"/>
      <c r="O98" s="209"/>
      <c r="P98" s="209"/>
      <c r="Q98" s="210"/>
      <c r="R98" s="209"/>
      <c r="S98" s="209"/>
      <c r="T98" s="209"/>
      <c r="U98" s="209"/>
      <c r="V98" s="210"/>
      <c r="W98" s="441"/>
      <c r="X98" s="209"/>
      <c r="Y98" s="405"/>
      <c r="Z98" s="209"/>
      <c r="AA98" s="209"/>
      <c r="AB98" s="209"/>
      <c r="AC98" s="209"/>
      <c r="AD98" s="209"/>
      <c r="AE98" s="209"/>
      <c r="AF98" s="210"/>
      <c r="AG98" s="405"/>
      <c r="AH98" s="209"/>
      <c r="AI98" s="209"/>
      <c r="AJ98" s="209"/>
      <c r="AK98" s="210"/>
      <c r="AL98" s="441"/>
      <c r="AM98" s="209"/>
      <c r="AN98" s="405"/>
      <c r="AO98" s="209"/>
      <c r="AP98" s="209"/>
      <c r="AQ98" s="209"/>
      <c r="AR98" s="209"/>
      <c r="AS98" s="209"/>
      <c r="AT98" s="209"/>
      <c r="AU98" s="210"/>
      <c r="AV98" s="405"/>
      <c r="AW98" s="209"/>
      <c r="AX98" s="209"/>
      <c r="AY98" s="209"/>
      <c r="AZ98" s="210"/>
      <c r="BA98" s="441"/>
      <c r="BB98" s="209"/>
      <c r="BC98" s="209"/>
      <c r="BD98" s="209"/>
      <c r="BE98" s="209"/>
      <c r="BF98" s="209"/>
      <c r="BG98" s="209"/>
      <c r="BH98" s="209"/>
      <c r="BI98" s="210"/>
    </row>
    <row r="99" spans="2:61" s="374" customFormat="1" ht="15" customHeight="1">
      <c r="B99" s="435"/>
      <c r="C99" s="823"/>
      <c r="D99" s="926" t="s">
        <v>2458</v>
      </c>
      <c r="E99" s="921"/>
      <c r="F99" s="921"/>
      <c r="G99" s="388"/>
      <c r="H99" s="209"/>
      <c r="I99" s="406" t="s">
        <v>498</v>
      </c>
      <c r="J99" s="1551">
        <f>'2.19_LP_Gasholders'!J34</f>
        <v>0</v>
      </c>
      <c r="K99" s="282">
        <f>'2.19_LP_Gasholders'!K34</f>
        <v>0</v>
      </c>
      <c r="L99" s="282">
        <f>'2.19_LP_Gasholders'!L34</f>
        <v>0</v>
      </c>
      <c r="M99" s="282">
        <f>'2.19_LP_Gasholders'!M34</f>
        <v>0</v>
      </c>
      <c r="N99" s="282">
        <f>'2.19_LP_Gasholders'!N34</f>
        <v>0</v>
      </c>
      <c r="O99" s="282">
        <f>'2.19_LP_Gasholders'!O34</f>
        <v>0</v>
      </c>
      <c r="P99" s="282">
        <f>'2.19_LP_Gasholders'!P34</f>
        <v>0</v>
      </c>
      <c r="Q99" s="283">
        <f>'2.19_LP_Gasholders'!Q34</f>
        <v>0</v>
      </c>
      <c r="R99" s="281">
        <f>'2.19_LP_Gasholders'!R34</f>
        <v>0</v>
      </c>
      <c r="S99" s="282">
        <f>'2.19_LP_Gasholders'!S34</f>
        <v>0</v>
      </c>
      <c r="T99" s="282">
        <f>'2.19_LP_Gasholders'!T34</f>
        <v>0</v>
      </c>
      <c r="U99" s="282">
        <f>'2.19_LP_Gasholders'!U34</f>
        <v>0</v>
      </c>
      <c r="V99" s="283">
        <f>'2.19_LP_Gasholders'!V34</f>
        <v>0</v>
      </c>
      <c r="W99" s="441"/>
      <c r="X99" s="209"/>
      <c r="Y99" s="405"/>
      <c r="Z99" s="209"/>
      <c r="AA99" s="209"/>
      <c r="AB99" s="209"/>
      <c r="AC99" s="209"/>
      <c r="AD99" s="209"/>
      <c r="AE99" s="209"/>
      <c r="AF99" s="210"/>
      <c r="AG99" s="405"/>
      <c r="AH99" s="209"/>
      <c r="AI99" s="209"/>
      <c r="AJ99" s="209"/>
      <c r="AK99" s="210"/>
      <c r="AL99" s="441"/>
      <c r="AM99" s="283">
        <f>'2.19_LP_Gasholders'!AC34</f>
        <v>0</v>
      </c>
      <c r="AN99" s="1551">
        <f>'2.19_LP_Gasholders'!AD34</f>
        <v>0</v>
      </c>
      <c r="AO99" s="282">
        <f>'2.19_LP_Gasholders'!AE34</f>
        <v>0</v>
      </c>
      <c r="AP99" s="282">
        <f>'2.19_LP_Gasholders'!AF34</f>
        <v>0</v>
      </c>
      <c r="AQ99" s="282">
        <f>'2.19_LP_Gasholders'!AG34</f>
        <v>0</v>
      </c>
      <c r="AR99" s="282">
        <f>'2.19_LP_Gasholders'!AH34</f>
        <v>0</v>
      </c>
      <c r="AS99" s="282">
        <f>'2.19_LP_Gasholders'!AI34</f>
        <v>0</v>
      </c>
      <c r="AT99" s="282">
        <f>'2.19_LP_Gasholders'!AJ34</f>
        <v>0</v>
      </c>
      <c r="AU99" s="283">
        <f>'2.19_LP_Gasholders'!AK34</f>
        <v>0</v>
      </c>
      <c r="AV99" s="281">
        <f>'2.19_LP_Gasholders'!AL34</f>
        <v>0</v>
      </c>
      <c r="AW99" s="282">
        <f>'2.19_LP_Gasholders'!AM34</f>
        <v>0</v>
      </c>
      <c r="AX99" s="282">
        <f>'2.19_LP_Gasholders'!AN34</f>
        <v>0</v>
      </c>
      <c r="AY99" s="282">
        <f>'2.19_LP_Gasholders'!AO34</f>
        <v>0</v>
      </c>
      <c r="AZ99" s="283">
        <f>'2.19_LP_Gasholders'!AP34</f>
        <v>0</v>
      </c>
      <c r="BA99" s="441"/>
      <c r="BB99" s="209"/>
      <c r="BC99" s="209"/>
      <c r="BD99" s="209"/>
      <c r="BE99" s="209"/>
      <c r="BF99" s="209"/>
      <c r="BG99" s="209"/>
      <c r="BH99" s="209"/>
      <c r="BI99" s="210"/>
    </row>
    <row r="100" spans="2:61" s="374" customFormat="1" ht="15" customHeight="1">
      <c r="B100" s="435"/>
      <c r="C100" s="823"/>
      <c r="D100" s="926" t="s">
        <v>85</v>
      </c>
      <c r="E100" s="823"/>
      <c r="F100" s="823"/>
      <c r="G100" s="447"/>
      <c r="H100" s="209"/>
      <c r="I100" s="406" t="s">
        <v>498</v>
      </c>
      <c r="J100" s="405"/>
      <c r="K100" s="209"/>
      <c r="L100" s="209"/>
      <c r="M100" s="209"/>
      <c r="N100" s="209"/>
      <c r="O100" s="209"/>
      <c r="P100" s="298">
        <v>0</v>
      </c>
      <c r="Q100" s="299">
        <v>0</v>
      </c>
      <c r="R100" s="460">
        <v>0</v>
      </c>
      <c r="S100" s="298">
        <v>0</v>
      </c>
      <c r="T100" s="298">
        <v>0</v>
      </c>
      <c r="U100" s="298">
        <v>0</v>
      </c>
      <c r="V100" s="299">
        <v>0</v>
      </c>
      <c r="W100" s="441"/>
      <c r="X100" s="406" t="s">
        <v>498</v>
      </c>
      <c r="Y100" s="405"/>
      <c r="Z100" s="209"/>
      <c r="AA100" s="209"/>
      <c r="AB100" s="209"/>
      <c r="AC100" s="209"/>
      <c r="AD100" s="209"/>
      <c r="AE100" s="298">
        <v>0</v>
      </c>
      <c r="AF100" s="299">
        <v>0</v>
      </c>
      <c r="AG100" s="460">
        <v>0</v>
      </c>
      <c r="AH100" s="298">
        <v>0</v>
      </c>
      <c r="AI100" s="298">
        <v>0</v>
      </c>
      <c r="AJ100" s="298">
        <v>0</v>
      </c>
      <c r="AK100" s="299">
        <v>0</v>
      </c>
      <c r="AL100" s="441"/>
      <c r="AM100" s="455">
        <v>0</v>
      </c>
      <c r="AN100" s="405"/>
      <c r="AO100" s="209"/>
      <c r="AP100" s="209"/>
      <c r="AQ100" s="209"/>
      <c r="AR100" s="209"/>
      <c r="AS100" s="209"/>
      <c r="AT100" s="298">
        <v>0</v>
      </c>
      <c r="AU100" s="299">
        <v>0</v>
      </c>
      <c r="AV100" s="460">
        <v>0</v>
      </c>
      <c r="AW100" s="298">
        <v>0</v>
      </c>
      <c r="AX100" s="298">
        <v>0</v>
      </c>
      <c r="AY100" s="298">
        <v>0</v>
      </c>
      <c r="AZ100" s="299">
        <v>0</v>
      </c>
      <c r="BA100" s="441"/>
      <c r="BB100" s="1462"/>
      <c r="BC100" s="1461"/>
      <c r="BD100" s="211">
        <v>0</v>
      </c>
      <c r="BE100" s="211"/>
      <c r="BF100" s="456">
        <v>0</v>
      </c>
      <c r="BG100" s="456">
        <v>0</v>
      </c>
      <c r="BH100" s="456">
        <v>0</v>
      </c>
      <c r="BI100" s="457"/>
    </row>
    <row r="101" spans="2:61" s="374" customFormat="1" ht="15" customHeight="1">
      <c r="B101" s="435"/>
      <c r="C101" s="823"/>
      <c r="D101" s="926" t="s">
        <v>85</v>
      </c>
      <c r="E101" s="823"/>
      <c r="F101" s="823"/>
      <c r="G101" s="447"/>
      <c r="H101" s="209"/>
      <c r="I101" s="406" t="s">
        <v>498</v>
      </c>
      <c r="J101" s="405"/>
      <c r="K101" s="209"/>
      <c r="L101" s="209"/>
      <c r="M101" s="209"/>
      <c r="N101" s="209"/>
      <c r="O101" s="209"/>
      <c r="P101" s="298">
        <v>0</v>
      </c>
      <c r="Q101" s="299">
        <v>0</v>
      </c>
      <c r="R101" s="460">
        <v>0</v>
      </c>
      <c r="S101" s="298">
        <v>0</v>
      </c>
      <c r="T101" s="298">
        <v>0</v>
      </c>
      <c r="U101" s="298">
        <v>0</v>
      </c>
      <c r="V101" s="299">
        <v>0</v>
      </c>
      <c r="W101" s="441"/>
      <c r="X101" s="406" t="s">
        <v>498</v>
      </c>
      <c r="Y101" s="405"/>
      <c r="Z101" s="209"/>
      <c r="AA101" s="209"/>
      <c r="AB101" s="209"/>
      <c r="AC101" s="209"/>
      <c r="AD101" s="209"/>
      <c r="AE101" s="298">
        <v>0</v>
      </c>
      <c r="AF101" s="299">
        <v>0</v>
      </c>
      <c r="AG101" s="460">
        <v>0</v>
      </c>
      <c r="AH101" s="298">
        <v>0</v>
      </c>
      <c r="AI101" s="298">
        <v>0</v>
      </c>
      <c r="AJ101" s="298">
        <v>0</v>
      </c>
      <c r="AK101" s="299">
        <v>0</v>
      </c>
      <c r="AL101" s="441"/>
      <c r="AM101" s="455">
        <v>0</v>
      </c>
      <c r="AN101" s="405"/>
      <c r="AO101" s="209"/>
      <c r="AP101" s="209"/>
      <c r="AQ101" s="209"/>
      <c r="AR101" s="209"/>
      <c r="AS101" s="209"/>
      <c r="AT101" s="298">
        <v>0</v>
      </c>
      <c r="AU101" s="299">
        <v>0</v>
      </c>
      <c r="AV101" s="460">
        <v>0</v>
      </c>
      <c r="AW101" s="298">
        <v>0</v>
      </c>
      <c r="AX101" s="298">
        <v>0</v>
      </c>
      <c r="AY101" s="298">
        <v>0</v>
      </c>
      <c r="AZ101" s="299">
        <v>0</v>
      </c>
      <c r="BA101" s="441"/>
      <c r="BB101" s="1462"/>
      <c r="BC101" s="1461"/>
      <c r="BD101" s="211">
        <v>0</v>
      </c>
      <c r="BE101" s="211"/>
      <c r="BF101" s="456">
        <v>0</v>
      </c>
      <c r="BG101" s="456">
        <v>0</v>
      </c>
      <c r="BH101" s="456">
        <v>0</v>
      </c>
      <c r="BI101" s="457"/>
    </row>
    <row r="102" spans="2:61" s="374" customFormat="1" ht="15" customHeight="1">
      <c r="B102" s="435"/>
      <c r="C102" s="823"/>
      <c r="D102" s="926" t="s">
        <v>85</v>
      </c>
      <c r="E102" s="823"/>
      <c r="F102" s="823"/>
      <c r="G102" s="447"/>
      <c r="H102" s="209"/>
      <c r="I102" s="406" t="s">
        <v>498</v>
      </c>
      <c r="J102" s="405"/>
      <c r="K102" s="209"/>
      <c r="L102" s="209"/>
      <c r="M102" s="209"/>
      <c r="N102" s="209"/>
      <c r="O102" s="209"/>
      <c r="P102" s="298">
        <v>0</v>
      </c>
      <c r="Q102" s="299">
        <v>0</v>
      </c>
      <c r="R102" s="460">
        <v>0</v>
      </c>
      <c r="S102" s="298">
        <v>0</v>
      </c>
      <c r="T102" s="298">
        <v>0</v>
      </c>
      <c r="U102" s="298">
        <v>0</v>
      </c>
      <c r="V102" s="299">
        <v>0</v>
      </c>
      <c r="W102" s="441"/>
      <c r="X102" s="406" t="s">
        <v>498</v>
      </c>
      <c r="Y102" s="405"/>
      <c r="Z102" s="209"/>
      <c r="AA102" s="209"/>
      <c r="AB102" s="209"/>
      <c r="AC102" s="209"/>
      <c r="AD102" s="209"/>
      <c r="AE102" s="298">
        <v>0</v>
      </c>
      <c r="AF102" s="299">
        <v>0</v>
      </c>
      <c r="AG102" s="460">
        <v>0</v>
      </c>
      <c r="AH102" s="298">
        <v>0</v>
      </c>
      <c r="AI102" s="298">
        <v>0</v>
      </c>
      <c r="AJ102" s="298">
        <v>0</v>
      </c>
      <c r="AK102" s="299">
        <v>0</v>
      </c>
      <c r="AL102" s="441"/>
      <c r="AM102" s="455">
        <v>0</v>
      </c>
      <c r="AN102" s="405"/>
      <c r="AO102" s="209"/>
      <c r="AP102" s="209"/>
      <c r="AQ102" s="209"/>
      <c r="AR102" s="209"/>
      <c r="AS102" s="209"/>
      <c r="AT102" s="298">
        <v>0</v>
      </c>
      <c r="AU102" s="299">
        <v>0</v>
      </c>
      <c r="AV102" s="460">
        <v>0</v>
      </c>
      <c r="AW102" s="298">
        <v>0</v>
      </c>
      <c r="AX102" s="298">
        <v>0</v>
      </c>
      <c r="AY102" s="298">
        <v>0</v>
      </c>
      <c r="AZ102" s="299">
        <v>0</v>
      </c>
      <c r="BA102" s="441"/>
      <c r="BB102" s="1462"/>
      <c r="BC102" s="1461"/>
      <c r="BD102" s="211">
        <v>0</v>
      </c>
      <c r="BE102" s="211"/>
      <c r="BF102" s="456">
        <v>0</v>
      </c>
      <c r="BG102" s="456">
        <v>0</v>
      </c>
      <c r="BH102" s="456">
        <v>0</v>
      </c>
      <c r="BI102" s="457"/>
    </row>
    <row r="103" spans="2:61" s="374" customFormat="1" ht="15" customHeight="1">
      <c r="B103" s="435"/>
      <c r="C103" s="823"/>
      <c r="D103" s="926" t="s">
        <v>85</v>
      </c>
      <c r="E103" s="823"/>
      <c r="F103" s="823"/>
      <c r="G103" s="447"/>
      <c r="H103" s="209"/>
      <c r="I103" s="406" t="s">
        <v>498</v>
      </c>
      <c r="J103" s="405"/>
      <c r="K103" s="209"/>
      <c r="L103" s="209"/>
      <c r="M103" s="209"/>
      <c r="N103" s="209"/>
      <c r="O103" s="209"/>
      <c r="P103" s="298">
        <v>0</v>
      </c>
      <c r="Q103" s="299">
        <v>0</v>
      </c>
      <c r="R103" s="460">
        <v>0</v>
      </c>
      <c r="S103" s="298">
        <v>0</v>
      </c>
      <c r="T103" s="298">
        <v>0</v>
      </c>
      <c r="U103" s="298">
        <v>0</v>
      </c>
      <c r="V103" s="299">
        <v>0</v>
      </c>
      <c r="W103" s="441"/>
      <c r="X103" s="406" t="s">
        <v>498</v>
      </c>
      <c r="Y103" s="405"/>
      <c r="Z103" s="209"/>
      <c r="AA103" s="209"/>
      <c r="AB103" s="209"/>
      <c r="AC103" s="209"/>
      <c r="AD103" s="209"/>
      <c r="AE103" s="298">
        <v>0</v>
      </c>
      <c r="AF103" s="299">
        <v>0</v>
      </c>
      <c r="AG103" s="460">
        <v>0</v>
      </c>
      <c r="AH103" s="298">
        <v>0</v>
      </c>
      <c r="AI103" s="298">
        <v>0</v>
      </c>
      <c r="AJ103" s="298">
        <v>0</v>
      </c>
      <c r="AK103" s="299">
        <v>0</v>
      </c>
      <c r="AL103" s="441"/>
      <c r="AM103" s="455">
        <v>0</v>
      </c>
      <c r="AN103" s="405"/>
      <c r="AO103" s="209"/>
      <c r="AP103" s="209"/>
      <c r="AQ103" s="209"/>
      <c r="AR103" s="209"/>
      <c r="AS103" s="209"/>
      <c r="AT103" s="298">
        <v>0</v>
      </c>
      <c r="AU103" s="299">
        <v>0</v>
      </c>
      <c r="AV103" s="460">
        <v>0</v>
      </c>
      <c r="AW103" s="298">
        <v>0</v>
      </c>
      <c r="AX103" s="298">
        <v>0</v>
      </c>
      <c r="AY103" s="298">
        <v>0</v>
      </c>
      <c r="AZ103" s="299">
        <v>0</v>
      </c>
      <c r="BA103" s="441"/>
      <c r="BB103" s="1462"/>
      <c r="BC103" s="1461"/>
      <c r="BD103" s="211">
        <v>0</v>
      </c>
      <c r="BE103" s="211"/>
      <c r="BF103" s="456">
        <v>0</v>
      </c>
      <c r="BG103" s="456">
        <v>0</v>
      </c>
      <c r="BH103" s="456">
        <v>0</v>
      </c>
      <c r="BI103" s="457"/>
    </row>
    <row r="104" spans="2:61" s="374" customFormat="1" ht="15" customHeight="1">
      <c r="B104" s="435"/>
      <c r="C104" s="823"/>
      <c r="D104" s="926" t="s">
        <v>85</v>
      </c>
      <c r="E104" s="823"/>
      <c r="F104" s="823"/>
      <c r="G104" s="447"/>
      <c r="H104" s="209"/>
      <c r="I104" s="406" t="s">
        <v>498</v>
      </c>
      <c r="J104" s="405"/>
      <c r="K104" s="209"/>
      <c r="L104" s="209"/>
      <c r="M104" s="209"/>
      <c r="N104" s="209"/>
      <c r="O104" s="209"/>
      <c r="P104" s="298">
        <v>0</v>
      </c>
      <c r="Q104" s="299">
        <v>0</v>
      </c>
      <c r="R104" s="460">
        <v>0</v>
      </c>
      <c r="S104" s="298">
        <v>0</v>
      </c>
      <c r="T104" s="298">
        <v>0</v>
      </c>
      <c r="U104" s="298">
        <v>0</v>
      </c>
      <c r="V104" s="299">
        <v>0</v>
      </c>
      <c r="W104" s="441"/>
      <c r="X104" s="406" t="s">
        <v>498</v>
      </c>
      <c r="Y104" s="405"/>
      <c r="Z104" s="209"/>
      <c r="AA104" s="209"/>
      <c r="AB104" s="209"/>
      <c r="AC104" s="209"/>
      <c r="AD104" s="209"/>
      <c r="AE104" s="298">
        <v>0</v>
      </c>
      <c r="AF104" s="299">
        <v>0</v>
      </c>
      <c r="AG104" s="460">
        <v>0</v>
      </c>
      <c r="AH104" s="298">
        <v>0</v>
      </c>
      <c r="AI104" s="298">
        <v>0</v>
      </c>
      <c r="AJ104" s="298">
        <v>0</v>
      </c>
      <c r="AK104" s="299">
        <v>0</v>
      </c>
      <c r="AL104" s="441"/>
      <c r="AM104" s="455">
        <v>0</v>
      </c>
      <c r="AN104" s="405"/>
      <c r="AO104" s="209"/>
      <c r="AP104" s="209"/>
      <c r="AQ104" s="209"/>
      <c r="AR104" s="209"/>
      <c r="AS104" s="209"/>
      <c r="AT104" s="298">
        <v>0</v>
      </c>
      <c r="AU104" s="299">
        <v>0</v>
      </c>
      <c r="AV104" s="460">
        <v>0</v>
      </c>
      <c r="AW104" s="298">
        <v>0</v>
      </c>
      <c r="AX104" s="298">
        <v>0</v>
      </c>
      <c r="AY104" s="298">
        <v>0</v>
      </c>
      <c r="AZ104" s="299">
        <v>0</v>
      </c>
      <c r="BA104" s="441"/>
      <c r="BB104" s="1462"/>
      <c r="BC104" s="1461"/>
      <c r="BD104" s="211">
        <v>0</v>
      </c>
      <c r="BE104" s="211"/>
      <c r="BF104" s="456">
        <v>0</v>
      </c>
      <c r="BG104" s="456">
        <v>0</v>
      </c>
      <c r="BH104" s="456">
        <v>0</v>
      </c>
      <c r="BI104" s="457"/>
    </row>
    <row r="105" spans="2:61" s="374" customFormat="1" ht="15" customHeight="1">
      <c r="B105" s="435"/>
      <c r="C105" s="823"/>
      <c r="D105" s="926" t="s">
        <v>85</v>
      </c>
      <c r="E105" s="823"/>
      <c r="F105" s="823"/>
      <c r="G105" s="447"/>
      <c r="H105" s="209"/>
      <c r="I105" s="406" t="s">
        <v>498</v>
      </c>
      <c r="J105" s="405"/>
      <c r="K105" s="209"/>
      <c r="L105" s="209"/>
      <c r="M105" s="209"/>
      <c r="N105" s="209"/>
      <c r="O105" s="209"/>
      <c r="P105" s="298">
        <v>0</v>
      </c>
      <c r="Q105" s="299">
        <v>0</v>
      </c>
      <c r="R105" s="460">
        <v>0</v>
      </c>
      <c r="S105" s="298">
        <v>0</v>
      </c>
      <c r="T105" s="298">
        <v>0</v>
      </c>
      <c r="U105" s="298">
        <v>0</v>
      </c>
      <c r="V105" s="299">
        <v>0</v>
      </c>
      <c r="W105" s="441"/>
      <c r="X105" s="406" t="s">
        <v>498</v>
      </c>
      <c r="Y105" s="405"/>
      <c r="Z105" s="209"/>
      <c r="AA105" s="209"/>
      <c r="AB105" s="209"/>
      <c r="AC105" s="209"/>
      <c r="AD105" s="209"/>
      <c r="AE105" s="298">
        <v>0</v>
      </c>
      <c r="AF105" s="299">
        <v>0</v>
      </c>
      <c r="AG105" s="460">
        <v>0</v>
      </c>
      <c r="AH105" s="298">
        <v>0</v>
      </c>
      <c r="AI105" s="298">
        <v>0</v>
      </c>
      <c r="AJ105" s="298">
        <v>0</v>
      </c>
      <c r="AK105" s="299">
        <v>0</v>
      </c>
      <c r="AL105" s="441"/>
      <c r="AM105" s="455">
        <v>0</v>
      </c>
      <c r="AN105" s="405"/>
      <c r="AO105" s="209"/>
      <c r="AP105" s="209"/>
      <c r="AQ105" s="209"/>
      <c r="AR105" s="209"/>
      <c r="AS105" s="209"/>
      <c r="AT105" s="298">
        <v>0</v>
      </c>
      <c r="AU105" s="299">
        <v>0</v>
      </c>
      <c r="AV105" s="460">
        <v>0</v>
      </c>
      <c r="AW105" s="298">
        <v>0</v>
      </c>
      <c r="AX105" s="298">
        <v>0</v>
      </c>
      <c r="AY105" s="298">
        <v>0</v>
      </c>
      <c r="AZ105" s="299">
        <v>0</v>
      </c>
      <c r="BA105" s="441"/>
      <c r="BB105" s="1462"/>
      <c r="BC105" s="1461"/>
      <c r="BD105" s="211">
        <v>0</v>
      </c>
      <c r="BE105" s="211"/>
      <c r="BF105" s="456">
        <v>0</v>
      </c>
      <c r="BG105" s="456">
        <v>0</v>
      </c>
      <c r="BH105" s="456">
        <v>0</v>
      </c>
      <c r="BI105" s="457"/>
    </row>
    <row r="106" spans="2:61" s="374" customFormat="1" ht="15" customHeight="1">
      <c r="B106" s="435"/>
      <c r="C106" s="823"/>
      <c r="D106" s="926" t="s">
        <v>85</v>
      </c>
      <c r="E106" s="823"/>
      <c r="F106" s="823"/>
      <c r="G106" s="447"/>
      <c r="H106" s="209"/>
      <c r="I106" s="406" t="s">
        <v>498</v>
      </c>
      <c r="J106" s="405"/>
      <c r="K106" s="209"/>
      <c r="L106" s="209"/>
      <c r="M106" s="209"/>
      <c r="N106" s="209"/>
      <c r="O106" s="209"/>
      <c r="P106" s="298">
        <v>0</v>
      </c>
      <c r="Q106" s="299">
        <v>0</v>
      </c>
      <c r="R106" s="460">
        <v>0</v>
      </c>
      <c r="S106" s="298">
        <v>0</v>
      </c>
      <c r="T106" s="298">
        <v>0</v>
      </c>
      <c r="U106" s="298">
        <v>0</v>
      </c>
      <c r="V106" s="299">
        <v>0</v>
      </c>
      <c r="W106" s="441"/>
      <c r="X106" s="406" t="s">
        <v>498</v>
      </c>
      <c r="Y106" s="405"/>
      <c r="Z106" s="209"/>
      <c r="AA106" s="209"/>
      <c r="AB106" s="209"/>
      <c r="AC106" s="209"/>
      <c r="AD106" s="209"/>
      <c r="AE106" s="298">
        <v>0</v>
      </c>
      <c r="AF106" s="299">
        <v>0</v>
      </c>
      <c r="AG106" s="460">
        <v>0</v>
      </c>
      <c r="AH106" s="298">
        <v>0</v>
      </c>
      <c r="AI106" s="298">
        <v>0</v>
      </c>
      <c r="AJ106" s="298">
        <v>0</v>
      </c>
      <c r="AK106" s="299">
        <v>0</v>
      </c>
      <c r="AL106" s="441"/>
      <c r="AM106" s="455">
        <v>0</v>
      </c>
      <c r="AN106" s="405"/>
      <c r="AO106" s="209"/>
      <c r="AP106" s="209"/>
      <c r="AQ106" s="209"/>
      <c r="AR106" s="209"/>
      <c r="AS106" s="209"/>
      <c r="AT106" s="298">
        <v>0</v>
      </c>
      <c r="AU106" s="299">
        <v>0</v>
      </c>
      <c r="AV106" s="460">
        <v>0</v>
      </c>
      <c r="AW106" s="298">
        <v>0</v>
      </c>
      <c r="AX106" s="298">
        <v>0</v>
      </c>
      <c r="AY106" s="298">
        <v>0</v>
      </c>
      <c r="AZ106" s="299">
        <v>0</v>
      </c>
      <c r="BA106" s="441"/>
      <c r="BB106" s="1462"/>
      <c r="BC106" s="1461"/>
      <c r="BD106" s="211">
        <v>0</v>
      </c>
      <c r="BE106" s="211"/>
      <c r="BF106" s="456">
        <v>0</v>
      </c>
      <c r="BG106" s="456">
        <v>0</v>
      </c>
      <c r="BH106" s="456">
        <v>0</v>
      </c>
      <c r="BI106" s="457"/>
    </row>
    <row r="107" spans="2:61" s="374" customFormat="1" ht="15" customHeight="1">
      <c r="B107" s="435"/>
      <c r="C107" s="823"/>
      <c r="D107" s="926" t="s">
        <v>85</v>
      </c>
      <c r="E107" s="823"/>
      <c r="F107" s="823"/>
      <c r="G107" s="447"/>
      <c r="H107" s="209"/>
      <c r="I107" s="406" t="s">
        <v>498</v>
      </c>
      <c r="J107" s="405"/>
      <c r="K107" s="209"/>
      <c r="L107" s="209"/>
      <c r="M107" s="209"/>
      <c r="N107" s="209"/>
      <c r="O107" s="209"/>
      <c r="P107" s="298">
        <v>0</v>
      </c>
      <c r="Q107" s="299">
        <v>0</v>
      </c>
      <c r="R107" s="460">
        <v>0</v>
      </c>
      <c r="S107" s="298">
        <v>0</v>
      </c>
      <c r="T107" s="298">
        <v>0</v>
      </c>
      <c r="U107" s="298">
        <v>0</v>
      </c>
      <c r="V107" s="299">
        <v>0</v>
      </c>
      <c r="W107" s="441"/>
      <c r="X107" s="406" t="s">
        <v>498</v>
      </c>
      <c r="Y107" s="405"/>
      <c r="Z107" s="209"/>
      <c r="AA107" s="209"/>
      <c r="AB107" s="209"/>
      <c r="AC107" s="209"/>
      <c r="AD107" s="209"/>
      <c r="AE107" s="298">
        <v>0</v>
      </c>
      <c r="AF107" s="299">
        <v>0</v>
      </c>
      <c r="AG107" s="460">
        <v>0</v>
      </c>
      <c r="AH107" s="298">
        <v>0</v>
      </c>
      <c r="AI107" s="298">
        <v>0</v>
      </c>
      <c r="AJ107" s="298">
        <v>0</v>
      </c>
      <c r="AK107" s="299">
        <v>0</v>
      </c>
      <c r="AL107" s="441"/>
      <c r="AM107" s="455">
        <v>0</v>
      </c>
      <c r="AN107" s="405"/>
      <c r="AO107" s="209"/>
      <c r="AP107" s="209"/>
      <c r="AQ107" s="209"/>
      <c r="AR107" s="209"/>
      <c r="AS107" s="209"/>
      <c r="AT107" s="298">
        <v>0</v>
      </c>
      <c r="AU107" s="299">
        <v>0</v>
      </c>
      <c r="AV107" s="460">
        <v>0</v>
      </c>
      <c r="AW107" s="298">
        <v>0</v>
      </c>
      <c r="AX107" s="298">
        <v>0</v>
      </c>
      <c r="AY107" s="298">
        <v>0</v>
      </c>
      <c r="AZ107" s="299">
        <v>0</v>
      </c>
      <c r="BA107" s="441"/>
      <c r="BB107" s="1462"/>
      <c r="BC107" s="1461"/>
      <c r="BD107" s="211">
        <v>0</v>
      </c>
      <c r="BE107" s="211"/>
      <c r="BF107" s="456">
        <v>0</v>
      </c>
      <c r="BG107" s="456">
        <v>0</v>
      </c>
      <c r="BH107" s="456">
        <v>0</v>
      </c>
      <c r="BI107" s="457"/>
    </row>
    <row r="108" spans="2:61" s="374" customFormat="1" ht="15" customHeight="1">
      <c r="B108" s="435"/>
      <c r="C108" s="823"/>
      <c r="D108" s="926" t="s">
        <v>85</v>
      </c>
      <c r="E108" s="823"/>
      <c r="F108" s="823"/>
      <c r="G108" s="447"/>
      <c r="H108" s="209"/>
      <c r="I108" s="406" t="s">
        <v>498</v>
      </c>
      <c r="J108" s="405"/>
      <c r="K108" s="209"/>
      <c r="L108" s="209"/>
      <c r="M108" s="209"/>
      <c r="N108" s="209"/>
      <c r="O108" s="209"/>
      <c r="P108" s="298">
        <v>0</v>
      </c>
      <c r="Q108" s="299">
        <v>0</v>
      </c>
      <c r="R108" s="460">
        <v>0</v>
      </c>
      <c r="S108" s="298">
        <v>0</v>
      </c>
      <c r="T108" s="298">
        <v>0</v>
      </c>
      <c r="U108" s="298">
        <v>0</v>
      </c>
      <c r="V108" s="299">
        <v>0</v>
      </c>
      <c r="W108" s="441"/>
      <c r="X108" s="406" t="s">
        <v>498</v>
      </c>
      <c r="Y108" s="405"/>
      <c r="Z108" s="209"/>
      <c r="AA108" s="209"/>
      <c r="AB108" s="209"/>
      <c r="AC108" s="209"/>
      <c r="AD108" s="209"/>
      <c r="AE108" s="298">
        <v>0</v>
      </c>
      <c r="AF108" s="299">
        <v>0</v>
      </c>
      <c r="AG108" s="460">
        <v>0</v>
      </c>
      <c r="AH108" s="298">
        <v>0</v>
      </c>
      <c r="AI108" s="298">
        <v>0</v>
      </c>
      <c r="AJ108" s="298">
        <v>0</v>
      </c>
      <c r="AK108" s="299">
        <v>0</v>
      </c>
      <c r="AL108" s="441"/>
      <c r="AM108" s="455">
        <v>0</v>
      </c>
      <c r="AN108" s="405"/>
      <c r="AO108" s="209"/>
      <c r="AP108" s="209"/>
      <c r="AQ108" s="209"/>
      <c r="AR108" s="209"/>
      <c r="AS108" s="209"/>
      <c r="AT108" s="298">
        <v>0</v>
      </c>
      <c r="AU108" s="299">
        <v>0</v>
      </c>
      <c r="AV108" s="460">
        <v>0</v>
      </c>
      <c r="AW108" s="298">
        <v>0</v>
      </c>
      <c r="AX108" s="298">
        <v>0</v>
      </c>
      <c r="AY108" s="298">
        <v>0</v>
      </c>
      <c r="AZ108" s="299">
        <v>0</v>
      </c>
      <c r="BA108" s="441"/>
      <c r="BB108" s="1462"/>
      <c r="BC108" s="1461"/>
      <c r="BD108" s="211">
        <v>0</v>
      </c>
      <c r="BE108" s="211"/>
      <c r="BF108" s="456">
        <v>0</v>
      </c>
      <c r="BG108" s="456">
        <v>0</v>
      </c>
      <c r="BH108" s="456">
        <v>0</v>
      </c>
      <c r="BI108" s="457"/>
    </row>
    <row r="109" spans="2:61" s="374" customFormat="1" ht="15" customHeight="1">
      <c r="B109" s="435"/>
      <c r="C109" s="823"/>
      <c r="D109" s="926" t="s">
        <v>85</v>
      </c>
      <c r="E109" s="823"/>
      <c r="F109" s="823"/>
      <c r="G109" s="447"/>
      <c r="H109" s="209"/>
      <c r="I109" s="406" t="s">
        <v>498</v>
      </c>
      <c r="J109" s="405"/>
      <c r="K109" s="209"/>
      <c r="L109" s="209"/>
      <c r="M109" s="209"/>
      <c r="N109" s="209"/>
      <c r="O109" s="209"/>
      <c r="P109" s="298">
        <v>0</v>
      </c>
      <c r="Q109" s="299">
        <v>0</v>
      </c>
      <c r="R109" s="460">
        <v>0</v>
      </c>
      <c r="S109" s="298">
        <v>0</v>
      </c>
      <c r="T109" s="298">
        <v>0</v>
      </c>
      <c r="U109" s="298">
        <v>0</v>
      </c>
      <c r="V109" s="299">
        <v>0</v>
      </c>
      <c r="W109" s="441"/>
      <c r="X109" s="406" t="s">
        <v>498</v>
      </c>
      <c r="Y109" s="405"/>
      <c r="Z109" s="209"/>
      <c r="AA109" s="209"/>
      <c r="AB109" s="209"/>
      <c r="AC109" s="209"/>
      <c r="AD109" s="209"/>
      <c r="AE109" s="298">
        <v>0</v>
      </c>
      <c r="AF109" s="299">
        <v>0</v>
      </c>
      <c r="AG109" s="460">
        <v>0</v>
      </c>
      <c r="AH109" s="298">
        <v>0</v>
      </c>
      <c r="AI109" s="298">
        <v>0</v>
      </c>
      <c r="AJ109" s="298">
        <v>0</v>
      </c>
      <c r="AK109" s="299">
        <v>0</v>
      </c>
      <c r="AL109" s="441"/>
      <c r="AM109" s="455">
        <v>0</v>
      </c>
      <c r="AN109" s="405"/>
      <c r="AO109" s="209"/>
      <c r="AP109" s="209"/>
      <c r="AQ109" s="209"/>
      <c r="AR109" s="209"/>
      <c r="AS109" s="209"/>
      <c r="AT109" s="298">
        <v>0</v>
      </c>
      <c r="AU109" s="299">
        <v>0</v>
      </c>
      <c r="AV109" s="460">
        <v>0</v>
      </c>
      <c r="AW109" s="298">
        <v>0</v>
      </c>
      <c r="AX109" s="298">
        <v>0</v>
      </c>
      <c r="AY109" s="298">
        <v>0</v>
      </c>
      <c r="AZ109" s="299">
        <v>0</v>
      </c>
      <c r="BA109" s="441"/>
      <c r="BB109" s="1462"/>
      <c r="BC109" s="1461"/>
      <c r="BD109" s="211">
        <v>0</v>
      </c>
      <c r="BE109" s="211"/>
      <c r="BF109" s="456">
        <v>0</v>
      </c>
      <c r="BG109" s="456">
        <v>0</v>
      </c>
      <c r="BH109" s="456">
        <v>0</v>
      </c>
      <c r="BI109" s="457"/>
    </row>
    <row r="110" spans="2:61" s="374" customFormat="1" ht="15" customHeight="1">
      <c r="B110" s="435"/>
      <c r="C110" s="823"/>
      <c r="D110" s="926" t="s">
        <v>85</v>
      </c>
      <c r="E110" s="823"/>
      <c r="F110" s="823"/>
      <c r="G110" s="447"/>
      <c r="H110" s="209"/>
      <c r="I110" s="406" t="s">
        <v>498</v>
      </c>
      <c r="J110" s="405"/>
      <c r="K110" s="209"/>
      <c r="L110" s="209"/>
      <c r="M110" s="209"/>
      <c r="N110" s="209"/>
      <c r="O110" s="209"/>
      <c r="P110" s="298">
        <v>0</v>
      </c>
      <c r="Q110" s="299">
        <v>0</v>
      </c>
      <c r="R110" s="460">
        <v>0</v>
      </c>
      <c r="S110" s="298">
        <v>0</v>
      </c>
      <c r="T110" s="298">
        <v>0</v>
      </c>
      <c r="U110" s="298">
        <v>0</v>
      </c>
      <c r="V110" s="299">
        <v>0</v>
      </c>
      <c r="W110" s="441"/>
      <c r="X110" s="406" t="s">
        <v>498</v>
      </c>
      <c r="Y110" s="405"/>
      <c r="Z110" s="209"/>
      <c r="AA110" s="209"/>
      <c r="AB110" s="209"/>
      <c r="AC110" s="209"/>
      <c r="AD110" s="209"/>
      <c r="AE110" s="298">
        <v>0</v>
      </c>
      <c r="AF110" s="299">
        <v>0</v>
      </c>
      <c r="AG110" s="460">
        <v>0</v>
      </c>
      <c r="AH110" s="298">
        <v>0</v>
      </c>
      <c r="AI110" s="298">
        <v>0</v>
      </c>
      <c r="AJ110" s="298">
        <v>0</v>
      </c>
      <c r="AK110" s="299">
        <v>0</v>
      </c>
      <c r="AL110" s="441"/>
      <c r="AM110" s="455">
        <v>0</v>
      </c>
      <c r="AN110" s="405"/>
      <c r="AO110" s="209"/>
      <c r="AP110" s="209"/>
      <c r="AQ110" s="209"/>
      <c r="AR110" s="209"/>
      <c r="AS110" s="209"/>
      <c r="AT110" s="298">
        <v>0</v>
      </c>
      <c r="AU110" s="299">
        <v>0</v>
      </c>
      <c r="AV110" s="460">
        <v>0</v>
      </c>
      <c r="AW110" s="298">
        <v>0</v>
      </c>
      <c r="AX110" s="298">
        <v>0</v>
      </c>
      <c r="AY110" s="298">
        <v>0</v>
      </c>
      <c r="AZ110" s="299">
        <v>0</v>
      </c>
      <c r="BA110" s="441"/>
      <c r="BB110" s="1462"/>
      <c r="BC110" s="1461"/>
      <c r="BD110" s="211">
        <v>0</v>
      </c>
      <c r="BE110" s="211"/>
      <c r="BF110" s="456">
        <v>0</v>
      </c>
      <c r="BG110" s="456">
        <v>0</v>
      </c>
      <c r="BH110" s="456">
        <v>0</v>
      </c>
      <c r="BI110" s="457"/>
    </row>
    <row r="111" spans="2:61" s="374" customFormat="1" ht="15" customHeight="1">
      <c r="B111" s="435"/>
      <c r="C111" s="823"/>
      <c r="D111" s="926" t="s">
        <v>85</v>
      </c>
      <c r="E111" s="823"/>
      <c r="F111" s="823"/>
      <c r="G111" s="447"/>
      <c r="H111" s="209"/>
      <c r="I111" s="406" t="s">
        <v>498</v>
      </c>
      <c r="J111" s="405"/>
      <c r="K111" s="209"/>
      <c r="L111" s="209"/>
      <c r="M111" s="209"/>
      <c r="N111" s="209"/>
      <c r="O111" s="209"/>
      <c r="P111" s="298">
        <v>0</v>
      </c>
      <c r="Q111" s="299">
        <v>0</v>
      </c>
      <c r="R111" s="460">
        <v>0</v>
      </c>
      <c r="S111" s="298">
        <v>0</v>
      </c>
      <c r="T111" s="298">
        <v>0</v>
      </c>
      <c r="U111" s="298">
        <v>0</v>
      </c>
      <c r="V111" s="299">
        <v>0</v>
      </c>
      <c r="W111" s="441"/>
      <c r="X111" s="406" t="s">
        <v>498</v>
      </c>
      <c r="Y111" s="405"/>
      <c r="Z111" s="209"/>
      <c r="AA111" s="209"/>
      <c r="AB111" s="209"/>
      <c r="AC111" s="209"/>
      <c r="AD111" s="209"/>
      <c r="AE111" s="298">
        <v>0</v>
      </c>
      <c r="AF111" s="299">
        <v>0</v>
      </c>
      <c r="AG111" s="460">
        <v>0</v>
      </c>
      <c r="AH111" s="298">
        <v>0</v>
      </c>
      <c r="AI111" s="298">
        <v>0</v>
      </c>
      <c r="AJ111" s="298">
        <v>0</v>
      </c>
      <c r="AK111" s="299">
        <v>0</v>
      </c>
      <c r="AL111" s="441"/>
      <c r="AM111" s="455">
        <v>0</v>
      </c>
      <c r="AN111" s="405"/>
      <c r="AO111" s="209"/>
      <c r="AP111" s="209"/>
      <c r="AQ111" s="209"/>
      <c r="AR111" s="209"/>
      <c r="AS111" s="209"/>
      <c r="AT111" s="298">
        <v>0</v>
      </c>
      <c r="AU111" s="299">
        <v>0</v>
      </c>
      <c r="AV111" s="460">
        <v>0</v>
      </c>
      <c r="AW111" s="298">
        <v>0</v>
      </c>
      <c r="AX111" s="298">
        <v>0</v>
      </c>
      <c r="AY111" s="298">
        <v>0</v>
      </c>
      <c r="AZ111" s="299">
        <v>0</v>
      </c>
      <c r="BA111" s="441"/>
      <c r="BB111" s="1462"/>
      <c r="BC111" s="1461"/>
      <c r="BD111" s="211">
        <v>0</v>
      </c>
      <c r="BE111" s="211"/>
      <c r="BF111" s="456">
        <v>0</v>
      </c>
      <c r="BG111" s="456">
        <v>0</v>
      </c>
      <c r="BH111" s="456">
        <v>0</v>
      </c>
      <c r="BI111" s="457"/>
    </row>
    <row r="112" spans="2:61" s="374" customFormat="1" ht="15" customHeight="1">
      <c r="B112" s="435"/>
      <c r="C112" s="823"/>
      <c r="D112" s="926" t="s">
        <v>85</v>
      </c>
      <c r="E112" s="823"/>
      <c r="F112" s="823"/>
      <c r="G112" s="447"/>
      <c r="H112" s="209"/>
      <c r="I112" s="406" t="s">
        <v>498</v>
      </c>
      <c r="J112" s="405"/>
      <c r="K112" s="209"/>
      <c r="L112" s="209"/>
      <c r="M112" s="209"/>
      <c r="N112" s="209"/>
      <c r="O112" s="209"/>
      <c r="P112" s="298">
        <v>0</v>
      </c>
      <c r="Q112" s="299">
        <v>0</v>
      </c>
      <c r="R112" s="460">
        <v>0</v>
      </c>
      <c r="S112" s="298">
        <v>0</v>
      </c>
      <c r="T112" s="298">
        <v>0</v>
      </c>
      <c r="U112" s="298">
        <v>0</v>
      </c>
      <c r="V112" s="299">
        <v>0</v>
      </c>
      <c r="W112" s="441"/>
      <c r="X112" s="406" t="s">
        <v>498</v>
      </c>
      <c r="Y112" s="405"/>
      <c r="Z112" s="209"/>
      <c r="AA112" s="209"/>
      <c r="AB112" s="209"/>
      <c r="AC112" s="209"/>
      <c r="AD112" s="209"/>
      <c r="AE112" s="298">
        <v>0</v>
      </c>
      <c r="AF112" s="299">
        <v>0</v>
      </c>
      <c r="AG112" s="460">
        <v>0</v>
      </c>
      <c r="AH112" s="298">
        <v>0</v>
      </c>
      <c r="AI112" s="298">
        <v>0</v>
      </c>
      <c r="AJ112" s="298">
        <v>0</v>
      </c>
      <c r="AK112" s="299">
        <v>0</v>
      </c>
      <c r="AL112" s="441"/>
      <c r="AM112" s="455">
        <v>0</v>
      </c>
      <c r="AN112" s="405"/>
      <c r="AO112" s="209"/>
      <c r="AP112" s="209"/>
      <c r="AQ112" s="209"/>
      <c r="AR112" s="209"/>
      <c r="AS112" s="209"/>
      <c r="AT112" s="298">
        <v>0</v>
      </c>
      <c r="AU112" s="299">
        <v>0</v>
      </c>
      <c r="AV112" s="460">
        <v>0</v>
      </c>
      <c r="AW112" s="298">
        <v>0</v>
      </c>
      <c r="AX112" s="298">
        <v>0</v>
      </c>
      <c r="AY112" s="298">
        <v>0</v>
      </c>
      <c r="AZ112" s="299">
        <v>0</v>
      </c>
      <c r="BA112" s="441"/>
      <c r="BB112" s="1462"/>
      <c r="BC112" s="1461"/>
      <c r="BD112" s="211">
        <v>0</v>
      </c>
      <c r="BE112" s="211"/>
      <c r="BF112" s="456">
        <v>0</v>
      </c>
      <c r="BG112" s="456">
        <v>0</v>
      </c>
      <c r="BH112" s="456">
        <v>0</v>
      </c>
      <c r="BI112" s="457"/>
    </row>
    <row r="113" spans="2:61" s="374" customFormat="1" ht="15" customHeight="1">
      <c r="B113" s="435"/>
      <c r="C113" s="823"/>
      <c r="D113" s="926" t="s">
        <v>85</v>
      </c>
      <c r="E113" s="823"/>
      <c r="F113" s="823"/>
      <c r="G113" s="447"/>
      <c r="H113" s="209"/>
      <c r="I113" s="406" t="s">
        <v>498</v>
      </c>
      <c r="J113" s="405"/>
      <c r="K113" s="209"/>
      <c r="L113" s="209"/>
      <c r="M113" s="209"/>
      <c r="N113" s="209"/>
      <c r="O113" s="209"/>
      <c r="P113" s="298">
        <v>0</v>
      </c>
      <c r="Q113" s="299">
        <v>0</v>
      </c>
      <c r="R113" s="460">
        <v>0</v>
      </c>
      <c r="S113" s="298">
        <v>0</v>
      </c>
      <c r="T113" s="298">
        <v>0</v>
      </c>
      <c r="U113" s="298">
        <v>0</v>
      </c>
      <c r="V113" s="299">
        <v>0</v>
      </c>
      <c r="W113" s="441"/>
      <c r="X113" s="406" t="s">
        <v>498</v>
      </c>
      <c r="Y113" s="405"/>
      <c r="Z113" s="209"/>
      <c r="AA113" s="209"/>
      <c r="AB113" s="209"/>
      <c r="AC113" s="209"/>
      <c r="AD113" s="209"/>
      <c r="AE113" s="298">
        <v>0</v>
      </c>
      <c r="AF113" s="299">
        <v>0</v>
      </c>
      <c r="AG113" s="460">
        <v>0</v>
      </c>
      <c r="AH113" s="298">
        <v>0</v>
      </c>
      <c r="AI113" s="298">
        <v>0</v>
      </c>
      <c r="AJ113" s="298">
        <v>0</v>
      </c>
      <c r="AK113" s="299">
        <v>0</v>
      </c>
      <c r="AL113" s="441"/>
      <c r="AM113" s="455">
        <v>0</v>
      </c>
      <c r="AN113" s="405"/>
      <c r="AO113" s="209"/>
      <c r="AP113" s="209"/>
      <c r="AQ113" s="209"/>
      <c r="AR113" s="209"/>
      <c r="AS113" s="209"/>
      <c r="AT113" s="298">
        <v>0</v>
      </c>
      <c r="AU113" s="299">
        <v>0</v>
      </c>
      <c r="AV113" s="460">
        <v>0</v>
      </c>
      <c r="AW113" s="298">
        <v>0</v>
      </c>
      <c r="AX113" s="298">
        <v>0</v>
      </c>
      <c r="AY113" s="298">
        <v>0</v>
      </c>
      <c r="AZ113" s="299">
        <v>0</v>
      </c>
      <c r="BA113" s="441"/>
      <c r="BB113" s="1462"/>
      <c r="BC113" s="1461"/>
      <c r="BD113" s="211">
        <v>0</v>
      </c>
      <c r="BE113" s="211"/>
      <c r="BF113" s="456">
        <v>0</v>
      </c>
      <c r="BG113" s="456">
        <v>0</v>
      </c>
      <c r="BH113" s="456">
        <v>0</v>
      </c>
      <c r="BI113" s="457"/>
    </row>
    <row r="114" spans="2:61" s="374" customFormat="1" ht="15" customHeight="1">
      <c r="B114" s="435"/>
      <c r="C114" s="823"/>
      <c r="D114" s="926" t="s">
        <v>2459</v>
      </c>
      <c r="E114" s="823"/>
      <c r="F114" s="823"/>
      <c r="G114" s="927"/>
      <c r="H114" s="209"/>
      <c r="I114" s="406" t="s">
        <v>498</v>
      </c>
      <c r="J114" s="929"/>
      <c r="K114" s="930"/>
      <c r="L114" s="930"/>
      <c r="M114" s="930"/>
      <c r="N114" s="930"/>
      <c r="O114" s="930"/>
      <c r="P114" s="298">
        <v>0</v>
      </c>
      <c r="Q114" s="299">
        <v>0</v>
      </c>
      <c r="R114" s="297">
        <v>0</v>
      </c>
      <c r="S114" s="298">
        <v>0</v>
      </c>
      <c r="T114" s="298">
        <v>0</v>
      </c>
      <c r="U114" s="298">
        <v>0</v>
      </c>
      <c r="V114" s="299">
        <v>0</v>
      </c>
      <c r="W114" s="441"/>
      <c r="X114" s="406" t="s">
        <v>498</v>
      </c>
      <c r="Y114" s="929"/>
      <c r="Z114" s="930"/>
      <c r="AA114" s="930"/>
      <c r="AB114" s="930"/>
      <c r="AC114" s="930"/>
      <c r="AD114" s="930"/>
      <c r="AE114" s="298">
        <v>0</v>
      </c>
      <c r="AF114" s="299">
        <v>0</v>
      </c>
      <c r="AG114" s="297">
        <v>0</v>
      </c>
      <c r="AH114" s="298">
        <v>0</v>
      </c>
      <c r="AI114" s="298">
        <v>0</v>
      </c>
      <c r="AJ114" s="298">
        <v>0</v>
      </c>
      <c r="AK114" s="299">
        <v>0</v>
      </c>
      <c r="AL114" s="441"/>
      <c r="AM114" s="455">
        <v>0</v>
      </c>
      <c r="AN114" s="929"/>
      <c r="AO114" s="930"/>
      <c r="AP114" s="930"/>
      <c r="AQ114" s="930"/>
      <c r="AR114" s="930"/>
      <c r="AS114" s="930"/>
      <c r="AT114" s="298">
        <v>0</v>
      </c>
      <c r="AU114" s="299">
        <v>0</v>
      </c>
      <c r="AV114" s="297">
        <v>0</v>
      </c>
      <c r="AW114" s="298">
        <v>0</v>
      </c>
      <c r="AX114" s="298">
        <v>0</v>
      </c>
      <c r="AY114" s="298">
        <v>0</v>
      </c>
      <c r="AZ114" s="299">
        <v>0</v>
      </c>
      <c r="BA114" s="441"/>
      <c r="BB114" s="209"/>
      <c r="BC114" s="209"/>
      <c r="BD114" s="209"/>
      <c r="BE114" s="209"/>
      <c r="BF114" s="209"/>
      <c r="BG114" s="209"/>
      <c r="BH114" s="209"/>
      <c r="BI114" s="210"/>
    </row>
    <row r="115" spans="2:61" s="374" customFormat="1" ht="15" customHeight="1">
      <c r="B115" s="435"/>
      <c r="C115" s="823"/>
      <c r="D115" s="926" t="s">
        <v>2460</v>
      </c>
      <c r="E115" s="823"/>
      <c r="F115" s="823"/>
      <c r="G115" s="926"/>
      <c r="H115" s="209"/>
      <c r="I115" s="406" t="s">
        <v>498</v>
      </c>
      <c r="J115" s="297">
        <v>2.4007486405725368E-2</v>
      </c>
      <c r="K115" s="298">
        <v>0</v>
      </c>
      <c r="L115" s="298">
        <v>0</v>
      </c>
      <c r="M115" s="298">
        <v>0</v>
      </c>
      <c r="N115" s="298">
        <v>2.4654384554133397E-2</v>
      </c>
      <c r="O115" s="298">
        <v>0</v>
      </c>
      <c r="P115" s="209"/>
      <c r="Q115" s="210"/>
      <c r="R115" s="405"/>
      <c r="S115" s="209"/>
      <c r="T115" s="209"/>
      <c r="U115" s="209"/>
      <c r="V115" s="210"/>
      <c r="W115" s="441"/>
      <c r="X115" s="406" t="s">
        <v>498</v>
      </c>
      <c r="Y115" s="297">
        <v>0</v>
      </c>
      <c r="Z115" s="298">
        <v>0</v>
      </c>
      <c r="AA115" s="298">
        <v>0</v>
      </c>
      <c r="AB115" s="298">
        <v>0</v>
      </c>
      <c r="AC115" s="298">
        <v>0</v>
      </c>
      <c r="AD115" s="298">
        <v>0</v>
      </c>
      <c r="AE115" s="209"/>
      <c r="AF115" s="210"/>
      <c r="AG115" s="405"/>
      <c r="AH115" s="209"/>
      <c r="AI115" s="209"/>
      <c r="AJ115" s="209"/>
      <c r="AK115" s="210"/>
      <c r="AL115" s="441"/>
      <c r="AM115" s="455">
        <v>0</v>
      </c>
      <c r="AN115" s="297">
        <v>0</v>
      </c>
      <c r="AO115" s="298">
        <v>0</v>
      </c>
      <c r="AP115" s="298">
        <v>0</v>
      </c>
      <c r="AQ115" s="298">
        <v>0</v>
      </c>
      <c r="AR115" s="298">
        <v>0</v>
      </c>
      <c r="AS115" s="298">
        <v>0</v>
      </c>
      <c r="AT115" s="209"/>
      <c r="AU115" s="210"/>
      <c r="AV115" s="405"/>
      <c r="AW115" s="209"/>
      <c r="AX115" s="209"/>
      <c r="AY115" s="209"/>
      <c r="AZ115" s="210"/>
      <c r="BA115" s="441"/>
      <c r="BB115" s="209"/>
      <c r="BC115" s="209"/>
      <c r="BD115" s="209"/>
      <c r="BE115" s="209"/>
      <c r="BF115" s="209"/>
      <c r="BG115" s="209"/>
      <c r="BH115" s="209"/>
      <c r="BI115" s="210"/>
    </row>
    <row r="116" spans="2:61" s="374" customFormat="1" ht="15" customHeight="1" thickBot="1">
      <c r="B116" s="925" t="s">
        <v>1701</v>
      </c>
      <c r="C116" s="922"/>
      <c r="D116" s="922"/>
      <c r="E116" s="922"/>
      <c r="F116" s="922"/>
      <c r="G116" s="433"/>
      <c r="H116" s="434"/>
      <c r="I116" s="449" t="s">
        <v>498</v>
      </c>
      <c r="J116" s="627">
        <f>SUM(J99:J115)</f>
        <v>2.4007486405725368E-2</v>
      </c>
      <c r="K116" s="627">
        <f t="shared" ref="K116:O116" si="96">SUM(K99:K115)</f>
        <v>0</v>
      </c>
      <c r="L116" s="627">
        <f t="shared" si="96"/>
        <v>0</v>
      </c>
      <c r="M116" s="627">
        <f t="shared" si="96"/>
        <v>0</v>
      </c>
      <c r="N116" s="627">
        <f t="shared" si="96"/>
        <v>2.4654384554133397E-2</v>
      </c>
      <c r="O116" s="627">
        <f t="shared" si="96"/>
        <v>0</v>
      </c>
      <c r="P116" s="750">
        <f>SUM(P99:P114)</f>
        <v>0</v>
      </c>
      <c r="Q116" s="751">
        <f t="shared" ref="Q116:V116" si="97">SUM(Q99:Q114)</f>
        <v>0</v>
      </c>
      <c r="R116" s="932">
        <f t="shared" si="97"/>
        <v>0</v>
      </c>
      <c r="S116" s="750">
        <f t="shared" si="97"/>
        <v>0</v>
      </c>
      <c r="T116" s="750">
        <f t="shared" si="97"/>
        <v>0</v>
      </c>
      <c r="U116" s="750">
        <f t="shared" si="97"/>
        <v>0</v>
      </c>
      <c r="V116" s="751">
        <f t="shared" si="97"/>
        <v>0</v>
      </c>
      <c r="W116" s="450"/>
      <c r="X116" s="449" t="s">
        <v>498</v>
      </c>
      <c r="Y116" s="627">
        <f>Y115</f>
        <v>0</v>
      </c>
      <c r="Z116" s="628">
        <f t="shared" ref="Z116" si="98">Z115</f>
        <v>0</v>
      </c>
      <c r="AA116" s="628">
        <f t="shared" ref="AA116" si="99">AA115</f>
        <v>0</v>
      </c>
      <c r="AB116" s="628">
        <f t="shared" ref="AB116" si="100">AB115</f>
        <v>0</v>
      </c>
      <c r="AC116" s="628">
        <f t="shared" ref="AC116" si="101">AC115</f>
        <v>0</v>
      </c>
      <c r="AD116" s="628">
        <f t="shared" ref="AD116" si="102">AD115</f>
        <v>0</v>
      </c>
      <c r="AE116" s="750">
        <f>SUM(AE100:AE114)</f>
        <v>0</v>
      </c>
      <c r="AF116" s="751">
        <f t="shared" ref="AF116:AK116" si="103">SUM(AF100:AF114)</f>
        <v>0</v>
      </c>
      <c r="AG116" s="932">
        <f t="shared" si="103"/>
        <v>0</v>
      </c>
      <c r="AH116" s="750">
        <f t="shared" si="103"/>
        <v>0</v>
      </c>
      <c r="AI116" s="750">
        <f t="shared" si="103"/>
        <v>0</v>
      </c>
      <c r="AJ116" s="750">
        <f t="shared" si="103"/>
        <v>0</v>
      </c>
      <c r="AK116" s="751">
        <f t="shared" si="103"/>
        <v>0</v>
      </c>
      <c r="AL116" s="450"/>
      <c r="AM116" s="1073">
        <v>0</v>
      </c>
      <c r="AN116" s="627">
        <f>SUM(AN99:AN115)</f>
        <v>0</v>
      </c>
      <c r="AO116" s="627">
        <f t="shared" ref="AO116" si="104">SUM(AO99:AO115)</f>
        <v>0</v>
      </c>
      <c r="AP116" s="627">
        <f t="shared" ref="AP116" si="105">SUM(AP99:AP115)</f>
        <v>0</v>
      </c>
      <c r="AQ116" s="627">
        <f t="shared" ref="AQ116" si="106">SUM(AQ99:AQ115)</f>
        <v>0</v>
      </c>
      <c r="AR116" s="627">
        <f t="shared" ref="AR116" si="107">SUM(AR99:AR115)</f>
        <v>0</v>
      </c>
      <c r="AS116" s="627">
        <f t="shared" ref="AS116" si="108">SUM(AS99:AS115)</f>
        <v>0</v>
      </c>
      <c r="AT116" s="750">
        <f>SUM(AT99:AT114)</f>
        <v>0</v>
      </c>
      <c r="AU116" s="751">
        <f t="shared" ref="AU116:AZ116" si="109">SUM(AU99:AU114)</f>
        <v>0</v>
      </c>
      <c r="AV116" s="932">
        <f t="shared" si="109"/>
        <v>0</v>
      </c>
      <c r="AW116" s="750">
        <f t="shared" si="109"/>
        <v>0</v>
      </c>
      <c r="AX116" s="750">
        <f t="shared" si="109"/>
        <v>0</v>
      </c>
      <c r="AY116" s="750">
        <f t="shared" si="109"/>
        <v>0</v>
      </c>
      <c r="AZ116" s="751">
        <f t="shared" si="109"/>
        <v>0</v>
      </c>
      <c r="BA116" s="450"/>
      <c r="BB116" s="434"/>
      <c r="BC116" s="434"/>
      <c r="BD116" s="434"/>
      <c r="BE116" s="434"/>
      <c r="BF116" s="434"/>
      <c r="BG116" s="434"/>
      <c r="BH116" s="434"/>
      <c r="BI116" s="237"/>
    </row>
    <row r="117" spans="2:61" ht="15" customHeight="1" thickBot="1">
      <c r="I117" s="458"/>
      <c r="K117" s="931"/>
      <c r="L117" s="931"/>
      <c r="M117" s="931"/>
      <c r="N117" s="931"/>
      <c r="O117" s="931"/>
      <c r="P117" s="931"/>
      <c r="Q117" s="931"/>
      <c r="R117" s="931"/>
      <c r="S117" s="931"/>
      <c r="T117" s="931"/>
      <c r="U117" s="931"/>
      <c r="AC117" s="458"/>
    </row>
    <row r="118" spans="2:61" s="374" customFormat="1" ht="30" customHeight="1" thickBot="1">
      <c r="B118" s="436" t="s">
        <v>1825</v>
      </c>
      <c r="C118" s="920"/>
      <c r="D118" s="920"/>
      <c r="E118" s="920"/>
      <c r="F118" s="920"/>
      <c r="G118" s="437"/>
      <c r="H118" s="438"/>
      <c r="I118" s="105" t="s">
        <v>1864</v>
      </c>
      <c r="J118" s="106"/>
      <c r="K118" s="106"/>
      <c r="L118" s="106"/>
      <c r="M118" s="106"/>
      <c r="N118" s="106"/>
      <c r="O118" s="106"/>
      <c r="P118" s="106"/>
      <c r="Q118" s="106"/>
      <c r="R118" s="105"/>
      <c r="S118" s="105"/>
      <c r="T118" s="105"/>
      <c r="U118" s="105"/>
      <c r="V118" s="187"/>
      <c r="W118" s="439"/>
      <c r="X118" s="105" t="s">
        <v>2202</v>
      </c>
      <c r="Y118" s="106"/>
      <c r="Z118" s="106"/>
      <c r="AA118" s="106"/>
      <c r="AB118" s="106"/>
      <c r="AC118" s="106"/>
      <c r="AD118" s="106"/>
      <c r="AE118" s="106"/>
      <c r="AF118" s="106"/>
      <c r="AG118" s="105"/>
      <c r="AH118" s="105"/>
      <c r="AI118" s="105"/>
      <c r="AJ118" s="105"/>
      <c r="AK118" s="187"/>
      <c r="AL118" s="439"/>
      <c r="AM118" s="105" t="s">
        <v>2231</v>
      </c>
      <c r="AN118" s="106"/>
      <c r="AO118" s="106"/>
      <c r="AP118" s="106"/>
      <c r="AQ118" s="106"/>
      <c r="AR118" s="106"/>
      <c r="AS118" s="106"/>
      <c r="AT118" s="106"/>
      <c r="AU118" s="106"/>
      <c r="AV118" s="105"/>
      <c r="AW118" s="105"/>
      <c r="AX118" s="105"/>
      <c r="AY118" s="105"/>
      <c r="AZ118" s="187"/>
      <c r="BA118" s="439"/>
      <c r="BB118" s="789" t="s">
        <v>1925</v>
      </c>
      <c r="BC118" s="789"/>
      <c r="BD118" s="789"/>
      <c r="BE118" s="790"/>
      <c r="BF118" s="790"/>
      <c r="BG118" s="790"/>
      <c r="BH118" s="790"/>
      <c r="BI118" s="791"/>
    </row>
    <row r="119" spans="2:61" s="374" customFormat="1" ht="30" customHeight="1">
      <c r="B119" s="440"/>
      <c r="C119" s="388"/>
      <c r="D119" s="388"/>
      <c r="E119" s="388"/>
      <c r="F119" s="388"/>
      <c r="G119" s="388"/>
      <c r="H119" s="209"/>
      <c r="I119" s="225"/>
      <c r="J119" s="424" t="s">
        <v>1666</v>
      </c>
      <c r="K119" s="425"/>
      <c r="L119" s="425"/>
      <c r="M119" s="425"/>
      <c r="N119" s="425"/>
      <c r="O119" s="425"/>
      <c r="P119" s="425"/>
      <c r="Q119" s="426"/>
      <c r="R119" s="428" t="s">
        <v>2</v>
      </c>
      <c r="S119" s="428"/>
      <c r="T119" s="428"/>
      <c r="U119" s="428"/>
      <c r="V119" s="429"/>
      <c r="W119" s="441"/>
      <c r="X119" s="225"/>
      <c r="Y119" s="424" t="s">
        <v>1666</v>
      </c>
      <c r="Z119" s="425"/>
      <c r="AA119" s="425"/>
      <c r="AB119" s="425"/>
      <c r="AC119" s="425"/>
      <c r="AD119" s="425"/>
      <c r="AE119" s="425"/>
      <c r="AF119" s="426"/>
      <c r="AG119" s="428" t="s">
        <v>2</v>
      </c>
      <c r="AH119" s="428"/>
      <c r="AI119" s="428"/>
      <c r="AJ119" s="428"/>
      <c r="AK119" s="429"/>
      <c r="AL119" s="441"/>
      <c r="AM119" s="225"/>
      <c r="AN119" s="424" t="s">
        <v>1666</v>
      </c>
      <c r="AO119" s="425"/>
      <c r="AP119" s="425"/>
      <c r="AQ119" s="425"/>
      <c r="AR119" s="425"/>
      <c r="AS119" s="425"/>
      <c r="AT119" s="425"/>
      <c r="AU119" s="426"/>
      <c r="AV119" s="428" t="s">
        <v>2</v>
      </c>
      <c r="AW119" s="428"/>
      <c r="AX119" s="428"/>
      <c r="AY119" s="428"/>
      <c r="AZ119" s="429"/>
      <c r="BA119" s="441"/>
      <c r="BB119" s="202" t="s">
        <v>2431</v>
      </c>
      <c r="BC119" s="202" t="s">
        <v>2432</v>
      </c>
      <c r="BD119" s="202" t="s">
        <v>313</v>
      </c>
      <c r="BE119" s="202" t="s">
        <v>2435</v>
      </c>
      <c r="BF119" s="202" t="s">
        <v>2453</v>
      </c>
      <c r="BG119" s="202" t="s">
        <v>2461</v>
      </c>
      <c r="BH119" s="202" t="s">
        <v>2455</v>
      </c>
      <c r="BI119" s="452" t="s">
        <v>2439</v>
      </c>
    </row>
    <row r="120" spans="2:61" s="374" customFormat="1" ht="15" customHeight="1">
      <c r="B120" s="443"/>
      <c r="C120" s="921"/>
      <c r="D120" s="921"/>
      <c r="E120" s="921"/>
      <c r="F120" s="921"/>
      <c r="G120" s="388"/>
      <c r="H120" s="209"/>
      <c r="I120" s="389" t="s">
        <v>1667</v>
      </c>
      <c r="J120" s="430" t="s">
        <v>453</v>
      </c>
      <c r="K120" s="431" t="s">
        <v>455</v>
      </c>
      <c r="L120" s="431" t="s">
        <v>457</v>
      </c>
      <c r="M120" s="431" t="s">
        <v>459</v>
      </c>
      <c r="N120" s="431" t="s">
        <v>461</v>
      </c>
      <c r="O120" s="431" t="s">
        <v>463</v>
      </c>
      <c r="P120" s="431" t="s">
        <v>465</v>
      </c>
      <c r="Q120" s="432" t="s">
        <v>467</v>
      </c>
      <c r="R120" s="430" t="s">
        <v>469</v>
      </c>
      <c r="S120" s="431" t="s">
        <v>471</v>
      </c>
      <c r="T120" s="431" t="s">
        <v>473</v>
      </c>
      <c r="U120" s="431" t="s">
        <v>475</v>
      </c>
      <c r="V120" s="432" t="s">
        <v>477</v>
      </c>
      <c r="W120" s="441"/>
      <c r="X120" s="389" t="s">
        <v>1667</v>
      </c>
      <c r="Y120" s="430" t="s">
        <v>453</v>
      </c>
      <c r="Z120" s="431" t="s">
        <v>455</v>
      </c>
      <c r="AA120" s="431" t="s">
        <v>457</v>
      </c>
      <c r="AB120" s="431" t="s">
        <v>459</v>
      </c>
      <c r="AC120" s="431" t="s">
        <v>461</v>
      </c>
      <c r="AD120" s="431" t="s">
        <v>463</v>
      </c>
      <c r="AE120" s="431" t="s">
        <v>465</v>
      </c>
      <c r="AF120" s="432" t="s">
        <v>467</v>
      </c>
      <c r="AG120" s="430" t="s">
        <v>469</v>
      </c>
      <c r="AH120" s="431" t="s">
        <v>471</v>
      </c>
      <c r="AI120" s="431" t="s">
        <v>473</v>
      </c>
      <c r="AJ120" s="431" t="s">
        <v>475</v>
      </c>
      <c r="AK120" s="432" t="s">
        <v>477</v>
      </c>
      <c r="AL120" s="441"/>
      <c r="AM120" s="389" t="s">
        <v>1667</v>
      </c>
      <c r="AN120" s="430" t="s">
        <v>2456</v>
      </c>
      <c r="AO120" s="431" t="s">
        <v>465</v>
      </c>
      <c r="AP120" s="431" t="s">
        <v>471</v>
      </c>
      <c r="AQ120" s="431" t="s">
        <v>471</v>
      </c>
      <c r="AR120" s="431" t="s">
        <v>471</v>
      </c>
      <c r="AS120" s="431" t="s">
        <v>471</v>
      </c>
      <c r="AT120" s="431" t="s">
        <v>471</v>
      </c>
      <c r="AU120" s="432" t="s">
        <v>467</v>
      </c>
      <c r="AV120" s="430" t="s">
        <v>469</v>
      </c>
      <c r="AW120" s="431" t="s">
        <v>471</v>
      </c>
      <c r="AX120" s="431" t="s">
        <v>473</v>
      </c>
      <c r="AY120" s="431" t="s">
        <v>475</v>
      </c>
      <c r="AZ120" s="432" t="s">
        <v>477</v>
      </c>
      <c r="BA120" s="441"/>
      <c r="BB120" s="206" t="s">
        <v>627</v>
      </c>
      <c r="BC120" s="205"/>
      <c r="BD120" s="205"/>
      <c r="BE120" s="205"/>
      <c r="BF120" s="206" t="s">
        <v>2462</v>
      </c>
      <c r="BG120" s="444" t="s">
        <v>2441</v>
      </c>
      <c r="BH120" s="444" t="s">
        <v>2265</v>
      </c>
      <c r="BI120" s="210"/>
    </row>
    <row r="121" spans="2:61" s="374" customFormat="1" ht="15" customHeight="1">
      <c r="B121" s="923"/>
      <c r="C121" s="924" t="s">
        <v>2457</v>
      </c>
      <c r="D121" s="921"/>
      <c r="E121" s="921"/>
      <c r="F121" s="921"/>
      <c r="G121" s="388"/>
      <c r="H121" s="209"/>
      <c r="I121" s="209"/>
      <c r="J121" s="405"/>
      <c r="K121" s="209"/>
      <c r="L121" s="209"/>
      <c r="M121" s="209"/>
      <c r="N121" s="209"/>
      <c r="O121" s="209"/>
      <c r="P121" s="209"/>
      <c r="Q121" s="210"/>
      <c r="R121" s="209"/>
      <c r="S121" s="209"/>
      <c r="T121" s="209"/>
      <c r="U121" s="209"/>
      <c r="V121" s="210"/>
      <c r="W121" s="441"/>
      <c r="X121" s="209"/>
      <c r="Y121" s="405"/>
      <c r="Z121" s="209"/>
      <c r="AA121" s="209"/>
      <c r="AB121" s="209"/>
      <c r="AC121" s="209"/>
      <c r="AD121" s="209"/>
      <c r="AE121" s="209"/>
      <c r="AF121" s="210"/>
      <c r="AG121" s="209"/>
      <c r="AH121" s="209"/>
      <c r="AI121" s="209"/>
      <c r="AJ121" s="209"/>
      <c r="AK121" s="210"/>
      <c r="AL121" s="441"/>
      <c r="AM121" s="209"/>
      <c r="AN121" s="405"/>
      <c r="AO121" s="209"/>
      <c r="AP121" s="209"/>
      <c r="AQ121" s="209"/>
      <c r="AR121" s="209"/>
      <c r="AS121" s="209"/>
      <c r="AT121" s="209"/>
      <c r="AU121" s="210"/>
      <c r="AV121" s="209"/>
      <c r="AW121" s="209"/>
      <c r="AX121" s="209"/>
      <c r="AY121" s="209"/>
      <c r="AZ121" s="210"/>
      <c r="BA121" s="441"/>
      <c r="BB121" s="209"/>
      <c r="BC121" s="209"/>
      <c r="BD121" s="209"/>
      <c r="BE121" s="209"/>
      <c r="BF121" s="209"/>
      <c r="BG121" s="209"/>
      <c r="BH121" s="209"/>
      <c r="BI121" s="210"/>
    </row>
    <row r="122" spans="2:61" s="374" customFormat="1" ht="15" customHeight="1">
      <c r="B122" s="435"/>
      <c r="C122" s="823"/>
      <c r="D122" s="926" t="s">
        <v>85</v>
      </c>
      <c r="E122" s="823"/>
      <c r="F122" s="823"/>
      <c r="G122" s="447" t="s">
        <v>2463</v>
      </c>
      <c r="H122" s="209"/>
      <c r="I122" s="406" t="s">
        <v>498</v>
      </c>
      <c r="J122" s="405"/>
      <c r="K122" s="209"/>
      <c r="L122" s="209"/>
      <c r="M122" s="209"/>
      <c r="N122" s="209"/>
      <c r="O122" s="209"/>
      <c r="P122" s="298">
        <v>7.9774361546128686E-2</v>
      </c>
      <c r="Q122" s="299">
        <v>0</v>
      </c>
      <c r="R122" s="460">
        <v>0</v>
      </c>
      <c r="S122" s="298">
        <v>0</v>
      </c>
      <c r="T122" s="298">
        <v>0</v>
      </c>
      <c r="U122" s="298">
        <v>0</v>
      </c>
      <c r="V122" s="299">
        <v>0</v>
      </c>
      <c r="W122" s="441"/>
      <c r="X122" s="406" t="s">
        <v>498</v>
      </c>
      <c r="Y122" s="405"/>
      <c r="Z122" s="209"/>
      <c r="AA122" s="209"/>
      <c r="AB122" s="209"/>
      <c r="AC122" s="209"/>
      <c r="AD122" s="209"/>
      <c r="AE122" s="298">
        <v>0</v>
      </c>
      <c r="AF122" s="299">
        <v>0</v>
      </c>
      <c r="AG122" s="460">
        <v>0</v>
      </c>
      <c r="AH122" s="298">
        <v>0</v>
      </c>
      <c r="AI122" s="298">
        <v>0</v>
      </c>
      <c r="AJ122" s="298">
        <v>0</v>
      </c>
      <c r="AK122" s="299">
        <v>0</v>
      </c>
      <c r="AL122" s="441"/>
      <c r="AM122" s="455" t="s">
        <v>2464</v>
      </c>
      <c r="AN122" s="405"/>
      <c r="AO122" s="209"/>
      <c r="AP122" s="209"/>
      <c r="AQ122" s="209"/>
      <c r="AR122" s="209"/>
      <c r="AS122" s="209"/>
      <c r="AT122" s="298">
        <v>1</v>
      </c>
      <c r="AU122" s="299">
        <v>0</v>
      </c>
      <c r="AV122" s="460">
        <v>0</v>
      </c>
      <c r="AW122" s="298">
        <v>0</v>
      </c>
      <c r="AX122" s="298">
        <v>0</v>
      </c>
      <c r="AY122" s="298">
        <v>0</v>
      </c>
      <c r="AZ122" s="299">
        <v>0</v>
      </c>
      <c r="BA122" s="441"/>
      <c r="BB122" s="1462"/>
      <c r="BC122" s="1461"/>
      <c r="BD122" s="211">
        <v>0</v>
      </c>
      <c r="BE122" s="211"/>
      <c r="BF122" s="456">
        <v>0</v>
      </c>
      <c r="BG122" s="456">
        <v>0</v>
      </c>
      <c r="BH122" s="456">
        <v>0</v>
      </c>
      <c r="BI122" s="457"/>
    </row>
    <row r="123" spans="2:61" s="374" customFormat="1" ht="15" customHeight="1">
      <c r="B123" s="435"/>
      <c r="C123" s="823"/>
      <c r="D123" s="926" t="s">
        <v>85</v>
      </c>
      <c r="E123" s="823"/>
      <c r="F123" s="823"/>
      <c r="G123" s="447" t="s">
        <v>2465</v>
      </c>
      <c r="H123" s="209"/>
      <c r="I123" s="406" t="s">
        <v>498</v>
      </c>
      <c r="J123" s="405"/>
      <c r="K123" s="209"/>
      <c r="L123" s="209"/>
      <c r="M123" s="209"/>
      <c r="N123" s="209"/>
      <c r="O123" s="209"/>
      <c r="P123" s="298">
        <v>0.6457569992348664</v>
      </c>
      <c r="Q123" s="299">
        <v>0</v>
      </c>
      <c r="R123" s="460">
        <v>0</v>
      </c>
      <c r="S123" s="298">
        <v>0</v>
      </c>
      <c r="T123" s="298">
        <v>0</v>
      </c>
      <c r="U123" s="298">
        <v>0</v>
      </c>
      <c r="V123" s="299">
        <v>0</v>
      </c>
      <c r="W123" s="441"/>
      <c r="X123" s="406" t="s">
        <v>498</v>
      </c>
      <c r="Y123" s="405"/>
      <c r="Z123" s="209"/>
      <c r="AA123" s="209"/>
      <c r="AB123" s="209"/>
      <c r="AC123" s="209"/>
      <c r="AD123" s="209"/>
      <c r="AE123" s="298">
        <v>0</v>
      </c>
      <c r="AF123" s="299">
        <v>0</v>
      </c>
      <c r="AG123" s="460">
        <v>0</v>
      </c>
      <c r="AH123" s="298">
        <v>0</v>
      </c>
      <c r="AI123" s="298">
        <v>0</v>
      </c>
      <c r="AJ123" s="298">
        <v>0</v>
      </c>
      <c r="AK123" s="299">
        <v>0</v>
      </c>
      <c r="AL123" s="441"/>
      <c r="AM123" s="455" t="s">
        <v>2464</v>
      </c>
      <c r="AN123" s="405"/>
      <c r="AO123" s="209"/>
      <c r="AP123" s="209"/>
      <c r="AQ123" s="209"/>
      <c r="AR123" s="209"/>
      <c r="AS123" s="209"/>
      <c r="AT123" s="298">
        <v>1</v>
      </c>
      <c r="AU123" s="299">
        <v>0</v>
      </c>
      <c r="AV123" s="460">
        <v>0</v>
      </c>
      <c r="AW123" s="298">
        <v>0</v>
      </c>
      <c r="AX123" s="298">
        <v>0</v>
      </c>
      <c r="AY123" s="298">
        <v>0</v>
      </c>
      <c r="AZ123" s="299">
        <v>0</v>
      </c>
      <c r="BA123" s="441"/>
      <c r="BB123" s="1462"/>
      <c r="BC123" s="1461"/>
      <c r="BD123" s="211">
        <v>0</v>
      </c>
      <c r="BE123" s="211"/>
      <c r="BF123" s="456">
        <v>0</v>
      </c>
      <c r="BG123" s="456">
        <v>0</v>
      </c>
      <c r="BH123" s="456">
        <v>0</v>
      </c>
      <c r="BI123" s="457"/>
    </row>
    <row r="124" spans="2:61" s="374" customFormat="1" ht="15" customHeight="1">
      <c r="B124" s="435"/>
      <c r="C124" s="823"/>
      <c r="D124" s="926" t="s">
        <v>85</v>
      </c>
      <c r="E124" s="823"/>
      <c r="F124" s="823"/>
      <c r="G124" s="447" t="s">
        <v>2466</v>
      </c>
      <c r="H124" s="209"/>
      <c r="I124" s="406" t="s">
        <v>498</v>
      </c>
      <c r="J124" s="405"/>
      <c r="K124" s="209"/>
      <c r="L124" s="209"/>
      <c r="M124" s="209"/>
      <c r="N124" s="209"/>
      <c r="O124" s="209"/>
      <c r="P124" s="298">
        <v>1.2821096416156029E-2</v>
      </c>
      <c r="Q124" s="299">
        <v>0</v>
      </c>
      <c r="R124" s="460">
        <v>0</v>
      </c>
      <c r="S124" s="298">
        <v>0</v>
      </c>
      <c r="T124" s="298">
        <v>0</v>
      </c>
      <c r="U124" s="298">
        <v>0</v>
      </c>
      <c r="V124" s="299">
        <v>0</v>
      </c>
      <c r="W124" s="441"/>
      <c r="X124" s="406" t="s">
        <v>498</v>
      </c>
      <c r="Y124" s="405"/>
      <c r="Z124" s="209"/>
      <c r="AA124" s="209"/>
      <c r="AB124" s="209"/>
      <c r="AC124" s="209"/>
      <c r="AD124" s="209"/>
      <c r="AE124" s="298">
        <v>0</v>
      </c>
      <c r="AF124" s="299">
        <v>0</v>
      </c>
      <c r="AG124" s="460">
        <v>0</v>
      </c>
      <c r="AH124" s="298">
        <v>0</v>
      </c>
      <c r="AI124" s="298">
        <v>0</v>
      </c>
      <c r="AJ124" s="298">
        <v>0</v>
      </c>
      <c r="AK124" s="299">
        <v>0</v>
      </c>
      <c r="AL124" s="441"/>
      <c r="AM124" s="455" t="s">
        <v>2464</v>
      </c>
      <c r="AN124" s="405"/>
      <c r="AO124" s="209"/>
      <c r="AP124" s="209"/>
      <c r="AQ124" s="209"/>
      <c r="AR124" s="209"/>
      <c r="AS124" s="209"/>
      <c r="AT124" s="298">
        <v>1</v>
      </c>
      <c r="AU124" s="299">
        <v>0</v>
      </c>
      <c r="AV124" s="460">
        <v>0</v>
      </c>
      <c r="AW124" s="298">
        <v>0</v>
      </c>
      <c r="AX124" s="298">
        <v>0</v>
      </c>
      <c r="AY124" s="298">
        <v>0</v>
      </c>
      <c r="AZ124" s="299">
        <v>0</v>
      </c>
      <c r="BA124" s="441"/>
      <c r="BB124" s="1462"/>
      <c r="BC124" s="1461"/>
      <c r="BD124" s="211">
        <v>0</v>
      </c>
      <c r="BE124" s="211"/>
      <c r="BF124" s="456">
        <v>0</v>
      </c>
      <c r="BG124" s="456">
        <v>0</v>
      </c>
      <c r="BH124" s="456">
        <v>0</v>
      </c>
      <c r="BI124" s="457"/>
    </row>
    <row r="125" spans="2:61" s="374" customFormat="1" ht="15" customHeight="1">
      <c r="B125" s="435"/>
      <c r="C125" s="823"/>
      <c r="D125" s="926" t="s">
        <v>85</v>
      </c>
      <c r="E125" s="823"/>
      <c r="F125" s="823"/>
      <c r="G125" s="447" t="s">
        <v>2467</v>
      </c>
      <c r="H125" s="209"/>
      <c r="I125" s="406" t="s">
        <v>498</v>
      </c>
      <c r="J125" s="405"/>
      <c r="K125" s="209"/>
      <c r="L125" s="209"/>
      <c r="M125" s="209"/>
      <c r="N125" s="209"/>
      <c r="O125" s="209"/>
      <c r="P125" s="298">
        <v>0.16916347252178107</v>
      </c>
      <c r="Q125" s="299">
        <v>0</v>
      </c>
      <c r="R125" s="460">
        <v>0</v>
      </c>
      <c r="S125" s="298">
        <v>0</v>
      </c>
      <c r="T125" s="298">
        <v>0</v>
      </c>
      <c r="U125" s="298">
        <v>0</v>
      </c>
      <c r="V125" s="299">
        <v>0</v>
      </c>
      <c r="W125" s="441"/>
      <c r="X125" s="406" t="s">
        <v>498</v>
      </c>
      <c r="Y125" s="405"/>
      <c r="Z125" s="209"/>
      <c r="AA125" s="209"/>
      <c r="AB125" s="209"/>
      <c r="AC125" s="209"/>
      <c r="AD125" s="209"/>
      <c r="AE125" s="298">
        <v>0</v>
      </c>
      <c r="AF125" s="299">
        <v>0</v>
      </c>
      <c r="AG125" s="460">
        <v>0</v>
      </c>
      <c r="AH125" s="298">
        <v>0</v>
      </c>
      <c r="AI125" s="298">
        <v>0</v>
      </c>
      <c r="AJ125" s="298">
        <v>0</v>
      </c>
      <c r="AK125" s="299">
        <v>0</v>
      </c>
      <c r="AL125" s="441"/>
      <c r="AM125" s="455" t="s">
        <v>2464</v>
      </c>
      <c r="AN125" s="405"/>
      <c r="AO125" s="209"/>
      <c r="AP125" s="209"/>
      <c r="AQ125" s="209"/>
      <c r="AR125" s="209"/>
      <c r="AS125" s="209"/>
      <c r="AT125" s="298">
        <v>1</v>
      </c>
      <c r="AU125" s="299">
        <v>0</v>
      </c>
      <c r="AV125" s="460">
        <v>0</v>
      </c>
      <c r="AW125" s="298">
        <v>0</v>
      </c>
      <c r="AX125" s="298">
        <v>0</v>
      </c>
      <c r="AY125" s="298">
        <v>0</v>
      </c>
      <c r="AZ125" s="299">
        <v>0</v>
      </c>
      <c r="BA125" s="441"/>
      <c r="BB125" s="1462"/>
      <c r="BC125" s="1461"/>
      <c r="BD125" s="211">
        <v>0</v>
      </c>
      <c r="BE125" s="211"/>
      <c r="BF125" s="456">
        <v>0</v>
      </c>
      <c r="BG125" s="456">
        <v>0</v>
      </c>
      <c r="BH125" s="456">
        <v>0</v>
      </c>
      <c r="BI125" s="457"/>
    </row>
    <row r="126" spans="2:61" s="374" customFormat="1" ht="15" customHeight="1">
      <c r="B126" s="435"/>
      <c r="C126" s="823"/>
      <c r="D126" s="926" t="s">
        <v>85</v>
      </c>
      <c r="E126" s="823"/>
      <c r="F126" s="823"/>
      <c r="G126" s="447" t="s">
        <v>2468</v>
      </c>
      <c r="H126" s="209"/>
      <c r="I126" s="406" t="s">
        <v>498</v>
      </c>
      <c r="J126" s="405"/>
      <c r="K126" s="209"/>
      <c r="L126" s="209"/>
      <c r="M126" s="209"/>
      <c r="N126" s="209"/>
      <c r="O126" s="209"/>
      <c r="P126" s="298">
        <v>-2.8521941208016072E-3</v>
      </c>
      <c r="Q126" s="299">
        <v>0</v>
      </c>
      <c r="R126" s="460">
        <v>0</v>
      </c>
      <c r="S126" s="298">
        <v>0</v>
      </c>
      <c r="T126" s="298">
        <v>0</v>
      </c>
      <c r="U126" s="298">
        <v>0</v>
      </c>
      <c r="V126" s="299">
        <v>0</v>
      </c>
      <c r="W126" s="441"/>
      <c r="X126" s="406" t="s">
        <v>498</v>
      </c>
      <c r="Y126" s="405"/>
      <c r="Z126" s="209"/>
      <c r="AA126" s="209"/>
      <c r="AB126" s="209"/>
      <c r="AC126" s="209"/>
      <c r="AD126" s="209"/>
      <c r="AE126" s="298">
        <v>0</v>
      </c>
      <c r="AF126" s="299">
        <v>0</v>
      </c>
      <c r="AG126" s="460">
        <v>0</v>
      </c>
      <c r="AH126" s="298">
        <v>0</v>
      </c>
      <c r="AI126" s="298">
        <v>0</v>
      </c>
      <c r="AJ126" s="298">
        <v>0</v>
      </c>
      <c r="AK126" s="299">
        <v>0</v>
      </c>
      <c r="AL126" s="441"/>
      <c r="AM126" s="455" t="s">
        <v>2464</v>
      </c>
      <c r="AN126" s="405"/>
      <c r="AO126" s="209"/>
      <c r="AP126" s="209"/>
      <c r="AQ126" s="209"/>
      <c r="AR126" s="209"/>
      <c r="AS126" s="209"/>
      <c r="AT126" s="298">
        <v>1</v>
      </c>
      <c r="AU126" s="299">
        <v>0</v>
      </c>
      <c r="AV126" s="460">
        <v>0</v>
      </c>
      <c r="AW126" s="298">
        <v>0</v>
      </c>
      <c r="AX126" s="298">
        <v>0</v>
      </c>
      <c r="AY126" s="298">
        <v>0</v>
      </c>
      <c r="AZ126" s="299">
        <v>0</v>
      </c>
      <c r="BA126" s="441"/>
      <c r="BB126" s="1462"/>
      <c r="BC126" s="1461"/>
      <c r="BD126" s="211">
        <v>0</v>
      </c>
      <c r="BE126" s="211"/>
      <c r="BF126" s="456">
        <v>0</v>
      </c>
      <c r="BG126" s="456">
        <v>0</v>
      </c>
      <c r="BH126" s="456">
        <v>0</v>
      </c>
      <c r="BI126" s="457"/>
    </row>
    <row r="127" spans="2:61" s="374" customFormat="1" ht="15" customHeight="1">
      <c r="B127" s="435"/>
      <c r="C127" s="823"/>
      <c r="D127" s="926" t="s">
        <v>85</v>
      </c>
      <c r="E127" s="823"/>
      <c r="F127" s="823"/>
      <c r="G127" s="447" t="s">
        <v>2469</v>
      </c>
      <c r="H127" s="209"/>
      <c r="I127" s="406" t="s">
        <v>498</v>
      </c>
      <c r="J127" s="405"/>
      <c r="K127" s="209"/>
      <c r="L127" s="209"/>
      <c r="M127" s="209"/>
      <c r="N127" s="209"/>
      <c r="O127" s="209"/>
      <c r="P127" s="298">
        <v>0</v>
      </c>
      <c r="Q127" s="299">
        <v>0</v>
      </c>
      <c r="R127" s="460">
        <v>0</v>
      </c>
      <c r="S127" s="298">
        <v>1.0249084109343933</v>
      </c>
      <c r="T127" s="298">
        <v>1.2240293657406391</v>
      </c>
      <c r="U127" s="298">
        <v>1.0249084109343933</v>
      </c>
      <c r="V127" s="299">
        <v>1.2240293657406391</v>
      </c>
      <c r="W127" s="441"/>
      <c r="X127" s="406" t="s">
        <v>498</v>
      </c>
      <c r="Y127" s="405"/>
      <c r="Z127" s="209"/>
      <c r="AA127" s="209"/>
      <c r="AB127" s="209"/>
      <c r="AC127" s="209"/>
      <c r="AD127" s="209"/>
      <c r="AE127" s="298">
        <v>0</v>
      </c>
      <c r="AF127" s="299">
        <v>0</v>
      </c>
      <c r="AG127" s="460">
        <v>0</v>
      </c>
      <c r="AH127" s="298">
        <v>0</v>
      </c>
      <c r="AI127" s="298">
        <v>0</v>
      </c>
      <c r="AJ127" s="298">
        <v>0</v>
      </c>
      <c r="AK127" s="299">
        <v>0</v>
      </c>
      <c r="AL127" s="441"/>
      <c r="AM127" s="455" t="s">
        <v>2470</v>
      </c>
      <c r="AN127" s="405"/>
      <c r="AO127" s="209"/>
      <c r="AP127" s="209"/>
      <c r="AQ127" s="209"/>
      <c r="AR127" s="209"/>
      <c r="AS127" s="209"/>
      <c r="AT127" s="298">
        <v>0</v>
      </c>
      <c r="AU127" s="299">
        <v>0</v>
      </c>
      <c r="AV127" s="460">
        <v>0</v>
      </c>
      <c r="AW127" s="298">
        <v>1</v>
      </c>
      <c r="AX127" s="298">
        <v>1</v>
      </c>
      <c r="AY127" s="298">
        <v>1</v>
      </c>
      <c r="AZ127" s="299">
        <v>1</v>
      </c>
      <c r="BA127" s="441"/>
      <c r="BB127" s="1462"/>
      <c r="BC127" s="1461"/>
      <c r="BD127" s="211">
        <v>0</v>
      </c>
      <c r="BE127" s="211"/>
      <c r="BF127" s="456">
        <v>0</v>
      </c>
      <c r="BG127" s="456">
        <v>0</v>
      </c>
      <c r="BH127" s="456">
        <v>0</v>
      </c>
      <c r="BI127" s="457"/>
    </row>
    <row r="128" spans="2:61" s="374" customFormat="1" ht="15" customHeight="1">
      <c r="B128" s="435"/>
      <c r="C128" s="823"/>
      <c r="D128" s="926" t="s">
        <v>85</v>
      </c>
      <c r="E128" s="823"/>
      <c r="F128" s="823"/>
      <c r="G128" s="447" t="s">
        <v>2471</v>
      </c>
      <c r="H128" s="209"/>
      <c r="I128" s="406" t="s">
        <v>498</v>
      </c>
      <c r="J128" s="405"/>
      <c r="K128" s="209"/>
      <c r="L128" s="209"/>
      <c r="M128" s="209"/>
      <c r="N128" s="209"/>
      <c r="O128" s="209"/>
      <c r="P128" s="298">
        <v>0</v>
      </c>
      <c r="Q128" s="299">
        <v>0</v>
      </c>
      <c r="R128" s="460">
        <v>2.1289121734187582</v>
      </c>
      <c r="S128" s="298">
        <v>2.1384456678913231</v>
      </c>
      <c r="T128" s="298">
        <v>2.4434968904654091</v>
      </c>
      <c r="U128" s="298">
        <v>0.80439254780050051</v>
      </c>
      <c r="V128" s="299">
        <v>0.65070932339019683</v>
      </c>
      <c r="W128" s="441"/>
      <c r="X128" s="406" t="s">
        <v>498</v>
      </c>
      <c r="Y128" s="405"/>
      <c r="Z128" s="209"/>
      <c r="AA128" s="209"/>
      <c r="AB128" s="209"/>
      <c r="AC128" s="209"/>
      <c r="AD128" s="209"/>
      <c r="AE128" s="298">
        <v>0</v>
      </c>
      <c r="AF128" s="299">
        <v>0</v>
      </c>
      <c r="AG128" s="460">
        <v>0</v>
      </c>
      <c r="AH128" s="298">
        <v>0</v>
      </c>
      <c r="AI128" s="298">
        <v>0</v>
      </c>
      <c r="AJ128" s="298">
        <v>0</v>
      </c>
      <c r="AK128" s="299">
        <v>0</v>
      </c>
      <c r="AL128" s="441"/>
      <c r="AM128" s="455" t="s">
        <v>2472</v>
      </c>
      <c r="AN128" s="405"/>
      <c r="AO128" s="209"/>
      <c r="AP128" s="209"/>
      <c r="AQ128" s="209"/>
      <c r="AR128" s="209"/>
      <c r="AS128" s="209"/>
      <c r="AT128" s="298">
        <v>0</v>
      </c>
      <c r="AU128" s="299">
        <v>0</v>
      </c>
      <c r="AV128" s="460">
        <v>10</v>
      </c>
      <c r="AW128" s="298">
        <v>10</v>
      </c>
      <c r="AX128" s="298">
        <v>11</v>
      </c>
      <c r="AY128" s="298">
        <v>5</v>
      </c>
      <c r="AZ128" s="299">
        <v>4</v>
      </c>
      <c r="BA128" s="441"/>
      <c r="BB128" s="1462"/>
      <c r="BC128" s="1461"/>
      <c r="BD128" s="211">
        <v>0</v>
      </c>
      <c r="BE128" s="211"/>
      <c r="BF128" s="456">
        <v>0</v>
      </c>
      <c r="BG128" s="456">
        <v>0</v>
      </c>
      <c r="BH128" s="456">
        <v>0</v>
      </c>
      <c r="BI128" s="457"/>
    </row>
    <row r="129" spans="2:61" s="374" customFormat="1" ht="15" customHeight="1">
      <c r="B129" s="435"/>
      <c r="C129" s="823"/>
      <c r="D129" s="926" t="s">
        <v>85</v>
      </c>
      <c r="E129" s="823"/>
      <c r="F129" s="823"/>
      <c r="G129" s="447" t="s">
        <v>2473</v>
      </c>
      <c r="H129" s="209"/>
      <c r="I129" s="406" t="s">
        <v>498</v>
      </c>
      <c r="J129" s="405"/>
      <c r="K129" s="209"/>
      <c r="L129" s="209"/>
      <c r="M129" s="209"/>
      <c r="N129" s="209"/>
      <c r="O129" s="209"/>
      <c r="P129" s="298">
        <v>0</v>
      </c>
      <c r="Q129" s="299">
        <v>0</v>
      </c>
      <c r="R129" s="460">
        <v>0</v>
      </c>
      <c r="S129" s="298">
        <v>0</v>
      </c>
      <c r="T129" s="298">
        <v>1.7406108784740602</v>
      </c>
      <c r="U129" s="298">
        <v>0.87030543923703008</v>
      </c>
      <c r="V129" s="299">
        <v>0.87030543923703008</v>
      </c>
      <c r="W129" s="441"/>
      <c r="X129" s="406" t="s">
        <v>498</v>
      </c>
      <c r="Y129" s="405"/>
      <c r="Z129" s="209"/>
      <c r="AA129" s="209"/>
      <c r="AB129" s="209"/>
      <c r="AC129" s="209"/>
      <c r="AD129" s="209"/>
      <c r="AE129" s="298">
        <v>0</v>
      </c>
      <c r="AF129" s="299">
        <v>0</v>
      </c>
      <c r="AG129" s="460">
        <v>0</v>
      </c>
      <c r="AH129" s="298">
        <v>0</v>
      </c>
      <c r="AI129" s="298">
        <v>0</v>
      </c>
      <c r="AJ129" s="298">
        <v>0</v>
      </c>
      <c r="AK129" s="299">
        <v>0</v>
      </c>
      <c r="AL129" s="441"/>
      <c r="AM129" s="455" t="s">
        <v>2470</v>
      </c>
      <c r="AN129" s="405"/>
      <c r="AO129" s="209"/>
      <c r="AP129" s="209"/>
      <c r="AQ129" s="209"/>
      <c r="AR129" s="209"/>
      <c r="AS129" s="209"/>
      <c r="AT129" s="298">
        <v>0</v>
      </c>
      <c r="AU129" s="299">
        <v>0</v>
      </c>
      <c r="AV129" s="460">
        <v>0</v>
      </c>
      <c r="AW129" s="298">
        <v>0</v>
      </c>
      <c r="AX129" s="298">
        <v>2</v>
      </c>
      <c r="AY129" s="298">
        <v>1</v>
      </c>
      <c r="AZ129" s="299">
        <v>1</v>
      </c>
      <c r="BA129" s="441"/>
      <c r="BB129" s="1462"/>
      <c r="BC129" s="1461"/>
      <c r="BD129" s="211">
        <v>0</v>
      </c>
      <c r="BE129" s="211"/>
      <c r="BF129" s="456">
        <v>0</v>
      </c>
      <c r="BG129" s="456">
        <v>0</v>
      </c>
      <c r="BH129" s="456">
        <v>0</v>
      </c>
      <c r="BI129" s="457"/>
    </row>
    <row r="130" spans="2:61" s="374" customFormat="1" ht="15" customHeight="1">
      <c r="B130" s="435"/>
      <c r="C130" s="823"/>
      <c r="D130" s="926" t="s">
        <v>85</v>
      </c>
      <c r="E130" s="823"/>
      <c r="F130" s="823"/>
      <c r="G130" s="447" t="s">
        <v>2474</v>
      </c>
      <c r="H130" s="209"/>
      <c r="I130" s="406" t="s">
        <v>498</v>
      </c>
      <c r="J130" s="405"/>
      <c r="K130" s="209"/>
      <c r="L130" s="209"/>
      <c r="M130" s="209"/>
      <c r="N130" s="209"/>
      <c r="O130" s="209"/>
      <c r="P130" s="298">
        <v>0</v>
      </c>
      <c r="Q130" s="299">
        <v>0</v>
      </c>
      <c r="R130" s="460">
        <v>0.15318946362471828</v>
      </c>
      <c r="S130" s="298">
        <v>0.56678931087048556</v>
      </c>
      <c r="T130" s="298">
        <v>0.67018927268192752</v>
      </c>
      <c r="U130" s="298">
        <v>0.67018927268192752</v>
      </c>
      <c r="V130" s="299">
        <v>0.67018927268192752</v>
      </c>
      <c r="W130" s="441"/>
      <c r="X130" s="406" t="s">
        <v>498</v>
      </c>
      <c r="Y130" s="405"/>
      <c r="Z130" s="209"/>
      <c r="AA130" s="209"/>
      <c r="AB130" s="209"/>
      <c r="AC130" s="209"/>
      <c r="AD130" s="209"/>
      <c r="AE130" s="298">
        <v>0</v>
      </c>
      <c r="AF130" s="299">
        <v>0</v>
      </c>
      <c r="AG130" s="460">
        <v>0</v>
      </c>
      <c r="AH130" s="298">
        <v>0</v>
      </c>
      <c r="AI130" s="298">
        <v>0</v>
      </c>
      <c r="AJ130" s="298">
        <v>0</v>
      </c>
      <c r="AK130" s="299">
        <v>0</v>
      </c>
      <c r="AL130" s="441"/>
      <c r="AM130" s="455" t="s">
        <v>2475</v>
      </c>
      <c r="AN130" s="405"/>
      <c r="AO130" s="209"/>
      <c r="AP130" s="209"/>
      <c r="AQ130" s="209"/>
      <c r="AR130" s="209"/>
      <c r="AS130" s="209"/>
      <c r="AT130" s="298">
        <v>0</v>
      </c>
      <c r="AU130" s="299">
        <v>0</v>
      </c>
      <c r="AV130" s="460">
        <v>5</v>
      </c>
      <c r="AW130" s="298">
        <v>9</v>
      </c>
      <c r="AX130" s="298">
        <v>10</v>
      </c>
      <c r="AY130" s="298">
        <v>10</v>
      </c>
      <c r="AZ130" s="299">
        <v>10</v>
      </c>
      <c r="BA130" s="441"/>
      <c r="BB130" s="1462"/>
      <c r="BC130" s="1461"/>
      <c r="BD130" s="211">
        <v>0</v>
      </c>
      <c r="BE130" s="211"/>
      <c r="BF130" s="456">
        <v>0</v>
      </c>
      <c r="BG130" s="456">
        <v>0</v>
      </c>
      <c r="BH130" s="456">
        <v>0</v>
      </c>
      <c r="BI130" s="457"/>
    </row>
    <row r="131" spans="2:61" s="374" customFormat="1" ht="15" customHeight="1">
      <c r="B131" s="435"/>
      <c r="C131" s="823"/>
      <c r="D131" s="926" t="s">
        <v>85</v>
      </c>
      <c r="E131" s="823"/>
      <c r="F131" s="823"/>
      <c r="G131" s="447" t="s">
        <v>2476</v>
      </c>
      <c r="H131" s="209"/>
      <c r="I131" s="406" t="s">
        <v>498</v>
      </c>
      <c r="J131" s="405"/>
      <c r="K131" s="209"/>
      <c r="L131" s="209"/>
      <c r="M131" s="209"/>
      <c r="N131" s="209"/>
      <c r="O131" s="209"/>
      <c r="P131" s="298">
        <v>0</v>
      </c>
      <c r="Q131" s="299">
        <v>0</v>
      </c>
      <c r="R131" s="460">
        <v>0.13616913116867496</v>
      </c>
      <c r="S131" s="298">
        <v>0</v>
      </c>
      <c r="T131" s="298">
        <v>0.71719637536730263</v>
      </c>
      <c r="U131" s="298">
        <v>0.1556949900912005</v>
      </c>
      <c r="V131" s="299">
        <v>0.37630554949448486</v>
      </c>
      <c r="W131" s="441"/>
      <c r="X131" s="406" t="s">
        <v>498</v>
      </c>
      <c r="Y131" s="405"/>
      <c r="Z131" s="209"/>
      <c r="AA131" s="209"/>
      <c r="AB131" s="209"/>
      <c r="AC131" s="209"/>
      <c r="AD131" s="209"/>
      <c r="AE131" s="298">
        <v>0</v>
      </c>
      <c r="AF131" s="299">
        <v>0</v>
      </c>
      <c r="AG131" s="460">
        <v>0</v>
      </c>
      <c r="AH131" s="298">
        <v>0</v>
      </c>
      <c r="AI131" s="298">
        <v>0</v>
      </c>
      <c r="AJ131" s="298">
        <v>0</v>
      </c>
      <c r="AK131" s="299">
        <v>0</v>
      </c>
      <c r="AL131" s="441"/>
      <c r="AM131" s="455" t="s">
        <v>2470</v>
      </c>
      <c r="AN131" s="405"/>
      <c r="AO131" s="209"/>
      <c r="AP131" s="209"/>
      <c r="AQ131" s="209"/>
      <c r="AR131" s="209"/>
      <c r="AS131" s="209"/>
      <c r="AT131" s="298">
        <v>0</v>
      </c>
      <c r="AU131" s="299">
        <v>0</v>
      </c>
      <c r="AV131" s="460">
        <v>2</v>
      </c>
      <c r="AW131" s="298">
        <v>0</v>
      </c>
      <c r="AX131" s="298">
        <v>3</v>
      </c>
      <c r="AY131" s="298">
        <v>2</v>
      </c>
      <c r="AZ131" s="299">
        <v>3</v>
      </c>
      <c r="BA131" s="441"/>
      <c r="BB131" s="1462"/>
      <c r="BC131" s="1461"/>
      <c r="BD131" s="211">
        <v>0</v>
      </c>
      <c r="BE131" s="211"/>
      <c r="BF131" s="456">
        <v>0</v>
      </c>
      <c r="BG131" s="456">
        <v>0</v>
      </c>
      <c r="BH131" s="456">
        <v>0</v>
      </c>
      <c r="BI131" s="457"/>
    </row>
    <row r="132" spans="2:61" s="374" customFormat="1" ht="15" customHeight="1">
      <c r="B132" s="435"/>
      <c r="C132" s="823"/>
      <c r="D132" s="926" t="s">
        <v>85</v>
      </c>
      <c r="E132" s="823"/>
      <c r="F132" s="823"/>
      <c r="G132" s="447"/>
      <c r="H132" s="209"/>
      <c r="I132" s="406" t="s">
        <v>498</v>
      </c>
      <c r="J132" s="405"/>
      <c r="K132" s="209"/>
      <c r="L132" s="209"/>
      <c r="M132" s="209"/>
      <c r="N132" s="209"/>
      <c r="O132" s="209"/>
      <c r="P132" s="298">
        <v>0</v>
      </c>
      <c r="Q132" s="299">
        <v>0</v>
      </c>
      <c r="R132" s="460">
        <v>0</v>
      </c>
      <c r="S132" s="298">
        <v>0</v>
      </c>
      <c r="T132" s="298">
        <v>0</v>
      </c>
      <c r="U132" s="298">
        <v>0</v>
      </c>
      <c r="V132" s="299">
        <v>0</v>
      </c>
      <c r="W132" s="441"/>
      <c r="X132" s="406" t="s">
        <v>498</v>
      </c>
      <c r="Y132" s="405"/>
      <c r="Z132" s="209"/>
      <c r="AA132" s="209"/>
      <c r="AB132" s="209"/>
      <c r="AC132" s="209"/>
      <c r="AD132" s="209"/>
      <c r="AE132" s="298">
        <v>0</v>
      </c>
      <c r="AF132" s="299">
        <v>0</v>
      </c>
      <c r="AG132" s="460">
        <v>0</v>
      </c>
      <c r="AH132" s="298">
        <v>0</v>
      </c>
      <c r="AI132" s="298">
        <v>0</v>
      </c>
      <c r="AJ132" s="298">
        <v>0</v>
      </c>
      <c r="AK132" s="299">
        <v>0</v>
      </c>
      <c r="AL132" s="441"/>
      <c r="AM132" s="455">
        <v>0</v>
      </c>
      <c r="AN132" s="405"/>
      <c r="AO132" s="209"/>
      <c r="AP132" s="209"/>
      <c r="AQ132" s="209"/>
      <c r="AR132" s="209"/>
      <c r="AS132" s="209"/>
      <c r="AT132" s="298">
        <v>0</v>
      </c>
      <c r="AU132" s="299">
        <v>0</v>
      </c>
      <c r="AV132" s="460">
        <v>0</v>
      </c>
      <c r="AW132" s="298">
        <v>0</v>
      </c>
      <c r="AX132" s="298">
        <v>0</v>
      </c>
      <c r="AY132" s="298">
        <v>0</v>
      </c>
      <c r="AZ132" s="299">
        <v>0</v>
      </c>
      <c r="BA132" s="441"/>
      <c r="BB132" s="1462"/>
      <c r="BC132" s="1461"/>
      <c r="BD132" s="211">
        <v>0</v>
      </c>
      <c r="BE132" s="211"/>
      <c r="BF132" s="456">
        <v>0</v>
      </c>
      <c r="BG132" s="456">
        <v>0</v>
      </c>
      <c r="BH132" s="456">
        <v>0</v>
      </c>
      <c r="BI132" s="457"/>
    </row>
    <row r="133" spans="2:61" s="374" customFormat="1" ht="15" customHeight="1">
      <c r="B133" s="435"/>
      <c r="C133" s="823"/>
      <c r="D133" s="926" t="s">
        <v>85</v>
      </c>
      <c r="E133" s="823"/>
      <c r="F133" s="823"/>
      <c r="G133" s="447"/>
      <c r="H133" s="209"/>
      <c r="I133" s="406" t="s">
        <v>498</v>
      </c>
      <c r="J133" s="405"/>
      <c r="K133" s="209"/>
      <c r="L133" s="209"/>
      <c r="M133" s="209"/>
      <c r="N133" s="209"/>
      <c r="O133" s="209"/>
      <c r="P133" s="298">
        <v>0</v>
      </c>
      <c r="Q133" s="299">
        <v>0</v>
      </c>
      <c r="R133" s="460">
        <v>0</v>
      </c>
      <c r="S133" s="298">
        <v>0</v>
      </c>
      <c r="T133" s="298">
        <v>0</v>
      </c>
      <c r="U133" s="298">
        <v>0</v>
      </c>
      <c r="V133" s="299">
        <v>0</v>
      </c>
      <c r="W133" s="441"/>
      <c r="X133" s="406" t="s">
        <v>498</v>
      </c>
      <c r="Y133" s="405"/>
      <c r="Z133" s="209"/>
      <c r="AA133" s="209"/>
      <c r="AB133" s="209"/>
      <c r="AC133" s="209"/>
      <c r="AD133" s="209"/>
      <c r="AE133" s="298">
        <v>0</v>
      </c>
      <c r="AF133" s="299">
        <v>0</v>
      </c>
      <c r="AG133" s="460">
        <v>0</v>
      </c>
      <c r="AH133" s="298">
        <v>0</v>
      </c>
      <c r="AI133" s="298">
        <v>0</v>
      </c>
      <c r="AJ133" s="298">
        <v>0</v>
      </c>
      <c r="AK133" s="299">
        <v>0</v>
      </c>
      <c r="AL133" s="441"/>
      <c r="AM133" s="455">
        <v>0</v>
      </c>
      <c r="AN133" s="405"/>
      <c r="AO133" s="209"/>
      <c r="AP133" s="209"/>
      <c r="AQ133" s="209"/>
      <c r="AR133" s="209"/>
      <c r="AS133" s="209"/>
      <c r="AT133" s="298">
        <v>0</v>
      </c>
      <c r="AU133" s="299">
        <v>0</v>
      </c>
      <c r="AV133" s="460">
        <v>0</v>
      </c>
      <c r="AW133" s="298">
        <v>0</v>
      </c>
      <c r="AX133" s="298">
        <v>0</v>
      </c>
      <c r="AY133" s="298">
        <v>0</v>
      </c>
      <c r="AZ133" s="299">
        <v>0</v>
      </c>
      <c r="BA133" s="441"/>
      <c r="BB133" s="1462"/>
      <c r="BC133" s="1461"/>
      <c r="BD133" s="211">
        <v>0</v>
      </c>
      <c r="BE133" s="211"/>
      <c r="BF133" s="456">
        <v>0</v>
      </c>
      <c r="BG133" s="456">
        <v>0</v>
      </c>
      <c r="BH133" s="456">
        <v>0</v>
      </c>
      <c r="BI133" s="457"/>
    </row>
    <row r="134" spans="2:61" s="374" customFormat="1" ht="15" customHeight="1">
      <c r="B134" s="435"/>
      <c r="C134" s="823"/>
      <c r="D134" s="926" t="s">
        <v>85</v>
      </c>
      <c r="E134" s="823"/>
      <c r="F134" s="823"/>
      <c r="G134" s="447"/>
      <c r="H134" s="209"/>
      <c r="I134" s="406" t="s">
        <v>498</v>
      </c>
      <c r="J134" s="405"/>
      <c r="K134" s="209"/>
      <c r="L134" s="209"/>
      <c r="M134" s="209"/>
      <c r="N134" s="209"/>
      <c r="O134" s="209"/>
      <c r="P134" s="298">
        <v>0</v>
      </c>
      <c r="Q134" s="299">
        <v>0</v>
      </c>
      <c r="R134" s="460">
        <v>0</v>
      </c>
      <c r="S134" s="298">
        <v>0</v>
      </c>
      <c r="T134" s="298">
        <v>0</v>
      </c>
      <c r="U134" s="298">
        <v>0</v>
      </c>
      <c r="V134" s="299">
        <v>0</v>
      </c>
      <c r="W134" s="441"/>
      <c r="X134" s="406" t="s">
        <v>498</v>
      </c>
      <c r="Y134" s="405"/>
      <c r="Z134" s="209"/>
      <c r="AA134" s="209"/>
      <c r="AB134" s="209"/>
      <c r="AC134" s="209"/>
      <c r="AD134" s="209"/>
      <c r="AE134" s="298">
        <v>0</v>
      </c>
      <c r="AF134" s="299">
        <v>0</v>
      </c>
      <c r="AG134" s="460">
        <v>0</v>
      </c>
      <c r="AH134" s="298">
        <v>0</v>
      </c>
      <c r="AI134" s="298">
        <v>0</v>
      </c>
      <c r="AJ134" s="298">
        <v>0</v>
      </c>
      <c r="AK134" s="299">
        <v>0</v>
      </c>
      <c r="AL134" s="441"/>
      <c r="AM134" s="455">
        <v>0</v>
      </c>
      <c r="AN134" s="405"/>
      <c r="AO134" s="209"/>
      <c r="AP134" s="209"/>
      <c r="AQ134" s="209"/>
      <c r="AR134" s="209"/>
      <c r="AS134" s="209"/>
      <c r="AT134" s="298">
        <v>0</v>
      </c>
      <c r="AU134" s="299">
        <v>0</v>
      </c>
      <c r="AV134" s="460">
        <v>0</v>
      </c>
      <c r="AW134" s="298">
        <v>0</v>
      </c>
      <c r="AX134" s="298">
        <v>0</v>
      </c>
      <c r="AY134" s="298">
        <v>0</v>
      </c>
      <c r="AZ134" s="299">
        <v>0</v>
      </c>
      <c r="BA134" s="441"/>
      <c r="BB134" s="1462"/>
      <c r="BC134" s="1461"/>
      <c r="BD134" s="211">
        <v>0</v>
      </c>
      <c r="BE134" s="211"/>
      <c r="BF134" s="456">
        <v>0</v>
      </c>
      <c r="BG134" s="456">
        <v>0</v>
      </c>
      <c r="BH134" s="456">
        <v>0</v>
      </c>
      <c r="BI134" s="457"/>
    </row>
    <row r="135" spans="2:61" s="374" customFormat="1" ht="15" customHeight="1">
      <c r="B135" s="435"/>
      <c r="C135" s="823"/>
      <c r="D135" s="926" t="s">
        <v>85</v>
      </c>
      <c r="E135" s="823"/>
      <c r="F135" s="823"/>
      <c r="G135" s="447"/>
      <c r="H135" s="209"/>
      <c r="I135" s="406" t="s">
        <v>498</v>
      </c>
      <c r="J135" s="405"/>
      <c r="K135" s="209"/>
      <c r="L135" s="209"/>
      <c r="M135" s="209"/>
      <c r="N135" s="209"/>
      <c r="O135" s="209"/>
      <c r="P135" s="298">
        <v>0</v>
      </c>
      <c r="Q135" s="299">
        <v>0</v>
      </c>
      <c r="R135" s="460">
        <v>0</v>
      </c>
      <c r="S135" s="298">
        <v>0</v>
      </c>
      <c r="T135" s="298">
        <v>0</v>
      </c>
      <c r="U135" s="298">
        <v>0</v>
      </c>
      <c r="V135" s="299">
        <v>0</v>
      </c>
      <c r="W135" s="441"/>
      <c r="X135" s="406" t="s">
        <v>498</v>
      </c>
      <c r="Y135" s="405"/>
      <c r="Z135" s="209"/>
      <c r="AA135" s="209"/>
      <c r="AB135" s="209"/>
      <c r="AC135" s="209"/>
      <c r="AD135" s="209"/>
      <c r="AE135" s="298">
        <v>0</v>
      </c>
      <c r="AF135" s="299">
        <v>0</v>
      </c>
      <c r="AG135" s="460">
        <v>0</v>
      </c>
      <c r="AH135" s="298">
        <v>0</v>
      </c>
      <c r="AI135" s="298">
        <v>0</v>
      </c>
      <c r="AJ135" s="298">
        <v>0</v>
      </c>
      <c r="AK135" s="299">
        <v>0</v>
      </c>
      <c r="AL135" s="441"/>
      <c r="AM135" s="455">
        <v>0</v>
      </c>
      <c r="AN135" s="405"/>
      <c r="AO135" s="209"/>
      <c r="AP135" s="209"/>
      <c r="AQ135" s="209"/>
      <c r="AR135" s="209"/>
      <c r="AS135" s="209"/>
      <c r="AT135" s="298">
        <v>0</v>
      </c>
      <c r="AU135" s="299">
        <v>0</v>
      </c>
      <c r="AV135" s="460">
        <v>0</v>
      </c>
      <c r="AW135" s="298">
        <v>0</v>
      </c>
      <c r="AX135" s="298">
        <v>0</v>
      </c>
      <c r="AY135" s="298">
        <v>0</v>
      </c>
      <c r="AZ135" s="299">
        <v>0</v>
      </c>
      <c r="BA135" s="441"/>
      <c r="BB135" s="1462"/>
      <c r="BC135" s="1461"/>
      <c r="BD135" s="211">
        <v>0</v>
      </c>
      <c r="BE135" s="211"/>
      <c r="BF135" s="456">
        <v>0</v>
      </c>
      <c r="BG135" s="456">
        <v>0</v>
      </c>
      <c r="BH135" s="456">
        <v>0</v>
      </c>
      <c r="BI135" s="457"/>
    </row>
    <row r="136" spans="2:61" s="374" customFormat="1" ht="15" customHeight="1">
      <c r="B136" s="435"/>
      <c r="C136" s="823"/>
      <c r="D136" s="926" t="s">
        <v>85</v>
      </c>
      <c r="E136" s="823"/>
      <c r="F136" s="823"/>
      <c r="G136" s="447"/>
      <c r="H136" s="209"/>
      <c r="I136" s="406" t="s">
        <v>498</v>
      </c>
      <c r="J136" s="405"/>
      <c r="K136" s="209"/>
      <c r="L136" s="209"/>
      <c r="M136" s="209"/>
      <c r="N136" s="209"/>
      <c r="O136" s="209"/>
      <c r="P136" s="298">
        <v>0</v>
      </c>
      <c r="Q136" s="299">
        <v>0</v>
      </c>
      <c r="R136" s="460">
        <v>0</v>
      </c>
      <c r="S136" s="298">
        <v>0</v>
      </c>
      <c r="T136" s="298">
        <v>0</v>
      </c>
      <c r="U136" s="298">
        <v>0</v>
      </c>
      <c r="V136" s="299">
        <v>0</v>
      </c>
      <c r="W136" s="441"/>
      <c r="X136" s="406" t="s">
        <v>498</v>
      </c>
      <c r="Y136" s="405"/>
      <c r="Z136" s="209"/>
      <c r="AA136" s="209"/>
      <c r="AB136" s="209"/>
      <c r="AC136" s="209"/>
      <c r="AD136" s="209"/>
      <c r="AE136" s="298">
        <v>0</v>
      </c>
      <c r="AF136" s="299">
        <v>0</v>
      </c>
      <c r="AG136" s="460">
        <v>0</v>
      </c>
      <c r="AH136" s="298">
        <v>0</v>
      </c>
      <c r="AI136" s="298">
        <v>0</v>
      </c>
      <c r="AJ136" s="298">
        <v>0</v>
      </c>
      <c r="AK136" s="299">
        <v>0</v>
      </c>
      <c r="AL136" s="441"/>
      <c r="AM136" s="455">
        <v>0</v>
      </c>
      <c r="AN136" s="405"/>
      <c r="AO136" s="209"/>
      <c r="AP136" s="209"/>
      <c r="AQ136" s="209"/>
      <c r="AR136" s="209"/>
      <c r="AS136" s="209"/>
      <c r="AT136" s="298">
        <v>0</v>
      </c>
      <c r="AU136" s="299">
        <v>0</v>
      </c>
      <c r="AV136" s="460">
        <v>0</v>
      </c>
      <c r="AW136" s="298">
        <v>0</v>
      </c>
      <c r="AX136" s="298">
        <v>0</v>
      </c>
      <c r="AY136" s="298">
        <v>0</v>
      </c>
      <c r="AZ136" s="299">
        <v>0</v>
      </c>
      <c r="BA136" s="441"/>
      <c r="BB136" s="1462"/>
      <c r="BC136" s="1461"/>
      <c r="BD136" s="211">
        <v>0</v>
      </c>
      <c r="BE136" s="211"/>
      <c r="BF136" s="456">
        <v>0</v>
      </c>
      <c r="BG136" s="456">
        <v>0</v>
      </c>
      <c r="BH136" s="456">
        <v>0</v>
      </c>
      <c r="BI136" s="457"/>
    </row>
    <row r="137" spans="2:61" s="374" customFormat="1" ht="15" customHeight="1">
      <c r="B137" s="435"/>
      <c r="C137" s="823"/>
      <c r="D137" s="926" t="s">
        <v>85</v>
      </c>
      <c r="E137" s="823"/>
      <c r="F137" s="823"/>
      <c r="G137" s="447"/>
      <c r="H137" s="209"/>
      <c r="I137" s="406" t="s">
        <v>498</v>
      </c>
      <c r="J137" s="933"/>
      <c r="K137" s="441"/>
      <c r="L137" s="441"/>
      <c r="M137" s="441"/>
      <c r="N137" s="441"/>
      <c r="O137" s="441"/>
      <c r="P137" s="298">
        <v>0</v>
      </c>
      <c r="Q137" s="299">
        <v>0</v>
      </c>
      <c r="R137" s="460">
        <v>0</v>
      </c>
      <c r="S137" s="298">
        <v>0</v>
      </c>
      <c r="T137" s="298">
        <v>0</v>
      </c>
      <c r="U137" s="298">
        <v>0</v>
      </c>
      <c r="V137" s="299">
        <v>0</v>
      </c>
      <c r="W137" s="441"/>
      <c r="X137" s="406" t="s">
        <v>498</v>
      </c>
      <c r="Y137" s="933"/>
      <c r="Z137" s="441"/>
      <c r="AA137" s="441"/>
      <c r="AB137" s="441"/>
      <c r="AC137" s="441"/>
      <c r="AD137" s="441"/>
      <c r="AE137" s="298">
        <v>0</v>
      </c>
      <c r="AF137" s="299">
        <v>0</v>
      </c>
      <c r="AG137" s="460">
        <v>0</v>
      </c>
      <c r="AH137" s="298">
        <v>0</v>
      </c>
      <c r="AI137" s="298">
        <v>0</v>
      </c>
      <c r="AJ137" s="298">
        <v>0</v>
      </c>
      <c r="AK137" s="299">
        <v>0</v>
      </c>
      <c r="AL137" s="441"/>
      <c r="AM137" s="455">
        <v>0</v>
      </c>
      <c r="AN137" s="933"/>
      <c r="AO137" s="441"/>
      <c r="AP137" s="441"/>
      <c r="AQ137" s="441"/>
      <c r="AR137" s="441"/>
      <c r="AS137" s="441"/>
      <c r="AT137" s="298">
        <v>0</v>
      </c>
      <c r="AU137" s="299">
        <v>0</v>
      </c>
      <c r="AV137" s="460">
        <v>0</v>
      </c>
      <c r="AW137" s="298">
        <v>0</v>
      </c>
      <c r="AX137" s="298">
        <v>0</v>
      </c>
      <c r="AY137" s="298">
        <v>0</v>
      </c>
      <c r="AZ137" s="299">
        <v>0</v>
      </c>
      <c r="BA137" s="441"/>
      <c r="BB137" s="1462"/>
      <c r="BC137" s="1461"/>
      <c r="BD137" s="211">
        <v>0</v>
      </c>
      <c r="BE137" s="211"/>
      <c r="BF137" s="456">
        <v>0</v>
      </c>
      <c r="BG137" s="456">
        <v>0</v>
      </c>
      <c r="BH137" s="456">
        <v>0</v>
      </c>
      <c r="BI137" s="457"/>
    </row>
    <row r="138" spans="2:61" s="374" customFormat="1" ht="15" customHeight="1">
      <c r="B138" s="435"/>
      <c r="C138" s="823"/>
      <c r="D138" s="926" t="s">
        <v>85</v>
      </c>
      <c r="E138" s="823"/>
      <c r="F138" s="823"/>
      <c r="G138" s="447"/>
      <c r="H138" s="209"/>
      <c r="I138" s="406" t="s">
        <v>498</v>
      </c>
      <c r="J138" s="405"/>
      <c r="K138" s="209"/>
      <c r="L138" s="209"/>
      <c r="M138" s="209"/>
      <c r="N138" s="209"/>
      <c r="O138" s="209"/>
      <c r="P138" s="298">
        <v>0</v>
      </c>
      <c r="Q138" s="299">
        <v>0</v>
      </c>
      <c r="R138" s="460">
        <v>0</v>
      </c>
      <c r="S138" s="298">
        <v>0</v>
      </c>
      <c r="T138" s="298">
        <v>0</v>
      </c>
      <c r="U138" s="298">
        <v>0</v>
      </c>
      <c r="V138" s="299">
        <v>0</v>
      </c>
      <c r="W138" s="441"/>
      <c r="X138" s="406" t="s">
        <v>498</v>
      </c>
      <c r="Y138" s="405"/>
      <c r="Z138" s="209"/>
      <c r="AA138" s="209"/>
      <c r="AB138" s="209"/>
      <c r="AC138" s="209"/>
      <c r="AD138" s="209"/>
      <c r="AE138" s="298">
        <v>0</v>
      </c>
      <c r="AF138" s="299">
        <v>0</v>
      </c>
      <c r="AG138" s="460">
        <v>0</v>
      </c>
      <c r="AH138" s="298">
        <v>0</v>
      </c>
      <c r="AI138" s="298">
        <v>0</v>
      </c>
      <c r="AJ138" s="298">
        <v>0</v>
      </c>
      <c r="AK138" s="299">
        <v>0</v>
      </c>
      <c r="AL138" s="441"/>
      <c r="AM138" s="455">
        <v>0</v>
      </c>
      <c r="AN138" s="405"/>
      <c r="AO138" s="209"/>
      <c r="AP138" s="209"/>
      <c r="AQ138" s="209"/>
      <c r="AR138" s="209"/>
      <c r="AS138" s="209"/>
      <c r="AT138" s="298">
        <v>0</v>
      </c>
      <c r="AU138" s="299">
        <v>0</v>
      </c>
      <c r="AV138" s="460">
        <v>0</v>
      </c>
      <c r="AW138" s="298">
        <v>0</v>
      </c>
      <c r="AX138" s="298">
        <v>0</v>
      </c>
      <c r="AY138" s="298">
        <v>0</v>
      </c>
      <c r="AZ138" s="299">
        <v>0</v>
      </c>
      <c r="BA138" s="441"/>
      <c r="BB138" s="1462"/>
      <c r="BC138" s="1461"/>
      <c r="BD138" s="211">
        <v>0</v>
      </c>
      <c r="BE138" s="211"/>
      <c r="BF138" s="456">
        <v>0</v>
      </c>
      <c r="BG138" s="456">
        <v>0</v>
      </c>
      <c r="BH138" s="456">
        <v>0</v>
      </c>
      <c r="BI138" s="457"/>
    </row>
    <row r="139" spans="2:61" s="374" customFormat="1" ht="15" customHeight="1">
      <c r="B139" s="435"/>
      <c r="C139" s="823"/>
      <c r="D139" s="926" t="s">
        <v>85</v>
      </c>
      <c r="E139" s="823"/>
      <c r="F139" s="823"/>
      <c r="G139" s="447"/>
      <c r="H139" s="209"/>
      <c r="I139" s="406" t="s">
        <v>498</v>
      </c>
      <c r="J139" s="405"/>
      <c r="K139" s="209"/>
      <c r="L139" s="209"/>
      <c r="M139" s="209"/>
      <c r="N139" s="209"/>
      <c r="O139" s="209"/>
      <c r="P139" s="298">
        <v>0</v>
      </c>
      <c r="Q139" s="299">
        <v>0</v>
      </c>
      <c r="R139" s="460">
        <v>0</v>
      </c>
      <c r="S139" s="298">
        <v>0</v>
      </c>
      <c r="T139" s="298">
        <v>0</v>
      </c>
      <c r="U139" s="298">
        <v>0</v>
      </c>
      <c r="V139" s="299">
        <v>0</v>
      </c>
      <c r="W139" s="441"/>
      <c r="X139" s="406" t="s">
        <v>498</v>
      </c>
      <c r="Y139" s="405"/>
      <c r="Z139" s="209"/>
      <c r="AA139" s="209"/>
      <c r="AB139" s="209"/>
      <c r="AC139" s="209"/>
      <c r="AD139" s="209"/>
      <c r="AE139" s="298">
        <v>0</v>
      </c>
      <c r="AF139" s="299">
        <v>0</v>
      </c>
      <c r="AG139" s="460">
        <v>0</v>
      </c>
      <c r="AH139" s="298">
        <v>0</v>
      </c>
      <c r="AI139" s="298">
        <v>0</v>
      </c>
      <c r="AJ139" s="298">
        <v>0</v>
      </c>
      <c r="AK139" s="299">
        <v>0</v>
      </c>
      <c r="AL139" s="441"/>
      <c r="AM139" s="455">
        <v>0</v>
      </c>
      <c r="AN139" s="405"/>
      <c r="AO139" s="209"/>
      <c r="AP139" s="209"/>
      <c r="AQ139" s="209"/>
      <c r="AR139" s="209"/>
      <c r="AS139" s="209"/>
      <c r="AT139" s="298">
        <v>0</v>
      </c>
      <c r="AU139" s="299">
        <v>0</v>
      </c>
      <c r="AV139" s="460">
        <v>0</v>
      </c>
      <c r="AW139" s="298">
        <v>0</v>
      </c>
      <c r="AX139" s="298">
        <v>0</v>
      </c>
      <c r="AY139" s="298">
        <v>0</v>
      </c>
      <c r="AZ139" s="299">
        <v>0</v>
      </c>
      <c r="BA139" s="441"/>
      <c r="BB139" s="1462"/>
      <c r="BC139" s="1461"/>
      <c r="BD139" s="211">
        <v>0</v>
      </c>
      <c r="BE139" s="211"/>
      <c r="BF139" s="456">
        <v>0</v>
      </c>
      <c r="BG139" s="456">
        <v>0</v>
      </c>
      <c r="BH139" s="456">
        <v>0</v>
      </c>
      <c r="BI139" s="457"/>
    </row>
    <row r="140" spans="2:61" s="374" customFormat="1" ht="15" customHeight="1">
      <c r="B140" s="435"/>
      <c r="C140" s="823"/>
      <c r="D140" s="926" t="s">
        <v>85</v>
      </c>
      <c r="E140" s="823"/>
      <c r="F140" s="823"/>
      <c r="G140" s="447"/>
      <c r="H140" s="209"/>
      <c r="I140" s="406" t="s">
        <v>498</v>
      </c>
      <c r="J140" s="405"/>
      <c r="K140" s="209"/>
      <c r="L140" s="209"/>
      <c r="M140" s="209"/>
      <c r="N140" s="209"/>
      <c r="O140" s="209"/>
      <c r="P140" s="298">
        <v>0</v>
      </c>
      <c r="Q140" s="299">
        <v>0</v>
      </c>
      <c r="R140" s="460">
        <v>0</v>
      </c>
      <c r="S140" s="298">
        <v>0</v>
      </c>
      <c r="T140" s="298">
        <v>0</v>
      </c>
      <c r="U140" s="298">
        <v>0</v>
      </c>
      <c r="V140" s="299">
        <v>0</v>
      </c>
      <c r="W140" s="441"/>
      <c r="X140" s="406" t="s">
        <v>498</v>
      </c>
      <c r="Y140" s="405"/>
      <c r="Z140" s="209"/>
      <c r="AA140" s="209"/>
      <c r="AB140" s="209"/>
      <c r="AC140" s="209"/>
      <c r="AD140" s="209"/>
      <c r="AE140" s="298">
        <v>0</v>
      </c>
      <c r="AF140" s="299">
        <v>0</v>
      </c>
      <c r="AG140" s="460">
        <v>0</v>
      </c>
      <c r="AH140" s="298">
        <v>0</v>
      </c>
      <c r="AI140" s="298">
        <v>0</v>
      </c>
      <c r="AJ140" s="298">
        <v>0</v>
      </c>
      <c r="AK140" s="299">
        <v>0</v>
      </c>
      <c r="AL140" s="441"/>
      <c r="AM140" s="455">
        <v>0</v>
      </c>
      <c r="AN140" s="405"/>
      <c r="AO140" s="209"/>
      <c r="AP140" s="209"/>
      <c r="AQ140" s="209"/>
      <c r="AR140" s="209"/>
      <c r="AS140" s="209"/>
      <c r="AT140" s="298">
        <v>0</v>
      </c>
      <c r="AU140" s="299">
        <v>0</v>
      </c>
      <c r="AV140" s="460">
        <v>0</v>
      </c>
      <c r="AW140" s="298">
        <v>0</v>
      </c>
      <c r="AX140" s="298">
        <v>0</v>
      </c>
      <c r="AY140" s="298">
        <v>0</v>
      </c>
      <c r="AZ140" s="299">
        <v>0</v>
      </c>
      <c r="BA140" s="441"/>
      <c r="BB140" s="1462"/>
      <c r="BC140" s="1461"/>
      <c r="BD140" s="211">
        <v>0</v>
      </c>
      <c r="BE140" s="211"/>
      <c r="BF140" s="456">
        <v>0</v>
      </c>
      <c r="BG140" s="456">
        <v>0</v>
      </c>
      <c r="BH140" s="456">
        <v>0</v>
      </c>
      <c r="BI140" s="457"/>
    </row>
    <row r="141" spans="2:61" s="374" customFormat="1" ht="15" customHeight="1">
      <c r="B141" s="435"/>
      <c r="C141" s="823"/>
      <c r="D141" s="926" t="s">
        <v>85</v>
      </c>
      <c r="E141" s="823"/>
      <c r="F141" s="823"/>
      <c r="G141" s="447"/>
      <c r="H141" s="209"/>
      <c r="I141" s="406" t="s">
        <v>498</v>
      </c>
      <c r="J141" s="405"/>
      <c r="K141" s="209"/>
      <c r="L141" s="209"/>
      <c r="M141" s="209"/>
      <c r="N141" s="209"/>
      <c r="O141" s="209"/>
      <c r="P141" s="298">
        <v>0</v>
      </c>
      <c r="Q141" s="299">
        <v>0</v>
      </c>
      <c r="R141" s="460">
        <v>0</v>
      </c>
      <c r="S141" s="298">
        <v>0</v>
      </c>
      <c r="T141" s="298">
        <v>0</v>
      </c>
      <c r="U141" s="298">
        <v>0</v>
      </c>
      <c r="V141" s="299">
        <v>0</v>
      </c>
      <c r="W141" s="441"/>
      <c r="X141" s="406" t="s">
        <v>498</v>
      </c>
      <c r="Y141" s="405"/>
      <c r="Z141" s="209"/>
      <c r="AA141" s="209"/>
      <c r="AB141" s="209"/>
      <c r="AC141" s="209"/>
      <c r="AD141" s="209"/>
      <c r="AE141" s="298">
        <v>0</v>
      </c>
      <c r="AF141" s="299">
        <v>0</v>
      </c>
      <c r="AG141" s="460">
        <v>0</v>
      </c>
      <c r="AH141" s="298">
        <v>0</v>
      </c>
      <c r="AI141" s="298">
        <v>0</v>
      </c>
      <c r="AJ141" s="298">
        <v>0</v>
      </c>
      <c r="AK141" s="299">
        <v>0</v>
      </c>
      <c r="AL141" s="441"/>
      <c r="AM141" s="455">
        <v>0</v>
      </c>
      <c r="AN141" s="405"/>
      <c r="AO141" s="209"/>
      <c r="AP141" s="209"/>
      <c r="AQ141" s="209"/>
      <c r="AR141" s="209"/>
      <c r="AS141" s="209"/>
      <c r="AT141" s="298">
        <v>0</v>
      </c>
      <c r="AU141" s="299">
        <v>0</v>
      </c>
      <c r="AV141" s="460">
        <v>0</v>
      </c>
      <c r="AW141" s="298">
        <v>0</v>
      </c>
      <c r="AX141" s="298">
        <v>0</v>
      </c>
      <c r="AY141" s="298">
        <v>0</v>
      </c>
      <c r="AZ141" s="299">
        <v>0</v>
      </c>
      <c r="BA141" s="441"/>
      <c r="BB141" s="1462"/>
      <c r="BC141" s="1461"/>
      <c r="BD141" s="211">
        <v>0</v>
      </c>
      <c r="BE141" s="211"/>
      <c r="BF141" s="456">
        <v>0</v>
      </c>
      <c r="BG141" s="456">
        <v>0</v>
      </c>
      <c r="BH141" s="456">
        <v>0</v>
      </c>
      <c r="BI141" s="457"/>
    </row>
    <row r="142" spans="2:61" s="374" customFormat="1" ht="15" customHeight="1">
      <c r="B142" s="435"/>
      <c r="C142" s="823"/>
      <c r="D142" s="926" t="s">
        <v>85</v>
      </c>
      <c r="E142" s="823"/>
      <c r="F142" s="823"/>
      <c r="G142" s="447"/>
      <c r="H142" s="209"/>
      <c r="I142" s="406" t="s">
        <v>498</v>
      </c>
      <c r="J142" s="405"/>
      <c r="K142" s="209"/>
      <c r="L142" s="209"/>
      <c r="M142" s="209"/>
      <c r="N142" s="209"/>
      <c r="O142" s="209"/>
      <c r="P142" s="298">
        <v>0</v>
      </c>
      <c r="Q142" s="299">
        <v>0</v>
      </c>
      <c r="R142" s="460">
        <v>0</v>
      </c>
      <c r="S142" s="298">
        <v>0</v>
      </c>
      <c r="T142" s="298">
        <v>0</v>
      </c>
      <c r="U142" s="298">
        <v>0</v>
      </c>
      <c r="V142" s="299">
        <v>0</v>
      </c>
      <c r="W142" s="441"/>
      <c r="X142" s="406" t="s">
        <v>498</v>
      </c>
      <c r="Y142" s="405"/>
      <c r="Z142" s="209"/>
      <c r="AA142" s="209"/>
      <c r="AB142" s="209"/>
      <c r="AC142" s="209"/>
      <c r="AD142" s="209"/>
      <c r="AE142" s="298">
        <v>0</v>
      </c>
      <c r="AF142" s="299">
        <v>0</v>
      </c>
      <c r="AG142" s="460">
        <v>0</v>
      </c>
      <c r="AH142" s="298">
        <v>0</v>
      </c>
      <c r="AI142" s="298">
        <v>0</v>
      </c>
      <c r="AJ142" s="298">
        <v>0</v>
      </c>
      <c r="AK142" s="299">
        <v>0</v>
      </c>
      <c r="AL142" s="441"/>
      <c r="AM142" s="455">
        <v>0</v>
      </c>
      <c r="AN142" s="405"/>
      <c r="AO142" s="209"/>
      <c r="AP142" s="209"/>
      <c r="AQ142" s="209"/>
      <c r="AR142" s="209"/>
      <c r="AS142" s="209"/>
      <c r="AT142" s="298">
        <v>0</v>
      </c>
      <c r="AU142" s="299">
        <v>0</v>
      </c>
      <c r="AV142" s="460">
        <v>0</v>
      </c>
      <c r="AW142" s="298">
        <v>0</v>
      </c>
      <c r="AX142" s="298">
        <v>0</v>
      </c>
      <c r="AY142" s="298">
        <v>0</v>
      </c>
      <c r="AZ142" s="299">
        <v>0</v>
      </c>
      <c r="BA142" s="441"/>
      <c r="BB142" s="1462"/>
      <c r="BC142" s="1461"/>
      <c r="BD142" s="211">
        <v>0</v>
      </c>
      <c r="BE142" s="211"/>
      <c r="BF142" s="456">
        <v>0</v>
      </c>
      <c r="BG142" s="456">
        <v>0</v>
      </c>
      <c r="BH142" s="456">
        <v>0</v>
      </c>
      <c r="BI142" s="457"/>
    </row>
    <row r="143" spans="2:61" s="374" customFormat="1" ht="15" customHeight="1">
      <c r="B143" s="435"/>
      <c r="C143" s="823"/>
      <c r="D143" s="926" t="s">
        <v>85</v>
      </c>
      <c r="E143" s="823"/>
      <c r="F143" s="823"/>
      <c r="G143" s="447"/>
      <c r="H143" s="209"/>
      <c r="I143" s="406" t="s">
        <v>498</v>
      </c>
      <c r="J143" s="405"/>
      <c r="K143" s="209"/>
      <c r="L143" s="209"/>
      <c r="M143" s="209"/>
      <c r="N143" s="209"/>
      <c r="O143" s="209"/>
      <c r="P143" s="298">
        <v>0</v>
      </c>
      <c r="Q143" s="299">
        <v>0</v>
      </c>
      <c r="R143" s="460">
        <v>0</v>
      </c>
      <c r="S143" s="298">
        <v>0</v>
      </c>
      <c r="T143" s="298">
        <v>0</v>
      </c>
      <c r="U143" s="298">
        <v>0</v>
      </c>
      <c r="V143" s="299">
        <v>0</v>
      </c>
      <c r="W143" s="441"/>
      <c r="X143" s="406" t="s">
        <v>498</v>
      </c>
      <c r="Y143" s="405"/>
      <c r="Z143" s="209"/>
      <c r="AA143" s="209"/>
      <c r="AB143" s="209"/>
      <c r="AC143" s="209"/>
      <c r="AD143" s="209"/>
      <c r="AE143" s="298">
        <v>0</v>
      </c>
      <c r="AF143" s="299">
        <v>0</v>
      </c>
      <c r="AG143" s="460">
        <v>0</v>
      </c>
      <c r="AH143" s="298">
        <v>0</v>
      </c>
      <c r="AI143" s="298">
        <v>0</v>
      </c>
      <c r="AJ143" s="298">
        <v>0</v>
      </c>
      <c r="AK143" s="299">
        <v>0</v>
      </c>
      <c r="AL143" s="441"/>
      <c r="AM143" s="455">
        <v>0</v>
      </c>
      <c r="AN143" s="405"/>
      <c r="AO143" s="209"/>
      <c r="AP143" s="209"/>
      <c r="AQ143" s="209"/>
      <c r="AR143" s="209"/>
      <c r="AS143" s="209"/>
      <c r="AT143" s="298">
        <v>0</v>
      </c>
      <c r="AU143" s="299">
        <v>0</v>
      </c>
      <c r="AV143" s="460">
        <v>0</v>
      </c>
      <c r="AW143" s="298">
        <v>0</v>
      </c>
      <c r="AX143" s="298">
        <v>0</v>
      </c>
      <c r="AY143" s="298">
        <v>0</v>
      </c>
      <c r="AZ143" s="299">
        <v>0</v>
      </c>
      <c r="BA143" s="441"/>
      <c r="BB143" s="1462"/>
      <c r="BC143" s="1461"/>
      <c r="BD143" s="211">
        <v>0</v>
      </c>
      <c r="BE143" s="211"/>
      <c r="BF143" s="456">
        <v>0</v>
      </c>
      <c r="BG143" s="456">
        <v>0</v>
      </c>
      <c r="BH143" s="456">
        <v>0</v>
      </c>
      <c r="BI143" s="457"/>
    </row>
    <row r="144" spans="2:61" s="374" customFormat="1" ht="15" customHeight="1">
      <c r="B144" s="435"/>
      <c r="C144" s="823"/>
      <c r="D144" s="926" t="s">
        <v>85</v>
      </c>
      <c r="E144" s="823"/>
      <c r="F144" s="823"/>
      <c r="G144" s="447"/>
      <c r="H144" s="209"/>
      <c r="I144" s="406" t="s">
        <v>498</v>
      </c>
      <c r="J144" s="405"/>
      <c r="K144" s="209"/>
      <c r="L144" s="209"/>
      <c r="M144" s="209"/>
      <c r="N144" s="209"/>
      <c r="O144" s="209"/>
      <c r="P144" s="298">
        <v>0</v>
      </c>
      <c r="Q144" s="299">
        <v>0</v>
      </c>
      <c r="R144" s="460">
        <v>0</v>
      </c>
      <c r="S144" s="298">
        <v>0</v>
      </c>
      <c r="T144" s="298">
        <v>0</v>
      </c>
      <c r="U144" s="298">
        <v>0</v>
      </c>
      <c r="V144" s="299">
        <v>0</v>
      </c>
      <c r="W144" s="441"/>
      <c r="X144" s="406" t="s">
        <v>498</v>
      </c>
      <c r="Y144" s="405"/>
      <c r="Z144" s="209"/>
      <c r="AA144" s="209"/>
      <c r="AB144" s="209"/>
      <c r="AC144" s="209"/>
      <c r="AD144" s="209"/>
      <c r="AE144" s="298">
        <v>0</v>
      </c>
      <c r="AF144" s="299">
        <v>0</v>
      </c>
      <c r="AG144" s="460">
        <v>0</v>
      </c>
      <c r="AH144" s="298">
        <v>0</v>
      </c>
      <c r="AI144" s="298">
        <v>0</v>
      </c>
      <c r="AJ144" s="298">
        <v>0</v>
      </c>
      <c r="AK144" s="299">
        <v>0</v>
      </c>
      <c r="AL144" s="441"/>
      <c r="AM144" s="455">
        <v>0</v>
      </c>
      <c r="AN144" s="405"/>
      <c r="AO144" s="209"/>
      <c r="AP144" s="209"/>
      <c r="AQ144" s="209"/>
      <c r="AR144" s="209"/>
      <c r="AS144" s="209"/>
      <c r="AT144" s="298">
        <v>0</v>
      </c>
      <c r="AU144" s="299">
        <v>0</v>
      </c>
      <c r="AV144" s="460">
        <v>0</v>
      </c>
      <c r="AW144" s="298">
        <v>0</v>
      </c>
      <c r="AX144" s="298">
        <v>0</v>
      </c>
      <c r="AY144" s="298">
        <v>0</v>
      </c>
      <c r="AZ144" s="299">
        <v>0</v>
      </c>
      <c r="BA144" s="441"/>
      <c r="BB144" s="1462"/>
      <c r="BC144" s="1461"/>
      <c r="BD144" s="211">
        <v>0</v>
      </c>
      <c r="BE144" s="211"/>
      <c r="BF144" s="456">
        <v>0</v>
      </c>
      <c r="BG144" s="456">
        <v>0</v>
      </c>
      <c r="BH144" s="456">
        <v>0</v>
      </c>
      <c r="BI144" s="457"/>
    </row>
    <row r="145" spans="2:61" s="374" customFormat="1" ht="15" customHeight="1">
      <c r="B145" s="435"/>
      <c r="C145" s="823"/>
      <c r="D145" s="926" t="s">
        <v>85</v>
      </c>
      <c r="E145" s="823"/>
      <c r="F145" s="823"/>
      <c r="G145" s="447"/>
      <c r="H145" s="209"/>
      <c r="I145" s="406" t="s">
        <v>498</v>
      </c>
      <c r="J145" s="405"/>
      <c r="K145" s="209"/>
      <c r="L145" s="209"/>
      <c r="M145" s="209"/>
      <c r="N145" s="209"/>
      <c r="O145" s="209"/>
      <c r="P145" s="298">
        <v>0</v>
      </c>
      <c r="Q145" s="299">
        <v>0</v>
      </c>
      <c r="R145" s="460">
        <v>0</v>
      </c>
      <c r="S145" s="298">
        <v>0</v>
      </c>
      <c r="T145" s="298">
        <v>0</v>
      </c>
      <c r="U145" s="298">
        <v>0</v>
      </c>
      <c r="V145" s="299">
        <v>0</v>
      </c>
      <c r="W145" s="441"/>
      <c r="X145" s="406" t="s">
        <v>498</v>
      </c>
      <c r="Y145" s="405"/>
      <c r="Z145" s="209"/>
      <c r="AA145" s="209"/>
      <c r="AB145" s="209"/>
      <c r="AC145" s="209"/>
      <c r="AD145" s="209"/>
      <c r="AE145" s="298">
        <v>0</v>
      </c>
      <c r="AF145" s="299">
        <v>0</v>
      </c>
      <c r="AG145" s="460">
        <v>0</v>
      </c>
      <c r="AH145" s="298">
        <v>0</v>
      </c>
      <c r="AI145" s="298">
        <v>0</v>
      </c>
      <c r="AJ145" s="298">
        <v>0</v>
      </c>
      <c r="AK145" s="299">
        <v>0</v>
      </c>
      <c r="AL145" s="441"/>
      <c r="AM145" s="455">
        <v>0</v>
      </c>
      <c r="AN145" s="405"/>
      <c r="AO145" s="209"/>
      <c r="AP145" s="209"/>
      <c r="AQ145" s="209"/>
      <c r="AR145" s="209"/>
      <c r="AS145" s="209"/>
      <c r="AT145" s="298">
        <v>0</v>
      </c>
      <c r="AU145" s="299">
        <v>0</v>
      </c>
      <c r="AV145" s="460">
        <v>0</v>
      </c>
      <c r="AW145" s="298">
        <v>0</v>
      </c>
      <c r="AX145" s="298">
        <v>0</v>
      </c>
      <c r="AY145" s="298">
        <v>0</v>
      </c>
      <c r="AZ145" s="299">
        <v>0</v>
      </c>
      <c r="BA145" s="441"/>
      <c r="BB145" s="1462"/>
      <c r="BC145" s="1461"/>
      <c r="BD145" s="211">
        <v>0</v>
      </c>
      <c r="BE145" s="211"/>
      <c r="BF145" s="456">
        <v>0</v>
      </c>
      <c r="BG145" s="456">
        <v>0</v>
      </c>
      <c r="BH145" s="456">
        <v>0</v>
      </c>
      <c r="BI145" s="457"/>
    </row>
    <row r="146" spans="2:61" s="374" customFormat="1" ht="15" customHeight="1">
      <c r="B146" s="435"/>
      <c r="C146" s="823"/>
      <c r="D146" s="926" t="s">
        <v>85</v>
      </c>
      <c r="E146" s="823"/>
      <c r="F146" s="823"/>
      <c r="G146" s="447"/>
      <c r="H146" s="209"/>
      <c r="I146" s="406" t="s">
        <v>498</v>
      </c>
      <c r="J146" s="405"/>
      <c r="K146" s="209"/>
      <c r="L146" s="209"/>
      <c r="M146" s="209"/>
      <c r="N146" s="209"/>
      <c r="O146" s="209"/>
      <c r="P146" s="298">
        <v>0</v>
      </c>
      <c r="Q146" s="299">
        <v>0</v>
      </c>
      <c r="R146" s="460">
        <v>0</v>
      </c>
      <c r="S146" s="298">
        <v>0</v>
      </c>
      <c r="T146" s="298">
        <v>0</v>
      </c>
      <c r="U146" s="298">
        <v>0</v>
      </c>
      <c r="V146" s="299">
        <v>0</v>
      </c>
      <c r="W146" s="441"/>
      <c r="X146" s="406" t="s">
        <v>498</v>
      </c>
      <c r="Y146" s="405"/>
      <c r="Z146" s="209"/>
      <c r="AA146" s="209"/>
      <c r="AB146" s="209"/>
      <c r="AC146" s="209"/>
      <c r="AD146" s="209"/>
      <c r="AE146" s="298">
        <v>0</v>
      </c>
      <c r="AF146" s="299">
        <v>0</v>
      </c>
      <c r="AG146" s="460">
        <v>0</v>
      </c>
      <c r="AH146" s="298">
        <v>0</v>
      </c>
      <c r="AI146" s="298">
        <v>0</v>
      </c>
      <c r="AJ146" s="298">
        <v>0</v>
      </c>
      <c r="AK146" s="299">
        <v>0</v>
      </c>
      <c r="AL146" s="441"/>
      <c r="AM146" s="455">
        <v>0</v>
      </c>
      <c r="AN146" s="405"/>
      <c r="AO146" s="209"/>
      <c r="AP146" s="209"/>
      <c r="AQ146" s="209"/>
      <c r="AR146" s="209"/>
      <c r="AS146" s="209"/>
      <c r="AT146" s="298">
        <v>0</v>
      </c>
      <c r="AU146" s="299">
        <v>0</v>
      </c>
      <c r="AV146" s="460">
        <v>0</v>
      </c>
      <c r="AW146" s="298">
        <v>0</v>
      </c>
      <c r="AX146" s="298">
        <v>0</v>
      </c>
      <c r="AY146" s="298">
        <v>0</v>
      </c>
      <c r="AZ146" s="299">
        <v>0</v>
      </c>
      <c r="BA146" s="441"/>
      <c r="BB146" s="1462"/>
      <c r="BC146" s="1461"/>
      <c r="BD146" s="211">
        <v>0</v>
      </c>
      <c r="BE146" s="211"/>
      <c r="BF146" s="456">
        <v>0</v>
      </c>
      <c r="BG146" s="456">
        <v>0</v>
      </c>
      <c r="BH146" s="456">
        <v>0</v>
      </c>
      <c r="BI146" s="457"/>
    </row>
    <row r="147" spans="2:61" s="374" customFormat="1" ht="15" customHeight="1">
      <c r="B147" s="435"/>
      <c r="C147" s="823"/>
      <c r="D147" s="926" t="s">
        <v>85</v>
      </c>
      <c r="E147" s="823"/>
      <c r="F147" s="823"/>
      <c r="G147" s="447"/>
      <c r="H147" s="209"/>
      <c r="I147" s="406" t="s">
        <v>498</v>
      </c>
      <c r="J147" s="405"/>
      <c r="K147" s="209"/>
      <c r="L147" s="209"/>
      <c r="M147" s="209"/>
      <c r="N147" s="209"/>
      <c r="O147" s="209"/>
      <c r="P147" s="298">
        <v>0</v>
      </c>
      <c r="Q147" s="299">
        <v>0</v>
      </c>
      <c r="R147" s="460">
        <v>0</v>
      </c>
      <c r="S147" s="298">
        <v>0</v>
      </c>
      <c r="T147" s="298">
        <v>0</v>
      </c>
      <c r="U147" s="298">
        <v>0</v>
      </c>
      <c r="V147" s="299">
        <v>0</v>
      </c>
      <c r="W147" s="441"/>
      <c r="X147" s="406" t="s">
        <v>498</v>
      </c>
      <c r="Y147" s="405"/>
      <c r="Z147" s="209"/>
      <c r="AA147" s="209"/>
      <c r="AB147" s="209"/>
      <c r="AC147" s="209"/>
      <c r="AD147" s="209"/>
      <c r="AE147" s="298">
        <v>0</v>
      </c>
      <c r="AF147" s="299">
        <v>0</v>
      </c>
      <c r="AG147" s="460">
        <v>0</v>
      </c>
      <c r="AH147" s="298">
        <v>0</v>
      </c>
      <c r="AI147" s="298">
        <v>0</v>
      </c>
      <c r="AJ147" s="298">
        <v>0</v>
      </c>
      <c r="AK147" s="299">
        <v>0</v>
      </c>
      <c r="AL147" s="441"/>
      <c r="AM147" s="455">
        <v>0</v>
      </c>
      <c r="AN147" s="405"/>
      <c r="AO147" s="209"/>
      <c r="AP147" s="209"/>
      <c r="AQ147" s="209"/>
      <c r="AR147" s="209"/>
      <c r="AS147" s="209"/>
      <c r="AT147" s="298">
        <v>0</v>
      </c>
      <c r="AU147" s="299">
        <v>0</v>
      </c>
      <c r="AV147" s="460">
        <v>0</v>
      </c>
      <c r="AW147" s="298">
        <v>0</v>
      </c>
      <c r="AX147" s="298">
        <v>0</v>
      </c>
      <c r="AY147" s="298">
        <v>0</v>
      </c>
      <c r="AZ147" s="299">
        <v>0</v>
      </c>
      <c r="BA147" s="441"/>
      <c r="BB147" s="1462"/>
      <c r="BC147" s="1461"/>
      <c r="BD147" s="211">
        <v>0</v>
      </c>
      <c r="BE147" s="211"/>
      <c r="BF147" s="456">
        <v>0</v>
      </c>
      <c r="BG147" s="456">
        <v>0</v>
      </c>
      <c r="BH147" s="456">
        <v>0</v>
      </c>
      <c r="BI147" s="457"/>
    </row>
    <row r="148" spans="2:61" s="374" customFormat="1" ht="15" customHeight="1">
      <c r="B148" s="435"/>
      <c r="C148" s="823"/>
      <c r="D148" s="926" t="s">
        <v>85</v>
      </c>
      <c r="E148" s="823"/>
      <c r="F148" s="823"/>
      <c r="G148" s="447"/>
      <c r="H148" s="209"/>
      <c r="I148" s="406" t="s">
        <v>498</v>
      </c>
      <c r="J148" s="405"/>
      <c r="K148" s="209"/>
      <c r="L148" s="209"/>
      <c r="M148" s="209"/>
      <c r="N148" s="209"/>
      <c r="O148" s="209"/>
      <c r="P148" s="298">
        <v>0</v>
      </c>
      <c r="Q148" s="299">
        <v>0</v>
      </c>
      <c r="R148" s="460">
        <v>0</v>
      </c>
      <c r="S148" s="298">
        <v>0</v>
      </c>
      <c r="T148" s="298">
        <v>0</v>
      </c>
      <c r="U148" s="298">
        <v>0</v>
      </c>
      <c r="V148" s="299">
        <v>0</v>
      </c>
      <c r="W148" s="441"/>
      <c r="X148" s="406" t="s">
        <v>498</v>
      </c>
      <c r="Y148" s="405"/>
      <c r="Z148" s="209"/>
      <c r="AA148" s="209"/>
      <c r="AB148" s="209"/>
      <c r="AC148" s="209"/>
      <c r="AD148" s="209"/>
      <c r="AE148" s="298">
        <v>0</v>
      </c>
      <c r="AF148" s="299">
        <v>0</v>
      </c>
      <c r="AG148" s="460">
        <v>0</v>
      </c>
      <c r="AH148" s="298">
        <v>0</v>
      </c>
      <c r="AI148" s="298">
        <v>0</v>
      </c>
      <c r="AJ148" s="298">
        <v>0</v>
      </c>
      <c r="AK148" s="299">
        <v>0</v>
      </c>
      <c r="AL148" s="441"/>
      <c r="AM148" s="455">
        <v>0</v>
      </c>
      <c r="AN148" s="405"/>
      <c r="AO148" s="209"/>
      <c r="AP148" s="209"/>
      <c r="AQ148" s="209"/>
      <c r="AR148" s="209"/>
      <c r="AS148" s="209"/>
      <c r="AT148" s="298">
        <v>0</v>
      </c>
      <c r="AU148" s="299">
        <v>0</v>
      </c>
      <c r="AV148" s="460">
        <v>0</v>
      </c>
      <c r="AW148" s="298">
        <v>0</v>
      </c>
      <c r="AX148" s="298">
        <v>0</v>
      </c>
      <c r="AY148" s="298">
        <v>0</v>
      </c>
      <c r="AZ148" s="299">
        <v>0</v>
      </c>
      <c r="BA148" s="441"/>
      <c r="BB148" s="1462"/>
      <c r="BC148" s="1461"/>
      <c r="BD148" s="211">
        <v>0</v>
      </c>
      <c r="BE148" s="211"/>
      <c r="BF148" s="456">
        <v>0</v>
      </c>
      <c r="BG148" s="456">
        <v>0</v>
      </c>
      <c r="BH148" s="456">
        <v>0</v>
      </c>
      <c r="BI148" s="457"/>
    </row>
    <row r="149" spans="2:61" s="374" customFormat="1" ht="15" customHeight="1">
      <c r="B149" s="435"/>
      <c r="C149" s="823"/>
      <c r="D149" s="926" t="s">
        <v>85</v>
      </c>
      <c r="E149" s="823"/>
      <c r="F149" s="823"/>
      <c r="G149" s="447"/>
      <c r="H149" s="209"/>
      <c r="I149" s="406" t="s">
        <v>498</v>
      </c>
      <c r="J149" s="405"/>
      <c r="K149" s="209"/>
      <c r="L149" s="209"/>
      <c r="M149" s="209"/>
      <c r="N149" s="209"/>
      <c r="O149" s="209"/>
      <c r="P149" s="298">
        <v>0</v>
      </c>
      <c r="Q149" s="299">
        <v>0</v>
      </c>
      <c r="R149" s="460">
        <v>0</v>
      </c>
      <c r="S149" s="298">
        <v>0</v>
      </c>
      <c r="T149" s="298">
        <v>0</v>
      </c>
      <c r="U149" s="298">
        <v>0</v>
      </c>
      <c r="V149" s="299">
        <v>0</v>
      </c>
      <c r="W149" s="441"/>
      <c r="X149" s="406" t="s">
        <v>498</v>
      </c>
      <c r="Y149" s="405"/>
      <c r="Z149" s="209"/>
      <c r="AA149" s="209"/>
      <c r="AB149" s="209"/>
      <c r="AC149" s="209"/>
      <c r="AD149" s="209"/>
      <c r="AE149" s="298">
        <v>0</v>
      </c>
      <c r="AF149" s="299">
        <v>0</v>
      </c>
      <c r="AG149" s="460">
        <v>0</v>
      </c>
      <c r="AH149" s="298">
        <v>0</v>
      </c>
      <c r="AI149" s="298">
        <v>0</v>
      </c>
      <c r="AJ149" s="298">
        <v>0</v>
      </c>
      <c r="AK149" s="299">
        <v>0</v>
      </c>
      <c r="AL149" s="441"/>
      <c r="AM149" s="455">
        <v>0</v>
      </c>
      <c r="AN149" s="405"/>
      <c r="AO149" s="209"/>
      <c r="AP149" s="209"/>
      <c r="AQ149" s="209"/>
      <c r="AR149" s="209"/>
      <c r="AS149" s="209"/>
      <c r="AT149" s="298">
        <v>0</v>
      </c>
      <c r="AU149" s="299">
        <v>0</v>
      </c>
      <c r="AV149" s="460">
        <v>0</v>
      </c>
      <c r="AW149" s="298">
        <v>0</v>
      </c>
      <c r="AX149" s="298">
        <v>0</v>
      </c>
      <c r="AY149" s="298">
        <v>0</v>
      </c>
      <c r="AZ149" s="299">
        <v>0</v>
      </c>
      <c r="BA149" s="441"/>
      <c r="BB149" s="1462"/>
      <c r="BC149" s="1461"/>
      <c r="BD149" s="211">
        <v>0</v>
      </c>
      <c r="BE149" s="211"/>
      <c r="BF149" s="456">
        <v>0</v>
      </c>
      <c r="BG149" s="456">
        <v>0</v>
      </c>
      <c r="BH149" s="456">
        <v>0</v>
      </c>
      <c r="BI149" s="457"/>
    </row>
    <row r="150" spans="2:61" s="374" customFormat="1" ht="15" customHeight="1">
      <c r="B150" s="435"/>
      <c r="C150" s="823"/>
      <c r="D150" s="926" t="s">
        <v>85</v>
      </c>
      <c r="E150" s="823"/>
      <c r="F150" s="823"/>
      <c r="G150" s="447"/>
      <c r="H150" s="209"/>
      <c r="I150" s="406" t="s">
        <v>498</v>
      </c>
      <c r="J150" s="933"/>
      <c r="K150" s="441"/>
      <c r="L150" s="441"/>
      <c r="M150" s="441"/>
      <c r="N150" s="441"/>
      <c r="O150" s="441"/>
      <c r="P150" s="298">
        <v>0</v>
      </c>
      <c r="Q150" s="299">
        <v>0</v>
      </c>
      <c r="R150" s="460">
        <v>0</v>
      </c>
      <c r="S150" s="298">
        <v>0</v>
      </c>
      <c r="T150" s="298">
        <v>0</v>
      </c>
      <c r="U150" s="298">
        <v>0</v>
      </c>
      <c r="V150" s="299">
        <v>0</v>
      </c>
      <c r="W150" s="441"/>
      <c r="X150" s="406" t="s">
        <v>498</v>
      </c>
      <c r="Y150" s="933"/>
      <c r="Z150" s="441"/>
      <c r="AA150" s="441"/>
      <c r="AB150" s="441"/>
      <c r="AC150" s="441"/>
      <c r="AD150" s="441"/>
      <c r="AE150" s="298">
        <v>0</v>
      </c>
      <c r="AF150" s="299">
        <v>0</v>
      </c>
      <c r="AG150" s="460">
        <v>0</v>
      </c>
      <c r="AH150" s="298">
        <v>0</v>
      </c>
      <c r="AI150" s="298">
        <v>0</v>
      </c>
      <c r="AJ150" s="298">
        <v>0</v>
      </c>
      <c r="AK150" s="299">
        <v>0</v>
      </c>
      <c r="AL150" s="441"/>
      <c r="AM150" s="455">
        <v>0</v>
      </c>
      <c r="AN150" s="933"/>
      <c r="AO150" s="441"/>
      <c r="AP150" s="441"/>
      <c r="AQ150" s="441"/>
      <c r="AR150" s="441"/>
      <c r="AS150" s="441"/>
      <c r="AT150" s="298">
        <v>0</v>
      </c>
      <c r="AU150" s="299">
        <v>0</v>
      </c>
      <c r="AV150" s="460">
        <v>0</v>
      </c>
      <c r="AW150" s="298">
        <v>0</v>
      </c>
      <c r="AX150" s="298">
        <v>0</v>
      </c>
      <c r="AY150" s="298">
        <v>0</v>
      </c>
      <c r="AZ150" s="299">
        <v>0</v>
      </c>
      <c r="BA150" s="441"/>
      <c r="BB150" s="1462"/>
      <c r="BC150" s="1461"/>
      <c r="BD150" s="211">
        <v>0</v>
      </c>
      <c r="BE150" s="211"/>
      <c r="BF150" s="456">
        <v>0</v>
      </c>
      <c r="BG150" s="456">
        <v>0</v>
      </c>
      <c r="BH150" s="456">
        <v>0</v>
      </c>
      <c r="BI150" s="457"/>
    </row>
    <row r="151" spans="2:61" s="374" customFormat="1" ht="15" customHeight="1">
      <c r="B151" s="435"/>
      <c r="C151" s="823"/>
      <c r="D151" s="926" t="s">
        <v>85</v>
      </c>
      <c r="E151" s="823"/>
      <c r="F151" s="823"/>
      <c r="G151" s="447"/>
      <c r="H151" s="209"/>
      <c r="I151" s="406" t="s">
        <v>498</v>
      </c>
      <c r="J151" s="405"/>
      <c r="K151" s="209"/>
      <c r="L151" s="209"/>
      <c r="M151" s="209"/>
      <c r="N151" s="209"/>
      <c r="O151" s="209"/>
      <c r="P151" s="298">
        <v>0</v>
      </c>
      <c r="Q151" s="299">
        <v>0</v>
      </c>
      <c r="R151" s="460">
        <v>0</v>
      </c>
      <c r="S151" s="298">
        <v>0</v>
      </c>
      <c r="T151" s="298">
        <v>0</v>
      </c>
      <c r="U151" s="298">
        <v>0</v>
      </c>
      <c r="V151" s="299">
        <v>0</v>
      </c>
      <c r="W151" s="441"/>
      <c r="X151" s="406" t="s">
        <v>498</v>
      </c>
      <c r="Y151" s="405"/>
      <c r="Z151" s="209"/>
      <c r="AA151" s="209"/>
      <c r="AB151" s="209"/>
      <c r="AC151" s="209"/>
      <c r="AD151" s="209"/>
      <c r="AE151" s="298">
        <v>0</v>
      </c>
      <c r="AF151" s="299">
        <v>0</v>
      </c>
      <c r="AG151" s="460">
        <v>0</v>
      </c>
      <c r="AH151" s="298">
        <v>0</v>
      </c>
      <c r="AI151" s="298">
        <v>0</v>
      </c>
      <c r="AJ151" s="298">
        <v>0</v>
      </c>
      <c r="AK151" s="299">
        <v>0</v>
      </c>
      <c r="AL151" s="441"/>
      <c r="AM151" s="455">
        <v>0</v>
      </c>
      <c r="AN151" s="405"/>
      <c r="AO151" s="209"/>
      <c r="AP151" s="209"/>
      <c r="AQ151" s="209"/>
      <c r="AR151" s="209"/>
      <c r="AS151" s="209"/>
      <c r="AT151" s="298">
        <v>0</v>
      </c>
      <c r="AU151" s="299">
        <v>0</v>
      </c>
      <c r="AV151" s="460">
        <v>0</v>
      </c>
      <c r="AW151" s="298">
        <v>0</v>
      </c>
      <c r="AX151" s="298">
        <v>0</v>
      </c>
      <c r="AY151" s="298">
        <v>0</v>
      </c>
      <c r="AZ151" s="299">
        <v>0</v>
      </c>
      <c r="BA151" s="441"/>
      <c r="BB151" s="1462"/>
      <c r="BC151" s="1461"/>
      <c r="BD151" s="211">
        <v>0</v>
      </c>
      <c r="BE151" s="211"/>
      <c r="BF151" s="456">
        <v>0</v>
      </c>
      <c r="BG151" s="456">
        <v>0</v>
      </c>
      <c r="BH151" s="456">
        <v>0</v>
      </c>
      <c r="BI151" s="457"/>
    </row>
    <row r="152" spans="2:61" s="374" customFormat="1" ht="15" customHeight="1">
      <c r="B152" s="435"/>
      <c r="C152" s="823"/>
      <c r="D152" s="926" t="s">
        <v>2442</v>
      </c>
      <c r="E152" s="823"/>
      <c r="F152" s="823"/>
      <c r="G152" s="927"/>
      <c r="H152" s="209"/>
      <c r="I152" s="406" t="s">
        <v>498</v>
      </c>
      <c r="J152" s="929"/>
      <c r="K152" s="930"/>
      <c r="L152" s="930"/>
      <c r="M152" s="930"/>
      <c r="N152" s="930"/>
      <c r="O152" s="930"/>
      <c r="P152" s="298">
        <v>3.4228414129234266</v>
      </c>
      <c r="Q152" s="299">
        <v>3.7560068410035097</v>
      </c>
      <c r="R152" s="297">
        <v>1.29294232063182</v>
      </c>
      <c r="S152" s="298">
        <v>1.8115771557392313</v>
      </c>
      <c r="T152" s="298">
        <v>2.6465508017335706</v>
      </c>
      <c r="U152" s="298">
        <v>1.8115771557392313</v>
      </c>
      <c r="V152" s="299">
        <v>1.8098668207487141</v>
      </c>
      <c r="W152" s="441"/>
      <c r="X152" s="406" t="s">
        <v>498</v>
      </c>
      <c r="Y152" s="929"/>
      <c r="Z152" s="930"/>
      <c r="AA152" s="930"/>
      <c r="AB152" s="930"/>
      <c r="AC152" s="930"/>
      <c r="AD152" s="930"/>
      <c r="AE152" s="298">
        <v>0</v>
      </c>
      <c r="AF152" s="299">
        <v>0</v>
      </c>
      <c r="AG152" s="297">
        <v>0</v>
      </c>
      <c r="AH152" s="298">
        <v>0</v>
      </c>
      <c r="AI152" s="298">
        <v>0</v>
      </c>
      <c r="AJ152" s="298">
        <v>0</v>
      </c>
      <c r="AK152" s="299">
        <v>0</v>
      </c>
      <c r="AL152" s="441"/>
      <c r="AM152" s="455">
        <v>0</v>
      </c>
      <c r="AN152" s="929"/>
      <c r="AO152" s="930"/>
      <c r="AP152" s="930"/>
      <c r="AQ152" s="930"/>
      <c r="AR152" s="930"/>
      <c r="AS152" s="930"/>
      <c r="AT152" s="298">
        <v>0</v>
      </c>
      <c r="AU152" s="299">
        <v>0</v>
      </c>
      <c r="AV152" s="297">
        <v>0</v>
      </c>
      <c r="AW152" s="298">
        <v>0</v>
      </c>
      <c r="AX152" s="298">
        <v>0</v>
      </c>
      <c r="AY152" s="298">
        <v>0</v>
      </c>
      <c r="AZ152" s="299">
        <v>0</v>
      </c>
      <c r="BA152" s="441"/>
      <c r="BB152" s="209"/>
      <c r="BC152" s="209"/>
      <c r="BD152" s="209"/>
      <c r="BE152" s="209"/>
      <c r="BF152" s="209"/>
      <c r="BG152" s="209"/>
      <c r="BH152" s="209"/>
      <c r="BI152" s="210"/>
    </row>
    <row r="153" spans="2:61" s="374" customFormat="1" ht="15" customHeight="1">
      <c r="B153" s="435"/>
      <c r="C153" s="823"/>
      <c r="D153" s="926" t="s">
        <v>2443</v>
      </c>
      <c r="E153" s="823"/>
      <c r="F153" s="823"/>
      <c r="G153" s="926"/>
      <c r="H153" s="209"/>
      <c r="I153" s="406" t="s">
        <v>498</v>
      </c>
      <c r="J153" s="297">
        <v>4.0400893632073318</v>
      </c>
      <c r="K153" s="298">
        <v>4.8953414805194795</v>
      </c>
      <c r="L153" s="298">
        <v>5.5438759453909308</v>
      </c>
      <c r="M153" s="298">
        <v>8.6314457573299439</v>
      </c>
      <c r="N153" s="298">
        <v>4.8479229848261802</v>
      </c>
      <c r="O153" s="298">
        <v>7.3980908708752944</v>
      </c>
      <c r="P153" s="209"/>
      <c r="Q153" s="210"/>
      <c r="R153" s="405"/>
      <c r="S153" s="209"/>
      <c r="T153" s="209"/>
      <c r="U153" s="209"/>
      <c r="V153" s="210"/>
      <c r="W153" s="441"/>
      <c r="X153" s="406" t="s">
        <v>498</v>
      </c>
      <c r="Y153" s="297">
        <v>0</v>
      </c>
      <c r="Z153" s="298">
        <v>0</v>
      </c>
      <c r="AA153" s="298">
        <v>0</v>
      </c>
      <c r="AB153" s="298">
        <v>-0.1055292685401823</v>
      </c>
      <c r="AC153" s="298">
        <v>-5.4619450870836778E-2</v>
      </c>
      <c r="AD153" s="298">
        <v>0</v>
      </c>
      <c r="AE153" s="209"/>
      <c r="AF153" s="210"/>
      <c r="AG153" s="405"/>
      <c r="AH153" s="209"/>
      <c r="AI153" s="209"/>
      <c r="AJ153" s="209"/>
      <c r="AK153" s="210"/>
      <c r="AL153" s="441"/>
      <c r="AM153" s="455">
        <v>0</v>
      </c>
      <c r="AN153" s="297">
        <v>0</v>
      </c>
      <c r="AO153" s="298">
        <v>0</v>
      </c>
      <c r="AP153" s="298">
        <v>0</v>
      </c>
      <c r="AQ153" s="298">
        <v>0</v>
      </c>
      <c r="AR153" s="298">
        <v>0</v>
      </c>
      <c r="AS153" s="298">
        <v>0</v>
      </c>
      <c r="AT153" s="209"/>
      <c r="AU153" s="210"/>
      <c r="AV153" s="405"/>
      <c r="AW153" s="209"/>
      <c r="AX153" s="209"/>
      <c r="AY153" s="209"/>
      <c r="AZ153" s="210"/>
      <c r="BA153" s="441"/>
      <c r="BB153" s="209"/>
      <c r="BC153" s="209"/>
      <c r="BD153" s="209"/>
      <c r="BE153" s="209"/>
      <c r="BF153" s="209"/>
      <c r="BG153" s="209"/>
      <c r="BH153" s="209"/>
      <c r="BI153" s="210"/>
    </row>
    <row r="154" spans="2:61" s="374" customFormat="1" ht="15" customHeight="1" thickBot="1">
      <c r="B154" s="925" t="s">
        <v>1701</v>
      </c>
      <c r="C154" s="922"/>
      <c r="D154" s="922"/>
      <c r="E154" s="922"/>
      <c r="F154" s="922"/>
      <c r="G154" s="448"/>
      <c r="H154" s="434"/>
      <c r="I154" s="449" t="s">
        <v>498</v>
      </c>
      <c r="J154" s="627">
        <f>J153</f>
        <v>4.0400893632073318</v>
      </c>
      <c r="K154" s="628">
        <f t="shared" ref="K154:O154" si="110">K153</f>
        <v>4.8953414805194795</v>
      </c>
      <c r="L154" s="628">
        <f t="shared" si="110"/>
        <v>5.5438759453909308</v>
      </c>
      <c r="M154" s="628">
        <f t="shared" si="110"/>
        <v>8.6314457573299439</v>
      </c>
      <c r="N154" s="628">
        <f t="shared" si="110"/>
        <v>4.8479229848261802</v>
      </c>
      <c r="O154" s="628">
        <f t="shared" si="110"/>
        <v>7.3980908708752944</v>
      </c>
      <c r="P154" s="750">
        <f>SUM(P122:P152)</f>
        <v>4.3275051485215572</v>
      </c>
      <c r="Q154" s="751">
        <f t="shared" ref="Q154:V154" si="111">SUM(Q122:Q152)</f>
        <v>3.7560068410035097</v>
      </c>
      <c r="R154" s="932">
        <f t="shared" si="111"/>
        <v>3.7112130888439712</v>
      </c>
      <c r="S154" s="750">
        <f t="shared" si="111"/>
        <v>5.5417205454354335</v>
      </c>
      <c r="T154" s="750">
        <f t="shared" si="111"/>
        <v>9.4420735844629089</v>
      </c>
      <c r="U154" s="750">
        <f t="shared" si="111"/>
        <v>5.3370678164842831</v>
      </c>
      <c r="V154" s="751">
        <f t="shared" si="111"/>
        <v>5.6014057712929928</v>
      </c>
      <c r="W154" s="450"/>
      <c r="X154" s="449" t="s">
        <v>498</v>
      </c>
      <c r="Y154" s="627">
        <f>Y153</f>
        <v>0</v>
      </c>
      <c r="Z154" s="628">
        <f t="shared" ref="Z154" si="112">Z153</f>
        <v>0</v>
      </c>
      <c r="AA154" s="628">
        <f t="shared" ref="AA154" si="113">AA153</f>
        <v>0</v>
      </c>
      <c r="AB154" s="628">
        <f t="shared" ref="AB154" si="114">AB153</f>
        <v>-0.1055292685401823</v>
      </c>
      <c r="AC154" s="628">
        <f t="shared" ref="AC154" si="115">AC153</f>
        <v>-5.4619450870836778E-2</v>
      </c>
      <c r="AD154" s="628">
        <f t="shared" ref="AD154" si="116">AD153</f>
        <v>0</v>
      </c>
      <c r="AE154" s="750">
        <f>SUM(AE122:AE152)</f>
        <v>0</v>
      </c>
      <c r="AF154" s="751">
        <f t="shared" ref="AF154:AK154" si="117">SUM(AF122:AF152)</f>
        <v>0</v>
      </c>
      <c r="AG154" s="932">
        <f t="shared" si="117"/>
        <v>0</v>
      </c>
      <c r="AH154" s="750">
        <f t="shared" si="117"/>
        <v>0</v>
      </c>
      <c r="AI154" s="750">
        <f t="shared" si="117"/>
        <v>0</v>
      </c>
      <c r="AJ154" s="750">
        <f t="shared" si="117"/>
        <v>0</v>
      </c>
      <c r="AK154" s="751">
        <f t="shared" si="117"/>
        <v>0</v>
      </c>
      <c r="AL154" s="450"/>
      <c r="AM154" s="1073">
        <v>0</v>
      </c>
      <c r="AN154" s="627">
        <f>AN153</f>
        <v>0</v>
      </c>
      <c r="AO154" s="628">
        <f t="shared" ref="AO154" si="118">AO153</f>
        <v>0</v>
      </c>
      <c r="AP154" s="628">
        <f t="shared" ref="AP154" si="119">AP153</f>
        <v>0</v>
      </c>
      <c r="AQ154" s="628">
        <f t="shared" ref="AQ154" si="120">AQ153</f>
        <v>0</v>
      </c>
      <c r="AR154" s="628">
        <f t="shared" ref="AR154" si="121">AR153</f>
        <v>0</v>
      </c>
      <c r="AS154" s="628">
        <f t="shared" ref="AS154" si="122">AS153</f>
        <v>0</v>
      </c>
      <c r="AT154" s="750">
        <f>SUM(AT122:AT152)</f>
        <v>5</v>
      </c>
      <c r="AU154" s="751">
        <f t="shared" ref="AU154:AZ154" si="123">SUM(AU122:AU152)</f>
        <v>0</v>
      </c>
      <c r="AV154" s="932">
        <f t="shared" si="123"/>
        <v>17</v>
      </c>
      <c r="AW154" s="750">
        <f t="shared" si="123"/>
        <v>20</v>
      </c>
      <c r="AX154" s="750">
        <f t="shared" si="123"/>
        <v>27</v>
      </c>
      <c r="AY154" s="750">
        <f t="shared" si="123"/>
        <v>19</v>
      </c>
      <c r="AZ154" s="751">
        <f t="shared" si="123"/>
        <v>19</v>
      </c>
      <c r="BA154" s="450"/>
      <c r="BB154" s="434"/>
      <c r="BC154" s="434"/>
      <c r="BD154" s="434"/>
      <c r="BE154" s="434"/>
      <c r="BF154" s="434"/>
      <c r="BG154" s="434"/>
      <c r="BH154" s="434"/>
      <c r="BI154" s="237"/>
    </row>
    <row r="155" spans="2:61" ht="15" customHeight="1" thickBot="1">
      <c r="I155" s="458"/>
      <c r="AC155" s="458"/>
    </row>
    <row r="156" spans="2:61" s="374" customFormat="1" ht="30" customHeight="1" thickBot="1">
      <c r="B156" s="436" t="s">
        <v>1809</v>
      </c>
      <c r="C156" s="920"/>
      <c r="D156" s="920"/>
      <c r="E156" s="920"/>
      <c r="F156" s="920"/>
      <c r="G156" s="437"/>
      <c r="H156" s="438"/>
      <c r="I156" s="105" t="s">
        <v>1864</v>
      </c>
      <c r="J156" s="106"/>
      <c r="K156" s="106"/>
      <c r="L156" s="106"/>
      <c r="M156" s="106"/>
      <c r="N156" s="106"/>
      <c r="O156" s="106"/>
      <c r="P156" s="106"/>
      <c r="Q156" s="106"/>
      <c r="R156" s="105"/>
      <c r="S156" s="105"/>
      <c r="T156" s="105"/>
      <c r="U156" s="105"/>
      <c r="V156" s="187"/>
      <c r="W156" s="439"/>
      <c r="X156" s="105" t="s">
        <v>2202</v>
      </c>
      <c r="Y156" s="106"/>
      <c r="Z156" s="106"/>
      <c r="AA156" s="106"/>
      <c r="AB156" s="106"/>
      <c r="AC156" s="106"/>
      <c r="AD156" s="106"/>
      <c r="AE156" s="106"/>
      <c r="AF156" s="106"/>
      <c r="AG156" s="105"/>
      <c r="AH156" s="105"/>
      <c r="AI156" s="105"/>
      <c r="AJ156" s="105"/>
      <c r="AK156" s="187"/>
      <c r="AL156" s="439"/>
      <c r="AM156" s="105" t="s">
        <v>2231</v>
      </c>
      <c r="AN156" s="106"/>
      <c r="AO156" s="106"/>
      <c r="AP156" s="106"/>
      <c r="AQ156" s="106"/>
      <c r="AR156" s="106"/>
      <c r="AS156" s="106"/>
      <c r="AT156" s="106"/>
      <c r="AU156" s="106"/>
      <c r="AV156" s="105"/>
      <c r="AW156" s="105"/>
      <c r="AX156" s="105"/>
      <c r="AY156" s="105"/>
      <c r="AZ156" s="187"/>
      <c r="BA156" s="439"/>
      <c r="BB156" s="789" t="s">
        <v>1925</v>
      </c>
      <c r="BC156" s="789"/>
      <c r="BD156" s="789"/>
      <c r="BE156" s="790"/>
      <c r="BF156" s="790"/>
      <c r="BG156" s="790"/>
      <c r="BH156" s="790"/>
      <c r="BI156" s="791"/>
    </row>
    <row r="157" spans="2:61" s="374" customFormat="1" ht="30" customHeight="1">
      <c r="B157" s="440"/>
      <c r="C157" s="388"/>
      <c r="D157" s="388"/>
      <c r="E157" s="388"/>
      <c r="F157" s="388"/>
      <c r="G157" s="388"/>
      <c r="H157" s="209"/>
      <c r="I157" s="225"/>
      <c r="J157" s="424" t="s">
        <v>1666</v>
      </c>
      <c r="K157" s="425"/>
      <c r="L157" s="425"/>
      <c r="M157" s="425"/>
      <c r="N157" s="425"/>
      <c r="O157" s="425"/>
      <c r="P157" s="425"/>
      <c r="Q157" s="426"/>
      <c r="R157" s="428" t="s">
        <v>2</v>
      </c>
      <c r="S157" s="428"/>
      <c r="T157" s="428"/>
      <c r="U157" s="428"/>
      <c r="V157" s="429"/>
      <c r="W157" s="441"/>
      <c r="X157" s="225"/>
      <c r="Y157" s="424" t="s">
        <v>1666</v>
      </c>
      <c r="Z157" s="425"/>
      <c r="AA157" s="425"/>
      <c r="AB157" s="425"/>
      <c r="AC157" s="425"/>
      <c r="AD157" s="425"/>
      <c r="AE157" s="425"/>
      <c r="AF157" s="426"/>
      <c r="AG157" s="428" t="s">
        <v>2</v>
      </c>
      <c r="AH157" s="428"/>
      <c r="AI157" s="428"/>
      <c r="AJ157" s="428"/>
      <c r="AK157" s="429"/>
      <c r="AL157" s="441"/>
      <c r="AM157" s="225"/>
      <c r="AN157" s="424" t="s">
        <v>1666</v>
      </c>
      <c r="AO157" s="425"/>
      <c r="AP157" s="425"/>
      <c r="AQ157" s="425"/>
      <c r="AR157" s="425"/>
      <c r="AS157" s="425"/>
      <c r="AT157" s="425"/>
      <c r="AU157" s="426"/>
      <c r="AV157" s="428" t="s">
        <v>2</v>
      </c>
      <c r="AW157" s="428"/>
      <c r="AX157" s="428"/>
      <c r="AY157" s="428"/>
      <c r="AZ157" s="429"/>
      <c r="BA157" s="441"/>
      <c r="BB157" s="202" t="s">
        <v>2431</v>
      </c>
      <c r="BC157" s="202" t="s">
        <v>2432</v>
      </c>
      <c r="BD157" s="202" t="s">
        <v>2477</v>
      </c>
      <c r="BE157" s="202" t="s">
        <v>2435</v>
      </c>
      <c r="BF157" s="202" t="s">
        <v>2453</v>
      </c>
      <c r="BG157" s="202" t="s">
        <v>2478</v>
      </c>
      <c r="BH157" s="202" t="s">
        <v>2455</v>
      </c>
      <c r="BI157" s="452" t="s">
        <v>2439</v>
      </c>
    </row>
    <row r="158" spans="2:61" s="374" customFormat="1" ht="15" customHeight="1">
      <c r="B158" s="443"/>
      <c r="C158" s="921"/>
      <c r="D158" s="921"/>
      <c r="E158" s="921"/>
      <c r="F158" s="921"/>
      <c r="G158" s="388"/>
      <c r="H158" s="209"/>
      <c r="I158" s="389" t="s">
        <v>1667</v>
      </c>
      <c r="J158" s="430" t="s">
        <v>453</v>
      </c>
      <c r="K158" s="431" t="s">
        <v>455</v>
      </c>
      <c r="L158" s="431" t="s">
        <v>457</v>
      </c>
      <c r="M158" s="431" t="s">
        <v>459</v>
      </c>
      <c r="N158" s="431" t="s">
        <v>461</v>
      </c>
      <c r="O158" s="431" t="s">
        <v>463</v>
      </c>
      <c r="P158" s="431" t="s">
        <v>465</v>
      </c>
      <c r="Q158" s="432" t="s">
        <v>467</v>
      </c>
      <c r="R158" s="459" t="s">
        <v>469</v>
      </c>
      <c r="S158" s="431" t="s">
        <v>471</v>
      </c>
      <c r="T158" s="431" t="s">
        <v>473</v>
      </c>
      <c r="U158" s="431" t="s">
        <v>475</v>
      </c>
      <c r="V158" s="432" t="s">
        <v>477</v>
      </c>
      <c r="W158" s="441"/>
      <c r="X158" s="389" t="s">
        <v>1667</v>
      </c>
      <c r="Y158" s="430" t="s">
        <v>453</v>
      </c>
      <c r="Z158" s="431" t="s">
        <v>455</v>
      </c>
      <c r="AA158" s="431" t="s">
        <v>457</v>
      </c>
      <c r="AB158" s="431" t="s">
        <v>459</v>
      </c>
      <c r="AC158" s="431" t="s">
        <v>461</v>
      </c>
      <c r="AD158" s="431" t="s">
        <v>463</v>
      </c>
      <c r="AE158" s="431" t="s">
        <v>465</v>
      </c>
      <c r="AF158" s="432" t="s">
        <v>467</v>
      </c>
      <c r="AG158" s="459" t="s">
        <v>469</v>
      </c>
      <c r="AH158" s="431" t="s">
        <v>471</v>
      </c>
      <c r="AI158" s="431" t="s">
        <v>473</v>
      </c>
      <c r="AJ158" s="431" t="s">
        <v>475</v>
      </c>
      <c r="AK158" s="432" t="s">
        <v>477</v>
      </c>
      <c r="AL158" s="441"/>
      <c r="AM158" s="389" t="s">
        <v>1667</v>
      </c>
      <c r="AN158" s="430" t="s">
        <v>2456</v>
      </c>
      <c r="AO158" s="431" t="s">
        <v>465</v>
      </c>
      <c r="AP158" s="431" t="s">
        <v>471</v>
      </c>
      <c r="AQ158" s="431" t="s">
        <v>471</v>
      </c>
      <c r="AR158" s="431" t="s">
        <v>471</v>
      </c>
      <c r="AS158" s="431" t="s">
        <v>471</v>
      </c>
      <c r="AT158" s="431" t="s">
        <v>471</v>
      </c>
      <c r="AU158" s="432" t="s">
        <v>467</v>
      </c>
      <c r="AV158" s="459" t="s">
        <v>469</v>
      </c>
      <c r="AW158" s="431" t="s">
        <v>471</v>
      </c>
      <c r="AX158" s="431" t="s">
        <v>473</v>
      </c>
      <c r="AY158" s="431" t="s">
        <v>475</v>
      </c>
      <c r="AZ158" s="432" t="s">
        <v>477</v>
      </c>
      <c r="BA158" s="441"/>
      <c r="BB158" s="206" t="s">
        <v>627</v>
      </c>
      <c r="BC158" s="205"/>
      <c r="BD158" s="205"/>
      <c r="BE158" s="205"/>
      <c r="BF158" s="206" t="s">
        <v>2462</v>
      </c>
      <c r="BG158" s="444" t="s">
        <v>2441</v>
      </c>
      <c r="BH158" s="444" t="s">
        <v>2265</v>
      </c>
      <c r="BI158" s="210"/>
    </row>
    <row r="159" spans="2:61" s="374" customFormat="1" ht="15" customHeight="1">
      <c r="B159" s="443"/>
      <c r="C159" s="924" t="s">
        <v>2457</v>
      </c>
      <c r="D159" s="921"/>
      <c r="E159" s="921"/>
      <c r="F159" s="921"/>
      <c r="G159" s="388"/>
      <c r="H159" s="209"/>
      <c r="I159" s="209"/>
      <c r="J159" s="405"/>
      <c r="K159" s="209"/>
      <c r="L159" s="209"/>
      <c r="M159" s="209"/>
      <c r="N159" s="209"/>
      <c r="O159" s="209"/>
      <c r="P159" s="209"/>
      <c r="Q159" s="210"/>
      <c r="R159" s="209"/>
      <c r="S159" s="209"/>
      <c r="T159" s="209"/>
      <c r="U159" s="209"/>
      <c r="V159" s="210"/>
      <c r="W159" s="441"/>
      <c r="X159" s="209"/>
      <c r="Y159" s="405"/>
      <c r="Z159" s="209"/>
      <c r="AA159" s="209"/>
      <c r="AB159" s="209"/>
      <c r="AC159" s="209"/>
      <c r="AD159" s="209"/>
      <c r="AE159" s="209"/>
      <c r="AF159" s="210"/>
      <c r="AG159" s="209"/>
      <c r="AH159" s="209"/>
      <c r="AI159" s="209"/>
      <c r="AJ159" s="209"/>
      <c r="AK159" s="210"/>
      <c r="AL159" s="441"/>
      <c r="AM159" s="209"/>
      <c r="AN159" s="405"/>
      <c r="AO159" s="209"/>
      <c r="AP159" s="209"/>
      <c r="AQ159" s="209"/>
      <c r="AR159" s="209"/>
      <c r="AS159" s="209"/>
      <c r="AT159" s="209"/>
      <c r="AU159" s="210"/>
      <c r="AV159" s="209"/>
      <c r="AW159" s="209"/>
      <c r="AX159" s="209"/>
      <c r="AY159" s="209"/>
      <c r="AZ159" s="210"/>
      <c r="BA159" s="441"/>
      <c r="BB159" s="209"/>
      <c r="BC159" s="209"/>
      <c r="BD159" s="209"/>
      <c r="BE159" s="209"/>
      <c r="BF159" s="209"/>
      <c r="BG159" s="209"/>
      <c r="BH159" s="209"/>
      <c r="BI159" s="210"/>
    </row>
    <row r="160" spans="2:61" s="374" customFormat="1" ht="15" customHeight="1">
      <c r="B160" s="435"/>
      <c r="C160" s="823"/>
      <c r="D160" s="926" t="s">
        <v>85</v>
      </c>
      <c r="E160" s="823"/>
      <c r="F160" s="823"/>
      <c r="G160" s="447" t="s">
        <v>2479</v>
      </c>
      <c r="H160" s="209"/>
      <c r="I160" s="406" t="s">
        <v>498</v>
      </c>
      <c r="J160" s="405"/>
      <c r="K160" s="209"/>
      <c r="L160" s="209"/>
      <c r="M160" s="209"/>
      <c r="N160" s="209"/>
      <c r="O160" s="209"/>
      <c r="P160" s="298">
        <v>0.11389871036729997</v>
      </c>
      <c r="Q160" s="299">
        <v>0</v>
      </c>
      <c r="R160" s="460">
        <v>0</v>
      </c>
      <c r="S160" s="298">
        <v>0</v>
      </c>
      <c r="T160" s="298">
        <v>0</v>
      </c>
      <c r="U160" s="298">
        <v>0</v>
      </c>
      <c r="V160" s="299">
        <v>0</v>
      </c>
      <c r="W160" s="441"/>
      <c r="X160" s="406" t="s">
        <v>498</v>
      </c>
      <c r="Y160" s="405"/>
      <c r="Z160" s="209"/>
      <c r="AA160" s="209"/>
      <c r="AB160" s="209"/>
      <c r="AC160" s="209"/>
      <c r="AD160" s="209"/>
      <c r="AE160" s="298">
        <v>0</v>
      </c>
      <c r="AF160" s="299">
        <v>0</v>
      </c>
      <c r="AG160" s="460">
        <v>0</v>
      </c>
      <c r="AH160" s="298">
        <v>0</v>
      </c>
      <c r="AI160" s="298">
        <v>0</v>
      </c>
      <c r="AJ160" s="298">
        <v>0</v>
      </c>
      <c r="AK160" s="299">
        <v>0</v>
      </c>
      <c r="AL160" s="441"/>
      <c r="AM160" s="455" t="s">
        <v>2464</v>
      </c>
      <c r="AN160" s="405"/>
      <c r="AO160" s="209"/>
      <c r="AP160" s="209"/>
      <c r="AQ160" s="209"/>
      <c r="AR160" s="209"/>
      <c r="AS160" s="209"/>
      <c r="AT160" s="298">
        <v>1</v>
      </c>
      <c r="AU160" s="299">
        <v>0</v>
      </c>
      <c r="AV160" s="460">
        <v>0</v>
      </c>
      <c r="AW160" s="298">
        <v>0</v>
      </c>
      <c r="AX160" s="298">
        <v>0</v>
      </c>
      <c r="AY160" s="298">
        <v>0</v>
      </c>
      <c r="AZ160" s="299">
        <v>0</v>
      </c>
      <c r="BA160" s="441"/>
      <c r="BB160" s="1462"/>
      <c r="BC160" s="1461"/>
      <c r="BD160" s="211">
        <v>0</v>
      </c>
      <c r="BE160" s="211"/>
      <c r="BF160" s="456">
        <v>0</v>
      </c>
      <c r="BG160" s="456">
        <v>0</v>
      </c>
      <c r="BH160" s="456">
        <v>0</v>
      </c>
      <c r="BI160" s="457"/>
    </row>
    <row r="161" spans="2:61" s="374" customFormat="1" ht="15" customHeight="1">
      <c r="B161" s="435"/>
      <c r="C161" s="823"/>
      <c r="D161" s="926" t="s">
        <v>85</v>
      </c>
      <c r="E161" s="823"/>
      <c r="F161" s="823"/>
      <c r="G161" s="447" t="s">
        <v>2480</v>
      </c>
      <c r="H161" s="209"/>
      <c r="I161" s="406" t="s">
        <v>498</v>
      </c>
      <c r="J161" s="405"/>
      <c r="K161" s="209"/>
      <c r="L161" s="209"/>
      <c r="M161" s="209"/>
      <c r="N161" s="209"/>
      <c r="O161" s="209"/>
      <c r="P161" s="298">
        <v>2.287894432450047</v>
      </c>
      <c r="Q161" s="299">
        <v>1.1960675569275365</v>
      </c>
      <c r="R161" s="460">
        <v>0</v>
      </c>
      <c r="S161" s="298">
        <v>0</v>
      </c>
      <c r="T161" s="298">
        <v>0</v>
      </c>
      <c r="U161" s="298">
        <v>0</v>
      </c>
      <c r="V161" s="299">
        <v>0</v>
      </c>
      <c r="W161" s="441"/>
      <c r="X161" s="406" t="s">
        <v>498</v>
      </c>
      <c r="Y161" s="405"/>
      <c r="Z161" s="209"/>
      <c r="AA161" s="209"/>
      <c r="AB161" s="209"/>
      <c r="AC161" s="209"/>
      <c r="AD161" s="209"/>
      <c r="AE161" s="298">
        <v>0</v>
      </c>
      <c r="AF161" s="299">
        <v>0</v>
      </c>
      <c r="AG161" s="460">
        <v>0</v>
      </c>
      <c r="AH161" s="298">
        <v>0</v>
      </c>
      <c r="AI161" s="298">
        <v>0</v>
      </c>
      <c r="AJ161" s="298">
        <v>0</v>
      </c>
      <c r="AK161" s="299">
        <v>0</v>
      </c>
      <c r="AL161" s="441"/>
      <c r="AM161" s="455" t="s">
        <v>2464</v>
      </c>
      <c r="AN161" s="405"/>
      <c r="AO161" s="209"/>
      <c r="AP161" s="209"/>
      <c r="AQ161" s="209"/>
      <c r="AR161" s="209"/>
      <c r="AS161" s="209"/>
      <c r="AT161" s="298">
        <v>1</v>
      </c>
      <c r="AU161" s="299">
        <v>0</v>
      </c>
      <c r="AV161" s="460">
        <v>0</v>
      </c>
      <c r="AW161" s="298">
        <v>0</v>
      </c>
      <c r="AX161" s="298">
        <v>0</v>
      </c>
      <c r="AY161" s="298">
        <v>0</v>
      </c>
      <c r="AZ161" s="299">
        <v>0</v>
      </c>
      <c r="BA161" s="441"/>
      <c r="BB161" s="1462"/>
      <c r="BC161" s="1461"/>
      <c r="BD161" s="211">
        <v>0</v>
      </c>
      <c r="BE161" s="211"/>
      <c r="BF161" s="456">
        <v>0</v>
      </c>
      <c r="BG161" s="456">
        <v>0</v>
      </c>
      <c r="BH161" s="456">
        <v>0</v>
      </c>
      <c r="BI161" s="457"/>
    </row>
    <row r="162" spans="2:61" s="374" customFormat="1" ht="15" customHeight="1">
      <c r="B162" s="435"/>
      <c r="C162" s="823"/>
      <c r="D162" s="926" t="s">
        <v>85</v>
      </c>
      <c r="E162" s="823"/>
      <c r="F162" s="823"/>
      <c r="G162" s="447" t="s">
        <v>2481</v>
      </c>
      <c r="H162" s="209"/>
      <c r="I162" s="406" t="s">
        <v>498</v>
      </c>
      <c r="J162" s="405"/>
      <c r="K162" s="209"/>
      <c r="L162" s="209"/>
      <c r="M162" s="209"/>
      <c r="N162" s="209"/>
      <c r="O162" s="209"/>
      <c r="P162" s="298">
        <v>2.0391333161913443</v>
      </c>
      <c r="Q162" s="299">
        <v>0.67451598782006428</v>
      </c>
      <c r="R162" s="460">
        <v>0</v>
      </c>
      <c r="S162" s="298">
        <v>0</v>
      </c>
      <c r="T162" s="298">
        <v>0</v>
      </c>
      <c r="U162" s="298">
        <v>0</v>
      </c>
      <c r="V162" s="299">
        <v>0</v>
      </c>
      <c r="W162" s="441"/>
      <c r="X162" s="406" t="s">
        <v>498</v>
      </c>
      <c r="Y162" s="405"/>
      <c r="Z162" s="209"/>
      <c r="AA162" s="209"/>
      <c r="AB162" s="209"/>
      <c r="AC162" s="209"/>
      <c r="AD162" s="209"/>
      <c r="AE162" s="298">
        <v>0</v>
      </c>
      <c r="AF162" s="299">
        <v>0</v>
      </c>
      <c r="AG162" s="460">
        <v>0</v>
      </c>
      <c r="AH162" s="298">
        <v>0</v>
      </c>
      <c r="AI162" s="298">
        <v>0</v>
      </c>
      <c r="AJ162" s="298">
        <v>0</v>
      </c>
      <c r="AK162" s="299">
        <v>0</v>
      </c>
      <c r="AL162" s="441"/>
      <c r="AM162" s="455" t="s">
        <v>2464</v>
      </c>
      <c r="AN162" s="405"/>
      <c r="AO162" s="209"/>
      <c r="AP162" s="209"/>
      <c r="AQ162" s="209"/>
      <c r="AR162" s="209"/>
      <c r="AS162" s="209"/>
      <c r="AT162" s="298">
        <v>1</v>
      </c>
      <c r="AU162" s="299">
        <v>0</v>
      </c>
      <c r="AV162" s="460">
        <v>0</v>
      </c>
      <c r="AW162" s="298">
        <v>0</v>
      </c>
      <c r="AX162" s="298">
        <v>0</v>
      </c>
      <c r="AY162" s="298">
        <v>0</v>
      </c>
      <c r="AZ162" s="299">
        <v>0</v>
      </c>
      <c r="BA162" s="441"/>
      <c r="BB162" s="1462"/>
      <c r="BC162" s="1461"/>
      <c r="BD162" s="211">
        <v>0</v>
      </c>
      <c r="BE162" s="211"/>
      <c r="BF162" s="456">
        <v>0</v>
      </c>
      <c r="BG162" s="456">
        <v>0</v>
      </c>
      <c r="BH162" s="456">
        <v>0</v>
      </c>
      <c r="BI162" s="457"/>
    </row>
    <row r="163" spans="2:61" s="374" customFormat="1" ht="15" customHeight="1">
      <c r="B163" s="435"/>
      <c r="C163" s="823"/>
      <c r="D163" s="926" t="s">
        <v>85</v>
      </c>
      <c r="E163" s="823"/>
      <c r="F163" s="823"/>
      <c r="G163" s="447" t="s">
        <v>2482</v>
      </c>
      <c r="H163" s="209"/>
      <c r="I163" s="406" t="s">
        <v>498</v>
      </c>
      <c r="J163" s="405"/>
      <c r="K163" s="209"/>
      <c r="L163" s="209"/>
      <c r="M163" s="209"/>
      <c r="N163" s="209"/>
      <c r="O163" s="209"/>
      <c r="P163" s="298">
        <v>0.54652046376790231</v>
      </c>
      <c r="Q163" s="299">
        <v>1.1275142537074154</v>
      </c>
      <c r="R163" s="460">
        <v>0</v>
      </c>
      <c r="S163" s="298">
        <v>0</v>
      </c>
      <c r="T163" s="298">
        <v>0</v>
      </c>
      <c r="U163" s="298">
        <v>0</v>
      </c>
      <c r="V163" s="299">
        <v>0</v>
      </c>
      <c r="W163" s="441"/>
      <c r="X163" s="406" t="s">
        <v>498</v>
      </c>
      <c r="Y163" s="405"/>
      <c r="Z163" s="209"/>
      <c r="AA163" s="209"/>
      <c r="AB163" s="209"/>
      <c r="AC163" s="209"/>
      <c r="AD163" s="209"/>
      <c r="AE163" s="298">
        <v>0</v>
      </c>
      <c r="AF163" s="299">
        <v>0</v>
      </c>
      <c r="AG163" s="460">
        <v>0</v>
      </c>
      <c r="AH163" s="298">
        <v>0</v>
      </c>
      <c r="AI163" s="298">
        <v>0</v>
      </c>
      <c r="AJ163" s="298">
        <v>0</v>
      </c>
      <c r="AK163" s="299">
        <v>0</v>
      </c>
      <c r="AL163" s="441"/>
      <c r="AM163" s="455" t="s">
        <v>2464</v>
      </c>
      <c r="AN163" s="405"/>
      <c r="AO163" s="209"/>
      <c r="AP163" s="209"/>
      <c r="AQ163" s="209"/>
      <c r="AR163" s="209"/>
      <c r="AS163" s="209"/>
      <c r="AT163" s="298">
        <v>1</v>
      </c>
      <c r="AU163" s="299">
        <v>0</v>
      </c>
      <c r="AV163" s="460">
        <v>0</v>
      </c>
      <c r="AW163" s="298">
        <v>0</v>
      </c>
      <c r="AX163" s="298">
        <v>0</v>
      </c>
      <c r="AY163" s="298">
        <v>0</v>
      </c>
      <c r="AZ163" s="299">
        <v>0</v>
      </c>
      <c r="BA163" s="441"/>
      <c r="BB163" s="1462"/>
      <c r="BC163" s="1461"/>
      <c r="BD163" s="211">
        <v>0</v>
      </c>
      <c r="BE163" s="211"/>
      <c r="BF163" s="456">
        <v>0</v>
      </c>
      <c r="BG163" s="456">
        <v>0</v>
      </c>
      <c r="BH163" s="456">
        <v>0</v>
      </c>
      <c r="BI163" s="457"/>
    </row>
    <row r="164" spans="2:61" s="374" customFormat="1" ht="15" customHeight="1">
      <c r="B164" s="435"/>
      <c r="C164" s="823"/>
      <c r="D164" s="926" t="s">
        <v>85</v>
      </c>
      <c r="E164" s="823"/>
      <c r="F164" s="823"/>
      <c r="G164" s="447" t="s">
        <v>2483</v>
      </c>
      <c r="H164" s="209"/>
      <c r="I164" s="406" t="s">
        <v>498</v>
      </c>
      <c r="J164" s="405"/>
      <c r="K164" s="209"/>
      <c r="L164" s="209"/>
      <c r="M164" s="209"/>
      <c r="N164" s="209"/>
      <c r="O164" s="209"/>
      <c r="P164" s="298">
        <v>0.53838186929136234</v>
      </c>
      <c r="Q164" s="299">
        <v>1.5961678675958177</v>
      </c>
      <c r="R164" s="460">
        <v>0</v>
      </c>
      <c r="S164" s="298">
        <v>0</v>
      </c>
      <c r="T164" s="298">
        <v>0</v>
      </c>
      <c r="U164" s="298">
        <v>0</v>
      </c>
      <c r="V164" s="299">
        <v>0</v>
      </c>
      <c r="W164" s="441"/>
      <c r="X164" s="406" t="s">
        <v>498</v>
      </c>
      <c r="Y164" s="405"/>
      <c r="Z164" s="209"/>
      <c r="AA164" s="209"/>
      <c r="AB164" s="209"/>
      <c r="AC164" s="209"/>
      <c r="AD164" s="209"/>
      <c r="AE164" s="298">
        <v>0</v>
      </c>
      <c r="AF164" s="299">
        <v>0</v>
      </c>
      <c r="AG164" s="460">
        <v>0</v>
      </c>
      <c r="AH164" s="298">
        <v>0</v>
      </c>
      <c r="AI164" s="298">
        <v>0</v>
      </c>
      <c r="AJ164" s="298">
        <v>0</v>
      </c>
      <c r="AK164" s="299">
        <v>0</v>
      </c>
      <c r="AL164" s="441"/>
      <c r="AM164" s="455" t="s">
        <v>2464</v>
      </c>
      <c r="AN164" s="405"/>
      <c r="AO164" s="209"/>
      <c r="AP164" s="209"/>
      <c r="AQ164" s="209"/>
      <c r="AR164" s="209"/>
      <c r="AS164" s="209"/>
      <c r="AT164" s="298">
        <v>1</v>
      </c>
      <c r="AU164" s="299">
        <v>0</v>
      </c>
      <c r="AV164" s="460">
        <v>0</v>
      </c>
      <c r="AW164" s="298">
        <v>0</v>
      </c>
      <c r="AX164" s="298">
        <v>0</v>
      </c>
      <c r="AY164" s="298">
        <v>0</v>
      </c>
      <c r="AZ164" s="299">
        <v>0</v>
      </c>
      <c r="BA164" s="441"/>
      <c r="BB164" s="1462"/>
      <c r="BC164" s="1461"/>
      <c r="BD164" s="211">
        <v>0</v>
      </c>
      <c r="BE164" s="211"/>
      <c r="BF164" s="456">
        <v>0</v>
      </c>
      <c r="BG164" s="456">
        <v>0</v>
      </c>
      <c r="BH164" s="456">
        <v>0</v>
      </c>
      <c r="BI164" s="457"/>
    </row>
    <row r="165" spans="2:61" s="374" customFormat="1" ht="15" customHeight="1">
      <c r="B165" s="435"/>
      <c r="C165" s="823"/>
      <c r="D165" s="926" t="s">
        <v>85</v>
      </c>
      <c r="E165" s="823"/>
      <c r="F165" s="823"/>
      <c r="G165" s="447" t="s">
        <v>2484</v>
      </c>
      <c r="H165" s="209"/>
      <c r="I165" s="406" t="s">
        <v>498</v>
      </c>
      <c r="J165" s="405"/>
      <c r="K165" s="209"/>
      <c r="L165" s="209"/>
      <c r="M165" s="209"/>
      <c r="N165" s="209"/>
      <c r="O165" s="209"/>
      <c r="P165" s="298">
        <v>1.8436713335891336E-2</v>
      </c>
      <c r="Q165" s="299">
        <v>0</v>
      </c>
      <c r="R165" s="460">
        <v>0</v>
      </c>
      <c r="S165" s="298">
        <v>0</v>
      </c>
      <c r="T165" s="298">
        <v>0</v>
      </c>
      <c r="U165" s="298">
        <v>0</v>
      </c>
      <c r="V165" s="299">
        <v>0</v>
      </c>
      <c r="W165" s="441"/>
      <c r="X165" s="406" t="s">
        <v>498</v>
      </c>
      <c r="Y165" s="405"/>
      <c r="Z165" s="209"/>
      <c r="AA165" s="209"/>
      <c r="AB165" s="209"/>
      <c r="AC165" s="209"/>
      <c r="AD165" s="209"/>
      <c r="AE165" s="298">
        <v>0</v>
      </c>
      <c r="AF165" s="299">
        <v>0</v>
      </c>
      <c r="AG165" s="460">
        <v>0</v>
      </c>
      <c r="AH165" s="298">
        <v>0</v>
      </c>
      <c r="AI165" s="298">
        <v>0</v>
      </c>
      <c r="AJ165" s="298">
        <v>0</v>
      </c>
      <c r="AK165" s="299">
        <v>0</v>
      </c>
      <c r="AL165" s="441"/>
      <c r="AM165" s="455" t="s">
        <v>2464</v>
      </c>
      <c r="AN165" s="405"/>
      <c r="AO165" s="209"/>
      <c r="AP165" s="209"/>
      <c r="AQ165" s="209"/>
      <c r="AR165" s="209"/>
      <c r="AS165" s="209"/>
      <c r="AT165" s="298">
        <v>1</v>
      </c>
      <c r="AU165" s="299">
        <v>0</v>
      </c>
      <c r="AV165" s="460">
        <v>0</v>
      </c>
      <c r="AW165" s="298">
        <v>0</v>
      </c>
      <c r="AX165" s="298">
        <v>0</v>
      </c>
      <c r="AY165" s="298">
        <v>0</v>
      </c>
      <c r="AZ165" s="299">
        <v>0</v>
      </c>
      <c r="BA165" s="441"/>
      <c r="BB165" s="1462"/>
      <c r="BC165" s="1461"/>
      <c r="BD165" s="211">
        <v>0</v>
      </c>
      <c r="BE165" s="211"/>
      <c r="BF165" s="456">
        <v>0</v>
      </c>
      <c r="BG165" s="456">
        <v>0</v>
      </c>
      <c r="BH165" s="456">
        <v>0</v>
      </c>
      <c r="BI165" s="457"/>
    </row>
    <row r="166" spans="2:61" s="374" customFormat="1" ht="15" customHeight="1">
      <c r="B166" s="435"/>
      <c r="C166" s="823"/>
      <c r="D166" s="926" t="s">
        <v>85</v>
      </c>
      <c r="E166" s="823"/>
      <c r="F166" s="823"/>
      <c r="G166" s="447" t="s">
        <v>2485</v>
      </c>
      <c r="H166" s="209"/>
      <c r="I166" s="406" t="s">
        <v>498</v>
      </c>
      <c r="J166" s="405"/>
      <c r="K166" s="209"/>
      <c r="L166" s="209"/>
      <c r="M166" s="209"/>
      <c r="N166" s="209"/>
      <c r="O166" s="209"/>
      <c r="P166" s="298">
        <v>0</v>
      </c>
      <c r="Q166" s="299">
        <v>0</v>
      </c>
      <c r="R166" s="460">
        <v>0</v>
      </c>
      <c r="S166" s="298">
        <v>1.2240293657406391</v>
      </c>
      <c r="T166" s="298">
        <v>0</v>
      </c>
      <c r="U166" s="298">
        <v>0</v>
      </c>
      <c r="V166" s="299">
        <v>0</v>
      </c>
      <c r="W166" s="441"/>
      <c r="X166" s="406" t="s">
        <v>498</v>
      </c>
      <c r="Y166" s="405"/>
      <c r="Z166" s="209"/>
      <c r="AA166" s="209"/>
      <c r="AB166" s="209"/>
      <c r="AC166" s="209"/>
      <c r="AD166" s="209"/>
      <c r="AE166" s="298">
        <v>0</v>
      </c>
      <c r="AF166" s="299">
        <v>0</v>
      </c>
      <c r="AG166" s="460">
        <v>0</v>
      </c>
      <c r="AH166" s="298">
        <v>0</v>
      </c>
      <c r="AI166" s="298">
        <v>0</v>
      </c>
      <c r="AJ166" s="298">
        <v>0</v>
      </c>
      <c r="AK166" s="299">
        <v>0</v>
      </c>
      <c r="AL166" s="441"/>
      <c r="AM166" s="455" t="s">
        <v>2470</v>
      </c>
      <c r="AN166" s="405"/>
      <c r="AO166" s="209"/>
      <c r="AP166" s="209"/>
      <c r="AQ166" s="209"/>
      <c r="AR166" s="209"/>
      <c r="AS166" s="209"/>
      <c r="AT166" s="298">
        <v>0</v>
      </c>
      <c r="AU166" s="299">
        <v>0</v>
      </c>
      <c r="AV166" s="460"/>
      <c r="AW166" s="298">
        <v>1</v>
      </c>
      <c r="AX166" s="298"/>
      <c r="AY166" s="298"/>
      <c r="AZ166" s="299"/>
      <c r="BA166" s="441"/>
      <c r="BB166" s="1462"/>
      <c r="BC166" s="1461"/>
      <c r="BD166" s="211">
        <v>0</v>
      </c>
      <c r="BE166" s="211"/>
      <c r="BF166" s="456">
        <v>0</v>
      </c>
      <c r="BG166" s="456">
        <v>0</v>
      </c>
      <c r="BH166" s="456">
        <v>0</v>
      </c>
      <c r="BI166" s="457"/>
    </row>
    <row r="167" spans="2:61" s="374" customFormat="1" ht="15" customHeight="1">
      <c r="B167" s="435"/>
      <c r="C167" s="823"/>
      <c r="D167" s="926" t="s">
        <v>85</v>
      </c>
      <c r="E167" s="823"/>
      <c r="F167" s="823"/>
      <c r="G167" s="447" t="s">
        <v>2486</v>
      </c>
      <c r="H167" s="209"/>
      <c r="I167" s="406" t="s">
        <v>498</v>
      </c>
      <c r="J167" s="405"/>
      <c r="K167" s="209"/>
      <c r="L167" s="209"/>
      <c r="M167" s="209"/>
      <c r="N167" s="209"/>
      <c r="O167" s="209"/>
      <c r="P167" s="298">
        <v>0</v>
      </c>
      <c r="Q167" s="299">
        <v>0</v>
      </c>
      <c r="R167" s="460">
        <v>0</v>
      </c>
      <c r="S167" s="298">
        <v>0.13933647922957274</v>
      </c>
      <c r="T167" s="298">
        <v>0.13933647922957274</v>
      </c>
      <c r="U167" s="298">
        <v>0.97155024963233672</v>
      </c>
      <c r="V167" s="299">
        <v>1.1973997381190706</v>
      </c>
      <c r="W167" s="441"/>
      <c r="X167" s="406" t="s">
        <v>498</v>
      </c>
      <c r="Y167" s="405"/>
      <c r="Z167" s="209"/>
      <c r="AA167" s="209"/>
      <c r="AB167" s="209"/>
      <c r="AC167" s="209"/>
      <c r="AD167" s="209"/>
      <c r="AE167" s="298">
        <v>0</v>
      </c>
      <c r="AF167" s="299">
        <v>0</v>
      </c>
      <c r="AG167" s="460">
        <v>0</v>
      </c>
      <c r="AH167" s="298">
        <v>0</v>
      </c>
      <c r="AI167" s="298">
        <v>0</v>
      </c>
      <c r="AJ167" s="298">
        <v>0</v>
      </c>
      <c r="AK167" s="299">
        <v>0</v>
      </c>
      <c r="AL167" s="441"/>
      <c r="AM167" s="455" t="s">
        <v>2472</v>
      </c>
      <c r="AN167" s="405"/>
      <c r="AO167" s="209"/>
      <c r="AP167" s="209"/>
      <c r="AQ167" s="209"/>
      <c r="AR167" s="209"/>
      <c r="AS167" s="209"/>
      <c r="AT167" s="298">
        <v>0</v>
      </c>
      <c r="AU167" s="299">
        <v>0</v>
      </c>
      <c r="AV167" s="460">
        <v>0</v>
      </c>
      <c r="AW167" s="298">
        <v>2</v>
      </c>
      <c r="AX167" s="298">
        <v>2</v>
      </c>
      <c r="AY167" s="298">
        <v>5</v>
      </c>
      <c r="AZ167" s="299">
        <v>5</v>
      </c>
      <c r="BA167" s="441"/>
      <c r="BB167" s="1462"/>
      <c r="BC167" s="1461"/>
      <c r="BD167" s="211">
        <v>0</v>
      </c>
      <c r="BE167" s="211"/>
      <c r="BF167" s="456">
        <v>0</v>
      </c>
      <c r="BG167" s="456">
        <v>0</v>
      </c>
      <c r="BH167" s="456">
        <v>0</v>
      </c>
      <c r="BI167" s="457"/>
    </row>
    <row r="168" spans="2:61" s="374" customFormat="1" ht="15" customHeight="1">
      <c r="B168" s="435"/>
      <c r="C168" s="823"/>
      <c r="D168" s="926" t="s">
        <v>85</v>
      </c>
      <c r="E168" s="823"/>
      <c r="F168" s="823"/>
      <c r="G168" s="447" t="s">
        <v>2487</v>
      </c>
      <c r="H168" s="209"/>
      <c r="I168" s="406" t="s">
        <v>498</v>
      </c>
      <c r="J168" s="405"/>
      <c r="K168" s="209"/>
      <c r="L168" s="209"/>
      <c r="M168" s="209"/>
      <c r="N168" s="209"/>
      <c r="O168" s="209"/>
      <c r="P168" s="298">
        <v>0</v>
      </c>
      <c r="Q168" s="299">
        <v>0</v>
      </c>
      <c r="R168" s="460">
        <v>0.11030527970164218</v>
      </c>
      <c r="S168" s="298">
        <v>0.24647441087031713</v>
      </c>
      <c r="T168" s="298">
        <v>4.538971038955833E-2</v>
      </c>
      <c r="U168" s="298">
        <v>0.82750165506894491</v>
      </c>
      <c r="V168" s="299">
        <v>0</v>
      </c>
      <c r="W168" s="441"/>
      <c r="X168" s="406" t="s">
        <v>498</v>
      </c>
      <c r="Y168" s="405"/>
      <c r="Z168" s="209"/>
      <c r="AA168" s="209"/>
      <c r="AB168" s="209"/>
      <c r="AC168" s="209"/>
      <c r="AD168" s="209"/>
      <c r="AE168" s="298">
        <v>0</v>
      </c>
      <c r="AF168" s="299">
        <v>0</v>
      </c>
      <c r="AG168" s="460">
        <v>0</v>
      </c>
      <c r="AH168" s="298">
        <v>0</v>
      </c>
      <c r="AI168" s="298">
        <v>0</v>
      </c>
      <c r="AJ168" s="298">
        <v>0</v>
      </c>
      <c r="AK168" s="299">
        <v>0</v>
      </c>
      <c r="AL168" s="441"/>
      <c r="AM168" s="455" t="s">
        <v>2470</v>
      </c>
      <c r="AN168" s="405"/>
      <c r="AO168" s="209"/>
      <c r="AP168" s="209"/>
      <c r="AQ168" s="209"/>
      <c r="AR168" s="209"/>
      <c r="AS168" s="209"/>
      <c r="AT168" s="298">
        <v>0</v>
      </c>
      <c r="AU168" s="299">
        <v>0</v>
      </c>
      <c r="AV168" s="460">
        <v>1</v>
      </c>
      <c r="AW168" s="298">
        <v>3</v>
      </c>
      <c r="AX168" s="298">
        <v>1</v>
      </c>
      <c r="AY168" s="298">
        <v>3</v>
      </c>
      <c r="AZ168" s="299">
        <v>0</v>
      </c>
      <c r="BA168" s="441"/>
      <c r="BB168" s="1462"/>
      <c r="BC168" s="1461"/>
      <c r="BD168" s="211">
        <v>0</v>
      </c>
      <c r="BE168" s="211"/>
      <c r="BF168" s="456">
        <v>0</v>
      </c>
      <c r="BG168" s="456">
        <v>0</v>
      </c>
      <c r="BH168" s="456">
        <v>0</v>
      </c>
      <c r="BI168" s="457"/>
    </row>
    <row r="169" spans="2:61" s="374" customFormat="1" ht="15" customHeight="1">
      <c r="B169" s="435"/>
      <c r="C169" s="823"/>
      <c r="D169" s="926" t="s">
        <v>85</v>
      </c>
      <c r="E169" s="823"/>
      <c r="F169" s="823"/>
      <c r="G169" s="447" t="s">
        <v>2488</v>
      </c>
      <c r="H169" s="209"/>
      <c r="I169" s="406" t="s">
        <v>498</v>
      </c>
      <c r="J169" s="405"/>
      <c r="K169" s="209"/>
      <c r="L169" s="209"/>
      <c r="M169" s="209"/>
      <c r="N169" s="209"/>
      <c r="O169" s="209"/>
      <c r="P169" s="298">
        <v>0</v>
      </c>
      <c r="Q169" s="299">
        <v>0</v>
      </c>
      <c r="R169" s="460">
        <v>0.51699980905720921</v>
      </c>
      <c r="S169" s="298">
        <v>0.4029169177734746</v>
      </c>
      <c r="T169" s="298">
        <v>0.2995169559620327</v>
      </c>
      <c r="U169" s="298">
        <v>0.2995169559620327</v>
      </c>
      <c r="V169" s="299">
        <v>0.2995169559620327</v>
      </c>
      <c r="W169" s="441"/>
      <c r="X169" s="406" t="s">
        <v>498</v>
      </c>
      <c r="Y169" s="405"/>
      <c r="Z169" s="209"/>
      <c r="AA169" s="209"/>
      <c r="AB169" s="209"/>
      <c r="AC169" s="209"/>
      <c r="AD169" s="209"/>
      <c r="AE169" s="298">
        <v>0</v>
      </c>
      <c r="AF169" s="299">
        <v>0</v>
      </c>
      <c r="AG169" s="460">
        <v>0</v>
      </c>
      <c r="AH169" s="298">
        <v>0</v>
      </c>
      <c r="AI169" s="298">
        <v>0</v>
      </c>
      <c r="AJ169" s="298">
        <v>0</v>
      </c>
      <c r="AK169" s="299">
        <v>0</v>
      </c>
      <c r="AL169" s="441"/>
      <c r="AM169" s="455" t="s">
        <v>2470</v>
      </c>
      <c r="AN169" s="405"/>
      <c r="AO169" s="209"/>
      <c r="AP169" s="209"/>
      <c r="AQ169" s="209"/>
      <c r="AR169" s="209"/>
      <c r="AS169" s="209"/>
      <c r="AT169" s="298">
        <v>0</v>
      </c>
      <c r="AU169" s="299">
        <v>0</v>
      </c>
      <c r="AV169" s="460">
        <v>5</v>
      </c>
      <c r="AW169" s="298">
        <v>2</v>
      </c>
      <c r="AX169" s="298">
        <v>1</v>
      </c>
      <c r="AY169" s="298">
        <v>1</v>
      </c>
      <c r="AZ169" s="299">
        <v>1</v>
      </c>
      <c r="BA169" s="441"/>
      <c r="BB169" s="1462"/>
      <c r="BC169" s="1461"/>
      <c r="BD169" s="211">
        <v>0</v>
      </c>
      <c r="BE169" s="211"/>
      <c r="BF169" s="456">
        <v>0</v>
      </c>
      <c r="BG169" s="456">
        <v>0</v>
      </c>
      <c r="BH169" s="456">
        <v>0</v>
      </c>
      <c r="BI169" s="457"/>
    </row>
    <row r="170" spans="2:61" s="374" customFormat="1" ht="15" customHeight="1">
      <c r="B170" s="435"/>
      <c r="C170" s="823"/>
      <c r="D170" s="926" t="s">
        <v>85</v>
      </c>
      <c r="E170" s="823"/>
      <c r="F170" s="823"/>
      <c r="G170" s="447" t="s">
        <v>2489</v>
      </c>
      <c r="H170" s="209"/>
      <c r="I170" s="406" t="s">
        <v>498</v>
      </c>
      <c r="J170" s="405"/>
      <c r="K170" s="209"/>
      <c r="L170" s="209"/>
      <c r="M170" s="209"/>
      <c r="N170" s="209"/>
      <c r="O170" s="209"/>
      <c r="P170" s="298">
        <v>0</v>
      </c>
      <c r="Q170" s="299">
        <v>0</v>
      </c>
      <c r="R170" s="460">
        <v>0.32353283181745113</v>
      </c>
      <c r="S170" s="298">
        <v>0.32353283181745113</v>
      </c>
      <c r="T170" s="298">
        <v>0.32353283181745113</v>
      </c>
      <c r="U170" s="298">
        <v>0.32353283181745113</v>
      </c>
      <c r="V170" s="299">
        <v>0</v>
      </c>
      <c r="W170" s="441"/>
      <c r="X170" s="406" t="s">
        <v>498</v>
      </c>
      <c r="Y170" s="405"/>
      <c r="Z170" s="209"/>
      <c r="AA170" s="209"/>
      <c r="AB170" s="209"/>
      <c r="AC170" s="209"/>
      <c r="AD170" s="209"/>
      <c r="AE170" s="298">
        <v>0</v>
      </c>
      <c r="AF170" s="299">
        <v>0</v>
      </c>
      <c r="AG170" s="460">
        <v>0</v>
      </c>
      <c r="AH170" s="298">
        <v>0</v>
      </c>
      <c r="AI170" s="298">
        <v>0</v>
      </c>
      <c r="AJ170" s="298">
        <v>0</v>
      </c>
      <c r="AK170" s="299">
        <v>0</v>
      </c>
      <c r="AL170" s="441"/>
      <c r="AM170" s="455" t="s">
        <v>2470</v>
      </c>
      <c r="AN170" s="405"/>
      <c r="AO170" s="209"/>
      <c r="AP170" s="209"/>
      <c r="AQ170" s="209"/>
      <c r="AR170" s="209"/>
      <c r="AS170" s="209"/>
      <c r="AT170" s="298">
        <v>0</v>
      </c>
      <c r="AU170" s="299">
        <v>0</v>
      </c>
      <c r="AV170" s="460">
        <v>1</v>
      </c>
      <c r="AW170" s="298">
        <v>1</v>
      </c>
      <c r="AX170" s="298">
        <v>1</v>
      </c>
      <c r="AY170" s="298">
        <v>1</v>
      </c>
      <c r="AZ170" s="299">
        <v>0</v>
      </c>
      <c r="BA170" s="441"/>
      <c r="BB170" s="1462"/>
      <c r="BC170" s="1461"/>
      <c r="BD170" s="211">
        <v>0</v>
      </c>
      <c r="BE170" s="211"/>
      <c r="BF170" s="456">
        <v>0</v>
      </c>
      <c r="BG170" s="456">
        <v>0</v>
      </c>
      <c r="BH170" s="456">
        <v>0</v>
      </c>
      <c r="BI170" s="457"/>
    </row>
    <row r="171" spans="2:61" s="374" customFormat="1" ht="15" customHeight="1">
      <c r="B171" s="435"/>
      <c r="C171" s="823"/>
      <c r="D171" s="926" t="s">
        <v>85</v>
      </c>
      <c r="E171" s="823"/>
      <c r="F171" s="823"/>
      <c r="G171" s="447" t="s">
        <v>2490</v>
      </c>
      <c r="H171" s="209"/>
      <c r="I171" s="406" t="s">
        <v>498</v>
      </c>
      <c r="J171" s="405"/>
      <c r="K171" s="209"/>
      <c r="L171" s="209"/>
      <c r="M171" s="209"/>
      <c r="N171" s="209"/>
      <c r="O171" s="209"/>
      <c r="P171" s="298">
        <v>0</v>
      </c>
      <c r="Q171" s="299">
        <v>0</v>
      </c>
      <c r="R171" s="460">
        <v>0.16328418176575638</v>
      </c>
      <c r="S171" s="298">
        <v>0.12246313632431727</v>
      </c>
      <c r="T171" s="298">
        <v>0.16328418176575638</v>
      </c>
      <c r="U171" s="298">
        <v>0.16328418176575638</v>
      </c>
      <c r="V171" s="299">
        <v>0.16328418176575638</v>
      </c>
      <c r="W171" s="441"/>
      <c r="X171" s="406" t="s">
        <v>498</v>
      </c>
      <c r="Y171" s="405"/>
      <c r="Z171" s="209"/>
      <c r="AA171" s="209"/>
      <c r="AB171" s="209"/>
      <c r="AC171" s="209"/>
      <c r="AD171" s="209"/>
      <c r="AE171" s="298">
        <v>0</v>
      </c>
      <c r="AF171" s="299">
        <v>0</v>
      </c>
      <c r="AG171" s="460">
        <v>0</v>
      </c>
      <c r="AH171" s="298">
        <v>0</v>
      </c>
      <c r="AI171" s="298">
        <v>0</v>
      </c>
      <c r="AJ171" s="298">
        <v>0</v>
      </c>
      <c r="AK171" s="299">
        <v>0</v>
      </c>
      <c r="AL171" s="441"/>
      <c r="AM171" s="455" t="s">
        <v>2470</v>
      </c>
      <c r="AN171" s="405"/>
      <c r="AO171" s="209"/>
      <c r="AP171" s="209"/>
      <c r="AQ171" s="209"/>
      <c r="AR171" s="209"/>
      <c r="AS171" s="209"/>
      <c r="AT171" s="298">
        <v>0</v>
      </c>
      <c r="AU171" s="299">
        <v>0</v>
      </c>
      <c r="AV171" s="460">
        <v>4</v>
      </c>
      <c r="AW171" s="298">
        <v>3</v>
      </c>
      <c r="AX171" s="298">
        <v>4</v>
      </c>
      <c r="AY171" s="298">
        <v>4</v>
      </c>
      <c r="AZ171" s="299">
        <v>4</v>
      </c>
      <c r="BA171" s="441"/>
      <c r="BB171" s="1462"/>
      <c r="BC171" s="1461"/>
      <c r="BD171" s="211">
        <v>0</v>
      </c>
      <c r="BE171" s="211"/>
      <c r="BF171" s="456">
        <v>0</v>
      </c>
      <c r="BG171" s="456">
        <v>0</v>
      </c>
      <c r="BH171" s="456">
        <v>0</v>
      </c>
      <c r="BI171" s="457"/>
    </row>
    <row r="172" spans="2:61" s="374" customFormat="1" ht="15" customHeight="1">
      <c r="B172" s="435"/>
      <c r="C172" s="823"/>
      <c r="D172" s="926" t="s">
        <v>85</v>
      </c>
      <c r="E172" s="823"/>
      <c r="F172" s="823"/>
      <c r="G172" s="447" t="s">
        <v>2491</v>
      </c>
      <c r="H172" s="209"/>
      <c r="I172" s="406" t="s">
        <v>498</v>
      </c>
      <c r="J172" s="405"/>
      <c r="K172" s="209"/>
      <c r="L172" s="209"/>
      <c r="M172" s="209"/>
      <c r="N172" s="209"/>
      <c r="O172" s="209"/>
      <c r="P172" s="298">
        <v>0</v>
      </c>
      <c r="Q172" s="299">
        <v>0</v>
      </c>
      <c r="R172" s="460">
        <v>1.5097292856333859</v>
      </c>
      <c r="S172" s="298">
        <v>1.5097292856333859</v>
      </c>
      <c r="T172" s="298">
        <v>0.75486464281669297</v>
      </c>
      <c r="U172" s="298">
        <v>1.5097292856333859</v>
      </c>
      <c r="V172" s="299">
        <v>1.5097292856333859</v>
      </c>
      <c r="W172" s="441"/>
      <c r="X172" s="406" t="s">
        <v>498</v>
      </c>
      <c r="Y172" s="405"/>
      <c r="Z172" s="209"/>
      <c r="AA172" s="209"/>
      <c r="AB172" s="209"/>
      <c r="AC172" s="209"/>
      <c r="AD172" s="209"/>
      <c r="AE172" s="298">
        <v>0</v>
      </c>
      <c r="AF172" s="299">
        <v>0</v>
      </c>
      <c r="AG172" s="460">
        <v>0</v>
      </c>
      <c r="AH172" s="298">
        <v>0</v>
      </c>
      <c r="AI172" s="298">
        <v>0</v>
      </c>
      <c r="AJ172" s="298">
        <v>0</v>
      </c>
      <c r="AK172" s="299">
        <v>0</v>
      </c>
      <c r="AL172" s="441"/>
      <c r="AM172" s="455" t="s">
        <v>2470</v>
      </c>
      <c r="AN172" s="405"/>
      <c r="AO172" s="209"/>
      <c r="AP172" s="209"/>
      <c r="AQ172" s="209"/>
      <c r="AR172" s="209"/>
      <c r="AS172" s="209"/>
      <c r="AT172" s="298">
        <v>0</v>
      </c>
      <c r="AU172" s="299">
        <v>0</v>
      </c>
      <c r="AV172" s="460">
        <v>2</v>
      </c>
      <c r="AW172" s="298">
        <v>2</v>
      </c>
      <c r="AX172" s="298">
        <v>1</v>
      </c>
      <c r="AY172" s="298">
        <v>2</v>
      </c>
      <c r="AZ172" s="299">
        <v>2</v>
      </c>
      <c r="BA172" s="441"/>
      <c r="BB172" s="1462"/>
      <c r="BC172" s="1461"/>
      <c r="BD172" s="211">
        <v>0</v>
      </c>
      <c r="BE172" s="211"/>
      <c r="BF172" s="456">
        <v>0</v>
      </c>
      <c r="BG172" s="456">
        <v>0</v>
      </c>
      <c r="BH172" s="456">
        <v>0</v>
      </c>
      <c r="BI172" s="457"/>
    </row>
    <row r="173" spans="2:61" s="374" customFormat="1" ht="15" customHeight="1">
      <c r="B173" s="435"/>
      <c r="C173" s="823"/>
      <c r="D173" s="926" t="s">
        <v>85</v>
      </c>
      <c r="E173" s="823"/>
      <c r="F173" s="823"/>
      <c r="G173" s="447"/>
      <c r="H173" s="209"/>
      <c r="I173" s="406" t="s">
        <v>498</v>
      </c>
      <c r="J173" s="405"/>
      <c r="K173" s="209"/>
      <c r="L173" s="209"/>
      <c r="M173" s="209"/>
      <c r="N173" s="209"/>
      <c r="O173" s="209"/>
      <c r="P173" s="298">
        <v>0</v>
      </c>
      <c r="Q173" s="299">
        <v>0</v>
      </c>
      <c r="R173" s="460">
        <v>0</v>
      </c>
      <c r="S173" s="298">
        <v>0</v>
      </c>
      <c r="T173" s="298">
        <v>0</v>
      </c>
      <c r="U173" s="298">
        <v>0</v>
      </c>
      <c r="V173" s="299">
        <v>0</v>
      </c>
      <c r="W173" s="441"/>
      <c r="X173" s="406" t="s">
        <v>498</v>
      </c>
      <c r="Y173" s="405"/>
      <c r="Z173" s="209"/>
      <c r="AA173" s="209"/>
      <c r="AB173" s="209"/>
      <c r="AC173" s="209"/>
      <c r="AD173" s="209"/>
      <c r="AE173" s="298">
        <v>0</v>
      </c>
      <c r="AF173" s="299">
        <v>0</v>
      </c>
      <c r="AG173" s="460">
        <v>0</v>
      </c>
      <c r="AH173" s="298">
        <v>0</v>
      </c>
      <c r="AI173" s="298">
        <v>0</v>
      </c>
      <c r="AJ173" s="298">
        <v>0</v>
      </c>
      <c r="AK173" s="299">
        <v>0</v>
      </c>
      <c r="AL173" s="441"/>
      <c r="AM173" s="455">
        <v>0</v>
      </c>
      <c r="AN173" s="405"/>
      <c r="AO173" s="209"/>
      <c r="AP173" s="209"/>
      <c r="AQ173" s="209"/>
      <c r="AR173" s="209"/>
      <c r="AS173" s="209"/>
      <c r="AT173" s="298">
        <v>0</v>
      </c>
      <c r="AU173" s="299">
        <v>0</v>
      </c>
      <c r="AV173" s="460">
        <v>0</v>
      </c>
      <c r="AW173" s="298">
        <v>0</v>
      </c>
      <c r="AX173" s="298">
        <v>0</v>
      </c>
      <c r="AY173" s="298">
        <v>0</v>
      </c>
      <c r="AZ173" s="299">
        <v>0</v>
      </c>
      <c r="BA173" s="441"/>
      <c r="BB173" s="1462"/>
      <c r="BC173" s="1461"/>
      <c r="BD173" s="211">
        <v>0</v>
      </c>
      <c r="BE173" s="211"/>
      <c r="BF173" s="456">
        <v>0</v>
      </c>
      <c r="BG173" s="456">
        <v>0</v>
      </c>
      <c r="BH173" s="456">
        <v>0</v>
      </c>
      <c r="BI173" s="457"/>
    </row>
    <row r="174" spans="2:61" s="374" customFormat="1" ht="15" customHeight="1">
      <c r="B174" s="435"/>
      <c r="C174" s="823"/>
      <c r="D174" s="926" t="s">
        <v>85</v>
      </c>
      <c r="E174" s="823"/>
      <c r="F174" s="823"/>
      <c r="G174" s="447"/>
      <c r="H174" s="209"/>
      <c r="I174" s="406" t="s">
        <v>498</v>
      </c>
      <c r="J174" s="405"/>
      <c r="K174" s="209"/>
      <c r="L174" s="209"/>
      <c r="M174" s="209"/>
      <c r="N174" s="209"/>
      <c r="O174" s="209"/>
      <c r="P174" s="298">
        <v>0</v>
      </c>
      <c r="Q174" s="299">
        <v>0</v>
      </c>
      <c r="R174" s="460">
        <v>0</v>
      </c>
      <c r="S174" s="298">
        <v>0</v>
      </c>
      <c r="T174" s="298">
        <v>0</v>
      </c>
      <c r="U174" s="298">
        <v>0</v>
      </c>
      <c r="V174" s="299">
        <v>0</v>
      </c>
      <c r="W174" s="441"/>
      <c r="X174" s="406" t="s">
        <v>498</v>
      </c>
      <c r="Y174" s="405"/>
      <c r="Z174" s="209"/>
      <c r="AA174" s="209"/>
      <c r="AB174" s="209"/>
      <c r="AC174" s="209"/>
      <c r="AD174" s="209"/>
      <c r="AE174" s="298">
        <v>0</v>
      </c>
      <c r="AF174" s="299">
        <v>0</v>
      </c>
      <c r="AG174" s="460">
        <v>0</v>
      </c>
      <c r="AH174" s="298">
        <v>0</v>
      </c>
      <c r="AI174" s="298">
        <v>0</v>
      </c>
      <c r="AJ174" s="298">
        <v>0</v>
      </c>
      <c r="AK174" s="299">
        <v>0</v>
      </c>
      <c r="AL174" s="441"/>
      <c r="AM174" s="455">
        <v>0</v>
      </c>
      <c r="AN174" s="405"/>
      <c r="AO174" s="209"/>
      <c r="AP174" s="209"/>
      <c r="AQ174" s="209"/>
      <c r="AR174" s="209"/>
      <c r="AS174" s="209"/>
      <c r="AT174" s="298">
        <v>0</v>
      </c>
      <c r="AU174" s="299">
        <v>0</v>
      </c>
      <c r="AV174" s="460">
        <v>0</v>
      </c>
      <c r="AW174" s="298">
        <v>0</v>
      </c>
      <c r="AX174" s="298">
        <v>0</v>
      </c>
      <c r="AY174" s="298">
        <v>0</v>
      </c>
      <c r="AZ174" s="299">
        <v>0</v>
      </c>
      <c r="BA174" s="441"/>
      <c r="BB174" s="1462"/>
      <c r="BC174" s="1461"/>
      <c r="BD174" s="211">
        <v>0</v>
      </c>
      <c r="BE174" s="211"/>
      <c r="BF174" s="456">
        <v>0</v>
      </c>
      <c r="BG174" s="456">
        <v>0</v>
      </c>
      <c r="BH174" s="456">
        <v>0</v>
      </c>
      <c r="BI174" s="457"/>
    </row>
    <row r="175" spans="2:61" s="374" customFormat="1" ht="15" customHeight="1">
      <c r="B175" s="435"/>
      <c r="C175" s="823"/>
      <c r="D175" s="926" t="s">
        <v>2442</v>
      </c>
      <c r="E175" s="823"/>
      <c r="F175" s="823"/>
      <c r="G175" s="927"/>
      <c r="H175" s="209"/>
      <c r="I175" s="406" t="s">
        <v>498</v>
      </c>
      <c r="J175" s="929"/>
      <c r="K175" s="930"/>
      <c r="L175" s="930"/>
      <c r="M175" s="930"/>
      <c r="N175" s="930"/>
      <c r="O175" s="930"/>
      <c r="P175" s="298">
        <v>0.39226454246457204</v>
      </c>
      <c r="Q175" s="299">
        <v>1.4008437100155771</v>
      </c>
      <c r="R175" s="297">
        <v>1.5825719893596302</v>
      </c>
      <c r="S175" s="298">
        <v>0.68090704434357674</v>
      </c>
      <c r="T175" s="298">
        <v>0.68090704434357674</v>
      </c>
      <c r="U175" s="298">
        <v>0.68090704434357674</v>
      </c>
      <c r="V175" s="299">
        <v>0.68090704434357674</v>
      </c>
      <c r="W175" s="441"/>
      <c r="X175" s="406" t="s">
        <v>498</v>
      </c>
      <c r="Y175" s="929"/>
      <c r="Z175" s="930"/>
      <c r="AA175" s="930"/>
      <c r="AB175" s="930"/>
      <c r="AC175" s="930"/>
      <c r="AD175" s="930"/>
      <c r="AE175" s="298">
        <v>0</v>
      </c>
      <c r="AF175" s="299">
        <v>0</v>
      </c>
      <c r="AG175" s="297">
        <v>0</v>
      </c>
      <c r="AH175" s="298">
        <v>0</v>
      </c>
      <c r="AI175" s="298">
        <v>0</v>
      </c>
      <c r="AJ175" s="298">
        <v>0</v>
      </c>
      <c r="AK175" s="299">
        <v>0</v>
      </c>
      <c r="AL175" s="441"/>
      <c r="AM175" s="455">
        <v>0</v>
      </c>
      <c r="AN175" s="929"/>
      <c r="AO175" s="930"/>
      <c r="AP175" s="930"/>
      <c r="AQ175" s="930"/>
      <c r="AR175" s="930"/>
      <c r="AS175" s="930"/>
      <c r="AT175" s="298">
        <v>0</v>
      </c>
      <c r="AU175" s="299">
        <v>0</v>
      </c>
      <c r="AV175" s="297">
        <v>0</v>
      </c>
      <c r="AW175" s="298">
        <v>0</v>
      </c>
      <c r="AX175" s="298">
        <v>0</v>
      </c>
      <c r="AY175" s="298">
        <v>0</v>
      </c>
      <c r="AZ175" s="299">
        <v>0</v>
      </c>
      <c r="BA175" s="441"/>
      <c r="BB175" s="209"/>
      <c r="BC175" s="209"/>
      <c r="BD175" s="209"/>
      <c r="BE175" s="209"/>
      <c r="BF175" s="209"/>
      <c r="BG175" s="209"/>
      <c r="BH175" s="209"/>
      <c r="BI175" s="210"/>
    </row>
    <row r="176" spans="2:61" s="374" customFormat="1" ht="15" customHeight="1">
      <c r="B176" s="435"/>
      <c r="C176" s="823"/>
      <c r="D176" s="926" t="s">
        <v>2443</v>
      </c>
      <c r="E176" s="823"/>
      <c r="F176" s="823"/>
      <c r="G176" s="926"/>
      <c r="H176" s="209"/>
      <c r="I176" s="406" t="s">
        <v>498</v>
      </c>
      <c r="J176" s="297">
        <v>4.611664624625476</v>
      </c>
      <c r="K176" s="298">
        <v>8.0698628103896084</v>
      </c>
      <c r="L176" s="298">
        <v>10.467881919160165</v>
      </c>
      <c r="M176" s="298">
        <v>3.0659847026691196</v>
      </c>
      <c r="N176" s="298">
        <v>3.0782148758404273</v>
      </c>
      <c r="O176" s="298">
        <v>5.1449289342990108</v>
      </c>
      <c r="P176" s="209"/>
      <c r="Q176" s="210"/>
      <c r="R176" s="405"/>
      <c r="S176" s="209"/>
      <c r="T176" s="209"/>
      <c r="U176" s="209"/>
      <c r="V176" s="210"/>
      <c r="W176" s="441"/>
      <c r="X176" s="406" t="s">
        <v>498</v>
      </c>
      <c r="Y176" s="297">
        <v>0</v>
      </c>
      <c r="Z176" s="298">
        <v>0</v>
      </c>
      <c r="AA176" s="298">
        <v>0</v>
      </c>
      <c r="AB176" s="298">
        <v>0</v>
      </c>
      <c r="AC176" s="298">
        <v>0</v>
      </c>
      <c r="AD176" s="298">
        <v>0</v>
      </c>
      <c r="AE176" s="209"/>
      <c r="AF176" s="210"/>
      <c r="AG176" s="405"/>
      <c r="AH176" s="209"/>
      <c r="AI176" s="209"/>
      <c r="AJ176" s="209"/>
      <c r="AK176" s="210"/>
      <c r="AL176" s="441"/>
      <c r="AM176" s="455">
        <v>0</v>
      </c>
      <c r="AN176" s="297">
        <v>0</v>
      </c>
      <c r="AO176" s="298">
        <v>0</v>
      </c>
      <c r="AP176" s="298">
        <v>0</v>
      </c>
      <c r="AQ176" s="298">
        <v>0</v>
      </c>
      <c r="AR176" s="298">
        <v>0</v>
      </c>
      <c r="AS176" s="298">
        <v>0</v>
      </c>
      <c r="AT176" s="209"/>
      <c r="AU176" s="210"/>
      <c r="AV176" s="405"/>
      <c r="AW176" s="209"/>
      <c r="AX176" s="209"/>
      <c r="AY176" s="209"/>
      <c r="AZ176" s="210"/>
      <c r="BA176" s="441"/>
      <c r="BB176" s="209"/>
      <c r="BC176" s="209"/>
      <c r="BD176" s="209"/>
      <c r="BE176" s="209"/>
      <c r="BF176" s="209"/>
      <c r="BG176" s="209"/>
      <c r="BH176" s="209"/>
      <c r="BI176" s="210"/>
    </row>
    <row r="177" spans="2:61" s="374" customFormat="1" ht="15" customHeight="1" thickBot="1">
      <c r="B177" s="925" t="s">
        <v>1701</v>
      </c>
      <c r="C177" s="922"/>
      <c r="D177" s="922"/>
      <c r="E177" s="922"/>
      <c r="F177" s="922"/>
      <c r="G177" s="448"/>
      <c r="H177" s="434"/>
      <c r="I177" s="449" t="s">
        <v>498</v>
      </c>
      <c r="J177" s="627">
        <f>J176</f>
        <v>4.611664624625476</v>
      </c>
      <c r="K177" s="628">
        <f t="shared" ref="K177:O177" si="124">K176</f>
        <v>8.0698628103896084</v>
      </c>
      <c r="L177" s="628">
        <f t="shared" si="124"/>
        <v>10.467881919160165</v>
      </c>
      <c r="M177" s="628">
        <f t="shared" si="124"/>
        <v>3.0659847026691196</v>
      </c>
      <c r="N177" s="628">
        <f t="shared" si="124"/>
        <v>3.0782148758404273</v>
      </c>
      <c r="O177" s="628">
        <f t="shared" si="124"/>
        <v>5.1449289342990108</v>
      </c>
      <c r="P177" s="750">
        <f>SUM(P160:P175)</f>
        <v>5.9365300478684198</v>
      </c>
      <c r="Q177" s="751">
        <f t="shared" ref="Q177:V177" si="125">SUM(Q160:Q175)</f>
        <v>5.9951093760664111</v>
      </c>
      <c r="R177" s="932">
        <f t="shared" si="125"/>
        <v>4.2064233773350752</v>
      </c>
      <c r="S177" s="750">
        <f t="shared" si="125"/>
        <v>4.6493894717327349</v>
      </c>
      <c r="T177" s="750">
        <f t="shared" si="125"/>
        <v>2.406831846324641</v>
      </c>
      <c r="U177" s="750">
        <f t="shared" si="125"/>
        <v>4.7760222042234837</v>
      </c>
      <c r="V177" s="751">
        <f t="shared" si="125"/>
        <v>3.8508372058238227</v>
      </c>
      <c r="W177" s="450"/>
      <c r="X177" s="449" t="s">
        <v>498</v>
      </c>
      <c r="Y177" s="627">
        <f>Y176</f>
        <v>0</v>
      </c>
      <c r="Z177" s="628">
        <f t="shared" ref="Z177" si="126">Z176</f>
        <v>0</v>
      </c>
      <c r="AA177" s="628">
        <f t="shared" ref="AA177" si="127">AA176</f>
        <v>0</v>
      </c>
      <c r="AB177" s="628">
        <f t="shared" ref="AB177" si="128">AB176</f>
        <v>0</v>
      </c>
      <c r="AC177" s="628">
        <f t="shared" ref="AC177" si="129">AC176</f>
        <v>0</v>
      </c>
      <c r="AD177" s="628">
        <f t="shared" ref="AD177" si="130">AD176</f>
        <v>0</v>
      </c>
      <c r="AE177" s="750">
        <f>SUM(AE160:AE175)</f>
        <v>0</v>
      </c>
      <c r="AF177" s="751">
        <f t="shared" ref="AF177:AK177" si="131">SUM(AF160:AF175)</f>
        <v>0</v>
      </c>
      <c r="AG177" s="932">
        <f t="shared" si="131"/>
        <v>0</v>
      </c>
      <c r="AH177" s="750">
        <f t="shared" si="131"/>
        <v>0</v>
      </c>
      <c r="AI177" s="750">
        <f t="shared" si="131"/>
        <v>0</v>
      </c>
      <c r="AJ177" s="750">
        <f t="shared" si="131"/>
        <v>0</v>
      </c>
      <c r="AK177" s="751">
        <f t="shared" si="131"/>
        <v>0</v>
      </c>
      <c r="AL177" s="450"/>
      <c r="AM177" s="1073">
        <v>0</v>
      </c>
      <c r="AN177" s="627">
        <f>AN176</f>
        <v>0</v>
      </c>
      <c r="AO177" s="628">
        <f t="shared" ref="AO177" si="132">AO176</f>
        <v>0</v>
      </c>
      <c r="AP177" s="628">
        <f t="shared" ref="AP177" si="133">AP176</f>
        <v>0</v>
      </c>
      <c r="AQ177" s="628">
        <f t="shared" ref="AQ177" si="134">AQ176</f>
        <v>0</v>
      </c>
      <c r="AR177" s="628">
        <f t="shared" ref="AR177" si="135">AR176</f>
        <v>0</v>
      </c>
      <c r="AS177" s="628">
        <f t="shared" ref="AS177" si="136">AS176</f>
        <v>0</v>
      </c>
      <c r="AT177" s="750">
        <f>SUM(AT160:AT175)</f>
        <v>6</v>
      </c>
      <c r="AU177" s="751">
        <f t="shared" ref="AU177:AZ177" si="137">SUM(AU160:AU175)</f>
        <v>0</v>
      </c>
      <c r="AV177" s="932">
        <f t="shared" si="137"/>
        <v>13</v>
      </c>
      <c r="AW177" s="750">
        <f t="shared" si="137"/>
        <v>14</v>
      </c>
      <c r="AX177" s="750">
        <f t="shared" si="137"/>
        <v>10</v>
      </c>
      <c r="AY177" s="750">
        <f t="shared" si="137"/>
        <v>16</v>
      </c>
      <c r="AZ177" s="751">
        <f t="shared" si="137"/>
        <v>12</v>
      </c>
      <c r="BA177" s="450"/>
      <c r="BB177" s="434"/>
      <c r="BC177" s="434"/>
      <c r="BD177" s="434"/>
      <c r="BE177" s="434"/>
      <c r="BF177" s="434"/>
      <c r="BG177" s="434"/>
      <c r="BH177" s="434"/>
      <c r="BI177" s="237"/>
    </row>
    <row r="178" spans="2:61" ht="15" thickBot="1"/>
    <row r="179" spans="2:61" ht="30" customHeight="1" thickBot="1">
      <c r="B179" s="436" t="s">
        <v>2416</v>
      </c>
      <c r="C179" s="920"/>
      <c r="D179" s="920"/>
      <c r="E179" s="920"/>
      <c r="F179" s="920"/>
      <c r="G179" s="437"/>
      <c r="H179" s="438"/>
      <c r="I179" s="105" t="s">
        <v>1864</v>
      </c>
      <c r="J179" s="106"/>
      <c r="K179" s="106"/>
      <c r="L179" s="106"/>
      <c r="M179" s="106"/>
      <c r="N179" s="106"/>
      <c r="O179" s="106"/>
      <c r="P179" s="106"/>
      <c r="Q179" s="106"/>
      <c r="R179" s="105"/>
      <c r="S179" s="105"/>
      <c r="T179" s="105"/>
      <c r="U179" s="105"/>
      <c r="V179" s="187"/>
      <c r="W179" s="439"/>
      <c r="X179" s="105" t="s">
        <v>2202</v>
      </c>
      <c r="Y179" s="106"/>
      <c r="Z179" s="106"/>
      <c r="AA179" s="106"/>
      <c r="AB179" s="106"/>
      <c r="AC179" s="106"/>
      <c r="AD179" s="106"/>
      <c r="AE179" s="106"/>
      <c r="AF179" s="106"/>
      <c r="AG179" s="105"/>
      <c r="AH179" s="105"/>
      <c r="AI179" s="105"/>
      <c r="AJ179" s="105"/>
      <c r="AK179" s="187"/>
      <c r="AL179" s="1136"/>
      <c r="AM179" s="1136"/>
      <c r="AN179" s="1136"/>
      <c r="AO179" s="1136"/>
      <c r="AP179" s="1136"/>
      <c r="AQ179" s="1136"/>
      <c r="AR179" s="1136"/>
      <c r="AS179" s="1136"/>
      <c r="AT179" s="1136"/>
      <c r="AU179" s="1136"/>
      <c r="AV179" s="1136"/>
      <c r="AW179" s="1136"/>
      <c r="AX179" s="1136"/>
      <c r="AY179" s="1136"/>
      <c r="AZ179" s="1136"/>
      <c r="BA179" s="1136"/>
      <c r="BB179" s="789" t="s">
        <v>1925</v>
      </c>
      <c r="BC179" s="789"/>
      <c r="BD179" s="789"/>
      <c r="BE179" s="790"/>
      <c r="BF179" s="791"/>
    </row>
    <row r="180" spans="2:61" ht="30" customHeight="1">
      <c r="B180" s="440"/>
      <c r="C180" s="388"/>
      <c r="D180" s="388"/>
      <c r="E180" s="388"/>
      <c r="F180" s="388"/>
      <c r="G180" s="388"/>
      <c r="H180" s="209"/>
      <c r="I180" s="225"/>
      <c r="J180" s="424" t="s">
        <v>1666</v>
      </c>
      <c r="K180" s="425"/>
      <c r="L180" s="425"/>
      <c r="M180" s="425"/>
      <c r="N180" s="425"/>
      <c r="O180" s="425"/>
      <c r="P180" s="425"/>
      <c r="Q180" s="426"/>
      <c r="R180" s="428" t="s">
        <v>2</v>
      </c>
      <c r="S180" s="428"/>
      <c r="T180" s="428"/>
      <c r="U180" s="428"/>
      <c r="V180" s="429"/>
      <c r="W180" s="441"/>
      <c r="X180" s="225"/>
      <c r="Y180" s="424" t="s">
        <v>1666</v>
      </c>
      <c r="Z180" s="425"/>
      <c r="AA180" s="425"/>
      <c r="AB180" s="425"/>
      <c r="AC180" s="425"/>
      <c r="AD180" s="425"/>
      <c r="AE180" s="425"/>
      <c r="AF180" s="426"/>
      <c r="AG180" s="428" t="s">
        <v>2</v>
      </c>
      <c r="AH180" s="428"/>
      <c r="AI180" s="428"/>
      <c r="AJ180" s="428"/>
      <c r="AK180" s="429"/>
      <c r="AL180" s="1137"/>
      <c r="AM180" s="1137"/>
      <c r="AN180" s="1137"/>
      <c r="AO180" s="1137"/>
      <c r="AP180" s="1137"/>
      <c r="AQ180" s="1137"/>
      <c r="AR180" s="1137"/>
      <c r="AS180" s="1137"/>
      <c r="AT180" s="1137"/>
      <c r="AU180" s="1137"/>
      <c r="AV180" s="1137"/>
      <c r="AW180" s="1137"/>
      <c r="AX180" s="1137"/>
      <c r="AY180" s="1137"/>
      <c r="AZ180" s="1137"/>
      <c r="BA180" s="1137"/>
      <c r="BB180" s="202" t="s">
        <v>2431</v>
      </c>
      <c r="BC180" s="202" t="s">
        <v>2432</v>
      </c>
      <c r="BD180" s="202" t="s">
        <v>313</v>
      </c>
      <c r="BE180" s="202" t="s">
        <v>2492</v>
      </c>
      <c r="BF180" s="452" t="s">
        <v>2493</v>
      </c>
    </row>
    <row r="181" spans="2:61" ht="15">
      <c r="B181" s="443"/>
      <c r="C181" s="921"/>
      <c r="D181" s="921"/>
      <c r="E181" s="921"/>
      <c r="F181" s="921"/>
      <c r="G181" s="388"/>
      <c r="H181" s="209"/>
      <c r="I181" s="389" t="s">
        <v>1667</v>
      </c>
      <c r="J181" s="430" t="s">
        <v>453</v>
      </c>
      <c r="K181" s="431" t="s">
        <v>455</v>
      </c>
      <c r="L181" s="431" t="s">
        <v>457</v>
      </c>
      <c r="M181" s="431" t="s">
        <v>459</v>
      </c>
      <c r="N181" s="431" t="s">
        <v>461</v>
      </c>
      <c r="O181" s="431" t="s">
        <v>463</v>
      </c>
      <c r="P181" s="431" t="s">
        <v>465</v>
      </c>
      <c r="Q181" s="432" t="s">
        <v>467</v>
      </c>
      <c r="R181" s="459" t="s">
        <v>469</v>
      </c>
      <c r="S181" s="431" t="s">
        <v>471</v>
      </c>
      <c r="T181" s="431" t="s">
        <v>473</v>
      </c>
      <c r="U181" s="431" t="s">
        <v>475</v>
      </c>
      <c r="V181" s="432" t="s">
        <v>477</v>
      </c>
      <c r="W181" s="441"/>
      <c r="X181" s="389" t="s">
        <v>1667</v>
      </c>
      <c r="Y181" s="430" t="s">
        <v>453</v>
      </c>
      <c r="Z181" s="431" t="s">
        <v>455</v>
      </c>
      <c r="AA181" s="431" t="s">
        <v>457</v>
      </c>
      <c r="AB181" s="431" t="s">
        <v>459</v>
      </c>
      <c r="AC181" s="431" t="s">
        <v>461</v>
      </c>
      <c r="AD181" s="431" t="s">
        <v>463</v>
      </c>
      <c r="AE181" s="431" t="s">
        <v>465</v>
      </c>
      <c r="AF181" s="432" t="s">
        <v>467</v>
      </c>
      <c r="AG181" s="459" t="s">
        <v>469</v>
      </c>
      <c r="AH181" s="431" t="s">
        <v>471</v>
      </c>
      <c r="AI181" s="431" t="s">
        <v>473</v>
      </c>
      <c r="AJ181" s="431" t="s">
        <v>475</v>
      </c>
      <c r="AK181" s="432" t="s">
        <v>477</v>
      </c>
      <c r="AL181" s="1137"/>
      <c r="AM181" s="1137"/>
      <c r="AN181" s="1137"/>
      <c r="AO181" s="1137"/>
      <c r="AP181" s="1137"/>
      <c r="AQ181" s="1137"/>
      <c r="AR181" s="1137"/>
      <c r="AS181" s="1137"/>
      <c r="AT181" s="1137"/>
      <c r="AU181" s="1137"/>
      <c r="AV181" s="1137"/>
      <c r="AW181" s="1137"/>
      <c r="AX181" s="1137"/>
      <c r="AY181" s="1137"/>
      <c r="AZ181" s="1137"/>
      <c r="BA181" s="1137"/>
      <c r="BB181" s="206" t="s">
        <v>627</v>
      </c>
      <c r="BC181" s="205"/>
      <c r="BD181" s="205"/>
      <c r="BE181" s="206" t="s">
        <v>2441</v>
      </c>
      <c r="BF181" s="462"/>
    </row>
    <row r="182" spans="2:61" ht="15">
      <c r="B182" s="443"/>
      <c r="C182" s="924" t="s">
        <v>2457</v>
      </c>
      <c r="D182" s="921"/>
      <c r="E182" s="921"/>
      <c r="F182" s="921"/>
      <c r="G182" s="388"/>
      <c r="H182" s="209"/>
      <c r="I182" s="209"/>
      <c r="J182" s="405"/>
      <c r="K182" s="209"/>
      <c r="L182" s="209"/>
      <c r="M182" s="209"/>
      <c r="N182" s="209"/>
      <c r="O182" s="209"/>
      <c r="P182" s="209"/>
      <c r="Q182" s="210"/>
      <c r="R182" s="209"/>
      <c r="S182" s="209"/>
      <c r="T182" s="209"/>
      <c r="U182" s="209"/>
      <c r="V182" s="210"/>
      <c r="W182" s="441"/>
      <c r="X182" s="209"/>
      <c r="Y182" s="405"/>
      <c r="Z182" s="209"/>
      <c r="AA182" s="209"/>
      <c r="AB182" s="209"/>
      <c r="AC182" s="209"/>
      <c r="AD182" s="209"/>
      <c r="AE182" s="209"/>
      <c r="AF182" s="210"/>
      <c r="AG182" s="209"/>
      <c r="AH182" s="209"/>
      <c r="AI182" s="209"/>
      <c r="AJ182" s="209"/>
      <c r="AK182" s="210"/>
      <c r="AL182" s="1137"/>
      <c r="AM182" s="1137"/>
      <c r="AN182" s="1137"/>
      <c r="AO182" s="1137"/>
      <c r="AP182" s="1137"/>
      <c r="AQ182" s="1137"/>
      <c r="AR182" s="1137"/>
      <c r="AS182" s="1137"/>
      <c r="AT182" s="1137"/>
      <c r="AU182" s="1137"/>
      <c r="AV182" s="1137"/>
      <c r="AW182" s="1137"/>
      <c r="AX182" s="1137"/>
      <c r="AY182" s="1137"/>
      <c r="AZ182" s="1137"/>
      <c r="BA182" s="1137"/>
      <c r="BB182" s="209"/>
      <c r="BC182" s="209"/>
      <c r="BD182" s="209"/>
      <c r="BE182" s="209"/>
      <c r="BF182" s="210"/>
    </row>
    <row r="183" spans="2:61">
      <c r="B183" s="435"/>
      <c r="C183" s="823"/>
      <c r="D183" s="926" t="s">
        <v>85</v>
      </c>
      <c r="E183" s="823"/>
      <c r="F183" s="823"/>
      <c r="G183" s="447"/>
      <c r="H183" s="209"/>
      <c r="I183" s="406" t="s">
        <v>498</v>
      </c>
      <c r="J183" s="405"/>
      <c r="K183" s="209"/>
      <c r="L183" s="209"/>
      <c r="M183" s="209"/>
      <c r="N183" s="209"/>
      <c r="O183" s="209"/>
      <c r="P183" s="298">
        <v>0</v>
      </c>
      <c r="Q183" s="299">
        <v>0</v>
      </c>
      <c r="R183" s="460">
        <v>0</v>
      </c>
      <c r="S183" s="298">
        <v>0</v>
      </c>
      <c r="T183" s="298">
        <v>0</v>
      </c>
      <c r="U183" s="298">
        <v>0</v>
      </c>
      <c r="V183" s="299">
        <v>0</v>
      </c>
      <c r="W183" s="441"/>
      <c r="X183" s="406" t="s">
        <v>498</v>
      </c>
      <c r="Y183" s="405"/>
      <c r="Z183" s="209"/>
      <c r="AA183" s="209"/>
      <c r="AB183" s="209"/>
      <c r="AC183" s="209"/>
      <c r="AD183" s="209"/>
      <c r="AE183" s="298">
        <v>0</v>
      </c>
      <c r="AF183" s="299">
        <v>0</v>
      </c>
      <c r="AG183" s="460">
        <v>0</v>
      </c>
      <c r="AH183" s="298">
        <v>0</v>
      </c>
      <c r="AI183" s="298">
        <v>0</v>
      </c>
      <c r="AJ183" s="298">
        <v>0</v>
      </c>
      <c r="AK183" s="299">
        <v>0</v>
      </c>
      <c r="AL183" s="1137"/>
      <c r="AM183" s="1137"/>
      <c r="AN183" s="1137"/>
      <c r="AO183" s="1137"/>
      <c r="AP183" s="1137"/>
      <c r="AQ183" s="1137"/>
      <c r="AR183" s="1137"/>
      <c r="AS183" s="1137"/>
      <c r="AT183" s="1137"/>
      <c r="AU183" s="1137"/>
      <c r="AV183" s="1137"/>
      <c r="AW183" s="1137"/>
      <c r="AX183" s="1137"/>
      <c r="AY183" s="1137"/>
      <c r="AZ183" s="1137"/>
      <c r="BA183" s="1137"/>
      <c r="BB183" s="1462"/>
      <c r="BC183" s="1461"/>
      <c r="BD183" s="211">
        <v>0</v>
      </c>
      <c r="BE183" s="211"/>
      <c r="BF183" s="214"/>
    </row>
    <row r="184" spans="2:61">
      <c r="B184" s="435"/>
      <c r="C184" s="823"/>
      <c r="D184" s="926" t="s">
        <v>85</v>
      </c>
      <c r="E184" s="823"/>
      <c r="F184" s="823"/>
      <c r="G184" s="447"/>
      <c r="H184" s="209"/>
      <c r="I184" s="406" t="s">
        <v>498</v>
      </c>
      <c r="J184" s="405"/>
      <c r="K184" s="209"/>
      <c r="L184" s="209"/>
      <c r="M184" s="209"/>
      <c r="N184" s="209"/>
      <c r="O184" s="209"/>
      <c r="P184" s="298">
        <v>0</v>
      </c>
      <c r="Q184" s="299">
        <v>0</v>
      </c>
      <c r="R184" s="460">
        <v>0</v>
      </c>
      <c r="S184" s="298">
        <v>0</v>
      </c>
      <c r="T184" s="298">
        <v>0</v>
      </c>
      <c r="U184" s="298">
        <v>0</v>
      </c>
      <c r="V184" s="299">
        <v>0</v>
      </c>
      <c r="W184" s="441"/>
      <c r="X184" s="406" t="s">
        <v>498</v>
      </c>
      <c r="Y184" s="405"/>
      <c r="Z184" s="209"/>
      <c r="AA184" s="209"/>
      <c r="AB184" s="209"/>
      <c r="AC184" s="209"/>
      <c r="AD184" s="209"/>
      <c r="AE184" s="298">
        <v>0</v>
      </c>
      <c r="AF184" s="299">
        <v>0</v>
      </c>
      <c r="AG184" s="460">
        <v>0</v>
      </c>
      <c r="AH184" s="298">
        <v>0</v>
      </c>
      <c r="AI184" s="298">
        <v>0</v>
      </c>
      <c r="AJ184" s="298">
        <v>0</v>
      </c>
      <c r="AK184" s="299">
        <v>0</v>
      </c>
      <c r="AL184" s="1137"/>
      <c r="AM184" s="1137"/>
      <c r="AN184" s="1137"/>
      <c r="AO184" s="1137"/>
      <c r="AP184" s="1137"/>
      <c r="AQ184" s="1137"/>
      <c r="AR184" s="1137"/>
      <c r="AS184" s="1137"/>
      <c r="AT184" s="1137"/>
      <c r="AU184" s="1137"/>
      <c r="AV184" s="1137"/>
      <c r="AW184" s="1137"/>
      <c r="AX184" s="1137"/>
      <c r="AY184" s="1137"/>
      <c r="AZ184" s="1137"/>
      <c r="BA184" s="1137"/>
      <c r="BB184" s="1462"/>
      <c r="BC184" s="1461"/>
      <c r="BD184" s="211">
        <v>0</v>
      </c>
      <c r="BE184" s="211"/>
      <c r="BF184" s="214"/>
    </row>
    <row r="185" spans="2:61">
      <c r="B185" s="435"/>
      <c r="C185" s="823"/>
      <c r="D185" s="926" t="s">
        <v>85</v>
      </c>
      <c r="E185" s="823"/>
      <c r="F185" s="823"/>
      <c r="G185" s="447"/>
      <c r="H185" s="209"/>
      <c r="I185" s="406" t="s">
        <v>498</v>
      </c>
      <c r="J185" s="405"/>
      <c r="K185" s="209"/>
      <c r="L185" s="209"/>
      <c r="M185" s="209"/>
      <c r="N185" s="209"/>
      <c r="O185" s="209"/>
      <c r="P185" s="298">
        <v>0</v>
      </c>
      <c r="Q185" s="299">
        <v>0</v>
      </c>
      <c r="R185" s="460">
        <v>0</v>
      </c>
      <c r="S185" s="298">
        <v>0</v>
      </c>
      <c r="T185" s="298">
        <v>0</v>
      </c>
      <c r="U185" s="298">
        <v>0</v>
      </c>
      <c r="V185" s="299">
        <v>0</v>
      </c>
      <c r="W185" s="441"/>
      <c r="X185" s="406" t="s">
        <v>498</v>
      </c>
      <c r="Y185" s="405"/>
      <c r="Z185" s="209"/>
      <c r="AA185" s="209"/>
      <c r="AB185" s="209"/>
      <c r="AC185" s="209"/>
      <c r="AD185" s="209"/>
      <c r="AE185" s="298">
        <v>0</v>
      </c>
      <c r="AF185" s="299">
        <v>0</v>
      </c>
      <c r="AG185" s="460">
        <v>0</v>
      </c>
      <c r="AH185" s="298">
        <v>0</v>
      </c>
      <c r="AI185" s="298">
        <v>0</v>
      </c>
      <c r="AJ185" s="298">
        <v>0</v>
      </c>
      <c r="AK185" s="299">
        <v>0</v>
      </c>
      <c r="AL185" s="1137"/>
      <c r="AM185" s="1137"/>
      <c r="AN185" s="1137"/>
      <c r="AO185" s="1137"/>
      <c r="AP185" s="1137"/>
      <c r="AQ185" s="1137"/>
      <c r="AR185" s="1137"/>
      <c r="AS185" s="1137"/>
      <c r="AT185" s="1137"/>
      <c r="AU185" s="1137"/>
      <c r="AV185" s="1137"/>
      <c r="AW185" s="1137"/>
      <c r="AX185" s="1137"/>
      <c r="AY185" s="1137"/>
      <c r="AZ185" s="1137"/>
      <c r="BA185" s="1137"/>
      <c r="BB185" s="1462"/>
      <c r="BC185" s="1461"/>
      <c r="BD185" s="211">
        <v>0</v>
      </c>
      <c r="BE185" s="211"/>
      <c r="BF185" s="214"/>
    </row>
    <row r="186" spans="2:61">
      <c r="B186" s="435"/>
      <c r="C186" s="823"/>
      <c r="D186" s="926" t="s">
        <v>85</v>
      </c>
      <c r="E186" s="823"/>
      <c r="F186" s="823"/>
      <c r="G186" s="447"/>
      <c r="H186" s="209"/>
      <c r="I186" s="406" t="s">
        <v>498</v>
      </c>
      <c r="J186" s="405"/>
      <c r="K186" s="209"/>
      <c r="L186" s="209"/>
      <c r="M186" s="209"/>
      <c r="N186" s="209"/>
      <c r="O186" s="209"/>
      <c r="P186" s="298">
        <v>0</v>
      </c>
      <c r="Q186" s="299">
        <v>0</v>
      </c>
      <c r="R186" s="460">
        <v>0</v>
      </c>
      <c r="S186" s="298">
        <v>0</v>
      </c>
      <c r="T186" s="298">
        <v>0</v>
      </c>
      <c r="U186" s="298">
        <v>0</v>
      </c>
      <c r="V186" s="299">
        <v>0</v>
      </c>
      <c r="W186" s="441"/>
      <c r="X186" s="406" t="s">
        <v>498</v>
      </c>
      <c r="Y186" s="405"/>
      <c r="Z186" s="209"/>
      <c r="AA186" s="209"/>
      <c r="AB186" s="209"/>
      <c r="AC186" s="209"/>
      <c r="AD186" s="209"/>
      <c r="AE186" s="298">
        <v>0</v>
      </c>
      <c r="AF186" s="299">
        <v>0</v>
      </c>
      <c r="AG186" s="460">
        <v>0</v>
      </c>
      <c r="AH186" s="298">
        <v>0</v>
      </c>
      <c r="AI186" s="298">
        <v>0</v>
      </c>
      <c r="AJ186" s="298">
        <v>0</v>
      </c>
      <c r="AK186" s="299">
        <v>0</v>
      </c>
      <c r="AL186" s="1137"/>
      <c r="AM186" s="1137"/>
      <c r="AN186" s="1137"/>
      <c r="AO186" s="1137"/>
      <c r="AP186" s="1137"/>
      <c r="AQ186" s="1137"/>
      <c r="AR186" s="1137"/>
      <c r="AS186" s="1137"/>
      <c r="AT186" s="1137"/>
      <c r="AU186" s="1137"/>
      <c r="AV186" s="1137"/>
      <c r="AW186" s="1137"/>
      <c r="AX186" s="1137"/>
      <c r="AY186" s="1137"/>
      <c r="AZ186" s="1137"/>
      <c r="BA186" s="1137"/>
      <c r="BB186" s="1462"/>
      <c r="BC186" s="1461"/>
      <c r="BD186" s="211">
        <v>0</v>
      </c>
      <c r="BE186" s="211"/>
      <c r="BF186" s="214"/>
    </row>
    <row r="187" spans="2:61">
      <c r="B187" s="435"/>
      <c r="C187" s="823"/>
      <c r="D187" s="926" t="s">
        <v>85</v>
      </c>
      <c r="E187" s="823"/>
      <c r="F187" s="823"/>
      <c r="G187" s="447"/>
      <c r="H187" s="209"/>
      <c r="I187" s="406" t="s">
        <v>498</v>
      </c>
      <c r="J187" s="405"/>
      <c r="K187" s="209"/>
      <c r="L187" s="209"/>
      <c r="M187" s="209"/>
      <c r="N187" s="209"/>
      <c r="O187" s="209"/>
      <c r="P187" s="298">
        <v>0</v>
      </c>
      <c r="Q187" s="299">
        <v>0</v>
      </c>
      <c r="R187" s="460">
        <v>0</v>
      </c>
      <c r="S187" s="298">
        <v>0</v>
      </c>
      <c r="T187" s="298">
        <v>0</v>
      </c>
      <c r="U187" s="298">
        <v>0</v>
      </c>
      <c r="V187" s="299">
        <v>0</v>
      </c>
      <c r="W187" s="441"/>
      <c r="X187" s="406" t="s">
        <v>498</v>
      </c>
      <c r="Y187" s="405"/>
      <c r="Z187" s="209"/>
      <c r="AA187" s="209"/>
      <c r="AB187" s="209"/>
      <c r="AC187" s="209"/>
      <c r="AD187" s="209"/>
      <c r="AE187" s="298">
        <v>0</v>
      </c>
      <c r="AF187" s="299">
        <v>0</v>
      </c>
      <c r="AG187" s="460">
        <v>0</v>
      </c>
      <c r="AH187" s="298">
        <v>0</v>
      </c>
      <c r="AI187" s="298">
        <v>0</v>
      </c>
      <c r="AJ187" s="298">
        <v>0</v>
      </c>
      <c r="AK187" s="299">
        <v>0</v>
      </c>
      <c r="AL187" s="1137"/>
      <c r="AM187" s="1137"/>
      <c r="AN187" s="1137"/>
      <c r="AO187" s="1137"/>
      <c r="AP187" s="1137"/>
      <c r="AQ187" s="1137"/>
      <c r="AR187" s="1137"/>
      <c r="AS187" s="1137"/>
      <c r="AT187" s="1137"/>
      <c r="AU187" s="1137"/>
      <c r="AV187" s="1137"/>
      <c r="AW187" s="1137"/>
      <c r="AX187" s="1137"/>
      <c r="AY187" s="1137"/>
      <c r="AZ187" s="1137"/>
      <c r="BA187" s="1137"/>
      <c r="BB187" s="1462"/>
      <c r="BC187" s="1461"/>
      <c r="BD187" s="211">
        <v>0</v>
      </c>
      <c r="BE187" s="211"/>
      <c r="BF187" s="214"/>
    </row>
    <row r="188" spans="2:61">
      <c r="B188" s="435"/>
      <c r="C188" s="823"/>
      <c r="D188" s="926" t="s">
        <v>85</v>
      </c>
      <c r="E188" s="823"/>
      <c r="F188" s="823"/>
      <c r="G188" s="447"/>
      <c r="H188" s="209"/>
      <c r="I188" s="406" t="s">
        <v>498</v>
      </c>
      <c r="J188" s="405"/>
      <c r="K188" s="209"/>
      <c r="L188" s="209"/>
      <c r="M188" s="209"/>
      <c r="N188" s="209"/>
      <c r="O188" s="209"/>
      <c r="P188" s="298">
        <v>0</v>
      </c>
      <c r="Q188" s="299">
        <v>0</v>
      </c>
      <c r="R188" s="460">
        <v>0</v>
      </c>
      <c r="S188" s="298">
        <v>0</v>
      </c>
      <c r="T188" s="298">
        <v>0</v>
      </c>
      <c r="U188" s="298">
        <v>0</v>
      </c>
      <c r="V188" s="299">
        <v>0</v>
      </c>
      <c r="W188" s="441"/>
      <c r="X188" s="406" t="s">
        <v>498</v>
      </c>
      <c r="Y188" s="405"/>
      <c r="Z188" s="209"/>
      <c r="AA188" s="209"/>
      <c r="AB188" s="209"/>
      <c r="AC188" s="209"/>
      <c r="AD188" s="209"/>
      <c r="AE188" s="298">
        <v>0</v>
      </c>
      <c r="AF188" s="299">
        <v>0</v>
      </c>
      <c r="AG188" s="460">
        <v>0</v>
      </c>
      <c r="AH188" s="298">
        <v>0</v>
      </c>
      <c r="AI188" s="298">
        <v>0</v>
      </c>
      <c r="AJ188" s="298">
        <v>0</v>
      </c>
      <c r="AK188" s="299">
        <v>0</v>
      </c>
      <c r="AL188" s="1137"/>
      <c r="AM188" s="1137"/>
      <c r="AN188" s="1137"/>
      <c r="AO188" s="1137"/>
      <c r="AP188" s="1137"/>
      <c r="AQ188" s="1137"/>
      <c r="AR188" s="1137"/>
      <c r="AS188" s="1137"/>
      <c r="AT188" s="1137"/>
      <c r="AU188" s="1137"/>
      <c r="AV188" s="1137"/>
      <c r="AW188" s="1137"/>
      <c r="AX188" s="1137"/>
      <c r="AY188" s="1137"/>
      <c r="AZ188" s="1137"/>
      <c r="BA188" s="1137"/>
      <c r="BB188" s="1462"/>
      <c r="BC188" s="1461"/>
      <c r="BD188" s="211">
        <v>0</v>
      </c>
      <c r="BE188" s="211"/>
      <c r="BF188" s="214"/>
    </row>
    <row r="189" spans="2:61">
      <c r="B189" s="435"/>
      <c r="C189" s="823"/>
      <c r="D189" s="926" t="s">
        <v>85</v>
      </c>
      <c r="E189" s="823"/>
      <c r="F189" s="823"/>
      <c r="G189" s="447"/>
      <c r="H189" s="209"/>
      <c r="I189" s="406" t="s">
        <v>498</v>
      </c>
      <c r="J189" s="405"/>
      <c r="K189" s="209"/>
      <c r="L189" s="209"/>
      <c r="M189" s="209"/>
      <c r="N189" s="209"/>
      <c r="O189" s="209"/>
      <c r="P189" s="298">
        <v>0</v>
      </c>
      <c r="Q189" s="299">
        <v>0</v>
      </c>
      <c r="R189" s="460">
        <v>0</v>
      </c>
      <c r="S189" s="298">
        <v>0</v>
      </c>
      <c r="T189" s="298">
        <v>0</v>
      </c>
      <c r="U189" s="298">
        <v>0</v>
      </c>
      <c r="V189" s="299">
        <v>0</v>
      </c>
      <c r="W189" s="441"/>
      <c r="X189" s="406" t="s">
        <v>498</v>
      </c>
      <c r="Y189" s="405"/>
      <c r="Z189" s="209"/>
      <c r="AA189" s="209"/>
      <c r="AB189" s="209"/>
      <c r="AC189" s="209"/>
      <c r="AD189" s="209"/>
      <c r="AE189" s="298">
        <v>0</v>
      </c>
      <c r="AF189" s="299">
        <v>0</v>
      </c>
      <c r="AG189" s="460">
        <v>0</v>
      </c>
      <c r="AH189" s="298">
        <v>0</v>
      </c>
      <c r="AI189" s="298">
        <v>0</v>
      </c>
      <c r="AJ189" s="298">
        <v>0</v>
      </c>
      <c r="AK189" s="299">
        <v>0</v>
      </c>
      <c r="AL189" s="1137"/>
      <c r="AM189" s="1137"/>
      <c r="AN189" s="1137"/>
      <c r="AO189" s="1137"/>
      <c r="AP189" s="1137"/>
      <c r="AQ189" s="1137"/>
      <c r="AR189" s="1137"/>
      <c r="AS189" s="1137"/>
      <c r="AT189" s="1137"/>
      <c r="AU189" s="1137"/>
      <c r="AV189" s="1137"/>
      <c r="AW189" s="1137"/>
      <c r="AX189" s="1137"/>
      <c r="AY189" s="1137"/>
      <c r="AZ189" s="1137"/>
      <c r="BA189" s="1137"/>
      <c r="BB189" s="1462"/>
      <c r="BC189" s="1461"/>
      <c r="BD189" s="211">
        <v>0</v>
      </c>
      <c r="BE189" s="211"/>
      <c r="BF189" s="214"/>
    </row>
    <row r="190" spans="2:61">
      <c r="B190" s="435"/>
      <c r="C190" s="823"/>
      <c r="D190" s="926" t="s">
        <v>85</v>
      </c>
      <c r="E190" s="823"/>
      <c r="F190" s="823"/>
      <c r="G190" s="447"/>
      <c r="H190" s="209"/>
      <c r="I190" s="406" t="s">
        <v>498</v>
      </c>
      <c r="J190" s="405"/>
      <c r="K190" s="209"/>
      <c r="L190" s="209"/>
      <c r="M190" s="209"/>
      <c r="N190" s="209"/>
      <c r="O190" s="209"/>
      <c r="P190" s="298">
        <v>0</v>
      </c>
      <c r="Q190" s="299">
        <v>0</v>
      </c>
      <c r="R190" s="460">
        <v>0</v>
      </c>
      <c r="S190" s="298">
        <v>0</v>
      </c>
      <c r="T190" s="298">
        <v>0</v>
      </c>
      <c r="U190" s="298">
        <v>0</v>
      </c>
      <c r="V190" s="299">
        <v>0</v>
      </c>
      <c r="W190" s="441"/>
      <c r="X190" s="406" t="s">
        <v>498</v>
      </c>
      <c r="Y190" s="405"/>
      <c r="Z190" s="209"/>
      <c r="AA190" s="209"/>
      <c r="AB190" s="209"/>
      <c r="AC190" s="209"/>
      <c r="AD190" s="209"/>
      <c r="AE190" s="298">
        <v>0</v>
      </c>
      <c r="AF190" s="299">
        <v>0</v>
      </c>
      <c r="AG190" s="460">
        <v>0</v>
      </c>
      <c r="AH190" s="298">
        <v>0</v>
      </c>
      <c r="AI190" s="298">
        <v>0</v>
      </c>
      <c r="AJ190" s="298">
        <v>0</v>
      </c>
      <c r="AK190" s="299">
        <v>0</v>
      </c>
      <c r="AL190" s="1137"/>
      <c r="AM190" s="1137"/>
      <c r="AN190" s="1137"/>
      <c r="AO190" s="1137"/>
      <c r="AP190" s="1137"/>
      <c r="AQ190" s="1137"/>
      <c r="AR190" s="1137"/>
      <c r="AS190" s="1137"/>
      <c r="AT190" s="1137"/>
      <c r="AU190" s="1137"/>
      <c r="AV190" s="1137"/>
      <c r="AW190" s="1137"/>
      <c r="AX190" s="1137"/>
      <c r="AY190" s="1137"/>
      <c r="AZ190" s="1137"/>
      <c r="BA190" s="1137"/>
      <c r="BB190" s="1462"/>
      <c r="BC190" s="1461"/>
      <c r="BD190" s="211">
        <v>0</v>
      </c>
      <c r="BE190" s="211"/>
      <c r="BF190" s="214"/>
    </row>
    <row r="191" spans="2:61">
      <c r="B191" s="435"/>
      <c r="C191" s="823"/>
      <c r="D191" s="926" t="s">
        <v>85</v>
      </c>
      <c r="E191" s="823"/>
      <c r="F191" s="823"/>
      <c r="G191" s="447"/>
      <c r="H191" s="209"/>
      <c r="I191" s="406" t="s">
        <v>498</v>
      </c>
      <c r="J191" s="405"/>
      <c r="K191" s="209"/>
      <c r="L191" s="209"/>
      <c r="M191" s="209"/>
      <c r="N191" s="209"/>
      <c r="O191" s="209"/>
      <c r="P191" s="298">
        <v>0</v>
      </c>
      <c r="Q191" s="299">
        <v>0</v>
      </c>
      <c r="R191" s="460">
        <v>0</v>
      </c>
      <c r="S191" s="298">
        <v>0</v>
      </c>
      <c r="T191" s="298">
        <v>0</v>
      </c>
      <c r="U191" s="298">
        <v>0</v>
      </c>
      <c r="V191" s="299">
        <v>0</v>
      </c>
      <c r="W191" s="441"/>
      <c r="X191" s="406" t="s">
        <v>498</v>
      </c>
      <c r="Y191" s="405"/>
      <c r="Z191" s="209"/>
      <c r="AA191" s="209"/>
      <c r="AB191" s="209"/>
      <c r="AC191" s="209"/>
      <c r="AD191" s="209"/>
      <c r="AE191" s="298">
        <v>0</v>
      </c>
      <c r="AF191" s="299">
        <v>0</v>
      </c>
      <c r="AG191" s="460">
        <v>0</v>
      </c>
      <c r="AH191" s="298">
        <v>0</v>
      </c>
      <c r="AI191" s="298">
        <v>0</v>
      </c>
      <c r="AJ191" s="298">
        <v>0</v>
      </c>
      <c r="AK191" s="299">
        <v>0</v>
      </c>
      <c r="AL191" s="1137"/>
      <c r="AM191" s="1137"/>
      <c r="AN191" s="1137"/>
      <c r="AO191" s="1137"/>
      <c r="AP191" s="1137"/>
      <c r="AQ191" s="1137"/>
      <c r="AR191" s="1137"/>
      <c r="AS191" s="1137"/>
      <c r="AT191" s="1137"/>
      <c r="AU191" s="1137"/>
      <c r="AV191" s="1137"/>
      <c r="AW191" s="1137"/>
      <c r="AX191" s="1137"/>
      <c r="AY191" s="1137"/>
      <c r="AZ191" s="1137"/>
      <c r="BA191" s="1137"/>
      <c r="BB191" s="1462"/>
      <c r="BC191" s="1461"/>
      <c r="BD191" s="211">
        <v>0</v>
      </c>
      <c r="BE191" s="211"/>
      <c r="BF191" s="214"/>
    </row>
    <row r="192" spans="2:61">
      <c r="B192" s="435"/>
      <c r="C192" s="823"/>
      <c r="D192" s="926" t="s">
        <v>85</v>
      </c>
      <c r="E192" s="823"/>
      <c r="F192" s="823"/>
      <c r="G192" s="447"/>
      <c r="H192" s="209"/>
      <c r="I192" s="406" t="s">
        <v>498</v>
      </c>
      <c r="J192" s="405"/>
      <c r="K192" s="209"/>
      <c r="L192" s="209"/>
      <c r="M192" s="209"/>
      <c r="N192" s="209"/>
      <c r="O192" s="209"/>
      <c r="P192" s="298">
        <v>0</v>
      </c>
      <c r="Q192" s="299">
        <v>0</v>
      </c>
      <c r="R192" s="460">
        <v>0</v>
      </c>
      <c r="S192" s="298">
        <v>0</v>
      </c>
      <c r="T192" s="298">
        <v>0</v>
      </c>
      <c r="U192" s="298">
        <v>0</v>
      </c>
      <c r="V192" s="299">
        <v>0</v>
      </c>
      <c r="W192" s="441"/>
      <c r="X192" s="406" t="s">
        <v>498</v>
      </c>
      <c r="Y192" s="405"/>
      <c r="Z192" s="209"/>
      <c r="AA192" s="209"/>
      <c r="AB192" s="209"/>
      <c r="AC192" s="209"/>
      <c r="AD192" s="209"/>
      <c r="AE192" s="298">
        <v>0</v>
      </c>
      <c r="AF192" s="299">
        <v>0</v>
      </c>
      <c r="AG192" s="460">
        <v>0</v>
      </c>
      <c r="AH192" s="298">
        <v>0</v>
      </c>
      <c r="AI192" s="298">
        <v>0</v>
      </c>
      <c r="AJ192" s="298">
        <v>0</v>
      </c>
      <c r="AK192" s="299">
        <v>0</v>
      </c>
      <c r="AL192" s="1137"/>
      <c r="AM192" s="1137"/>
      <c r="AN192" s="1137"/>
      <c r="AO192" s="1137"/>
      <c r="AP192" s="1137"/>
      <c r="AQ192" s="1137"/>
      <c r="AR192" s="1137"/>
      <c r="AS192" s="1137"/>
      <c r="AT192" s="1137"/>
      <c r="AU192" s="1137"/>
      <c r="AV192" s="1137"/>
      <c r="AW192" s="1137"/>
      <c r="AX192" s="1137"/>
      <c r="AY192" s="1137"/>
      <c r="AZ192" s="1137"/>
      <c r="BA192" s="1137"/>
      <c r="BB192" s="1462"/>
      <c r="BC192" s="1461"/>
      <c r="BD192" s="211">
        <v>0</v>
      </c>
      <c r="BE192" s="211"/>
      <c r="BF192" s="214"/>
    </row>
    <row r="193" spans="2:60">
      <c r="B193" s="435"/>
      <c r="C193" s="823"/>
      <c r="D193" s="926" t="s">
        <v>85</v>
      </c>
      <c r="E193" s="823"/>
      <c r="F193" s="823"/>
      <c r="G193" s="447"/>
      <c r="H193" s="209"/>
      <c r="I193" s="406" t="s">
        <v>498</v>
      </c>
      <c r="J193" s="405"/>
      <c r="K193" s="209"/>
      <c r="L193" s="209"/>
      <c r="M193" s="209"/>
      <c r="N193" s="209"/>
      <c r="O193" s="209"/>
      <c r="P193" s="298">
        <v>0</v>
      </c>
      <c r="Q193" s="299">
        <v>0</v>
      </c>
      <c r="R193" s="460">
        <v>0</v>
      </c>
      <c r="S193" s="298">
        <v>0</v>
      </c>
      <c r="T193" s="298">
        <v>0</v>
      </c>
      <c r="U193" s="298">
        <v>0</v>
      </c>
      <c r="V193" s="299">
        <v>0</v>
      </c>
      <c r="W193" s="441"/>
      <c r="X193" s="406" t="s">
        <v>498</v>
      </c>
      <c r="Y193" s="405"/>
      <c r="Z193" s="209"/>
      <c r="AA193" s="209"/>
      <c r="AB193" s="209"/>
      <c r="AC193" s="209"/>
      <c r="AD193" s="209"/>
      <c r="AE193" s="298">
        <v>0</v>
      </c>
      <c r="AF193" s="299">
        <v>0</v>
      </c>
      <c r="AG193" s="460">
        <v>0</v>
      </c>
      <c r="AH193" s="298">
        <v>0</v>
      </c>
      <c r="AI193" s="298">
        <v>0</v>
      </c>
      <c r="AJ193" s="298">
        <v>0</v>
      </c>
      <c r="AK193" s="299">
        <v>0</v>
      </c>
      <c r="AL193" s="1137"/>
      <c r="AM193" s="1137"/>
      <c r="AN193" s="1137"/>
      <c r="AO193" s="1137"/>
      <c r="AP193" s="1137"/>
      <c r="AQ193" s="1137"/>
      <c r="AR193" s="1137"/>
      <c r="AS193" s="1137"/>
      <c r="AT193" s="1137"/>
      <c r="AU193" s="1137"/>
      <c r="AV193" s="1137"/>
      <c r="AW193" s="1137"/>
      <c r="AX193" s="1137"/>
      <c r="AY193" s="1137"/>
      <c r="AZ193" s="1137"/>
      <c r="BA193" s="1137"/>
      <c r="BB193" s="1462"/>
      <c r="BC193" s="1461"/>
      <c r="BD193" s="211">
        <v>0</v>
      </c>
      <c r="BE193" s="211"/>
      <c r="BF193" s="214"/>
    </row>
    <row r="194" spans="2:60">
      <c r="B194" s="435"/>
      <c r="C194" s="823"/>
      <c r="D194" s="926" t="s">
        <v>85</v>
      </c>
      <c r="E194" s="823"/>
      <c r="F194" s="823"/>
      <c r="G194" s="447"/>
      <c r="H194" s="209"/>
      <c r="I194" s="406" t="s">
        <v>498</v>
      </c>
      <c r="J194" s="405"/>
      <c r="K194" s="209"/>
      <c r="L194" s="209"/>
      <c r="M194" s="209"/>
      <c r="N194" s="209"/>
      <c r="O194" s="209"/>
      <c r="P194" s="298">
        <v>0</v>
      </c>
      <c r="Q194" s="299">
        <v>0</v>
      </c>
      <c r="R194" s="460">
        <v>0</v>
      </c>
      <c r="S194" s="298">
        <v>0</v>
      </c>
      <c r="T194" s="298">
        <v>0</v>
      </c>
      <c r="U194" s="298">
        <v>0</v>
      </c>
      <c r="V194" s="299">
        <v>0</v>
      </c>
      <c r="W194" s="441"/>
      <c r="X194" s="406" t="s">
        <v>498</v>
      </c>
      <c r="Y194" s="405"/>
      <c r="Z194" s="209"/>
      <c r="AA194" s="209"/>
      <c r="AB194" s="209"/>
      <c r="AC194" s="209"/>
      <c r="AD194" s="209"/>
      <c r="AE194" s="298">
        <v>0</v>
      </c>
      <c r="AF194" s="299">
        <v>0</v>
      </c>
      <c r="AG194" s="460">
        <v>0</v>
      </c>
      <c r="AH194" s="298">
        <v>0</v>
      </c>
      <c r="AI194" s="298">
        <v>0</v>
      </c>
      <c r="AJ194" s="298">
        <v>0</v>
      </c>
      <c r="AK194" s="299">
        <v>0</v>
      </c>
      <c r="AL194" s="1137"/>
      <c r="AM194" s="1137"/>
      <c r="AN194" s="1137"/>
      <c r="AO194" s="1137"/>
      <c r="AP194" s="1137"/>
      <c r="AQ194" s="1137"/>
      <c r="AR194" s="1137"/>
      <c r="AS194" s="1137"/>
      <c r="AT194" s="1137"/>
      <c r="AU194" s="1137"/>
      <c r="AV194" s="1137"/>
      <c r="AW194" s="1137"/>
      <c r="AX194" s="1137"/>
      <c r="AY194" s="1137"/>
      <c r="AZ194" s="1137"/>
      <c r="BA194" s="1137"/>
      <c r="BB194" s="1462"/>
      <c r="BC194" s="1461"/>
      <c r="BD194" s="211">
        <v>0</v>
      </c>
      <c r="BE194" s="211"/>
      <c r="BF194" s="214"/>
    </row>
    <row r="195" spans="2:60">
      <c r="B195" s="435"/>
      <c r="C195" s="823"/>
      <c r="D195" s="926" t="s">
        <v>85</v>
      </c>
      <c r="E195" s="823"/>
      <c r="F195" s="823"/>
      <c r="G195" s="447"/>
      <c r="H195" s="209"/>
      <c r="I195" s="406" t="s">
        <v>498</v>
      </c>
      <c r="J195" s="405"/>
      <c r="K195" s="209"/>
      <c r="L195" s="209"/>
      <c r="M195" s="209"/>
      <c r="N195" s="209"/>
      <c r="O195" s="209"/>
      <c r="P195" s="298">
        <v>0</v>
      </c>
      <c r="Q195" s="299">
        <v>0</v>
      </c>
      <c r="R195" s="460">
        <v>0</v>
      </c>
      <c r="S195" s="298">
        <v>0</v>
      </c>
      <c r="T195" s="298">
        <v>0</v>
      </c>
      <c r="U195" s="298">
        <v>0</v>
      </c>
      <c r="V195" s="299">
        <v>0</v>
      </c>
      <c r="W195" s="441"/>
      <c r="X195" s="406" t="s">
        <v>498</v>
      </c>
      <c r="Y195" s="405"/>
      <c r="Z195" s="209"/>
      <c r="AA195" s="209"/>
      <c r="AB195" s="209"/>
      <c r="AC195" s="209"/>
      <c r="AD195" s="209"/>
      <c r="AE195" s="298">
        <v>0</v>
      </c>
      <c r="AF195" s="299">
        <v>0</v>
      </c>
      <c r="AG195" s="460">
        <v>0</v>
      </c>
      <c r="AH195" s="298">
        <v>0</v>
      </c>
      <c r="AI195" s="298">
        <v>0</v>
      </c>
      <c r="AJ195" s="298">
        <v>0</v>
      </c>
      <c r="AK195" s="299">
        <v>0</v>
      </c>
      <c r="AL195" s="1137"/>
      <c r="AM195" s="1137"/>
      <c r="AN195" s="1137"/>
      <c r="AO195" s="1137"/>
      <c r="AP195" s="1137"/>
      <c r="AQ195" s="1137"/>
      <c r="AR195" s="1137"/>
      <c r="AS195" s="1137"/>
      <c r="AT195" s="1137"/>
      <c r="AU195" s="1137"/>
      <c r="AV195" s="1137"/>
      <c r="AW195" s="1137"/>
      <c r="AX195" s="1137"/>
      <c r="AY195" s="1137"/>
      <c r="AZ195" s="1137"/>
      <c r="BA195" s="1137"/>
      <c r="BB195" s="1462"/>
      <c r="BC195" s="1461"/>
      <c r="BD195" s="211">
        <v>0</v>
      </c>
      <c r="BE195" s="211"/>
      <c r="BF195" s="214"/>
    </row>
    <row r="196" spans="2:60">
      <c r="B196" s="435"/>
      <c r="C196" s="823"/>
      <c r="D196" s="926" t="s">
        <v>85</v>
      </c>
      <c r="E196" s="823"/>
      <c r="F196" s="823"/>
      <c r="G196" s="447"/>
      <c r="H196" s="209"/>
      <c r="I196" s="406" t="s">
        <v>498</v>
      </c>
      <c r="J196" s="405"/>
      <c r="K196" s="209"/>
      <c r="L196" s="209"/>
      <c r="M196" s="209"/>
      <c r="N196" s="209"/>
      <c r="O196" s="209"/>
      <c r="P196" s="298">
        <v>0</v>
      </c>
      <c r="Q196" s="299">
        <v>0</v>
      </c>
      <c r="R196" s="460">
        <v>0</v>
      </c>
      <c r="S196" s="298">
        <v>0</v>
      </c>
      <c r="T196" s="298">
        <v>0</v>
      </c>
      <c r="U196" s="298">
        <v>0</v>
      </c>
      <c r="V196" s="299">
        <v>0</v>
      </c>
      <c r="W196" s="441"/>
      <c r="X196" s="406" t="s">
        <v>498</v>
      </c>
      <c r="Y196" s="405"/>
      <c r="Z196" s="209"/>
      <c r="AA196" s="209"/>
      <c r="AB196" s="209"/>
      <c r="AC196" s="209"/>
      <c r="AD196" s="209"/>
      <c r="AE196" s="298">
        <v>0</v>
      </c>
      <c r="AF196" s="299">
        <v>0</v>
      </c>
      <c r="AG196" s="460">
        <v>0</v>
      </c>
      <c r="AH196" s="298">
        <v>0</v>
      </c>
      <c r="AI196" s="298">
        <v>0</v>
      </c>
      <c r="AJ196" s="298">
        <v>0</v>
      </c>
      <c r="AK196" s="299">
        <v>0</v>
      </c>
      <c r="AL196" s="1137"/>
      <c r="AM196" s="1137"/>
      <c r="AN196" s="1137"/>
      <c r="AO196" s="1137"/>
      <c r="AP196" s="1137"/>
      <c r="AQ196" s="1137"/>
      <c r="AR196" s="1137"/>
      <c r="AS196" s="1137"/>
      <c r="AT196" s="1137"/>
      <c r="AU196" s="1137"/>
      <c r="AV196" s="1137"/>
      <c r="AW196" s="1137"/>
      <c r="AX196" s="1137"/>
      <c r="AY196" s="1137"/>
      <c r="AZ196" s="1137"/>
      <c r="BA196" s="1137"/>
      <c r="BB196" s="1462"/>
      <c r="BC196" s="1461"/>
      <c r="BD196" s="211">
        <v>0</v>
      </c>
      <c r="BE196" s="211"/>
      <c r="BF196" s="214"/>
    </row>
    <row r="197" spans="2:60">
      <c r="B197" s="435"/>
      <c r="C197" s="823"/>
      <c r="D197" s="926" t="s">
        <v>85</v>
      </c>
      <c r="E197" s="823"/>
      <c r="F197" s="823"/>
      <c r="G197" s="447"/>
      <c r="H197" s="209"/>
      <c r="I197" s="406" t="s">
        <v>498</v>
      </c>
      <c r="J197" s="405"/>
      <c r="K197" s="209"/>
      <c r="L197" s="209"/>
      <c r="M197" s="209"/>
      <c r="N197" s="209"/>
      <c r="O197" s="209"/>
      <c r="P197" s="298">
        <v>0</v>
      </c>
      <c r="Q197" s="299">
        <v>0</v>
      </c>
      <c r="R197" s="460">
        <v>0</v>
      </c>
      <c r="S197" s="298">
        <v>0</v>
      </c>
      <c r="T197" s="298">
        <v>0</v>
      </c>
      <c r="U197" s="298">
        <v>0</v>
      </c>
      <c r="V197" s="299">
        <v>0</v>
      </c>
      <c r="W197" s="441"/>
      <c r="X197" s="406" t="s">
        <v>498</v>
      </c>
      <c r="Y197" s="405"/>
      <c r="Z197" s="209"/>
      <c r="AA197" s="209"/>
      <c r="AB197" s="209"/>
      <c r="AC197" s="209"/>
      <c r="AD197" s="209"/>
      <c r="AE197" s="298">
        <v>0</v>
      </c>
      <c r="AF197" s="299">
        <v>0</v>
      </c>
      <c r="AG197" s="460">
        <v>0</v>
      </c>
      <c r="AH197" s="298">
        <v>0</v>
      </c>
      <c r="AI197" s="298">
        <v>0</v>
      </c>
      <c r="AJ197" s="298">
        <v>0</v>
      </c>
      <c r="AK197" s="299">
        <v>0</v>
      </c>
      <c r="AL197" s="1137"/>
      <c r="AM197" s="1137"/>
      <c r="AN197" s="1137"/>
      <c r="AO197" s="1137"/>
      <c r="AP197" s="1137"/>
      <c r="AQ197" s="1137"/>
      <c r="AR197" s="1137"/>
      <c r="AS197" s="1137"/>
      <c r="AT197" s="1137"/>
      <c r="AU197" s="1137"/>
      <c r="AV197" s="1137"/>
      <c r="AW197" s="1137"/>
      <c r="AX197" s="1137"/>
      <c r="AY197" s="1137"/>
      <c r="AZ197" s="1137"/>
      <c r="BA197" s="1137"/>
      <c r="BB197" s="1462"/>
      <c r="BC197" s="1461"/>
      <c r="BD197" s="211">
        <v>0</v>
      </c>
      <c r="BE197" s="211"/>
      <c r="BF197" s="214"/>
    </row>
    <row r="198" spans="2:60">
      <c r="B198" s="435"/>
      <c r="C198" s="823"/>
      <c r="D198" s="926" t="s">
        <v>85</v>
      </c>
      <c r="E198" s="823"/>
      <c r="F198" s="823"/>
      <c r="G198" s="447"/>
      <c r="H198" s="209"/>
      <c r="I198" s="406" t="s">
        <v>498</v>
      </c>
      <c r="J198" s="405"/>
      <c r="K198" s="209"/>
      <c r="L198" s="209"/>
      <c r="M198" s="209"/>
      <c r="N198" s="209"/>
      <c r="O198" s="209"/>
      <c r="P198" s="298">
        <v>0</v>
      </c>
      <c r="Q198" s="299">
        <v>0</v>
      </c>
      <c r="R198" s="460">
        <v>0</v>
      </c>
      <c r="S198" s="298">
        <v>0</v>
      </c>
      <c r="T198" s="298">
        <v>0</v>
      </c>
      <c r="U198" s="298">
        <v>0</v>
      </c>
      <c r="V198" s="299">
        <v>0</v>
      </c>
      <c r="W198" s="441"/>
      <c r="X198" s="406" t="s">
        <v>498</v>
      </c>
      <c r="Y198" s="405"/>
      <c r="Z198" s="209"/>
      <c r="AA198" s="209"/>
      <c r="AB198" s="209"/>
      <c r="AC198" s="209"/>
      <c r="AD198" s="209"/>
      <c r="AE198" s="298">
        <v>0</v>
      </c>
      <c r="AF198" s="299">
        <v>0</v>
      </c>
      <c r="AG198" s="460">
        <v>0</v>
      </c>
      <c r="AH198" s="298">
        <v>0</v>
      </c>
      <c r="AI198" s="298">
        <v>0</v>
      </c>
      <c r="AJ198" s="298">
        <v>0</v>
      </c>
      <c r="AK198" s="299">
        <v>0</v>
      </c>
      <c r="AL198" s="1137"/>
      <c r="AM198" s="1137"/>
      <c r="AN198" s="1137"/>
      <c r="AO198" s="1137"/>
      <c r="AP198" s="1137"/>
      <c r="AQ198" s="1137"/>
      <c r="AR198" s="1137"/>
      <c r="AS198" s="1137"/>
      <c r="AT198" s="1137"/>
      <c r="AU198" s="1137"/>
      <c r="AV198" s="1137"/>
      <c r="AW198" s="1137"/>
      <c r="AX198" s="1137"/>
      <c r="AY198" s="1137"/>
      <c r="AZ198" s="1137"/>
      <c r="BA198" s="1137"/>
      <c r="BB198" s="1462"/>
      <c r="BC198" s="1461"/>
      <c r="BD198" s="211">
        <v>0</v>
      </c>
      <c r="BE198" s="211"/>
      <c r="BF198" s="214"/>
    </row>
    <row r="199" spans="2:60">
      <c r="B199" s="435"/>
      <c r="C199" s="823"/>
      <c r="D199" s="926" t="s">
        <v>85</v>
      </c>
      <c r="E199" s="823"/>
      <c r="F199" s="823"/>
      <c r="G199" s="447"/>
      <c r="H199" s="209"/>
      <c r="I199" s="406" t="s">
        <v>498</v>
      </c>
      <c r="J199" s="405"/>
      <c r="K199" s="209"/>
      <c r="L199" s="209"/>
      <c r="M199" s="209"/>
      <c r="N199" s="209"/>
      <c r="O199" s="209"/>
      <c r="P199" s="298">
        <v>0</v>
      </c>
      <c r="Q199" s="299">
        <v>0</v>
      </c>
      <c r="R199" s="460">
        <v>0</v>
      </c>
      <c r="S199" s="298">
        <v>0</v>
      </c>
      <c r="T199" s="298">
        <v>0</v>
      </c>
      <c r="U199" s="298">
        <v>0</v>
      </c>
      <c r="V199" s="299">
        <v>0</v>
      </c>
      <c r="W199" s="441"/>
      <c r="X199" s="406" t="s">
        <v>498</v>
      </c>
      <c r="Y199" s="405"/>
      <c r="Z199" s="209"/>
      <c r="AA199" s="209"/>
      <c r="AB199" s="209"/>
      <c r="AC199" s="209"/>
      <c r="AD199" s="209"/>
      <c r="AE199" s="298">
        <v>0</v>
      </c>
      <c r="AF199" s="299">
        <v>0</v>
      </c>
      <c r="AG199" s="460">
        <v>0</v>
      </c>
      <c r="AH199" s="298">
        <v>0</v>
      </c>
      <c r="AI199" s="298">
        <v>0</v>
      </c>
      <c r="AJ199" s="298">
        <v>0</v>
      </c>
      <c r="AK199" s="299">
        <v>0</v>
      </c>
      <c r="AL199" s="1137"/>
      <c r="AM199" s="1137"/>
      <c r="AN199" s="1137"/>
      <c r="AO199" s="1137"/>
      <c r="AP199" s="1137"/>
      <c r="AQ199" s="1137"/>
      <c r="AR199" s="1137"/>
      <c r="AS199" s="1137"/>
      <c r="AT199" s="1137"/>
      <c r="AU199" s="1137"/>
      <c r="AV199" s="1137"/>
      <c r="AW199" s="1137"/>
      <c r="AX199" s="1137"/>
      <c r="AY199" s="1137"/>
      <c r="AZ199" s="1137"/>
      <c r="BA199" s="1137"/>
      <c r="BB199" s="1462"/>
      <c r="BC199" s="1461"/>
      <c r="BD199" s="211">
        <v>0</v>
      </c>
      <c r="BE199" s="211"/>
      <c r="BF199" s="214"/>
    </row>
    <row r="200" spans="2:60">
      <c r="B200" s="435"/>
      <c r="C200" s="823"/>
      <c r="D200" s="926" t="s">
        <v>85</v>
      </c>
      <c r="E200" s="823"/>
      <c r="F200" s="823"/>
      <c r="G200" s="447"/>
      <c r="H200" s="209"/>
      <c r="I200" s="406" t="s">
        <v>498</v>
      </c>
      <c r="J200" s="405"/>
      <c r="K200" s="209"/>
      <c r="L200" s="209"/>
      <c r="M200" s="209"/>
      <c r="N200" s="209"/>
      <c r="O200" s="209"/>
      <c r="P200" s="298">
        <v>0</v>
      </c>
      <c r="Q200" s="299">
        <v>0</v>
      </c>
      <c r="R200" s="460">
        <v>0</v>
      </c>
      <c r="S200" s="298">
        <v>0</v>
      </c>
      <c r="T200" s="298">
        <v>0</v>
      </c>
      <c r="U200" s="298">
        <v>0</v>
      </c>
      <c r="V200" s="299">
        <v>0</v>
      </c>
      <c r="W200" s="441"/>
      <c r="X200" s="406" t="s">
        <v>498</v>
      </c>
      <c r="Y200" s="405"/>
      <c r="Z200" s="209"/>
      <c r="AA200" s="209"/>
      <c r="AB200" s="209"/>
      <c r="AC200" s="209"/>
      <c r="AD200" s="209"/>
      <c r="AE200" s="298">
        <v>0</v>
      </c>
      <c r="AF200" s="299">
        <v>0</v>
      </c>
      <c r="AG200" s="460">
        <v>0</v>
      </c>
      <c r="AH200" s="298">
        <v>0</v>
      </c>
      <c r="AI200" s="298">
        <v>0</v>
      </c>
      <c r="AJ200" s="298">
        <v>0</v>
      </c>
      <c r="AK200" s="299">
        <v>0</v>
      </c>
      <c r="AL200" s="1137"/>
      <c r="AM200" s="1137"/>
      <c r="AN200" s="1137"/>
      <c r="AO200" s="1137"/>
      <c r="AP200" s="1137"/>
      <c r="AQ200" s="1137"/>
      <c r="AR200" s="1137"/>
      <c r="AS200" s="1137"/>
      <c r="AT200" s="1137"/>
      <c r="AU200" s="1137"/>
      <c r="AV200" s="1137"/>
      <c r="AW200" s="1137"/>
      <c r="AX200" s="1137"/>
      <c r="AY200" s="1137"/>
      <c r="AZ200" s="1137"/>
      <c r="BA200" s="1137"/>
      <c r="BB200" s="1462"/>
      <c r="BC200" s="1461"/>
      <c r="BD200" s="211">
        <v>0</v>
      </c>
      <c r="BE200" s="211"/>
      <c r="BF200" s="214"/>
    </row>
    <row r="201" spans="2:60">
      <c r="B201" s="435"/>
      <c r="C201" s="823"/>
      <c r="D201" s="926" t="s">
        <v>85</v>
      </c>
      <c r="E201" s="823"/>
      <c r="F201" s="823"/>
      <c r="G201" s="447"/>
      <c r="H201" s="209"/>
      <c r="I201" s="406" t="s">
        <v>498</v>
      </c>
      <c r="J201" s="405"/>
      <c r="K201" s="209"/>
      <c r="L201" s="209"/>
      <c r="M201" s="209"/>
      <c r="N201" s="209"/>
      <c r="O201" s="209"/>
      <c r="P201" s="298">
        <v>0</v>
      </c>
      <c r="Q201" s="299">
        <v>0</v>
      </c>
      <c r="R201" s="460">
        <v>0</v>
      </c>
      <c r="S201" s="298">
        <v>0</v>
      </c>
      <c r="T201" s="298">
        <v>0</v>
      </c>
      <c r="U201" s="298">
        <v>0</v>
      </c>
      <c r="V201" s="299">
        <v>0</v>
      </c>
      <c r="W201" s="441"/>
      <c r="X201" s="406" t="s">
        <v>498</v>
      </c>
      <c r="Y201" s="405"/>
      <c r="Z201" s="209"/>
      <c r="AA201" s="209"/>
      <c r="AB201" s="209"/>
      <c r="AC201" s="209"/>
      <c r="AD201" s="209"/>
      <c r="AE201" s="298">
        <v>0</v>
      </c>
      <c r="AF201" s="299">
        <v>0</v>
      </c>
      <c r="AG201" s="460">
        <v>0</v>
      </c>
      <c r="AH201" s="298">
        <v>0</v>
      </c>
      <c r="AI201" s="298">
        <v>0</v>
      </c>
      <c r="AJ201" s="298">
        <v>0</v>
      </c>
      <c r="AK201" s="299">
        <v>0</v>
      </c>
      <c r="AL201" s="1137"/>
      <c r="AM201" s="1137"/>
      <c r="AN201" s="1137"/>
      <c r="AO201" s="1137"/>
      <c r="AP201" s="1137"/>
      <c r="AQ201" s="1137"/>
      <c r="AR201" s="1137"/>
      <c r="AS201" s="1137"/>
      <c r="AT201" s="1137"/>
      <c r="AU201" s="1137"/>
      <c r="AV201" s="1137"/>
      <c r="AW201" s="1137"/>
      <c r="AX201" s="1137"/>
      <c r="AY201" s="1137"/>
      <c r="AZ201" s="1137"/>
      <c r="BA201" s="1137"/>
      <c r="BB201" s="1462"/>
      <c r="BC201" s="1461"/>
      <c r="BD201" s="211">
        <v>0</v>
      </c>
      <c r="BE201" s="211"/>
      <c r="BF201" s="214"/>
    </row>
    <row r="202" spans="2:60">
      <c r="B202" s="435"/>
      <c r="C202" s="823"/>
      <c r="D202" s="926" t="s">
        <v>85</v>
      </c>
      <c r="E202" s="823"/>
      <c r="F202" s="823"/>
      <c r="G202" s="447"/>
      <c r="H202" s="209"/>
      <c r="I202" s="406" t="s">
        <v>498</v>
      </c>
      <c r="J202" s="405"/>
      <c r="K202" s="209"/>
      <c r="L202" s="209"/>
      <c r="M202" s="209"/>
      <c r="N202" s="209"/>
      <c r="O202" s="209"/>
      <c r="P202" s="298">
        <v>0</v>
      </c>
      <c r="Q202" s="299">
        <v>0</v>
      </c>
      <c r="R202" s="460">
        <v>0</v>
      </c>
      <c r="S202" s="298">
        <v>0</v>
      </c>
      <c r="T202" s="298">
        <v>0</v>
      </c>
      <c r="U202" s="298">
        <v>0</v>
      </c>
      <c r="V202" s="299">
        <v>0</v>
      </c>
      <c r="W202" s="441"/>
      <c r="X202" s="406" t="s">
        <v>498</v>
      </c>
      <c r="Y202" s="405"/>
      <c r="Z202" s="209"/>
      <c r="AA202" s="209"/>
      <c r="AB202" s="209"/>
      <c r="AC202" s="209"/>
      <c r="AD202" s="209"/>
      <c r="AE202" s="298">
        <v>0</v>
      </c>
      <c r="AF202" s="299">
        <v>0</v>
      </c>
      <c r="AG202" s="460">
        <v>0</v>
      </c>
      <c r="AH202" s="298">
        <v>0</v>
      </c>
      <c r="AI202" s="298">
        <v>0</v>
      </c>
      <c r="AJ202" s="298">
        <v>0</v>
      </c>
      <c r="AK202" s="299">
        <v>0</v>
      </c>
      <c r="AL202" s="1137"/>
      <c r="AM202" s="1137"/>
      <c r="AN202" s="1137"/>
      <c r="AO202" s="1137"/>
      <c r="AP202" s="1137"/>
      <c r="AQ202" s="1137"/>
      <c r="AR202" s="1137"/>
      <c r="AS202" s="1137"/>
      <c r="AT202" s="1137"/>
      <c r="AU202" s="1137"/>
      <c r="AV202" s="1137"/>
      <c r="AW202" s="1137"/>
      <c r="AX202" s="1137"/>
      <c r="AY202" s="1137"/>
      <c r="AZ202" s="1137"/>
      <c r="BA202" s="1137"/>
      <c r="BB202" s="1462"/>
      <c r="BC202" s="1461"/>
      <c r="BD202" s="211">
        <v>0</v>
      </c>
      <c r="BE202" s="211"/>
      <c r="BF202" s="214"/>
    </row>
    <row r="203" spans="2:60">
      <c r="B203" s="435"/>
      <c r="C203" s="823"/>
      <c r="D203" s="926" t="s">
        <v>85</v>
      </c>
      <c r="E203" s="823"/>
      <c r="F203" s="823"/>
      <c r="G203" s="447"/>
      <c r="H203" s="209"/>
      <c r="I203" s="406" t="s">
        <v>498</v>
      </c>
      <c r="J203" s="405"/>
      <c r="K203" s="209"/>
      <c r="L203" s="209"/>
      <c r="M203" s="209"/>
      <c r="N203" s="209"/>
      <c r="O203" s="209"/>
      <c r="P203" s="298">
        <v>0</v>
      </c>
      <c r="Q203" s="299">
        <v>0</v>
      </c>
      <c r="R203" s="460">
        <v>0</v>
      </c>
      <c r="S203" s="298">
        <v>0</v>
      </c>
      <c r="T203" s="298">
        <v>0</v>
      </c>
      <c r="U203" s="298">
        <v>0</v>
      </c>
      <c r="V203" s="299">
        <v>0</v>
      </c>
      <c r="W203" s="441"/>
      <c r="X203" s="406" t="s">
        <v>498</v>
      </c>
      <c r="Y203" s="405"/>
      <c r="Z203" s="209"/>
      <c r="AA203" s="209"/>
      <c r="AB203" s="209"/>
      <c r="AC203" s="209"/>
      <c r="AD203" s="209"/>
      <c r="AE203" s="298">
        <v>0</v>
      </c>
      <c r="AF203" s="299">
        <v>0</v>
      </c>
      <c r="AG203" s="460">
        <v>0</v>
      </c>
      <c r="AH203" s="298">
        <v>0</v>
      </c>
      <c r="AI203" s="298">
        <v>0</v>
      </c>
      <c r="AJ203" s="298">
        <v>0</v>
      </c>
      <c r="AK203" s="299">
        <v>0</v>
      </c>
      <c r="AL203" s="1137"/>
      <c r="AM203" s="1137"/>
      <c r="AN203" s="1137"/>
      <c r="AO203" s="1137"/>
      <c r="AP203" s="1137"/>
      <c r="AQ203" s="1137"/>
      <c r="AR203" s="1137"/>
      <c r="AS203" s="1137"/>
      <c r="AT203" s="1137"/>
      <c r="AU203" s="1137"/>
      <c r="AV203" s="1137"/>
      <c r="AW203" s="1137"/>
      <c r="AX203" s="1137"/>
      <c r="AY203" s="1137"/>
      <c r="AZ203" s="1137"/>
      <c r="BA203" s="1137"/>
      <c r="BB203" s="1462"/>
      <c r="BC203" s="1461"/>
      <c r="BD203" s="211">
        <v>0</v>
      </c>
      <c r="BE203" s="211"/>
      <c r="BF203" s="214"/>
    </row>
    <row r="204" spans="2:60">
      <c r="B204" s="435"/>
      <c r="C204" s="823"/>
      <c r="D204" s="926" t="s">
        <v>85</v>
      </c>
      <c r="E204" s="823"/>
      <c r="F204" s="823"/>
      <c r="G204" s="447"/>
      <c r="H204" s="209"/>
      <c r="I204" s="406" t="s">
        <v>498</v>
      </c>
      <c r="J204" s="405"/>
      <c r="K204" s="209"/>
      <c r="L204" s="209"/>
      <c r="M204" s="209"/>
      <c r="N204" s="209"/>
      <c r="O204" s="209"/>
      <c r="P204" s="298">
        <v>0</v>
      </c>
      <c r="Q204" s="299">
        <v>0</v>
      </c>
      <c r="R204" s="460">
        <v>0</v>
      </c>
      <c r="S204" s="298">
        <v>0</v>
      </c>
      <c r="T204" s="298">
        <v>0</v>
      </c>
      <c r="U204" s="298">
        <v>0</v>
      </c>
      <c r="V204" s="299">
        <v>0</v>
      </c>
      <c r="W204" s="441"/>
      <c r="X204" s="406" t="s">
        <v>498</v>
      </c>
      <c r="Y204" s="405"/>
      <c r="Z204" s="209"/>
      <c r="AA204" s="209"/>
      <c r="AB204" s="209"/>
      <c r="AC204" s="209"/>
      <c r="AD204" s="209"/>
      <c r="AE204" s="298">
        <v>0</v>
      </c>
      <c r="AF204" s="299">
        <v>0</v>
      </c>
      <c r="AG204" s="460">
        <v>0</v>
      </c>
      <c r="AH204" s="298">
        <v>0</v>
      </c>
      <c r="AI204" s="298">
        <v>0</v>
      </c>
      <c r="AJ204" s="298">
        <v>0</v>
      </c>
      <c r="AK204" s="299">
        <v>0</v>
      </c>
      <c r="AL204" s="1137"/>
      <c r="AM204" s="1137"/>
      <c r="AN204" s="1137"/>
      <c r="AO204" s="1137"/>
      <c r="AP204" s="1137"/>
      <c r="AQ204" s="1137"/>
      <c r="AR204" s="1137"/>
      <c r="AS204" s="1137"/>
      <c r="AT204" s="1137"/>
      <c r="AU204" s="1137"/>
      <c r="AV204" s="1137"/>
      <c r="AW204" s="1137"/>
      <c r="AX204" s="1137"/>
      <c r="AY204" s="1137"/>
      <c r="AZ204" s="1137"/>
      <c r="BA204" s="1137"/>
      <c r="BB204" s="1462"/>
      <c r="BC204" s="1461"/>
      <c r="BD204" s="211">
        <v>0</v>
      </c>
      <c r="BE204" s="211"/>
      <c r="BF204" s="214"/>
    </row>
    <row r="205" spans="2:60">
      <c r="B205" s="435"/>
      <c r="C205" s="823"/>
      <c r="D205" s="926" t="s">
        <v>85</v>
      </c>
      <c r="E205" s="823"/>
      <c r="F205" s="823"/>
      <c r="G205" s="447"/>
      <c r="H205" s="209"/>
      <c r="I205" s="406" t="s">
        <v>498</v>
      </c>
      <c r="J205" s="405"/>
      <c r="K205" s="209"/>
      <c r="L205" s="209"/>
      <c r="M205" s="209"/>
      <c r="N205" s="209"/>
      <c r="O205" s="209"/>
      <c r="P205" s="298">
        <v>0</v>
      </c>
      <c r="Q205" s="299">
        <v>0</v>
      </c>
      <c r="R205" s="460">
        <v>0</v>
      </c>
      <c r="S205" s="298">
        <v>0</v>
      </c>
      <c r="T205" s="298">
        <v>0</v>
      </c>
      <c r="U205" s="298">
        <v>0</v>
      </c>
      <c r="V205" s="299">
        <v>0</v>
      </c>
      <c r="W205" s="441"/>
      <c r="X205" s="406" t="s">
        <v>498</v>
      </c>
      <c r="Y205" s="405"/>
      <c r="Z205" s="209"/>
      <c r="AA205" s="209"/>
      <c r="AB205" s="209"/>
      <c r="AC205" s="209"/>
      <c r="AD205" s="209"/>
      <c r="AE205" s="298">
        <v>0</v>
      </c>
      <c r="AF205" s="299">
        <v>0</v>
      </c>
      <c r="AG205" s="460">
        <v>0</v>
      </c>
      <c r="AH205" s="298">
        <v>0</v>
      </c>
      <c r="AI205" s="298">
        <v>0</v>
      </c>
      <c r="AJ205" s="298">
        <v>0</v>
      </c>
      <c r="AK205" s="299">
        <v>0</v>
      </c>
      <c r="AL205" s="1137"/>
      <c r="AM205" s="1137"/>
      <c r="AN205" s="1137"/>
      <c r="AO205" s="1137"/>
      <c r="AP205" s="1137"/>
      <c r="AQ205" s="1137"/>
      <c r="AR205" s="1137"/>
      <c r="AS205" s="1137"/>
      <c r="AT205" s="1137"/>
      <c r="AU205" s="1137"/>
      <c r="AV205" s="1137"/>
      <c r="AW205" s="1137"/>
      <c r="AX205" s="1137"/>
      <c r="AY205" s="1137"/>
      <c r="AZ205" s="1137"/>
      <c r="BA205" s="1137"/>
      <c r="BB205" s="1462"/>
      <c r="BC205" s="1461"/>
      <c r="BD205" s="211">
        <v>0</v>
      </c>
      <c r="BE205" s="211"/>
      <c r="BF205" s="214"/>
    </row>
    <row r="206" spans="2:60">
      <c r="B206" s="435"/>
      <c r="C206" s="823"/>
      <c r="D206" s="926" t="s">
        <v>85</v>
      </c>
      <c r="E206" s="823"/>
      <c r="F206" s="823"/>
      <c r="G206" s="447"/>
      <c r="H206" s="209"/>
      <c r="I206" s="406" t="s">
        <v>498</v>
      </c>
      <c r="J206" s="405"/>
      <c r="K206" s="209"/>
      <c r="L206" s="209"/>
      <c r="M206" s="209"/>
      <c r="N206" s="209"/>
      <c r="O206" s="209"/>
      <c r="P206" s="298">
        <v>0</v>
      </c>
      <c r="Q206" s="299">
        <v>0</v>
      </c>
      <c r="R206" s="460">
        <v>0</v>
      </c>
      <c r="S206" s="298">
        <v>0</v>
      </c>
      <c r="T206" s="298">
        <v>0</v>
      </c>
      <c r="U206" s="298">
        <v>0</v>
      </c>
      <c r="V206" s="299">
        <v>0</v>
      </c>
      <c r="W206" s="441"/>
      <c r="X206" s="406" t="s">
        <v>498</v>
      </c>
      <c r="Y206" s="405"/>
      <c r="Z206" s="209"/>
      <c r="AA206" s="209"/>
      <c r="AB206" s="209"/>
      <c r="AC206" s="209"/>
      <c r="AD206" s="209"/>
      <c r="AE206" s="298">
        <v>0</v>
      </c>
      <c r="AF206" s="299">
        <v>0</v>
      </c>
      <c r="AG206" s="460">
        <v>0</v>
      </c>
      <c r="AH206" s="298">
        <v>0</v>
      </c>
      <c r="AI206" s="298">
        <v>0</v>
      </c>
      <c r="AJ206" s="298">
        <v>0</v>
      </c>
      <c r="AK206" s="299">
        <v>0</v>
      </c>
      <c r="AL206" s="1137"/>
      <c r="AM206" s="1137"/>
      <c r="AN206" s="1137"/>
      <c r="AO206" s="1137"/>
      <c r="AP206" s="1137"/>
      <c r="AQ206" s="1137"/>
      <c r="AR206" s="1137"/>
      <c r="AS206" s="1137"/>
      <c r="AT206" s="1137"/>
      <c r="AU206" s="1137"/>
      <c r="AV206" s="1137"/>
      <c r="AW206" s="1137"/>
      <c r="AX206" s="1137"/>
      <c r="AY206" s="1137"/>
      <c r="AZ206" s="1137"/>
      <c r="BA206" s="1137"/>
      <c r="BB206" s="1462"/>
      <c r="BC206" s="1461"/>
      <c r="BD206" s="211">
        <v>0</v>
      </c>
      <c r="BE206" s="211"/>
      <c r="BF206" s="214"/>
    </row>
    <row r="207" spans="2:60">
      <c r="B207" s="435"/>
      <c r="C207" s="823"/>
      <c r="D207" s="926" t="s">
        <v>85</v>
      </c>
      <c r="E207" s="823"/>
      <c r="F207" s="823"/>
      <c r="G207" s="447"/>
      <c r="H207" s="209"/>
      <c r="I207" s="406" t="s">
        <v>498</v>
      </c>
      <c r="J207" s="405"/>
      <c r="K207" s="209"/>
      <c r="L207" s="209"/>
      <c r="M207" s="209"/>
      <c r="N207" s="209"/>
      <c r="O207" s="209"/>
      <c r="P207" s="298">
        <v>0</v>
      </c>
      <c r="Q207" s="299">
        <v>0</v>
      </c>
      <c r="R207" s="460">
        <v>0</v>
      </c>
      <c r="S207" s="298">
        <v>0</v>
      </c>
      <c r="T207" s="298">
        <v>0</v>
      </c>
      <c r="U207" s="298">
        <v>0</v>
      </c>
      <c r="V207" s="299">
        <v>0</v>
      </c>
      <c r="W207" s="441"/>
      <c r="X207" s="406" t="s">
        <v>498</v>
      </c>
      <c r="Y207" s="405"/>
      <c r="Z207" s="209"/>
      <c r="AA207" s="209"/>
      <c r="AB207" s="209"/>
      <c r="AC207" s="209"/>
      <c r="AD207" s="209"/>
      <c r="AE207" s="298">
        <v>0</v>
      </c>
      <c r="AF207" s="299">
        <v>0</v>
      </c>
      <c r="AG207" s="460">
        <v>0</v>
      </c>
      <c r="AH207" s="298">
        <v>0</v>
      </c>
      <c r="AI207" s="298">
        <v>0</v>
      </c>
      <c r="AJ207" s="298">
        <v>0</v>
      </c>
      <c r="AK207" s="299">
        <v>0</v>
      </c>
      <c r="AL207" s="1137"/>
      <c r="AM207" s="1137"/>
      <c r="AN207" s="1137"/>
      <c r="AO207" s="1137"/>
      <c r="AP207" s="1137"/>
      <c r="AQ207" s="1137"/>
      <c r="AR207" s="1137"/>
      <c r="AS207" s="1137"/>
      <c r="AT207" s="1137"/>
      <c r="AU207" s="1137"/>
      <c r="AV207" s="1137"/>
      <c r="AW207" s="1137"/>
      <c r="AX207" s="1137"/>
      <c r="AY207" s="1137"/>
      <c r="AZ207" s="1137"/>
      <c r="BA207" s="1137"/>
      <c r="BB207" s="1462"/>
      <c r="BC207" s="1461"/>
      <c r="BD207" s="211">
        <v>0</v>
      </c>
      <c r="BE207" s="211"/>
      <c r="BF207" s="214"/>
    </row>
    <row r="208" spans="2:60" s="374" customFormat="1" ht="15" customHeight="1">
      <c r="B208" s="435"/>
      <c r="C208" s="823"/>
      <c r="D208" s="926" t="s">
        <v>2442</v>
      </c>
      <c r="E208" s="823"/>
      <c r="F208" s="823"/>
      <c r="G208" s="927"/>
      <c r="H208" s="209"/>
      <c r="I208" s="406" t="s">
        <v>498</v>
      </c>
      <c r="J208" s="929"/>
      <c r="K208" s="930"/>
      <c r="L208" s="930"/>
      <c r="M208" s="930"/>
      <c r="N208" s="930"/>
      <c r="O208" s="930"/>
      <c r="P208" s="298">
        <v>0</v>
      </c>
      <c r="Q208" s="299">
        <v>0</v>
      </c>
      <c r="R208" s="297">
        <v>0</v>
      </c>
      <c r="S208" s="298">
        <v>0</v>
      </c>
      <c r="T208" s="298">
        <v>0</v>
      </c>
      <c r="U208" s="298">
        <v>0</v>
      </c>
      <c r="V208" s="299">
        <v>0</v>
      </c>
      <c r="W208" s="441"/>
      <c r="X208" s="406" t="s">
        <v>498</v>
      </c>
      <c r="Y208" s="929"/>
      <c r="Z208" s="930"/>
      <c r="AA208" s="930"/>
      <c r="AB208" s="930"/>
      <c r="AC208" s="930"/>
      <c r="AD208" s="930"/>
      <c r="AE208" s="298">
        <v>0</v>
      </c>
      <c r="AF208" s="299">
        <v>0</v>
      </c>
      <c r="AG208" s="297">
        <v>0</v>
      </c>
      <c r="AH208" s="298">
        <v>0</v>
      </c>
      <c r="AI208" s="298">
        <v>0</v>
      </c>
      <c r="AJ208" s="298">
        <v>0</v>
      </c>
      <c r="AK208" s="299">
        <v>0</v>
      </c>
      <c r="AL208" s="441"/>
      <c r="AM208" s="1137"/>
      <c r="AN208" s="1137"/>
      <c r="AO208" s="1137"/>
      <c r="AP208" s="1137"/>
      <c r="AQ208" s="1137"/>
      <c r="AR208" s="1137"/>
      <c r="AS208" s="1137"/>
      <c r="AT208" s="1137"/>
      <c r="AU208" s="1137"/>
      <c r="AV208" s="1137"/>
      <c r="AW208" s="1137"/>
      <c r="AX208" s="1137"/>
      <c r="AY208" s="1137"/>
      <c r="AZ208" s="1137"/>
      <c r="BA208" s="441"/>
      <c r="BB208" s="209"/>
      <c r="BC208" s="209"/>
      <c r="BD208" s="209"/>
      <c r="BE208" s="209"/>
      <c r="BF208" s="210"/>
      <c r="BG208" s="209"/>
      <c r="BH208" s="209"/>
    </row>
    <row r="209" spans="2:60" s="374" customFormat="1" ht="15" customHeight="1">
      <c r="B209" s="435"/>
      <c r="C209" s="823"/>
      <c r="D209" s="926" t="s">
        <v>2443</v>
      </c>
      <c r="E209" s="823"/>
      <c r="F209" s="823"/>
      <c r="G209" s="926"/>
      <c r="H209" s="209"/>
      <c r="I209" s="406" t="s">
        <v>498</v>
      </c>
      <c r="J209" s="297">
        <v>0</v>
      </c>
      <c r="K209" s="298">
        <v>0</v>
      </c>
      <c r="L209" s="298">
        <v>0</v>
      </c>
      <c r="M209" s="298">
        <v>0</v>
      </c>
      <c r="N209" s="298">
        <v>0</v>
      </c>
      <c r="O209" s="298">
        <v>0</v>
      </c>
      <c r="P209" s="209"/>
      <c r="Q209" s="210"/>
      <c r="R209" s="405"/>
      <c r="S209" s="209"/>
      <c r="T209" s="209"/>
      <c r="U209" s="209"/>
      <c r="V209" s="210"/>
      <c r="W209" s="441"/>
      <c r="X209" s="406" t="s">
        <v>498</v>
      </c>
      <c r="Y209" s="297">
        <v>0</v>
      </c>
      <c r="Z209" s="298">
        <v>0</v>
      </c>
      <c r="AA209" s="298">
        <v>0</v>
      </c>
      <c r="AB209" s="298">
        <v>0</v>
      </c>
      <c r="AC209" s="298">
        <v>0</v>
      </c>
      <c r="AD209" s="298">
        <v>0</v>
      </c>
      <c r="AE209" s="209"/>
      <c r="AF209" s="210"/>
      <c r="AG209" s="405"/>
      <c r="AH209" s="209"/>
      <c r="AI209" s="209"/>
      <c r="AJ209" s="209"/>
      <c r="AK209" s="210"/>
      <c r="AL209" s="441"/>
      <c r="AM209" s="1137"/>
      <c r="AN209" s="1137"/>
      <c r="AO209" s="1137"/>
      <c r="AP209" s="1137"/>
      <c r="AQ209" s="1137"/>
      <c r="AR209" s="1137"/>
      <c r="AS209" s="1137"/>
      <c r="AT209" s="1137"/>
      <c r="AU209" s="1137"/>
      <c r="AV209" s="1137"/>
      <c r="AW209" s="1137"/>
      <c r="AX209" s="1137"/>
      <c r="AY209" s="1137"/>
      <c r="AZ209" s="1137"/>
      <c r="BA209" s="441"/>
      <c r="BB209" s="209"/>
      <c r="BC209" s="209"/>
      <c r="BD209" s="209"/>
      <c r="BE209" s="209"/>
      <c r="BF209" s="210"/>
      <c r="BG209" s="209"/>
      <c r="BH209" s="209"/>
    </row>
    <row r="210" spans="2:60" ht="15.75" thickBot="1">
      <c r="B210" s="925" t="s">
        <v>1701</v>
      </c>
      <c r="C210" s="922"/>
      <c r="D210" s="922"/>
      <c r="E210" s="922"/>
      <c r="F210" s="922"/>
      <c r="G210" s="448"/>
      <c r="H210" s="434"/>
      <c r="I210" s="449" t="s">
        <v>498</v>
      </c>
      <c r="J210" s="627">
        <f>J209</f>
        <v>0</v>
      </c>
      <c r="K210" s="628">
        <f t="shared" ref="K210:O210" si="138">K209</f>
        <v>0</v>
      </c>
      <c r="L210" s="628">
        <f t="shared" si="138"/>
        <v>0</v>
      </c>
      <c r="M210" s="628">
        <f t="shared" si="138"/>
        <v>0</v>
      </c>
      <c r="N210" s="628">
        <f t="shared" si="138"/>
        <v>0</v>
      </c>
      <c r="O210" s="628">
        <f t="shared" si="138"/>
        <v>0</v>
      </c>
      <c r="P210" s="750">
        <f>SUM(P183:P208)</f>
        <v>0</v>
      </c>
      <c r="Q210" s="751">
        <f t="shared" ref="Q210:V210" si="139">SUM(Q183:Q208)</f>
        <v>0</v>
      </c>
      <c r="R210" s="932">
        <f t="shared" si="139"/>
        <v>0</v>
      </c>
      <c r="S210" s="750">
        <f t="shared" si="139"/>
        <v>0</v>
      </c>
      <c r="T210" s="750">
        <f t="shared" si="139"/>
        <v>0</v>
      </c>
      <c r="U210" s="750">
        <f t="shared" si="139"/>
        <v>0</v>
      </c>
      <c r="V210" s="751">
        <f t="shared" si="139"/>
        <v>0</v>
      </c>
      <c r="W210" s="450"/>
      <c r="X210" s="449" t="s">
        <v>498</v>
      </c>
      <c r="Y210" s="627">
        <f>Y209</f>
        <v>0</v>
      </c>
      <c r="Z210" s="628">
        <f t="shared" ref="Z210" si="140">Z209</f>
        <v>0</v>
      </c>
      <c r="AA210" s="628">
        <f t="shared" ref="AA210" si="141">AA209</f>
        <v>0</v>
      </c>
      <c r="AB210" s="628">
        <f t="shared" ref="AB210" si="142">AB209</f>
        <v>0</v>
      </c>
      <c r="AC210" s="628">
        <f t="shared" ref="AC210" si="143">AC209</f>
        <v>0</v>
      </c>
      <c r="AD210" s="628">
        <f t="shared" ref="AD210" si="144">AD209</f>
        <v>0</v>
      </c>
      <c r="AE210" s="750">
        <f>SUM(AE183:AE208)</f>
        <v>0</v>
      </c>
      <c r="AF210" s="751">
        <f t="shared" ref="AF210:AK210" si="145">SUM(AF183:AF208)</f>
        <v>0</v>
      </c>
      <c r="AG210" s="932">
        <f t="shared" si="145"/>
        <v>0</v>
      </c>
      <c r="AH210" s="750">
        <f t="shared" si="145"/>
        <v>0</v>
      </c>
      <c r="AI210" s="750">
        <f t="shared" si="145"/>
        <v>0</v>
      </c>
      <c r="AJ210" s="750">
        <f t="shared" si="145"/>
        <v>0</v>
      </c>
      <c r="AK210" s="751">
        <f t="shared" si="145"/>
        <v>0</v>
      </c>
      <c r="AL210" s="1138"/>
      <c r="AM210" s="1138"/>
      <c r="AN210" s="1138"/>
      <c r="AO210" s="1138"/>
      <c r="AP210" s="1138"/>
      <c r="AQ210" s="1138"/>
      <c r="AR210" s="1138"/>
      <c r="AS210" s="1138"/>
      <c r="AT210" s="1138"/>
      <c r="AU210" s="1138"/>
      <c r="AV210" s="1138"/>
      <c r="AW210" s="1138"/>
      <c r="AX210" s="1138"/>
      <c r="AY210" s="1138"/>
      <c r="AZ210" s="1138"/>
      <c r="BA210" s="1138"/>
      <c r="BB210" s="434"/>
      <c r="BC210" s="434"/>
      <c r="BD210" s="434"/>
      <c r="BE210" s="434"/>
      <c r="BF210" s="237"/>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2700-000000000000}">
          <x14:formula1>
            <xm:f>List!$B$19:$B$20</xm:f>
          </x14:formula1>
          <xm:sqref>BE183:BE207</xm:sqref>
        </x14:dataValidation>
        <x14:dataValidation type="list" allowBlank="1" showInputMessage="1" showErrorMessage="1" xr:uid="{00000000-0002-0000-2700-000001000000}">
          <x14:formula1>
            <xm:f>List!$C$19:$C$20</xm:f>
          </x14:formula1>
          <xm:sqref>BF183:BF207</xm:sqref>
        </x14:dataValidation>
        <x14:dataValidation type="list" allowBlank="1" showInputMessage="1" showErrorMessage="1" xr:uid="{00000000-0002-0000-2700-000002000000}">
          <x14:formula1>
            <xm:f>List!$A$19:$A$20</xm:f>
          </x14:formula1>
          <xm:sqref>BE100:BE174 BF51:BF60 BF65:BF74 BF79:BF88</xm:sqref>
        </x14:dataValidation>
        <x14:dataValidation type="list" allowBlank="1" showInputMessage="1" showErrorMessage="1" xr:uid="{00000000-0002-0000-2700-000003000000}">
          <x14:formula1>
            <xm:f>List!$E$19:$E$24</xm:f>
          </x14:formula1>
          <xm:sqref>BI100:BI174 BJ23:BJ32 BJ37:BJ46 BJ65:BJ74 BJ79:BJ88 BJ51:BJ60</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00B050"/>
  </sheetPr>
  <dimension ref="A1:CA86"/>
  <sheetViews>
    <sheetView showGridLines="0" zoomScale="60" zoomScaleNormal="60" workbookViewId="0">
      <pane xSplit="7" topLeftCell="H1" activePane="topRight" state="frozen"/>
      <selection activeCell="G14" sqref="G14"/>
      <selection pane="topRight" activeCell="Y12" sqref="Y12"/>
    </sheetView>
  </sheetViews>
  <sheetFormatPr defaultColWidth="11.875" defaultRowHeight="14.25"/>
  <cols>
    <col min="1" max="1" width="11.875" style="458"/>
    <col min="2" max="6" width="4.375" style="458" customWidth="1"/>
    <col min="7" max="7" width="35.625" style="458" customWidth="1"/>
    <col min="8" max="8" width="15.625" style="458" customWidth="1"/>
    <col min="9" max="9" width="15.625" style="461" customWidth="1"/>
    <col min="10" max="22" width="15.625" style="458" customWidth="1"/>
    <col min="23" max="23" width="4.375" style="458" customWidth="1"/>
    <col min="24" max="28" width="15.625" style="458" customWidth="1"/>
    <col min="29" max="29" width="15.625" style="461" customWidth="1"/>
    <col min="30" max="37" width="15.625" style="458" customWidth="1"/>
    <col min="38" max="38" width="4.375" style="458" customWidth="1"/>
    <col min="39" max="52" width="15.625" style="458" customWidth="1"/>
    <col min="53" max="53" width="11.875" style="458"/>
    <col min="54" max="54" width="24.25" style="458" customWidth="1"/>
    <col min="55" max="59" width="15.625" style="458" customWidth="1"/>
    <col min="60" max="16384" width="11.875" style="458"/>
  </cols>
  <sheetData>
    <row r="1" spans="1:62" s="2" customFormat="1" ht="25.15" customHeight="1">
      <c r="A1" s="1" t="s">
        <v>0</v>
      </c>
      <c r="E1" s="3"/>
      <c r="H1" s="4" t="s">
        <v>1</v>
      </c>
      <c r="J1" s="3"/>
    </row>
    <row r="2" spans="1:62" s="2" customFormat="1" ht="25.15" customHeight="1">
      <c r="A2" s="5" t="str">
        <f>Fixed_Data!I12</f>
        <v>MASTER</v>
      </c>
      <c r="B2" s="6"/>
      <c r="D2" s="7"/>
      <c r="E2" s="3"/>
    </row>
    <row r="3" spans="1:62" s="9" customFormat="1" ht="25.15" customHeight="1" thickBot="1">
      <c r="A3" s="8" t="str">
        <f>Fixed_Data!A3</f>
        <v>RIIO-GD2</v>
      </c>
      <c r="D3" s="10"/>
      <c r="E3" s="11"/>
    </row>
    <row r="4" spans="1:62" s="463" customFormat="1" ht="25.15" customHeight="1">
      <c r="A4" s="420"/>
      <c r="B4" s="464" t="s">
        <v>2494</v>
      </c>
      <c r="C4" s="464"/>
      <c r="D4" s="464"/>
      <c r="E4" s="464"/>
      <c r="F4" s="464"/>
      <c r="G4" s="417"/>
      <c r="H4" s="465"/>
      <c r="I4" s="466"/>
      <c r="R4" s="465"/>
      <c r="S4" s="465"/>
      <c r="T4" s="465"/>
      <c r="U4" s="465"/>
      <c r="V4" s="465"/>
      <c r="W4" s="465"/>
      <c r="X4" s="465"/>
      <c r="Y4" s="465"/>
      <c r="Z4" s="465"/>
      <c r="AA4" s="465"/>
      <c r="AB4" s="465"/>
      <c r="AC4" s="465"/>
      <c r="AD4" s="465"/>
      <c r="AE4" s="465"/>
      <c r="AG4" s="465"/>
      <c r="AH4" s="465"/>
      <c r="AI4" s="465"/>
      <c r="AJ4" s="465"/>
      <c r="AK4" s="465"/>
      <c r="AL4" s="465"/>
      <c r="AM4" s="465"/>
      <c r="AN4" s="465"/>
      <c r="AO4" s="465"/>
      <c r="AP4" s="465"/>
      <c r="AQ4" s="465"/>
      <c r="AR4" s="465"/>
      <c r="AS4" s="465"/>
      <c r="AV4" s="465"/>
      <c r="AW4" s="465"/>
      <c r="AX4" s="465"/>
      <c r="AY4" s="465"/>
      <c r="AZ4" s="465"/>
      <c r="BA4" s="465"/>
    </row>
    <row r="5" spans="1:62" s="420" customFormat="1" ht="25.15" customHeight="1">
      <c r="B5" s="95" t="s">
        <v>1663</v>
      </c>
      <c r="C5" s="95"/>
      <c r="D5" s="95"/>
      <c r="E5" s="95"/>
      <c r="F5" s="95" t="s">
        <v>463</v>
      </c>
      <c r="G5" s="95"/>
      <c r="H5" s="95"/>
      <c r="J5" s="95"/>
      <c r="K5" s="421"/>
      <c r="L5" s="422"/>
      <c r="M5" s="422"/>
      <c r="N5" s="422"/>
      <c r="O5" s="422"/>
      <c r="P5" s="422"/>
      <c r="Q5" s="422"/>
      <c r="R5" s="422"/>
      <c r="S5" s="422"/>
      <c r="T5" s="423"/>
      <c r="U5" s="423"/>
      <c r="V5" s="423"/>
      <c r="W5" s="423"/>
      <c r="X5" s="423"/>
      <c r="Y5" s="423"/>
      <c r="Z5" s="423"/>
      <c r="AA5" s="423"/>
      <c r="AB5" s="423"/>
      <c r="AC5" s="423"/>
      <c r="AD5" s="423"/>
      <c r="AE5" s="423"/>
      <c r="AF5" s="423"/>
      <c r="AG5" s="423"/>
      <c r="AH5" s="422"/>
      <c r="AI5" s="423"/>
      <c r="AJ5" s="423"/>
      <c r="AK5" s="423"/>
      <c r="AL5" s="423"/>
      <c r="AM5" s="423"/>
      <c r="AN5" s="423"/>
      <c r="AO5" s="423"/>
      <c r="AP5" s="423"/>
      <c r="AQ5" s="423"/>
      <c r="AR5" s="423"/>
      <c r="AS5" s="423"/>
      <c r="AT5" s="423"/>
      <c r="AU5" s="423"/>
      <c r="AV5" s="422"/>
      <c r="AW5" s="422"/>
      <c r="AX5" s="423"/>
      <c r="AY5" s="423"/>
      <c r="AZ5" s="423"/>
      <c r="BA5" s="423"/>
      <c r="BB5" s="423"/>
      <c r="BC5" s="423"/>
      <c r="BD5" s="423"/>
      <c r="BE5" s="423"/>
      <c r="BF5" s="423"/>
      <c r="BG5" s="423"/>
      <c r="BH5" s="423"/>
      <c r="BI5" s="423"/>
      <c r="BJ5" s="422"/>
    </row>
    <row r="6" spans="1:62" s="374" customFormat="1" ht="15" customHeight="1">
      <c r="G6" s="372"/>
      <c r="H6" s="372"/>
      <c r="I6" s="373"/>
      <c r="J6" s="372"/>
      <c r="K6" s="372"/>
      <c r="L6" s="372"/>
      <c r="M6" s="372"/>
      <c r="N6" s="372"/>
      <c r="O6" s="372"/>
      <c r="P6" s="372"/>
      <c r="Q6" s="372"/>
      <c r="R6" s="372"/>
      <c r="S6" s="372"/>
      <c r="T6" s="372"/>
      <c r="U6" s="372"/>
      <c r="V6" s="372"/>
      <c r="W6" s="372"/>
      <c r="X6" s="372"/>
      <c r="Y6" s="372"/>
      <c r="Z6" s="372"/>
      <c r="AA6" s="372"/>
      <c r="AB6" s="372"/>
      <c r="AC6" s="373"/>
    </row>
    <row r="7" spans="1:62" s="374" customFormat="1" ht="15" customHeight="1" thickBot="1">
      <c r="G7" s="372"/>
      <c r="H7" s="372"/>
      <c r="I7" s="373"/>
      <c r="J7" s="372"/>
      <c r="K7" s="372"/>
      <c r="L7" s="372"/>
      <c r="M7" s="372"/>
      <c r="N7" s="372"/>
      <c r="O7" s="372"/>
      <c r="P7" s="372"/>
      <c r="Q7" s="372"/>
      <c r="R7" s="372"/>
      <c r="S7" s="372"/>
      <c r="T7" s="372"/>
      <c r="U7" s="372"/>
      <c r="V7" s="372"/>
      <c r="W7" s="372"/>
      <c r="X7" s="372"/>
      <c r="Y7" s="372"/>
      <c r="Z7" s="372"/>
      <c r="AA7" s="372"/>
      <c r="AB7" s="372"/>
      <c r="AC7" s="373"/>
    </row>
    <row r="8" spans="1:62" s="463" customFormat="1" ht="30" customHeight="1" thickBot="1">
      <c r="A8" s="417"/>
      <c r="B8" s="286" t="s">
        <v>1744</v>
      </c>
      <c r="C8" s="740"/>
      <c r="D8" s="740"/>
      <c r="E8" s="740"/>
      <c r="F8" s="740"/>
      <c r="G8" s="287"/>
      <c r="H8" s="287"/>
      <c r="I8" s="105" t="s">
        <v>1864</v>
      </c>
      <c r="J8" s="106"/>
      <c r="K8" s="106"/>
      <c r="L8" s="106"/>
      <c r="M8" s="106"/>
      <c r="N8" s="106"/>
      <c r="O8" s="106"/>
      <c r="P8" s="106"/>
      <c r="Q8" s="106"/>
      <c r="R8" s="105"/>
      <c r="S8" s="105"/>
      <c r="T8" s="105"/>
      <c r="U8" s="105"/>
      <c r="V8" s="187"/>
      <c r="W8" s="466"/>
      <c r="X8" s="466"/>
      <c r="Y8" s="466"/>
      <c r="Z8" s="466"/>
      <c r="AA8" s="466"/>
      <c r="AB8" s="466"/>
      <c r="AC8" s="466"/>
      <c r="AF8" s="465"/>
      <c r="AG8" s="465"/>
      <c r="AH8" s="465"/>
      <c r="AI8" s="465"/>
      <c r="AJ8" s="465"/>
      <c r="AK8" s="465"/>
      <c r="AL8" s="465"/>
      <c r="AM8" s="465"/>
      <c r="AN8" s="465"/>
      <c r="AO8" s="465"/>
      <c r="AP8" s="465"/>
      <c r="AQ8" s="465"/>
      <c r="AT8" s="465"/>
      <c r="AU8" s="465"/>
      <c r="AV8" s="465"/>
      <c r="AW8" s="465"/>
      <c r="AX8" s="465"/>
      <c r="AY8" s="465"/>
      <c r="AZ8" s="465"/>
      <c r="BA8" s="465"/>
    </row>
    <row r="9" spans="1:62" s="463" customFormat="1" ht="30" customHeight="1">
      <c r="A9" s="417"/>
      <c r="B9" s="288"/>
      <c r="C9" s="292"/>
      <c r="D9" s="292"/>
      <c r="E9" s="292"/>
      <c r="F9" s="292"/>
      <c r="G9" s="289"/>
      <c r="H9" s="289"/>
      <c r="I9" s="225"/>
      <c r="J9" s="424" t="s">
        <v>1666</v>
      </c>
      <c r="K9" s="425"/>
      <c r="L9" s="425"/>
      <c r="M9" s="425"/>
      <c r="N9" s="425"/>
      <c r="O9" s="425"/>
      <c r="P9" s="425"/>
      <c r="Q9" s="426"/>
      <c r="R9" s="427" t="s">
        <v>2</v>
      </c>
      <c r="S9" s="428"/>
      <c r="T9" s="428"/>
      <c r="U9" s="428"/>
      <c r="V9" s="429"/>
      <c r="W9" s="466"/>
      <c r="X9" s="466"/>
      <c r="Y9" s="466"/>
      <c r="Z9" s="466"/>
      <c r="AA9" s="466"/>
      <c r="AB9" s="466"/>
      <c r="AC9" s="466"/>
      <c r="AF9" s="465"/>
      <c r="AG9" s="465"/>
      <c r="AH9" s="465"/>
      <c r="AI9" s="465"/>
      <c r="AJ9" s="465"/>
      <c r="AK9" s="465"/>
      <c r="AL9" s="465"/>
      <c r="AM9" s="465"/>
      <c r="AN9" s="465"/>
      <c r="AO9" s="465"/>
      <c r="AP9" s="465"/>
      <c r="AQ9" s="465"/>
      <c r="AT9" s="465"/>
      <c r="AU9" s="465"/>
      <c r="AV9" s="465"/>
      <c r="AW9" s="465"/>
      <c r="AX9" s="465"/>
      <c r="AY9" s="465"/>
      <c r="AZ9" s="465"/>
      <c r="BA9" s="465"/>
    </row>
    <row r="10" spans="1:62" s="463" customFormat="1" ht="15" customHeight="1">
      <c r="A10" s="417"/>
      <c r="B10" s="290"/>
      <c r="C10" s="741"/>
      <c r="D10" s="741"/>
      <c r="E10" s="741"/>
      <c r="F10" s="741"/>
      <c r="G10" s="289"/>
      <c r="H10" s="289"/>
      <c r="I10" s="291" t="s">
        <v>1667</v>
      </c>
      <c r="J10" s="430" t="s">
        <v>453</v>
      </c>
      <c r="K10" s="431" t="s">
        <v>455</v>
      </c>
      <c r="L10" s="431" t="s">
        <v>457</v>
      </c>
      <c r="M10" s="431" t="s">
        <v>459</v>
      </c>
      <c r="N10" s="431" t="s">
        <v>461</v>
      </c>
      <c r="O10" s="431" t="s">
        <v>463</v>
      </c>
      <c r="P10" s="431" t="s">
        <v>465</v>
      </c>
      <c r="Q10" s="432" t="s">
        <v>467</v>
      </c>
      <c r="R10" s="430" t="s">
        <v>469</v>
      </c>
      <c r="S10" s="431" t="s">
        <v>471</v>
      </c>
      <c r="T10" s="431" t="s">
        <v>473</v>
      </c>
      <c r="U10" s="431" t="s">
        <v>475</v>
      </c>
      <c r="V10" s="432" t="s">
        <v>477</v>
      </c>
      <c r="W10" s="466"/>
      <c r="X10" s="466"/>
      <c r="Y10" s="466"/>
      <c r="Z10" s="466"/>
      <c r="AA10" s="466"/>
      <c r="AB10" s="466"/>
      <c r="AC10" s="466"/>
      <c r="AF10" s="465"/>
      <c r="AG10" s="465"/>
      <c r="AH10" s="465"/>
      <c r="AI10" s="465"/>
      <c r="AJ10" s="465"/>
      <c r="AK10" s="465"/>
      <c r="AL10" s="465"/>
      <c r="AM10" s="465"/>
      <c r="AN10" s="465"/>
      <c r="AO10" s="465"/>
      <c r="AP10" s="465"/>
      <c r="AQ10" s="465"/>
      <c r="AT10" s="465"/>
      <c r="AU10" s="465"/>
      <c r="AV10" s="465"/>
      <c r="AW10" s="465"/>
      <c r="AX10" s="465"/>
      <c r="AY10" s="465"/>
      <c r="AZ10" s="465"/>
      <c r="BA10" s="465"/>
    </row>
    <row r="11" spans="1:62" s="463" customFormat="1" ht="15" customHeight="1">
      <c r="A11" s="417"/>
      <c r="B11" s="384"/>
      <c r="C11" s="803"/>
      <c r="D11" s="803"/>
      <c r="E11" s="803"/>
      <c r="F11" s="803"/>
      <c r="G11" s="289"/>
      <c r="H11" s="289"/>
      <c r="I11" s="385"/>
      <c r="J11" s="386"/>
      <c r="K11" s="385"/>
      <c r="L11" s="385"/>
      <c r="M11" s="385"/>
      <c r="N11" s="385"/>
      <c r="O11" s="385"/>
      <c r="P11" s="385"/>
      <c r="Q11" s="387"/>
      <c r="R11" s="386"/>
      <c r="S11" s="385"/>
      <c r="T11" s="385"/>
      <c r="U11" s="385"/>
      <c r="V11" s="387"/>
      <c r="W11" s="466"/>
      <c r="X11" s="466"/>
      <c r="Y11" s="466"/>
      <c r="Z11" s="466"/>
      <c r="AA11" s="466"/>
      <c r="AB11" s="466"/>
      <c r="AC11" s="466"/>
      <c r="AF11" s="465"/>
      <c r="AG11" s="465"/>
      <c r="AH11" s="465"/>
      <c r="AI11" s="465"/>
      <c r="AJ11" s="465"/>
      <c r="AK11" s="465"/>
      <c r="AL11" s="465"/>
      <c r="AM11" s="465"/>
      <c r="AN11" s="465"/>
      <c r="AO11" s="465"/>
      <c r="AP11" s="465"/>
      <c r="AQ11" s="465"/>
      <c r="AT11" s="465"/>
      <c r="AU11" s="465"/>
      <c r="AV11" s="465"/>
      <c r="AW11" s="465"/>
      <c r="AX11" s="465"/>
      <c r="AY11" s="465"/>
      <c r="AZ11" s="465"/>
      <c r="BA11" s="465"/>
    </row>
    <row r="12" spans="1:62" s="463" customFormat="1" ht="15" customHeight="1">
      <c r="A12" s="417"/>
      <c r="B12" s="469"/>
      <c r="C12" s="803" t="s">
        <v>1806</v>
      </c>
      <c r="D12" s="742"/>
      <c r="E12" s="742"/>
      <c r="F12" s="742"/>
      <c r="G12" s="289"/>
      <c r="H12" s="289"/>
      <c r="I12" s="225" t="s">
        <v>498</v>
      </c>
      <c r="J12" s="124">
        <f t="shared" ref="J12:V12" si="0">SUM(J13:J14)</f>
        <v>3.2190852756711714</v>
      </c>
      <c r="K12" s="125">
        <f t="shared" si="0"/>
        <v>1.9625517818181812</v>
      </c>
      <c r="L12" s="125">
        <f t="shared" si="0"/>
        <v>3.5135138635024767</v>
      </c>
      <c r="M12" s="125">
        <f t="shared" si="0"/>
        <v>2.2911614950689825</v>
      </c>
      <c r="N12" s="125">
        <f t="shared" si="0"/>
        <v>2.2518819619647248</v>
      </c>
      <c r="O12" s="125">
        <f t="shared" si="0"/>
        <v>2.3631096259034123</v>
      </c>
      <c r="P12" s="125">
        <f t="shared" si="0"/>
        <v>5.5044946031817146</v>
      </c>
      <c r="Q12" s="126">
        <f t="shared" si="0"/>
        <v>9.8653248566236993</v>
      </c>
      <c r="R12" s="124">
        <f t="shared" si="0"/>
        <v>5.4952957448006687</v>
      </c>
      <c r="S12" s="125">
        <f t="shared" si="0"/>
        <v>5.8653437393427925</v>
      </c>
      <c r="T12" s="125">
        <f t="shared" si="0"/>
        <v>6.3637947513196771</v>
      </c>
      <c r="U12" s="125">
        <f t="shared" si="0"/>
        <v>6.4703230443890858</v>
      </c>
      <c r="V12" s="126">
        <f t="shared" si="0"/>
        <v>6.7119680214964452</v>
      </c>
      <c r="X12" s="466"/>
      <c r="Y12" s="466"/>
      <c r="Z12" s="466"/>
      <c r="AA12" s="466"/>
      <c r="AB12" s="466"/>
      <c r="AC12" s="466"/>
      <c r="AF12" s="465"/>
      <c r="AG12" s="465"/>
      <c r="AH12" s="465"/>
      <c r="AI12" s="465"/>
      <c r="AJ12" s="465"/>
      <c r="AK12" s="465"/>
      <c r="AL12" s="465"/>
      <c r="AM12" s="465"/>
      <c r="AN12" s="465"/>
      <c r="AO12" s="465"/>
      <c r="AP12" s="465"/>
      <c r="AQ12" s="465"/>
      <c r="AT12" s="465"/>
      <c r="AU12" s="465"/>
      <c r="AV12" s="465"/>
      <c r="AW12" s="465"/>
      <c r="AX12" s="465"/>
      <c r="AY12" s="465"/>
      <c r="AZ12" s="465"/>
      <c r="BA12" s="465"/>
    </row>
    <row r="13" spans="1:62" s="463" customFormat="1" ht="15" customHeight="1">
      <c r="A13" s="417"/>
      <c r="B13" s="469"/>
      <c r="C13" s="812"/>
      <c r="D13" s="812" t="s">
        <v>2495</v>
      </c>
      <c r="E13" s="822"/>
      <c r="F13" s="822"/>
      <c r="G13" s="388"/>
      <c r="H13" s="209"/>
      <c r="I13" s="389" t="s">
        <v>498</v>
      </c>
      <c r="J13" s="128">
        <f>J34</f>
        <v>2.3014179142270361</v>
      </c>
      <c r="K13" s="129">
        <f t="shared" ref="K13:V13" si="1">K34</f>
        <v>1.0662682909090906</v>
      </c>
      <c r="L13" s="129">
        <f t="shared" si="1"/>
        <v>1.5663104285714713</v>
      </c>
      <c r="M13" s="129">
        <f t="shared" si="1"/>
        <v>1.3463407118782451</v>
      </c>
      <c r="N13" s="129">
        <f t="shared" si="1"/>
        <v>1.8806387571001493</v>
      </c>
      <c r="O13" s="129">
        <f t="shared" si="1"/>
        <v>1.0417347264116268</v>
      </c>
      <c r="P13" s="129">
        <f t="shared" si="1"/>
        <v>2.2860724538458594</v>
      </c>
      <c r="Q13" s="130">
        <f t="shared" si="1"/>
        <v>1.8340921597694015</v>
      </c>
      <c r="R13" s="128">
        <f t="shared" si="1"/>
        <v>2.282889613894691</v>
      </c>
      <c r="S13" s="129">
        <f t="shared" si="1"/>
        <v>2.1236503364255888</v>
      </c>
      <c r="T13" s="129">
        <f t="shared" si="1"/>
        <v>2.0928140763912486</v>
      </c>
      <c r="U13" s="129">
        <f t="shared" si="1"/>
        <v>2.0619778163569089</v>
      </c>
      <c r="V13" s="130">
        <f t="shared" si="1"/>
        <v>1.7743355214530434</v>
      </c>
      <c r="X13" s="466"/>
      <c r="Y13" s="466"/>
      <c r="Z13" s="466"/>
      <c r="AA13" s="466"/>
      <c r="AB13" s="466"/>
      <c r="AC13" s="466"/>
      <c r="AF13" s="465"/>
      <c r="AG13" s="465"/>
      <c r="AH13" s="465"/>
      <c r="AI13" s="465"/>
      <c r="AJ13" s="465"/>
      <c r="AK13" s="465"/>
      <c r="AL13" s="465"/>
      <c r="AM13" s="465"/>
      <c r="AN13" s="465"/>
      <c r="AO13" s="465"/>
      <c r="AP13" s="465"/>
      <c r="AQ13" s="465"/>
      <c r="AT13" s="465"/>
      <c r="AU13" s="465"/>
      <c r="AV13" s="465"/>
      <c r="AW13" s="465"/>
      <c r="AX13" s="465"/>
      <c r="AY13" s="465"/>
      <c r="AZ13" s="465"/>
      <c r="BA13" s="465"/>
    </row>
    <row r="14" spans="1:62" s="463" customFormat="1" ht="15" customHeight="1" thickBot="1">
      <c r="A14" s="417"/>
      <c r="B14" s="1075"/>
      <c r="C14" s="1068"/>
      <c r="D14" s="1068" t="s">
        <v>2496</v>
      </c>
      <c r="E14" s="1072"/>
      <c r="F14" s="1072"/>
      <c r="G14" s="1070"/>
      <c r="H14" s="434"/>
      <c r="I14" s="449" t="s">
        <v>498</v>
      </c>
      <c r="J14" s="177">
        <f>J54</f>
        <v>0.91766736144413519</v>
      </c>
      <c r="K14" s="178">
        <f t="shared" ref="K14:V14" si="2">K54</f>
        <v>0.89628349090909054</v>
      </c>
      <c r="L14" s="178">
        <f t="shared" si="2"/>
        <v>1.9472034349310055</v>
      </c>
      <c r="M14" s="178">
        <f t="shared" si="2"/>
        <v>0.94482078319073726</v>
      </c>
      <c r="N14" s="178">
        <f t="shared" si="2"/>
        <v>0.37124320486457546</v>
      </c>
      <c r="O14" s="178">
        <f t="shared" si="2"/>
        <v>1.3213748994917858</v>
      </c>
      <c r="P14" s="178">
        <f t="shared" si="2"/>
        <v>3.2184221493358551</v>
      </c>
      <c r="Q14" s="179">
        <f t="shared" si="2"/>
        <v>8.031232696854298</v>
      </c>
      <c r="R14" s="177">
        <f t="shared" si="2"/>
        <v>3.2124061309059777</v>
      </c>
      <c r="S14" s="178">
        <f t="shared" si="2"/>
        <v>3.7416934029172038</v>
      </c>
      <c r="T14" s="178">
        <f t="shared" si="2"/>
        <v>4.2709806749284285</v>
      </c>
      <c r="U14" s="178">
        <f t="shared" si="2"/>
        <v>4.4083452280321769</v>
      </c>
      <c r="V14" s="179">
        <f t="shared" si="2"/>
        <v>4.937632500043402</v>
      </c>
      <c r="X14" s="466"/>
      <c r="Y14" s="466"/>
      <c r="Z14" s="466"/>
      <c r="AA14" s="466"/>
      <c r="AB14" s="466"/>
      <c r="AC14" s="466"/>
      <c r="AF14" s="465"/>
      <c r="AG14" s="465"/>
      <c r="AH14" s="465"/>
      <c r="AI14" s="465"/>
      <c r="AJ14" s="465"/>
      <c r="AK14" s="465"/>
      <c r="AL14" s="465"/>
      <c r="AM14" s="465"/>
      <c r="AN14" s="465"/>
      <c r="AO14" s="465"/>
      <c r="AP14" s="465"/>
      <c r="AQ14" s="465"/>
      <c r="AT14" s="465"/>
      <c r="AU14" s="465"/>
      <c r="AV14" s="465"/>
      <c r="AW14" s="465"/>
      <c r="AX14" s="465"/>
      <c r="AY14" s="465"/>
      <c r="AZ14" s="465"/>
      <c r="BA14" s="465"/>
    </row>
    <row r="15" spans="1:62" s="463" customFormat="1" ht="15" customHeight="1" thickBot="1">
      <c r="A15" s="417"/>
      <c r="B15" s="415"/>
      <c r="C15" s="415"/>
      <c r="D15" s="415"/>
      <c r="E15" s="415"/>
      <c r="F15" s="415"/>
      <c r="G15" s="415"/>
      <c r="H15" s="418"/>
      <c r="I15" s="419"/>
      <c r="J15" s="418"/>
      <c r="K15" s="418"/>
      <c r="L15" s="418"/>
      <c r="M15" s="418"/>
      <c r="N15" s="418"/>
      <c r="O15" s="418"/>
      <c r="P15" s="418"/>
      <c r="Q15" s="418"/>
      <c r="R15" s="415"/>
      <c r="S15" s="415"/>
      <c r="T15" s="415"/>
      <c r="U15" s="415"/>
      <c r="V15" s="415"/>
      <c r="W15" s="465"/>
      <c r="X15" s="465"/>
      <c r="Y15" s="465"/>
      <c r="Z15" s="465"/>
      <c r="AA15" s="465"/>
      <c r="AB15" s="465"/>
      <c r="AC15" s="465"/>
      <c r="AD15" s="465"/>
      <c r="AE15" s="465"/>
      <c r="AF15" s="465"/>
      <c r="AG15" s="465"/>
      <c r="AH15" s="465"/>
      <c r="AI15" s="465"/>
      <c r="AJ15" s="465"/>
      <c r="AK15" s="465"/>
      <c r="AL15" s="465"/>
      <c r="AM15" s="465"/>
      <c r="AN15" s="465"/>
      <c r="AO15" s="465"/>
      <c r="AP15" s="465"/>
      <c r="AQ15" s="465"/>
      <c r="AT15" s="465"/>
      <c r="AU15" s="465"/>
      <c r="AV15" s="465"/>
      <c r="AW15" s="465"/>
      <c r="AX15" s="465"/>
      <c r="AY15" s="465"/>
      <c r="AZ15" s="465"/>
      <c r="BA15" s="465"/>
    </row>
    <row r="16" spans="1:62" s="374" customFormat="1" ht="30" customHeight="1" thickBot="1">
      <c r="B16" s="467" t="s">
        <v>2495</v>
      </c>
      <c r="C16" s="824"/>
      <c r="D16" s="824"/>
      <c r="E16" s="824"/>
      <c r="F16" s="824"/>
      <c r="G16" s="468"/>
      <c r="H16" s="438"/>
      <c r="I16" s="105" t="s">
        <v>1864</v>
      </c>
      <c r="J16" s="106"/>
      <c r="K16" s="106"/>
      <c r="L16" s="106"/>
      <c r="M16" s="106"/>
      <c r="N16" s="106"/>
      <c r="O16" s="106"/>
      <c r="P16" s="106"/>
      <c r="Q16" s="106"/>
      <c r="R16" s="105"/>
      <c r="S16" s="105"/>
      <c r="T16" s="105"/>
      <c r="U16" s="105"/>
      <c r="V16" s="187"/>
      <c r="W16" s="439"/>
      <c r="X16" s="789" t="s">
        <v>2202</v>
      </c>
      <c r="Y16" s="790"/>
      <c r="Z16" s="790"/>
      <c r="AA16" s="790"/>
      <c r="AB16" s="790"/>
      <c r="AC16" s="790"/>
      <c r="AD16" s="790"/>
      <c r="AE16" s="790"/>
      <c r="AF16" s="790"/>
      <c r="AG16" s="790"/>
      <c r="AH16" s="790"/>
      <c r="AI16" s="790"/>
      <c r="AJ16" s="790"/>
      <c r="AK16" s="791"/>
      <c r="AL16" s="439"/>
      <c r="AM16" s="789" t="s">
        <v>2231</v>
      </c>
      <c r="AN16" s="790"/>
      <c r="AO16" s="790"/>
      <c r="AP16" s="790"/>
      <c r="AQ16" s="790"/>
      <c r="AR16" s="790"/>
      <c r="AS16" s="790"/>
      <c r="AT16" s="790"/>
      <c r="AU16" s="790"/>
      <c r="AV16" s="790"/>
      <c r="AW16" s="790"/>
      <c r="AX16" s="790"/>
      <c r="AY16" s="790"/>
      <c r="AZ16" s="791"/>
    </row>
    <row r="17" spans="2:52" s="374" customFormat="1" ht="30" customHeight="1">
      <c r="B17" s="469"/>
      <c r="C17" s="470"/>
      <c r="D17" s="470"/>
      <c r="E17" s="470"/>
      <c r="F17" s="470"/>
      <c r="G17" s="470"/>
      <c r="H17" s="209"/>
      <c r="I17" s="225"/>
      <c r="J17" s="424" t="s">
        <v>1666</v>
      </c>
      <c r="K17" s="425"/>
      <c r="L17" s="425"/>
      <c r="M17" s="425"/>
      <c r="N17" s="425"/>
      <c r="O17" s="425"/>
      <c r="P17" s="425"/>
      <c r="Q17" s="426"/>
      <c r="R17" s="427" t="s">
        <v>2</v>
      </c>
      <c r="S17" s="428"/>
      <c r="T17" s="428"/>
      <c r="U17" s="428"/>
      <c r="V17" s="429"/>
      <c r="W17" s="441"/>
      <c r="X17" s="225"/>
      <c r="Y17" s="424" t="s">
        <v>1666</v>
      </c>
      <c r="Z17" s="425"/>
      <c r="AA17" s="425"/>
      <c r="AB17" s="425"/>
      <c r="AC17" s="425"/>
      <c r="AD17" s="425"/>
      <c r="AE17" s="425"/>
      <c r="AF17" s="426"/>
      <c r="AG17" s="427" t="s">
        <v>2</v>
      </c>
      <c r="AH17" s="428"/>
      <c r="AI17" s="428"/>
      <c r="AJ17" s="428"/>
      <c r="AK17" s="429"/>
      <c r="AL17" s="441"/>
      <c r="AM17" s="225"/>
      <c r="AN17" s="424" t="s">
        <v>1666</v>
      </c>
      <c r="AO17" s="425"/>
      <c r="AP17" s="425"/>
      <c r="AQ17" s="425"/>
      <c r="AR17" s="425"/>
      <c r="AS17" s="425"/>
      <c r="AT17" s="425"/>
      <c r="AU17" s="426"/>
      <c r="AV17" s="427" t="s">
        <v>2</v>
      </c>
      <c r="AW17" s="428"/>
      <c r="AX17" s="428"/>
      <c r="AY17" s="428"/>
      <c r="AZ17" s="429"/>
    </row>
    <row r="18" spans="2:52" s="374" customFormat="1" ht="15" customHeight="1">
      <c r="B18" s="469"/>
      <c r="C18" s="477"/>
      <c r="D18" s="477"/>
      <c r="E18" s="477"/>
      <c r="F18" s="477"/>
      <c r="G18" s="470"/>
      <c r="H18" s="209"/>
      <c r="I18" s="291" t="s">
        <v>1667</v>
      </c>
      <c r="J18" s="430" t="s">
        <v>453</v>
      </c>
      <c r="K18" s="431" t="s">
        <v>455</v>
      </c>
      <c r="L18" s="431" t="s">
        <v>457</v>
      </c>
      <c r="M18" s="431" t="s">
        <v>459</v>
      </c>
      <c r="N18" s="431" t="s">
        <v>461</v>
      </c>
      <c r="O18" s="431" t="s">
        <v>463</v>
      </c>
      <c r="P18" s="431" t="s">
        <v>465</v>
      </c>
      <c r="Q18" s="432" t="s">
        <v>467</v>
      </c>
      <c r="R18" s="430" t="s">
        <v>469</v>
      </c>
      <c r="S18" s="431" t="s">
        <v>471</v>
      </c>
      <c r="T18" s="431" t="s">
        <v>473</v>
      </c>
      <c r="U18" s="431" t="s">
        <v>475</v>
      </c>
      <c r="V18" s="432" t="s">
        <v>477</v>
      </c>
      <c r="W18" s="441"/>
      <c r="X18" s="291" t="s">
        <v>1667</v>
      </c>
      <c r="Y18" s="430" t="s">
        <v>453</v>
      </c>
      <c r="Z18" s="431" t="s">
        <v>455</v>
      </c>
      <c r="AA18" s="431" t="s">
        <v>457</v>
      </c>
      <c r="AB18" s="431" t="s">
        <v>459</v>
      </c>
      <c r="AC18" s="431" t="s">
        <v>461</v>
      </c>
      <c r="AD18" s="431" t="s">
        <v>463</v>
      </c>
      <c r="AE18" s="431" t="s">
        <v>465</v>
      </c>
      <c r="AF18" s="432" t="s">
        <v>467</v>
      </c>
      <c r="AG18" s="430" t="s">
        <v>469</v>
      </c>
      <c r="AH18" s="431" t="s">
        <v>471</v>
      </c>
      <c r="AI18" s="431" t="s">
        <v>473</v>
      </c>
      <c r="AJ18" s="431" t="s">
        <v>475</v>
      </c>
      <c r="AK18" s="432" t="s">
        <v>477</v>
      </c>
      <c r="AL18" s="441"/>
      <c r="AM18" s="291" t="s">
        <v>1667</v>
      </c>
      <c r="AN18" s="430" t="s">
        <v>453</v>
      </c>
      <c r="AO18" s="431" t="s">
        <v>455</v>
      </c>
      <c r="AP18" s="431" t="s">
        <v>457</v>
      </c>
      <c r="AQ18" s="431" t="s">
        <v>459</v>
      </c>
      <c r="AR18" s="431" t="s">
        <v>461</v>
      </c>
      <c r="AS18" s="431" t="s">
        <v>463</v>
      </c>
      <c r="AT18" s="431" t="s">
        <v>465</v>
      </c>
      <c r="AU18" s="432" t="s">
        <v>467</v>
      </c>
      <c r="AV18" s="430" t="s">
        <v>469</v>
      </c>
      <c r="AW18" s="431" t="s">
        <v>471</v>
      </c>
      <c r="AX18" s="431" t="s">
        <v>473</v>
      </c>
      <c r="AY18" s="431" t="s">
        <v>475</v>
      </c>
      <c r="AZ18" s="432" t="s">
        <v>477</v>
      </c>
    </row>
    <row r="19" spans="2:52" s="374" customFormat="1" ht="15" customHeight="1">
      <c r="B19" s="469"/>
      <c r="C19" s="832" t="s">
        <v>2497</v>
      </c>
      <c r="D19" s="477"/>
      <c r="E19" s="477"/>
      <c r="F19" s="477"/>
      <c r="G19" s="470"/>
      <c r="H19" s="209"/>
      <c r="I19" s="209"/>
      <c r="J19" s="405"/>
      <c r="K19" s="209"/>
      <c r="L19" s="209"/>
      <c r="M19" s="209"/>
      <c r="N19" s="209"/>
      <c r="O19" s="209"/>
      <c r="P19" s="209"/>
      <c r="Q19" s="210"/>
      <c r="R19" s="405"/>
      <c r="S19" s="209"/>
      <c r="T19" s="209"/>
      <c r="U19" s="209"/>
      <c r="V19" s="210"/>
      <c r="W19" s="441"/>
      <c r="X19" s="209"/>
      <c r="Y19" s="405"/>
      <c r="Z19" s="209"/>
      <c r="AA19" s="209"/>
      <c r="AB19" s="209"/>
      <c r="AC19" s="209"/>
      <c r="AD19" s="209"/>
      <c r="AE19" s="209"/>
      <c r="AF19" s="210"/>
      <c r="AG19" s="405"/>
      <c r="AH19" s="209"/>
      <c r="AI19" s="209"/>
      <c r="AJ19" s="209"/>
      <c r="AK19" s="210"/>
      <c r="AL19" s="441"/>
      <c r="AM19" s="209"/>
      <c r="AN19" s="405"/>
      <c r="AO19" s="209"/>
      <c r="AP19" s="209"/>
      <c r="AQ19" s="209"/>
      <c r="AR19" s="209"/>
      <c r="AS19" s="209"/>
      <c r="AT19" s="209"/>
      <c r="AU19" s="210"/>
      <c r="AV19" s="405"/>
      <c r="AW19" s="209"/>
      <c r="AX19" s="209"/>
      <c r="AY19" s="209"/>
      <c r="AZ19" s="210"/>
    </row>
    <row r="20" spans="2:52" s="374" customFormat="1" ht="15" customHeight="1">
      <c r="B20" s="469"/>
      <c r="D20" s="833" t="s">
        <v>2498</v>
      </c>
      <c r="E20" s="825"/>
      <c r="F20" s="825"/>
      <c r="G20" s="474"/>
      <c r="H20" s="209"/>
      <c r="I20" s="406" t="s">
        <v>498</v>
      </c>
      <c r="J20" s="297">
        <v>0.11154185396437194</v>
      </c>
      <c r="K20" s="298">
        <v>0.17919036158914972</v>
      </c>
      <c r="L20" s="298">
        <v>0.53223708995029007</v>
      </c>
      <c r="M20" s="298">
        <v>0.64685900352591286</v>
      </c>
      <c r="N20" s="298">
        <v>0.5892449179100604</v>
      </c>
      <c r="O20" s="298">
        <v>0.63778805594290344</v>
      </c>
      <c r="P20" s="298">
        <v>0.57679267707541582</v>
      </c>
      <c r="Q20" s="299">
        <v>0.46275476748636496</v>
      </c>
      <c r="R20" s="297">
        <v>0.48216021719727764</v>
      </c>
      <c r="S20" s="298">
        <v>0.49410651779114678</v>
      </c>
      <c r="T20" s="298">
        <v>0.50605281838501581</v>
      </c>
      <c r="U20" s="298">
        <v>0.51799911897888495</v>
      </c>
      <c r="V20" s="299">
        <v>0.5299454195727541</v>
      </c>
      <c r="W20" s="441"/>
      <c r="X20" s="406" t="s">
        <v>498</v>
      </c>
      <c r="Y20" s="297">
        <v>0</v>
      </c>
      <c r="Z20" s="298">
        <v>0</v>
      </c>
      <c r="AA20" s="298">
        <v>0</v>
      </c>
      <c r="AB20" s="298">
        <v>0</v>
      </c>
      <c r="AC20" s="298">
        <v>0</v>
      </c>
      <c r="AD20" s="298">
        <v>0</v>
      </c>
      <c r="AE20" s="298">
        <v>0</v>
      </c>
      <c r="AF20" s="299">
        <v>0</v>
      </c>
      <c r="AG20" s="297">
        <v>0</v>
      </c>
      <c r="AH20" s="298">
        <v>0</v>
      </c>
      <c r="AI20" s="298">
        <v>0</v>
      </c>
      <c r="AJ20" s="298">
        <v>0</v>
      </c>
      <c r="AK20" s="299">
        <v>0</v>
      </c>
      <c r="AL20" s="441"/>
      <c r="AM20" s="406" t="s">
        <v>2233</v>
      </c>
      <c r="AN20" s="297">
        <v>0.21487274341521159</v>
      </c>
      <c r="AO20" s="298">
        <v>0.37799261083743846</v>
      </c>
      <c r="AP20" s="298">
        <v>1.6729999999999998</v>
      </c>
      <c r="AQ20" s="298">
        <v>1.982734068860567</v>
      </c>
      <c r="AR20" s="298">
        <v>2.4120012481812476</v>
      </c>
      <c r="AS20" s="298">
        <v>0.65600000000000003</v>
      </c>
      <c r="AT20" s="298">
        <v>0.21260280681407465</v>
      </c>
      <c r="AU20" s="299">
        <v>0.17056902132155899</v>
      </c>
      <c r="AV20" s="297">
        <v>1.4607839878035627</v>
      </c>
      <c r="AW20" s="298">
        <v>1.4969772779145802</v>
      </c>
      <c r="AX20" s="298">
        <v>1.5331705680255974</v>
      </c>
      <c r="AY20" s="298">
        <v>1.5693638581366147</v>
      </c>
      <c r="AZ20" s="299">
        <v>1.6055571482476318</v>
      </c>
    </row>
    <row r="21" spans="2:52" s="374" customFormat="1" ht="15" customHeight="1">
      <c r="B21" s="469"/>
      <c r="D21" s="833" t="s">
        <v>2499</v>
      </c>
      <c r="E21" s="825"/>
      <c r="F21" s="825"/>
      <c r="G21" s="474"/>
      <c r="H21" s="209"/>
      <c r="I21" s="406" t="s">
        <v>498</v>
      </c>
      <c r="J21" s="297">
        <v>1.6414810508989477</v>
      </c>
      <c r="K21" s="298">
        <v>5.5135495873584531E-3</v>
      </c>
      <c r="L21" s="298">
        <v>7.3806936562144237E-2</v>
      </c>
      <c r="M21" s="298">
        <v>0.16647220468641047</v>
      </c>
      <c r="N21" s="298">
        <v>8.4037898582949813E-2</v>
      </c>
      <c r="O21" s="298">
        <v>4.2778467166902062E-2</v>
      </c>
      <c r="P21" s="298">
        <v>0.55220858828196062</v>
      </c>
      <c r="Q21" s="299">
        <v>0.44303120866595364</v>
      </c>
      <c r="R21" s="297">
        <v>0.36009049847817481</v>
      </c>
      <c r="S21" s="298">
        <v>0.3690123240091609</v>
      </c>
      <c r="T21" s="298">
        <v>0.37793414954014698</v>
      </c>
      <c r="U21" s="298">
        <v>0.38685597507113306</v>
      </c>
      <c r="V21" s="299">
        <v>0.39577780060211892</v>
      </c>
      <c r="W21" s="441"/>
      <c r="X21" s="406" t="s">
        <v>498</v>
      </c>
      <c r="Y21" s="297">
        <v>0</v>
      </c>
      <c r="Z21" s="298">
        <v>0</v>
      </c>
      <c r="AA21" s="298">
        <v>0</v>
      </c>
      <c r="AB21" s="298">
        <v>0</v>
      </c>
      <c r="AC21" s="298">
        <v>0</v>
      </c>
      <c r="AD21" s="298">
        <v>0</v>
      </c>
      <c r="AE21" s="298">
        <v>0</v>
      </c>
      <c r="AF21" s="299">
        <v>0</v>
      </c>
      <c r="AG21" s="297">
        <v>0</v>
      </c>
      <c r="AH21" s="298">
        <v>0</v>
      </c>
      <c r="AI21" s="298">
        <v>0</v>
      </c>
      <c r="AJ21" s="298">
        <v>0</v>
      </c>
      <c r="AK21" s="299">
        <v>0</v>
      </c>
      <c r="AL21" s="441"/>
      <c r="AM21" s="406" t="s">
        <v>2233</v>
      </c>
      <c r="AN21" s="297">
        <v>3.1621272565847884</v>
      </c>
      <c r="AO21" s="298">
        <v>1.1630541871921182E-2</v>
      </c>
      <c r="AP21" s="298">
        <v>0.23200000000000001</v>
      </c>
      <c r="AQ21" s="298">
        <v>0.51026593113943319</v>
      </c>
      <c r="AR21" s="298">
        <v>0.3439987518187525</v>
      </c>
      <c r="AS21" s="298">
        <v>4.3999999999999997E-2</v>
      </c>
      <c r="AT21" s="298">
        <v>0.96459338204923417</v>
      </c>
      <c r="AU21" s="299">
        <v>0.7738832408420413</v>
      </c>
      <c r="AV21" s="297">
        <v>1.090953619928996</v>
      </c>
      <c r="AW21" s="298">
        <v>1.1179837634638556</v>
      </c>
      <c r="AX21" s="298">
        <v>1.1450139069987151</v>
      </c>
      <c r="AY21" s="298">
        <v>1.1720440505335745</v>
      </c>
      <c r="AZ21" s="299">
        <v>1.1990741940684337</v>
      </c>
    </row>
    <row r="22" spans="2:52" s="374" customFormat="1" ht="15" customHeight="1">
      <c r="B22" s="469"/>
      <c r="D22" s="833" t="s">
        <v>2500</v>
      </c>
      <c r="E22" s="825"/>
      <c r="F22" s="825"/>
      <c r="G22" s="474"/>
      <c r="H22" s="209"/>
      <c r="I22" s="406" t="s">
        <v>498</v>
      </c>
      <c r="J22" s="297">
        <v>0</v>
      </c>
      <c r="K22" s="298">
        <v>1.8378498624528176E-3</v>
      </c>
      <c r="L22" s="298">
        <v>1.8769867487786682E-2</v>
      </c>
      <c r="M22" s="298">
        <v>0</v>
      </c>
      <c r="N22" s="298">
        <v>0</v>
      </c>
      <c r="O22" s="298">
        <v>0</v>
      </c>
      <c r="P22" s="298">
        <v>5.7726894957573051E-3</v>
      </c>
      <c r="Q22" s="299">
        <v>4.6313687596121738E-3</v>
      </c>
      <c r="R22" s="297">
        <v>3.6843650567413341E-3</v>
      </c>
      <c r="S22" s="298">
        <v>3.7756511705589152E-3</v>
      </c>
      <c r="T22" s="298">
        <v>3.8669372843764941E-3</v>
      </c>
      <c r="U22" s="298">
        <v>3.9582233981940735E-3</v>
      </c>
      <c r="V22" s="299">
        <v>4.0495095120116533E-3</v>
      </c>
      <c r="W22" s="441"/>
      <c r="X22" s="406" t="s">
        <v>498</v>
      </c>
      <c r="Y22" s="297">
        <v>0</v>
      </c>
      <c r="Z22" s="298">
        <v>0</v>
      </c>
      <c r="AA22" s="298">
        <v>0</v>
      </c>
      <c r="AB22" s="298">
        <v>0</v>
      </c>
      <c r="AC22" s="298">
        <v>0</v>
      </c>
      <c r="AD22" s="298">
        <v>0</v>
      </c>
      <c r="AE22" s="298">
        <v>0</v>
      </c>
      <c r="AF22" s="299">
        <v>0</v>
      </c>
      <c r="AG22" s="297">
        <v>0</v>
      </c>
      <c r="AH22" s="298">
        <v>0</v>
      </c>
      <c r="AI22" s="298">
        <v>0</v>
      </c>
      <c r="AJ22" s="298">
        <v>0</v>
      </c>
      <c r="AK22" s="299">
        <v>0</v>
      </c>
      <c r="AL22" s="441"/>
      <c r="AM22" s="406" t="s">
        <v>2233</v>
      </c>
      <c r="AN22" s="297">
        <v>0</v>
      </c>
      <c r="AO22" s="298">
        <v>3.8768472906403942E-3</v>
      </c>
      <c r="AP22" s="298">
        <v>5.9000000000000004E-2</v>
      </c>
      <c r="AQ22" s="298">
        <v>0</v>
      </c>
      <c r="AR22" s="298">
        <v>0</v>
      </c>
      <c r="AS22" s="298">
        <v>0</v>
      </c>
      <c r="AT22" s="298">
        <v>1.8919834343693522E-3</v>
      </c>
      <c r="AU22" s="299">
        <v>1.5179186370723788E-3</v>
      </c>
      <c r="AV22" s="297">
        <v>1.1162392267441293E-2</v>
      </c>
      <c r="AW22" s="298">
        <v>1.1438958621564563E-2</v>
      </c>
      <c r="AX22" s="298">
        <v>1.1715524975687829E-2</v>
      </c>
      <c r="AY22" s="298">
        <v>1.1992091329811097E-2</v>
      </c>
      <c r="AZ22" s="299">
        <v>1.2268657683934363E-2</v>
      </c>
    </row>
    <row r="23" spans="2:52" s="374" customFormat="1" ht="15" customHeight="1">
      <c r="B23" s="469"/>
      <c r="C23" s="835" t="s">
        <v>1710</v>
      </c>
      <c r="D23" s="826"/>
      <c r="E23" s="826"/>
      <c r="F23" s="826"/>
      <c r="G23" s="476"/>
      <c r="H23" s="209"/>
      <c r="I23" s="406" t="s">
        <v>498</v>
      </c>
      <c r="J23" s="281">
        <f>SUM(J20:J22)</f>
        <v>1.7530229048633197</v>
      </c>
      <c r="K23" s="282">
        <f t="shared" ref="K23:V23" si="3">SUM(K20:K22)</f>
        <v>0.18654176103896097</v>
      </c>
      <c r="L23" s="282">
        <f t="shared" si="3"/>
        <v>0.62481389400022092</v>
      </c>
      <c r="M23" s="282">
        <f t="shared" si="3"/>
        <v>0.8133312082123233</v>
      </c>
      <c r="N23" s="282">
        <f t="shared" si="3"/>
        <v>0.67328281649301025</v>
      </c>
      <c r="O23" s="282">
        <f t="shared" si="3"/>
        <v>0.68056652310980548</v>
      </c>
      <c r="P23" s="282">
        <f t="shared" si="3"/>
        <v>1.1347739548531337</v>
      </c>
      <c r="Q23" s="283">
        <f t="shared" si="3"/>
        <v>0.91041734491193071</v>
      </c>
      <c r="R23" s="281">
        <f t="shared" si="3"/>
        <v>0.8459350807321937</v>
      </c>
      <c r="S23" s="282">
        <f t="shared" si="3"/>
        <v>0.86689449297086663</v>
      </c>
      <c r="T23" s="282">
        <f t="shared" si="3"/>
        <v>0.88785390520953933</v>
      </c>
      <c r="U23" s="282">
        <f t="shared" si="3"/>
        <v>0.90881331744821203</v>
      </c>
      <c r="V23" s="283">
        <f t="shared" si="3"/>
        <v>0.92977272968688474</v>
      </c>
      <c r="W23" s="441"/>
      <c r="X23" s="406" t="s">
        <v>498</v>
      </c>
      <c r="Y23" s="281">
        <f>SUM(Y20:Y22)</f>
        <v>0</v>
      </c>
      <c r="Z23" s="282">
        <f t="shared" ref="Z23" si="4">SUM(Z20:Z22)</f>
        <v>0</v>
      </c>
      <c r="AA23" s="282">
        <f t="shared" ref="AA23" si="5">SUM(AA20:AA22)</f>
        <v>0</v>
      </c>
      <c r="AB23" s="282">
        <f t="shared" ref="AB23" si="6">SUM(AB20:AB22)</f>
        <v>0</v>
      </c>
      <c r="AC23" s="282">
        <f t="shared" ref="AC23" si="7">SUM(AC20:AC22)</f>
        <v>0</v>
      </c>
      <c r="AD23" s="282">
        <f t="shared" ref="AD23" si="8">SUM(AD20:AD22)</f>
        <v>0</v>
      </c>
      <c r="AE23" s="282">
        <f t="shared" ref="AE23" si="9">SUM(AE20:AE22)</f>
        <v>0</v>
      </c>
      <c r="AF23" s="283">
        <f t="shared" ref="AF23" si="10">SUM(AF20:AF22)</f>
        <v>0</v>
      </c>
      <c r="AG23" s="281">
        <f t="shared" ref="AG23" si="11">SUM(AG20:AG22)</f>
        <v>0</v>
      </c>
      <c r="AH23" s="282">
        <f t="shared" ref="AH23" si="12">SUM(AH20:AH22)</f>
        <v>0</v>
      </c>
      <c r="AI23" s="282">
        <f t="shared" ref="AI23" si="13">SUM(AI20:AI22)</f>
        <v>0</v>
      </c>
      <c r="AJ23" s="282">
        <f t="shared" ref="AJ23" si="14">SUM(AJ20:AJ22)</f>
        <v>0</v>
      </c>
      <c r="AK23" s="283">
        <f t="shared" ref="AK23" si="15">SUM(AK20:AK22)</f>
        <v>0</v>
      </c>
      <c r="AL23" s="441"/>
      <c r="AM23" s="406" t="s">
        <v>2233</v>
      </c>
      <c r="AN23" s="281">
        <f>SUM(AN20:AN22)</f>
        <v>3.3770000000000002</v>
      </c>
      <c r="AO23" s="282">
        <f t="shared" ref="AO23" si="16">SUM(AO20:AO22)</f>
        <v>0.39350000000000007</v>
      </c>
      <c r="AP23" s="282">
        <f t="shared" ref="AP23" si="17">SUM(AP20:AP22)</f>
        <v>1.9639999999999997</v>
      </c>
      <c r="AQ23" s="282">
        <f t="shared" ref="AQ23" si="18">SUM(AQ20:AQ22)</f>
        <v>2.4930000000000003</v>
      </c>
      <c r="AR23" s="282">
        <f t="shared" ref="AR23" si="19">SUM(AR20:AR22)</f>
        <v>2.7560000000000002</v>
      </c>
      <c r="AS23" s="282">
        <f t="shared" ref="AS23" si="20">SUM(AS20:AS22)</f>
        <v>0.70000000000000007</v>
      </c>
      <c r="AT23" s="282">
        <f t="shared" ref="AT23" si="21">SUM(AT20:AT22)</f>
        <v>1.1790881722976783</v>
      </c>
      <c r="AU23" s="283">
        <f t="shared" ref="AU23" si="22">SUM(AU20:AU22)</f>
        <v>0.94597018080067263</v>
      </c>
      <c r="AV23" s="281">
        <f t="shared" ref="AV23" si="23">SUM(AV20:AV22)</f>
        <v>2.5629</v>
      </c>
      <c r="AW23" s="282">
        <f t="shared" ref="AW23" si="24">SUM(AW20:AW22)</f>
        <v>2.6264000000000003</v>
      </c>
      <c r="AX23" s="282">
        <f t="shared" ref="AX23" si="25">SUM(AX20:AX22)</f>
        <v>2.6899000000000002</v>
      </c>
      <c r="AY23" s="282">
        <f t="shared" ref="AY23" si="26">SUM(AY20:AY22)</f>
        <v>2.7534000000000005</v>
      </c>
      <c r="AZ23" s="283">
        <f t="shared" ref="AZ23" si="27">SUM(AZ20:AZ22)</f>
        <v>2.8169</v>
      </c>
    </row>
    <row r="24" spans="2:52" s="374" customFormat="1" ht="15" customHeight="1">
      <c r="B24" s="469"/>
      <c r="C24" s="832" t="s">
        <v>2501</v>
      </c>
      <c r="D24" s="477"/>
      <c r="E24" s="477"/>
      <c r="F24" s="477"/>
      <c r="G24" s="470"/>
      <c r="H24" s="209"/>
      <c r="I24" s="209"/>
      <c r="J24" s="405"/>
      <c r="K24" s="209"/>
      <c r="L24" s="209"/>
      <c r="M24" s="209"/>
      <c r="N24" s="209"/>
      <c r="O24" s="209"/>
      <c r="P24" s="209"/>
      <c r="Q24" s="210"/>
      <c r="R24" s="405"/>
      <c r="S24" s="209"/>
      <c r="T24" s="209"/>
      <c r="U24" s="209"/>
      <c r="V24" s="210"/>
      <c r="W24" s="441"/>
      <c r="X24" s="209"/>
      <c r="Y24" s="405"/>
      <c r="Z24" s="209"/>
      <c r="AA24" s="209"/>
      <c r="AB24" s="209"/>
      <c r="AC24" s="209"/>
      <c r="AD24" s="209"/>
      <c r="AE24" s="209"/>
      <c r="AF24" s="210"/>
      <c r="AG24" s="405"/>
      <c r="AH24" s="209"/>
      <c r="AI24" s="209"/>
      <c r="AJ24" s="209"/>
      <c r="AK24" s="210"/>
      <c r="AL24" s="441"/>
      <c r="AM24" s="209"/>
      <c r="AN24" s="405"/>
      <c r="AO24" s="209"/>
      <c r="AP24" s="209"/>
      <c r="AQ24" s="209"/>
      <c r="AR24" s="209"/>
      <c r="AS24" s="209"/>
      <c r="AT24" s="209"/>
      <c r="AU24" s="210"/>
      <c r="AV24" s="405"/>
      <c r="AW24" s="209"/>
      <c r="AX24" s="209"/>
      <c r="AY24" s="209"/>
      <c r="AZ24" s="210"/>
    </row>
    <row r="25" spans="2:52" s="374" customFormat="1" ht="15" customHeight="1">
      <c r="B25" s="469"/>
      <c r="D25" s="833" t="s">
        <v>2498</v>
      </c>
      <c r="E25" s="825"/>
      <c r="F25" s="825"/>
      <c r="G25" s="474"/>
      <c r="H25" s="209"/>
      <c r="I25" s="406" t="s">
        <v>498</v>
      </c>
      <c r="J25" s="297">
        <v>0.18510776062269402</v>
      </c>
      <c r="K25" s="298">
        <v>0.13631114512271864</v>
      </c>
      <c r="L25" s="298">
        <v>0.93246156923807988</v>
      </c>
      <c r="M25" s="298">
        <v>0.19848623928970072</v>
      </c>
      <c r="N25" s="298">
        <v>0.39323125894670891</v>
      </c>
      <c r="O25" s="298">
        <v>0.32159920330182129</v>
      </c>
      <c r="P25" s="298">
        <v>0.51699363458859049</v>
      </c>
      <c r="Q25" s="299">
        <v>0.41477861747314293</v>
      </c>
      <c r="R25" s="297">
        <v>0.21441941291425337</v>
      </c>
      <c r="S25" s="298">
        <v>0.18197730350411578</v>
      </c>
      <c r="T25" s="298">
        <v>0.14953519409397831</v>
      </c>
      <c r="U25" s="298">
        <v>0.11709308468384072</v>
      </c>
      <c r="V25" s="299">
        <v>8.4650975273703161E-2</v>
      </c>
      <c r="W25" s="441"/>
      <c r="X25" s="406" t="s">
        <v>498</v>
      </c>
      <c r="Y25" s="297">
        <v>0</v>
      </c>
      <c r="Z25" s="298">
        <v>0</v>
      </c>
      <c r="AA25" s="298">
        <v>0</v>
      </c>
      <c r="AB25" s="298">
        <v>0</v>
      </c>
      <c r="AC25" s="298">
        <v>0</v>
      </c>
      <c r="AD25" s="298">
        <v>0</v>
      </c>
      <c r="AE25" s="298">
        <v>0</v>
      </c>
      <c r="AF25" s="299">
        <v>0</v>
      </c>
      <c r="AG25" s="297">
        <v>0</v>
      </c>
      <c r="AH25" s="298">
        <v>0</v>
      </c>
      <c r="AI25" s="298">
        <v>0</v>
      </c>
      <c r="AJ25" s="298">
        <v>0</v>
      </c>
      <c r="AK25" s="299">
        <v>0</v>
      </c>
      <c r="AL25" s="441"/>
      <c r="AM25" s="406" t="s">
        <v>2233</v>
      </c>
      <c r="AN25" s="297">
        <v>0.87578323586744644</v>
      </c>
      <c r="AO25" s="298">
        <v>0.48799999999999999</v>
      </c>
      <c r="AP25" s="298">
        <v>1.7544999999999999</v>
      </c>
      <c r="AQ25" s="298">
        <v>0.76600000000000001</v>
      </c>
      <c r="AR25" s="298">
        <v>1.1000000000000001</v>
      </c>
      <c r="AS25" s="298">
        <v>6.6000000000000003E-2</v>
      </c>
      <c r="AT25" s="298">
        <v>0.22185431842767731</v>
      </c>
      <c r="AU25" s="299">
        <v>0.1779914128944852</v>
      </c>
      <c r="AV25" s="297">
        <v>0.63254872184309507</v>
      </c>
      <c r="AW25" s="298">
        <v>0.5368427661072549</v>
      </c>
      <c r="AX25" s="298">
        <v>0.44113681037141489</v>
      </c>
      <c r="AY25" s="298">
        <v>0.34543085463557477</v>
      </c>
      <c r="AZ25" s="299">
        <v>0.24972489889973465</v>
      </c>
    </row>
    <row r="26" spans="2:52" s="374" customFormat="1" ht="15" customHeight="1">
      <c r="B26" s="469"/>
      <c r="D26" s="833" t="s">
        <v>2499</v>
      </c>
      <c r="E26" s="825"/>
      <c r="F26" s="825"/>
      <c r="G26" s="474"/>
      <c r="H26" s="209"/>
      <c r="I26" s="406" t="s">
        <v>498</v>
      </c>
      <c r="J26" s="297">
        <v>0.36189846748469101</v>
      </c>
      <c r="K26" s="298">
        <v>0.43435211202013829</v>
      </c>
      <c r="L26" s="298">
        <v>9.0349653331703392E-3</v>
      </c>
      <c r="M26" s="298">
        <v>1.0364816673091421E-3</v>
      </c>
      <c r="N26" s="298">
        <v>0.48653431220588261</v>
      </c>
      <c r="O26" s="298">
        <v>0</v>
      </c>
      <c r="P26" s="298">
        <v>0.3621578761127785</v>
      </c>
      <c r="Q26" s="299">
        <v>0.29055549838752914</v>
      </c>
      <c r="R26" s="297">
        <v>0.12791337130377906</v>
      </c>
      <c r="S26" s="298">
        <v>0.10855980844090407</v>
      </c>
      <c r="T26" s="298">
        <v>8.9206245578029114E-2</v>
      </c>
      <c r="U26" s="298">
        <v>6.985268271515413E-2</v>
      </c>
      <c r="V26" s="299">
        <v>5.0499119852279145E-2</v>
      </c>
      <c r="W26" s="441"/>
      <c r="X26" s="406" t="s">
        <v>498</v>
      </c>
      <c r="Y26" s="297">
        <v>0</v>
      </c>
      <c r="Z26" s="298">
        <v>0</v>
      </c>
      <c r="AA26" s="298">
        <v>0</v>
      </c>
      <c r="AB26" s="298">
        <v>0</v>
      </c>
      <c r="AC26" s="298">
        <v>0</v>
      </c>
      <c r="AD26" s="298">
        <v>0</v>
      </c>
      <c r="AE26" s="298">
        <v>0</v>
      </c>
      <c r="AF26" s="299">
        <v>0</v>
      </c>
      <c r="AG26" s="297">
        <v>0</v>
      </c>
      <c r="AH26" s="298">
        <v>0</v>
      </c>
      <c r="AI26" s="298">
        <v>0</v>
      </c>
      <c r="AJ26" s="298">
        <v>0</v>
      </c>
      <c r="AK26" s="299">
        <v>0</v>
      </c>
      <c r="AL26" s="441"/>
      <c r="AM26" s="406" t="s">
        <v>2233</v>
      </c>
      <c r="AN26" s="297">
        <v>1.7122167641325536</v>
      </c>
      <c r="AO26" s="298">
        <v>1.5549999999999999</v>
      </c>
      <c r="AP26" s="298">
        <v>1.7000000000000001E-2</v>
      </c>
      <c r="AQ26" s="298">
        <v>4.0000000000000001E-3</v>
      </c>
      <c r="AR26" s="298">
        <v>1.3610000000000002</v>
      </c>
      <c r="AS26" s="298">
        <v>0</v>
      </c>
      <c r="AT26" s="298">
        <v>0.10070902896134329</v>
      </c>
      <c r="AU26" s="299">
        <v>8.0797806790966903E-2</v>
      </c>
      <c r="AV26" s="297">
        <v>0.37735127815690495</v>
      </c>
      <c r="AW26" s="298">
        <v>0.32025723389274502</v>
      </c>
      <c r="AX26" s="298">
        <v>0.2631631896285852</v>
      </c>
      <c r="AY26" s="298">
        <v>0.2060691453644253</v>
      </c>
      <c r="AZ26" s="299">
        <v>0.14897510110026538</v>
      </c>
    </row>
    <row r="27" spans="2:52" s="374" customFormat="1" ht="15" customHeight="1">
      <c r="B27" s="469"/>
      <c r="D27" s="833" t="s">
        <v>2500</v>
      </c>
      <c r="E27" s="825"/>
      <c r="F27" s="825"/>
      <c r="G27" s="474"/>
      <c r="H27" s="209"/>
      <c r="I27" s="406" t="s">
        <v>498</v>
      </c>
      <c r="J27" s="297">
        <v>0</v>
      </c>
      <c r="K27" s="298">
        <v>0</v>
      </c>
      <c r="L27" s="298">
        <v>0</v>
      </c>
      <c r="M27" s="298">
        <v>0</v>
      </c>
      <c r="N27" s="298">
        <v>0</v>
      </c>
      <c r="O27" s="298">
        <v>0</v>
      </c>
      <c r="P27" s="298">
        <v>0</v>
      </c>
      <c r="Q27" s="299">
        <v>0</v>
      </c>
      <c r="R27" s="297">
        <v>0</v>
      </c>
      <c r="S27" s="298">
        <v>0</v>
      </c>
      <c r="T27" s="298">
        <v>0</v>
      </c>
      <c r="U27" s="298">
        <v>0</v>
      </c>
      <c r="V27" s="299">
        <v>0</v>
      </c>
      <c r="W27" s="441"/>
      <c r="X27" s="406" t="s">
        <v>498</v>
      </c>
      <c r="Y27" s="297">
        <v>0</v>
      </c>
      <c r="Z27" s="298">
        <v>0</v>
      </c>
      <c r="AA27" s="298">
        <v>0</v>
      </c>
      <c r="AB27" s="298">
        <v>0</v>
      </c>
      <c r="AC27" s="298">
        <v>0</v>
      </c>
      <c r="AD27" s="298">
        <v>0</v>
      </c>
      <c r="AE27" s="298">
        <v>0</v>
      </c>
      <c r="AF27" s="299">
        <v>0</v>
      </c>
      <c r="AG27" s="297">
        <v>0</v>
      </c>
      <c r="AH27" s="298">
        <v>0</v>
      </c>
      <c r="AI27" s="298">
        <v>0</v>
      </c>
      <c r="AJ27" s="298">
        <v>0</v>
      </c>
      <c r="AK27" s="299">
        <v>0</v>
      </c>
      <c r="AL27" s="441"/>
      <c r="AM27" s="406" t="s">
        <v>2233</v>
      </c>
      <c r="AN27" s="297">
        <v>0</v>
      </c>
      <c r="AO27" s="298">
        <v>0</v>
      </c>
      <c r="AP27" s="298">
        <v>0</v>
      </c>
      <c r="AQ27" s="298">
        <v>0</v>
      </c>
      <c r="AR27" s="298">
        <v>0</v>
      </c>
      <c r="AS27" s="298">
        <v>0</v>
      </c>
      <c r="AT27" s="298">
        <v>0</v>
      </c>
      <c r="AU27" s="299">
        <v>0</v>
      </c>
      <c r="AV27" s="297">
        <v>0</v>
      </c>
      <c r="AW27" s="298">
        <v>0</v>
      </c>
      <c r="AX27" s="298">
        <v>0</v>
      </c>
      <c r="AY27" s="298">
        <v>0</v>
      </c>
      <c r="AZ27" s="299">
        <v>0</v>
      </c>
    </row>
    <row r="28" spans="2:52" s="374" customFormat="1" ht="15" customHeight="1">
      <c r="B28" s="469"/>
      <c r="C28" s="835" t="s">
        <v>1710</v>
      </c>
      <c r="D28" s="826"/>
      <c r="E28" s="826"/>
      <c r="F28" s="826"/>
      <c r="G28" s="476"/>
      <c r="H28" s="209"/>
      <c r="I28" s="472" t="s">
        <v>498</v>
      </c>
      <c r="J28" s="281">
        <f>SUM(J25:J27)</f>
        <v>0.54700622810738508</v>
      </c>
      <c r="K28" s="282">
        <f t="shared" ref="K28" si="28">SUM(K25:K27)</f>
        <v>0.57066325714285693</v>
      </c>
      <c r="L28" s="282">
        <f t="shared" ref="L28" si="29">SUM(L25:L27)</f>
        <v>0.94149653457125027</v>
      </c>
      <c r="M28" s="282">
        <f t="shared" ref="M28" si="30">SUM(M25:M27)</f>
        <v>0.19952272095700985</v>
      </c>
      <c r="N28" s="282">
        <f t="shared" ref="N28" si="31">SUM(N25:N27)</f>
        <v>0.87976557115259157</v>
      </c>
      <c r="O28" s="282">
        <f t="shared" ref="O28" si="32">SUM(O25:O27)</f>
        <v>0.32159920330182129</v>
      </c>
      <c r="P28" s="282">
        <f t="shared" ref="P28" si="33">SUM(P25:P27)</f>
        <v>0.87915151070136899</v>
      </c>
      <c r="Q28" s="283">
        <f t="shared" ref="Q28" si="34">SUM(Q25:Q27)</f>
        <v>0.70533411586067207</v>
      </c>
      <c r="R28" s="281">
        <f t="shared" ref="R28" si="35">SUM(R25:R27)</f>
        <v>0.34233278421803243</v>
      </c>
      <c r="S28" s="282">
        <f t="shared" ref="S28" si="36">SUM(S25:S27)</f>
        <v>0.29053711194501985</v>
      </c>
      <c r="T28" s="282">
        <f t="shared" ref="T28" si="37">SUM(T25:T27)</f>
        <v>0.23874143967200742</v>
      </c>
      <c r="U28" s="282">
        <f t="shared" ref="U28" si="38">SUM(U25:U27)</f>
        <v>0.18694576739899485</v>
      </c>
      <c r="V28" s="283">
        <f t="shared" ref="V28" si="39">SUM(V25:V27)</f>
        <v>0.13515009512598231</v>
      </c>
      <c r="W28" s="441"/>
      <c r="X28" s="472" t="s">
        <v>498</v>
      </c>
      <c r="Y28" s="281">
        <f>SUM(Y25:Y27)</f>
        <v>0</v>
      </c>
      <c r="Z28" s="282">
        <f t="shared" ref="Z28" si="40">SUM(Z25:Z27)</f>
        <v>0</v>
      </c>
      <c r="AA28" s="282">
        <f t="shared" ref="AA28" si="41">SUM(AA25:AA27)</f>
        <v>0</v>
      </c>
      <c r="AB28" s="282">
        <f t="shared" ref="AB28" si="42">SUM(AB25:AB27)</f>
        <v>0</v>
      </c>
      <c r="AC28" s="282">
        <f t="shared" ref="AC28" si="43">SUM(AC25:AC27)</f>
        <v>0</v>
      </c>
      <c r="AD28" s="282">
        <f t="shared" ref="AD28" si="44">SUM(AD25:AD27)</f>
        <v>0</v>
      </c>
      <c r="AE28" s="282">
        <f t="shared" ref="AE28" si="45">SUM(AE25:AE27)</f>
        <v>0</v>
      </c>
      <c r="AF28" s="283">
        <f t="shared" ref="AF28" si="46">SUM(AF25:AF27)</f>
        <v>0</v>
      </c>
      <c r="AG28" s="281">
        <f t="shared" ref="AG28" si="47">SUM(AG25:AG27)</f>
        <v>0</v>
      </c>
      <c r="AH28" s="282">
        <f t="shared" ref="AH28" si="48">SUM(AH25:AH27)</f>
        <v>0</v>
      </c>
      <c r="AI28" s="282">
        <f t="shared" ref="AI28" si="49">SUM(AI25:AI27)</f>
        <v>0</v>
      </c>
      <c r="AJ28" s="282">
        <f t="shared" ref="AJ28" si="50">SUM(AJ25:AJ27)</f>
        <v>0</v>
      </c>
      <c r="AK28" s="283">
        <f t="shared" ref="AK28" si="51">SUM(AK25:AK27)</f>
        <v>0</v>
      </c>
      <c r="AL28" s="441"/>
      <c r="AM28" s="406" t="s">
        <v>2233</v>
      </c>
      <c r="AN28" s="281">
        <f>SUM(AN25:AN27)</f>
        <v>2.5880000000000001</v>
      </c>
      <c r="AO28" s="282">
        <f t="shared" ref="AO28" si="52">SUM(AO25:AO27)</f>
        <v>2.0430000000000001</v>
      </c>
      <c r="AP28" s="282">
        <f t="shared" ref="AP28" si="53">SUM(AP25:AP27)</f>
        <v>1.7714999999999999</v>
      </c>
      <c r="AQ28" s="282">
        <f t="shared" ref="AQ28" si="54">SUM(AQ25:AQ27)</f>
        <v>0.77</v>
      </c>
      <c r="AR28" s="282">
        <f t="shared" ref="AR28" si="55">SUM(AR25:AR27)</f>
        <v>2.4610000000000003</v>
      </c>
      <c r="AS28" s="282">
        <f t="shared" ref="AS28" si="56">SUM(AS25:AS27)</f>
        <v>6.6000000000000003E-2</v>
      </c>
      <c r="AT28" s="282">
        <f t="shared" ref="AT28" si="57">SUM(AT25:AT27)</f>
        <v>0.32256334738902059</v>
      </c>
      <c r="AU28" s="283">
        <f t="shared" ref="AU28" si="58">SUM(AU25:AU27)</f>
        <v>0.2587892196854521</v>
      </c>
      <c r="AV28" s="281">
        <f t="shared" ref="AV28" si="59">SUM(AV25:AV27)</f>
        <v>1.0099</v>
      </c>
      <c r="AW28" s="282">
        <f t="shared" ref="AW28" si="60">SUM(AW25:AW27)</f>
        <v>0.85709999999999997</v>
      </c>
      <c r="AX28" s="282">
        <f t="shared" ref="AX28" si="61">SUM(AX25:AX27)</f>
        <v>0.70430000000000015</v>
      </c>
      <c r="AY28" s="282">
        <f t="shared" ref="AY28" si="62">SUM(AY25:AY27)</f>
        <v>0.5515000000000001</v>
      </c>
      <c r="AZ28" s="283">
        <f t="shared" ref="AZ28" si="63">SUM(AZ25:AZ27)</f>
        <v>0.39870000000000005</v>
      </c>
    </row>
    <row r="29" spans="2:52" s="374" customFormat="1" ht="15" customHeight="1">
      <c r="B29" s="469"/>
      <c r="C29" s="832" t="s">
        <v>2502</v>
      </c>
      <c r="D29" s="477"/>
      <c r="E29" s="477"/>
      <c r="F29" s="477"/>
      <c r="G29" s="470"/>
      <c r="H29" s="209"/>
      <c r="I29" s="209"/>
      <c r="J29" s="405"/>
      <c r="K29" s="209"/>
      <c r="L29" s="209"/>
      <c r="M29" s="209"/>
      <c r="N29" s="209"/>
      <c r="O29" s="209"/>
      <c r="P29" s="209"/>
      <c r="Q29" s="210"/>
      <c r="R29" s="405"/>
      <c r="S29" s="209"/>
      <c r="T29" s="209"/>
      <c r="U29" s="209"/>
      <c r="V29" s="210"/>
      <c r="W29" s="441"/>
      <c r="X29" s="209"/>
      <c r="Y29" s="405"/>
      <c r="Z29" s="209"/>
      <c r="AA29" s="209"/>
      <c r="AB29" s="209"/>
      <c r="AC29" s="209"/>
      <c r="AD29" s="209"/>
      <c r="AE29" s="209"/>
      <c r="AF29" s="210"/>
      <c r="AG29" s="405"/>
      <c r="AH29" s="209"/>
      <c r="AI29" s="209"/>
      <c r="AJ29" s="209"/>
      <c r="AK29" s="210"/>
      <c r="AL29" s="441"/>
      <c r="AM29" s="209"/>
      <c r="AN29" s="405"/>
      <c r="AO29" s="209"/>
      <c r="AP29" s="209"/>
      <c r="AQ29" s="209"/>
      <c r="AR29" s="209"/>
      <c r="AS29" s="209"/>
      <c r="AT29" s="209"/>
      <c r="AU29" s="210"/>
      <c r="AV29" s="405"/>
      <c r="AW29" s="209"/>
      <c r="AX29" s="209"/>
      <c r="AY29" s="209"/>
      <c r="AZ29" s="210"/>
    </row>
    <row r="30" spans="2:52" s="374" customFormat="1" ht="15" customHeight="1">
      <c r="B30" s="469"/>
      <c r="D30" s="833" t="s">
        <v>2503</v>
      </c>
      <c r="E30" s="825"/>
      <c r="F30" s="825"/>
      <c r="G30" s="474"/>
      <c r="H30" s="209"/>
      <c r="I30" s="406" t="s">
        <v>498</v>
      </c>
      <c r="J30" s="297">
        <v>0</v>
      </c>
      <c r="K30" s="298">
        <v>0</v>
      </c>
      <c r="L30" s="298">
        <v>0</v>
      </c>
      <c r="M30" s="298">
        <v>0</v>
      </c>
      <c r="N30" s="298">
        <v>0</v>
      </c>
      <c r="O30" s="298">
        <v>0</v>
      </c>
      <c r="P30" s="298">
        <v>0</v>
      </c>
      <c r="Q30" s="299">
        <v>0</v>
      </c>
      <c r="R30" s="297">
        <v>0</v>
      </c>
      <c r="S30" s="298">
        <v>0</v>
      </c>
      <c r="T30" s="298">
        <v>0</v>
      </c>
      <c r="U30" s="298">
        <v>0</v>
      </c>
      <c r="V30" s="299">
        <v>0</v>
      </c>
      <c r="W30" s="441"/>
      <c r="X30" s="406" t="s">
        <v>498</v>
      </c>
      <c r="Y30" s="297">
        <v>0</v>
      </c>
      <c r="Z30" s="298">
        <v>0</v>
      </c>
      <c r="AA30" s="298">
        <v>0</v>
      </c>
      <c r="AB30" s="298">
        <v>0</v>
      </c>
      <c r="AC30" s="298">
        <v>0</v>
      </c>
      <c r="AD30" s="298">
        <v>0</v>
      </c>
      <c r="AE30" s="298">
        <v>0</v>
      </c>
      <c r="AF30" s="299">
        <v>0</v>
      </c>
      <c r="AG30" s="297">
        <v>0</v>
      </c>
      <c r="AH30" s="298">
        <v>0</v>
      </c>
      <c r="AI30" s="298">
        <v>0</v>
      </c>
      <c r="AJ30" s="298">
        <v>0</v>
      </c>
      <c r="AK30" s="299">
        <v>0</v>
      </c>
      <c r="AL30" s="441"/>
      <c r="AM30" s="406" t="s">
        <v>1876</v>
      </c>
      <c r="AN30" s="407">
        <v>0</v>
      </c>
      <c r="AO30" s="408">
        <v>0</v>
      </c>
      <c r="AP30" s="408">
        <v>0</v>
      </c>
      <c r="AQ30" s="408">
        <v>0</v>
      </c>
      <c r="AR30" s="408">
        <v>0</v>
      </c>
      <c r="AS30" s="408">
        <v>0</v>
      </c>
      <c r="AT30" s="408">
        <v>0</v>
      </c>
      <c r="AU30" s="409">
        <v>0</v>
      </c>
      <c r="AV30" s="407">
        <v>0</v>
      </c>
      <c r="AW30" s="408">
        <v>0</v>
      </c>
      <c r="AX30" s="408">
        <v>0</v>
      </c>
      <c r="AY30" s="408">
        <v>0</v>
      </c>
      <c r="AZ30" s="409">
        <v>0</v>
      </c>
    </row>
    <row r="31" spans="2:52" s="374" customFormat="1" ht="15" customHeight="1">
      <c r="B31" s="469"/>
      <c r="D31" s="833" t="s">
        <v>2504</v>
      </c>
      <c r="E31" s="825"/>
      <c r="F31" s="825"/>
      <c r="G31" s="474"/>
      <c r="H31" s="209"/>
      <c r="I31" s="406" t="s">
        <v>498</v>
      </c>
      <c r="J31" s="297">
        <v>1.3887812563311121E-3</v>
      </c>
      <c r="K31" s="298">
        <v>0.30906327272727263</v>
      </c>
      <c r="L31" s="298">
        <v>0</v>
      </c>
      <c r="M31" s="298">
        <v>0.33348678270891186</v>
      </c>
      <c r="N31" s="298">
        <v>0.32759036945454745</v>
      </c>
      <c r="O31" s="298">
        <v>3.9569E-2</v>
      </c>
      <c r="P31" s="298">
        <v>0.27214698829135642</v>
      </c>
      <c r="Q31" s="299">
        <v>0.21834069899679884</v>
      </c>
      <c r="R31" s="297">
        <v>1.094621748944465</v>
      </c>
      <c r="S31" s="298">
        <v>0.96621873150970217</v>
      </c>
      <c r="T31" s="298">
        <v>0.96621873150970217</v>
      </c>
      <c r="U31" s="298">
        <v>0.96621873150970217</v>
      </c>
      <c r="V31" s="299">
        <v>0.70941269664017637</v>
      </c>
      <c r="W31" s="441"/>
      <c r="X31" s="406" t="s">
        <v>498</v>
      </c>
      <c r="Y31" s="297">
        <v>0</v>
      </c>
      <c r="Z31" s="298">
        <v>0</v>
      </c>
      <c r="AA31" s="298">
        <v>0</v>
      </c>
      <c r="AB31" s="298">
        <v>0</v>
      </c>
      <c r="AC31" s="298">
        <v>0</v>
      </c>
      <c r="AD31" s="298">
        <v>0</v>
      </c>
      <c r="AE31" s="298">
        <v>0</v>
      </c>
      <c r="AF31" s="299">
        <v>0</v>
      </c>
      <c r="AG31" s="297">
        <v>0</v>
      </c>
      <c r="AH31" s="298">
        <v>0</v>
      </c>
      <c r="AI31" s="298">
        <v>0</v>
      </c>
      <c r="AJ31" s="298">
        <v>0</v>
      </c>
      <c r="AK31" s="299">
        <v>0</v>
      </c>
      <c r="AL31" s="441"/>
      <c r="AM31" s="406" t="s">
        <v>1876</v>
      </c>
      <c r="AN31" s="407">
        <v>2</v>
      </c>
      <c r="AO31" s="408">
        <v>3</v>
      </c>
      <c r="AP31" s="408">
        <v>3</v>
      </c>
      <c r="AQ31" s="408">
        <v>6</v>
      </c>
      <c r="AR31" s="408">
        <v>1</v>
      </c>
      <c r="AS31" s="408">
        <v>1</v>
      </c>
      <c r="AT31" s="408">
        <v>1.7197958229357265E-2</v>
      </c>
      <c r="AU31" s="409">
        <v>1.3797743067784947E-2</v>
      </c>
      <c r="AV31" s="407">
        <v>17.428571428571427</v>
      </c>
      <c r="AW31" s="408">
        <v>15.428571428571429</v>
      </c>
      <c r="AX31" s="408">
        <v>15.428571428571429</v>
      </c>
      <c r="AY31" s="408">
        <v>15.428571428571429</v>
      </c>
      <c r="AZ31" s="409">
        <v>11.428571428571429</v>
      </c>
    </row>
    <row r="32" spans="2:52" s="374" customFormat="1" ht="15" customHeight="1">
      <c r="B32" s="469"/>
      <c r="C32" s="835" t="s">
        <v>1710</v>
      </c>
      <c r="D32" s="826"/>
      <c r="E32" s="826"/>
      <c r="F32" s="826"/>
      <c r="G32" s="476"/>
      <c r="H32" s="209"/>
      <c r="I32" s="472" t="s">
        <v>498</v>
      </c>
      <c r="J32" s="281">
        <f t="shared" ref="J32:V32" si="64">SUM(J30:J31)</f>
        <v>1.3887812563311121E-3</v>
      </c>
      <c r="K32" s="282">
        <f t="shared" si="64"/>
        <v>0.30906327272727263</v>
      </c>
      <c r="L32" s="282">
        <f t="shared" si="64"/>
        <v>0</v>
      </c>
      <c r="M32" s="282">
        <f t="shared" si="64"/>
        <v>0.33348678270891186</v>
      </c>
      <c r="N32" s="282">
        <f t="shared" si="64"/>
        <v>0.32759036945454745</v>
      </c>
      <c r="O32" s="282">
        <f t="shared" si="64"/>
        <v>3.9569E-2</v>
      </c>
      <c r="P32" s="282">
        <f t="shared" si="64"/>
        <v>0.27214698829135642</v>
      </c>
      <c r="Q32" s="283">
        <f t="shared" si="64"/>
        <v>0.21834069899679884</v>
      </c>
      <c r="R32" s="281">
        <f t="shared" si="64"/>
        <v>1.094621748944465</v>
      </c>
      <c r="S32" s="282">
        <f t="shared" si="64"/>
        <v>0.96621873150970217</v>
      </c>
      <c r="T32" s="282">
        <f t="shared" si="64"/>
        <v>0.96621873150970217</v>
      </c>
      <c r="U32" s="282">
        <f t="shared" si="64"/>
        <v>0.96621873150970217</v>
      </c>
      <c r="V32" s="283">
        <f t="shared" si="64"/>
        <v>0.70941269664017637</v>
      </c>
      <c r="W32" s="441"/>
      <c r="X32" s="472" t="s">
        <v>498</v>
      </c>
      <c r="Y32" s="281">
        <f t="shared" ref="Y32:AK32" si="65">SUM(Y30:Y31)</f>
        <v>0</v>
      </c>
      <c r="Z32" s="282">
        <f t="shared" si="65"/>
        <v>0</v>
      </c>
      <c r="AA32" s="282">
        <f t="shared" si="65"/>
        <v>0</v>
      </c>
      <c r="AB32" s="282">
        <f t="shared" si="65"/>
        <v>0</v>
      </c>
      <c r="AC32" s="282">
        <f t="shared" si="65"/>
        <v>0</v>
      </c>
      <c r="AD32" s="282">
        <f t="shared" si="65"/>
        <v>0</v>
      </c>
      <c r="AE32" s="282">
        <f t="shared" si="65"/>
        <v>0</v>
      </c>
      <c r="AF32" s="283">
        <f t="shared" si="65"/>
        <v>0</v>
      </c>
      <c r="AG32" s="281">
        <f t="shared" si="65"/>
        <v>0</v>
      </c>
      <c r="AH32" s="282">
        <f t="shared" si="65"/>
        <v>0</v>
      </c>
      <c r="AI32" s="282">
        <f t="shared" si="65"/>
        <v>0</v>
      </c>
      <c r="AJ32" s="282">
        <f t="shared" si="65"/>
        <v>0</v>
      </c>
      <c r="AK32" s="283">
        <f t="shared" si="65"/>
        <v>0</v>
      </c>
      <c r="AL32" s="441"/>
      <c r="AM32" s="406" t="s">
        <v>1876</v>
      </c>
      <c r="AN32" s="946">
        <f t="shared" ref="AN32:AZ32" si="66">SUM(AN30:AN31)</f>
        <v>2</v>
      </c>
      <c r="AO32" s="947">
        <f t="shared" si="66"/>
        <v>3</v>
      </c>
      <c r="AP32" s="947">
        <f t="shared" si="66"/>
        <v>3</v>
      </c>
      <c r="AQ32" s="947">
        <f t="shared" si="66"/>
        <v>6</v>
      </c>
      <c r="AR32" s="947">
        <f t="shared" si="66"/>
        <v>1</v>
      </c>
      <c r="AS32" s="947">
        <f t="shared" si="66"/>
        <v>1</v>
      </c>
      <c r="AT32" s="947">
        <f t="shared" si="66"/>
        <v>1.7197958229357265E-2</v>
      </c>
      <c r="AU32" s="948">
        <f t="shared" si="66"/>
        <v>1.3797743067784947E-2</v>
      </c>
      <c r="AV32" s="946">
        <f t="shared" si="66"/>
        <v>17.428571428571427</v>
      </c>
      <c r="AW32" s="947">
        <f t="shared" si="66"/>
        <v>15.428571428571429</v>
      </c>
      <c r="AX32" s="947">
        <f t="shared" si="66"/>
        <v>15.428571428571429</v>
      </c>
      <c r="AY32" s="947">
        <f t="shared" si="66"/>
        <v>15.428571428571429</v>
      </c>
      <c r="AZ32" s="948">
        <f t="shared" si="66"/>
        <v>11.428571428571429</v>
      </c>
    </row>
    <row r="33" spans="2:52" s="374" customFormat="1" ht="15" customHeight="1">
      <c r="B33" s="471"/>
      <c r="C33" s="477"/>
      <c r="D33" s="477"/>
      <c r="E33" s="477"/>
      <c r="F33" s="477"/>
      <c r="G33" s="477"/>
      <c r="H33" s="209"/>
      <c r="I33" s="209"/>
      <c r="J33" s="405"/>
      <c r="K33" s="209"/>
      <c r="L33" s="209"/>
      <c r="M33" s="209"/>
      <c r="N33" s="209"/>
      <c r="O33" s="209"/>
      <c r="P33" s="209"/>
      <c r="Q33" s="210"/>
      <c r="R33" s="405"/>
      <c r="S33" s="209"/>
      <c r="T33" s="209"/>
      <c r="U33" s="209"/>
      <c r="V33" s="210"/>
      <c r="W33" s="441"/>
      <c r="X33" s="209"/>
      <c r="Y33" s="405"/>
      <c r="Z33" s="209"/>
      <c r="AA33" s="209"/>
      <c r="AB33" s="209"/>
      <c r="AC33" s="209"/>
      <c r="AD33" s="209"/>
      <c r="AE33" s="209"/>
      <c r="AF33" s="210"/>
      <c r="AG33" s="405"/>
      <c r="AH33" s="209"/>
      <c r="AI33" s="209"/>
      <c r="AJ33" s="209"/>
      <c r="AK33" s="210"/>
      <c r="AL33" s="441"/>
      <c r="AM33" s="441"/>
      <c r="AN33" s="441"/>
      <c r="AO33" s="441"/>
      <c r="AP33" s="441"/>
      <c r="AQ33" s="441"/>
      <c r="AR33" s="441"/>
      <c r="AS33" s="441"/>
      <c r="AT33" s="441"/>
      <c r="AU33" s="441"/>
      <c r="AV33" s="441"/>
      <c r="AW33" s="441"/>
      <c r="AX33" s="441"/>
      <c r="AY33" s="441"/>
      <c r="AZ33" s="478"/>
    </row>
    <row r="34" spans="2:52" s="374" customFormat="1" ht="15" customHeight="1" thickBot="1">
      <c r="B34" s="834" t="s">
        <v>1701</v>
      </c>
      <c r="C34" s="827"/>
      <c r="D34" s="827"/>
      <c r="E34" s="827"/>
      <c r="F34" s="827"/>
      <c r="G34" s="479"/>
      <c r="H34" s="434"/>
      <c r="I34" s="410" t="s">
        <v>498</v>
      </c>
      <c r="J34" s="749">
        <f t="shared" ref="J34:V34" si="67">SUM(J23,J28,J32)</f>
        <v>2.3014179142270361</v>
      </c>
      <c r="K34" s="750">
        <f t="shared" si="67"/>
        <v>1.0662682909090906</v>
      </c>
      <c r="L34" s="750">
        <f t="shared" si="67"/>
        <v>1.5663104285714713</v>
      </c>
      <c r="M34" s="750">
        <f t="shared" si="67"/>
        <v>1.3463407118782451</v>
      </c>
      <c r="N34" s="750">
        <f t="shared" si="67"/>
        <v>1.8806387571001493</v>
      </c>
      <c r="O34" s="750">
        <f t="shared" si="67"/>
        <v>1.0417347264116268</v>
      </c>
      <c r="P34" s="750">
        <f t="shared" si="67"/>
        <v>2.2860724538458594</v>
      </c>
      <c r="Q34" s="751">
        <f t="shared" si="67"/>
        <v>1.8340921597694015</v>
      </c>
      <c r="R34" s="749">
        <f t="shared" si="67"/>
        <v>2.282889613894691</v>
      </c>
      <c r="S34" s="750">
        <f t="shared" si="67"/>
        <v>2.1236503364255888</v>
      </c>
      <c r="T34" s="750">
        <f t="shared" si="67"/>
        <v>2.0928140763912486</v>
      </c>
      <c r="U34" s="750">
        <f t="shared" si="67"/>
        <v>2.0619778163569089</v>
      </c>
      <c r="V34" s="751">
        <f t="shared" si="67"/>
        <v>1.7743355214530434</v>
      </c>
      <c r="W34" s="450"/>
      <c r="X34" s="410" t="s">
        <v>498</v>
      </c>
      <c r="Y34" s="749">
        <f t="shared" ref="Y34:AK34" si="68">SUM(Y23,Y28,Y32)</f>
        <v>0</v>
      </c>
      <c r="Z34" s="750">
        <f t="shared" si="68"/>
        <v>0</v>
      </c>
      <c r="AA34" s="750">
        <f t="shared" si="68"/>
        <v>0</v>
      </c>
      <c r="AB34" s="750">
        <f t="shared" si="68"/>
        <v>0</v>
      </c>
      <c r="AC34" s="750">
        <f t="shared" si="68"/>
        <v>0</v>
      </c>
      <c r="AD34" s="750">
        <f t="shared" si="68"/>
        <v>0</v>
      </c>
      <c r="AE34" s="750">
        <f t="shared" si="68"/>
        <v>0</v>
      </c>
      <c r="AF34" s="751">
        <f t="shared" si="68"/>
        <v>0</v>
      </c>
      <c r="AG34" s="749">
        <f t="shared" si="68"/>
        <v>0</v>
      </c>
      <c r="AH34" s="750">
        <f t="shared" si="68"/>
        <v>0</v>
      </c>
      <c r="AI34" s="750">
        <f t="shared" si="68"/>
        <v>0</v>
      </c>
      <c r="AJ34" s="750">
        <f t="shared" si="68"/>
        <v>0</v>
      </c>
      <c r="AK34" s="751">
        <f t="shared" si="68"/>
        <v>0</v>
      </c>
      <c r="AL34" s="450"/>
      <c r="AM34" s="450"/>
      <c r="AN34" s="450"/>
      <c r="AO34" s="450"/>
      <c r="AP34" s="450"/>
      <c r="AQ34" s="450"/>
      <c r="AR34" s="450"/>
      <c r="AS34" s="450"/>
      <c r="AT34" s="450"/>
      <c r="AU34" s="450"/>
      <c r="AV34" s="450"/>
      <c r="AW34" s="450"/>
      <c r="AX34" s="450"/>
      <c r="AY34" s="450"/>
      <c r="AZ34" s="480"/>
    </row>
    <row r="35" spans="2:52" s="374" customFormat="1" ht="15" customHeight="1" thickBot="1">
      <c r="G35" s="372"/>
      <c r="H35" s="372"/>
      <c r="I35" s="372"/>
      <c r="J35" s="372"/>
      <c r="P35" s="373"/>
      <c r="X35" s="372"/>
      <c r="Y35" s="372"/>
      <c r="AE35" s="373"/>
      <c r="AM35" s="372"/>
      <c r="AN35" s="372"/>
      <c r="AT35" s="373"/>
    </row>
    <row r="36" spans="2:52" s="374" customFormat="1" ht="30" customHeight="1" thickBot="1">
      <c r="B36" s="467" t="s">
        <v>2496</v>
      </c>
      <c r="C36" s="824"/>
      <c r="D36" s="824"/>
      <c r="E36" s="824"/>
      <c r="F36" s="824"/>
      <c r="G36" s="468"/>
      <c r="H36" s="438"/>
      <c r="I36" s="105" t="s">
        <v>1864</v>
      </c>
      <c r="J36" s="106"/>
      <c r="K36" s="106"/>
      <c r="L36" s="106"/>
      <c r="M36" s="106"/>
      <c r="N36" s="106"/>
      <c r="O36" s="106"/>
      <c r="P36" s="106"/>
      <c r="Q36" s="106"/>
      <c r="R36" s="105"/>
      <c r="S36" s="105"/>
      <c r="T36" s="105"/>
      <c r="U36" s="105"/>
      <c r="V36" s="187"/>
      <c r="W36" s="439"/>
      <c r="X36" s="789" t="s">
        <v>2202</v>
      </c>
      <c r="Y36" s="790"/>
      <c r="Z36" s="790"/>
      <c r="AA36" s="790"/>
      <c r="AB36" s="790"/>
      <c r="AC36" s="790"/>
      <c r="AD36" s="790"/>
      <c r="AE36" s="790"/>
      <c r="AF36" s="790"/>
      <c r="AG36" s="790"/>
      <c r="AH36" s="790"/>
      <c r="AI36" s="790"/>
      <c r="AJ36" s="790"/>
      <c r="AK36" s="791"/>
      <c r="AL36" s="439"/>
      <c r="AM36" s="789" t="s">
        <v>2231</v>
      </c>
      <c r="AN36" s="790"/>
      <c r="AO36" s="790"/>
      <c r="AP36" s="790"/>
      <c r="AQ36" s="790"/>
      <c r="AR36" s="790"/>
      <c r="AS36" s="790"/>
      <c r="AT36" s="790"/>
      <c r="AU36" s="790"/>
      <c r="AV36" s="790"/>
      <c r="AW36" s="790"/>
      <c r="AX36" s="790"/>
      <c r="AY36" s="790"/>
      <c r="AZ36" s="791"/>
    </row>
    <row r="37" spans="2:52" s="374" customFormat="1" ht="30" customHeight="1">
      <c r="B37" s="469"/>
      <c r="C37" s="470"/>
      <c r="D37" s="470"/>
      <c r="E37" s="470"/>
      <c r="F37" s="470"/>
      <c r="G37" s="470"/>
      <c r="H37" s="209"/>
      <c r="I37" s="225"/>
      <c r="J37" s="424" t="s">
        <v>1666</v>
      </c>
      <c r="K37" s="425"/>
      <c r="L37" s="425"/>
      <c r="M37" s="425"/>
      <c r="N37" s="425"/>
      <c r="O37" s="425"/>
      <c r="P37" s="425"/>
      <c r="Q37" s="426"/>
      <c r="R37" s="427" t="s">
        <v>2</v>
      </c>
      <c r="S37" s="428"/>
      <c r="T37" s="428"/>
      <c r="U37" s="428"/>
      <c r="V37" s="429"/>
      <c r="W37" s="441"/>
      <c r="X37" s="225"/>
      <c r="Y37" s="424" t="s">
        <v>1666</v>
      </c>
      <c r="Z37" s="425"/>
      <c r="AA37" s="425"/>
      <c r="AB37" s="425"/>
      <c r="AC37" s="425"/>
      <c r="AD37" s="425"/>
      <c r="AE37" s="425"/>
      <c r="AF37" s="426"/>
      <c r="AG37" s="427" t="s">
        <v>2</v>
      </c>
      <c r="AH37" s="428"/>
      <c r="AI37" s="428"/>
      <c r="AJ37" s="428"/>
      <c r="AK37" s="429"/>
      <c r="AL37" s="441"/>
      <c r="AM37" s="225"/>
      <c r="AN37" s="424" t="s">
        <v>1666</v>
      </c>
      <c r="AO37" s="425"/>
      <c r="AP37" s="425"/>
      <c r="AQ37" s="425"/>
      <c r="AR37" s="425"/>
      <c r="AS37" s="425"/>
      <c r="AT37" s="425"/>
      <c r="AU37" s="426"/>
      <c r="AV37" s="427" t="s">
        <v>2</v>
      </c>
      <c r="AW37" s="428"/>
      <c r="AX37" s="428"/>
      <c r="AY37" s="428"/>
      <c r="AZ37" s="429"/>
    </row>
    <row r="38" spans="2:52" s="374" customFormat="1" ht="15" customHeight="1">
      <c r="B38" s="471"/>
      <c r="C38" s="477"/>
      <c r="D38" s="477"/>
      <c r="E38" s="477"/>
      <c r="F38" s="477"/>
      <c r="G38" s="470"/>
      <c r="H38" s="209"/>
      <c r="I38" s="291" t="s">
        <v>1667</v>
      </c>
      <c r="J38" s="430" t="s">
        <v>453</v>
      </c>
      <c r="K38" s="431" t="s">
        <v>455</v>
      </c>
      <c r="L38" s="431" t="s">
        <v>457</v>
      </c>
      <c r="M38" s="431" t="s">
        <v>459</v>
      </c>
      <c r="N38" s="431" t="s">
        <v>461</v>
      </c>
      <c r="O38" s="431" t="s">
        <v>463</v>
      </c>
      <c r="P38" s="431" t="s">
        <v>465</v>
      </c>
      <c r="Q38" s="432" t="s">
        <v>467</v>
      </c>
      <c r="R38" s="430" t="s">
        <v>469</v>
      </c>
      <c r="S38" s="431" t="s">
        <v>471</v>
      </c>
      <c r="T38" s="431" t="s">
        <v>473</v>
      </c>
      <c r="U38" s="431" t="s">
        <v>475</v>
      </c>
      <c r="V38" s="432" t="s">
        <v>477</v>
      </c>
      <c r="W38" s="441"/>
      <c r="X38" s="291" t="s">
        <v>1667</v>
      </c>
      <c r="Y38" s="430" t="s">
        <v>453</v>
      </c>
      <c r="Z38" s="431" t="s">
        <v>455</v>
      </c>
      <c r="AA38" s="431" t="s">
        <v>457</v>
      </c>
      <c r="AB38" s="431" t="s">
        <v>459</v>
      </c>
      <c r="AC38" s="431" t="s">
        <v>461</v>
      </c>
      <c r="AD38" s="431" t="s">
        <v>463</v>
      </c>
      <c r="AE38" s="431" t="s">
        <v>465</v>
      </c>
      <c r="AF38" s="432" t="s">
        <v>467</v>
      </c>
      <c r="AG38" s="430" t="s">
        <v>469</v>
      </c>
      <c r="AH38" s="431" t="s">
        <v>471</v>
      </c>
      <c r="AI38" s="431" t="s">
        <v>473</v>
      </c>
      <c r="AJ38" s="431" t="s">
        <v>475</v>
      </c>
      <c r="AK38" s="432" t="s">
        <v>477</v>
      </c>
      <c r="AL38" s="441"/>
      <c r="AM38" s="291" t="s">
        <v>1667</v>
      </c>
      <c r="AN38" s="430" t="s">
        <v>453</v>
      </c>
      <c r="AO38" s="431" t="s">
        <v>455</v>
      </c>
      <c r="AP38" s="431" t="s">
        <v>457</v>
      </c>
      <c r="AQ38" s="431" t="s">
        <v>459</v>
      </c>
      <c r="AR38" s="431" t="s">
        <v>461</v>
      </c>
      <c r="AS38" s="431" t="s">
        <v>463</v>
      </c>
      <c r="AT38" s="431" t="s">
        <v>465</v>
      </c>
      <c r="AU38" s="432" t="s">
        <v>467</v>
      </c>
      <c r="AV38" s="430" t="s">
        <v>469</v>
      </c>
      <c r="AW38" s="431" t="s">
        <v>471</v>
      </c>
      <c r="AX38" s="431" t="s">
        <v>473</v>
      </c>
      <c r="AY38" s="431" t="s">
        <v>475</v>
      </c>
      <c r="AZ38" s="432" t="s">
        <v>477</v>
      </c>
    </row>
    <row r="39" spans="2:52" s="374" customFormat="1" ht="15" customHeight="1">
      <c r="B39" s="471"/>
      <c r="C39" s="832" t="s">
        <v>2497</v>
      </c>
      <c r="D39" s="477"/>
      <c r="E39" s="477"/>
      <c r="F39" s="477"/>
      <c r="G39" s="470"/>
      <c r="H39" s="209"/>
      <c r="I39" s="209"/>
      <c r="J39" s="405"/>
      <c r="K39" s="209"/>
      <c r="L39" s="209"/>
      <c r="M39" s="209"/>
      <c r="N39" s="209"/>
      <c r="O39" s="209"/>
      <c r="P39" s="209"/>
      <c r="Q39" s="210"/>
      <c r="R39" s="405"/>
      <c r="S39" s="209"/>
      <c r="T39" s="209"/>
      <c r="U39" s="209"/>
      <c r="V39" s="210"/>
      <c r="W39" s="441"/>
      <c r="X39" s="209"/>
      <c r="Y39" s="405"/>
      <c r="Z39" s="209"/>
      <c r="AA39" s="209"/>
      <c r="AB39" s="209"/>
      <c r="AC39" s="209"/>
      <c r="AD39" s="209"/>
      <c r="AE39" s="209"/>
      <c r="AF39" s="210"/>
      <c r="AG39" s="405"/>
      <c r="AH39" s="209"/>
      <c r="AI39" s="209"/>
      <c r="AJ39" s="209"/>
      <c r="AK39" s="210"/>
      <c r="AL39" s="441"/>
      <c r="AM39" s="209"/>
      <c r="AN39" s="405"/>
      <c r="AO39" s="209"/>
      <c r="AP39" s="209"/>
      <c r="AQ39" s="209"/>
      <c r="AR39" s="209"/>
      <c r="AS39" s="209"/>
      <c r="AT39" s="209"/>
      <c r="AU39" s="210"/>
      <c r="AV39" s="405"/>
      <c r="AW39" s="209"/>
      <c r="AX39" s="209"/>
      <c r="AY39" s="209"/>
      <c r="AZ39" s="210"/>
    </row>
    <row r="40" spans="2:52" s="374" customFormat="1" ht="15" customHeight="1">
      <c r="B40" s="473"/>
      <c r="D40" s="833" t="s">
        <v>2498</v>
      </c>
      <c r="E40" s="825"/>
      <c r="F40" s="825"/>
      <c r="G40" s="474"/>
      <c r="H40" s="209"/>
      <c r="I40" s="406" t="s">
        <v>498</v>
      </c>
      <c r="J40" s="297">
        <v>0.36335031669142143</v>
      </c>
      <c r="K40" s="298">
        <v>0.72241986128201019</v>
      </c>
      <c r="L40" s="298">
        <v>0.82059316207451671</v>
      </c>
      <c r="M40" s="298">
        <v>0.70466277121356946</v>
      </c>
      <c r="N40" s="298">
        <v>0.21264408499665588</v>
      </c>
      <c r="O40" s="298">
        <v>0.91844586773550296</v>
      </c>
      <c r="P40" s="298">
        <v>1.8442423214213624</v>
      </c>
      <c r="Q40" s="299">
        <v>4.6749522080056805</v>
      </c>
      <c r="R40" s="297">
        <v>2.1923006422276052</v>
      </c>
      <c r="S40" s="298">
        <v>2.5653918997430858</v>
      </c>
      <c r="T40" s="298">
        <v>2.9384831572585663</v>
      </c>
      <c r="U40" s="298">
        <v>3.0526183409935164</v>
      </c>
      <c r="V40" s="299">
        <v>3.4257095985089969</v>
      </c>
      <c r="W40" s="441"/>
      <c r="X40" s="406" t="s">
        <v>498</v>
      </c>
      <c r="Y40" s="297">
        <v>0</v>
      </c>
      <c r="Z40" s="298">
        <v>0</v>
      </c>
      <c r="AA40" s="298">
        <v>0</v>
      </c>
      <c r="AB40" s="298">
        <v>0</v>
      </c>
      <c r="AC40" s="298">
        <v>0</v>
      </c>
      <c r="AD40" s="298">
        <v>0</v>
      </c>
      <c r="AE40" s="298">
        <v>0</v>
      </c>
      <c r="AF40" s="299">
        <v>0</v>
      </c>
      <c r="AG40" s="297">
        <v>-0.19810996781796703</v>
      </c>
      <c r="AH40" s="298">
        <v>-0.26414662375728937</v>
      </c>
      <c r="AI40" s="298">
        <v>-0.33018327969661171</v>
      </c>
      <c r="AJ40" s="298">
        <v>-0.33018327969661171</v>
      </c>
      <c r="AK40" s="299">
        <v>-0.39621993563593405</v>
      </c>
      <c r="AL40" s="441"/>
      <c r="AM40" s="406" t="s">
        <v>2233</v>
      </c>
      <c r="AN40" s="297">
        <v>1.4771170212765956</v>
      </c>
      <c r="AO40" s="298">
        <v>2.5579566081483933</v>
      </c>
      <c r="AP40" s="298">
        <v>3.4118684036211087</v>
      </c>
      <c r="AQ40" s="298">
        <v>2.1059999999999999</v>
      </c>
      <c r="AR40" s="298">
        <v>0.98199999999999987</v>
      </c>
      <c r="AS40" s="298">
        <v>4.6744410465511379</v>
      </c>
      <c r="AT40" s="298">
        <v>0.45375731420334681</v>
      </c>
      <c r="AU40" s="299">
        <v>1.1502250725375269</v>
      </c>
      <c r="AV40" s="297">
        <v>6.9802925901158339</v>
      </c>
      <c r="AW40" s="298">
        <v>8.1479256256496218</v>
      </c>
      <c r="AX40" s="298">
        <v>9.3155586611834114</v>
      </c>
      <c r="AY40" s="298">
        <v>9.6854403066240096</v>
      </c>
      <c r="AZ40" s="299">
        <v>10.853073342157799</v>
      </c>
    </row>
    <row r="41" spans="2:52" s="374" customFormat="1" ht="15" customHeight="1">
      <c r="B41" s="473"/>
      <c r="D41" s="833" t="s">
        <v>2499</v>
      </c>
      <c r="E41" s="825"/>
      <c r="F41" s="825"/>
      <c r="G41" s="474"/>
      <c r="H41" s="209"/>
      <c r="I41" s="406" t="s">
        <v>498</v>
      </c>
      <c r="J41" s="297">
        <v>3.9069926525959284E-3</v>
      </c>
      <c r="K41" s="298">
        <v>8.4456040016690798E-2</v>
      </c>
      <c r="L41" s="298">
        <v>0.2428237681671282</v>
      </c>
      <c r="M41" s="298">
        <v>0.13952724387277229</v>
      </c>
      <c r="N41" s="298">
        <v>0.15569574699943536</v>
      </c>
      <c r="O41" s="298">
        <v>0.21014961817079567</v>
      </c>
      <c r="P41" s="298">
        <v>0.41093239511424373</v>
      </c>
      <c r="Q41" s="299">
        <v>1.0440120946828495</v>
      </c>
      <c r="R41" s="297">
        <v>0.4900942942915878</v>
      </c>
      <c r="S41" s="298">
        <v>0.57349977848312461</v>
      </c>
      <c r="T41" s="298">
        <v>0.65690526267466132</v>
      </c>
      <c r="U41" s="298">
        <v>0.68242046859531613</v>
      </c>
      <c r="V41" s="299">
        <v>0.76582595278685306</v>
      </c>
      <c r="W41" s="441"/>
      <c r="X41" s="406" t="s">
        <v>498</v>
      </c>
      <c r="Y41" s="297">
        <v>0</v>
      </c>
      <c r="Z41" s="298">
        <v>0</v>
      </c>
      <c r="AA41" s="298">
        <v>0</v>
      </c>
      <c r="AB41" s="298">
        <v>0</v>
      </c>
      <c r="AC41" s="298">
        <v>0</v>
      </c>
      <c r="AD41" s="298">
        <v>0</v>
      </c>
      <c r="AE41" s="298">
        <v>0</v>
      </c>
      <c r="AF41" s="299">
        <v>0</v>
      </c>
      <c r="AG41" s="297">
        <v>-4.4287979029746391E-2</v>
      </c>
      <c r="AH41" s="298">
        <v>-5.9050638706328512E-2</v>
      </c>
      <c r="AI41" s="298">
        <v>-7.3813298382910647E-2</v>
      </c>
      <c r="AJ41" s="298">
        <v>-7.3813298382910647E-2</v>
      </c>
      <c r="AK41" s="299">
        <v>-8.8575958059492782E-2</v>
      </c>
      <c r="AL41" s="441"/>
      <c r="AM41" s="406" t="s">
        <v>2233</v>
      </c>
      <c r="AN41" s="297">
        <v>1.5882978723404252E-2</v>
      </c>
      <c r="AO41" s="298">
        <v>0.29904339185160644</v>
      </c>
      <c r="AP41" s="298">
        <v>1.0096144844336499</v>
      </c>
      <c r="AQ41" s="298">
        <v>0.41699999999999993</v>
      </c>
      <c r="AR41" s="298">
        <v>0.71900999999999993</v>
      </c>
      <c r="AS41" s="298">
        <v>1.0695589534488616</v>
      </c>
      <c r="AT41" s="298">
        <v>9.7382059088784376E-2</v>
      </c>
      <c r="AU41" s="299">
        <v>0.24740820802299113</v>
      </c>
      <c r="AV41" s="297">
        <v>1.5604618750763699</v>
      </c>
      <c r="AW41" s="298">
        <v>1.8214891618995912</v>
      </c>
      <c r="AX41" s="298">
        <v>2.0825164487228123</v>
      </c>
      <c r="AY41" s="298">
        <v>2.1652044161037023</v>
      </c>
      <c r="AZ41" s="299">
        <v>2.4262317029269234</v>
      </c>
    </row>
    <row r="42" spans="2:52" s="374" customFormat="1" ht="15" customHeight="1">
      <c r="B42" s="473"/>
      <c r="D42" s="833" t="s">
        <v>2500</v>
      </c>
      <c r="E42" s="825"/>
      <c r="F42" s="825"/>
      <c r="G42" s="474"/>
      <c r="H42" s="209"/>
      <c r="I42" s="406" t="s">
        <v>498</v>
      </c>
      <c r="J42" s="297">
        <v>0</v>
      </c>
      <c r="K42" s="298">
        <v>0</v>
      </c>
      <c r="L42" s="298">
        <v>6.3776670627553123E-3</v>
      </c>
      <c r="M42" s="298">
        <v>0</v>
      </c>
      <c r="N42" s="298">
        <v>0</v>
      </c>
      <c r="O42" s="298">
        <v>0</v>
      </c>
      <c r="P42" s="298">
        <v>3.5816100893641114E-3</v>
      </c>
      <c r="Q42" s="299">
        <v>8.3192810597177407E-3</v>
      </c>
      <c r="R42" s="297">
        <v>3.7363254796193152E-3</v>
      </c>
      <c r="S42" s="298">
        <v>4.3721827816825308E-3</v>
      </c>
      <c r="T42" s="298">
        <v>5.0080400837457474E-3</v>
      </c>
      <c r="U42" s="298">
        <v>5.2025600263557225E-3</v>
      </c>
      <c r="V42" s="299">
        <v>5.8384173284189381E-3</v>
      </c>
      <c r="W42" s="441"/>
      <c r="X42" s="406" t="s">
        <v>498</v>
      </c>
      <c r="Y42" s="297">
        <v>0</v>
      </c>
      <c r="Z42" s="298">
        <v>0</v>
      </c>
      <c r="AA42" s="298">
        <v>0</v>
      </c>
      <c r="AB42" s="298">
        <v>0</v>
      </c>
      <c r="AC42" s="298">
        <v>0</v>
      </c>
      <c r="AD42" s="298">
        <v>0</v>
      </c>
      <c r="AE42" s="298">
        <v>0</v>
      </c>
      <c r="AF42" s="299">
        <v>0</v>
      </c>
      <c r="AG42" s="297">
        <v>-3.3763768812871813E-4</v>
      </c>
      <c r="AH42" s="298">
        <v>-4.5018358417162421E-4</v>
      </c>
      <c r="AI42" s="298">
        <v>-5.6272948021453034E-4</v>
      </c>
      <c r="AJ42" s="298">
        <v>-5.6272948021453034E-4</v>
      </c>
      <c r="AK42" s="299">
        <v>-6.7527537625743626E-4</v>
      </c>
      <c r="AL42" s="441"/>
      <c r="AM42" s="406" t="s">
        <v>2233</v>
      </c>
      <c r="AN42" s="297">
        <v>0</v>
      </c>
      <c r="AO42" s="298">
        <v>0</v>
      </c>
      <c r="AP42" s="298">
        <v>2.6517111945241777E-2</v>
      </c>
      <c r="AQ42" s="298">
        <v>0</v>
      </c>
      <c r="AR42" s="298">
        <v>0</v>
      </c>
      <c r="AS42" s="298">
        <v>0</v>
      </c>
      <c r="AT42" s="298">
        <v>8.6141796835716199E-4</v>
      </c>
      <c r="AU42" s="299">
        <v>2.0008817291238454E-3</v>
      </c>
      <c r="AV42" s="297">
        <v>1.1896472845597968E-2</v>
      </c>
      <c r="AW42" s="298">
        <v>1.3886463167854694E-2</v>
      </c>
      <c r="AX42" s="298">
        <v>1.5876453490111422E-2</v>
      </c>
      <c r="AY42" s="298">
        <v>1.650684066862311E-2</v>
      </c>
      <c r="AZ42" s="299">
        <v>1.8496830990879835E-2</v>
      </c>
    </row>
    <row r="43" spans="2:52" s="374" customFormat="1" ht="15" customHeight="1">
      <c r="B43" s="475"/>
      <c r="C43" s="835" t="s">
        <v>1710</v>
      </c>
      <c r="D43" s="826"/>
      <c r="E43" s="826"/>
      <c r="F43" s="826"/>
      <c r="G43" s="476"/>
      <c r="H43" s="209"/>
      <c r="I43" s="406" t="s">
        <v>498</v>
      </c>
      <c r="J43" s="281">
        <f>SUM(J40:J42)</f>
        <v>0.36725730934401735</v>
      </c>
      <c r="K43" s="282">
        <f t="shared" ref="K43" si="69">SUM(K40:K42)</f>
        <v>0.80687590129870101</v>
      </c>
      <c r="L43" s="282">
        <f t="shared" ref="L43" si="70">SUM(L40:L42)</f>
        <v>1.0697945973044003</v>
      </c>
      <c r="M43" s="282">
        <f t="shared" ref="M43" si="71">SUM(M40:M42)</f>
        <v>0.84419001508634173</v>
      </c>
      <c r="N43" s="282">
        <f t="shared" ref="N43" si="72">SUM(N40:N42)</f>
        <v>0.36833983199609122</v>
      </c>
      <c r="O43" s="282">
        <f t="shared" ref="O43" si="73">SUM(O40:O42)</f>
        <v>1.1285954859062985</v>
      </c>
      <c r="P43" s="282">
        <f t="shared" ref="P43" si="74">SUM(P40:P42)</f>
        <v>2.2587563266249702</v>
      </c>
      <c r="Q43" s="283">
        <f t="shared" ref="Q43" si="75">SUM(Q40:Q42)</f>
        <v>5.7272835837482479</v>
      </c>
      <c r="R43" s="281">
        <f t="shared" ref="R43" si="76">SUM(R40:R42)</f>
        <v>2.6861312619988125</v>
      </c>
      <c r="S43" s="282">
        <f t="shared" ref="S43" si="77">SUM(S40:S42)</f>
        <v>3.1432638610078931</v>
      </c>
      <c r="T43" s="282">
        <f t="shared" ref="T43" si="78">SUM(T40:T42)</f>
        <v>3.6003964600169733</v>
      </c>
      <c r="U43" s="282">
        <f t="shared" ref="U43" si="79">SUM(U40:U42)</f>
        <v>3.7402413696151884</v>
      </c>
      <c r="V43" s="283">
        <f t="shared" ref="V43" si="80">SUM(V40:V42)</f>
        <v>4.1973739686242686</v>
      </c>
      <c r="W43" s="441"/>
      <c r="X43" s="472" t="s">
        <v>498</v>
      </c>
      <c r="Y43" s="281">
        <f>SUM(Y40:Y42)</f>
        <v>0</v>
      </c>
      <c r="Z43" s="282">
        <f t="shared" ref="Z43" si="81">SUM(Z40:Z42)</f>
        <v>0</v>
      </c>
      <c r="AA43" s="282">
        <f t="shared" ref="AA43" si="82">SUM(AA40:AA42)</f>
        <v>0</v>
      </c>
      <c r="AB43" s="282">
        <f t="shared" ref="AB43" si="83">SUM(AB40:AB42)</f>
        <v>0</v>
      </c>
      <c r="AC43" s="282">
        <f t="shared" ref="AC43" si="84">SUM(AC40:AC42)</f>
        <v>0</v>
      </c>
      <c r="AD43" s="282">
        <f t="shared" ref="AD43" si="85">SUM(AD40:AD42)</f>
        <v>0</v>
      </c>
      <c r="AE43" s="282">
        <f t="shared" ref="AE43" si="86">SUM(AE40:AE42)</f>
        <v>0</v>
      </c>
      <c r="AF43" s="283">
        <f t="shared" ref="AF43" si="87">SUM(AF40:AF42)</f>
        <v>0</v>
      </c>
      <c r="AG43" s="281">
        <f t="shared" ref="AG43" si="88">SUM(AG40:AG42)</f>
        <v>-0.24273558453584215</v>
      </c>
      <c r="AH43" s="282">
        <f t="shared" ref="AH43" si="89">SUM(AH40:AH42)</f>
        <v>-0.32364744604778956</v>
      </c>
      <c r="AI43" s="282">
        <f t="shared" ref="AI43" si="90">SUM(AI40:AI42)</f>
        <v>-0.4045593075597369</v>
      </c>
      <c r="AJ43" s="282">
        <f t="shared" ref="AJ43" si="91">SUM(AJ40:AJ42)</f>
        <v>-0.4045593075597369</v>
      </c>
      <c r="AK43" s="283">
        <f t="shared" ref="AK43" si="92">SUM(AK40:AK42)</f>
        <v>-0.48547116907168431</v>
      </c>
      <c r="AL43" s="441"/>
      <c r="AM43" s="406" t="s">
        <v>2233</v>
      </c>
      <c r="AN43" s="281">
        <f>SUM(AN40:AN42)</f>
        <v>1.4929999999999999</v>
      </c>
      <c r="AO43" s="282">
        <f t="shared" ref="AO43" si="93">SUM(AO40:AO42)</f>
        <v>2.8569999999999998</v>
      </c>
      <c r="AP43" s="282">
        <f t="shared" ref="AP43" si="94">SUM(AP40:AP42)</f>
        <v>4.4480000000000004</v>
      </c>
      <c r="AQ43" s="282">
        <f t="shared" ref="AQ43" si="95">SUM(AQ40:AQ42)</f>
        <v>2.5229999999999997</v>
      </c>
      <c r="AR43" s="282">
        <f t="shared" ref="AR43" si="96">SUM(AR40:AR42)</f>
        <v>1.7010099999999997</v>
      </c>
      <c r="AS43" s="282">
        <f t="shared" ref="AS43" si="97">SUM(AS40:AS42)</f>
        <v>5.7439999999999998</v>
      </c>
      <c r="AT43" s="282">
        <f t="shared" ref="AT43" si="98">SUM(AT40:AT42)</f>
        <v>0.55200079126048829</v>
      </c>
      <c r="AU43" s="283">
        <f t="shared" ref="AU43" si="99">SUM(AU40:AU42)</f>
        <v>1.399634162289642</v>
      </c>
      <c r="AV43" s="281">
        <f t="shared" ref="AV43" si="100">SUM(AV40:AV42)</f>
        <v>8.552650938037802</v>
      </c>
      <c r="AW43" s="282">
        <f t="shared" ref="AW43" si="101">SUM(AW40:AW42)</f>
        <v>9.9833012507170675</v>
      </c>
      <c r="AX43" s="282">
        <f t="shared" ref="AX43" si="102">SUM(AX40:AX42)</f>
        <v>11.413951563396335</v>
      </c>
      <c r="AY43" s="282">
        <f t="shared" ref="AY43" si="103">SUM(AY40:AY42)</f>
        <v>11.867151563396334</v>
      </c>
      <c r="AZ43" s="283">
        <f t="shared" ref="AZ43" si="104">SUM(AZ40:AZ42)</f>
        <v>13.297801876075603</v>
      </c>
    </row>
    <row r="44" spans="2:52" s="374" customFormat="1" ht="15" customHeight="1">
      <c r="B44" s="471"/>
      <c r="C44" s="832" t="s">
        <v>2501</v>
      </c>
      <c r="D44" s="477"/>
      <c r="E44" s="477"/>
      <c r="F44" s="477"/>
      <c r="G44" s="470"/>
      <c r="H44" s="209"/>
      <c r="I44" s="209"/>
      <c r="J44" s="405"/>
      <c r="K44" s="209"/>
      <c r="L44" s="209"/>
      <c r="M44" s="209"/>
      <c r="N44" s="209"/>
      <c r="O44" s="209"/>
      <c r="P44" s="209"/>
      <c r="Q44" s="210"/>
      <c r="R44" s="405"/>
      <c r="S44" s="209"/>
      <c r="T44" s="209"/>
      <c r="U44" s="209"/>
      <c r="V44" s="210"/>
      <c r="W44" s="441"/>
      <c r="X44" s="209"/>
      <c r="Y44" s="405"/>
      <c r="Z44" s="209"/>
      <c r="AA44" s="209"/>
      <c r="AB44" s="209"/>
      <c r="AC44" s="209"/>
      <c r="AD44" s="209"/>
      <c r="AE44" s="209"/>
      <c r="AF44" s="210"/>
      <c r="AG44" s="405"/>
      <c r="AH44" s="209"/>
      <c r="AI44" s="209"/>
      <c r="AJ44" s="209"/>
      <c r="AK44" s="210"/>
      <c r="AL44" s="441"/>
      <c r="AM44" s="209"/>
      <c r="AN44" s="405"/>
      <c r="AO44" s="209"/>
      <c r="AP44" s="209"/>
      <c r="AQ44" s="209"/>
      <c r="AR44" s="209"/>
      <c r="AS44" s="209"/>
      <c r="AT44" s="209"/>
      <c r="AU44" s="210"/>
      <c r="AV44" s="405"/>
      <c r="AW44" s="209"/>
      <c r="AX44" s="209"/>
      <c r="AY44" s="209"/>
      <c r="AZ44" s="210"/>
    </row>
    <row r="45" spans="2:52" s="374" customFormat="1" ht="15" customHeight="1">
      <c r="B45" s="473"/>
      <c r="D45" s="833" t="s">
        <v>2498</v>
      </c>
      <c r="E45" s="825"/>
      <c r="F45" s="825"/>
      <c r="G45" s="474"/>
      <c r="H45" s="209"/>
      <c r="I45" s="406" t="s">
        <v>498</v>
      </c>
      <c r="J45" s="297">
        <v>0.53338791555067855</v>
      </c>
      <c r="K45" s="298">
        <v>1.1336235639646153E-3</v>
      </c>
      <c r="L45" s="298">
        <v>0.25921105167866881</v>
      </c>
      <c r="M45" s="298">
        <v>9.9924587275592794E-2</v>
      </c>
      <c r="N45" s="298">
        <v>2.9033728684842528E-3</v>
      </c>
      <c r="O45" s="298">
        <v>3.3206196654791534E-2</v>
      </c>
      <c r="P45" s="298">
        <v>0.512842173774962</v>
      </c>
      <c r="Q45" s="299">
        <v>1.2053615729820399</v>
      </c>
      <c r="R45" s="297">
        <v>0.26034839573309804</v>
      </c>
      <c r="S45" s="298">
        <v>0.29769119968728536</v>
      </c>
      <c r="T45" s="298">
        <v>0.33503400364147279</v>
      </c>
      <c r="U45" s="298">
        <v>0.33375032425584744</v>
      </c>
      <c r="V45" s="299">
        <v>0.37109312821003482</v>
      </c>
      <c r="W45" s="441"/>
      <c r="X45" s="406" t="s">
        <v>498</v>
      </c>
      <c r="Y45" s="297">
        <v>0</v>
      </c>
      <c r="Z45" s="298">
        <v>0</v>
      </c>
      <c r="AA45" s="298">
        <v>0</v>
      </c>
      <c r="AB45" s="298">
        <v>0</v>
      </c>
      <c r="AC45" s="298">
        <v>0</v>
      </c>
      <c r="AD45" s="298">
        <v>0</v>
      </c>
      <c r="AE45" s="298">
        <v>0</v>
      </c>
      <c r="AF45" s="299">
        <v>0</v>
      </c>
      <c r="AG45" s="297">
        <v>-2.9550538281086936E-2</v>
      </c>
      <c r="AH45" s="298">
        <v>-3.9400717708115908E-2</v>
      </c>
      <c r="AI45" s="298">
        <v>-4.9250897135144876E-2</v>
      </c>
      <c r="AJ45" s="298">
        <v>-4.9250897135144876E-2</v>
      </c>
      <c r="AK45" s="299">
        <v>-5.9101076562173872E-2</v>
      </c>
      <c r="AL45" s="441"/>
      <c r="AM45" s="406" t="s">
        <v>2233</v>
      </c>
      <c r="AN45" s="297">
        <v>1.1055000000000001</v>
      </c>
      <c r="AO45" s="298">
        <v>6.0226564123882758E-3</v>
      </c>
      <c r="AP45" s="298">
        <v>0.504</v>
      </c>
      <c r="AQ45" s="298">
        <v>0.28299999999999997</v>
      </c>
      <c r="AR45" s="298">
        <v>0</v>
      </c>
      <c r="AS45" s="298">
        <v>0.27510000000000001</v>
      </c>
      <c r="AT45" s="298">
        <v>0.21936815874281421</v>
      </c>
      <c r="AU45" s="299">
        <v>0.51559322225406612</v>
      </c>
      <c r="AV45" s="297">
        <v>0.75531934666092471</v>
      </c>
      <c r="AW45" s="298">
        <v>0.86756414717737429</v>
      </c>
      <c r="AX45" s="298">
        <v>0.97980894769382398</v>
      </c>
      <c r="AY45" s="298">
        <v>0.97618617987015799</v>
      </c>
      <c r="AZ45" s="299">
        <v>1.0884309803866077</v>
      </c>
    </row>
    <row r="46" spans="2:52" s="374" customFormat="1" ht="15" customHeight="1">
      <c r="B46" s="473"/>
      <c r="D46" s="833" t="s">
        <v>2499</v>
      </c>
      <c r="E46" s="825"/>
      <c r="F46" s="825"/>
      <c r="G46" s="474"/>
      <c r="H46" s="209"/>
      <c r="I46" s="406" t="s">
        <v>498</v>
      </c>
      <c r="J46" s="297">
        <v>0</v>
      </c>
      <c r="K46" s="298">
        <v>8.8273966046424956E-2</v>
      </c>
      <c r="L46" s="298">
        <v>0.61819778594793628</v>
      </c>
      <c r="M46" s="298">
        <v>7.0618082880277591E-4</v>
      </c>
      <c r="N46" s="298">
        <v>0</v>
      </c>
      <c r="O46" s="298">
        <v>0.15957321693069576</v>
      </c>
      <c r="P46" s="298">
        <v>0.44205536705536008</v>
      </c>
      <c r="Q46" s="299">
        <v>1.094761997150516</v>
      </c>
      <c r="R46" s="297">
        <v>0.24270309937693604</v>
      </c>
      <c r="S46" s="298">
        <v>0.27751496842489404</v>
      </c>
      <c r="T46" s="298">
        <v>0.31232683747285206</v>
      </c>
      <c r="U46" s="298">
        <v>0.31113016036401009</v>
      </c>
      <c r="V46" s="299">
        <v>0.34594202941196817</v>
      </c>
      <c r="W46" s="441"/>
      <c r="X46" s="406" t="s">
        <v>498</v>
      </c>
      <c r="Y46" s="297">
        <v>0</v>
      </c>
      <c r="Z46" s="298">
        <v>0</v>
      </c>
      <c r="AA46" s="298">
        <v>0</v>
      </c>
      <c r="AB46" s="298">
        <v>0</v>
      </c>
      <c r="AC46" s="298">
        <v>0</v>
      </c>
      <c r="AD46" s="298">
        <v>0</v>
      </c>
      <c r="AE46" s="298">
        <v>0</v>
      </c>
      <c r="AF46" s="299">
        <v>0</v>
      </c>
      <c r="AG46" s="297">
        <v>-2.7547729683071055E-2</v>
      </c>
      <c r="AH46" s="298">
        <v>-3.6730306244094742E-2</v>
      </c>
      <c r="AI46" s="298">
        <v>-4.5912882805118412E-2</v>
      </c>
      <c r="AJ46" s="298">
        <v>-4.5912882805118412E-2</v>
      </c>
      <c r="AK46" s="299">
        <v>-5.5095459366142109E-2</v>
      </c>
      <c r="AL46" s="441"/>
      <c r="AM46" s="406" t="s">
        <v>2233</v>
      </c>
      <c r="AN46" s="297">
        <v>0</v>
      </c>
      <c r="AO46" s="298">
        <v>0.46897734358761167</v>
      </c>
      <c r="AP46" s="298">
        <v>1.202</v>
      </c>
      <c r="AQ46" s="298">
        <v>2E-3</v>
      </c>
      <c r="AR46" s="298">
        <v>0</v>
      </c>
      <c r="AS46" s="298">
        <v>1.3220000000000001</v>
      </c>
      <c r="AT46" s="298">
        <v>0.12793151790294655</v>
      </c>
      <c r="AU46" s="299">
        <v>0.31682584236193034</v>
      </c>
      <c r="AV46" s="297">
        <v>0.70412704460027364</v>
      </c>
      <c r="AW46" s="298">
        <v>0.80876437450422323</v>
      </c>
      <c r="AX46" s="298">
        <v>0.91340170440817292</v>
      </c>
      <c r="AY46" s="298">
        <v>0.91002447223183891</v>
      </c>
      <c r="AZ46" s="299">
        <v>1.0146618021357887</v>
      </c>
    </row>
    <row r="47" spans="2:52" s="374" customFormat="1" ht="15" customHeight="1">
      <c r="B47" s="473"/>
      <c r="D47" s="833" t="s">
        <v>2500</v>
      </c>
      <c r="E47" s="825"/>
      <c r="F47" s="825"/>
      <c r="G47" s="474"/>
      <c r="H47" s="209"/>
      <c r="I47" s="406" t="s">
        <v>498</v>
      </c>
      <c r="J47" s="297">
        <v>0</v>
      </c>
      <c r="K47" s="298">
        <v>0</v>
      </c>
      <c r="L47" s="298">
        <v>0</v>
      </c>
      <c r="M47" s="298">
        <v>0</v>
      </c>
      <c r="N47" s="298">
        <v>0</v>
      </c>
      <c r="O47" s="298">
        <v>0</v>
      </c>
      <c r="P47" s="298">
        <v>0</v>
      </c>
      <c r="Q47" s="299">
        <v>0</v>
      </c>
      <c r="R47" s="297">
        <v>0</v>
      </c>
      <c r="S47" s="298">
        <v>0</v>
      </c>
      <c r="T47" s="298">
        <v>0</v>
      </c>
      <c r="U47" s="298">
        <v>0</v>
      </c>
      <c r="V47" s="299">
        <v>0</v>
      </c>
      <c r="W47" s="441"/>
      <c r="X47" s="406" t="s">
        <v>498</v>
      </c>
      <c r="Y47" s="297">
        <v>0</v>
      </c>
      <c r="Z47" s="298">
        <v>0</v>
      </c>
      <c r="AA47" s="298">
        <v>0</v>
      </c>
      <c r="AB47" s="298">
        <v>0</v>
      </c>
      <c r="AC47" s="298">
        <v>0</v>
      </c>
      <c r="AD47" s="298">
        <v>0</v>
      </c>
      <c r="AE47" s="298">
        <v>0</v>
      </c>
      <c r="AF47" s="299">
        <v>0</v>
      </c>
      <c r="AG47" s="297">
        <v>0</v>
      </c>
      <c r="AH47" s="298">
        <v>0</v>
      </c>
      <c r="AI47" s="298">
        <v>0</v>
      </c>
      <c r="AJ47" s="298">
        <v>0</v>
      </c>
      <c r="AK47" s="299">
        <v>0</v>
      </c>
      <c r="AL47" s="441"/>
      <c r="AM47" s="406" t="s">
        <v>2233</v>
      </c>
      <c r="AN47" s="297">
        <v>0</v>
      </c>
      <c r="AO47" s="298">
        <v>0</v>
      </c>
      <c r="AP47" s="298">
        <v>0</v>
      </c>
      <c r="AQ47" s="298">
        <v>0</v>
      </c>
      <c r="AR47" s="298">
        <v>0</v>
      </c>
      <c r="AS47" s="298">
        <v>0</v>
      </c>
      <c r="AT47" s="298">
        <v>0</v>
      </c>
      <c r="AU47" s="299">
        <v>0</v>
      </c>
      <c r="AV47" s="297">
        <v>0</v>
      </c>
      <c r="AW47" s="298">
        <v>0</v>
      </c>
      <c r="AX47" s="298">
        <v>0</v>
      </c>
      <c r="AY47" s="298">
        <v>0</v>
      </c>
      <c r="AZ47" s="299">
        <v>0</v>
      </c>
    </row>
    <row r="48" spans="2:52" s="374" customFormat="1" ht="15" customHeight="1">
      <c r="B48" s="475"/>
      <c r="C48" s="835" t="s">
        <v>1710</v>
      </c>
      <c r="D48" s="826"/>
      <c r="E48" s="826"/>
      <c r="F48" s="826"/>
      <c r="G48" s="476"/>
      <c r="H48" s="209"/>
      <c r="I48" s="472" t="s">
        <v>498</v>
      </c>
      <c r="J48" s="281">
        <f>SUM(J45:J47)</f>
        <v>0.53338791555067855</v>
      </c>
      <c r="K48" s="282">
        <f t="shared" ref="K48" si="105">SUM(K45:K47)</f>
        <v>8.9407589610389568E-2</v>
      </c>
      <c r="L48" s="282">
        <f t="shared" ref="L48" si="106">SUM(L45:L47)</f>
        <v>0.87740883762660515</v>
      </c>
      <c r="M48" s="282">
        <f t="shared" ref="M48" si="107">SUM(M45:M47)</f>
        <v>0.10063076810439557</v>
      </c>
      <c r="N48" s="282">
        <f t="shared" ref="N48" si="108">SUM(N45:N47)</f>
        <v>2.9033728684842528E-3</v>
      </c>
      <c r="O48" s="282">
        <f t="shared" ref="O48" si="109">SUM(O45:O47)</f>
        <v>0.19277941358548728</v>
      </c>
      <c r="P48" s="282">
        <f t="shared" ref="P48" si="110">SUM(P45:P47)</f>
        <v>0.95489754083032208</v>
      </c>
      <c r="Q48" s="283">
        <f t="shared" ref="Q48" si="111">SUM(Q45:Q47)</f>
        <v>2.300123570132556</v>
      </c>
      <c r="R48" s="281">
        <f t="shared" ref="R48" si="112">SUM(R45:R47)</f>
        <v>0.50305149511003411</v>
      </c>
      <c r="S48" s="282">
        <f t="shared" ref="S48" si="113">SUM(S45:S47)</f>
        <v>0.57520616811217939</v>
      </c>
      <c r="T48" s="282">
        <f t="shared" ref="T48" si="114">SUM(T45:T47)</f>
        <v>0.64736084111432479</v>
      </c>
      <c r="U48" s="282">
        <f t="shared" ref="U48" si="115">SUM(U45:U47)</f>
        <v>0.64488048461985747</v>
      </c>
      <c r="V48" s="283">
        <f t="shared" ref="V48" si="116">SUM(V45:V47)</f>
        <v>0.71703515762200298</v>
      </c>
      <c r="W48" s="441"/>
      <c r="X48" s="472" t="s">
        <v>498</v>
      </c>
      <c r="Y48" s="281">
        <f>SUM(Y45:Y47)</f>
        <v>0</v>
      </c>
      <c r="Z48" s="282">
        <f t="shared" ref="Z48" si="117">SUM(Z45:Z47)</f>
        <v>0</v>
      </c>
      <c r="AA48" s="282">
        <f t="shared" ref="AA48" si="118">SUM(AA45:AA47)</f>
        <v>0</v>
      </c>
      <c r="AB48" s="282">
        <f t="shared" ref="AB48" si="119">SUM(AB45:AB47)</f>
        <v>0</v>
      </c>
      <c r="AC48" s="282">
        <f t="shared" ref="AC48" si="120">SUM(AC45:AC47)</f>
        <v>0</v>
      </c>
      <c r="AD48" s="282">
        <f t="shared" ref="AD48" si="121">SUM(AD45:AD47)</f>
        <v>0</v>
      </c>
      <c r="AE48" s="282">
        <f t="shared" ref="AE48" si="122">SUM(AE45:AE47)</f>
        <v>0</v>
      </c>
      <c r="AF48" s="283">
        <f t="shared" ref="AF48" si="123">SUM(AF45:AF47)</f>
        <v>0</v>
      </c>
      <c r="AG48" s="281">
        <f t="shared" ref="AG48" si="124">SUM(AG45:AG47)</f>
        <v>-5.7098267964157991E-2</v>
      </c>
      <c r="AH48" s="282">
        <f t="shared" ref="AH48" si="125">SUM(AH45:AH47)</f>
        <v>-7.613102395221065E-2</v>
      </c>
      <c r="AI48" s="282">
        <f t="shared" ref="AI48" si="126">SUM(AI45:AI47)</f>
        <v>-9.5163779940263288E-2</v>
      </c>
      <c r="AJ48" s="282">
        <f t="shared" ref="AJ48" si="127">SUM(AJ45:AJ47)</f>
        <v>-9.5163779940263288E-2</v>
      </c>
      <c r="AK48" s="283">
        <f t="shared" ref="AK48" si="128">SUM(AK45:AK47)</f>
        <v>-0.11419653592831598</v>
      </c>
      <c r="AL48" s="441"/>
      <c r="AM48" s="406" t="s">
        <v>2233</v>
      </c>
      <c r="AN48" s="281">
        <f>SUM(AN45:AN47)</f>
        <v>1.1055000000000001</v>
      </c>
      <c r="AO48" s="282">
        <f t="shared" ref="AO48" si="129">SUM(AO45:AO47)</f>
        <v>0.47499999999999992</v>
      </c>
      <c r="AP48" s="282">
        <f t="shared" ref="AP48" si="130">SUM(AP45:AP47)</f>
        <v>1.706</v>
      </c>
      <c r="AQ48" s="282">
        <f t="shared" ref="AQ48" si="131">SUM(AQ45:AQ47)</f>
        <v>0.28499999999999998</v>
      </c>
      <c r="AR48" s="282">
        <f t="shared" ref="AR48" si="132">SUM(AR45:AR47)</f>
        <v>0</v>
      </c>
      <c r="AS48" s="282">
        <f t="shared" ref="AS48" si="133">SUM(AS45:AS47)</f>
        <v>1.5971000000000002</v>
      </c>
      <c r="AT48" s="282">
        <f t="shared" ref="AT48" si="134">SUM(AT45:AT47)</f>
        <v>0.34729967664576078</v>
      </c>
      <c r="AU48" s="283">
        <f t="shared" ref="AU48" si="135">SUM(AU45:AU47)</f>
        <v>0.83241906461599646</v>
      </c>
      <c r="AV48" s="281">
        <f t="shared" ref="AV48" si="136">SUM(AV45:AV47)</f>
        <v>1.4594463912611984</v>
      </c>
      <c r="AW48" s="282">
        <f t="shared" ref="AW48" si="137">SUM(AW45:AW47)</f>
        <v>1.6763285216815975</v>
      </c>
      <c r="AX48" s="282">
        <f t="shared" ref="AX48" si="138">SUM(AX45:AX47)</f>
        <v>1.8932106521019969</v>
      </c>
      <c r="AY48" s="282">
        <f t="shared" ref="AY48" si="139">SUM(AY45:AY47)</f>
        <v>1.886210652101997</v>
      </c>
      <c r="AZ48" s="283">
        <f t="shared" ref="AZ48" si="140">SUM(AZ45:AZ47)</f>
        <v>2.1030927825223964</v>
      </c>
    </row>
    <row r="49" spans="2:79" s="374" customFormat="1" ht="15" customHeight="1">
      <c r="B49" s="471"/>
      <c r="C49" s="832" t="s">
        <v>2502</v>
      </c>
      <c r="D49" s="477"/>
      <c r="E49" s="477"/>
      <c r="F49" s="477"/>
      <c r="G49" s="470"/>
      <c r="H49" s="209"/>
      <c r="I49" s="209"/>
      <c r="J49" s="405"/>
      <c r="K49" s="209"/>
      <c r="L49" s="209"/>
      <c r="M49" s="209"/>
      <c r="N49" s="209"/>
      <c r="O49" s="209"/>
      <c r="P49" s="209"/>
      <c r="Q49" s="210"/>
      <c r="R49" s="405"/>
      <c r="S49" s="209"/>
      <c r="T49" s="209"/>
      <c r="U49" s="209"/>
      <c r="V49" s="210"/>
      <c r="W49" s="441"/>
      <c r="X49" s="209"/>
      <c r="Y49" s="405"/>
      <c r="Z49" s="209"/>
      <c r="AA49" s="209"/>
      <c r="AB49" s="209"/>
      <c r="AC49" s="209"/>
      <c r="AD49" s="209"/>
      <c r="AE49" s="209"/>
      <c r="AF49" s="210"/>
      <c r="AG49" s="405"/>
      <c r="AH49" s="209"/>
      <c r="AI49" s="209"/>
      <c r="AJ49" s="209"/>
      <c r="AK49" s="210"/>
      <c r="AL49" s="441"/>
      <c r="AM49" s="209"/>
      <c r="AN49" s="405"/>
      <c r="AO49" s="209"/>
      <c r="AP49" s="209"/>
      <c r="AQ49" s="209"/>
      <c r="AR49" s="209"/>
      <c r="AS49" s="209"/>
      <c r="AT49" s="209"/>
      <c r="AU49" s="210"/>
      <c r="AV49" s="405"/>
      <c r="AW49" s="209"/>
      <c r="AX49" s="209"/>
      <c r="AY49" s="209"/>
      <c r="AZ49" s="210"/>
    </row>
    <row r="50" spans="2:79" s="374" customFormat="1" ht="15" customHeight="1">
      <c r="B50" s="473"/>
      <c r="D50" s="833" t="s">
        <v>2503</v>
      </c>
      <c r="E50" s="825"/>
      <c r="F50" s="825"/>
      <c r="G50" s="474"/>
      <c r="H50" s="209"/>
      <c r="I50" s="406" t="s">
        <v>498</v>
      </c>
      <c r="J50" s="297">
        <v>0</v>
      </c>
      <c r="K50" s="298">
        <v>0</v>
      </c>
      <c r="L50" s="298">
        <v>0</v>
      </c>
      <c r="M50" s="298">
        <v>0</v>
      </c>
      <c r="N50" s="298">
        <v>0</v>
      </c>
      <c r="O50" s="298">
        <v>0</v>
      </c>
      <c r="P50" s="298">
        <v>0</v>
      </c>
      <c r="Q50" s="299">
        <v>0</v>
      </c>
      <c r="R50" s="297">
        <v>0</v>
      </c>
      <c r="S50" s="298">
        <v>0</v>
      </c>
      <c r="T50" s="298">
        <v>0</v>
      </c>
      <c r="U50" s="298">
        <v>0</v>
      </c>
      <c r="V50" s="299">
        <v>0</v>
      </c>
      <c r="W50" s="441"/>
      <c r="X50" s="406" t="s">
        <v>498</v>
      </c>
      <c r="Y50" s="297">
        <v>0</v>
      </c>
      <c r="Z50" s="298">
        <v>0</v>
      </c>
      <c r="AA50" s="298">
        <v>0</v>
      </c>
      <c r="AB50" s="298">
        <v>0</v>
      </c>
      <c r="AC50" s="298">
        <v>0</v>
      </c>
      <c r="AD50" s="298">
        <v>0</v>
      </c>
      <c r="AE50" s="298">
        <v>0</v>
      </c>
      <c r="AF50" s="299">
        <v>0</v>
      </c>
      <c r="AG50" s="297">
        <v>0</v>
      </c>
      <c r="AH50" s="298">
        <v>0</v>
      </c>
      <c r="AI50" s="298">
        <v>0</v>
      </c>
      <c r="AJ50" s="298">
        <v>0</v>
      </c>
      <c r="AK50" s="299">
        <v>0</v>
      </c>
      <c r="AL50" s="441"/>
      <c r="AM50" s="406" t="s">
        <v>1876</v>
      </c>
      <c r="AN50" s="407">
        <v>0</v>
      </c>
      <c r="AO50" s="408">
        <v>0</v>
      </c>
      <c r="AP50" s="408">
        <v>0</v>
      </c>
      <c r="AQ50" s="408">
        <v>0</v>
      </c>
      <c r="AR50" s="408">
        <v>0</v>
      </c>
      <c r="AS50" s="408">
        <v>0</v>
      </c>
      <c r="AT50" s="408">
        <v>0</v>
      </c>
      <c r="AU50" s="409">
        <v>0</v>
      </c>
      <c r="AV50" s="407">
        <v>0</v>
      </c>
      <c r="AW50" s="408">
        <v>0</v>
      </c>
      <c r="AX50" s="408">
        <v>0</v>
      </c>
      <c r="AY50" s="408">
        <v>0</v>
      </c>
      <c r="AZ50" s="409">
        <v>0</v>
      </c>
    </row>
    <row r="51" spans="2:79" s="374" customFormat="1" ht="15" customHeight="1">
      <c r="B51" s="473"/>
      <c r="D51" s="833" t="s">
        <v>2504</v>
      </c>
      <c r="E51" s="825"/>
      <c r="F51" s="825"/>
      <c r="G51" s="474"/>
      <c r="H51" s="209"/>
      <c r="I51" s="406" t="s">
        <v>498</v>
      </c>
      <c r="J51" s="297">
        <v>1.7022136549439279E-2</v>
      </c>
      <c r="K51" s="298">
        <v>0</v>
      </c>
      <c r="L51" s="298">
        <v>0</v>
      </c>
      <c r="M51" s="298">
        <v>0</v>
      </c>
      <c r="N51" s="298">
        <v>0</v>
      </c>
      <c r="O51" s="298">
        <v>0</v>
      </c>
      <c r="P51" s="298">
        <v>4.7682818805629863E-3</v>
      </c>
      <c r="Q51" s="299">
        <v>3.8255429734952505E-3</v>
      </c>
      <c r="R51" s="297">
        <v>2.3223373797131179E-2</v>
      </c>
      <c r="S51" s="298">
        <v>2.3223373797131179E-2</v>
      </c>
      <c r="T51" s="298">
        <v>2.3223373797131179E-2</v>
      </c>
      <c r="U51" s="298">
        <v>2.3223373797131179E-2</v>
      </c>
      <c r="V51" s="299">
        <v>2.3223373797131179E-2</v>
      </c>
      <c r="W51" s="441"/>
      <c r="X51" s="406" t="s">
        <v>498</v>
      </c>
      <c r="Y51" s="297">
        <v>0</v>
      </c>
      <c r="Z51" s="298">
        <v>0</v>
      </c>
      <c r="AA51" s="298">
        <v>0</v>
      </c>
      <c r="AB51" s="298">
        <v>0</v>
      </c>
      <c r="AC51" s="298">
        <v>0</v>
      </c>
      <c r="AD51" s="298">
        <v>0</v>
      </c>
      <c r="AE51" s="298">
        <v>0</v>
      </c>
      <c r="AF51" s="299">
        <v>0</v>
      </c>
      <c r="AG51" s="297">
        <v>0</v>
      </c>
      <c r="AH51" s="298">
        <v>0</v>
      </c>
      <c r="AI51" s="298">
        <v>0</v>
      </c>
      <c r="AJ51" s="298">
        <v>0</v>
      </c>
      <c r="AK51" s="299">
        <v>0</v>
      </c>
      <c r="AL51" s="441"/>
      <c r="AM51" s="406" t="s">
        <v>1876</v>
      </c>
      <c r="AN51" s="407">
        <v>2</v>
      </c>
      <c r="AO51" s="408">
        <v>0</v>
      </c>
      <c r="AP51" s="408">
        <v>1</v>
      </c>
      <c r="AQ51" s="408">
        <v>0</v>
      </c>
      <c r="AR51" s="408">
        <v>0</v>
      </c>
      <c r="AS51" s="408">
        <v>0</v>
      </c>
      <c r="AT51" s="408">
        <v>0</v>
      </c>
      <c r="AU51" s="409">
        <v>0</v>
      </c>
      <c r="AV51" s="407">
        <v>0.42857142857142855</v>
      </c>
      <c r="AW51" s="408">
        <v>0.42857142857142855</v>
      </c>
      <c r="AX51" s="408">
        <v>0.42857142857142855</v>
      </c>
      <c r="AY51" s="408">
        <v>0.42857142857142855</v>
      </c>
      <c r="AZ51" s="409">
        <v>0.42857142857142855</v>
      </c>
    </row>
    <row r="52" spans="2:79" s="374" customFormat="1" ht="15" customHeight="1">
      <c r="B52" s="475"/>
      <c r="C52" s="835" t="s">
        <v>1710</v>
      </c>
      <c r="D52" s="826"/>
      <c r="E52" s="826"/>
      <c r="F52" s="826"/>
      <c r="G52" s="476"/>
      <c r="H52" s="209"/>
      <c r="I52" s="472" t="s">
        <v>498</v>
      </c>
      <c r="J52" s="281">
        <f t="shared" ref="J52:V52" si="141">SUM(J50:J51)</f>
        <v>1.7022136549439279E-2</v>
      </c>
      <c r="K52" s="282">
        <f t="shared" si="141"/>
        <v>0</v>
      </c>
      <c r="L52" s="282">
        <f t="shared" si="141"/>
        <v>0</v>
      </c>
      <c r="M52" s="282">
        <f t="shared" si="141"/>
        <v>0</v>
      </c>
      <c r="N52" s="282">
        <f t="shared" si="141"/>
        <v>0</v>
      </c>
      <c r="O52" s="282">
        <f t="shared" si="141"/>
        <v>0</v>
      </c>
      <c r="P52" s="282">
        <f t="shared" si="141"/>
        <v>4.7682818805629863E-3</v>
      </c>
      <c r="Q52" s="283">
        <f t="shared" si="141"/>
        <v>3.8255429734952505E-3</v>
      </c>
      <c r="R52" s="281">
        <f t="shared" si="141"/>
        <v>2.3223373797131179E-2</v>
      </c>
      <c r="S52" s="282">
        <f t="shared" si="141"/>
        <v>2.3223373797131179E-2</v>
      </c>
      <c r="T52" s="282">
        <f t="shared" si="141"/>
        <v>2.3223373797131179E-2</v>
      </c>
      <c r="U52" s="282">
        <f t="shared" si="141"/>
        <v>2.3223373797131179E-2</v>
      </c>
      <c r="V52" s="283">
        <f t="shared" si="141"/>
        <v>2.3223373797131179E-2</v>
      </c>
      <c r="W52" s="441"/>
      <c r="X52" s="472" t="s">
        <v>498</v>
      </c>
      <c r="Y52" s="281">
        <f t="shared" ref="Y52:AK52" si="142">SUM(Y50:Y51)</f>
        <v>0</v>
      </c>
      <c r="Z52" s="282">
        <f t="shared" si="142"/>
        <v>0</v>
      </c>
      <c r="AA52" s="282">
        <f t="shared" si="142"/>
        <v>0</v>
      </c>
      <c r="AB52" s="282">
        <f t="shared" si="142"/>
        <v>0</v>
      </c>
      <c r="AC52" s="282">
        <f t="shared" si="142"/>
        <v>0</v>
      </c>
      <c r="AD52" s="282">
        <f t="shared" si="142"/>
        <v>0</v>
      </c>
      <c r="AE52" s="282">
        <f t="shared" si="142"/>
        <v>0</v>
      </c>
      <c r="AF52" s="283">
        <f t="shared" si="142"/>
        <v>0</v>
      </c>
      <c r="AG52" s="281">
        <f t="shared" si="142"/>
        <v>0</v>
      </c>
      <c r="AH52" s="282">
        <f t="shared" si="142"/>
        <v>0</v>
      </c>
      <c r="AI52" s="282">
        <f t="shared" si="142"/>
        <v>0</v>
      </c>
      <c r="AJ52" s="282">
        <f t="shared" si="142"/>
        <v>0</v>
      </c>
      <c r="AK52" s="283">
        <f t="shared" si="142"/>
        <v>0</v>
      </c>
      <c r="AL52" s="441"/>
      <c r="AM52" s="406" t="s">
        <v>1876</v>
      </c>
      <c r="AN52" s="946">
        <f t="shared" ref="AN52:AZ52" si="143">SUM(AN50:AN51)</f>
        <v>2</v>
      </c>
      <c r="AO52" s="947">
        <f t="shared" si="143"/>
        <v>0</v>
      </c>
      <c r="AP52" s="947">
        <f t="shared" si="143"/>
        <v>1</v>
      </c>
      <c r="AQ52" s="947">
        <f t="shared" si="143"/>
        <v>0</v>
      </c>
      <c r="AR52" s="947">
        <f t="shared" si="143"/>
        <v>0</v>
      </c>
      <c r="AS52" s="947">
        <f t="shared" si="143"/>
        <v>0</v>
      </c>
      <c r="AT52" s="947">
        <f t="shared" si="143"/>
        <v>0</v>
      </c>
      <c r="AU52" s="948">
        <f t="shared" si="143"/>
        <v>0</v>
      </c>
      <c r="AV52" s="946">
        <f t="shared" si="143"/>
        <v>0.42857142857142855</v>
      </c>
      <c r="AW52" s="947">
        <f t="shared" si="143"/>
        <v>0.42857142857142855</v>
      </c>
      <c r="AX52" s="947">
        <f t="shared" si="143"/>
        <v>0.42857142857142855</v>
      </c>
      <c r="AY52" s="947">
        <f t="shared" si="143"/>
        <v>0.42857142857142855</v>
      </c>
      <c r="AZ52" s="948">
        <f t="shared" si="143"/>
        <v>0.42857142857142855</v>
      </c>
    </row>
    <row r="53" spans="2:79" s="374" customFormat="1" ht="15" customHeight="1">
      <c r="B53" s="471"/>
      <c r="C53" s="477"/>
      <c r="D53" s="477"/>
      <c r="E53" s="477"/>
      <c r="F53" s="477"/>
      <c r="G53" s="477"/>
      <c r="H53" s="209"/>
      <c r="I53" s="209"/>
      <c r="J53" s="405"/>
      <c r="K53" s="209"/>
      <c r="L53" s="209"/>
      <c r="M53" s="209"/>
      <c r="N53" s="209"/>
      <c r="O53" s="209"/>
      <c r="P53" s="209"/>
      <c r="Q53" s="210"/>
      <c r="R53" s="405"/>
      <c r="S53" s="209"/>
      <c r="T53" s="209"/>
      <c r="U53" s="209"/>
      <c r="V53" s="210"/>
      <c r="W53" s="441"/>
      <c r="X53" s="209"/>
      <c r="Y53" s="405"/>
      <c r="Z53" s="209"/>
      <c r="AA53" s="209"/>
      <c r="AB53" s="209"/>
      <c r="AC53" s="209"/>
      <c r="AD53" s="209"/>
      <c r="AE53" s="209"/>
      <c r="AF53" s="210"/>
      <c r="AG53" s="405"/>
      <c r="AH53" s="209"/>
      <c r="AI53" s="209"/>
      <c r="AJ53" s="209"/>
      <c r="AK53" s="210"/>
      <c r="AL53" s="441"/>
      <c r="AM53" s="441"/>
      <c r="AN53" s="441"/>
      <c r="AO53" s="441"/>
      <c r="AP53" s="441"/>
      <c r="AQ53" s="441"/>
      <c r="AR53" s="441"/>
      <c r="AS53" s="441"/>
      <c r="AT53" s="441"/>
      <c r="AU53" s="441"/>
      <c r="AV53" s="441"/>
      <c r="AW53" s="441"/>
      <c r="AX53" s="441"/>
      <c r="AY53" s="441"/>
      <c r="AZ53" s="478"/>
    </row>
    <row r="54" spans="2:79" s="374" customFormat="1" ht="15" customHeight="1" thickBot="1">
      <c r="B54" s="834" t="s">
        <v>1701</v>
      </c>
      <c r="C54" s="827"/>
      <c r="D54" s="827"/>
      <c r="E54" s="827"/>
      <c r="F54" s="827"/>
      <c r="G54" s="836"/>
      <c r="H54" s="434"/>
      <c r="I54" s="410" t="s">
        <v>498</v>
      </c>
      <c r="J54" s="749">
        <f t="shared" ref="J54:V54" si="144">SUM(J43,J48,J52)</f>
        <v>0.91766736144413519</v>
      </c>
      <c r="K54" s="750">
        <f t="shared" si="144"/>
        <v>0.89628349090909054</v>
      </c>
      <c r="L54" s="750">
        <f t="shared" si="144"/>
        <v>1.9472034349310055</v>
      </c>
      <c r="M54" s="750">
        <f t="shared" si="144"/>
        <v>0.94482078319073726</v>
      </c>
      <c r="N54" s="750">
        <f t="shared" si="144"/>
        <v>0.37124320486457546</v>
      </c>
      <c r="O54" s="750">
        <f t="shared" si="144"/>
        <v>1.3213748994917858</v>
      </c>
      <c r="P54" s="750">
        <f t="shared" si="144"/>
        <v>3.2184221493358551</v>
      </c>
      <c r="Q54" s="751">
        <f t="shared" si="144"/>
        <v>8.031232696854298</v>
      </c>
      <c r="R54" s="749">
        <f t="shared" si="144"/>
        <v>3.2124061309059777</v>
      </c>
      <c r="S54" s="750">
        <f t="shared" si="144"/>
        <v>3.7416934029172038</v>
      </c>
      <c r="T54" s="750">
        <f t="shared" si="144"/>
        <v>4.2709806749284285</v>
      </c>
      <c r="U54" s="750">
        <f t="shared" si="144"/>
        <v>4.4083452280321769</v>
      </c>
      <c r="V54" s="751">
        <f t="shared" si="144"/>
        <v>4.937632500043402</v>
      </c>
      <c r="W54" s="450"/>
      <c r="X54" s="410" t="s">
        <v>498</v>
      </c>
      <c r="Y54" s="749">
        <f t="shared" ref="Y54:AK54" si="145">SUM(Y43,Y48,Y52)</f>
        <v>0</v>
      </c>
      <c r="Z54" s="750">
        <f t="shared" si="145"/>
        <v>0</v>
      </c>
      <c r="AA54" s="750">
        <f t="shared" si="145"/>
        <v>0</v>
      </c>
      <c r="AB54" s="750">
        <f t="shared" si="145"/>
        <v>0</v>
      </c>
      <c r="AC54" s="750">
        <f t="shared" si="145"/>
        <v>0</v>
      </c>
      <c r="AD54" s="750">
        <f t="shared" si="145"/>
        <v>0</v>
      </c>
      <c r="AE54" s="750">
        <f t="shared" si="145"/>
        <v>0</v>
      </c>
      <c r="AF54" s="751">
        <f t="shared" si="145"/>
        <v>0</v>
      </c>
      <c r="AG54" s="749">
        <f t="shared" si="145"/>
        <v>-0.29983385250000016</v>
      </c>
      <c r="AH54" s="750">
        <f t="shared" si="145"/>
        <v>-0.39977847000000022</v>
      </c>
      <c r="AI54" s="750">
        <f t="shared" si="145"/>
        <v>-0.49972308750000016</v>
      </c>
      <c r="AJ54" s="750">
        <f t="shared" si="145"/>
        <v>-0.49972308750000016</v>
      </c>
      <c r="AK54" s="751">
        <f t="shared" si="145"/>
        <v>-0.59966770500000033</v>
      </c>
      <c r="AL54" s="450"/>
      <c r="AM54" s="450"/>
      <c r="AN54" s="450"/>
      <c r="AO54" s="450"/>
      <c r="AP54" s="450"/>
      <c r="AQ54" s="450"/>
      <c r="AR54" s="450"/>
      <c r="AS54" s="450"/>
      <c r="AT54" s="450"/>
      <c r="AU54" s="450"/>
      <c r="AV54" s="450"/>
      <c r="AW54" s="450"/>
      <c r="AX54" s="450"/>
      <c r="AY54" s="450"/>
      <c r="AZ54" s="480"/>
    </row>
    <row r="55" spans="2:79" s="374" customFormat="1" ht="15" customHeight="1" thickBot="1">
      <c r="G55" s="372"/>
      <c r="H55" s="372"/>
      <c r="I55" s="372"/>
      <c r="J55" s="372"/>
      <c r="P55" s="373"/>
      <c r="X55" s="372"/>
      <c r="Y55" s="372"/>
      <c r="AE55" s="373"/>
      <c r="AM55" s="372"/>
      <c r="AN55" s="372"/>
      <c r="AT55" s="373"/>
    </row>
    <row r="56" spans="2:79" s="374" customFormat="1" ht="30" customHeight="1" thickBot="1">
      <c r="B56" s="467" t="s">
        <v>2505</v>
      </c>
      <c r="C56" s="824"/>
      <c r="D56" s="824"/>
      <c r="E56" s="824"/>
      <c r="F56" s="824"/>
      <c r="G56" s="468"/>
      <c r="H56" s="438"/>
      <c r="I56" s="105" t="s">
        <v>1864</v>
      </c>
      <c r="J56" s="106"/>
      <c r="K56" s="106"/>
      <c r="L56" s="106"/>
      <c r="M56" s="106"/>
      <c r="N56" s="106"/>
      <c r="O56" s="106"/>
      <c r="P56" s="106"/>
      <c r="Q56" s="106"/>
      <c r="R56" s="105"/>
      <c r="S56" s="105"/>
      <c r="T56" s="105"/>
      <c r="U56" s="105"/>
      <c r="V56" s="187"/>
      <c r="W56" s="439"/>
      <c r="X56" s="789" t="s">
        <v>2202</v>
      </c>
      <c r="Y56" s="790"/>
      <c r="Z56" s="790"/>
      <c r="AA56" s="790"/>
      <c r="AB56" s="790"/>
      <c r="AC56" s="790"/>
      <c r="AD56" s="790"/>
      <c r="AE56" s="790"/>
      <c r="AF56" s="790"/>
      <c r="AG56" s="790"/>
      <c r="AH56" s="790"/>
      <c r="AI56" s="790"/>
      <c r="AJ56" s="790"/>
      <c r="AK56" s="791"/>
      <c r="AL56" s="439"/>
      <c r="AM56" s="789" t="s">
        <v>2506</v>
      </c>
      <c r="AN56" s="790"/>
      <c r="AO56" s="790"/>
      <c r="AP56" s="790"/>
      <c r="AQ56" s="790"/>
      <c r="AR56" s="790"/>
      <c r="AS56" s="790"/>
      <c r="AT56" s="790"/>
      <c r="AU56" s="790"/>
      <c r="AV56" s="790"/>
      <c r="AW56" s="790"/>
      <c r="AX56" s="790"/>
      <c r="AY56" s="790"/>
      <c r="AZ56" s="791"/>
      <c r="BA56" s="439"/>
      <c r="BB56" s="789" t="s">
        <v>1925</v>
      </c>
      <c r="BC56" s="790"/>
      <c r="BD56" s="790"/>
      <c r="BE56" s="790"/>
      <c r="BF56" s="790"/>
      <c r="BG56" s="791"/>
      <c r="BV56" s="458"/>
      <c r="BW56" s="458"/>
      <c r="BX56" s="458"/>
      <c r="BY56" s="458"/>
      <c r="BZ56" s="458"/>
      <c r="CA56" s="458"/>
    </row>
    <row r="57" spans="2:79" s="374" customFormat="1" ht="30" customHeight="1">
      <c r="B57" s="469"/>
      <c r="C57" s="470"/>
      <c r="D57" s="470"/>
      <c r="E57" s="470"/>
      <c r="F57" s="470"/>
      <c r="G57" s="470"/>
      <c r="H57" s="209"/>
      <c r="I57" s="225"/>
      <c r="J57" s="424" t="s">
        <v>1666</v>
      </c>
      <c r="K57" s="425"/>
      <c r="L57" s="425"/>
      <c r="M57" s="425"/>
      <c r="N57" s="425"/>
      <c r="O57" s="425"/>
      <c r="P57" s="425"/>
      <c r="Q57" s="426"/>
      <c r="R57" s="427" t="s">
        <v>2</v>
      </c>
      <c r="S57" s="428"/>
      <c r="T57" s="428"/>
      <c r="U57" s="428"/>
      <c r="V57" s="429"/>
      <c r="W57" s="441"/>
      <c r="X57" s="225"/>
      <c r="Y57" s="424" t="s">
        <v>1666</v>
      </c>
      <c r="Z57" s="425"/>
      <c r="AA57" s="425"/>
      <c r="AB57" s="425"/>
      <c r="AC57" s="425"/>
      <c r="AD57" s="425"/>
      <c r="AE57" s="425"/>
      <c r="AF57" s="426"/>
      <c r="AG57" s="427" t="s">
        <v>2</v>
      </c>
      <c r="AH57" s="428"/>
      <c r="AI57" s="428"/>
      <c r="AJ57" s="428"/>
      <c r="AK57" s="429"/>
      <c r="AL57" s="441"/>
      <c r="AM57" s="225"/>
      <c r="AN57" s="424" t="s">
        <v>1666</v>
      </c>
      <c r="AO57" s="425"/>
      <c r="AP57" s="425"/>
      <c r="AQ57" s="425"/>
      <c r="AR57" s="425"/>
      <c r="AS57" s="425"/>
      <c r="AT57" s="425"/>
      <c r="AU57" s="426"/>
      <c r="AV57" s="427" t="s">
        <v>2</v>
      </c>
      <c r="AW57" s="428"/>
      <c r="AX57" s="428"/>
      <c r="AY57" s="428"/>
      <c r="AZ57" s="429"/>
      <c r="BA57" s="441"/>
      <c r="BB57" s="482" t="s">
        <v>1897</v>
      </c>
      <c r="BC57" s="481" t="s">
        <v>2507</v>
      </c>
      <c r="BD57" s="482" t="s">
        <v>2508</v>
      </c>
      <c r="BE57" s="482"/>
      <c r="BF57" s="482" t="s">
        <v>2509</v>
      </c>
      <c r="BG57" s="483"/>
      <c r="BV57" s="458"/>
      <c r="BW57" s="458"/>
      <c r="BX57" s="458"/>
      <c r="BY57" s="458"/>
      <c r="BZ57" s="458"/>
      <c r="CA57" s="458"/>
    </row>
    <row r="58" spans="2:79" s="374" customFormat="1" ht="15" customHeight="1">
      <c r="B58" s="471"/>
      <c r="C58" s="477"/>
      <c r="D58" s="477"/>
      <c r="E58" s="477"/>
      <c r="F58" s="477"/>
      <c r="G58" s="470"/>
      <c r="H58" s="209"/>
      <c r="I58" s="291" t="s">
        <v>1667</v>
      </c>
      <c r="J58" s="430" t="s">
        <v>453</v>
      </c>
      <c r="K58" s="431" t="s">
        <v>455</v>
      </c>
      <c r="L58" s="431" t="s">
        <v>457</v>
      </c>
      <c r="M58" s="431" t="s">
        <v>459</v>
      </c>
      <c r="N58" s="431" t="s">
        <v>461</v>
      </c>
      <c r="O58" s="431" t="s">
        <v>463</v>
      </c>
      <c r="P58" s="431" t="s">
        <v>465</v>
      </c>
      <c r="Q58" s="432" t="s">
        <v>467</v>
      </c>
      <c r="R58" s="430" t="s">
        <v>469</v>
      </c>
      <c r="S58" s="431" t="s">
        <v>471</v>
      </c>
      <c r="T58" s="431" t="s">
        <v>473</v>
      </c>
      <c r="U58" s="431" t="s">
        <v>475</v>
      </c>
      <c r="V58" s="432" t="s">
        <v>477</v>
      </c>
      <c r="W58" s="441"/>
      <c r="X58" s="291" t="s">
        <v>1667</v>
      </c>
      <c r="Y58" s="430" t="s">
        <v>453</v>
      </c>
      <c r="Z58" s="431" t="s">
        <v>455</v>
      </c>
      <c r="AA58" s="431" t="s">
        <v>457</v>
      </c>
      <c r="AB58" s="431" t="s">
        <v>459</v>
      </c>
      <c r="AC58" s="431" t="s">
        <v>461</v>
      </c>
      <c r="AD58" s="431" t="s">
        <v>463</v>
      </c>
      <c r="AE58" s="431" t="s">
        <v>465</v>
      </c>
      <c r="AF58" s="432" t="s">
        <v>467</v>
      </c>
      <c r="AG58" s="430" t="s">
        <v>469</v>
      </c>
      <c r="AH58" s="431" t="s">
        <v>471</v>
      </c>
      <c r="AI58" s="431" t="s">
        <v>473</v>
      </c>
      <c r="AJ58" s="431" t="s">
        <v>475</v>
      </c>
      <c r="AK58" s="432" t="s">
        <v>477</v>
      </c>
      <c r="AL58" s="441"/>
      <c r="AM58" s="291" t="s">
        <v>1667</v>
      </c>
      <c r="AN58" s="430" t="s">
        <v>453</v>
      </c>
      <c r="AO58" s="431" t="s">
        <v>455</v>
      </c>
      <c r="AP58" s="431" t="s">
        <v>457</v>
      </c>
      <c r="AQ58" s="431" t="s">
        <v>459</v>
      </c>
      <c r="AR58" s="431" t="s">
        <v>461</v>
      </c>
      <c r="AS58" s="431" t="s">
        <v>463</v>
      </c>
      <c r="AT58" s="431" t="s">
        <v>465</v>
      </c>
      <c r="AU58" s="432" t="s">
        <v>467</v>
      </c>
      <c r="AV58" s="430" t="s">
        <v>469</v>
      </c>
      <c r="AW58" s="431" t="s">
        <v>471</v>
      </c>
      <c r="AX58" s="431" t="s">
        <v>473</v>
      </c>
      <c r="AY58" s="431" t="s">
        <v>475</v>
      </c>
      <c r="AZ58" s="432" t="s">
        <v>477</v>
      </c>
      <c r="BA58" s="441"/>
      <c r="BB58" s="209"/>
      <c r="BC58" s="445" t="s">
        <v>2510</v>
      </c>
      <c r="BD58" s="445" t="s">
        <v>2511</v>
      </c>
      <c r="BE58" s="445" t="s">
        <v>2512</v>
      </c>
      <c r="BF58" s="445" t="s">
        <v>2503</v>
      </c>
      <c r="BG58" s="446" t="s">
        <v>2504</v>
      </c>
      <c r="BV58" s="458"/>
      <c r="BW58" s="458"/>
      <c r="BX58" s="458"/>
      <c r="BY58" s="458"/>
      <c r="BZ58" s="458"/>
      <c r="CA58" s="458"/>
    </row>
    <row r="59" spans="2:79" s="374" customFormat="1" ht="15" customHeight="1">
      <c r="B59" s="1553"/>
      <c r="C59" s="832" t="s">
        <v>2513</v>
      </c>
      <c r="D59" s="477"/>
      <c r="E59" s="477"/>
      <c r="F59" s="477"/>
      <c r="G59" s="470"/>
      <c r="H59" s="209"/>
      <c r="I59" s="209"/>
      <c r="J59" s="405"/>
      <c r="K59" s="441"/>
      <c r="L59" s="441"/>
      <c r="M59" s="441"/>
      <c r="N59" s="441"/>
      <c r="O59" s="441"/>
      <c r="P59" s="209"/>
      <c r="Q59" s="210"/>
      <c r="R59" s="405"/>
      <c r="S59" s="209"/>
      <c r="T59" s="209"/>
      <c r="U59" s="209"/>
      <c r="V59" s="210"/>
      <c r="W59" s="441"/>
      <c r="X59" s="209"/>
      <c r="Y59" s="405"/>
      <c r="Z59" s="441"/>
      <c r="AA59" s="441"/>
      <c r="AB59" s="441"/>
      <c r="AC59" s="441"/>
      <c r="AD59" s="441"/>
      <c r="AE59" s="209"/>
      <c r="AF59" s="210"/>
      <c r="AG59" s="405"/>
      <c r="AH59" s="209"/>
      <c r="AI59" s="209"/>
      <c r="AJ59" s="209"/>
      <c r="AK59" s="210"/>
      <c r="AL59" s="441"/>
      <c r="AM59" s="209"/>
      <c r="AN59" s="405"/>
      <c r="AO59" s="441"/>
      <c r="AP59" s="441"/>
      <c r="AQ59" s="441"/>
      <c r="AR59" s="441"/>
      <c r="AS59" s="441"/>
      <c r="AT59" s="209"/>
      <c r="AU59" s="210"/>
      <c r="AV59" s="405"/>
      <c r="AW59" s="209"/>
      <c r="AX59" s="209"/>
      <c r="AY59" s="209"/>
      <c r="AZ59" s="210"/>
      <c r="BA59" s="441"/>
      <c r="BB59" s="209"/>
      <c r="BC59" s="209"/>
      <c r="BD59" s="209"/>
      <c r="BE59" s="209"/>
      <c r="BF59" s="209"/>
      <c r="BG59" s="210"/>
      <c r="BV59" s="458"/>
      <c r="BW59" s="458"/>
      <c r="BX59" s="458"/>
      <c r="BY59" s="458"/>
      <c r="BZ59" s="458"/>
      <c r="CA59" s="458"/>
    </row>
    <row r="60" spans="2:79" s="374" customFormat="1" ht="15" customHeight="1">
      <c r="B60" s="473"/>
      <c r="C60" s="825"/>
      <c r="D60" s="833" t="s">
        <v>85</v>
      </c>
      <c r="E60" s="825"/>
      <c r="F60" s="825"/>
      <c r="G60" s="447" t="s">
        <v>2317</v>
      </c>
      <c r="H60" s="209"/>
      <c r="I60" s="406" t="s">
        <v>498</v>
      </c>
      <c r="J60" s="405"/>
      <c r="K60" s="441"/>
      <c r="L60" s="441"/>
      <c r="M60" s="441"/>
      <c r="N60" s="441"/>
      <c r="O60" s="441"/>
      <c r="P60" s="298">
        <v>1.0461791650324355</v>
      </c>
      <c r="Q60" s="299">
        <v>5.8901819386381202</v>
      </c>
      <c r="R60" s="297">
        <v>0</v>
      </c>
      <c r="S60" s="298">
        <v>0</v>
      </c>
      <c r="T60" s="298">
        <v>0</v>
      </c>
      <c r="U60" s="298">
        <v>0</v>
      </c>
      <c r="V60" s="299">
        <v>0</v>
      </c>
      <c r="W60" s="441"/>
      <c r="X60" s="406" t="s">
        <v>498</v>
      </c>
      <c r="Y60" s="405"/>
      <c r="Z60" s="441"/>
      <c r="AA60" s="441"/>
      <c r="AB60" s="441"/>
      <c r="AC60" s="441"/>
      <c r="AD60" s="441"/>
      <c r="AE60" s="298">
        <v>0</v>
      </c>
      <c r="AF60" s="299">
        <v>0</v>
      </c>
      <c r="AG60" s="297">
        <v>0</v>
      </c>
      <c r="AH60" s="298">
        <v>0</v>
      </c>
      <c r="AI60" s="298">
        <v>0</v>
      </c>
      <c r="AJ60" s="298">
        <v>0</v>
      </c>
      <c r="AK60" s="299">
        <v>0</v>
      </c>
      <c r="AL60" s="441"/>
      <c r="AM60" s="406" t="s">
        <v>2233</v>
      </c>
      <c r="AN60" s="405"/>
      <c r="AO60" s="441"/>
      <c r="AP60" s="441"/>
      <c r="AQ60" s="441"/>
      <c r="AR60" s="441"/>
      <c r="AS60" s="441"/>
      <c r="AT60" s="298">
        <v>0</v>
      </c>
      <c r="AU60" s="299">
        <v>0</v>
      </c>
      <c r="AV60" s="297">
        <v>0</v>
      </c>
      <c r="AW60" s="298">
        <v>0</v>
      </c>
      <c r="AX60" s="298">
        <v>0</v>
      </c>
      <c r="AY60" s="298">
        <v>0</v>
      </c>
      <c r="AZ60" s="299">
        <v>0</v>
      </c>
      <c r="BA60" s="441"/>
      <c r="BB60" s="211">
        <v>0</v>
      </c>
      <c r="BC60" s="211">
        <v>0</v>
      </c>
      <c r="BD60" s="408">
        <v>0</v>
      </c>
      <c r="BE60" s="408">
        <v>0</v>
      </c>
      <c r="BF60" s="408">
        <v>0</v>
      </c>
      <c r="BG60" s="409">
        <v>0</v>
      </c>
      <c r="BV60" s="458"/>
      <c r="BW60" s="458"/>
      <c r="BX60" s="458"/>
      <c r="BY60" s="458"/>
      <c r="BZ60" s="458"/>
      <c r="CA60" s="458"/>
    </row>
    <row r="61" spans="2:79" s="374" customFormat="1" ht="15" customHeight="1">
      <c r="B61" s="473"/>
      <c r="C61" s="825"/>
      <c r="D61" s="833" t="s">
        <v>85</v>
      </c>
      <c r="E61" s="825"/>
      <c r="F61" s="825"/>
      <c r="G61" s="447" t="s">
        <v>2514</v>
      </c>
      <c r="H61" s="209"/>
      <c r="I61" s="406" t="s">
        <v>498</v>
      </c>
      <c r="J61" s="405"/>
      <c r="K61" s="441"/>
      <c r="L61" s="441"/>
      <c r="M61" s="441"/>
      <c r="N61" s="441"/>
      <c r="O61" s="441"/>
      <c r="P61" s="298">
        <v>0.75</v>
      </c>
      <c r="Q61" s="299">
        <v>1</v>
      </c>
      <c r="R61" s="297">
        <v>0</v>
      </c>
      <c r="S61" s="298">
        <v>0</v>
      </c>
      <c r="T61" s="298">
        <v>0</v>
      </c>
      <c r="U61" s="298">
        <v>0</v>
      </c>
      <c r="V61" s="299">
        <v>0</v>
      </c>
      <c r="W61" s="441"/>
      <c r="X61" s="406" t="s">
        <v>498</v>
      </c>
      <c r="Y61" s="405"/>
      <c r="Z61" s="441"/>
      <c r="AA61" s="441"/>
      <c r="AB61" s="441"/>
      <c r="AC61" s="441"/>
      <c r="AD61" s="441"/>
      <c r="AE61" s="298">
        <v>0</v>
      </c>
      <c r="AF61" s="299">
        <v>0</v>
      </c>
      <c r="AG61" s="297">
        <v>0</v>
      </c>
      <c r="AH61" s="298">
        <v>0</v>
      </c>
      <c r="AI61" s="298">
        <v>0</v>
      </c>
      <c r="AJ61" s="298">
        <v>0</v>
      </c>
      <c r="AK61" s="299">
        <v>0</v>
      </c>
      <c r="AL61" s="441"/>
      <c r="AM61" s="406" t="s">
        <v>2233</v>
      </c>
      <c r="AN61" s="405"/>
      <c r="AO61" s="441"/>
      <c r="AP61" s="441"/>
      <c r="AQ61" s="441"/>
      <c r="AR61" s="441"/>
      <c r="AS61" s="441"/>
      <c r="AT61" s="298">
        <v>0</v>
      </c>
      <c r="AU61" s="299">
        <v>0</v>
      </c>
      <c r="AV61" s="297">
        <v>0</v>
      </c>
      <c r="AW61" s="298">
        <v>0</v>
      </c>
      <c r="AX61" s="298">
        <v>0</v>
      </c>
      <c r="AY61" s="298">
        <v>0</v>
      </c>
      <c r="AZ61" s="299">
        <v>0</v>
      </c>
      <c r="BA61" s="441"/>
      <c r="BB61" s="211">
        <v>0</v>
      </c>
      <c r="BC61" s="211">
        <v>0</v>
      </c>
      <c r="BD61" s="408">
        <v>0</v>
      </c>
      <c r="BE61" s="408">
        <v>0</v>
      </c>
      <c r="BF61" s="408">
        <v>0</v>
      </c>
      <c r="BG61" s="409">
        <v>0</v>
      </c>
      <c r="BV61" s="458"/>
      <c r="BW61" s="458"/>
      <c r="BX61" s="458"/>
      <c r="BY61" s="458"/>
      <c r="BZ61" s="458"/>
      <c r="CA61" s="458"/>
    </row>
    <row r="62" spans="2:79" s="374" customFormat="1" ht="15" customHeight="1">
      <c r="B62" s="473"/>
      <c r="C62" s="825"/>
      <c r="D62" s="833" t="s">
        <v>85</v>
      </c>
      <c r="E62" s="825"/>
      <c r="F62" s="825"/>
      <c r="G62" s="447"/>
      <c r="H62" s="209"/>
      <c r="I62" s="406" t="s">
        <v>498</v>
      </c>
      <c r="J62" s="405"/>
      <c r="K62" s="441"/>
      <c r="L62" s="441"/>
      <c r="M62" s="441"/>
      <c r="N62" s="441"/>
      <c r="O62" s="441"/>
      <c r="P62" s="298">
        <v>0</v>
      </c>
      <c r="Q62" s="299">
        <v>0</v>
      </c>
      <c r="R62" s="297">
        <v>0</v>
      </c>
      <c r="S62" s="298">
        <v>0</v>
      </c>
      <c r="T62" s="298">
        <v>0</v>
      </c>
      <c r="U62" s="298">
        <v>0</v>
      </c>
      <c r="V62" s="299">
        <v>0</v>
      </c>
      <c r="W62" s="441"/>
      <c r="X62" s="406" t="s">
        <v>498</v>
      </c>
      <c r="Y62" s="405"/>
      <c r="Z62" s="441"/>
      <c r="AA62" s="441"/>
      <c r="AB62" s="441"/>
      <c r="AC62" s="441"/>
      <c r="AD62" s="441"/>
      <c r="AE62" s="298">
        <v>0</v>
      </c>
      <c r="AF62" s="299">
        <v>0</v>
      </c>
      <c r="AG62" s="297">
        <v>0</v>
      </c>
      <c r="AH62" s="298">
        <v>0</v>
      </c>
      <c r="AI62" s="298">
        <v>0</v>
      </c>
      <c r="AJ62" s="298">
        <v>0</v>
      </c>
      <c r="AK62" s="299">
        <v>0</v>
      </c>
      <c r="AL62" s="441"/>
      <c r="AM62" s="406" t="s">
        <v>2233</v>
      </c>
      <c r="AN62" s="405"/>
      <c r="AO62" s="441"/>
      <c r="AP62" s="441"/>
      <c r="AQ62" s="441"/>
      <c r="AR62" s="441"/>
      <c r="AS62" s="441"/>
      <c r="AT62" s="298">
        <v>0</v>
      </c>
      <c r="AU62" s="299">
        <v>0</v>
      </c>
      <c r="AV62" s="297">
        <v>0</v>
      </c>
      <c r="AW62" s="298">
        <v>0</v>
      </c>
      <c r="AX62" s="298">
        <v>0</v>
      </c>
      <c r="AY62" s="298">
        <v>0</v>
      </c>
      <c r="AZ62" s="299">
        <v>0</v>
      </c>
      <c r="BA62" s="441"/>
      <c r="BB62" s="211">
        <v>0</v>
      </c>
      <c r="BC62" s="211">
        <v>0</v>
      </c>
      <c r="BD62" s="408">
        <v>0</v>
      </c>
      <c r="BE62" s="408">
        <v>0</v>
      </c>
      <c r="BF62" s="408">
        <v>0</v>
      </c>
      <c r="BG62" s="409">
        <v>0</v>
      </c>
      <c r="BV62" s="458"/>
      <c r="BW62" s="458"/>
      <c r="BX62" s="458"/>
      <c r="BY62" s="458"/>
      <c r="BZ62" s="458"/>
      <c r="CA62" s="458"/>
    </row>
    <row r="63" spans="2:79" s="374" customFormat="1" ht="15" customHeight="1">
      <c r="B63" s="473"/>
      <c r="C63" s="825"/>
      <c r="D63" s="833" t="s">
        <v>85</v>
      </c>
      <c r="E63" s="825"/>
      <c r="F63" s="825"/>
      <c r="G63" s="447"/>
      <c r="H63" s="209"/>
      <c r="I63" s="406" t="s">
        <v>498</v>
      </c>
      <c r="J63" s="405"/>
      <c r="K63" s="441"/>
      <c r="L63" s="441"/>
      <c r="M63" s="441"/>
      <c r="N63" s="441"/>
      <c r="O63" s="441"/>
      <c r="P63" s="298">
        <v>0</v>
      </c>
      <c r="Q63" s="299">
        <v>0</v>
      </c>
      <c r="R63" s="297">
        <v>0</v>
      </c>
      <c r="S63" s="298">
        <v>0</v>
      </c>
      <c r="T63" s="298">
        <v>0</v>
      </c>
      <c r="U63" s="298">
        <v>0</v>
      </c>
      <c r="V63" s="299">
        <v>0</v>
      </c>
      <c r="W63" s="441"/>
      <c r="X63" s="406" t="s">
        <v>498</v>
      </c>
      <c r="Y63" s="405"/>
      <c r="Z63" s="441"/>
      <c r="AA63" s="441"/>
      <c r="AB63" s="441"/>
      <c r="AC63" s="441"/>
      <c r="AD63" s="441"/>
      <c r="AE63" s="298">
        <v>0</v>
      </c>
      <c r="AF63" s="299">
        <v>0</v>
      </c>
      <c r="AG63" s="297">
        <v>0</v>
      </c>
      <c r="AH63" s="298">
        <v>0</v>
      </c>
      <c r="AI63" s="298">
        <v>0</v>
      </c>
      <c r="AJ63" s="298">
        <v>0</v>
      </c>
      <c r="AK63" s="299">
        <v>0</v>
      </c>
      <c r="AL63" s="441"/>
      <c r="AM63" s="406" t="s">
        <v>2233</v>
      </c>
      <c r="AN63" s="405"/>
      <c r="AO63" s="441"/>
      <c r="AP63" s="441"/>
      <c r="AQ63" s="441"/>
      <c r="AR63" s="441"/>
      <c r="AS63" s="441"/>
      <c r="AT63" s="298">
        <v>0</v>
      </c>
      <c r="AU63" s="299">
        <v>0</v>
      </c>
      <c r="AV63" s="297">
        <v>0</v>
      </c>
      <c r="AW63" s="298">
        <v>0</v>
      </c>
      <c r="AX63" s="298">
        <v>0</v>
      </c>
      <c r="AY63" s="298">
        <v>0</v>
      </c>
      <c r="AZ63" s="299">
        <v>0</v>
      </c>
      <c r="BA63" s="441"/>
      <c r="BB63" s="211">
        <v>0</v>
      </c>
      <c r="BC63" s="211">
        <v>0</v>
      </c>
      <c r="BD63" s="408">
        <v>0</v>
      </c>
      <c r="BE63" s="408">
        <v>0</v>
      </c>
      <c r="BF63" s="408">
        <v>0</v>
      </c>
      <c r="BG63" s="409">
        <v>0</v>
      </c>
      <c r="BV63" s="458"/>
      <c r="BW63" s="458"/>
      <c r="BX63" s="458"/>
      <c r="BY63" s="458"/>
      <c r="BZ63" s="458"/>
      <c r="CA63" s="458"/>
    </row>
    <row r="64" spans="2:79" s="374" customFormat="1" ht="15" customHeight="1">
      <c r="B64" s="473"/>
      <c r="C64" s="825"/>
      <c r="D64" s="833" t="s">
        <v>85</v>
      </c>
      <c r="E64" s="825"/>
      <c r="F64" s="825"/>
      <c r="G64" s="447"/>
      <c r="H64" s="209"/>
      <c r="I64" s="406" t="s">
        <v>498</v>
      </c>
      <c r="J64" s="405"/>
      <c r="K64" s="441"/>
      <c r="L64" s="441"/>
      <c r="M64" s="441"/>
      <c r="N64" s="441"/>
      <c r="O64" s="441"/>
      <c r="P64" s="298">
        <v>0</v>
      </c>
      <c r="Q64" s="299">
        <v>0</v>
      </c>
      <c r="R64" s="297">
        <v>0</v>
      </c>
      <c r="S64" s="298">
        <v>0</v>
      </c>
      <c r="T64" s="298">
        <v>0</v>
      </c>
      <c r="U64" s="298">
        <v>0</v>
      </c>
      <c r="V64" s="299">
        <v>0</v>
      </c>
      <c r="W64" s="441"/>
      <c r="X64" s="406" t="s">
        <v>498</v>
      </c>
      <c r="Y64" s="405"/>
      <c r="Z64" s="441"/>
      <c r="AA64" s="441"/>
      <c r="AB64" s="441"/>
      <c r="AC64" s="441"/>
      <c r="AD64" s="441"/>
      <c r="AE64" s="298">
        <v>0</v>
      </c>
      <c r="AF64" s="299">
        <v>0</v>
      </c>
      <c r="AG64" s="297">
        <v>0</v>
      </c>
      <c r="AH64" s="298">
        <v>0</v>
      </c>
      <c r="AI64" s="298">
        <v>0</v>
      </c>
      <c r="AJ64" s="298">
        <v>0</v>
      </c>
      <c r="AK64" s="299">
        <v>0</v>
      </c>
      <c r="AL64" s="441"/>
      <c r="AM64" s="406" t="s">
        <v>2233</v>
      </c>
      <c r="AN64" s="405"/>
      <c r="AO64" s="441"/>
      <c r="AP64" s="441"/>
      <c r="AQ64" s="441"/>
      <c r="AR64" s="441"/>
      <c r="AS64" s="441"/>
      <c r="AT64" s="298">
        <v>0</v>
      </c>
      <c r="AU64" s="299">
        <v>0</v>
      </c>
      <c r="AV64" s="297">
        <v>0</v>
      </c>
      <c r="AW64" s="298">
        <v>0</v>
      </c>
      <c r="AX64" s="298">
        <v>0</v>
      </c>
      <c r="AY64" s="298">
        <v>0</v>
      </c>
      <c r="AZ64" s="299">
        <v>0</v>
      </c>
      <c r="BA64" s="441"/>
      <c r="BB64" s="211">
        <v>0</v>
      </c>
      <c r="BC64" s="211">
        <v>0</v>
      </c>
      <c r="BD64" s="408">
        <v>0</v>
      </c>
      <c r="BE64" s="408">
        <v>0</v>
      </c>
      <c r="BF64" s="408">
        <v>0</v>
      </c>
      <c r="BG64" s="409">
        <v>0</v>
      </c>
      <c r="BV64" s="458"/>
      <c r="BW64" s="458"/>
      <c r="BX64" s="458"/>
      <c r="BY64" s="458"/>
      <c r="BZ64" s="458"/>
      <c r="CA64" s="458"/>
    </row>
    <row r="65" spans="2:79" s="374" customFormat="1" ht="15" customHeight="1">
      <c r="B65" s="473"/>
      <c r="C65" s="825"/>
      <c r="D65" s="833" t="s">
        <v>85</v>
      </c>
      <c r="E65" s="825"/>
      <c r="F65" s="825"/>
      <c r="G65" s="447"/>
      <c r="H65" s="209"/>
      <c r="I65" s="406" t="s">
        <v>498</v>
      </c>
      <c r="J65" s="405"/>
      <c r="K65" s="441"/>
      <c r="L65" s="441"/>
      <c r="M65" s="441"/>
      <c r="N65" s="441"/>
      <c r="O65" s="441"/>
      <c r="P65" s="298">
        <v>0</v>
      </c>
      <c r="Q65" s="299">
        <v>0</v>
      </c>
      <c r="R65" s="297">
        <v>0</v>
      </c>
      <c r="S65" s="298">
        <v>0</v>
      </c>
      <c r="T65" s="298">
        <v>0</v>
      </c>
      <c r="U65" s="298">
        <v>0</v>
      </c>
      <c r="V65" s="299">
        <v>0</v>
      </c>
      <c r="W65" s="441"/>
      <c r="X65" s="406" t="s">
        <v>498</v>
      </c>
      <c r="Y65" s="405"/>
      <c r="Z65" s="441"/>
      <c r="AA65" s="441"/>
      <c r="AB65" s="441"/>
      <c r="AC65" s="441"/>
      <c r="AD65" s="441"/>
      <c r="AE65" s="298">
        <v>0</v>
      </c>
      <c r="AF65" s="299">
        <v>0</v>
      </c>
      <c r="AG65" s="297">
        <v>0</v>
      </c>
      <c r="AH65" s="298">
        <v>0</v>
      </c>
      <c r="AI65" s="298">
        <v>0</v>
      </c>
      <c r="AJ65" s="298">
        <v>0</v>
      </c>
      <c r="AK65" s="299">
        <v>0</v>
      </c>
      <c r="AL65" s="441"/>
      <c r="AM65" s="406" t="s">
        <v>2233</v>
      </c>
      <c r="AN65" s="405"/>
      <c r="AO65" s="441"/>
      <c r="AP65" s="441"/>
      <c r="AQ65" s="441"/>
      <c r="AR65" s="441"/>
      <c r="AS65" s="441"/>
      <c r="AT65" s="298">
        <v>0</v>
      </c>
      <c r="AU65" s="299">
        <v>0</v>
      </c>
      <c r="AV65" s="297">
        <v>0</v>
      </c>
      <c r="AW65" s="298">
        <v>0</v>
      </c>
      <c r="AX65" s="298">
        <v>0</v>
      </c>
      <c r="AY65" s="298">
        <v>0</v>
      </c>
      <c r="AZ65" s="299">
        <v>0</v>
      </c>
      <c r="BA65" s="441"/>
      <c r="BB65" s="211">
        <v>0</v>
      </c>
      <c r="BC65" s="211">
        <v>0</v>
      </c>
      <c r="BD65" s="408">
        <v>0</v>
      </c>
      <c r="BE65" s="408">
        <v>0</v>
      </c>
      <c r="BF65" s="408">
        <v>0</v>
      </c>
      <c r="BG65" s="409">
        <v>0</v>
      </c>
      <c r="BV65" s="458"/>
      <c r="BW65" s="458"/>
      <c r="BX65" s="458"/>
      <c r="BY65" s="458"/>
      <c r="BZ65" s="458"/>
      <c r="CA65" s="458"/>
    </row>
    <row r="66" spans="2:79" s="374" customFormat="1" ht="15" customHeight="1">
      <c r="B66" s="473"/>
      <c r="C66" s="825"/>
      <c r="D66" s="833" t="s">
        <v>85</v>
      </c>
      <c r="E66" s="825"/>
      <c r="F66" s="825"/>
      <c r="G66" s="447"/>
      <c r="H66" s="209"/>
      <c r="I66" s="406" t="s">
        <v>498</v>
      </c>
      <c r="J66" s="405"/>
      <c r="K66" s="441"/>
      <c r="L66" s="441"/>
      <c r="M66" s="441"/>
      <c r="N66" s="441"/>
      <c r="O66" s="441"/>
      <c r="P66" s="298">
        <v>0</v>
      </c>
      <c r="Q66" s="299">
        <v>0</v>
      </c>
      <c r="R66" s="297">
        <v>0</v>
      </c>
      <c r="S66" s="298">
        <v>0</v>
      </c>
      <c r="T66" s="298">
        <v>0</v>
      </c>
      <c r="U66" s="298">
        <v>0</v>
      </c>
      <c r="V66" s="299">
        <v>0</v>
      </c>
      <c r="W66" s="441"/>
      <c r="X66" s="406" t="s">
        <v>498</v>
      </c>
      <c r="Y66" s="405"/>
      <c r="Z66" s="441"/>
      <c r="AA66" s="441"/>
      <c r="AB66" s="441"/>
      <c r="AC66" s="441"/>
      <c r="AD66" s="441"/>
      <c r="AE66" s="298">
        <v>0</v>
      </c>
      <c r="AF66" s="299">
        <v>0</v>
      </c>
      <c r="AG66" s="297">
        <v>0</v>
      </c>
      <c r="AH66" s="298">
        <v>0</v>
      </c>
      <c r="AI66" s="298">
        <v>0</v>
      </c>
      <c r="AJ66" s="298">
        <v>0</v>
      </c>
      <c r="AK66" s="299">
        <v>0</v>
      </c>
      <c r="AL66" s="441"/>
      <c r="AM66" s="406" t="s">
        <v>2233</v>
      </c>
      <c r="AN66" s="405"/>
      <c r="AO66" s="441"/>
      <c r="AP66" s="441"/>
      <c r="AQ66" s="441"/>
      <c r="AR66" s="441"/>
      <c r="AS66" s="441"/>
      <c r="AT66" s="298">
        <v>0</v>
      </c>
      <c r="AU66" s="299">
        <v>0</v>
      </c>
      <c r="AV66" s="297">
        <v>0</v>
      </c>
      <c r="AW66" s="298">
        <v>0</v>
      </c>
      <c r="AX66" s="298">
        <v>0</v>
      </c>
      <c r="AY66" s="298">
        <v>0</v>
      </c>
      <c r="AZ66" s="299">
        <v>0</v>
      </c>
      <c r="BA66" s="441"/>
      <c r="BB66" s="211">
        <v>0</v>
      </c>
      <c r="BC66" s="211">
        <v>0</v>
      </c>
      <c r="BD66" s="408">
        <v>0</v>
      </c>
      <c r="BE66" s="408">
        <v>0</v>
      </c>
      <c r="BF66" s="408">
        <v>0</v>
      </c>
      <c r="BG66" s="409">
        <v>0</v>
      </c>
      <c r="BV66" s="458"/>
      <c r="BW66" s="458"/>
      <c r="BX66" s="458"/>
      <c r="BY66" s="458"/>
      <c r="BZ66" s="458"/>
      <c r="CA66" s="458"/>
    </row>
    <row r="67" spans="2:79" s="374" customFormat="1" ht="15" customHeight="1">
      <c r="B67" s="473"/>
      <c r="C67" s="825"/>
      <c r="D67" s="833" t="s">
        <v>85</v>
      </c>
      <c r="E67" s="825"/>
      <c r="F67" s="825"/>
      <c r="G67" s="447"/>
      <c r="H67" s="209"/>
      <c r="I67" s="406" t="s">
        <v>498</v>
      </c>
      <c r="J67" s="405"/>
      <c r="K67" s="441"/>
      <c r="L67" s="441"/>
      <c r="M67" s="441"/>
      <c r="N67" s="441"/>
      <c r="O67" s="441"/>
      <c r="P67" s="298">
        <v>0</v>
      </c>
      <c r="Q67" s="299">
        <v>0</v>
      </c>
      <c r="R67" s="297">
        <v>0</v>
      </c>
      <c r="S67" s="298">
        <v>0</v>
      </c>
      <c r="T67" s="298">
        <v>0</v>
      </c>
      <c r="U67" s="298">
        <v>0</v>
      </c>
      <c r="V67" s="299">
        <v>0</v>
      </c>
      <c r="W67" s="441"/>
      <c r="X67" s="406" t="s">
        <v>498</v>
      </c>
      <c r="Y67" s="405"/>
      <c r="Z67" s="441"/>
      <c r="AA67" s="441"/>
      <c r="AB67" s="441"/>
      <c r="AC67" s="441"/>
      <c r="AD67" s="441"/>
      <c r="AE67" s="298">
        <v>0</v>
      </c>
      <c r="AF67" s="299">
        <v>0</v>
      </c>
      <c r="AG67" s="297">
        <v>0</v>
      </c>
      <c r="AH67" s="298">
        <v>0</v>
      </c>
      <c r="AI67" s="298">
        <v>0</v>
      </c>
      <c r="AJ67" s="298">
        <v>0</v>
      </c>
      <c r="AK67" s="299">
        <v>0</v>
      </c>
      <c r="AL67" s="441"/>
      <c r="AM67" s="406" t="s">
        <v>2233</v>
      </c>
      <c r="AN67" s="405"/>
      <c r="AO67" s="441"/>
      <c r="AP67" s="441"/>
      <c r="AQ67" s="441"/>
      <c r="AR67" s="441"/>
      <c r="AS67" s="441"/>
      <c r="AT67" s="298">
        <v>0</v>
      </c>
      <c r="AU67" s="299">
        <v>0</v>
      </c>
      <c r="AV67" s="297">
        <v>0</v>
      </c>
      <c r="AW67" s="298">
        <v>0</v>
      </c>
      <c r="AX67" s="298">
        <v>0</v>
      </c>
      <c r="AY67" s="298">
        <v>0</v>
      </c>
      <c r="AZ67" s="299">
        <v>0</v>
      </c>
      <c r="BA67" s="441"/>
      <c r="BB67" s="211">
        <v>0</v>
      </c>
      <c r="BC67" s="211">
        <v>0</v>
      </c>
      <c r="BD67" s="408">
        <v>0</v>
      </c>
      <c r="BE67" s="408">
        <v>0</v>
      </c>
      <c r="BF67" s="408">
        <v>0</v>
      </c>
      <c r="BG67" s="409">
        <v>0</v>
      </c>
      <c r="BV67" s="458"/>
      <c r="BW67" s="458"/>
      <c r="BX67" s="458"/>
      <c r="BY67" s="458"/>
      <c r="BZ67" s="458"/>
      <c r="CA67" s="458"/>
    </row>
    <row r="68" spans="2:79" s="374" customFormat="1" ht="15" customHeight="1">
      <c r="B68" s="473"/>
      <c r="C68" s="825"/>
      <c r="D68" s="833" t="s">
        <v>85</v>
      </c>
      <c r="E68" s="825"/>
      <c r="F68" s="825"/>
      <c r="G68" s="447"/>
      <c r="H68" s="209"/>
      <c r="I68" s="406" t="s">
        <v>498</v>
      </c>
      <c r="J68" s="405"/>
      <c r="K68" s="441"/>
      <c r="L68" s="441"/>
      <c r="M68" s="441"/>
      <c r="N68" s="441"/>
      <c r="O68" s="441"/>
      <c r="P68" s="298">
        <v>0</v>
      </c>
      <c r="Q68" s="299">
        <v>0</v>
      </c>
      <c r="R68" s="297">
        <v>0</v>
      </c>
      <c r="S68" s="298">
        <v>0</v>
      </c>
      <c r="T68" s="298">
        <v>0</v>
      </c>
      <c r="U68" s="298">
        <v>0</v>
      </c>
      <c r="V68" s="299">
        <v>0</v>
      </c>
      <c r="W68" s="441"/>
      <c r="X68" s="406" t="s">
        <v>498</v>
      </c>
      <c r="Y68" s="405"/>
      <c r="Z68" s="441"/>
      <c r="AA68" s="441"/>
      <c r="AB68" s="441"/>
      <c r="AC68" s="441"/>
      <c r="AD68" s="441"/>
      <c r="AE68" s="298">
        <v>0</v>
      </c>
      <c r="AF68" s="299">
        <v>0</v>
      </c>
      <c r="AG68" s="297">
        <v>0</v>
      </c>
      <c r="AH68" s="298">
        <v>0</v>
      </c>
      <c r="AI68" s="298">
        <v>0</v>
      </c>
      <c r="AJ68" s="298">
        <v>0</v>
      </c>
      <c r="AK68" s="299">
        <v>0</v>
      </c>
      <c r="AL68" s="441"/>
      <c r="AM68" s="406" t="s">
        <v>2233</v>
      </c>
      <c r="AN68" s="405"/>
      <c r="AO68" s="441"/>
      <c r="AP68" s="441"/>
      <c r="AQ68" s="441"/>
      <c r="AR68" s="441"/>
      <c r="AS68" s="441"/>
      <c r="AT68" s="298">
        <v>0</v>
      </c>
      <c r="AU68" s="299">
        <v>0</v>
      </c>
      <c r="AV68" s="297">
        <v>0</v>
      </c>
      <c r="AW68" s="298">
        <v>0</v>
      </c>
      <c r="AX68" s="298">
        <v>0</v>
      </c>
      <c r="AY68" s="298">
        <v>0</v>
      </c>
      <c r="AZ68" s="299">
        <v>0</v>
      </c>
      <c r="BA68" s="441"/>
      <c r="BB68" s="211">
        <v>0</v>
      </c>
      <c r="BC68" s="211">
        <v>0</v>
      </c>
      <c r="BD68" s="408">
        <v>0</v>
      </c>
      <c r="BE68" s="408">
        <v>0</v>
      </c>
      <c r="BF68" s="408">
        <v>0</v>
      </c>
      <c r="BG68" s="409">
        <v>0</v>
      </c>
      <c r="BV68" s="458"/>
      <c r="BW68" s="458"/>
      <c r="BX68" s="458"/>
      <c r="BY68" s="458"/>
      <c r="BZ68" s="458"/>
      <c r="CA68" s="458"/>
    </row>
    <row r="69" spans="2:79" s="374" customFormat="1" ht="15" customHeight="1">
      <c r="B69" s="473"/>
      <c r="C69" s="825"/>
      <c r="D69" s="833" t="s">
        <v>85</v>
      </c>
      <c r="E69" s="825"/>
      <c r="F69" s="825"/>
      <c r="G69" s="447"/>
      <c r="H69" s="209"/>
      <c r="I69" s="406" t="s">
        <v>498</v>
      </c>
      <c r="J69" s="405"/>
      <c r="K69" s="441"/>
      <c r="L69" s="441"/>
      <c r="M69" s="441"/>
      <c r="N69" s="441"/>
      <c r="O69" s="441"/>
      <c r="P69" s="298">
        <v>0</v>
      </c>
      <c r="Q69" s="299">
        <v>0</v>
      </c>
      <c r="R69" s="297">
        <v>0</v>
      </c>
      <c r="S69" s="298">
        <v>0</v>
      </c>
      <c r="T69" s="298">
        <v>0</v>
      </c>
      <c r="U69" s="298">
        <v>0</v>
      </c>
      <c r="V69" s="299">
        <v>0</v>
      </c>
      <c r="W69" s="441"/>
      <c r="X69" s="406" t="s">
        <v>498</v>
      </c>
      <c r="Y69" s="405"/>
      <c r="Z69" s="441"/>
      <c r="AA69" s="441"/>
      <c r="AB69" s="441"/>
      <c r="AC69" s="441"/>
      <c r="AD69" s="441"/>
      <c r="AE69" s="298">
        <v>0</v>
      </c>
      <c r="AF69" s="299">
        <v>0</v>
      </c>
      <c r="AG69" s="297">
        <v>0</v>
      </c>
      <c r="AH69" s="298">
        <v>0</v>
      </c>
      <c r="AI69" s="298">
        <v>0</v>
      </c>
      <c r="AJ69" s="298">
        <v>0</v>
      </c>
      <c r="AK69" s="299">
        <v>0</v>
      </c>
      <c r="AL69" s="441"/>
      <c r="AM69" s="406" t="s">
        <v>2233</v>
      </c>
      <c r="AN69" s="405"/>
      <c r="AO69" s="441"/>
      <c r="AP69" s="441"/>
      <c r="AQ69" s="441"/>
      <c r="AR69" s="441"/>
      <c r="AS69" s="441"/>
      <c r="AT69" s="298">
        <v>0</v>
      </c>
      <c r="AU69" s="299">
        <v>0</v>
      </c>
      <c r="AV69" s="297">
        <v>0</v>
      </c>
      <c r="AW69" s="298">
        <v>0</v>
      </c>
      <c r="AX69" s="298">
        <v>0</v>
      </c>
      <c r="AY69" s="298">
        <v>0</v>
      </c>
      <c r="AZ69" s="299">
        <v>0</v>
      </c>
      <c r="BA69" s="441"/>
      <c r="BB69" s="211">
        <v>0</v>
      </c>
      <c r="BC69" s="211">
        <v>0</v>
      </c>
      <c r="BD69" s="408">
        <v>0</v>
      </c>
      <c r="BE69" s="408">
        <v>0</v>
      </c>
      <c r="BF69" s="408">
        <v>0</v>
      </c>
      <c r="BG69" s="409">
        <v>0</v>
      </c>
      <c r="BV69" s="458"/>
      <c r="BW69" s="458"/>
      <c r="BX69" s="458"/>
      <c r="BY69" s="458"/>
      <c r="BZ69" s="458"/>
      <c r="CA69" s="458"/>
    </row>
    <row r="70" spans="2:79" s="374" customFormat="1" ht="15" customHeight="1">
      <c r="B70" s="473"/>
      <c r="C70" s="825"/>
      <c r="D70" s="833" t="s">
        <v>85</v>
      </c>
      <c r="E70" s="825"/>
      <c r="F70" s="825"/>
      <c r="G70" s="447"/>
      <c r="H70" s="209"/>
      <c r="I70" s="406" t="s">
        <v>498</v>
      </c>
      <c r="J70" s="405"/>
      <c r="K70" s="441"/>
      <c r="L70" s="441"/>
      <c r="M70" s="441"/>
      <c r="N70" s="441"/>
      <c r="O70" s="441"/>
      <c r="P70" s="298">
        <v>0</v>
      </c>
      <c r="Q70" s="299">
        <v>0</v>
      </c>
      <c r="R70" s="297">
        <v>0</v>
      </c>
      <c r="S70" s="298">
        <v>0</v>
      </c>
      <c r="T70" s="298">
        <v>0</v>
      </c>
      <c r="U70" s="298">
        <v>0</v>
      </c>
      <c r="V70" s="299">
        <v>0</v>
      </c>
      <c r="W70" s="441"/>
      <c r="X70" s="406" t="s">
        <v>498</v>
      </c>
      <c r="Y70" s="405"/>
      <c r="Z70" s="441"/>
      <c r="AA70" s="441"/>
      <c r="AB70" s="441"/>
      <c r="AC70" s="441"/>
      <c r="AD70" s="441"/>
      <c r="AE70" s="298">
        <v>0</v>
      </c>
      <c r="AF70" s="299">
        <v>0</v>
      </c>
      <c r="AG70" s="297">
        <v>0</v>
      </c>
      <c r="AH70" s="298">
        <v>0</v>
      </c>
      <c r="AI70" s="298">
        <v>0</v>
      </c>
      <c r="AJ70" s="298">
        <v>0</v>
      </c>
      <c r="AK70" s="299">
        <v>0</v>
      </c>
      <c r="AL70" s="441"/>
      <c r="AM70" s="406" t="s">
        <v>2233</v>
      </c>
      <c r="AN70" s="405"/>
      <c r="AO70" s="441"/>
      <c r="AP70" s="441"/>
      <c r="AQ70" s="441"/>
      <c r="AR70" s="441"/>
      <c r="AS70" s="441"/>
      <c r="AT70" s="298">
        <v>0</v>
      </c>
      <c r="AU70" s="299">
        <v>0</v>
      </c>
      <c r="AV70" s="297">
        <v>0</v>
      </c>
      <c r="AW70" s="298">
        <v>0</v>
      </c>
      <c r="AX70" s="298">
        <v>0</v>
      </c>
      <c r="AY70" s="298">
        <v>0</v>
      </c>
      <c r="AZ70" s="299">
        <v>0</v>
      </c>
      <c r="BA70" s="441"/>
      <c r="BB70" s="211">
        <v>0</v>
      </c>
      <c r="BC70" s="211">
        <v>0</v>
      </c>
      <c r="BD70" s="408">
        <v>0</v>
      </c>
      <c r="BE70" s="408">
        <v>0</v>
      </c>
      <c r="BF70" s="408">
        <v>0</v>
      </c>
      <c r="BG70" s="409">
        <v>0</v>
      </c>
      <c r="BV70" s="458"/>
      <c r="BW70" s="458"/>
      <c r="BX70" s="458"/>
      <c r="BY70" s="458"/>
      <c r="BZ70" s="458"/>
      <c r="CA70" s="458"/>
    </row>
    <row r="71" spans="2:79" s="374" customFormat="1" ht="15" customHeight="1">
      <c r="B71" s="473"/>
      <c r="C71" s="825"/>
      <c r="D71" s="833" t="s">
        <v>85</v>
      </c>
      <c r="E71" s="825"/>
      <c r="F71" s="825"/>
      <c r="G71" s="447"/>
      <c r="H71" s="209"/>
      <c r="I71" s="406" t="s">
        <v>498</v>
      </c>
      <c r="J71" s="405"/>
      <c r="K71" s="441"/>
      <c r="L71" s="441"/>
      <c r="M71" s="441"/>
      <c r="N71" s="441"/>
      <c r="O71" s="441"/>
      <c r="P71" s="298">
        <v>0</v>
      </c>
      <c r="Q71" s="299">
        <v>0</v>
      </c>
      <c r="R71" s="297">
        <v>0</v>
      </c>
      <c r="S71" s="298">
        <v>0</v>
      </c>
      <c r="T71" s="298">
        <v>0</v>
      </c>
      <c r="U71" s="298">
        <v>0</v>
      </c>
      <c r="V71" s="299">
        <v>0</v>
      </c>
      <c r="W71" s="441"/>
      <c r="X71" s="406" t="s">
        <v>498</v>
      </c>
      <c r="Y71" s="405"/>
      <c r="Z71" s="441"/>
      <c r="AA71" s="441"/>
      <c r="AB71" s="441"/>
      <c r="AC71" s="441"/>
      <c r="AD71" s="441"/>
      <c r="AE71" s="298">
        <v>0</v>
      </c>
      <c r="AF71" s="299">
        <v>0</v>
      </c>
      <c r="AG71" s="297">
        <v>0</v>
      </c>
      <c r="AH71" s="298">
        <v>0</v>
      </c>
      <c r="AI71" s="298">
        <v>0</v>
      </c>
      <c r="AJ71" s="298">
        <v>0</v>
      </c>
      <c r="AK71" s="299">
        <v>0</v>
      </c>
      <c r="AL71" s="441"/>
      <c r="AM71" s="406" t="s">
        <v>2233</v>
      </c>
      <c r="AN71" s="405"/>
      <c r="AO71" s="441"/>
      <c r="AP71" s="441"/>
      <c r="AQ71" s="441"/>
      <c r="AR71" s="441"/>
      <c r="AS71" s="441"/>
      <c r="AT71" s="298">
        <v>0</v>
      </c>
      <c r="AU71" s="299">
        <v>0</v>
      </c>
      <c r="AV71" s="297">
        <v>0</v>
      </c>
      <c r="AW71" s="298">
        <v>0</v>
      </c>
      <c r="AX71" s="298">
        <v>0</v>
      </c>
      <c r="AY71" s="298">
        <v>0</v>
      </c>
      <c r="AZ71" s="299">
        <v>0</v>
      </c>
      <c r="BA71" s="441"/>
      <c r="BB71" s="211">
        <v>0</v>
      </c>
      <c r="BC71" s="211">
        <v>0</v>
      </c>
      <c r="BD71" s="408">
        <v>0</v>
      </c>
      <c r="BE71" s="408">
        <v>0</v>
      </c>
      <c r="BF71" s="408">
        <v>0</v>
      </c>
      <c r="BG71" s="409">
        <v>0</v>
      </c>
      <c r="BV71" s="458"/>
      <c r="BW71" s="458"/>
      <c r="BX71" s="458"/>
      <c r="BY71" s="458"/>
      <c r="BZ71" s="458"/>
      <c r="CA71" s="458"/>
    </row>
    <row r="72" spans="2:79" s="374" customFormat="1" ht="15" customHeight="1">
      <c r="B72" s="473"/>
      <c r="C72" s="825"/>
      <c r="D72" s="833" t="s">
        <v>85</v>
      </c>
      <c r="E72" s="825"/>
      <c r="F72" s="825"/>
      <c r="G72" s="447"/>
      <c r="H72" s="209"/>
      <c r="I72" s="406" t="s">
        <v>498</v>
      </c>
      <c r="J72" s="405"/>
      <c r="K72" s="441"/>
      <c r="L72" s="441"/>
      <c r="M72" s="441"/>
      <c r="N72" s="441"/>
      <c r="O72" s="441"/>
      <c r="P72" s="298">
        <v>0</v>
      </c>
      <c r="Q72" s="299">
        <v>0</v>
      </c>
      <c r="R72" s="297">
        <v>0</v>
      </c>
      <c r="S72" s="298">
        <v>0</v>
      </c>
      <c r="T72" s="298">
        <v>0</v>
      </c>
      <c r="U72" s="298">
        <v>0</v>
      </c>
      <c r="V72" s="299">
        <v>0</v>
      </c>
      <c r="W72" s="441"/>
      <c r="X72" s="406" t="s">
        <v>498</v>
      </c>
      <c r="Y72" s="405"/>
      <c r="Z72" s="441"/>
      <c r="AA72" s="441"/>
      <c r="AB72" s="441"/>
      <c r="AC72" s="441"/>
      <c r="AD72" s="441"/>
      <c r="AE72" s="298">
        <v>0</v>
      </c>
      <c r="AF72" s="299">
        <v>0</v>
      </c>
      <c r="AG72" s="297">
        <v>0</v>
      </c>
      <c r="AH72" s="298">
        <v>0</v>
      </c>
      <c r="AI72" s="298">
        <v>0</v>
      </c>
      <c r="AJ72" s="298">
        <v>0</v>
      </c>
      <c r="AK72" s="299">
        <v>0</v>
      </c>
      <c r="AL72" s="441"/>
      <c r="AM72" s="406" t="s">
        <v>2233</v>
      </c>
      <c r="AN72" s="405"/>
      <c r="AO72" s="441"/>
      <c r="AP72" s="441"/>
      <c r="AQ72" s="441"/>
      <c r="AR72" s="441"/>
      <c r="AS72" s="441"/>
      <c r="AT72" s="298">
        <v>0</v>
      </c>
      <c r="AU72" s="299">
        <v>0</v>
      </c>
      <c r="AV72" s="297">
        <v>0</v>
      </c>
      <c r="AW72" s="298">
        <v>0</v>
      </c>
      <c r="AX72" s="298">
        <v>0</v>
      </c>
      <c r="AY72" s="298">
        <v>0</v>
      </c>
      <c r="AZ72" s="299">
        <v>0</v>
      </c>
      <c r="BA72" s="441"/>
      <c r="BB72" s="211">
        <v>0</v>
      </c>
      <c r="BC72" s="211">
        <v>0</v>
      </c>
      <c r="BD72" s="408">
        <v>0</v>
      </c>
      <c r="BE72" s="408">
        <v>0</v>
      </c>
      <c r="BF72" s="408">
        <v>0</v>
      </c>
      <c r="BG72" s="409">
        <v>0</v>
      </c>
      <c r="BV72" s="458"/>
      <c r="BW72" s="458"/>
      <c r="BX72" s="458"/>
      <c r="BY72" s="458"/>
      <c r="BZ72" s="458"/>
      <c r="CA72" s="458"/>
    </row>
    <row r="73" spans="2:79" s="374" customFormat="1" ht="15" customHeight="1">
      <c r="B73" s="473"/>
      <c r="C73" s="825"/>
      <c r="D73" s="833" t="s">
        <v>85</v>
      </c>
      <c r="E73" s="825"/>
      <c r="F73" s="825"/>
      <c r="G73" s="447"/>
      <c r="H73" s="209"/>
      <c r="I73" s="406" t="s">
        <v>498</v>
      </c>
      <c r="J73" s="405"/>
      <c r="K73" s="441"/>
      <c r="L73" s="441"/>
      <c r="M73" s="441"/>
      <c r="N73" s="441"/>
      <c r="O73" s="441"/>
      <c r="P73" s="298">
        <v>0</v>
      </c>
      <c r="Q73" s="299">
        <v>0</v>
      </c>
      <c r="R73" s="297">
        <v>0</v>
      </c>
      <c r="S73" s="298">
        <v>0</v>
      </c>
      <c r="T73" s="298">
        <v>0</v>
      </c>
      <c r="U73" s="298">
        <v>0</v>
      </c>
      <c r="V73" s="299">
        <v>0</v>
      </c>
      <c r="W73" s="441"/>
      <c r="X73" s="406" t="s">
        <v>498</v>
      </c>
      <c r="Y73" s="405"/>
      <c r="Z73" s="441"/>
      <c r="AA73" s="441"/>
      <c r="AB73" s="441"/>
      <c r="AC73" s="441"/>
      <c r="AD73" s="441"/>
      <c r="AE73" s="298">
        <v>0</v>
      </c>
      <c r="AF73" s="299">
        <v>0</v>
      </c>
      <c r="AG73" s="297">
        <v>0</v>
      </c>
      <c r="AH73" s="298">
        <v>0</v>
      </c>
      <c r="AI73" s="298">
        <v>0</v>
      </c>
      <c r="AJ73" s="298">
        <v>0</v>
      </c>
      <c r="AK73" s="299">
        <v>0</v>
      </c>
      <c r="AL73" s="441"/>
      <c r="AM73" s="406" t="s">
        <v>2233</v>
      </c>
      <c r="AN73" s="405"/>
      <c r="AO73" s="441"/>
      <c r="AP73" s="441"/>
      <c r="AQ73" s="441"/>
      <c r="AR73" s="441"/>
      <c r="AS73" s="441"/>
      <c r="AT73" s="298">
        <v>0</v>
      </c>
      <c r="AU73" s="299">
        <v>0</v>
      </c>
      <c r="AV73" s="297">
        <v>0</v>
      </c>
      <c r="AW73" s="298">
        <v>0</v>
      </c>
      <c r="AX73" s="298">
        <v>0</v>
      </c>
      <c r="AY73" s="298">
        <v>0</v>
      </c>
      <c r="AZ73" s="299">
        <v>0</v>
      </c>
      <c r="BA73" s="441"/>
      <c r="BB73" s="211">
        <v>0</v>
      </c>
      <c r="BC73" s="211">
        <v>0</v>
      </c>
      <c r="BD73" s="408">
        <v>0</v>
      </c>
      <c r="BE73" s="408">
        <v>0</v>
      </c>
      <c r="BF73" s="408">
        <v>0</v>
      </c>
      <c r="BG73" s="409">
        <v>0</v>
      </c>
      <c r="BV73" s="458"/>
      <c r="BW73" s="458"/>
      <c r="BX73" s="458"/>
      <c r="BY73" s="458"/>
      <c r="BZ73" s="458"/>
      <c r="CA73" s="458"/>
    </row>
    <row r="74" spans="2:79" s="374" customFormat="1" ht="15" customHeight="1">
      <c r="B74" s="473"/>
      <c r="C74" s="825"/>
      <c r="D74" s="833" t="s">
        <v>85</v>
      </c>
      <c r="E74" s="825"/>
      <c r="F74" s="825"/>
      <c r="G74" s="447"/>
      <c r="H74" s="209"/>
      <c r="I74" s="406" t="s">
        <v>498</v>
      </c>
      <c r="J74" s="405"/>
      <c r="K74" s="441"/>
      <c r="L74" s="441"/>
      <c r="M74" s="441"/>
      <c r="N74" s="441"/>
      <c r="O74" s="441"/>
      <c r="P74" s="298">
        <v>0</v>
      </c>
      <c r="Q74" s="299">
        <v>0</v>
      </c>
      <c r="R74" s="297">
        <v>0</v>
      </c>
      <c r="S74" s="298">
        <v>0</v>
      </c>
      <c r="T74" s="298">
        <v>0</v>
      </c>
      <c r="U74" s="298">
        <v>0</v>
      </c>
      <c r="V74" s="299">
        <v>0</v>
      </c>
      <c r="W74" s="441"/>
      <c r="X74" s="406" t="s">
        <v>498</v>
      </c>
      <c r="Y74" s="405"/>
      <c r="Z74" s="441"/>
      <c r="AA74" s="441"/>
      <c r="AB74" s="441"/>
      <c r="AC74" s="441"/>
      <c r="AD74" s="441"/>
      <c r="AE74" s="298">
        <v>0</v>
      </c>
      <c r="AF74" s="299">
        <v>0</v>
      </c>
      <c r="AG74" s="297">
        <v>0</v>
      </c>
      <c r="AH74" s="298">
        <v>0</v>
      </c>
      <c r="AI74" s="298">
        <v>0</v>
      </c>
      <c r="AJ74" s="298">
        <v>0</v>
      </c>
      <c r="AK74" s="299">
        <v>0</v>
      </c>
      <c r="AL74" s="441"/>
      <c r="AM74" s="406" t="s">
        <v>2233</v>
      </c>
      <c r="AN74" s="405"/>
      <c r="AO74" s="441"/>
      <c r="AP74" s="441"/>
      <c r="AQ74" s="441"/>
      <c r="AR74" s="441"/>
      <c r="AS74" s="441"/>
      <c r="AT74" s="298">
        <v>0</v>
      </c>
      <c r="AU74" s="299">
        <v>0</v>
      </c>
      <c r="AV74" s="297">
        <v>0</v>
      </c>
      <c r="AW74" s="298">
        <v>0</v>
      </c>
      <c r="AX74" s="298">
        <v>0</v>
      </c>
      <c r="AY74" s="298">
        <v>0</v>
      </c>
      <c r="AZ74" s="299">
        <v>0</v>
      </c>
      <c r="BA74" s="441"/>
      <c r="BB74" s="211">
        <v>0</v>
      </c>
      <c r="BC74" s="211">
        <v>0</v>
      </c>
      <c r="BD74" s="408">
        <v>0</v>
      </c>
      <c r="BE74" s="408">
        <v>0</v>
      </c>
      <c r="BF74" s="408">
        <v>0</v>
      </c>
      <c r="BG74" s="409">
        <v>0</v>
      </c>
      <c r="BV74" s="458"/>
      <c r="BW74" s="458"/>
      <c r="BX74" s="458"/>
      <c r="BY74" s="458"/>
      <c r="BZ74" s="458"/>
      <c r="CA74" s="458"/>
    </row>
    <row r="75" spans="2:79" s="374" customFormat="1" ht="15" customHeight="1">
      <c r="B75" s="473"/>
      <c r="C75" s="825"/>
      <c r="D75" s="833" t="s">
        <v>85</v>
      </c>
      <c r="E75" s="825"/>
      <c r="F75" s="825"/>
      <c r="G75" s="447"/>
      <c r="H75" s="209"/>
      <c r="I75" s="406" t="s">
        <v>498</v>
      </c>
      <c r="J75" s="405"/>
      <c r="K75" s="441"/>
      <c r="L75" s="441"/>
      <c r="M75" s="441"/>
      <c r="N75" s="441"/>
      <c r="O75" s="441"/>
      <c r="P75" s="298">
        <v>0</v>
      </c>
      <c r="Q75" s="299">
        <v>0</v>
      </c>
      <c r="R75" s="297">
        <v>0</v>
      </c>
      <c r="S75" s="298">
        <v>0</v>
      </c>
      <c r="T75" s="298">
        <v>0</v>
      </c>
      <c r="U75" s="298">
        <v>0</v>
      </c>
      <c r="V75" s="299">
        <v>0</v>
      </c>
      <c r="W75" s="441"/>
      <c r="X75" s="406" t="s">
        <v>498</v>
      </c>
      <c r="Y75" s="405"/>
      <c r="Z75" s="441"/>
      <c r="AA75" s="441"/>
      <c r="AB75" s="441"/>
      <c r="AC75" s="441"/>
      <c r="AD75" s="441"/>
      <c r="AE75" s="298">
        <v>0</v>
      </c>
      <c r="AF75" s="299">
        <v>0</v>
      </c>
      <c r="AG75" s="297">
        <v>0</v>
      </c>
      <c r="AH75" s="298">
        <v>0</v>
      </c>
      <c r="AI75" s="298">
        <v>0</v>
      </c>
      <c r="AJ75" s="298">
        <v>0</v>
      </c>
      <c r="AK75" s="299">
        <v>0</v>
      </c>
      <c r="AL75" s="441"/>
      <c r="AM75" s="406" t="s">
        <v>2233</v>
      </c>
      <c r="AN75" s="405"/>
      <c r="AO75" s="441"/>
      <c r="AP75" s="441"/>
      <c r="AQ75" s="441"/>
      <c r="AR75" s="441"/>
      <c r="AS75" s="441"/>
      <c r="AT75" s="298">
        <v>0</v>
      </c>
      <c r="AU75" s="299">
        <v>0</v>
      </c>
      <c r="AV75" s="297">
        <v>0</v>
      </c>
      <c r="AW75" s="298">
        <v>0</v>
      </c>
      <c r="AX75" s="298">
        <v>0</v>
      </c>
      <c r="AY75" s="298">
        <v>0</v>
      </c>
      <c r="AZ75" s="299">
        <v>0</v>
      </c>
      <c r="BA75" s="441"/>
      <c r="BB75" s="211">
        <v>0</v>
      </c>
      <c r="BC75" s="211">
        <v>0</v>
      </c>
      <c r="BD75" s="408">
        <v>0</v>
      </c>
      <c r="BE75" s="408">
        <v>0</v>
      </c>
      <c r="BF75" s="408">
        <v>0</v>
      </c>
      <c r="BG75" s="409">
        <v>0</v>
      </c>
      <c r="BV75" s="458"/>
      <c r="BW75" s="458"/>
      <c r="BX75" s="458"/>
      <c r="BY75" s="458"/>
      <c r="BZ75" s="458"/>
      <c r="CA75" s="458"/>
    </row>
    <row r="76" spans="2:79" s="374" customFormat="1" ht="15" customHeight="1">
      <c r="B76" s="473"/>
      <c r="C76" s="825"/>
      <c r="D76" s="833" t="s">
        <v>85</v>
      </c>
      <c r="E76" s="825"/>
      <c r="F76" s="825"/>
      <c r="G76" s="447"/>
      <c r="H76" s="209"/>
      <c r="I76" s="406" t="s">
        <v>498</v>
      </c>
      <c r="J76" s="405"/>
      <c r="K76" s="441"/>
      <c r="L76" s="441"/>
      <c r="M76" s="441"/>
      <c r="N76" s="441"/>
      <c r="O76" s="441"/>
      <c r="P76" s="298">
        <v>0</v>
      </c>
      <c r="Q76" s="299">
        <v>0</v>
      </c>
      <c r="R76" s="297">
        <v>0</v>
      </c>
      <c r="S76" s="298">
        <v>0</v>
      </c>
      <c r="T76" s="298">
        <v>0</v>
      </c>
      <c r="U76" s="298">
        <v>0</v>
      </c>
      <c r="V76" s="299">
        <v>0</v>
      </c>
      <c r="W76" s="441"/>
      <c r="X76" s="406" t="s">
        <v>498</v>
      </c>
      <c r="Y76" s="405"/>
      <c r="Z76" s="441"/>
      <c r="AA76" s="441"/>
      <c r="AB76" s="441"/>
      <c r="AC76" s="441"/>
      <c r="AD76" s="441"/>
      <c r="AE76" s="298">
        <v>0</v>
      </c>
      <c r="AF76" s="299">
        <v>0</v>
      </c>
      <c r="AG76" s="297">
        <v>0</v>
      </c>
      <c r="AH76" s="298">
        <v>0</v>
      </c>
      <c r="AI76" s="298">
        <v>0</v>
      </c>
      <c r="AJ76" s="298">
        <v>0</v>
      </c>
      <c r="AK76" s="299">
        <v>0</v>
      </c>
      <c r="AL76" s="441"/>
      <c r="AM76" s="406" t="s">
        <v>2233</v>
      </c>
      <c r="AN76" s="405"/>
      <c r="AO76" s="441"/>
      <c r="AP76" s="441"/>
      <c r="AQ76" s="441"/>
      <c r="AR76" s="441"/>
      <c r="AS76" s="441"/>
      <c r="AT76" s="298">
        <v>0</v>
      </c>
      <c r="AU76" s="299">
        <v>0</v>
      </c>
      <c r="AV76" s="297">
        <v>0</v>
      </c>
      <c r="AW76" s="298">
        <v>0</v>
      </c>
      <c r="AX76" s="298">
        <v>0</v>
      </c>
      <c r="AY76" s="298">
        <v>0</v>
      </c>
      <c r="AZ76" s="299">
        <v>0</v>
      </c>
      <c r="BA76" s="441"/>
      <c r="BB76" s="211">
        <v>0</v>
      </c>
      <c r="BC76" s="211">
        <v>0</v>
      </c>
      <c r="BD76" s="408">
        <v>0</v>
      </c>
      <c r="BE76" s="408">
        <v>0</v>
      </c>
      <c r="BF76" s="408">
        <v>0</v>
      </c>
      <c r="BG76" s="409">
        <v>0</v>
      </c>
      <c r="BV76" s="458"/>
      <c r="BW76" s="458"/>
      <c r="BX76" s="458"/>
      <c r="BY76" s="458"/>
      <c r="BZ76" s="458"/>
      <c r="CA76" s="458"/>
    </row>
    <row r="77" spans="2:79" s="374" customFormat="1" ht="15" customHeight="1">
      <c r="B77" s="473"/>
      <c r="C77" s="825"/>
      <c r="D77" s="833" t="s">
        <v>85</v>
      </c>
      <c r="E77" s="825"/>
      <c r="F77" s="825"/>
      <c r="G77" s="447"/>
      <c r="H77" s="209"/>
      <c r="I77" s="406" t="s">
        <v>498</v>
      </c>
      <c r="J77" s="405"/>
      <c r="K77" s="441"/>
      <c r="L77" s="441"/>
      <c r="M77" s="441"/>
      <c r="N77" s="441"/>
      <c r="O77" s="441"/>
      <c r="P77" s="298">
        <v>0</v>
      </c>
      <c r="Q77" s="299">
        <v>0</v>
      </c>
      <c r="R77" s="297">
        <v>0</v>
      </c>
      <c r="S77" s="298">
        <v>0</v>
      </c>
      <c r="T77" s="298">
        <v>0</v>
      </c>
      <c r="U77" s="298">
        <v>0</v>
      </c>
      <c r="V77" s="299">
        <v>0</v>
      </c>
      <c r="W77" s="441"/>
      <c r="X77" s="406" t="s">
        <v>498</v>
      </c>
      <c r="Y77" s="405"/>
      <c r="Z77" s="441"/>
      <c r="AA77" s="441"/>
      <c r="AB77" s="441"/>
      <c r="AC77" s="441"/>
      <c r="AD77" s="441"/>
      <c r="AE77" s="298">
        <v>0</v>
      </c>
      <c r="AF77" s="299">
        <v>0</v>
      </c>
      <c r="AG77" s="297">
        <v>0</v>
      </c>
      <c r="AH77" s="298">
        <v>0</v>
      </c>
      <c r="AI77" s="298">
        <v>0</v>
      </c>
      <c r="AJ77" s="298">
        <v>0</v>
      </c>
      <c r="AK77" s="299">
        <v>0</v>
      </c>
      <c r="AL77" s="441"/>
      <c r="AM77" s="406" t="s">
        <v>2233</v>
      </c>
      <c r="AN77" s="405"/>
      <c r="AO77" s="441"/>
      <c r="AP77" s="441"/>
      <c r="AQ77" s="441"/>
      <c r="AR77" s="441"/>
      <c r="AS77" s="441"/>
      <c r="AT77" s="298">
        <v>0</v>
      </c>
      <c r="AU77" s="299">
        <v>0</v>
      </c>
      <c r="AV77" s="297">
        <v>0</v>
      </c>
      <c r="AW77" s="298">
        <v>0</v>
      </c>
      <c r="AX77" s="298">
        <v>0</v>
      </c>
      <c r="AY77" s="298">
        <v>0</v>
      </c>
      <c r="AZ77" s="299">
        <v>0</v>
      </c>
      <c r="BA77" s="441"/>
      <c r="BB77" s="211">
        <v>0</v>
      </c>
      <c r="BC77" s="211">
        <v>0</v>
      </c>
      <c r="BD77" s="408">
        <v>0</v>
      </c>
      <c r="BE77" s="408">
        <v>0</v>
      </c>
      <c r="BF77" s="408">
        <v>0</v>
      </c>
      <c r="BG77" s="409">
        <v>0</v>
      </c>
      <c r="BV77" s="458"/>
      <c r="BW77" s="458"/>
      <c r="BX77" s="458"/>
      <c r="BY77" s="458"/>
      <c r="BZ77" s="458"/>
      <c r="CA77" s="458"/>
    </row>
    <row r="78" spans="2:79" s="374" customFormat="1" ht="15" customHeight="1">
      <c r="B78" s="473"/>
      <c r="C78" s="825"/>
      <c r="D78" s="833" t="s">
        <v>85</v>
      </c>
      <c r="E78" s="825"/>
      <c r="F78" s="825"/>
      <c r="G78" s="447"/>
      <c r="H78" s="209"/>
      <c r="I78" s="406" t="s">
        <v>498</v>
      </c>
      <c r="J78" s="405"/>
      <c r="K78" s="441"/>
      <c r="L78" s="441"/>
      <c r="M78" s="441"/>
      <c r="N78" s="441"/>
      <c r="O78" s="441"/>
      <c r="P78" s="298">
        <v>0</v>
      </c>
      <c r="Q78" s="299">
        <v>0</v>
      </c>
      <c r="R78" s="297">
        <v>0</v>
      </c>
      <c r="S78" s="298">
        <v>0</v>
      </c>
      <c r="T78" s="298">
        <v>0</v>
      </c>
      <c r="U78" s="298">
        <v>0</v>
      </c>
      <c r="V78" s="299">
        <v>0</v>
      </c>
      <c r="W78" s="441"/>
      <c r="X78" s="406" t="s">
        <v>498</v>
      </c>
      <c r="Y78" s="405"/>
      <c r="Z78" s="441"/>
      <c r="AA78" s="441"/>
      <c r="AB78" s="441"/>
      <c r="AC78" s="441"/>
      <c r="AD78" s="441"/>
      <c r="AE78" s="298">
        <v>0</v>
      </c>
      <c r="AF78" s="299">
        <v>0</v>
      </c>
      <c r="AG78" s="297">
        <v>0</v>
      </c>
      <c r="AH78" s="298">
        <v>0</v>
      </c>
      <c r="AI78" s="298">
        <v>0</v>
      </c>
      <c r="AJ78" s="298">
        <v>0</v>
      </c>
      <c r="AK78" s="299">
        <v>0</v>
      </c>
      <c r="AL78" s="441"/>
      <c r="AM78" s="406" t="s">
        <v>2233</v>
      </c>
      <c r="AN78" s="405"/>
      <c r="AO78" s="441"/>
      <c r="AP78" s="441"/>
      <c r="AQ78" s="441"/>
      <c r="AR78" s="441"/>
      <c r="AS78" s="441"/>
      <c r="AT78" s="298">
        <v>0</v>
      </c>
      <c r="AU78" s="299">
        <v>0</v>
      </c>
      <c r="AV78" s="297">
        <v>0</v>
      </c>
      <c r="AW78" s="298">
        <v>0</v>
      </c>
      <c r="AX78" s="298">
        <v>0</v>
      </c>
      <c r="AY78" s="298">
        <v>0</v>
      </c>
      <c r="AZ78" s="299">
        <v>0</v>
      </c>
      <c r="BA78" s="441"/>
      <c r="BB78" s="211">
        <v>0</v>
      </c>
      <c r="BC78" s="211">
        <v>0</v>
      </c>
      <c r="BD78" s="408">
        <v>0</v>
      </c>
      <c r="BE78" s="408">
        <v>0</v>
      </c>
      <c r="BF78" s="408">
        <v>0</v>
      </c>
      <c r="BG78" s="409">
        <v>0</v>
      </c>
      <c r="BV78" s="458"/>
      <c r="BW78" s="458"/>
      <c r="BX78" s="458"/>
      <c r="BY78" s="458"/>
      <c r="BZ78" s="458"/>
      <c r="CA78" s="458"/>
    </row>
    <row r="79" spans="2:79" s="374" customFormat="1" ht="15" customHeight="1">
      <c r="B79" s="473"/>
      <c r="C79" s="825"/>
      <c r="D79" s="833" t="s">
        <v>85</v>
      </c>
      <c r="E79" s="825"/>
      <c r="F79" s="825"/>
      <c r="G79" s="447"/>
      <c r="H79" s="209"/>
      <c r="I79" s="406" t="s">
        <v>498</v>
      </c>
      <c r="J79" s="405"/>
      <c r="K79" s="441"/>
      <c r="L79" s="441"/>
      <c r="M79" s="441"/>
      <c r="N79" s="441"/>
      <c r="O79" s="441"/>
      <c r="P79" s="298">
        <v>0</v>
      </c>
      <c r="Q79" s="299">
        <v>0</v>
      </c>
      <c r="R79" s="297">
        <v>0</v>
      </c>
      <c r="S79" s="298">
        <v>0</v>
      </c>
      <c r="T79" s="298">
        <v>0</v>
      </c>
      <c r="U79" s="298">
        <v>0</v>
      </c>
      <c r="V79" s="299">
        <v>0</v>
      </c>
      <c r="W79" s="441"/>
      <c r="X79" s="406" t="s">
        <v>498</v>
      </c>
      <c r="Y79" s="405"/>
      <c r="Z79" s="441"/>
      <c r="AA79" s="441"/>
      <c r="AB79" s="441"/>
      <c r="AC79" s="441"/>
      <c r="AD79" s="441"/>
      <c r="AE79" s="298">
        <v>0</v>
      </c>
      <c r="AF79" s="299">
        <v>0</v>
      </c>
      <c r="AG79" s="297">
        <v>0</v>
      </c>
      <c r="AH79" s="298">
        <v>0</v>
      </c>
      <c r="AI79" s="298">
        <v>0</v>
      </c>
      <c r="AJ79" s="298">
        <v>0</v>
      </c>
      <c r="AK79" s="299">
        <v>0</v>
      </c>
      <c r="AL79" s="441"/>
      <c r="AM79" s="406" t="s">
        <v>2233</v>
      </c>
      <c r="AN79" s="405"/>
      <c r="AO79" s="441"/>
      <c r="AP79" s="441"/>
      <c r="AQ79" s="441"/>
      <c r="AR79" s="441"/>
      <c r="AS79" s="441"/>
      <c r="AT79" s="298">
        <v>0</v>
      </c>
      <c r="AU79" s="299">
        <v>0</v>
      </c>
      <c r="AV79" s="297">
        <v>0</v>
      </c>
      <c r="AW79" s="298">
        <v>0</v>
      </c>
      <c r="AX79" s="298">
        <v>0</v>
      </c>
      <c r="AY79" s="298">
        <v>0</v>
      </c>
      <c r="AZ79" s="299">
        <v>0</v>
      </c>
      <c r="BA79" s="441"/>
      <c r="BB79" s="211">
        <v>0</v>
      </c>
      <c r="BC79" s="211">
        <v>0</v>
      </c>
      <c r="BD79" s="408">
        <v>0</v>
      </c>
      <c r="BE79" s="408">
        <v>0</v>
      </c>
      <c r="BF79" s="408">
        <v>0</v>
      </c>
      <c r="BG79" s="409">
        <v>0</v>
      </c>
      <c r="BV79" s="458"/>
      <c r="BW79" s="458"/>
      <c r="BX79" s="458"/>
      <c r="BY79" s="458"/>
      <c r="BZ79" s="458"/>
      <c r="CA79" s="458"/>
    </row>
    <row r="80" spans="2:79" s="374" customFormat="1" ht="15" customHeight="1">
      <c r="B80" s="473"/>
      <c r="C80" s="825"/>
      <c r="D80" s="833" t="s">
        <v>2443</v>
      </c>
      <c r="E80" s="825"/>
      <c r="F80" s="825"/>
      <c r="G80" s="1552"/>
      <c r="H80" s="209"/>
      <c r="I80" s="406" t="s">
        <v>498</v>
      </c>
      <c r="J80" s="297">
        <v>1.1165736138663744</v>
      </c>
      <c r="K80" s="298">
        <v>1.1104201870129866</v>
      </c>
      <c r="L80" s="298">
        <v>0</v>
      </c>
      <c r="M80" s="298">
        <v>0</v>
      </c>
      <c r="N80" s="298">
        <v>0</v>
      </c>
      <c r="O80" s="298">
        <v>0</v>
      </c>
      <c r="P80" s="209"/>
      <c r="Q80" s="210"/>
      <c r="R80" s="405"/>
      <c r="S80" s="209"/>
      <c r="T80" s="209"/>
      <c r="U80" s="209"/>
      <c r="V80" s="210"/>
      <c r="W80" s="441"/>
      <c r="X80" s="406" t="s">
        <v>498</v>
      </c>
      <c r="Y80" s="297">
        <v>0</v>
      </c>
      <c r="Z80" s="298">
        <v>0</v>
      </c>
      <c r="AA80" s="298">
        <v>0</v>
      </c>
      <c r="AB80" s="298">
        <v>0</v>
      </c>
      <c r="AC80" s="298">
        <v>0</v>
      </c>
      <c r="AD80" s="298">
        <v>0</v>
      </c>
      <c r="AE80" s="209"/>
      <c r="AF80" s="210"/>
      <c r="AG80" s="405"/>
      <c r="AH80" s="209"/>
      <c r="AI80" s="209"/>
      <c r="AJ80" s="209"/>
      <c r="AK80" s="210"/>
      <c r="AL80" s="441"/>
      <c r="AM80" s="406" t="s">
        <v>2233</v>
      </c>
      <c r="AN80" s="297">
        <v>3.1510000000000002</v>
      </c>
      <c r="AO80" s="298">
        <v>3.1510000000000002</v>
      </c>
      <c r="AP80" s="298">
        <v>0</v>
      </c>
      <c r="AQ80" s="298">
        <v>0</v>
      </c>
      <c r="AR80" s="298">
        <v>0</v>
      </c>
      <c r="AS80" s="298">
        <v>0</v>
      </c>
      <c r="AT80" s="209"/>
      <c r="AU80" s="210"/>
      <c r="AV80" s="405"/>
      <c r="AW80" s="209"/>
      <c r="AX80" s="209"/>
      <c r="AY80" s="209"/>
      <c r="AZ80" s="210"/>
      <c r="BA80" s="441"/>
      <c r="BB80" s="1554"/>
      <c r="BC80" s="1554"/>
      <c r="BD80" s="209"/>
      <c r="BE80" s="209"/>
      <c r="BF80" s="209"/>
      <c r="BG80" s="210"/>
      <c r="BV80" s="458"/>
      <c r="BW80" s="458"/>
      <c r="BX80" s="458"/>
      <c r="BY80" s="458"/>
      <c r="BZ80" s="458"/>
      <c r="CA80" s="458"/>
    </row>
    <row r="81" spans="2:79" s="374" customFormat="1" ht="15" customHeight="1" thickBot="1">
      <c r="B81" s="837" t="s">
        <v>1701</v>
      </c>
      <c r="C81" s="828"/>
      <c r="D81" s="828"/>
      <c r="E81" s="828"/>
      <c r="F81" s="828"/>
      <c r="G81" s="479"/>
      <c r="H81" s="434"/>
      <c r="I81" s="410" t="s">
        <v>498</v>
      </c>
      <c r="J81" s="627">
        <f>J80</f>
        <v>1.1165736138663744</v>
      </c>
      <c r="K81" s="628">
        <f t="shared" ref="K81:O81" si="146">K80</f>
        <v>1.1104201870129866</v>
      </c>
      <c r="L81" s="628">
        <f t="shared" si="146"/>
        <v>0</v>
      </c>
      <c r="M81" s="628">
        <f t="shared" si="146"/>
        <v>0</v>
      </c>
      <c r="N81" s="628">
        <f t="shared" si="146"/>
        <v>0</v>
      </c>
      <c r="O81" s="628">
        <f t="shared" si="146"/>
        <v>0</v>
      </c>
      <c r="P81" s="750">
        <f>SUM(P60:P79)</f>
        <v>1.7961791650324355</v>
      </c>
      <c r="Q81" s="751">
        <f t="shared" ref="Q81:V81" si="147">SUM(Q60:Q79)</f>
        <v>6.8901819386381202</v>
      </c>
      <c r="R81" s="749">
        <f t="shared" si="147"/>
        <v>0</v>
      </c>
      <c r="S81" s="750">
        <f t="shared" si="147"/>
        <v>0</v>
      </c>
      <c r="T81" s="750">
        <f t="shared" si="147"/>
        <v>0</v>
      </c>
      <c r="U81" s="750">
        <f t="shared" si="147"/>
        <v>0</v>
      </c>
      <c r="V81" s="751">
        <f t="shared" si="147"/>
        <v>0</v>
      </c>
      <c r="W81" s="450"/>
      <c r="X81" s="410" t="s">
        <v>498</v>
      </c>
      <c r="Y81" s="627">
        <f>Y80</f>
        <v>0</v>
      </c>
      <c r="Z81" s="628">
        <f t="shared" ref="Z81" si="148">Z80</f>
        <v>0</v>
      </c>
      <c r="AA81" s="628">
        <f t="shared" ref="AA81" si="149">AA80</f>
        <v>0</v>
      </c>
      <c r="AB81" s="628">
        <f t="shared" ref="AB81" si="150">AB80</f>
        <v>0</v>
      </c>
      <c r="AC81" s="628">
        <f t="shared" ref="AC81" si="151">AC80</f>
        <v>0</v>
      </c>
      <c r="AD81" s="628">
        <f t="shared" ref="AD81" si="152">AD80</f>
        <v>0</v>
      </c>
      <c r="AE81" s="750">
        <f>SUM(AE60:AE79)</f>
        <v>0</v>
      </c>
      <c r="AF81" s="751">
        <f t="shared" ref="AF81:AK81" si="153">SUM(AF60:AF79)</f>
        <v>0</v>
      </c>
      <c r="AG81" s="749">
        <f t="shared" si="153"/>
        <v>0</v>
      </c>
      <c r="AH81" s="750">
        <f t="shared" si="153"/>
        <v>0</v>
      </c>
      <c r="AI81" s="750">
        <f t="shared" si="153"/>
        <v>0</v>
      </c>
      <c r="AJ81" s="750">
        <f t="shared" si="153"/>
        <v>0</v>
      </c>
      <c r="AK81" s="751">
        <f t="shared" si="153"/>
        <v>0</v>
      </c>
      <c r="AL81" s="450"/>
      <c r="AM81" s="410" t="s">
        <v>2233</v>
      </c>
      <c r="AN81" s="627">
        <f>AN80</f>
        <v>3.1510000000000002</v>
      </c>
      <c r="AO81" s="628">
        <f t="shared" ref="AO81" si="154">AO80</f>
        <v>3.1510000000000002</v>
      </c>
      <c r="AP81" s="628">
        <f t="shared" ref="AP81" si="155">AP80</f>
        <v>0</v>
      </c>
      <c r="AQ81" s="628">
        <f t="shared" ref="AQ81" si="156">AQ80</f>
        <v>0</v>
      </c>
      <c r="AR81" s="628">
        <f t="shared" ref="AR81" si="157">AR80</f>
        <v>0</v>
      </c>
      <c r="AS81" s="628">
        <f t="shared" ref="AS81" si="158">AS80</f>
        <v>0</v>
      </c>
      <c r="AT81" s="750">
        <f>SUM(AT60:AT79)</f>
        <v>0</v>
      </c>
      <c r="AU81" s="751">
        <f t="shared" ref="AU81:AZ81" si="159">SUM(AU60:AU79)</f>
        <v>0</v>
      </c>
      <c r="AV81" s="749">
        <f t="shared" si="159"/>
        <v>0</v>
      </c>
      <c r="AW81" s="750">
        <f t="shared" si="159"/>
        <v>0</v>
      </c>
      <c r="AX81" s="750">
        <f t="shared" si="159"/>
        <v>0</v>
      </c>
      <c r="AY81" s="750">
        <f t="shared" si="159"/>
        <v>0</v>
      </c>
      <c r="AZ81" s="751">
        <f t="shared" si="159"/>
        <v>0</v>
      </c>
      <c r="BA81" s="450"/>
      <c r="BB81" s="434"/>
      <c r="BC81" s="434"/>
      <c r="BD81" s="750">
        <f>SUM(BD60:BD79)</f>
        <v>0</v>
      </c>
      <c r="BE81" s="750">
        <f>SUM(BE60:BE79)</f>
        <v>0</v>
      </c>
      <c r="BF81" s="750">
        <f>SUM(BF60:BF79)</f>
        <v>0</v>
      </c>
      <c r="BG81" s="751">
        <f>SUM(BG60:BG79)</f>
        <v>0</v>
      </c>
      <c r="BV81" s="458"/>
      <c r="BW81" s="458"/>
      <c r="BX81" s="458"/>
      <c r="BY81" s="458"/>
      <c r="BZ81" s="458"/>
      <c r="CA81" s="458"/>
    </row>
    <row r="82" spans="2:79">
      <c r="BH82" s="374"/>
      <c r="BI82" s="374"/>
      <c r="BJ82" s="374"/>
      <c r="BK82" s="374"/>
      <c r="BL82" s="374"/>
      <c r="BM82" s="374"/>
      <c r="BN82" s="374"/>
      <c r="BO82" s="374"/>
      <c r="BP82" s="374"/>
      <c r="BQ82" s="374"/>
      <c r="BR82" s="374"/>
      <c r="BS82" s="374"/>
      <c r="BT82" s="374"/>
      <c r="BU82" s="374"/>
    </row>
    <row r="83" spans="2:79">
      <c r="BH83" s="374"/>
      <c r="BI83" s="374"/>
      <c r="BJ83" s="374"/>
      <c r="BK83" s="374"/>
      <c r="BL83" s="374"/>
      <c r="BM83" s="374"/>
      <c r="BN83" s="374"/>
      <c r="BO83" s="374"/>
      <c r="BP83" s="374"/>
      <c r="BQ83" s="374"/>
      <c r="BR83" s="374"/>
      <c r="BS83" s="374"/>
      <c r="BT83" s="374"/>
      <c r="BU83" s="374"/>
    </row>
    <row r="84" spans="2:79">
      <c r="BH84" s="374"/>
      <c r="BI84" s="374"/>
      <c r="BJ84" s="374"/>
      <c r="BK84" s="374"/>
      <c r="BL84" s="374"/>
      <c r="BM84" s="374"/>
      <c r="BN84" s="374"/>
      <c r="BO84" s="374"/>
      <c r="BP84" s="374"/>
      <c r="BQ84" s="374"/>
      <c r="BR84" s="374"/>
      <c r="BS84" s="374"/>
      <c r="BT84" s="374"/>
      <c r="BU84" s="374"/>
    </row>
    <row r="85" spans="2:79">
      <c r="BH85" s="374"/>
      <c r="BI85" s="374"/>
      <c r="BJ85" s="374"/>
    </row>
    <row r="86" spans="2:79">
      <c r="BH86" s="374"/>
      <c r="BI86" s="374"/>
      <c r="BJ86" s="374"/>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800-000000000000}">
          <x14:formula1>
            <xm:f>List!$A$13:$A$15</xm:f>
          </x14:formula1>
          <xm:sqref>BB60:BB79</xm:sqref>
        </x14:dataValidation>
        <x14:dataValidation type="list" allowBlank="1" showInputMessage="1" showErrorMessage="1" xr:uid="{00000000-0002-0000-2800-000001000000}">
          <x14:formula1>
            <xm:f>List!$B$13:$B$15</xm:f>
          </x14:formula1>
          <xm:sqref>BC60:BC79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00B050"/>
  </sheetPr>
  <dimension ref="A1:BK60"/>
  <sheetViews>
    <sheetView showGridLines="0" zoomScale="60" zoomScaleNormal="60" workbookViewId="0">
      <pane xSplit="7" topLeftCell="H1" activePane="topRight" state="frozen"/>
      <selection activeCell="G14" sqref="G14"/>
      <selection pane="topRight" activeCell="P44" sqref="P44"/>
    </sheetView>
  </sheetViews>
  <sheetFormatPr defaultColWidth="11.875" defaultRowHeight="12.75"/>
  <cols>
    <col min="1" max="1" width="11.875" style="413"/>
    <col min="2" max="6" width="4.375" style="413" customWidth="1"/>
    <col min="7" max="7" width="38.375" style="413" customWidth="1"/>
    <col min="8" max="8" width="11.875" style="413"/>
    <col min="9" max="9" width="15.625" style="414" customWidth="1"/>
    <col min="10" max="22" width="15.625" style="413" customWidth="1"/>
    <col min="23" max="23" width="5.625" style="413" customWidth="1"/>
    <col min="24" max="28" width="15.625" style="413" customWidth="1"/>
    <col min="29" max="29" width="15.625" style="414" customWidth="1"/>
    <col min="30" max="37" width="15.625" style="413" customWidth="1"/>
    <col min="38" max="38" width="5.625" style="413" customWidth="1"/>
    <col min="39" max="52" width="15.625" style="413" customWidth="1"/>
    <col min="53" max="16384" width="11.875" style="413"/>
  </cols>
  <sheetData>
    <row r="1" spans="1:63" s="2" customFormat="1" ht="25.15" customHeight="1">
      <c r="A1" s="1" t="s">
        <v>0</v>
      </c>
      <c r="E1" s="3"/>
      <c r="H1" s="4" t="s">
        <v>1</v>
      </c>
      <c r="J1" s="3"/>
    </row>
    <row r="2" spans="1:63" s="2" customFormat="1" ht="25.15" customHeight="1">
      <c r="A2" s="5" t="s">
        <v>309</v>
      </c>
      <c r="B2" s="6"/>
      <c r="D2" s="7"/>
      <c r="E2" s="3"/>
    </row>
    <row r="3" spans="1:63" s="9" customFormat="1" ht="25.15" customHeight="1" thickBot="1">
      <c r="A3" s="8" t="s">
        <v>2</v>
      </c>
      <c r="D3" s="10"/>
      <c r="E3" s="11"/>
    </row>
    <row r="4" spans="1:63" s="362" customFormat="1" ht="25.15" customHeight="1">
      <c r="A4" s="371"/>
      <c r="B4" s="363" t="s">
        <v>2515</v>
      </c>
      <c r="C4" s="363"/>
      <c r="D4" s="363"/>
      <c r="E4" s="363"/>
      <c r="F4" s="363"/>
      <c r="G4" s="364"/>
      <c r="H4" s="365"/>
      <c r="I4" s="366"/>
      <c r="J4" s="367"/>
      <c r="K4" s="367"/>
      <c r="L4" s="367"/>
      <c r="M4" s="367"/>
      <c r="N4" s="367"/>
      <c r="O4" s="367"/>
      <c r="P4" s="367"/>
      <c r="Q4" s="367"/>
      <c r="R4" s="365"/>
      <c r="S4" s="365"/>
      <c r="T4" s="365"/>
      <c r="U4" s="365"/>
      <c r="V4" s="365"/>
      <c r="W4" s="365"/>
      <c r="X4" s="365"/>
      <c r="Y4" s="365"/>
      <c r="Z4" s="365"/>
      <c r="AA4" s="365"/>
      <c r="AB4" s="365"/>
      <c r="AC4" s="365"/>
      <c r="AD4" s="365"/>
      <c r="AE4" s="365"/>
      <c r="AF4" s="367"/>
      <c r="AG4" s="365"/>
      <c r="AH4" s="365"/>
      <c r="AI4" s="365"/>
      <c r="AJ4" s="365"/>
      <c r="AK4" s="365"/>
      <c r="AL4" s="365"/>
      <c r="AM4" s="365"/>
      <c r="AN4" s="365"/>
      <c r="AO4" s="365"/>
      <c r="AP4" s="365"/>
      <c r="AQ4" s="365"/>
      <c r="AR4" s="365"/>
      <c r="AS4" s="365"/>
      <c r="AT4" s="367"/>
      <c r="AU4" s="367"/>
      <c r="AV4" s="365"/>
      <c r="AW4" s="365"/>
      <c r="AX4" s="365"/>
      <c r="AY4" s="365"/>
      <c r="AZ4" s="365"/>
      <c r="BA4" s="365"/>
      <c r="BB4" s="365"/>
      <c r="BC4" s="365"/>
      <c r="BD4" s="365"/>
      <c r="BE4" s="365"/>
      <c r="BF4" s="365"/>
      <c r="BG4" s="365"/>
      <c r="BH4" s="365"/>
      <c r="BI4" s="367"/>
    </row>
    <row r="5" spans="1:63" s="420" customFormat="1" ht="25.15" customHeight="1">
      <c r="B5" s="95" t="s">
        <v>1663</v>
      </c>
      <c r="C5" s="95"/>
      <c r="D5" s="95"/>
      <c r="E5" s="95"/>
      <c r="F5" s="95" t="s">
        <v>463</v>
      </c>
      <c r="G5" s="95"/>
      <c r="H5" s="95"/>
      <c r="J5" s="95"/>
      <c r="K5" s="421"/>
      <c r="L5" s="422"/>
      <c r="M5" s="422"/>
      <c r="N5" s="422"/>
      <c r="O5" s="422"/>
      <c r="P5" s="422"/>
      <c r="Q5" s="422"/>
      <c r="R5" s="422"/>
      <c r="S5" s="422"/>
      <c r="T5" s="423"/>
      <c r="U5" s="423"/>
      <c r="V5" s="423"/>
      <c r="W5" s="423"/>
      <c r="X5" s="423"/>
      <c r="Y5" s="423"/>
      <c r="Z5" s="423"/>
      <c r="AA5" s="423"/>
      <c r="AB5" s="423"/>
      <c r="AC5" s="423"/>
      <c r="AD5" s="423"/>
      <c r="AE5" s="423"/>
      <c r="AF5" s="423"/>
      <c r="AG5" s="423"/>
      <c r="AH5" s="422"/>
      <c r="AI5" s="423"/>
      <c r="AJ5" s="423"/>
      <c r="AK5" s="423"/>
      <c r="AL5" s="423"/>
      <c r="AM5" s="423"/>
      <c r="AN5" s="423"/>
      <c r="AO5" s="423"/>
      <c r="AP5" s="423"/>
      <c r="AQ5" s="423"/>
      <c r="AR5" s="423"/>
      <c r="AS5" s="423"/>
      <c r="AT5" s="423"/>
      <c r="AU5" s="423"/>
      <c r="AV5" s="422"/>
      <c r="AW5" s="422"/>
      <c r="AX5" s="423"/>
      <c r="AY5" s="423"/>
      <c r="AZ5" s="423"/>
      <c r="BA5" s="423"/>
      <c r="BB5" s="423"/>
      <c r="BC5" s="423"/>
      <c r="BD5" s="423"/>
      <c r="BE5" s="423"/>
      <c r="BF5" s="423"/>
      <c r="BG5" s="423"/>
      <c r="BH5" s="423"/>
      <c r="BI5" s="423"/>
      <c r="BJ5" s="423"/>
      <c r="BK5" s="422"/>
    </row>
    <row r="6" spans="1:63" s="420" customFormat="1" ht="15" customHeight="1">
      <c r="B6" s="95"/>
      <c r="C6" s="95"/>
      <c r="D6" s="95"/>
      <c r="E6" s="95"/>
      <c r="F6" s="95"/>
      <c r="G6" s="95"/>
      <c r="H6" s="95"/>
      <c r="J6" s="95"/>
      <c r="K6" s="421"/>
      <c r="L6" s="422"/>
      <c r="M6" s="422"/>
      <c r="N6" s="422"/>
      <c r="O6" s="422"/>
      <c r="P6" s="422"/>
      <c r="Q6" s="422"/>
      <c r="R6" s="422"/>
      <c r="S6" s="422"/>
      <c r="T6" s="423"/>
      <c r="U6" s="423"/>
      <c r="V6" s="423"/>
      <c r="W6" s="423"/>
      <c r="X6" s="423"/>
      <c r="Y6" s="423"/>
      <c r="Z6" s="423"/>
      <c r="AA6" s="423"/>
      <c r="AB6" s="423"/>
      <c r="AC6" s="423"/>
      <c r="AD6" s="423"/>
      <c r="AE6" s="423"/>
      <c r="AF6" s="423"/>
      <c r="AG6" s="423"/>
      <c r="AH6" s="422"/>
      <c r="AI6" s="423"/>
      <c r="AJ6" s="423"/>
      <c r="AK6" s="423"/>
      <c r="AL6" s="423"/>
      <c r="AM6" s="423"/>
      <c r="AN6" s="423"/>
      <c r="AO6" s="423"/>
      <c r="AP6" s="423"/>
      <c r="AQ6" s="423"/>
      <c r="AR6" s="423"/>
      <c r="AS6" s="423"/>
      <c r="AT6" s="423"/>
      <c r="AU6" s="423"/>
      <c r="AV6" s="422"/>
      <c r="AW6" s="422"/>
      <c r="AX6" s="423"/>
      <c r="AY6" s="423"/>
      <c r="AZ6" s="423"/>
      <c r="BA6" s="423"/>
      <c r="BB6" s="423"/>
      <c r="BC6" s="423"/>
      <c r="BD6" s="423"/>
      <c r="BE6" s="423"/>
      <c r="BF6" s="423"/>
      <c r="BG6" s="423"/>
      <c r="BH6" s="423"/>
      <c r="BI6" s="423"/>
      <c r="BJ6" s="423"/>
      <c r="BK6" s="422"/>
    </row>
    <row r="7" spans="1:63" s="371" customFormat="1" ht="15" customHeight="1" thickBot="1">
      <c r="G7" s="372"/>
      <c r="H7" s="372"/>
      <c r="I7" s="373"/>
      <c r="J7" s="372"/>
      <c r="K7" s="372"/>
      <c r="L7" s="372"/>
      <c r="M7" s="372"/>
      <c r="N7" s="372"/>
      <c r="O7" s="372"/>
      <c r="P7" s="372"/>
      <c r="Q7" s="372"/>
      <c r="R7" s="372"/>
      <c r="S7" s="372"/>
      <c r="T7" s="372"/>
      <c r="U7" s="372"/>
      <c r="V7" s="372"/>
      <c r="W7" s="372"/>
      <c r="X7" s="372"/>
      <c r="Y7" s="372"/>
      <c r="Z7" s="372"/>
      <c r="AA7" s="372"/>
      <c r="AB7" s="372"/>
      <c r="AC7" s="373"/>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row>
    <row r="8" spans="1:63" s="362" customFormat="1" ht="30" customHeight="1" thickBot="1">
      <c r="A8" s="364"/>
      <c r="B8" s="286" t="s">
        <v>1744</v>
      </c>
      <c r="C8" s="740"/>
      <c r="D8" s="740"/>
      <c r="E8" s="740"/>
      <c r="F8" s="740"/>
      <c r="G8" s="287"/>
      <c r="H8" s="287"/>
      <c r="I8" s="105" t="s">
        <v>1864</v>
      </c>
      <c r="J8" s="106"/>
      <c r="K8" s="106"/>
      <c r="L8" s="106"/>
      <c r="M8" s="106"/>
      <c r="N8" s="106"/>
      <c r="O8" s="106"/>
      <c r="P8" s="106"/>
      <c r="Q8" s="106"/>
      <c r="R8" s="105"/>
      <c r="S8" s="105"/>
      <c r="T8" s="105"/>
      <c r="U8" s="105"/>
      <c r="V8" s="187"/>
      <c r="W8" s="366"/>
      <c r="X8" s="366"/>
      <c r="Y8" s="366"/>
      <c r="Z8" s="366"/>
      <c r="AA8" s="366"/>
      <c r="AB8" s="366"/>
      <c r="AC8" s="366"/>
      <c r="AD8" s="367"/>
      <c r="AE8" s="367"/>
      <c r="AF8" s="365"/>
      <c r="AG8" s="365"/>
      <c r="AH8" s="365"/>
      <c r="AI8" s="365"/>
      <c r="AJ8" s="365"/>
      <c r="AK8" s="365"/>
      <c r="AL8" s="365"/>
      <c r="AM8" s="365"/>
      <c r="AN8" s="365"/>
      <c r="AO8" s="365"/>
      <c r="AP8" s="365"/>
      <c r="AQ8" s="365"/>
      <c r="AR8" s="367"/>
      <c r="AS8" s="367"/>
      <c r="AT8" s="365"/>
      <c r="AU8" s="365"/>
      <c r="AV8" s="365"/>
      <c r="AW8" s="365"/>
      <c r="AX8" s="365"/>
      <c r="AY8" s="365"/>
      <c r="AZ8" s="365"/>
      <c r="BA8" s="365"/>
      <c r="BB8" s="365"/>
      <c r="BC8" s="365"/>
      <c r="BD8" s="365"/>
      <c r="BE8" s="365"/>
      <c r="BF8" s="365"/>
      <c r="BG8" s="367"/>
      <c r="BH8" s="367"/>
      <c r="BI8" s="365"/>
    </row>
    <row r="9" spans="1:63" s="362" customFormat="1" ht="30" customHeight="1">
      <c r="A9" s="364"/>
      <c r="B9" s="288"/>
      <c r="C9" s="292"/>
      <c r="D9" s="292"/>
      <c r="E9" s="292"/>
      <c r="F9" s="292"/>
      <c r="G9" s="289"/>
      <c r="H9" s="289"/>
      <c r="I9" s="225"/>
      <c r="J9" s="424" t="s">
        <v>1666</v>
      </c>
      <c r="K9" s="425"/>
      <c r="L9" s="425"/>
      <c r="M9" s="425"/>
      <c r="N9" s="425"/>
      <c r="O9" s="425"/>
      <c r="P9" s="425"/>
      <c r="Q9" s="426"/>
      <c r="R9" s="427" t="s">
        <v>2</v>
      </c>
      <c r="S9" s="428"/>
      <c r="T9" s="428"/>
      <c r="U9" s="428"/>
      <c r="V9" s="429"/>
      <c r="W9" s="366"/>
      <c r="X9" s="366"/>
      <c r="Y9" s="366"/>
      <c r="Z9" s="366"/>
      <c r="AA9" s="366"/>
      <c r="AB9" s="366"/>
      <c r="AC9" s="366"/>
      <c r="AD9" s="367"/>
      <c r="AE9" s="367"/>
      <c r="AF9" s="365"/>
      <c r="AG9" s="365"/>
      <c r="AH9" s="365"/>
      <c r="AI9" s="365"/>
      <c r="AJ9" s="365"/>
      <c r="AK9" s="365"/>
      <c r="AL9" s="365"/>
      <c r="AM9" s="365"/>
      <c r="AN9" s="365"/>
      <c r="AO9" s="365"/>
      <c r="AP9" s="365"/>
      <c r="AQ9" s="365"/>
      <c r="AR9" s="367"/>
      <c r="AS9" s="367"/>
      <c r="AT9" s="365"/>
      <c r="AU9" s="365"/>
      <c r="AV9" s="365"/>
      <c r="AW9" s="365"/>
      <c r="AX9" s="365"/>
      <c r="AY9" s="365"/>
      <c r="AZ9" s="365"/>
      <c r="BA9" s="365"/>
      <c r="BB9" s="365"/>
      <c r="BC9" s="365"/>
      <c r="BD9" s="365"/>
      <c r="BE9" s="365"/>
      <c r="BF9" s="365"/>
      <c r="BG9" s="367"/>
      <c r="BH9" s="367"/>
      <c r="BI9" s="365"/>
    </row>
    <row r="10" spans="1:63" s="362" customFormat="1" ht="15" customHeight="1">
      <c r="A10" s="364"/>
      <c r="B10" s="290"/>
      <c r="C10" s="741"/>
      <c r="D10" s="741"/>
      <c r="E10" s="741"/>
      <c r="F10" s="741"/>
      <c r="G10" s="289"/>
      <c r="H10" s="289"/>
      <c r="I10" s="291" t="s">
        <v>1667</v>
      </c>
      <c r="J10" s="430" t="s">
        <v>453</v>
      </c>
      <c r="K10" s="431" t="s">
        <v>455</v>
      </c>
      <c r="L10" s="431" t="s">
        <v>457</v>
      </c>
      <c r="M10" s="431" t="s">
        <v>459</v>
      </c>
      <c r="N10" s="431" t="s">
        <v>461</v>
      </c>
      <c r="O10" s="431" t="s">
        <v>463</v>
      </c>
      <c r="P10" s="431" t="s">
        <v>465</v>
      </c>
      <c r="Q10" s="432" t="s">
        <v>467</v>
      </c>
      <c r="R10" s="430" t="s">
        <v>469</v>
      </c>
      <c r="S10" s="431" t="s">
        <v>471</v>
      </c>
      <c r="T10" s="431" t="s">
        <v>473</v>
      </c>
      <c r="U10" s="431" t="s">
        <v>475</v>
      </c>
      <c r="V10" s="432" t="s">
        <v>477</v>
      </c>
      <c r="W10" s="366"/>
      <c r="X10" s="366"/>
      <c r="Y10" s="366"/>
      <c r="Z10" s="366"/>
      <c r="AA10" s="366"/>
      <c r="AB10" s="366"/>
      <c r="AC10" s="366"/>
      <c r="AD10" s="367"/>
      <c r="AE10" s="367"/>
      <c r="AF10" s="365"/>
      <c r="AG10" s="365"/>
      <c r="AH10" s="365"/>
      <c r="AI10" s="365"/>
      <c r="AJ10" s="365"/>
      <c r="AK10" s="365"/>
      <c r="AL10" s="365"/>
      <c r="AM10" s="365"/>
      <c r="AN10" s="365"/>
      <c r="AO10" s="365"/>
      <c r="AP10" s="365"/>
      <c r="AQ10" s="365"/>
      <c r="AR10" s="367"/>
      <c r="AS10" s="367"/>
      <c r="AT10" s="365"/>
      <c r="AU10" s="365"/>
      <c r="AV10" s="365"/>
      <c r="AW10" s="365"/>
      <c r="AX10" s="365"/>
      <c r="AY10" s="365"/>
      <c r="AZ10" s="365"/>
      <c r="BA10" s="365"/>
      <c r="BB10" s="365"/>
      <c r="BC10" s="365"/>
      <c r="BD10" s="365"/>
      <c r="BE10" s="365"/>
      <c r="BF10" s="365"/>
      <c r="BG10" s="367"/>
      <c r="BH10" s="367"/>
      <c r="BI10" s="365"/>
    </row>
    <row r="11" spans="1:63" s="362" customFormat="1" ht="15" customHeight="1">
      <c r="A11" s="364"/>
      <c r="B11" s="384"/>
      <c r="C11" s="803"/>
      <c r="D11" s="803"/>
      <c r="E11" s="803"/>
      <c r="F11" s="803"/>
      <c r="G11" s="289"/>
      <c r="H11" s="289"/>
      <c r="I11" s="385"/>
      <c r="J11" s="386"/>
      <c r="K11" s="385"/>
      <c r="L11" s="385"/>
      <c r="M11" s="385"/>
      <c r="N11" s="385"/>
      <c r="O11" s="385"/>
      <c r="P11" s="385"/>
      <c r="Q11" s="387"/>
      <c r="R11" s="386"/>
      <c r="S11" s="385"/>
      <c r="T11" s="385"/>
      <c r="U11" s="385"/>
      <c r="V11" s="387"/>
      <c r="W11" s="366"/>
      <c r="X11" s="366"/>
      <c r="Y11" s="366"/>
      <c r="Z11" s="366"/>
      <c r="AA11" s="366"/>
      <c r="AB11" s="366"/>
      <c r="AC11" s="366"/>
      <c r="AD11" s="367"/>
      <c r="AE11" s="367"/>
      <c r="AF11" s="365"/>
      <c r="AG11" s="365"/>
      <c r="AH11" s="365"/>
      <c r="AI11" s="365"/>
      <c r="AJ11" s="365"/>
      <c r="AK11" s="365"/>
      <c r="AL11" s="365"/>
      <c r="AM11" s="365"/>
      <c r="AN11" s="365"/>
      <c r="AO11" s="365"/>
      <c r="AP11" s="365"/>
      <c r="AQ11" s="365"/>
      <c r="AR11" s="367"/>
      <c r="AS11" s="367"/>
      <c r="AT11" s="365"/>
      <c r="AU11" s="365"/>
      <c r="AV11" s="365"/>
      <c r="AW11" s="365"/>
      <c r="AX11" s="365"/>
      <c r="AY11" s="365"/>
      <c r="AZ11" s="365"/>
      <c r="BA11" s="365"/>
      <c r="BB11" s="365"/>
      <c r="BC11" s="365"/>
      <c r="BD11" s="365"/>
      <c r="BE11" s="365"/>
      <c r="BF11" s="365"/>
      <c r="BG11" s="367"/>
      <c r="BH11" s="367"/>
      <c r="BI11" s="365"/>
    </row>
    <row r="12" spans="1:63" s="362" customFormat="1" ht="15" customHeight="1">
      <c r="A12" s="364"/>
      <c r="B12" s="384"/>
      <c r="C12" s="803" t="s">
        <v>1806</v>
      </c>
      <c r="D12" s="742"/>
      <c r="E12" s="742"/>
      <c r="F12" s="742"/>
      <c r="G12" s="289"/>
      <c r="H12" s="289"/>
      <c r="I12" s="225" t="s">
        <v>498</v>
      </c>
      <c r="J12" s="124">
        <f t="shared" ref="J12:V12" si="0">SUM(J13:J14)</f>
        <v>2.2962402810205216</v>
      </c>
      <c r="K12" s="125">
        <f t="shared" si="0"/>
        <v>1.5199290233766227</v>
      </c>
      <c r="L12" s="125">
        <f t="shared" si="0"/>
        <v>1.9590507993039799</v>
      </c>
      <c r="M12" s="125">
        <f t="shared" si="0"/>
        <v>1.7507791752528379</v>
      </c>
      <c r="N12" s="125">
        <f t="shared" si="0"/>
        <v>1.4977366577759006</v>
      </c>
      <c r="O12" s="125">
        <f t="shared" si="0"/>
        <v>2.6289907141453734</v>
      </c>
      <c r="P12" s="125">
        <f t="shared" si="0"/>
        <v>3.3773225936537488</v>
      </c>
      <c r="Q12" s="126">
        <f t="shared" si="0"/>
        <v>2.8033854869863517</v>
      </c>
      <c r="R12" s="124">
        <f t="shared" si="0"/>
        <v>1.5780157144503115</v>
      </c>
      <c r="S12" s="125">
        <f t="shared" si="0"/>
        <v>1.5780157144503115</v>
      </c>
      <c r="T12" s="125">
        <f t="shared" si="0"/>
        <v>1.5780157144503115</v>
      </c>
      <c r="U12" s="125">
        <f t="shared" si="0"/>
        <v>1.5780157144503115</v>
      </c>
      <c r="V12" s="126">
        <f t="shared" si="0"/>
        <v>1.5780157144503115</v>
      </c>
      <c r="W12" s="366"/>
      <c r="X12" s="366"/>
      <c r="Y12" s="366"/>
      <c r="Z12" s="366"/>
      <c r="AA12" s="366"/>
      <c r="AB12" s="366"/>
      <c r="AC12" s="366"/>
      <c r="AD12" s="367"/>
      <c r="AE12" s="367"/>
      <c r="AF12" s="365"/>
      <c r="AG12" s="365"/>
      <c r="AH12" s="365"/>
      <c r="AI12" s="365"/>
      <c r="AJ12" s="365"/>
      <c r="AK12" s="365"/>
      <c r="AL12" s="365"/>
      <c r="AM12" s="365"/>
      <c r="AN12" s="365"/>
      <c r="AO12" s="365"/>
      <c r="AP12" s="365"/>
      <c r="AQ12" s="365"/>
      <c r="AR12" s="367"/>
      <c r="AS12" s="367"/>
      <c r="AT12" s="365"/>
      <c r="AU12" s="365"/>
      <c r="AV12" s="365"/>
      <c r="AW12" s="365"/>
      <c r="AX12" s="365"/>
      <c r="AY12" s="365"/>
      <c r="AZ12" s="365"/>
      <c r="BA12" s="365"/>
      <c r="BB12" s="365"/>
      <c r="BC12" s="365"/>
      <c r="BD12" s="365"/>
      <c r="BE12" s="365"/>
      <c r="BF12" s="365"/>
      <c r="BG12" s="367"/>
      <c r="BH12" s="367"/>
      <c r="BI12" s="365"/>
    </row>
    <row r="13" spans="1:63" s="362" customFormat="1" ht="15" customHeight="1">
      <c r="A13" s="364"/>
      <c r="B13" s="1074"/>
      <c r="C13" s="822"/>
      <c r="D13" s="812" t="s">
        <v>1837</v>
      </c>
      <c r="E13" s="822"/>
      <c r="F13" s="822"/>
      <c r="G13" s="388"/>
      <c r="H13" s="209"/>
      <c r="I13" s="389" t="s">
        <v>498</v>
      </c>
      <c r="J13" s="128">
        <f>J32</f>
        <v>1.3498562975352808</v>
      </c>
      <c r="K13" s="129">
        <f>K32</f>
        <v>1.5199290233766227</v>
      </c>
      <c r="L13" s="129">
        <f t="shared" ref="L13:V13" si="1">L32</f>
        <v>1.7750014770452622</v>
      </c>
      <c r="M13" s="129">
        <f t="shared" si="1"/>
        <v>1.6778908494361686</v>
      </c>
      <c r="N13" s="129">
        <f t="shared" si="1"/>
        <v>1.3381061504629748</v>
      </c>
      <c r="O13" s="129">
        <f t="shared" si="1"/>
        <v>2.4029838450470122</v>
      </c>
      <c r="P13" s="129">
        <f t="shared" si="1"/>
        <v>2.992322593653749</v>
      </c>
      <c r="Q13" s="130">
        <f t="shared" si="1"/>
        <v>2.3483854869863516</v>
      </c>
      <c r="R13" s="128">
        <f t="shared" si="1"/>
        <v>1.4000484734028074</v>
      </c>
      <c r="S13" s="129">
        <f t="shared" si="1"/>
        <v>1.4000484734028074</v>
      </c>
      <c r="T13" s="129">
        <f t="shared" si="1"/>
        <v>1.4000484734028074</v>
      </c>
      <c r="U13" s="129">
        <f t="shared" si="1"/>
        <v>1.4000484734028074</v>
      </c>
      <c r="V13" s="130">
        <f t="shared" si="1"/>
        <v>1.4000484734028074</v>
      </c>
      <c r="W13" s="366"/>
      <c r="X13" s="366"/>
      <c r="Y13" s="366"/>
      <c r="Z13" s="366"/>
      <c r="AA13" s="366"/>
      <c r="AB13" s="366"/>
      <c r="AC13" s="366"/>
      <c r="AD13" s="367"/>
      <c r="AE13" s="367"/>
      <c r="AF13" s="365"/>
      <c r="AG13" s="365"/>
      <c r="AH13" s="365"/>
      <c r="AI13" s="365"/>
      <c r="AJ13" s="365"/>
      <c r="AK13" s="365"/>
      <c r="AL13" s="365"/>
      <c r="AM13" s="365"/>
      <c r="AN13" s="365"/>
      <c r="AO13" s="365"/>
      <c r="AP13" s="365"/>
      <c r="AQ13" s="365"/>
      <c r="AR13" s="367"/>
      <c r="AS13" s="367"/>
      <c r="AT13" s="365"/>
      <c r="AU13" s="365"/>
      <c r="AV13" s="365"/>
      <c r="AW13" s="365"/>
      <c r="AX13" s="365"/>
      <c r="AY13" s="365"/>
      <c r="AZ13" s="365"/>
      <c r="BA13" s="365"/>
      <c r="BB13" s="365"/>
      <c r="BC13" s="365"/>
      <c r="BD13" s="365"/>
      <c r="BE13" s="365"/>
      <c r="BF13" s="365"/>
      <c r="BG13" s="367"/>
      <c r="BH13" s="367"/>
      <c r="BI13" s="365"/>
    </row>
    <row r="14" spans="1:63" s="362" customFormat="1" ht="15" customHeight="1" thickBot="1">
      <c r="A14" s="364"/>
      <c r="B14" s="945"/>
      <c r="C14" s="1072"/>
      <c r="D14" s="1068" t="s">
        <v>2424</v>
      </c>
      <c r="E14" s="1072"/>
      <c r="F14" s="1072"/>
      <c r="G14" s="1070"/>
      <c r="H14" s="434"/>
      <c r="I14" s="449" t="s">
        <v>498</v>
      </c>
      <c r="J14" s="177">
        <f>J41</f>
        <v>0.94638398348524067</v>
      </c>
      <c r="K14" s="178">
        <f>K41</f>
        <v>0</v>
      </c>
      <c r="L14" s="178">
        <f t="shared" ref="L14:V14" si="2">L41</f>
        <v>0.18404932225871773</v>
      </c>
      <c r="M14" s="178">
        <f t="shared" si="2"/>
        <v>7.2888325816669167E-2</v>
      </c>
      <c r="N14" s="178">
        <f t="shared" si="2"/>
        <v>0.15963050731292586</v>
      </c>
      <c r="O14" s="178">
        <f t="shared" si="2"/>
        <v>0.2260068690983611</v>
      </c>
      <c r="P14" s="178">
        <f t="shared" si="2"/>
        <v>0.38500000000000001</v>
      </c>
      <c r="Q14" s="179">
        <f t="shared" si="2"/>
        <v>0.45499999999999996</v>
      </c>
      <c r="R14" s="177">
        <f t="shared" si="2"/>
        <v>0.17796724104750408</v>
      </c>
      <c r="S14" s="178">
        <f t="shared" si="2"/>
        <v>0.17796724104750408</v>
      </c>
      <c r="T14" s="178">
        <f t="shared" si="2"/>
        <v>0.17796724104750408</v>
      </c>
      <c r="U14" s="178">
        <f t="shared" si="2"/>
        <v>0.17796724104750408</v>
      </c>
      <c r="V14" s="179">
        <f t="shared" si="2"/>
        <v>0.17796724104750408</v>
      </c>
      <c r="W14" s="366"/>
      <c r="X14" s="366"/>
      <c r="Y14" s="366"/>
      <c r="Z14" s="366"/>
      <c r="AA14" s="366"/>
      <c r="AB14" s="366"/>
      <c r="AC14" s="366"/>
      <c r="AD14" s="367"/>
      <c r="AE14" s="367"/>
      <c r="AF14" s="365"/>
      <c r="AG14" s="365"/>
      <c r="AH14" s="365"/>
      <c r="AI14" s="365"/>
      <c r="AJ14" s="365"/>
      <c r="AK14" s="365"/>
      <c r="AL14" s="365"/>
      <c r="AM14" s="365"/>
      <c r="AN14" s="365"/>
      <c r="AO14" s="365"/>
      <c r="AP14" s="365"/>
      <c r="AQ14" s="365"/>
      <c r="AR14" s="367"/>
      <c r="AS14" s="367"/>
      <c r="AT14" s="365"/>
      <c r="AU14" s="365"/>
      <c r="AV14" s="365"/>
      <c r="AW14" s="365"/>
      <c r="AX14" s="365"/>
      <c r="AY14" s="365"/>
      <c r="AZ14" s="365"/>
      <c r="BA14" s="365"/>
      <c r="BB14" s="365"/>
      <c r="BC14" s="365"/>
      <c r="BD14" s="365"/>
      <c r="BE14" s="365"/>
      <c r="BF14" s="365"/>
      <c r="BG14" s="367"/>
      <c r="BH14" s="367"/>
      <c r="BI14" s="365"/>
    </row>
    <row r="15" spans="1:63" s="362" customFormat="1" ht="15" customHeight="1" thickBot="1">
      <c r="A15" s="364"/>
      <c r="H15" s="392"/>
      <c r="I15" s="366"/>
      <c r="J15" s="365"/>
      <c r="P15" s="365"/>
      <c r="Q15" s="365"/>
      <c r="R15" s="365"/>
      <c r="S15" s="365"/>
      <c r="T15" s="365"/>
      <c r="U15" s="365"/>
      <c r="V15" s="365"/>
      <c r="W15" s="365"/>
      <c r="X15" s="365"/>
      <c r="Y15" s="365"/>
      <c r="Z15" s="365"/>
      <c r="AA15" s="365"/>
      <c r="AB15" s="365"/>
      <c r="AC15" s="365"/>
      <c r="AD15" s="365"/>
      <c r="AE15" s="365"/>
      <c r="AF15" s="365"/>
      <c r="AG15" s="365"/>
      <c r="AH15" s="365"/>
      <c r="AI15" s="365"/>
      <c r="AJ15" s="365"/>
      <c r="AK15" s="365"/>
      <c r="AL15" s="365"/>
      <c r="AM15" s="365"/>
      <c r="AN15" s="365"/>
      <c r="AO15" s="365"/>
      <c r="AP15" s="365"/>
      <c r="AQ15" s="365"/>
      <c r="AR15" s="367"/>
      <c r="AS15" s="367"/>
      <c r="AT15" s="365"/>
      <c r="AU15" s="365"/>
      <c r="AV15" s="365"/>
      <c r="AW15" s="365"/>
      <c r="AX15" s="365"/>
      <c r="AY15" s="365"/>
      <c r="AZ15" s="365"/>
      <c r="BA15" s="365"/>
      <c r="BB15" s="365"/>
      <c r="BC15" s="365"/>
      <c r="BD15" s="365"/>
      <c r="BE15" s="365"/>
      <c r="BF15" s="365"/>
      <c r="BG15" s="367"/>
      <c r="BH15" s="367"/>
      <c r="BI15" s="365"/>
    </row>
    <row r="16" spans="1:63" s="371" customFormat="1" ht="30" customHeight="1" thickBot="1">
      <c r="B16" s="393" t="s">
        <v>1837</v>
      </c>
      <c r="C16" s="805"/>
      <c r="D16" s="805"/>
      <c r="E16" s="805"/>
      <c r="F16" s="805"/>
      <c r="G16" s="394"/>
      <c r="H16" s="395"/>
      <c r="I16" s="105" t="s">
        <v>1864</v>
      </c>
      <c r="J16" s="106"/>
      <c r="K16" s="106"/>
      <c r="L16" s="106"/>
      <c r="M16" s="106"/>
      <c r="N16" s="106"/>
      <c r="O16" s="106"/>
      <c r="P16" s="106"/>
      <c r="Q16" s="106"/>
      <c r="R16" s="105"/>
      <c r="S16" s="105"/>
      <c r="T16" s="105"/>
      <c r="U16" s="105"/>
      <c r="V16" s="187"/>
      <c r="W16" s="396"/>
      <c r="X16" s="105" t="s">
        <v>2202</v>
      </c>
      <c r="Y16" s="106"/>
      <c r="Z16" s="106"/>
      <c r="AA16" s="106"/>
      <c r="AB16" s="106"/>
      <c r="AC16" s="106"/>
      <c r="AD16" s="106"/>
      <c r="AE16" s="106"/>
      <c r="AF16" s="106"/>
      <c r="AG16" s="105"/>
      <c r="AH16" s="105"/>
      <c r="AI16" s="105"/>
      <c r="AJ16" s="105"/>
      <c r="AK16" s="187"/>
      <c r="AL16" s="396"/>
      <c r="AM16" s="105" t="s">
        <v>2231</v>
      </c>
      <c r="AN16" s="106"/>
      <c r="AO16" s="106"/>
      <c r="AP16" s="106"/>
      <c r="AQ16" s="106"/>
      <c r="AR16" s="106"/>
      <c r="AS16" s="106"/>
      <c r="AT16" s="106"/>
      <c r="AU16" s="106"/>
      <c r="AV16" s="105"/>
      <c r="AW16" s="105"/>
      <c r="AX16" s="105"/>
      <c r="AY16" s="105"/>
      <c r="AZ16" s="187"/>
    </row>
    <row r="17" spans="2:52" s="371" customFormat="1" ht="30" customHeight="1">
      <c r="B17" s="397"/>
      <c r="C17" s="398"/>
      <c r="D17" s="398"/>
      <c r="E17" s="398"/>
      <c r="F17" s="398"/>
      <c r="G17" s="398"/>
      <c r="H17" s="399"/>
      <c r="I17" s="400"/>
      <c r="J17" s="424" t="s">
        <v>1666</v>
      </c>
      <c r="K17" s="425"/>
      <c r="L17" s="425"/>
      <c r="M17" s="425"/>
      <c r="N17" s="425"/>
      <c r="O17" s="425"/>
      <c r="P17" s="425"/>
      <c r="Q17" s="426"/>
      <c r="R17" s="427" t="s">
        <v>2</v>
      </c>
      <c r="S17" s="428"/>
      <c r="T17" s="428"/>
      <c r="U17" s="428"/>
      <c r="V17" s="429"/>
      <c r="W17" s="401"/>
      <c r="X17" s="400"/>
      <c r="Y17" s="424" t="s">
        <v>1666</v>
      </c>
      <c r="Z17" s="425"/>
      <c r="AA17" s="425"/>
      <c r="AB17" s="425"/>
      <c r="AC17" s="425"/>
      <c r="AD17" s="425"/>
      <c r="AE17" s="425"/>
      <c r="AF17" s="426"/>
      <c r="AG17" s="427" t="s">
        <v>2</v>
      </c>
      <c r="AH17" s="428"/>
      <c r="AI17" s="428"/>
      <c r="AJ17" s="428"/>
      <c r="AK17" s="429"/>
      <c r="AL17" s="401"/>
      <c r="AM17" s="400"/>
      <c r="AN17" s="424" t="s">
        <v>1666</v>
      </c>
      <c r="AO17" s="425"/>
      <c r="AP17" s="425"/>
      <c r="AQ17" s="425"/>
      <c r="AR17" s="425"/>
      <c r="AS17" s="425"/>
      <c r="AT17" s="425"/>
      <c r="AU17" s="426"/>
      <c r="AV17" s="428" t="s">
        <v>2</v>
      </c>
      <c r="AW17" s="428"/>
      <c r="AX17" s="428"/>
      <c r="AY17" s="428"/>
      <c r="AZ17" s="429"/>
    </row>
    <row r="18" spans="2:52" s="371" customFormat="1" ht="15" customHeight="1">
      <c r="B18" s="397"/>
      <c r="C18" s="806"/>
      <c r="D18" s="806"/>
      <c r="E18" s="806"/>
      <c r="F18" s="806"/>
      <c r="G18" s="398"/>
      <c r="H18" s="399"/>
      <c r="I18" s="403" t="s">
        <v>1667</v>
      </c>
      <c r="J18" s="430" t="s">
        <v>453</v>
      </c>
      <c r="K18" s="431" t="s">
        <v>455</v>
      </c>
      <c r="L18" s="431" t="s">
        <v>457</v>
      </c>
      <c r="M18" s="431" t="s">
        <v>459</v>
      </c>
      <c r="N18" s="431" t="s">
        <v>461</v>
      </c>
      <c r="O18" s="431" t="s">
        <v>463</v>
      </c>
      <c r="P18" s="431" t="s">
        <v>465</v>
      </c>
      <c r="Q18" s="432" t="s">
        <v>467</v>
      </c>
      <c r="R18" s="430" t="s">
        <v>469</v>
      </c>
      <c r="S18" s="431" t="s">
        <v>471</v>
      </c>
      <c r="T18" s="431" t="s">
        <v>473</v>
      </c>
      <c r="U18" s="431" t="s">
        <v>475</v>
      </c>
      <c r="V18" s="432" t="s">
        <v>477</v>
      </c>
      <c r="W18" s="401"/>
      <c r="X18" s="403" t="s">
        <v>1667</v>
      </c>
      <c r="Y18" s="430" t="s">
        <v>453</v>
      </c>
      <c r="Z18" s="431" t="s">
        <v>455</v>
      </c>
      <c r="AA18" s="431" t="s">
        <v>457</v>
      </c>
      <c r="AB18" s="431" t="s">
        <v>459</v>
      </c>
      <c r="AC18" s="431" t="s">
        <v>461</v>
      </c>
      <c r="AD18" s="431" t="s">
        <v>463</v>
      </c>
      <c r="AE18" s="431" t="s">
        <v>465</v>
      </c>
      <c r="AF18" s="432" t="s">
        <v>467</v>
      </c>
      <c r="AG18" s="430" t="s">
        <v>469</v>
      </c>
      <c r="AH18" s="431" t="s">
        <v>471</v>
      </c>
      <c r="AI18" s="431" t="s">
        <v>473</v>
      </c>
      <c r="AJ18" s="431" t="s">
        <v>475</v>
      </c>
      <c r="AK18" s="432" t="s">
        <v>477</v>
      </c>
      <c r="AL18" s="401"/>
      <c r="AM18" s="403" t="s">
        <v>1667</v>
      </c>
      <c r="AN18" s="430" t="s">
        <v>453</v>
      </c>
      <c r="AO18" s="431" t="s">
        <v>455</v>
      </c>
      <c r="AP18" s="431" t="s">
        <v>457</v>
      </c>
      <c r="AQ18" s="431" t="s">
        <v>459</v>
      </c>
      <c r="AR18" s="431" t="s">
        <v>461</v>
      </c>
      <c r="AS18" s="431" t="s">
        <v>463</v>
      </c>
      <c r="AT18" s="431" t="s">
        <v>465</v>
      </c>
      <c r="AU18" s="432" t="s">
        <v>467</v>
      </c>
      <c r="AV18" s="459" t="s">
        <v>469</v>
      </c>
      <c r="AW18" s="431" t="s">
        <v>471</v>
      </c>
      <c r="AX18" s="431" t="s">
        <v>473</v>
      </c>
      <c r="AY18" s="431" t="s">
        <v>475</v>
      </c>
      <c r="AZ18" s="432" t="s">
        <v>477</v>
      </c>
    </row>
    <row r="19" spans="2:52" s="371" customFormat="1" ht="15" customHeight="1">
      <c r="B19" s="397"/>
      <c r="C19" s="841" t="s">
        <v>2516</v>
      </c>
      <c r="E19" s="841"/>
      <c r="F19" s="807"/>
      <c r="G19" s="398"/>
      <c r="H19" s="399"/>
      <c r="I19" s="209"/>
      <c r="J19" s="405"/>
      <c r="K19" s="209"/>
      <c r="L19" s="209"/>
      <c r="M19" s="209"/>
      <c r="N19" s="209"/>
      <c r="O19" s="209"/>
      <c r="P19" s="209"/>
      <c r="Q19" s="210"/>
      <c r="R19" s="405"/>
      <c r="S19" s="209"/>
      <c r="T19" s="209"/>
      <c r="U19" s="209"/>
      <c r="V19" s="210"/>
      <c r="W19" s="401"/>
      <c r="X19" s="209"/>
      <c r="Y19" s="405"/>
      <c r="Z19" s="209"/>
      <c r="AA19" s="209"/>
      <c r="AB19" s="209"/>
      <c r="AC19" s="209"/>
      <c r="AD19" s="209"/>
      <c r="AE19" s="209"/>
      <c r="AF19" s="210"/>
      <c r="AG19" s="405"/>
      <c r="AH19" s="209"/>
      <c r="AI19" s="209"/>
      <c r="AJ19" s="209"/>
      <c r="AK19" s="210"/>
      <c r="AL19" s="401"/>
      <c r="AM19" s="209"/>
      <c r="AN19" s="405"/>
      <c r="AO19" s="209"/>
      <c r="AP19" s="209"/>
      <c r="AQ19" s="209"/>
      <c r="AR19" s="209"/>
      <c r="AS19" s="209"/>
      <c r="AT19" s="209"/>
      <c r="AU19" s="210"/>
      <c r="AV19" s="209"/>
      <c r="AW19" s="209"/>
      <c r="AX19" s="209"/>
      <c r="AY19" s="209"/>
      <c r="AZ19" s="210"/>
    </row>
    <row r="20" spans="2:52" s="371" customFormat="1" ht="15" customHeight="1">
      <c r="B20" s="397"/>
      <c r="D20" s="813" t="s">
        <v>2503</v>
      </c>
      <c r="E20" s="814"/>
      <c r="F20" s="809"/>
      <c r="G20" s="485"/>
      <c r="H20" s="399"/>
      <c r="I20" s="406" t="s">
        <v>498</v>
      </c>
      <c r="J20" s="297">
        <v>1.7099060444646097E-2</v>
      </c>
      <c r="K20" s="298">
        <v>0.11037974025974023</v>
      </c>
      <c r="L20" s="298">
        <v>0.27140540136986441</v>
      </c>
      <c r="M20" s="298">
        <v>0.86597374267016369</v>
      </c>
      <c r="N20" s="298">
        <v>0.13544457948238062</v>
      </c>
      <c r="O20" s="298">
        <v>4.9847884635455551E-2</v>
      </c>
      <c r="P20" s="298">
        <v>0</v>
      </c>
      <c r="Q20" s="299">
        <v>0</v>
      </c>
      <c r="R20" s="297">
        <v>0.14129958702549289</v>
      </c>
      <c r="S20" s="298">
        <v>0.14129958702549289</v>
      </c>
      <c r="T20" s="298">
        <v>0.14129958702549289</v>
      </c>
      <c r="U20" s="298">
        <v>0.14129958702549289</v>
      </c>
      <c r="V20" s="299">
        <v>0.14129958702549289</v>
      </c>
      <c r="W20" s="401"/>
      <c r="X20" s="406" t="s">
        <v>498</v>
      </c>
      <c r="Y20" s="297">
        <v>0</v>
      </c>
      <c r="Z20" s="298">
        <v>0</v>
      </c>
      <c r="AA20" s="298">
        <v>0</v>
      </c>
      <c r="AB20" s="298">
        <v>0</v>
      </c>
      <c r="AC20" s="298">
        <v>0</v>
      </c>
      <c r="AD20" s="298">
        <v>0</v>
      </c>
      <c r="AE20" s="298">
        <v>0</v>
      </c>
      <c r="AF20" s="299">
        <v>0</v>
      </c>
      <c r="AG20" s="297">
        <v>0</v>
      </c>
      <c r="AH20" s="298">
        <v>0</v>
      </c>
      <c r="AI20" s="298">
        <v>0</v>
      </c>
      <c r="AJ20" s="298">
        <v>0</v>
      </c>
      <c r="AK20" s="299">
        <v>0</v>
      </c>
      <c r="AL20" s="401"/>
      <c r="AM20" s="406" t="s">
        <v>1876</v>
      </c>
      <c r="AN20" s="407">
        <v>0</v>
      </c>
      <c r="AO20" s="408">
        <v>0</v>
      </c>
      <c r="AP20" s="408">
        <v>0</v>
      </c>
      <c r="AQ20" s="408">
        <v>5</v>
      </c>
      <c r="AR20" s="408">
        <v>2</v>
      </c>
      <c r="AS20" s="408">
        <v>0</v>
      </c>
      <c r="AT20" s="408">
        <v>0</v>
      </c>
      <c r="AU20" s="409">
        <v>0</v>
      </c>
      <c r="AV20" s="407">
        <v>1</v>
      </c>
      <c r="AW20" s="408">
        <v>1</v>
      </c>
      <c r="AX20" s="408">
        <v>1</v>
      </c>
      <c r="AY20" s="408">
        <v>1</v>
      </c>
      <c r="AZ20" s="409">
        <v>1</v>
      </c>
    </row>
    <row r="21" spans="2:52" s="371" customFormat="1" ht="15" customHeight="1">
      <c r="B21" s="397"/>
      <c r="D21" s="813" t="s">
        <v>2504</v>
      </c>
      <c r="E21" s="814"/>
      <c r="F21" s="809"/>
      <c r="G21" s="485"/>
      <c r="H21" s="399"/>
      <c r="I21" s="406" t="s">
        <v>498</v>
      </c>
      <c r="J21" s="297">
        <v>0.98190883268797269</v>
      </c>
      <c r="K21" s="298">
        <v>0.78148856103896069</v>
      </c>
      <c r="L21" s="298">
        <v>1.0799830236888679</v>
      </c>
      <c r="M21" s="298">
        <v>0.3085884467806907</v>
      </c>
      <c r="N21" s="298">
        <v>0.64759819828617737</v>
      </c>
      <c r="O21" s="298">
        <v>1.364876428319822</v>
      </c>
      <c r="P21" s="298">
        <v>1.473179193072105</v>
      </c>
      <c r="Q21" s="299">
        <v>1.6570752681734888</v>
      </c>
      <c r="R21" s="297">
        <v>0.97350139232443134</v>
      </c>
      <c r="S21" s="298">
        <v>0.97350139232443134</v>
      </c>
      <c r="T21" s="298">
        <v>0.97350139232443134</v>
      </c>
      <c r="U21" s="298">
        <v>0.97350139232443134</v>
      </c>
      <c r="V21" s="299">
        <v>0.97350139232443134</v>
      </c>
      <c r="W21" s="401"/>
      <c r="X21" s="406" t="s">
        <v>498</v>
      </c>
      <c r="Y21" s="297">
        <v>0</v>
      </c>
      <c r="Z21" s="298">
        <v>0</v>
      </c>
      <c r="AA21" s="298">
        <v>0</v>
      </c>
      <c r="AB21" s="298">
        <v>0</v>
      </c>
      <c r="AC21" s="298">
        <v>0</v>
      </c>
      <c r="AD21" s="298">
        <v>0</v>
      </c>
      <c r="AE21" s="298">
        <v>0</v>
      </c>
      <c r="AF21" s="299">
        <v>0</v>
      </c>
      <c r="AG21" s="297">
        <v>0</v>
      </c>
      <c r="AH21" s="298">
        <v>0</v>
      </c>
      <c r="AI21" s="298">
        <v>0</v>
      </c>
      <c r="AJ21" s="298">
        <v>0</v>
      </c>
      <c r="AK21" s="299">
        <v>0</v>
      </c>
      <c r="AL21" s="401"/>
      <c r="AM21" s="406" t="s">
        <v>1876</v>
      </c>
      <c r="AN21" s="407">
        <v>9</v>
      </c>
      <c r="AO21" s="408">
        <v>5</v>
      </c>
      <c r="AP21" s="408">
        <v>6</v>
      </c>
      <c r="AQ21" s="408">
        <v>3</v>
      </c>
      <c r="AR21" s="408">
        <v>4</v>
      </c>
      <c r="AS21" s="408">
        <v>10</v>
      </c>
      <c r="AT21" s="408">
        <v>11</v>
      </c>
      <c r="AU21" s="409">
        <v>12</v>
      </c>
      <c r="AV21" s="407">
        <v>7</v>
      </c>
      <c r="AW21" s="408">
        <v>7</v>
      </c>
      <c r="AX21" s="408">
        <v>7</v>
      </c>
      <c r="AY21" s="408">
        <v>7</v>
      </c>
      <c r="AZ21" s="409">
        <v>7</v>
      </c>
    </row>
    <row r="22" spans="2:52" s="371" customFormat="1" ht="15" customHeight="1">
      <c r="B22" s="397"/>
      <c r="C22" s="841" t="s">
        <v>2517</v>
      </c>
      <c r="E22" s="841"/>
      <c r="F22" s="807"/>
      <c r="G22" s="398"/>
      <c r="H22" s="399"/>
      <c r="I22" s="209"/>
      <c r="J22" s="405"/>
      <c r="K22" s="209"/>
      <c r="L22" s="209"/>
      <c r="M22" s="209"/>
      <c r="N22" s="209"/>
      <c r="O22" s="209"/>
      <c r="P22" s="209"/>
      <c r="Q22" s="210"/>
      <c r="R22" s="405"/>
      <c r="S22" s="209"/>
      <c r="T22" s="209"/>
      <c r="U22" s="209"/>
      <c r="V22" s="210"/>
      <c r="W22" s="401"/>
      <c r="X22" s="209"/>
      <c r="Y22" s="405"/>
      <c r="Z22" s="209"/>
      <c r="AA22" s="209"/>
      <c r="AB22" s="209"/>
      <c r="AC22" s="209"/>
      <c r="AD22" s="209"/>
      <c r="AE22" s="209"/>
      <c r="AF22" s="210"/>
      <c r="AG22" s="405"/>
      <c r="AH22" s="209"/>
      <c r="AI22" s="209"/>
      <c r="AJ22" s="209"/>
      <c r="AK22" s="210"/>
      <c r="AL22" s="401"/>
      <c r="AM22" s="209"/>
      <c r="AN22" s="816"/>
      <c r="AO22" s="817"/>
      <c r="AP22" s="817"/>
      <c r="AQ22" s="817"/>
      <c r="AR22" s="817"/>
      <c r="AS22" s="817"/>
      <c r="AT22" s="817"/>
      <c r="AU22" s="818"/>
      <c r="AV22" s="816"/>
      <c r="AW22" s="817"/>
      <c r="AX22" s="817"/>
      <c r="AY22" s="817"/>
      <c r="AZ22" s="818"/>
    </row>
    <row r="23" spans="2:52" s="371" customFormat="1" ht="15" customHeight="1">
      <c r="B23" s="397"/>
      <c r="D23" s="813" t="s">
        <v>2503</v>
      </c>
      <c r="E23" s="814"/>
      <c r="F23" s="809"/>
      <c r="G23" s="485"/>
      <c r="H23" s="399"/>
      <c r="I23" s="406" t="s">
        <v>498</v>
      </c>
      <c r="J23" s="297">
        <v>0</v>
      </c>
      <c r="K23" s="298">
        <v>0</v>
      </c>
      <c r="L23" s="298">
        <v>0</v>
      </c>
      <c r="M23" s="298">
        <v>0</v>
      </c>
      <c r="N23" s="298">
        <v>0</v>
      </c>
      <c r="O23" s="298">
        <v>0</v>
      </c>
      <c r="P23" s="298">
        <v>0</v>
      </c>
      <c r="Q23" s="299">
        <v>0</v>
      </c>
      <c r="R23" s="297">
        <v>0</v>
      </c>
      <c r="S23" s="298">
        <v>0</v>
      </c>
      <c r="T23" s="298">
        <v>0</v>
      </c>
      <c r="U23" s="298">
        <v>0</v>
      </c>
      <c r="V23" s="299">
        <v>0</v>
      </c>
      <c r="W23" s="401"/>
      <c r="X23" s="406" t="s">
        <v>498</v>
      </c>
      <c r="Y23" s="297">
        <v>0</v>
      </c>
      <c r="Z23" s="298">
        <v>0</v>
      </c>
      <c r="AA23" s="298">
        <v>0</v>
      </c>
      <c r="AB23" s="298">
        <v>0</v>
      </c>
      <c r="AC23" s="298">
        <v>0</v>
      </c>
      <c r="AD23" s="298">
        <v>0</v>
      </c>
      <c r="AE23" s="298">
        <v>0</v>
      </c>
      <c r="AF23" s="299">
        <v>0</v>
      </c>
      <c r="AG23" s="297">
        <v>0</v>
      </c>
      <c r="AH23" s="298">
        <v>0</v>
      </c>
      <c r="AI23" s="298">
        <v>0</v>
      </c>
      <c r="AJ23" s="298">
        <v>0</v>
      </c>
      <c r="AK23" s="299">
        <v>0</v>
      </c>
      <c r="AL23" s="401"/>
      <c r="AM23" s="406" t="s">
        <v>1876</v>
      </c>
      <c r="AN23" s="407">
        <v>0</v>
      </c>
      <c r="AO23" s="408">
        <v>0</v>
      </c>
      <c r="AP23" s="408">
        <v>0</v>
      </c>
      <c r="AQ23" s="408">
        <v>0</v>
      </c>
      <c r="AR23" s="408">
        <v>0</v>
      </c>
      <c r="AS23" s="408">
        <v>0</v>
      </c>
      <c r="AT23" s="408">
        <v>0</v>
      </c>
      <c r="AU23" s="409">
        <v>0</v>
      </c>
      <c r="AV23" s="407">
        <v>0</v>
      </c>
      <c r="AW23" s="408">
        <v>0</v>
      </c>
      <c r="AX23" s="408">
        <v>0</v>
      </c>
      <c r="AY23" s="408">
        <v>0</v>
      </c>
      <c r="AZ23" s="409">
        <v>0</v>
      </c>
    </row>
    <row r="24" spans="2:52" s="371" customFormat="1" ht="15" customHeight="1">
      <c r="B24" s="397"/>
      <c r="D24" s="813" t="s">
        <v>2504</v>
      </c>
      <c r="E24" s="814"/>
      <c r="F24" s="809"/>
      <c r="G24" s="485"/>
      <c r="H24" s="399"/>
      <c r="I24" s="406" t="s">
        <v>498</v>
      </c>
      <c r="J24" s="297">
        <v>0</v>
      </c>
      <c r="K24" s="298">
        <v>0</v>
      </c>
      <c r="L24" s="298">
        <v>7.2963840488757523E-2</v>
      </c>
      <c r="M24" s="298">
        <v>0.47956800476844574</v>
      </c>
      <c r="N24" s="298">
        <v>0.4708026002711872</v>
      </c>
      <c r="O24" s="298">
        <v>0.7453623909209961</v>
      </c>
      <c r="P24" s="298">
        <v>0.92439322763095244</v>
      </c>
      <c r="Q24" s="299">
        <v>0.60103897333042045</v>
      </c>
      <c r="R24" s="297">
        <v>0.19492685497922338</v>
      </c>
      <c r="S24" s="298">
        <v>0.19492685497922338</v>
      </c>
      <c r="T24" s="298">
        <v>0.19492685497922338</v>
      </c>
      <c r="U24" s="298">
        <v>0.19492685497922338</v>
      </c>
      <c r="V24" s="299">
        <v>0.19492685497922338</v>
      </c>
      <c r="W24" s="401"/>
      <c r="X24" s="406" t="s">
        <v>498</v>
      </c>
      <c r="Y24" s="297">
        <v>0</v>
      </c>
      <c r="Z24" s="298">
        <v>0</v>
      </c>
      <c r="AA24" s="298">
        <v>0</v>
      </c>
      <c r="AB24" s="298">
        <v>0</v>
      </c>
      <c r="AC24" s="298">
        <v>0</v>
      </c>
      <c r="AD24" s="298">
        <v>0</v>
      </c>
      <c r="AE24" s="298">
        <v>0</v>
      </c>
      <c r="AF24" s="299">
        <v>0</v>
      </c>
      <c r="AG24" s="297">
        <v>0</v>
      </c>
      <c r="AH24" s="298">
        <v>0</v>
      </c>
      <c r="AI24" s="298">
        <v>0</v>
      </c>
      <c r="AJ24" s="298">
        <v>0</v>
      </c>
      <c r="AK24" s="299">
        <v>0</v>
      </c>
      <c r="AL24" s="401"/>
      <c r="AM24" s="406" t="s">
        <v>1876</v>
      </c>
      <c r="AN24" s="407">
        <v>6</v>
      </c>
      <c r="AO24" s="408">
        <v>0</v>
      </c>
      <c r="AP24" s="408">
        <v>10</v>
      </c>
      <c r="AQ24" s="408">
        <v>10</v>
      </c>
      <c r="AR24" s="408">
        <v>25</v>
      </c>
      <c r="AS24" s="408">
        <v>36</v>
      </c>
      <c r="AT24" s="408">
        <v>39</v>
      </c>
      <c r="AU24" s="409">
        <v>47</v>
      </c>
      <c r="AV24" s="407">
        <v>15</v>
      </c>
      <c r="AW24" s="408">
        <v>15</v>
      </c>
      <c r="AX24" s="408">
        <v>15</v>
      </c>
      <c r="AY24" s="408">
        <v>15</v>
      </c>
      <c r="AZ24" s="409">
        <v>15</v>
      </c>
    </row>
    <row r="25" spans="2:52" s="371" customFormat="1" ht="15" customHeight="1">
      <c r="B25" s="397"/>
      <c r="C25" s="841" t="s">
        <v>2518</v>
      </c>
      <c r="E25" s="841"/>
      <c r="F25" s="807"/>
      <c r="G25" s="398"/>
      <c r="H25" s="399"/>
      <c r="I25" s="209"/>
      <c r="J25" s="405"/>
      <c r="K25" s="209"/>
      <c r="L25" s="209"/>
      <c r="M25" s="209"/>
      <c r="N25" s="209"/>
      <c r="O25" s="209"/>
      <c r="P25" s="209"/>
      <c r="Q25" s="210"/>
      <c r="R25" s="405"/>
      <c r="S25" s="209"/>
      <c r="T25" s="209"/>
      <c r="U25" s="209"/>
      <c r="V25" s="210"/>
      <c r="W25" s="401"/>
      <c r="X25" s="209"/>
      <c r="Y25" s="405"/>
      <c r="Z25" s="209"/>
      <c r="AA25" s="209"/>
      <c r="AB25" s="209"/>
      <c r="AC25" s="209"/>
      <c r="AD25" s="209"/>
      <c r="AE25" s="209"/>
      <c r="AF25" s="210"/>
      <c r="AG25" s="405"/>
      <c r="AH25" s="209"/>
      <c r="AI25" s="209"/>
      <c r="AJ25" s="209"/>
      <c r="AK25" s="210"/>
      <c r="AL25" s="401"/>
      <c r="AM25" s="209"/>
      <c r="AN25" s="816"/>
      <c r="AO25" s="817"/>
      <c r="AP25" s="817"/>
      <c r="AQ25" s="817"/>
      <c r="AR25" s="817"/>
      <c r="AS25" s="817"/>
      <c r="AT25" s="817"/>
      <c r="AU25" s="818"/>
      <c r="AV25" s="816"/>
      <c r="AW25" s="817"/>
      <c r="AX25" s="817"/>
      <c r="AY25" s="817"/>
      <c r="AZ25" s="818"/>
    </row>
    <row r="26" spans="2:52" s="371" customFormat="1" ht="15" customHeight="1">
      <c r="B26" s="397"/>
      <c r="D26" s="813" t="s">
        <v>2503</v>
      </c>
      <c r="E26" s="814"/>
      <c r="F26" s="809"/>
      <c r="G26" s="485"/>
      <c r="H26" s="399"/>
      <c r="I26" s="406" t="s">
        <v>498</v>
      </c>
      <c r="J26" s="297">
        <v>1.7099060444646097E-2</v>
      </c>
      <c r="K26" s="298">
        <v>8.8303792207792178E-2</v>
      </c>
      <c r="L26" s="298">
        <v>0</v>
      </c>
      <c r="M26" s="298">
        <v>9.6377459643611843E-3</v>
      </c>
      <c r="N26" s="298">
        <v>0</v>
      </c>
      <c r="O26" s="298">
        <v>0</v>
      </c>
      <c r="P26" s="298">
        <v>0</v>
      </c>
      <c r="Q26" s="299">
        <v>0</v>
      </c>
      <c r="R26" s="297">
        <v>0</v>
      </c>
      <c r="S26" s="298">
        <v>0</v>
      </c>
      <c r="T26" s="298">
        <v>0</v>
      </c>
      <c r="U26" s="298">
        <v>0</v>
      </c>
      <c r="V26" s="299">
        <v>0</v>
      </c>
      <c r="W26" s="401"/>
      <c r="X26" s="406" t="s">
        <v>498</v>
      </c>
      <c r="Y26" s="297">
        <v>0</v>
      </c>
      <c r="Z26" s="298">
        <v>0</v>
      </c>
      <c r="AA26" s="298">
        <v>0</v>
      </c>
      <c r="AB26" s="298">
        <v>0</v>
      </c>
      <c r="AC26" s="298">
        <v>0</v>
      </c>
      <c r="AD26" s="298">
        <v>0</v>
      </c>
      <c r="AE26" s="298">
        <v>0</v>
      </c>
      <c r="AF26" s="299">
        <v>0</v>
      </c>
      <c r="AG26" s="297">
        <v>0</v>
      </c>
      <c r="AH26" s="298">
        <v>0</v>
      </c>
      <c r="AI26" s="298">
        <v>0</v>
      </c>
      <c r="AJ26" s="298">
        <v>0</v>
      </c>
      <c r="AK26" s="299">
        <v>0</v>
      </c>
      <c r="AL26" s="401"/>
      <c r="AM26" s="406" t="s">
        <v>1876</v>
      </c>
      <c r="AN26" s="407">
        <v>0</v>
      </c>
      <c r="AO26" s="408">
        <v>0</v>
      </c>
      <c r="AP26" s="408">
        <v>0</v>
      </c>
      <c r="AQ26" s="408">
        <v>0</v>
      </c>
      <c r="AR26" s="408">
        <v>0</v>
      </c>
      <c r="AS26" s="408">
        <v>0</v>
      </c>
      <c r="AT26" s="408">
        <v>0</v>
      </c>
      <c r="AU26" s="409">
        <v>0</v>
      </c>
      <c r="AV26" s="407">
        <v>0</v>
      </c>
      <c r="AW26" s="408">
        <v>0</v>
      </c>
      <c r="AX26" s="408">
        <v>0</v>
      </c>
      <c r="AY26" s="408">
        <v>0</v>
      </c>
      <c r="AZ26" s="409">
        <v>0</v>
      </c>
    </row>
    <row r="27" spans="2:52" s="371" customFormat="1" ht="15" customHeight="1">
      <c r="B27" s="397"/>
      <c r="D27" s="813" t="s">
        <v>2504</v>
      </c>
      <c r="E27" s="814"/>
      <c r="F27" s="809"/>
      <c r="G27" s="485"/>
      <c r="H27" s="399"/>
      <c r="I27" s="406" t="s">
        <v>498</v>
      </c>
      <c r="J27" s="297">
        <v>0.33374934395801586</v>
      </c>
      <c r="K27" s="298">
        <v>0.51768098181818156</v>
      </c>
      <c r="L27" s="298">
        <v>0.26669355934194566</v>
      </c>
      <c r="M27" s="298">
        <v>1.4122909252507242E-2</v>
      </c>
      <c r="N27" s="298">
        <v>8.4260772423229505E-2</v>
      </c>
      <c r="O27" s="298">
        <v>0.1381628330557709</v>
      </c>
      <c r="P27" s="298">
        <v>0.59474897753833122</v>
      </c>
      <c r="Q27" s="299">
        <v>9.0271245482442489E-2</v>
      </c>
      <c r="R27" s="297">
        <v>7.6898529702296867E-2</v>
      </c>
      <c r="S27" s="298">
        <v>7.6898529702296867E-2</v>
      </c>
      <c r="T27" s="298">
        <v>7.6898529702296867E-2</v>
      </c>
      <c r="U27" s="298">
        <v>7.6898529702296867E-2</v>
      </c>
      <c r="V27" s="299">
        <v>7.6898529702296867E-2</v>
      </c>
      <c r="W27" s="401"/>
      <c r="X27" s="406" t="s">
        <v>498</v>
      </c>
      <c r="Y27" s="297">
        <v>0</v>
      </c>
      <c r="Z27" s="298">
        <v>0</v>
      </c>
      <c r="AA27" s="298">
        <v>0</v>
      </c>
      <c r="AB27" s="298">
        <v>0</v>
      </c>
      <c r="AC27" s="298">
        <v>0</v>
      </c>
      <c r="AD27" s="298">
        <v>0</v>
      </c>
      <c r="AE27" s="298">
        <v>0</v>
      </c>
      <c r="AF27" s="299">
        <v>0</v>
      </c>
      <c r="AG27" s="297">
        <v>0</v>
      </c>
      <c r="AH27" s="298">
        <v>0</v>
      </c>
      <c r="AI27" s="298">
        <v>0</v>
      </c>
      <c r="AJ27" s="298">
        <v>0</v>
      </c>
      <c r="AK27" s="299">
        <v>0</v>
      </c>
      <c r="AL27" s="401"/>
      <c r="AM27" s="406" t="s">
        <v>1876</v>
      </c>
      <c r="AN27" s="407">
        <v>11</v>
      </c>
      <c r="AO27" s="408">
        <v>1</v>
      </c>
      <c r="AP27" s="408">
        <v>9</v>
      </c>
      <c r="AQ27" s="408">
        <v>2</v>
      </c>
      <c r="AR27" s="408">
        <v>4</v>
      </c>
      <c r="AS27" s="408">
        <v>5</v>
      </c>
      <c r="AT27" s="408">
        <v>14</v>
      </c>
      <c r="AU27" s="409">
        <v>2</v>
      </c>
      <c r="AV27" s="407">
        <v>5</v>
      </c>
      <c r="AW27" s="408">
        <v>5</v>
      </c>
      <c r="AX27" s="408">
        <v>5</v>
      </c>
      <c r="AY27" s="408">
        <v>5</v>
      </c>
      <c r="AZ27" s="409">
        <v>5</v>
      </c>
    </row>
    <row r="28" spans="2:52" s="371" customFormat="1" ht="15" customHeight="1">
      <c r="B28" s="397"/>
      <c r="C28" s="841" t="s">
        <v>2519</v>
      </c>
      <c r="E28" s="841"/>
      <c r="F28" s="807"/>
      <c r="G28" s="398"/>
      <c r="H28" s="399"/>
      <c r="I28" s="209"/>
      <c r="J28" s="405"/>
      <c r="K28" s="209"/>
      <c r="L28" s="209"/>
      <c r="M28" s="209"/>
      <c r="N28" s="209"/>
      <c r="O28" s="209"/>
      <c r="P28" s="209"/>
      <c r="Q28" s="210"/>
      <c r="R28" s="405"/>
      <c r="S28" s="209"/>
      <c r="T28" s="209"/>
      <c r="U28" s="209"/>
      <c r="V28" s="210"/>
      <c r="W28" s="401"/>
      <c r="X28" s="209"/>
      <c r="Y28" s="405"/>
      <c r="Z28" s="209"/>
      <c r="AA28" s="209"/>
      <c r="AB28" s="209"/>
      <c r="AC28" s="209"/>
      <c r="AD28" s="209"/>
      <c r="AE28" s="209"/>
      <c r="AF28" s="210"/>
      <c r="AG28" s="405"/>
      <c r="AH28" s="209"/>
      <c r="AI28" s="209"/>
      <c r="AJ28" s="209"/>
      <c r="AK28" s="210"/>
      <c r="AL28" s="401"/>
      <c r="AM28" s="209"/>
      <c r="AN28" s="816"/>
      <c r="AO28" s="817"/>
      <c r="AP28" s="817"/>
      <c r="AQ28" s="817"/>
      <c r="AR28" s="817"/>
      <c r="AS28" s="817"/>
      <c r="AT28" s="817"/>
      <c r="AU28" s="818"/>
      <c r="AV28" s="816"/>
      <c r="AW28" s="817"/>
      <c r="AX28" s="817"/>
      <c r="AY28" s="817"/>
      <c r="AZ28" s="818"/>
    </row>
    <row r="29" spans="2:52" s="371" customFormat="1" ht="15" customHeight="1">
      <c r="B29" s="397"/>
      <c r="D29" s="813" t="s">
        <v>2503</v>
      </c>
      <c r="E29" s="814"/>
      <c r="F29" s="809"/>
      <c r="G29" s="485"/>
      <c r="H29" s="399"/>
      <c r="I29" s="406" t="s">
        <v>498</v>
      </c>
      <c r="J29" s="297">
        <v>0</v>
      </c>
      <c r="K29" s="298">
        <v>0</v>
      </c>
      <c r="L29" s="298">
        <v>0</v>
      </c>
      <c r="M29" s="298">
        <v>0</v>
      </c>
      <c r="N29" s="298">
        <v>0</v>
      </c>
      <c r="O29" s="298">
        <v>0</v>
      </c>
      <c r="P29" s="298">
        <v>0</v>
      </c>
      <c r="Q29" s="299">
        <v>0</v>
      </c>
      <c r="R29" s="297">
        <v>0</v>
      </c>
      <c r="S29" s="298">
        <v>0</v>
      </c>
      <c r="T29" s="298">
        <v>0</v>
      </c>
      <c r="U29" s="298">
        <v>0</v>
      </c>
      <c r="V29" s="299">
        <v>0</v>
      </c>
      <c r="W29" s="401"/>
      <c r="X29" s="406" t="s">
        <v>498</v>
      </c>
      <c r="Y29" s="297">
        <v>0</v>
      </c>
      <c r="Z29" s="298">
        <v>0</v>
      </c>
      <c r="AA29" s="298">
        <v>0</v>
      </c>
      <c r="AB29" s="298">
        <v>0</v>
      </c>
      <c r="AC29" s="298">
        <v>0</v>
      </c>
      <c r="AD29" s="298">
        <v>0</v>
      </c>
      <c r="AE29" s="298">
        <v>0</v>
      </c>
      <c r="AF29" s="299">
        <v>0</v>
      </c>
      <c r="AG29" s="297">
        <v>0</v>
      </c>
      <c r="AH29" s="298">
        <v>0</v>
      </c>
      <c r="AI29" s="298">
        <v>0</v>
      </c>
      <c r="AJ29" s="298">
        <v>0</v>
      </c>
      <c r="AK29" s="299">
        <v>0</v>
      </c>
      <c r="AL29" s="401"/>
      <c r="AM29" s="406" t="s">
        <v>1876</v>
      </c>
      <c r="AN29" s="407">
        <v>0</v>
      </c>
      <c r="AO29" s="408">
        <v>0</v>
      </c>
      <c r="AP29" s="408">
        <v>0</v>
      </c>
      <c r="AQ29" s="408">
        <v>0</v>
      </c>
      <c r="AR29" s="408">
        <v>0</v>
      </c>
      <c r="AS29" s="408">
        <v>0</v>
      </c>
      <c r="AT29" s="408">
        <v>0</v>
      </c>
      <c r="AU29" s="409">
        <v>0</v>
      </c>
      <c r="AV29" s="407">
        <v>0</v>
      </c>
      <c r="AW29" s="408">
        <v>0</v>
      </c>
      <c r="AX29" s="408">
        <v>0</v>
      </c>
      <c r="AY29" s="408">
        <v>0</v>
      </c>
      <c r="AZ29" s="409">
        <v>0</v>
      </c>
    </row>
    <row r="30" spans="2:52" s="371" customFormat="1" ht="15" customHeight="1">
      <c r="B30" s="397"/>
      <c r="D30" s="813" t="s">
        <v>2504</v>
      </c>
      <c r="E30" s="814"/>
      <c r="F30" s="809"/>
      <c r="G30" s="485"/>
      <c r="H30" s="399"/>
      <c r="I30" s="406" t="s">
        <v>498</v>
      </c>
      <c r="J30" s="297">
        <v>0</v>
      </c>
      <c r="K30" s="298">
        <v>2.2075948051948045E-2</v>
      </c>
      <c r="L30" s="298">
        <v>8.3955652155826774E-2</v>
      </c>
      <c r="M30" s="298">
        <v>0</v>
      </c>
      <c r="N30" s="298">
        <v>0</v>
      </c>
      <c r="O30" s="298">
        <v>0.10473430811496769</v>
      </c>
      <c r="P30" s="298">
        <v>1.195412360192632E-6</v>
      </c>
      <c r="Q30" s="299">
        <v>0</v>
      </c>
      <c r="R30" s="297">
        <v>1.3422109371362935E-2</v>
      </c>
      <c r="S30" s="298">
        <v>1.3422109371362935E-2</v>
      </c>
      <c r="T30" s="298">
        <v>1.3422109371362935E-2</v>
      </c>
      <c r="U30" s="298">
        <v>1.3422109371362935E-2</v>
      </c>
      <c r="V30" s="299">
        <v>1.3422109371362935E-2</v>
      </c>
      <c r="W30" s="401"/>
      <c r="X30" s="406" t="s">
        <v>498</v>
      </c>
      <c r="Y30" s="297">
        <v>0</v>
      </c>
      <c r="Z30" s="298">
        <v>0</v>
      </c>
      <c r="AA30" s="298">
        <v>0</v>
      </c>
      <c r="AB30" s="298">
        <v>0</v>
      </c>
      <c r="AC30" s="298">
        <v>0</v>
      </c>
      <c r="AD30" s="298">
        <v>0</v>
      </c>
      <c r="AE30" s="298">
        <v>0</v>
      </c>
      <c r="AF30" s="299">
        <v>0</v>
      </c>
      <c r="AG30" s="297">
        <v>0</v>
      </c>
      <c r="AH30" s="298">
        <v>0</v>
      </c>
      <c r="AI30" s="298">
        <v>0</v>
      </c>
      <c r="AJ30" s="298">
        <v>0</v>
      </c>
      <c r="AK30" s="299">
        <v>0</v>
      </c>
      <c r="AL30" s="401"/>
      <c r="AM30" s="406" t="s">
        <v>1876</v>
      </c>
      <c r="AN30" s="407">
        <v>0</v>
      </c>
      <c r="AO30" s="408">
        <v>2</v>
      </c>
      <c r="AP30" s="408">
        <v>10</v>
      </c>
      <c r="AQ30" s="408">
        <v>0</v>
      </c>
      <c r="AR30" s="408">
        <v>1</v>
      </c>
      <c r="AS30" s="408">
        <v>2</v>
      </c>
      <c r="AT30" s="408">
        <v>1</v>
      </c>
      <c r="AU30" s="409">
        <v>0</v>
      </c>
      <c r="AV30" s="407">
        <v>2</v>
      </c>
      <c r="AW30" s="408">
        <v>2</v>
      </c>
      <c r="AX30" s="408">
        <v>2</v>
      </c>
      <c r="AY30" s="408">
        <v>2</v>
      </c>
      <c r="AZ30" s="409">
        <v>2</v>
      </c>
    </row>
    <row r="31" spans="2:52" s="371" customFormat="1" ht="15" customHeight="1">
      <c r="B31" s="840"/>
      <c r="C31" s="807"/>
      <c r="D31" s="807"/>
      <c r="E31" s="807"/>
      <c r="F31" s="807"/>
      <c r="G31" s="398"/>
      <c r="H31" s="399"/>
      <c r="I31" s="209"/>
      <c r="J31" s="405"/>
      <c r="K31" s="209"/>
      <c r="L31" s="209"/>
      <c r="M31" s="209"/>
      <c r="N31" s="209"/>
      <c r="O31" s="209"/>
      <c r="P31" s="209"/>
      <c r="Q31" s="210"/>
      <c r="R31" s="405"/>
      <c r="S31" s="209"/>
      <c r="T31" s="209"/>
      <c r="U31" s="209"/>
      <c r="V31" s="210"/>
      <c r="W31" s="401"/>
      <c r="X31" s="209"/>
      <c r="Y31" s="405"/>
      <c r="Z31" s="209"/>
      <c r="AA31" s="209"/>
      <c r="AB31" s="209"/>
      <c r="AC31" s="209"/>
      <c r="AD31" s="209"/>
      <c r="AE31" s="209"/>
      <c r="AF31" s="210"/>
      <c r="AG31" s="405"/>
      <c r="AH31" s="209"/>
      <c r="AI31" s="209"/>
      <c r="AJ31" s="209"/>
      <c r="AK31" s="210"/>
      <c r="AL31" s="401"/>
      <c r="AM31" s="401"/>
      <c r="AN31" s="816"/>
      <c r="AO31" s="817"/>
      <c r="AP31" s="817"/>
      <c r="AQ31" s="817"/>
      <c r="AR31" s="817"/>
      <c r="AS31" s="817"/>
      <c r="AT31" s="817"/>
      <c r="AU31" s="818"/>
      <c r="AV31" s="816"/>
      <c r="AW31" s="817"/>
      <c r="AX31" s="817"/>
      <c r="AY31" s="817"/>
      <c r="AZ31" s="818"/>
    </row>
    <row r="32" spans="2:52" s="371" customFormat="1" ht="15" customHeight="1" thickBot="1">
      <c r="B32" s="815" t="s">
        <v>1701</v>
      </c>
      <c r="C32" s="810"/>
      <c r="D32" s="810"/>
      <c r="E32" s="810"/>
      <c r="F32" s="810"/>
      <c r="G32" s="390"/>
      <c r="H32" s="391"/>
      <c r="I32" s="410" t="s">
        <v>498</v>
      </c>
      <c r="J32" s="749">
        <f t="shared" ref="J32:V32" si="3">SUM(J20:J21,J23:J24,J26:J27,J29:J30)</f>
        <v>1.3498562975352808</v>
      </c>
      <c r="K32" s="750">
        <f t="shared" si="3"/>
        <v>1.5199290233766227</v>
      </c>
      <c r="L32" s="750">
        <f t="shared" si="3"/>
        <v>1.7750014770452622</v>
      </c>
      <c r="M32" s="750">
        <f t="shared" si="3"/>
        <v>1.6778908494361686</v>
      </c>
      <c r="N32" s="750">
        <f t="shared" si="3"/>
        <v>1.3381061504629748</v>
      </c>
      <c r="O32" s="750">
        <f t="shared" si="3"/>
        <v>2.4029838450470122</v>
      </c>
      <c r="P32" s="750">
        <f t="shared" si="3"/>
        <v>2.992322593653749</v>
      </c>
      <c r="Q32" s="751">
        <f t="shared" si="3"/>
        <v>2.3483854869863516</v>
      </c>
      <c r="R32" s="749">
        <f t="shared" si="3"/>
        <v>1.4000484734028074</v>
      </c>
      <c r="S32" s="750">
        <f t="shared" si="3"/>
        <v>1.4000484734028074</v>
      </c>
      <c r="T32" s="750">
        <f t="shared" si="3"/>
        <v>1.4000484734028074</v>
      </c>
      <c r="U32" s="750">
        <f t="shared" si="3"/>
        <v>1.4000484734028074</v>
      </c>
      <c r="V32" s="751">
        <f t="shared" si="3"/>
        <v>1.4000484734028074</v>
      </c>
      <c r="W32" s="411"/>
      <c r="X32" s="410" t="s">
        <v>498</v>
      </c>
      <c r="Y32" s="749">
        <f t="shared" ref="Y32:AK32" si="4">SUM(Y20:Y21,Y23:Y24,Y26:Y27,Y29:Y30)</f>
        <v>0</v>
      </c>
      <c r="Z32" s="750">
        <f t="shared" si="4"/>
        <v>0</v>
      </c>
      <c r="AA32" s="750">
        <f t="shared" si="4"/>
        <v>0</v>
      </c>
      <c r="AB32" s="750">
        <f t="shared" si="4"/>
        <v>0</v>
      </c>
      <c r="AC32" s="750">
        <f t="shared" si="4"/>
        <v>0</v>
      </c>
      <c r="AD32" s="750">
        <f t="shared" si="4"/>
        <v>0</v>
      </c>
      <c r="AE32" s="750">
        <f t="shared" si="4"/>
        <v>0</v>
      </c>
      <c r="AF32" s="751">
        <f t="shared" si="4"/>
        <v>0</v>
      </c>
      <c r="AG32" s="749">
        <f t="shared" si="4"/>
        <v>0</v>
      </c>
      <c r="AH32" s="750">
        <f t="shared" si="4"/>
        <v>0</v>
      </c>
      <c r="AI32" s="750">
        <f t="shared" si="4"/>
        <v>0</v>
      </c>
      <c r="AJ32" s="750">
        <f t="shared" si="4"/>
        <v>0</v>
      </c>
      <c r="AK32" s="751">
        <f t="shared" si="4"/>
        <v>0</v>
      </c>
      <c r="AL32" s="411"/>
      <c r="AM32" s="412" t="s">
        <v>1876</v>
      </c>
      <c r="AN32" s="819">
        <f t="shared" ref="AN32:AZ32" si="5">SUM(AN20:AN21,AN23:AN24,AN26:AN27,AN29:AN30)</f>
        <v>26</v>
      </c>
      <c r="AO32" s="820">
        <f t="shared" si="5"/>
        <v>8</v>
      </c>
      <c r="AP32" s="820">
        <f t="shared" si="5"/>
        <v>35</v>
      </c>
      <c r="AQ32" s="820">
        <f t="shared" si="5"/>
        <v>20</v>
      </c>
      <c r="AR32" s="820">
        <f t="shared" si="5"/>
        <v>36</v>
      </c>
      <c r="AS32" s="820">
        <f t="shared" si="5"/>
        <v>53</v>
      </c>
      <c r="AT32" s="820">
        <f t="shared" si="5"/>
        <v>65</v>
      </c>
      <c r="AU32" s="821">
        <f t="shared" si="5"/>
        <v>61</v>
      </c>
      <c r="AV32" s="819">
        <f t="shared" si="5"/>
        <v>30</v>
      </c>
      <c r="AW32" s="820">
        <f t="shared" si="5"/>
        <v>30</v>
      </c>
      <c r="AX32" s="820">
        <f t="shared" si="5"/>
        <v>30</v>
      </c>
      <c r="AY32" s="820">
        <f t="shared" si="5"/>
        <v>30</v>
      </c>
      <c r="AZ32" s="821">
        <f t="shared" si="5"/>
        <v>30</v>
      </c>
    </row>
    <row r="33" spans="2:58" s="371" customFormat="1" ht="15" customHeight="1" thickBot="1">
      <c r="G33" s="372"/>
      <c r="H33" s="372"/>
      <c r="BA33" s="374"/>
      <c r="BB33" s="374"/>
      <c r="BC33" s="374"/>
      <c r="BD33" s="374"/>
      <c r="BE33" s="374"/>
      <c r="BF33" s="374"/>
    </row>
    <row r="34" spans="2:58" s="371" customFormat="1" ht="30" customHeight="1" thickBot="1">
      <c r="B34" s="393" t="s">
        <v>2424</v>
      </c>
      <c r="C34" s="805"/>
      <c r="D34" s="805"/>
      <c r="E34" s="805"/>
      <c r="F34" s="805"/>
      <c r="G34" s="394"/>
      <c r="H34" s="395"/>
      <c r="I34" s="105" t="s">
        <v>1864</v>
      </c>
      <c r="J34" s="106"/>
      <c r="K34" s="106"/>
      <c r="L34" s="106"/>
      <c r="M34" s="106"/>
      <c r="N34" s="106"/>
      <c r="O34" s="106"/>
      <c r="P34" s="106"/>
      <c r="Q34" s="106"/>
      <c r="R34" s="105"/>
      <c r="S34" s="105"/>
      <c r="T34" s="105"/>
      <c r="U34" s="105"/>
      <c r="V34" s="187"/>
      <c r="W34" s="396"/>
      <c r="X34" s="105" t="s">
        <v>2202</v>
      </c>
      <c r="Y34" s="106"/>
      <c r="Z34" s="106"/>
      <c r="AA34" s="106"/>
      <c r="AB34" s="106"/>
      <c r="AC34" s="106"/>
      <c r="AD34" s="106"/>
      <c r="AE34" s="106"/>
      <c r="AF34" s="106"/>
      <c r="AG34" s="105"/>
      <c r="AH34" s="105"/>
      <c r="AI34" s="105"/>
      <c r="AJ34" s="105"/>
      <c r="AK34" s="187"/>
      <c r="AL34" s="396"/>
      <c r="AM34" s="105" t="s">
        <v>2231</v>
      </c>
      <c r="AN34" s="106"/>
      <c r="AO34" s="106"/>
      <c r="AP34" s="106"/>
      <c r="AQ34" s="106"/>
      <c r="AR34" s="106"/>
      <c r="AS34" s="106"/>
      <c r="AT34" s="106"/>
      <c r="AU34" s="106"/>
      <c r="AV34" s="105"/>
      <c r="AW34" s="105"/>
      <c r="AX34" s="105"/>
      <c r="AY34" s="105"/>
      <c r="AZ34" s="187"/>
    </row>
    <row r="35" spans="2:58" s="371" customFormat="1" ht="30" customHeight="1">
      <c r="B35" s="397"/>
      <c r="C35" s="398"/>
      <c r="D35" s="398"/>
      <c r="E35" s="398"/>
      <c r="F35" s="398"/>
      <c r="G35" s="398"/>
      <c r="H35" s="399"/>
      <c r="I35" s="400"/>
      <c r="J35" s="424" t="s">
        <v>1666</v>
      </c>
      <c r="K35" s="425"/>
      <c r="L35" s="425"/>
      <c r="M35" s="425"/>
      <c r="N35" s="425"/>
      <c r="O35" s="425"/>
      <c r="P35" s="425"/>
      <c r="Q35" s="426"/>
      <c r="R35" s="427" t="s">
        <v>2</v>
      </c>
      <c r="S35" s="428"/>
      <c r="T35" s="428"/>
      <c r="U35" s="428"/>
      <c r="V35" s="429"/>
      <c r="W35" s="401"/>
      <c r="X35" s="400"/>
      <c r="Y35" s="424" t="s">
        <v>1666</v>
      </c>
      <c r="Z35" s="425"/>
      <c r="AA35" s="425"/>
      <c r="AB35" s="425"/>
      <c r="AC35" s="425"/>
      <c r="AD35" s="425"/>
      <c r="AE35" s="425"/>
      <c r="AF35" s="426"/>
      <c r="AG35" s="427" t="s">
        <v>2</v>
      </c>
      <c r="AH35" s="428"/>
      <c r="AI35" s="428"/>
      <c r="AJ35" s="428"/>
      <c r="AK35" s="429"/>
      <c r="AL35" s="401"/>
      <c r="AM35" s="400"/>
      <c r="AN35" s="424" t="s">
        <v>1666</v>
      </c>
      <c r="AO35" s="425"/>
      <c r="AP35" s="425"/>
      <c r="AQ35" s="425"/>
      <c r="AR35" s="425"/>
      <c r="AS35" s="425"/>
      <c r="AT35" s="425"/>
      <c r="AU35" s="426"/>
      <c r="AV35" s="428" t="s">
        <v>2</v>
      </c>
      <c r="AW35" s="428"/>
      <c r="AX35" s="428"/>
      <c r="AY35" s="428"/>
      <c r="AZ35" s="429"/>
    </row>
    <row r="36" spans="2:58" s="371" customFormat="1" ht="15" customHeight="1">
      <c r="B36" s="402"/>
      <c r="C36" s="806"/>
      <c r="D36" s="806"/>
      <c r="E36" s="806"/>
      <c r="F36" s="806"/>
      <c r="G36" s="398"/>
      <c r="H36" s="399"/>
      <c r="I36" s="403" t="s">
        <v>1667</v>
      </c>
      <c r="J36" s="430" t="s">
        <v>453</v>
      </c>
      <c r="K36" s="431" t="s">
        <v>455</v>
      </c>
      <c r="L36" s="431" t="s">
        <v>457</v>
      </c>
      <c r="M36" s="431" t="s">
        <v>459</v>
      </c>
      <c r="N36" s="431" t="s">
        <v>461</v>
      </c>
      <c r="O36" s="431" t="s">
        <v>463</v>
      </c>
      <c r="P36" s="431" t="s">
        <v>465</v>
      </c>
      <c r="Q36" s="432" t="s">
        <v>467</v>
      </c>
      <c r="R36" s="430" t="s">
        <v>469</v>
      </c>
      <c r="S36" s="431" t="s">
        <v>471</v>
      </c>
      <c r="T36" s="431" t="s">
        <v>473</v>
      </c>
      <c r="U36" s="431" t="s">
        <v>475</v>
      </c>
      <c r="V36" s="432" t="s">
        <v>477</v>
      </c>
      <c r="W36" s="401"/>
      <c r="X36" s="403" t="s">
        <v>1667</v>
      </c>
      <c r="Y36" s="430" t="s">
        <v>453</v>
      </c>
      <c r="Z36" s="431" t="s">
        <v>455</v>
      </c>
      <c r="AA36" s="431" t="s">
        <v>457</v>
      </c>
      <c r="AB36" s="431" t="s">
        <v>459</v>
      </c>
      <c r="AC36" s="431" t="s">
        <v>461</v>
      </c>
      <c r="AD36" s="431" t="s">
        <v>463</v>
      </c>
      <c r="AE36" s="431" t="s">
        <v>465</v>
      </c>
      <c r="AF36" s="432" t="s">
        <v>467</v>
      </c>
      <c r="AG36" s="430" t="s">
        <v>469</v>
      </c>
      <c r="AH36" s="431" t="s">
        <v>471</v>
      </c>
      <c r="AI36" s="431" t="s">
        <v>473</v>
      </c>
      <c r="AJ36" s="431" t="s">
        <v>475</v>
      </c>
      <c r="AK36" s="432" t="s">
        <v>477</v>
      </c>
      <c r="AL36" s="401"/>
      <c r="AM36" s="403" t="s">
        <v>1667</v>
      </c>
      <c r="AN36" s="430" t="s">
        <v>453</v>
      </c>
      <c r="AO36" s="431" t="s">
        <v>455</v>
      </c>
      <c r="AP36" s="431" t="s">
        <v>457</v>
      </c>
      <c r="AQ36" s="431" t="s">
        <v>459</v>
      </c>
      <c r="AR36" s="431" t="s">
        <v>461</v>
      </c>
      <c r="AS36" s="431" t="s">
        <v>463</v>
      </c>
      <c r="AT36" s="431" t="s">
        <v>465</v>
      </c>
      <c r="AU36" s="432" t="s">
        <v>467</v>
      </c>
      <c r="AV36" s="459" t="s">
        <v>469</v>
      </c>
      <c r="AW36" s="431" t="s">
        <v>471</v>
      </c>
      <c r="AX36" s="431" t="s">
        <v>473</v>
      </c>
      <c r="AY36" s="431" t="s">
        <v>475</v>
      </c>
      <c r="AZ36" s="432" t="s">
        <v>477</v>
      </c>
    </row>
    <row r="37" spans="2:58" s="371" customFormat="1" ht="15" customHeight="1">
      <c r="B37" s="402"/>
      <c r="C37" s="841" t="s">
        <v>2520</v>
      </c>
      <c r="D37" s="807"/>
      <c r="E37" s="807"/>
      <c r="F37" s="807"/>
      <c r="G37" s="398"/>
      <c r="H37" s="399"/>
      <c r="I37" s="209"/>
      <c r="J37" s="405"/>
      <c r="K37" s="209"/>
      <c r="L37" s="209"/>
      <c r="M37" s="209"/>
      <c r="N37" s="209"/>
      <c r="O37" s="209"/>
      <c r="P37" s="209"/>
      <c r="Q37" s="210"/>
      <c r="R37" s="405"/>
      <c r="S37" s="209"/>
      <c r="T37" s="209"/>
      <c r="U37" s="209"/>
      <c r="V37" s="210"/>
      <c r="W37" s="401"/>
      <c r="X37" s="209"/>
      <c r="Y37" s="405"/>
      <c r="Z37" s="209"/>
      <c r="AA37" s="209"/>
      <c r="AB37" s="209"/>
      <c r="AC37" s="209"/>
      <c r="AD37" s="209"/>
      <c r="AE37" s="209"/>
      <c r="AF37" s="210"/>
      <c r="AG37" s="405"/>
      <c r="AH37" s="209"/>
      <c r="AI37" s="209"/>
      <c r="AJ37" s="209"/>
      <c r="AK37" s="210"/>
      <c r="AL37" s="401"/>
      <c r="AM37" s="209"/>
      <c r="AN37" s="405"/>
      <c r="AO37" s="209"/>
      <c r="AP37" s="209"/>
      <c r="AQ37" s="209"/>
      <c r="AR37" s="209"/>
      <c r="AS37" s="209"/>
      <c r="AT37" s="209"/>
      <c r="AU37" s="210"/>
      <c r="AV37" s="209"/>
      <c r="AW37" s="209"/>
      <c r="AX37" s="209"/>
      <c r="AY37" s="209"/>
      <c r="AZ37" s="210"/>
    </row>
    <row r="38" spans="2:58" s="371" customFormat="1" ht="15" customHeight="1">
      <c r="B38" s="402"/>
      <c r="D38" s="813" t="s">
        <v>2521</v>
      </c>
      <c r="E38" s="809"/>
      <c r="F38" s="809"/>
      <c r="G38" s="485"/>
      <c r="H38" s="399"/>
      <c r="I38" s="406" t="s">
        <v>498</v>
      </c>
      <c r="J38" s="297">
        <v>0.94638398348524067</v>
      </c>
      <c r="K38" s="298">
        <v>0</v>
      </c>
      <c r="L38" s="298">
        <v>0.18404932225871773</v>
      </c>
      <c r="M38" s="298">
        <v>-1.654638161982248E-2</v>
      </c>
      <c r="N38" s="298">
        <v>0.11225108663352329</v>
      </c>
      <c r="O38" s="298">
        <v>1.7487587217521888E-2</v>
      </c>
      <c r="P38" s="298">
        <v>0.13500000000000001</v>
      </c>
      <c r="Q38" s="299">
        <v>0.155</v>
      </c>
      <c r="R38" s="297">
        <v>0.14929273466322873</v>
      </c>
      <c r="S38" s="298">
        <v>0.14929273466322873</v>
      </c>
      <c r="T38" s="298">
        <v>0.14929273466322873</v>
      </c>
      <c r="U38" s="298">
        <v>0.14929273466322873</v>
      </c>
      <c r="V38" s="299">
        <v>0.14929273466322873</v>
      </c>
      <c r="W38" s="401"/>
      <c r="X38" s="406" t="s">
        <v>498</v>
      </c>
      <c r="Y38" s="297">
        <v>0</v>
      </c>
      <c r="Z38" s="298">
        <v>0</v>
      </c>
      <c r="AA38" s="298">
        <v>0</v>
      </c>
      <c r="AB38" s="298">
        <v>0</v>
      </c>
      <c r="AC38" s="298">
        <v>0</v>
      </c>
      <c r="AD38" s="298">
        <v>0</v>
      </c>
      <c r="AE38" s="298">
        <v>0</v>
      </c>
      <c r="AF38" s="299">
        <v>0</v>
      </c>
      <c r="AG38" s="297">
        <v>0</v>
      </c>
      <c r="AH38" s="298">
        <v>0</v>
      </c>
      <c r="AI38" s="298">
        <v>0</v>
      </c>
      <c r="AJ38" s="298">
        <v>0</v>
      </c>
      <c r="AK38" s="299">
        <v>0</v>
      </c>
      <c r="AL38" s="401"/>
      <c r="AM38" s="406" t="s">
        <v>1876</v>
      </c>
      <c r="AN38" s="407">
        <v>437</v>
      </c>
      <c r="AO38" s="408">
        <v>1</v>
      </c>
      <c r="AP38" s="408">
        <v>10</v>
      </c>
      <c r="AQ38" s="408">
        <v>0</v>
      </c>
      <c r="AR38" s="408">
        <v>27</v>
      </c>
      <c r="AS38" s="408">
        <v>31</v>
      </c>
      <c r="AT38" s="408">
        <v>55</v>
      </c>
      <c r="AU38" s="409">
        <v>63</v>
      </c>
      <c r="AV38" s="407">
        <v>84</v>
      </c>
      <c r="AW38" s="408">
        <v>84</v>
      </c>
      <c r="AX38" s="408">
        <v>84</v>
      </c>
      <c r="AY38" s="408">
        <v>84</v>
      </c>
      <c r="AZ38" s="409">
        <v>84</v>
      </c>
    </row>
    <row r="39" spans="2:58" s="371" customFormat="1" ht="15" customHeight="1">
      <c r="B39" s="402"/>
      <c r="D39" s="813" t="s">
        <v>2427</v>
      </c>
      <c r="E39" s="809"/>
      <c r="F39" s="809"/>
      <c r="G39" s="485"/>
      <c r="H39" s="399"/>
      <c r="I39" s="406" t="s">
        <v>498</v>
      </c>
      <c r="J39" s="297">
        <v>0</v>
      </c>
      <c r="K39" s="298">
        <v>0</v>
      </c>
      <c r="L39" s="298">
        <v>0</v>
      </c>
      <c r="M39" s="298">
        <v>8.9434707436491651E-2</v>
      </c>
      <c r="N39" s="298">
        <v>4.737942067940256E-2</v>
      </c>
      <c r="O39" s="298">
        <v>0.20851928188083921</v>
      </c>
      <c r="P39" s="298">
        <v>0.25</v>
      </c>
      <c r="Q39" s="299">
        <v>0.3</v>
      </c>
      <c r="R39" s="297">
        <v>2.867450638427536E-2</v>
      </c>
      <c r="S39" s="298">
        <v>2.867450638427536E-2</v>
      </c>
      <c r="T39" s="298">
        <v>2.867450638427536E-2</v>
      </c>
      <c r="U39" s="298">
        <v>2.867450638427536E-2</v>
      </c>
      <c r="V39" s="299">
        <v>2.867450638427536E-2</v>
      </c>
      <c r="W39" s="401"/>
      <c r="X39" s="406" t="s">
        <v>498</v>
      </c>
      <c r="Y39" s="297">
        <v>0</v>
      </c>
      <c r="Z39" s="298">
        <v>0</v>
      </c>
      <c r="AA39" s="298">
        <v>0</v>
      </c>
      <c r="AB39" s="298">
        <v>0</v>
      </c>
      <c r="AC39" s="298">
        <v>0</v>
      </c>
      <c r="AD39" s="298">
        <v>0</v>
      </c>
      <c r="AE39" s="298">
        <v>0</v>
      </c>
      <c r="AF39" s="299">
        <v>0</v>
      </c>
      <c r="AG39" s="297">
        <v>0</v>
      </c>
      <c r="AH39" s="298">
        <v>0</v>
      </c>
      <c r="AI39" s="298">
        <v>0</v>
      </c>
      <c r="AJ39" s="298">
        <v>0</v>
      </c>
      <c r="AK39" s="299">
        <v>0</v>
      </c>
      <c r="AL39" s="401"/>
      <c r="AM39" s="406" t="s">
        <v>1876</v>
      </c>
      <c r="AN39" s="407">
        <v>1</v>
      </c>
      <c r="AO39" s="408">
        <v>0</v>
      </c>
      <c r="AP39" s="408">
        <v>1</v>
      </c>
      <c r="AQ39" s="408">
        <v>2</v>
      </c>
      <c r="AR39" s="408">
        <v>0</v>
      </c>
      <c r="AS39" s="408">
        <v>2</v>
      </c>
      <c r="AT39" s="408">
        <v>4</v>
      </c>
      <c r="AU39" s="409">
        <v>5</v>
      </c>
      <c r="AV39" s="407">
        <v>1</v>
      </c>
      <c r="AW39" s="408">
        <v>1</v>
      </c>
      <c r="AX39" s="408">
        <v>1</v>
      </c>
      <c r="AY39" s="408">
        <v>1</v>
      </c>
      <c r="AZ39" s="409">
        <v>1</v>
      </c>
    </row>
    <row r="40" spans="2:58" s="371" customFormat="1" ht="15" customHeight="1">
      <c r="B40" s="402"/>
      <c r="C40" s="807"/>
      <c r="D40" s="807"/>
      <c r="E40" s="807"/>
      <c r="F40" s="807"/>
      <c r="G40" s="398"/>
      <c r="H40" s="399"/>
      <c r="I40" s="209"/>
      <c r="J40" s="405"/>
      <c r="K40" s="209"/>
      <c r="L40" s="209"/>
      <c r="M40" s="209"/>
      <c r="N40" s="209"/>
      <c r="O40" s="209"/>
      <c r="P40" s="209"/>
      <c r="Q40" s="210"/>
      <c r="R40" s="405"/>
      <c r="S40" s="209"/>
      <c r="T40" s="209"/>
      <c r="U40" s="209"/>
      <c r="V40" s="210"/>
      <c r="W40" s="401"/>
      <c r="X40" s="209"/>
      <c r="Y40" s="405"/>
      <c r="Z40" s="209"/>
      <c r="AA40" s="209"/>
      <c r="AB40" s="209"/>
      <c r="AC40" s="209"/>
      <c r="AD40" s="209"/>
      <c r="AE40" s="209"/>
      <c r="AF40" s="210"/>
      <c r="AG40" s="405"/>
      <c r="AH40" s="209"/>
      <c r="AI40" s="209"/>
      <c r="AJ40" s="209"/>
      <c r="AK40" s="210"/>
      <c r="AL40" s="401"/>
      <c r="AM40" s="401"/>
      <c r="AN40" s="816"/>
      <c r="AO40" s="817"/>
      <c r="AP40" s="817"/>
      <c r="AQ40" s="817"/>
      <c r="AR40" s="817"/>
      <c r="AS40" s="817"/>
      <c r="AT40" s="817"/>
      <c r="AU40" s="818"/>
      <c r="AV40" s="816"/>
      <c r="AW40" s="817"/>
      <c r="AX40" s="817"/>
      <c r="AY40" s="817"/>
      <c r="AZ40" s="818"/>
    </row>
    <row r="41" spans="2:58" s="371" customFormat="1" ht="15" customHeight="1" thickBot="1">
      <c r="B41" s="815" t="s">
        <v>1701</v>
      </c>
      <c r="C41" s="810"/>
      <c r="D41" s="810"/>
      <c r="E41" s="810"/>
      <c r="F41" s="810"/>
      <c r="G41" s="390"/>
      <c r="H41" s="391"/>
      <c r="I41" s="410" t="s">
        <v>498</v>
      </c>
      <c r="J41" s="749">
        <f>SUM(J38:J39)</f>
        <v>0.94638398348524067</v>
      </c>
      <c r="K41" s="750">
        <f t="shared" ref="K41:V41" si="6">SUM(K38:K39)</f>
        <v>0</v>
      </c>
      <c r="L41" s="750">
        <f t="shared" si="6"/>
        <v>0.18404932225871773</v>
      </c>
      <c r="M41" s="750">
        <f t="shared" si="6"/>
        <v>7.2888325816669167E-2</v>
      </c>
      <c r="N41" s="750">
        <f t="shared" si="6"/>
        <v>0.15963050731292586</v>
      </c>
      <c r="O41" s="750">
        <f t="shared" si="6"/>
        <v>0.2260068690983611</v>
      </c>
      <c r="P41" s="750">
        <f t="shared" si="6"/>
        <v>0.38500000000000001</v>
      </c>
      <c r="Q41" s="751">
        <f t="shared" si="6"/>
        <v>0.45499999999999996</v>
      </c>
      <c r="R41" s="749">
        <f t="shared" si="6"/>
        <v>0.17796724104750408</v>
      </c>
      <c r="S41" s="750">
        <f t="shared" si="6"/>
        <v>0.17796724104750408</v>
      </c>
      <c r="T41" s="750">
        <f t="shared" si="6"/>
        <v>0.17796724104750408</v>
      </c>
      <c r="U41" s="750">
        <f t="shared" si="6"/>
        <v>0.17796724104750408</v>
      </c>
      <c r="V41" s="751">
        <f t="shared" si="6"/>
        <v>0.17796724104750408</v>
      </c>
      <c r="W41" s="411"/>
      <c r="X41" s="410" t="s">
        <v>498</v>
      </c>
      <c r="Y41" s="749">
        <f>SUM(Y38:Y39)</f>
        <v>0</v>
      </c>
      <c r="Z41" s="750">
        <f t="shared" ref="Z41:AK41" si="7">SUM(Z38:Z39)</f>
        <v>0</v>
      </c>
      <c r="AA41" s="750">
        <f t="shared" si="7"/>
        <v>0</v>
      </c>
      <c r="AB41" s="750">
        <f t="shared" si="7"/>
        <v>0</v>
      </c>
      <c r="AC41" s="750">
        <f t="shared" si="7"/>
        <v>0</v>
      </c>
      <c r="AD41" s="750">
        <f t="shared" si="7"/>
        <v>0</v>
      </c>
      <c r="AE41" s="750">
        <f t="shared" si="7"/>
        <v>0</v>
      </c>
      <c r="AF41" s="751">
        <f t="shared" si="7"/>
        <v>0</v>
      </c>
      <c r="AG41" s="749">
        <f t="shared" si="7"/>
        <v>0</v>
      </c>
      <c r="AH41" s="750">
        <f t="shared" si="7"/>
        <v>0</v>
      </c>
      <c r="AI41" s="750">
        <f t="shared" si="7"/>
        <v>0</v>
      </c>
      <c r="AJ41" s="750">
        <f t="shared" si="7"/>
        <v>0</v>
      </c>
      <c r="AK41" s="751">
        <f t="shared" si="7"/>
        <v>0</v>
      </c>
      <c r="AL41" s="411"/>
      <c r="AM41" s="412" t="s">
        <v>1876</v>
      </c>
      <c r="AN41" s="819">
        <f>SUM(AN38:AN39)</f>
        <v>438</v>
      </c>
      <c r="AO41" s="820">
        <f t="shared" ref="AO41:AZ41" si="8">SUM(AO38:AO39)</f>
        <v>1</v>
      </c>
      <c r="AP41" s="820">
        <f t="shared" si="8"/>
        <v>11</v>
      </c>
      <c r="AQ41" s="820">
        <f t="shared" si="8"/>
        <v>2</v>
      </c>
      <c r="AR41" s="820">
        <f t="shared" si="8"/>
        <v>27</v>
      </c>
      <c r="AS41" s="820">
        <f t="shared" si="8"/>
        <v>33</v>
      </c>
      <c r="AT41" s="820">
        <f t="shared" si="8"/>
        <v>59</v>
      </c>
      <c r="AU41" s="821">
        <f t="shared" si="8"/>
        <v>68</v>
      </c>
      <c r="AV41" s="819">
        <f t="shared" si="8"/>
        <v>85</v>
      </c>
      <c r="AW41" s="820">
        <f t="shared" si="8"/>
        <v>85</v>
      </c>
      <c r="AX41" s="820">
        <f t="shared" si="8"/>
        <v>85</v>
      </c>
      <c r="AY41" s="820">
        <f t="shared" si="8"/>
        <v>85</v>
      </c>
      <c r="AZ41" s="821">
        <f t="shared" si="8"/>
        <v>85</v>
      </c>
    </row>
    <row r="42" spans="2:58" s="371" customFormat="1" ht="15" customHeight="1">
      <c r="G42" s="372"/>
      <c r="H42" s="372"/>
      <c r="W42" s="372"/>
      <c r="X42" s="372"/>
      <c r="Y42" s="372"/>
      <c r="Z42" s="372"/>
      <c r="AA42" s="373"/>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4"/>
      <c r="AX42" s="374"/>
      <c r="AY42" s="374"/>
      <c r="AZ42" s="374"/>
      <c r="BA42" s="374"/>
      <c r="BB42" s="374"/>
      <c r="BC42" s="374"/>
      <c r="BD42" s="374"/>
      <c r="BE42" s="374"/>
      <c r="BF42" s="374"/>
    </row>
    <row r="45" spans="2:58">
      <c r="I45" s="413"/>
      <c r="AC45" s="413"/>
    </row>
    <row r="46" spans="2:58">
      <c r="I46" s="413"/>
      <c r="AC46" s="413"/>
    </row>
    <row r="47" spans="2:58">
      <c r="I47" s="413"/>
      <c r="AC47" s="413"/>
    </row>
    <row r="48" spans="2:58">
      <c r="I48" s="413"/>
      <c r="AC48" s="413"/>
    </row>
    <row r="49" spans="9:29">
      <c r="I49" s="413"/>
      <c r="AC49" s="413"/>
    </row>
    <row r="50" spans="9:29">
      <c r="I50" s="413"/>
      <c r="AC50" s="413"/>
    </row>
    <row r="51" spans="9:29">
      <c r="I51" s="413"/>
      <c r="AC51" s="413"/>
    </row>
    <row r="52" spans="9:29">
      <c r="I52" s="413"/>
      <c r="AC52" s="413"/>
    </row>
    <row r="53" spans="9:29">
      <c r="I53" s="413"/>
      <c r="AC53" s="413"/>
    </row>
    <row r="54" spans="9:29">
      <c r="I54" s="413"/>
      <c r="AC54" s="413"/>
    </row>
    <row r="55" spans="9:29">
      <c r="I55" s="413"/>
      <c r="AC55" s="413"/>
    </row>
    <row r="56" spans="9:29">
      <c r="I56" s="413"/>
      <c r="AC56" s="413"/>
    </row>
    <row r="57" spans="9:29">
      <c r="I57" s="413"/>
      <c r="AC57" s="413"/>
    </row>
    <row r="58" spans="9:29">
      <c r="I58" s="413"/>
      <c r="AC58" s="413"/>
    </row>
    <row r="59" spans="9:29">
      <c r="I59" s="413"/>
      <c r="AC59" s="413"/>
    </row>
    <row r="60" spans="9:29">
      <c r="I60" s="413"/>
      <c r="AC60" s="413"/>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00B050"/>
  </sheetPr>
  <dimension ref="A1:CA172"/>
  <sheetViews>
    <sheetView showGridLines="0" zoomScale="60" zoomScaleNormal="60" zoomScaleSheetLayoutView="20" workbookViewId="0">
      <pane xSplit="7" topLeftCell="H1" activePane="topRight" state="frozen"/>
      <selection activeCell="G14" sqref="G14"/>
      <selection pane="topRight" activeCell="AG8" sqref="AG8"/>
    </sheetView>
  </sheetViews>
  <sheetFormatPr defaultColWidth="11.875" defaultRowHeight="12.75"/>
  <cols>
    <col min="1" max="1" width="11.875" style="173"/>
    <col min="2" max="6" width="4.375" style="174" customWidth="1"/>
    <col min="7" max="7" width="38.37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11.875" style="173"/>
    <col min="54" max="78" width="15.625" style="173" customWidth="1"/>
    <col min="79" max="16384" width="11.875" style="173"/>
  </cols>
  <sheetData>
    <row r="1" spans="1:61" s="2" customFormat="1" ht="25.15" customHeight="1">
      <c r="A1" s="1" t="s">
        <v>0</v>
      </c>
      <c r="E1" s="3"/>
      <c r="H1" s="4" t="s">
        <v>1</v>
      </c>
      <c r="J1" s="3"/>
    </row>
    <row r="2" spans="1:61" s="2" customFormat="1" ht="25.15" customHeight="1">
      <c r="A2" s="5" t="str">
        <f>Fixed_Data!I12</f>
        <v>MASTER</v>
      </c>
      <c r="B2" s="6"/>
      <c r="D2" s="7"/>
      <c r="E2" s="3"/>
    </row>
    <row r="3" spans="1:61" s="9" customFormat="1" ht="25.15" customHeight="1" thickBot="1">
      <c r="A3" s="8" t="str">
        <f>Fixed_Data!A3</f>
        <v>RIIO-GD2</v>
      </c>
      <c r="D3" s="10"/>
      <c r="E3" s="11"/>
    </row>
    <row r="4" spans="1:61" s="254" customFormat="1" ht="25.15" customHeight="1">
      <c r="B4" s="486" t="s">
        <v>2522</v>
      </c>
      <c r="C4" s="486"/>
      <c r="D4" s="486"/>
      <c r="E4" s="486"/>
      <c r="F4" s="486"/>
      <c r="G4" s="91"/>
      <c r="H4" s="257"/>
      <c r="I4" s="255"/>
      <c r="J4" s="256"/>
      <c r="K4" s="256"/>
      <c r="L4" s="256"/>
      <c r="M4" s="256"/>
      <c r="N4" s="256"/>
      <c r="O4" s="256"/>
      <c r="P4" s="256"/>
      <c r="Q4" s="256"/>
      <c r="R4" s="257"/>
      <c r="S4" s="257"/>
      <c r="T4" s="257"/>
      <c r="U4" s="257"/>
      <c r="V4" s="257"/>
      <c r="W4" s="257"/>
      <c r="X4" s="257"/>
      <c r="Y4" s="257"/>
      <c r="Z4" s="257"/>
      <c r="AA4" s="257"/>
      <c r="AB4" s="257"/>
      <c r="AC4" s="257"/>
      <c r="AD4" s="257"/>
      <c r="AE4" s="257"/>
      <c r="AF4" s="256"/>
      <c r="AG4" s="257"/>
      <c r="AH4" s="257"/>
      <c r="AI4" s="257"/>
      <c r="AJ4" s="257"/>
      <c r="AK4" s="257"/>
      <c r="AL4" s="257"/>
      <c r="AM4" s="257"/>
      <c r="AN4" s="257"/>
      <c r="AO4" s="257"/>
      <c r="AP4" s="257"/>
      <c r="AQ4" s="257"/>
      <c r="AR4" s="257"/>
      <c r="AS4" s="257"/>
      <c r="AT4" s="256"/>
      <c r="AU4" s="256"/>
      <c r="AV4" s="257"/>
      <c r="AW4" s="257"/>
      <c r="AX4" s="257"/>
      <c r="AY4" s="257"/>
      <c r="AZ4" s="257"/>
      <c r="BA4" s="257"/>
      <c r="BB4" s="257"/>
      <c r="BC4" s="257"/>
      <c r="BD4" s="257"/>
      <c r="BE4" s="257"/>
      <c r="BF4" s="257"/>
      <c r="BG4" s="257"/>
      <c r="BH4" s="257"/>
      <c r="BI4" s="256"/>
    </row>
    <row r="5" spans="1:61" s="254" customFormat="1" ht="25.15" customHeight="1">
      <c r="B5" s="95" t="s">
        <v>1663</v>
      </c>
      <c r="C5" s="95"/>
      <c r="F5" s="95" t="s">
        <v>463</v>
      </c>
      <c r="G5" s="95"/>
      <c r="H5" s="95"/>
      <c r="I5" s="255"/>
      <c r="J5" s="2567"/>
      <c r="K5" s="256"/>
      <c r="L5" s="256"/>
      <c r="M5" s="256"/>
      <c r="N5" s="256"/>
      <c r="O5" s="256"/>
      <c r="P5" s="256"/>
      <c r="Q5" s="256"/>
      <c r="R5" s="257"/>
      <c r="S5" s="257"/>
      <c r="T5" s="257"/>
      <c r="U5" s="257"/>
      <c r="V5" s="257"/>
      <c r="W5" s="257"/>
      <c r="X5" s="257"/>
      <c r="Y5" s="257"/>
      <c r="Z5" s="257"/>
      <c r="AA5" s="257"/>
      <c r="AB5" s="257"/>
      <c r="AC5" s="257"/>
      <c r="AD5" s="257"/>
      <c r="AE5" s="257"/>
      <c r="AF5" s="256"/>
      <c r="AG5" s="257"/>
      <c r="AH5" s="257"/>
      <c r="AI5" s="257"/>
      <c r="AJ5" s="257"/>
      <c r="AK5" s="257"/>
      <c r="AL5" s="257"/>
      <c r="AM5" s="257"/>
      <c r="AN5" s="257"/>
      <c r="AO5" s="257"/>
      <c r="AP5" s="257"/>
      <c r="AQ5" s="257"/>
      <c r="AR5" s="257"/>
      <c r="AS5" s="257"/>
      <c r="AT5" s="256"/>
      <c r="AU5" s="256"/>
      <c r="AV5" s="257"/>
      <c r="AW5" s="257"/>
      <c r="AX5" s="257"/>
      <c r="AY5" s="257"/>
      <c r="AZ5" s="257"/>
      <c r="BA5" s="257"/>
      <c r="BB5" s="257"/>
      <c r="BC5" s="257"/>
      <c r="BD5" s="257"/>
      <c r="BE5" s="257"/>
      <c r="BF5" s="257"/>
      <c r="BG5" s="257"/>
      <c r="BH5" s="257"/>
      <c r="BI5" s="256"/>
    </row>
    <row r="6" spans="1:61" s="254" customFormat="1" ht="15" customHeight="1">
      <c r="B6" s="95"/>
      <c r="C6" s="95"/>
      <c r="D6" s="95"/>
      <c r="E6" s="95"/>
      <c r="F6" s="95"/>
      <c r="G6" s="95"/>
      <c r="H6" s="95"/>
      <c r="I6" s="255"/>
      <c r="J6" s="256"/>
      <c r="K6" s="256"/>
      <c r="L6" s="256"/>
      <c r="M6" s="256"/>
      <c r="N6" s="256"/>
      <c r="O6" s="256"/>
      <c r="P6" s="256"/>
      <c r="Q6" s="256"/>
      <c r="R6" s="257"/>
      <c r="S6" s="257"/>
      <c r="T6" s="257"/>
      <c r="U6" s="257"/>
      <c r="V6" s="257"/>
      <c r="W6" s="257"/>
      <c r="X6" s="257"/>
      <c r="Y6" s="257"/>
      <c r="Z6" s="257"/>
      <c r="AA6" s="257"/>
      <c r="AB6" s="257"/>
      <c r="AC6" s="257"/>
      <c r="AD6" s="257"/>
      <c r="AE6" s="257"/>
      <c r="AF6" s="256"/>
      <c r="AG6" s="257"/>
      <c r="AH6" s="257"/>
      <c r="AI6" s="257"/>
      <c r="AJ6" s="257"/>
      <c r="AK6" s="257"/>
      <c r="AL6" s="257"/>
      <c r="AM6" s="257"/>
      <c r="AN6" s="257"/>
      <c r="AO6" s="257"/>
      <c r="AP6" s="257"/>
      <c r="AQ6" s="257"/>
      <c r="AR6" s="257"/>
      <c r="AS6" s="257"/>
      <c r="AT6" s="256"/>
      <c r="AU6" s="256"/>
      <c r="AV6" s="257"/>
      <c r="AW6" s="257"/>
      <c r="AX6" s="257"/>
      <c r="AY6" s="257"/>
      <c r="AZ6" s="257"/>
      <c r="BA6" s="257"/>
      <c r="BB6" s="257"/>
      <c r="BC6" s="257"/>
      <c r="BD6" s="257"/>
      <c r="BE6" s="257"/>
      <c r="BF6" s="257"/>
      <c r="BG6" s="257"/>
      <c r="BH6" s="257"/>
      <c r="BI6" s="256"/>
    </row>
    <row r="7" spans="1:61" s="99" customFormat="1" ht="15" customHeight="1" thickBot="1">
      <c r="A7" s="254"/>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row>
    <row r="8" spans="1:61" s="487" customFormat="1" ht="30" customHeight="1" thickBot="1">
      <c r="B8" s="842" t="s">
        <v>1744</v>
      </c>
      <c r="C8" s="488"/>
      <c r="D8" s="488"/>
      <c r="E8" s="488"/>
      <c r="F8" s="488"/>
      <c r="G8" s="489"/>
      <c r="H8" s="104"/>
      <c r="I8" s="490" t="s">
        <v>1864</v>
      </c>
      <c r="J8" s="491"/>
      <c r="K8" s="491"/>
      <c r="L8" s="491"/>
      <c r="M8" s="491"/>
      <c r="N8" s="491"/>
      <c r="O8" s="491"/>
      <c r="P8" s="491"/>
      <c r="Q8" s="491"/>
      <c r="R8" s="491"/>
      <c r="S8" s="491"/>
      <c r="T8" s="491"/>
      <c r="U8" s="491"/>
      <c r="V8" s="492"/>
      <c r="AG8" s="493"/>
      <c r="AH8" s="493"/>
      <c r="AI8" s="493"/>
      <c r="AJ8" s="493"/>
      <c r="AK8" s="493"/>
      <c r="AL8" s="493"/>
      <c r="AM8" s="493"/>
      <c r="AN8" s="493"/>
      <c r="AO8" s="493"/>
      <c r="AP8" s="493"/>
      <c r="AQ8" s="493"/>
      <c r="AT8" s="493"/>
      <c r="AU8" s="493"/>
      <c r="AV8" s="493"/>
      <c r="AW8" s="493"/>
      <c r="AX8" s="493"/>
      <c r="AY8" s="493"/>
      <c r="AZ8" s="493"/>
      <c r="BA8" s="493"/>
      <c r="BB8" s="493"/>
      <c r="BC8" s="493"/>
      <c r="BD8" s="493"/>
      <c r="BE8" s="493"/>
      <c r="BF8" s="493"/>
      <c r="BI8" s="493"/>
    </row>
    <row r="9" spans="1:61" s="503" customFormat="1" ht="30" customHeight="1">
      <c r="A9" s="254"/>
      <c r="B9" s="494"/>
      <c r="C9" s="495"/>
      <c r="D9" s="495"/>
      <c r="E9" s="495"/>
      <c r="F9" s="495"/>
      <c r="G9" s="496"/>
      <c r="H9" s="112"/>
      <c r="I9" s="112"/>
      <c r="J9" s="843" t="s">
        <v>1666</v>
      </c>
      <c r="K9" s="498"/>
      <c r="L9" s="498"/>
      <c r="M9" s="498"/>
      <c r="N9" s="498"/>
      <c r="O9" s="498"/>
      <c r="P9" s="498"/>
      <c r="Q9" s="499"/>
      <c r="R9" s="844" t="s">
        <v>2</v>
      </c>
      <c r="S9" s="501"/>
      <c r="T9" s="501"/>
      <c r="U9" s="501"/>
      <c r="V9" s="502"/>
      <c r="AG9" s="504"/>
      <c r="AH9" s="504"/>
      <c r="AI9" s="504"/>
      <c r="AJ9" s="504"/>
      <c r="AK9" s="504"/>
      <c r="AL9" s="504"/>
      <c r="AM9" s="504"/>
      <c r="AN9" s="504"/>
      <c r="AO9" s="504"/>
      <c r="AP9" s="504"/>
      <c r="AQ9" s="504"/>
      <c r="AT9" s="504"/>
      <c r="AU9" s="504"/>
      <c r="AV9" s="504"/>
      <c r="AW9" s="504"/>
      <c r="AX9" s="504"/>
      <c r="AY9" s="504"/>
      <c r="AZ9" s="504"/>
      <c r="BA9" s="504"/>
      <c r="BB9" s="504"/>
      <c r="BC9" s="504"/>
      <c r="BD9" s="504"/>
      <c r="BE9" s="504"/>
      <c r="BF9" s="504"/>
      <c r="BI9" s="504"/>
    </row>
    <row r="10" spans="1:61" s="254" customFormat="1" ht="15" customHeight="1">
      <c r="B10" s="505"/>
      <c r="C10" s="506"/>
      <c r="D10" s="506"/>
      <c r="E10" s="506"/>
      <c r="F10" s="506"/>
      <c r="G10" s="507"/>
      <c r="H10" s="118"/>
      <c r="I10" s="265" t="s">
        <v>1745</v>
      </c>
      <c r="J10" s="508" t="s">
        <v>453</v>
      </c>
      <c r="K10" s="509" t="s">
        <v>455</v>
      </c>
      <c r="L10" s="509" t="s">
        <v>457</v>
      </c>
      <c r="M10" s="509" t="s">
        <v>459</v>
      </c>
      <c r="N10" s="509" t="s">
        <v>461</v>
      </c>
      <c r="O10" s="509" t="s">
        <v>463</v>
      </c>
      <c r="P10" s="509" t="s">
        <v>465</v>
      </c>
      <c r="Q10" s="510" t="s">
        <v>467</v>
      </c>
      <c r="R10" s="508" t="s">
        <v>469</v>
      </c>
      <c r="S10" s="509" t="s">
        <v>471</v>
      </c>
      <c r="T10" s="509" t="s">
        <v>473</v>
      </c>
      <c r="U10" s="509" t="s">
        <v>475</v>
      </c>
      <c r="V10" s="510" t="s">
        <v>477</v>
      </c>
      <c r="W10" s="257"/>
      <c r="X10" s="257"/>
      <c r="Y10" s="257"/>
      <c r="Z10" s="257"/>
      <c r="AG10" s="257"/>
      <c r="AH10" s="257"/>
      <c r="AI10" s="257"/>
      <c r="AJ10" s="257"/>
      <c r="AK10" s="257"/>
      <c r="AL10" s="257"/>
      <c r="AM10" s="257"/>
      <c r="AN10" s="257"/>
      <c r="AO10" s="257"/>
      <c r="AP10" s="257"/>
      <c r="AQ10" s="257"/>
      <c r="AR10" s="256"/>
      <c r="AS10" s="256"/>
      <c r="AT10" s="257"/>
      <c r="AU10" s="257"/>
      <c r="AV10" s="257"/>
      <c r="AW10" s="257"/>
      <c r="AX10" s="257"/>
      <c r="AY10" s="257"/>
      <c r="AZ10" s="257"/>
      <c r="BA10" s="257"/>
      <c r="BB10" s="257"/>
      <c r="BC10" s="257"/>
      <c r="BD10" s="257"/>
      <c r="BE10" s="257"/>
      <c r="BF10" s="257"/>
      <c r="BG10" s="256"/>
      <c r="BH10" s="256"/>
      <c r="BI10" s="257"/>
    </row>
    <row r="11" spans="1:61" s="254" customFormat="1" ht="15" customHeight="1">
      <c r="B11" s="181"/>
      <c r="C11" s="506" t="s">
        <v>1806</v>
      </c>
      <c r="D11" s="506"/>
      <c r="E11" s="506"/>
      <c r="F11" s="506"/>
      <c r="G11" s="507"/>
      <c r="H11" s="118"/>
      <c r="I11" s="265" t="s">
        <v>498</v>
      </c>
      <c r="J11" s="124">
        <f t="shared" ref="J11:V11" si="0">SUM(J12:J16)</f>
        <v>12.573320907793253</v>
      </c>
      <c r="K11" s="125">
        <f t="shared" si="0"/>
        <v>13.387640801859639</v>
      </c>
      <c r="L11" s="125">
        <f t="shared" si="0"/>
        <v>15.856380615934082</v>
      </c>
      <c r="M11" s="125">
        <f t="shared" si="0"/>
        <v>14.316864058551729</v>
      </c>
      <c r="N11" s="125">
        <f t="shared" si="0"/>
        <v>14.586927487707001</v>
      </c>
      <c r="O11" s="125">
        <f t="shared" si="0"/>
        <v>15.961582294345927</v>
      </c>
      <c r="P11" s="125">
        <f t="shared" si="0"/>
        <v>14.25528448282363</v>
      </c>
      <c r="Q11" s="126">
        <f t="shared" si="0"/>
        <v>13.559682094180392</v>
      </c>
      <c r="R11" s="124">
        <f t="shared" si="0"/>
        <v>13.94912881063939</v>
      </c>
      <c r="S11" s="125">
        <f t="shared" si="0"/>
        <v>14.469471834666519</v>
      </c>
      <c r="T11" s="125">
        <f t="shared" si="0"/>
        <v>14.981978482591177</v>
      </c>
      <c r="U11" s="125">
        <f t="shared" si="0"/>
        <v>15.498774124361539</v>
      </c>
      <c r="V11" s="126">
        <f t="shared" si="0"/>
        <v>9.8628278706533301</v>
      </c>
      <c r="AG11" s="257"/>
      <c r="AH11" s="257"/>
      <c r="AI11" s="257"/>
      <c r="AJ11" s="257"/>
      <c r="AK11" s="257"/>
      <c r="AL11" s="257"/>
      <c r="AM11" s="257"/>
      <c r="AN11" s="257"/>
      <c r="AO11" s="257"/>
      <c r="AP11" s="257"/>
      <c r="AQ11" s="257"/>
      <c r="AR11" s="256"/>
      <c r="AS11" s="256"/>
      <c r="AT11" s="257"/>
      <c r="AU11" s="257"/>
      <c r="AV11" s="257"/>
      <c r="AW11" s="257"/>
      <c r="AX11" s="257"/>
      <c r="AY11" s="257"/>
      <c r="AZ11" s="257"/>
      <c r="BA11" s="257"/>
      <c r="BB11" s="257"/>
      <c r="BC11" s="257"/>
      <c r="BD11" s="257"/>
      <c r="BE11" s="257"/>
      <c r="BF11" s="257"/>
      <c r="BG11" s="256"/>
      <c r="BH11" s="256"/>
      <c r="BI11" s="257"/>
    </row>
    <row r="12" spans="1:61" s="254" customFormat="1" ht="15" customHeight="1">
      <c r="B12" s="181"/>
      <c r="C12" s="183"/>
      <c r="D12" s="183" t="s">
        <v>2425</v>
      </c>
      <c r="E12" s="183"/>
      <c r="F12" s="183"/>
      <c r="G12" s="507"/>
      <c r="H12" s="118"/>
      <c r="I12" s="265" t="s">
        <v>498</v>
      </c>
      <c r="J12" s="128">
        <f>J48</f>
        <v>2.2199870847402594</v>
      </c>
      <c r="K12" s="129">
        <f t="shared" ref="K12:V12" si="1">K48</f>
        <v>2.8440370141752251</v>
      </c>
      <c r="L12" s="129">
        <f t="shared" si="1"/>
        <v>2.9471352296820474</v>
      </c>
      <c r="M12" s="129">
        <f t="shared" si="1"/>
        <v>2.9006966529050113</v>
      </c>
      <c r="N12" s="129">
        <f t="shared" si="1"/>
        <v>3.1342070599576557</v>
      </c>
      <c r="O12" s="129">
        <f t="shared" si="1"/>
        <v>3.1567645148551122</v>
      </c>
      <c r="P12" s="129">
        <f t="shared" si="1"/>
        <v>3.562625657134574</v>
      </c>
      <c r="Q12" s="130">
        <f t="shared" si="1"/>
        <v>3.6989978593765285</v>
      </c>
      <c r="R12" s="128">
        <f t="shared" si="1"/>
        <v>4.152522075291639</v>
      </c>
      <c r="S12" s="129">
        <f t="shared" si="1"/>
        <v>4.6504430187499963</v>
      </c>
      <c r="T12" s="129">
        <f t="shared" si="1"/>
        <v>5.1448981550877182</v>
      </c>
      <c r="U12" s="129">
        <f t="shared" si="1"/>
        <v>5.6472806092724737</v>
      </c>
      <c r="V12" s="130">
        <f t="shared" si="1"/>
        <v>0</v>
      </c>
      <c r="AG12" s="257"/>
      <c r="AH12" s="257"/>
      <c r="AI12" s="257"/>
      <c r="AJ12" s="257"/>
      <c r="AK12" s="257"/>
      <c r="AL12" s="257"/>
      <c r="AM12" s="257"/>
      <c r="AN12" s="257"/>
      <c r="AO12" s="257"/>
      <c r="AP12" s="257"/>
      <c r="AQ12" s="257"/>
      <c r="AR12" s="256"/>
      <c r="AS12" s="256"/>
      <c r="AT12" s="257"/>
      <c r="AU12" s="257"/>
      <c r="AV12" s="257"/>
      <c r="AW12" s="257"/>
      <c r="AX12" s="257"/>
      <c r="AY12" s="257"/>
      <c r="AZ12" s="257"/>
      <c r="BA12" s="257"/>
      <c r="BB12" s="257"/>
      <c r="BC12" s="257"/>
      <c r="BD12" s="257"/>
      <c r="BE12" s="257"/>
      <c r="BF12" s="257"/>
      <c r="BG12" s="256"/>
      <c r="BH12" s="256"/>
      <c r="BI12" s="257"/>
    </row>
    <row r="13" spans="1:61" s="254" customFormat="1" ht="15" customHeight="1">
      <c r="B13" s="181"/>
      <c r="C13" s="183"/>
      <c r="D13" s="183" t="s">
        <v>2426</v>
      </c>
      <c r="E13" s="183"/>
      <c r="F13" s="183"/>
      <c r="G13" s="507"/>
      <c r="H13" s="118"/>
      <c r="I13" s="265" t="s">
        <v>498</v>
      </c>
      <c r="J13" s="128">
        <f>J80</f>
        <v>5.4713364308212249</v>
      </c>
      <c r="K13" s="129">
        <f t="shared" ref="K13:V13" si="2">K80</f>
        <v>4.5093500604299326</v>
      </c>
      <c r="L13" s="129">
        <f t="shared" si="2"/>
        <v>3.8683482461972436</v>
      </c>
      <c r="M13" s="129">
        <f t="shared" si="2"/>
        <v>4.1435558122813232</v>
      </c>
      <c r="N13" s="129">
        <f t="shared" si="2"/>
        <v>3.8260845570011672</v>
      </c>
      <c r="O13" s="129">
        <f t="shared" si="2"/>
        <v>4.2778339833776222</v>
      </c>
      <c r="P13" s="129">
        <f t="shared" si="2"/>
        <v>4.0386453336878425</v>
      </c>
      <c r="Q13" s="130">
        <f t="shared" si="2"/>
        <v>3.9981678737501896</v>
      </c>
      <c r="R13" s="128">
        <f t="shared" si="2"/>
        <v>4.0384961910981092</v>
      </c>
      <c r="S13" s="129">
        <f t="shared" si="2"/>
        <v>3.9974423605585505</v>
      </c>
      <c r="T13" s="129">
        <f t="shared" si="2"/>
        <v>3.9563468629818139</v>
      </c>
      <c r="U13" s="129">
        <f t="shared" si="2"/>
        <v>3.9152096983679008</v>
      </c>
      <c r="V13" s="130">
        <f t="shared" si="2"/>
        <v>3.8740308667168124</v>
      </c>
      <c r="AG13" s="257"/>
      <c r="AH13" s="257"/>
      <c r="AI13" s="257"/>
      <c r="AJ13" s="257"/>
      <c r="AK13" s="257"/>
      <c r="AL13" s="257"/>
      <c r="AM13" s="257"/>
      <c r="AN13" s="257"/>
      <c r="AO13" s="257"/>
      <c r="AP13" s="257"/>
      <c r="AQ13" s="257"/>
      <c r="AR13" s="256"/>
      <c r="AS13" s="256"/>
      <c r="AT13" s="257"/>
      <c r="AU13" s="257"/>
      <c r="AV13" s="257"/>
      <c r="AW13" s="257"/>
      <c r="AX13" s="257"/>
      <c r="AY13" s="257"/>
      <c r="AZ13" s="257"/>
      <c r="BA13" s="257"/>
      <c r="BB13" s="257"/>
      <c r="BC13" s="257"/>
      <c r="BD13" s="257"/>
      <c r="BE13" s="257"/>
      <c r="BF13" s="257"/>
      <c r="BG13" s="256"/>
      <c r="BH13" s="256"/>
      <c r="BI13" s="257"/>
    </row>
    <row r="14" spans="1:61" s="254" customFormat="1" ht="15" customHeight="1">
      <c r="B14" s="181"/>
      <c r="C14" s="183"/>
      <c r="D14" s="183" t="s">
        <v>2427</v>
      </c>
      <c r="E14" s="183"/>
      <c r="F14" s="183"/>
      <c r="G14" s="507"/>
      <c r="H14" s="118"/>
      <c r="I14" s="265" t="s">
        <v>498</v>
      </c>
      <c r="J14" s="128">
        <f>J112</f>
        <v>2.7118404542269774</v>
      </c>
      <c r="K14" s="129">
        <f t="shared" ref="K14:V14" si="3">K112</f>
        <v>2.6378691194622754</v>
      </c>
      <c r="L14" s="129">
        <f t="shared" si="3"/>
        <v>3.538454415780758</v>
      </c>
      <c r="M14" s="129">
        <f t="shared" si="3"/>
        <v>2.358311083964642</v>
      </c>
      <c r="N14" s="129">
        <f t="shared" si="3"/>
        <v>2.997499170706273</v>
      </c>
      <c r="O14" s="129">
        <f t="shared" si="3"/>
        <v>3.3866012998338522</v>
      </c>
      <c r="P14" s="129">
        <f t="shared" si="3"/>
        <v>3.0397835833226123</v>
      </c>
      <c r="Q14" s="130">
        <f t="shared" si="3"/>
        <v>3.109677913943472</v>
      </c>
      <c r="R14" s="128">
        <f t="shared" si="3"/>
        <v>3.2027251390855267</v>
      </c>
      <c r="S14" s="129">
        <f t="shared" si="3"/>
        <v>3.2508959862576803</v>
      </c>
      <c r="T14" s="129">
        <f t="shared" si="3"/>
        <v>3.2947379314851775</v>
      </c>
      <c r="U14" s="129">
        <f t="shared" si="3"/>
        <v>3.3349832197485241</v>
      </c>
      <c r="V14" s="130">
        <f t="shared" si="3"/>
        <v>3.3721913430277022</v>
      </c>
      <c r="AG14" s="257"/>
      <c r="AH14" s="257"/>
      <c r="AI14" s="257"/>
      <c r="AJ14" s="257"/>
      <c r="AK14" s="257"/>
      <c r="AL14" s="257"/>
      <c r="AM14" s="257"/>
      <c r="AN14" s="257"/>
      <c r="AO14" s="257"/>
      <c r="AP14" s="257"/>
      <c r="AQ14" s="257"/>
      <c r="AR14" s="256"/>
      <c r="AS14" s="256"/>
      <c r="AT14" s="257"/>
      <c r="AU14" s="257"/>
      <c r="AV14" s="257"/>
      <c r="AW14" s="257"/>
      <c r="AX14" s="257"/>
      <c r="AY14" s="257"/>
      <c r="AZ14" s="257"/>
      <c r="BA14" s="257"/>
      <c r="BB14" s="257"/>
      <c r="BC14" s="257"/>
      <c r="BD14" s="257"/>
      <c r="BE14" s="257"/>
      <c r="BF14" s="257"/>
      <c r="BG14" s="256"/>
      <c r="BH14" s="256"/>
      <c r="BI14" s="257"/>
    </row>
    <row r="15" spans="1:61" s="254" customFormat="1" ht="15" customHeight="1">
      <c r="B15" s="181"/>
      <c r="C15" s="183"/>
      <c r="D15" s="183" t="s">
        <v>2428</v>
      </c>
      <c r="E15" s="183"/>
      <c r="F15" s="183"/>
      <c r="G15" s="507"/>
      <c r="H15" s="118"/>
      <c r="I15" s="265" t="s">
        <v>498</v>
      </c>
      <c r="J15" s="128">
        <f>J136</f>
        <v>2.1701569380047903</v>
      </c>
      <c r="K15" s="129">
        <f t="shared" ref="K15:V15" si="4">K136</f>
        <v>3.3963846077922066</v>
      </c>
      <c r="L15" s="129">
        <f t="shared" si="4"/>
        <v>5.5024427242740321</v>
      </c>
      <c r="M15" s="129">
        <f t="shared" si="4"/>
        <v>4.9143005094007526</v>
      </c>
      <c r="N15" s="129">
        <f t="shared" si="4"/>
        <v>4.6291367000419035</v>
      </c>
      <c r="O15" s="129">
        <f t="shared" si="4"/>
        <v>5.140382496279341</v>
      </c>
      <c r="P15" s="129">
        <f t="shared" si="4"/>
        <v>3.6142299086786007</v>
      </c>
      <c r="Q15" s="130">
        <f t="shared" si="4"/>
        <v>2.752838447110201</v>
      </c>
      <c r="R15" s="128">
        <f t="shared" si="4"/>
        <v>2.5553854051641172</v>
      </c>
      <c r="S15" s="129">
        <f t="shared" si="4"/>
        <v>2.5706904691002919</v>
      </c>
      <c r="T15" s="129">
        <f t="shared" si="4"/>
        <v>2.5859955330364666</v>
      </c>
      <c r="U15" s="129">
        <f t="shared" si="4"/>
        <v>2.6013005969726413</v>
      </c>
      <c r="V15" s="130">
        <f t="shared" si="4"/>
        <v>2.616605660908816</v>
      </c>
      <c r="AG15" s="2566"/>
      <c r="AH15" s="2566"/>
      <c r="AI15" s="2566"/>
      <c r="AJ15" s="2566"/>
      <c r="AK15" s="2566"/>
      <c r="AL15" s="257"/>
      <c r="AM15" s="257"/>
      <c r="AN15" s="257"/>
      <c r="AO15" s="257"/>
      <c r="AP15" s="257"/>
      <c r="AQ15" s="257"/>
      <c r="AR15" s="256"/>
      <c r="AS15" s="256"/>
      <c r="AT15" s="257"/>
      <c r="AU15" s="257"/>
      <c r="AV15" s="2566"/>
      <c r="AW15" s="2566"/>
      <c r="AX15" s="2566"/>
      <c r="AY15" s="2566"/>
      <c r="AZ15" s="2566"/>
      <c r="BA15" s="257"/>
      <c r="BB15" s="257"/>
      <c r="BC15" s="257"/>
      <c r="BD15" s="257"/>
      <c r="BE15" s="257"/>
      <c r="BF15" s="257"/>
      <c r="BG15" s="256"/>
      <c r="BH15" s="256"/>
      <c r="BI15" s="257"/>
    </row>
    <row r="16" spans="1:61" s="254" customFormat="1" ht="15" customHeight="1" thickBot="1">
      <c r="B16" s="239"/>
      <c r="C16" s="512"/>
      <c r="D16" s="512" t="s">
        <v>2429</v>
      </c>
      <c r="E16" s="512"/>
      <c r="F16" s="512"/>
      <c r="G16" s="513"/>
      <c r="H16" s="133"/>
      <c r="I16" s="517" t="s">
        <v>498</v>
      </c>
      <c r="J16" s="177">
        <f>J148</f>
        <v>0</v>
      </c>
      <c r="K16" s="178">
        <f t="shared" ref="K16:V16" si="5">K148</f>
        <v>0</v>
      </c>
      <c r="L16" s="178">
        <f t="shared" si="5"/>
        <v>0</v>
      </c>
      <c r="M16" s="178">
        <f t="shared" si="5"/>
        <v>0</v>
      </c>
      <c r="N16" s="178">
        <f t="shared" si="5"/>
        <v>0</v>
      </c>
      <c r="O16" s="178">
        <f t="shared" si="5"/>
        <v>0</v>
      </c>
      <c r="P16" s="178">
        <f t="shared" si="5"/>
        <v>0</v>
      </c>
      <c r="Q16" s="179">
        <f t="shared" si="5"/>
        <v>0</v>
      </c>
      <c r="R16" s="177">
        <f t="shared" si="5"/>
        <v>0</v>
      </c>
      <c r="S16" s="178">
        <f t="shared" si="5"/>
        <v>0</v>
      </c>
      <c r="T16" s="178">
        <f t="shared" si="5"/>
        <v>0</v>
      </c>
      <c r="U16" s="178">
        <f t="shared" si="5"/>
        <v>0</v>
      </c>
      <c r="V16" s="179">
        <f t="shared" si="5"/>
        <v>0</v>
      </c>
      <c r="AG16" s="257"/>
      <c r="AH16" s="257"/>
      <c r="AI16" s="257"/>
      <c r="AJ16" s="257"/>
      <c r="AK16" s="257"/>
      <c r="AL16" s="257"/>
      <c r="AM16" s="257"/>
      <c r="AN16" s="257"/>
      <c r="AO16" s="257"/>
      <c r="AP16" s="257"/>
      <c r="AQ16" s="257"/>
      <c r="AR16" s="256"/>
      <c r="AS16" s="256"/>
      <c r="AT16" s="257"/>
      <c r="AU16" s="257"/>
      <c r="AV16" s="257"/>
      <c r="AW16" s="257"/>
      <c r="AX16" s="257"/>
      <c r="AY16" s="257"/>
      <c r="AZ16" s="257"/>
      <c r="BA16" s="257"/>
      <c r="BB16" s="257"/>
      <c r="BC16" s="257"/>
      <c r="BD16" s="257"/>
      <c r="BE16" s="257"/>
      <c r="BF16" s="257"/>
      <c r="BG16" s="256"/>
      <c r="BH16" s="256"/>
      <c r="BI16" s="257"/>
    </row>
    <row r="17" spans="1:61" s="254" customFormat="1" ht="15" customHeight="1" thickBot="1">
      <c r="B17" s="514"/>
      <c r="C17" s="514"/>
      <c r="D17" s="514"/>
      <c r="E17" s="514"/>
      <c r="F17" s="514"/>
      <c r="H17" s="504"/>
      <c r="I17" s="255"/>
      <c r="J17" s="257"/>
      <c r="P17" s="257"/>
      <c r="Q17" s="257"/>
      <c r="R17" s="257"/>
      <c r="S17" s="257"/>
      <c r="T17" s="257"/>
      <c r="U17" s="257"/>
      <c r="V17" s="257"/>
      <c r="AG17" s="257"/>
      <c r="AH17" s="257"/>
      <c r="AI17" s="257"/>
      <c r="AJ17" s="257"/>
      <c r="AK17" s="257"/>
      <c r="AL17" s="257"/>
      <c r="AM17" s="257"/>
      <c r="AN17" s="257"/>
      <c r="AO17" s="257"/>
      <c r="AP17" s="257"/>
      <c r="AQ17" s="257"/>
      <c r="AR17" s="256"/>
      <c r="AS17" s="256"/>
      <c r="AT17" s="257"/>
      <c r="AU17" s="257"/>
      <c r="AV17" s="257"/>
      <c r="AW17" s="257"/>
      <c r="AX17" s="257"/>
      <c r="AY17" s="257"/>
      <c r="AZ17" s="257"/>
      <c r="BA17" s="257"/>
      <c r="BB17" s="257"/>
      <c r="BC17" s="257"/>
      <c r="BD17" s="257"/>
      <c r="BE17" s="257"/>
      <c r="BF17" s="257"/>
      <c r="BG17" s="256"/>
      <c r="BH17" s="256"/>
      <c r="BI17" s="257"/>
    </row>
    <row r="18" spans="1:61" s="487" customFormat="1" ht="30" customHeight="1" thickBot="1">
      <c r="A18" s="254"/>
      <c r="B18" s="842" t="s">
        <v>2425</v>
      </c>
      <c r="C18" s="488"/>
      <c r="D18" s="488"/>
      <c r="E18" s="488"/>
      <c r="F18" s="488"/>
      <c r="G18" s="489"/>
      <c r="H18" s="489"/>
      <c r="I18" s="490" t="s">
        <v>1864</v>
      </c>
      <c r="J18" s="491"/>
      <c r="K18" s="491"/>
      <c r="L18" s="491"/>
      <c r="M18" s="491"/>
      <c r="N18" s="491"/>
      <c r="O18" s="491"/>
      <c r="P18" s="491"/>
      <c r="Q18" s="491"/>
      <c r="R18" s="491"/>
      <c r="S18" s="491"/>
      <c r="T18" s="491"/>
      <c r="U18" s="491"/>
      <c r="V18" s="491"/>
      <c r="W18" s="489"/>
      <c r="X18" s="490" t="s">
        <v>2202</v>
      </c>
      <c r="Y18" s="491"/>
      <c r="Z18" s="491"/>
      <c r="AA18" s="491"/>
      <c r="AB18" s="491"/>
      <c r="AC18" s="491"/>
      <c r="AD18" s="491"/>
      <c r="AE18" s="491"/>
      <c r="AF18" s="491"/>
      <c r="AG18" s="491"/>
      <c r="AH18" s="491"/>
      <c r="AI18" s="491"/>
      <c r="AJ18" s="491"/>
      <c r="AK18" s="491"/>
      <c r="AL18" s="489"/>
      <c r="AM18" s="490" t="s">
        <v>2231</v>
      </c>
      <c r="AN18" s="490"/>
      <c r="AO18" s="490"/>
      <c r="AP18" s="490"/>
      <c r="AQ18" s="490"/>
      <c r="AR18" s="490"/>
      <c r="AS18" s="490"/>
      <c r="AT18" s="490"/>
      <c r="AU18" s="490"/>
      <c r="AV18" s="491"/>
      <c r="AW18" s="491"/>
      <c r="AX18" s="491"/>
      <c r="AY18" s="491"/>
      <c r="AZ18" s="491"/>
    </row>
    <row r="19" spans="1:61" s="157" customFormat="1" ht="30" customHeight="1">
      <c r="A19" s="99"/>
      <c r="B19" s="494"/>
      <c r="C19" s="495"/>
      <c r="D19" s="495"/>
      <c r="E19" s="495"/>
      <c r="F19" s="495"/>
      <c r="G19" s="496"/>
      <c r="H19" s="496"/>
      <c r="I19" s="507"/>
      <c r="J19" s="843" t="s">
        <v>1666</v>
      </c>
      <c r="K19" s="498"/>
      <c r="L19" s="498"/>
      <c r="M19" s="498"/>
      <c r="N19" s="498"/>
      <c r="O19" s="498"/>
      <c r="P19" s="498"/>
      <c r="Q19" s="499"/>
      <c r="R19" s="844" t="s">
        <v>2</v>
      </c>
      <c r="S19" s="501"/>
      <c r="T19" s="501"/>
      <c r="U19" s="501"/>
      <c r="V19" s="502"/>
      <c r="W19" s="222"/>
      <c r="X19" s="507"/>
      <c r="Y19" s="843" t="s">
        <v>1666</v>
      </c>
      <c r="Z19" s="498"/>
      <c r="AA19" s="498"/>
      <c r="AB19" s="498"/>
      <c r="AC19" s="498"/>
      <c r="AD19" s="498"/>
      <c r="AE19" s="498"/>
      <c r="AF19" s="499"/>
      <c r="AG19" s="844" t="s">
        <v>2</v>
      </c>
      <c r="AH19" s="501"/>
      <c r="AI19" s="501"/>
      <c r="AJ19" s="501"/>
      <c r="AK19" s="502"/>
      <c r="AL19" s="222"/>
      <c r="AM19" s="507"/>
      <c r="AN19" s="843" t="s">
        <v>1666</v>
      </c>
      <c r="AO19" s="498"/>
      <c r="AP19" s="498"/>
      <c r="AQ19" s="498"/>
      <c r="AR19" s="498"/>
      <c r="AS19" s="498"/>
      <c r="AT19" s="498"/>
      <c r="AU19" s="499"/>
      <c r="AV19" s="844" t="s">
        <v>2</v>
      </c>
      <c r="AW19" s="501"/>
      <c r="AX19" s="501"/>
      <c r="AY19" s="501"/>
      <c r="AZ19" s="502"/>
    </row>
    <row r="20" spans="1:61" s="98" customFormat="1" ht="15" customHeight="1">
      <c r="A20" s="99"/>
      <c r="B20" s="505"/>
      <c r="C20" s="506"/>
      <c r="D20" s="506"/>
      <c r="E20" s="506"/>
      <c r="F20" s="506"/>
      <c r="G20" s="507"/>
      <c r="H20" s="507"/>
      <c r="I20" s="265" t="s">
        <v>1667</v>
      </c>
      <c r="J20" s="518" t="s">
        <v>453</v>
      </c>
      <c r="K20" s="515" t="s">
        <v>455</v>
      </c>
      <c r="L20" s="515" t="s">
        <v>457</v>
      </c>
      <c r="M20" s="515" t="s">
        <v>459</v>
      </c>
      <c r="N20" s="515" t="s">
        <v>461</v>
      </c>
      <c r="O20" s="515" t="s">
        <v>463</v>
      </c>
      <c r="P20" s="515" t="s">
        <v>465</v>
      </c>
      <c r="Q20" s="516" t="s">
        <v>467</v>
      </c>
      <c r="R20" s="508" t="s">
        <v>469</v>
      </c>
      <c r="S20" s="509" t="s">
        <v>471</v>
      </c>
      <c r="T20" s="509" t="s">
        <v>473</v>
      </c>
      <c r="U20" s="509" t="s">
        <v>475</v>
      </c>
      <c r="V20" s="510" t="s">
        <v>477</v>
      </c>
      <c r="W20" s="185"/>
      <c r="X20" s="265" t="s">
        <v>1667</v>
      </c>
      <c r="Y20" s="518" t="s">
        <v>453</v>
      </c>
      <c r="Z20" s="515" t="s">
        <v>455</v>
      </c>
      <c r="AA20" s="515" t="s">
        <v>457</v>
      </c>
      <c r="AB20" s="515" t="s">
        <v>459</v>
      </c>
      <c r="AC20" s="515" t="s">
        <v>461</v>
      </c>
      <c r="AD20" s="515" t="s">
        <v>463</v>
      </c>
      <c r="AE20" s="515" t="s">
        <v>465</v>
      </c>
      <c r="AF20" s="516" t="s">
        <v>467</v>
      </c>
      <c r="AG20" s="508" t="s">
        <v>469</v>
      </c>
      <c r="AH20" s="509" t="s">
        <v>471</v>
      </c>
      <c r="AI20" s="509" t="s">
        <v>473</v>
      </c>
      <c r="AJ20" s="509" t="s">
        <v>475</v>
      </c>
      <c r="AK20" s="510" t="s">
        <v>477</v>
      </c>
      <c r="AL20" s="185"/>
      <c r="AM20" s="515" t="s">
        <v>1667</v>
      </c>
      <c r="AN20" s="518" t="s">
        <v>453</v>
      </c>
      <c r="AO20" s="515" t="s">
        <v>455</v>
      </c>
      <c r="AP20" s="515" t="s">
        <v>457</v>
      </c>
      <c r="AQ20" s="515" t="s">
        <v>459</v>
      </c>
      <c r="AR20" s="515" t="s">
        <v>461</v>
      </c>
      <c r="AS20" s="515" t="s">
        <v>463</v>
      </c>
      <c r="AT20" s="515" t="s">
        <v>465</v>
      </c>
      <c r="AU20" s="516" t="s">
        <v>467</v>
      </c>
      <c r="AV20" s="508" t="s">
        <v>469</v>
      </c>
      <c r="AW20" s="509" t="s">
        <v>471</v>
      </c>
      <c r="AX20" s="509" t="s">
        <v>473</v>
      </c>
      <c r="AY20" s="509" t="s">
        <v>475</v>
      </c>
      <c r="AZ20" s="510" t="s">
        <v>477</v>
      </c>
    </row>
    <row r="21" spans="1:61" s="98" customFormat="1" ht="15" customHeight="1">
      <c r="A21" s="99"/>
      <c r="B21" s="181"/>
      <c r="C21" s="183"/>
      <c r="D21" s="183"/>
      <c r="E21" s="183"/>
      <c r="F21" s="183"/>
      <c r="G21" s="507"/>
      <c r="H21" s="507"/>
      <c r="I21" s="507"/>
      <c r="J21" s="519"/>
      <c r="K21" s="507"/>
      <c r="L21" s="507"/>
      <c r="M21" s="507"/>
      <c r="N21" s="507"/>
      <c r="O21" s="507"/>
      <c r="P21" s="507"/>
      <c r="Q21" s="520"/>
      <c r="R21" s="519"/>
      <c r="S21" s="507"/>
      <c r="T21" s="507"/>
      <c r="U21" s="507"/>
      <c r="V21" s="520"/>
      <c r="W21" s="185"/>
      <c r="X21" s="507"/>
      <c r="Y21" s="519"/>
      <c r="Z21" s="507"/>
      <c r="AA21" s="507"/>
      <c r="AB21" s="507"/>
      <c r="AC21" s="507"/>
      <c r="AD21" s="507"/>
      <c r="AE21" s="507"/>
      <c r="AF21" s="520"/>
      <c r="AG21" s="519"/>
      <c r="AH21" s="507"/>
      <c r="AI21" s="507"/>
      <c r="AJ21" s="507"/>
      <c r="AK21" s="520"/>
      <c r="AL21" s="185"/>
      <c r="AM21" s="507"/>
      <c r="AN21" s="519"/>
      <c r="AO21" s="507"/>
      <c r="AP21" s="507"/>
      <c r="AQ21" s="507"/>
      <c r="AR21" s="507"/>
      <c r="AS21" s="507"/>
      <c r="AT21" s="507"/>
      <c r="AU21" s="520"/>
      <c r="AV21" s="519"/>
      <c r="AW21" s="507"/>
      <c r="AX21" s="507"/>
      <c r="AY21" s="507"/>
      <c r="AZ21" s="520"/>
    </row>
    <row r="22" spans="1:61" s="98" customFormat="1" ht="15" customHeight="1">
      <c r="A22" s="99"/>
      <c r="B22" s="161"/>
      <c r="C22" s="506" t="s">
        <v>1843</v>
      </c>
      <c r="D22" s="506"/>
      <c r="E22" s="506"/>
      <c r="F22" s="506"/>
      <c r="G22" s="521"/>
      <c r="H22" s="521"/>
      <c r="I22" s="164" t="s">
        <v>498</v>
      </c>
      <c r="J22" s="143">
        <v>1.3204108665254404</v>
      </c>
      <c r="K22" s="141">
        <v>1.7464881304132369</v>
      </c>
      <c r="L22" s="141">
        <v>1.6909793875965784</v>
      </c>
      <c r="M22" s="141">
        <v>1.9445498212655763</v>
      </c>
      <c r="N22" s="141">
        <v>2.0275314465569663</v>
      </c>
      <c r="O22" s="141">
        <v>2.0812302509374065</v>
      </c>
      <c r="P22" s="141">
        <v>2.1473412074278424</v>
      </c>
      <c r="Q22" s="144">
        <v>2.2064423415772327</v>
      </c>
      <c r="R22" s="143">
        <v>2.5899110782751467</v>
      </c>
      <c r="S22" s="141">
        <v>2.8883590362783917</v>
      </c>
      <c r="T22" s="141">
        <v>3.1827290110388327</v>
      </c>
      <c r="U22" s="141">
        <v>3.4747402086956085</v>
      </c>
      <c r="V22" s="144">
        <v>0</v>
      </c>
      <c r="W22" s="185"/>
      <c r="X22" s="164" t="s">
        <v>498</v>
      </c>
      <c r="Y22" s="143">
        <v>-0.99983021925611626</v>
      </c>
      <c r="Z22" s="141">
        <v>-1.4294176363636357</v>
      </c>
      <c r="AA22" s="141">
        <v>-1.0469954618180135</v>
      </c>
      <c r="AB22" s="141">
        <v>-0.89988730176080756</v>
      </c>
      <c r="AC22" s="141">
        <v>-0.71487854133309725</v>
      </c>
      <c r="AD22" s="141">
        <v>-1.0851433800000001</v>
      </c>
      <c r="AE22" s="141">
        <v>-1.2644311806015531</v>
      </c>
      <c r="AF22" s="144">
        <v>-1.2971548947134266</v>
      </c>
      <c r="AG22" s="143">
        <v>-1.7969703912258201</v>
      </c>
      <c r="AH22" s="141">
        <v>-2.0025080693253794</v>
      </c>
      <c r="AI22" s="141">
        <v>-2.2049915633288015</v>
      </c>
      <c r="AJ22" s="141">
        <v>-2.4049531444386574</v>
      </c>
      <c r="AK22" s="144">
        <v>0</v>
      </c>
      <c r="AL22" s="185"/>
      <c r="AM22" s="522" t="s">
        <v>1876</v>
      </c>
      <c r="AN22" s="165">
        <v>1660</v>
      </c>
      <c r="AO22" s="166">
        <v>2257</v>
      </c>
      <c r="AP22" s="166">
        <v>2062</v>
      </c>
      <c r="AQ22" s="166">
        <v>2471</v>
      </c>
      <c r="AR22" s="166">
        <v>2613</v>
      </c>
      <c r="AS22" s="166">
        <v>2668</v>
      </c>
      <c r="AT22" s="166">
        <v>2725</v>
      </c>
      <c r="AU22" s="167">
        <v>2800</v>
      </c>
      <c r="AV22" s="165">
        <v>3190.4943632835948</v>
      </c>
      <c r="AW22" s="166">
        <v>3555.423472088612</v>
      </c>
      <c r="AX22" s="166">
        <v>3914.9299221838723</v>
      </c>
      <c r="AY22" s="166">
        <v>4269.9587532204641</v>
      </c>
      <c r="AZ22" s="167">
        <v>0</v>
      </c>
    </row>
    <row r="23" spans="1:61" s="98" customFormat="1" ht="15" customHeight="1">
      <c r="A23" s="99"/>
      <c r="B23" s="161"/>
      <c r="C23" s="506" t="s">
        <v>2523</v>
      </c>
      <c r="D23" s="506"/>
      <c r="E23" s="506"/>
      <c r="F23" s="506"/>
      <c r="G23" s="507"/>
      <c r="H23" s="507"/>
      <c r="I23" s="507"/>
      <c r="J23" s="845"/>
      <c r="K23" s="846"/>
      <c r="L23" s="846"/>
      <c r="M23" s="846"/>
      <c r="N23" s="846"/>
      <c r="O23" s="846"/>
      <c r="P23" s="846"/>
      <c r="Q23" s="847"/>
      <c r="R23" s="845"/>
      <c r="S23" s="846"/>
      <c r="T23" s="846"/>
      <c r="U23" s="846"/>
      <c r="V23" s="847"/>
      <c r="W23" s="185"/>
      <c r="X23" s="507"/>
      <c r="Y23" s="845"/>
      <c r="Z23" s="846"/>
      <c r="AA23" s="846"/>
      <c r="AB23" s="846"/>
      <c r="AC23" s="846"/>
      <c r="AD23" s="846"/>
      <c r="AE23" s="846"/>
      <c r="AF23" s="847"/>
      <c r="AG23" s="845"/>
      <c r="AH23" s="846"/>
      <c r="AI23" s="846"/>
      <c r="AJ23" s="846"/>
      <c r="AK23" s="847"/>
      <c r="AL23" s="185"/>
      <c r="AM23" s="507"/>
      <c r="AN23" s="851"/>
      <c r="AO23" s="852"/>
      <c r="AP23" s="852"/>
      <c r="AQ23" s="852"/>
      <c r="AR23" s="852"/>
      <c r="AS23" s="852"/>
      <c r="AT23" s="852"/>
      <c r="AU23" s="853"/>
      <c r="AV23" s="851"/>
      <c r="AW23" s="852"/>
      <c r="AX23" s="852"/>
      <c r="AY23" s="852"/>
      <c r="AZ23" s="853"/>
    </row>
    <row r="24" spans="1:61" s="98" customFormat="1" ht="15" customHeight="1">
      <c r="A24" s="99"/>
      <c r="B24" s="161"/>
      <c r="C24" s="182"/>
      <c r="D24" s="182" t="s">
        <v>2511</v>
      </c>
      <c r="E24" s="182"/>
      <c r="F24" s="182"/>
      <c r="G24" s="521"/>
      <c r="H24" s="521"/>
      <c r="I24" s="164" t="s">
        <v>498</v>
      </c>
      <c r="J24" s="143">
        <v>0.40020176336261021</v>
      </c>
      <c r="K24" s="141">
        <v>0.61591895064935054</v>
      </c>
      <c r="L24" s="141">
        <v>0.82646589101773249</v>
      </c>
      <c r="M24" s="141">
        <v>0.6152698355938534</v>
      </c>
      <c r="N24" s="141">
        <v>0.77676501739228909</v>
      </c>
      <c r="O24" s="141">
        <v>0.67860823529444292</v>
      </c>
      <c r="P24" s="141">
        <v>0.93830570539840652</v>
      </c>
      <c r="Q24" s="144">
        <v>1.0024489181430349</v>
      </c>
      <c r="R24" s="143">
        <v>0.98208586696798827</v>
      </c>
      <c r="S24" s="141">
        <v>1.1176654398542858</v>
      </c>
      <c r="T24" s="141">
        <v>1.2533541203432397</v>
      </c>
      <c r="U24" s="141">
        <v>1.3896187959080981</v>
      </c>
      <c r="V24" s="144">
        <v>0</v>
      </c>
      <c r="W24" s="185"/>
      <c r="X24" s="164" t="s">
        <v>498</v>
      </c>
      <c r="Y24" s="143">
        <v>-0.51332214952938215</v>
      </c>
      <c r="Z24" s="141">
        <v>-0.80466830649350618</v>
      </c>
      <c r="AA24" s="141">
        <v>-0.4636942914181163</v>
      </c>
      <c r="AB24" s="141">
        <v>-0.55745000389340038</v>
      </c>
      <c r="AC24" s="141">
        <v>-0.70253490613077818</v>
      </c>
      <c r="AD24" s="141">
        <v>-0.71520644</v>
      </c>
      <c r="AE24" s="141">
        <v>-0.55250790453707987</v>
      </c>
      <c r="AF24" s="144">
        <v>-0.58933401356860293</v>
      </c>
      <c r="AG24" s="143">
        <v>-0.6814053344866724</v>
      </c>
      <c r="AH24" s="141">
        <v>-0.77488083510494232</v>
      </c>
      <c r="AI24" s="141">
        <v>-0.86832251556289197</v>
      </c>
      <c r="AJ24" s="141">
        <v>-0.96178934022949336</v>
      </c>
      <c r="AK24" s="144">
        <v>0</v>
      </c>
      <c r="AL24" s="185"/>
      <c r="AM24" s="522" t="s">
        <v>2233</v>
      </c>
      <c r="AN24" s="143">
        <v>6.1340000000000003</v>
      </c>
      <c r="AO24" s="141">
        <v>11.5997</v>
      </c>
      <c r="AP24" s="141">
        <v>11.075699999999999</v>
      </c>
      <c r="AQ24" s="141">
        <v>14.1226</v>
      </c>
      <c r="AR24" s="141">
        <v>17.250099999999996</v>
      </c>
      <c r="AS24" s="141">
        <v>18.389600000000002</v>
      </c>
      <c r="AT24" s="141">
        <v>18.825810471786976</v>
      </c>
      <c r="AU24" s="144">
        <v>20.112755610492233</v>
      </c>
      <c r="AV24" s="143">
        <v>23.806381214474253</v>
      </c>
      <c r="AW24" s="141">
        <v>27.072151658741131</v>
      </c>
      <c r="AX24" s="141">
        <v>30.336740521959879</v>
      </c>
      <c r="AY24" s="141">
        <v>33.602207852936672</v>
      </c>
      <c r="AZ24" s="144">
        <v>0</v>
      </c>
    </row>
    <row r="25" spans="1:61" s="98" customFormat="1" ht="15" customHeight="1">
      <c r="A25" s="99"/>
      <c r="B25" s="161"/>
      <c r="C25" s="182"/>
      <c r="D25" s="182" t="s">
        <v>2512</v>
      </c>
      <c r="E25" s="182"/>
      <c r="F25" s="182"/>
      <c r="G25" s="521"/>
      <c r="H25" s="521"/>
      <c r="I25" s="164" t="s">
        <v>498</v>
      </c>
      <c r="J25" s="143">
        <v>0</v>
      </c>
      <c r="K25" s="141">
        <v>0</v>
      </c>
      <c r="L25" s="141">
        <v>0</v>
      </c>
      <c r="M25" s="141">
        <v>0</v>
      </c>
      <c r="N25" s="141">
        <v>0</v>
      </c>
      <c r="O25" s="141">
        <v>0</v>
      </c>
      <c r="P25" s="141">
        <v>0</v>
      </c>
      <c r="Q25" s="144">
        <v>0</v>
      </c>
      <c r="R25" s="143">
        <v>0</v>
      </c>
      <c r="S25" s="141">
        <v>0</v>
      </c>
      <c r="T25" s="141">
        <v>0</v>
      </c>
      <c r="U25" s="141">
        <v>0</v>
      </c>
      <c r="V25" s="144">
        <v>0</v>
      </c>
      <c r="W25" s="185"/>
      <c r="X25" s="164" t="s">
        <v>498</v>
      </c>
      <c r="Y25" s="143">
        <v>0</v>
      </c>
      <c r="Z25" s="141">
        <v>0</v>
      </c>
      <c r="AA25" s="141">
        <v>0</v>
      </c>
      <c r="AB25" s="141">
        <v>0</v>
      </c>
      <c r="AC25" s="141">
        <v>0</v>
      </c>
      <c r="AD25" s="141">
        <v>0</v>
      </c>
      <c r="AE25" s="141">
        <v>0</v>
      </c>
      <c r="AF25" s="144">
        <v>0</v>
      </c>
      <c r="AG25" s="143">
        <v>0</v>
      </c>
      <c r="AH25" s="141">
        <v>0</v>
      </c>
      <c r="AI25" s="141">
        <v>0</v>
      </c>
      <c r="AJ25" s="141">
        <v>0</v>
      </c>
      <c r="AK25" s="144">
        <v>0</v>
      </c>
      <c r="AL25" s="185"/>
      <c r="AM25" s="522" t="s">
        <v>2233</v>
      </c>
      <c r="AN25" s="143">
        <v>0</v>
      </c>
      <c r="AO25" s="141">
        <v>0</v>
      </c>
      <c r="AP25" s="141">
        <v>0</v>
      </c>
      <c r="AQ25" s="141">
        <v>0</v>
      </c>
      <c r="AR25" s="141">
        <v>0</v>
      </c>
      <c r="AS25" s="141">
        <v>0</v>
      </c>
      <c r="AT25" s="141">
        <v>0</v>
      </c>
      <c r="AU25" s="144">
        <v>0</v>
      </c>
      <c r="AV25" s="143">
        <v>0</v>
      </c>
      <c r="AW25" s="141">
        <v>0</v>
      </c>
      <c r="AX25" s="141">
        <v>0</v>
      </c>
      <c r="AY25" s="141">
        <v>0</v>
      </c>
      <c r="AZ25" s="144">
        <v>0</v>
      </c>
    </row>
    <row r="26" spans="1:61" s="98" customFormat="1" ht="15" customHeight="1">
      <c r="A26" s="99"/>
      <c r="B26" s="181"/>
      <c r="C26" s="182" t="s">
        <v>1710</v>
      </c>
      <c r="D26" s="183"/>
      <c r="E26" s="183"/>
      <c r="F26" s="183"/>
      <c r="G26" s="185"/>
      <c r="H26" s="185"/>
      <c r="I26" s="164" t="s">
        <v>498</v>
      </c>
      <c r="J26" s="128">
        <f>SUM(J24:J25)</f>
        <v>0.40020176336261021</v>
      </c>
      <c r="K26" s="129">
        <f t="shared" ref="K26:V26" si="6">SUM(K24:K25)</f>
        <v>0.61591895064935054</v>
      </c>
      <c r="L26" s="129">
        <f t="shared" si="6"/>
        <v>0.82646589101773249</v>
      </c>
      <c r="M26" s="129">
        <f t="shared" si="6"/>
        <v>0.6152698355938534</v>
      </c>
      <c r="N26" s="129">
        <f t="shared" si="6"/>
        <v>0.77676501739228909</v>
      </c>
      <c r="O26" s="129">
        <f t="shared" si="6"/>
        <v>0.67860823529444292</v>
      </c>
      <c r="P26" s="129">
        <f t="shared" si="6"/>
        <v>0.93830570539840652</v>
      </c>
      <c r="Q26" s="130">
        <f t="shared" si="6"/>
        <v>1.0024489181430349</v>
      </c>
      <c r="R26" s="128">
        <f t="shared" si="6"/>
        <v>0.98208586696798827</v>
      </c>
      <c r="S26" s="129">
        <f t="shared" si="6"/>
        <v>1.1176654398542858</v>
      </c>
      <c r="T26" s="129">
        <f t="shared" si="6"/>
        <v>1.2533541203432397</v>
      </c>
      <c r="U26" s="129">
        <f t="shared" si="6"/>
        <v>1.3896187959080981</v>
      </c>
      <c r="V26" s="130">
        <f t="shared" si="6"/>
        <v>0</v>
      </c>
      <c r="W26" s="185"/>
      <c r="X26" s="164" t="s">
        <v>498</v>
      </c>
      <c r="Y26" s="128">
        <f>SUM(Y24:Y25)</f>
        <v>-0.51332214952938215</v>
      </c>
      <c r="Z26" s="129">
        <f t="shared" ref="Z26:AK26" si="7">SUM(Z24:Z25)</f>
        <v>-0.80466830649350618</v>
      </c>
      <c r="AA26" s="129">
        <f t="shared" si="7"/>
        <v>-0.4636942914181163</v>
      </c>
      <c r="AB26" s="129">
        <f t="shared" si="7"/>
        <v>-0.55745000389340038</v>
      </c>
      <c r="AC26" s="129">
        <f t="shared" si="7"/>
        <v>-0.70253490613077818</v>
      </c>
      <c r="AD26" s="129">
        <f t="shared" si="7"/>
        <v>-0.71520644</v>
      </c>
      <c r="AE26" s="129">
        <f t="shared" si="7"/>
        <v>-0.55250790453707987</v>
      </c>
      <c r="AF26" s="130">
        <f t="shared" si="7"/>
        <v>-0.58933401356860293</v>
      </c>
      <c r="AG26" s="128">
        <f t="shared" si="7"/>
        <v>-0.6814053344866724</v>
      </c>
      <c r="AH26" s="129">
        <f t="shared" si="7"/>
        <v>-0.77488083510494232</v>
      </c>
      <c r="AI26" s="129">
        <f t="shared" si="7"/>
        <v>-0.86832251556289197</v>
      </c>
      <c r="AJ26" s="129">
        <f t="shared" si="7"/>
        <v>-0.96178934022949336</v>
      </c>
      <c r="AK26" s="130">
        <f t="shared" si="7"/>
        <v>0</v>
      </c>
      <c r="AL26" s="185"/>
      <c r="AM26" s="522" t="s">
        <v>2233</v>
      </c>
      <c r="AN26" s="128">
        <f>SUM(AN24:AN25)</f>
        <v>6.1340000000000003</v>
      </c>
      <c r="AO26" s="129">
        <f t="shared" ref="AO26:AZ26" si="8">SUM(AO24:AO25)</f>
        <v>11.5997</v>
      </c>
      <c r="AP26" s="129">
        <f t="shared" si="8"/>
        <v>11.075699999999999</v>
      </c>
      <c r="AQ26" s="129">
        <f t="shared" si="8"/>
        <v>14.1226</v>
      </c>
      <c r="AR26" s="129">
        <f t="shared" si="8"/>
        <v>17.250099999999996</v>
      </c>
      <c r="AS26" s="129">
        <f t="shared" si="8"/>
        <v>18.389600000000002</v>
      </c>
      <c r="AT26" s="129">
        <f t="shared" si="8"/>
        <v>18.825810471786976</v>
      </c>
      <c r="AU26" s="130">
        <f t="shared" si="8"/>
        <v>20.112755610492233</v>
      </c>
      <c r="AV26" s="128">
        <f t="shared" si="8"/>
        <v>23.806381214474253</v>
      </c>
      <c r="AW26" s="129">
        <f t="shared" si="8"/>
        <v>27.072151658741131</v>
      </c>
      <c r="AX26" s="129">
        <f t="shared" si="8"/>
        <v>30.336740521959879</v>
      </c>
      <c r="AY26" s="129">
        <f t="shared" si="8"/>
        <v>33.602207852936672</v>
      </c>
      <c r="AZ26" s="130">
        <f t="shared" si="8"/>
        <v>0</v>
      </c>
    </row>
    <row r="27" spans="1:61" s="98" customFormat="1" ht="15" customHeight="1">
      <c r="A27" s="99"/>
      <c r="B27" s="161"/>
      <c r="C27" s="506" t="s">
        <v>1844</v>
      </c>
      <c r="D27" s="506"/>
      <c r="E27" s="506"/>
      <c r="F27" s="506"/>
      <c r="G27" s="507"/>
      <c r="H27" s="507"/>
      <c r="I27" s="507"/>
      <c r="J27" s="845"/>
      <c r="K27" s="846"/>
      <c r="L27" s="846"/>
      <c r="M27" s="846"/>
      <c r="N27" s="846"/>
      <c r="O27" s="846"/>
      <c r="P27" s="846"/>
      <c r="Q27" s="847"/>
      <c r="R27" s="845"/>
      <c r="S27" s="846"/>
      <c r="T27" s="846"/>
      <c r="U27" s="846"/>
      <c r="V27" s="847"/>
      <c r="W27" s="185"/>
      <c r="X27" s="507"/>
      <c r="Y27" s="845"/>
      <c r="Z27" s="846"/>
      <c r="AA27" s="846"/>
      <c r="AB27" s="846"/>
      <c r="AC27" s="846"/>
      <c r="AD27" s="846"/>
      <c r="AE27" s="846"/>
      <c r="AF27" s="847"/>
      <c r="AG27" s="845"/>
      <c r="AH27" s="846"/>
      <c r="AI27" s="846"/>
      <c r="AJ27" s="846"/>
      <c r="AK27" s="847"/>
      <c r="AL27" s="185"/>
      <c r="AM27" s="507"/>
      <c r="AN27" s="851"/>
      <c r="AO27" s="852"/>
      <c r="AP27" s="852"/>
      <c r="AQ27" s="852"/>
      <c r="AR27" s="852"/>
      <c r="AS27" s="852"/>
      <c r="AT27" s="852"/>
      <c r="AU27" s="853"/>
      <c r="AV27" s="851"/>
      <c r="AW27" s="852"/>
      <c r="AX27" s="852"/>
      <c r="AY27" s="852"/>
      <c r="AZ27" s="853"/>
    </row>
    <row r="28" spans="1:61" s="98" customFormat="1" ht="15" customHeight="1">
      <c r="A28" s="99"/>
      <c r="B28" s="161"/>
      <c r="C28" s="182"/>
      <c r="D28" s="182" t="s">
        <v>2524</v>
      </c>
      <c r="E28" s="182"/>
      <c r="F28" s="182"/>
      <c r="G28" s="521"/>
      <c r="H28" s="521"/>
      <c r="I28" s="164" t="s">
        <v>498</v>
      </c>
      <c r="J28" s="143">
        <v>1.3417044978608282E-2</v>
      </c>
      <c r="K28" s="141">
        <v>5.5189870129870111E-3</v>
      </c>
      <c r="L28" s="141">
        <v>1.4390579444789924E-2</v>
      </c>
      <c r="M28" s="141">
        <v>1.7340843999064118E-2</v>
      </c>
      <c r="N28" s="141">
        <v>0</v>
      </c>
      <c r="O28" s="141">
        <v>0</v>
      </c>
      <c r="P28" s="141">
        <v>0</v>
      </c>
      <c r="Q28" s="144">
        <v>0</v>
      </c>
      <c r="R28" s="143">
        <v>1.0156512755081552E-2</v>
      </c>
      <c r="S28" s="141">
        <v>1.016430266046695E-2</v>
      </c>
      <c r="T28" s="141">
        <v>1.1624796630464614E-2</v>
      </c>
      <c r="U28" s="141">
        <v>1.1636124345992172E-2</v>
      </c>
      <c r="V28" s="144">
        <v>0</v>
      </c>
      <c r="W28" s="185"/>
      <c r="X28" s="164" t="s">
        <v>498</v>
      </c>
      <c r="Y28" s="143">
        <v>-3.1011699285671712E-2</v>
      </c>
      <c r="Z28" s="141">
        <v>-1.3245568831168827E-2</v>
      </c>
      <c r="AA28" s="141">
        <v>-2.5131039438879604E-2</v>
      </c>
      <c r="AB28" s="141">
        <v>-2.1518608506520945E-2</v>
      </c>
      <c r="AC28" s="141">
        <v>0</v>
      </c>
      <c r="AD28" s="141">
        <v>0</v>
      </c>
      <c r="AE28" s="141">
        <v>0</v>
      </c>
      <c r="AF28" s="144">
        <v>0</v>
      </c>
      <c r="AG28" s="143">
        <v>-5.0622817653967348E-3</v>
      </c>
      <c r="AH28" s="141">
        <v>-5.0622817653967348E-3</v>
      </c>
      <c r="AI28" s="141">
        <v>-5.7854648747391246E-3</v>
      </c>
      <c r="AJ28" s="141">
        <v>-5.7854648747391246E-3</v>
      </c>
      <c r="AK28" s="144">
        <v>0</v>
      </c>
      <c r="AL28" s="185"/>
      <c r="AM28" s="522" t="s">
        <v>1876</v>
      </c>
      <c r="AN28" s="165">
        <v>8</v>
      </c>
      <c r="AO28" s="166">
        <v>9</v>
      </c>
      <c r="AP28" s="166">
        <v>5</v>
      </c>
      <c r="AQ28" s="166">
        <v>12</v>
      </c>
      <c r="AR28" s="166">
        <v>0</v>
      </c>
      <c r="AS28" s="166">
        <v>0</v>
      </c>
      <c r="AT28" s="166">
        <v>0</v>
      </c>
      <c r="AU28" s="167">
        <v>0</v>
      </c>
      <c r="AV28" s="165">
        <v>7</v>
      </c>
      <c r="AW28" s="166">
        <v>7</v>
      </c>
      <c r="AX28" s="166">
        <v>8</v>
      </c>
      <c r="AY28" s="166">
        <v>8</v>
      </c>
      <c r="AZ28" s="167">
        <v>0</v>
      </c>
    </row>
    <row r="29" spans="1:61" s="98" customFormat="1" ht="15" customHeight="1">
      <c r="A29" s="99"/>
      <c r="B29" s="161"/>
      <c r="C29" s="182"/>
      <c r="D29" s="182" t="s">
        <v>1843</v>
      </c>
      <c r="E29" s="182"/>
      <c r="F29" s="182"/>
      <c r="G29" s="521"/>
      <c r="H29" s="521"/>
      <c r="I29" s="164" t="s">
        <v>498</v>
      </c>
      <c r="J29" s="143">
        <v>0</v>
      </c>
      <c r="K29" s="141">
        <v>0</v>
      </c>
      <c r="L29" s="141">
        <v>0</v>
      </c>
      <c r="M29" s="141">
        <v>0</v>
      </c>
      <c r="N29" s="141">
        <v>0</v>
      </c>
      <c r="O29" s="141">
        <v>0</v>
      </c>
      <c r="P29" s="141">
        <v>0</v>
      </c>
      <c r="Q29" s="144">
        <v>0</v>
      </c>
      <c r="R29" s="143">
        <v>0</v>
      </c>
      <c r="S29" s="141">
        <v>0</v>
      </c>
      <c r="T29" s="141">
        <v>0</v>
      </c>
      <c r="U29" s="141">
        <v>0</v>
      </c>
      <c r="V29" s="144">
        <v>0</v>
      </c>
      <c r="W29" s="185"/>
      <c r="X29" s="164" t="s">
        <v>498</v>
      </c>
      <c r="Y29" s="143">
        <v>0</v>
      </c>
      <c r="Z29" s="141">
        <v>0</v>
      </c>
      <c r="AA29" s="141">
        <v>0</v>
      </c>
      <c r="AB29" s="141">
        <v>0</v>
      </c>
      <c r="AC29" s="141">
        <v>0</v>
      </c>
      <c r="AD29" s="141">
        <v>0</v>
      </c>
      <c r="AE29" s="141">
        <v>0</v>
      </c>
      <c r="AF29" s="144">
        <v>0</v>
      </c>
      <c r="AG29" s="143">
        <v>0</v>
      </c>
      <c r="AH29" s="141">
        <v>0</v>
      </c>
      <c r="AI29" s="141">
        <v>0</v>
      </c>
      <c r="AJ29" s="141">
        <v>0</v>
      </c>
      <c r="AK29" s="144">
        <v>0</v>
      </c>
      <c r="AL29" s="185"/>
      <c r="AM29" s="522" t="s">
        <v>1876</v>
      </c>
      <c r="AN29" s="165">
        <v>0</v>
      </c>
      <c r="AO29" s="166">
        <v>0</v>
      </c>
      <c r="AP29" s="166">
        <v>0</v>
      </c>
      <c r="AQ29" s="166">
        <v>0</v>
      </c>
      <c r="AR29" s="166">
        <v>0</v>
      </c>
      <c r="AS29" s="166">
        <v>0</v>
      </c>
      <c r="AT29" s="166">
        <v>0</v>
      </c>
      <c r="AU29" s="167">
        <v>0</v>
      </c>
      <c r="AV29" s="165">
        <v>0</v>
      </c>
      <c r="AW29" s="166">
        <v>0</v>
      </c>
      <c r="AX29" s="166">
        <v>0</v>
      </c>
      <c r="AY29" s="166">
        <v>0</v>
      </c>
      <c r="AZ29" s="167">
        <v>0</v>
      </c>
    </row>
    <row r="30" spans="1:61" s="98" customFormat="1" ht="15" customHeight="1">
      <c r="A30" s="99"/>
      <c r="B30" s="161"/>
      <c r="C30" s="182"/>
      <c r="D30" s="182" t="s">
        <v>2525</v>
      </c>
      <c r="E30" s="182"/>
      <c r="F30" s="182"/>
      <c r="G30" s="521"/>
      <c r="H30" s="521"/>
      <c r="I30" s="521"/>
      <c r="J30" s="848"/>
      <c r="K30" s="849"/>
      <c r="L30" s="849"/>
      <c r="M30" s="849"/>
      <c r="N30" s="849"/>
      <c r="O30" s="849"/>
      <c r="P30" s="849"/>
      <c r="Q30" s="850"/>
      <c r="R30" s="848"/>
      <c r="S30" s="849"/>
      <c r="T30" s="849"/>
      <c r="U30" s="849"/>
      <c r="V30" s="850"/>
      <c r="W30" s="521"/>
      <c r="X30" s="521"/>
      <c r="Y30" s="848"/>
      <c r="Z30" s="849"/>
      <c r="AA30" s="849"/>
      <c r="AB30" s="849"/>
      <c r="AC30" s="849"/>
      <c r="AD30" s="849"/>
      <c r="AE30" s="849"/>
      <c r="AF30" s="850"/>
      <c r="AG30" s="848"/>
      <c r="AH30" s="849"/>
      <c r="AI30" s="849"/>
      <c r="AJ30" s="849"/>
      <c r="AK30" s="850"/>
      <c r="AL30" s="185"/>
      <c r="AM30" s="522" t="s">
        <v>1876</v>
      </c>
      <c r="AN30" s="165">
        <v>0</v>
      </c>
      <c r="AO30" s="166">
        <v>0</v>
      </c>
      <c r="AP30" s="166">
        <v>0</v>
      </c>
      <c r="AQ30" s="166">
        <v>0</v>
      </c>
      <c r="AR30" s="166">
        <v>0</v>
      </c>
      <c r="AS30" s="166">
        <v>0</v>
      </c>
      <c r="AT30" s="166">
        <v>0</v>
      </c>
      <c r="AU30" s="167">
        <v>0</v>
      </c>
      <c r="AV30" s="165">
        <v>0</v>
      </c>
      <c r="AW30" s="166">
        <v>0</v>
      </c>
      <c r="AX30" s="166">
        <v>0</v>
      </c>
      <c r="AY30" s="166">
        <v>0</v>
      </c>
      <c r="AZ30" s="167">
        <v>0</v>
      </c>
    </row>
    <row r="31" spans="1:61" s="98" customFormat="1" ht="15" customHeight="1">
      <c r="A31" s="99"/>
      <c r="B31" s="181"/>
      <c r="C31" s="182" t="s">
        <v>1710</v>
      </c>
      <c r="D31" s="183"/>
      <c r="E31" s="183"/>
      <c r="F31" s="183"/>
      <c r="G31" s="184"/>
      <c r="H31" s="184"/>
      <c r="I31" s="164" t="s">
        <v>498</v>
      </c>
      <c r="J31" s="128">
        <f>SUM(J28:J30)</f>
        <v>1.3417044978608282E-2</v>
      </c>
      <c r="K31" s="129">
        <f t="shared" ref="K31:U31" si="9">SUM(K28:K30)</f>
        <v>5.5189870129870111E-3</v>
      </c>
      <c r="L31" s="129">
        <f t="shared" si="9"/>
        <v>1.4390579444789924E-2</v>
      </c>
      <c r="M31" s="129">
        <f t="shared" si="9"/>
        <v>1.7340843999064118E-2</v>
      </c>
      <c r="N31" s="129">
        <f t="shared" si="9"/>
        <v>0</v>
      </c>
      <c r="O31" s="129">
        <f t="shared" si="9"/>
        <v>0</v>
      </c>
      <c r="P31" s="129">
        <f t="shared" si="9"/>
        <v>0</v>
      </c>
      <c r="Q31" s="130">
        <f t="shared" si="9"/>
        <v>0</v>
      </c>
      <c r="R31" s="128">
        <f t="shared" si="9"/>
        <v>1.0156512755081552E-2</v>
      </c>
      <c r="S31" s="129">
        <f t="shared" si="9"/>
        <v>1.016430266046695E-2</v>
      </c>
      <c r="T31" s="129">
        <f t="shared" si="9"/>
        <v>1.1624796630464614E-2</v>
      </c>
      <c r="U31" s="129">
        <f t="shared" si="9"/>
        <v>1.1636124345992172E-2</v>
      </c>
      <c r="V31" s="130">
        <f>SUM(V28:V30)</f>
        <v>0</v>
      </c>
      <c r="W31" s="185"/>
      <c r="X31" s="164" t="s">
        <v>498</v>
      </c>
      <c r="Y31" s="128">
        <f>SUM(Y28:Y30)</f>
        <v>-3.1011699285671712E-2</v>
      </c>
      <c r="Z31" s="129">
        <f t="shared" ref="Z31:AJ31" si="10">SUM(Z28:Z30)</f>
        <v>-1.3245568831168827E-2</v>
      </c>
      <c r="AA31" s="129">
        <f t="shared" si="10"/>
        <v>-2.5131039438879604E-2</v>
      </c>
      <c r="AB31" s="129">
        <f t="shared" si="10"/>
        <v>-2.1518608506520945E-2</v>
      </c>
      <c r="AC31" s="129">
        <f t="shared" si="10"/>
        <v>0</v>
      </c>
      <c r="AD31" s="129">
        <f t="shared" si="10"/>
        <v>0</v>
      </c>
      <c r="AE31" s="129">
        <f t="shared" si="10"/>
        <v>0</v>
      </c>
      <c r="AF31" s="130">
        <f t="shared" si="10"/>
        <v>0</v>
      </c>
      <c r="AG31" s="128">
        <f t="shared" si="10"/>
        <v>-5.0622817653967348E-3</v>
      </c>
      <c r="AH31" s="129">
        <f t="shared" si="10"/>
        <v>-5.0622817653967348E-3</v>
      </c>
      <c r="AI31" s="129">
        <f t="shared" si="10"/>
        <v>-5.7854648747391246E-3</v>
      </c>
      <c r="AJ31" s="129">
        <f t="shared" si="10"/>
        <v>-5.7854648747391246E-3</v>
      </c>
      <c r="AK31" s="130">
        <f>SUM(AK28:AK30)</f>
        <v>0</v>
      </c>
      <c r="AL31" s="185"/>
      <c r="AM31" s="522" t="s">
        <v>1876</v>
      </c>
      <c r="AN31" s="777">
        <f>SUM(AN28:AN30)</f>
        <v>8</v>
      </c>
      <c r="AO31" s="778">
        <f t="shared" ref="AO31:AY31" si="11">SUM(AO28:AO30)</f>
        <v>9</v>
      </c>
      <c r="AP31" s="778">
        <f t="shared" si="11"/>
        <v>5</v>
      </c>
      <c r="AQ31" s="778">
        <f t="shared" si="11"/>
        <v>12</v>
      </c>
      <c r="AR31" s="778">
        <f t="shared" si="11"/>
        <v>0</v>
      </c>
      <c r="AS31" s="778">
        <f t="shared" si="11"/>
        <v>0</v>
      </c>
      <c r="AT31" s="778">
        <f t="shared" si="11"/>
        <v>0</v>
      </c>
      <c r="AU31" s="779">
        <f t="shared" si="11"/>
        <v>0</v>
      </c>
      <c r="AV31" s="777">
        <f t="shared" si="11"/>
        <v>7</v>
      </c>
      <c r="AW31" s="778">
        <f t="shared" si="11"/>
        <v>7</v>
      </c>
      <c r="AX31" s="778">
        <f t="shared" si="11"/>
        <v>8</v>
      </c>
      <c r="AY31" s="778">
        <f t="shared" si="11"/>
        <v>8</v>
      </c>
      <c r="AZ31" s="779">
        <f>SUM(AZ28:AZ30)</f>
        <v>0</v>
      </c>
    </row>
    <row r="32" spans="1:61" s="98" customFormat="1" ht="15" customHeight="1">
      <c r="A32" s="99"/>
      <c r="B32" s="161"/>
      <c r="C32" s="506" t="s">
        <v>66</v>
      </c>
      <c r="D32" s="506"/>
      <c r="E32" s="506"/>
      <c r="F32" s="506"/>
      <c r="G32" s="507"/>
      <c r="H32" s="507"/>
      <c r="I32" s="507"/>
      <c r="J32" s="845"/>
      <c r="K32" s="846"/>
      <c r="L32" s="846"/>
      <c r="M32" s="846"/>
      <c r="N32" s="846"/>
      <c r="O32" s="846"/>
      <c r="P32" s="846"/>
      <c r="Q32" s="847"/>
      <c r="R32" s="845"/>
      <c r="S32" s="846"/>
      <c r="T32" s="846"/>
      <c r="U32" s="846"/>
      <c r="V32" s="847"/>
      <c r="W32" s="185"/>
      <c r="X32" s="507"/>
      <c r="Y32" s="845"/>
      <c r="Z32" s="846"/>
      <c r="AA32" s="846"/>
      <c r="AB32" s="846"/>
      <c r="AC32" s="846"/>
      <c r="AD32" s="846"/>
      <c r="AE32" s="846"/>
      <c r="AF32" s="847"/>
      <c r="AG32" s="845"/>
      <c r="AH32" s="846"/>
      <c r="AI32" s="846"/>
      <c r="AJ32" s="846"/>
      <c r="AK32" s="847"/>
      <c r="AL32" s="185"/>
      <c r="AM32" s="507"/>
      <c r="AN32" s="851"/>
      <c r="AO32" s="852"/>
      <c r="AP32" s="852"/>
      <c r="AQ32" s="852"/>
      <c r="AR32" s="852"/>
      <c r="AS32" s="852"/>
      <c r="AT32" s="852"/>
      <c r="AU32" s="853"/>
      <c r="AV32" s="851"/>
      <c r="AW32" s="852"/>
      <c r="AX32" s="852"/>
      <c r="AY32" s="852"/>
      <c r="AZ32" s="853"/>
    </row>
    <row r="33" spans="1:52" s="98" customFormat="1" ht="15" customHeight="1">
      <c r="A33" s="99"/>
      <c r="B33" s="161"/>
      <c r="C33" s="185"/>
      <c r="D33" s="182" t="s">
        <v>2526</v>
      </c>
      <c r="E33" s="182"/>
      <c r="F33" s="182"/>
      <c r="G33" s="182"/>
      <c r="H33" s="182"/>
      <c r="I33" s="164" t="s">
        <v>498</v>
      </c>
      <c r="J33" s="143">
        <v>0</v>
      </c>
      <c r="K33" s="141">
        <v>0</v>
      </c>
      <c r="L33" s="141">
        <v>0</v>
      </c>
      <c r="M33" s="141">
        <v>0</v>
      </c>
      <c r="N33" s="141">
        <v>0</v>
      </c>
      <c r="O33" s="141">
        <v>0</v>
      </c>
      <c r="P33" s="141">
        <v>0</v>
      </c>
      <c r="Q33" s="144">
        <v>0</v>
      </c>
      <c r="R33" s="143">
        <v>0</v>
      </c>
      <c r="S33" s="141">
        <v>0</v>
      </c>
      <c r="T33" s="141">
        <v>0</v>
      </c>
      <c r="U33" s="141">
        <v>0</v>
      </c>
      <c r="V33" s="144">
        <v>0</v>
      </c>
      <c r="W33" s="185"/>
      <c r="X33" s="164" t="s">
        <v>498</v>
      </c>
      <c r="Y33" s="143">
        <v>0</v>
      </c>
      <c r="Z33" s="141">
        <v>0</v>
      </c>
      <c r="AA33" s="141">
        <v>0</v>
      </c>
      <c r="AB33" s="141">
        <v>0</v>
      </c>
      <c r="AC33" s="141">
        <v>0</v>
      </c>
      <c r="AD33" s="141">
        <v>0</v>
      </c>
      <c r="AE33" s="141">
        <v>0</v>
      </c>
      <c r="AF33" s="144">
        <v>0</v>
      </c>
      <c r="AG33" s="143">
        <v>0</v>
      </c>
      <c r="AH33" s="141">
        <v>0</v>
      </c>
      <c r="AI33" s="141">
        <v>0</v>
      </c>
      <c r="AJ33" s="141">
        <v>0</v>
      </c>
      <c r="AK33" s="144">
        <v>0</v>
      </c>
      <c r="AL33" s="185"/>
      <c r="AM33" s="522" t="s">
        <v>1876</v>
      </c>
      <c r="AN33" s="165">
        <v>0</v>
      </c>
      <c r="AO33" s="166">
        <v>0</v>
      </c>
      <c r="AP33" s="166">
        <v>0</v>
      </c>
      <c r="AQ33" s="166">
        <v>0</v>
      </c>
      <c r="AR33" s="166">
        <v>0</v>
      </c>
      <c r="AS33" s="166">
        <v>0</v>
      </c>
      <c r="AT33" s="166">
        <v>0</v>
      </c>
      <c r="AU33" s="167">
        <v>0</v>
      </c>
      <c r="AV33" s="165">
        <v>0</v>
      </c>
      <c r="AW33" s="166">
        <v>0</v>
      </c>
      <c r="AX33" s="166">
        <v>0</v>
      </c>
      <c r="AY33" s="166">
        <v>0</v>
      </c>
      <c r="AZ33" s="167">
        <v>0</v>
      </c>
    </row>
    <row r="34" spans="1:52" s="98" customFormat="1" ht="15" customHeight="1">
      <c r="A34" s="99"/>
      <c r="B34" s="161"/>
      <c r="C34" s="185"/>
      <c r="D34" s="182" t="s">
        <v>2527</v>
      </c>
      <c r="E34" s="182"/>
      <c r="F34" s="182"/>
      <c r="G34" s="182"/>
      <c r="H34" s="182"/>
      <c r="I34" s="164" t="s">
        <v>498</v>
      </c>
      <c r="J34" s="143">
        <v>7.5543397933524768E-3</v>
      </c>
      <c r="K34" s="141">
        <v>3.3113922077922069E-3</v>
      </c>
      <c r="L34" s="141">
        <v>1.2103090300141331E-2</v>
      </c>
      <c r="M34" s="141">
        <v>1.8187853580485443E-4</v>
      </c>
      <c r="N34" s="141">
        <v>7.4153633724736989E-4</v>
      </c>
      <c r="O34" s="141">
        <v>4.0050999999999997E-4</v>
      </c>
      <c r="P34" s="141">
        <v>0</v>
      </c>
      <c r="Q34" s="144">
        <v>0</v>
      </c>
      <c r="R34" s="143">
        <v>1.1910637432213246E-2</v>
      </c>
      <c r="S34" s="141">
        <v>1.1919772727064355E-2</v>
      </c>
      <c r="T34" s="141">
        <v>1.1928444198721499E-2</v>
      </c>
      <c r="U34" s="141">
        <v>2.388013560371504E-2</v>
      </c>
      <c r="V34" s="144">
        <v>0</v>
      </c>
      <c r="W34" s="185"/>
      <c r="X34" s="164" t="s">
        <v>498</v>
      </c>
      <c r="Y34" s="143">
        <v>0</v>
      </c>
      <c r="Z34" s="141">
        <v>-1.2141771428571424E-2</v>
      </c>
      <c r="AA34" s="141">
        <v>-6.1917351069304884E-2</v>
      </c>
      <c r="AB34" s="141">
        <v>-8.9605541865414775E-3</v>
      </c>
      <c r="AC34" s="141">
        <v>-1.2115212536557684E-2</v>
      </c>
      <c r="AD34" s="141">
        <v>0</v>
      </c>
      <c r="AE34" s="141">
        <v>0</v>
      </c>
      <c r="AF34" s="144">
        <v>0</v>
      </c>
      <c r="AG34" s="143">
        <v>-5.9365851391441245E-3</v>
      </c>
      <c r="AH34" s="141">
        <v>-5.9365851391441245E-3</v>
      </c>
      <c r="AI34" s="141">
        <v>-5.9365851391441245E-3</v>
      </c>
      <c r="AJ34" s="141">
        <v>-1.1873170278288249E-2</v>
      </c>
      <c r="AK34" s="144">
        <v>0</v>
      </c>
      <c r="AL34" s="185"/>
      <c r="AM34" s="522" t="s">
        <v>1876</v>
      </c>
      <c r="AN34" s="165">
        <v>0</v>
      </c>
      <c r="AO34" s="166">
        <v>1</v>
      </c>
      <c r="AP34" s="166">
        <v>2</v>
      </c>
      <c r="AQ34" s="166">
        <v>1</v>
      </c>
      <c r="AR34" s="166">
        <v>2</v>
      </c>
      <c r="AS34" s="166">
        <v>0</v>
      </c>
      <c r="AT34" s="166">
        <v>0</v>
      </c>
      <c r="AU34" s="167">
        <v>0</v>
      </c>
      <c r="AV34" s="165">
        <v>1</v>
      </c>
      <c r="AW34" s="166">
        <v>1</v>
      </c>
      <c r="AX34" s="166">
        <v>1</v>
      </c>
      <c r="AY34" s="166">
        <v>2</v>
      </c>
      <c r="AZ34" s="167">
        <v>0</v>
      </c>
    </row>
    <row r="35" spans="1:52" s="98" customFormat="1" ht="15" customHeight="1">
      <c r="A35" s="99"/>
      <c r="B35" s="161"/>
      <c r="C35" s="185"/>
      <c r="D35" s="182" t="s">
        <v>2528</v>
      </c>
      <c r="E35" s="182"/>
      <c r="F35" s="182"/>
      <c r="G35" s="182"/>
      <c r="H35" s="182"/>
      <c r="I35" s="164" t="s">
        <v>498</v>
      </c>
      <c r="J35" s="143">
        <v>0</v>
      </c>
      <c r="K35" s="141">
        <v>0</v>
      </c>
      <c r="L35" s="141">
        <v>0</v>
      </c>
      <c r="M35" s="141">
        <v>0</v>
      </c>
      <c r="N35" s="141">
        <v>0</v>
      </c>
      <c r="O35" s="141">
        <v>0</v>
      </c>
      <c r="P35" s="141">
        <v>0</v>
      </c>
      <c r="Q35" s="144">
        <v>0</v>
      </c>
      <c r="R35" s="143">
        <v>0</v>
      </c>
      <c r="S35" s="141">
        <v>0</v>
      </c>
      <c r="T35" s="141">
        <v>0</v>
      </c>
      <c r="U35" s="141">
        <v>0</v>
      </c>
      <c r="V35" s="144">
        <v>0</v>
      </c>
      <c r="W35" s="185"/>
      <c r="X35" s="164" t="s">
        <v>498</v>
      </c>
      <c r="Y35" s="143">
        <v>0</v>
      </c>
      <c r="Z35" s="141">
        <v>0</v>
      </c>
      <c r="AA35" s="141">
        <v>0</v>
      </c>
      <c r="AB35" s="141">
        <v>0</v>
      </c>
      <c r="AC35" s="141">
        <v>0</v>
      </c>
      <c r="AD35" s="141">
        <v>0</v>
      </c>
      <c r="AE35" s="141">
        <v>0</v>
      </c>
      <c r="AF35" s="144">
        <v>0</v>
      </c>
      <c r="AG35" s="143">
        <v>0</v>
      </c>
      <c r="AH35" s="141">
        <v>0</v>
      </c>
      <c r="AI35" s="141">
        <v>0</v>
      </c>
      <c r="AJ35" s="141">
        <v>0</v>
      </c>
      <c r="AK35" s="144">
        <v>0</v>
      </c>
      <c r="AL35" s="185"/>
      <c r="AM35" s="522" t="s">
        <v>1876</v>
      </c>
      <c r="AN35" s="165">
        <v>0</v>
      </c>
      <c r="AO35" s="166">
        <v>0</v>
      </c>
      <c r="AP35" s="166">
        <v>0</v>
      </c>
      <c r="AQ35" s="166">
        <v>0</v>
      </c>
      <c r="AR35" s="166">
        <v>0</v>
      </c>
      <c r="AS35" s="166">
        <v>0</v>
      </c>
      <c r="AT35" s="166">
        <v>0</v>
      </c>
      <c r="AU35" s="167">
        <v>0</v>
      </c>
      <c r="AV35" s="165">
        <v>0</v>
      </c>
      <c r="AW35" s="166">
        <v>0</v>
      </c>
      <c r="AX35" s="166">
        <v>0</v>
      </c>
      <c r="AY35" s="166">
        <v>0</v>
      </c>
      <c r="AZ35" s="167">
        <v>0</v>
      </c>
    </row>
    <row r="36" spans="1:52" s="98" customFormat="1" ht="15" customHeight="1">
      <c r="A36" s="99"/>
      <c r="B36" s="181"/>
      <c r="C36" s="182" t="s">
        <v>1710</v>
      </c>
      <c r="D36" s="183"/>
      <c r="E36" s="183"/>
      <c r="F36" s="183"/>
      <c r="G36" s="184"/>
      <c r="H36" s="184"/>
      <c r="I36" s="164" t="s">
        <v>498</v>
      </c>
      <c r="J36" s="128">
        <f t="shared" ref="J36:V36" si="12">SUM(J33:J35)</f>
        <v>7.5543397933524768E-3</v>
      </c>
      <c r="K36" s="129">
        <f t="shared" si="12"/>
        <v>3.3113922077922069E-3</v>
      </c>
      <c r="L36" s="129">
        <f t="shared" si="12"/>
        <v>1.2103090300141331E-2</v>
      </c>
      <c r="M36" s="129">
        <f t="shared" si="12"/>
        <v>1.8187853580485443E-4</v>
      </c>
      <c r="N36" s="129">
        <f t="shared" si="12"/>
        <v>7.4153633724736989E-4</v>
      </c>
      <c r="O36" s="129">
        <f t="shared" si="12"/>
        <v>4.0050999999999997E-4</v>
      </c>
      <c r="P36" s="129">
        <f t="shared" si="12"/>
        <v>0</v>
      </c>
      <c r="Q36" s="130">
        <f t="shared" si="12"/>
        <v>0</v>
      </c>
      <c r="R36" s="128">
        <f t="shared" si="12"/>
        <v>1.1910637432213246E-2</v>
      </c>
      <c r="S36" s="129">
        <f t="shared" si="12"/>
        <v>1.1919772727064355E-2</v>
      </c>
      <c r="T36" s="129">
        <f t="shared" si="12"/>
        <v>1.1928444198721499E-2</v>
      </c>
      <c r="U36" s="129">
        <f t="shared" si="12"/>
        <v>2.388013560371504E-2</v>
      </c>
      <c r="V36" s="130">
        <f t="shared" si="12"/>
        <v>0</v>
      </c>
      <c r="W36" s="185"/>
      <c r="X36" s="164" t="s">
        <v>498</v>
      </c>
      <c r="Y36" s="128">
        <f t="shared" ref="Y36:AK36" si="13">SUM(Y33:Y35)</f>
        <v>0</v>
      </c>
      <c r="Z36" s="129">
        <f t="shared" si="13"/>
        <v>-1.2141771428571424E-2</v>
      </c>
      <c r="AA36" s="129">
        <f t="shared" si="13"/>
        <v>-6.1917351069304884E-2</v>
      </c>
      <c r="AB36" s="129">
        <f t="shared" si="13"/>
        <v>-8.9605541865414775E-3</v>
      </c>
      <c r="AC36" s="129">
        <f t="shared" si="13"/>
        <v>-1.2115212536557684E-2</v>
      </c>
      <c r="AD36" s="129">
        <f t="shared" si="13"/>
        <v>0</v>
      </c>
      <c r="AE36" s="129">
        <f t="shared" si="13"/>
        <v>0</v>
      </c>
      <c r="AF36" s="130">
        <f t="shared" si="13"/>
        <v>0</v>
      </c>
      <c r="AG36" s="128">
        <f t="shared" si="13"/>
        <v>-5.9365851391441245E-3</v>
      </c>
      <c r="AH36" s="129">
        <f t="shared" si="13"/>
        <v>-5.9365851391441245E-3</v>
      </c>
      <c r="AI36" s="129">
        <f t="shared" si="13"/>
        <v>-5.9365851391441245E-3</v>
      </c>
      <c r="AJ36" s="129">
        <f t="shared" si="13"/>
        <v>-1.1873170278288249E-2</v>
      </c>
      <c r="AK36" s="130">
        <f t="shared" si="13"/>
        <v>0</v>
      </c>
      <c r="AL36" s="185"/>
      <c r="AM36" s="522" t="s">
        <v>1876</v>
      </c>
      <c r="AN36" s="777">
        <f t="shared" ref="AN36:AZ36" si="14">SUM(AN33:AN35)</f>
        <v>0</v>
      </c>
      <c r="AO36" s="778">
        <f t="shared" si="14"/>
        <v>1</v>
      </c>
      <c r="AP36" s="778">
        <f t="shared" si="14"/>
        <v>2</v>
      </c>
      <c r="AQ36" s="778">
        <f t="shared" si="14"/>
        <v>1</v>
      </c>
      <c r="AR36" s="778">
        <f t="shared" si="14"/>
        <v>2</v>
      </c>
      <c r="AS36" s="778">
        <f t="shared" si="14"/>
        <v>0</v>
      </c>
      <c r="AT36" s="778">
        <f t="shared" si="14"/>
        <v>0</v>
      </c>
      <c r="AU36" s="779">
        <f t="shared" si="14"/>
        <v>0</v>
      </c>
      <c r="AV36" s="777">
        <f t="shared" si="14"/>
        <v>1</v>
      </c>
      <c r="AW36" s="778">
        <f t="shared" si="14"/>
        <v>1</v>
      </c>
      <c r="AX36" s="778">
        <f t="shared" si="14"/>
        <v>1</v>
      </c>
      <c r="AY36" s="778">
        <f t="shared" si="14"/>
        <v>2</v>
      </c>
      <c r="AZ36" s="779">
        <f t="shared" si="14"/>
        <v>0</v>
      </c>
    </row>
    <row r="37" spans="1:52" s="98" customFormat="1" ht="15" customHeight="1">
      <c r="A37" s="99"/>
      <c r="B37" s="161"/>
      <c r="C37" s="506" t="s">
        <v>2529</v>
      </c>
      <c r="D37" s="506"/>
      <c r="E37" s="506"/>
      <c r="F37" s="506"/>
      <c r="G37" s="507"/>
      <c r="H37" s="507"/>
      <c r="I37" s="507"/>
      <c r="J37" s="845"/>
      <c r="K37" s="846"/>
      <c r="L37" s="846"/>
      <c r="M37" s="846"/>
      <c r="N37" s="846"/>
      <c r="O37" s="846"/>
      <c r="P37" s="846"/>
      <c r="Q37" s="847"/>
      <c r="R37" s="845"/>
      <c r="S37" s="846"/>
      <c r="T37" s="846"/>
      <c r="U37" s="846"/>
      <c r="V37" s="847"/>
      <c r="W37" s="185"/>
      <c r="X37" s="507"/>
      <c r="Y37" s="845"/>
      <c r="Z37" s="846"/>
      <c r="AA37" s="846"/>
      <c r="AB37" s="846"/>
      <c r="AC37" s="846"/>
      <c r="AD37" s="846"/>
      <c r="AE37" s="846"/>
      <c r="AF37" s="847"/>
      <c r="AG37" s="845"/>
      <c r="AH37" s="846"/>
      <c r="AI37" s="846"/>
      <c r="AJ37" s="846"/>
      <c r="AK37" s="847"/>
      <c r="AL37" s="185"/>
      <c r="AM37" s="507"/>
      <c r="AN37" s="851"/>
      <c r="AO37" s="852"/>
      <c r="AP37" s="852"/>
      <c r="AQ37" s="852"/>
      <c r="AR37" s="852"/>
      <c r="AS37" s="852"/>
      <c r="AT37" s="852"/>
      <c r="AU37" s="853"/>
      <c r="AV37" s="851"/>
      <c r="AW37" s="852"/>
      <c r="AX37" s="852"/>
      <c r="AY37" s="852"/>
      <c r="AZ37" s="853"/>
    </row>
    <row r="38" spans="1:52" s="98" customFormat="1" ht="15" customHeight="1">
      <c r="A38" s="99"/>
      <c r="B38" s="161"/>
      <c r="C38" s="182"/>
      <c r="D38" s="182" t="s">
        <v>2530</v>
      </c>
      <c r="E38" s="182"/>
      <c r="F38" s="182"/>
      <c r="G38" s="521"/>
      <c r="H38" s="521"/>
      <c r="I38" s="164" t="s">
        <v>498</v>
      </c>
      <c r="J38" s="143">
        <v>0</v>
      </c>
      <c r="K38" s="141">
        <v>0</v>
      </c>
      <c r="L38" s="141">
        <v>0</v>
      </c>
      <c r="M38" s="141">
        <v>0</v>
      </c>
      <c r="N38" s="141">
        <v>0</v>
      </c>
      <c r="O38" s="141">
        <v>0</v>
      </c>
      <c r="P38" s="141">
        <v>0</v>
      </c>
      <c r="Q38" s="144">
        <v>0</v>
      </c>
      <c r="R38" s="143">
        <v>0</v>
      </c>
      <c r="S38" s="141">
        <v>0</v>
      </c>
      <c r="T38" s="141">
        <v>0</v>
      </c>
      <c r="U38" s="141">
        <v>0</v>
      </c>
      <c r="V38" s="144">
        <v>0</v>
      </c>
      <c r="W38" s="185"/>
      <c r="X38" s="164" t="s">
        <v>498</v>
      </c>
      <c r="Y38" s="143">
        <v>0</v>
      </c>
      <c r="Z38" s="141">
        <v>0</v>
      </c>
      <c r="AA38" s="141">
        <v>0</v>
      </c>
      <c r="AB38" s="141">
        <v>0</v>
      </c>
      <c r="AC38" s="141">
        <v>0</v>
      </c>
      <c r="AD38" s="141">
        <v>0</v>
      </c>
      <c r="AE38" s="141">
        <v>0</v>
      </c>
      <c r="AF38" s="144">
        <v>0</v>
      </c>
      <c r="AG38" s="143">
        <v>0</v>
      </c>
      <c r="AH38" s="141">
        <v>0</v>
      </c>
      <c r="AI38" s="141">
        <v>0</v>
      </c>
      <c r="AJ38" s="141">
        <v>0</v>
      </c>
      <c r="AK38" s="144">
        <v>0</v>
      </c>
      <c r="AL38" s="185"/>
      <c r="AM38" s="522" t="s">
        <v>1876</v>
      </c>
      <c r="AN38" s="165">
        <v>0</v>
      </c>
      <c r="AO38" s="166">
        <v>0</v>
      </c>
      <c r="AP38" s="166">
        <v>0</v>
      </c>
      <c r="AQ38" s="166">
        <v>0</v>
      </c>
      <c r="AR38" s="166">
        <v>0</v>
      </c>
      <c r="AS38" s="166">
        <v>0</v>
      </c>
      <c r="AT38" s="166">
        <v>0</v>
      </c>
      <c r="AU38" s="167">
        <v>0</v>
      </c>
      <c r="AV38" s="165">
        <v>0</v>
      </c>
      <c r="AW38" s="166">
        <v>0</v>
      </c>
      <c r="AX38" s="166">
        <v>0</v>
      </c>
      <c r="AY38" s="166">
        <v>0</v>
      </c>
      <c r="AZ38" s="167">
        <v>0</v>
      </c>
    </row>
    <row r="39" spans="1:52" s="98" customFormat="1" ht="15" customHeight="1">
      <c r="A39" s="99"/>
      <c r="B39" s="161"/>
      <c r="C39" s="182"/>
      <c r="D39" s="182" t="s">
        <v>2531</v>
      </c>
      <c r="E39" s="182"/>
      <c r="F39" s="182"/>
      <c r="G39" s="521"/>
      <c r="H39" s="521"/>
      <c r="I39" s="164" t="s">
        <v>498</v>
      </c>
      <c r="J39" s="143">
        <v>0</v>
      </c>
      <c r="K39" s="141">
        <v>0</v>
      </c>
      <c r="L39" s="141">
        <v>0</v>
      </c>
      <c r="M39" s="141">
        <v>0</v>
      </c>
      <c r="N39" s="141">
        <v>0</v>
      </c>
      <c r="O39" s="141">
        <v>0</v>
      </c>
      <c r="P39" s="141">
        <v>0</v>
      </c>
      <c r="Q39" s="144">
        <v>0</v>
      </c>
      <c r="R39" s="143">
        <v>0</v>
      </c>
      <c r="S39" s="141">
        <v>0</v>
      </c>
      <c r="T39" s="141">
        <v>0</v>
      </c>
      <c r="U39" s="141">
        <v>0</v>
      </c>
      <c r="V39" s="144">
        <v>0</v>
      </c>
      <c r="W39" s="185"/>
      <c r="X39" s="164" t="s">
        <v>498</v>
      </c>
      <c r="Y39" s="143">
        <v>0</v>
      </c>
      <c r="Z39" s="141">
        <v>0</v>
      </c>
      <c r="AA39" s="141">
        <v>0</v>
      </c>
      <c r="AB39" s="141">
        <v>0</v>
      </c>
      <c r="AC39" s="141">
        <v>0</v>
      </c>
      <c r="AD39" s="141">
        <v>0</v>
      </c>
      <c r="AE39" s="141">
        <v>0</v>
      </c>
      <c r="AF39" s="144">
        <v>0</v>
      </c>
      <c r="AG39" s="143">
        <v>0</v>
      </c>
      <c r="AH39" s="141">
        <v>0</v>
      </c>
      <c r="AI39" s="141">
        <v>0</v>
      </c>
      <c r="AJ39" s="141">
        <v>0</v>
      </c>
      <c r="AK39" s="144">
        <v>0</v>
      </c>
      <c r="AL39" s="185"/>
      <c r="AM39" s="522" t="s">
        <v>1876</v>
      </c>
      <c r="AN39" s="165">
        <v>93</v>
      </c>
      <c r="AO39" s="166">
        <v>98</v>
      </c>
      <c r="AP39" s="166">
        <v>111</v>
      </c>
      <c r="AQ39" s="166">
        <v>117</v>
      </c>
      <c r="AR39" s="166">
        <v>124</v>
      </c>
      <c r="AS39" s="166">
        <v>112</v>
      </c>
      <c r="AT39" s="166">
        <v>129.98871167431358</v>
      </c>
      <c r="AU39" s="167">
        <v>133.56638263782679</v>
      </c>
      <c r="AV39" s="165">
        <v>152.19385390363081</v>
      </c>
      <c r="AW39" s="166">
        <v>169.60180425446367</v>
      </c>
      <c r="AX39" s="166">
        <v>186.75108142381737</v>
      </c>
      <c r="AY39" s="166">
        <v>203.68676595727945</v>
      </c>
      <c r="AZ39" s="167">
        <v>0</v>
      </c>
    </row>
    <row r="40" spans="1:52" s="98" customFormat="1" ht="15" customHeight="1">
      <c r="A40" s="99"/>
      <c r="B40" s="161"/>
      <c r="C40" s="182"/>
      <c r="D40" s="182" t="s">
        <v>2532</v>
      </c>
      <c r="E40" s="182"/>
      <c r="F40" s="182"/>
      <c r="G40" s="521"/>
      <c r="H40" s="521"/>
      <c r="I40" s="164" t="s">
        <v>498</v>
      </c>
      <c r="J40" s="143">
        <v>0</v>
      </c>
      <c r="K40" s="141">
        <v>0</v>
      </c>
      <c r="L40" s="141">
        <v>0</v>
      </c>
      <c r="M40" s="141">
        <v>0</v>
      </c>
      <c r="N40" s="141">
        <v>0</v>
      </c>
      <c r="O40" s="141">
        <v>0</v>
      </c>
      <c r="P40" s="141">
        <v>0</v>
      </c>
      <c r="Q40" s="144">
        <v>0</v>
      </c>
      <c r="R40" s="143">
        <v>0</v>
      </c>
      <c r="S40" s="141">
        <v>0</v>
      </c>
      <c r="T40" s="141">
        <v>0</v>
      </c>
      <c r="U40" s="141">
        <v>0</v>
      </c>
      <c r="V40" s="144">
        <v>0</v>
      </c>
      <c r="W40" s="185"/>
      <c r="X40" s="164" t="s">
        <v>498</v>
      </c>
      <c r="Y40" s="143">
        <v>0</v>
      </c>
      <c r="Z40" s="141">
        <v>0</v>
      </c>
      <c r="AA40" s="141">
        <v>0</v>
      </c>
      <c r="AB40" s="141">
        <v>0</v>
      </c>
      <c r="AC40" s="141">
        <v>0</v>
      </c>
      <c r="AD40" s="141">
        <v>0</v>
      </c>
      <c r="AE40" s="141">
        <v>0</v>
      </c>
      <c r="AF40" s="144">
        <v>0</v>
      </c>
      <c r="AG40" s="143">
        <v>0</v>
      </c>
      <c r="AH40" s="141">
        <v>0</v>
      </c>
      <c r="AI40" s="141">
        <v>0</v>
      </c>
      <c r="AJ40" s="141">
        <v>0</v>
      </c>
      <c r="AK40" s="144">
        <v>0</v>
      </c>
      <c r="AL40" s="185"/>
      <c r="AM40" s="522" t="s">
        <v>1876</v>
      </c>
      <c r="AN40" s="165">
        <v>1654</v>
      </c>
      <c r="AO40" s="166">
        <v>1369</v>
      </c>
      <c r="AP40" s="166">
        <v>1450</v>
      </c>
      <c r="AQ40" s="166">
        <v>1600</v>
      </c>
      <c r="AR40" s="166">
        <v>1719</v>
      </c>
      <c r="AS40" s="166">
        <v>1636</v>
      </c>
      <c r="AT40" s="166">
        <v>1871.0436239166847</v>
      </c>
      <c r="AU40" s="167">
        <v>1922.5402374189787</v>
      </c>
      <c r="AV40" s="165">
        <v>2190.6620680968413</v>
      </c>
      <c r="AW40" s="166">
        <v>2441.2302450550892</v>
      </c>
      <c r="AX40" s="166">
        <v>2688.0751078835879</v>
      </c>
      <c r="AY40" s="166">
        <v>2931.8455411377563</v>
      </c>
      <c r="AZ40" s="167">
        <v>0</v>
      </c>
    </row>
    <row r="41" spans="1:52" s="98" customFormat="1" ht="15" customHeight="1">
      <c r="A41" s="99"/>
      <c r="B41" s="161"/>
      <c r="C41" s="182"/>
      <c r="D41" s="182" t="s">
        <v>2533</v>
      </c>
      <c r="E41" s="182"/>
      <c r="F41" s="182"/>
      <c r="G41" s="521"/>
      <c r="H41" s="521"/>
      <c r="I41" s="164" t="s">
        <v>498</v>
      </c>
      <c r="J41" s="143">
        <v>0</v>
      </c>
      <c r="K41" s="141">
        <v>0</v>
      </c>
      <c r="L41" s="141">
        <v>0</v>
      </c>
      <c r="M41" s="141">
        <v>0</v>
      </c>
      <c r="N41" s="141">
        <v>0</v>
      </c>
      <c r="O41" s="141">
        <v>0</v>
      </c>
      <c r="P41" s="141">
        <v>0</v>
      </c>
      <c r="Q41" s="144">
        <v>0</v>
      </c>
      <c r="R41" s="143">
        <v>0</v>
      </c>
      <c r="S41" s="141">
        <v>0</v>
      </c>
      <c r="T41" s="141">
        <v>0</v>
      </c>
      <c r="U41" s="141">
        <v>0</v>
      </c>
      <c r="V41" s="144">
        <v>0</v>
      </c>
      <c r="W41" s="185"/>
      <c r="X41" s="164" t="s">
        <v>498</v>
      </c>
      <c r="Y41" s="143">
        <v>0</v>
      </c>
      <c r="Z41" s="141">
        <v>0</v>
      </c>
      <c r="AA41" s="141">
        <v>0</v>
      </c>
      <c r="AB41" s="141">
        <v>0</v>
      </c>
      <c r="AC41" s="141">
        <v>0</v>
      </c>
      <c r="AD41" s="141">
        <v>0</v>
      </c>
      <c r="AE41" s="141">
        <v>0</v>
      </c>
      <c r="AF41" s="144">
        <v>0</v>
      </c>
      <c r="AG41" s="143">
        <v>0</v>
      </c>
      <c r="AH41" s="141">
        <v>0</v>
      </c>
      <c r="AI41" s="141">
        <v>0</v>
      </c>
      <c r="AJ41" s="141">
        <v>0</v>
      </c>
      <c r="AK41" s="144">
        <v>0</v>
      </c>
      <c r="AL41" s="185"/>
      <c r="AM41" s="522" t="s">
        <v>1876</v>
      </c>
      <c r="AN41" s="165">
        <v>24</v>
      </c>
      <c r="AO41" s="166">
        <v>35</v>
      </c>
      <c r="AP41" s="166">
        <v>39</v>
      </c>
      <c r="AQ41" s="166">
        <v>40</v>
      </c>
      <c r="AR41" s="166">
        <v>25</v>
      </c>
      <c r="AS41" s="166">
        <v>38</v>
      </c>
      <c r="AT41" s="166">
        <v>39.889665719903867</v>
      </c>
      <c r="AU41" s="167">
        <v>40.987546427791123</v>
      </c>
      <c r="AV41" s="165">
        <v>46.703762800961513</v>
      </c>
      <c r="AW41" s="166">
        <v>52.045744511675117</v>
      </c>
      <c r="AX41" s="166">
        <v>57.308347123950064</v>
      </c>
      <c r="AY41" s="166">
        <v>62.505404515134607</v>
      </c>
      <c r="AZ41" s="167">
        <v>0</v>
      </c>
    </row>
    <row r="42" spans="1:52" s="98" customFormat="1" ht="15" customHeight="1">
      <c r="A42" s="99"/>
      <c r="B42" s="161"/>
      <c r="C42" s="182"/>
      <c r="D42" s="182" t="s">
        <v>2534</v>
      </c>
      <c r="E42" s="182"/>
      <c r="F42" s="182"/>
      <c r="G42" s="521"/>
      <c r="H42" s="521"/>
      <c r="I42" s="164" t="s">
        <v>498</v>
      </c>
      <c r="J42" s="143">
        <v>0</v>
      </c>
      <c r="K42" s="141">
        <v>0</v>
      </c>
      <c r="L42" s="141">
        <v>0</v>
      </c>
      <c r="M42" s="141">
        <v>0</v>
      </c>
      <c r="N42" s="141">
        <v>0</v>
      </c>
      <c r="O42" s="141">
        <v>0</v>
      </c>
      <c r="P42" s="141">
        <v>0</v>
      </c>
      <c r="Q42" s="144">
        <v>0</v>
      </c>
      <c r="R42" s="143">
        <v>0</v>
      </c>
      <c r="S42" s="141">
        <v>0</v>
      </c>
      <c r="T42" s="141">
        <v>0</v>
      </c>
      <c r="U42" s="141">
        <v>0</v>
      </c>
      <c r="V42" s="144">
        <v>0</v>
      </c>
      <c r="W42" s="185"/>
      <c r="X42" s="164" t="s">
        <v>498</v>
      </c>
      <c r="Y42" s="143">
        <v>0</v>
      </c>
      <c r="Z42" s="141">
        <v>0</v>
      </c>
      <c r="AA42" s="141">
        <v>0</v>
      </c>
      <c r="AB42" s="141">
        <v>0</v>
      </c>
      <c r="AC42" s="141">
        <v>0</v>
      </c>
      <c r="AD42" s="141">
        <v>0</v>
      </c>
      <c r="AE42" s="141">
        <v>0</v>
      </c>
      <c r="AF42" s="144">
        <v>0</v>
      </c>
      <c r="AG42" s="143">
        <v>0</v>
      </c>
      <c r="AH42" s="141">
        <v>0</v>
      </c>
      <c r="AI42" s="141">
        <v>0</v>
      </c>
      <c r="AJ42" s="141">
        <v>0</v>
      </c>
      <c r="AK42" s="144">
        <v>0</v>
      </c>
      <c r="AL42" s="185"/>
      <c r="AM42" s="522" t="s">
        <v>1876</v>
      </c>
      <c r="AN42" s="165">
        <v>0</v>
      </c>
      <c r="AO42" s="166">
        <v>0</v>
      </c>
      <c r="AP42" s="166">
        <v>0</v>
      </c>
      <c r="AQ42" s="166">
        <v>0</v>
      </c>
      <c r="AR42" s="166">
        <v>0</v>
      </c>
      <c r="AS42" s="166">
        <v>1</v>
      </c>
      <c r="AT42" s="166">
        <v>0.19845604835773065</v>
      </c>
      <c r="AU42" s="167">
        <v>0.20391814143179662</v>
      </c>
      <c r="AV42" s="165">
        <v>0.23235702886050502</v>
      </c>
      <c r="AW42" s="166">
        <v>0.25893405229689109</v>
      </c>
      <c r="AX42" s="166">
        <v>0.28511615484552266</v>
      </c>
      <c r="AY42" s="166">
        <v>0.31097216176683884</v>
      </c>
      <c r="AZ42" s="167">
        <v>0</v>
      </c>
    </row>
    <row r="43" spans="1:52" s="98" customFormat="1" ht="15" customHeight="1">
      <c r="A43" s="99"/>
      <c r="B43" s="161"/>
      <c r="C43" s="182"/>
      <c r="D43" s="182" t="s">
        <v>2535</v>
      </c>
      <c r="E43" s="182"/>
      <c r="F43" s="182"/>
      <c r="G43" s="521"/>
      <c r="H43" s="521"/>
      <c r="I43" s="164" t="s">
        <v>498</v>
      </c>
      <c r="J43" s="143">
        <v>0.47840307008024818</v>
      </c>
      <c r="K43" s="141">
        <v>0.47279955389185879</v>
      </c>
      <c r="L43" s="141">
        <v>0.40319628132280533</v>
      </c>
      <c r="M43" s="141">
        <v>0.32335427351071233</v>
      </c>
      <c r="N43" s="141">
        <v>0.32916905967115306</v>
      </c>
      <c r="O43" s="141">
        <v>0.39652551862326268</v>
      </c>
      <c r="P43" s="141">
        <v>0.47697874430832493</v>
      </c>
      <c r="Q43" s="144">
        <v>0.49010659965626047</v>
      </c>
      <c r="R43" s="143">
        <v>0.55845797986121015</v>
      </c>
      <c r="S43" s="141">
        <v>0.62233446722978747</v>
      </c>
      <c r="T43" s="141">
        <v>0.68526178287645934</v>
      </c>
      <c r="U43" s="141">
        <v>0.74740534471905973</v>
      </c>
      <c r="V43" s="144">
        <v>0</v>
      </c>
      <c r="W43" s="185"/>
      <c r="X43" s="164" t="s">
        <v>498</v>
      </c>
      <c r="Y43" s="143">
        <v>0</v>
      </c>
      <c r="Z43" s="141">
        <v>0</v>
      </c>
      <c r="AA43" s="141">
        <v>0</v>
      </c>
      <c r="AB43" s="141">
        <v>0</v>
      </c>
      <c r="AC43" s="141">
        <v>0</v>
      </c>
      <c r="AD43" s="141">
        <v>0</v>
      </c>
      <c r="AE43" s="141">
        <v>0</v>
      </c>
      <c r="AF43" s="144">
        <v>0</v>
      </c>
      <c r="AG43" s="143">
        <v>0</v>
      </c>
      <c r="AH43" s="141">
        <v>0</v>
      </c>
      <c r="AI43" s="141">
        <v>0</v>
      </c>
      <c r="AJ43" s="141">
        <v>0</v>
      </c>
      <c r="AK43" s="144">
        <v>0</v>
      </c>
      <c r="AL43" s="185"/>
      <c r="AM43" s="522" t="s">
        <v>1876</v>
      </c>
      <c r="AN43" s="165">
        <v>0</v>
      </c>
      <c r="AO43" s="166">
        <v>0</v>
      </c>
      <c r="AP43" s="166">
        <v>0</v>
      </c>
      <c r="AQ43" s="166">
        <v>0</v>
      </c>
      <c r="AR43" s="166">
        <v>0</v>
      </c>
      <c r="AS43" s="166">
        <v>0</v>
      </c>
      <c r="AT43" s="166">
        <v>0</v>
      </c>
      <c r="AU43" s="167">
        <v>0</v>
      </c>
      <c r="AV43" s="165">
        <v>0</v>
      </c>
      <c r="AW43" s="166">
        <v>0</v>
      </c>
      <c r="AX43" s="166">
        <v>0</v>
      </c>
      <c r="AY43" s="166">
        <v>0</v>
      </c>
      <c r="AZ43" s="167">
        <v>0</v>
      </c>
    </row>
    <row r="44" spans="1:52" s="98" customFormat="1" ht="15" customHeight="1">
      <c r="A44" s="99"/>
      <c r="B44" s="181"/>
      <c r="C44" s="182" t="s">
        <v>1710</v>
      </c>
      <c r="D44" s="183"/>
      <c r="E44" s="183"/>
      <c r="F44" s="183"/>
      <c r="G44" s="184"/>
      <c r="H44" s="184"/>
      <c r="I44" s="164" t="s">
        <v>498</v>
      </c>
      <c r="J44" s="128">
        <f>SUM(J38:J43)</f>
        <v>0.47840307008024818</v>
      </c>
      <c r="K44" s="129">
        <f t="shared" ref="K44:V44" si="15">SUM(K38:K43)</f>
        <v>0.47279955389185879</v>
      </c>
      <c r="L44" s="129">
        <f t="shared" si="15"/>
        <v>0.40319628132280533</v>
      </c>
      <c r="M44" s="129">
        <f t="shared" si="15"/>
        <v>0.32335427351071233</v>
      </c>
      <c r="N44" s="129">
        <f t="shared" si="15"/>
        <v>0.32916905967115306</v>
      </c>
      <c r="O44" s="129">
        <f t="shared" si="15"/>
        <v>0.39652551862326268</v>
      </c>
      <c r="P44" s="129">
        <f t="shared" si="15"/>
        <v>0.47697874430832493</v>
      </c>
      <c r="Q44" s="130">
        <f t="shared" si="15"/>
        <v>0.49010659965626047</v>
      </c>
      <c r="R44" s="128">
        <f t="shared" si="15"/>
        <v>0.55845797986121015</v>
      </c>
      <c r="S44" s="129">
        <f t="shared" si="15"/>
        <v>0.62233446722978747</v>
      </c>
      <c r="T44" s="129">
        <f t="shared" si="15"/>
        <v>0.68526178287645934</v>
      </c>
      <c r="U44" s="129">
        <f t="shared" si="15"/>
        <v>0.74740534471905973</v>
      </c>
      <c r="V44" s="130">
        <f t="shared" si="15"/>
        <v>0</v>
      </c>
      <c r="W44" s="185"/>
      <c r="X44" s="164" t="s">
        <v>498</v>
      </c>
      <c r="Y44" s="128">
        <f>SUM(Y38:Y43)</f>
        <v>0</v>
      </c>
      <c r="Z44" s="129">
        <f t="shared" ref="Z44:AK44" si="16">SUM(Z38:Z43)</f>
        <v>0</v>
      </c>
      <c r="AA44" s="129">
        <f t="shared" si="16"/>
        <v>0</v>
      </c>
      <c r="AB44" s="129">
        <f t="shared" si="16"/>
        <v>0</v>
      </c>
      <c r="AC44" s="129">
        <f t="shared" si="16"/>
        <v>0</v>
      </c>
      <c r="AD44" s="129">
        <f t="shared" si="16"/>
        <v>0</v>
      </c>
      <c r="AE44" s="129">
        <f t="shared" si="16"/>
        <v>0</v>
      </c>
      <c r="AF44" s="130">
        <f t="shared" si="16"/>
        <v>0</v>
      </c>
      <c r="AG44" s="128">
        <f t="shared" si="16"/>
        <v>0</v>
      </c>
      <c r="AH44" s="129">
        <f t="shared" si="16"/>
        <v>0</v>
      </c>
      <c r="AI44" s="129">
        <f t="shared" si="16"/>
        <v>0</v>
      </c>
      <c r="AJ44" s="129">
        <f t="shared" si="16"/>
        <v>0</v>
      </c>
      <c r="AK44" s="130">
        <f t="shared" si="16"/>
        <v>0</v>
      </c>
      <c r="AL44" s="185"/>
      <c r="AM44" s="522" t="s">
        <v>1876</v>
      </c>
      <c r="AN44" s="777">
        <f>SUM(AN38:AN43)</f>
        <v>1771</v>
      </c>
      <c r="AO44" s="778">
        <f t="shared" ref="AO44:AZ44" si="17">SUM(AO38:AO43)</f>
        <v>1502</v>
      </c>
      <c r="AP44" s="778">
        <f t="shared" si="17"/>
        <v>1600</v>
      </c>
      <c r="AQ44" s="778">
        <f t="shared" si="17"/>
        <v>1757</v>
      </c>
      <c r="AR44" s="778">
        <f t="shared" si="17"/>
        <v>1868</v>
      </c>
      <c r="AS44" s="778">
        <f t="shared" si="17"/>
        <v>1787</v>
      </c>
      <c r="AT44" s="778">
        <f t="shared" si="17"/>
        <v>2041.1204573592599</v>
      </c>
      <c r="AU44" s="779">
        <f t="shared" si="17"/>
        <v>2097.2980846260284</v>
      </c>
      <c r="AV44" s="777">
        <f t="shared" si="17"/>
        <v>2389.7920418302942</v>
      </c>
      <c r="AW44" s="778">
        <f t="shared" si="17"/>
        <v>2663.1367278735247</v>
      </c>
      <c r="AX44" s="778">
        <f t="shared" si="17"/>
        <v>2932.4196525862008</v>
      </c>
      <c r="AY44" s="778">
        <f t="shared" si="17"/>
        <v>3198.3486837719374</v>
      </c>
      <c r="AZ44" s="779">
        <f t="shared" si="17"/>
        <v>0</v>
      </c>
    </row>
    <row r="45" spans="1:52" s="98" customFormat="1" ht="15" customHeight="1">
      <c r="A45" s="99"/>
      <c r="B45" s="181"/>
      <c r="C45" s="183"/>
      <c r="D45" s="183"/>
      <c r="E45" s="183"/>
      <c r="F45" s="183"/>
      <c r="G45" s="507"/>
      <c r="H45" s="507"/>
      <c r="I45" s="507"/>
      <c r="J45" s="845"/>
      <c r="K45" s="846"/>
      <c r="L45" s="846"/>
      <c r="M45" s="846"/>
      <c r="N45" s="846"/>
      <c r="O45" s="846"/>
      <c r="P45" s="846"/>
      <c r="Q45" s="847"/>
      <c r="R45" s="845"/>
      <c r="S45" s="846"/>
      <c r="T45" s="846"/>
      <c r="U45" s="846"/>
      <c r="V45" s="847"/>
      <c r="W45" s="507"/>
      <c r="X45" s="507"/>
      <c r="Y45" s="845"/>
      <c r="Z45" s="846"/>
      <c r="AA45" s="846"/>
      <c r="AB45" s="846"/>
      <c r="AC45" s="846"/>
      <c r="AD45" s="846"/>
      <c r="AE45" s="846"/>
      <c r="AF45" s="847"/>
      <c r="AG45" s="845"/>
      <c r="AH45" s="846"/>
      <c r="AI45" s="846"/>
      <c r="AJ45" s="846"/>
      <c r="AK45" s="847"/>
      <c r="AL45" s="507"/>
      <c r="AM45" s="507"/>
      <c r="AN45" s="519"/>
      <c r="AO45" s="507"/>
      <c r="AP45" s="507"/>
      <c r="AQ45" s="507"/>
      <c r="AR45" s="507"/>
      <c r="AS45" s="507"/>
      <c r="AT45" s="507"/>
      <c r="AU45" s="520"/>
      <c r="AV45" s="519"/>
      <c r="AW45" s="507"/>
      <c r="AX45" s="507"/>
      <c r="AY45" s="507"/>
      <c r="AZ45" s="520"/>
    </row>
    <row r="46" spans="1:52" s="98" customFormat="1" ht="15" customHeight="1" thickBot="1">
      <c r="A46" s="99"/>
      <c r="B46" s="161"/>
      <c r="C46" s="506" t="s">
        <v>2536</v>
      </c>
      <c r="D46" s="506"/>
      <c r="E46" s="506"/>
      <c r="F46" s="506"/>
      <c r="G46" s="521"/>
      <c r="H46" s="521"/>
      <c r="I46" s="521"/>
      <c r="J46" s="848"/>
      <c r="K46" s="849"/>
      <c r="L46" s="849"/>
      <c r="M46" s="849"/>
      <c r="N46" s="849"/>
      <c r="O46" s="849"/>
      <c r="P46" s="849"/>
      <c r="Q46" s="850"/>
      <c r="R46" s="848"/>
      <c r="S46" s="849"/>
      <c r="T46" s="849"/>
      <c r="U46" s="849"/>
      <c r="V46" s="850"/>
      <c r="W46" s="521"/>
      <c r="X46" s="521"/>
      <c r="Y46" s="848"/>
      <c r="Z46" s="849"/>
      <c r="AA46" s="849"/>
      <c r="AB46" s="849"/>
      <c r="AC46" s="849"/>
      <c r="AD46" s="849"/>
      <c r="AE46" s="849"/>
      <c r="AF46" s="850"/>
      <c r="AG46" s="848"/>
      <c r="AH46" s="849"/>
      <c r="AI46" s="849"/>
      <c r="AJ46" s="849"/>
      <c r="AK46" s="850"/>
      <c r="AL46" s="521"/>
      <c r="AM46" s="522" t="s">
        <v>2537</v>
      </c>
      <c r="AN46" s="854">
        <v>0</v>
      </c>
      <c r="AO46" s="855">
        <v>0</v>
      </c>
      <c r="AP46" s="855">
        <v>0</v>
      </c>
      <c r="AQ46" s="855">
        <v>0</v>
      </c>
      <c r="AR46" s="855">
        <v>0</v>
      </c>
      <c r="AS46" s="855">
        <v>0</v>
      </c>
      <c r="AT46" s="855">
        <v>0</v>
      </c>
      <c r="AU46" s="856">
        <v>0</v>
      </c>
      <c r="AV46" s="854">
        <v>0</v>
      </c>
      <c r="AW46" s="855">
        <v>0</v>
      </c>
      <c r="AX46" s="855">
        <v>0</v>
      </c>
      <c r="AY46" s="855">
        <v>0</v>
      </c>
      <c r="AZ46" s="856">
        <v>0</v>
      </c>
    </row>
    <row r="47" spans="1:52" s="98" customFormat="1" ht="15" customHeight="1">
      <c r="A47" s="99"/>
      <c r="B47" s="505"/>
      <c r="C47" s="506"/>
      <c r="D47" s="506"/>
      <c r="E47" s="506"/>
      <c r="F47" s="506"/>
      <c r="G47" s="507"/>
      <c r="H47" s="507"/>
      <c r="I47" s="185"/>
      <c r="J47" s="845"/>
      <c r="K47" s="846"/>
      <c r="L47" s="846"/>
      <c r="M47" s="846"/>
      <c r="N47" s="846"/>
      <c r="O47" s="846"/>
      <c r="P47" s="846"/>
      <c r="Q47" s="847"/>
      <c r="R47" s="845"/>
      <c r="S47" s="846"/>
      <c r="T47" s="846"/>
      <c r="U47" s="846"/>
      <c r="V47" s="847"/>
      <c r="W47" s="507"/>
      <c r="X47" s="185"/>
      <c r="Y47" s="845"/>
      <c r="Z47" s="846"/>
      <c r="AA47" s="846"/>
      <c r="AB47" s="846"/>
      <c r="AC47" s="846"/>
      <c r="AD47" s="846"/>
      <c r="AE47" s="846"/>
      <c r="AF47" s="847"/>
      <c r="AG47" s="845"/>
      <c r="AH47" s="846"/>
      <c r="AI47" s="846"/>
      <c r="AJ47" s="846"/>
      <c r="AK47" s="847"/>
      <c r="AL47" s="507"/>
      <c r="AM47" s="185"/>
      <c r="AN47" s="507"/>
      <c r="AO47" s="507"/>
      <c r="AP47" s="507"/>
      <c r="AQ47" s="507"/>
      <c r="AR47" s="507"/>
      <c r="AS47" s="507"/>
      <c r="AT47" s="507"/>
      <c r="AU47" s="507"/>
      <c r="AV47" s="507"/>
      <c r="AW47" s="507"/>
      <c r="AX47" s="507"/>
      <c r="AY47" s="507"/>
      <c r="AZ47" s="520"/>
    </row>
    <row r="48" spans="1:52" s="98" customFormat="1" ht="15" customHeight="1" thickBot="1">
      <c r="A48" s="99"/>
      <c r="B48" s="239" t="s">
        <v>1701</v>
      </c>
      <c r="C48" s="246"/>
      <c r="D48" s="512"/>
      <c r="E48" s="512"/>
      <c r="F48" s="512"/>
      <c r="G48" s="523"/>
      <c r="H48" s="523"/>
      <c r="I48" s="195" t="s">
        <v>498</v>
      </c>
      <c r="J48" s="717">
        <f t="shared" ref="J48:V48" si="18">J22+J26+J31+J36+J44</f>
        <v>2.2199870847402594</v>
      </c>
      <c r="K48" s="718">
        <f t="shared" si="18"/>
        <v>2.8440370141752251</v>
      </c>
      <c r="L48" s="718">
        <f t="shared" si="18"/>
        <v>2.9471352296820474</v>
      </c>
      <c r="M48" s="718">
        <f t="shared" si="18"/>
        <v>2.9006966529050113</v>
      </c>
      <c r="N48" s="718">
        <f t="shared" si="18"/>
        <v>3.1342070599576557</v>
      </c>
      <c r="O48" s="718">
        <f t="shared" si="18"/>
        <v>3.1567645148551122</v>
      </c>
      <c r="P48" s="718">
        <f t="shared" si="18"/>
        <v>3.562625657134574</v>
      </c>
      <c r="Q48" s="719">
        <f t="shared" si="18"/>
        <v>3.6989978593765285</v>
      </c>
      <c r="R48" s="717">
        <f t="shared" si="18"/>
        <v>4.152522075291639</v>
      </c>
      <c r="S48" s="718">
        <f t="shared" si="18"/>
        <v>4.6504430187499963</v>
      </c>
      <c r="T48" s="718">
        <f t="shared" si="18"/>
        <v>5.1448981550877182</v>
      </c>
      <c r="U48" s="718">
        <f t="shared" si="18"/>
        <v>5.6472806092724737</v>
      </c>
      <c r="V48" s="719">
        <f t="shared" si="18"/>
        <v>0</v>
      </c>
      <c r="W48" s="513"/>
      <c r="X48" s="195" t="s">
        <v>498</v>
      </c>
      <c r="Y48" s="717">
        <f t="shared" ref="Y48:AK48" si="19">Y22+Y26+Y31+Y36+Y44</f>
        <v>-1.5441640680711701</v>
      </c>
      <c r="Z48" s="718">
        <f t="shared" si="19"/>
        <v>-2.2594732831168822</v>
      </c>
      <c r="AA48" s="718">
        <f t="shared" si="19"/>
        <v>-1.5977381437443143</v>
      </c>
      <c r="AB48" s="718">
        <f t="shared" si="19"/>
        <v>-1.4878164683472703</v>
      </c>
      <c r="AC48" s="718">
        <f t="shared" si="19"/>
        <v>-1.4295286600004333</v>
      </c>
      <c r="AD48" s="718">
        <f t="shared" si="19"/>
        <v>-1.8003498200000001</v>
      </c>
      <c r="AE48" s="718">
        <f t="shared" si="19"/>
        <v>-1.8169390851386331</v>
      </c>
      <c r="AF48" s="719">
        <f t="shared" si="19"/>
        <v>-1.8864889082820295</v>
      </c>
      <c r="AG48" s="717">
        <f t="shared" si="19"/>
        <v>-2.4893745926170334</v>
      </c>
      <c r="AH48" s="718">
        <f t="shared" si="19"/>
        <v>-2.7883877713348628</v>
      </c>
      <c r="AI48" s="718">
        <f t="shared" si="19"/>
        <v>-3.0850361289055765</v>
      </c>
      <c r="AJ48" s="718">
        <f t="shared" si="19"/>
        <v>-3.3844011198211783</v>
      </c>
      <c r="AK48" s="719">
        <f t="shared" si="19"/>
        <v>0</v>
      </c>
      <c r="AL48" s="192"/>
      <c r="AM48" s="192"/>
      <c r="AN48" s="192"/>
      <c r="AO48" s="192"/>
      <c r="AP48" s="192"/>
      <c r="AQ48" s="192"/>
      <c r="AR48" s="192"/>
      <c r="AS48" s="192"/>
      <c r="AT48" s="192"/>
      <c r="AU48" s="192"/>
      <c r="AV48" s="192"/>
      <c r="AW48" s="192"/>
      <c r="AX48" s="192"/>
      <c r="AY48" s="192"/>
      <c r="AZ48" s="217"/>
    </row>
    <row r="49" spans="1:53" s="99" customFormat="1" ht="15" customHeight="1" thickBot="1">
      <c r="B49" s="150"/>
      <c r="C49" s="150"/>
      <c r="D49" s="150"/>
      <c r="E49" s="150"/>
      <c r="F49" s="150"/>
      <c r="G49" s="97"/>
      <c r="H49" s="97"/>
      <c r="I49" s="96"/>
      <c r="J49" s="97"/>
      <c r="K49" s="97"/>
      <c r="L49" s="97"/>
      <c r="M49" s="97"/>
      <c r="N49" s="97"/>
      <c r="O49" s="97"/>
      <c r="P49" s="97"/>
      <c r="Q49" s="97"/>
      <c r="R49" s="97"/>
      <c r="T49" s="97"/>
      <c r="U49" s="97"/>
      <c r="V49" s="97"/>
      <c r="W49" s="97"/>
      <c r="X49" s="97"/>
      <c r="Y49" s="97"/>
      <c r="Z49" s="97"/>
      <c r="AA49" s="96"/>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row>
    <row r="50" spans="1:53" s="487" customFormat="1" ht="30" customHeight="1" thickBot="1">
      <c r="A50" s="254"/>
      <c r="B50" s="842" t="s">
        <v>2426</v>
      </c>
      <c r="C50" s="488"/>
      <c r="D50" s="488"/>
      <c r="E50" s="488"/>
      <c r="F50" s="488"/>
      <c r="G50" s="489"/>
      <c r="H50" s="489"/>
      <c r="I50" s="490" t="s">
        <v>1864</v>
      </c>
      <c r="J50" s="491"/>
      <c r="K50" s="491"/>
      <c r="L50" s="491"/>
      <c r="M50" s="491"/>
      <c r="N50" s="491"/>
      <c r="O50" s="491"/>
      <c r="P50" s="491"/>
      <c r="Q50" s="491"/>
      <c r="R50" s="491"/>
      <c r="S50" s="491"/>
      <c r="T50" s="491"/>
      <c r="U50" s="491"/>
      <c r="V50" s="491"/>
      <c r="W50" s="489"/>
      <c r="X50" s="490" t="s">
        <v>2202</v>
      </c>
      <c r="Y50" s="491"/>
      <c r="Z50" s="491"/>
      <c r="AA50" s="491"/>
      <c r="AB50" s="491"/>
      <c r="AC50" s="491"/>
      <c r="AD50" s="491"/>
      <c r="AE50" s="491"/>
      <c r="AF50" s="491"/>
      <c r="AG50" s="491"/>
      <c r="AH50" s="491"/>
      <c r="AI50" s="491"/>
      <c r="AJ50" s="491"/>
      <c r="AK50" s="491"/>
      <c r="AL50" s="489"/>
      <c r="AM50" s="490" t="s">
        <v>2231</v>
      </c>
      <c r="AN50" s="491"/>
      <c r="AO50" s="491"/>
      <c r="AP50" s="491"/>
      <c r="AQ50" s="491"/>
      <c r="AR50" s="491"/>
      <c r="AS50" s="491"/>
      <c r="AT50" s="491"/>
      <c r="AU50" s="491"/>
      <c r="AV50" s="491"/>
      <c r="AW50" s="491"/>
      <c r="AX50" s="491"/>
      <c r="AY50" s="491"/>
      <c r="AZ50" s="491"/>
    </row>
    <row r="51" spans="1:53" s="157" customFormat="1" ht="30" customHeight="1">
      <c r="A51" s="99"/>
      <c r="B51" s="494"/>
      <c r="C51" s="495"/>
      <c r="D51" s="495"/>
      <c r="E51" s="495"/>
      <c r="F51" s="495"/>
      <c r="G51" s="496"/>
      <c r="H51" s="496"/>
      <c r="I51" s="507"/>
      <c r="J51" s="843" t="s">
        <v>1666</v>
      </c>
      <c r="K51" s="498"/>
      <c r="L51" s="498"/>
      <c r="M51" s="498"/>
      <c r="N51" s="498"/>
      <c r="O51" s="498"/>
      <c r="P51" s="498"/>
      <c r="Q51" s="499"/>
      <c r="R51" s="844" t="s">
        <v>2</v>
      </c>
      <c r="S51" s="501"/>
      <c r="T51" s="501"/>
      <c r="U51" s="501"/>
      <c r="V51" s="502"/>
      <c r="W51" s="222"/>
      <c r="X51" s="507"/>
      <c r="Y51" s="497" t="s">
        <v>1666</v>
      </c>
      <c r="Z51" s="498"/>
      <c r="AA51" s="498"/>
      <c r="AB51" s="498"/>
      <c r="AC51" s="498"/>
      <c r="AD51" s="498"/>
      <c r="AE51" s="498"/>
      <c r="AF51" s="499"/>
      <c r="AG51" s="500" t="s">
        <v>2</v>
      </c>
      <c r="AH51" s="501"/>
      <c r="AI51" s="501"/>
      <c r="AJ51" s="501"/>
      <c r="AK51" s="502"/>
      <c r="AL51" s="222"/>
      <c r="AM51" s="507"/>
      <c r="AN51" s="497" t="s">
        <v>1666</v>
      </c>
      <c r="AO51" s="498"/>
      <c r="AP51" s="498"/>
      <c r="AQ51" s="498"/>
      <c r="AR51" s="498"/>
      <c r="AS51" s="498"/>
      <c r="AT51" s="498"/>
      <c r="AU51" s="499"/>
      <c r="AV51" s="500" t="s">
        <v>2</v>
      </c>
      <c r="AW51" s="501"/>
      <c r="AX51" s="501"/>
      <c r="AY51" s="501"/>
      <c r="AZ51" s="502"/>
    </row>
    <row r="52" spans="1:53" s="98" customFormat="1" ht="15" customHeight="1">
      <c r="A52" s="99"/>
      <c r="B52" s="505"/>
      <c r="C52" s="506"/>
      <c r="D52" s="506"/>
      <c r="E52" s="506"/>
      <c r="F52" s="506"/>
      <c r="G52" s="507"/>
      <c r="H52" s="507"/>
      <c r="I52" s="265" t="s">
        <v>1667</v>
      </c>
      <c r="J52" s="518" t="s">
        <v>453</v>
      </c>
      <c r="K52" s="515" t="s">
        <v>455</v>
      </c>
      <c r="L52" s="515" t="s">
        <v>457</v>
      </c>
      <c r="M52" s="515" t="s">
        <v>459</v>
      </c>
      <c r="N52" s="515" t="s">
        <v>461</v>
      </c>
      <c r="O52" s="515" t="s">
        <v>463</v>
      </c>
      <c r="P52" s="515" t="s">
        <v>465</v>
      </c>
      <c r="Q52" s="516" t="s">
        <v>467</v>
      </c>
      <c r="R52" s="508" t="s">
        <v>469</v>
      </c>
      <c r="S52" s="509" t="s">
        <v>471</v>
      </c>
      <c r="T52" s="509" t="s">
        <v>473</v>
      </c>
      <c r="U52" s="509" t="s">
        <v>475</v>
      </c>
      <c r="V52" s="510" t="s">
        <v>477</v>
      </c>
      <c r="W52" s="185"/>
      <c r="X52" s="265" t="s">
        <v>1667</v>
      </c>
      <c r="Y52" s="518" t="s">
        <v>453</v>
      </c>
      <c r="Z52" s="515" t="s">
        <v>455</v>
      </c>
      <c r="AA52" s="515" t="s">
        <v>457</v>
      </c>
      <c r="AB52" s="515" t="s">
        <v>459</v>
      </c>
      <c r="AC52" s="515" t="s">
        <v>461</v>
      </c>
      <c r="AD52" s="515" t="s">
        <v>463</v>
      </c>
      <c r="AE52" s="515" t="s">
        <v>465</v>
      </c>
      <c r="AF52" s="516" t="s">
        <v>467</v>
      </c>
      <c r="AG52" s="508" t="s">
        <v>469</v>
      </c>
      <c r="AH52" s="509" t="s">
        <v>471</v>
      </c>
      <c r="AI52" s="509" t="s">
        <v>473</v>
      </c>
      <c r="AJ52" s="509" t="s">
        <v>475</v>
      </c>
      <c r="AK52" s="510" t="s">
        <v>477</v>
      </c>
      <c r="AL52" s="185"/>
      <c r="AM52" s="265" t="s">
        <v>1667</v>
      </c>
      <c r="AN52" s="518" t="s">
        <v>453</v>
      </c>
      <c r="AO52" s="515" t="s">
        <v>455</v>
      </c>
      <c r="AP52" s="515" t="s">
        <v>457</v>
      </c>
      <c r="AQ52" s="515" t="s">
        <v>459</v>
      </c>
      <c r="AR52" s="515" t="s">
        <v>461</v>
      </c>
      <c r="AS52" s="515" t="s">
        <v>463</v>
      </c>
      <c r="AT52" s="515" t="s">
        <v>465</v>
      </c>
      <c r="AU52" s="516" t="s">
        <v>467</v>
      </c>
      <c r="AV52" s="508" t="s">
        <v>469</v>
      </c>
      <c r="AW52" s="509" t="s">
        <v>471</v>
      </c>
      <c r="AX52" s="509" t="s">
        <v>473</v>
      </c>
      <c r="AY52" s="509" t="s">
        <v>475</v>
      </c>
      <c r="AZ52" s="510" t="s">
        <v>477</v>
      </c>
    </row>
    <row r="53" spans="1:53" s="98" customFormat="1" ht="15" customHeight="1">
      <c r="A53" s="99"/>
      <c r="B53" s="181"/>
      <c r="C53" s="183"/>
      <c r="D53" s="183"/>
      <c r="E53" s="183"/>
      <c r="F53" s="183"/>
      <c r="G53" s="507"/>
      <c r="H53" s="507"/>
      <c r="I53" s="507"/>
      <c r="J53" s="519"/>
      <c r="K53" s="507"/>
      <c r="L53" s="507"/>
      <c r="M53" s="507"/>
      <c r="N53" s="507"/>
      <c r="O53" s="507"/>
      <c r="P53" s="507"/>
      <c r="Q53" s="520"/>
      <c r="R53" s="519"/>
      <c r="S53" s="507"/>
      <c r="T53" s="507"/>
      <c r="U53" s="507"/>
      <c r="V53" s="520"/>
      <c r="W53" s="185"/>
      <c r="X53" s="507"/>
      <c r="Y53" s="519"/>
      <c r="Z53" s="507"/>
      <c r="AA53" s="507"/>
      <c r="AB53" s="507"/>
      <c r="AC53" s="507"/>
      <c r="AD53" s="507"/>
      <c r="AE53" s="507"/>
      <c r="AF53" s="520"/>
      <c r="AG53" s="519"/>
      <c r="AH53" s="507"/>
      <c r="AI53" s="507"/>
      <c r="AJ53" s="507"/>
      <c r="AK53" s="520"/>
      <c r="AL53" s="185"/>
      <c r="AM53" s="507"/>
      <c r="AN53" s="519"/>
      <c r="AO53" s="507"/>
      <c r="AP53" s="507"/>
      <c r="AQ53" s="507"/>
      <c r="AR53" s="507"/>
      <c r="AS53" s="507"/>
      <c r="AT53" s="507"/>
      <c r="AU53" s="520"/>
      <c r="AV53" s="519"/>
      <c r="AW53" s="507"/>
      <c r="AX53" s="507"/>
      <c r="AY53" s="507"/>
      <c r="AZ53" s="520"/>
    </row>
    <row r="54" spans="1:53" s="98" customFormat="1" ht="15" customHeight="1">
      <c r="A54" s="99"/>
      <c r="B54" s="161"/>
      <c r="C54" s="506" t="s">
        <v>1843</v>
      </c>
      <c r="D54" s="506"/>
      <c r="E54" s="506"/>
      <c r="F54" s="506"/>
      <c r="G54" s="521"/>
      <c r="H54" s="521"/>
      <c r="I54" s="164" t="s">
        <v>498</v>
      </c>
      <c r="J54" s="143">
        <v>3.9624465202740735</v>
      </c>
      <c r="K54" s="141">
        <v>3.3200885378702489</v>
      </c>
      <c r="L54" s="141">
        <v>2.9205510227624156</v>
      </c>
      <c r="M54" s="141">
        <v>3.3725616819804944</v>
      </c>
      <c r="N54" s="141">
        <v>3.0903866704092371</v>
      </c>
      <c r="O54" s="141">
        <v>3.275829469409663</v>
      </c>
      <c r="P54" s="141">
        <v>3.1446932122043285</v>
      </c>
      <c r="Q54" s="144">
        <v>3.1116947291763077</v>
      </c>
      <c r="R54" s="143">
        <v>3.1711865123520013</v>
      </c>
      <c r="S54" s="141">
        <v>3.1374860576047712</v>
      </c>
      <c r="T54" s="141">
        <v>3.1037798802207957</v>
      </c>
      <c r="U54" s="141">
        <v>3.0700679883165138</v>
      </c>
      <c r="V54" s="144">
        <v>3.036350389984162</v>
      </c>
      <c r="W54" s="185"/>
      <c r="X54" s="164" t="s">
        <v>498</v>
      </c>
      <c r="Y54" s="143">
        <v>-1.481047977757862</v>
      </c>
      <c r="Z54" s="141">
        <v>-1.1214581610389607</v>
      </c>
      <c r="AA54" s="141">
        <v>-1.1723236954445841</v>
      </c>
      <c r="AB54" s="141">
        <v>-1.1631794256335279</v>
      </c>
      <c r="AC54" s="141">
        <v>-1.0135730673656629</v>
      </c>
      <c r="AD54" s="141">
        <v>-1.0809801400000001</v>
      </c>
      <c r="AE54" s="141">
        <v>-1.1766902542078292</v>
      </c>
      <c r="AF54" s="144">
        <v>-1.1642490278795341</v>
      </c>
      <c r="AG54" s="143">
        <v>-1.2960256082821564</v>
      </c>
      <c r="AH54" s="141">
        <v>-1.2821343778328118</v>
      </c>
      <c r="AI54" s="141">
        <v>-1.2682431473834672</v>
      </c>
      <c r="AJ54" s="141">
        <v>-1.2543519169341217</v>
      </c>
      <c r="AK54" s="144">
        <v>-1.2404606864847767</v>
      </c>
      <c r="AL54" s="185"/>
      <c r="AM54" s="164" t="s">
        <v>1876</v>
      </c>
      <c r="AN54" s="165">
        <v>3051</v>
      </c>
      <c r="AO54" s="166">
        <v>2504</v>
      </c>
      <c r="AP54" s="166">
        <v>2366</v>
      </c>
      <c r="AQ54" s="166">
        <v>2345</v>
      </c>
      <c r="AR54" s="166">
        <v>2075</v>
      </c>
      <c r="AS54" s="166">
        <v>2381</v>
      </c>
      <c r="AT54" s="166">
        <v>2319.8420000000001</v>
      </c>
      <c r="AU54" s="167">
        <v>2295.4990000000003</v>
      </c>
      <c r="AV54" s="165">
        <v>2271.1559999999999</v>
      </c>
      <c r="AW54" s="166">
        <v>2246.8130000000001</v>
      </c>
      <c r="AX54" s="166">
        <v>2222.4700000000003</v>
      </c>
      <c r="AY54" s="166">
        <v>2198.127</v>
      </c>
      <c r="AZ54" s="167">
        <v>2173.7840000000001</v>
      </c>
    </row>
    <row r="55" spans="1:53" s="98" customFormat="1" ht="15" customHeight="1">
      <c r="A55" s="99"/>
      <c r="B55" s="161"/>
      <c r="C55" s="506" t="s">
        <v>2523</v>
      </c>
      <c r="D55" s="506"/>
      <c r="E55" s="506"/>
      <c r="F55" s="506"/>
      <c r="G55" s="507"/>
      <c r="H55" s="507"/>
      <c r="I55" s="507"/>
      <c r="J55" s="845"/>
      <c r="K55" s="846"/>
      <c r="L55" s="846"/>
      <c r="M55" s="846"/>
      <c r="N55" s="846"/>
      <c r="O55" s="846"/>
      <c r="P55" s="846"/>
      <c r="Q55" s="847"/>
      <c r="R55" s="845"/>
      <c r="S55" s="846"/>
      <c r="T55" s="846"/>
      <c r="U55" s="846"/>
      <c r="V55" s="847"/>
      <c r="W55" s="185"/>
      <c r="X55" s="507"/>
      <c r="Y55" s="845"/>
      <c r="Z55" s="846"/>
      <c r="AA55" s="846"/>
      <c r="AB55" s="846"/>
      <c r="AC55" s="846"/>
      <c r="AD55" s="846"/>
      <c r="AE55" s="846"/>
      <c r="AF55" s="847"/>
      <c r="AG55" s="845"/>
      <c r="AH55" s="846"/>
      <c r="AI55" s="846"/>
      <c r="AJ55" s="846"/>
      <c r="AK55" s="847"/>
      <c r="AL55" s="185"/>
      <c r="AM55" s="507"/>
      <c r="AN55" s="851"/>
      <c r="AO55" s="852"/>
      <c r="AP55" s="852"/>
      <c r="AQ55" s="852"/>
      <c r="AR55" s="852"/>
      <c r="AS55" s="852"/>
      <c r="AT55" s="852"/>
      <c r="AU55" s="853"/>
      <c r="AV55" s="851"/>
      <c r="AW55" s="852"/>
      <c r="AX55" s="852"/>
      <c r="AY55" s="852"/>
      <c r="AZ55" s="853"/>
    </row>
    <row r="56" spans="1:53" s="98" customFormat="1" ht="15" customHeight="1">
      <c r="A56" s="99"/>
      <c r="B56" s="161"/>
      <c r="C56" s="182"/>
      <c r="D56" s="182" t="s">
        <v>2511</v>
      </c>
      <c r="E56" s="182"/>
      <c r="F56" s="182"/>
      <c r="G56" s="521"/>
      <c r="H56" s="521"/>
      <c r="I56" s="164" t="s">
        <v>498</v>
      </c>
      <c r="J56" s="143">
        <v>0.71564190523754534</v>
      </c>
      <c r="K56" s="141">
        <v>0.43159671096651109</v>
      </c>
      <c r="L56" s="141">
        <v>0.30977936622944358</v>
      </c>
      <c r="M56" s="141">
        <v>0.26879741356722286</v>
      </c>
      <c r="N56" s="141">
        <v>0.22366228176000694</v>
      </c>
      <c r="O56" s="141">
        <v>0.38605776555429333</v>
      </c>
      <c r="P56" s="141">
        <v>0.30914365524526061</v>
      </c>
      <c r="Q56" s="144">
        <v>0.30780129992176963</v>
      </c>
      <c r="R56" s="143">
        <v>0.27001554904140534</v>
      </c>
      <c r="S56" s="141">
        <v>0.26879651111728048</v>
      </c>
      <c r="T56" s="141">
        <v>0.26754152442301443</v>
      </c>
      <c r="U56" s="141">
        <v>0.26625058063151741</v>
      </c>
      <c r="V56" s="144">
        <v>0.26492367143066609</v>
      </c>
      <c r="W56" s="185"/>
      <c r="X56" s="164" t="s">
        <v>498</v>
      </c>
      <c r="Y56" s="143">
        <v>-0.43457743073113159</v>
      </c>
      <c r="Z56" s="141">
        <v>-0.2461468207792207</v>
      </c>
      <c r="AA56" s="141">
        <v>-0.16649930350060385</v>
      </c>
      <c r="AB56" s="141">
        <v>-0.16719264587791324</v>
      </c>
      <c r="AC56" s="141">
        <v>-0.12460802168885587</v>
      </c>
      <c r="AD56" s="141">
        <v>-0.19455595000000001</v>
      </c>
      <c r="AE56" s="141">
        <v>-0.11567625257228027</v>
      </c>
      <c r="AF56" s="144">
        <v>-0.11516469172052668</v>
      </c>
      <c r="AG56" s="143">
        <v>-0.11035209213616379</v>
      </c>
      <c r="AH56" s="141">
        <v>-0.10984375427251647</v>
      </c>
      <c r="AI56" s="141">
        <v>-0.10932080175926556</v>
      </c>
      <c r="AJ56" s="141">
        <v>-0.10878323459641098</v>
      </c>
      <c r="AK56" s="144">
        <v>-0.10823105278395284</v>
      </c>
      <c r="AL56" s="185"/>
      <c r="AM56" s="164" t="s">
        <v>2233</v>
      </c>
      <c r="AN56" s="143">
        <v>7.6555</v>
      </c>
      <c r="AO56" s="141">
        <v>4.9394999999999998</v>
      </c>
      <c r="AP56" s="141">
        <v>3.4151500000000001</v>
      </c>
      <c r="AQ56" s="141">
        <v>2.794</v>
      </c>
      <c r="AR56" s="141">
        <v>3.2207000000000003</v>
      </c>
      <c r="AS56" s="141">
        <v>2.7968999999999995</v>
      </c>
      <c r="AT56" s="141">
        <v>3.2839683352</v>
      </c>
      <c r="AU56" s="144">
        <v>3.2697087756000007</v>
      </c>
      <c r="AV56" s="143">
        <v>3.2350346064000002</v>
      </c>
      <c r="AW56" s="141">
        <v>3.2201323916</v>
      </c>
      <c r="AX56" s="141">
        <v>3.2048017400000002</v>
      </c>
      <c r="AY56" s="141">
        <v>3.1890426516000003</v>
      </c>
      <c r="AZ56" s="144">
        <v>3.1728551264000004</v>
      </c>
    </row>
    <row r="57" spans="1:53" s="98" customFormat="1" ht="15" customHeight="1">
      <c r="A57" s="99"/>
      <c r="B57" s="161"/>
      <c r="C57" s="182"/>
      <c r="D57" s="182" t="s">
        <v>2512</v>
      </c>
      <c r="E57" s="182"/>
      <c r="F57" s="182"/>
      <c r="G57" s="521"/>
      <c r="H57" s="521"/>
      <c r="I57" s="164" t="s">
        <v>498</v>
      </c>
      <c r="J57" s="143">
        <v>0</v>
      </c>
      <c r="K57" s="141">
        <v>0</v>
      </c>
      <c r="L57" s="141">
        <v>0</v>
      </c>
      <c r="M57" s="141">
        <v>0</v>
      </c>
      <c r="N57" s="141">
        <v>0</v>
      </c>
      <c r="O57" s="141">
        <v>0</v>
      </c>
      <c r="P57" s="141">
        <v>0</v>
      </c>
      <c r="Q57" s="144">
        <v>0</v>
      </c>
      <c r="R57" s="143">
        <v>0</v>
      </c>
      <c r="S57" s="141">
        <v>0</v>
      </c>
      <c r="T57" s="141">
        <v>0</v>
      </c>
      <c r="U57" s="141">
        <v>0</v>
      </c>
      <c r="V57" s="144">
        <v>0</v>
      </c>
      <c r="W57" s="185"/>
      <c r="X57" s="164" t="s">
        <v>498</v>
      </c>
      <c r="Y57" s="143">
        <v>0</v>
      </c>
      <c r="Z57" s="141">
        <v>0</v>
      </c>
      <c r="AA57" s="141">
        <v>0</v>
      </c>
      <c r="AB57" s="141">
        <v>0</v>
      </c>
      <c r="AC57" s="141">
        <v>0</v>
      </c>
      <c r="AD57" s="141">
        <v>0</v>
      </c>
      <c r="AE57" s="141">
        <v>0</v>
      </c>
      <c r="AF57" s="144">
        <v>0</v>
      </c>
      <c r="AG57" s="143">
        <v>0</v>
      </c>
      <c r="AH57" s="141">
        <v>0</v>
      </c>
      <c r="AI57" s="141">
        <v>0</v>
      </c>
      <c r="AJ57" s="141">
        <v>0</v>
      </c>
      <c r="AK57" s="144">
        <v>0</v>
      </c>
      <c r="AL57" s="185"/>
      <c r="AM57" s="164" t="s">
        <v>2233</v>
      </c>
      <c r="AN57" s="143">
        <v>0</v>
      </c>
      <c r="AO57" s="141">
        <v>0</v>
      </c>
      <c r="AP57" s="141">
        <v>0</v>
      </c>
      <c r="AQ57" s="141">
        <v>0</v>
      </c>
      <c r="AR57" s="141">
        <v>0</v>
      </c>
      <c r="AS57" s="141">
        <v>0</v>
      </c>
      <c r="AT57" s="141">
        <v>0</v>
      </c>
      <c r="AU57" s="144">
        <v>0</v>
      </c>
      <c r="AV57" s="143">
        <v>0</v>
      </c>
      <c r="AW57" s="141">
        <v>0</v>
      </c>
      <c r="AX57" s="141">
        <v>0</v>
      </c>
      <c r="AY57" s="141">
        <v>0</v>
      </c>
      <c r="AZ57" s="144">
        <v>0</v>
      </c>
    </row>
    <row r="58" spans="1:53" s="98" customFormat="1" ht="15" customHeight="1">
      <c r="A58" s="99"/>
      <c r="B58" s="181"/>
      <c r="C58" s="182" t="s">
        <v>1710</v>
      </c>
      <c r="D58" s="183"/>
      <c r="E58" s="183"/>
      <c r="F58" s="183"/>
      <c r="G58" s="185"/>
      <c r="H58" s="185"/>
      <c r="I58" s="164" t="s">
        <v>498</v>
      </c>
      <c r="J58" s="128">
        <f>SUM(J56:J57)</f>
        <v>0.71564190523754534</v>
      </c>
      <c r="K58" s="129">
        <f t="shared" ref="K58:V58" si="20">SUM(K56:K57)</f>
        <v>0.43159671096651109</v>
      </c>
      <c r="L58" s="129">
        <f t="shared" si="20"/>
        <v>0.30977936622944358</v>
      </c>
      <c r="M58" s="129">
        <f t="shared" si="20"/>
        <v>0.26879741356722286</v>
      </c>
      <c r="N58" s="129">
        <f t="shared" si="20"/>
        <v>0.22366228176000694</v>
      </c>
      <c r="O58" s="129">
        <f t="shared" si="20"/>
        <v>0.38605776555429333</v>
      </c>
      <c r="P58" s="129">
        <f t="shared" si="20"/>
        <v>0.30914365524526061</v>
      </c>
      <c r="Q58" s="130">
        <f t="shared" si="20"/>
        <v>0.30780129992176963</v>
      </c>
      <c r="R58" s="128">
        <f t="shared" si="20"/>
        <v>0.27001554904140534</v>
      </c>
      <c r="S58" s="129">
        <f t="shared" si="20"/>
        <v>0.26879651111728048</v>
      </c>
      <c r="T58" s="129">
        <f t="shared" si="20"/>
        <v>0.26754152442301443</v>
      </c>
      <c r="U58" s="129">
        <f t="shared" si="20"/>
        <v>0.26625058063151741</v>
      </c>
      <c r="V58" s="130">
        <f t="shared" si="20"/>
        <v>0.26492367143066609</v>
      </c>
      <c r="W58" s="185"/>
      <c r="X58" s="164" t="s">
        <v>498</v>
      </c>
      <c r="Y58" s="128">
        <f>SUM(Y56:Y57)</f>
        <v>-0.43457743073113159</v>
      </c>
      <c r="Z58" s="129">
        <f t="shared" ref="Z58:AK58" si="21">SUM(Z56:Z57)</f>
        <v>-0.2461468207792207</v>
      </c>
      <c r="AA58" s="129">
        <f t="shared" si="21"/>
        <v>-0.16649930350060385</v>
      </c>
      <c r="AB58" s="129">
        <f t="shared" si="21"/>
        <v>-0.16719264587791324</v>
      </c>
      <c r="AC58" s="129">
        <f t="shared" si="21"/>
        <v>-0.12460802168885587</v>
      </c>
      <c r="AD58" s="129">
        <f t="shared" si="21"/>
        <v>-0.19455595000000001</v>
      </c>
      <c r="AE58" s="129">
        <f t="shared" si="21"/>
        <v>-0.11567625257228027</v>
      </c>
      <c r="AF58" s="130">
        <f t="shared" si="21"/>
        <v>-0.11516469172052668</v>
      </c>
      <c r="AG58" s="128">
        <f t="shared" si="21"/>
        <v>-0.11035209213616379</v>
      </c>
      <c r="AH58" s="129">
        <f t="shared" si="21"/>
        <v>-0.10984375427251647</v>
      </c>
      <c r="AI58" s="129">
        <f t="shared" si="21"/>
        <v>-0.10932080175926556</v>
      </c>
      <c r="AJ58" s="129">
        <f t="shared" si="21"/>
        <v>-0.10878323459641098</v>
      </c>
      <c r="AK58" s="130">
        <f t="shared" si="21"/>
        <v>-0.10823105278395284</v>
      </c>
      <c r="AL58" s="185"/>
      <c r="AM58" s="164" t="s">
        <v>2233</v>
      </c>
      <c r="AN58" s="128">
        <f>SUM(AN56:AN57)</f>
        <v>7.6555</v>
      </c>
      <c r="AO58" s="129">
        <f t="shared" ref="AO58:AZ58" si="22">SUM(AO56:AO57)</f>
        <v>4.9394999999999998</v>
      </c>
      <c r="AP58" s="129">
        <f t="shared" si="22"/>
        <v>3.4151500000000001</v>
      </c>
      <c r="AQ58" s="129">
        <f t="shared" si="22"/>
        <v>2.794</v>
      </c>
      <c r="AR58" s="129">
        <f t="shared" si="22"/>
        <v>3.2207000000000003</v>
      </c>
      <c r="AS58" s="129">
        <f t="shared" si="22"/>
        <v>2.7968999999999995</v>
      </c>
      <c r="AT58" s="129">
        <f t="shared" si="22"/>
        <v>3.2839683352</v>
      </c>
      <c r="AU58" s="130">
        <f t="shared" si="22"/>
        <v>3.2697087756000007</v>
      </c>
      <c r="AV58" s="128">
        <f t="shared" si="22"/>
        <v>3.2350346064000002</v>
      </c>
      <c r="AW58" s="129">
        <f t="shared" si="22"/>
        <v>3.2201323916</v>
      </c>
      <c r="AX58" s="129">
        <f t="shared" si="22"/>
        <v>3.2048017400000002</v>
      </c>
      <c r="AY58" s="129">
        <f t="shared" si="22"/>
        <v>3.1890426516000003</v>
      </c>
      <c r="AZ58" s="130">
        <f t="shared" si="22"/>
        <v>3.1728551264000004</v>
      </c>
    </row>
    <row r="59" spans="1:53" s="98" customFormat="1" ht="15" customHeight="1">
      <c r="A59" s="99"/>
      <c r="B59" s="161"/>
      <c r="C59" s="506" t="s">
        <v>1844</v>
      </c>
      <c r="D59" s="506"/>
      <c r="E59" s="506"/>
      <c r="F59" s="506"/>
      <c r="G59" s="507"/>
      <c r="H59" s="507"/>
      <c r="I59" s="507"/>
      <c r="J59" s="845"/>
      <c r="K59" s="846"/>
      <c r="L59" s="846"/>
      <c r="M59" s="846"/>
      <c r="N59" s="846"/>
      <c r="O59" s="846"/>
      <c r="P59" s="846"/>
      <c r="Q59" s="847"/>
      <c r="R59" s="845"/>
      <c r="S59" s="846"/>
      <c r="T59" s="846"/>
      <c r="U59" s="846"/>
      <c r="V59" s="847"/>
      <c r="W59" s="185"/>
      <c r="X59" s="507"/>
      <c r="Y59" s="845"/>
      <c r="Z59" s="846"/>
      <c r="AA59" s="846"/>
      <c r="AB59" s="846"/>
      <c r="AC59" s="846"/>
      <c r="AD59" s="846"/>
      <c r="AE59" s="846"/>
      <c r="AF59" s="847"/>
      <c r="AG59" s="845"/>
      <c r="AH59" s="846"/>
      <c r="AI59" s="846"/>
      <c r="AJ59" s="846"/>
      <c r="AK59" s="847"/>
      <c r="AL59" s="185"/>
      <c r="AM59" s="507"/>
      <c r="AN59" s="851"/>
      <c r="AO59" s="852"/>
      <c r="AP59" s="852"/>
      <c r="AQ59" s="852"/>
      <c r="AR59" s="852"/>
      <c r="AS59" s="852"/>
      <c r="AT59" s="852"/>
      <c r="AU59" s="853"/>
      <c r="AV59" s="851"/>
      <c r="AW59" s="852"/>
      <c r="AX59" s="852"/>
      <c r="AY59" s="852"/>
      <c r="AZ59" s="853"/>
    </row>
    <row r="60" spans="1:53" s="98" customFormat="1" ht="15" customHeight="1">
      <c r="A60" s="99"/>
      <c r="B60" s="161"/>
      <c r="C60" s="182"/>
      <c r="D60" s="182" t="s">
        <v>2524</v>
      </c>
      <c r="E60" s="182"/>
      <c r="F60" s="182"/>
      <c r="G60" s="521"/>
      <c r="H60" s="521"/>
      <c r="I60" s="164" t="s">
        <v>498</v>
      </c>
      <c r="J60" s="143">
        <v>1.9641024613697836E-2</v>
      </c>
      <c r="K60" s="141">
        <v>2.7594935064935058E-2</v>
      </c>
      <c r="L60" s="141">
        <v>1.542535072152126E-2</v>
      </c>
      <c r="M60" s="141">
        <v>2.8916463425310945E-3</v>
      </c>
      <c r="N60" s="141">
        <v>3.7516761080797927E-3</v>
      </c>
      <c r="O60" s="141">
        <v>3.5571500000000002E-3</v>
      </c>
      <c r="P60" s="141">
        <v>0</v>
      </c>
      <c r="Q60" s="144">
        <v>0</v>
      </c>
      <c r="R60" s="143">
        <v>1.294849250204177E-2</v>
      </c>
      <c r="S60" s="141">
        <v>1.2949686848182217E-2</v>
      </c>
      <c r="T60" s="141">
        <v>1.2950883479607574E-2</v>
      </c>
      <c r="U60" s="141">
        <v>1.2952082506484356E-2</v>
      </c>
      <c r="V60" s="144">
        <v>1.2953284043810598E-2</v>
      </c>
      <c r="W60" s="185"/>
      <c r="X60" s="164" t="s">
        <v>498</v>
      </c>
      <c r="Y60" s="143">
        <v>-2.4372638367794439E-2</v>
      </c>
      <c r="Z60" s="141">
        <v>-4.0840503896103879E-2</v>
      </c>
      <c r="AA60" s="141">
        <v>-1.6091541311525116E-2</v>
      </c>
      <c r="AB60" s="141">
        <v>-9.7343184206315631E-3</v>
      </c>
      <c r="AC60" s="141">
        <v>-8.7163780811034958E-3</v>
      </c>
      <c r="AD60" s="141">
        <v>0</v>
      </c>
      <c r="AE60" s="141">
        <v>0</v>
      </c>
      <c r="AF60" s="144">
        <v>0</v>
      </c>
      <c r="AG60" s="143">
        <v>-6.5086479840815153E-3</v>
      </c>
      <c r="AH60" s="141">
        <v>-6.5086479840815153E-3</v>
      </c>
      <c r="AI60" s="141">
        <v>-6.5086479840815153E-3</v>
      </c>
      <c r="AJ60" s="141">
        <v>-6.5086479840815153E-3</v>
      </c>
      <c r="AK60" s="144">
        <v>-6.5086479840815153E-3</v>
      </c>
      <c r="AL60" s="185"/>
      <c r="AM60" s="164" t="s">
        <v>1876</v>
      </c>
      <c r="AN60" s="165">
        <v>11</v>
      </c>
      <c r="AO60" s="166">
        <v>17</v>
      </c>
      <c r="AP60" s="166">
        <v>13</v>
      </c>
      <c r="AQ60" s="166">
        <v>10</v>
      </c>
      <c r="AR60" s="166">
        <v>5</v>
      </c>
      <c r="AS60" s="166">
        <v>1</v>
      </c>
      <c r="AT60" s="166">
        <v>0</v>
      </c>
      <c r="AU60" s="167">
        <v>0</v>
      </c>
      <c r="AV60" s="165">
        <v>9</v>
      </c>
      <c r="AW60" s="166">
        <v>9</v>
      </c>
      <c r="AX60" s="166">
        <v>9</v>
      </c>
      <c r="AY60" s="166">
        <v>9</v>
      </c>
      <c r="AZ60" s="167">
        <v>9</v>
      </c>
    </row>
    <row r="61" spans="1:53" s="98" customFormat="1" ht="15" customHeight="1">
      <c r="A61" s="99"/>
      <c r="B61" s="161"/>
      <c r="C61" s="182"/>
      <c r="D61" s="182" t="s">
        <v>1843</v>
      </c>
      <c r="E61" s="182"/>
      <c r="F61" s="182"/>
      <c r="G61" s="521"/>
      <c r="H61" s="521"/>
      <c r="I61" s="164" t="s">
        <v>498</v>
      </c>
      <c r="J61" s="143">
        <v>0</v>
      </c>
      <c r="K61" s="141">
        <v>0</v>
      </c>
      <c r="L61" s="141">
        <v>0</v>
      </c>
      <c r="M61" s="141">
        <v>0</v>
      </c>
      <c r="N61" s="141">
        <v>0</v>
      </c>
      <c r="O61" s="141">
        <v>0</v>
      </c>
      <c r="P61" s="141">
        <v>0</v>
      </c>
      <c r="Q61" s="144">
        <v>0</v>
      </c>
      <c r="R61" s="143">
        <v>0</v>
      </c>
      <c r="S61" s="141">
        <v>0</v>
      </c>
      <c r="T61" s="141">
        <v>0</v>
      </c>
      <c r="U61" s="141">
        <v>0</v>
      </c>
      <c r="V61" s="144">
        <v>0</v>
      </c>
      <c r="W61" s="185"/>
      <c r="X61" s="164" t="s">
        <v>498</v>
      </c>
      <c r="Y61" s="143">
        <v>0</v>
      </c>
      <c r="Z61" s="141">
        <v>0</v>
      </c>
      <c r="AA61" s="141">
        <v>0</v>
      </c>
      <c r="AB61" s="141">
        <v>0</v>
      </c>
      <c r="AC61" s="141">
        <v>0</v>
      </c>
      <c r="AD61" s="141">
        <v>0</v>
      </c>
      <c r="AE61" s="141">
        <v>0</v>
      </c>
      <c r="AF61" s="144">
        <v>0</v>
      </c>
      <c r="AG61" s="143">
        <v>0</v>
      </c>
      <c r="AH61" s="141">
        <v>0</v>
      </c>
      <c r="AI61" s="141">
        <v>0</v>
      </c>
      <c r="AJ61" s="141">
        <v>0</v>
      </c>
      <c r="AK61" s="144">
        <v>0</v>
      </c>
      <c r="AL61" s="185"/>
      <c r="AM61" s="164" t="s">
        <v>1876</v>
      </c>
      <c r="AN61" s="165">
        <v>0</v>
      </c>
      <c r="AO61" s="166">
        <v>0</v>
      </c>
      <c r="AP61" s="166">
        <v>0</v>
      </c>
      <c r="AQ61" s="166">
        <v>0</v>
      </c>
      <c r="AR61" s="166">
        <v>0</v>
      </c>
      <c r="AS61" s="166">
        <v>0</v>
      </c>
      <c r="AT61" s="166">
        <v>0</v>
      </c>
      <c r="AU61" s="167">
        <v>0</v>
      </c>
      <c r="AV61" s="165">
        <v>0</v>
      </c>
      <c r="AW61" s="166">
        <v>0</v>
      </c>
      <c r="AX61" s="166">
        <v>0</v>
      </c>
      <c r="AY61" s="166">
        <v>0</v>
      </c>
      <c r="AZ61" s="167">
        <v>0</v>
      </c>
    </row>
    <row r="62" spans="1:53" s="98" customFormat="1" ht="15" customHeight="1">
      <c r="A62" s="99"/>
      <c r="B62" s="161"/>
      <c r="C62" s="182"/>
      <c r="D62" s="182" t="s">
        <v>2525</v>
      </c>
      <c r="E62" s="182"/>
      <c r="F62" s="182"/>
      <c r="G62" s="521"/>
      <c r="H62" s="521"/>
      <c r="I62" s="521"/>
      <c r="J62" s="848"/>
      <c r="K62" s="849"/>
      <c r="L62" s="849"/>
      <c r="M62" s="849"/>
      <c r="N62" s="849"/>
      <c r="O62" s="849"/>
      <c r="P62" s="849"/>
      <c r="Q62" s="850"/>
      <c r="R62" s="848"/>
      <c r="S62" s="849"/>
      <c r="T62" s="849"/>
      <c r="U62" s="849"/>
      <c r="V62" s="850"/>
      <c r="W62" s="521"/>
      <c r="X62" s="521"/>
      <c r="Y62" s="848"/>
      <c r="Z62" s="849"/>
      <c r="AA62" s="849"/>
      <c r="AB62" s="849"/>
      <c r="AC62" s="849"/>
      <c r="AD62" s="849"/>
      <c r="AE62" s="849"/>
      <c r="AF62" s="850"/>
      <c r="AG62" s="848"/>
      <c r="AH62" s="849"/>
      <c r="AI62" s="849"/>
      <c r="AJ62" s="849"/>
      <c r="AK62" s="850"/>
      <c r="AL62" s="185"/>
      <c r="AM62" s="164" t="s">
        <v>1876</v>
      </c>
      <c r="AN62" s="165">
        <v>0</v>
      </c>
      <c r="AO62" s="166">
        <v>0</v>
      </c>
      <c r="AP62" s="166">
        <v>0</v>
      </c>
      <c r="AQ62" s="166">
        <v>0</v>
      </c>
      <c r="AR62" s="166">
        <v>0</v>
      </c>
      <c r="AS62" s="166">
        <v>0</v>
      </c>
      <c r="AT62" s="166">
        <v>0</v>
      </c>
      <c r="AU62" s="167">
        <v>0</v>
      </c>
      <c r="AV62" s="165">
        <v>0</v>
      </c>
      <c r="AW62" s="166">
        <v>0</v>
      </c>
      <c r="AX62" s="166">
        <v>0</v>
      </c>
      <c r="AY62" s="166">
        <v>0</v>
      </c>
      <c r="AZ62" s="167">
        <v>0</v>
      </c>
    </row>
    <row r="63" spans="1:53" s="98" customFormat="1" ht="15" customHeight="1">
      <c r="A63" s="99"/>
      <c r="B63" s="181"/>
      <c r="C63" s="182" t="s">
        <v>1710</v>
      </c>
      <c r="D63" s="183"/>
      <c r="E63" s="183"/>
      <c r="F63" s="183"/>
      <c r="G63" s="184"/>
      <c r="H63" s="184"/>
      <c r="I63" s="164" t="s">
        <v>498</v>
      </c>
      <c r="J63" s="128">
        <f>SUM(J60:J62)</f>
        <v>1.9641024613697836E-2</v>
      </c>
      <c r="K63" s="129">
        <f t="shared" ref="K63:U63" si="23">SUM(K60:K62)</f>
        <v>2.7594935064935058E-2</v>
      </c>
      <c r="L63" s="129">
        <f t="shared" si="23"/>
        <v>1.542535072152126E-2</v>
      </c>
      <c r="M63" s="129">
        <f t="shared" si="23"/>
        <v>2.8916463425310945E-3</v>
      </c>
      <c r="N63" s="129">
        <f t="shared" si="23"/>
        <v>3.7516761080797927E-3</v>
      </c>
      <c r="O63" s="129">
        <f t="shared" si="23"/>
        <v>3.5571500000000002E-3</v>
      </c>
      <c r="P63" s="129">
        <f t="shared" si="23"/>
        <v>0</v>
      </c>
      <c r="Q63" s="130">
        <f t="shared" si="23"/>
        <v>0</v>
      </c>
      <c r="R63" s="128">
        <f t="shared" si="23"/>
        <v>1.294849250204177E-2</v>
      </c>
      <c r="S63" s="129">
        <f t="shared" si="23"/>
        <v>1.2949686848182217E-2</v>
      </c>
      <c r="T63" s="129">
        <f t="shared" si="23"/>
        <v>1.2950883479607574E-2</v>
      </c>
      <c r="U63" s="129">
        <f t="shared" si="23"/>
        <v>1.2952082506484356E-2</v>
      </c>
      <c r="V63" s="130">
        <f>SUM(V60:V62)</f>
        <v>1.2953284043810598E-2</v>
      </c>
      <c r="W63" s="185"/>
      <c r="X63" s="164" t="s">
        <v>498</v>
      </c>
      <c r="Y63" s="128">
        <f>SUM(Y60:Y62)</f>
        <v>-2.4372638367794439E-2</v>
      </c>
      <c r="Z63" s="129">
        <f t="shared" ref="Z63:AJ63" si="24">SUM(Z60:Z62)</f>
        <v>-4.0840503896103879E-2</v>
      </c>
      <c r="AA63" s="129">
        <f t="shared" si="24"/>
        <v>-1.6091541311525116E-2</v>
      </c>
      <c r="AB63" s="129">
        <f t="shared" si="24"/>
        <v>-9.7343184206315631E-3</v>
      </c>
      <c r="AC63" s="129">
        <f t="shared" si="24"/>
        <v>-8.7163780811034958E-3</v>
      </c>
      <c r="AD63" s="129">
        <f t="shared" si="24"/>
        <v>0</v>
      </c>
      <c r="AE63" s="129">
        <f t="shared" si="24"/>
        <v>0</v>
      </c>
      <c r="AF63" s="130">
        <f t="shared" si="24"/>
        <v>0</v>
      </c>
      <c r="AG63" s="128">
        <f t="shared" si="24"/>
        <v>-6.5086479840815153E-3</v>
      </c>
      <c r="AH63" s="129">
        <f t="shared" si="24"/>
        <v>-6.5086479840815153E-3</v>
      </c>
      <c r="AI63" s="129">
        <f t="shared" si="24"/>
        <v>-6.5086479840815153E-3</v>
      </c>
      <c r="AJ63" s="129">
        <f t="shared" si="24"/>
        <v>-6.5086479840815153E-3</v>
      </c>
      <c r="AK63" s="130">
        <f>SUM(AK60:AK62)</f>
        <v>-6.5086479840815153E-3</v>
      </c>
      <c r="AL63" s="185"/>
      <c r="AM63" s="164" t="s">
        <v>1876</v>
      </c>
      <c r="AN63" s="777">
        <f>SUM(AN60:AN62)</f>
        <v>11</v>
      </c>
      <c r="AO63" s="778">
        <f t="shared" ref="AO63:AY63" si="25">SUM(AO60:AO62)</f>
        <v>17</v>
      </c>
      <c r="AP63" s="778">
        <f t="shared" si="25"/>
        <v>13</v>
      </c>
      <c r="AQ63" s="778">
        <f t="shared" si="25"/>
        <v>10</v>
      </c>
      <c r="AR63" s="778">
        <f t="shared" si="25"/>
        <v>5</v>
      </c>
      <c r="AS63" s="778">
        <f t="shared" si="25"/>
        <v>1</v>
      </c>
      <c r="AT63" s="778">
        <f t="shared" si="25"/>
        <v>0</v>
      </c>
      <c r="AU63" s="779">
        <f t="shared" si="25"/>
        <v>0</v>
      </c>
      <c r="AV63" s="777">
        <f t="shared" si="25"/>
        <v>9</v>
      </c>
      <c r="AW63" s="778">
        <f t="shared" si="25"/>
        <v>9</v>
      </c>
      <c r="AX63" s="778">
        <f t="shared" si="25"/>
        <v>9</v>
      </c>
      <c r="AY63" s="778">
        <f t="shared" si="25"/>
        <v>9</v>
      </c>
      <c r="AZ63" s="779">
        <f>SUM(AZ60:AZ62)</f>
        <v>9</v>
      </c>
    </row>
    <row r="64" spans="1:53" s="98" customFormat="1" ht="15" customHeight="1">
      <c r="A64" s="99"/>
      <c r="B64" s="161"/>
      <c r="C64" s="506" t="s">
        <v>66</v>
      </c>
      <c r="D64" s="506"/>
      <c r="E64" s="506"/>
      <c r="F64" s="506"/>
      <c r="G64" s="507"/>
      <c r="H64" s="507"/>
      <c r="I64" s="507"/>
      <c r="J64" s="845"/>
      <c r="K64" s="846"/>
      <c r="L64" s="846"/>
      <c r="M64" s="846"/>
      <c r="N64" s="846"/>
      <c r="O64" s="846"/>
      <c r="P64" s="846"/>
      <c r="Q64" s="847"/>
      <c r="R64" s="845"/>
      <c r="S64" s="846"/>
      <c r="T64" s="846"/>
      <c r="U64" s="846"/>
      <c r="V64" s="847"/>
      <c r="W64" s="185"/>
      <c r="X64" s="507"/>
      <c r="Y64" s="845"/>
      <c r="Z64" s="846"/>
      <c r="AA64" s="846"/>
      <c r="AB64" s="846"/>
      <c r="AC64" s="846"/>
      <c r="AD64" s="846"/>
      <c r="AE64" s="846"/>
      <c r="AF64" s="847"/>
      <c r="AG64" s="845"/>
      <c r="AH64" s="846"/>
      <c r="AI64" s="846"/>
      <c r="AJ64" s="846"/>
      <c r="AK64" s="847"/>
      <c r="AL64" s="185"/>
      <c r="AM64" s="507"/>
      <c r="AN64" s="851"/>
      <c r="AO64" s="852"/>
      <c r="AP64" s="852"/>
      <c r="AQ64" s="852"/>
      <c r="AR64" s="852"/>
      <c r="AS64" s="852"/>
      <c r="AT64" s="852"/>
      <c r="AU64" s="853"/>
      <c r="AV64" s="851"/>
      <c r="AW64" s="852"/>
      <c r="AX64" s="852"/>
      <c r="AY64" s="852"/>
      <c r="AZ64" s="853"/>
    </row>
    <row r="65" spans="1:52" s="98" customFormat="1" ht="15" customHeight="1">
      <c r="A65" s="99"/>
      <c r="B65" s="161"/>
      <c r="C65" s="185"/>
      <c r="D65" s="182" t="s">
        <v>2526</v>
      </c>
      <c r="E65" s="182"/>
      <c r="F65" s="182"/>
      <c r="G65" s="182"/>
      <c r="H65" s="182"/>
      <c r="I65" s="164" t="s">
        <v>498</v>
      </c>
      <c r="J65" s="143">
        <v>0</v>
      </c>
      <c r="K65" s="141">
        <v>0</v>
      </c>
      <c r="L65" s="141">
        <v>0</v>
      </c>
      <c r="M65" s="141">
        <v>0</v>
      </c>
      <c r="N65" s="141">
        <v>0</v>
      </c>
      <c r="O65" s="141">
        <v>0</v>
      </c>
      <c r="P65" s="141">
        <v>0</v>
      </c>
      <c r="Q65" s="144">
        <v>0</v>
      </c>
      <c r="R65" s="143">
        <v>0</v>
      </c>
      <c r="S65" s="141">
        <v>0</v>
      </c>
      <c r="T65" s="141">
        <v>0</v>
      </c>
      <c r="U65" s="141">
        <v>0</v>
      </c>
      <c r="V65" s="144">
        <v>0</v>
      </c>
      <c r="W65" s="185"/>
      <c r="X65" s="164" t="s">
        <v>498</v>
      </c>
      <c r="Y65" s="143">
        <v>0</v>
      </c>
      <c r="Z65" s="141">
        <v>0</v>
      </c>
      <c r="AA65" s="141">
        <v>0</v>
      </c>
      <c r="AB65" s="141">
        <v>0</v>
      </c>
      <c r="AC65" s="141">
        <v>0</v>
      </c>
      <c r="AD65" s="141">
        <v>0</v>
      </c>
      <c r="AE65" s="141">
        <v>0</v>
      </c>
      <c r="AF65" s="144">
        <v>0</v>
      </c>
      <c r="AG65" s="143">
        <v>0</v>
      </c>
      <c r="AH65" s="141">
        <v>0</v>
      </c>
      <c r="AI65" s="141">
        <v>0</v>
      </c>
      <c r="AJ65" s="141">
        <v>0</v>
      </c>
      <c r="AK65" s="144">
        <v>0</v>
      </c>
      <c r="AL65" s="185"/>
      <c r="AM65" s="164" t="s">
        <v>1876</v>
      </c>
      <c r="AN65" s="165">
        <v>0</v>
      </c>
      <c r="AO65" s="166">
        <v>0</v>
      </c>
      <c r="AP65" s="166">
        <v>0</v>
      </c>
      <c r="AQ65" s="166">
        <v>0</v>
      </c>
      <c r="AR65" s="166">
        <v>0</v>
      </c>
      <c r="AS65" s="166">
        <v>0</v>
      </c>
      <c r="AT65" s="166">
        <v>0</v>
      </c>
      <c r="AU65" s="167">
        <v>0</v>
      </c>
      <c r="AV65" s="165">
        <v>0</v>
      </c>
      <c r="AW65" s="166">
        <v>0</v>
      </c>
      <c r="AX65" s="166">
        <v>0</v>
      </c>
      <c r="AY65" s="166">
        <v>0</v>
      </c>
      <c r="AZ65" s="167">
        <v>0</v>
      </c>
    </row>
    <row r="66" spans="1:52" s="98" customFormat="1" ht="15" customHeight="1">
      <c r="A66" s="99"/>
      <c r="B66" s="161"/>
      <c r="C66" s="185"/>
      <c r="D66" s="182" t="s">
        <v>2527</v>
      </c>
      <c r="E66" s="182"/>
      <c r="F66" s="182"/>
      <c r="G66" s="182"/>
      <c r="H66" s="182"/>
      <c r="I66" s="164" t="s">
        <v>498</v>
      </c>
      <c r="J66" s="143">
        <v>3.4884476773871249E-2</v>
      </c>
      <c r="K66" s="141">
        <v>0</v>
      </c>
      <c r="L66" s="141">
        <v>0</v>
      </c>
      <c r="M66" s="141">
        <v>0</v>
      </c>
      <c r="N66" s="141">
        <v>0</v>
      </c>
      <c r="O66" s="141">
        <v>9.7700000000000003E-5</v>
      </c>
      <c r="P66" s="141">
        <v>0</v>
      </c>
      <c r="Q66" s="144">
        <v>0</v>
      </c>
      <c r="R66" s="143">
        <v>1.1810414136690782E-2</v>
      </c>
      <c r="S66" s="141">
        <v>1.1811503508487463E-2</v>
      </c>
      <c r="T66" s="141">
        <v>1.1812594964709119E-2</v>
      </c>
      <c r="U66" s="141">
        <v>1.1813688605839435E-2</v>
      </c>
      <c r="V66" s="144">
        <v>1.1814784536768952E-2</v>
      </c>
      <c r="W66" s="185"/>
      <c r="X66" s="164" t="s">
        <v>498</v>
      </c>
      <c r="Y66" s="143">
        <v>0</v>
      </c>
      <c r="Z66" s="141">
        <v>0</v>
      </c>
      <c r="AA66" s="141">
        <v>-1.3555758167287677E-3</v>
      </c>
      <c r="AB66" s="141">
        <v>0</v>
      </c>
      <c r="AC66" s="141">
        <v>0</v>
      </c>
      <c r="AD66" s="141">
        <v>-1.1235780000000001E-2</v>
      </c>
      <c r="AE66" s="141">
        <v>0</v>
      </c>
      <c r="AF66" s="144">
        <v>0</v>
      </c>
      <c r="AG66" s="143">
        <v>-5.9365851391441245E-3</v>
      </c>
      <c r="AH66" s="141">
        <v>-5.9365851391441245E-3</v>
      </c>
      <c r="AI66" s="141">
        <v>-5.9365851391441245E-3</v>
      </c>
      <c r="AJ66" s="141">
        <v>-5.9365851391441245E-3</v>
      </c>
      <c r="AK66" s="144">
        <v>-5.9365851391441245E-3</v>
      </c>
      <c r="AL66" s="185"/>
      <c r="AM66" s="164" t="s">
        <v>1876</v>
      </c>
      <c r="AN66" s="165">
        <v>1</v>
      </c>
      <c r="AO66" s="166">
        <v>0</v>
      </c>
      <c r="AP66" s="166">
        <v>1</v>
      </c>
      <c r="AQ66" s="166">
        <v>0</v>
      </c>
      <c r="AR66" s="166">
        <v>0</v>
      </c>
      <c r="AS66" s="166">
        <v>0</v>
      </c>
      <c r="AT66" s="166">
        <v>0</v>
      </c>
      <c r="AU66" s="167">
        <v>0</v>
      </c>
      <c r="AV66" s="165">
        <v>1</v>
      </c>
      <c r="AW66" s="166">
        <v>1</v>
      </c>
      <c r="AX66" s="166">
        <v>1</v>
      </c>
      <c r="AY66" s="166">
        <v>1</v>
      </c>
      <c r="AZ66" s="167">
        <v>1</v>
      </c>
    </row>
    <row r="67" spans="1:52" s="98" customFormat="1" ht="15" customHeight="1">
      <c r="A67" s="99"/>
      <c r="B67" s="161"/>
      <c r="C67" s="185"/>
      <c r="D67" s="182" t="s">
        <v>2528</v>
      </c>
      <c r="E67" s="182"/>
      <c r="F67" s="182"/>
      <c r="G67" s="182"/>
      <c r="H67" s="182"/>
      <c r="I67" s="164" t="s">
        <v>498</v>
      </c>
      <c r="J67" s="143">
        <v>0</v>
      </c>
      <c r="K67" s="141">
        <v>0</v>
      </c>
      <c r="L67" s="141">
        <v>0</v>
      </c>
      <c r="M67" s="141">
        <v>0</v>
      </c>
      <c r="N67" s="141">
        <v>0</v>
      </c>
      <c r="O67" s="141">
        <v>0</v>
      </c>
      <c r="P67" s="141">
        <v>0</v>
      </c>
      <c r="Q67" s="144">
        <v>0</v>
      </c>
      <c r="R67" s="143">
        <v>0</v>
      </c>
      <c r="S67" s="141">
        <v>0</v>
      </c>
      <c r="T67" s="141">
        <v>0</v>
      </c>
      <c r="U67" s="141">
        <v>0</v>
      </c>
      <c r="V67" s="144">
        <v>0</v>
      </c>
      <c r="W67" s="185"/>
      <c r="X67" s="164" t="s">
        <v>498</v>
      </c>
      <c r="Y67" s="143">
        <v>0</v>
      </c>
      <c r="Z67" s="141">
        <v>0</v>
      </c>
      <c r="AA67" s="141">
        <v>0</v>
      </c>
      <c r="AB67" s="141">
        <v>0</v>
      </c>
      <c r="AC67" s="141">
        <v>0</v>
      </c>
      <c r="AD67" s="141">
        <v>0</v>
      </c>
      <c r="AE67" s="141">
        <v>0</v>
      </c>
      <c r="AF67" s="144">
        <v>0</v>
      </c>
      <c r="AG67" s="143">
        <v>0</v>
      </c>
      <c r="AH67" s="141">
        <v>0</v>
      </c>
      <c r="AI67" s="141">
        <v>0</v>
      </c>
      <c r="AJ67" s="141">
        <v>0</v>
      </c>
      <c r="AK67" s="144">
        <v>0</v>
      </c>
      <c r="AL67" s="185"/>
      <c r="AM67" s="164" t="s">
        <v>1876</v>
      </c>
      <c r="AN67" s="165">
        <v>0</v>
      </c>
      <c r="AO67" s="166">
        <v>0</v>
      </c>
      <c r="AP67" s="166">
        <v>0</v>
      </c>
      <c r="AQ67" s="166">
        <v>0</v>
      </c>
      <c r="AR67" s="166">
        <v>0</v>
      </c>
      <c r="AS67" s="166">
        <v>0</v>
      </c>
      <c r="AT67" s="166">
        <v>0</v>
      </c>
      <c r="AU67" s="167">
        <v>0</v>
      </c>
      <c r="AV67" s="165">
        <v>0</v>
      </c>
      <c r="AW67" s="166">
        <v>0</v>
      </c>
      <c r="AX67" s="166">
        <v>0</v>
      </c>
      <c r="AY67" s="166">
        <v>0</v>
      </c>
      <c r="AZ67" s="167">
        <v>0</v>
      </c>
    </row>
    <row r="68" spans="1:52" s="98" customFormat="1" ht="15" customHeight="1">
      <c r="A68" s="99"/>
      <c r="B68" s="181"/>
      <c r="C68" s="182" t="s">
        <v>1710</v>
      </c>
      <c r="D68" s="183"/>
      <c r="E68" s="183"/>
      <c r="F68" s="183"/>
      <c r="G68" s="184"/>
      <c r="H68" s="184"/>
      <c r="I68" s="164" t="s">
        <v>498</v>
      </c>
      <c r="J68" s="128">
        <f t="shared" ref="J68:V68" si="26">SUM(J65:J67)</f>
        <v>3.4884476773871249E-2</v>
      </c>
      <c r="K68" s="129">
        <f t="shared" si="26"/>
        <v>0</v>
      </c>
      <c r="L68" s="129">
        <f t="shared" si="26"/>
        <v>0</v>
      </c>
      <c r="M68" s="129">
        <f t="shared" si="26"/>
        <v>0</v>
      </c>
      <c r="N68" s="129">
        <f t="shared" si="26"/>
        <v>0</v>
      </c>
      <c r="O68" s="129">
        <f t="shared" si="26"/>
        <v>9.7700000000000003E-5</v>
      </c>
      <c r="P68" s="129">
        <f t="shared" si="26"/>
        <v>0</v>
      </c>
      <c r="Q68" s="130">
        <f t="shared" si="26"/>
        <v>0</v>
      </c>
      <c r="R68" s="128">
        <f t="shared" si="26"/>
        <v>1.1810414136690782E-2</v>
      </c>
      <c r="S68" s="129">
        <f t="shared" si="26"/>
        <v>1.1811503508487463E-2</v>
      </c>
      <c r="T68" s="129">
        <f t="shared" si="26"/>
        <v>1.1812594964709119E-2</v>
      </c>
      <c r="U68" s="129">
        <f t="shared" si="26"/>
        <v>1.1813688605839435E-2</v>
      </c>
      <c r="V68" s="130">
        <f t="shared" si="26"/>
        <v>1.1814784536768952E-2</v>
      </c>
      <c r="W68" s="185"/>
      <c r="X68" s="164" t="s">
        <v>498</v>
      </c>
      <c r="Y68" s="128">
        <f t="shared" ref="Y68:AK68" si="27">SUM(Y65:Y67)</f>
        <v>0</v>
      </c>
      <c r="Z68" s="129">
        <f t="shared" si="27"/>
        <v>0</v>
      </c>
      <c r="AA68" s="129">
        <f t="shared" si="27"/>
        <v>-1.3555758167287677E-3</v>
      </c>
      <c r="AB68" s="129">
        <f t="shared" si="27"/>
        <v>0</v>
      </c>
      <c r="AC68" s="129">
        <f t="shared" si="27"/>
        <v>0</v>
      </c>
      <c r="AD68" s="129">
        <f t="shared" si="27"/>
        <v>-1.1235780000000001E-2</v>
      </c>
      <c r="AE68" s="129">
        <f t="shared" si="27"/>
        <v>0</v>
      </c>
      <c r="AF68" s="130">
        <f t="shared" si="27"/>
        <v>0</v>
      </c>
      <c r="AG68" s="128">
        <f t="shared" si="27"/>
        <v>-5.9365851391441245E-3</v>
      </c>
      <c r="AH68" s="129">
        <f t="shared" si="27"/>
        <v>-5.9365851391441245E-3</v>
      </c>
      <c r="AI68" s="129">
        <f t="shared" si="27"/>
        <v>-5.9365851391441245E-3</v>
      </c>
      <c r="AJ68" s="129">
        <f t="shared" si="27"/>
        <v>-5.9365851391441245E-3</v>
      </c>
      <c r="AK68" s="130">
        <f t="shared" si="27"/>
        <v>-5.9365851391441245E-3</v>
      </c>
      <c r="AL68" s="185"/>
      <c r="AM68" s="164" t="s">
        <v>1876</v>
      </c>
      <c r="AN68" s="777">
        <f t="shared" ref="AN68:AZ68" si="28">SUM(AN65:AN67)</f>
        <v>1</v>
      </c>
      <c r="AO68" s="778">
        <f t="shared" si="28"/>
        <v>0</v>
      </c>
      <c r="AP68" s="778">
        <f t="shared" si="28"/>
        <v>1</v>
      </c>
      <c r="AQ68" s="778">
        <f t="shared" si="28"/>
        <v>0</v>
      </c>
      <c r="AR68" s="778">
        <f t="shared" si="28"/>
        <v>0</v>
      </c>
      <c r="AS68" s="778">
        <f t="shared" si="28"/>
        <v>0</v>
      </c>
      <c r="AT68" s="778">
        <f t="shared" si="28"/>
        <v>0</v>
      </c>
      <c r="AU68" s="779">
        <f t="shared" si="28"/>
        <v>0</v>
      </c>
      <c r="AV68" s="777">
        <f t="shared" si="28"/>
        <v>1</v>
      </c>
      <c r="AW68" s="778">
        <f t="shared" si="28"/>
        <v>1</v>
      </c>
      <c r="AX68" s="778">
        <f t="shared" si="28"/>
        <v>1</v>
      </c>
      <c r="AY68" s="778">
        <f t="shared" si="28"/>
        <v>1</v>
      </c>
      <c r="AZ68" s="779">
        <f t="shared" si="28"/>
        <v>1</v>
      </c>
    </row>
    <row r="69" spans="1:52" s="98" customFormat="1" ht="15" customHeight="1">
      <c r="A69" s="99"/>
      <c r="B69" s="161"/>
      <c r="C69" s="506" t="s">
        <v>2529</v>
      </c>
      <c r="D69" s="506"/>
      <c r="E69" s="506"/>
      <c r="F69" s="506"/>
      <c r="G69" s="507"/>
      <c r="H69" s="507"/>
      <c r="I69" s="507"/>
      <c r="J69" s="845"/>
      <c r="K69" s="846"/>
      <c r="L69" s="846"/>
      <c r="M69" s="846"/>
      <c r="N69" s="846"/>
      <c r="O69" s="846"/>
      <c r="P69" s="846"/>
      <c r="Q69" s="847"/>
      <c r="R69" s="845"/>
      <c r="S69" s="846"/>
      <c r="T69" s="846"/>
      <c r="U69" s="846"/>
      <c r="V69" s="847"/>
      <c r="W69" s="185"/>
      <c r="X69" s="507"/>
      <c r="Y69" s="845"/>
      <c r="Z69" s="846"/>
      <c r="AA69" s="846"/>
      <c r="AB69" s="846"/>
      <c r="AC69" s="846"/>
      <c r="AD69" s="846"/>
      <c r="AE69" s="846"/>
      <c r="AF69" s="847"/>
      <c r="AG69" s="845"/>
      <c r="AH69" s="846"/>
      <c r="AI69" s="846"/>
      <c r="AJ69" s="846"/>
      <c r="AK69" s="847"/>
      <c r="AL69" s="185"/>
      <c r="AM69" s="507"/>
      <c r="AN69" s="851"/>
      <c r="AO69" s="852"/>
      <c r="AP69" s="852"/>
      <c r="AQ69" s="852"/>
      <c r="AR69" s="852"/>
      <c r="AS69" s="852"/>
      <c r="AT69" s="852"/>
      <c r="AU69" s="853"/>
      <c r="AV69" s="851"/>
      <c r="AW69" s="852"/>
      <c r="AX69" s="852"/>
      <c r="AY69" s="852"/>
      <c r="AZ69" s="853"/>
    </row>
    <row r="70" spans="1:52" s="98" customFormat="1" ht="15" customHeight="1">
      <c r="A70" s="99"/>
      <c r="B70" s="161"/>
      <c r="C70" s="182"/>
      <c r="D70" s="182" t="s">
        <v>2530</v>
      </c>
      <c r="E70" s="182"/>
      <c r="F70" s="182"/>
      <c r="G70" s="521"/>
      <c r="H70" s="521"/>
      <c r="I70" s="164" t="s">
        <v>498</v>
      </c>
      <c r="J70" s="143">
        <v>0</v>
      </c>
      <c r="K70" s="141">
        <v>0</v>
      </c>
      <c r="L70" s="141">
        <v>0</v>
      </c>
      <c r="M70" s="141">
        <v>0</v>
      </c>
      <c r="N70" s="141">
        <v>0</v>
      </c>
      <c r="O70" s="141">
        <v>0</v>
      </c>
      <c r="P70" s="141">
        <v>0</v>
      </c>
      <c r="Q70" s="144">
        <v>0</v>
      </c>
      <c r="R70" s="143">
        <v>0</v>
      </c>
      <c r="S70" s="141">
        <v>0</v>
      </c>
      <c r="T70" s="141">
        <v>0</v>
      </c>
      <c r="U70" s="141">
        <v>0</v>
      </c>
      <c r="V70" s="144">
        <v>0</v>
      </c>
      <c r="W70" s="185"/>
      <c r="X70" s="164" t="s">
        <v>498</v>
      </c>
      <c r="Y70" s="143">
        <v>0</v>
      </c>
      <c r="Z70" s="141">
        <v>0</v>
      </c>
      <c r="AA70" s="141">
        <v>0</v>
      </c>
      <c r="AB70" s="141">
        <v>0</v>
      </c>
      <c r="AC70" s="141">
        <v>0</v>
      </c>
      <c r="AD70" s="141">
        <v>0</v>
      </c>
      <c r="AE70" s="141">
        <v>0</v>
      </c>
      <c r="AF70" s="144">
        <v>0</v>
      </c>
      <c r="AG70" s="143">
        <v>0</v>
      </c>
      <c r="AH70" s="141">
        <v>0</v>
      </c>
      <c r="AI70" s="141">
        <v>0</v>
      </c>
      <c r="AJ70" s="141">
        <v>0</v>
      </c>
      <c r="AK70" s="144">
        <v>0</v>
      </c>
      <c r="AL70" s="185"/>
      <c r="AM70" s="164" t="s">
        <v>1876</v>
      </c>
      <c r="AN70" s="165">
        <v>0</v>
      </c>
      <c r="AO70" s="166">
        <v>0</v>
      </c>
      <c r="AP70" s="166">
        <v>0</v>
      </c>
      <c r="AQ70" s="166">
        <v>0</v>
      </c>
      <c r="AR70" s="166">
        <v>0</v>
      </c>
      <c r="AS70" s="166">
        <v>0</v>
      </c>
      <c r="AT70" s="166">
        <v>0</v>
      </c>
      <c r="AU70" s="167">
        <v>0</v>
      </c>
      <c r="AV70" s="165">
        <v>0</v>
      </c>
      <c r="AW70" s="166">
        <v>0</v>
      </c>
      <c r="AX70" s="166">
        <v>0</v>
      </c>
      <c r="AY70" s="166">
        <v>0</v>
      </c>
      <c r="AZ70" s="167">
        <v>0</v>
      </c>
    </row>
    <row r="71" spans="1:52" s="98" customFormat="1" ht="15" customHeight="1">
      <c r="A71" s="99"/>
      <c r="B71" s="161"/>
      <c r="C71" s="182"/>
      <c r="D71" s="182" t="s">
        <v>2531</v>
      </c>
      <c r="E71" s="182"/>
      <c r="F71" s="182"/>
      <c r="G71" s="521"/>
      <c r="H71" s="521"/>
      <c r="I71" s="164" t="s">
        <v>498</v>
      </c>
      <c r="J71" s="143">
        <v>0</v>
      </c>
      <c r="K71" s="141">
        <v>0</v>
      </c>
      <c r="L71" s="141">
        <v>0</v>
      </c>
      <c r="M71" s="141">
        <v>0</v>
      </c>
      <c r="N71" s="141">
        <v>0</v>
      </c>
      <c r="O71" s="141">
        <v>0</v>
      </c>
      <c r="P71" s="141">
        <v>0</v>
      </c>
      <c r="Q71" s="144">
        <v>0</v>
      </c>
      <c r="R71" s="143">
        <v>0</v>
      </c>
      <c r="S71" s="141">
        <v>0</v>
      </c>
      <c r="T71" s="141">
        <v>0</v>
      </c>
      <c r="U71" s="141">
        <v>0</v>
      </c>
      <c r="V71" s="144">
        <v>0</v>
      </c>
      <c r="W71" s="185"/>
      <c r="X71" s="164" t="s">
        <v>498</v>
      </c>
      <c r="Y71" s="143">
        <v>0</v>
      </c>
      <c r="Z71" s="141">
        <v>0</v>
      </c>
      <c r="AA71" s="141">
        <v>0</v>
      </c>
      <c r="AB71" s="141">
        <v>0</v>
      </c>
      <c r="AC71" s="141">
        <v>0</v>
      </c>
      <c r="AD71" s="141">
        <v>0</v>
      </c>
      <c r="AE71" s="141">
        <v>0</v>
      </c>
      <c r="AF71" s="144">
        <v>0</v>
      </c>
      <c r="AG71" s="143">
        <v>0</v>
      </c>
      <c r="AH71" s="141">
        <v>0</v>
      </c>
      <c r="AI71" s="141">
        <v>0</v>
      </c>
      <c r="AJ71" s="141">
        <v>0</v>
      </c>
      <c r="AK71" s="144">
        <v>0</v>
      </c>
      <c r="AL71" s="185"/>
      <c r="AM71" s="164" t="s">
        <v>1876</v>
      </c>
      <c r="AN71" s="165">
        <v>20</v>
      </c>
      <c r="AO71" s="166">
        <v>59</v>
      </c>
      <c r="AP71" s="166">
        <v>43</v>
      </c>
      <c r="AQ71" s="166">
        <v>32</v>
      </c>
      <c r="AR71" s="166">
        <v>44</v>
      </c>
      <c r="AS71" s="166">
        <v>45</v>
      </c>
      <c r="AT71" s="166">
        <v>38.291102160032608</v>
      </c>
      <c r="AU71" s="167">
        <v>37.889298804510261</v>
      </c>
      <c r="AV71" s="165">
        <v>37.487495448987907</v>
      </c>
      <c r="AW71" s="166">
        <v>37.085692093465568</v>
      </c>
      <c r="AX71" s="166">
        <v>36.683888737943221</v>
      </c>
      <c r="AY71" s="166">
        <v>36.282085382420867</v>
      </c>
      <c r="AZ71" s="167">
        <v>35.88028202689852</v>
      </c>
    </row>
    <row r="72" spans="1:52" s="98" customFormat="1" ht="15" customHeight="1">
      <c r="A72" s="99"/>
      <c r="B72" s="161"/>
      <c r="C72" s="182"/>
      <c r="D72" s="182" t="s">
        <v>2532</v>
      </c>
      <c r="E72" s="182"/>
      <c r="F72" s="182"/>
      <c r="G72" s="521"/>
      <c r="H72" s="521"/>
      <c r="I72" s="164" t="s">
        <v>498</v>
      </c>
      <c r="J72" s="143">
        <v>0</v>
      </c>
      <c r="K72" s="141">
        <v>0</v>
      </c>
      <c r="L72" s="141">
        <v>0</v>
      </c>
      <c r="M72" s="141">
        <v>0</v>
      </c>
      <c r="N72" s="141">
        <v>0</v>
      </c>
      <c r="O72" s="141">
        <v>0</v>
      </c>
      <c r="P72" s="141">
        <v>0</v>
      </c>
      <c r="Q72" s="144">
        <v>0</v>
      </c>
      <c r="R72" s="143">
        <v>0</v>
      </c>
      <c r="S72" s="141">
        <v>0</v>
      </c>
      <c r="T72" s="141">
        <v>0</v>
      </c>
      <c r="U72" s="141">
        <v>0</v>
      </c>
      <c r="V72" s="144">
        <v>0</v>
      </c>
      <c r="W72" s="185"/>
      <c r="X72" s="164" t="s">
        <v>498</v>
      </c>
      <c r="Y72" s="143">
        <v>0</v>
      </c>
      <c r="Z72" s="141">
        <v>0</v>
      </c>
      <c r="AA72" s="141">
        <v>0</v>
      </c>
      <c r="AB72" s="141">
        <v>0</v>
      </c>
      <c r="AC72" s="141">
        <v>0</v>
      </c>
      <c r="AD72" s="141">
        <v>0</v>
      </c>
      <c r="AE72" s="141">
        <v>0</v>
      </c>
      <c r="AF72" s="144">
        <v>0</v>
      </c>
      <c r="AG72" s="143">
        <v>0</v>
      </c>
      <c r="AH72" s="141">
        <v>0</v>
      </c>
      <c r="AI72" s="141">
        <v>0</v>
      </c>
      <c r="AJ72" s="141">
        <v>0</v>
      </c>
      <c r="AK72" s="144">
        <v>0</v>
      </c>
      <c r="AL72" s="185"/>
      <c r="AM72" s="164" t="s">
        <v>1876</v>
      </c>
      <c r="AN72" s="165">
        <v>4300</v>
      </c>
      <c r="AO72" s="166">
        <v>3015</v>
      </c>
      <c r="AP72" s="166">
        <v>3409</v>
      </c>
      <c r="AQ72" s="166">
        <v>3385</v>
      </c>
      <c r="AR72" s="166">
        <v>3062</v>
      </c>
      <c r="AS72" s="166">
        <v>3459</v>
      </c>
      <c r="AT72" s="166">
        <v>3250.8042698002987</v>
      </c>
      <c r="AU72" s="167">
        <v>3216.692322374678</v>
      </c>
      <c r="AV72" s="165">
        <v>3182.5803749490556</v>
      </c>
      <c r="AW72" s="166">
        <v>3148.4684275234345</v>
      </c>
      <c r="AX72" s="166">
        <v>3114.3564800978133</v>
      </c>
      <c r="AY72" s="166">
        <v>3080.2445326721913</v>
      </c>
      <c r="AZ72" s="167">
        <v>3046.1325852465698</v>
      </c>
    </row>
    <row r="73" spans="1:52" s="98" customFormat="1" ht="15" customHeight="1">
      <c r="A73" s="99"/>
      <c r="B73" s="161"/>
      <c r="C73" s="182"/>
      <c r="D73" s="182" t="s">
        <v>2533</v>
      </c>
      <c r="E73" s="182"/>
      <c r="F73" s="182"/>
      <c r="G73" s="521"/>
      <c r="H73" s="521"/>
      <c r="I73" s="164" t="s">
        <v>498</v>
      </c>
      <c r="J73" s="143">
        <v>0</v>
      </c>
      <c r="K73" s="141">
        <v>0</v>
      </c>
      <c r="L73" s="141">
        <v>0</v>
      </c>
      <c r="M73" s="141">
        <v>0</v>
      </c>
      <c r="N73" s="141">
        <v>0</v>
      </c>
      <c r="O73" s="141">
        <v>0</v>
      </c>
      <c r="P73" s="141">
        <v>0</v>
      </c>
      <c r="Q73" s="144">
        <v>0</v>
      </c>
      <c r="R73" s="143">
        <v>0</v>
      </c>
      <c r="S73" s="141">
        <v>0</v>
      </c>
      <c r="T73" s="141">
        <v>0</v>
      </c>
      <c r="U73" s="141">
        <v>0</v>
      </c>
      <c r="V73" s="144">
        <v>0</v>
      </c>
      <c r="W73" s="185"/>
      <c r="X73" s="164" t="s">
        <v>498</v>
      </c>
      <c r="Y73" s="143">
        <v>0</v>
      </c>
      <c r="Z73" s="141">
        <v>0</v>
      </c>
      <c r="AA73" s="141">
        <v>0</v>
      </c>
      <c r="AB73" s="141">
        <v>0</v>
      </c>
      <c r="AC73" s="141">
        <v>0</v>
      </c>
      <c r="AD73" s="141">
        <v>0</v>
      </c>
      <c r="AE73" s="141">
        <v>0</v>
      </c>
      <c r="AF73" s="144">
        <v>0</v>
      </c>
      <c r="AG73" s="143">
        <v>0</v>
      </c>
      <c r="AH73" s="141">
        <v>0</v>
      </c>
      <c r="AI73" s="141">
        <v>0</v>
      </c>
      <c r="AJ73" s="141">
        <v>0</v>
      </c>
      <c r="AK73" s="144">
        <v>0</v>
      </c>
      <c r="AL73" s="185"/>
      <c r="AM73" s="164" t="s">
        <v>1876</v>
      </c>
      <c r="AN73" s="165">
        <v>16</v>
      </c>
      <c r="AO73" s="166">
        <v>13</v>
      </c>
      <c r="AP73" s="166">
        <v>16</v>
      </c>
      <c r="AQ73" s="166">
        <v>20</v>
      </c>
      <c r="AR73" s="166">
        <v>14</v>
      </c>
      <c r="AS73" s="166">
        <v>31</v>
      </c>
      <c r="AT73" s="166">
        <v>17.333420730878956</v>
      </c>
      <c r="AU73" s="167">
        <v>17.151534438255673</v>
      </c>
      <c r="AV73" s="165">
        <v>16.969648145632387</v>
      </c>
      <c r="AW73" s="166">
        <v>16.787761853009105</v>
      </c>
      <c r="AX73" s="166">
        <v>16.605875560385819</v>
      </c>
      <c r="AY73" s="166">
        <v>16.423989267762533</v>
      </c>
      <c r="AZ73" s="167">
        <v>16.242102975139247</v>
      </c>
    </row>
    <row r="74" spans="1:52" s="98" customFormat="1" ht="15" customHeight="1">
      <c r="A74" s="99"/>
      <c r="B74" s="161"/>
      <c r="C74" s="182"/>
      <c r="D74" s="182" t="s">
        <v>2534</v>
      </c>
      <c r="E74" s="182"/>
      <c r="F74" s="182"/>
      <c r="G74" s="521"/>
      <c r="H74" s="521"/>
      <c r="I74" s="164" t="s">
        <v>498</v>
      </c>
      <c r="J74" s="143">
        <v>0</v>
      </c>
      <c r="K74" s="141">
        <v>0</v>
      </c>
      <c r="L74" s="141">
        <v>0</v>
      </c>
      <c r="M74" s="141">
        <v>0</v>
      </c>
      <c r="N74" s="141">
        <v>0</v>
      </c>
      <c r="O74" s="141">
        <v>0</v>
      </c>
      <c r="P74" s="141">
        <v>0</v>
      </c>
      <c r="Q74" s="144">
        <v>0</v>
      </c>
      <c r="R74" s="143">
        <v>0</v>
      </c>
      <c r="S74" s="141">
        <v>0</v>
      </c>
      <c r="T74" s="141">
        <v>0</v>
      </c>
      <c r="U74" s="141">
        <v>0</v>
      </c>
      <c r="V74" s="144">
        <v>0</v>
      </c>
      <c r="W74" s="185"/>
      <c r="X74" s="164" t="s">
        <v>498</v>
      </c>
      <c r="Y74" s="143">
        <v>0</v>
      </c>
      <c r="Z74" s="141">
        <v>0</v>
      </c>
      <c r="AA74" s="141">
        <v>0</v>
      </c>
      <c r="AB74" s="141">
        <v>0</v>
      </c>
      <c r="AC74" s="141">
        <v>0</v>
      </c>
      <c r="AD74" s="141">
        <v>0</v>
      </c>
      <c r="AE74" s="141">
        <v>0</v>
      </c>
      <c r="AF74" s="144">
        <v>0</v>
      </c>
      <c r="AG74" s="143">
        <v>0</v>
      </c>
      <c r="AH74" s="141">
        <v>0</v>
      </c>
      <c r="AI74" s="141">
        <v>0</v>
      </c>
      <c r="AJ74" s="141">
        <v>0</v>
      </c>
      <c r="AK74" s="144">
        <v>0</v>
      </c>
      <c r="AL74" s="185"/>
      <c r="AM74" s="164" t="s">
        <v>1876</v>
      </c>
      <c r="AN74" s="165">
        <v>1</v>
      </c>
      <c r="AO74" s="166">
        <v>1</v>
      </c>
      <c r="AP74" s="166">
        <v>0</v>
      </c>
      <c r="AQ74" s="166">
        <v>0</v>
      </c>
      <c r="AR74" s="166">
        <v>0</v>
      </c>
      <c r="AS74" s="166">
        <v>0</v>
      </c>
      <c r="AT74" s="166">
        <v>0.31515310419779924</v>
      </c>
      <c r="AU74" s="167">
        <v>0.31184608069555775</v>
      </c>
      <c r="AV74" s="165">
        <v>0.30853905719331615</v>
      </c>
      <c r="AW74" s="166">
        <v>0.30523203369107466</v>
      </c>
      <c r="AX74" s="166">
        <v>0.30192501018883311</v>
      </c>
      <c r="AY74" s="166">
        <v>0.29861798668659151</v>
      </c>
      <c r="AZ74" s="167">
        <v>0.29531096318434996</v>
      </c>
    </row>
    <row r="75" spans="1:52" s="98" customFormat="1" ht="15" customHeight="1">
      <c r="A75" s="99"/>
      <c r="B75" s="161"/>
      <c r="C75" s="182"/>
      <c r="D75" s="182" t="s">
        <v>2535</v>
      </c>
      <c r="E75" s="182"/>
      <c r="F75" s="182"/>
      <c r="G75" s="521"/>
      <c r="H75" s="521"/>
      <c r="I75" s="164" t="s">
        <v>498</v>
      </c>
      <c r="J75" s="143">
        <v>0.73872250392203764</v>
      </c>
      <c r="K75" s="141">
        <v>0.73006987652823696</v>
      </c>
      <c r="L75" s="141">
        <v>0.62259250648386333</v>
      </c>
      <c r="M75" s="141">
        <v>0.49930507039107525</v>
      </c>
      <c r="N75" s="141">
        <v>0.50828392872384354</v>
      </c>
      <c r="O75" s="141">
        <v>0.61229189841366582</v>
      </c>
      <c r="P75" s="141">
        <v>0.58480846623825367</v>
      </c>
      <c r="Q75" s="144">
        <v>0.57867184465211219</v>
      </c>
      <c r="R75" s="143">
        <v>0.57253522306597049</v>
      </c>
      <c r="S75" s="141">
        <v>0.56639860147982901</v>
      </c>
      <c r="T75" s="141">
        <v>0.56026197989368742</v>
      </c>
      <c r="U75" s="141">
        <v>0.55412535830754583</v>
      </c>
      <c r="V75" s="144">
        <v>0.54798873672140436</v>
      </c>
      <c r="W75" s="185"/>
      <c r="X75" s="164" t="s">
        <v>498</v>
      </c>
      <c r="Y75" s="143">
        <v>0</v>
      </c>
      <c r="Z75" s="141">
        <v>0</v>
      </c>
      <c r="AA75" s="141">
        <v>0</v>
      </c>
      <c r="AB75" s="141">
        <v>0</v>
      </c>
      <c r="AC75" s="141">
        <v>0</v>
      </c>
      <c r="AD75" s="141">
        <v>0</v>
      </c>
      <c r="AE75" s="141">
        <v>0</v>
      </c>
      <c r="AF75" s="144">
        <v>0</v>
      </c>
      <c r="AG75" s="143">
        <v>0</v>
      </c>
      <c r="AH75" s="141">
        <v>0</v>
      </c>
      <c r="AI75" s="141">
        <v>0</v>
      </c>
      <c r="AJ75" s="141">
        <v>0</v>
      </c>
      <c r="AK75" s="144">
        <v>0</v>
      </c>
      <c r="AL75" s="185"/>
      <c r="AM75" s="164" t="s">
        <v>1876</v>
      </c>
      <c r="AN75" s="165">
        <v>0</v>
      </c>
      <c r="AO75" s="166">
        <v>0</v>
      </c>
      <c r="AP75" s="166">
        <v>0</v>
      </c>
      <c r="AQ75" s="166">
        <v>0</v>
      </c>
      <c r="AR75" s="166">
        <v>0</v>
      </c>
      <c r="AS75" s="166">
        <v>0</v>
      </c>
      <c r="AT75" s="166">
        <v>0</v>
      </c>
      <c r="AU75" s="167">
        <v>0</v>
      </c>
      <c r="AV75" s="165">
        <v>0</v>
      </c>
      <c r="AW75" s="166">
        <v>0</v>
      </c>
      <c r="AX75" s="166">
        <v>0</v>
      </c>
      <c r="AY75" s="166">
        <v>0</v>
      </c>
      <c r="AZ75" s="167">
        <v>0</v>
      </c>
    </row>
    <row r="76" spans="1:52" s="98" customFormat="1" ht="15" customHeight="1">
      <c r="A76" s="99"/>
      <c r="B76" s="181"/>
      <c r="C76" s="182" t="s">
        <v>1710</v>
      </c>
      <c r="D76" s="183"/>
      <c r="E76" s="183"/>
      <c r="F76" s="183"/>
      <c r="G76" s="184"/>
      <c r="H76" s="184"/>
      <c r="I76" s="164" t="s">
        <v>498</v>
      </c>
      <c r="J76" s="128">
        <f>SUM(J70:J75)</f>
        <v>0.73872250392203764</v>
      </c>
      <c r="K76" s="129">
        <f t="shared" ref="K76:V76" si="29">SUM(K70:K75)</f>
        <v>0.73006987652823696</v>
      </c>
      <c r="L76" s="129">
        <f t="shared" si="29"/>
        <v>0.62259250648386333</v>
      </c>
      <c r="M76" s="129">
        <f t="shared" si="29"/>
        <v>0.49930507039107525</v>
      </c>
      <c r="N76" s="129">
        <f t="shared" si="29"/>
        <v>0.50828392872384354</v>
      </c>
      <c r="O76" s="129">
        <f t="shared" si="29"/>
        <v>0.61229189841366582</v>
      </c>
      <c r="P76" s="129">
        <f t="shared" si="29"/>
        <v>0.58480846623825367</v>
      </c>
      <c r="Q76" s="130">
        <f t="shared" si="29"/>
        <v>0.57867184465211219</v>
      </c>
      <c r="R76" s="128">
        <f t="shared" si="29"/>
        <v>0.57253522306597049</v>
      </c>
      <c r="S76" s="129">
        <f t="shared" si="29"/>
        <v>0.56639860147982901</v>
      </c>
      <c r="T76" s="129">
        <f t="shared" si="29"/>
        <v>0.56026197989368742</v>
      </c>
      <c r="U76" s="129">
        <f t="shared" si="29"/>
        <v>0.55412535830754583</v>
      </c>
      <c r="V76" s="130">
        <f t="shared" si="29"/>
        <v>0.54798873672140436</v>
      </c>
      <c r="W76" s="185"/>
      <c r="X76" s="164" t="s">
        <v>498</v>
      </c>
      <c r="Y76" s="128">
        <f>SUM(Y70:Y75)</f>
        <v>0</v>
      </c>
      <c r="Z76" s="129">
        <f t="shared" ref="Z76:AK76" si="30">SUM(Z70:Z75)</f>
        <v>0</v>
      </c>
      <c r="AA76" s="129">
        <f t="shared" si="30"/>
        <v>0</v>
      </c>
      <c r="AB76" s="129">
        <f t="shared" si="30"/>
        <v>0</v>
      </c>
      <c r="AC76" s="129">
        <f t="shared" si="30"/>
        <v>0</v>
      </c>
      <c r="AD76" s="129">
        <f t="shared" si="30"/>
        <v>0</v>
      </c>
      <c r="AE76" s="129">
        <f t="shared" si="30"/>
        <v>0</v>
      </c>
      <c r="AF76" s="130">
        <f t="shared" si="30"/>
        <v>0</v>
      </c>
      <c r="AG76" s="128">
        <f t="shared" si="30"/>
        <v>0</v>
      </c>
      <c r="AH76" s="129">
        <f t="shared" si="30"/>
        <v>0</v>
      </c>
      <c r="AI76" s="129">
        <f t="shared" si="30"/>
        <v>0</v>
      </c>
      <c r="AJ76" s="129">
        <f t="shared" si="30"/>
        <v>0</v>
      </c>
      <c r="AK76" s="130">
        <f t="shared" si="30"/>
        <v>0</v>
      </c>
      <c r="AL76" s="185"/>
      <c r="AM76" s="164" t="s">
        <v>1876</v>
      </c>
      <c r="AN76" s="777">
        <f>SUM(AN70:AN75)</f>
        <v>4337</v>
      </c>
      <c r="AO76" s="778">
        <f t="shared" ref="AO76:AZ76" si="31">SUM(AO70:AO75)</f>
        <v>3088</v>
      </c>
      <c r="AP76" s="778">
        <f t="shared" si="31"/>
        <v>3468</v>
      </c>
      <c r="AQ76" s="778">
        <f t="shared" si="31"/>
        <v>3437</v>
      </c>
      <c r="AR76" s="778">
        <f t="shared" si="31"/>
        <v>3120</v>
      </c>
      <c r="AS76" s="778">
        <f t="shared" si="31"/>
        <v>3535</v>
      </c>
      <c r="AT76" s="778">
        <f t="shared" si="31"/>
        <v>3306.7439457954079</v>
      </c>
      <c r="AU76" s="779">
        <f t="shared" si="31"/>
        <v>3272.0450016981395</v>
      </c>
      <c r="AV76" s="777">
        <f t="shared" si="31"/>
        <v>3237.3460576008688</v>
      </c>
      <c r="AW76" s="778">
        <f t="shared" si="31"/>
        <v>3202.6471135036004</v>
      </c>
      <c r="AX76" s="778">
        <f t="shared" si="31"/>
        <v>3167.9481694063311</v>
      </c>
      <c r="AY76" s="778">
        <f t="shared" si="31"/>
        <v>3133.2492253090613</v>
      </c>
      <c r="AZ76" s="779">
        <f t="shared" si="31"/>
        <v>3098.550281211792</v>
      </c>
    </row>
    <row r="77" spans="1:52" s="98" customFormat="1" ht="15" customHeight="1">
      <c r="A77" s="99"/>
      <c r="B77" s="181"/>
      <c r="C77" s="183"/>
      <c r="D77" s="183"/>
      <c r="E77" s="183"/>
      <c r="F77" s="183"/>
      <c r="G77" s="507"/>
      <c r="H77" s="507"/>
      <c r="I77" s="507"/>
      <c r="J77" s="845"/>
      <c r="K77" s="846"/>
      <c r="L77" s="846"/>
      <c r="M77" s="846"/>
      <c r="N77" s="846"/>
      <c r="O77" s="846"/>
      <c r="P77" s="846"/>
      <c r="Q77" s="847"/>
      <c r="R77" s="845"/>
      <c r="S77" s="846"/>
      <c r="T77" s="846"/>
      <c r="U77" s="846"/>
      <c r="V77" s="847"/>
      <c r="W77" s="507"/>
      <c r="X77" s="507"/>
      <c r="Y77" s="845"/>
      <c r="Z77" s="846"/>
      <c r="AA77" s="846"/>
      <c r="AB77" s="846"/>
      <c r="AC77" s="846"/>
      <c r="AD77" s="846"/>
      <c r="AE77" s="846"/>
      <c r="AF77" s="847"/>
      <c r="AG77" s="845"/>
      <c r="AH77" s="846"/>
      <c r="AI77" s="846"/>
      <c r="AJ77" s="846"/>
      <c r="AK77" s="847"/>
      <c r="AL77" s="507"/>
      <c r="AM77" s="507"/>
      <c r="AN77" s="519"/>
      <c r="AO77" s="507"/>
      <c r="AP77" s="507"/>
      <c r="AQ77" s="507"/>
      <c r="AR77" s="507"/>
      <c r="AS77" s="507"/>
      <c r="AT77" s="507"/>
      <c r="AU77" s="520"/>
      <c r="AV77" s="519"/>
      <c r="AW77" s="507"/>
      <c r="AX77" s="507"/>
      <c r="AY77" s="507"/>
      <c r="AZ77" s="520"/>
    </row>
    <row r="78" spans="1:52" s="98" customFormat="1" ht="15" customHeight="1" thickBot="1">
      <c r="A78" s="99"/>
      <c r="B78" s="161"/>
      <c r="C78" s="506" t="s">
        <v>2536</v>
      </c>
      <c r="D78" s="183"/>
      <c r="E78" s="183"/>
      <c r="F78" s="183"/>
      <c r="G78" s="521"/>
      <c r="H78" s="521"/>
      <c r="I78" s="521"/>
      <c r="J78" s="848"/>
      <c r="K78" s="849"/>
      <c r="L78" s="849"/>
      <c r="M78" s="849"/>
      <c r="N78" s="849"/>
      <c r="O78" s="849"/>
      <c r="P78" s="849"/>
      <c r="Q78" s="850"/>
      <c r="R78" s="848"/>
      <c r="S78" s="849"/>
      <c r="T78" s="849"/>
      <c r="U78" s="849"/>
      <c r="V78" s="850"/>
      <c r="W78" s="521"/>
      <c r="X78" s="521"/>
      <c r="Y78" s="848"/>
      <c r="Z78" s="849"/>
      <c r="AA78" s="849"/>
      <c r="AB78" s="849"/>
      <c r="AC78" s="849"/>
      <c r="AD78" s="849"/>
      <c r="AE78" s="849"/>
      <c r="AF78" s="850"/>
      <c r="AG78" s="848"/>
      <c r="AH78" s="849"/>
      <c r="AI78" s="849"/>
      <c r="AJ78" s="849"/>
      <c r="AK78" s="850"/>
      <c r="AL78" s="521"/>
      <c r="AM78" s="164" t="s">
        <v>2537</v>
      </c>
      <c r="AN78" s="854">
        <v>0</v>
      </c>
      <c r="AO78" s="855">
        <v>0</v>
      </c>
      <c r="AP78" s="855">
        <v>0</v>
      </c>
      <c r="AQ78" s="855">
        <v>0</v>
      </c>
      <c r="AR78" s="855">
        <v>0</v>
      </c>
      <c r="AS78" s="855">
        <v>0</v>
      </c>
      <c r="AT78" s="855">
        <v>0</v>
      </c>
      <c r="AU78" s="856">
        <v>0</v>
      </c>
      <c r="AV78" s="854">
        <v>0</v>
      </c>
      <c r="AW78" s="855">
        <v>0</v>
      </c>
      <c r="AX78" s="855">
        <v>0</v>
      </c>
      <c r="AY78" s="855">
        <v>0</v>
      </c>
      <c r="AZ78" s="856">
        <v>0</v>
      </c>
    </row>
    <row r="79" spans="1:52" s="98" customFormat="1" ht="15" customHeight="1">
      <c r="A79" s="99"/>
      <c r="B79" s="181"/>
      <c r="C79" s="183"/>
      <c r="D79" s="183"/>
      <c r="E79" s="183"/>
      <c r="F79" s="183"/>
      <c r="G79" s="507"/>
      <c r="H79" s="507"/>
      <c r="I79" s="507"/>
      <c r="J79" s="845"/>
      <c r="K79" s="846"/>
      <c r="L79" s="846"/>
      <c r="M79" s="846"/>
      <c r="N79" s="846"/>
      <c r="O79" s="846"/>
      <c r="P79" s="846"/>
      <c r="Q79" s="847"/>
      <c r="R79" s="845"/>
      <c r="S79" s="846"/>
      <c r="T79" s="846"/>
      <c r="U79" s="846"/>
      <c r="V79" s="847"/>
      <c r="W79" s="507"/>
      <c r="X79" s="507"/>
      <c r="Y79" s="845"/>
      <c r="Z79" s="846"/>
      <c r="AA79" s="846"/>
      <c r="AB79" s="846"/>
      <c r="AC79" s="846"/>
      <c r="AD79" s="846"/>
      <c r="AE79" s="846"/>
      <c r="AF79" s="847"/>
      <c r="AG79" s="845"/>
      <c r="AH79" s="846"/>
      <c r="AI79" s="846"/>
      <c r="AJ79" s="846"/>
      <c r="AK79" s="847"/>
      <c r="AL79" s="507"/>
      <c r="AM79" s="185"/>
      <c r="AN79" s="507"/>
      <c r="AO79" s="507"/>
      <c r="AP79" s="507"/>
      <c r="AQ79" s="507"/>
      <c r="AR79" s="507"/>
      <c r="AS79" s="507"/>
      <c r="AT79" s="507"/>
      <c r="AU79" s="507"/>
      <c r="AV79" s="507"/>
      <c r="AW79" s="507"/>
      <c r="AX79" s="507"/>
      <c r="AY79" s="507"/>
      <c r="AZ79" s="520"/>
    </row>
    <row r="80" spans="1:52" s="98" customFormat="1" ht="15" customHeight="1" thickBot="1">
      <c r="A80" s="99"/>
      <c r="B80" s="239" t="s">
        <v>1701</v>
      </c>
      <c r="C80" s="240"/>
      <c r="D80" s="512"/>
      <c r="E80" s="512"/>
      <c r="F80" s="512"/>
      <c r="G80" s="857"/>
      <c r="H80" s="857"/>
      <c r="I80" s="195" t="s">
        <v>498</v>
      </c>
      <c r="J80" s="717">
        <f t="shared" ref="J80:V80" si="32">J54+J58+J63+J68+J76</f>
        <v>5.4713364308212249</v>
      </c>
      <c r="K80" s="718">
        <f t="shared" si="32"/>
        <v>4.5093500604299326</v>
      </c>
      <c r="L80" s="718">
        <f t="shared" si="32"/>
        <v>3.8683482461972436</v>
      </c>
      <c r="M80" s="718">
        <f t="shared" si="32"/>
        <v>4.1435558122813232</v>
      </c>
      <c r="N80" s="718">
        <f t="shared" si="32"/>
        <v>3.8260845570011672</v>
      </c>
      <c r="O80" s="718">
        <f t="shared" si="32"/>
        <v>4.2778339833776222</v>
      </c>
      <c r="P80" s="718">
        <f t="shared" si="32"/>
        <v>4.0386453336878425</v>
      </c>
      <c r="Q80" s="719">
        <f t="shared" si="32"/>
        <v>3.9981678737501896</v>
      </c>
      <c r="R80" s="717">
        <f t="shared" si="32"/>
        <v>4.0384961910981092</v>
      </c>
      <c r="S80" s="718">
        <f t="shared" si="32"/>
        <v>3.9974423605585505</v>
      </c>
      <c r="T80" s="718">
        <f t="shared" si="32"/>
        <v>3.9563468629818139</v>
      </c>
      <c r="U80" s="718">
        <f t="shared" si="32"/>
        <v>3.9152096983679008</v>
      </c>
      <c r="V80" s="719">
        <f t="shared" si="32"/>
        <v>3.8740308667168124</v>
      </c>
      <c r="W80" s="513"/>
      <c r="X80" s="195" t="s">
        <v>498</v>
      </c>
      <c r="Y80" s="717">
        <f t="shared" ref="Y80:AK80" si="33">Y54+Y58+Y63+Y68+Y76</f>
        <v>-1.9399980468567881</v>
      </c>
      <c r="Z80" s="718">
        <f t="shared" si="33"/>
        <v>-1.4084454857142854</v>
      </c>
      <c r="AA80" s="718">
        <f t="shared" si="33"/>
        <v>-1.3562701160734418</v>
      </c>
      <c r="AB80" s="718">
        <f t="shared" si="33"/>
        <v>-1.3401063899320727</v>
      </c>
      <c r="AC80" s="718">
        <f t="shared" si="33"/>
        <v>-1.1468974671356222</v>
      </c>
      <c r="AD80" s="718">
        <f t="shared" si="33"/>
        <v>-1.2867718700000002</v>
      </c>
      <c r="AE80" s="718">
        <f t="shared" si="33"/>
        <v>-1.2923665067801096</v>
      </c>
      <c r="AF80" s="719">
        <f t="shared" si="33"/>
        <v>-1.2794137196000608</v>
      </c>
      <c r="AG80" s="717">
        <f t="shared" si="33"/>
        <v>-1.4188229335415459</v>
      </c>
      <c r="AH80" s="718">
        <f t="shared" si="33"/>
        <v>-1.404423365228554</v>
      </c>
      <c r="AI80" s="718">
        <f t="shared" si="33"/>
        <v>-1.3900091822659584</v>
      </c>
      <c r="AJ80" s="718">
        <f t="shared" si="33"/>
        <v>-1.3755803846537584</v>
      </c>
      <c r="AK80" s="719">
        <f t="shared" si="33"/>
        <v>-1.3611369723919551</v>
      </c>
      <c r="AL80" s="192"/>
      <c r="AM80" s="192"/>
      <c r="AN80" s="192"/>
      <c r="AO80" s="192"/>
      <c r="AP80" s="192"/>
      <c r="AQ80" s="192"/>
      <c r="AR80" s="192"/>
      <c r="AS80" s="192"/>
      <c r="AT80" s="192"/>
      <c r="AU80" s="192"/>
      <c r="AV80" s="192"/>
      <c r="AW80" s="192"/>
      <c r="AX80" s="192"/>
      <c r="AY80" s="192"/>
      <c r="AZ80" s="217"/>
    </row>
    <row r="81" spans="1:52" s="99" customFormat="1" ht="15" customHeight="1" thickBot="1">
      <c r="B81" s="150"/>
      <c r="C81" s="150"/>
      <c r="D81" s="150"/>
      <c r="E81" s="150"/>
      <c r="F81" s="150"/>
      <c r="G81" s="97"/>
      <c r="H81" s="97"/>
      <c r="I81" s="97"/>
      <c r="J81" s="97"/>
      <c r="K81" s="97"/>
      <c r="L81" s="97"/>
      <c r="N81" s="97"/>
      <c r="O81" s="97"/>
      <c r="P81" s="97"/>
      <c r="Q81" s="97"/>
      <c r="R81" s="97"/>
      <c r="S81" s="97"/>
      <c r="T81" s="97"/>
      <c r="U81" s="96"/>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row>
    <row r="82" spans="1:52" s="487" customFormat="1" ht="30" customHeight="1" thickBot="1">
      <c r="A82" s="254"/>
      <c r="B82" s="842" t="s">
        <v>2427</v>
      </c>
      <c r="C82" s="488"/>
      <c r="D82" s="488"/>
      <c r="E82" s="488"/>
      <c r="F82" s="488"/>
      <c r="G82" s="489"/>
      <c r="H82" s="489"/>
      <c r="I82" s="490" t="s">
        <v>1864</v>
      </c>
      <c r="J82" s="491"/>
      <c r="K82" s="491"/>
      <c r="L82" s="491"/>
      <c r="M82" s="491"/>
      <c r="N82" s="491"/>
      <c r="O82" s="491"/>
      <c r="P82" s="491"/>
      <c r="Q82" s="491"/>
      <c r="R82" s="491"/>
      <c r="S82" s="491"/>
      <c r="T82" s="491"/>
      <c r="U82" s="491"/>
      <c r="V82" s="491"/>
      <c r="W82" s="489"/>
      <c r="X82" s="490" t="s">
        <v>2202</v>
      </c>
      <c r="Y82" s="491"/>
      <c r="Z82" s="491"/>
      <c r="AA82" s="491"/>
      <c r="AB82" s="491"/>
      <c r="AC82" s="491"/>
      <c r="AD82" s="491"/>
      <c r="AE82" s="491"/>
      <c r="AF82" s="491"/>
      <c r="AG82" s="491"/>
      <c r="AH82" s="491"/>
      <c r="AI82" s="491"/>
      <c r="AJ82" s="491"/>
      <c r="AK82" s="491"/>
      <c r="AL82" s="489"/>
      <c r="AM82" s="490" t="s">
        <v>2231</v>
      </c>
      <c r="AN82" s="491"/>
      <c r="AO82" s="491"/>
      <c r="AP82" s="491"/>
      <c r="AQ82" s="491"/>
      <c r="AR82" s="491"/>
      <c r="AS82" s="491"/>
      <c r="AT82" s="491"/>
      <c r="AU82" s="491"/>
      <c r="AV82" s="491"/>
      <c r="AW82" s="491"/>
      <c r="AX82" s="491"/>
      <c r="AY82" s="491"/>
      <c r="AZ82" s="491"/>
    </row>
    <row r="83" spans="1:52" s="157" customFormat="1" ht="30" customHeight="1">
      <c r="A83" s="99"/>
      <c r="B83" s="494"/>
      <c r="C83" s="495"/>
      <c r="D83" s="495"/>
      <c r="E83" s="495"/>
      <c r="F83" s="495"/>
      <c r="G83" s="496"/>
      <c r="H83" s="496"/>
      <c r="I83" s="507"/>
      <c r="J83" s="843" t="s">
        <v>1666</v>
      </c>
      <c r="K83" s="498"/>
      <c r="L83" s="498"/>
      <c r="M83" s="498"/>
      <c r="N83" s="498"/>
      <c r="O83" s="498"/>
      <c r="P83" s="498"/>
      <c r="Q83" s="499"/>
      <c r="R83" s="844" t="s">
        <v>2</v>
      </c>
      <c r="S83" s="501"/>
      <c r="T83" s="501"/>
      <c r="U83" s="501"/>
      <c r="V83" s="502"/>
      <c r="W83" s="222"/>
      <c r="X83" s="507"/>
      <c r="Y83" s="497" t="s">
        <v>1666</v>
      </c>
      <c r="Z83" s="498"/>
      <c r="AA83" s="498"/>
      <c r="AB83" s="498"/>
      <c r="AC83" s="498"/>
      <c r="AD83" s="498"/>
      <c r="AE83" s="498"/>
      <c r="AF83" s="499"/>
      <c r="AG83" s="500" t="s">
        <v>2</v>
      </c>
      <c r="AH83" s="501"/>
      <c r="AI83" s="501"/>
      <c r="AJ83" s="501"/>
      <c r="AK83" s="502"/>
      <c r="AL83" s="222"/>
      <c r="AM83" s="507"/>
      <c r="AN83" s="843" t="s">
        <v>1666</v>
      </c>
      <c r="AO83" s="498"/>
      <c r="AP83" s="498"/>
      <c r="AQ83" s="498"/>
      <c r="AR83" s="498"/>
      <c r="AS83" s="498"/>
      <c r="AT83" s="498"/>
      <c r="AU83" s="499"/>
      <c r="AV83" s="844" t="s">
        <v>2</v>
      </c>
      <c r="AW83" s="501"/>
      <c r="AX83" s="501"/>
      <c r="AY83" s="501"/>
      <c r="AZ83" s="502"/>
    </row>
    <row r="84" spans="1:52" s="98" customFormat="1" ht="15" customHeight="1">
      <c r="A84" s="99"/>
      <c r="B84" s="505"/>
      <c r="C84" s="506"/>
      <c r="D84" s="506"/>
      <c r="E84" s="506"/>
      <c r="F84" s="506"/>
      <c r="G84" s="507"/>
      <c r="H84" s="507"/>
      <c r="I84" s="265" t="s">
        <v>1667</v>
      </c>
      <c r="J84" s="518" t="s">
        <v>453</v>
      </c>
      <c r="K84" s="515" t="s">
        <v>455</v>
      </c>
      <c r="L84" s="515" t="s">
        <v>457</v>
      </c>
      <c r="M84" s="515" t="s">
        <v>459</v>
      </c>
      <c r="N84" s="515" t="s">
        <v>461</v>
      </c>
      <c r="O84" s="515" t="s">
        <v>463</v>
      </c>
      <c r="P84" s="515" t="s">
        <v>465</v>
      </c>
      <c r="Q84" s="516" t="s">
        <v>467</v>
      </c>
      <c r="R84" s="508" t="s">
        <v>469</v>
      </c>
      <c r="S84" s="509" t="s">
        <v>471</v>
      </c>
      <c r="T84" s="509" t="s">
        <v>473</v>
      </c>
      <c r="U84" s="509" t="s">
        <v>475</v>
      </c>
      <c r="V84" s="510" t="s">
        <v>477</v>
      </c>
      <c r="W84" s="185"/>
      <c r="X84" s="265" t="s">
        <v>1667</v>
      </c>
      <c r="Y84" s="518" t="s">
        <v>453</v>
      </c>
      <c r="Z84" s="515" t="s">
        <v>455</v>
      </c>
      <c r="AA84" s="515" t="s">
        <v>457</v>
      </c>
      <c r="AB84" s="515" t="s">
        <v>459</v>
      </c>
      <c r="AC84" s="515" t="s">
        <v>461</v>
      </c>
      <c r="AD84" s="515" t="s">
        <v>463</v>
      </c>
      <c r="AE84" s="515" t="s">
        <v>465</v>
      </c>
      <c r="AF84" s="516" t="s">
        <v>467</v>
      </c>
      <c r="AG84" s="508" t="s">
        <v>469</v>
      </c>
      <c r="AH84" s="509" t="s">
        <v>471</v>
      </c>
      <c r="AI84" s="509" t="s">
        <v>473</v>
      </c>
      <c r="AJ84" s="509" t="s">
        <v>475</v>
      </c>
      <c r="AK84" s="510" t="s">
        <v>477</v>
      </c>
      <c r="AL84" s="185"/>
      <c r="AM84" s="265" t="s">
        <v>1667</v>
      </c>
      <c r="AN84" s="518" t="s">
        <v>453</v>
      </c>
      <c r="AO84" s="515" t="s">
        <v>455</v>
      </c>
      <c r="AP84" s="515" t="s">
        <v>457</v>
      </c>
      <c r="AQ84" s="515" t="s">
        <v>459</v>
      </c>
      <c r="AR84" s="515" t="s">
        <v>461</v>
      </c>
      <c r="AS84" s="515" t="s">
        <v>463</v>
      </c>
      <c r="AT84" s="515" t="s">
        <v>465</v>
      </c>
      <c r="AU84" s="516" t="s">
        <v>467</v>
      </c>
      <c r="AV84" s="508" t="s">
        <v>469</v>
      </c>
      <c r="AW84" s="509" t="s">
        <v>471</v>
      </c>
      <c r="AX84" s="509" t="s">
        <v>473</v>
      </c>
      <c r="AY84" s="509" t="s">
        <v>475</v>
      </c>
      <c r="AZ84" s="510" t="s">
        <v>477</v>
      </c>
    </row>
    <row r="85" spans="1:52" s="98" customFormat="1" ht="15" customHeight="1">
      <c r="A85" s="99"/>
      <c r="B85" s="181"/>
      <c r="C85" s="183"/>
      <c r="D85" s="183"/>
      <c r="E85" s="183"/>
      <c r="F85" s="183"/>
      <c r="G85" s="507"/>
      <c r="H85" s="507"/>
      <c r="I85" s="507"/>
      <c r="J85" s="519"/>
      <c r="K85" s="507"/>
      <c r="L85" s="507"/>
      <c r="M85" s="507"/>
      <c r="N85" s="507"/>
      <c r="O85" s="507"/>
      <c r="P85" s="507"/>
      <c r="Q85" s="520"/>
      <c r="R85" s="519"/>
      <c r="S85" s="507"/>
      <c r="T85" s="507"/>
      <c r="U85" s="507"/>
      <c r="V85" s="520"/>
      <c r="W85" s="185"/>
      <c r="X85" s="507"/>
      <c r="Y85" s="519"/>
      <c r="Z85" s="507"/>
      <c r="AA85" s="507"/>
      <c r="AB85" s="507"/>
      <c r="AC85" s="507"/>
      <c r="AD85" s="507"/>
      <c r="AE85" s="507"/>
      <c r="AF85" s="520"/>
      <c r="AG85" s="519"/>
      <c r="AH85" s="507"/>
      <c r="AI85" s="507"/>
      <c r="AJ85" s="507"/>
      <c r="AK85" s="520"/>
      <c r="AL85" s="185"/>
      <c r="AM85" s="507"/>
      <c r="AN85" s="519"/>
      <c r="AO85" s="507"/>
      <c r="AP85" s="507"/>
      <c r="AQ85" s="507"/>
      <c r="AR85" s="507"/>
      <c r="AS85" s="507"/>
      <c r="AT85" s="507"/>
      <c r="AU85" s="520"/>
      <c r="AV85" s="519"/>
      <c r="AW85" s="507"/>
      <c r="AX85" s="507"/>
      <c r="AY85" s="507"/>
      <c r="AZ85" s="520"/>
    </row>
    <row r="86" spans="1:52" s="98" customFormat="1" ht="15" customHeight="1">
      <c r="A86" s="99"/>
      <c r="B86" s="161"/>
      <c r="C86" s="506" t="s">
        <v>1843</v>
      </c>
      <c r="D86" s="506"/>
      <c r="E86" s="506"/>
      <c r="F86" s="506"/>
      <c r="G86" s="521"/>
      <c r="H86" s="521"/>
      <c r="I86" s="164" t="s">
        <v>498</v>
      </c>
      <c r="J86" s="143">
        <v>1.5819604507653631</v>
      </c>
      <c r="K86" s="141">
        <v>1.3305990227780566</v>
      </c>
      <c r="L86" s="141">
        <v>2.4848350339084853</v>
      </c>
      <c r="M86" s="141">
        <v>1.6467072260786357</v>
      </c>
      <c r="N86" s="141">
        <v>1.6863621304509573</v>
      </c>
      <c r="O86" s="141">
        <v>1.9558172305794259</v>
      </c>
      <c r="P86" s="141">
        <v>1.8193723189985584</v>
      </c>
      <c r="Q86" s="144">
        <v>1.8511392659393939</v>
      </c>
      <c r="R86" s="143">
        <v>2.0045519563159897</v>
      </c>
      <c r="S86" s="141">
        <v>2.0267418849452161</v>
      </c>
      <c r="T86" s="141">
        <v>2.046829260952391</v>
      </c>
      <c r="U86" s="141">
        <v>2.0651791823163905</v>
      </c>
      <c r="V86" s="144">
        <v>2.0820691255984451</v>
      </c>
      <c r="W86" s="185"/>
      <c r="X86" s="164" t="s">
        <v>498</v>
      </c>
      <c r="Y86" s="143">
        <v>-1.2489829561997825</v>
      </c>
      <c r="Z86" s="141">
        <v>-1.3455290337662333</v>
      </c>
      <c r="AA86" s="141">
        <v>-1.6598736379695229</v>
      </c>
      <c r="AB86" s="141">
        <v>-1.4228800792043528</v>
      </c>
      <c r="AC86" s="141">
        <v>-0.99812441943690233</v>
      </c>
      <c r="AD86" s="141">
        <v>-1.38066903</v>
      </c>
      <c r="AE86" s="141">
        <v>-1.3688675745669434</v>
      </c>
      <c r="AF86" s="144">
        <v>-1.3915830307150059</v>
      </c>
      <c r="AG86" s="143">
        <v>-1.5038909936843174</v>
      </c>
      <c r="AH86" s="141">
        <v>-1.5194389562094897</v>
      </c>
      <c r="AI86" s="141">
        <v>-1.5335037991405709</v>
      </c>
      <c r="AJ86" s="141">
        <v>-1.5463439947323614</v>
      </c>
      <c r="AK86" s="144">
        <v>-1.5581558296645592</v>
      </c>
      <c r="AL86" s="185"/>
      <c r="AM86" s="164" t="s">
        <v>1876</v>
      </c>
      <c r="AN86" s="165">
        <v>435</v>
      </c>
      <c r="AO86" s="166">
        <v>398</v>
      </c>
      <c r="AP86" s="166">
        <v>593</v>
      </c>
      <c r="AQ86" s="166">
        <v>458</v>
      </c>
      <c r="AR86" s="166">
        <v>414</v>
      </c>
      <c r="AS86" s="166">
        <v>578</v>
      </c>
      <c r="AT86" s="166">
        <v>489.27319999999997</v>
      </c>
      <c r="AU86" s="167">
        <v>497.81610000000001</v>
      </c>
      <c r="AV86" s="165">
        <v>511.9087877441757</v>
      </c>
      <c r="AW86" s="166">
        <v>517.20115180618393</v>
      </c>
      <c r="AX86" s="166">
        <v>521.98867744793495</v>
      </c>
      <c r="AY86" s="166">
        <v>526.35934592550109</v>
      </c>
      <c r="AZ86" s="167">
        <v>530.37997117465045</v>
      </c>
    </row>
    <row r="87" spans="1:52" s="98" customFormat="1" ht="15" customHeight="1">
      <c r="A87" s="99"/>
      <c r="B87" s="161"/>
      <c r="C87" s="506" t="s">
        <v>2523</v>
      </c>
      <c r="D87" s="506"/>
      <c r="E87" s="506"/>
      <c r="F87" s="506"/>
      <c r="G87" s="507"/>
      <c r="H87" s="507"/>
      <c r="I87" s="507"/>
      <c r="J87" s="845"/>
      <c r="K87" s="846"/>
      <c r="L87" s="846"/>
      <c r="M87" s="846"/>
      <c r="N87" s="846"/>
      <c r="O87" s="846"/>
      <c r="P87" s="846"/>
      <c r="Q87" s="847"/>
      <c r="R87" s="845"/>
      <c r="S87" s="846"/>
      <c r="T87" s="846"/>
      <c r="U87" s="846"/>
      <c r="V87" s="847"/>
      <c r="W87" s="185"/>
      <c r="X87" s="507"/>
      <c r="Y87" s="845"/>
      <c r="Z87" s="846"/>
      <c r="AA87" s="846"/>
      <c r="AB87" s="846"/>
      <c r="AC87" s="846"/>
      <c r="AD87" s="846"/>
      <c r="AE87" s="846"/>
      <c r="AF87" s="847"/>
      <c r="AG87" s="845"/>
      <c r="AH87" s="846"/>
      <c r="AI87" s="846"/>
      <c r="AJ87" s="846"/>
      <c r="AK87" s="847"/>
      <c r="AL87" s="185"/>
      <c r="AM87" s="507"/>
      <c r="AN87" s="519"/>
      <c r="AO87" s="507"/>
      <c r="AP87" s="507"/>
      <c r="AQ87" s="507"/>
      <c r="AR87" s="507"/>
      <c r="AS87" s="507"/>
      <c r="AT87" s="507"/>
      <c r="AU87" s="520"/>
      <c r="AV87" s="519"/>
      <c r="AW87" s="507"/>
      <c r="AX87" s="507"/>
      <c r="AY87" s="507"/>
      <c r="AZ87" s="520"/>
    </row>
    <row r="88" spans="1:52" s="98" customFormat="1" ht="15" customHeight="1">
      <c r="A88" s="99"/>
      <c r="B88" s="161"/>
      <c r="C88" s="182"/>
      <c r="D88" s="182" t="s">
        <v>2511</v>
      </c>
      <c r="E88" s="182"/>
      <c r="F88" s="182"/>
      <c r="G88" s="521"/>
      <c r="H88" s="521"/>
      <c r="I88" s="164" t="s">
        <v>498</v>
      </c>
      <c r="J88" s="143">
        <v>0.61644468367579919</v>
      </c>
      <c r="K88" s="141">
        <v>0.82895184935064903</v>
      </c>
      <c r="L88" s="141">
        <v>0.62945871265942754</v>
      </c>
      <c r="M88" s="141">
        <v>0.38097623794148877</v>
      </c>
      <c r="N88" s="141">
        <v>0.81436576876074895</v>
      </c>
      <c r="O88" s="141">
        <v>0.76658928629135481</v>
      </c>
      <c r="P88" s="141">
        <v>0.80675736403194143</v>
      </c>
      <c r="Q88" s="144">
        <v>0.83766219003906339</v>
      </c>
      <c r="R88" s="143">
        <v>0.76248242719691461</v>
      </c>
      <c r="S88" s="141">
        <v>0.78398684075744285</v>
      </c>
      <c r="T88" s="141">
        <v>0.80369193524486759</v>
      </c>
      <c r="U88" s="141">
        <v>0.82189043495364511</v>
      </c>
      <c r="V88" s="144">
        <v>0.83880783813214155</v>
      </c>
      <c r="W88" s="185"/>
      <c r="X88" s="164" t="s">
        <v>498</v>
      </c>
      <c r="Y88" s="143">
        <v>-0.43054119798405438</v>
      </c>
      <c r="Z88" s="141">
        <v>-0.73623286753246731</v>
      </c>
      <c r="AA88" s="141">
        <v>-0.39111968183173579</v>
      </c>
      <c r="AB88" s="141">
        <v>-0.45231720746830073</v>
      </c>
      <c r="AC88" s="141">
        <v>-0.56758334139159272</v>
      </c>
      <c r="AD88" s="141">
        <v>-0.71376600000000001</v>
      </c>
      <c r="AE88" s="141">
        <v>-0.60699175459275478</v>
      </c>
      <c r="AF88" s="144">
        <v>-0.62970761334825109</v>
      </c>
      <c r="AG88" s="143">
        <v>-0.57204326956504103</v>
      </c>
      <c r="AH88" s="141">
        <v>-0.58775128488286199</v>
      </c>
      <c r="AI88" s="141">
        <v>-0.60213358268250261</v>
      </c>
      <c r="AJ88" s="141">
        <v>-0.61540681278464915</v>
      </c>
      <c r="AK88" s="144">
        <v>-0.62773771863998784</v>
      </c>
      <c r="AL88" s="185"/>
      <c r="AM88" s="164" t="s">
        <v>2233</v>
      </c>
      <c r="AN88" s="143">
        <v>3.1084999999999998</v>
      </c>
      <c r="AO88" s="141">
        <v>6.6980000000000004</v>
      </c>
      <c r="AP88" s="141">
        <v>6.3170000000000002</v>
      </c>
      <c r="AQ88" s="141">
        <v>4.5841000000000003</v>
      </c>
      <c r="AR88" s="141">
        <v>4.1205999999999996</v>
      </c>
      <c r="AS88" s="141">
        <v>7.8256999999999994</v>
      </c>
      <c r="AT88" s="141">
        <v>6.3596245367052688</v>
      </c>
      <c r="AU88" s="144">
        <v>6.6032456036332903</v>
      </c>
      <c r="AV88" s="143">
        <v>7.4254544961994364</v>
      </c>
      <c r="AW88" s="141">
        <v>7.6293536751142943</v>
      </c>
      <c r="AX88" s="141">
        <v>7.8160442692422931</v>
      </c>
      <c r="AY88" s="141">
        <v>7.9883385193188907</v>
      </c>
      <c r="AZ88" s="144">
        <v>8.1484008523577138</v>
      </c>
    </row>
    <row r="89" spans="1:52" s="98" customFormat="1" ht="15" customHeight="1">
      <c r="A89" s="99"/>
      <c r="B89" s="161"/>
      <c r="C89" s="182"/>
      <c r="D89" s="182" t="s">
        <v>2512</v>
      </c>
      <c r="E89" s="182"/>
      <c r="F89" s="182"/>
      <c r="G89" s="521"/>
      <c r="H89" s="521"/>
      <c r="I89" s="164" t="s">
        <v>498</v>
      </c>
      <c r="J89" s="143">
        <v>4.5727817454207422E-3</v>
      </c>
      <c r="K89" s="141">
        <v>0</v>
      </c>
      <c r="L89" s="141">
        <v>0</v>
      </c>
      <c r="M89" s="141">
        <v>0</v>
      </c>
      <c r="N89" s="141">
        <v>0</v>
      </c>
      <c r="O89" s="141">
        <v>0.35382066000000001</v>
      </c>
      <c r="P89" s="141">
        <v>0</v>
      </c>
      <c r="Q89" s="144">
        <v>0</v>
      </c>
      <c r="R89" s="143">
        <v>0</v>
      </c>
      <c r="S89" s="141">
        <v>0</v>
      </c>
      <c r="T89" s="141">
        <v>0</v>
      </c>
      <c r="U89" s="141">
        <v>0</v>
      </c>
      <c r="V89" s="144">
        <v>0</v>
      </c>
      <c r="W89" s="185"/>
      <c r="X89" s="164" t="s">
        <v>498</v>
      </c>
      <c r="Y89" s="143">
        <v>-2.2784869741988529E-2</v>
      </c>
      <c r="Z89" s="141">
        <v>0</v>
      </c>
      <c r="AA89" s="141">
        <v>0</v>
      </c>
      <c r="AB89" s="141">
        <v>0</v>
      </c>
      <c r="AC89" s="141">
        <v>0</v>
      </c>
      <c r="AD89" s="141">
        <v>-0.32276479000000002</v>
      </c>
      <c r="AE89" s="141">
        <v>0</v>
      </c>
      <c r="AF89" s="144">
        <v>0</v>
      </c>
      <c r="AG89" s="143">
        <v>0</v>
      </c>
      <c r="AH89" s="141">
        <v>0</v>
      </c>
      <c r="AI89" s="141">
        <v>0</v>
      </c>
      <c r="AJ89" s="141">
        <v>0</v>
      </c>
      <c r="AK89" s="144">
        <v>0</v>
      </c>
      <c r="AL89" s="185"/>
      <c r="AM89" s="164" t="s">
        <v>2233</v>
      </c>
      <c r="AN89" s="143">
        <v>0.03</v>
      </c>
      <c r="AO89" s="141">
        <v>0</v>
      </c>
      <c r="AP89" s="141">
        <v>0</v>
      </c>
      <c r="AQ89" s="141">
        <v>0</v>
      </c>
      <c r="AR89" s="141">
        <v>0</v>
      </c>
      <c r="AS89" s="141">
        <v>1.9807000000000001</v>
      </c>
      <c r="AT89" s="141">
        <v>0</v>
      </c>
      <c r="AU89" s="144">
        <v>0</v>
      </c>
      <c r="AV89" s="143">
        <v>0</v>
      </c>
      <c r="AW89" s="141">
        <v>0</v>
      </c>
      <c r="AX89" s="141">
        <v>0</v>
      </c>
      <c r="AY89" s="141">
        <v>0</v>
      </c>
      <c r="AZ89" s="144">
        <v>0</v>
      </c>
    </row>
    <row r="90" spans="1:52" s="98" customFormat="1" ht="15" customHeight="1">
      <c r="A90" s="99"/>
      <c r="B90" s="181"/>
      <c r="C90" s="182" t="s">
        <v>1710</v>
      </c>
      <c r="D90" s="183"/>
      <c r="E90" s="183"/>
      <c r="F90" s="183"/>
      <c r="G90" s="185"/>
      <c r="H90" s="185"/>
      <c r="I90" s="164" t="s">
        <v>498</v>
      </c>
      <c r="J90" s="128">
        <f>SUM(J88:J89)</f>
        <v>0.62101746542121994</v>
      </c>
      <c r="K90" s="129">
        <f t="shared" ref="K90:V90" si="34">SUM(K88:K89)</f>
        <v>0.82895184935064903</v>
      </c>
      <c r="L90" s="129">
        <f t="shared" si="34"/>
        <v>0.62945871265942754</v>
      </c>
      <c r="M90" s="129">
        <f t="shared" si="34"/>
        <v>0.38097623794148877</v>
      </c>
      <c r="N90" s="129">
        <f t="shared" si="34"/>
        <v>0.81436576876074895</v>
      </c>
      <c r="O90" s="129">
        <f t="shared" si="34"/>
        <v>1.1204099462913548</v>
      </c>
      <c r="P90" s="129">
        <f t="shared" si="34"/>
        <v>0.80675736403194143</v>
      </c>
      <c r="Q90" s="130">
        <f t="shared" si="34"/>
        <v>0.83766219003906339</v>
      </c>
      <c r="R90" s="128">
        <f t="shared" si="34"/>
        <v>0.76248242719691461</v>
      </c>
      <c r="S90" s="129">
        <f t="shared" si="34"/>
        <v>0.78398684075744285</v>
      </c>
      <c r="T90" s="129">
        <f t="shared" si="34"/>
        <v>0.80369193524486759</v>
      </c>
      <c r="U90" s="129">
        <f t="shared" si="34"/>
        <v>0.82189043495364511</v>
      </c>
      <c r="V90" s="130">
        <f t="shared" si="34"/>
        <v>0.83880783813214155</v>
      </c>
      <c r="W90" s="185"/>
      <c r="X90" s="164" t="s">
        <v>498</v>
      </c>
      <c r="Y90" s="128">
        <f>SUM(Y88:Y89)</f>
        <v>-0.45332606772604289</v>
      </c>
      <c r="Z90" s="129">
        <f t="shared" ref="Z90:AK90" si="35">SUM(Z88:Z89)</f>
        <v>-0.73623286753246731</v>
      </c>
      <c r="AA90" s="129">
        <f t="shared" si="35"/>
        <v>-0.39111968183173579</v>
      </c>
      <c r="AB90" s="129">
        <f t="shared" si="35"/>
        <v>-0.45231720746830073</v>
      </c>
      <c r="AC90" s="129">
        <f t="shared" si="35"/>
        <v>-0.56758334139159272</v>
      </c>
      <c r="AD90" s="129">
        <f t="shared" si="35"/>
        <v>-1.03653079</v>
      </c>
      <c r="AE90" s="129">
        <f t="shared" si="35"/>
        <v>-0.60699175459275478</v>
      </c>
      <c r="AF90" s="130">
        <f t="shared" si="35"/>
        <v>-0.62970761334825109</v>
      </c>
      <c r="AG90" s="128">
        <f t="shared" si="35"/>
        <v>-0.57204326956504103</v>
      </c>
      <c r="AH90" s="129">
        <f t="shared" si="35"/>
        <v>-0.58775128488286199</v>
      </c>
      <c r="AI90" s="129">
        <f t="shared" si="35"/>
        <v>-0.60213358268250261</v>
      </c>
      <c r="AJ90" s="129">
        <f t="shared" si="35"/>
        <v>-0.61540681278464915</v>
      </c>
      <c r="AK90" s="130">
        <f t="shared" si="35"/>
        <v>-0.62773771863998784</v>
      </c>
      <c r="AL90" s="185"/>
      <c r="AM90" s="164" t="s">
        <v>2233</v>
      </c>
      <c r="AN90" s="128">
        <f>SUM(AN88:AN89)</f>
        <v>3.1384999999999996</v>
      </c>
      <c r="AO90" s="129">
        <f t="shared" ref="AO90:AZ90" si="36">SUM(AO88:AO89)</f>
        <v>6.6980000000000004</v>
      </c>
      <c r="AP90" s="129">
        <f t="shared" si="36"/>
        <v>6.3170000000000002</v>
      </c>
      <c r="AQ90" s="129">
        <f t="shared" si="36"/>
        <v>4.5841000000000003</v>
      </c>
      <c r="AR90" s="129">
        <f t="shared" si="36"/>
        <v>4.1205999999999996</v>
      </c>
      <c r="AS90" s="129">
        <f t="shared" si="36"/>
        <v>9.8064</v>
      </c>
      <c r="AT90" s="129">
        <f t="shared" si="36"/>
        <v>6.3596245367052688</v>
      </c>
      <c r="AU90" s="130">
        <f t="shared" si="36"/>
        <v>6.6032456036332903</v>
      </c>
      <c r="AV90" s="128">
        <f t="shared" si="36"/>
        <v>7.4254544961994364</v>
      </c>
      <c r="AW90" s="129">
        <f t="shared" si="36"/>
        <v>7.6293536751142943</v>
      </c>
      <c r="AX90" s="129">
        <f t="shared" si="36"/>
        <v>7.8160442692422931</v>
      </c>
      <c r="AY90" s="129">
        <f t="shared" si="36"/>
        <v>7.9883385193188907</v>
      </c>
      <c r="AZ90" s="130">
        <f t="shared" si="36"/>
        <v>8.1484008523577138</v>
      </c>
    </row>
    <row r="91" spans="1:52" s="98" customFormat="1" ht="15" customHeight="1">
      <c r="A91" s="99"/>
      <c r="B91" s="161"/>
      <c r="C91" s="506" t="s">
        <v>1844</v>
      </c>
      <c r="D91" s="506"/>
      <c r="E91" s="506"/>
      <c r="F91" s="506"/>
      <c r="G91" s="507"/>
      <c r="H91" s="507"/>
      <c r="I91" s="507"/>
      <c r="J91" s="845"/>
      <c r="K91" s="846"/>
      <c r="L91" s="846"/>
      <c r="M91" s="846"/>
      <c r="N91" s="846"/>
      <c r="O91" s="846"/>
      <c r="P91" s="846"/>
      <c r="Q91" s="847"/>
      <c r="R91" s="845"/>
      <c r="S91" s="846"/>
      <c r="T91" s="846"/>
      <c r="U91" s="846"/>
      <c r="V91" s="847"/>
      <c r="W91" s="185"/>
      <c r="X91" s="507"/>
      <c r="Y91" s="845"/>
      <c r="Z91" s="846"/>
      <c r="AA91" s="846"/>
      <c r="AB91" s="846"/>
      <c r="AC91" s="846"/>
      <c r="AD91" s="846"/>
      <c r="AE91" s="846"/>
      <c r="AF91" s="847"/>
      <c r="AG91" s="845"/>
      <c r="AH91" s="846"/>
      <c r="AI91" s="846"/>
      <c r="AJ91" s="846"/>
      <c r="AK91" s="847"/>
      <c r="AL91" s="185"/>
      <c r="AM91" s="507"/>
      <c r="AN91" s="519"/>
      <c r="AO91" s="507"/>
      <c r="AP91" s="507"/>
      <c r="AQ91" s="507"/>
      <c r="AR91" s="507"/>
      <c r="AS91" s="507"/>
      <c r="AT91" s="507"/>
      <c r="AU91" s="520"/>
      <c r="AV91" s="519"/>
      <c r="AW91" s="507"/>
      <c r="AX91" s="507"/>
      <c r="AY91" s="507"/>
      <c r="AZ91" s="520"/>
    </row>
    <row r="92" spans="1:52" s="98" customFormat="1" ht="15" customHeight="1">
      <c r="A92" s="99"/>
      <c r="B92" s="161"/>
      <c r="C92" s="182"/>
      <c r="D92" s="182" t="s">
        <v>2524</v>
      </c>
      <c r="E92" s="182"/>
      <c r="F92" s="182"/>
      <c r="G92" s="521"/>
      <c r="H92" s="521"/>
      <c r="I92" s="164" t="s">
        <v>498</v>
      </c>
      <c r="J92" s="143">
        <v>2.4875368179142182E-2</v>
      </c>
      <c r="K92" s="141">
        <v>0</v>
      </c>
      <c r="L92" s="141">
        <v>1.6258129910008991E-2</v>
      </c>
      <c r="M92" s="141">
        <v>3.499034267298634E-3</v>
      </c>
      <c r="N92" s="141">
        <v>0</v>
      </c>
      <c r="O92" s="141">
        <v>0</v>
      </c>
      <c r="P92" s="141">
        <v>0</v>
      </c>
      <c r="Q92" s="144">
        <v>0</v>
      </c>
      <c r="R92" s="143">
        <v>2.8996960087931817E-3</v>
      </c>
      <c r="S92" s="141">
        <v>2.9017947984650684E-3</v>
      </c>
      <c r="T92" s="141">
        <v>2.9036767867386057E-3</v>
      </c>
      <c r="U92" s="141">
        <v>2.9053813102565408E-3</v>
      </c>
      <c r="V92" s="144">
        <v>2.9069379878179204E-3</v>
      </c>
      <c r="W92" s="185"/>
      <c r="X92" s="164" t="s">
        <v>498</v>
      </c>
      <c r="Y92" s="143">
        <v>-1.9540343599766412E-2</v>
      </c>
      <c r="Z92" s="141">
        <v>0</v>
      </c>
      <c r="AA92" s="141">
        <v>-4.3393299532314003E-3</v>
      </c>
      <c r="AB92" s="141">
        <v>-7.3697370873082929E-3</v>
      </c>
      <c r="AC92" s="141">
        <v>0</v>
      </c>
      <c r="AD92" s="141">
        <v>0</v>
      </c>
      <c r="AE92" s="141">
        <v>0</v>
      </c>
      <c r="AF92" s="144">
        <v>0</v>
      </c>
      <c r="AG92" s="143">
        <v>-1.4463662186847814E-3</v>
      </c>
      <c r="AH92" s="141">
        <v>-1.4463662186847814E-3</v>
      </c>
      <c r="AI92" s="141">
        <v>-1.4463662186847814E-3</v>
      </c>
      <c r="AJ92" s="141">
        <v>-1.4463662186847814E-3</v>
      </c>
      <c r="AK92" s="144">
        <v>-1.4463662186847814E-3</v>
      </c>
      <c r="AL92" s="185"/>
      <c r="AM92" s="164" t="s">
        <v>1876</v>
      </c>
      <c r="AN92" s="165">
        <v>4</v>
      </c>
      <c r="AO92" s="166">
        <v>0</v>
      </c>
      <c r="AP92" s="166">
        <v>2</v>
      </c>
      <c r="AQ92" s="166">
        <v>1</v>
      </c>
      <c r="AR92" s="166">
        <v>0</v>
      </c>
      <c r="AS92" s="166">
        <v>2</v>
      </c>
      <c r="AT92" s="166">
        <v>0</v>
      </c>
      <c r="AU92" s="167">
        <v>0</v>
      </c>
      <c r="AV92" s="165">
        <v>2</v>
      </c>
      <c r="AW92" s="166">
        <v>2</v>
      </c>
      <c r="AX92" s="166">
        <v>2</v>
      </c>
      <c r="AY92" s="166">
        <v>2</v>
      </c>
      <c r="AZ92" s="167">
        <v>2</v>
      </c>
    </row>
    <row r="93" spans="1:52" s="98" customFormat="1" ht="15" customHeight="1">
      <c r="A93" s="99"/>
      <c r="B93" s="161"/>
      <c r="C93" s="182"/>
      <c r="D93" s="182" t="s">
        <v>1843</v>
      </c>
      <c r="E93" s="182"/>
      <c r="F93" s="182"/>
      <c r="G93" s="521"/>
      <c r="H93" s="521"/>
      <c r="I93" s="164" t="s">
        <v>498</v>
      </c>
      <c r="J93" s="143">
        <v>0</v>
      </c>
      <c r="K93" s="141">
        <v>0</v>
      </c>
      <c r="L93" s="141">
        <v>0</v>
      </c>
      <c r="M93" s="141">
        <v>0</v>
      </c>
      <c r="N93" s="141">
        <v>0</v>
      </c>
      <c r="O93" s="141">
        <v>0</v>
      </c>
      <c r="P93" s="141">
        <v>0</v>
      </c>
      <c r="Q93" s="144">
        <v>0</v>
      </c>
      <c r="R93" s="143">
        <v>0</v>
      </c>
      <c r="S93" s="141">
        <v>0</v>
      </c>
      <c r="T93" s="141">
        <v>0</v>
      </c>
      <c r="U93" s="141">
        <v>0</v>
      </c>
      <c r="V93" s="144">
        <v>0</v>
      </c>
      <c r="W93" s="185"/>
      <c r="X93" s="164" t="s">
        <v>498</v>
      </c>
      <c r="Y93" s="143">
        <v>0</v>
      </c>
      <c r="Z93" s="141">
        <v>0</v>
      </c>
      <c r="AA93" s="141">
        <v>0</v>
      </c>
      <c r="AB93" s="141">
        <v>0</v>
      </c>
      <c r="AC93" s="141">
        <v>0</v>
      </c>
      <c r="AD93" s="141">
        <v>0</v>
      </c>
      <c r="AE93" s="141">
        <v>0</v>
      </c>
      <c r="AF93" s="144">
        <v>0</v>
      </c>
      <c r="AG93" s="143">
        <v>0</v>
      </c>
      <c r="AH93" s="141">
        <v>0</v>
      </c>
      <c r="AI93" s="141">
        <v>0</v>
      </c>
      <c r="AJ93" s="141">
        <v>0</v>
      </c>
      <c r="AK93" s="144">
        <v>0</v>
      </c>
      <c r="AL93" s="185"/>
      <c r="AM93" s="164" t="s">
        <v>1876</v>
      </c>
      <c r="AN93" s="165">
        <v>0</v>
      </c>
      <c r="AO93" s="166">
        <v>0</v>
      </c>
      <c r="AP93" s="166">
        <v>0</v>
      </c>
      <c r="AQ93" s="166">
        <v>0</v>
      </c>
      <c r="AR93" s="166">
        <v>0</v>
      </c>
      <c r="AS93" s="166">
        <v>0</v>
      </c>
      <c r="AT93" s="166">
        <v>0</v>
      </c>
      <c r="AU93" s="167">
        <v>0</v>
      </c>
      <c r="AV93" s="165">
        <v>0</v>
      </c>
      <c r="AW93" s="166">
        <v>0</v>
      </c>
      <c r="AX93" s="166">
        <v>0</v>
      </c>
      <c r="AY93" s="166">
        <v>0</v>
      </c>
      <c r="AZ93" s="167">
        <v>0</v>
      </c>
    </row>
    <row r="94" spans="1:52" s="98" customFormat="1" ht="15" customHeight="1">
      <c r="A94" s="99"/>
      <c r="B94" s="161"/>
      <c r="C94" s="182"/>
      <c r="D94" s="182" t="s">
        <v>2525</v>
      </c>
      <c r="E94" s="182"/>
      <c r="F94" s="182"/>
      <c r="G94" s="521"/>
      <c r="H94" s="521"/>
      <c r="I94" s="521"/>
      <c r="J94" s="848"/>
      <c r="K94" s="849"/>
      <c r="L94" s="849"/>
      <c r="M94" s="849"/>
      <c r="N94" s="849"/>
      <c r="O94" s="849"/>
      <c r="P94" s="849"/>
      <c r="Q94" s="850"/>
      <c r="R94" s="848"/>
      <c r="S94" s="849"/>
      <c r="T94" s="849"/>
      <c r="U94" s="849"/>
      <c r="V94" s="850"/>
      <c r="W94" s="521"/>
      <c r="X94" s="521"/>
      <c r="Y94" s="848"/>
      <c r="Z94" s="849"/>
      <c r="AA94" s="849"/>
      <c r="AB94" s="849"/>
      <c r="AC94" s="849"/>
      <c r="AD94" s="849"/>
      <c r="AE94" s="849"/>
      <c r="AF94" s="850"/>
      <c r="AG94" s="848"/>
      <c r="AH94" s="849"/>
      <c r="AI94" s="849"/>
      <c r="AJ94" s="849"/>
      <c r="AK94" s="850"/>
      <c r="AL94" s="185"/>
      <c r="AM94" s="164" t="s">
        <v>1876</v>
      </c>
      <c r="AN94" s="165">
        <v>0</v>
      </c>
      <c r="AO94" s="166">
        <v>0</v>
      </c>
      <c r="AP94" s="166">
        <v>0</v>
      </c>
      <c r="AQ94" s="166">
        <v>0</v>
      </c>
      <c r="AR94" s="166">
        <v>0</v>
      </c>
      <c r="AS94" s="166">
        <v>0</v>
      </c>
      <c r="AT94" s="166">
        <v>0</v>
      </c>
      <c r="AU94" s="167">
        <v>0</v>
      </c>
      <c r="AV94" s="165">
        <v>0</v>
      </c>
      <c r="AW94" s="166">
        <v>0</v>
      </c>
      <c r="AX94" s="166">
        <v>0</v>
      </c>
      <c r="AY94" s="166">
        <v>0</v>
      </c>
      <c r="AZ94" s="167">
        <v>0</v>
      </c>
    </row>
    <row r="95" spans="1:52" s="98" customFormat="1" ht="15" customHeight="1">
      <c r="A95" s="99"/>
      <c r="B95" s="181"/>
      <c r="C95" s="182" t="s">
        <v>1710</v>
      </c>
      <c r="D95" s="183"/>
      <c r="E95" s="183"/>
      <c r="F95" s="183"/>
      <c r="G95" s="184"/>
      <c r="H95" s="184"/>
      <c r="I95" s="164" t="s">
        <v>498</v>
      </c>
      <c r="J95" s="128">
        <f>SUM(J92:J94)</f>
        <v>2.4875368179142182E-2</v>
      </c>
      <c r="K95" s="129">
        <f t="shared" ref="K95:U95" si="37">SUM(K92:K94)</f>
        <v>0</v>
      </c>
      <c r="L95" s="129">
        <f t="shared" si="37"/>
        <v>1.6258129910008991E-2</v>
      </c>
      <c r="M95" s="129">
        <f t="shared" si="37"/>
        <v>3.499034267298634E-3</v>
      </c>
      <c r="N95" s="129">
        <f t="shared" si="37"/>
        <v>0</v>
      </c>
      <c r="O95" s="129">
        <f t="shared" si="37"/>
        <v>0</v>
      </c>
      <c r="P95" s="129">
        <f t="shared" si="37"/>
        <v>0</v>
      </c>
      <c r="Q95" s="130">
        <f t="shared" si="37"/>
        <v>0</v>
      </c>
      <c r="R95" s="128">
        <f t="shared" si="37"/>
        <v>2.8996960087931817E-3</v>
      </c>
      <c r="S95" s="129">
        <f t="shared" si="37"/>
        <v>2.9017947984650684E-3</v>
      </c>
      <c r="T95" s="129">
        <f t="shared" si="37"/>
        <v>2.9036767867386057E-3</v>
      </c>
      <c r="U95" s="129">
        <f t="shared" si="37"/>
        <v>2.9053813102565408E-3</v>
      </c>
      <c r="V95" s="130">
        <f>SUM(V92:V94)</f>
        <v>2.9069379878179204E-3</v>
      </c>
      <c r="W95" s="185"/>
      <c r="X95" s="164" t="s">
        <v>498</v>
      </c>
      <c r="Y95" s="128">
        <f>SUM(Y92:Y94)</f>
        <v>-1.9540343599766412E-2</v>
      </c>
      <c r="Z95" s="129">
        <f t="shared" ref="Z95:AJ95" si="38">SUM(Z92:Z94)</f>
        <v>0</v>
      </c>
      <c r="AA95" s="129">
        <f t="shared" si="38"/>
        <v>-4.3393299532314003E-3</v>
      </c>
      <c r="AB95" s="129">
        <f t="shared" si="38"/>
        <v>-7.3697370873082929E-3</v>
      </c>
      <c r="AC95" s="129">
        <f t="shared" si="38"/>
        <v>0</v>
      </c>
      <c r="AD95" s="129">
        <f t="shared" si="38"/>
        <v>0</v>
      </c>
      <c r="AE95" s="129">
        <f t="shared" si="38"/>
        <v>0</v>
      </c>
      <c r="AF95" s="130">
        <f t="shared" si="38"/>
        <v>0</v>
      </c>
      <c r="AG95" s="128">
        <f t="shared" si="38"/>
        <v>-1.4463662186847814E-3</v>
      </c>
      <c r="AH95" s="129">
        <f t="shared" si="38"/>
        <v>-1.4463662186847814E-3</v>
      </c>
      <c r="AI95" s="129">
        <f t="shared" si="38"/>
        <v>-1.4463662186847814E-3</v>
      </c>
      <c r="AJ95" s="129">
        <f t="shared" si="38"/>
        <v>-1.4463662186847814E-3</v>
      </c>
      <c r="AK95" s="130">
        <f>SUM(AK92:AK94)</f>
        <v>-1.4463662186847814E-3</v>
      </c>
      <c r="AL95" s="185"/>
      <c r="AM95" s="164" t="s">
        <v>1876</v>
      </c>
      <c r="AN95" s="777">
        <f>SUM(AN92:AN94)</f>
        <v>4</v>
      </c>
      <c r="AO95" s="778">
        <f t="shared" ref="AO95:AY95" si="39">SUM(AO92:AO94)</f>
        <v>0</v>
      </c>
      <c r="AP95" s="778">
        <f t="shared" si="39"/>
        <v>2</v>
      </c>
      <c r="AQ95" s="778">
        <f t="shared" si="39"/>
        <v>1</v>
      </c>
      <c r="AR95" s="778">
        <f t="shared" si="39"/>
        <v>0</v>
      </c>
      <c r="AS95" s="778">
        <f t="shared" si="39"/>
        <v>2</v>
      </c>
      <c r="AT95" s="778">
        <f t="shared" si="39"/>
        <v>0</v>
      </c>
      <c r="AU95" s="779">
        <f t="shared" si="39"/>
        <v>0</v>
      </c>
      <c r="AV95" s="777">
        <f t="shared" si="39"/>
        <v>2</v>
      </c>
      <c r="AW95" s="778">
        <f t="shared" si="39"/>
        <v>2</v>
      </c>
      <c r="AX95" s="778">
        <f t="shared" si="39"/>
        <v>2</v>
      </c>
      <c r="AY95" s="778">
        <f t="shared" si="39"/>
        <v>2</v>
      </c>
      <c r="AZ95" s="779">
        <f>SUM(AZ92:AZ94)</f>
        <v>2</v>
      </c>
    </row>
    <row r="96" spans="1:52" s="98" customFormat="1" ht="15" customHeight="1">
      <c r="A96" s="99"/>
      <c r="B96" s="161"/>
      <c r="C96" s="506" t="s">
        <v>66</v>
      </c>
      <c r="D96" s="506"/>
      <c r="E96" s="506"/>
      <c r="F96" s="506"/>
      <c r="G96" s="507"/>
      <c r="H96" s="507"/>
      <c r="I96" s="507"/>
      <c r="J96" s="845"/>
      <c r="K96" s="846"/>
      <c r="L96" s="846"/>
      <c r="M96" s="846"/>
      <c r="N96" s="846"/>
      <c r="O96" s="846"/>
      <c r="P96" s="846"/>
      <c r="Q96" s="847"/>
      <c r="R96" s="845"/>
      <c r="S96" s="846"/>
      <c r="T96" s="846"/>
      <c r="U96" s="846"/>
      <c r="V96" s="847"/>
      <c r="W96" s="185"/>
      <c r="X96" s="507"/>
      <c r="Y96" s="845"/>
      <c r="Z96" s="846"/>
      <c r="AA96" s="846"/>
      <c r="AB96" s="846"/>
      <c r="AC96" s="846"/>
      <c r="AD96" s="846"/>
      <c r="AE96" s="846"/>
      <c r="AF96" s="847"/>
      <c r="AG96" s="845"/>
      <c r="AH96" s="846"/>
      <c r="AI96" s="846"/>
      <c r="AJ96" s="846"/>
      <c r="AK96" s="847"/>
      <c r="AL96" s="185"/>
      <c r="AM96" s="507"/>
      <c r="AN96" s="519"/>
      <c r="AO96" s="507"/>
      <c r="AP96" s="507"/>
      <c r="AQ96" s="507"/>
      <c r="AR96" s="507"/>
      <c r="AS96" s="507"/>
      <c r="AT96" s="507"/>
      <c r="AU96" s="520"/>
      <c r="AV96" s="519"/>
      <c r="AW96" s="507"/>
      <c r="AX96" s="507"/>
      <c r="AY96" s="507"/>
      <c r="AZ96" s="520"/>
    </row>
    <row r="97" spans="1:52" s="98" customFormat="1" ht="15" customHeight="1">
      <c r="A97" s="99"/>
      <c r="B97" s="161"/>
      <c r="C97" s="185"/>
      <c r="D97" s="182" t="s">
        <v>2526</v>
      </c>
      <c r="E97" s="182"/>
      <c r="F97" s="182"/>
      <c r="G97" s="182"/>
      <c r="H97" s="182"/>
      <c r="I97" s="164" t="s">
        <v>498</v>
      </c>
      <c r="J97" s="143">
        <v>0</v>
      </c>
      <c r="K97" s="141">
        <v>0</v>
      </c>
      <c r="L97" s="141">
        <v>0</v>
      </c>
      <c r="M97" s="141">
        <v>0</v>
      </c>
      <c r="N97" s="141">
        <v>0</v>
      </c>
      <c r="O97" s="141">
        <v>0</v>
      </c>
      <c r="P97" s="141">
        <v>0</v>
      </c>
      <c r="Q97" s="144">
        <v>0</v>
      </c>
      <c r="R97" s="143">
        <v>0</v>
      </c>
      <c r="S97" s="141">
        <v>0</v>
      </c>
      <c r="T97" s="141">
        <v>0</v>
      </c>
      <c r="U97" s="141">
        <v>0</v>
      </c>
      <c r="V97" s="144">
        <v>0</v>
      </c>
      <c r="W97" s="185"/>
      <c r="X97" s="164" t="s">
        <v>498</v>
      </c>
      <c r="Y97" s="143">
        <v>0</v>
      </c>
      <c r="Z97" s="141">
        <v>0</v>
      </c>
      <c r="AA97" s="141">
        <v>0</v>
      </c>
      <c r="AB97" s="141">
        <v>0</v>
      </c>
      <c r="AC97" s="141">
        <v>0</v>
      </c>
      <c r="AD97" s="141">
        <v>0</v>
      </c>
      <c r="AE97" s="141">
        <v>0</v>
      </c>
      <c r="AF97" s="144">
        <v>0</v>
      </c>
      <c r="AG97" s="143">
        <v>0</v>
      </c>
      <c r="AH97" s="141">
        <v>0</v>
      </c>
      <c r="AI97" s="141">
        <v>0</v>
      </c>
      <c r="AJ97" s="141">
        <v>0</v>
      </c>
      <c r="AK97" s="144">
        <v>0</v>
      </c>
      <c r="AL97" s="185"/>
      <c r="AM97" s="164" t="s">
        <v>1876</v>
      </c>
      <c r="AN97" s="165">
        <v>0</v>
      </c>
      <c r="AO97" s="166">
        <v>0</v>
      </c>
      <c r="AP97" s="166">
        <v>0</v>
      </c>
      <c r="AQ97" s="166">
        <v>0</v>
      </c>
      <c r="AR97" s="166">
        <v>0</v>
      </c>
      <c r="AS97" s="166">
        <v>0</v>
      </c>
      <c r="AT97" s="166">
        <v>0</v>
      </c>
      <c r="AU97" s="167">
        <v>0</v>
      </c>
      <c r="AV97" s="165">
        <v>0</v>
      </c>
      <c r="AW97" s="166">
        <v>0</v>
      </c>
      <c r="AX97" s="166">
        <v>0</v>
      </c>
      <c r="AY97" s="166">
        <v>0</v>
      </c>
      <c r="AZ97" s="167">
        <v>0</v>
      </c>
    </row>
    <row r="98" spans="1:52" s="98" customFormat="1" ht="15" customHeight="1">
      <c r="A98" s="99"/>
      <c r="B98" s="161"/>
      <c r="C98" s="185"/>
      <c r="D98" s="182" t="s">
        <v>2527</v>
      </c>
      <c r="E98" s="182"/>
      <c r="F98" s="182"/>
      <c r="G98" s="182"/>
      <c r="H98" s="182"/>
      <c r="I98" s="164" t="s">
        <v>498</v>
      </c>
      <c r="J98" s="143">
        <v>0</v>
      </c>
      <c r="K98" s="141">
        <v>0</v>
      </c>
      <c r="L98" s="141">
        <v>0</v>
      </c>
      <c r="M98" s="141">
        <v>0</v>
      </c>
      <c r="N98" s="141">
        <v>0.16376002729538608</v>
      </c>
      <c r="O98" s="141">
        <v>-9.0779790000000013E-2</v>
      </c>
      <c r="P98" s="141">
        <v>0</v>
      </c>
      <c r="Q98" s="144">
        <v>0</v>
      </c>
      <c r="R98" s="143">
        <v>0</v>
      </c>
      <c r="S98" s="141">
        <v>0</v>
      </c>
      <c r="T98" s="141">
        <v>0</v>
      </c>
      <c r="U98" s="141">
        <v>0</v>
      </c>
      <c r="V98" s="144">
        <v>0</v>
      </c>
      <c r="W98" s="185"/>
      <c r="X98" s="164" t="s">
        <v>498</v>
      </c>
      <c r="Y98" s="143">
        <v>0</v>
      </c>
      <c r="Z98" s="141">
        <v>0</v>
      </c>
      <c r="AA98" s="141">
        <v>0</v>
      </c>
      <c r="AB98" s="141">
        <v>0</v>
      </c>
      <c r="AC98" s="141">
        <v>-5.5027468474398697E-2</v>
      </c>
      <c r="AD98" s="141">
        <v>-3.2693029999999998E-2</v>
      </c>
      <c r="AE98" s="141">
        <v>0</v>
      </c>
      <c r="AF98" s="144">
        <v>0</v>
      </c>
      <c r="AG98" s="143">
        <v>0</v>
      </c>
      <c r="AH98" s="141">
        <v>0</v>
      </c>
      <c r="AI98" s="141">
        <v>0</v>
      </c>
      <c r="AJ98" s="141">
        <v>0</v>
      </c>
      <c r="AK98" s="144">
        <v>0</v>
      </c>
      <c r="AL98" s="185"/>
      <c r="AM98" s="164" t="s">
        <v>1876</v>
      </c>
      <c r="AN98" s="165">
        <v>0</v>
      </c>
      <c r="AO98" s="166">
        <v>0</v>
      </c>
      <c r="AP98" s="166">
        <v>0</v>
      </c>
      <c r="AQ98" s="166">
        <v>0</v>
      </c>
      <c r="AR98" s="166">
        <v>0</v>
      </c>
      <c r="AS98" s="166">
        <v>1</v>
      </c>
      <c r="AT98" s="166">
        <v>0</v>
      </c>
      <c r="AU98" s="167">
        <v>0</v>
      </c>
      <c r="AV98" s="165">
        <v>0</v>
      </c>
      <c r="AW98" s="166">
        <v>0</v>
      </c>
      <c r="AX98" s="166">
        <v>0</v>
      </c>
      <c r="AY98" s="166">
        <v>0</v>
      </c>
      <c r="AZ98" s="167">
        <v>0</v>
      </c>
    </row>
    <row r="99" spans="1:52" s="98" customFormat="1" ht="15" customHeight="1">
      <c r="A99" s="99"/>
      <c r="B99" s="161"/>
      <c r="C99" s="185"/>
      <c r="D99" s="182" t="s">
        <v>2528</v>
      </c>
      <c r="E99" s="182"/>
      <c r="F99" s="182"/>
      <c r="G99" s="182"/>
      <c r="H99" s="182"/>
      <c r="I99" s="164" t="s">
        <v>498</v>
      </c>
      <c r="J99" s="143">
        <v>0</v>
      </c>
      <c r="K99" s="141">
        <v>0</v>
      </c>
      <c r="L99" s="141">
        <v>0</v>
      </c>
      <c r="M99" s="141">
        <v>0</v>
      </c>
      <c r="N99" s="141">
        <v>0</v>
      </c>
      <c r="O99" s="141">
        <v>0</v>
      </c>
      <c r="P99" s="141">
        <v>0</v>
      </c>
      <c r="Q99" s="144">
        <v>0</v>
      </c>
      <c r="R99" s="143">
        <v>0</v>
      </c>
      <c r="S99" s="141">
        <v>0</v>
      </c>
      <c r="T99" s="141">
        <v>0</v>
      </c>
      <c r="U99" s="141">
        <v>0</v>
      </c>
      <c r="V99" s="144">
        <v>0</v>
      </c>
      <c r="W99" s="185"/>
      <c r="X99" s="164" t="s">
        <v>498</v>
      </c>
      <c r="Y99" s="143">
        <v>0</v>
      </c>
      <c r="Z99" s="141">
        <v>0</v>
      </c>
      <c r="AA99" s="141">
        <v>0</v>
      </c>
      <c r="AB99" s="141">
        <v>0</v>
      </c>
      <c r="AC99" s="141">
        <v>0</v>
      </c>
      <c r="AD99" s="141">
        <v>0</v>
      </c>
      <c r="AE99" s="141">
        <v>0</v>
      </c>
      <c r="AF99" s="144">
        <v>0</v>
      </c>
      <c r="AG99" s="143">
        <v>0</v>
      </c>
      <c r="AH99" s="141">
        <v>0</v>
      </c>
      <c r="AI99" s="141">
        <v>0</v>
      </c>
      <c r="AJ99" s="141">
        <v>0</v>
      </c>
      <c r="AK99" s="144">
        <v>0</v>
      </c>
      <c r="AL99" s="185"/>
      <c r="AM99" s="164" t="s">
        <v>1876</v>
      </c>
      <c r="AN99" s="165">
        <v>0</v>
      </c>
      <c r="AO99" s="166">
        <v>0</v>
      </c>
      <c r="AP99" s="166">
        <v>0</v>
      </c>
      <c r="AQ99" s="166">
        <v>0</v>
      </c>
      <c r="AR99" s="166">
        <v>0</v>
      </c>
      <c r="AS99" s="166">
        <v>0</v>
      </c>
      <c r="AT99" s="166">
        <v>0</v>
      </c>
      <c r="AU99" s="167">
        <v>0</v>
      </c>
      <c r="AV99" s="165">
        <v>0</v>
      </c>
      <c r="AW99" s="166">
        <v>0</v>
      </c>
      <c r="AX99" s="166">
        <v>0</v>
      </c>
      <c r="AY99" s="166">
        <v>0</v>
      </c>
      <c r="AZ99" s="167">
        <v>0</v>
      </c>
    </row>
    <row r="100" spans="1:52" s="98" customFormat="1" ht="15" customHeight="1">
      <c r="A100" s="99"/>
      <c r="B100" s="181"/>
      <c r="C100" s="182" t="s">
        <v>1710</v>
      </c>
      <c r="D100" s="183"/>
      <c r="E100" s="183"/>
      <c r="F100" s="183"/>
      <c r="G100" s="184"/>
      <c r="H100" s="184"/>
      <c r="I100" s="164" t="s">
        <v>498</v>
      </c>
      <c r="J100" s="128">
        <f t="shared" ref="J100:V100" si="40">SUM(J97:J99)</f>
        <v>0</v>
      </c>
      <c r="K100" s="129">
        <f t="shared" si="40"/>
        <v>0</v>
      </c>
      <c r="L100" s="129">
        <f t="shared" si="40"/>
        <v>0</v>
      </c>
      <c r="M100" s="129">
        <f t="shared" si="40"/>
        <v>0</v>
      </c>
      <c r="N100" s="129">
        <f t="shared" si="40"/>
        <v>0.16376002729538608</v>
      </c>
      <c r="O100" s="129">
        <f t="shared" si="40"/>
        <v>-9.0779790000000013E-2</v>
      </c>
      <c r="P100" s="129">
        <f t="shared" si="40"/>
        <v>0</v>
      </c>
      <c r="Q100" s="130">
        <f t="shared" si="40"/>
        <v>0</v>
      </c>
      <c r="R100" s="128">
        <f t="shared" si="40"/>
        <v>0</v>
      </c>
      <c r="S100" s="129">
        <f t="shared" si="40"/>
        <v>0</v>
      </c>
      <c r="T100" s="129">
        <f t="shared" si="40"/>
        <v>0</v>
      </c>
      <c r="U100" s="129">
        <f t="shared" si="40"/>
        <v>0</v>
      </c>
      <c r="V100" s="130">
        <f t="shared" si="40"/>
        <v>0</v>
      </c>
      <c r="W100" s="185"/>
      <c r="X100" s="164" t="s">
        <v>498</v>
      </c>
      <c r="Y100" s="128">
        <f t="shared" ref="Y100:AK100" si="41">SUM(Y97:Y99)</f>
        <v>0</v>
      </c>
      <c r="Z100" s="129">
        <f t="shared" si="41"/>
        <v>0</v>
      </c>
      <c r="AA100" s="129">
        <f t="shared" si="41"/>
        <v>0</v>
      </c>
      <c r="AB100" s="129">
        <f t="shared" si="41"/>
        <v>0</v>
      </c>
      <c r="AC100" s="129">
        <f t="shared" si="41"/>
        <v>-5.5027468474398697E-2</v>
      </c>
      <c r="AD100" s="129">
        <f t="shared" si="41"/>
        <v>-3.2693029999999998E-2</v>
      </c>
      <c r="AE100" s="129">
        <f t="shared" si="41"/>
        <v>0</v>
      </c>
      <c r="AF100" s="130">
        <f t="shared" si="41"/>
        <v>0</v>
      </c>
      <c r="AG100" s="128">
        <f t="shared" si="41"/>
        <v>0</v>
      </c>
      <c r="AH100" s="129">
        <f t="shared" si="41"/>
        <v>0</v>
      </c>
      <c r="AI100" s="129">
        <f t="shared" si="41"/>
        <v>0</v>
      </c>
      <c r="AJ100" s="129">
        <f t="shared" si="41"/>
        <v>0</v>
      </c>
      <c r="AK100" s="130">
        <f t="shared" si="41"/>
        <v>0</v>
      </c>
      <c r="AL100" s="185"/>
      <c r="AM100" s="164" t="s">
        <v>1876</v>
      </c>
      <c r="AN100" s="777">
        <f t="shared" ref="AN100:AZ100" si="42">SUM(AN97:AN99)</f>
        <v>0</v>
      </c>
      <c r="AO100" s="778">
        <f t="shared" si="42"/>
        <v>0</v>
      </c>
      <c r="AP100" s="778">
        <f t="shared" si="42"/>
        <v>0</v>
      </c>
      <c r="AQ100" s="778">
        <f t="shared" si="42"/>
        <v>0</v>
      </c>
      <c r="AR100" s="778">
        <f t="shared" si="42"/>
        <v>0</v>
      </c>
      <c r="AS100" s="778">
        <f t="shared" si="42"/>
        <v>1</v>
      </c>
      <c r="AT100" s="778">
        <f t="shared" si="42"/>
        <v>0</v>
      </c>
      <c r="AU100" s="779">
        <f t="shared" si="42"/>
        <v>0</v>
      </c>
      <c r="AV100" s="777">
        <f t="shared" si="42"/>
        <v>0</v>
      </c>
      <c r="AW100" s="778">
        <f t="shared" si="42"/>
        <v>0</v>
      </c>
      <c r="AX100" s="778">
        <f t="shared" si="42"/>
        <v>0</v>
      </c>
      <c r="AY100" s="778">
        <f t="shared" si="42"/>
        <v>0</v>
      </c>
      <c r="AZ100" s="779">
        <f t="shared" si="42"/>
        <v>0</v>
      </c>
    </row>
    <row r="101" spans="1:52" s="98" customFormat="1" ht="15" customHeight="1">
      <c r="A101" s="99"/>
      <c r="B101" s="161"/>
      <c r="C101" s="506" t="s">
        <v>2529</v>
      </c>
      <c r="D101" s="506"/>
      <c r="E101" s="506"/>
      <c r="F101" s="506"/>
      <c r="G101" s="507"/>
      <c r="H101" s="507"/>
      <c r="I101" s="507"/>
      <c r="J101" s="845"/>
      <c r="K101" s="846"/>
      <c r="L101" s="846"/>
      <c r="M101" s="846"/>
      <c r="N101" s="846"/>
      <c r="O101" s="846"/>
      <c r="P101" s="846"/>
      <c r="Q101" s="847"/>
      <c r="R101" s="845"/>
      <c r="S101" s="846"/>
      <c r="T101" s="846"/>
      <c r="U101" s="846"/>
      <c r="V101" s="847"/>
      <c r="W101" s="185"/>
      <c r="X101" s="507"/>
      <c r="Y101" s="845"/>
      <c r="Z101" s="846"/>
      <c r="AA101" s="846"/>
      <c r="AB101" s="846"/>
      <c r="AC101" s="846"/>
      <c r="AD101" s="846"/>
      <c r="AE101" s="846"/>
      <c r="AF101" s="847"/>
      <c r="AG101" s="845"/>
      <c r="AH101" s="846"/>
      <c r="AI101" s="846"/>
      <c r="AJ101" s="846"/>
      <c r="AK101" s="847"/>
      <c r="AL101" s="185"/>
      <c r="AM101" s="507"/>
      <c r="AN101" s="519"/>
      <c r="AO101" s="507"/>
      <c r="AP101" s="507"/>
      <c r="AQ101" s="507"/>
      <c r="AR101" s="507"/>
      <c r="AS101" s="507"/>
      <c r="AT101" s="507"/>
      <c r="AU101" s="520"/>
      <c r="AV101" s="519"/>
      <c r="AW101" s="507"/>
      <c r="AX101" s="507"/>
      <c r="AY101" s="507"/>
      <c r="AZ101" s="520"/>
    </row>
    <row r="102" spans="1:52" s="98" customFormat="1" ht="15" customHeight="1">
      <c r="A102" s="99"/>
      <c r="B102" s="161"/>
      <c r="C102" s="182"/>
      <c r="D102" s="182" t="s">
        <v>2530</v>
      </c>
      <c r="E102" s="182"/>
      <c r="F102" s="182"/>
      <c r="G102" s="521"/>
      <c r="H102" s="521"/>
      <c r="I102" s="164" t="s">
        <v>498</v>
      </c>
      <c r="J102" s="143">
        <v>0</v>
      </c>
      <c r="K102" s="141">
        <v>0</v>
      </c>
      <c r="L102" s="141">
        <v>0</v>
      </c>
      <c r="M102" s="141">
        <v>0</v>
      </c>
      <c r="N102" s="141">
        <v>0</v>
      </c>
      <c r="O102" s="141">
        <v>0</v>
      </c>
      <c r="P102" s="141">
        <v>0</v>
      </c>
      <c r="Q102" s="144">
        <v>0</v>
      </c>
      <c r="R102" s="143">
        <v>0</v>
      </c>
      <c r="S102" s="141">
        <v>0</v>
      </c>
      <c r="T102" s="141">
        <v>0</v>
      </c>
      <c r="U102" s="141">
        <v>0</v>
      </c>
      <c r="V102" s="144">
        <v>0</v>
      </c>
      <c r="W102" s="185"/>
      <c r="X102" s="164" t="s">
        <v>498</v>
      </c>
      <c r="Y102" s="143">
        <v>0</v>
      </c>
      <c r="Z102" s="141">
        <v>0</v>
      </c>
      <c r="AA102" s="141">
        <v>0</v>
      </c>
      <c r="AB102" s="141">
        <v>0</v>
      </c>
      <c r="AC102" s="141">
        <v>0</v>
      </c>
      <c r="AD102" s="141">
        <v>0</v>
      </c>
      <c r="AE102" s="141">
        <v>0</v>
      </c>
      <c r="AF102" s="144">
        <v>0</v>
      </c>
      <c r="AG102" s="143">
        <v>0</v>
      </c>
      <c r="AH102" s="141">
        <v>0</v>
      </c>
      <c r="AI102" s="141">
        <v>0</v>
      </c>
      <c r="AJ102" s="141">
        <v>0</v>
      </c>
      <c r="AK102" s="144">
        <v>0</v>
      </c>
      <c r="AL102" s="185"/>
      <c r="AM102" s="164" t="s">
        <v>1876</v>
      </c>
      <c r="AN102" s="165">
        <v>0</v>
      </c>
      <c r="AO102" s="166">
        <v>0</v>
      </c>
      <c r="AP102" s="166">
        <v>0</v>
      </c>
      <c r="AQ102" s="166">
        <v>0</v>
      </c>
      <c r="AR102" s="166">
        <v>0</v>
      </c>
      <c r="AS102" s="166">
        <v>0</v>
      </c>
      <c r="AT102" s="166">
        <v>0</v>
      </c>
      <c r="AU102" s="167">
        <v>0</v>
      </c>
      <c r="AV102" s="165">
        <v>0</v>
      </c>
      <c r="AW102" s="166">
        <v>0</v>
      </c>
      <c r="AX102" s="166">
        <v>0</v>
      </c>
      <c r="AY102" s="166">
        <v>0</v>
      </c>
      <c r="AZ102" s="167">
        <v>0</v>
      </c>
    </row>
    <row r="103" spans="1:52" s="98" customFormat="1" ht="15" customHeight="1">
      <c r="A103" s="99"/>
      <c r="B103" s="161"/>
      <c r="C103" s="182"/>
      <c r="D103" s="182" t="s">
        <v>2531</v>
      </c>
      <c r="E103" s="182"/>
      <c r="F103" s="182"/>
      <c r="G103" s="521"/>
      <c r="H103" s="521"/>
      <c r="I103" s="164" t="s">
        <v>498</v>
      </c>
      <c r="J103" s="143">
        <v>0</v>
      </c>
      <c r="K103" s="141">
        <v>0</v>
      </c>
      <c r="L103" s="141">
        <v>0</v>
      </c>
      <c r="M103" s="141">
        <v>0</v>
      </c>
      <c r="N103" s="141">
        <v>0</v>
      </c>
      <c r="O103" s="141">
        <v>0</v>
      </c>
      <c r="P103" s="141">
        <v>0</v>
      </c>
      <c r="Q103" s="144">
        <v>0</v>
      </c>
      <c r="R103" s="143">
        <v>0</v>
      </c>
      <c r="S103" s="141">
        <v>0</v>
      </c>
      <c r="T103" s="141">
        <v>0</v>
      </c>
      <c r="U103" s="141">
        <v>0</v>
      </c>
      <c r="V103" s="144">
        <v>0</v>
      </c>
      <c r="W103" s="185"/>
      <c r="X103" s="164" t="s">
        <v>498</v>
      </c>
      <c r="Y103" s="143">
        <v>0</v>
      </c>
      <c r="Z103" s="141">
        <v>0</v>
      </c>
      <c r="AA103" s="141">
        <v>0</v>
      </c>
      <c r="AB103" s="141">
        <v>0</v>
      </c>
      <c r="AC103" s="141">
        <v>0</v>
      </c>
      <c r="AD103" s="141">
        <v>0</v>
      </c>
      <c r="AE103" s="141">
        <v>0</v>
      </c>
      <c r="AF103" s="144">
        <v>0</v>
      </c>
      <c r="AG103" s="143">
        <v>0</v>
      </c>
      <c r="AH103" s="141">
        <v>0</v>
      </c>
      <c r="AI103" s="141">
        <v>0</v>
      </c>
      <c r="AJ103" s="141">
        <v>0</v>
      </c>
      <c r="AK103" s="144">
        <v>0</v>
      </c>
      <c r="AL103" s="185"/>
      <c r="AM103" s="164" t="s">
        <v>1876</v>
      </c>
      <c r="AN103" s="165">
        <v>75</v>
      </c>
      <c r="AO103" s="166">
        <v>154</v>
      </c>
      <c r="AP103" s="166">
        <v>124</v>
      </c>
      <c r="AQ103" s="166">
        <v>241</v>
      </c>
      <c r="AR103" s="166">
        <v>227</v>
      </c>
      <c r="AS103" s="166">
        <v>133</v>
      </c>
      <c r="AT103" s="166">
        <v>162.29716022253129</v>
      </c>
      <c r="AU103" s="167">
        <v>165.1309316411683</v>
      </c>
      <c r="AV103" s="165">
        <v>169.80562708899294</v>
      </c>
      <c r="AW103" s="166">
        <v>171.56116092597341</v>
      </c>
      <c r="AX103" s="166">
        <v>173.14923445247913</v>
      </c>
      <c r="AY103" s="166">
        <v>174.59903199336861</v>
      </c>
      <c r="AZ103" s="167">
        <v>175.9327164466678</v>
      </c>
    </row>
    <row r="104" spans="1:52" s="98" customFormat="1" ht="15" customHeight="1">
      <c r="A104" s="99"/>
      <c r="B104" s="161"/>
      <c r="C104" s="182"/>
      <c r="D104" s="182" t="s">
        <v>2532</v>
      </c>
      <c r="E104" s="182"/>
      <c r="F104" s="182"/>
      <c r="G104" s="521"/>
      <c r="H104" s="521"/>
      <c r="I104" s="164" t="s">
        <v>498</v>
      </c>
      <c r="J104" s="143">
        <v>0</v>
      </c>
      <c r="K104" s="141">
        <v>0</v>
      </c>
      <c r="L104" s="141">
        <v>0</v>
      </c>
      <c r="M104" s="141">
        <v>0</v>
      </c>
      <c r="N104" s="141">
        <v>0</v>
      </c>
      <c r="O104" s="141">
        <v>0</v>
      </c>
      <c r="P104" s="141">
        <v>0</v>
      </c>
      <c r="Q104" s="144">
        <v>0</v>
      </c>
      <c r="R104" s="143">
        <v>0</v>
      </c>
      <c r="S104" s="141">
        <v>0</v>
      </c>
      <c r="T104" s="141">
        <v>0</v>
      </c>
      <c r="U104" s="141">
        <v>0</v>
      </c>
      <c r="V104" s="144">
        <v>0</v>
      </c>
      <c r="W104" s="185"/>
      <c r="X104" s="164" t="s">
        <v>498</v>
      </c>
      <c r="Y104" s="143">
        <v>0</v>
      </c>
      <c r="Z104" s="141">
        <v>0</v>
      </c>
      <c r="AA104" s="141">
        <v>0</v>
      </c>
      <c r="AB104" s="141">
        <v>0</v>
      </c>
      <c r="AC104" s="141">
        <v>0</v>
      </c>
      <c r="AD104" s="141">
        <v>0</v>
      </c>
      <c r="AE104" s="141">
        <v>0</v>
      </c>
      <c r="AF104" s="144">
        <v>0</v>
      </c>
      <c r="AG104" s="143">
        <v>0</v>
      </c>
      <c r="AH104" s="141">
        <v>0</v>
      </c>
      <c r="AI104" s="141">
        <v>0</v>
      </c>
      <c r="AJ104" s="141">
        <v>0</v>
      </c>
      <c r="AK104" s="144">
        <v>0</v>
      </c>
      <c r="AL104" s="185"/>
      <c r="AM104" s="164" t="s">
        <v>1876</v>
      </c>
      <c r="AN104" s="165">
        <v>742</v>
      </c>
      <c r="AO104" s="166">
        <v>608</v>
      </c>
      <c r="AP104" s="166">
        <v>691</v>
      </c>
      <c r="AQ104" s="166">
        <v>688</v>
      </c>
      <c r="AR104" s="166">
        <v>765</v>
      </c>
      <c r="AS104" s="166">
        <v>695</v>
      </c>
      <c r="AT104" s="166">
        <v>712.64444881780253</v>
      </c>
      <c r="AU104" s="167">
        <v>725.08749753129348</v>
      </c>
      <c r="AV104" s="165">
        <v>745.61401664129073</v>
      </c>
      <c r="AW104" s="166">
        <v>753.32253995692099</v>
      </c>
      <c r="AX104" s="166">
        <v>760.29574750674533</v>
      </c>
      <c r="AY104" s="166">
        <v>766.66178723293615</v>
      </c>
      <c r="AZ104" s="167">
        <v>772.51797609548373</v>
      </c>
    </row>
    <row r="105" spans="1:52" s="98" customFormat="1" ht="15" customHeight="1">
      <c r="A105" s="99"/>
      <c r="B105" s="161"/>
      <c r="C105" s="182"/>
      <c r="D105" s="182" t="s">
        <v>2533</v>
      </c>
      <c r="E105" s="182"/>
      <c r="F105" s="182"/>
      <c r="G105" s="521"/>
      <c r="H105" s="521"/>
      <c r="I105" s="164" t="s">
        <v>498</v>
      </c>
      <c r="J105" s="143">
        <v>0</v>
      </c>
      <c r="K105" s="141">
        <v>0</v>
      </c>
      <c r="L105" s="141">
        <v>0</v>
      </c>
      <c r="M105" s="141">
        <v>0</v>
      </c>
      <c r="N105" s="141">
        <v>0</v>
      </c>
      <c r="O105" s="141">
        <v>0</v>
      </c>
      <c r="P105" s="141">
        <v>0</v>
      </c>
      <c r="Q105" s="144">
        <v>0</v>
      </c>
      <c r="R105" s="143">
        <v>0</v>
      </c>
      <c r="S105" s="141">
        <v>0</v>
      </c>
      <c r="T105" s="141">
        <v>0</v>
      </c>
      <c r="U105" s="141">
        <v>0</v>
      </c>
      <c r="V105" s="144">
        <v>0</v>
      </c>
      <c r="W105" s="185"/>
      <c r="X105" s="164" t="s">
        <v>498</v>
      </c>
      <c r="Y105" s="143">
        <v>0</v>
      </c>
      <c r="Z105" s="141">
        <v>0</v>
      </c>
      <c r="AA105" s="141">
        <v>0</v>
      </c>
      <c r="AB105" s="141">
        <v>0</v>
      </c>
      <c r="AC105" s="141">
        <v>0</v>
      </c>
      <c r="AD105" s="141">
        <v>0</v>
      </c>
      <c r="AE105" s="141">
        <v>0</v>
      </c>
      <c r="AF105" s="144">
        <v>0</v>
      </c>
      <c r="AG105" s="143">
        <v>0</v>
      </c>
      <c r="AH105" s="141">
        <v>0</v>
      </c>
      <c r="AI105" s="141">
        <v>0</v>
      </c>
      <c r="AJ105" s="141">
        <v>0</v>
      </c>
      <c r="AK105" s="144">
        <v>0</v>
      </c>
      <c r="AL105" s="185"/>
      <c r="AM105" s="164" t="s">
        <v>1876</v>
      </c>
      <c r="AN105" s="165">
        <v>180</v>
      </c>
      <c r="AO105" s="166">
        <v>300</v>
      </c>
      <c r="AP105" s="166">
        <v>262</v>
      </c>
      <c r="AQ105" s="166">
        <v>267</v>
      </c>
      <c r="AR105" s="166">
        <v>412</v>
      </c>
      <c r="AS105" s="166">
        <v>189</v>
      </c>
      <c r="AT105" s="166">
        <v>273.89772322670376</v>
      </c>
      <c r="AU105" s="167">
        <v>278.68008379694021</v>
      </c>
      <c r="AV105" s="165">
        <v>286.56924487765053</v>
      </c>
      <c r="AW105" s="166">
        <v>289.53193825033247</v>
      </c>
      <c r="AX105" s="166">
        <v>292.21202040722369</v>
      </c>
      <c r="AY105" s="166">
        <v>294.65874372046483</v>
      </c>
      <c r="AZ105" s="167">
        <v>296.90951098441843</v>
      </c>
    </row>
    <row r="106" spans="1:52" s="98" customFormat="1" ht="15" customHeight="1">
      <c r="A106" s="99"/>
      <c r="B106" s="161"/>
      <c r="C106" s="182"/>
      <c r="D106" s="182" t="s">
        <v>2534</v>
      </c>
      <c r="E106" s="182"/>
      <c r="F106" s="182"/>
      <c r="G106" s="521"/>
      <c r="H106" s="521"/>
      <c r="I106" s="164" t="s">
        <v>498</v>
      </c>
      <c r="J106" s="143">
        <v>0</v>
      </c>
      <c r="K106" s="141">
        <v>0</v>
      </c>
      <c r="L106" s="141">
        <v>0</v>
      </c>
      <c r="M106" s="141">
        <v>0</v>
      </c>
      <c r="N106" s="141">
        <v>0</v>
      </c>
      <c r="O106" s="141">
        <v>0</v>
      </c>
      <c r="P106" s="141">
        <v>0</v>
      </c>
      <c r="Q106" s="144">
        <v>0</v>
      </c>
      <c r="R106" s="143">
        <v>0</v>
      </c>
      <c r="S106" s="141">
        <v>0</v>
      </c>
      <c r="T106" s="141">
        <v>0</v>
      </c>
      <c r="U106" s="141">
        <v>0</v>
      </c>
      <c r="V106" s="144">
        <v>0</v>
      </c>
      <c r="W106" s="185"/>
      <c r="X106" s="164" t="s">
        <v>498</v>
      </c>
      <c r="Y106" s="143">
        <v>0</v>
      </c>
      <c r="Z106" s="141">
        <v>0</v>
      </c>
      <c r="AA106" s="141">
        <v>0</v>
      </c>
      <c r="AB106" s="141">
        <v>0</v>
      </c>
      <c r="AC106" s="141">
        <v>0</v>
      </c>
      <c r="AD106" s="141">
        <v>0</v>
      </c>
      <c r="AE106" s="141">
        <v>0</v>
      </c>
      <c r="AF106" s="144">
        <v>0</v>
      </c>
      <c r="AG106" s="143">
        <v>0</v>
      </c>
      <c r="AH106" s="141">
        <v>0</v>
      </c>
      <c r="AI106" s="141">
        <v>0</v>
      </c>
      <c r="AJ106" s="141">
        <v>0</v>
      </c>
      <c r="AK106" s="144">
        <v>0</v>
      </c>
      <c r="AL106" s="185"/>
      <c r="AM106" s="164" t="s">
        <v>1876</v>
      </c>
      <c r="AN106" s="165">
        <v>7</v>
      </c>
      <c r="AO106" s="166">
        <v>6</v>
      </c>
      <c r="AP106" s="166">
        <v>13</v>
      </c>
      <c r="AQ106" s="166">
        <v>5</v>
      </c>
      <c r="AR106" s="166">
        <v>9</v>
      </c>
      <c r="AS106" s="166">
        <v>17</v>
      </c>
      <c r="AT106" s="166">
        <v>9.697000139082057</v>
      </c>
      <c r="AU106" s="167">
        <v>9.8663135257301811</v>
      </c>
      <c r="AV106" s="165">
        <v>10.145619228587627</v>
      </c>
      <c r="AW106" s="166">
        <v>10.250509615073883</v>
      </c>
      <c r="AX106" s="166">
        <v>10.345394511311646</v>
      </c>
      <c r="AY106" s="166">
        <v>10.432017634823909</v>
      </c>
      <c r="AZ106" s="167">
        <v>10.511703183920403</v>
      </c>
    </row>
    <row r="107" spans="1:52" s="98" customFormat="1" ht="15" customHeight="1">
      <c r="A107" s="99"/>
      <c r="B107" s="161"/>
      <c r="C107" s="182"/>
      <c r="D107" s="182" t="s">
        <v>2535</v>
      </c>
      <c r="E107" s="182"/>
      <c r="F107" s="182"/>
      <c r="G107" s="521"/>
      <c r="H107" s="521"/>
      <c r="I107" s="164" t="s">
        <v>498</v>
      </c>
      <c r="J107" s="143">
        <v>0.48398716986125229</v>
      </c>
      <c r="K107" s="141">
        <v>0.47831824733356998</v>
      </c>
      <c r="L107" s="141">
        <v>0.40790253930283599</v>
      </c>
      <c r="M107" s="141">
        <v>0.32712858567721875</v>
      </c>
      <c r="N107" s="141">
        <v>0.33301124419918021</v>
      </c>
      <c r="O107" s="141">
        <v>0.40115391296307179</v>
      </c>
      <c r="P107" s="141">
        <v>0.4136539002921123</v>
      </c>
      <c r="Q107" s="144">
        <v>0.42087645796501466</v>
      </c>
      <c r="R107" s="143">
        <v>0.43279105956382924</v>
      </c>
      <c r="S107" s="141">
        <v>0.43726546575655656</v>
      </c>
      <c r="T107" s="141">
        <v>0.44131305850118024</v>
      </c>
      <c r="U107" s="141">
        <v>0.44500822116823213</v>
      </c>
      <c r="V107" s="144">
        <v>0.44840744130929766</v>
      </c>
      <c r="W107" s="185"/>
      <c r="X107" s="164" t="s">
        <v>498</v>
      </c>
      <c r="Y107" s="143">
        <v>0</v>
      </c>
      <c r="Z107" s="141">
        <v>0</v>
      </c>
      <c r="AA107" s="141">
        <v>0</v>
      </c>
      <c r="AB107" s="141">
        <v>0</v>
      </c>
      <c r="AC107" s="141">
        <v>0</v>
      </c>
      <c r="AD107" s="141">
        <v>0</v>
      </c>
      <c r="AE107" s="141">
        <v>0</v>
      </c>
      <c r="AF107" s="144">
        <v>0</v>
      </c>
      <c r="AG107" s="143">
        <v>0</v>
      </c>
      <c r="AH107" s="141">
        <v>0</v>
      </c>
      <c r="AI107" s="141">
        <v>0</v>
      </c>
      <c r="AJ107" s="141">
        <v>0</v>
      </c>
      <c r="AK107" s="144">
        <v>0</v>
      </c>
      <c r="AL107" s="185"/>
      <c r="AM107" s="164" t="s">
        <v>1876</v>
      </c>
      <c r="AN107" s="165">
        <v>0</v>
      </c>
      <c r="AO107" s="166">
        <v>0</v>
      </c>
      <c r="AP107" s="166">
        <v>0</v>
      </c>
      <c r="AQ107" s="166">
        <v>0</v>
      </c>
      <c r="AR107" s="166">
        <v>0</v>
      </c>
      <c r="AS107" s="166">
        <v>0</v>
      </c>
      <c r="AT107" s="166">
        <v>0</v>
      </c>
      <c r="AU107" s="167">
        <v>0</v>
      </c>
      <c r="AV107" s="165">
        <v>0</v>
      </c>
      <c r="AW107" s="166">
        <v>0</v>
      </c>
      <c r="AX107" s="166">
        <v>0</v>
      </c>
      <c r="AY107" s="166">
        <v>0</v>
      </c>
      <c r="AZ107" s="167">
        <v>0</v>
      </c>
    </row>
    <row r="108" spans="1:52" s="98" customFormat="1" ht="15" customHeight="1">
      <c r="A108" s="99"/>
      <c r="B108" s="181"/>
      <c r="C108" s="182" t="s">
        <v>1710</v>
      </c>
      <c r="D108" s="183"/>
      <c r="E108" s="183"/>
      <c r="F108" s="183"/>
      <c r="G108" s="184"/>
      <c r="H108" s="184"/>
      <c r="I108" s="164" t="s">
        <v>498</v>
      </c>
      <c r="J108" s="128">
        <f>SUM(J102:J107)</f>
        <v>0.48398716986125229</v>
      </c>
      <c r="K108" s="129">
        <f t="shared" ref="K108:V108" si="43">SUM(K102:K107)</f>
        <v>0.47831824733356998</v>
      </c>
      <c r="L108" s="129">
        <f t="shared" si="43"/>
        <v>0.40790253930283599</v>
      </c>
      <c r="M108" s="129">
        <f t="shared" si="43"/>
        <v>0.32712858567721875</v>
      </c>
      <c r="N108" s="129">
        <f t="shared" si="43"/>
        <v>0.33301124419918021</v>
      </c>
      <c r="O108" s="129">
        <f t="shared" si="43"/>
        <v>0.40115391296307179</v>
      </c>
      <c r="P108" s="129">
        <f t="shared" si="43"/>
        <v>0.4136539002921123</v>
      </c>
      <c r="Q108" s="130">
        <f t="shared" si="43"/>
        <v>0.42087645796501466</v>
      </c>
      <c r="R108" s="128">
        <f t="shared" si="43"/>
        <v>0.43279105956382924</v>
      </c>
      <c r="S108" s="129">
        <f t="shared" si="43"/>
        <v>0.43726546575655656</v>
      </c>
      <c r="T108" s="129">
        <f t="shared" si="43"/>
        <v>0.44131305850118024</v>
      </c>
      <c r="U108" s="129">
        <f t="shared" si="43"/>
        <v>0.44500822116823213</v>
      </c>
      <c r="V108" s="130">
        <f t="shared" si="43"/>
        <v>0.44840744130929766</v>
      </c>
      <c r="W108" s="185"/>
      <c r="X108" s="164" t="s">
        <v>498</v>
      </c>
      <c r="Y108" s="128">
        <f>SUM(Y102:Y107)</f>
        <v>0</v>
      </c>
      <c r="Z108" s="129">
        <f t="shared" ref="Z108:AK108" si="44">SUM(Z102:Z107)</f>
        <v>0</v>
      </c>
      <c r="AA108" s="129">
        <f t="shared" si="44"/>
        <v>0</v>
      </c>
      <c r="AB108" s="129">
        <f t="shared" si="44"/>
        <v>0</v>
      </c>
      <c r="AC108" s="129">
        <f t="shared" si="44"/>
        <v>0</v>
      </c>
      <c r="AD108" s="129">
        <f t="shared" si="44"/>
        <v>0</v>
      </c>
      <c r="AE108" s="129">
        <f t="shared" si="44"/>
        <v>0</v>
      </c>
      <c r="AF108" s="130">
        <f t="shared" si="44"/>
        <v>0</v>
      </c>
      <c r="AG108" s="128">
        <f t="shared" si="44"/>
        <v>0</v>
      </c>
      <c r="AH108" s="129">
        <f t="shared" si="44"/>
        <v>0</v>
      </c>
      <c r="AI108" s="129">
        <f t="shared" si="44"/>
        <v>0</v>
      </c>
      <c r="AJ108" s="129">
        <f t="shared" si="44"/>
        <v>0</v>
      </c>
      <c r="AK108" s="130">
        <f t="shared" si="44"/>
        <v>0</v>
      </c>
      <c r="AL108" s="185"/>
      <c r="AM108" s="164" t="s">
        <v>1876</v>
      </c>
      <c r="AN108" s="777">
        <f>SUM(AN102:AN107)</f>
        <v>1004</v>
      </c>
      <c r="AO108" s="778">
        <f t="shared" ref="AO108:AZ108" si="45">SUM(AO102:AO107)</f>
        <v>1068</v>
      </c>
      <c r="AP108" s="778">
        <f t="shared" si="45"/>
        <v>1090</v>
      </c>
      <c r="AQ108" s="778">
        <f t="shared" si="45"/>
        <v>1201</v>
      </c>
      <c r="AR108" s="778">
        <f t="shared" si="45"/>
        <v>1413</v>
      </c>
      <c r="AS108" s="778">
        <f t="shared" si="45"/>
        <v>1034</v>
      </c>
      <c r="AT108" s="778">
        <f t="shared" si="45"/>
        <v>1158.5363324061198</v>
      </c>
      <c r="AU108" s="779">
        <f t="shared" si="45"/>
        <v>1178.7648264951322</v>
      </c>
      <c r="AV108" s="777">
        <f t="shared" si="45"/>
        <v>1212.1345078365218</v>
      </c>
      <c r="AW108" s="778">
        <f t="shared" si="45"/>
        <v>1224.6661487483007</v>
      </c>
      <c r="AX108" s="778">
        <f t="shared" si="45"/>
        <v>1236.0023968777598</v>
      </c>
      <c r="AY108" s="778">
        <f t="shared" si="45"/>
        <v>1246.3515805815935</v>
      </c>
      <c r="AZ108" s="779">
        <f t="shared" si="45"/>
        <v>1255.8719067104903</v>
      </c>
    </row>
    <row r="109" spans="1:52" s="98" customFormat="1" ht="15" customHeight="1">
      <c r="A109" s="99"/>
      <c r="B109" s="181"/>
      <c r="C109" s="183"/>
      <c r="D109" s="183"/>
      <c r="E109" s="183"/>
      <c r="F109" s="183"/>
      <c r="G109" s="507"/>
      <c r="H109" s="507"/>
      <c r="I109" s="507"/>
      <c r="J109" s="845"/>
      <c r="K109" s="846"/>
      <c r="L109" s="846"/>
      <c r="M109" s="846"/>
      <c r="N109" s="846"/>
      <c r="O109" s="846"/>
      <c r="P109" s="846"/>
      <c r="Q109" s="847"/>
      <c r="R109" s="845"/>
      <c r="S109" s="846"/>
      <c r="T109" s="846"/>
      <c r="U109" s="846"/>
      <c r="V109" s="847"/>
      <c r="W109" s="185"/>
      <c r="X109" s="507"/>
      <c r="Y109" s="845"/>
      <c r="Z109" s="846"/>
      <c r="AA109" s="846"/>
      <c r="AB109" s="846"/>
      <c r="AC109" s="846"/>
      <c r="AD109" s="846"/>
      <c r="AE109" s="846"/>
      <c r="AF109" s="847"/>
      <c r="AG109" s="845"/>
      <c r="AH109" s="846"/>
      <c r="AI109" s="846"/>
      <c r="AJ109" s="846"/>
      <c r="AK109" s="847"/>
      <c r="AL109" s="185"/>
      <c r="AM109" s="507"/>
      <c r="AN109" s="519"/>
      <c r="AO109" s="507"/>
      <c r="AP109" s="507"/>
      <c r="AQ109" s="507"/>
      <c r="AR109" s="507"/>
      <c r="AS109" s="507"/>
      <c r="AT109" s="507"/>
      <c r="AU109" s="520"/>
      <c r="AV109" s="519"/>
      <c r="AW109" s="507"/>
      <c r="AX109" s="507"/>
      <c r="AY109" s="507"/>
      <c r="AZ109" s="520"/>
    </row>
    <row r="110" spans="1:52" s="98" customFormat="1" ht="15" customHeight="1" thickBot="1">
      <c r="A110" s="99"/>
      <c r="B110" s="161"/>
      <c r="C110" s="506" t="s">
        <v>2536</v>
      </c>
      <c r="D110" s="506"/>
      <c r="E110" s="506"/>
      <c r="F110" s="506"/>
      <c r="G110" s="521"/>
      <c r="H110" s="521"/>
      <c r="I110" s="521"/>
      <c r="J110" s="848"/>
      <c r="K110" s="849"/>
      <c r="L110" s="849"/>
      <c r="M110" s="849"/>
      <c r="N110" s="849"/>
      <c r="O110" s="849"/>
      <c r="P110" s="849"/>
      <c r="Q110" s="850"/>
      <c r="R110" s="848"/>
      <c r="S110" s="849"/>
      <c r="T110" s="849"/>
      <c r="U110" s="849"/>
      <c r="V110" s="850"/>
      <c r="W110" s="521"/>
      <c r="X110" s="521"/>
      <c r="Y110" s="848"/>
      <c r="Z110" s="849"/>
      <c r="AA110" s="849"/>
      <c r="AB110" s="849"/>
      <c r="AC110" s="849"/>
      <c r="AD110" s="849"/>
      <c r="AE110" s="849"/>
      <c r="AF110" s="850"/>
      <c r="AG110" s="848"/>
      <c r="AH110" s="849"/>
      <c r="AI110" s="849"/>
      <c r="AJ110" s="849"/>
      <c r="AK110" s="850"/>
      <c r="AL110" s="185"/>
      <c r="AM110" s="164" t="s">
        <v>2537</v>
      </c>
      <c r="AN110" s="854">
        <v>0</v>
      </c>
      <c r="AO110" s="855">
        <v>0</v>
      </c>
      <c r="AP110" s="855">
        <v>0</v>
      </c>
      <c r="AQ110" s="855">
        <v>0</v>
      </c>
      <c r="AR110" s="855">
        <v>0</v>
      </c>
      <c r="AS110" s="855">
        <v>0</v>
      </c>
      <c r="AT110" s="855">
        <v>0</v>
      </c>
      <c r="AU110" s="856">
        <v>0</v>
      </c>
      <c r="AV110" s="854">
        <v>0</v>
      </c>
      <c r="AW110" s="855">
        <v>0</v>
      </c>
      <c r="AX110" s="855">
        <v>0</v>
      </c>
      <c r="AY110" s="855">
        <v>0</v>
      </c>
      <c r="AZ110" s="856">
        <v>0</v>
      </c>
    </row>
    <row r="111" spans="1:52" s="98" customFormat="1" ht="15" customHeight="1">
      <c r="A111" s="99"/>
      <c r="B111" s="505"/>
      <c r="C111" s="506"/>
      <c r="D111" s="506"/>
      <c r="E111" s="506"/>
      <c r="F111" s="506"/>
      <c r="G111" s="507"/>
      <c r="H111" s="507"/>
      <c r="I111" s="185"/>
      <c r="J111" s="845"/>
      <c r="K111" s="846"/>
      <c r="L111" s="846"/>
      <c r="M111" s="846"/>
      <c r="N111" s="846"/>
      <c r="O111" s="846"/>
      <c r="P111" s="846"/>
      <c r="Q111" s="847"/>
      <c r="R111" s="845"/>
      <c r="S111" s="846"/>
      <c r="T111" s="846"/>
      <c r="U111" s="846"/>
      <c r="V111" s="847"/>
      <c r="W111" s="507"/>
      <c r="X111" s="185"/>
      <c r="Y111" s="845"/>
      <c r="Z111" s="846"/>
      <c r="AA111" s="846"/>
      <c r="AB111" s="846"/>
      <c r="AC111" s="846"/>
      <c r="AD111" s="846"/>
      <c r="AE111" s="846"/>
      <c r="AF111" s="847"/>
      <c r="AG111" s="845"/>
      <c r="AH111" s="846"/>
      <c r="AI111" s="846"/>
      <c r="AJ111" s="846"/>
      <c r="AK111" s="847"/>
      <c r="AL111" s="185"/>
      <c r="AM111" s="185"/>
      <c r="AN111" s="507"/>
      <c r="AO111" s="507"/>
      <c r="AP111" s="507"/>
      <c r="AQ111" s="507"/>
      <c r="AR111" s="507"/>
      <c r="AS111" s="507"/>
      <c r="AT111" s="507"/>
      <c r="AU111" s="507"/>
      <c r="AV111" s="507"/>
      <c r="AW111" s="507"/>
      <c r="AX111" s="507"/>
      <c r="AY111" s="507"/>
      <c r="AZ111" s="520"/>
    </row>
    <row r="112" spans="1:52" s="98" customFormat="1" ht="15" customHeight="1" thickBot="1">
      <c r="A112" s="99"/>
      <c r="B112" s="239" t="s">
        <v>1701</v>
      </c>
      <c r="C112" s="246"/>
      <c r="D112" s="512"/>
      <c r="E112" s="512"/>
      <c r="F112" s="512"/>
      <c r="G112" s="523"/>
      <c r="H112" s="523"/>
      <c r="I112" s="195" t="s">
        <v>498</v>
      </c>
      <c r="J112" s="717">
        <f t="shared" ref="J112:V112" si="46">J86+J90+J95+J100+J108</f>
        <v>2.7118404542269774</v>
      </c>
      <c r="K112" s="718">
        <f t="shared" si="46"/>
        <v>2.6378691194622754</v>
      </c>
      <c r="L112" s="718">
        <f t="shared" si="46"/>
        <v>3.538454415780758</v>
      </c>
      <c r="M112" s="718">
        <f t="shared" si="46"/>
        <v>2.358311083964642</v>
      </c>
      <c r="N112" s="718">
        <f t="shared" si="46"/>
        <v>2.997499170706273</v>
      </c>
      <c r="O112" s="718">
        <f t="shared" si="46"/>
        <v>3.3866012998338522</v>
      </c>
      <c r="P112" s="718">
        <f t="shared" si="46"/>
        <v>3.0397835833226123</v>
      </c>
      <c r="Q112" s="719">
        <f t="shared" si="46"/>
        <v>3.109677913943472</v>
      </c>
      <c r="R112" s="717">
        <f t="shared" si="46"/>
        <v>3.2027251390855267</v>
      </c>
      <c r="S112" s="718">
        <f t="shared" si="46"/>
        <v>3.2508959862576803</v>
      </c>
      <c r="T112" s="718">
        <f t="shared" si="46"/>
        <v>3.2947379314851775</v>
      </c>
      <c r="U112" s="718">
        <f t="shared" si="46"/>
        <v>3.3349832197485241</v>
      </c>
      <c r="V112" s="719">
        <f t="shared" si="46"/>
        <v>3.3721913430277022</v>
      </c>
      <c r="W112" s="513"/>
      <c r="X112" s="195" t="s">
        <v>498</v>
      </c>
      <c r="Y112" s="717">
        <f t="shared" ref="Y112:AK112" si="47">Y86+Y90+Y95+Y100+Y108</f>
        <v>-1.7218493675255917</v>
      </c>
      <c r="Z112" s="718">
        <f t="shared" si="47"/>
        <v>-2.0817619012987008</v>
      </c>
      <c r="AA112" s="718">
        <f t="shared" si="47"/>
        <v>-2.0553326497544901</v>
      </c>
      <c r="AB112" s="718">
        <f t="shared" si="47"/>
        <v>-1.8825670237599619</v>
      </c>
      <c r="AC112" s="718">
        <f t="shared" si="47"/>
        <v>-1.6207352293028938</v>
      </c>
      <c r="AD112" s="718">
        <f t="shared" si="47"/>
        <v>-2.4498928499999999</v>
      </c>
      <c r="AE112" s="718">
        <f t="shared" si="47"/>
        <v>-1.9758593291596982</v>
      </c>
      <c r="AF112" s="719">
        <f t="shared" si="47"/>
        <v>-2.021290644063257</v>
      </c>
      <c r="AG112" s="717">
        <f t="shared" si="47"/>
        <v>-2.0773806294680432</v>
      </c>
      <c r="AH112" s="718">
        <f t="shared" si="47"/>
        <v>-2.1086366073110363</v>
      </c>
      <c r="AI112" s="718">
        <f t="shared" si="47"/>
        <v>-2.1370837480417584</v>
      </c>
      <c r="AJ112" s="718">
        <f t="shared" si="47"/>
        <v>-2.1631971737356954</v>
      </c>
      <c r="AK112" s="719">
        <f t="shared" si="47"/>
        <v>-2.187339914523232</v>
      </c>
      <c r="AL112" s="192"/>
      <c r="AM112" s="192"/>
      <c r="AN112" s="192"/>
      <c r="AO112" s="192"/>
      <c r="AP112" s="192"/>
      <c r="AQ112" s="192"/>
      <c r="AR112" s="192"/>
      <c r="AS112" s="192"/>
      <c r="AT112" s="192"/>
      <c r="AU112" s="192"/>
      <c r="AV112" s="192"/>
      <c r="AW112" s="192"/>
      <c r="AX112" s="192"/>
      <c r="AY112" s="192"/>
      <c r="AZ112" s="217"/>
    </row>
    <row r="113" spans="1:59" s="99" customFormat="1" ht="15" customHeight="1" thickBot="1">
      <c r="B113" s="150"/>
      <c r="C113" s="150"/>
      <c r="D113" s="150"/>
      <c r="E113" s="150"/>
      <c r="F113" s="150"/>
      <c r="G113" s="97"/>
      <c r="H113" s="97"/>
      <c r="I113" s="97"/>
      <c r="J113" s="97"/>
      <c r="K113" s="97"/>
      <c r="L113" s="97"/>
      <c r="N113" s="97"/>
      <c r="O113" s="97"/>
      <c r="P113" s="97"/>
      <c r="Q113" s="97"/>
      <c r="R113" s="97"/>
      <c r="S113" s="97"/>
      <c r="T113" s="97"/>
      <c r="U113" s="96"/>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row>
    <row r="114" spans="1:59" s="487" customFormat="1" ht="30" customHeight="1" thickBot="1">
      <c r="A114" s="254"/>
      <c r="B114" s="842" t="s">
        <v>2538</v>
      </c>
      <c r="C114" s="488"/>
      <c r="D114" s="488"/>
      <c r="E114" s="488"/>
      <c r="F114" s="488"/>
      <c r="G114" s="489"/>
      <c r="H114" s="489"/>
      <c r="I114" s="490" t="s">
        <v>1864</v>
      </c>
      <c r="J114" s="491"/>
      <c r="K114" s="491"/>
      <c r="L114" s="491"/>
      <c r="M114" s="491"/>
      <c r="N114" s="491"/>
      <c r="O114" s="491"/>
      <c r="P114" s="491"/>
      <c r="Q114" s="491"/>
      <c r="R114" s="491"/>
      <c r="S114" s="491"/>
      <c r="T114" s="491"/>
      <c r="U114" s="491"/>
      <c r="V114" s="491"/>
      <c r="W114" s="489"/>
      <c r="X114" s="490" t="s">
        <v>2202</v>
      </c>
      <c r="Y114" s="491"/>
      <c r="Z114" s="491"/>
      <c r="AA114" s="491"/>
      <c r="AB114" s="491"/>
      <c r="AC114" s="491"/>
      <c r="AD114" s="491"/>
      <c r="AE114" s="491"/>
      <c r="AF114" s="491"/>
      <c r="AG114" s="491"/>
      <c r="AH114" s="491"/>
      <c r="AI114" s="491"/>
      <c r="AJ114" s="491"/>
      <c r="AK114" s="491"/>
      <c r="AL114" s="489"/>
      <c r="AM114" s="490" t="s">
        <v>2231</v>
      </c>
      <c r="AN114" s="491"/>
      <c r="AO114" s="491"/>
      <c r="AP114" s="491"/>
      <c r="AQ114" s="491"/>
      <c r="AR114" s="491"/>
      <c r="AS114" s="491"/>
      <c r="AT114" s="491"/>
      <c r="AU114" s="491"/>
      <c r="AV114" s="491"/>
      <c r="AW114" s="491"/>
      <c r="AX114" s="491"/>
      <c r="AY114" s="491"/>
      <c r="AZ114" s="491"/>
      <c r="BA114" s="489"/>
      <c r="BB114" s="490" t="s">
        <v>1925</v>
      </c>
      <c r="BC114" s="490"/>
      <c r="BD114" s="490"/>
      <c r="BE114" s="490"/>
      <c r="BF114" s="490"/>
      <c r="BG114" s="524"/>
    </row>
    <row r="115" spans="1:59" s="157" customFormat="1" ht="30" customHeight="1">
      <c r="A115" s="99"/>
      <c r="B115" s="494"/>
      <c r="C115" s="495"/>
      <c r="D115" s="495"/>
      <c r="E115" s="495"/>
      <c r="F115" s="495"/>
      <c r="G115" s="496"/>
      <c r="H115" s="496"/>
      <c r="I115" s="507"/>
      <c r="J115" s="843" t="s">
        <v>1666</v>
      </c>
      <c r="K115" s="498"/>
      <c r="L115" s="498"/>
      <c r="M115" s="498"/>
      <c r="N115" s="498"/>
      <c r="O115" s="498"/>
      <c r="P115" s="498"/>
      <c r="Q115" s="499"/>
      <c r="R115" s="844" t="s">
        <v>2</v>
      </c>
      <c r="S115" s="501"/>
      <c r="T115" s="501"/>
      <c r="U115" s="501"/>
      <c r="V115" s="502"/>
      <c r="W115" s="222"/>
      <c r="X115" s="507"/>
      <c r="Y115" s="843" t="s">
        <v>1666</v>
      </c>
      <c r="Z115" s="498"/>
      <c r="AA115" s="498"/>
      <c r="AB115" s="498"/>
      <c r="AC115" s="498"/>
      <c r="AD115" s="498"/>
      <c r="AE115" s="498"/>
      <c r="AF115" s="525"/>
      <c r="AG115" s="844" t="s">
        <v>2</v>
      </c>
      <c r="AH115" s="501"/>
      <c r="AI115" s="501"/>
      <c r="AJ115" s="501"/>
      <c r="AK115" s="502"/>
      <c r="AL115" s="222"/>
      <c r="AM115" s="507"/>
      <c r="AN115" s="843" t="s">
        <v>1666</v>
      </c>
      <c r="AO115" s="498"/>
      <c r="AP115" s="498"/>
      <c r="AQ115" s="498"/>
      <c r="AR115" s="498"/>
      <c r="AS115" s="498"/>
      <c r="AT115" s="498"/>
      <c r="AU115" s="499"/>
      <c r="AV115" s="844" t="s">
        <v>2</v>
      </c>
      <c r="AW115" s="501"/>
      <c r="AX115" s="501"/>
      <c r="AY115" s="501"/>
      <c r="AZ115" s="502"/>
      <c r="BA115" s="526"/>
      <c r="BB115" s="527" t="s">
        <v>2539</v>
      </c>
      <c r="BC115" s="528"/>
      <c r="BD115" s="527" t="s">
        <v>2540</v>
      </c>
      <c r="BE115" s="528"/>
      <c r="BF115" s="527" t="s">
        <v>2541</v>
      </c>
      <c r="BG115" s="529"/>
    </row>
    <row r="116" spans="1:59" s="98" customFormat="1" ht="15" customHeight="1">
      <c r="A116" s="99"/>
      <c r="B116" s="505"/>
      <c r="C116" s="506"/>
      <c r="D116" s="506"/>
      <c r="E116" s="506"/>
      <c r="F116" s="506"/>
      <c r="G116" s="507"/>
      <c r="H116" s="507"/>
      <c r="I116" s="265" t="s">
        <v>1667</v>
      </c>
      <c r="J116" s="518" t="s">
        <v>453</v>
      </c>
      <c r="K116" s="515" t="s">
        <v>455</v>
      </c>
      <c r="L116" s="515" t="s">
        <v>457</v>
      </c>
      <c r="M116" s="515" t="s">
        <v>459</v>
      </c>
      <c r="N116" s="515" t="s">
        <v>461</v>
      </c>
      <c r="O116" s="515" t="s">
        <v>463</v>
      </c>
      <c r="P116" s="515" t="s">
        <v>465</v>
      </c>
      <c r="Q116" s="516" t="s">
        <v>467</v>
      </c>
      <c r="R116" s="508" t="s">
        <v>469</v>
      </c>
      <c r="S116" s="509" t="s">
        <v>471</v>
      </c>
      <c r="T116" s="509" t="s">
        <v>473</v>
      </c>
      <c r="U116" s="509" t="s">
        <v>475</v>
      </c>
      <c r="V116" s="510" t="s">
        <v>477</v>
      </c>
      <c r="W116" s="185"/>
      <c r="X116" s="265" t="s">
        <v>1667</v>
      </c>
      <c r="Y116" s="518" t="s">
        <v>453</v>
      </c>
      <c r="Z116" s="515" t="s">
        <v>455</v>
      </c>
      <c r="AA116" s="515" t="s">
        <v>457</v>
      </c>
      <c r="AB116" s="515" t="s">
        <v>459</v>
      </c>
      <c r="AC116" s="515" t="s">
        <v>461</v>
      </c>
      <c r="AD116" s="515" t="s">
        <v>463</v>
      </c>
      <c r="AE116" s="515" t="s">
        <v>465</v>
      </c>
      <c r="AF116" s="265" t="s">
        <v>467</v>
      </c>
      <c r="AG116" s="508" t="s">
        <v>469</v>
      </c>
      <c r="AH116" s="509" t="s">
        <v>471</v>
      </c>
      <c r="AI116" s="509" t="s">
        <v>473</v>
      </c>
      <c r="AJ116" s="509" t="s">
        <v>475</v>
      </c>
      <c r="AK116" s="510" t="s">
        <v>477</v>
      </c>
      <c r="AL116" s="185"/>
      <c r="AM116" s="265" t="s">
        <v>1667</v>
      </c>
      <c r="AN116" s="518" t="s">
        <v>453</v>
      </c>
      <c r="AO116" s="515" t="s">
        <v>455</v>
      </c>
      <c r="AP116" s="515" t="s">
        <v>457</v>
      </c>
      <c r="AQ116" s="515" t="s">
        <v>459</v>
      </c>
      <c r="AR116" s="515" t="s">
        <v>461</v>
      </c>
      <c r="AS116" s="515" t="s">
        <v>463</v>
      </c>
      <c r="AT116" s="515" t="s">
        <v>465</v>
      </c>
      <c r="AU116" s="516" t="s">
        <v>467</v>
      </c>
      <c r="AV116" s="508" t="s">
        <v>469</v>
      </c>
      <c r="AW116" s="509" t="s">
        <v>471</v>
      </c>
      <c r="AX116" s="509" t="s">
        <v>473</v>
      </c>
      <c r="AY116" s="509" t="s">
        <v>475</v>
      </c>
      <c r="AZ116" s="510" t="s">
        <v>477</v>
      </c>
      <c r="BA116" s="530"/>
      <c r="BB116" s="531" t="s">
        <v>1667</v>
      </c>
      <c r="BC116" s="531" t="s">
        <v>2142</v>
      </c>
      <c r="BD116" s="531" t="s">
        <v>1667</v>
      </c>
      <c r="BE116" s="531" t="s">
        <v>2142</v>
      </c>
      <c r="BF116" s="531" t="s">
        <v>1667</v>
      </c>
      <c r="BG116" s="532" t="s">
        <v>2142</v>
      </c>
    </row>
    <row r="117" spans="1:59" s="98" customFormat="1" ht="15" customHeight="1">
      <c r="A117" s="99"/>
      <c r="B117" s="181"/>
      <c r="C117" s="183"/>
      <c r="D117" s="183"/>
      <c r="E117" s="183"/>
      <c r="F117" s="183"/>
      <c r="G117" s="507"/>
      <c r="H117" s="507"/>
      <c r="I117" s="507"/>
      <c r="J117" s="519"/>
      <c r="K117" s="507"/>
      <c r="L117" s="507"/>
      <c r="M117" s="507"/>
      <c r="N117" s="507"/>
      <c r="O117" s="507"/>
      <c r="P117" s="507"/>
      <c r="Q117" s="520"/>
      <c r="R117" s="519"/>
      <c r="S117" s="507"/>
      <c r="T117" s="507"/>
      <c r="U117" s="507"/>
      <c r="V117" s="520"/>
      <c r="W117" s="185"/>
      <c r="X117" s="507"/>
      <c r="Y117" s="519"/>
      <c r="Z117" s="507"/>
      <c r="AA117" s="507"/>
      <c r="AB117" s="507"/>
      <c r="AC117" s="507"/>
      <c r="AD117" s="507"/>
      <c r="AE117" s="507"/>
      <c r="AF117" s="507"/>
      <c r="AG117" s="519"/>
      <c r="AH117" s="507"/>
      <c r="AI117" s="507"/>
      <c r="AJ117" s="507"/>
      <c r="AK117" s="520"/>
      <c r="AL117" s="185"/>
      <c r="AM117" s="507"/>
      <c r="AN117" s="519"/>
      <c r="AO117" s="507"/>
      <c r="AP117" s="507"/>
      <c r="AQ117" s="507"/>
      <c r="AR117" s="507"/>
      <c r="AS117" s="507"/>
      <c r="AT117" s="507"/>
      <c r="AU117" s="520"/>
      <c r="AV117" s="519"/>
      <c r="AW117" s="507"/>
      <c r="AX117" s="507"/>
      <c r="AY117" s="507"/>
      <c r="AZ117" s="520"/>
      <c r="BA117" s="185"/>
      <c r="BB117" s="185"/>
      <c r="BC117" s="185"/>
      <c r="BD117" s="185"/>
      <c r="BE117" s="185"/>
      <c r="BF117" s="185"/>
      <c r="BG117" s="215"/>
    </row>
    <row r="118" spans="1:59" s="98" customFormat="1" ht="15" customHeight="1">
      <c r="A118" s="99"/>
      <c r="B118" s="161"/>
      <c r="C118" s="506" t="s">
        <v>1843</v>
      </c>
      <c r="D118" s="506"/>
      <c r="E118" s="506"/>
      <c r="F118" s="506"/>
      <c r="G118" s="521"/>
      <c r="H118" s="521"/>
      <c r="I118" s="164" t="s">
        <v>498</v>
      </c>
      <c r="J118" s="143">
        <v>1.570681056726293</v>
      </c>
      <c r="K118" s="141">
        <v>2.6623593350649339</v>
      </c>
      <c r="L118" s="141">
        <v>4.0665596548988558</v>
      </c>
      <c r="M118" s="141">
        <v>4.3317969189504755</v>
      </c>
      <c r="N118" s="141">
        <v>3.4637954088751139</v>
      </c>
      <c r="O118" s="141">
        <v>3.9515693434347545</v>
      </c>
      <c r="P118" s="141">
        <v>2.8145811992112462</v>
      </c>
      <c r="Q118" s="144">
        <v>2.1437726800658994</v>
      </c>
      <c r="R118" s="143">
        <v>2.043065746872283</v>
      </c>
      <c r="S118" s="141">
        <v>2.043065746872283</v>
      </c>
      <c r="T118" s="141">
        <v>2.043065746872283</v>
      </c>
      <c r="U118" s="141">
        <v>2.043065746872283</v>
      </c>
      <c r="V118" s="144">
        <v>2.043065746872283</v>
      </c>
      <c r="W118" s="185"/>
      <c r="X118" s="164" t="s">
        <v>498</v>
      </c>
      <c r="Y118" s="143">
        <v>-1.1150923109485044E-2</v>
      </c>
      <c r="Z118" s="141">
        <v>-2.6491137662337655E-2</v>
      </c>
      <c r="AA118" s="141">
        <v>-5.379929373850699E-2</v>
      </c>
      <c r="AB118" s="141">
        <v>-0.14860207652698942</v>
      </c>
      <c r="AC118" s="141">
        <v>-6.417028018900868E-2</v>
      </c>
      <c r="AD118" s="141">
        <v>-5.4543899999999999E-3</v>
      </c>
      <c r="AE118" s="141">
        <v>-5.6291623984224923E-2</v>
      </c>
      <c r="AF118" s="142">
        <v>-4.2875453601317989E-2</v>
      </c>
      <c r="AG118" s="143">
        <v>-4.5248345871579054E-2</v>
      </c>
      <c r="AH118" s="141">
        <v>-4.5248345871579054E-2</v>
      </c>
      <c r="AI118" s="141">
        <v>-4.5248345871579054E-2</v>
      </c>
      <c r="AJ118" s="141">
        <v>-4.5248345871579054E-2</v>
      </c>
      <c r="AK118" s="144">
        <v>-4.5248345871579054E-2</v>
      </c>
      <c r="AL118" s="185"/>
      <c r="AM118" s="164" t="s">
        <v>1876</v>
      </c>
      <c r="AN118" s="165">
        <v>1164</v>
      </c>
      <c r="AO118" s="166">
        <v>1707</v>
      </c>
      <c r="AP118" s="166">
        <v>2458</v>
      </c>
      <c r="AQ118" s="166">
        <v>2638</v>
      </c>
      <c r="AR118" s="166">
        <v>2099</v>
      </c>
      <c r="AS118" s="166">
        <v>2763</v>
      </c>
      <c r="AT118" s="166">
        <v>1800</v>
      </c>
      <c r="AU118" s="167">
        <v>1371</v>
      </c>
      <c r="AV118" s="165">
        <v>1000</v>
      </c>
      <c r="AW118" s="166">
        <v>1000</v>
      </c>
      <c r="AX118" s="166">
        <v>1000</v>
      </c>
      <c r="AY118" s="166">
        <v>1000</v>
      </c>
      <c r="AZ118" s="167">
        <v>1000</v>
      </c>
      <c r="BA118" s="185"/>
      <c r="BB118" s="522" t="s">
        <v>1876</v>
      </c>
      <c r="BC118" s="166">
        <v>1000</v>
      </c>
      <c r="BD118" s="522" t="s">
        <v>1876</v>
      </c>
      <c r="BE118" s="166">
        <v>4000</v>
      </c>
      <c r="BF118" s="522" t="s">
        <v>1876</v>
      </c>
      <c r="BG118" s="167">
        <v>0</v>
      </c>
    </row>
    <row r="119" spans="1:59" s="98" customFormat="1" ht="15" customHeight="1">
      <c r="A119" s="99"/>
      <c r="B119" s="161"/>
      <c r="C119" s="506" t="s">
        <v>2523</v>
      </c>
      <c r="D119" s="506"/>
      <c r="E119" s="506"/>
      <c r="F119" s="506"/>
      <c r="G119" s="507"/>
      <c r="H119" s="507"/>
      <c r="I119" s="507"/>
      <c r="J119" s="845"/>
      <c r="K119" s="846"/>
      <c r="L119" s="846"/>
      <c r="M119" s="846"/>
      <c r="N119" s="846"/>
      <c r="O119" s="846"/>
      <c r="P119" s="846"/>
      <c r="Q119" s="847"/>
      <c r="R119" s="845"/>
      <c r="S119" s="846"/>
      <c r="T119" s="846"/>
      <c r="U119" s="846"/>
      <c r="V119" s="847"/>
      <c r="W119" s="185"/>
      <c r="X119" s="507"/>
      <c r="Y119" s="845"/>
      <c r="Z119" s="846"/>
      <c r="AA119" s="846"/>
      <c r="AB119" s="846"/>
      <c r="AC119" s="846"/>
      <c r="AD119" s="846"/>
      <c r="AE119" s="846"/>
      <c r="AF119" s="846"/>
      <c r="AG119" s="845"/>
      <c r="AH119" s="846"/>
      <c r="AI119" s="846"/>
      <c r="AJ119" s="846"/>
      <c r="AK119" s="847"/>
      <c r="AL119" s="185"/>
      <c r="AM119" s="507"/>
      <c r="AN119" s="519"/>
      <c r="AO119" s="507"/>
      <c r="AP119" s="507"/>
      <c r="AQ119" s="507"/>
      <c r="AR119" s="507"/>
      <c r="AS119" s="507"/>
      <c r="AT119" s="507"/>
      <c r="AU119" s="520"/>
      <c r="AV119" s="519"/>
      <c r="AW119" s="507"/>
      <c r="AX119" s="507"/>
      <c r="AY119" s="507"/>
      <c r="AZ119" s="520"/>
      <c r="BA119" s="185"/>
      <c r="BB119" s="185"/>
      <c r="BC119" s="185"/>
      <c r="BD119" s="185"/>
      <c r="BE119" s="185"/>
      <c r="BF119" s="185"/>
      <c r="BG119" s="215"/>
    </row>
    <row r="120" spans="1:59" s="98" customFormat="1" ht="15" customHeight="1">
      <c r="A120" s="99"/>
      <c r="B120" s="161"/>
      <c r="C120" s="182"/>
      <c r="D120" s="182" t="s">
        <v>2511</v>
      </c>
      <c r="E120" s="182"/>
      <c r="F120" s="182"/>
      <c r="G120" s="521"/>
      <c r="H120" s="521"/>
      <c r="I120" s="164" t="s">
        <v>498</v>
      </c>
      <c r="J120" s="143">
        <v>0.59749660913920688</v>
      </c>
      <c r="K120" s="141">
        <v>0.73292147532467511</v>
      </c>
      <c r="L120" s="141">
        <v>1.4357554770326861</v>
      </c>
      <c r="M120" s="141">
        <v>0.57522497438111331</v>
      </c>
      <c r="N120" s="141">
        <v>1.1648114103544456</v>
      </c>
      <c r="O120" s="141">
        <v>1.1888131528445864</v>
      </c>
      <c r="P120" s="141">
        <v>0.79964870946735467</v>
      </c>
      <c r="Q120" s="144">
        <v>0.60906576704430171</v>
      </c>
      <c r="R120" s="143">
        <v>0.50896689644391657</v>
      </c>
      <c r="S120" s="141">
        <v>0.52427196038009116</v>
      </c>
      <c r="T120" s="141">
        <v>0.53957702431626575</v>
      </c>
      <c r="U120" s="141">
        <v>0.55488208825244056</v>
      </c>
      <c r="V120" s="144">
        <v>0.57018715218861515</v>
      </c>
      <c r="W120" s="185"/>
      <c r="X120" s="164" t="s">
        <v>498</v>
      </c>
      <c r="Y120" s="143">
        <v>-3.5551899817663941E-2</v>
      </c>
      <c r="Z120" s="141">
        <v>-0.10706834805194802</v>
      </c>
      <c r="AA120" s="141">
        <v>-1.0877858731954257E-2</v>
      </c>
      <c r="AB120" s="141">
        <v>-1.651219119203598E-2</v>
      </c>
      <c r="AC120" s="141">
        <v>-1.5801953331441791E-2</v>
      </c>
      <c r="AD120" s="141">
        <v>-8.0460699999999996E-2</v>
      </c>
      <c r="AE120" s="141">
        <v>-1.599297418934709E-2</v>
      </c>
      <c r="AF120" s="142">
        <v>-1.2181315340886035E-2</v>
      </c>
      <c r="AG120" s="143">
        <v>-1.1207604136189139E-2</v>
      </c>
      <c r="AH120" s="141">
        <v>-1.1544626247202983E-2</v>
      </c>
      <c r="AI120" s="141">
        <v>-1.1881648358216867E-2</v>
      </c>
      <c r="AJ120" s="141">
        <v>-1.2218670469230766E-2</v>
      </c>
      <c r="AK120" s="144">
        <v>-1.255569258024461E-2</v>
      </c>
      <c r="AL120" s="185"/>
      <c r="AM120" s="164" t="s">
        <v>2233</v>
      </c>
      <c r="AN120" s="143">
        <v>2.1230000000000002</v>
      </c>
      <c r="AO120" s="141">
        <v>4.6639999999999997</v>
      </c>
      <c r="AP120" s="141">
        <v>8.9022000000000006</v>
      </c>
      <c r="AQ120" s="141">
        <v>7.3049999999999997</v>
      </c>
      <c r="AR120" s="141">
        <v>7.6605000000000008</v>
      </c>
      <c r="AS120" s="141">
        <v>10.298</v>
      </c>
      <c r="AT120" s="141">
        <v>5.7459552576194559</v>
      </c>
      <c r="AU120" s="144">
        <v>4.3765025878868187</v>
      </c>
      <c r="AV120" s="143">
        <v>3.9806000000000004</v>
      </c>
      <c r="AW120" s="141">
        <v>4.1002999999999998</v>
      </c>
      <c r="AX120" s="141">
        <v>4.22</v>
      </c>
      <c r="AY120" s="141">
        <v>4.3397000000000006</v>
      </c>
      <c r="AZ120" s="144">
        <v>4.4594000000000005</v>
      </c>
      <c r="BA120" s="185"/>
      <c r="BB120" s="522" t="s">
        <v>2233</v>
      </c>
      <c r="BC120" s="141">
        <v>4.22</v>
      </c>
      <c r="BD120" s="861" t="s">
        <v>2233</v>
      </c>
      <c r="BE120" s="141">
        <v>16.88</v>
      </c>
      <c r="BF120" s="861" t="s">
        <v>2233</v>
      </c>
      <c r="BG120" s="144">
        <v>0</v>
      </c>
    </row>
    <row r="121" spans="1:59" s="98" customFormat="1" ht="15" customHeight="1">
      <c r="A121" s="99"/>
      <c r="B121" s="161"/>
      <c r="C121" s="182"/>
      <c r="D121" s="182" t="s">
        <v>2512</v>
      </c>
      <c r="E121" s="182"/>
      <c r="F121" s="182"/>
      <c r="G121" s="521"/>
      <c r="H121" s="521"/>
      <c r="I121" s="164" t="s">
        <v>498</v>
      </c>
      <c r="J121" s="143">
        <v>0</v>
      </c>
      <c r="K121" s="141">
        <v>0</v>
      </c>
      <c r="L121" s="141">
        <v>0</v>
      </c>
      <c r="M121" s="141">
        <v>0</v>
      </c>
      <c r="N121" s="141">
        <v>0</v>
      </c>
      <c r="O121" s="141">
        <v>0</v>
      </c>
      <c r="P121" s="141">
        <v>0</v>
      </c>
      <c r="Q121" s="144">
        <v>0</v>
      </c>
      <c r="R121" s="143">
        <v>0</v>
      </c>
      <c r="S121" s="141">
        <v>0</v>
      </c>
      <c r="T121" s="141">
        <v>0</v>
      </c>
      <c r="U121" s="141">
        <v>0</v>
      </c>
      <c r="V121" s="144">
        <v>0</v>
      </c>
      <c r="W121" s="185"/>
      <c r="X121" s="164" t="s">
        <v>498</v>
      </c>
      <c r="Y121" s="143">
        <v>0</v>
      </c>
      <c r="Z121" s="141">
        <v>0</v>
      </c>
      <c r="AA121" s="141">
        <v>0</v>
      </c>
      <c r="AB121" s="141">
        <v>0</v>
      </c>
      <c r="AC121" s="141">
        <v>0</v>
      </c>
      <c r="AD121" s="141">
        <v>0</v>
      </c>
      <c r="AE121" s="141">
        <v>0</v>
      </c>
      <c r="AF121" s="142">
        <v>0</v>
      </c>
      <c r="AG121" s="143">
        <v>0</v>
      </c>
      <c r="AH121" s="141">
        <v>0</v>
      </c>
      <c r="AI121" s="141">
        <v>0</v>
      </c>
      <c r="AJ121" s="141">
        <v>0</v>
      </c>
      <c r="AK121" s="144">
        <v>0</v>
      </c>
      <c r="AL121" s="185"/>
      <c r="AM121" s="164" t="s">
        <v>2233</v>
      </c>
      <c r="AN121" s="143">
        <v>0</v>
      </c>
      <c r="AO121" s="141">
        <v>0</v>
      </c>
      <c r="AP121" s="141">
        <v>0</v>
      </c>
      <c r="AQ121" s="141">
        <v>0</v>
      </c>
      <c r="AR121" s="141">
        <v>0</v>
      </c>
      <c r="AS121" s="141">
        <v>0</v>
      </c>
      <c r="AT121" s="141">
        <v>0</v>
      </c>
      <c r="AU121" s="144">
        <v>0</v>
      </c>
      <c r="AV121" s="143">
        <v>0</v>
      </c>
      <c r="AW121" s="141">
        <v>0</v>
      </c>
      <c r="AX121" s="141">
        <v>0</v>
      </c>
      <c r="AY121" s="141">
        <v>0</v>
      </c>
      <c r="AZ121" s="144">
        <v>0</v>
      </c>
      <c r="BA121" s="185"/>
      <c r="BB121" s="522" t="s">
        <v>2233</v>
      </c>
      <c r="BC121" s="141">
        <v>0</v>
      </c>
      <c r="BD121" s="861" t="s">
        <v>2233</v>
      </c>
      <c r="BE121" s="141">
        <v>0</v>
      </c>
      <c r="BF121" s="861" t="s">
        <v>2233</v>
      </c>
      <c r="BG121" s="144">
        <v>0</v>
      </c>
    </row>
    <row r="122" spans="1:59" s="98" customFormat="1" ht="15" customHeight="1">
      <c r="A122" s="99"/>
      <c r="B122" s="181"/>
      <c r="C122" s="182" t="s">
        <v>1710</v>
      </c>
      <c r="D122" s="183"/>
      <c r="E122" s="183"/>
      <c r="F122" s="183"/>
      <c r="G122" s="185"/>
      <c r="H122" s="185"/>
      <c r="I122" s="164" t="s">
        <v>498</v>
      </c>
      <c r="J122" s="128">
        <f>SUM(J120:J121)</f>
        <v>0.59749660913920688</v>
      </c>
      <c r="K122" s="129">
        <f t="shared" ref="K122:V122" si="48">SUM(K120:K121)</f>
        <v>0.73292147532467511</v>
      </c>
      <c r="L122" s="129">
        <f t="shared" si="48"/>
        <v>1.4357554770326861</v>
      </c>
      <c r="M122" s="129">
        <f t="shared" si="48"/>
        <v>0.57522497438111331</v>
      </c>
      <c r="N122" s="129">
        <f t="shared" si="48"/>
        <v>1.1648114103544456</v>
      </c>
      <c r="O122" s="129">
        <f t="shared" si="48"/>
        <v>1.1888131528445864</v>
      </c>
      <c r="P122" s="129">
        <f t="shared" si="48"/>
        <v>0.79964870946735467</v>
      </c>
      <c r="Q122" s="130">
        <f t="shared" si="48"/>
        <v>0.60906576704430171</v>
      </c>
      <c r="R122" s="128">
        <f t="shared" si="48"/>
        <v>0.50896689644391657</v>
      </c>
      <c r="S122" s="129">
        <f t="shared" si="48"/>
        <v>0.52427196038009116</v>
      </c>
      <c r="T122" s="129">
        <f t="shared" si="48"/>
        <v>0.53957702431626575</v>
      </c>
      <c r="U122" s="129">
        <f t="shared" si="48"/>
        <v>0.55488208825244056</v>
      </c>
      <c r="V122" s="130">
        <f t="shared" si="48"/>
        <v>0.57018715218861515</v>
      </c>
      <c r="W122" s="185"/>
      <c r="X122" s="164" t="s">
        <v>498</v>
      </c>
      <c r="Y122" s="128">
        <f>SUM(Y120:Y121)</f>
        <v>-3.5551899817663941E-2</v>
      </c>
      <c r="Z122" s="129">
        <f t="shared" ref="Z122:AK122" si="49">SUM(Z120:Z121)</f>
        <v>-0.10706834805194802</v>
      </c>
      <c r="AA122" s="129">
        <f t="shared" si="49"/>
        <v>-1.0877858731954257E-2</v>
      </c>
      <c r="AB122" s="129">
        <f t="shared" si="49"/>
        <v>-1.651219119203598E-2</v>
      </c>
      <c r="AC122" s="129">
        <f t="shared" si="49"/>
        <v>-1.5801953331441791E-2</v>
      </c>
      <c r="AD122" s="129">
        <f t="shared" si="49"/>
        <v>-8.0460699999999996E-2</v>
      </c>
      <c r="AE122" s="129">
        <f t="shared" si="49"/>
        <v>-1.599297418934709E-2</v>
      </c>
      <c r="AF122" s="795">
        <f t="shared" si="49"/>
        <v>-1.2181315340886035E-2</v>
      </c>
      <c r="AG122" s="128">
        <f t="shared" si="49"/>
        <v>-1.1207604136189139E-2</v>
      </c>
      <c r="AH122" s="129">
        <f t="shared" si="49"/>
        <v>-1.1544626247202983E-2</v>
      </c>
      <c r="AI122" s="129">
        <f t="shared" si="49"/>
        <v>-1.1881648358216867E-2</v>
      </c>
      <c r="AJ122" s="129">
        <f t="shared" si="49"/>
        <v>-1.2218670469230766E-2</v>
      </c>
      <c r="AK122" s="130">
        <f t="shared" si="49"/>
        <v>-1.255569258024461E-2</v>
      </c>
      <c r="AL122" s="185"/>
      <c r="AM122" s="164" t="s">
        <v>2233</v>
      </c>
      <c r="AN122" s="128">
        <f>SUM(AN120:AN121)</f>
        <v>2.1230000000000002</v>
      </c>
      <c r="AO122" s="129">
        <f t="shared" ref="AO122:AZ122" si="50">SUM(AO120:AO121)</f>
        <v>4.6639999999999997</v>
      </c>
      <c r="AP122" s="129">
        <f t="shared" si="50"/>
        <v>8.9022000000000006</v>
      </c>
      <c r="AQ122" s="129">
        <f t="shared" si="50"/>
        <v>7.3049999999999997</v>
      </c>
      <c r="AR122" s="129">
        <f t="shared" si="50"/>
        <v>7.6605000000000008</v>
      </c>
      <c r="AS122" s="129">
        <f t="shared" si="50"/>
        <v>10.298</v>
      </c>
      <c r="AT122" s="129">
        <f t="shared" si="50"/>
        <v>5.7459552576194559</v>
      </c>
      <c r="AU122" s="130">
        <f t="shared" si="50"/>
        <v>4.3765025878868187</v>
      </c>
      <c r="AV122" s="128">
        <f t="shared" si="50"/>
        <v>3.9806000000000004</v>
      </c>
      <c r="AW122" s="129">
        <f t="shared" si="50"/>
        <v>4.1002999999999998</v>
      </c>
      <c r="AX122" s="129">
        <f t="shared" si="50"/>
        <v>4.22</v>
      </c>
      <c r="AY122" s="129">
        <f t="shared" si="50"/>
        <v>4.3397000000000006</v>
      </c>
      <c r="AZ122" s="130">
        <f t="shared" si="50"/>
        <v>4.4594000000000005</v>
      </c>
      <c r="BA122" s="185"/>
      <c r="BB122" s="522" t="s">
        <v>2233</v>
      </c>
      <c r="BC122" s="129"/>
      <c r="BD122" s="861" t="s">
        <v>2233</v>
      </c>
      <c r="BE122" s="129"/>
      <c r="BF122" s="861" t="s">
        <v>2233</v>
      </c>
      <c r="BG122" s="130"/>
    </row>
    <row r="123" spans="1:59" s="98" customFormat="1" ht="15" customHeight="1">
      <c r="A123" s="99"/>
      <c r="B123" s="161"/>
      <c r="C123" s="506" t="s">
        <v>1844</v>
      </c>
      <c r="D123" s="506"/>
      <c r="E123" s="506"/>
      <c r="F123" s="506"/>
      <c r="G123" s="507"/>
      <c r="H123" s="507"/>
      <c r="I123" s="507"/>
      <c r="J123" s="845"/>
      <c r="K123" s="846"/>
      <c r="L123" s="846"/>
      <c r="M123" s="846"/>
      <c r="N123" s="846"/>
      <c r="O123" s="846"/>
      <c r="P123" s="846"/>
      <c r="Q123" s="847"/>
      <c r="R123" s="845"/>
      <c r="S123" s="846"/>
      <c r="T123" s="846"/>
      <c r="U123" s="846"/>
      <c r="V123" s="847"/>
      <c r="W123" s="185"/>
      <c r="X123" s="507"/>
      <c r="Y123" s="845"/>
      <c r="Z123" s="846"/>
      <c r="AA123" s="846"/>
      <c r="AB123" s="846"/>
      <c r="AC123" s="846"/>
      <c r="AD123" s="846"/>
      <c r="AE123" s="846"/>
      <c r="AF123" s="846"/>
      <c r="AG123" s="845"/>
      <c r="AH123" s="846"/>
      <c r="AI123" s="846"/>
      <c r="AJ123" s="846"/>
      <c r="AK123" s="847"/>
      <c r="AL123" s="185"/>
      <c r="AM123" s="507"/>
      <c r="AN123" s="519"/>
      <c r="AO123" s="507"/>
      <c r="AP123" s="507"/>
      <c r="AQ123" s="507"/>
      <c r="AR123" s="507"/>
      <c r="AS123" s="507"/>
      <c r="AT123" s="507"/>
      <c r="AU123" s="520"/>
      <c r="AV123" s="519"/>
      <c r="AW123" s="507"/>
      <c r="AX123" s="507"/>
      <c r="AY123" s="507"/>
      <c r="AZ123" s="520"/>
      <c r="BA123" s="185"/>
      <c r="BB123" s="185"/>
      <c r="BC123" s="185"/>
      <c r="BD123" s="185"/>
      <c r="BE123" s="185"/>
      <c r="BF123" s="185"/>
      <c r="BG123" s="215"/>
    </row>
    <row r="124" spans="1:59" s="98" customFormat="1" ht="15" customHeight="1">
      <c r="A124" s="99"/>
      <c r="B124" s="161"/>
      <c r="C124" s="182"/>
      <c r="D124" s="182" t="s">
        <v>2524</v>
      </c>
      <c r="E124" s="182"/>
      <c r="F124" s="182"/>
      <c r="G124" s="521"/>
      <c r="H124" s="521"/>
      <c r="I124" s="164" t="s">
        <v>498</v>
      </c>
      <c r="J124" s="143">
        <v>1.9792721392904379E-3</v>
      </c>
      <c r="K124" s="141">
        <v>1.1037974025974021E-3</v>
      </c>
      <c r="L124" s="141">
        <v>1.2759234249004237E-4</v>
      </c>
      <c r="M124" s="141">
        <v>7.2786160691643486E-3</v>
      </c>
      <c r="N124" s="141">
        <v>5.2988081234449336E-4</v>
      </c>
      <c r="O124" s="141">
        <v>0</v>
      </c>
      <c r="P124" s="141">
        <v>0</v>
      </c>
      <c r="Q124" s="144">
        <v>0</v>
      </c>
      <c r="R124" s="143">
        <v>3.352761847917884E-3</v>
      </c>
      <c r="S124" s="141">
        <v>3.352761847917884E-3</v>
      </c>
      <c r="T124" s="141">
        <v>3.352761847917884E-3</v>
      </c>
      <c r="U124" s="141">
        <v>3.352761847917884E-3</v>
      </c>
      <c r="V124" s="144">
        <v>3.352761847917884E-3</v>
      </c>
      <c r="W124" s="185"/>
      <c r="X124" s="164" t="s">
        <v>498</v>
      </c>
      <c r="Y124" s="143">
        <v>8.2378475084315499E-3</v>
      </c>
      <c r="Z124" s="141">
        <v>0</v>
      </c>
      <c r="AA124" s="141">
        <v>-7.2815980139791835E-3</v>
      </c>
      <c r="AB124" s="141">
        <v>0</v>
      </c>
      <c r="AC124" s="141">
        <v>-1.5374963197869831E-3</v>
      </c>
      <c r="AD124" s="141">
        <v>0</v>
      </c>
      <c r="AE124" s="141">
        <v>0</v>
      </c>
      <c r="AF124" s="142">
        <v>0</v>
      </c>
      <c r="AG124" s="143">
        <v>-1.4463662186847814E-3</v>
      </c>
      <c r="AH124" s="141">
        <v>-1.4463662186847814E-3</v>
      </c>
      <c r="AI124" s="141">
        <v>-1.4463662186847814E-3</v>
      </c>
      <c r="AJ124" s="141">
        <v>-1.4463662186847814E-3</v>
      </c>
      <c r="AK124" s="144">
        <v>-1.4463662186847814E-3</v>
      </c>
      <c r="AL124" s="185"/>
      <c r="AM124" s="164" t="s">
        <v>1876</v>
      </c>
      <c r="AN124" s="165">
        <v>2</v>
      </c>
      <c r="AO124" s="166">
        <v>6</v>
      </c>
      <c r="AP124" s="166">
        <v>1</v>
      </c>
      <c r="AQ124" s="166">
        <v>4</v>
      </c>
      <c r="AR124" s="166">
        <v>1</v>
      </c>
      <c r="AS124" s="166">
        <v>1</v>
      </c>
      <c r="AT124" s="166">
        <v>0</v>
      </c>
      <c r="AU124" s="167">
        <v>0</v>
      </c>
      <c r="AV124" s="165">
        <v>2</v>
      </c>
      <c r="AW124" s="166">
        <v>2</v>
      </c>
      <c r="AX124" s="166">
        <v>2</v>
      </c>
      <c r="AY124" s="166">
        <v>2</v>
      </c>
      <c r="AZ124" s="167">
        <v>2</v>
      </c>
      <c r="BA124" s="185"/>
      <c r="BB124" s="522" t="s">
        <v>1876</v>
      </c>
      <c r="BC124" s="166">
        <v>0</v>
      </c>
      <c r="BD124" s="522" t="s">
        <v>1876</v>
      </c>
      <c r="BE124" s="166">
        <v>10</v>
      </c>
      <c r="BF124" s="522" t="s">
        <v>1876</v>
      </c>
      <c r="BG124" s="167">
        <v>0</v>
      </c>
    </row>
    <row r="125" spans="1:59" s="98" customFormat="1" ht="15" customHeight="1">
      <c r="A125" s="99"/>
      <c r="B125" s="161"/>
      <c r="C125" s="182"/>
      <c r="D125" s="182" t="s">
        <v>1843</v>
      </c>
      <c r="E125" s="182"/>
      <c r="F125" s="182"/>
      <c r="G125" s="521"/>
      <c r="H125" s="521"/>
      <c r="I125" s="164" t="s">
        <v>498</v>
      </c>
      <c r="J125" s="143">
        <v>0</v>
      </c>
      <c r="K125" s="141">
        <v>0</v>
      </c>
      <c r="L125" s="141">
        <v>0</v>
      </c>
      <c r="M125" s="141">
        <v>0</v>
      </c>
      <c r="N125" s="141">
        <v>0</v>
      </c>
      <c r="O125" s="141">
        <v>0</v>
      </c>
      <c r="P125" s="141">
        <v>0</v>
      </c>
      <c r="Q125" s="144">
        <v>0</v>
      </c>
      <c r="R125" s="143">
        <v>0</v>
      </c>
      <c r="S125" s="141">
        <v>0</v>
      </c>
      <c r="T125" s="141">
        <v>0</v>
      </c>
      <c r="U125" s="141">
        <v>0</v>
      </c>
      <c r="V125" s="144">
        <v>0</v>
      </c>
      <c r="W125" s="185"/>
      <c r="X125" s="164" t="s">
        <v>498</v>
      </c>
      <c r="Y125" s="143">
        <v>0</v>
      </c>
      <c r="Z125" s="141">
        <v>0</v>
      </c>
      <c r="AA125" s="141">
        <v>0</v>
      </c>
      <c r="AB125" s="141">
        <v>0</v>
      </c>
      <c r="AC125" s="141">
        <v>0</v>
      </c>
      <c r="AD125" s="141">
        <v>0</v>
      </c>
      <c r="AE125" s="141">
        <v>0</v>
      </c>
      <c r="AF125" s="142">
        <v>0</v>
      </c>
      <c r="AG125" s="143">
        <v>0</v>
      </c>
      <c r="AH125" s="141">
        <v>0</v>
      </c>
      <c r="AI125" s="141">
        <v>0</v>
      </c>
      <c r="AJ125" s="141">
        <v>0</v>
      </c>
      <c r="AK125" s="144">
        <v>0</v>
      </c>
      <c r="AL125" s="185"/>
      <c r="AM125" s="164" t="s">
        <v>1876</v>
      </c>
      <c r="AN125" s="165">
        <v>0</v>
      </c>
      <c r="AO125" s="166">
        <v>0</v>
      </c>
      <c r="AP125" s="166">
        <v>0</v>
      </c>
      <c r="AQ125" s="166">
        <v>0</v>
      </c>
      <c r="AR125" s="166">
        <v>0</v>
      </c>
      <c r="AS125" s="166">
        <v>0</v>
      </c>
      <c r="AT125" s="166">
        <v>0</v>
      </c>
      <c r="AU125" s="167">
        <v>0</v>
      </c>
      <c r="AV125" s="165">
        <v>0</v>
      </c>
      <c r="AW125" s="166">
        <v>0</v>
      </c>
      <c r="AX125" s="166">
        <v>0</v>
      </c>
      <c r="AY125" s="166">
        <v>0</v>
      </c>
      <c r="AZ125" s="167">
        <v>0</v>
      </c>
      <c r="BA125" s="185"/>
      <c r="BB125" s="522" t="s">
        <v>1876</v>
      </c>
      <c r="BC125" s="166">
        <v>0</v>
      </c>
      <c r="BD125" s="522" t="s">
        <v>1876</v>
      </c>
      <c r="BE125" s="166">
        <v>0</v>
      </c>
      <c r="BF125" s="522" t="s">
        <v>1876</v>
      </c>
      <c r="BG125" s="167">
        <v>0</v>
      </c>
    </row>
    <row r="126" spans="1:59" s="98" customFormat="1" ht="15" customHeight="1">
      <c r="A126" s="99"/>
      <c r="B126" s="161"/>
      <c r="C126" s="182"/>
      <c r="D126" s="182" t="s">
        <v>2525</v>
      </c>
      <c r="E126" s="182"/>
      <c r="F126" s="182"/>
      <c r="G126" s="521"/>
      <c r="H126" s="521"/>
      <c r="I126" s="521"/>
      <c r="J126" s="848"/>
      <c r="K126" s="849"/>
      <c r="L126" s="849"/>
      <c r="M126" s="849"/>
      <c r="N126" s="849"/>
      <c r="O126" s="849"/>
      <c r="P126" s="849"/>
      <c r="Q126" s="850"/>
      <c r="R126" s="848"/>
      <c r="S126" s="849"/>
      <c r="T126" s="849"/>
      <c r="U126" s="849"/>
      <c r="V126" s="850"/>
      <c r="W126" s="521"/>
      <c r="X126" s="521"/>
      <c r="Y126" s="848"/>
      <c r="Z126" s="849"/>
      <c r="AA126" s="849"/>
      <c r="AB126" s="849"/>
      <c r="AC126" s="849"/>
      <c r="AD126" s="849"/>
      <c r="AE126" s="849"/>
      <c r="AF126" s="849"/>
      <c r="AG126" s="848"/>
      <c r="AH126" s="849"/>
      <c r="AI126" s="849"/>
      <c r="AJ126" s="849"/>
      <c r="AK126" s="850"/>
      <c r="AL126" s="185"/>
      <c r="AM126" s="164" t="s">
        <v>1876</v>
      </c>
      <c r="AN126" s="165">
        <v>0</v>
      </c>
      <c r="AO126" s="166">
        <v>0</v>
      </c>
      <c r="AP126" s="166">
        <v>0</v>
      </c>
      <c r="AQ126" s="166">
        <v>0</v>
      </c>
      <c r="AR126" s="166">
        <v>0</v>
      </c>
      <c r="AS126" s="166">
        <v>0</v>
      </c>
      <c r="AT126" s="166">
        <v>0</v>
      </c>
      <c r="AU126" s="167">
        <v>0</v>
      </c>
      <c r="AV126" s="165">
        <v>0</v>
      </c>
      <c r="AW126" s="166">
        <v>0</v>
      </c>
      <c r="AX126" s="166">
        <v>0</v>
      </c>
      <c r="AY126" s="166">
        <v>0</v>
      </c>
      <c r="AZ126" s="167">
        <v>0</v>
      </c>
      <c r="BA126" s="185"/>
      <c r="BB126" s="522" t="s">
        <v>1876</v>
      </c>
      <c r="BC126" s="166">
        <v>0</v>
      </c>
      <c r="BD126" s="522" t="s">
        <v>1876</v>
      </c>
      <c r="BE126" s="166">
        <v>0</v>
      </c>
      <c r="BF126" s="522" t="s">
        <v>1876</v>
      </c>
      <c r="BG126" s="167">
        <v>0</v>
      </c>
    </row>
    <row r="127" spans="1:59" s="98" customFormat="1" ht="15" customHeight="1">
      <c r="A127" s="99"/>
      <c r="B127" s="181"/>
      <c r="C127" s="182" t="s">
        <v>1710</v>
      </c>
      <c r="D127" s="183"/>
      <c r="E127" s="183"/>
      <c r="F127" s="183"/>
      <c r="G127" s="184"/>
      <c r="H127" s="184"/>
      <c r="I127" s="164" t="s">
        <v>498</v>
      </c>
      <c r="J127" s="128">
        <f>SUM(J124:J126)</f>
        <v>1.9792721392904379E-3</v>
      </c>
      <c r="K127" s="129">
        <f t="shared" ref="K127:U127" si="51">SUM(K124:K126)</f>
        <v>1.1037974025974021E-3</v>
      </c>
      <c r="L127" s="129">
        <f t="shared" si="51"/>
        <v>1.2759234249004237E-4</v>
      </c>
      <c r="M127" s="129">
        <f t="shared" si="51"/>
        <v>7.2786160691643486E-3</v>
      </c>
      <c r="N127" s="129">
        <f t="shared" si="51"/>
        <v>5.2988081234449336E-4</v>
      </c>
      <c r="O127" s="129">
        <f t="shared" si="51"/>
        <v>0</v>
      </c>
      <c r="P127" s="129">
        <f t="shared" si="51"/>
        <v>0</v>
      </c>
      <c r="Q127" s="130">
        <f t="shared" si="51"/>
        <v>0</v>
      </c>
      <c r="R127" s="128">
        <f t="shared" si="51"/>
        <v>3.352761847917884E-3</v>
      </c>
      <c r="S127" s="129">
        <f t="shared" si="51"/>
        <v>3.352761847917884E-3</v>
      </c>
      <c r="T127" s="129">
        <f t="shared" si="51"/>
        <v>3.352761847917884E-3</v>
      </c>
      <c r="U127" s="129">
        <f t="shared" si="51"/>
        <v>3.352761847917884E-3</v>
      </c>
      <c r="V127" s="130">
        <f>SUM(V124:V126)</f>
        <v>3.352761847917884E-3</v>
      </c>
      <c r="W127" s="185"/>
      <c r="X127" s="164" t="s">
        <v>498</v>
      </c>
      <c r="Y127" s="128">
        <f>SUM(Y124:Y126)</f>
        <v>8.2378475084315499E-3</v>
      </c>
      <c r="Z127" s="129">
        <f t="shared" ref="Z127:AJ127" si="52">SUM(Z124:Z126)</f>
        <v>0</v>
      </c>
      <c r="AA127" s="129">
        <f t="shared" si="52"/>
        <v>-7.2815980139791835E-3</v>
      </c>
      <c r="AB127" s="129">
        <f t="shared" si="52"/>
        <v>0</v>
      </c>
      <c r="AC127" s="129">
        <f t="shared" si="52"/>
        <v>-1.5374963197869831E-3</v>
      </c>
      <c r="AD127" s="129">
        <f t="shared" si="52"/>
        <v>0</v>
      </c>
      <c r="AE127" s="129">
        <f t="shared" si="52"/>
        <v>0</v>
      </c>
      <c r="AF127" s="795">
        <f t="shared" si="52"/>
        <v>0</v>
      </c>
      <c r="AG127" s="128">
        <f t="shared" si="52"/>
        <v>-1.4463662186847814E-3</v>
      </c>
      <c r="AH127" s="129">
        <f t="shared" si="52"/>
        <v>-1.4463662186847814E-3</v>
      </c>
      <c r="AI127" s="129">
        <f t="shared" si="52"/>
        <v>-1.4463662186847814E-3</v>
      </c>
      <c r="AJ127" s="129">
        <f t="shared" si="52"/>
        <v>-1.4463662186847814E-3</v>
      </c>
      <c r="AK127" s="130">
        <f>SUM(AK124:AK126)</f>
        <v>-1.4463662186847814E-3</v>
      </c>
      <c r="AL127" s="185"/>
      <c r="AM127" s="164" t="s">
        <v>1876</v>
      </c>
      <c r="AN127" s="777">
        <f>SUM(AN124:AN126)</f>
        <v>2</v>
      </c>
      <c r="AO127" s="778">
        <f t="shared" ref="AO127:AY127" si="53">SUM(AO124:AO126)</f>
        <v>6</v>
      </c>
      <c r="AP127" s="778">
        <f t="shared" si="53"/>
        <v>1</v>
      </c>
      <c r="AQ127" s="778">
        <f t="shared" si="53"/>
        <v>4</v>
      </c>
      <c r="AR127" s="778">
        <f t="shared" si="53"/>
        <v>1</v>
      </c>
      <c r="AS127" s="778">
        <f t="shared" si="53"/>
        <v>1</v>
      </c>
      <c r="AT127" s="778">
        <f t="shared" si="53"/>
        <v>0</v>
      </c>
      <c r="AU127" s="779">
        <f t="shared" si="53"/>
        <v>0</v>
      </c>
      <c r="AV127" s="777">
        <f t="shared" si="53"/>
        <v>2</v>
      </c>
      <c r="AW127" s="778">
        <f t="shared" si="53"/>
        <v>2</v>
      </c>
      <c r="AX127" s="778">
        <f t="shared" si="53"/>
        <v>2</v>
      </c>
      <c r="AY127" s="778">
        <f t="shared" si="53"/>
        <v>2</v>
      </c>
      <c r="AZ127" s="779">
        <f>SUM(AZ124:AZ126)</f>
        <v>2</v>
      </c>
      <c r="BA127" s="185"/>
      <c r="BB127" s="522" t="s">
        <v>1876</v>
      </c>
      <c r="BC127" s="129"/>
      <c r="BD127" s="522" t="s">
        <v>1876</v>
      </c>
      <c r="BE127" s="129"/>
      <c r="BF127" s="522" t="s">
        <v>1876</v>
      </c>
      <c r="BG127" s="130"/>
    </row>
    <row r="128" spans="1:59" s="98" customFormat="1" ht="15" customHeight="1">
      <c r="A128" s="99"/>
      <c r="B128" s="161"/>
      <c r="C128" s="506" t="s">
        <v>66</v>
      </c>
      <c r="D128" s="506"/>
      <c r="E128" s="506"/>
      <c r="F128" s="506"/>
      <c r="G128" s="507"/>
      <c r="H128" s="507"/>
      <c r="I128" s="507"/>
      <c r="J128" s="845"/>
      <c r="K128" s="846"/>
      <c r="L128" s="846"/>
      <c r="M128" s="846"/>
      <c r="N128" s="846"/>
      <c r="O128" s="846"/>
      <c r="P128" s="846"/>
      <c r="Q128" s="847"/>
      <c r="R128" s="845"/>
      <c r="S128" s="846"/>
      <c r="T128" s="846"/>
      <c r="U128" s="846"/>
      <c r="V128" s="847"/>
      <c r="W128" s="185"/>
      <c r="X128" s="507"/>
      <c r="Y128" s="845"/>
      <c r="Z128" s="846"/>
      <c r="AA128" s="846"/>
      <c r="AB128" s="846"/>
      <c r="AC128" s="846"/>
      <c r="AD128" s="846"/>
      <c r="AE128" s="846"/>
      <c r="AF128" s="846"/>
      <c r="AG128" s="845"/>
      <c r="AH128" s="846"/>
      <c r="AI128" s="846"/>
      <c r="AJ128" s="846"/>
      <c r="AK128" s="847"/>
      <c r="AL128" s="185"/>
      <c r="AM128" s="507"/>
      <c r="AN128" s="519"/>
      <c r="AO128" s="507"/>
      <c r="AP128" s="507"/>
      <c r="AQ128" s="507"/>
      <c r="AR128" s="507"/>
      <c r="AS128" s="507"/>
      <c r="AT128" s="507"/>
      <c r="AU128" s="520"/>
      <c r="AV128" s="519"/>
      <c r="AW128" s="507"/>
      <c r="AX128" s="507"/>
      <c r="AY128" s="507"/>
      <c r="AZ128" s="520"/>
      <c r="BA128" s="185"/>
      <c r="BB128" s="185"/>
      <c r="BC128" s="185"/>
      <c r="BD128" s="185"/>
      <c r="BE128" s="185"/>
      <c r="BF128" s="185"/>
      <c r="BG128" s="215"/>
    </row>
    <row r="129" spans="1:59" s="98" customFormat="1" ht="15" customHeight="1">
      <c r="A129" s="99"/>
      <c r="B129" s="161"/>
      <c r="C129" s="185"/>
      <c r="D129" s="182" t="s">
        <v>2526</v>
      </c>
      <c r="E129" s="182"/>
      <c r="F129" s="182"/>
      <c r="G129" s="182"/>
      <c r="H129" s="182"/>
      <c r="I129" s="164" t="s">
        <v>498</v>
      </c>
      <c r="J129" s="143">
        <v>0</v>
      </c>
      <c r="K129" s="141">
        <v>0</v>
      </c>
      <c r="L129" s="141">
        <v>0</v>
      </c>
      <c r="M129" s="141">
        <v>0</v>
      </c>
      <c r="N129" s="141">
        <v>0</v>
      </c>
      <c r="O129" s="141">
        <v>0</v>
      </c>
      <c r="P129" s="141">
        <v>0</v>
      </c>
      <c r="Q129" s="144">
        <v>0</v>
      </c>
      <c r="R129" s="143">
        <v>0</v>
      </c>
      <c r="S129" s="141">
        <v>0</v>
      </c>
      <c r="T129" s="141">
        <v>0</v>
      </c>
      <c r="U129" s="141">
        <v>0</v>
      </c>
      <c r="V129" s="144">
        <v>0</v>
      </c>
      <c r="W129" s="185"/>
      <c r="X129" s="164" t="s">
        <v>498</v>
      </c>
      <c r="Y129" s="143">
        <v>0</v>
      </c>
      <c r="Z129" s="141">
        <v>0</v>
      </c>
      <c r="AA129" s="141">
        <v>0</v>
      </c>
      <c r="AB129" s="141">
        <v>0</v>
      </c>
      <c r="AC129" s="141">
        <v>0</v>
      </c>
      <c r="AD129" s="141">
        <v>0</v>
      </c>
      <c r="AE129" s="141">
        <v>0</v>
      </c>
      <c r="AF129" s="142">
        <v>0</v>
      </c>
      <c r="AG129" s="143">
        <v>0</v>
      </c>
      <c r="AH129" s="141">
        <v>0</v>
      </c>
      <c r="AI129" s="141">
        <v>0</v>
      </c>
      <c r="AJ129" s="141">
        <v>0</v>
      </c>
      <c r="AK129" s="144">
        <v>0</v>
      </c>
      <c r="AL129" s="185"/>
      <c r="AM129" s="164" t="s">
        <v>1876</v>
      </c>
      <c r="AN129" s="165">
        <v>0</v>
      </c>
      <c r="AO129" s="166">
        <v>0</v>
      </c>
      <c r="AP129" s="166">
        <v>0</v>
      </c>
      <c r="AQ129" s="166">
        <v>0</v>
      </c>
      <c r="AR129" s="166">
        <v>0</v>
      </c>
      <c r="AS129" s="166">
        <v>0</v>
      </c>
      <c r="AT129" s="166">
        <v>0</v>
      </c>
      <c r="AU129" s="167">
        <v>0</v>
      </c>
      <c r="AV129" s="165">
        <v>0</v>
      </c>
      <c r="AW129" s="166">
        <v>0</v>
      </c>
      <c r="AX129" s="166">
        <v>0</v>
      </c>
      <c r="AY129" s="166">
        <v>0</v>
      </c>
      <c r="AZ129" s="167">
        <v>0</v>
      </c>
      <c r="BA129" s="185"/>
      <c r="BB129" s="522" t="s">
        <v>1876</v>
      </c>
      <c r="BC129" s="166">
        <v>0</v>
      </c>
      <c r="BD129" s="522" t="s">
        <v>1876</v>
      </c>
      <c r="BE129" s="166">
        <v>0</v>
      </c>
      <c r="BF129" s="522" t="s">
        <v>1876</v>
      </c>
      <c r="BG129" s="167">
        <v>0</v>
      </c>
    </row>
    <row r="130" spans="1:59" s="98" customFormat="1" ht="15" customHeight="1">
      <c r="A130" s="99"/>
      <c r="B130" s="161"/>
      <c r="C130" s="185"/>
      <c r="D130" s="182" t="s">
        <v>2527</v>
      </c>
      <c r="E130" s="182"/>
      <c r="F130" s="182"/>
      <c r="G130" s="182"/>
      <c r="H130" s="182"/>
      <c r="I130" s="164" t="s">
        <v>498</v>
      </c>
      <c r="J130" s="143">
        <v>0</v>
      </c>
      <c r="K130" s="141">
        <v>0</v>
      </c>
      <c r="L130" s="141">
        <v>0</v>
      </c>
      <c r="M130" s="141">
        <v>0</v>
      </c>
      <c r="N130" s="141">
        <v>0</v>
      </c>
      <c r="O130" s="141">
        <v>0</v>
      </c>
      <c r="P130" s="141">
        <v>0</v>
      </c>
      <c r="Q130" s="144">
        <v>0</v>
      </c>
      <c r="R130" s="143">
        <v>0</v>
      </c>
      <c r="S130" s="141">
        <v>0</v>
      </c>
      <c r="T130" s="141">
        <v>0</v>
      </c>
      <c r="U130" s="141">
        <v>0</v>
      </c>
      <c r="V130" s="144">
        <v>0</v>
      </c>
      <c r="W130" s="185"/>
      <c r="X130" s="164" t="s">
        <v>498</v>
      </c>
      <c r="Y130" s="143">
        <v>0</v>
      </c>
      <c r="Z130" s="141">
        <v>0</v>
      </c>
      <c r="AA130" s="141">
        <v>0</v>
      </c>
      <c r="AB130" s="141">
        <v>0</v>
      </c>
      <c r="AC130" s="141">
        <v>0</v>
      </c>
      <c r="AD130" s="141">
        <v>0</v>
      </c>
      <c r="AE130" s="141">
        <v>0</v>
      </c>
      <c r="AF130" s="142">
        <v>0</v>
      </c>
      <c r="AG130" s="143">
        <v>0</v>
      </c>
      <c r="AH130" s="141">
        <v>0</v>
      </c>
      <c r="AI130" s="141">
        <v>0</v>
      </c>
      <c r="AJ130" s="141">
        <v>0</v>
      </c>
      <c r="AK130" s="144">
        <v>0</v>
      </c>
      <c r="AL130" s="185"/>
      <c r="AM130" s="164" t="s">
        <v>1876</v>
      </c>
      <c r="AN130" s="165">
        <v>0</v>
      </c>
      <c r="AO130" s="166">
        <v>0</v>
      </c>
      <c r="AP130" s="166">
        <v>0</v>
      </c>
      <c r="AQ130" s="166">
        <v>0</v>
      </c>
      <c r="AR130" s="166">
        <v>0</v>
      </c>
      <c r="AS130" s="166">
        <v>0</v>
      </c>
      <c r="AT130" s="166">
        <v>0</v>
      </c>
      <c r="AU130" s="167">
        <v>0</v>
      </c>
      <c r="AV130" s="165">
        <v>0</v>
      </c>
      <c r="AW130" s="166">
        <v>0</v>
      </c>
      <c r="AX130" s="166">
        <v>0</v>
      </c>
      <c r="AY130" s="166">
        <v>0</v>
      </c>
      <c r="AZ130" s="167">
        <v>0</v>
      </c>
      <c r="BA130" s="185"/>
      <c r="BB130" s="522" t="s">
        <v>1876</v>
      </c>
      <c r="BC130" s="166">
        <v>0</v>
      </c>
      <c r="BD130" s="522" t="s">
        <v>1876</v>
      </c>
      <c r="BE130" s="166">
        <v>0</v>
      </c>
      <c r="BF130" s="522" t="s">
        <v>1876</v>
      </c>
      <c r="BG130" s="167">
        <v>0</v>
      </c>
    </row>
    <row r="131" spans="1:59" s="98" customFormat="1" ht="15" customHeight="1">
      <c r="A131" s="99"/>
      <c r="B131" s="161"/>
      <c r="C131" s="185"/>
      <c r="D131" s="182" t="s">
        <v>2528</v>
      </c>
      <c r="E131" s="182"/>
      <c r="F131" s="182"/>
      <c r="G131" s="182"/>
      <c r="H131" s="182"/>
      <c r="I131" s="164" t="s">
        <v>498</v>
      </c>
      <c r="J131" s="143">
        <v>0</v>
      </c>
      <c r="K131" s="141">
        <v>0</v>
      </c>
      <c r="L131" s="141">
        <v>0</v>
      </c>
      <c r="M131" s="141">
        <v>0</v>
      </c>
      <c r="N131" s="141">
        <v>0</v>
      </c>
      <c r="O131" s="141">
        <v>0</v>
      </c>
      <c r="P131" s="141">
        <v>0</v>
      </c>
      <c r="Q131" s="144">
        <v>0</v>
      </c>
      <c r="R131" s="143">
        <v>0</v>
      </c>
      <c r="S131" s="141">
        <v>0</v>
      </c>
      <c r="T131" s="141">
        <v>0</v>
      </c>
      <c r="U131" s="141">
        <v>0</v>
      </c>
      <c r="V131" s="144">
        <v>0</v>
      </c>
      <c r="W131" s="185"/>
      <c r="X131" s="164" t="s">
        <v>498</v>
      </c>
      <c r="Y131" s="143">
        <v>0</v>
      </c>
      <c r="Z131" s="141">
        <v>0</v>
      </c>
      <c r="AA131" s="141">
        <v>0</v>
      </c>
      <c r="AB131" s="141">
        <v>0</v>
      </c>
      <c r="AC131" s="141">
        <v>0</v>
      </c>
      <c r="AD131" s="141">
        <v>0</v>
      </c>
      <c r="AE131" s="141">
        <v>0</v>
      </c>
      <c r="AF131" s="142">
        <v>0</v>
      </c>
      <c r="AG131" s="143">
        <v>0</v>
      </c>
      <c r="AH131" s="141">
        <v>0</v>
      </c>
      <c r="AI131" s="141">
        <v>0</v>
      </c>
      <c r="AJ131" s="141">
        <v>0</v>
      </c>
      <c r="AK131" s="144">
        <v>0</v>
      </c>
      <c r="AL131" s="185"/>
      <c r="AM131" s="164" t="s">
        <v>1876</v>
      </c>
      <c r="AN131" s="165">
        <v>0</v>
      </c>
      <c r="AO131" s="166">
        <v>0</v>
      </c>
      <c r="AP131" s="166">
        <v>0</v>
      </c>
      <c r="AQ131" s="166">
        <v>0</v>
      </c>
      <c r="AR131" s="166">
        <v>0</v>
      </c>
      <c r="AS131" s="166">
        <v>0</v>
      </c>
      <c r="AT131" s="166">
        <v>0</v>
      </c>
      <c r="AU131" s="167">
        <v>0</v>
      </c>
      <c r="AV131" s="165">
        <v>0</v>
      </c>
      <c r="AW131" s="166">
        <v>0</v>
      </c>
      <c r="AX131" s="166">
        <v>0</v>
      </c>
      <c r="AY131" s="166">
        <v>0</v>
      </c>
      <c r="AZ131" s="167">
        <v>0</v>
      </c>
      <c r="BA131" s="185"/>
      <c r="BB131" s="522" t="s">
        <v>1876</v>
      </c>
      <c r="BC131" s="166">
        <v>0</v>
      </c>
      <c r="BD131" s="522" t="s">
        <v>1876</v>
      </c>
      <c r="BE131" s="166">
        <v>0</v>
      </c>
      <c r="BF131" s="522" t="s">
        <v>1876</v>
      </c>
      <c r="BG131" s="167">
        <v>0</v>
      </c>
    </row>
    <row r="132" spans="1:59" s="98" customFormat="1" ht="15" customHeight="1">
      <c r="A132" s="99"/>
      <c r="B132" s="181"/>
      <c r="C132" s="182" t="s">
        <v>1710</v>
      </c>
      <c r="D132" s="183"/>
      <c r="E132" s="183"/>
      <c r="F132" s="183"/>
      <c r="G132" s="184"/>
      <c r="H132" s="184"/>
      <c r="I132" s="164" t="s">
        <v>498</v>
      </c>
      <c r="J132" s="128">
        <f t="shared" ref="J132:V132" si="54">SUM(J129:J131)</f>
        <v>0</v>
      </c>
      <c r="K132" s="129">
        <f t="shared" si="54"/>
        <v>0</v>
      </c>
      <c r="L132" s="129">
        <f t="shared" si="54"/>
        <v>0</v>
      </c>
      <c r="M132" s="129">
        <f t="shared" si="54"/>
        <v>0</v>
      </c>
      <c r="N132" s="129">
        <f t="shared" si="54"/>
        <v>0</v>
      </c>
      <c r="O132" s="129">
        <f t="shared" si="54"/>
        <v>0</v>
      </c>
      <c r="P132" s="129">
        <f t="shared" si="54"/>
        <v>0</v>
      </c>
      <c r="Q132" s="130">
        <f t="shared" si="54"/>
        <v>0</v>
      </c>
      <c r="R132" s="128">
        <f t="shared" si="54"/>
        <v>0</v>
      </c>
      <c r="S132" s="129">
        <f t="shared" si="54"/>
        <v>0</v>
      </c>
      <c r="T132" s="129">
        <f t="shared" si="54"/>
        <v>0</v>
      </c>
      <c r="U132" s="129">
        <f t="shared" si="54"/>
        <v>0</v>
      </c>
      <c r="V132" s="130">
        <f t="shared" si="54"/>
        <v>0</v>
      </c>
      <c r="W132" s="185"/>
      <c r="X132" s="164" t="s">
        <v>498</v>
      </c>
      <c r="Y132" s="128">
        <f t="shared" ref="Y132:AK132" si="55">SUM(Y129:Y131)</f>
        <v>0</v>
      </c>
      <c r="Z132" s="129">
        <f t="shared" si="55"/>
        <v>0</v>
      </c>
      <c r="AA132" s="129">
        <f t="shared" si="55"/>
        <v>0</v>
      </c>
      <c r="AB132" s="129">
        <f t="shared" si="55"/>
        <v>0</v>
      </c>
      <c r="AC132" s="129">
        <f t="shared" si="55"/>
        <v>0</v>
      </c>
      <c r="AD132" s="129">
        <f t="shared" si="55"/>
        <v>0</v>
      </c>
      <c r="AE132" s="129">
        <f t="shared" si="55"/>
        <v>0</v>
      </c>
      <c r="AF132" s="795">
        <f t="shared" si="55"/>
        <v>0</v>
      </c>
      <c r="AG132" s="128">
        <f t="shared" si="55"/>
        <v>0</v>
      </c>
      <c r="AH132" s="129">
        <f t="shared" si="55"/>
        <v>0</v>
      </c>
      <c r="AI132" s="129">
        <f t="shared" si="55"/>
        <v>0</v>
      </c>
      <c r="AJ132" s="129">
        <f t="shared" si="55"/>
        <v>0</v>
      </c>
      <c r="AK132" s="130">
        <f t="shared" si="55"/>
        <v>0</v>
      </c>
      <c r="AL132" s="185"/>
      <c r="AM132" s="164" t="s">
        <v>1876</v>
      </c>
      <c r="AN132" s="777">
        <f t="shared" ref="AN132:AZ132" si="56">SUM(AN129:AN131)</f>
        <v>0</v>
      </c>
      <c r="AO132" s="778">
        <f t="shared" si="56"/>
        <v>0</v>
      </c>
      <c r="AP132" s="778">
        <f t="shared" si="56"/>
        <v>0</v>
      </c>
      <c r="AQ132" s="778">
        <f t="shared" si="56"/>
        <v>0</v>
      </c>
      <c r="AR132" s="778">
        <f t="shared" si="56"/>
        <v>0</v>
      </c>
      <c r="AS132" s="778">
        <f t="shared" si="56"/>
        <v>0</v>
      </c>
      <c r="AT132" s="778">
        <f t="shared" si="56"/>
        <v>0</v>
      </c>
      <c r="AU132" s="779">
        <f t="shared" si="56"/>
        <v>0</v>
      </c>
      <c r="AV132" s="777">
        <f t="shared" si="56"/>
        <v>0</v>
      </c>
      <c r="AW132" s="778">
        <f t="shared" si="56"/>
        <v>0</v>
      </c>
      <c r="AX132" s="778">
        <f t="shared" si="56"/>
        <v>0</v>
      </c>
      <c r="AY132" s="778">
        <f t="shared" si="56"/>
        <v>0</v>
      </c>
      <c r="AZ132" s="779">
        <f t="shared" si="56"/>
        <v>0</v>
      </c>
      <c r="BA132" s="185"/>
      <c r="BB132" s="522" t="s">
        <v>1876</v>
      </c>
      <c r="BC132" s="129"/>
      <c r="BD132" s="522" t="s">
        <v>1876</v>
      </c>
      <c r="BE132" s="129"/>
      <c r="BF132" s="522" t="s">
        <v>1876</v>
      </c>
      <c r="BG132" s="130"/>
    </row>
    <row r="133" spans="1:59" s="98" customFormat="1" ht="15" customHeight="1">
      <c r="A133" s="99"/>
      <c r="B133" s="181"/>
      <c r="C133" s="183"/>
      <c r="D133" s="183"/>
      <c r="E133" s="183"/>
      <c r="F133" s="183"/>
      <c r="G133" s="507"/>
      <c r="H133" s="507"/>
      <c r="I133" s="507"/>
      <c r="J133" s="845"/>
      <c r="K133" s="846"/>
      <c r="L133" s="846"/>
      <c r="M133" s="846"/>
      <c r="N133" s="846"/>
      <c r="O133" s="846"/>
      <c r="P133" s="846"/>
      <c r="Q133" s="847"/>
      <c r="R133" s="845"/>
      <c r="S133" s="846"/>
      <c r="T133" s="846"/>
      <c r="U133" s="846"/>
      <c r="V133" s="847"/>
      <c r="W133" s="185"/>
      <c r="X133" s="507"/>
      <c r="Y133" s="845"/>
      <c r="Z133" s="846"/>
      <c r="AA133" s="846"/>
      <c r="AB133" s="846"/>
      <c r="AC133" s="846"/>
      <c r="AD133" s="846"/>
      <c r="AE133" s="846"/>
      <c r="AF133" s="846"/>
      <c r="AG133" s="845"/>
      <c r="AH133" s="846"/>
      <c r="AI133" s="846"/>
      <c r="AJ133" s="846"/>
      <c r="AK133" s="847"/>
      <c r="AL133" s="185"/>
      <c r="AM133" s="507"/>
      <c r="AN133" s="519"/>
      <c r="AO133" s="507"/>
      <c r="AP133" s="507"/>
      <c r="AQ133" s="507"/>
      <c r="AR133" s="507"/>
      <c r="AS133" s="507"/>
      <c r="AT133" s="507"/>
      <c r="AU133" s="520"/>
      <c r="AV133" s="519"/>
      <c r="AW133" s="507"/>
      <c r="AX133" s="507"/>
      <c r="AY133" s="507"/>
      <c r="AZ133" s="520"/>
      <c r="BA133" s="185"/>
      <c r="BB133" s="185"/>
      <c r="BC133" s="185"/>
      <c r="BD133" s="185"/>
      <c r="BE133" s="185"/>
      <c r="BF133" s="185"/>
      <c r="BG133" s="215"/>
    </row>
    <row r="134" spans="1:59" s="98" customFormat="1" ht="15" customHeight="1" thickBot="1">
      <c r="A134" s="99"/>
      <c r="B134" s="161"/>
      <c r="C134" s="506" t="s">
        <v>2536</v>
      </c>
      <c r="D134" s="506"/>
      <c r="E134" s="506"/>
      <c r="F134" s="506"/>
      <c r="G134" s="521"/>
      <c r="H134" s="521"/>
      <c r="I134" s="521"/>
      <c r="J134" s="848"/>
      <c r="K134" s="849"/>
      <c r="L134" s="849"/>
      <c r="M134" s="849"/>
      <c r="N134" s="849"/>
      <c r="O134" s="849"/>
      <c r="P134" s="849"/>
      <c r="Q134" s="850"/>
      <c r="R134" s="848"/>
      <c r="S134" s="849"/>
      <c r="T134" s="849"/>
      <c r="U134" s="849"/>
      <c r="V134" s="850"/>
      <c r="W134" s="521"/>
      <c r="X134" s="521"/>
      <c r="Y134" s="848"/>
      <c r="Z134" s="849"/>
      <c r="AA134" s="849"/>
      <c r="AB134" s="849"/>
      <c r="AC134" s="849"/>
      <c r="AD134" s="849"/>
      <c r="AE134" s="849"/>
      <c r="AF134" s="849"/>
      <c r="AG134" s="848"/>
      <c r="AH134" s="849"/>
      <c r="AI134" s="849"/>
      <c r="AJ134" s="849"/>
      <c r="AK134" s="850"/>
      <c r="AL134" s="185"/>
      <c r="AM134" s="164" t="s">
        <v>2537</v>
      </c>
      <c r="AN134" s="854">
        <v>0</v>
      </c>
      <c r="AO134" s="855">
        <v>0</v>
      </c>
      <c r="AP134" s="855">
        <v>0</v>
      </c>
      <c r="AQ134" s="855">
        <v>0</v>
      </c>
      <c r="AR134" s="855">
        <v>0</v>
      </c>
      <c r="AS134" s="855">
        <v>0</v>
      </c>
      <c r="AT134" s="855">
        <v>0</v>
      </c>
      <c r="AU134" s="856">
        <v>0</v>
      </c>
      <c r="AV134" s="854">
        <v>0</v>
      </c>
      <c r="AW134" s="855">
        <v>0</v>
      </c>
      <c r="AX134" s="855">
        <v>0</v>
      </c>
      <c r="AY134" s="855">
        <v>0</v>
      </c>
      <c r="AZ134" s="856">
        <v>0</v>
      </c>
      <c r="BA134" s="185"/>
      <c r="BB134" s="860" t="s">
        <v>2537</v>
      </c>
      <c r="BC134" s="765">
        <v>0</v>
      </c>
      <c r="BD134" s="860" t="s">
        <v>2537</v>
      </c>
      <c r="BE134" s="765">
        <v>0</v>
      </c>
      <c r="BF134" s="860" t="s">
        <v>2537</v>
      </c>
      <c r="BG134" s="766">
        <v>0</v>
      </c>
    </row>
    <row r="135" spans="1:59" s="98" customFormat="1" ht="15" customHeight="1" thickBot="1">
      <c r="A135" s="99"/>
      <c r="B135" s="505"/>
      <c r="C135" s="506"/>
      <c r="D135" s="506"/>
      <c r="E135" s="506"/>
      <c r="F135" s="506"/>
      <c r="G135" s="507"/>
      <c r="H135" s="507"/>
      <c r="I135" s="185"/>
      <c r="J135" s="845"/>
      <c r="K135" s="846"/>
      <c r="L135" s="846"/>
      <c r="M135" s="846"/>
      <c r="N135" s="846"/>
      <c r="O135" s="846"/>
      <c r="P135" s="846"/>
      <c r="Q135" s="847"/>
      <c r="R135" s="845"/>
      <c r="S135" s="846"/>
      <c r="T135" s="846"/>
      <c r="U135" s="846"/>
      <c r="V135" s="847"/>
      <c r="W135" s="507"/>
      <c r="X135" s="185"/>
      <c r="Y135" s="858"/>
      <c r="Z135" s="859"/>
      <c r="AA135" s="859"/>
      <c r="AB135" s="859"/>
      <c r="AC135" s="859"/>
      <c r="AD135" s="859"/>
      <c r="AE135" s="859"/>
      <c r="AF135" s="859"/>
      <c r="AG135" s="845"/>
      <c r="AH135" s="846"/>
      <c r="AI135" s="846"/>
      <c r="AJ135" s="846"/>
      <c r="AK135" s="847"/>
      <c r="AL135" s="185"/>
      <c r="AM135" s="185"/>
      <c r="AN135" s="507"/>
      <c r="AO135" s="507"/>
      <c r="AP135" s="507"/>
      <c r="AQ135" s="507"/>
      <c r="AR135" s="507"/>
      <c r="AS135" s="507"/>
      <c r="AT135" s="507"/>
      <c r="AU135" s="507"/>
      <c r="AV135" s="507"/>
      <c r="AW135" s="507"/>
      <c r="AX135" s="507"/>
      <c r="AY135" s="507"/>
      <c r="AZ135" s="507"/>
      <c r="BA135" s="507"/>
      <c r="BB135" s="185"/>
      <c r="BC135" s="185"/>
      <c r="BD135" s="185"/>
      <c r="BE135" s="185"/>
      <c r="BF135" s="185"/>
      <c r="BG135" s="215"/>
    </row>
    <row r="136" spans="1:59" s="98" customFormat="1" ht="15" customHeight="1" thickBot="1">
      <c r="A136" s="99"/>
      <c r="B136" s="239" t="s">
        <v>1701</v>
      </c>
      <c r="C136" s="246"/>
      <c r="D136" s="512"/>
      <c r="E136" s="512"/>
      <c r="F136" s="512"/>
      <c r="G136" s="523"/>
      <c r="H136" s="523"/>
      <c r="I136" s="195" t="s">
        <v>498</v>
      </c>
      <c r="J136" s="717">
        <f t="shared" ref="J136:V136" si="57">J118+J122+J127+J132</f>
        <v>2.1701569380047903</v>
      </c>
      <c r="K136" s="718">
        <f t="shared" si="57"/>
        <v>3.3963846077922066</v>
      </c>
      <c r="L136" s="718">
        <f t="shared" si="57"/>
        <v>5.5024427242740321</v>
      </c>
      <c r="M136" s="718">
        <f t="shared" si="57"/>
        <v>4.9143005094007526</v>
      </c>
      <c r="N136" s="718">
        <f t="shared" si="57"/>
        <v>4.6291367000419035</v>
      </c>
      <c r="O136" s="718">
        <f t="shared" si="57"/>
        <v>5.140382496279341</v>
      </c>
      <c r="P136" s="718">
        <f t="shared" si="57"/>
        <v>3.6142299086786007</v>
      </c>
      <c r="Q136" s="719">
        <f t="shared" si="57"/>
        <v>2.752838447110201</v>
      </c>
      <c r="R136" s="717">
        <f t="shared" si="57"/>
        <v>2.5553854051641172</v>
      </c>
      <c r="S136" s="718">
        <f t="shared" si="57"/>
        <v>2.5706904691002919</v>
      </c>
      <c r="T136" s="718">
        <f t="shared" si="57"/>
        <v>2.5859955330364666</v>
      </c>
      <c r="U136" s="718">
        <f t="shared" si="57"/>
        <v>2.6013005969726413</v>
      </c>
      <c r="V136" s="719">
        <f t="shared" si="57"/>
        <v>2.616605660908816</v>
      </c>
      <c r="W136" s="513"/>
      <c r="X136" s="608" t="s">
        <v>498</v>
      </c>
      <c r="Y136" s="717">
        <f t="shared" ref="Y136:AK136" si="58">Y118+Y122+Y127+Y132</f>
        <v>-3.8464975418717434E-2</v>
      </c>
      <c r="Z136" s="718">
        <f t="shared" si="58"/>
        <v>-0.13355948571428566</v>
      </c>
      <c r="AA136" s="718">
        <f t="shared" si="58"/>
        <v>-7.195875048444042E-2</v>
      </c>
      <c r="AB136" s="718">
        <f t="shared" si="58"/>
        <v>-0.1651142677190254</v>
      </c>
      <c r="AC136" s="718">
        <f t="shared" si="58"/>
        <v>-8.1509729840237452E-2</v>
      </c>
      <c r="AD136" s="718">
        <f t="shared" si="58"/>
        <v>-8.591509E-2</v>
      </c>
      <c r="AE136" s="718">
        <f t="shared" si="58"/>
        <v>-7.2284598173572009E-2</v>
      </c>
      <c r="AF136" s="719">
        <f t="shared" si="58"/>
        <v>-5.5056768942204022E-2</v>
      </c>
      <c r="AG136" s="717">
        <f t="shared" si="58"/>
        <v>-5.7902316226452977E-2</v>
      </c>
      <c r="AH136" s="718">
        <f t="shared" si="58"/>
        <v>-5.823933833746682E-2</v>
      </c>
      <c r="AI136" s="718">
        <f t="shared" si="58"/>
        <v>-5.8576360448480705E-2</v>
      </c>
      <c r="AJ136" s="718">
        <f t="shared" si="58"/>
        <v>-5.8913382559494604E-2</v>
      </c>
      <c r="AK136" s="719">
        <f t="shared" si="58"/>
        <v>-5.9250404670508447E-2</v>
      </c>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217"/>
    </row>
    <row r="137" spans="1:59" ht="13.5" thickBot="1"/>
    <row r="138" spans="1:59" s="487" customFormat="1" ht="30" customHeight="1" thickBot="1">
      <c r="A138" s="254"/>
      <c r="B138" s="842" t="s">
        <v>2542</v>
      </c>
      <c r="C138" s="488"/>
      <c r="D138" s="488"/>
      <c r="E138" s="488"/>
      <c r="F138" s="488"/>
      <c r="G138" s="489"/>
      <c r="H138" s="489"/>
      <c r="I138" s="490" t="s">
        <v>1864</v>
      </c>
      <c r="J138" s="491"/>
      <c r="K138" s="491"/>
      <c r="L138" s="491"/>
      <c r="M138" s="491"/>
      <c r="N138" s="491"/>
      <c r="O138" s="491"/>
      <c r="P138" s="491"/>
      <c r="Q138" s="491"/>
      <c r="R138" s="491"/>
      <c r="S138" s="491"/>
      <c r="T138" s="491"/>
      <c r="U138" s="491"/>
      <c r="V138" s="491"/>
      <c r="W138" s="489"/>
      <c r="X138" s="490" t="s">
        <v>2202</v>
      </c>
      <c r="Y138" s="491"/>
      <c r="Z138" s="491"/>
      <c r="AA138" s="491"/>
      <c r="AB138" s="491"/>
      <c r="AC138" s="491"/>
      <c r="AD138" s="491"/>
      <c r="AE138" s="491"/>
      <c r="AF138" s="491"/>
      <c r="AG138" s="491"/>
      <c r="AH138" s="491"/>
      <c r="AI138" s="491"/>
      <c r="AJ138" s="491"/>
      <c r="AK138" s="491"/>
      <c r="AL138" s="489"/>
      <c r="AM138" s="490" t="s">
        <v>2231</v>
      </c>
      <c r="AN138" s="491"/>
      <c r="AO138" s="491"/>
      <c r="AP138" s="491"/>
      <c r="AQ138" s="491"/>
      <c r="AR138" s="491"/>
      <c r="AS138" s="491"/>
      <c r="AT138" s="491"/>
      <c r="AU138" s="491"/>
      <c r="AV138" s="491"/>
      <c r="AW138" s="491"/>
      <c r="AX138" s="491"/>
      <c r="AY138" s="491"/>
      <c r="AZ138" s="492"/>
    </row>
    <row r="139" spans="1:59" s="157" customFormat="1" ht="30" customHeight="1">
      <c r="A139" s="99"/>
      <c r="B139" s="494"/>
      <c r="C139" s="495"/>
      <c r="D139" s="495"/>
      <c r="E139" s="495"/>
      <c r="F139" s="495"/>
      <c r="G139" s="496"/>
      <c r="H139" s="496"/>
      <c r="I139" s="507"/>
      <c r="J139" s="843" t="s">
        <v>1666</v>
      </c>
      <c r="K139" s="498"/>
      <c r="L139" s="498"/>
      <c r="M139" s="498"/>
      <c r="N139" s="498"/>
      <c r="O139" s="498"/>
      <c r="P139" s="498"/>
      <c r="Q139" s="499"/>
      <c r="R139" s="844" t="s">
        <v>2</v>
      </c>
      <c r="S139" s="501"/>
      <c r="T139" s="501"/>
      <c r="U139" s="501"/>
      <c r="V139" s="502"/>
      <c r="W139" s="496"/>
      <c r="X139" s="507"/>
      <c r="Y139" s="843" t="s">
        <v>1666</v>
      </c>
      <c r="Z139" s="498"/>
      <c r="AA139" s="498"/>
      <c r="AB139" s="498"/>
      <c r="AC139" s="498"/>
      <c r="AD139" s="498"/>
      <c r="AE139" s="498"/>
      <c r="AF139" s="499"/>
      <c r="AG139" s="844" t="s">
        <v>2</v>
      </c>
      <c r="AH139" s="501"/>
      <c r="AI139" s="501"/>
      <c r="AJ139" s="501"/>
      <c r="AK139" s="502"/>
      <c r="AL139" s="496"/>
      <c r="AM139" s="507"/>
      <c r="AN139" s="843" t="s">
        <v>1666</v>
      </c>
      <c r="AO139" s="498"/>
      <c r="AP139" s="498"/>
      <c r="AQ139" s="498"/>
      <c r="AR139" s="498"/>
      <c r="AS139" s="498"/>
      <c r="AT139" s="498"/>
      <c r="AU139" s="499"/>
      <c r="AV139" s="844" t="s">
        <v>2</v>
      </c>
      <c r="AW139" s="501"/>
      <c r="AX139" s="501"/>
      <c r="AY139" s="501"/>
      <c r="AZ139" s="502"/>
    </row>
    <row r="140" spans="1:59" s="98" customFormat="1" ht="15" customHeight="1">
      <c r="A140" s="99"/>
      <c r="B140" s="505"/>
      <c r="C140" s="506"/>
      <c r="D140" s="506"/>
      <c r="E140" s="506"/>
      <c r="F140" s="506"/>
      <c r="G140" s="507"/>
      <c r="H140" s="507"/>
      <c r="I140" s="265" t="s">
        <v>1667</v>
      </c>
      <c r="J140" s="518" t="s">
        <v>453</v>
      </c>
      <c r="K140" s="515" t="s">
        <v>455</v>
      </c>
      <c r="L140" s="515" t="s">
        <v>457</v>
      </c>
      <c r="M140" s="515" t="s">
        <v>459</v>
      </c>
      <c r="N140" s="515" t="s">
        <v>461</v>
      </c>
      <c r="O140" s="515" t="s">
        <v>463</v>
      </c>
      <c r="P140" s="515" t="s">
        <v>465</v>
      </c>
      <c r="Q140" s="516" t="s">
        <v>467</v>
      </c>
      <c r="R140" s="508" t="s">
        <v>469</v>
      </c>
      <c r="S140" s="509" t="s">
        <v>471</v>
      </c>
      <c r="T140" s="509" t="s">
        <v>473</v>
      </c>
      <c r="U140" s="509" t="s">
        <v>475</v>
      </c>
      <c r="V140" s="510" t="s">
        <v>477</v>
      </c>
      <c r="W140" s="507"/>
      <c r="X140" s="265" t="s">
        <v>1667</v>
      </c>
      <c r="Y140" s="518" t="s">
        <v>453</v>
      </c>
      <c r="Z140" s="515" t="s">
        <v>455</v>
      </c>
      <c r="AA140" s="515" t="s">
        <v>457</v>
      </c>
      <c r="AB140" s="515" t="s">
        <v>459</v>
      </c>
      <c r="AC140" s="515" t="s">
        <v>461</v>
      </c>
      <c r="AD140" s="515" t="s">
        <v>463</v>
      </c>
      <c r="AE140" s="515" t="s">
        <v>465</v>
      </c>
      <c r="AF140" s="516" t="s">
        <v>467</v>
      </c>
      <c r="AG140" s="508" t="s">
        <v>469</v>
      </c>
      <c r="AH140" s="509" t="s">
        <v>471</v>
      </c>
      <c r="AI140" s="509" t="s">
        <v>473</v>
      </c>
      <c r="AJ140" s="509" t="s">
        <v>475</v>
      </c>
      <c r="AK140" s="510" t="s">
        <v>477</v>
      </c>
      <c r="AL140" s="507"/>
      <c r="AM140" s="265" t="s">
        <v>1667</v>
      </c>
      <c r="AN140" s="518" t="s">
        <v>453</v>
      </c>
      <c r="AO140" s="515" t="s">
        <v>455</v>
      </c>
      <c r="AP140" s="515" t="s">
        <v>457</v>
      </c>
      <c r="AQ140" s="515" t="s">
        <v>459</v>
      </c>
      <c r="AR140" s="515" t="s">
        <v>461</v>
      </c>
      <c r="AS140" s="515" t="s">
        <v>463</v>
      </c>
      <c r="AT140" s="515" t="s">
        <v>465</v>
      </c>
      <c r="AU140" s="516" t="s">
        <v>467</v>
      </c>
      <c r="AV140" s="508" t="s">
        <v>469</v>
      </c>
      <c r="AW140" s="509" t="s">
        <v>471</v>
      </c>
      <c r="AX140" s="509" t="s">
        <v>473</v>
      </c>
      <c r="AY140" s="509" t="s">
        <v>475</v>
      </c>
      <c r="AZ140" s="510" t="s">
        <v>477</v>
      </c>
    </row>
    <row r="141" spans="1:59" s="98" customFormat="1" ht="15" customHeight="1">
      <c r="A141" s="99"/>
      <c r="B141" s="181"/>
      <c r="C141" s="183"/>
      <c r="D141" s="183"/>
      <c r="E141" s="183"/>
      <c r="F141" s="183"/>
      <c r="G141" s="507"/>
      <c r="H141" s="507"/>
      <c r="I141" s="507"/>
      <c r="J141" s="519"/>
      <c r="K141" s="507"/>
      <c r="L141" s="507"/>
      <c r="M141" s="507"/>
      <c r="N141" s="507"/>
      <c r="O141" s="507"/>
      <c r="P141" s="507"/>
      <c r="Q141" s="520"/>
      <c r="R141" s="519"/>
      <c r="S141" s="507"/>
      <c r="T141" s="507"/>
      <c r="U141" s="507"/>
      <c r="V141" s="520"/>
      <c r="W141" s="507"/>
      <c r="X141" s="507"/>
      <c r="Y141" s="519"/>
      <c r="Z141" s="507"/>
      <c r="AA141" s="507"/>
      <c r="AB141" s="507"/>
      <c r="AC141" s="507"/>
      <c r="AD141" s="507"/>
      <c r="AE141" s="507"/>
      <c r="AF141" s="520"/>
      <c r="AG141" s="519"/>
      <c r="AH141" s="507"/>
      <c r="AI141" s="507"/>
      <c r="AJ141" s="507"/>
      <c r="AK141" s="520"/>
      <c r="AL141" s="507"/>
      <c r="AM141" s="507"/>
      <c r="AN141" s="519"/>
      <c r="AO141" s="507"/>
      <c r="AP141" s="507"/>
      <c r="AQ141" s="507"/>
      <c r="AR141" s="507"/>
      <c r="AS141" s="507"/>
      <c r="AT141" s="507"/>
      <c r="AU141" s="520"/>
      <c r="AV141" s="519"/>
      <c r="AW141" s="507"/>
      <c r="AX141" s="507"/>
      <c r="AY141" s="507"/>
      <c r="AZ141" s="520"/>
    </row>
    <row r="142" spans="1:59" s="98" customFormat="1" ht="15" customHeight="1">
      <c r="A142" s="99"/>
      <c r="B142" s="161"/>
      <c r="C142" s="506" t="s">
        <v>1843</v>
      </c>
      <c r="D142" s="506"/>
      <c r="E142" s="506"/>
      <c r="F142" s="506"/>
      <c r="G142" s="507"/>
      <c r="H142" s="507"/>
      <c r="I142" s="507"/>
      <c r="J142" s="519"/>
      <c r="K142" s="507"/>
      <c r="L142" s="507"/>
      <c r="M142" s="507"/>
      <c r="N142" s="507"/>
      <c r="O142" s="507"/>
      <c r="P142" s="507"/>
      <c r="Q142" s="520"/>
      <c r="R142" s="519"/>
      <c r="S142" s="507"/>
      <c r="T142" s="507"/>
      <c r="U142" s="507"/>
      <c r="V142" s="520"/>
      <c r="W142" s="507"/>
      <c r="X142" s="507"/>
      <c r="Y142" s="519"/>
      <c r="Z142" s="507"/>
      <c r="AA142" s="507"/>
      <c r="AB142" s="507"/>
      <c r="AC142" s="507"/>
      <c r="AD142" s="507"/>
      <c r="AE142" s="507"/>
      <c r="AF142" s="520"/>
      <c r="AG142" s="519"/>
      <c r="AH142" s="507"/>
      <c r="AI142" s="507"/>
      <c r="AJ142" s="507"/>
      <c r="AK142" s="520"/>
      <c r="AL142" s="507"/>
      <c r="AM142" s="507"/>
      <c r="AN142" s="519"/>
      <c r="AO142" s="507"/>
      <c r="AP142" s="507"/>
      <c r="AQ142" s="507"/>
      <c r="AR142" s="507"/>
      <c r="AS142" s="507"/>
      <c r="AT142" s="507"/>
      <c r="AU142" s="520"/>
      <c r="AV142" s="519"/>
      <c r="AW142" s="507"/>
      <c r="AX142" s="507"/>
      <c r="AY142" s="507"/>
      <c r="AZ142" s="520"/>
    </row>
    <row r="143" spans="1:59" s="98" customFormat="1" ht="15" customHeight="1">
      <c r="A143" s="99"/>
      <c r="B143" s="161"/>
      <c r="C143" s="182"/>
      <c r="D143" s="182" t="s">
        <v>2521</v>
      </c>
      <c r="E143" s="182"/>
      <c r="F143" s="182"/>
      <c r="G143" s="521"/>
      <c r="H143" s="521"/>
      <c r="I143" s="164" t="s">
        <v>498</v>
      </c>
      <c r="J143" s="143">
        <v>0</v>
      </c>
      <c r="K143" s="141">
        <v>0</v>
      </c>
      <c r="L143" s="141">
        <v>0</v>
      </c>
      <c r="M143" s="141">
        <v>0</v>
      </c>
      <c r="N143" s="141">
        <v>0</v>
      </c>
      <c r="O143" s="141">
        <v>0</v>
      </c>
      <c r="P143" s="141">
        <v>0</v>
      </c>
      <c r="Q143" s="144">
        <v>0</v>
      </c>
      <c r="R143" s="143">
        <v>0</v>
      </c>
      <c r="S143" s="141">
        <v>0</v>
      </c>
      <c r="T143" s="141">
        <v>0</v>
      </c>
      <c r="U143" s="141">
        <v>0</v>
      </c>
      <c r="V143" s="144">
        <v>0</v>
      </c>
      <c r="W143" s="521"/>
      <c r="X143" s="164" t="s">
        <v>498</v>
      </c>
      <c r="Y143" s="143">
        <v>0</v>
      </c>
      <c r="Z143" s="141">
        <v>0</v>
      </c>
      <c r="AA143" s="141">
        <v>0</v>
      </c>
      <c r="AB143" s="141">
        <v>0</v>
      </c>
      <c r="AC143" s="141">
        <v>0</v>
      </c>
      <c r="AD143" s="141">
        <v>0</v>
      </c>
      <c r="AE143" s="141">
        <v>0</v>
      </c>
      <c r="AF143" s="144">
        <v>0</v>
      </c>
      <c r="AG143" s="143">
        <v>0</v>
      </c>
      <c r="AH143" s="141">
        <v>0</v>
      </c>
      <c r="AI143" s="141">
        <v>0</v>
      </c>
      <c r="AJ143" s="141">
        <v>0</v>
      </c>
      <c r="AK143" s="144">
        <v>0</v>
      </c>
      <c r="AL143" s="521"/>
      <c r="AM143" s="164" t="s">
        <v>1876</v>
      </c>
      <c r="AN143" s="165">
        <v>0</v>
      </c>
      <c r="AO143" s="166">
        <v>0</v>
      </c>
      <c r="AP143" s="166">
        <v>0</v>
      </c>
      <c r="AQ143" s="166">
        <v>0</v>
      </c>
      <c r="AR143" s="166">
        <v>0</v>
      </c>
      <c r="AS143" s="166">
        <v>0</v>
      </c>
      <c r="AT143" s="166">
        <v>0</v>
      </c>
      <c r="AU143" s="167">
        <v>0</v>
      </c>
      <c r="AV143" s="165">
        <v>0</v>
      </c>
      <c r="AW143" s="166">
        <v>0</v>
      </c>
      <c r="AX143" s="166">
        <v>0</v>
      </c>
      <c r="AY143" s="166">
        <v>0</v>
      </c>
      <c r="AZ143" s="167">
        <v>0</v>
      </c>
    </row>
    <row r="144" spans="1:59" s="98" customFormat="1" ht="15" customHeight="1">
      <c r="A144" s="99"/>
      <c r="B144" s="161"/>
      <c r="C144" s="182"/>
      <c r="D144" s="182" t="s">
        <v>2427</v>
      </c>
      <c r="E144" s="182"/>
      <c r="F144" s="182"/>
      <c r="G144" s="521"/>
      <c r="H144" s="521"/>
      <c r="I144" s="164" t="s">
        <v>498</v>
      </c>
      <c r="J144" s="143">
        <v>0</v>
      </c>
      <c r="K144" s="141">
        <v>0</v>
      </c>
      <c r="L144" s="141">
        <v>0</v>
      </c>
      <c r="M144" s="141">
        <v>0</v>
      </c>
      <c r="N144" s="141">
        <v>0</v>
      </c>
      <c r="O144" s="141">
        <v>0</v>
      </c>
      <c r="P144" s="141">
        <v>0</v>
      </c>
      <c r="Q144" s="144">
        <v>0</v>
      </c>
      <c r="R144" s="143">
        <v>0</v>
      </c>
      <c r="S144" s="141">
        <v>0</v>
      </c>
      <c r="T144" s="141">
        <v>0</v>
      </c>
      <c r="U144" s="141">
        <v>0</v>
      </c>
      <c r="V144" s="144">
        <v>0</v>
      </c>
      <c r="W144" s="521"/>
      <c r="X144" s="164" t="s">
        <v>498</v>
      </c>
      <c r="Y144" s="143">
        <v>0</v>
      </c>
      <c r="Z144" s="141">
        <v>0</v>
      </c>
      <c r="AA144" s="141">
        <v>0</v>
      </c>
      <c r="AB144" s="141">
        <v>0</v>
      </c>
      <c r="AC144" s="141">
        <v>0</v>
      </c>
      <c r="AD144" s="141">
        <v>0</v>
      </c>
      <c r="AE144" s="141">
        <v>0</v>
      </c>
      <c r="AF144" s="144">
        <v>0</v>
      </c>
      <c r="AG144" s="143">
        <v>0</v>
      </c>
      <c r="AH144" s="141">
        <v>0</v>
      </c>
      <c r="AI144" s="141">
        <v>0</v>
      </c>
      <c r="AJ144" s="141">
        <v>0</v>
      </c>
      <c r="AK144" s="144">
        <v>0</v>
      </c>
      <c r="AL144" s="521"/>
      <c r="AM144" s="164" t="s">
        <v>1876</v>
      </c>
      <c r="AN144" s="165">
        <v>0</v>
      </c>
      <c r="AO144" s="166">
        <v>0</v>
      </c>
      <c r="AP144" s="166">
        <v>0</v>
      </c>
      <c r="AQ144" s="166">
        <v>0</v>
      </c>
      <c r="AR144" s="166">
        <v>0</v>
      </c>
      <c r="AS144" s="166">
        <v>0</v>
      </c>
      <c r="AT144" s="166">
        <v>0</v>
      </c>
      <c r="AU144" s="167">
        <v>0</v>
      </c>
      <c r="AV144" s="165">
        <v>0</v>
      </c>
      <c r="AW144" s="166">
        <v>0</v>
      </c>
      <c r="AX144" s="166">
        <v>0</v>
      </c>
      <c r="AY144" s="166">
        <v>0</v>
      </c>
      <c r="AZ144" s="167">
        <v>0</v>
      </c>
    </row>
    <row r="145" spans="1:52" s="98" customFormat="1" ht="15" customHeight="1">
      <c r="A145" s="99"/>
      <c r="B145" s="181"/>
      <c r="C145" s="182"/>
      <c r="D145" s="183"/>
      <c r="E145" s="183"/>
      <c r="F145" s="183"/>
      <c r="G145" s="184"/>
      <c r="H145" s="184"/>
      <c r="I145" s="185"/>
      <c r="J145" s="161"/>
      <c r="K145" s="185"/>
      <c r="L145" s="185"/>
      <c r="M145" s="185"/>
      <c r="N145" s="185"/>
      <c r="O145" s="185"/>
      <c r="P145" s="185"/>
      <c r="Q145" s="215"/>
      <c r="R145" s="161"/>
      <c r="S145" s="185"/>
      <c r="T145" s="185"/>
      <c r="U145" s="185"/>
      <c r="V145" s="215"/>
      <c r="W145" s="184"/>
      <c r="X145" s="507"/>
      <c r="Y145" s="519"/>
      <c r="Z145" s="507"/>
      <c r="AA145" s="507"/>
      <c r="AB145" s="507"/>
      <c r="AC145" s="507"/>
      <c r="AD145" s="507"/>
      <c r="AE145" s="507"/>
      <c r="AF145" s="520"/>
      <c r="AG145" s="519"/>
      <c r="AH145" s="507"/>
      <c r="AI145" s="507"/>
      <c r="AJ145" s="507"/>
      <c r="AK145" s="520"/>
      <c r="AL145" s="184"/>
      <c r="AM145" s="185"/>
      <c r="AN145" s="161"/>
      <c r="AO145" s="185"/>
      <c r="AP145" s="185"/>
      <c r="AQ145" s="185"/>
      <c r="AR145" s="185"/>
      <c r="AS145" s="185"/>
      <c r="AT145" s="185"/>
      <c r="AU145" s="215"/>
      <c r="AV145" s="161"/>
      <c r="AW145" s="185"/>
      <c r="AX145" s="185"/>
      <c r="AY145" s="185"/>
      <c r="AZ145" s="215"/>
    </row>
    <row r="146" spans="1:52" s="98" customFormat="1" ht="15" customHeight="1">
      <c r="A146" s="99"/>
      <c r="B146" s="181"/>
      <c r="C146" s="506" t="s">
        <v>2536</v>
      </c>
      <c r="D146" s="183"/>
      <c r="E146" s="183"/>
      <c r="F146" s="183"/>
      <c r="G146" s="507"/>
      <c r="H146" s="507"/>
      <c r="I146" s="507"/>
      <c r="J146" s="519"/>
      <c r="K146" s="507"/>
      <c r="L146" s="507"/>
      <c r="M146" s="507"/>
      <c r="N146" s="507"/>
      <c r="O146" s="507"/>
      <c r="P146" s="507"/>
      <c r="Q146" s="520"/>
      <c r="R146" s="519"/>
      <c r="S146" s="507"/>
      <c r="T146" s="507"/>
      <c r="U146" s="507"/>
      <c r="V146" s="520"/>
      <c r="W146" s="507"/>
      <c r="X146" s="507"/>
      <c r="Y146" s="519"/>
      <c r="Z146" s="507"/>
      <c r="AA146" s="507"/>
      <c r="AB146" s="507"/>
      <c r="AC146" s="507"/>
      <c r="AD146" s="507"/>
      <c r="AE146" s="507"/>
      <c r="AF146" s="520"/>
      <c r="AG146" s="519"/>
      <c r="AH146" s="507"/>
      <c r="AI146" s="507"/>
      <c r="AJ146" s="507"/>
      <c r="AK146" s="520"/>
      <c r="AL146" s="507"/>
      <c r="AM146" s="164" t="s">
        <v>2537</v>
      </c>
      <c r="AN146" s="764">
        <v>0</v>
      </c>
      <c r="AO146" s="765">
        <v>0</v>
      </c>
      <c r="AP146" s="765">
        <v>0</v>
      </c>
      <c r="AQ146" s="765">
        <v>0</v>
      </c>
      <c r="AR146" s="765">
        <v>0</v>
      </c>
      <c r="AS146" s="765">
        <v>0</v>
      </c>
      <c r="AT146" s="765">
        <v>0</v>
      </c>
      <c r="AU146" s="766">
        <v>0</v>
      </c>
      <c r="AV146" s="764">
        <v>0</v>
      </c>
      <c r="AW146" s="765">
        <v>0</v>
      </c>
      <c r="AX146" s="765">
        <v>0</v>
      </c>
      <c r="AY146" s="765">
        <v>0</v>
      </c>
      <c r="AZ146" s="766">
        <v>0</v>
      </c>
    </row>
    <row r="147" spans="1:52" s="98" customFormat="1" ht="15" customHeight="1">
      <c r="A147" s="99"/>
      <c r="B147" s="181"/>
      <c r="C147" s="506"/>
      <c r="D147" s="183"/>
      <c r="E147" s="183"/>
      <c r="F147" s="183"/>
      <c r="G147" s="507"/>
      <c r="H147" s="507"/>
      <c r="I147" s="507"/>
      <c r="J147" s="519"/>
      <c r="K147" s="507"/>
      <c r="L147" s="507"/>
      <c r="M147" s="507"/>
      <c r="N147" s="507"/>
      <c r="O147" s="507"/>
      <c r="P147" s="507"/>
      <c r="Q147" s="520"/>
      <c r="R147" s="519"/>
      <c r="S147" s="507"/>
      <c r="T147" s="507"/>
      <c r="U147" s="507"/>
      <c r="V147" s="520"/>
      <c r="W147" s="507"/>
      <c r="X147" s="507"/>
      <c r="Y147" s="519"/>
      <c r="Z147" s="507"/>
      <c r="AA147" s="507"/>
      <c r="AB147" s="507"/>
      <c r="AC147" s="507"/>
      <c r="AD147" s="507"/>
      <c r="AE147" s="507"/>
      <c r="AF147" s="520"/>
      <c r="AG147" s="519"/>
      <c r="AH147" s="507"/>
      <c r="AI147" s="507"/>
      <c r="AJ147" s="507"/>
      <c r="AK147" s="520"/>
      <c r="AL147" s="507"/>
      <c r="AM147" s="507"/>
      <c r="AN147" s="519"/>
      <c r="AO147" s="507"/>
      <c r="AP147" s="507"/>
      <c r="AQ147" s="507"/>
      <c r="AR147" s="507"/>
      <c r="AS147" s="507"/>
      <c r="AT147" s="507"/>
      <c r="AU147" s="520"/>
      <c r="AV147" s="519"/>
      <c r="AW147" s="507"/>
      <c r="AX147" s="507"/>
      <c r="AY147" s="507"/>
      <c r="AZ147" s="520"/>
    </row>
    <row r="148" spans="1:52" s="98" customFormat="1" ht="15" customHeight="1" thickBot="1">
      <c r="A148" s="99"/>
      <c r="B148" s="191" t="s">
        <v>1701</v>
      </c>
      <c r="C148" s="534"/>
      <c r="D148" s="534"/>
      <c r="E148" s="534"/>
      <c r="F148" s="534"/>
      <c r="G148" s="535"/>
      <c r="H148" s="535"/>
      <c r="I148" s="195" t="s">
        <v>498</v>
      </c>
      <c r="J148" s="717">
        <f>SUM(J143:J144)</f>
        <v>0</v>
      </c>
      <c r="K148" s="718">
        <f t="shared" ref="K148:V148" si="59">SUM(K143:K144)</f>
        <v>0</v>
      </c>
      <c r="L148" s="718">
        <f t="shared" si="59"/>
        <v>0</v>
      </c>
      <c r="M148" s="718">
        <f t="shared" si="59"/>
        <v>0</v>
      </c>
      <c r="N148" s="718">
        <f t="shared" si="59"/>
        <v>0</v>
      </c>
      <c r="O148" s="718">
        <f t="shared" si="59"/>
        <v>0</v>
      </c>
      <c r="P148" s="718">
        <f t="shared" si="59"/>
        <v>0</v>
      </c>
      <c r="Q148" s="719">
        <f t="shared" si="59"/>
        <v>0</v>
      </c>
      <c r="R148" s="717">
        <f t="shared" si="59"/>
        <v>0</v>
      </c>
      <c r="S148" s="718">
        <f t="shared" si="59"/>
        <v>0</v>
      </c>
      <c r="T148" s="718">
        <f t="shared" si="59"/>
        <v>0</v>
      </c>
      <c r="U148" s="718">
        <f t="shared" si="59"/>
        <v>0</v>
      </c>
      <c r="V148" s="719">
        <f t="shared" si="59"/>
        <v>0</v>
      </c>
      <c r="W148" s="535"/>
      <c r="X148" s="195" t="s">
        <v>498</v>
      </c>
      <c r="Y148" s="717">
        <f>SUM(Y143:Y144)</f>
        <v>0</v>
      </c>
      <c r="Z148" s="718">
        <f t="shared" ref="Z148:AK148" si="60">SUM(Z143:Z144)</f>
        <v>0</v>
      </c>
      <c r="AA148" s="718">
        <f t="shared" si="60"/>
        <v>0</v>
      </c>
      <c r="AB148" s="718">
        <f t="shared" si="60"/>
        <v>0</v>
      </c>
      <c r="AC148" s="718">
        <f t="shared" si="60"/>
        <v>0</v>
      </c>
      <c r="AD148" s="718">
        <f t="shared" si="60"/>
        <v>0</v>
      </c>
      <c r="AE148" s="718">
        <f t="shared" si="60"/>
        <v>0</v>
      </c>
      <c r="AF148" s="719">
        <f t="shared" si="60"/>
        <v>0</v>
      </c>
      <c r="AG148" s="717">
        <f t="shared" si="60"/>
        <v>0</v>
      </c>
      <c r="AH148" s="718">
        <f t="shared" si="60"/>
        <v>0</v>
      </c>
      <c r="AI148" s="718">
        <f t="shared" si="60"/>
        <v>0</v>
      </c>
      <c r="AJ148" s="718">
        <f t="shared" si="60"/>
        <v>0</v>
      </c>
      <c r="AK148" s="719">
        <f t="shared" si="60"/>
        <v>0</v>
      </c>
      <c r="AL148" s="535"/>
      <c r="AM148" s="513"/>
      <c r="AN148" s="511"/>
      <c r="AO148" s="513"/>
      <c r="AP148" s="513"/>
      <c r="AQ148" s="513"/>
      <c r="AR148" s="513"/>
      <c r="AS148" s="513"/>
      <c r="AT148" s="513"/>
      <c r="AU148" s="862"/>
      <c r="AV148" s="511"/>
      <c r="AW148" s="513"/>
      <c r="AX148" s="513"/>
      <c r="AY148" s="513"/>
      <c r="AZ148" s="862"/>
    </row>
    <row r="149" spans="1:52" ht="13.5" thickBot="1"/>
    <row r="150" spans="1:52" s="487" customFormat="1" ht="30" customHeight="1" thickBot="1">
      <c r="A150" s="254"/>
      <c r="B150" s="842" t="s">
        <v>2543</v>
      </c>
      <c r="C150" s="488"/>
      <c r="D150" s="488"/>
      <c r="E150" s="488"/>
      <c r="F150" s="488"/>
      <c r="G150" s="489"/>
      <c r="H150" s="489"/>
      <c r="I150" s="2532"/>
      <c r="J150" s="2532"/>
      <c r="K150" s="2532"/>
      <c r="L150" s="2532"/>
      <c r="M150" s="2532"/>
      <c r="N150" s="2532"/>
      <c r="O150" s="2532"/>
      <c r="P150" s="2532"/>
      <c r="Q150" s="2532"/>
      <c r="R150" s="2532"/>
      <c r="S150" s="2532"/>
      <c r="T150" s="2532"/>
      <c r="U150" s="2532"/>
      <c r="V150" s="2532"/>
      <c r="W150" s="489"/>
      <c r="X150" s="2532"/>
      <c r="Y150" s="2532"/>
      <c r="Z150" s="2532"/>
      <c r="AA150" s="2532"/>
      <c r="AB150" s="2532"/>
      <c r="AC150" s="2532"/>
      <c r="AD150" s="2532"/>
      <c r="AE150" s="2532"/>
      <c r="AF150" s="2532"/>
      <c r="AG150" s="2532"/>
      <c r="AH150" s="2532"/>
      <c r="AI150" s="2532"/>
      <c r="AJ150" s="2532"/>
      <c r="AK150" s="2532"/>
      <c r="AL150" s="489"/>
      <c r="AM150" s="490" t="s">
        <v>2231</v>
      </c>
      <c r="AN150" s="491"/>
      <c r="AO150" s="491"/>
      <c r="AP150" s="491"/>
      <c r="AQ150" s="491"/>
      <c r="AR150" s="491"/>
      <c r="AS150" s="491"/>
      <c r="AT150" s="491"/>
      <c r="AU150" s="491"/>
      <c r="AV150" s="491"/>
      <c r="AW150" s="491"/>
      <c r="AX150" s="491"/>
      <c r="AY150" s="491"/>
      <c r="AZ150" s="492"/>
    </row>
    <row r="151" spans="1:52" s="157" customFormat="1" ht="30" customHeight="1">
      <c r="A151" s="99"/>
      <c r="B151" s="494"/>
      <c r="C151" s="495"/>
      <c r="D151" s="495"/>
      <c r="E151" s="495"/>
      <c r="F151" s="495"/>
      <c r="G151" s="496"/>
      <c r="H151" s="222"/>
      <c r="I151" s="1690"/>
      <c r="J151" s="1690"/>
      <c r="K151" s="1690"/>
      <c r="L151" s="1690"/>
      <c r="M151" s="1690"/>
      <c r="N151" s="1690"/>
      <c r="O151" s="1690"/>
      <c r="P151" s="1690"/>
      <c r="Q151" s="1690"/>
      <c r="R151" s="1690"/>
      <c r="S151" s="1690"/>
      <c r="T151" s="1690"/>
      <c r="U151" s="1690"/>
      <c r="V151" s="1690"/>
      <c r="W151" s="222"/>
      <c r="X151" s="1690"/>
      <c r="Y151" s="1690"/>
      <c r="Z151" s="1690"/>
      <c r="AA151" s="1690"/>
      <c r="AB151" s="1690"/>
      <c r="AC151" s="1690"/>
      <c r="AD151" s="1690"/>
      <c r="AE151" s="1690"/>
      <c r="AF151" s="1690"/>
      <c r="AG151" s="1690"/>
      <c r="AH151" s="1690"/>
      <c r="AI151" s="1690"/>
      <c r="AJ151" s="1690"/>
      <c r="AK151" s="1690"/>
      <c r="AL151" s="496"/>
      <c r="AM151" s="507"/>
      <c r="AN151" s="843" t="s">
        <v>1666</v>
      </c>
      <c r="AO151" s="498"/>
      <c r="AP151" s="498"/>
      <c r="AQ151" s="498"/>
      <c r="AR151" s="498"/>
      <c r="AS151" s="498"/>
      <c r="AT151" s="498"/>
      <c r="AU151" s="499"/>
      <c r="AV151" s="863" t="s">
        <v>2</v>
      </c>
      <c r="AW151" s="501"/>
      <c r="AX151" s="501"/>
      <c r="AY151" s="501"/>
      <c r="AZ151" s="502"/>
    </row>
    <row r="152" spans="1:52" s="98" customFormat="1" ht="15" customHeight="1">
      <c r="A152" s="99"/>
      <c r="B152" s="505"/>
      <c r="C152" s="506"/>
      <c r="D152" s="506"/>
      <c r="E152" s="506"/>
      <c r="F152" s="506"/>
      <c r="G152" s="507"/>
      <c r="H152" s="185"/>
      <c r="I152" s="1691"/>
      <c r="J152" s="1691"/>
      <c r="K152" s="1691"/>
      <c r="L152" s="1691"/>
      <c r="M152" s="1691"/>
      <c r="N152" s="1691"/>
      <c r="O152" s="1691"/>
      <c r="P152" s="1691"/>
      <c r="Q152" s="1691"/>
      <c r="R152" s="1691"/>
      <c r="S152" s="1691"/>
      <c r="T152" s="1691"/>
      <c r="U152" s="1691"/>
      <c r="V152" s="1691"/>
      <c r="W152" s="185"/>
      <c r="X152" s="1691"/>
      <c r="Y152" s="1691"/>
      <c r="Z152" s="1691"/>
      <c r="AA152" s="1691"/>
      <c r="AB152" s="1691"/>
      <c r="AC152" s="1691"/>
      <c r="AD152" s="1691"/>
      <c r="AE152" s="1691"/>
      <c r="AF152" s="1691"/>
      <c r="AG152" s="1691"/>
      <c r="AH152" s="1691"/>
      <c r="AI152" s="1691"/>
      <c r="AJ152" s="1691"/>
      <c r="AK152" s="1691"/>
      <c r="AL152" s="507"/>
      <c r="AM152" s="265" t="s">
        <v>1667</v>
      </c>
      <c r="AN152" s="518" t="s">
        <v>453</v>
      </c>
      <c r="AO152" s="515" t="s">
        <v>455</v>
      </c>
      <c r="AP152" s="515" t="s">
        <v>457</v>
      </c>
      <c r="AQ152" s="515" t="s">
        <v>459</v>
      </c>
      <c r="AR152" s="515" t="s">
        <v>461</v>
      </c>
      <c r="AS152" s="515" t="s">
        <v>463</v>
      </c>
      <c r="AT152" s="515" t="s">
        <v>465</v>
      </c>
      <c r="AU152" s="516" t="s">
        <v>467</v>
      </c>
      <c r="AV152" s="533" t="s">
        <v>469</v>
      </c>
      <c r="AW152" s="509" t="s">
        <v>471</v>
      </c>
      <c r="AX152" s="509" t="s">
        <v>473</v>
      </c>
      <c r="AY152" s="509" t="s">
        <v>475</v>
      </c>
      <c r="AZ152" s="510" t="s">
        <v>477</v>
      </c>
    </row>
    <row r="153" spans="1:52" s="98" customFormat="1" ht="15" customHeight="1">
      <c r="A153" s="99"/>
      <c r="B153" s="181"/>
      <c r="C153" s="183"/>
      <c r="D153" s="183"/>
      <c r="E153" s="183"/>
      <c r="F153" s="183"/>
      <c r="G153" s="507"/>
      <c r="H153" s="185"/>
      <c r="I153" s="1691"/>
      <c r="J153" s="1691"/>
      <c r="K153" s="1691"/>
      <c r="L153" s="1691"/>
      <c r="M153" s="1691"/>
      <c r="N153" s="1691"/>
      <c r="O153" s="1691"/>
      <c r="P153" s="1691"/>
      <c r="Q153" s="1691"/>
      <c r="R153" s="1691"/>
      <c r="S153" s="1691"/>
      <c r="T153" s="1691"/>
      <c r="U153" s="1691"/>
      <c r="V153" s="1691"/>
      <c r="W153" s="185"/>
      <c r="X153" s="1691"/>
      <c r="Y153" s="1691"/>
      <c r="Z153" s="1691"/>
      <c r="AA153" s="1691"/>
      <c r="AB153" s="1691"/>
      <c r="AC153" s="1691"/>
      <c r="AD153" s="1691"/>
      <c r="AE153" s="1691"/>
      <c r="AF153" s="1691"/>
      <c r="AG153" s="1691"/>
      <c r="AH153" s="1691"/>
      <c r="AI153" s="1691"/>
      <c r="AJ153" s="1691"/>
      <c r="AK153" s="1691"/>
      <c r="AL153" s="507"/>
      <c r="AM153" s="507"/>
      <c r="AN153" s="519"/>
      <c r="AO153" s="507"/>
      <c r="AP153" s="507"/>
      <c r="AQ153" s="507"/>
      <c r="AR153" s="507"/>
      <c r="AS153" s="507"/>
      <c r="AT153" s="507"/>
      <c r="AU153" s="520"/>
      <c r="AV153" s="507"/>
      <c r="AW153" s="507"/>
      <c r="AX153" s="507"/>
      <c r="AY153" s="507"/>
      <c r="AZ153" s="520"/>
    </row>
    <row r="154" spans="1:52" s="98" customFormat="1" ht="15" customHeight="1">
      <c r="A154" s="99"/>
      <c r="B154" s="161"/>
      <c r="C154" s="506" t="s">
        <v>1843</v>
      </c>
      <c r="D154" s="506"/>
      <c r="E154" s="506"/>
      <c r="F154" s="506"/>
      <c r="G154" s="507"/>
      <c r="H154" s="185"/>
      <c r="I154" s="1691"/>
      <c r="J154" s="1691"/>
      <c r="K154" s="1691"/>
      <c r="L154" s="1691"/>
      <c r="M154" s="1691"/>
      <c r="N154" s="1691"/>
      <c r="O154" s="1691"/>
      <c r="P154" s="1691"/>
      <c r="Q154" s="1691"/>
      <c r="R154" s="1691"/>
      <c r="S154" s="1691"/>
      <c r="T154" s="1691"/>
      <c r="U154" s="1691"/>
      <c r="V154" s="1691"/>
      <c r="W154" s="185"/>
      <c r="X154" s="1691"/>
      <c r="Y154" s="1691"/>
      <c r="Z154" s="1691"/>
      <c r="AA154" s="1691"/>
      <c r="AB154" s="1691"/>
      <c r="AC154" s="1691"/>
      <c r="AD154" s="1691"/>
      <c r="AE154" s="1691"/>
      <c r="AF154" s="1691"/>
      <c r="AG154" s="1691"/>
      <c r="AH154" s="1691"/>
      <c r="AI154" s="1691"/>
      <c r="AJ154" s="1691"/>
      <c r="AK154" s="1691"/>
      <c r="AL154" s="507"/>
      <c r="AM154" s="507"/>
      <c r="AN154" s="519"/>
      <c r="AO154" s="507"/>
      <c r="AP154" s="507"/>
      <c r="AQ154" s="507"/>
      <c r="AR154" s="507"/>
      <c r="AS154" s="507"/>
      <c r="AT154" s="507"/>
      <c r="AU154" s="520"/>
      <c r="AV154" s="507"/>
      <c r="AW154" s="507"/>
      <c r="AX154" s="507"/>
      <c r="AY154" s="507"/>
      <c r="AZ154" s="520"/>
    </row>
    <row r="155" spans="1:52" s="98" customFormat="1" ht="15" customHeight="1">
      <c r="A155" s="99"/>
      <c r="B155" s="161"/>
      <c r="C155" s="182"/>
      <c r="D155" s="182" t="s">
        <v>2521</v>
      </c>
      <c r="E155" s="182"/>
      <c r="F155" s="182"/>
      <c r="G155" s="521"/>
      <c r="H155" s="185"/>
      <c r="I155" s="1691"/>
      <c r="J155" s="1691"/>
      <c r="K155" s="1691"/>
      <c r="L155" s="1691"/>
      <c r="M155" s="1691"/>
      <c r="N155" s="1691"/>
      <c r="O155" s="1691"/>
      <c r="P155" s="1691"/>
      <c r="Q155" s="1691"/>
      <c r="R155" s="1691"/>
      <c r="S155" s="1691"/>
      <c r="T155" s="1691"/>
      <c r="U155" s="1691"/>
      <c r="V155" s="1691"/>
      <c r="W155" s="185"/>
      <c r="X155" s="1691"/>
      <c r="Y155" s="1691"/>
      <c r="Z155" s="1691"/>
      <c r="AA155" s="1691"/>
      <c r="AB155" s="1691"/>
      <c r="AC155" s="1691"/>
      <c r="AD155" s="1691"/>
      <c r="AE155" s="1691"/>
      <c r="AF155" s="1691"/>
      <c r="AG155" s="1691"/>
      <c r="AH155" s="1691"/>
      <c r="AI155" s="1691"/>
      <c r="AJ155" s="1691"/>
      <c r="AK155" s="1691"/>
      <c r="AL155" s="521"/>
      <c r="AM155" s="164" t="s">
        <v>1876</v>
      </c>
      <c r="AN155" s="165">
        <v>0</v>
      </c>
      <c r="AO155" s="166">
        <v>0</v>
      </c>
      <c r="AP155" s="166">
        <v>0</v>
      </c>
      <c r="AQ155" s="166">
        <v>0</v>
      </c>
      <c r="AR155" s="166">
        <v>0</v>
      </c>
      <c r="AS155" s="166">
        <v>0</v>
      </c>
      <c r="AT155" s="166">
        <v>0</v>
      </c>
      <c r="AU155" s="167">
        <v>0</v>
      </c>
      <c r="AV155" s="238">
        <v>0</v>
      </c>
      <c r="AW155" s="166">
        <v>0</v>
      </c>
      <c r="AX155" s="166">
        <v>0</v>
      </c>
      <c r="AY155" s="166">
        <v>0</v>
      </c>
      <c r="AZ155" s="167">
        <v>0</v>
      </c>
    </row>
    <row r="156" spans="1:52" s="98" customFormat="1" ht="15" customHeight="1">
      <c r="A156" s="99"/>
      <c r="B156" s="161"/>
      <c r="C156" s="182"/>
      <c r="D156" s="182" t="s">
        <v>2427</v>
      </c>
      <c r="E156" s="182"/>
      <c r="F156" s="182"/>
      <c r="G156" s="521"/>
      <c r="H156" s="185"/>
      <c r="I156" s="1691"/>
      <c r="J156" s="1691"/>
      <c r="K156" s="1691"/>
      <c r="L156" s="1691"/>
      <c r="M156" s="1691"/>
      <c r="N156" s="1691"/>
      <c r="O156" s="1691"/>
      <c r="P156" s="1691"/>
      <c r="Q156" s="1691"/>
      <c r="R156" s="1691"/>
      <c r="S156" s="1691"/>
      <c r="T156" s="1691"/>
      <c r="U156" s="1691"/>
      <c r="V156" s="1691"/>
      <c r="W156" s="185"/>
      <c r="X156" s="1691"/>
      <c r="Y156" s="1691"/>
      <c r="Z156" s="1691"/>
      <c r="AA156" s="1691"/>
      <c r="AB156" s="1691"/>
      <c r="AC156" s="1691"/>
      <c r="AD156" s="1691"/>
      <c r="AE156" s="1691"/>
      <c r="AF156" s="1691"/>
      <c r="AG156" s="1691"/>
      <c r="AH156" s="1691"/>
      <c r="AI156" s="1691"/>
      <c r="AJ156" s="1691"/>
      <c r="AK156" s="1691"/>
      <c r="AL156" s="521"/>
      <c r="AM156" s="164" t="s">
        <v>1876</v>
      </c>
      <c r="AN156" s="165">
        <v>0</v>
      </c>
      <c r="AO156" s="166">
        <v>0</v>
      </c>
      <c r="AP156" s="166">
        <v>0</v>
      </c>
      <c r="AQ156" s="166">
        <v>0</v>
      </c>
      <c r="AR156" s="166">
        <v>0</v>
      </c>
      <c r="AS156" s="166">
        <v>0</v>
      </c>
      <c r="AT156" s="166">
        <v>0</v>
      </c>
      <c r="AU156" s="167">
        <v>0</v>
      </c>
      <c r="AV156" s="238">
        <v>0</v>
      </c>
      <c r="AW156" s="166">
        <v>0</v>
      </c>
      <c r="AX156" s="166">
        <v>0</v>
      </c>
      <c r="AY156" s="166">
        <v>0</v>
      </c>
      <c r="AZ156" s="167">
        <v>0</v>
      </c>
    </row>
    <row r="157" spans="1:52" s="98" customFormat="1" ht="15" customHeight="1">
      <c r="A157" s="99"/>
      <c r="B157" s="181"/>
      <c r="C157" s="182" t="s">
        <v>1710</v>
      </c>
      <c r="D157" s="183"/>
      <c r="E157" s="183"/>
      <c r="F157" s="183"/>
      <c r="G157" s="184"/>
      <c r="H157" s="185"/>
      <c r="I157" s="1691"/>
      <c r="J157" s="1691"/>
      <c r="K157" s="1691"/>
      <c r="L157" s="1691"/>
      <c r="M157" s="1691"/>
      <c r="N157" s="1691"/>
      <c r="O157" s="1691"/>
      <c r="P157" s="1691"/>
      <c r="Q157" s="1691"/>
      <c r="R157" s="1691"/>
      <c r="S157" s="1691"/>
      <c r="T157" s="1691"/>
      <c r="U157" s="1691"/>
      <c r="V157" s="1691"/>
      <c r="W157" s="185"/>
      <c r="X157" s="1691"/>
      <c r="Y157" s="1691"/>
      <c r="Z157" s="1691"/>
      <c r="AA157" s="1691"/>
      <c r="AB157" s="1691"/>
      <c r="AC157" s="1691"/>
      <c r="AD157" s="1691"/>
      <c r="AE157" s="1691"/>
      <c r="AF157" s="1691"/>
      <c r="AG157" s="1691"/>
      <c r="AH157" s="1691"/>
      <c r="AI157" s="1691"/>
      <c r="AJ157" s="1691"/>
      <c r="AK157" s="1691"/>
      <c r="AL157" s="184"/>
      <c r="AM157" s="164" t="s">
        <v>1876</v>
      </c>
      <c r="AN157" s="777">
        <f>SUM(AN155:AN156)</f>
        <v>0</v>
      </c>
      <c r="AO157" s="778">
        <f t="shared" ref="AO157:AZ157" si="61">SUM(AO155:AO156)</f>
        <v>0</v>
      </c>
      <c r="AP157" s="778">
        <f t="shared" si="61"/>
        <v>0</v>
      </c>
      <c r="AQ157" s="778">
        <f t="shared" si="61"/>
        <v>0</v>
      </c>
      <c r="AR157" s="778">
        <f t="shared" si="61"/>
        <v>0</v>
      </c>
      <c r="AS157" s="778">
        <f t="shared" si="61"/>
        <v>0</v>
      </c>
      <c r="AT157" s="778">
        <f t="shared" si="61"/>
        <v>0</v>
      </c>
      <c r="AU157" s="779">
        <f t="shared" si="61"/>
        <v>0</v>
      </c>
      <c r="AV157" s="904">
        <f t="shared" si="61"/>
        <v>0</v>
      </c>
      <c r="AW157" s="778">
        <f t="shared" si="61"/>
        <v>0</v>
      </c>
      <c r="AX157" s="778">
        <f t="shared" si="61"/>
        <v>0</v>
      </c>
      <c r="AY157" s="778">
        <f t="shared" si="61"/>
        <v>0</v>
      </c>
      <c r="AZ157" s="779">
        <f t="shared" si="61"/>
        <v>0</v>
      </c>
    </row>
    <row r="158" spans="1:52" s="98" customFormat="1" ht="15" customHeight="1">
      <c r="A158" s="99"/>
      <c r="B158" s="181"/>
      <c r="C158" s="183"/>
      <c r="D158" s="183"/>
      <c r="E158" s="183"/>
      <c r="F158" s="183"/>
      <c r="G158" s="507"/>
      <c r="H158" s="185"/>
      <c r="I158" s="1691"/>
      <c r="J158" s="1691"/>
      <c r="K158" s="1691"/>
      <c r="L158" s="1691"/>
      <c r="M158" s="1691"/>
      <c r="N158" s="1691"/>
      <c r="O158" s="1691"/>
      <c r="P158" s="1691"/>
      <c r="Q158" s="1691"/>
      <c r="R158" s="1691"/>
      <c r="S158" s="1691"/>
      <c r="T158" s="1691"/>
      <c r="U158" s="1691"/>
      <c r="V158" s="1691"/>
      <c r="W158" s="185"/>
      <c r="X158" s="1691"/>
      <c r="Y158" s="1691"/>
      <c r="Z158" s="1691"/>
      <c r="AA158" s="1691"/>
      <c r="AB158" s="1691"/>
      <c r="AC158" s="1691"/>
      <c r="AD158" s="1691"/>
      <c r="AE158" s="1691"/>
      <c r="AF158" s="1691"/>
      <c r="AG158" s="1691"/>
      <c r="AH158" s="1691"/>
      <c r="AI158" s="1691"/>
      <c r="AJ158" s="1691"/>
      <c r="AK158" s="1691"/>
      <c r="AL158" s="507"/>
      <c r="AM158" s="507"/>
      <c r="AN158" s="519"/>
      <c r="AO158" s="507"/>
      <c r="AP158" s="507"/>
      <c r="AQ158" s="507"/>
      <c r="AR158" s="507"/>
      <c r="AS158" s="507"/>
      <c r="AT158" s="507"/>
      <c r="AU158" s="520"/>
      <c r="AV158" s="507"/>
      <c r="AW158" s="507"/>
      <c r="AX158" s="507"/>
      <c r="AY158" s="507"/>
      <c r="AZ158" s="520"/>
    </row>
    <row r="159" spans="1:52" s="98" customFormat="1" ht="15" customHeight="1" thickBot="1">
      <c r="A159" s="99"/>
      <c r="B159" s="191"/>
      <c r="C159" s="534" t="s">
        <v>2536</v>
      </c>
      <c r="D159" s="534"/>
      <c r="E159" s="534"/>
      <c r="F159" s="534"/>
      <c r="G159" s="535"/>
      <c r="H159" s="192"/>
      <c r="I159" s="1692"/>
      <c r="J159" s="1692"/>
      <c r="K159" s="1692"/>
      <c r="L159" s="1692"/>
      <c r="M159" s="1692"/>
      <c r="N159" s="1692"/>
      <c r="O159" s="1692"/>
      <c r="P159" s="1692"/>
      <c r="Q159" s="1692"/>
      <c r="R159" s="1692"/>
      <c r="S159" s="1692"/>
      <c r="T159" s="1692"/>
      <c r="U159" s="1692"/>
      <c r="V159" s="1692"/>
      <c r="W159" s="192"/>
      <c r="X159" s="1692"/>
      <c r="Y159" s="1692"/>
      <c r="Z159" s="1692"/>
      <c r="AA159" s="1692"/>
      <c r="AB159" s="1692"/>
      <c r="AC159" s="1692"/>
      <c r="AD159" s="1692"/>
      <c r="AE159" s="1692"/>
      <c r="AF159" s="1692"/>
      <c r="AG159" s="1692"/>
      <c r="AH159" s="1692"/>
      <c r="AI159" s="1692"/>
      <c r="AJ159" s="1692"/>
      <c r="AK159" s="1692"/>
      <c r="AL159" s="535"/>
      <c r="AM159" s="195" t="s">
        <v>2537</v>
      </c>
      <c r="AN159" s="854">
        <v>0</v>
      </c>
      <c r="AO159" s="855">
        <v>0</v>
      </c>
      <c r="AP159" s="855">
        <v>0</v>
      </c>
      <c r="AQ159" s="855">
        <v>0</v>
      </c>
      <c r="AR159" s="855">
        <v>0</v>
      </c>
      <c r="AS159" s="855">
        <v>0</v>
      </c>
      <c r="AT159" s="855">
        <v>0</v>
      </c>
      <c r="AU159" s="856">
        <v>0</v>
      </c>
      <c r="AV159" s="864">
        <v>0</v>
      </c>
      <c r="AW159" s="855">
        <v>0</v>
      </c>
      <c r="AX159" s="855">
        <v>0</v>
      </c>
      <c r="AY159" s="855">
        <v>0</v>
      </c>
      <c r="AZ159" s="856">
        <v>0</v>
      </c>
    </row>
    <row r="160" spans="1:52" ht="13.5" thickBot="1"/>
    <row r="161" spans="1:79" s="487" customFormat="1" ht="30" customHeight="1" thickBot="1">
      <c r="A161" s="254"/>
      <c r="B161" s="842" t="s">
        <v>2544</v>
      </c>
      <c r="C161" s="488"/>
      <c r="D161" s="488"/>
      <c r="E161" s="488"/>
      <c r="F161" s="488"/>
      <c r="G161" s="489"/>
      <c r="H161" s="489"/>
      <c r="I161" s="2532"/>
      <c r="J161" s="2532"/>
      <c r="K161" s="2532"/>
      <c r="L161" s="2532"/>
      <c r="M161" s="2532"/>
      <c r="N161" s="2532"/>
      <c r="O161" s="2532"/>
      <c r="P161" s="2532"/>
      <c r="Q161" s="2532"/>
      <c r="R161" s="2532"/>
      <c r="S161" s="2532"/>
      <c r="T161" s="2532"/>
      <c r="U161" s="2532"/>
      <c r="V161" s="2532"/>
      <c r="W161" s="672"/>
      <c r="X161" s="2532"/>
      <c r="Y161" s="2532"/>
      <c r="Z161" s="2532"/>
      <c r="AA161" s="2532"/>
      <c r="AB161" s="2532"/>
      <c r="AC161" s="2532"/>
      <c r="AD161" s="2532"/>
      <c r="AE161" s="2532"/>
      <c r="AF161" s="2532"/>
      <c r="AG161" s="2532"/>
      <c r="AH161" s="2532"/>
      <c r="AI161" s="2532"/>
      <c r="AJ161" s="2532"/>
      <c r="AK161" s="2532"/>
      <c r="AL161" s="489"/>
      <c r="AM161" s="490" t="s">
        <v>2231</v>
      </c>
      <c r="AN161" s="491"/>
      <c r="AO161" s="491"/>
      <c r="AP161" s="491"/>
      <c r="AQ161" s="491"/>
      <c r="AR161" s="491"/>
      <c r="AS161" s="491"/>
      <c r="AT161" s="491"/>
      <c r="AU161" s="491"/>
      <c r="AV161" s="491"/>
      <c r="AW161" s="491"/>
      <c r="AX161" s="491"/>
      <c r="AY161" s="491"/>
      <c r="AZ161" s="492"/>
      <c r="BB161" s="173"/>
      <c r="BC161" s="173"/>
      <c r="BD161" s="173"/>
      <c r="BE161" s="173"/>
      <c r="BF161" s="173"/>
      <c r="BG161" s="173"/>
      <c r="BH161" s="173"/>
      <c r="BI161" s="173"/>
      <c r="BJ161" s="173"/>
      <c r="BK161" s="173"/>
      <c r="BL161" s="173"/>
      <c r="BM161" s="173"/>
      <c r="BN161" s="173"/>
      <c r="BO161" s="173"/>
      <c r="BP161" s="173"/>
      <c r="BQ161" s="173"/>
      <c r="BR161" s="173"/>
      <c r="BS161" s="173"/>
      <c r="BT161" s="173"/>
      <c r="BU161" s="173"/>
      <c r="BV161" s="173"/>
      <c r="BW161" s="173"/>
      <c r="BX161" s="173"/>
      <c r="BY161" s="173"/>
      <c r="BZ161" s="173"/>
      <c r="CA161" s="173"/>
    </row>
    <row r="162" spans="1:79" s="539" customFormat="1" ht="30" customHeight="1">
      <c r="A162" s="536"/>
      <c r="B162" s="537"/>
      <c r="C162" s="538"/>
      <c r="D162" s="538"/>
      <c r="E162" s="538"/>
      <c r="F162" s="538"/>
      <c r="G162" s="526"/>
      <c r="H162" s="526"/>
      <c r="I162" s="1691"/>
      <c r="J162" s="1691"/>
      <c r="K162" s="1691"/>
      <c r="L162" s="1691"/>
      <c r="M162" s="1691"/>
      <c r="N162" s="1691"/>
      <c r="O162" s="1691"/>
      <c r="P162" s="1691"/>
      <c r="Q162" s="1691"/>
      <c r="R162" s="1691"/>
      <c r="S162" s="1691"/>
      <c r="T162" s="1691"/>
      <c r="U162" s="1691"/>
      <c r="V162" s="1691"/>
      <c r="W162" s="660"/>
      <c r="X162" s="1691"/>
      <c r="Y162" s="1691"/>
      <c r="Z162" s="1691"/>
      <c r="AA162" s="1691"/>
      <c r="AB162" s="1691"/>
      <c r="AC162" s="1691"/>
      <c r="AD162" s="1691"/>
      <c r="AE162" s="1691"/>
      <c r="AF162" s="1691"/>
      <c r="AG162" s="1691"/>
      <c r="AH162" s="1691"/>
      <c r="AI162" s="1691"/>
      <c r="AJ162" s="1691"/>
      <c r="AK162" s="1691"/>
      <c r="AL162" s="526"/>
      <c r="AM162" s="507"/>
      <c r="AN162" s="843" t="s">
        <v>1666</v>
      </c>
      <c r="AO162" s="498"/>
      <c r="AP162" s="498"/>
      <c r="AQ162" s="498"/>
      <c r="AR162" s="498"/>
      <c r="AS162" s="498"/>
      <c r="AT162" s="498"/>
      <c r="AU162" s="499"/>
      <c r="AV162" s="844" t="s">
        <v>2</v>
      </c>
      <c r="AW162" s="501"/>
      <c r="AX162" s="501"/>
      <c r="AY162" s="501"/>
      <c r="AZ162" s="502"/>
      <c r="BB162" s="173"/>
      <c r="BC162" s="173"/>
      <c r="BD162" s="173"/>
      <c r="BE162" s="173"/>
      <c r="BF162" s="173"/>
      <c r="BG162" s="173"/>
      <c r="BH162" s="173"/>
      <c r="BI162" s="173"/>
      <c r="BJ162" s="173"/>
      <c r="BK162" s="173"/>
      <c r="BL162" s="173"/>
      <c r="BM162" s="173"/>
      <c r="BN162" s="173"/>
      <c r="BO162" s="173"/>
      <c r="BP162" s="173"/>
      <c r="BQ162" s="173"/>
      <c r="BR162" s="173"/>
      <c r="BS162" s="173"/>
      <c r="BT162" s="173"/>
      <c r="BU162" s="173"/>
      <c r="BV162" s="173"/>
      <c r="BW162" s="173"/>
      <c r="BX162" s="173"/>
      <c r="BY162" s="173"/>
      <c r="BZ162" s="173"/>
    </row>
    <row r="163" spans="1:79" s="542" customFormat="1" ht="14.25">
      <c r="A163" s="173"/>
      <c r="B163" s="540"/>
      <c r="C163" s="541"/>
      <c r="D163" s="541"/>
      <c r="E163" s="541"/>
      <c r="F163" s="541"/>
      <c r="G163" s="530"/>
      <c r="H163" s="530"/>
      <c r="I163" s="1691"/>
      <c r="J163" s="1691"/>
      <c r="K163" s="1691"/>
      <c r="L163" s="1691"/>
      <c r="M163" s="1691"/>
      <c r="N163" s="1691"/>
      <c r="O163" s="1691"/>
      <c r="P163" s="1691"/>
      <c r="Q163" s="1691"/>
      <c r="R163" s="1691"/>
      <c r="S163" s="1691"/>
      <c r="T163" s="1691"/>
      <c r="U163" s="1691"/>
      <c r="V163" s="1691"/>
      <c r="W163" s="660"/>
      <c r="X163" s="1691"/>
      <c r="Y163" s="1691"/>
      <c r="Z163" s="1691"/>
      <c r="AA163" s="1691"/>
      <c r="AB163" s="1691"/>
      <c r="AC163" s="1691"/>
      <c r="AD163" s="1691"/>
      <c r="AE163" s="1691"/>
      <c r="AF163" s="1691"/>
      <c r="AG163" s="1691"/>
      <c r="AH163" s="1691"/>
      <c r="AI163" s="1691"/>
      <c r="AJ163" s="1691"/>
      <c r="AK163" s="1691"/>
      <c r="AL163" s="530"/>
      <c r="AM163" s="265" t="s">
        <v>1667</v>
      </c>
      <c r="AN163" s="518" t="s">
        <v>453</v>
      </c>
      <c r="AO163" s="515" t="s">
        <v>455</v>
      </c>
      <c r="AP163" s="515" t="s">
        <v>457</v>
      </c>
      <c r="AQ163" s="515" t="s">
        <v>459</v>
      </c>
      <c r="AR163" s="515" t="s">
        <v>461</v>
      </c>
      <c r="AS163" s="515" t="s">
        <v>463</v>
      </c>
      <c r="AT163" s="515" t="s">
        <v>465</v>
      </c>
      <c r="AU163" s="516" t="s">
        <v>467</v>
      </c>
      <c r="AV163" s="508" t="s">
        <v>469</v>
      </c>
      <c r="AW163" s="509" t="s">
        <v>471</v>
      </c>
      <c r="AX163" s="509" t="s">
        <v>473</v>
      </c>
      <c r="AY163" s="509" t="s">
        <v>475</v>
      </c>
      <c r="AZ163" s="510" t="s">
        <v>477</v>
      </c>
      <c r="BB163" s="173"/>
      <c r="BC163" s="173"/>
      <c r="BD163" s="173"/>
      <c r="BE163" s="173"/>
      <c r="BF163" s="173"/>
      <c r="BG163" s="173"/>
      <c r="BH163" s="173"/>
      <c r="BI163" s="173"/>
      <c r="BJ163" s="173"/>
      <c r="BK163" s="173"/>
      <c r="BL163" s="173"/>
      <c r="BM163" s="173"/>
      <c r="BN163" s="173"/>
      <c r="BO163" s="173"/>
      <c r="BP163" s="173"/>
      <c r="BQ163" s="173"/>
      <c r="BR163" s="173"/>
      <c r="BS163" s="173"/>
      <c r="BT163" s="173"/>
      <c r="BU163" s="173"/>
      <c r="BV163" s="173"/>
      <c r="BW163" s="173"/>
      <c r="BX163" s="173"/>
      <c r="BY163" s="173"/>
      <c r="BZ163" s="173"/>
    </row>
    <row r="164" spans="1:79" s="542" customFormat="1" ht="15">
      <c r="A164" s="173"/>
      <c r="B164" s="540"/>
      <c r="C164" s="506" t="s">
        <v>2545</v>
      </c>
      <c r="D164" s="541"/>
      <c r="E164" s="541"/>
      <c r="F164" s="541"/>
      <c r="G164" s="530"/>
      <c r="H164" s="530"/>
      <c r="I164" s="1691"/>
      <c r="J164" s="1691"/>
      <c r="K164" s="1691"/>
      <c r="L164" s="1691"/>
      <c r="M164" s="1691"/>
      <c r="N164" s="1691"/>
      <c r="O164" s="1691"/>
      <c r="P164" s="1691"/>
      <c r="Q164" s="1691"/>
      <c r="R164" s="1691"/>
      <c r="S164" s="1691"/>
      <c r="T164" s="1691"/>
      <c r="U164" s="1691"/>
      <c r="V164" s="1691"/>
      <c r="W164" s="660"/>
      <c r="X164" s="1691"/>
      <c r="Y164" s="1691"/>
      <c r="Z164" s="1691"/>
      <c r="AA164" s="1691"/>
      <c r="AB164" s="1691"/>
      <c r="AC164" s="1691"/>
      <c r="AD164" s="1691"/>
      <c r="AE164" s="1691"/>
      <c r="AF164" s="1691"/>
      <c r="AG164" s="1691"/>
      <c r="AH164" s="1691"/>
      <c r="AI164" s="1691"/>
      <c r="AJ164" s="1691"/>
      <c r="AK164" s="1691"/>
      <c r="AL164" s="530"/>
      <c r="AM164" s="530"/>
      <c r="AN164" s="543"/>
      <c r="AO164" s="530"/>
      <c r="AP164" s="530"/>
      <c r="AQ164" s="530"/>
      <c r="AR164" s="530"/>
      <c r="AS164" s="530"/>
      <c r="AT164" s="530"/>
      <c r="AU164" s="544"/>
      <c r="AV164" s="543"/>
      <c r="AW164" s="530"/>
      <c r="AX164" s="530"/>
      <c r="AY164" s="530"/>
      <c r="AZ164" s="544"/>
      <c r="BB164" s="173"/>
      <c r="BC164" s="173"/>
      <c r="BD164" s="173"/>
      <c r="BE164" s="173"/>
      <c r="BF164" s="173"/>
      <c r="BG164" s="173"/>
      <c r="BH164" s="173"/>
      <c r="BI164" s="173"/>
      <c r="BJ164" s="173"/>
      <c r="BK164" s="173"/>
      <c r="BL164" s="173"/>
      <c r="BM164" s="173"/>
      <c r="BN164" s="173"/>
      <c r="BO164" s="173"/>
      <c r="BP164" s="173"/>
      <c r="BQ164" s="173"/>
      <c r="BR164" s="173"/>
      <c r="BS164" s="173"/>
      <c r="BT164" s="173"/>
      <c r="BU164" s="173"/>
      <c r="BV164" s="173"/>
      <c r="BW164" s="173"/>
      <c r="BX164" s="173"/>
      <c r="BY164" s="173"/>
      <c r="BZ164" s="173"/>
    </row>
    <row r="165" spans="1:79" s="542" customFormat="1" ht="14.25">
      <c r="A165" s="173"/>
      <c r="B165" s="540"/>
      <c r="C165" s="530"/>
      <c r="D165" s="182" t="s">
        <v>2546</v>
      </c>
      <c r="E165" s="541"/>
      <c r="F165" s="541"/>
      <c r="G165" s="530"/>
      <c r="H165" s="530"/>
      <c r="I165" s="1691"/>
      <c r="J165" s="1691"/>
      <c r="K165" s="1691"/>
      <c r="L165" s="1691"/>
      <c r="M165" s="1691"/>
      <c r="N165" s="1691"/>
      <c r="O165" s="1691"/>
      <c r="P165" s="1691"/>
      <c r="Q165" s="1691"/>
      <c r="R165" s="1691"/>
      <c r="S165" s="1691"/>
      <c r="T165" s="1691"/>
      <c r="U165" s="1691"/>
      <c r="V165" s="1691"/>
      <c r="W165" s="660"/>
      <c r="X165" s="1691"/>
      <c r="Y165" s="1691"/>
      <c r="Z165" s="1691"/>
      <c r="AA165" s="1691"/>
      <c r="AB165" s="1691"/>
      <c r="AC165" s="1691"/>
      <c r="AD165" s="1691"/>
      <c r="AE165" s="1691"/>
      <c r="AF165" s="1691"/>
      <c r="AG165" s="1691"/>
      <c r="AH165" s="1691"/>
      <c r="AI165" s="1691"/>
      <c r="AJ165" s="1691"/>
      <c r="AK165" s="1691"/>
      <c r="AL165" s="530"/>
      <c r="AM165" s="164" t="s">
        <v>1876</v>
      </c>
      <c r="AN165" s="143">
        <v>0</v>
      </c>
      <c r="AO165" s="141">
        <v>0</v>
      </c>
      <c r="AP165" s="141">
        <v>0</v>
      </c>
      <c r="AQ165" s="141">
        <v>0</v>
      </c>
      <c r="AR165" s="141">
        <v>0</v>
      </c>
      <c r="AS165" s="141">
        <v>0</v>
      </c>
      <c r="AT165" s="141">
        <v>0</v>
      </c>
      <c r="AU165" s="144">
        <v>0</v>
      </c>
      <c r="AV165" s="143">
        <v>0</v>
      </c>
      <c r="AW165" s="141">
        <v>0</v>
      </c>
      <c r="AX165" s="141">
        <v>0</v>
      </c>
      <c r="AY165" s="141">
        <v>0</v>
      </c>
      <c r="AZ165" s="144">
        <v>0</v>
      </c>
      <c r="BB165" s="173"/>
      <c r="BC165" s="173"/>
      <c r="BD165" s="173"/>
      <c r="BE165" s="173"/>
      <c r="BF165" s="173"/>
      <c r="BG165" s="173"/>
      <c r="BH165" s="173"/>
      <c r="BI165" s="173"/>
      <c r="BJ165" s="173"/>
      <c r="BK165" s="173"/>
      <c r="BL165" s="173"/>
      <c r="BM165" s="173"/>
      <c r="BN165" s="173"/>
      <c r="BO165" s="173"/>
      <c r="BP165" s="173"/>
      <c r="BQ165" s="173"/>
      <c r="BR165" s="173"/>
      <c r="BS165" s="173"/>
      <c r="BT165" s="173"/>
      <c r="BU165" s="173"/>
      <c r="BV165" s="173"/>
      <c r="BW165" s="173"/>
      <c r="BX165" s="173"/>
      <c r="BY165" s="173"/>
      <c r="BZ165" s="173"/>
    </row>
    <row r="166" spans="1:79" ht="15" thickBot="1">
      <c r="B166" s="1480"/>
      <c r="C166" s="657"/>
      <c r="D166" s="240" t="s">
        <v>2547</v>
      </c>
      <c r="E166" s="657"/>
      <c r="F166" s="657"/>
      <c r="G166" s="657"/>
      <c r="H166" s="657"/>
      <c r="I166" s="1692"/>
      <c r="J166" s="1692"/>
      <c r="K166" s="1692"/>
      <c r="L166" s="1692"/>
      <c r="M166" s="1692"/>
      <c r="N166" s="1692"/>
      <c r="O166" s="1692"/>
      <c r="P166" s="1692"/>
      <c r="Q166" s="1692"/>
      <c r="R166" s="1692"/>
      <c r="S166" s="1692"/>
      <c r="T166" s="1692"/>
      <c r="U166" s="1692"/>
      <c r="V166" s="1692"/>
      <c r="W166" s="657"/>
      <c r="X166" s="1692"/>
      <c r="Y166" s="1692"/>
      <c r="Z166" s="1692"/>
      <c r="AA166" s="1692"/>
      <c r="AB166" s="1692"/>
      <c r="AC166" s="1692"/>
      <c r="AD166" s="1692"/>
      <c r="AE166" s="1692"/>
      <c r="AF166" s="1692"/>
      <c r="AG166" s="1692"/>
      <c r="AH166" s="1692"/>
      <c r="AI166" s="1692"/>
      <c r="AJ166" s="1692"/>
      <c r="AK166" s="1692"/>
      <c r="AL166" s="657"/>
      <c r="AM166" s="195" t="s">
        <v>1876</v>
      </c>
      <c r="AN166" s="799">
        <v>0</v>
      </c>
      <c r="AO166" s="235">
        <v>0</v>
      </c>
      <c r="AP166" s="235">
        <v>0</v>
      </c>
      <c r="AQ166" s="235">
        <v>0</v>
      </c>
      <c r="AR166" s="235">
        <v>0</v>
      </c>
      <c r="AS166" s="235">
        <v>0</v>
      </c>
      <c r="AT166" s="235">
        <v>0</v>
      </c>
      <c r="AU166" s="800">
        <v>0</v>
      </c>
      <c r="AV166" s="799">
        <v>0</v>
      </c>
      <c r="AW166" s="235">
        <v>0</v>
      </c>
      <c r="AX166" s="235">
        <v>0</v>
      </c>
      <c r="AY166" s="235">
        <v>0</v>
      </c>
      <c r="AZ166" s="800">
        <v>0</v>
      </c>
    </row>
    <row r="167" spans="1:79">
      <c r="B167" s="173"/>
      <c r="C167" s="173"/>
      <c r="D167" s="173"/>
      <c r="E167" s="173"/>
      <c r="F167" s="173"/>
      <c r="I167" s="173"/>
      <c r="AC167" s="173"/>
    </row>
    <row r="168" spans="1:79">
      <c r="B168" s="173"/>
      <c r="C168" s="173"/>
      <c r="D168" s="173"/>
      <c r="E168" s="173"/>
      <c r="F168" s="173"/>
      <c r="I168" s="173"/>
      <c r="AC168" s="173"/>
    </row>
    <row r="169" spans="1:79">
      <c r="B169" s="173"/>
      <c r="C169" s="173"/>
      <c r="D169" s="173"/>
      <c r="E169" s="173"/>
      <c r="F169" s="173"/>
      <c r="I169" s="173"/>
      <c r="AC169" s="173"/>
    </row>
    <row r="170" spans="1:79">
      <c r="B170" s="173"/>
      <c r="C170" s="173"/>
      <c r="D170" s="173"/>
      <c r="E170" s="173"/>
      <c r="F170" s="173"/>
      <c r="I170" s="173"/>
      <c r="AC170" s="173"/>
    </row>
    <row r="171" spans="1:79">
      <c r="B171" s="173"/>
      <c r="C171" s="173"/>
      <c r="D171" s="173"/>
      <c r="E171" s="173"/>
      <c r="F171" s="173"/>
      <c r="I171" s="173"/>
      <c r="AC171" s="173"/>
    </row>
    <row r="172" spans="1:79">
      <c r="B172" s="173"/>
      <c r="C172" s="173"/>
      <c r="D172" s="173"/>
      <c r="E172" s="173"/>
      <c r="F172" s="173"/>
      <c r="I172" s="173"/>
      <c r="AC172" s="173"/>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00B050"/>
  </sheetPr>
  <dimension ref="A1:BF207"/>
  <sheetViews>
    <sheetView showGridLines="0" zoomScale="60" zoomScaleNormal="60" workbookViewId="0">
      <pane xSplit="8" topLeftCell="I1" activePane="topRight" state="frozen"/>
      <selection activeCell="G14" sqref="G14"/>
      <selection pane="topRight" activeCell="J58" sqref="J58"/>
    </sheetView>
  </sheetViews>
  <sheetFormatPr defaultColWidth="11.125" defaultRowHeight="14.25"/>
  <cols>
    <col min="1" max="1" width="11.125" style="338"/>
    <col min="2" max="6" width="4.375" style="338" customWidth="1"/>
    <col min="7" max="7" width="38.25" style="338" customWidth="1"/>
    <col min="8" max="8" width="11.125" style="338"/>
    <col min="9" max="22" width="15.625" style="338" customWidth="1"/>
    <col min="23" max="23" width="5.625" style="338" customWidth="1"/>
    <col min="24" max="37" width="15.625" style="338" customWidth="1"/>
    <col min="38" max="38" width="5.625" style="338" customWidth="1"/>
    <col min="39" max="39" width="16.625" style="338" customWidth="1"/>
    <col min="40" max="40" width="23.125" style="338" customWidth="1"/>
    <col min="41" max="42" width="27.125" style="338" customWidth="1"/>
    <col min="43" max="16384" width="11.125" style="338"/>
  </cols>
  <sheetData>
    <row r="1" spans="1:58" s="2" customFormat="1" ht="25.15" customHeight="1">
      <c r="A1" s="1" t="s">
        <v>0</v>
      </c>
      <c r="E1" s="3"/>
      <c r="H1" s="4" t="s">
        <v>1</v>
      </c>
      <c r="J1" s="3"/>
    </row>
    <row r="2" spans="1:58" s="2" customFormat="1" ht="25.15" customHeight="1">
      <c r="A2" s="5" t="str">
        <f>Fixed_Data!I12</f>
        <v>MASTER</v>
      </c>
      <c r="B2" s="6"/>
      <c r="D2" s="7"/>
      <c r="E2" s="3"/>
    </row>
    <row r="3" spans="1:58" s="9" customFormat="1" ht="25.15" customHeight="1" thickBot="1">
      <c r="A3" s="8" t="str">
        <f>Fixed_Data!A3</f>
        <v>RIIO-GD2</v>
      </c>
      <c r="D3" s="10"/>
      <c r="E3" s="11"/>
    </row>
    <row r="4" spans="1:58" ht="25.15" customHeight="1">
      <c r="A4" s="549"/>
      <c r="B4" s="550" t="s">
        <v>2548</v>
      </c>
      <c r="C4" s="550"/>
      <c r="D4" s="550"/>
      <c r="E4" s="550"/>
      <c r="F4" s="550"/>
      <c r="G4" s="251"/>
      <c r="H4" s="551"/>
      <c r="I4" s="552"/>
      <c r="J4" s="549"/>
      <c r="K4" s="549"/>
      <c r="L4" s="549"/>
      <c r="M4" s="549"/>
      <c r="N4" s="549"/>
      <c r="O4" s="549"/>
      <c r="P4" s="549"/>
      <c r="Q4" s="549"/>
      <c r="R4" s="551"/>
      <c r="S4" s="551"/>
      <c r="T4" s="551"/>
      <c r="U4" s="551"/>
      <c r="V4" s="551"/>
    </row>
    <row r="5" spans="1:58" s="553" customFormat="1" ht="25.15" customHeight="1">
      <c r="B5" s="95" t="s">
        <v>1663</v>
      </c>
      <c r="C5" s="95"/>
      <c r="D5" s="95"/>
      <c r="E5" s="95"/>
      <c r="F5" s="95" t="s">
        <v>463</v>
      </c>
      <c r="G5" s="95"/>
      <c r="H5" s="95"/>
      <c r="I5" s="554"/>
      <c r="J5" s="95"/>
      <c r="K5" s="554"/>
      <c r="L5" s="555"/>
      <c r="M5" s="555"/>
      <c r="N5" s="555"/>
      <c r="O5" s="555"/>
      <c r="P5" s="555"/>
      <c r="Q5" s="555"/>
      <c r="R5" s="555"/>
      <c r="S5" s="555"/>
      <c r="T5" s="556"/>
      <c r="U5" s="556"/>
      <c r="V5" s="556"/>
      <c r="W5" s="556"/>
      <c r="X5" s="556"/>
      <c r="Y5" s="556"/>
      <c r="Z5" s="556"/>
      <c r="AA5" s="556"/>
      <c r="AB5" s="556"/>
      <c r="AC5" s="556"/>
      <c r="AD5" s="556"/>
      <c r="AE5" s="556"/>
      <c r="AF5" s="556"/>
      <c r="AG5" s="556"/>
      <c r="AH5" s="555"/>
      <c r="AI5" s="556"/>
      <c r="AJ5" s="556"/>
      <c r="AK5" s="556"/>
      <c r="AL5" s="556"/>
      <c r="AM5" s="556"/>
      <c r="AN5" s="556"/>
      <c r="AO5" s="556"/>
      <c r="AP5" s="556"/>
      <c r="AQ5" s="555"/>
      <c r="AR5" s="555"/>
      <c r="AS5" s="556"/>
      <c r="AT5" s="556"/>
      <c r="AU5" s="556"/>
      <c r="AV5" s="556"/>
      <c r="AW5" s="556"/>
      <c r="AX5" s="556"/>
      <c r="AY5" s="556"/>
      <c r="AZ5" s="556"/>
      <c r="BA5" s="556"/>
      <c r="BB5" s="556"/>
      <c r="BC5" s="556"/>
      <c r="BD5" s="556"/>
      <c r="BE5" s="556"/>
      <c r="BF5" s="555"/>
    </row>
    <row r="6" spans="1:58" s="553" customFormat="1" ht="15" customHeight="1">
      <c r="B6" s="95"/>
      <c r="C6" s="95"/>
      <c r="D6" s="95"/>
      <c r="E6" s="95"/>
      <c r="F6" s="95"/>
      <c r="G6" s="95"/>
      <c r="H6" s="95"/>
      <c r="I6" s="554"/>
      <c r="J6" s="95"/>
      <c r="K6" s="554"/>
      <c r="L6" s="555"/>
      <c r="M6" s="555"/>
      <c r="N6" s="555"/>
      <c r="O6" s="555"/>
      <c r="P6" s="555"/>
      <c r="Q6" s="555"/>
      <c r="R6" s="555"/>
      <c r="S6" s="555"/>
      <c r="T6" s="556"/>
      <c r="U6" s="556"/>
      <c r="V6" s="556"/>
      <c r="W6" s="556"/>
      <c r="X6" s="556"/>
      <c r="Y6" s="556"/>
      <c r="Z6" s="556"/>
      <c r="AA6" s="556"/>
      <c r="AB6" s="556"/>
      <c r="AC6" s="556"/>
      <c r="AD6" s="556"/>
      <c r="AE6" s="556"/>
      <c r="AF6" s="556"/>
      <c r="AG6" s="556"/>
      <c r="AH6" s="555"/>
      <c r="AI6" s="556"/>
      <c r="AJ6" s="556"/>
      <c r="AK6" s="556"/>
      <c r="AL6" s="556"/>
      <c r="AM6" s="556"/>
      <c r="AN6" s="556"/>
      <c r="AO6" s="556"/>
      <c r="AP6" s="556"/>
      <c r="AQ6" s="555"/>
      <c r="AR6" s="555"/>
      <c r="AS6" s="556"/>
      <c r="AT6" s="556"/>
      <c r="AU6" s="556"/>
      <c r="AV6" s="556"/>
      <c r="AW6" s="556"/>
      <c r="AX6" s="556"/>
      <c r="AY6" s="556"/>
      <c r="AZ6" s="556"/>
      <c r="BA6" s="556"/>
      <c r="BB6" s="556"/>
      <c r="BC6" s="556"/>
      <c r="BD6" s="556"/>
      <c r="BE6" s="556"/>
      <c r="BF6" s="555"/>
    </row>
    <row r="7" spans="1:58" ht="15" customHeight="1" thickBot="1">
      <c r="A7" s="258"/>
      <c r="B7" s="258"/>
      <c r="C7" s="258"/>
      <c r="D7" s="258"/>
      <c r="E7" s="258"/>
      <c r="F7" s="258"/>
      <c r="G7" s="259"/>
      <c r="H7" s="259"/>
      <c r="I7" s="260"/>
      <c r="J7" s="259"/>
      <c r="K7" s="259"/>
      <c r="L7" s="259"/>
      <c r="M7" s="259"/>
      <c r="N7" s="259"/>
      <c r="O7" s="259"/>
      <c r="P7" s="259"/>
      <c r="Q7" s="259"/>
      <c r="R7" s="259"/>
      <c r="S7" s="259"/>
      <c r="T7" s="259"/>
      <c r="U7" s="259"/>
      <c r="V7" s="259"/>
    </row>
    <row r="8" spans="1:58" ht="30" customHeight="1" thickBot="1">
      <c r="A8" s="251"/>
      <c r="B8" s="640" t="s">
        <v>1744</v>
      </c>
      <c r="C8" s="558"/>
      <c r="D8" s="558"/>
      <c r="E8" s="558"/>
      <c r="F8" s="558"/>
      <c r="G8" s="559"/>
      <c r="H8" s="559"/>
      <c r="I8" s="105" t="s">
        <v>1864</v>
      </c>
      <c r="J8" s="106"/>
      <c r="K8" s="106"/>
      <c r="L8" s="106"/>
      <c r="M8" s="106"/>
      <c r="N8" s="106"/>
      <c r="O8" s="106"/>
      <c r="P8" s="106"/>
      <c r="Q8" s="106"/>
      <c r="R8" s="105"/>
      <c r="S8" s="105"/>
      <c r="T8" s="105"/>
      <c r="U8" s="105"/>
      <c r="V8" s="187"/>
    </row>
    <row r="9" spans="1:58" ht="30" customHeight="1">
      <c r="A9" s="251"/>
      <c r="B9" s="560"/>
      <c r="C9" s="561"/>
      <c r="D9" s="561"/>
      <c r="E9" s="561"/>
      <c r="F9" s="561"/>
      <c r="G9" s="561"/>
      <c r="H9" s="561"/>
      <c r="I9" s="562"/>
      <c r="J9" s="563" t="s">
        <v>1666</v>
      </c>
      <c r="K9" s="564"/>
      <c r="L9" s="564"/>
      <c r="M9" s="564"/>
      <c r="N9" s="564"/>
      <c r="O9" s="564"/>
      <c r="P9" s="564"/>
      <c r="Q9" s="565"/>
      <c r="R9" s="566" t="s">
        <v>2</v>
      </c>
      <c r="S9" s="567"/>
      <c r="T9" s="567"/>
      <c r="U9" s="567"/>
      <c r="V9" s="568"/>
    </row>
    <row r="10" spans="1:58" ht="15">
      <c r="A10" s="251"/>
      <c r="B10" s="569"/>
      <c r="C10" s="570"/>
      <c r="D10" s="570"/>
      <c r="E10" s="570"/>
      <c r="F10" s="570"/>
      <c r="G10" s="561"/>
      <c r="H10" s="561"/>
      <c r="I10" s="571" t="s">
        <v>1667</v>
      </c>
      <c r="J10" s="518" t="s">
        <v>453</v>
      </c>
      <c r="K10" s="515" t="s">
        <v>455</v>
      </c>
      <c r="L10" s="515" t="s">
        <v>457</v>
      </c>
      <c r="M10" s="515" t="s">
        <v>459</v>
      </c>
      <c r="N10" s="515" t="s">
        <v>461</v>
      </c>
      <c r="O10" s="515" t="s">
        <v>463</v>
      </c>
      <c r="P10" s="515" t="s">
        <v>465</v>
      </c>
      <c r="Q10" s="516" t="s">
        <v>467</v>
      </c>
      <c r="R10" s="508" t="s">
        <v>469</v>
      </c>
      <c r="S10" s="509" t="s">
        <v>471</v>
      </c>
      <c r="T10" s="509" t="s">
        <v>473</v>
      </c>
      <c r="U10" s="509" t="s">
        <v>475</v>
      </c>
      <c r="V10" s="510" t="s">
        <v>477</v>
      </c>
    </row>
    <row r="11" spans="1:58" ht="15">
      <c r="A11" s="251"/>
      <c r="B11" s="572"/>
      <c r="C11" s="573"/>
      <c r="D11" s="573"/>
      <c r="E11" s="573"/>
      <c r="F11" s="573"/>
      <c r="G11" s="561"/>
      <c r="H11" s="561"/>
      <c r="I11" s="551"/>
      <c r="J11" s="574"/>
      <c r="K11" s="551"/>
      <c r="L11" s="551"/>
      <c r="M11" s="551"/>
      <c r="N11" s="551"/>
      <c r="O11" s="551"/>
      <c r="P11" s="551"/>
      <c r="Q11" s="575"/>
      <c r="R11" s="574"/>
      <c r="S11" s="551"/>
      <c r="T11" s="551"/>
      <c r="U11" s="551"/>
      <c r="V11" s="575"/>
    </row>
    <row r="12" spans="1:58" ht="15">
      <c r="A12" s="251"/>
      <c r="B12" s="349"/>
      <c r="C12" s="867" t="s">
        <v>1806</v>
      </c>
      <c r="D12" s="573"/>
      <c r="E12" s="573"/>
      <c r="F12" s="573"/>
      <c r="G12" s="561"/>
      <c r="H12" s="561"/>
      <c r="I12" s="576" t="s">
        <v>498</v>
      </c>
      <c r="J12" s="278">
        <f t="shared" ref="J12:V12" si="0">SUM(J13:J18)</f>
        <v>18.032545427864733</v>
      </c>
      <c r="K12" s="279">
        <f t="shared" si="0"/>
        <v>21.141787112966334</v>
      </c>
      <c r="L12" s="279">
        <f t="shared" si="0"/>
        <v>25.026882823307464</v>
      </c>
      <c r="M12" s="279">
        <f t="shared" si="0"/>
        <v>30.152237501587972</v>
      </c>
      <c r="N12" s="279">
        <f t="shared" si="0"/>
        <v>24.538939317678548</v>
      </c>
      <c r="O12" s="279">
        <f t="shared" si="0"/>
        <v>28.253145718237121</v>
      </c>
      <c r="P12" s="279">
        <f t="shared" si="0"/>
        <v>27.501536622518984</v>
      </c>
      <c r="Q12" s="280">
        <f t="shared" si="0"/>
        <v>19.714705836022151</v>
      </c>
      <c r="R12" s="278">
        <f t="shared" si="0"/>
        <v>21.018189019752437</v>
      </c>
      <c r="S12" s="279">
        <f t="shared" si="0"/>
        <v>20.073454614170906</v>
      </c>
      <c r="T12" s="279">
        <f t="shared" si="0"/>
        <v>17.8197581645118</v>
      </c>
      <c r="U12" s="279">
        <f t="shared" si="0"/>
        <v>18.40376267412227</v>
      </c>
      <c r="V12" s="280">
        <f t="shared" si="0"/>
        <v>18.543422756515419</v>
      </c>
    </row>
    <row r="13" spans="1:58" ht="15">
      <c r="A13" s="251"/>
      <c r="B13" s="349"/>
      <c r="C13" s="339"/>
      <c r="D13" s="622" t="s">
        <v>2549</v>
      </c>
      <c r="E13" s="578"/>
      <c r="F13" s="578"/>
      <c r="G13" s="561"/>
      <c r="H13" s="561"/>
      <c r="I13" s="576" t="s">
        <v>498</v>
      </c>
      <c r="J13" s="281">
        <f>J29</f>
        <v>0.58436457588800794</v>
      </c>
      <c r="K13" s="282">
        <f t="shared" ref="K13:V13" si="1">K29</f>
        <v>3.1182276623376617</v>
      </c>
      <c r="L13" s="282">
        <f t="shared" si="1"/>
        <v>0.55933858016953064</v>
      </c>
      <c r="M13" s="282">
        <f t="shared" si="1"/>
        <v>4.8885469372662437E-4</v>
      </c>
      <c r="N13" s="282">
        <f t="shared" si="1"/>
        <v>0.13446442216178905</v>
      </c>
      <c r="O13" s="282">
        <f t="shared" si="1"/>
        <v>-2.9655952137080388E-2</v>
      </c>
      <c r="P13" s="282">
        <f t="shared" si="1"/>
        <v>0.72787135718560592</v>
      </c>
      <c r="Q13" s="283">
        <f t="shared" si="1"/>
        <v>0.72787135718560592</v>
      </c>
      <c r="R13" s="281">
        <f t="shared" si="1"/>
        <v>0.18302876415494909</v>
      </c>
      <c r="S13" s="282">
        <f t="shared" si="1"/>
        <v>0.48807670441319762</v>
      </c>
      <c r="T13" s="282">
        <f t="shared" si="1"/>
        <v>0.67110546856814668</v>
      </c>
      <c r="U13" s="282">
        <f t="shared" si="1"/>
        <v>0</v>
      </c>
      <c r="V13" s="283">
        <f t="shared" si="1"/>
        <v>0.18302876415494909</v>
      </c>
    </row>
    <row r="14" spans="1:58" ht="15">
      <c r="A14" s="251"/>
      <c r="B14" s="349"/>
      <c r="C14" s="339"/>
      <c r="D14" s="622" t="s">
        <v>2550</v>
      </c>
      <c r="E14" s="578"/>
      <c r="F14" s="578"/>
      <c r="G14" s="561"/>
      <c r="H14" s="561"/>
      <c r="I14" s="576" t="s">
        <v>498</v>
      </c>
      <c r="J14" s="281">
        <f>J40</f>
        <v>2.1277575475377462</v>
      </c>
      <c r="K14" s="282">
        <f t="shared" ref="K14:V14" si="2">K40</f>
        <v>2.2738226493506493</v>
      </c>
      <c r="L14" s="282">
        <f t="shared" si="2"/>
        <v>1.5667305593927163</v>
      </c>
      <c r="M14" s="282">
        <f t="shared" si="2"/>
        <v>2.9449578793146953</v>
      </c>
      <c r="N14" s="282">
        <f t="shared" si="2"/>
        <v>2.6760053356864799</v>
      </c>
      <c r="O14" s="282">
        <f t="shared" si="2"/>
        <v>1.1759729188661048</v>
      </c>
      <c r="P14" s="282">
        <f t="shared" si="2"/>
        <v>3.4543096064037986</v>
      </c>
      <c r="Q14" s="283">
        <f t="shared" si="2"/>
        <v>2.7622749482644249</v>
      </c>
      <c r="R14" s="281">
        <f t="shared" si="2"/>
        <v>3.4348398073078781</v>
      </c>
      <c r="S14" s="282">
        <f t="shared" si="2"/>
        <v>2.2573547579110391</v>
      </c>
      <c r="T14" s="282">
        <f t="shared" si="2"/>
        <v>3.5385561069956828</v>
      </c>
      <c r="U14" s="282">
        <f t="shared" si="2"/>
        <v>2.1536384582232344</v>
      </c>
      <c r="V14" s="283">
        <f t="shared" si="2"/>
        <v>2.9284602264791855</v>
      </c>
    </row>
    <row r="15" spans="1:58" ht="15">
      <c r="A15" s="251"/>
      <c r="B15" s="349"/>
      <c r="C15" s="339"/>
      <c r="D15" s="622" t="s">
        <v>2551</v>
      </c>
      <c r="E15" s="578"/>
      <c r="F15" s="578"/>
      <c r="G15" s="561"/>
      <c r="H15" s="561"/>
      <c r="I15" s="576" t="s">
        <v>498</v>
      </c>
      <c r="J15" s="281">
        <f>J58</f>
        <v>5.9073050561060096</v>
      </c>
      <c r="K15" s="282">
        <f t="shared" ref="K15:V15" si="3">K58</f>
        <v>6.1720867389403624</v>
      </c>
      <c r="L15" s="282">
        <f t="shared" si="3"/>
        <v>7.4181246346373699</v>
      </c>
      <c r="M15" s="282">
        <f t="shared" si="3"/>
        <v>5.9879755318325163</v>
      </c>
      <c r="N15" s="282">
        <f t="shared" si="3"/>
        <v>2.5565128189300776</v>
      </c>
      <c r="O15" s="282">
        <f t="shared" si="3"/>
        <v>2.8301993715081024</v>
      </c>
      <c r="P15" s="282">
        <f t="shared" si="3"/>
        <v>4.0043139407462682</v>
      </c>
      <c r="Q15" s="283">
        <f t="shared" si="3"/>
        <v>2.1206447040087442</v>
      </c>
      <c r="R15" s="281">
        <f t="shared" si="3"/>
        <v>3.9893254037105859</v>
      </c>
      <c r="S15" s="282">
        <f t="shared" si="3"/>
        <v>4.6619200641027412</v>
      </c>
      <c r="T15" s="282">
        <f t="shared" si="3"/>
        <v>4.6217225893378107</v>
      </c>
      <c r="U15" s="282">
        <f t="shared" si="3"/>
        <v>4.0802946332973704</v>
      </c>
      <c r="V15" s="283">
        <f t="shared" si="3"/>
        <v>4.2861323344152114</v>
      </c>
    </row>
    <row r="16" spans="1:58" ht="15">
      <c r="A16" s="251"/>
      <c r="B16" s="349"/>
      <c r="C16" s="339"/>
      <c r="D16" s="622" t="s">
        <v>2552</v>
      </c>
      <c r="E16" s="578"/>
      <c r="F16" s="578"/>
      <c r="G16" s="561"/>
      <c r="H16" s="561"/>
      <c r="I16" s="576" t="s">
        <v>498</v>
      </c>
      <c r="J16" s="281">
        <f>J95</f>
        <v>1.3579417706246142</v>
      </c>
      <c r="K16" s="282">
        <f t="shared" ref="K16:V16" si="4">K95</f>
        <v>0.54527591688311672</v>
      </c>
      <c r="L16" s="282">
        <f t="shared" si="4"/>
        <v>2.7322059198708786</v>
      </c>
      <c r="M16" s="282">
        <f t="shared" si="4"/>
        <v>0.31979660613452471</v>
      </c>
      <c r="N16" s="282">
        <f t="shared" si="4"/>
        <v>6.5160369801195758E-2</v>
      </c>
      <c r="O16" s="282">
        <f t="shared" si="4"/>
        <v>0.12559862999999999</v>
      </c>
      <c r="P16" s="282">
        <f t="shared" si="4"/>
        <v>0</v>
      </c>
      <c r="Q16" s="283">
        <f t="shared" si="4"/>
        <v>0</v>
      </c>
      <c r="R16" s="281">
        <f t="shared" si="4"/>
        <v>0</v>
      </c>
      <c r="S16" s="282">
        <f t="shared" si="4"/>
        <v>0</v>
      </c>
      <c r="T16" s="282">
        <f t="shared" si="4"/>
        <v>0</v>
      </c>
      <c r="U16" s="282">
        <f t="shared" si="4"/>
        <v>0</v>
      </c>
      <c r="V16" s="283">
        <f t="shared" si="4"/>
        <v>2.440383522065988</v>
      </c>
    </row>
    <row r="17" spans="1:40" ht="15">
      <c r="A17" s="251"/>
      <c r="B17" s="349"/>
      <c r="C17" s="339"/>
      <c r="D17" s="622" t="s">
        <v>2553</v>
      </c>
      <c r="E17" s="578"/>
      <c r="F17" s="578"/>
      <c r="G17" s="561"/>
      <c r="H17" s="561"/>
      <c r="I17" s="576" t="s">
        <v>498</v>
      </c>
      <c r="J17" s="281">
        <f>J168</f>
        <v>3.8538793151692254</v>
      </c>
      <c r="K17" s="282">
        <f t="shared" ref="K17:V17" si="5">K168</f>
        <v>3.1171238649350643</v>
      </c>
      <c r="L17" s="282">
        <f t="shared" si="5"/>
        <v>5.0167674825606925</v>
      </c>
      <c r="M17" s="282">
        <f t="shared" si="5"/>
        <v>14.18613119162193</v>
      </c>
      <c r="N17" s="282">
        <f t="shared" si="5"/>
        <v>11.868822969753316</v>
      </c>
      <c r="O17" s="282">
        <f t="shared" si="5"/>
        <v>22.245077759999994</v>
      </c>
      <c r="P17" s="282">
        <f t="shared" si="5"/>
        <v>10.470126625492002</v>
      </c>
      <c r="Q17" s="283">
        <f t="shared" si="5"/>
        <v>8.8553079410941749</v>
      </c>
      <c r="R17" s="281">
        <f t="shared" si="5"/>
        <v>6.4450528817762747</v>
      </c>
      <c r="S17" s="282">
        <f t="shared" si="5"/>
        <v>8.178335278323642</v>
      </c>
      <c r="T17" s="282">
        <f t="shared" si="5"/>
        <v>5.1248053963385756</v>
      </c>
      <c r="U17" s="282">
        <f t="shared" si="5"/>
        <v>8.0923117591708174</v>
      </c>
      <c r="V17" s="283">
        <f t="shared" si="5"/>
        <v>3.9076641147081626</v>
      </c>
    </row>
    <row r="18" spans="1:40" ht="15.75" thickBot="1">
      <c r="A18" s="251"/>
      <c r="B18" s="357"/>
      <c r="C18" s="358"/>
      <c r="D18" s="967" t="s">
        <v>2554</v>
      </c>
      <c r="E18" s="966"/>
      <c r="F18" s="966"/>
      <c r="G18" s="580"/>
      <c r="H18" s="580"/>
      <c r="I18" s="581" t="s">
        <v>498</v>
      </c>
      <c r="J18" s="962">
        <f>J207</f>
        <v>4.2012971625391291</v>
      </c>
      <c r="K18" s="963">
        <f t="shared" ref="K18:V18" si="6">K207</f>
        <v>5.9152502805194791</v>
      </c>
      <c r="L18" s="963">
        <f t="shared" si="6"/>
        <v>7.733715646676278</v>
      </c>
      <c r="M18" s="963">
        <f t="shared" si="6"/>
        <v>6.7128874379905783</v>
      </c>
      <c r="N18" s="963">
        <f t="shared" si="6"/>
        <v>7.2379734013456929</v>
      </c>
      <c r="O18" s="963">
        <f t="shared" si="6"/>
        <v>1.9059529899999992</v>
      </c>
      <c r="P18" s="963">
        <f t="shared" si="6"/>
        <v>8.8449150926913092</v>
      </c>
      <c r="Q18" s="964">
        <f t="shared" si="6"/>
        <v>5.2486068854691998</v>
      </c>
      <c r="R18" s="962">
        <f t="shared" si="6"/>
        <v>6.9659421628027509</v>
      </c>
      <c r="S18" s="963">
        <f t="shared" si="6"/>
        <v>4.4877678094202889</v>
      </c>
      <c r="T18" s="963">
        <f t="shared" si="6"/>
        <v>3.863568603271585</v>
      </c>
      <c r="U18" s="963">
        <f t="shared" si="6"/>
        <v>4.0775178234308456</v>
      </c>
      <c r="V18" s="964">
        <f t="shared" si="6"/>
        <v>4.7977537946919204</v>
      </c>
    </row>
    <row r="19" spans="1:40" ht="15.75" thickBot="1">
      <c r="A19" s="251"/>
      <c r="B19" s="549"/>
      <c r="C19" s="549"/>
      <c r="D19" s="549"/>
      <c r="E19" s="549"/>
      <c r="F19" s="549"/>
      <c r="G19" s="549"/>
      <c r="H19" s="551"/>
      <c r="I19" s="552"/>
      <c r="J19" s="551"/>
      <c r="K19" s="551"/>
      <c r="L19" s="551"/>
      <c r="M19" s="551"/>
      <c r="N19" s="551"/>
      <c r="O19" s="551"/>
      <c r="P19" s="551"/>
      <c r="Q19" s="551"/>
      <c r="R19" s="551"/>
      <c r="S19" s="551"/>
      <c r="T19" s="551"/>
      <c r="U19" s="551"/>
      <c r="V19" s="551"/>
    </row>
    <row r="20" spans="1:40" ht="30" customHeight="1" thickBot="1">
      <c r="A20" s="258"/>
      <c r="B20" s="640" t="s">
        <v>2549</v>
      </c>
      <c r="C20" s="558"/>
      <c r="D20" s="558"/>
      <c r="E20" s="558"/>
      <c r="F20" s="558"/>
      <c r="G20" s="559"/>
      <c r="H20" s="294"/>
      <c r="I20" s="105" t="s">
        <v>1864</v>
      </c>
      <c r="J20" s="106"/>
      <c r="K20" s="106"/>
      <c r="L20" s="106"/>
      <c r="M20" s="106"/>
      <c r="N20" s="106"/>
      <c r="O20" s="106"/>
      <c r="P20" s="106"/>
      <c r="Q20" s="106"/>
      <c r="R20" s="105"/>
      <c r="S20" s="105"/>
      <c r="T20" s="105"/>
      <c r="U20" s="105"/>
      <c r="V20" s="105"/>
      <c r="W20" s="587"/>
      <c r="X20" s="105" t="s">
        <v>2202</v>
      </c>
      <c r="Y20" s="106"/>
      <c r="Z20" s="106"/>
      <c r="AA20" s="106"/>
      <c r="AB20" s="106"/>
      <c r="AC20" s="106"/>
      <c r="AD20" s="106"/>
      <c r="AE20" s="106"/>
      <c r="AF20" s="106"/>
      <c r="AG20" s="105"/>
      <c r="AH20" s="105"/>
      <c r="AI20" s="105"/>
      <c r="AJ20" s="105"/>
      <c r="AK20" s="105"/>
      <c r="AL20" s="439"/>
      <c r="AM20" s="588" t="s">
        <v>2555</v>
      </c>
      <c r="AN20" s="589"/>
    </row>
    <row r="21" spans="1:40" ht="30" customHeight="1">
      <c r="A21" s="258"/>
      <c r="B21" s="560"/>
      <c r="C21" s="561"/>
      <c r="D21" s="561"/>
      <c r="E21" s="561"/>
      <c r="F21" s="561"/>
      <c r="G21" s="561"/>
      <c r="H21" s="259"/>
      <c r="I21" s="562"/>
      <c r="J21" s="563" t="s">
        <v>1666</v>
      </c>
      <c r="K21" s="564"/>
      <c r="L21" s="564"/>
      <c r="M21" s="564"/>
      <c r="N21" s="564"/>
      <c r="O21" s="564"/>
      <c r="P21" s="564"/>
      <c r="Q21" s="565"/>
      <c r="R21" s="566" t="s">
        <v>2</v>
      </c>
      <c r="S21" s="567"/>
      <c r="T21" s="567"/>
      <c r="U21" s="567"/>
      <c r="V21" s="568"/>
      <c r="W21" s="339"/>
      <c r="X21" s="562"/>
      <c r="Y21" s="563" t="s">
        <v>1666</v>
      </c>
      <c r="Z21" s="564"/>
      <c r="AA21" s="564"/>
      <c r="AB21" s="564"/>
      <c r="AC21" s="564"/>
      <c r="AD21" s="564"/>
      <c r="AE21" s="564"/>
      <c r="AF21" s="565"/>
      <c r="AG21" s="566" t="s">
        <v>2</v>
      </c>
      <c r="AH21" s="567"/>
      <c r="AI21" s="567"/>
      <c r="AJ21" s="567"/>
      <c r="AK21" s="568"/>
      <c r="AL21" s="441"/>
      <c r="AM21" s="590" t="s">
        <v>2556</v>
      </c>
      <c r="AN21" s="442" t="s">
        <v>2557</v>
      </c>
    </row>
    <row r="22" spans="1:40" ht="15">
      <c r="A22" s="258"/>
      <c r="B22" s="572"/>
      <c r="C22" s="339"/>
      <c r="D22" s="339"/>
      <c r="E22" s="339"/>
      <c r="F22" s="339"/>
      <c r="G22" s="339"/>
      <c r="H22" s="259"/>
      <c r="I22" s="571" t="s">
        <v>1667</v>
      </c>
      <c r="J22" s="518" t="s">
        <v>453</v>
      </c>
      <c r="K22" s="515" t="s">
        <v>455</v>
      </c>
      <c r="L22" s="515" t="s">
        <v>457</v>
      </c>
      <c r="M22" s="515" t="s">
        <v>459</v>
      </c>
      <c r="N22" s="515" t="s">
        <v>461</v>
      </c>
      <c r="O22" s="515" t="s">
        <v>463</v>
      </c>
      <c r="P22" s="515" t="s">
        <v>465</v>
      </c>
      <c r="Q22" s="516" t="s">
        <v>467</v>
      </c>
      <c r="R22" s="508" t="s">
        <v>469</v>
      </c>
      <c r="S22" s="509" t="s">
        <v>471</v>
      </c>
      <c r="T22" s="509" t="s">
        <v>473</v>
      </c>
      <c r="U22" s="509" t="s">
        <v>475</v>
      </c>
      <c r="V22" s="510" t="s">
        <v>477</v>
      </c>
      <c r="W22" s="339"/>
      <c r="X22" s="571" t="s">
        <v>1667</v>
      </c>
      <c r="Y22" s="518" t="s">
        <v>453</v>
      </c>
      <c r="Z22" s="515" t="s">
        <v>455</v>
      </c>
      <c r="AA22" s="515" t="s">
        <v>457</v>
      </c>
      <c r="AB22" s="515" t="s">
        <v>459</v>
      </c>
      <c r="AC22" s="515" t="s">
        <v>461</v>
      </c>
      <c r="AD22" s="515" t="s">
        <v>463</v>
      </c>
      <c r="AE22" s="515" t="s">
        <v>465</v>
      </c>
      <c r="AF22" s="516" t="s">
        <v>467</v>
      </c>
      <c r="AG22" s="508" t="s">
        <v>469</v>
      </c>
      <c r="AH22" s="509" t="s">
        <v>471</v>
      </c>
      <c r="AI22" s="509" t="s">
        <v>473</v>
      </c>
      <c r="AJ22" s="509" t="s">
        <v>475</v>
      </c>
      <c r="AK22" s="510" t="s">
        <v>477</v>
      </c>
      <c r="AL22" s="441"/>
      <c r="AM22" s="445" t="s">
        <v>498</v>
      </c>
      <c r="AN22" s="446" t="s">
        <v>498</v>
      </c>
    </row>
    <row r="23" spans="1:40" ht="15">
      <c r="A23" s="258"/>
      <c r="B23" s="572"/>
      <c r="C23" s="591" t="s">
        <v>1897</v>
      </c>
      <c r="D23" s="591"/>
      <c r="E23" s="591"/>
      <c r="F23" s="591"/>
      <c r="G23" s="339"/>
      <c r="H23" s="259"/>
      <c r="I23" s="260"/>
      <c r="J23" s="295"/>
      <c r="K23" s="259"/>
      <c r="L23" s="259"/>
      <c r="M23" s="259"/>
      <c r="N23" s="259"/>
      <c r="O23" s="259"/>
      <c r="P23" s="259"/>
      <c r="Q23" s="296"/>
      <c r="R23" s="295"/>
      <c r="S23" s="259"/>
      <c r="T23" s="259"/>
      <c r="U23" s="259"/>
      <c r="V23" s="296"/>
      <c r="W23" s="339"/>
      <c r="X23" s="260"/>
      <c r="Y23" s="295"/>
      <c r="Z23" s="259"/>
      <c r="AA23" s="259"/>
      <c r="AB23" s="259"/>
      <c r="AC23" s="259"/>
      <c r="AD23" s="259"/>
      <c r="AE23" s="259"/>
      <c r="AF23" s="296"/>
      <c r="AG23" s="295"/>
      <c r="AH23" s="259"/>
      <c r="AI23" s="259"/>
      <c r="AJ23" s="259"/>
      <c r="AK23" s="296"/>
      <c r="AL23" s="441"/>
      <c r="AM23" s="209"/>
      <c r="AN23" s="210"/>
    </row>
    <row r="24" spans="1:40">
      <c r="A24" s="258"/>
      <c r="B24" s="592"/>
      <c r="C24" s="593"/>
      <c r="D24" s="593" t="s">
        <v>2558</v>
      </c>
      <c r="E24" s="593"/>
      <c r="F24" s="593"/>
      <c r="G24" s="593"/>
      <c r="H24" s="259"/>
      <c r="I24" s="576" t="s">
        <v>498</v>
      </c>
      <c r="J24" s="297">
        <v>0.58436457588800794</v>
      </c>
      <c r="K24" s="298">
        <v>3.1182276623376617</v>
      </c>
      <c r="L24" s="298">
        <v>0.55933858016953064</v>
      </c>
      <c r="M24" s="298">
        <v>4.8885469372662437E-4</v>
      </c>
      <c r="N24" s="298">
        <v>0.13446442216178905</v>
      </c>
      <c r="O24" s="298">
        <v>-2.9655952137080388E-2</v>
      </c>
      <c r="P24" s="298">
        <v>0.72787135718560592</v>
      </c>
      <c r="Q24" s="299">
        <v>0.72787135718560592</v>
      </c>
      <c r="R24" s="297">
        <v>0.18302876415494909</v>
      </c>
      <c r="S24" s="298">
        <v>0.48807670441319762</v>
      </c>
      <c r="T24" s="298">
        <v>0.67110546856814668</v>
      </c>
      <c r="U24" s="298">
        <v>0</v>
      </c>
      <c r="V24" s="299">
        <v>0.18302876415494909</v>
      </c>
      <c r="W24" s="339"/>
      <c r="X24" s="576" t="s">
        <v>498</v>
      </c>
      <c r="Y24" s="297">
        <v>0</v>
      </c>
      <c r="Z24" s="298">
        <v>0</v>
      </c>
      <c r="AA24" s="298">
        <v>0</v>
      </c>
      <c r="AB24" s="298">
        <v>0</v>
      </c>
      <c r="AC24" s="298">
        <v>0</v>
      </c>
      <c r="AD24" s="298">
        <v>0</v>
      </c>
      <c r="AE24" s="298">
        <v>0</v>
      </c>
      <c r="AF24" s="299">
        <v>0</v>
      </c>
      <c r="AG24" s="297">
        <v>0</v>
      </c>
      <c r="AH24" s="298">
        <v>0</v>
      </c>
      <c r="AI24" s="298">
        <v>0</v>
      </c>
      <c r="AJ24" s="298">
        <v>0</v>
      </c>
      <c r="AK24" s="299">
        <v>0</v>
      </c>
      <c r="AL24" s="441"/>
      <c r="AM24" s="298">
        <v>0</v>
      </c>
      <c r="AN24" s="304">
        <f>SUM($R24:$V24)-(AM24)</f>
        <v>1.5252397012912424</v>
      </c>
    </row>
    <row r="25" spans="1:40">
      <c r="A25" s="258"/>
      <c r="B25" s="592"/>
      <c r="C25" s="593"/>
      <c r="D25" s="593" t="s">
        <v>2559</v>
      </c>
      <c r="E25" s="593"/>
      <c r="F25" s="593"/>
      <c r="G25" s="593"/>
      <c r="H25" s="259"/>
      <c r="I25" s="576" t="s">
        <v>498</v>
      </c>
      <c r="J25" s="297">
        <v>0</v>
      </c>
      <c r="K25" s="298">
        <v>0</v>
      </c>
      <c r="L25" s="298">
        <v>0</v>
      </c>
      <c r="M25" s="298">
        <v>0</v>
      </c>
      <c r="N25" s="298">
        <v>0</v>
      </c>
      <c r="O25" s="298">
        <v>0</v>
      </c>
      <c r="P25" s="298">
        <v>0</v>
      </c>
      <c r="Q25" s="299">
        <v>0</v>
      </c>
      <c r="R25" s="297">
        <v>0</v>
      </c>
      <c r="S25" s="298">
        <v>0</v>
      </c>
      <c r="T25" s="298">
        <v>0</v>
      </c>
      <c r="U25" s="298">
        <v>0</v>
      </c>
      <c r="V25" s="299">
        <v>0</v>
      </c>
      <c r="W25" s="339"/>
      <c r="X25" s="576" t="s">
        <v>498</v>
      </c>
      <c r="Y25" s="297">
        <v>0</v>
      </c>
      <c r="Z25" s="298">
        <v>0</v>
      </c>
      <c r="AA25" s="298">
        <v>0</v>
      </c>
      <c r="AB25" s="298">
        <v>0</v>
      </c>
      <c r="AC25" s="298">
        <v>0</v>
      </c>
      <c r="AD25" s="298">
        <v>0</v>
      </c>
      <c r="AE25" s="298">
        <v>0</v>
      </c>
      <c r="AF25" s="299">
        <v>0</v>
      </c>
      <c r="AG25" s="297">
        <v>0</v>
      </c>
      <c r="AH25" s="298">
        <v>0</v>
      </c>
      <c r="AI25" s="298">
        <v>0</v>
      </c>
      <c r="AJ25" s="298">
        <v>0</v>
      </c>
      <c r="AK25" s="299">
        <v>0</v>
      </c>
      <c r="AL25" s="441"/>
      <c r="AM25" s="298">
        <v>0</v>
      </c>
      <c r="AN25" s="304">
        <f t="shared" ref="AN25:AN27" si="7">SUM($R25:$V25)-(AM25)</f>
        <v>0</v>
      </c>
    </row>
    <row r="26" spans="1:40">
      <c r="A26" s="258"/>
      <c r="B26" s="592"/>
      <c r="C26" s="593"/>
      <c r="D26" s="593" t="s">
        <v>85</v>
      </c>
      <c r="E26" s="593"/>
      <c r="F26" s="593"/>
      <c r="G26" s="293"/>
      <c r="H26" s="259"/>
      <c r="I26" s="576" t="s">
        <v>498</v>
      </c>
      <c r="J26" s="297">
        <v>0</v>
      </c>
      <c r="K26" s="298">
        <v>0</v>
      </c>
      <c r="L26" s="298">
        <v>0</v>
      </c>
      <c r="M26" s="298">
        <v>0</v>
      </c>
      <c r="N26" s="298">
        <v>0</v>
      </c>
      <c r="O26" s="298">
        <v>0</v>
      </c>
      <c r="P26" s="298">
        <v>0</v>
      </c>
      <c r="Q26" s="299">
        <v>0</v>
      </c>
      <c r="R26" s="297">
        <v>0</v>
      </c>
      <c r="S26" s="298">
        <v>0</v>
      </c>
      <c r="T26" s="298">
        <v>0</v>
      </c>
      <c r="U26" s="298">
        <v>0</v>
      </c>
      <c r="V26" s="299">
        <v>0</v>
      </c>
      <c r="W26" s="339"/>
      <c r="X26" s="576" t="s">
        <v>498</v>
      </c>
      <c r="Y26" s="297">
        <v>0</v>
      </c>
      <c r="Z26" s="298">
        <v>0</v>
      </c>
      <c r="AA26" s="298">
        <v>0</v>
      </c>
      <c r="AB26" s="298">
        <v>0</v>
      </c>
      <c r="AC26" s="298">
        <v>0</v>
      </c>
      <c r="AD26" s="298">
        <v>0</v>
      </c>
      <c r="AE26" s="298">
        <v>0</v>
      </c>
      <c r="AF26" s="299">
        <v>0</v>
      </c>
      <c r="AG26" s="297">
        <v>0</v>
      </c>
      <c r="AH26" s="298">
        <v>0</v>
      </c>
      <c r="AI26" s="298">
        <v>0</v>
      </c>
      <c r="AJ26" s="298">
        <v>0</v>
      </c>
      <c r="AK26" s="299">
        <v>0</v>
      </c>
      <c r="AL26" s="441"/>
      <c r="AM26" s="298">
        <v>0</v>
      </c>
      <c r="AN26" s="304">
        <f t="shared" si="7"/>
        <v>0</v>
      </c>
    </row>
    <row r="27" spans="1:40">
      <c r="A27" s="258"/>
      <c r="B27" s="592"/>
      <c r="C27" s="593"/>
      <c r="D27" s="593" t="s">
        <v>85</v>
      </c>
      <c r="E27" s="593"/>
      <c r="F27" s="593"/>
      <c r="G27" s="293"/>
      <c r="H27" s="259"/>
      <c r="I27" s="576" t="s">
        <v>498</v>
      </c>
      <c r="J27" s="297">
        <v>0</v>
      </c>
      <c r="K27" s="298">
        <v>0</v>
      </c>
      <c r="L27" s="298">
        <v>0</v>
      </c>
      <c r="M27" s="298">
        <v>0</v>
      </c>
      <c r="N27" s="298">
        <v>0</v>
      </c>
      <c r="O27" s="298">
        <v>0</v>
      </c>
      <c r="P27" s="298">
        <v>0</v>
      </c>
      <c r="Q27" s="299">
        <v>0</v>
      </c>
      <c r="R27" s="297">
        <v>0</v>
      </c>
      <c r="S27" s="298">
        <v>0</v>
      </c>
      <c r="T27" s="298">
        <v>0</v>
      </c>
      <c r="U27" s="298">
        <v>0</v>
      </c>
      <c r="V27" s="299">
        <v>0</v>
      </c>
      <c r="W27" s="339"/>
      <c r="X27" s="576" t="s">
        <v>498</v>
      </c>
      <c r="Y27" s="297">
        <v>0</v>
      </c>
      <c r="Z27" s="298">
        <v>0</v>
      </c>
      <c r="AA27" s="298">
        <v>0</v>
      </c>
      <c r="AB27" s="298">
        <v>0</v>
      </c>
      <c r="AC27" s="298">
        <v>0</v>
      </c>
      <c r="AD27" s="298">
        <v>0</v>
      </c>
      <c r="AE27" s="298">
        <v>0</v>
      </c>
      <c r="AF27" s="299">
        <v>0</v>
      </c>
      <c r="AG27" s="297">
        <v>0</v>
      </c>
      <c r="AH27" s="298">
        <v>0</v>
      </c>
      <c r="AI27" s="298">
        <v>0</v>
      </c>
      <c r="AJ27" s="298">
        <v>0</v>
      </c>
      <c r="AK27" s="299">
        <v>0</v>
      </c>
      <c r="AL27" s="441"/>
      <c r="AM27" s="298">
        <v>0</v>
      </c>
      <c r="AN27" s="304">
        <f t="shared" si="7"/>
        <v>0</v>
      </c>
    </row>
    <row r="28" spans="1:40">
      <c r="A28" s="258"/>
      <c r="B28" s="592"/>
      <c r="C28" s="594"/>
      <c r="D28" s="594"/>
      <c r="E28" s="594"/>
      <c r="F28" s="594"/>
      <c r="G28" s="561"/>
      <c r="H28" s="259"/>
      <c r="I28" s="259"/>
      <c r="J28" s="295"/>
      <c r="K28" s="259"/>
      <c r="L28" s="259"/>
      <c r="M28" s="259"/>
      <c r="N28" s="259"/>
      <c r="O28" s="259"/>
      <c r="P28" s="259"/>
      <c r="Q28" s="296"/>
      <c r="R28" s="295"/>
      <c r="S28" s="259"/>
      <c r="T28" s="259"/>
      <c r="U28" s="259"/>
      <c r="V28" s="296"/>
      <c r="W28" s="339"/>
      <c r="X28" s="259"/>
      <c r="Y28" s="295"/>
      <c r="Z28" s="259"/>
      <c r="AA28" s="259"/>
      <c r="AB28" s="259"/>
      <c r="AC28" s="259"/>
      <c r="AD28" s="259"/>
      <c r="AE28" s="259"/>
      <c r="AF28" s="296"/>
      <c r="AG28" s="295"/>
      <c r="AH28" s="259"/>
      <c r="AI28" s="259"/>
      <c r="AJ28" s="259"/>
      <c r="AK28" s="296"/>
      <c r="AL28" s="339"/>
      <c r="AM28" s="339"/>
      <c r="AN28" s="353"/>
    </row>
    <row r="29" spans="1:40" ht="15.75" thickBot="1">
      <c r="A29" s="258"/>
      <c r="B29" s="754" t="s">
        <v>1701</v>
      </c>
      <c r="C29" s="595"/>
      <c r="D29" s="595"/>
      <c r="E29" s="595"/>
      <c r="F29" s="595"/>
      <c r="G29" s="596"/>
      <c r="H29" s="300"/>
      <c r="I29" s="581" t="s">
        <v>498</v>
      </c>
      <c r="J29" s="627">
        <f>SUM(J24:J27)</f>
        <v>0.58436457588800794</v>
      </c>
      <c r="K29" s="628">
        <f t="shared" ref="K29:V29" si="8">SUM(K24:K27)</f>
        <v>3.1182276623376617</v>
      </c>
      <c r="L29" s="628">
        <f t="shared" si="8"/>
        <v>0.55933858016953064</v>
      </c>
      <c r="M29" s="628">
        <f t="shared" si="8"/>
        <v>4.8885469372662437E-4</v>
      </c>
      <c r="N29" s="628">
        <f t="shared" si="8"/>
        <v>0.13446442216178905</v>
      </c>
      <c r="O29" s="628">
        <f t="shared" si="8"/>
        <v>-2.9655952137080388E-2</v>
      </c>
      <c r="P29" s="628">
        <f t="shared" si="8"/>
        <v>0.72787135718560592</v>
      </c>
      <c r="Q29" s="629">
        <f t="shared" si="8"/>
        <v>0.72787135718560592</v>
      </c>
      <c r="R29" s="627">
        <f t="shared" si="8"/>
        <v>0.18302876415494909</v>
      </c>
      <c r="S29" s="628">
        <f t="shared" si="8"/>
        <v>0.48807670441319762</v>
      </c>
      <c r="T29" s="628">
        <f t="shared" si="8"/>
        <v>0.67110546856814668</v>
      </c>
      <c r="U29" s="628">
        <f t="shared" si="8"/>
        <v>0</v>
      </c>
      <c r="V29" s="629">
        <f t="shared" si="8"/>
        <v>0.18302876415494909</v>
      </c>
      <c r="W29" s="358"/>
      <c r="X29" s="581" t="s">
        <v>498</v>
      </c>
      <c r="Y29" s="627">
        <f>SUM(Y24:Y27)</f>
        <v>0</v>
      </c>
      <c r="Z29" s="628">
        <f t="shared" ref="Z29:AK29" si="9">SUM(Z24:Z27)</f>
        <v>0</v>
      </c>
      <c r="AA29" s="628">
        <f t="shared" si="9"/>
        <v>0</v>
      </c>
      <c r="AB29" s="628">
        <f t="shared" si="9"/>
        <v>0</v>
      </c>
      <c r="AC29" s="628">
        <f t="shared" si="9"/>
        <v>0</v>
      </c>
      <c r="AD29" s="628">
        <f t="shared" si="9"/>
        <v>0</v>
      </c>
      <c r="AE29" s="628">
        <f t="shared" si="9"/>
        <v>0</v>
      </c>
      <c r="AF29" s="629">
        <f t="shared" si="9"/>
        <v>0</v>
      </c>
      <c r="AG29" s="627">
        <f t="shared" si="9"/>
        <v>0</v>
      </c>
      <c r="AH29" s="628">
        <f t="shared" si="9"/>
        <v>0</v>
      </c>
      <c r="AI29" s="628">
        <f t="shared" si="9"/>
        <v>0</v>
      </c>
      <c r="AJ29" s="628">
        <f t="shared" si="9"/>
        <v>0</v>
      </c>
      <c r="AK29" s="629">
        <f t="shared" si="9"/>
        <v>0</v>
      </c>
      <c r="AL29" s="358"/>
      <c r="AM29" s="750">
        <f>SUM(AM24:AM27)</f>
        <v>0</v>
      </c>
      <c r="AN29" s="751">
        <f>SUM(AN24:AN27)</f>
        <v>1.5252397012912424</v>
      </c>
    </row>
    <row r="30" spans="1:40" ht="15" thickBot="1">
      <c r="A30" s="258"/>
    </row>
    <row r="31" spans="1:40" ht="30" customHeight="1" thickBot="1">
      <c r="A31" s="258"/>
      <c r="B31" s="640" t="s">
        <v>2550</v>
      </c>
      <c r="C31" s="558"/>
      <c r="D31" s="558"/>
      <c r="E31" s="558"/>
      <c r="F31" s="558"/>
      <c r="G31" s="559"/>
      <c r="H31" s="294"/>
      <c r="I31" s="105" t="s">
        <v>1864</v>
      </c>
      <c r="J31" s="106"/>
      <c r="K31" s="106"/>
      <c r="L31" s="106"/>
      <c r="M31" s="106"/>
      <c r="N31" s="106"/>
      <c r="O31" s="106"/>
      <c r="P31" s="106"/>
      <c r="Q31" s="106"/>
      <c r="R31" s="105"/>
      <c r="S31" s="105"/>
      <c r="T31" s="105"/>
      <c r="U31" s="105"/>
      <c r="V31" s="105"/>
      <c r="W31" s="587"/>
      <c r="X31" s="105" t="s">
        <v>2202</v>
      </c>
      <c r="Y31" s="106"/>
      <c r="Z31" s="106"/>
      <c r="AA31" s="106"/>
      <c r="AB31" s="106"/>
      <c r="AC31" s="106"/>
      <c r="AD31" s="106"/>
      <c r="AE31" s="106"/>
      <c r="AF31" s="106"/>
      <c r="AG31" s="105"/>
      <c r="AH31" s="105"/>
      <c r="AI31" s="105"/>
      <c r="AJ31" s="105"/>
      <c r="AK31" s="105"/>
      <c r="AL31" s="439"/>
      <c r="AM31" s="588" t="s">
        <v>2555</v>
      </c>
      <c r="AN31" s="589"/>
    </row>
    <row r="32" spans="1:40" ht="30" customHeight="1">
      <c r="A32" s="258"/>
      <c r="B32" s="560"/>
      <c r="C32" s="561"/>
      <c r="D32" s="561"/>
      <c r="E32" s="561"/>
      <c r="F32" s="561"/>
      <c r="G32" s="561"/>
      <c r="H32" s="259"/>
      <c r="I32" s="562"/>
      <c r="J32" s="563" t="s">
        <v>1666</v>
      </c>
      <c r="K32" s="564"/>
      <c r="L32" s="564"/>
      <c r="M32" s="564"/>
      <c r="N32" s="564"/>
      <c r="O32" s="564"/>
      <c r="P32" s="564"/>
      <c r="Q32" s="565"/>
      <c r="R32" s="566" t="s">
        <v>2</v>
      </c>
      <c r="S32" s="567"/>
      <c r="T32" s="567"/>
      <c r="U32" s="567"/>
      <c r="V32" s="568"/>
      <c r="W32" s="339"/>
      <c r="X32" s="562"/>
      <c r="Y32" s="563" t="s">
        <v>1666</v>
      </c>
      <c r="Z32" s="564"/>
      <c r="AA32" s="564"/>
      <c r="AB32" s="564"/>
      <c r="AC32" s="564"/>
      <c r="AD32" s="564"/>
      <c r="AE32" s="564"/>
      <c r="AF32" s="565"/>
      <c r="AG32" s="566" t="s">
        <v>2</v>
      </c>
      <c r="AH32" s="567"/>
      <c r="AI32" s="567"/>
      <c r="AJ32" s="567"/>
      <c r="AK32" s="568"/>
      <c r="AL32" s="441"/>
      <c r="AM32" s="590" t="s">
        <v>2556</v>
      </c>
      <c r="AN32" s="442" t="s">
        <v>2557</v>
      </c>
    </row>
    <row r="33" spans="1:40" ht="15">
      <c r="A33" s="258"/>
      <c r="B33" s="572"/>
      <c r="C33" s="339"/>
      <c r="D33" s="339"/>
      <c r="E33" s="339"/>
      <c r="F33" s="339"/>
      <c r="G33" s="339"/>
      <c r="H33" s="259"/>
      <c r="I33" s="571" t="s">
        <v>1667</v>
      </c>
      <c r="J33" s="518" t="s">
        <v>453</v>
      </c>
      <c r="K33" s="515" t="s">
        <v>455</v>
      </c>
      <c r="L33" s="515" t="s">
        <v>457</v>
      </c>
      <c r="M33" s="515" t="s">
        <v>459</v>
      </c>
      <c r="N33" s="515" t="s">
        <v>461</v>
      </c>
      <c r="O33" s="515" t="s">
        <v>463</v>
      </c>
      <c r="P33" s="515" t="s">
        <v>465</v>
      </c>
      <c r="Q33" s="516" t="s">
        <v>467</v>
      </c>
      <c r="R33" s="508" t="s">
        <v>469</v>
      </c>
      <c r="S33" s="509" t="s">
        <v>471</v>
      </c>
      <c r="T33" s="509" t="s">
        <v>473</v>
      </c>
      <c r="U33" s="509" t="s">
        <v>475</v>
      </c>
      <c r="V33" s="510" t="s">
        <v>477</v>
      </c>
      <c r="W33" s="339"/>
      <c r="X33" s="571" t="s">
        <v>1667</v>
      </c>
      <c r="Y33" s="518" t="s">
        <v>453</v>
      </c>
      <c r="Z33" s="515" t="s">
        <v>455</v>
      </c>
      <c r="AA33" s="515" t="s">
        <v>457</v>
      </c>
      <c r="AB33" s="515" t="s">
        <v>459</v>
      </c>
      <c r="AC33" s="515" t="s">
        <v>461</v>
      </c>
      <c r="AD33" s="515" t="s">
        <v>463</v>
      </c>
      <c r="AE33" s="515" t="s">
        <v>465</v>
      </c>
      <c r="AF33" s="516" t="s">
        <v>467</v>
      </c>
      <c r="AG33" s="508" t="s">
        <v>469</v>
      </c>
      <c r="AH33" s="509" t="s">
        <v>471</v>
      </c>
      <c r="AI33" s="509" t="s">
        <v>473</v>
      </c>
      <c r="AJ33" s="509" t="s">
        <v>475</v>
      </c>
      <c r="AK33" s="510" t="s">
        <v>477</v>
      </c>
      <c r="AL33" s="441"/>
      <c r="AM33" s="445" t="s">
        <v>498</v>
      </c>
      <c r="AN33" s="446" t="s">
        <v>498</v>
      </c>
    </row>
    <row r="34" spans="1:40" ht="15">
      <c r="A34" s="258"/>
      <c r="B34" s="572"/>
      <c r="C34" s="591" t="s">
        <v>1897</v>
      </c>
      <c r="D34" s="591"/>
      <c r="E34" s="591"/>
      <c r="F34" s="591"/>
      <c r="G34" s="339"/>
      <c r="H34" s="259"/>
      <c r="I34" s="260"/>
      <c r="J34" s="295"/>
      <c r="K34" s="259"/>
      <c r="L34" s="259"/>
      <c r="M34" s="259"/>
      <c r="N34" s="259"/>
      <c r="O34" s="259"/>
      <c r="P34" s="259"/>
      <c r="Q34" s="296"/>
      <c r="R34" s="295"/>
      <c r="S34" s="259"/>
      <c r="T34" s="259"/>
      <c r="U34" s="259"/>
      <c r="V34" s="296"/>
      <c r="W34" s="339"/>
      <c r="X34" s="260"/>
      <c r="Y34" s="295"/>
      <c r="Z34" s="259"/>
      <c r="AA34" s="259"/>
      <c r="AB34" s="259"/>
      <c r="AC34" s="259"/>
      <c r="AD34" s="259"/>
      <c r="AE34" s="259"/>
      <c r="AF34" s="296"/>
      <c r="AG34" s="295"/>
      <c r="AH34" s="259"/>
      <c r="AI34" s="259"/>
      <c r="AJ34" s="259"/>
      <c r="AK34" s="296"/>
      <c r="AL34" s="441"/>
      <c r="AM34" s="209"/>
      <c r="AN34" s="210"/>
    </row>
    <row r="35" spans="1:40">
      <c r="A35" s="258"/>
      <c r="B35" s="592"/>
      <c r="C35" s="593"/>
      <c r="D35" s="593" t="s">
        <v>2558</v>
      </c>
      <c r="E35" s="593"/>
      <c r="F35" s="593"/>
      <c r="G35" s="593"/>
      <c r="H35" s="259"/>
      <c r="I35" s="576" t="s">
        <v>498</v>
      </c>
      <c r="J35" s="297">
        <v>2.1277575475377462</v>
      </c>
      <c r="K35" s="298">
        <v>2.2738226493506493</v>
      </c>
      <c r="L35" s="298">
        <v>1.5667305593927163</v>
      </c>
      <c r="M35" s="298">
        <v>2.9449578793146953</v>
      </c>
      <c r="N35" s="298">
        <v>2.6760053356864799</v>
      </c>
      <c r="O35" s="298">
        <v>1.1759729188661048</v>
      </c>
      <c r="P35" s="298">
        <v>3.4543096064037986</v>
      </c>
      <c r="Q35" s="299">
        <v>2.7622749482644249</v>
      </c>
      <c r="R35" s="297">
        <v>3.4348398073078781</v>
      </c>
      <c r="S35" s="298">
        <v>2.2573547579110391</v>
      </c>
      <c r="T35" s="298">
        <v>3.5385561069956828</v>
      </c>
      <c r="U35" s="298">
        <v>2.1536384582232344</v>
      </c>
      <c r="V35" s="299">
        <v>2.9284602264791855</v>
      </c>
      <c r="W35" s="339"/>
      <c r="X35" s="576" t="s">
        <v>498</v>
      </c>
      <c r="Y35" s="297">
        <v>0</v>
      </c>
      <c r="Z35" s="298">
        <v>0</v>
      </c>
      <c r="AA35" s="298">
        <v>0</v>
      </c>
      <c r="AB35" s="298">
        <v>0</v>
      </c>
      <c r="AC35" s="298">
        <v>0</v>
      </c>
      <c r="AD35" s="298">
        <v>0</v>
      </c>
      <c r="AE35" s="298">
        <v>0</v>
      </c>
      <c r="AF35" s="299">
        <v>0</v>
      </c>
      <c r="AG35" s="297">
        <v>0</v>
      </c>
      <c r="AH35" s="298">
        <v>0</v>
      </c>
      <c r="AI35" s="298">
        <v>0</v>
      </c>
      <c r="AJ35" s="298">
        <v>0</v>
      </c>
      <c r="AK35" s="299">
        <v>0</v>
      </c>
      <c r="AL35" s="441"/>
      <c r="AM35" s="298">
        <v>0</v>
      </c>
      <c r="AN35" s="304">
        <f>SUM($R35:$V35)-(AM35)</f>
        <v>14.31284935691702</v>
      </c>
    </row>
    <row r="36" spans="1:40">
      <c r="A36" s="258"/>
      <c r="B36" s="592"/>
      <c r="C36" s="593"/>
      <c r="D36" s="593" t="s">
        <v>2559</v>
      </c>
      <c r="E36" s="593"/>
      <c r="F36" s="593"/>
      <c r="G36" s="593"/>
      <c r="H36" s="259"/>
      <c r="I36" s="576" t="s">
        <v>498</v>
      </c>
      <c r="J36" s="297">
        <v>0</v>
      </c>
      <c r="K36" s="298">
        <v>0</v>
      </c>
      <c r="L36" s="298">
        <v>0</v>
      </c>
      <c r="M36" s="298">
        <v>0</v>
      </c>
      <c r="N36" s="298">
        <v>0</v>
      </c>
      <c r="O36" s="298">
        <v>0</v>
      </c>
      <c r="P36" s="298">
        <v>0</v>
      </c>
      <c r="Q36" s="299">
        <v>0</v>
      </c>
      <c r="R36" s="297">
        <v>0</v>
      </c>
      <c r="S36" s="298">
        <v>0</v>
      </c>
      <c r="T36" s="298">
        <v>0</v>
      </c>
      <c r="U36" s="298">
        <v>0</v>
      </c>
      <c r="V36" s="299">
        <v>0</v>
      </c>
      <c r="W36" s="339"/>
      <c r="X36" s="576" t="s">
        <v>498</v>
      </c>
      <c r="Y36" s="297">
        <v>0</v>
      </c>
      <c r="Z36" s="298">
        <v>0</v>
      </c>
      <c r="AA36" s="298">
        <v>0</v>
      </c>
      <c r="AB36" s="298">
        <v>0</v>
      </c>
      <c r="AC36" s="298">
        <v>0</v>
      </c>
      <c r="AD36" s="298">
        <v>0</v>
      </c>
      <c r="AE36" s="298">
        <v>0</v>
      </c>
      <c r="AF36" s="299">
        <v>0</v>
      </c>
      <c r="AG36" s="297">
        <v>0</v>
      </c>
      <c r="AH36" s="298">
        <v>0</v>
      </c>
      <c r="AI36" s="298">
        <v>0</v>
      </c>
      <c r="AJ36" s="298">
        <v>0</v>
      </c>
      <c r="AK36" s="299">
        <v>0</v>
      </c>
      <c r="AL36" s="441"/>
      <c r="AM36" s="298">
        <v>0</v>
      </c>
      <c r="AN36" s="304">
        <f t="shared" ref="AN36:AN38" si="10">SUM($R36:$V36)-(AM36)</f>
        <v>0</v>
      </c>
    </row>
    <row r="37" spans="1:40">
      <c r="A37" s="258"/>
      <c r="B37" s="592"/>
      <c r="C37" s="593"/>
      <c r="D37" s="593" t="s">
        <v>85</v>
      </c>
      <c r="E37" s="593"/>
      <c r="F37" s="593"/>
      <c r="G37" s="293"/>
      <c r="H37" s="259"/>
      <c r="I37" s="576" t="s">
        <v>498</v>
      </c>
      <c r="J37" s="297">
        <v>0</v>
      </c>
      <c r="K37" s="298">
        <v>0</v>
      </c>
      <c r="L37" s="298">
        <v>0</v>
      </c>
      <c r="M37" s="298">
        <v>0</v>
      </c>
      <c r="N37" s="298">
        <v>0</v>
      </c>
      <c r="O37" s="298">
        <v>0</v>
      </c>
      <c r="P37" s="298">
        <v>0</v>
      </c>
      <c r="Q37" s="299">
        <v>0</v>
      </c>
      <c r="R37" s="297">
        <v>0</v>
      </c>
      <c r="S37" s="298">
        <v>0</v>
      </c>
      <c r="T37" s="298">
        <v>0</v>
      </c>
      <c r="U37" s="298">
        <v>0</v>
      </c>
      <c r="V37" s="299">
        <v>0</v>
      </c>
      <c r="W37" s="339"/>
      <c r="X37" s="576" t="s">
        <v>498</v>
      </c>
      <c r="Y37" s="297">
        <v>0</v>
      </c>
      <c r="Z37" s="298">
        <v>0</v>
      </c>
      <c r="AA37" s="298">
        <v>0</v>
      </c>
      <c r="AB37" s="298">
        <v>0</v>
      </c>
      <c r="AC37" s="298">
        <v>0</v>
      </c>
      <c r="AD37" s="298">
        <v>0</v>
      </c>
      <c r="AE37" s="298">
        <v>0</v>
      </c>
      <c r="AF37" s="299">
        <v>0</v>
      </c>
      <c r="AG37" s="297">
        <v>0</v>
      </c>
      <c r="AH37" s="298">
        <v>0</v>
      </c>
      <c r="AI37" s="298">
        <v>0</v>
      </c>
      <c r="AJ37" s="298">
        <v>0</v>
      </c>
      <c r="AK37" s="299">
        <v>0</v>
      </c>
      <c r="AL37" s="441"/>
      <c r="AM37" s="298">
        <v>0</v>
      </c>
      <c r="AN37" s="304">
        <f t="shared" si="10"/>
        <v>0</v>
      </c>
    </row>
    <row r="38" spans="1:40">
      <c r="A38" s="258"/>
      <c r="B38" s="592"/>
      <c r="C38" s="593"/>
      <c r="D38" s="593" t="s">
        <v>85</v>
      </c>
      <c r="E38" s="593"/>
      <c r="F38" s="593"/>
      <c r="G38" s="293"/>
      <c r="H38" s="259"/>
      <c r="I38" s="576" t="s">
        <v>498</v>
      </c>
      <c r="J38" s="297">
        <v>0</v>
      </c>
      <c r="K38" s="298">
        <v>0</v>
      </c>
      <c r="L38" s="298">
        <v>0</v>
      </c>
      <c r="M38" s="298">
        <v>0</v>
      </c>
      <c r="N38" s="298">
        <v>0</v>
      </c>
      <c r="O38" s="298">
        <v>0</v>
      </c>
      <c r="P38" s="298">
        <v>0</v>
      </c>
      <c r="Q38" s="299">
        <v>0</v>
      </c>
      <c r="R38" s="297">
        <v>0</v>
      </c>
      <c r="S38" s="298">
        <v>0</v>
      </c>
      <c r="T38" s="298">
        <v>0</v>
      </c>
      <c r="U38" s="298">
        <v>0</v>
      </c>
      <c r="V38" s="299">
        <v>0</v>
      </c>
      <c r="W38" s="339"/>
      <c r="X38" s="576" t="s">
        <v>498</v>
      </c>
      <c r="Y38" s="297">
        <v>0</v>
      </c>
      <c r="Z38" s="298">
        <v>0</v>
      </c>
      <c r="AA38" s="298">
        <v>0</v>
      </c>
      <c r="AB38" s="298">
        <v>0</v>
      </c>
      <c r="AC38" s="298">
        <v>0</v>
      </c>
      <c r="AD38" s="298">
        <v>0</v>
      </c>
      <c r="AE38" s="298">
        <v>0</v>
      </c>
      <c r="AF38" s="299">
        <v>0</v>
      </c>
      <c r="AG38" s="297">
        <v>0</v>
      </c>
      <c r="AH38" s="298">
        <v>0</v>
      </c>
      <c r="AI38" s="298">
        <v>0</v>
      </c>
      <c r="AJ38" s="298">
        <v>0</v>
      </c>
      <c r="AK38" s="299">
        <v>0</v>
      </c>
      <c r="AL38" s="441"/>
      <c r="AM38" s="298">
        <v>0</v>
      </c>
      <c r="AN38" s="304">
        <f t="shared" si="10"/>
        <v>0</v>
      </c>
    </row>
    <row r="39" spans="1:40">
      <c r="A39" s="258"/>
      <c r="B39" s="592"/>
      <c r="C39" s="594"/>
      <c r="D39" s="594"/>
      <c r="E39" s="594"/>
      <c r="F39" s="594"/>
      <c r="G39" s="561"/>
      <c r="H39" s="259"/>
      <c r="I39" s="259"/>
      <c r="J39" s="295"/>
      <c r="K39" s="259"/>
      <c r="L39" s="259"/>
      <c r="M39" s="259"/>
      <c r="N39" s="259"/>
      <c r="O39" s="259"/>
      <c r="P39" s="259"/>
      <c r="Q39" s="296"/>
      <c r="R39" s="295"/>
      <c r="S39" s="259"/>
      <c r="T39" s="259"/>
      <c r="U39" s="259"/>
      <c r="V39" s="296"/>
      <c r="W39" s="339"/>
      <c r="X39" s="259"/>
      <c r="Y39" s="295"/>
      <c r="Z39" s="259"/>
      <c r="AA39" s="259"/>
      <c r="AB39" s="259"/>
      <c r="AC39" s="259"/>
      <c r="AD39" s="259"/>
      <c r="AE39" s="259"/>
      <c r="AF39" s="296"/>
      <c r="AG39" s="295"/>
      <c r="AH39" s="259"/>
      <c r="AI39" s="259"/>
      <c r="AJ39" s="259"/>
      <c r="AK39" s="296"/>
      <c r="AL39" s="339"/>
      <c r="AM39" s="339"/>
      <c r="AN39" s="353"/>
    </row>
    <row r="40" spans="1:40" ht="15.75" thickBot="1">
      <c r="A40" s="258"/>
      <c r="B40" s="754" t="s">
        <v>1701</v>
      </c>
      <c r="C40" s="595"/>
      <c r="D40" s="595"/>
      <c r="E40" s="595"/>
      <c r="F40" s="595"/>
      <c r="G40" s="596"/>
      <c r="H40" s="300"/>
      <c r="I40" s="581" t="s">
        <v>498</v>
      </c>
      <c r="J40" s="627">
        <f>SUM(J35:J38)</f>
        <v>2.1277575475377462</v>
      </c>
      <c r="K40" s="628">
        <f t="shared" ref="K40:V40" si="11">SUM(K35:K38)</f>
        <v>2.2738226493506493</v>
      </c>
      <c r="L40" s="628">
        <f t="shared" si="11"/>
        <v>1.5667305593927163</v>
      </c>
      <c r="M40" s="628">
        <f t="shared" si="11"/>
        <v>2.9449578793146953</v>
      </c>
      <c r="N40" s="628">
        <f t="shared" si="11"/>
        <v>2.6760053356864799</v>
      </c>
      <c r="O40" s="628">
        <f t="shared" si="11"/>
        <v>1.1759729188661048</v>
      </c>
      <c r="P40" s="628">
        <f t="shared" si="11"/>
        <v>3.4543096064037986</v>
      </c>
      <c r="Q40" s="629">
        <f t="shared" si="11"/>
        <v>2.7622749482644249</v>
      </c>
      <c r="R40" s="627">
        <f t="shared" si="11"/>
        <v>3.4348398073078781</v>
      </c>
      <c r="S40" s="628">
        <f t="shared" si="11"/>
        <v>2.2573547579110391</v>
      </c>
      <c r="T40" s="628">
        <f t="shared" si="11"/>
        <v>3.5385561069956828</v>
      </c>
      <c r="U40" s="628">
        <f t="shared" si="11"/>
        <v>2.1536384582232344</v>
      </c>
      <c r="V40" s="629">
        <f t="shared" si="11"/>
        <v>2.9284602264791855</v>
      </c>
      <c r="W40" s="358"/>
      <c r="X40" s="581" t="s">
        <v>498</v>
      </c>
      <c r="Y40" s="627">
        <f>SUM(Y35:Y38)</f>
        <v>0</v>
      </c>
      <c r="Z40" s="628">
        <f t="shared" ref="Z40:AK40" si="12">SUM(Z35:Z38)</f>
        <v>0</v>
      </c>
      <c r="AA40" s="628">
        <f t="shared" si="12"/>
        <v>0</v>
      </c>
      <c r="AB40" s="628">
        <f t="shared" si="12"/>
        <v>0</v>
      </c>
      <c r="AC40" s="628">
        <f t="shared" si="12"/>
        <v>0</v>
      </c>
      <c r="AD40" s="628">
        <f t="shared" si="12"/>
        <v>0</v>
      </c>
      <c r="AE40" s="628">
        <f t="shared" si="12"/>
        <v>0</v>
      </c>
      <c r="AF40" s="629">
        <f t="shared" si="12"/>
        <v>0</v>
      </c>
      <c r="AG40" s="627">
        <f t="shared" si="12"/>
        <v>0</v>
      </c>
      <c r="AH40" s="628">
        <f t="shared" si="12"/>
        <v>0</v>
      </c>
      <c r="AI40" s="628">
        <f t="shared" si="12"/>
        <v>0</v>
      </c>
      <c r="AJ40" s="628">
        <f t="shared" si="12"/>
        <v>0</v>
      </c>
      <c r="AK40" s="629">
        <f t="shared" si="12"/>
        <v>0</v>
      </c>
      <c r="AL40" s="358"/>
      <c r="AM40" s="750">
        <f>SUM(AM35:AM38)</f>
        <v>0</v>
      </c>
      <c r="AN40" s="751">
        <f>SUM(AN35:AN38)</f>
        <v>14.31284935691702</v>
      </c>
    </row>
    <row r="41" spans="1:40" ht="15" thickBot="1">
      <c r="A41" s="258"/>
    </row>
    <row r="42" spans="1:40" ht="30" customHeight="1" thickBot="1">
      <c r="A42" s="258"/>
      <c r="B42" s="640" t="s">
        <v>2551</v>
      </c>
      <c r="C42" s="558"/>
      <c r="D42" s="558"/>
      <c r="E42" s="558"/>
      <c r="F42" s="558"/>
      <c r="G42" s="559"/>
      <c r="H42" s="294"/>
      <c r="I42" s="105" t="s">
        <v>1864</v>
      </c>
      <c r="J42" s="106"/>
      <c r="K42" s="106"/>
      <c r="L42" s="106"/>
      <c r="M42" s="106"/>
      <c r="N42" s="106"/>
      <c r="O42" s="106"/>
      <c r="P42" s="106"/>
      <c r="Q42" s="106"/>
      <c r="R42" s="105"/>
      <c r="S42" s="105"/>
      <c r="T42" s="105"/>
      <c r="U42" s="105"/>
      <c r="V42" s="105"/>
      <c r="W42" s="587"/>
      <c r="X42" s="105" t="s">
        <v>2202</v>
      </c>
      <c r="Y42" s="106"/>
      <c r="Z42" s="106"/>
      <c r="AA42" s="106"/>
      <c r="AB42" s="106"/>
      <c r="AC42" s="106"/>
      <c r="AD42" s="106"/>
      <c r="AE42" s="106"/>
      <c r="AF42" s="106"/>
      <c r="AG42" s="105"/>
      <c r="AH42" s="105"/>
      <c r="AI42" s="105"/>
      <c r="AJ42" s="105"/>
      <c r="AK42" s="105"/>
    </row>
    <row r="43" spans="1:40" ht="30" customHeight="1">
      <c r="A43" s="258"/>
      <c r="B43" s="560"/>
      <c r="C43" s="561"/>
      <c r="D43" s="561"/>
      <c r="E43" s="561"/>
      <c r="F43" s="561"/>
      <c r="G43" s="561"/>
      <c r="H43" s="259"/>
      <c r="I43" s="562"/>
      <c r="J43" s="563" t="s">
        <v>1666</v>
      </c>
      <c r="K43" s="564"/>
      <c r="L43" s="564"/>
      <c r="M43" s="564"/>
      <c r="N43" s="564"/>
      <c r="O43" s="564"/>
      <c r="P43" s="564"/>
      <c r="Q43" s="565"/>
      <c r="R43" s="566" t="s">
        <v>2</v>
      </c>
      <c r="S43" s="567"/>
      <c r="T43" s="567"/>
      <c r="U43" s="567"/>
      <c r="V43" s="568"/>
      <c r="W43" s="339"/>
      <c r="X43" s="562"/>
      <c r="Y43" s="563" t="s">
        <v>1666</v>
      </c>
      <c r="Z43" s="564"/>
      <c r="AA43" s="564"/>
      <c r="AB43" s="564"/>
      <c r="AC43" s="564"/>
      <c r="AD43" s="564"/>
      <c r="AE43" s="564"/>
      <c r="AF43" s="565"/>
      <c r="AG43" s="566" t="s">
        <v>2</v>
      </c>
      <c r="AH43" s="567"/>
      <c r="AI43" s="567"/>
      <c r="AJ43" s="567"/>
      <c r="AK43" s="568"/>
    </row>
    <row r="44" spans="1:40" ht="15">
      <c r="A44" s="258"/>
      <c r="B44" s="572"/>
      <c r="C44" s="339"/>
      <c r="D44" s="339"/>
      <c r="E44" s="339"/>
      <c r="F44" s="339"/>
      <c r="G44" s="339"/>
      <c r="H44" s="259"/>
      <c r="I44" s="571" t="s">
        <v>1667</v>
      </c>
      <c r="J44" s="518" t="s">
        <v>453</v>
      </c>
      <c r="K44" s="515" t="s">
        <v>455</v>
      </c>
      <c r="L44" s="515" t="s">
        <v>457</v>
      </c>
      <c r="M44" s="515" t="s">
        <v>459</v>
      </c>
      <c r="N44" s="515" t="s">
        <v>461</v>
      </c>
      <c r="O44" s="515" t="s">
        <v>463</v>
      </c>
      <c r="P44" s="515" t="s">
        <v>465</v>
      </c>
      <c r="Q44" s="516" t="s">
        <v>467</v>
      </c>
      <c r="R44" s="508" t="s">
        <v>469</v>
      </c>
      <c r="S44" s="509" t="s">
        <v>471</v>
      </c>
      <c r="T44" s="509" t="s">
        <v>473</v>
      </c>
      <c r="U44" s="509" t="s">
        <v>475</v>
      </c>
      <c r="V44" s="510" t="s">
        <v>477</v>
      </c>
      <c r="W44" s="339"/>
      <c r="X44" s="571" t="s">
        <v>1667</v>
      </c>
      <c r="Y44" s="518" t="s">
        <v>453</v>
      </c>
      <c r="Z44" s="515" t="s">
        <v>455</v>
      </c>
      <c r="AA44" s="515" t="s">
        <v>457</v>
      </c>
      <c r="AB44" s="515" t="s">
        <v>459</v>
      </c>
      <c r="AC44" s="515" t="s">
        <v>461</v>
      </c>
      <c r="AD44" s="515" t="s">
        <v>463</v>
      </c>
      <c r="AE44" s="515" t="s">
        <v>465</v>
      </c>
      <c r="AF44" s="516" t="s">
        <v>467</v>
      </c>
      <c r="AG44" s="508" t="s">
        <v>469</v>
      </c>
      <c r="AH44" s="509" t="s">
        <v>471</v>
      </c>
      <c r="AI44" s="509" t="s">
        <v>473</v>
      </c>
      <c r="AJ44" s="509" t="s">
        <v>475</v>
      </c>
      <c r="AK44" s="510" t="s">
        <v>477</v>
      </c>
    </row>
    <row r="45" spans="1:40" ht="15">
      <c r="A45" s="258"/>
      <c r="B45" s="572"/>
      <c r="C45" s="591" t="s">
        <v>1897</v>
      </c>
      <c r="D45" s="591"/>
      <c r="E45" s="591"/>
      <c r="F45" s="591"/>
      <c r="G45" s="339"/>
      <c r="H45" s="259"/>
      <c r="I45" s="260"/>
      <c r="J45" s="295"/>
      <c r="K45" s="259"/>
      <c r="L45" s="259"/>
      <c r="M45" s="259"/>
      <c r="N45" s="259"/>
      <c r="O45" s="259"/>
      <c r="P45" s="259"/>
      <c r="Q45" s="296"/>
      <c r="R45" s="295"/>
      <c r="S45" s="259"/>
      <c r="T45" s="259"/>
      <c r="U45" s="259"/>
      <c r="V45" s="296"/>
      <c r="W45" s="339"/>
      <c r="X45" s="260"/>
      <c r="Y45" s="295"/>
      <c r="Z45" s="259"/>
      <c r="AA45" s="259"/>
      <c r="AB45" s="259"/>
      <c r="AC45" s="259"/>
      <c r="AD45" s="259"/>
      <c r="AE45" s="259"/>
      <c r="AF45" s="296"/>
      <c r="AG45" s="295"/>
      <c r="AH45" s="259"/>
      <c r="AI45" s="259"/>
      <c r="AJ45" s="259"/>
      <c r="AK45" s="296"/>
    </row>
    <row r="46" spans="1:40">
      <c r="A46" s="258"/>
      <c r="B46" s="592"/>
      <c r="C46" s="593"/>
      <c r="D46" s="593" t="s">
        <v>2560</v>
      </c>
      <c r="E46" s="593"/>
      <c r="F46" s="593"/>
      <c r="G46" s="593"/>
      <c r="H46" s="259"/>
      <c r="I46" s="576" t="s">
        <v>498</v>
      </c>
      <c r="J46" s="297">
        <v>1.2303415213960445</v>
      </c>
      <c r="K46" s="298">
        <v>1.3709163740259735</v>
      </c>
      <c r="L46" s="298">
        <v>1.7041710537146233</v>
      </c>
      <c r="M46" s="298">
        <v>0.10742863696991026</v>
      </c>
      <c r="N46" s="298">
        <v>8.1765630528896127E-2</v>
      </c>
      <c r="O46" s="298">
        <v>0.18888285525468029</v>
      </c>
      <c r="P46" s="298">
        <v>1.3266680849166166</v>
      </c>
      <c r="Q46" s="299">
        <v>0.61477992633870238</v>
      </c>
      <c r="R46" s="297">
        <v>2.9479832946557132E-2</v>
      </c>
      <c r="S46" s="298">
        <v>6.808670026564107E-3</v>
      </c>
      <c r="T46" s="298">
        <v>0.46590398982758657</v>
      </c>
      <c r="U46" s="298">
        <v>0.46989340679028385</v>
      </c>
      <c r="V46" s="299">
        <v>0.68293522769136161</v>
      </c>
      <c r="W46" s="339"/>
      <c r="X46" s="576" t="s">
        <v>498</v>
      </c>
      <c r="Y46" s="297">
        <v>0</v>
      </c>
      <c r="Z46" s="298">
        <v>0</v>
      </c>
      <c r="AA46" s="298">
        <v>0</v>
      </c>
      <c r="AB46" s="298">
        <v>0</v>
      </c>
      <c r="AC46" s="298">
        <v>0</v>
      </c>
      <c r="AD46" s="298">
        <v>0</v>
      </c>
      <c r="AE46" s="298">
        <v>0</v>
      </c>
      <c r="AF46" s="299">
        <v>0</v>
      </c>
      <c r="AG46" s="297">
        <v>0</v>
      </c>
      <c r="AH46" s="298">
        <v>0</v>
      </c>
      <c r="AI46" s="298">
        <v>0</v>
      </c>
      <c r="AJ46" s="298">
        <v>0</v>
      </c>
      <c r="AK46" s="299">
        <v>0</v>
      </c>
    </row>
    <row r="47" spans="1:40">
      <c r="A47" s="258"/>
      <c r="B47" s="592"/>
      <c r="C47" s="593"/>
      <c r="D47" s="593" t="s">
        <v>2561</v>
      </c>
      <c r="E47" s="593"/>
      <c r="F47" s="593"/>
      <c r="G47" s="593"/>
      <c r="H47" s="259"/>
      <c r="I47" s="576" t="s">
        <v>498</v>
      </c>
      <c r="J47" s="297">
        <v>0.25206066288172463</v>
      </c>
      <c r="K47" s="298">
        <v>0.36314934545454536</v>
      </c>
      <c r="L47" s="298">
        <v>0.57191449297520236</v>
      </c>
      <c r="M47" s="298">
        <v>2.4337939842721825</v>
      </c>
      <c r="N47" s="298">
        <v>0.23253686851899208</v>
      </c>
      <c r="O47" s="298">
        <v>0.32350509382562631</v>
      </c>
      <c r="P47" s="298">
        <v>4.6868293323600492E-3</v>
      </c>
      <c r="Q47" s="299">
        <v>0</v>
      </c>
      <c r="R47" s="297">
        <v>0.80846506552127273</v>
      </c>
      <c r="S47" s="298">
        <v>0.89346367261108617</v>
      </c>
      <c r="T47" s="298">
        <v>0.89346367261108617</v>
      </c>
      <c r="U47" s="298">
        <v>0.89346367261108617</v>
      </c>
      <c r="V47" s="299">
        <v>0.89346367261108617</v>
      </c>
      <c r="W47" s="339"/>
      <c r="X47" s="576" t="s">
        <v>498</v>
      </c>
      <c r="Y47" s="297">
        <v>0</v>
      </c>
      <c r="Z47" s="298">
        <v>0</v>
      </c>
      <c r="AA47" s="298">
        <v>0</v>
      </c>
      <c r="AB47" s="298">
        <v>0</v>
      </c>
      <c r="AC47" s="298">
        <v>0</v>
      </c>
      <c r="AD47" s="298">
        <v>0</v>
      </c>
      <c r="AE47" s="298">
        <v>0</v>
      </c>
      <c r="AF47" s="299">
        <v>0</v>
      </c>
      <c r="AG47" s="297">
        <v>0</v>
      </c>
      <c r="AH47" s="298">
        <v>0</v>
      </c>
      <c r="AI47" s="298">
        <v>0</v>
      </c>
      <c r="AJ47" s="298">
        <v>0</v>
      </c>
      <c r="AK47" s="299">
        <v>0</v>
      </c>
    </row>
    <row r="48" spans="1:40">
      <c r="A48" s="258"/>
      <c r="B48" s="592"/>
      <c r="C48" s="593"/>
      <c r="D48" s="593" t="s">
        <v>2562</v>
      </c>
      <c r="E48" s="593"/>
      <c r="F48" s="593"/>
      <c r="G48" s="593"/>
      <c r="H48" s="259"/>
      <c r="I48" s="576" t="s">
        <v>498</v>
      </c>
      <c r="J48" s="297">
        <v>1.9370168373079479</v>
      </c>
      <c r="K48" s="298">
        <v>1.3363503181611431</v>
      </c>
      <c r="L48" s="298">
        <v>0.54238039252747894</v>
      </c>
      <c r="M48" s="298">
        <v>0.17707488248218431</v>
      </c>
      <c r="N48" s="298">
        <v>1.1589203301479796</v>
      </c>
      <c r="O48" s="298">
        <v>0.61840872688479609</v>
      </c>
      <c r="P48" s="298">
        <v>0.43082686260700753</v>
      </c>
      <c r="Q48" s="299">
        <v>0.90155845999563056</v>
      </c>
      <c r="R48" s="297">
        <v>0.79118839731535806</v>
      </c>
      <c r="S48" s="298">
        <v>0.79118839731535806</v>
      </c>
      <c r="T48" s="298">
        <v>0.79118839731535806</v>
      </c>
      <c r="U48" s="298">
        <v>0.79118839731535806</v>
      </c>
      <c r="V48" s="299">
        <v>0.79118839731535806</v>
      </c>
      <c r="W48" s="339"/>
      <c r="X48" s="576" t="s">
        <v>498</v>
      </c>
      <c r="Y48" s="297">
        <v>0</v>
      </c>
      <c r="Z48" s="298">
        <v>0</v>
      </c>
      <c r="AA48" s="298">
        <v>0</v>
      </c>
      <c r="AB48" s="298">
        <v>0</v>
      </c>
      <c r="AC48" s="298">
        <v>0</v>
      </c>
      <c r="AD48" s="298">
        <v>0</v>
      </c>
      <c r="AE48" s="298">
        <v>0</v>
      </c>
      <c r="AF48" s="299">
        <v>0</v>
      </c>
      <c r="AG48" s="297">
        <v>0</v>
      </c>
      <c r="AH48" s="298">
        <v>0</v>
      </c>
      <c r="AI48" s="298">
        <v>0</v>
      </c>
      <c r="AJ48" s="298">
        <v>0</v>
      </c>
      <c r="AK48" s="299">
        <v>0</v>
      </c>
    </row>
    <row r="49" spans="1:42">
      <c r="A49" s="258"/>
      <c r="B49" s="592"/>
      <c r="C49" s="593"/>
      <c r="D49" s="593" t="s">
        <v>2563</v>
      </c>
      <c r="E49" s="593"/>
      <c r="F49" s="593"/>
      <c r="G49" s="593"/>
      <c r="H49" s="259"/>
      <c r="I49" s="576" t="s">
        <v>498</v>
      </c>
      <c r="J49" s="297">
        <v>0</v>
      </c>
      <c r="K49" s="298">
        <v>0</v>
      </c>
      <c r="L49" s="298">
        <v>0</v>
      </c>
      <c r="M49" s="298">
        <v>0</v>
      </c>
      <c r="N49" s="298">
        <v>0</v>
      </c>
      <c r="O49" s="298">
        <v>0</v>
      </c>
      <c r="P49" s="298">
        <v>0</v>
      </c>
      <c r="Q49" s="299">
        <v>0</v>
      </c>
      <c r="R49" s="297">
        <v>0</v>
      </c>
      <c r="S49" s="298">
        <v>0</v>
      </c>
      <c r="T49" s="298">
        <v>0</v>
      </c>
      <c r="U49" s="298">
        <v>0</v>
      </c>
      <c r="V49" s="299">
        <v>0</v>
      </c>
      <c r="W49" s="339"/>
      <c r="X49" s="576" t="s">
        <v>498</v>
      </c>
      <c r="Y49" s="297">
        <v>0</v>
      </c>
      <c r="Z49" s="298">
        <v>0</v>
      </c>
      <c r="AA49" s="298">
        <v>0</v>
      </c>
      <c r="AB49" s="298">
        <v>0</v>
      </c>
      <c r="AC49" s="298">
        <v>0</v>
      </c>
      <c r="AD49" s="298">
        <v>0</v>
      </c>
      <c r="AE49" s="298">
        <v>0</v>
      </c>
      <c r="AF49" s="299">
        <v>0</v>
      </c>
      <c r="AG49" s="297">
        <v>0</v>
      </c>
      <c r="AH49" s="298">
        <v>0</v>
      </c>
      <c r="AI49" s="298">
        <v>0</v>
      </c>
      <c r="AJ49" s="298">
        <v>0</v>
      </c>
      <c r="AK49" s="299">
        <v>0</v>
      </c>
    </row>
    <row r="50" spans="1:42">
      <c r="A50" s="258"/>
      <c r="B50" s="592"/>
      <c r="C50" s="593"/>
      <c r="D50" s="593" t="s">
        <v>2564</v>
      </c>
      <c r="E50" s="593"/>
      <c r="F50" s="593"/>
      <c r="G50" s="593"/>
      <c r="H50" s="259"/>
      <c r="I50" s="576" t="s">
        <v>498</v>
      </c>
      <c r="J50" s="297">
        <v>0</v>
      </c>
      <c r="K50" s="298">
        <v>0</v>
      </c>
      <c r="L50" s="298">
        <v>0</v>
      </c>
      <c r="M50" s="298">
        <v>0</v>
      </c>
      <c r="N50" s="298">
        <v>0</v>
      </c>
      <c r="O50" s="298">
        <v>0</v>
      </c>
      <c r="P50" s="298">
        <v>0</v>
      </c>
      <c r="Q50" s="299">
        <v>0</v>
      </c>
      <c r="R50" s="297">
        <v>0</v>
      </c>
      <c r="S50" s="298">
        <v>0</v>
      </c>
      <c r="T50" s="298">
        <v>0</v>
      </c>
      <c r="U50" s="298">
        <v>0</v>
      </c>
      <c r="V50" s="299">
        <v>0</v>
      </c>
      <c r="W50" s="339"/>
      <c r="X50" s="576" t="s">
        <v>498</v>
      </c>
      <c r="Y50" s="297">
        <v>0</v>
      </c>
      <c r="Z50" s="298">
        <v>0</v>
      </c>
      <c r="AA50" s="298">
        <v>0</v>
      </c>
      <c r="AB50" s="298">
        <v>0</v>
      </c>
      <c r="AC50" s="298">
        <v>0</v>
      </c>
      <c r="AD50" s="298">
        <v>0</v>
      </c>
      <c r="AE50" s="298">
        <v>0</v>
      </c>
      <c r="AF50" s="299">
        <v>0</v>
      </c>
      <c r="AG50" s="297">
        <v>0</v>
      </c>
      <c r="AH50" s="298">
        <v>0</v>
      </c>
      <c r="AI50" s="298">
        <v>0</v>
      </c>
      <c r="AJ50" s="298">
        <v>0</v>
      </c>
      <c r="AK50" s="299">
        <v>0</v>
      </c>
    </row>
    <row r="51" spans="1:42">
      <c r="A51" s="258"/>
      <c r="B51" s="592"/>
      <c r="C51" s="593"/>
      <c r="D51" s="593" t="s">
        <v>1742</v>
      </c>
      <c r="E51" s="593"/>
      <c r="F51" s="593"/>
      <c r="G51" s="593"/>
      <c r="H51" s="259"/>
      <c r="I51" s="576" t="s">
        <v>498</v>
      </c>
      <c r="J51" s="297">
        <v>1.4444169138730314</v>
      </c>
      <c r="K51" s="298">
        <v>1.685498633766233</v>
      </c>
      <c r="L51" s="298">
        <v>2.2668782419426949</v>
      </c>
      <c r="M51" s="298">
        <v>2.8118023923137292</v>
      </c>
      <c r="N51" s="298">
        <v>0.67559107948841057</v>
      </c>
      <c r="O51" s="298">
        <v>0.27373488234268278</v>
      </c>
      <c r="P51" s="298">
        <v>0.27373488234268278</v>
      </c>
      <c r="Q51" s="299">
        <v>0.27373488234268278</v>
      </c>
      <c r="R51" s="2543"/>
      <c r="S51" s="2544"/>
      <c r="T51" s="2544"/>
      <c r="U51" s="2544"/>
      <c r="V51" s="2545"/>
      <c r="W51" s="339"/>
      <c r="X51" s="576" t="s">
        <v>498</v>
      </c>
      <c r="Y51" s="297">
        <v>0</v>
      </c>
      <c r="Z51" s="298">
        <v>0</v>
      </c>
      <c r="AA51" s="298">
        <v>0</v>
      </c>
      <c r="AB51" s="298">
        <v>0</v>
      </c>
      <c r="AC51" s="298">
        <v>0</v>
      </c>
      <c r="AD51" s="298">
        <v>0</v>
      </c>
      <c r="AE51" s="298">
        <v>0</v>
      </c>
      <c r="AF51" s="299">
        <v>0</v>
      </c>
      <c r="AG51" s="2543"/>
      <c r="AH51" s="2544"/>
      <c r="AI51" s="2544"/>
      <c r="AJ51" s="2544"/>
      <c r="AK51" s="2545"/>
    </row>
    <row r="52" spans="1:42">
      <c r="A52" s="258"/>
      <c r="B52" s="592"/>
      <c r="C52" s="593"/>
      <c r="D52" s="593" t="s">
        <v>85</v>
      </c>
      <c r="E52" s="593"/>
      <c r="F52" s="593"/>
      <c r="G52" s="293" t="s">
        <v>2565</v>
      </c>
      <c r="H52" s="259"/>
      <c r="I52" s="576" t="s">
        <v>498</v>
      </c>
      <c r="J52" s="297">
        <v>1.0434691206472615</v>
      </c>
      <c r="K52" s="298">
        <v>1.4161720675324669</v>
      </c>
      <c r="L52" s="298">
        <v>2.33278045347737</v>
      </c>
      <c r="M52" s="298">
        <v>0.45787563579450974</v>
      </c>
      <c r="N52" s="298">
        <v>9.7226287065243985E-2</v>
      </c>
      <c r="O52" s="298">
        <v>1.3961762816937104</v>
      </c>
      <c r="P52" s="298">
        <v>1.968397281547601</v>
      </c>
      <c r="Q52" s="299">
        <v>0.33057143533173305</v>
      </c>
      <c r="R52" s="297">
        <v>2.3601921079273982</v>
      </c>
      <c r="S52" s="298">
        <v>2.9704593241497323</v>
      </c>
      <c r="T52" s="298">
        <v>2.4711665295837797</v>
      </c>
      <c r="U52" s="298">
        <v>1.9257491565806424</v>
      </c>
      <c r="V52" s="299">
        <v>1.9185450367974057</v>
      </c>
      <c r="W52" s="339"/>
      <c r="X52" s="576" t="s">
        <v>498</v>
      </c>
      <c r="Y52" s="297">
        <v>0</v>
      </c>
      <c r="Z52" s="298">
        <v>0</v>
      </c>
      <c r="AA52" s="298">
        <v>0</v>
      </c>
      <c r="AB52" s="298">
        <v>0</v>
      </c>
      <c r="AC52" s="298">
        <v>0</v>
      </c>
      <c r="AD52" s="298">
        <v>0</v>
      </c>
      <c r="AE52" s="298">
        <v>0</v>
      </c>
      <c r="AF52" s="299">
        <v>0</v>
      </c>
      <c r="AG52" s="297">
        <v>0</v>
      </c>
      <c r="AH52" s="298">
        <v>0</v>
      </c>
      <c r="AI52" s="298">
        <v>0</v>
      </c>
      <c r="AJ52" s="298">
        <v>0</v>
      </c>
      <c r="AK52" s="299">
        <v>0</v>
      </c>
    </row>
    <row r="53" spans="1:42">
      <c r="A53" s="258"/>
      <c r="B53" s="592"/>
      <c r="C53" s="593"/>
      <c r="D53" s="593" t="s">
        <v>85</v>
      </c>
      <c r="E53" s="593"/>
      <c r="F53" s="593"/>
      <c r="G53" s="293" t="s">
        <v>1854</v>
      </c>
      <c r="H53" s="259"/>
      <c r="I53" s="576" t="s">
        <v>498</v>
      </c>
      <c r="J53" s="297">
        <v>0</v>
      </c>
      <c r="K53" s="298">
        <v>0</v>
      </c>
      <c r="L53" s="298">
        <v>0</v>
      </c>
      <c r="M53" s="298">
        <v>0</v>
      </c>
      <c r="N53" s="298">
        <v>0.31047262318055513</v>
      </c>
      <c r="O53" s="298">
        <v>2.949153150660655E-2</v>
      </c>
      <c r="P53" s="298">
        <v>0</v>
      </c>
      <c r="Q53" s="299">
        <v>-4.4408920985006262E-15</v>
      </c>
      <c r="R53" s="297">
        <v>0</v>
      </c>
      <c r="S53" s="298">
        <v>0</v>
      </c>
      <c r="T53" s="298">
        <v>0</v>
      </c>
      <c r="U53" s="298">
        <v>0</v>
      </c>
      <c r="V53" s="299">
        <v>0</v>
      </c>
      <c r="W53" s="339"/>
      <c r="X53" s="576" t="s">
        <v>498</v>
      </c>
      <c r="Y53" s="297">
        <v>0</v>
      </c>
      <c r="Z53" s="298">
        <v>0</v>
      </c>
      <c r="AA53" s="298">
        <v>0</v>
      </c>
      <c r="AB53" s="298">
        <v>0</v>
      </c>
      <c r="AC53" s="298">
        <v>0</v>
      </c>
      <c r="AD53" s="298">
        <v>0</v>
      </c>
      <c r="AE53" s="298">
        <v>-0.31565527488864337</v>
      </c>
      <c r="AF53" s="299">
        <v>-0.88532940598408694</v>
      </c>
      <c r="AG53" s="297">
        <v>0</v>
      </c>
      <c r="AH53" s="298">
        <v>0</v>
      </c>
      <c r="AI53" s="298">
        <v>0</v>
      </c>
      <c r="AJ53" s="298">
        <v>0</v>
      </c>
      <c r="AK53" s="299">
        <v>0</v>
      </c>
    </row>
    <row r="54" spans="1:42">
      <c r="A54" s="258"/>
      <c r="B54" s="592"/>
      <c r="C54" s="593"/>
      <c r="D54" s="593" t="s">
        <v>85</v>
      </c>
      <c r="E54" s="593"/>
      <c r="F54" s="593"/>
      <c r="G54" s="293"/>
      <c r="H54" s="259"/>
      <c r="I54" s="576" t="s">
        <v>498</v>
      </c>
      <c r="J54" s="297">
        <v>0</v>
      </c>
      <c r="K54" s="298">
        <v>0</v>
      </c>
      <c r="L54" s="298">
        <v>0</v>
      </c>
      <c r="M54" s="298">
        <v>0</v>
      </c>
      <c r="N54" s="298">
        <v>0</v>
      </c>
      <c r="O54" s="298">
        <v>0</v>
      </c>
      <c r="P54" s="298">
        <v>0</v>
      </c>
      <c r="Q54" s="299">
        <v>0</v>
      </c>
      <c r="R54" s="297">
        <v>0</v>
      </c>
      <c r="S54" s="298">
        <v>0</v>
      </c>
      <c r="T54" s="298">
        <v>0</v>
      </c>
      <c r="U54" s="298">
        <v>0</v>
      </c>
      <c r="V54" s="299">
        <v>0</v>
      </c>
      <c r="W54" s="339"/>
      <c r="X54" s="576" t="s">
        <v>498</v>
      </c>
      <c r="Y54" s="297">
        <v>0</v>
      </c>
      <c r="Z54" s="298">
        <v>0</v>
      </c>
      <c r="AA54" s="298">
        <v>0</v>
      </c>
      <c r="AB54" s="298">
        <v>0</v>
      </c>
      <c r="AC54" s="298">
        <v>0</v>
      </c>
      <c r="AD54" s="298">
        <v>0</v>
      </c>
      <c r="AE54" s="298">
        <v>0</v>
      </c>
      <c r="AF54" s="299">
        <v>0</v>
      </c>
      <c r="AG54" s="297">
        <v>0</v>
      </c>
      <c r="AH54" s="298">
        <v>0</v>
      </c>
      <c r="AI54" s="298">
        <v>0</v>
      </c>
      <c r="AJ54" s="298">
        <v>0</v>
      </c>
      <c r="AK54" s="299">
        <v>0</v>
      </c>
    </row>
    <row r="55" spans="1:42">
      <c r="A55" s="258"/>
      <c r="B55" s="592"/>
      <c r="C55" s="593"/>
      <c r="D55" s="593" t="s">
        <v>85</v>
      </c>
      <c r="E55" s="593"/>
      <c r="F55" s="593"/>
      <c r="G55" s="293"/>
      <c r="H55" s="259"/>
      <c r="I55" s="576" t="s">
        <v>498</v>
      </c>
      <c r="J55" s="297">
        <v>0</v>
      </c>
      <c r="K55" s="298">
        <v>0</v>
      </c>
      <c r="L55" s="298">
        <v>0</v>
      </c>
      <c r="M55" s="298">
        <v>0</v>
      </c>
      <c r="N55" s="298">
        <v>0</v>
      </c>
      <c r="O55" s="298">
        <v>0</v>
      </c>
      <c r="P55" s="298">
        <v>0</v>
      </c>
      <c r="Q55" s="299">
        <v>0</v>
      </c>
      <c r="R55" s="297">
        <v>0</v>
      </c>
      <c r="S55" s="298">
        <v>0</v>
      </c>
      <c r="T55" s="298">
        <v>0</v>
      </c>
      <c r="U55" s="298">
        <v>0</v>
      </c>
      <c r="V55" s="299">
        <v>0</v>
      </c>
      <c r="W55" s="339"/>
      <c r="X55" s="576" t="s">
        <v>498</v>
      </c>
      <c r="Y55" s="297">
        <v>0</v>
      </c>
      <c r="Z55" s="298">
        <v>0</v>
      </c>
      <c r="AA55" s="298">
        <v>0</v>
      </c>
      <c r="AB55" s="298">
        <v>0</v>
      </c>
      <c r="AC55" s="298">
        <v>0</v>
      </c>
      <c r="AD55" s="298">
        <v>0</v>
      </c>
      <c r="AE55" s="298">
        <v>0</v>
      </c>
      <c r="AF55" s="299">
        <v>0</v>
      </c>
      <c r="AG55" s="297">
        <v>0</v>
      </c>
      <c r="AH55" s="298">
        <v>0</v>
      </c>
      <c r="AI55" s="298">
        <v>0</v>
      </c>
      <c r="AJ55" s="298">
        <v>0</v>
      </c>
      <c r="AK55" s="299">
        <v>0</v>
      </c>
    </row>
    <row r="56" spans="1:42">
      <c r="A56" s="258"/>
      <c r="B56" s="592"/>
      <c r="C56" s="593"/>
      <c r="D56" s="593" t="s">
        <v>85</v>
      </c>
      <c r="E56" s="593"/>
      <c r="F56" s="593"/>
      <c r="G56" s="293"/>
      <c r="H56" s="259"/>
      <c r="I56" s="576" t="s">
        <v>498</v>
      </c>
      <c r="J56" s="297">
        <v>0</v>
      </c>
      <c r="K56" s="298">
        <v>0</v>
      </c>
      <c r="L56" s="298">
        <v>0</v>
      </c>
      <c r="M56" s="298">
        <v>0</v>
      </c>
      <c r="N56" s="298">
        <v>0</v>
      </c>
      <c r="O56" s="298">
        <v>0</v>
      </c>
      <c r="P56" s="298">
        <v>0</v>
      </c>
      <c r="Q56" s="299">
        <v>0</v>
      </c>
      <c r="R56" s="297">
        <v>0</v>
      </c>
      <c r="S56" s="298">
        <v>0</v>
      </c>
      <c r="T56" s="298">
        <v>0</v>
      </c>
      <c r="U56" s="298">
        <v>0</v>
      </c>
      <c r="V56" s="299">
        <v>0</v>
      </c>
      <c r="W56" s="339"/>
      <c r="X56" s="576" t="s">
        <v>498</v>
      </c>
      <c r="Y56" s="297">
        <v>0</v>
      </c>
      <c r="Z56" s="298">
        <v>0</v>
      </c>
      <c r="AA56" s="298">
        <v>0</v>
      </c>
      <c r="AB56" s="298">
        <v>0</v>
      </c>
      <c r="AC56" s="298">
        <v>0</v>
      </c>
      <c r="AD56" s="298">
        <v>0</v>
      </c>
      <c r="AE56" s="298">
        <v>0</v>
      </c>
      <c r="AF56" s="299">
        <v>0</v>
      </c>
      <c r="AG56" s="297">
        <v>0</v>
      </c>
      <c r="AH56" s="298">
        <v>0</v>
      </c>
      <c r="AI56" s="298">
        <v>0</v>
      </c>
      <c r="AJ56" s="298">
        <v>0</v>
      </c>
      <c r="AK56" s="299">
        <v>0</v>
      </c>
    </row>
    <row r="57" spans="1:42">
      <c r="A57" s="258"/>
      <c r="B57" s="592"/>
      <c r="C57" s="594"/>
      <c r="D57" s="594"/>
      <c r="E57" s="594"/>
      <c r="F57" s="594"/>
      <c r="G57" s="561"/>
      <c r="H57" s="259"/>
      <c r="I57" s="259"/>
      <c r="J57" s="295"/>
      <c r="K57" s="259"/>
      <c r="L57" s="259"/>
      <c r="M57" s="259"/>
      <c r="N57" s="259"/>
      <c r="O57" s="259"/>
      <c r="P57" s="259"/>
      <c r="Q57" s="296"/>
      <c r="R57" s="295"/>
      <c r="S57" s="259"/>
      <c r="T57" s="259"/>
      <c r="U57" s="259"/>
      <c r="V57" s="296"/>
      <c r="W57" s="339"/>
      <c r="X57" s="259"/>
      <c r="Y57" s="295"/>
      <c r="Z57" s="259"/>
      <c r="AA57" s="259"/>
      <c r="AB57" s="259"/>
      <c r="AC57" s="259"/>
      <c r="AD57" s="259"/>
      <c r="AE57" s="259"/>
      <c r="AF57" s="296"/>
      <c r="AG57" s="295"/>
      <c r="AH57" s="259"/>
      <c r="AI57" s="259"/>
      <c r="AJ57" s="259"/>
      <c r="AK57" s="296"/>
    </row>
    <row r="58" spans="1:42" ht="15" thickBot="1">
      <c r="A58" s="258"/>
      <c r="B58" s="754" t="s">
        <v>1701</v>
      </c>
      <c r="C58" s="595"/>
      <c r="D58" s="595"/>
      <c r="E58" s="595"/>
      <c r="F58" s="595"/>
      <c r="G58" s="579"/>
      <c r="H58" s="2563" t="s">
        <v>2566</v>
      </c>
      <c r="I58" s="581" t="s">
        <v>498</v>
      </c>
      <c r="J58" s="627">
        <f>SUM(J46:J51,J52:J56)</f>
        <v>5.9073050561060096</v>
      </c>
      <c r="K58" s="628">
        <f t="shared" ref="K58:Q58" si="13">SUM(K46:K51,K52:K56)</f>
        <v>6.1720867389403624</v>
      </c>
      <c r="L58" s="628">
        <f t="shared" si="13"/>
        <v>7.4181246346373699</v>
      </c>
      <c r="M58" s="628">
        <f t="shared" si="13"/>
        <v>5.9879755318325163</v>
      </c>
      <c r="N58" s="628">
        <f t="shared" si="13"/>
        <v>2.5565128189300776</v>
      </c>
      <c r="O58" s="628">
        <f t="shared" si="13"/>
        <v>2.8301993715081024</v>
      </c>
      <c r="P58" s="628">
        <f t="shared" si="13"/>
        <v>4.0043139407462682</v>
      </c>
      <c r="Q58" s="629">
        <f t="shared" si="13"/>
        <v>2.1206447040087442</v>
      </c>
      <c r="R58" s="627">
        <f t="shared" ref="R58:V58" si="14">SUM(R46:R50,R52:R56)</f>
        <v>3.9893254037105859</v>
      </c>
      <c r="S58" s="628">
        <f t="shared" si="14"/>
        <v>4.6619200641027412</v>
      </c>
      <c r="T58" s="628">
        <f t="shared" si="14"/>
        <v>4.6217225893378107</v>
      </c>
      <c r="U58" s="628">
        <f t="shared" si="14"/>
        <v>4.0802946332973704</v>
      </c>
      <c r="V58" s="629">
        <f t="shared" si="14"/>
        <v>4.2861323344152114</v>
      </c>
      <c r="W58" s="358"/>
      <c r="X58" s="581" t="s">
        <v>498</v>
      </c>
      <c r="Y58" s="627">
        <f t="shared" ref="Y58:AK58" si="15">SUM(Y46:Y50,Y52:Y56)</f>
        <v>0</v>
      </c>
      <c r="Z58" s="628">
        <f t="shared" si="15"/>
        <v>0</v>
      </c>
      <c r="AA58" s="628">
        <f t="shared" si="15"/>
        <v>0</v>
      </c>
      <c r="AB58" s="628">
        <f t="shared" si="15"/>
        <v>0</v>
      </c>
      <c r="AC58" s="628">
        <f t="shared" si="15"/>
        <v>0</v>
      </c>
      <c r="AD58" s="628">
        <f t="shared" si="15"/>
        <v>0</v>
      </c>
      <c r="AE58" s="628">
        <f t="shared" si="15"/>
        <v>-0.31565527488864337</v>
      </c>
      <c r="AF58" s="629">
        <f t="shared" si="15"/>
        <v>-0.88532940598408694</v>
      </c>
      <c r="AG58" s="627">
        <f t="shared" si="15"/>
        <v>0</v>
      </c>
      <c r="AH58" s="628">
        <f t="shared" si="15"/>
        <v>0</v>
      </c>
      <c r="AI58" s="628">
        <f t="shared" si="15"/>
        <v>0</v>
      </c>
      <c r="AJ58" s="628">
        <f t="shared" si="15"/>
        <v>0</v>
      </c>
      <c r="AK58" s="629">
        <f t="shared" si="15"/>
        <v>0</v>
      </c>
    </row>
    <row r="59" spans="1:42" ht="15" thickBot="1">
      <c r="A59" s="258"/>
    </row>
    <row r="60" spans="1:42" ht="30" customHeight="1" thickBot="1">
      <c r="A60" s="258"/>
      <c r="B60" s="640" t="s">
        <v>2567</v>
      </c>
      <c r="C60" s="558"/>
      <c r="D60" s="558"/>
      <c r="E60" s="558"/>
      <c r="F60" s="558"/>
      <c r="G60" s="559"/>
      <c r="H60" s="294"/>
      <c r="I60" s="105" t="s">
        <v>1864</v>
      </c>
      <c r="J60" s="106"/>
      <c r="K60" s="106"/>
      <c r="L60" s="106"/>
      <c r="M60" s="106"/>
      <c r="N60" s="106"/>
      <c r="O60" s="106"/>
      <c r="P60" s="106"/>
      <c r="Q60" s="106"/>
      <c r="R60" s="105"/>
      <c r="S60" s="105"/>
      <c r="T60" s="105"/>
      <c r="U60" s="105"/>
      <c r="V60" s="105"/>
      <c r="W60" s="587"/>
      <c r="X60" s="105" t="s">
        <v>2202</v>
      </c>
      <c r="Y60" s="106"/>
      <c r="Z60" s="106"/>
      <c r="AA60" s="106"/>
      <c r="AB60" s="106"/>
      <c r="AC60" s="106"/>
      <c r="AD60" s="106"/>
      <c r="AE60" s="106"/>
      <c r="AF60" s="106"/>
      <c r="AG60" s="105"/>
      <c r="AH60" s="105"/>
      <c r="AI60" s="105"/>
      <c r="AJ60" s="105"/>
      <c r="AK60" s="105"/>
      <c r="AL60" s="439"/>
      <c r="AM60" s="588" t="s">
        <v>2555</v>
      </c>
      <c r="AN60" s="597"/>
      <c r="AO60" s="1484"/>
      <c r="AP60" s="1484"/>
    </row>
    <row r="61" spans="1:42" ht="30" customHeight="1">
      <c r="A61" s="258"/>
      <c r="B61" s="560"/>
      <c r="C61" s="561"/>
      <c r="D61" s="561"/>
      <c r="E61" s="561"/>
      <c r="F61" s="561"/>
      <c r="G61" s="561"/>
      <c r="H61" s="259"/>
      <c r="I61" s="562"/>
      <c r="J61" s="563" t="s">
        <v>1666</v>
      </c>
      <c r="K61" s="564"/>
      <c r="L61" s="564"/>
      <c r="M61" s="564"/>
      <c r="N61" s="564"/>
      <c r="O61" s="564"/>
      <c r="P61" s="564"/>
      <c r="Q61" s="565"/>
      <c r="R61" s="566" t="s">
        <v>2</v>
      </c>
      <c r="S61" s="567"/>
      <c r="T61" s="567"/>
      <c r="U61" s="567"/>
      <c r="V61" s="568"/>
      <c r="W61" s="339"/>
      <c r="X61" s="562"/>
      <c r="Y61" s="563" t="s">
        <v>1666</v>
      </c>
      <c r="Z61" s="564"/>
      <c r="AA61" s="564"/>
      <c r="AB61" s="564"/>
      <c r="AC61" s="564"/>
      <c r="AD61" s="564"/>
      <c r="AE61" s="564"/>
      <c r="AF61" s="565"/>
      <c r="AG61" s="566" t="s">
        <v>2</v>
      </c>
      <c r="AH61" s="567"/>
      <c r="AI61" s="567"/>
      <c r="AJ61" s="567"/>
      <c r="AK61" s="568"/>
      <c r="AL61" s="441"/>
      <c r="AM61" s="598" t="s">
        <v>2556</v>
      </c>
      <c r="AN61" s="1481" t="s">
        <v>2557</v>
      </c>
      <c r="AO61" s="590" t="s">
        <v>1897</v>
      </c>
      <c r="AP61" s="599" t="s">
        <v>2432</v>
      </c>
    </row>
    <row r="62" spans="1:42" ht="15">
      <c r="A62" s="258"/>
      <c r="B62" s="572"/>
      <c r="C62" s="339"/>
      <c r="D62" s="339"/>
      <c r="E62" s="339"/>
      <c r="F62" s="339"/>
      <c r="G62" s="339"/>
      <c r="H62" s="259"/>
      <c r="I62" s="571" t="s">
        <v>1667</v>
      </c>
      <c r="J62" s="518" t="s">
        <v>453</v>
      </c>
      <c r="K62" s="515" t="s">
        <v>455</v>
      </c>
      <c r="L62" s="515" t="s">
        <v>457</v>
      </c>
      <c r="M62" s="515" t="s">
        <v>459</v>
      </c>
      <c r="N62" s="515" t="s">
        <v>461</v>
      </c>
      <c r="O62" s="515" t="s">
        <v>463</v>
      </c>
      <c r="P62" s="515" t="s">
        <v>465</v>
      </c>
      <c r="Q62" s="516" t="s">
        <v>467</v>
      </c>
      <c r="R62" s="508" t="s">
        <v>469</v>
      </c>
      <c r="S62" s="509" t="s">
        <v>471</v>
      </c>
      <c r="T62" s="509" t="s">
        <v>473</v>
      </c>
      <c r="U62" s="509" t="s">
        <v>475</v>
      </c>
      <c r="V62" s="510" t="s">
        <v>477</v>
      </c>
      <c r="W62" s="339"/>
      <c r="X62" s="571" t="s">
        <v>1667</v>
      </c>
      <c r="Y62" s="518" t="s">
        <v>453</v>
      </c>
      <c r="Z62" s="515" t="s">
        <v>455</v>
      </c>
      <c r="AA62" s="515" t="s">
        <v>457</v>
      </c>
      <c r="AB62" s="515" t="s">
        <v>459</v>
      </c>
      <c r="AC62" s="515" t="s">
        <v>461</v>
      </c>
      <c r="AD62" s="515" t="s">
        <v>463</v>
      </c>
      <c r="AE62" s="515" t="s">
        <v>465</v>
      </c>
      <c r="AF62" s="516" t="s">
        <v>467</v>
      </c>
      <c r="AG62" s="508" t="s">
        <v>469</v>
      </c>
      <c r="AH62" s="509" t="s">
        <v>471</v>
      </c>
      <c r="AI62" s="509" t="s">
        <v>473</v>
      </c>
      <c r="AJ62" s="509" t="s">
        <v>475</v>
      </c>
      <c r="AK62" s="510" t="s">
        <v>477</v>
      </c>
      <c r="AL62" s="441"/>
      <c r="AM62" s="600" t="s">
        <v>498</v>
      </c>
      <c r="AN62" s="445" t="s">
        <v>498</v>
      </c>
      <c r="AO62" s="339"/>
      <c r="AP62" s="353"/>
    </row>
    <row r="63" spans="1:42" ht="15">
      <c r="A63" s="258"/>
      <c r="B63" s="572"/>
      <c r="C63" s="591" t="s">
        <v>2568</v>
      </c>
      <c r="D63" s="591"/>
      <c r="E63" s="591"/>
      <c r="F63" s="591"/>
      <c r="G63" s="339"/>
      <c r="H63" s="259"/>
      <c r="I63" s="260"/>
      <c r="J63" s="295"/>
      <c r="K63" s="259"/>
      <c r="L63" s="259"/>
      <c r="M63" s="259"/>
      <c r="N63" s="259"/>
      <c r="O63" s="259"/>
      <c r="P63" s="259"/>
      <c r="Q63" s="296"/>
      <c r="R63" s="295"/>
      <c r="S63" s="259"/>
      <c r="T63" s="259"/>
      <c r="U63" s="259"/>
      <c r="V63" s="296"/>
      <c r="W63" s="339"/>
      <c r="X63" s="260"/>
      <c r="Y63" s="295"/>
      <c r="Z63" s="259"/>
      <c r="AA63" s="259"/>
      <c r="AB63" s="259"/>
      <c r="AC63" s="259"/>
      <c r="AD63" s="259"/>
      <c r="AE63" s="259"/>
      <c r="AF63" s="296"/>
      <c r="AG63" s="295"/>
      <c r="AH63" s="259"/>
      <c r="AI63" s="259"/>
      <c r="AJ63" s="259"/>
      <c r="AK63" s="296"/>
      <c r="AL63" s="441"/>
      <c r="AM63" s="339"/>
      <c r="AN63" s="339"/>
      <c r="AO63" s="339"/>
      <c r="AP63" s="353"/>
    </row>
    <row r="64" spans="1:42">
      <c r="A64" s="258"/>
      <c r="B64" s="592"/>
      <c r="C64" s="593"/>
      <c r="D64" s="339" t="s">
        <v>85</v>
      </c>
      <c r="E64" s="339"/>
      <c r="F64" s="339"/>
      <c r="G64" s="293" t="s">
        <v>2569</v>
      </c>
      <c r="H64" s="259"/>
      <c r="I64" s="576" t="s">
        <v>498</v>
      </c>
      <c r="J64" s="295"/>
      <c r="K64" s="259"/>
      <c r="L64" s="259"/>
      <c r="M64" s="259"/>
      <c r="N64" s="259"/>
      <c r="O64" s="259"/>
      <c r="P64" s="298">
        <v>0</v>
      </c>
      <c r="Q64" s="299">
        <v>0</v>
      </c>
      <c r="R64" s="297">
        <v>0</v>
      </c>
      <c r="S64" s="298">
        <v>0</v>
      </c>
      <c r="T64" s="298">
        <v>0</v>
      </c>
      <c r="U64" s="298">
        <v>0</v>
      </c>
      <c r="V64" s="299">
        <v>2.440383522065988</v>
      </c>
      <c r="W64" s="339"/>
      <c r="X64" s="576" t="s">
        <v>498</v>
      </c>
      <c r="Y64" s="295"/>
      <c r="Z64" s="259"/>
      <c r="AA64" s="259"/>
      <c r="AB64" s="259"/>
      <c r="AC64" s="259"/>
      <c r="AD64" s="259"/>
      <c r="AE64" s="298">
        <v>0</v>
      </c>
      <c r="AF64" s="299">
        <v>0</v>
      </c>
      <c r="AG64" s="297">
        <v>0</v>
      </c>
      <c r="AH64" s="298">
        <v>0</v>
      </c>
      <c r="AI64" s="298">
        <v>0</v>
      </c>
      <c r="AJ64" s="298">
        <v>0</v>
      </c>
      <c r="AK64" s="299">
        <v>0</v>
      </c>
      <c r="AL64" s="441"/>
      <c r="AM64" s="601">
        <v>0</v>
      </c>
      <c r="AN64" s="304">
        <f>SUM($R64:$V64)-(AM64)</f>
        <v>2.440383522065988</v>
      </c>
      <c r="AO64" s="1485">
        <v>0</v>
      </c>
      <c r="AP64" s="1486"/>
    </row>
    <row r="65" spans="1:42">
      <c r="A65" s="258"/>
      <c r="B65" s="592"/>
      <c r="C65" s="593"/>
      <c r="D65" s="339" t="s">
        <v>85</v>
      </c>
      <c r="E65" s="339"/>
      <c r="F65" s="339"/>
      <c r="G65" s="293"/>
      <c r="H65" s="259"/>
      <c r="I65" s="576" t="s">
        <v>498</v>
      </c>
      <c r="J65" s="295"/>
      <c r="K65" s="259"/>
      <c r="L65" s="259"/>
      <c r="M65" s="259"/>
      <c r="N65" s="259"/>
      <c r="O65" s="259"/>
      <c r="P65" s="298">
        <v>0</v>
      </c>
      <c r="Q65" s="299">
        <v>0</v>
      </c>
      <c r="R65" s="297">
        <v>0</v>
      </c>
      <c r="S65" s="298">
        <v>0</v>
      </c>
      <c r="T65" s="298">
        <v>0</v>
      </c>
      <c r="U65" s="298">
        <v>0</v>
      </c>
      <c r="V65" s="299">
        <v>0</v>
      </c>
      <c r="W65" s="339"/>
      <c r="X65" s="576" t="s">
        <v>498</v>
      </c>
      <c r="Y65" s="295"/>
      <c r="Z65" s="259"/>
      <c r="AA65" s="259"/>
      <c r="AB65" s="259"/>
      <c r="AC65" s="259"/>
      <c r="AD65" s="259"/>
      <c r="AE65" s="298">
        <v>0</v>
      </c>
      <c r="AF65" s="299">
        <v>0</v>
      </c>
      <c r="AG65" s="297">
        <v>0</v>
      </c>
      <c r="AH65" s="298">
        <v>0</v>
      </c>
      <c r="AI65" s="298">
        <v>0</v>
      </c>
      <c r="AJ65" s="298">
        <v>0</v>
      </c>
      <c r="AK65" s="299">
        <v>0</v>
      </c>
      <c r="AL65" s="441"/>
      <c r="AM65" s="601">
        <v>0</v>
      </c>
      <c r="AN65" s="304">
        <f t="shared" ref="AN65:AN92" si="16">SUM($R65:$V65)-(AM65)</f>
        <v>0</v>
      </c>
      <c r="AO65" s="1485">
        <v>0</v>
      </c>
      <c r="AP65" s="1486"/>
    </row>
    <row r="66" spans="1:42">
      <c r="A66" s="258"/>
      <c r="B66" s="592"/>
      <c r="C66" s="593"/>
      <c r="D66" s="339" t="s">
        <v>85</v>
      </c>
      <c r="E66" s="339"/>
      <c r="F66" s="339"/>
      <c r="G66" s="293"/>
      <c r="H66" s="259"/>
      <c r="I66" s="576" t="s">
        <v>498</v>
      </c>
      <c r="J66" s="295"/>
      <c r="K66" s="259"/>
      <c r="L66" s="259"/>
      <c r="M66" s="259"/>
      <c r="N66" s="259"/>
      <c r="O66" s="259"/>
      <c r="P66" s="298">
        <v>0</v>
      </c>
      <c r="Q66" s="299">
        <v>0</v>
      </c>
      <c r="R66" s="297">
        <v>0</v>
      </c>
      <c r="S66" s="298">
        <v>0</v>
      </c>
      <c r="T66" s="298">
        <v>0</v>
      </c>
      <c r="U66" s="298">
        <v>0</v>
      </c>
      <c r="V66" s="299">
        <v>0</v>
      </c>
      <c r="W66" s="339"/>
      <c r="X66" s="576" t="s">
        <v>498</v>
      </c>
      <c r="Y66" s="295"/>
      <c r="Z66" s="259"/>
      <c r="AA66" s="259"/>
      <c r="AB66" s="259"/>
      <c r="AC66" s="259"/>
      <c r="AD66" s="259"/>
      <c r="AE66" s="298">
        <v>0</v>
      </c>
      <c r="AF66" s="299">
        <v>0</v>
      </c>
      <c r="AG66" s="297">
        <v>0</v>
      </c>
      <c r="AH66" s="298">
        <v>0</v>
      </c>
      <c r="AI66" s="298">
        <v>0</v>
      </c>
      <c r="AJ66" s="298">
        <v>0</v>
      </c>
      <c r="AK66" s="299">
        <v>0</v>
      </c>
      <c r="AL66" s="441"/>
      <c r="AM66" s="601">
        <v>0</v>
      </c>
      <c r="AN66" s="304">
        <f t="shared" si="16"/>
        <v>0</v>
      </c>
      <c r="AO66" s="1485">
        <v>0</v>
      </c>
      <c r="AP66" s="1486"/>
    </row>
    <row r="67" spans="1:42">
      <c r="A67" s="258"/>
      <c r="B67" s="592"/>
      <c r="C67" s="593"/>
      <c r="D67" s="339" t="s">
        <v>85</v>
      </c>
      <c r="E67" s="339"/>
      <c r="F67" s="339"/>
      <c r="G67" s="293"/>
      <c r="H67" s="259"/>
      <c r="I67" s="576" t="s">
        <v>498</v>
      </c>
      <c r="J67" s="295"/>
      <c r="K67" s="259"/>
      <c r="L67" s="259"/>
      <c r="M67" s="259"/>
      <c r="N67" s="259"/>
      <c r="O67" s="259"/>
      <c r="P67" s="298">
        <v>0</v>
      </c>
      <c r="Q67" s="299">
        <v>0</v>
      </c>
      <c r="R67" s="297">
        <v>0</v>
      </c>
      <c r="S67" s="298">
        <v>0</v>
      </c>
      <c r="T67" s="298">
        <v>0</v>
      </c>
      <c r="U67" s="298">
        <v>0</v>
      </c>
      <c r="V67" s="299">
        <v>0</v>
      </c>
      <c r="W67" s="339"/>
      <c r="X67" s="576" t="s">
        <v>498</v>
      </c>
      <c r="Y67" s="295"/>
      <c r="Z67" s="259"/>
      <c r="AA67" s="259"/>
      <c r="AB67" s="259"/>
      <c r="AC67" s="259"/>
      <c r="AD67" s="259"/>
      <c r="AE67" s="298">
        <v>0</v>
      </c>
      <c r="AF67" s="299">
        <v>0</v>
      </c>
      <c r="AG67" s="297">
        <v>0</v>
      </c>
      <c r="AH67" s="298">
        <v>0</v>
      </c>
      <c r="AI67" s="298">
        <v>0</v>
      </c>
      <c r="AJ67" s="298">
        <v>0</v>
      </c>
      <c r="AK67" s="299">
        <v>0</v>
      </c>
      <c r="AL67" s="339"/>
      <c r="AM67" s="601">
        <v>0</v>
      </c>
      <c r="AN67" s="304">
        <f t="shared" si="16"/>
        <v>0</v>
      </c>
      <c r="AO67" s="1485">
        <v>0</v>
      </c>
      <c r="AP67" s="1486"/>
    </row>
    <row r="68" spans="1:42">
      <c r="A68" s="258"/>
      <c r="B68" s="592"/>
      <c r="C68" s="593"/>
      <c r="D68" s="339" t="s">
        <v>85</v>
      </c>
      <c r="E68" s="339"/>
      <c r="F68" s="339"/>
      <c r="G68" s="293"/>
      <c r="H68" s="259"/>
      <c r="I68" s="576" t="s">
        <v>498</v>
      </c>
      <c r="J68" s="295"/>
      <c r="K68" s="259"/>
      <c r="L68" s="259"/>
      <c r="M68" s="259"/>
      <c r="N68" s="259"/>
      <c r="O68" s="259"/>
      <c r="P68" s="298">
        <v>0</v>
      </c>
      <c r="Q68" s="299">
        <v>0</v>
      </c>
      <c r="R68" s="297">
        <v>0</v>
      </c>
      <c r="S68" s="298">
        <v>0</v>
      </c>
      <c r="T68" s="298">
        <v>0</v>
      </c>
      <c r="U68" s="298">
        <v>0</v>
      </c>
      <c r="V68" s="299">
        <v>0</v>
      </c>
      <c r="W68" s="339"/>
      <c r="X68" s="576" t="s">
        <v>498</v>
      </c>
      <c r="Y68" s="295"/>
      <c r="Z68" s="259"/>
      <c r="AA68" s="259"/>
      <c r="AB68" s="259"/>
      <c r="AC68" s="259"/>
      <c r="AD68" s="259"/>
      <c r="AE68" s="298">
        <v>0</v>
      </c>
      <c r="AF68" s="299">
        <v>0</v>
      </c>
      <c r="AG68" s="297">
        <v>0</v>
      </c>
      <c r="AH68" s="298">
        <v>0</v>
      </c>
      <c r="AI68" s="298">
        <v>0</v>
      </c>
      <c r="AJ68" s="298">
        <v>0</v>
      </c>
      <c r="AK68" s="299">
        <v>0</v>
      </c>
      <c r="AL68" s="441"/>
      <c r="AM68" s="601">
        <v>0</v>
      </c>
      <c r="AN68" s="304">
        <f t="shared" si="16"/>
        <v>0</v>
      </c>
      <c r="AO68" s="1485">
        <v>0</v>
      </c>
      <c r="AP68" s="1486"/>
    </row>
    <row r="69" spans="1:42">
      <c r="A69" s="258"/>
      <c r="B69" s="592"/>
      <c r="C69" s="593"/>
      <c r="D69" s="339" t="s">
        <v>85</v>
      </c>
      <c r="E69" s="339"/>
      <c r="F69" s="339"/>
      <c r="G69" s="293"/>
      <c r="H69" s="259"/>
      <c r="I69" s="576" t="s">
        <v>498</v>
      </c>
      <c r="J69" s="295"/>
      <c r="K69" s="259"/>
      <c r="L69" s="259"/>
      <c r="M69" s="259"/>
      <c r="N69" s="259"/>
      <c r="O69" s="259"/>
      <c r="P69" s="298">
        <v>0</v>
      </c>
      <c r="Q69" s="299">
        <v>0</v>
      </c>
      <c r="R69" s="297">
        <v>0</v>
      </c>
      <c r="S69" s="298">
        <v>0</v>
      </c>
      <c r="T69" s="298">
        <v>0</v>
      </c>
      <c r="U69" s="298">
        <v>0</v>
      </c>
      <c r="V69" s="299">
        <v>0</v>
      </c>
      <c r="W69" s="339"/>
      <c r="X69" s="576" t="s">
        <v>498</v>
      </c>
      <c r="Y69" s="295"/>
      <c r="Z69" s="259"/>
      <c r="AA69" s="259"/>
      <c r="AB69" s="259"/>
      <c r="AC69" s="259"/>
      <c r="AD69" s="259"/>
      <c r="AE69" s="298">
        <v>0</v>
      </c>
      <c r="AF69" s="299">
        <v>0</v>
      </c>
      <c r="AG69" s="297">
        <v>0</v>
      </c>
      <c r="AH69" s="298">
        <v>0</v>
      </c>
      <c r="AI69" s="298">
        <v>0</v>
      </c>
      <c r="AJ69" s="298">
        <v>0</v>
      </c>
      <c r="AK69" s="299">
        <v>0</v>
      </c>
      <c r="AL69" s="441"/>
      <c r="AM69" s="601">
        <v>0</v>
      </c>
      <c r="AN69" s="304">
        <f t="shared" si="16"/>
        <v>0</v>
      </c>
      <c r="AO69" s="1485">
        <v>0</v>
      </c>
      <c r="AP69" s="1486"/>
    </row>
    <row r="70" spans="1:42">
      <c r="A70" s="258"/>
      <c r="B70" s="592"/>
      <c r="C70" s="593"/>
      <c r="D70" s="339" t="s">
        <v>85</v>
      </c>
      <c r="E70" s="339"/>
      <c r="F70" s="339"/>
      <c r="G70" s="293"/>
      <c r="H70" s="259"/>
      <c r="I70" s="576" t="s">
        <v>498</v>
      </c>
      <c r="J70" s="295"/>
      <c r="K70" s="259"/>
      <c r="L70" s="259"/>
      <c r="M70" s="259"/>
      <c r="N70" s="259"/>
      <c r="O70" s="259"/>
      <c r="P70" s="298">
        <v>0</v>
      </c>
      <c r="Q70" s="299">
        <v>0</v>
      </c>
      <c r="R70" s="297">
        <v>0</v>
      </c>
      <c r="S70" s="298">
        <v>0</v>
      </c>
      <c r="T70" s="298">
        <v>0</v>
      </c>
      <c r="U70" s="298">
        <v>0</v>
      </c>
      <c r="V70" s="299">
        <v>0</v>
      </c>
      <c r="W70" s="339"/>
      <c r="X70" s="576" t="s">
        <v>498</v>
      </c>
      <c r="Y70" s="295"/>
      <c r="Z70" s="259"/>
      <c r="AA70" s="259"/>
      <c r="AB70" s="259"/>
      <c r="AC70" s="259"/>
      <c r="AD70" s="259"/>
      <c r="AE70" s="298">
        <v>0</v>
      </c>
      <c r="AF70" s="299">
        <v>0</v>
      </c>
      <c r="AG70" s="297">
        <v>0</v>
      </c>
      <c r="AH70" s="298">
        <v>0</v>
      </c>
      <c r="AI70" s="298">
        <v>0</v>
      </c>
      <c r="AJ70" s="298">
        <v>0</v>
      </c>
      <c r="AK70" s="299">
        <v>0</v>
      </c>
      <c r="AL70" s="441"/>
      <c r="AM70" s="601">
        <v>0</v>
      </c>
      <c r="AN70" s="304">
        <f t="shared" si="16"/>
        <v>0</v>
      </c>
      <c r="AO70" s="1485">
        <v>0</v>
      </c>
      <c r="AP70" s="1486"/>
    </row>
    <row r="71" spans="1:42">
      <c r="A71" s="258"/>
      <c r="B71" s="592"/>
      <c r="C71" s="593"/>
      <c r="D71" s="339" t="s">
        <v>85</v>
      </c>
      <c r="E71" s="339"/>
      <c r="F71" s="339"/>
      <c r="G71" s="293"/>
      <c r="H71" s="259"/>
      <c r="I71" s="576" t="s">
        <v>498</v>
      </c>
      <c r="J71" s="295"/>
      <c r="K71" s="259"/>
      <c r="L71" s="259"/>
      <c r="M71" s="259"/>
      <c r="N71" s="259"/>
      <c r="O71" s="259"/>
      <c r="P71" s="298">
        <v>0</v>
      </c>
      <c r="Q71" s="299">
        <v>0</v>
      </c>
      <c r="R71" s="297">
        <v>0</v>
      </c>
      <c r="S71" s="298">
        <v>0</v>
      </c>
      <c r="T71" s="298">
        <v>0</v>
      </c>
      <c r="U71" s="298">
        <v>0</v>
      </c>
      <c r="V71" s="299">
        <v>0</v>
      </c>
      <c r="W71" s="339"/>
      <c r="X71" s="576" t="s">
        <v>498</v>
      </c>
      <c r="Y71" s="295"/>
      <c r="Z71" s="259"/>
      <c r="AA71" s="259"/>
      <c r="AB71" s="259"/>
      <c r="AC71" s="259"/>
      <c r="AD71" s="259"/>
      <c r="AE71" s="298">
        <v>0</v>
      </c>
      <c r="AF71" s="299">
        <v>0</v>
      </c>
      <c r="AG71" s="297">
        <v>0</v>
      </c>
      <c r="AH71" s="298">
        <v>0</v>
      </c>
      <c r="AI71" s="298">
        <v>0</v>
      </c>
      <c r="AJ71" s="298">
        <v>0</v>
      </c>
      <c r="AK71" s="299">
        <v>0</v>
      </c>
      <c r="AL71" s="339"/>
      <c r="AM71" s="601">
        <v>0</v>
      </c>
      <c r="AN71" s="304">
        <f t="shared" si="16"/>
        <v>0</v>
      </c>
      <c r="AO71" s="1485">
        <v>0</v>
      </c>
      <c r="AP71" s="1486"/>
    </row>
    <row r="72" spans="1:42">
      <c r="A72" s="258"/>
      <c r="B72" s="592"/>
      <c r="C72" s="593"/>
      <c r="D72" s="339" t="s">
        <v>85</v>
      </c>
      <c r="E72" s="339"/>
      <c r="F72" s="339"/>
      <c r="G72" s="293"/>
      <c r="H72" s="259"/>
      <c r="I72" s="576" t="s">
        <v>498</v>
      </c>
      <c r="J72" s="295"/>
      <c r="K72" s="259"/>
      <c r="L72" s="259"/>
      <c r="M72" s="259"/>
      <c r="N72" s="259"/>
      <c r="O72" s="259"/>
      <c r="P72" s="298">
        <v>0</v>
      </c>
      <c r="Q72" s="299">
        <v>0</v>
      </c>
      <c r="R72" s="297">
        <v>0</v>
      </c>
      <c r="S72" s="298">
        <v>0</v>
      </c>
      <c r="T72" s="298">
        <v>0</v>
      </c>
      <c r="U72" s="298">
        <v>0</v>
      </c>
      <c r="V72" s="299">
        <v>0</v>
      </c>
      <c r="W72" s="339"/>
      <c r="X72" s="576" t="s">
        <v>498</v>
      </c>
      <c r="Y72" s="295"/>
      <c r="Z72" s="259"/>
      <c r="AA72" s="259"/>
      <c r="AB72" s="259"/>
      <c r="AC72" s="259"/>
      <c r="AD72" s="259"/>
      <c r="AE72" s="298">
        <v>0</v>
      </c>
      <c r="AF72" s="299">
        <v>0</v>
      </c>
      <c r="AG72" s="297">
        <v>0</v>
      </c>
      <c r="AH72" s="298">
        <v>0</v>
      </c>
      <c r="AI72" s="298">
        <v>0</v>
      </c>
      <c r="AJ72" s="298">
        <v>0</v>
      </c>
      <c r="AK72" s="299">
        <v>0</v>
      </c>
      <c r="AL72" s="339"/>
      <c r="AM72" s="601">
        <v>0</v>
      </c>
      <c r="AN72" s="304">
        <f t="shared" si="16"/>
        <v>0</v>
      </c>
      <c r="AO72" s="1485">
        <v>0</v>
      </c>
      <c r="AP72" s="1486"/>
    </row>
    <row r="73" spans="1:42">
      <c r="A73" s="258"/>
      <c r="B73" s="592"/>
      <c r="C73" s="593"/>
      <c r="D73" s="339" t="s">
        <v>85</v>
      </c>
      <c r="E73" s="339"/>
      <c r="F73" s="339"/>
      <c r="G73" s="293"/>
      <c r="H73" s="259"/>
      <c r="I73" s="576" t="s">
        <v>498</v>
      </c>
      <c r="J73" s="295"/>
      <c r="K73" s="259"/>
      <c r="L73" s="259"/>
      <c r="M73" s="259"/>
      <c r="N73" s="259"/>
      <c r="O73" s="259"/>
      <c r="P73" s="298">
        <v>0</v>
      </c>
      <c r="Q73" s="299">
        <v>0</v>
      </c>
      <c r="R73" s="297">
        <v>0</v>
      </c>
      <c r="S73" s="298">
        <v>0</v>
      </c>
      <c r="T73" s="298">
        <v>0</v>
      </c>
      <c r="U73" s="298">
        <v>0</v>
      </c>
      <c r="V73" s="299">
        <v>0</v>
      </c>
      <c r="W73" s="339"/>
      <c r="X73" s="576" t="s">
        <v>498</v>
      </c>
      <c r="Y73" s="295"/>
      <c r="Z73" s="259"/>
      <c r="AA73" s="259"/>
      <c r="AB73" s="259"/>
      <c r="AC73" s="259"/>
      <c r="AD73" s="259"/>
      <c r="AE73" s="298">
        <v>0</v>
      </c>
      <c r="AF73" s="299">
        <v>0</v>
      </c>
      <c r="AG73" s="297">
        <v>0</v>
      </c>
      <c r="AH73" s="298">
        <v>0</v>
      </c>
      <c r="AI73" s="298">
        <v>0</v>
      </c>
      <c r="AJ73" s="298">
        <v>0</v>
      </c>
      <c r="AK73" s="299">
        <v>0</v>
      </c>
      <c r="AL73" s="339"/>
      <c r="AM73" s="601">
        <v>0</v>
      </c>
      <c r="AN73" s="304">
        <f t="shared" si="16"/>
        <v>0</v>
      </c>
      <c r="AO73" s="1485">
        <v>0</v>
      </c>
      <c r="AP73" s="1486"/>
    </row>
    <row r="74" spans="1:42">
      <c r="A74" s="258"/>
      <c r="B74" s="592"/>
      <c r="C74" s="593"/>
      <c r="D74" s="339" t="s">
        <v>85</v>
      </c>
      <c r="E74" s="339"/>
      <c r="F74" s="339"/>
      <c r="G74" s="293"/>
      <c r="H74" s="259"/>
      <c r="I74" s="576" t="s">
        <v>498</v>
      </c>
      <c r="J74" s="295"/>
      <c r="K74" s="259"/>
      <c r="L74" s="259"/>
      <c r="M74" s="259"/>
      <c r="N74" s="259"/>
      <c r="O74" s="259"/>
      <c r="P74" s="298">
        <v>0</v>
      </c>
      <c r="Q74" s="299">
        <v>0</v>
      </c>
      <c r="R74" s="297">
        <v>0</v>
      </c>
      <c r="S74" s="298">
        <v>0</v>
      </c>
      <c r="T74" s="298">
        <v>0</v>
      </c>
      <c r="U74" s="298">
        <v>0</v>
      </c>
      <c r="V74" s="299">
        <v>0</v>
      </c>
      <c r="W74" s="339"/>
      <c r="X74" s="576" t="s">
        <v>498</v>
      </c>
      <c r="Y74" s="295"/>
      <c r="Z74" s="259"/>
      <c r="AA74" s="259"/>
      <c r="AB74" s="259"/>
      <c r="AC74" s="259"/>
      <c r="AD74" s="259"/>
      <c r="AE74" s="298">
        <v>0</v>
      </c>
      <c r="AF74" s="299">
        <v>0</v>
      </c>
      <c r="AG74" s="297">
        <v>0</v>
      </c>
      <c r="AH74" s="298">
        <v>0</v>
      </c>
      <c r="AI74" s="298">
        <v>0</v>
      </c>
      <c r="AJ74" s="298">
        <v>0</v>
      </c>
      <c r="AK74" s="299">
        <v>0</v>
      </c>
      <c r="AL74" s="441"/>
      <c r="AM74" s="601">
        <v>0</v>
      </c>
      <c r="AN74" s="304">
        <f t="shared" si="16"/>
        <v>0</v>
      </c>
      <c r="AO74" s="1485">
        <v>0</v>
      </c>
      <c r="AP74" s="1486"/>
    </row>
    <row r="75" spans="1:42">
      <c r="A75" s="258"/>
      <c r="B75" s="592"/>
      <c r="C75" s="593"/>
      <c r="D75" s="339" t="s">
        <v>85</v>
      </c>
      <c r="E75" s="339"/>
      <c r="F75" s="339"/>
      <c r="G75" s="293"/>
      <c r="H75" s="259"/>
      <c r="I75" s="576" t="s">
        <v>498</v>
      </c>
      <c r="J75" s="295"/>
      <c r="K75" s="259"/>
      <c r="L75" s="259"/>
      <c r="M75" s="259"/>
      <c r="N75" s="259"/>
      <c r="O75" s="259"/>
      <c r="P75" s="298">
        <v>0</v>
      </c>
      <c r="Q75" s="299">
        <v>0</v>
      </c>
      <c r="R75" s="297">
        <v>0</v>
      </c>
      <c r="S75" s="298">
        <v>0</v>
      </c>
      <c r="T75" s="298">
        <v>0</v>
      </c>
      <c r="U75" s="298">
        <v>0</v>
      </c>
      <c r="V75" s="299">
        <v>0</v>
      </c>
      <c r="W75" s="339"/>
      <c r="X75" s="576" t="s">
        <v>498</v>
      </c>
      <c r="Y75" s="295"/>
      <c r="Z75" s="259"/>
      <c r="AA75" s="259"/>
      <c r="AB75" s="259"/>
      <c r="AC75" s="259"/>
      <c r="AD75" s="259"/>
      <c r="AE75" s="298">
        <v>0</v>
      </c>
      <c r="AF75" s="299">
        <v>0</v>
      </c>
      <c r="AG75" s="297">
        <v>0</v>
      </c>
      <c r="AH75" s="298">
        <v>0</v>
      </c>
      <c r="AI75" s="298">
        <v>0</v>
      </c>
      <c r="AJ75" s="298">
        <v>0</v>
      </c>
      <c r="AK75" s="299">
        <v>0</v>
      </c>
      <c r="AL75" s="441"/>
      <c r="AM75" s="601">
        <v>0</v>
      </c>
      <c r="AN75" s="304">
        <f t="shared" si="16"/>
        <v>0</v>
      </c>
      <c r="AO75" s="1485">
        <v>0</v>
      </c>
      <c r="AP75" s="1486"/>
    </row>
    <row r="76" spans="1:42">
      <c r="A76" s="258"/>
      <c r="B76" s="592"/>
      <c r="C76" s="593"/>
      <c r="D76" s="339" t="s">
        <v>85</v>
      </c>
      <c r="E76" s="339"/>
      <c r="F76" s="339"/>
      <c r="G76" s="293"/>
      <c r="H76" s="259"/>
      <c r="I76" s="576" t="s">
        <v>498</v>
      </c>
      <c r="J76" s="295"/>
      <c r="K76" s="259"/>
      <c r="L76" s="259"/>
      <c r="M76" s="259"/>
      <c r="N76" s="259"/>
      <c r="O76" s="259"/>
      <c r="P76" s="298">
        <v>0</v>
      </c>
      <c r="Q76" s="299">
        <v>0</v>
      </c>
      <c r="R76" s="297">
        <v>0</v>
      </c>
      <c r="S76" s="298">
        <v>0</v>
      </c>
      <c r="T76" s="298">
        <v>0</v>
      </c>
      <c r="U76" s="298">
        <v>0</v>
      </c>
      <c r="V76" s="299">
        <v>0</v>
      </c>
      <c r="W76" s="339"/>
      <c r="X76" s="576" t="s">
        <v>498</v>
      </c>
      <c r="Y76" s="295"/>
      <c r="Z76" s="259"/>
      <c r="AA76" s="259"/>
      <c r="AB76" s="259"/>
      <c r="AC76" s="259"/>
      <c r="AD76" s="259"/>
      <c r="AE76" s="298">
        <v>0</v>
      </c>
      <c r="AF76" s="299">
        <v>0</v>
      </c>
      <c r="AG76" s="297">
        <v>0</v>
      </c>
      <c r="AH76" s="298">
        <v>0</v>
      </c>
      <c r="AI76" s="298">
        <v>0</v>
      </c>
      <c r="AJ76" s="298">
        <v>0</v>
      </c>
      <c r="AK76" s="299">
        <v>0</v>
      </c>
      <c r="AL76" s="441"/>
      <c r="AM76" s="601">
        <v>0</v>
      </c>
      <c r="AN76" s="304">
        <f t="shared" si="16"/>
        <v>0</v>
      </c>
      <c r="AO76" s="1485">
        <v>0</v>
      </c>
      <c r="AP76" s="1486"/>
    </row>
    <row r="77" spans="1:42">
      <c r="A77" s="258"/>
      <c r="B77" s="592"/>
      <c r="C77" s="593"/>
      <c r="D77" s="339" t="s">
        <v>85</v>
      </c>
      <c r="E77" s="339"/>
      <c r="F77" s="339"/>
      <c r="G77" s="293"/>
      <c r="H77" s="259"/>
      <c r="I77" s="576" t="s">
        <v>498</v>
      </c>
      <c r="J77" s="295"/>
      <c r="K77" s="259"/>
      <c r="L77" s="259"/>
      <c r="M77" s="259"/>
      <c r="N77" s="259"/>
      <c r="O77" s="259"/>
      <c r="P77" s="298">
        <v>0</v>
      </c>
      <c r="Q77" s="299">
        <v>0</v>
      </c>
      <c r="R77" s="297">
        <v>0</v>
      </c>
      <c r="S77" s="298">
        <v>0</v>
      </c>
      <c r="T77" s="298">
        <v>0</v>
      </c>
      <c r="U77" s="298">
        <v>0</v>
      </c>
      <c r="V77" s="299">
        <v>0</v>
      </c>
      <c r="W77" s="339"/>
      <c r="X77" s="576" t="s">
        <v>498</v>
      </c>
      <c r="Y77" s="295"/>
      <c r="Z77" s="259"/>
      <c r="AA77" s="259"/>
      <c r="AB77" s="259"/>
      <c r="AC77" s="259"/>
      <c r="AD77" s="259"/>
      <c r="AE77" s="298">
        <v>0</v>
      </c>
      <c r="AF77" s="299">
        <v>0</v>
      </c>
      <c r="AG77" s="297">
        <v>0</v>
      </c>
      <c r="AH77" s="298">
        <v>0</v>
      </c>
      <c r="AI77" s="298">
        <v>0</v>
      </c>
      <c r="AJ77" s="298">
        <v>0</v>
      </c>
      <c r="AK77" s="299">
        <v>0</v>
      </c>
      <c r="AL77" s="339"/>
      <c r="AM77" s="601">
        <v>0</v>
      </c>
      <c r="AN77" s="304">
        <f t="shared" si="16"/>
        <v>0</v>
      </c>
      <c r="AO77" s="1485">
        <v>0</v>
      </c>
      <c r="AP77" s="1486"/>
    </row>
    <row r="78" spans="1:42">
      <c r="A78" s="258"/>
      <c r="B78" s="592"/>
      <c r="C78" s="593"/>
      <c r="D78" s="339" t="s">
        <v>85</v>
      </c>
      <c r="E78" s="339"/>
      <c r="F78" s="339"/>
      <c r="G78" s="293"/>
      <c r="H78" s="259"/>
      <c r="I78" s="576" t="s">
        <v>498</v>
      </c>
      <c r="J78" s="295"/>
      <c r="K78" s="259"/>
      <c r="L78" s="259"/>
      <c r="M78" s="259"/>
      <c r="N78" s="259"/>
      <c r="O78" s="259"/>
      <c r="P78" s="298">
        <v>0</v>
      </c>
      <c r="Q78" s="299">
        <v>0</v>
      </c>
      <c r="R78" s="297">
        <v>0</v>
      </c>
      <c r="S78" s="298">
        <v>0</v>
      </c>
      <c r="T78" s="298">
        <v>0</v>
      </c>
      <c r="U78" s="298">
        <v>0</v>
      </c>
      <c r="V78" s="299">
        <v>0</v>
      </c>
      <c r="W78" s="339"/>
      <c r="X78" s="576" t="s">
        <v>498</v>
      </c>
      <c r="Y78" s="295"/>
      <c r="Z78" s="259"/>
      <c r="AA78" s="259"/>
      <c r="AB78" s="259"/>
      <c r="AC78" s="259"/>
      <c r="AD78" s="259"/>
      <c r="AE78" s="298">
        <v>0</v>
      </c>
      <c r="AF78" s="299">
        <v>0</v>
      </c>
      <c r="AG78" s="297">
        <v>0</v>
      </c>
      <c r="AH78" s="298">
        <v>0</v>
      </c>
      <c r="AI78" s="298">
        <v>0</v>
      </c>
      <c r="AJ78" s="298">
        <v>0</v>
      </c>
      <c r="AK78" s="299">
        <v>0</v>
      </c>
      <c r="AL78" s="441"/>
      <c r="AM78" s="601">
        <v>0</v>
      </c>
      <c r="AN78" s="304">
        <f t="shared" si="16"/>
        <v>0</v>
      </c>
      <c r="AO78" s="1485">
        <v>0</v>
      </c>
      <c r="AP78" s="1486"/>
    </row>
    <row r="79" spans="1:42">
      <c r="A79" s="258"/>
      <c r="B79" s="592"/>
      <c r="C79" s="593"/>
      <c r="D79" s="339" t="s">
        <v>85</v>
      </c>
      <c r="E79" s="339"/>
      <c r="F79" s="339"/>
      <c r="G79" s="293"/>
      <c r="H79" s="259"/>
      <c r="I79" s="576" t="s">
        <v>498</v>
      </c>
      <c r="J79" s="295"/>
      <c r="K79" s="259"/>
      <c r="L79" s="259"/>
      <c r="M79" s="259"/>
      <c r="N79" s="259"/>
      <c r="O79" s="259"/>
      <c r="P79" s="298">
        <v>0</v>
      </c>
      <c r="Q79" s="299">
        <v>0</v>
      </c>
      <c r="R79" s="297">
        <v>0</v>
      </c>
      <c r="S79" s="298">
        <v>0</v>
      </c>
      <c r="T79" s="298">
        <v>0</v>
      </c>
      <c r="U79" s="298">
        <v>0</v>
      </c>
      <c r="V79" s="299">
        <v>0</v>
      </c>
      <c r="W79" s="339"/>
      <c r="X79" s="576" t="s">
        <v>498</v>
      </c>
      <c r="Y79" s="295"/>
      <c r="Z79" s="259"/>
      <c r="AA79" s="259"/>
      <c r="AB79" s="259"/>
      <c r="AC79" s="259"/>
      <c r="AD79" s="259"/>
      <c r="AE79" s="298">
        <v>0</v>
      </c>
      <c r="AF79" s="299">
        <v>0</v>
      </c>
      <c r="AG79" s="297">
        <v>0</v>
      </c>
      <c r="AH79" s="298">
        <v>0</v>
      </c>
      <c r="AI79" s="298">
        <v>0</v>
      </c>
      <c r="AJ79" s="298">
        <v>0</v>
      </c>
      <c r="AK79" s="299">
        <v>0</v>
      </c>
      <c r="AL79" s="441"/>
      <c r="AM79" s="601">
        <v>0</v>
      </c>
      <c r="AN79" s="304">
        <f t="shared" si="16"/>
        <v>0</v>
      </c>
      <c r="AO79" s="1485">
        <v>0</v>
      </c>
      <c r="AP79" s="1486"/>
    </row>
    <row r="80" spans="1:42">
      <c r="A80" s="258"/>
      <c r="B80" s="592"/>
      <c r="C80" s="593"/>
      <c r="D80" s="339" t="s">
        <v>85</v>
      </c>
      <c r="E80" s="339"/>
      <c r="F80" s="339"/>
      <c r="G80" s="293"/>
      <c r="H80" s="259"/>
      <c r="I80" s="576" t="s">
        <v>498</v>
      </c>
      <c r="J80" s="295"/>
      <c r="K80" s="259"/>
      <c r="L80" s="259"/>
      <c r="M80" s="259"/>
      <c r="N80" s="259"/>
      <c r="O80" s="259"/>
      <c r="P80" s="298">
        <v>0</v>
      </c>
      <c r="Q80" s="299">
        <v>0</v>
      </c>
      <c r="R80" s="297">
        <v>0</v>
      </c>
      <c r="S80" s="298">
        <v>0</v>
      </c>
      <c r="T80" s="298">
        <v>0</v>
      </c>
      <c r="U80" s="298">
        <v>0</v>
      </c>
      <c r="V80" s="299">
        <v>0</v>
      </c>
      <c r="W80" s="339"/>
      <c r="X80" s="576" t="s">
        <v>498</v>
      </c>
      <c r="Y80" s="295"/>
      <c r="Z80" s="259"/>
      <c r="AA80" s="259"/>
      <c r="AB80" s="259"/>
      <c r="AC80" s="259"/>
      <c r="AD80" s="259"/>
      <c r="AE80" s="298">
        <v>0</v>
      </c>
      <c r="AF80" s="299">
        <v>0</v>
      </c>
      <c r="AG80" s="297">
        <v>0</v>
      </c>
      <c r="AH80" s="298">
        <v>0</v>
      </c>
      <c r="AI80" s="298">
        <v>0</v>
      </c>
      <c r="AJ80" s="298">
        <v>0</v>
      </c>
      <c r="AK80" s="299">
        <v>0</v>
      </c>
      <c r="AL80" s="441"/>
      <c r="AM80" s="601">
        <v>0</v>
      </c>
      <c r="AN80" s="304">
        <f t="shared" si="16"/>
        <v>0</v>
      </c>
      <c r="AO80" s="1485">
        <v>0</v>
      </c>
      <c r="AP80" s="1486"/>
    </row>
    <row r="81" spans="1:42">
      <c r="A81" s="258"/>
      <c r="B81" s="592"/>
      <c r="C81" s="593"/>
      <c r="D81" s="339" t="s">
        <v>85</v>
      </c>
      <c r="E81" s="339"/>
      <c r="F81" s="339"/>
      <c r="G81" s="293"/>
      <c r="H81" s="259"/>
      <c r="I81" s="576" t="s">
        <v>498</v>
      </c>
      <c r="J81" s="295"/>
      <c r="K81" s="259"/>
      <c r="L81" s="259"/>
      <c r="M81" s="259"/>
      <c r="N81" s="259"/>
      <c r="O81" s="259"/>
      <c r="P81" s="298">
        <v>0</v>
      </c>
      <c r="Q81" s="299">
        <v>0</v>
      </c>
      <c r="R81" s="297">
        <v>0</v>
      </c>
      <c r="S81" s="298">
        <v>0</v>
      </c>
      <c r="T81" s="298">
        <v>0</v>
      </c>
      <c r="U81" s="298">
        <v>0</v>
      </c>
      <c r="V81" s="299">
        <v>0</v>
      </c>
      <c r="W81" s="339"/>
      <c r="X81" s="576" t="s">
        <v>498</v>
      </c>
      <c r="Y81" s="295"/>
      <c r="Z81" s="259"/>
      <c r="AA81" s="259"/>
      <c r="AB81" s="259"/>
      <c r="AC81" s="259"/>
      <c r="AD81" s="259"/>
      <c r="AE81" s="298">
        <v>0</v>
      </c>
      <c r="AF81" s="299">
        <v>0</v>
      </c>
      <c r="AG81" s="297">
        <v>0</v>
      </c>
      <c r="AH81" s="298">
        <v>0</v>
      </c>
      <c r="AI81" s="298">
        <v>0</v>
      </c>
      <c r="AJ81" s="298">
        <v>0</v>
      </c>
      <c r="AK81" s="299">
        <v>0</v>
      </c>
      <c r="AL81" s="339"/>
      <c r="AM81" s="601">
        <v>0</v>
      </c>
      <c r="AN81" s="304">
        <f t="shared" si="16"/>
        <v>0</v>
      </c>
      <c r="AO81" s="1485">
        <v>0</v>
      </c>
      <c r="AP81" s="1486"/>
    </row>
    <row r="82" spans="1:42">
      <c r="A82" s="258"/>
      <c r="B82" s="592"/>
      <c r="C82" s="593"/>
      <c r="D82" s="339" t="s">
        <v>85</v>
      </c>
      <c r="E82" s="339"/>
      <c r="F82" s="339"/>
      <c r="G82" s="293"/>
      <c r="H82" s="259"/>
      <c r="I82" s="576" t="s">
        <v>498</v>
      </c>
      <c r="J82" s="295"/>
      <c r="K82" s="259"/>
      <c r="L82" s="259"/>
      <c r="M82" s="259"/>
      <c r="N82" s="259"/>
      <c r="O82" s="259"/>
      <c r="P82" s="298">
        <v>0</v>
      </c>
      <c r="Q82" s="299">
        <v>0</v>
      </c>
      <c r="R82" s="297">
        <v>0</v>
      </c>
      <c r="S82" s="298">
        <v>0</v>
      </c>
      <c r="T82" s="298">
        <v>0</v>
      </c>
      <c r="U82" s="298">
        <v>0</v>
      </c>
      <c r="V82" s="299">
        <v>0</v>
      </c>
      <c r="W82" s="339"/>
      <c r="X82" s="576" t="s">
        <v>498</v>
      </c>
      <c r="Y82" s="295"/>
      <c r="Z82" s="259"/>
      <c r="AA82" s="259"/>
      <c r="AB82" s="259"/>
      <c r="AC82" s="259"/>
      <c r="AD82" s="259"/>
      <c r="AE82" s="298">
        <v>0</v>
      </c>
      <c r="AF82" s="299">
        <v>0</v>
      </c>
      <c r="AG82" s="297">
        <v>0</v>
      </c>
      <c r="AH82" s="298">
        <v>0</v>
      </c>
      <c r="AI82" s="298">
        <v>0</v>
      </c>
      <c r="AJ82" s="298">
        <v>0</v>
      </c>
      <c r="AK82" s="299">
        <v>0</v>
      </c>
      <c r="AL82" s="339"/>
      <c r="AM82" s="601">
        <v>0</v>
      </c>
      <c r="AN82" s="304">
        <f t="shared" si="16"/>
        <v>0</v>
      </c>
      <c r="AO82" s="1485">
        <v>0</v>
      </c>
      <c r="AP82" s="1486"/>
    </row>
    <row r="83" spans="1:42">
      <c r="A83" s="258"/>
      <c r="B83" s="592"/>
      <c r="C83" s="593"/>
      <c r="D83" s="339" t="s">
        <v>85</v>
      </c>
      <c r="E83" s="339"/>
      <c r="F83" s="339"/>
      <c r="G83" s="293"/>
      <c r="H83" s="259"/>
      <c r="I83" s="576" t="s">
        <v>498</v>
      </c>
      <c r="J83" s="295"/>
      <c r="K83" s="259"/>
      <c r="L83" s="259"/>
      <c r="M83" s="259"/>
      <c r="N83" s="259"/>
      <c r="O83" s="259"/>
      <c r="P83" s="298">
        <v>0</v>
      </c>
      <c r="Q83" s="299">
        <v>0</v>
      </c>
      <c r="R83" s="297">
        <v>0</v>
      </c>
      <c r="S83" s="298">
        <v>0</v>
      </c>
      <c r="T83" s="298">
        <v>0</v>
      </c>
      <c r="U83" s="298">
        <v>0</v>
      </c>
      <c r="V83" s="299">
        <v>0</v>
      </c>
      <c r="W83" s="339"/>
      <c r="X83" s="576" t="s">
        <v>498</v>
      </c>
      <c r="Y83" s="295"/>
      <c r="Z83" s="259"/>
      <c r="AA83" s="259"/>
      <c r="AB83" s="259"/>
      <c r="AC83" s="259"/>
      <c r="AD83" s="259"/>
      <c r="AE83" s="298">
        <v>0</v>
      </c>
      <c r="AF83" s="299">
        <v>0</v>
      </c>
      <c r="AG83" s="297">
        <v>0</v>
      </c>
      <c r="AH83" s="298">
        <v>0</v>
      </c>
      <c r="AI83" s="298">
        <v>0</v>
      </c>
      <c r="AJ83" s="298">
        <v>0</v>
      </c>
      <c r="AK83" s="299">
        <v>0</v>
      </c>
      <c r="AL83" s="339"/>
      <c r="AM83" s="601">
        <v>0</v>
      </c>
      <c r="AN83" s="304">
        <f t="shared" si="16"/>
        <v>0</v>
      </c>
      <c r="AO83" s="1485">
        <v>0</v>
      </c>
      <c r="AP83" s="1486"/>
    </row>
    <row r="84" spans="1:42">
      <c r="A84" s="258"/>
      <c r="B84" s="592"/>
      <c r="C84" s="593"/>
      <c r="D84" s="339" t="s">
        <v>85</v>
      </c>
      <c r="E84" s="339"/>
      <c r="F84" s="339"/>
      <c r="G84" s="293"/>
      <c r="H84" s="259"/>
      <c r="I84" s="576" t="s">
        <v>498</v>
      </c>
      <c r="J84" s="295"/>
      <c r="K84" s="259"/>
      <c r="L84" s="259"/>
      <c r="M84" s="259"/>
      <c r="N84" s="259"/>
      <c r="O84" s="259"/>
      <c r="P84" s="298">
        <v>0</v>
      </c>
      <c r="Q84" s="299">
        <v>0</v>
      </c>
      <c r="R84" s="297">
        <v>0</v>
      </c>
      <c r="S84" s="298">
        <v>0</v>
      </c>
      <c r="T84" s="298">
        <v>0</v>
      </c>
      <c r="U84" s="298">
        <v>0</v>
      </c>
      <c r="V84" s="299">
        <v>0</v>
      </c>
      <c r="W84" s="339"/>
      <c r="X84" s="576" t="s">
        <v>498</v>
      </c>
      <c r="Y84" s="295"/>
      <c r="Z84" s="259"/>
      <c r="AA84" s="259"/>
      <c r="AB84" s="259"/>
      <c r="AC84" s="259"/>
      <c r="AD84" s="259"/>
      <c r="AE84" s="298">
        <v>0</v>
      </c>
      <c r="AF84" s="299">
        <v>0</v>
      </c>
      <c r="AG84" s="297">
        <v>0</v>
      </c>
      <c r="AH84" s="298">
        <v>0</v>
      </c>
      <c r="AI84" s="298">
        <v>0</v>
      </c>
      <c r="AJ84" s="298">
        <v>0</v>
      </c>
      <c r="AK84" s="299">
        <v>0</v>
      </c>
      <c r="AL84" s="441"/>
      <c r="AM84" s="601">
        <v>0</v>
      </c>
      <c r="AN84" s="304">
        <f t="shared" si="16"/>
        <v>0</v>
      </c>
      <c r="AO84" s="1485">
        <v>0</v>
      </c>
      <c r="AP84" s="1486"/>
    </row>
    <row r="85" spans="1:42">
      <c r="A85" s="258"/>
      <c r="B85" s="592"/>
      <c r="C85" s="593"/>
      <c r="D85" s="339" t="s">
        <v>85</v>
      </c>
      <c r="E85" s="339"/>
      <c r="F85" s="339"/>
      <c r="G85" s="293"/>
      <c r="H85" s="259"/>
      <c r="I85" s="576" t="s">
        <v>498</v>
      </c>
      <c r="J85" s="295"/>
      <c r="K85" s="259"/>
      <c r="L85" s="259"/>
      <c r="M85" s="259"/>
      <c r="N85" s="259"/>
      <c r="O85" s="259"/>
      <c r="P85" s="298">
        <v>0</v>
      </c>
      <c r="Q85" s="299">
        <v>0</v>
      </c>
      <c r="R85" s="297">
        <v>0</v>
      </c>
      <c r="S85" s="298">
        <v>0</v>
      </c>
      <c r="T85" s="298">
        <v>0</v>
      </c>
      <c r="U85" s="298">
        <v>0</v>
      </c>
      <c r="V85" s="299">
        <v>0</v>
      </c>
      <c r="W85" s="339"/>
      <c r="X85" s="576" t="s">
        <v>498</v>
      </c>
      <c r="Y85" s="295"/>
      <c r="Z85" s="259"/>
      <c r="AA85" s="259"/>
      <c r="AB85" s="259"/>
      <c r="AC85" s="259"/>
      <c r="AD85" s="259"/>
      <c r="AE85" s="298">
        <v>0</v>
      </c>
      <c r="AF85" s="299">
        <v>0</v>
      </c>
      <c r="AG85" s="297">
        <v>0</v>
      </c>
      <c r="AH85" s="298">
        <v>0</v>
      </c>
      <c r="AI85" s="298">
        <v>0</v>
      </c>
      <c r="AJ85" s="298">
        <v>0</v>
      </c>
      <c r="AK85" s="299">
        <v>0</v>
      </c>
      <c r="AL85" s="441"/>
      <c r="AM85" s="601">
        <v>0</v>
      </c>
      <c r="AN85" s="304">
        <f t="shared" si="16"/>
        <v>0</v>
      </c>
      <c r="AO85" s="1485">
        <v>0</v>
      </c>
      <c r="AP85" s="1486"/>
    </row>
    <row r="86" spans="1:42">
      <c r="A86" s="258"/>
      <c r="B86" s="592"/>
      <c r="C86" s="593"/>
      <c r="D86" s="339" t="s">
        <v>85</v>
      </c>
      <c r="E86" s="339"/>
      <c r="F86" s="339"/>
      <c r="G86" s="293"/>
      <c r="H86" s="259"/>
      <c r="I86" s="576" t="s">
        <v>498</v>
      </c>
      <c r="J86" s="295"/>
      <c r="K86" s="259"/>
      <c r="L86" s="259"/>
      <c r="M86" s="259"/>
      <c r="N86" s="259"/>
      <c r="O86" s="259"/>
      <c r="P86" s="298">
        <v>0</v>
      </c>
      <c r="Q86" s="299">
        <v>0</v>
      </c>
      <c r="R86" s="297">
        <v>0</v>
      </c>
      <c r="S86" s="298">
        <v>0</v>
      </c>
      <c r="T86" s="298">
        <v>0</v>
      </c>
      <c r="U86" s="298">
        <v>0</v>
      </c>
      <c r="V86" s="299">
        <v>0</v>
      </c>
      <c r="W86" s="339"/>
      <c r="X86" s="576" t="s">
        <v>498</v>
      </c>
      <c r="Y86" s="295"/>
      <c r="Z86" s="259"/>
      <c r="AA86" s="259"/>
      <c r="AB86" s="259"/>
      <c r="AC86" s="259"/>
      <c r="AD86" s="259"/>
      <c r="AE86" s="298">
        <v>0</v>
      </c>
      <c r="AF86" s="299">
        <v>0</v>
      </c>
      <c r="AG86" s="297">
        <v>0</v>
      </c>
      <c r="AH86" s="298">
        <v>0</v>
      </c>
      <c r="AI86" s="298">
        <v>0</v>
      </c>
      <c r="AJ86" s="298">
        <v>0</v>
      </c>
      <c r="AK86" s="299">
        <v>0</v>
      </c>
      <c r="AL86" s="441"/>
      <c r="AM86" s="601">
        <v>0</v>
      </c>
      <c r="AN86" s="304">
        <f t="shared" si="16"/>
        <v>0</v>
      </c>
      <c r="AO86" s="1485">
        <v>0</v>
      </c>
      <c r="AP86" s="1486"/>
    </row>
    <row r="87" spans="1:42">
      <c r="A87" s="258"/>
      <c r="B87" s="592"/>
      <c r="C87" s="593"/>
      <c r="D87" s="339" t="s">
        <v>85</v>
      </c>
      <c r="E87" s="339"/>
      <c r="F87" s="339"/>
      <c r="G87" s="293"/>
      <c r="H87" s="259"/>
      <c r="I87" s="576" t="s">
        <v>498</v>
      </c>
      <c r="J87" s="295"/>
      <c r="K87" s="259"/>
      <c r="L87" s="259"/>
      <c r="M87" s="259"/>
      <c r="N87" s="259"/>
      <c r="O87" s="259"/>
      <c r="P87" s="298">
        <v>0</v>
      </c>
      <c r="Q87" s="299">
        <v>0</v>
      </c>
      <c r="R87" s="297">
        <v>0</v>
      </c>
      <c r="S87" s="298">
        <v>0</v>
      </c>
      <c r="T87" s="298">
        <v>0</v>
      </c>
      <c r="U87" s="298">
        <v>0</v>
      </c>
      <c r="V87" s="299">
        <v>0</v>
      </c>
      <c r="W87" s="339"/>
      <c r="X87" s="576" t="s">
        <v>498</v>
      </c>
      <c r="Y87" s="295"/>
      <c r="Z87" s="259"/>
      <c r="AA87" s="259"/>
      <c r="AB87" s="259"/>
      <c r="AC87" s="259"/>
      <c r="AD87" s="259"/>
      <c r="AE87" s="298">
        <v>0</v>
      </c>
      <c r="AF87" s="299">
        <v>0</v>
      </c>
      <c r="AG87" s="297">
        <v>0</v>
      </c>
      <c r="AH87" s="298">
        <v>0</v>
      </c>
      <c r="AI87" s="298">
        <v>0</v>
      </c>
      <c r="AJ87" s="298">
        <v>0</v>
      </c>
      <c r="AK87" s="299">
        <v>0</v>
      </c>
      <c r="AL87" s="339"/>
      <c r="AM87" s="601">
        <v>0</v>
      </c>
      <c r="AN87" s="304">
        <f t="shared" si="16"/>
        <v>0</v>
      </c>
      <c r="AO87" s="1485">
        <v>0</v>
      </c>
      <c r="AP87" s="1486"/>
    </row>
    <row r="88" spans="1:42">
      <c r="A88" s="258"/>
      <c r="B88" s="592"/>
      <c r="C88" s="593"/>
      <c r="D88" s="339" t="s">
        <v>85</v>
      </c>
      <c r="E88" s="339"/>
      <c r="F88" s="339"/>
      <c r="G88" s="293"/>
      <c r="H88" s="259"/>
      <c r="I88" s="576" t="s">
        <v>498</v>
      </c>
      <c r="J88" s="295"/>
      <c r="K88" s="259"/>
      <c r="L88" s="259"/>
      <c r="M88" s="259"/>
      <c r="N88" s="259"/>
      <c r="O88" s="259"/>
      <c r="P88" s="298">
        <v>0</v>
      </c>
      <c r="Q88" s="299">
        <v>0</v>
      </c>
      <c r="R88" s="297">
        <v>0</v>
      </c>
      <c r="S88" s="298">
        <v>0</v>
      </c>
      <c r="T88" s="298">
        <v>0</v>
      </c>
      <c r="U88" s="298">
        <v>0</v>
      </c>
      <c r="V88" s="299">
        <v>0</v>
      </c>
      <c r="W88" s="339"/>
      <c r="X88" s="576" t="s">
        <v>498</v>
      </c>
      <c r="Y88" s="295"/>
      <c r="Z88" s="259"/>
      <c r="AA88" s="259"/>
      <c r="AB88" s="259"/>
      <c r="AC88" s="259"/>
      <c r="AD88" s="259"/>
      <c r="AE88" s="298">
        <v>0</v>
      </c>
      <c r="AF88" s="299">
        <v>0</v>
      </c>
      <c r="AG88" s="297">
        <v>0</v>
      </c>
      <c r="AH88" s="298">
        <v>0</v>
      </c>
      <c r="AI88" s="298">
        <v>0</v>
      </c>
      <c r="AJ88" s="298">
        <v>0</v>
      </c>
      <c r="AK88" s="299">
        <v>0</v>
      </c>
      <c r="AL88" s="441"/>
      <c r="AM88" s="601">
        <v>0</v>
      </c>
      <c r="AN88" s="304">
        <f t="shared" si="16"/>
        <v>0</v>
      </c>
      <c r="AO88" s="1485">
        <v>0</v>
      </c>
      <c r="AP88" s="1486"/>
    </row>
    <row r="89" spans="1:42">
      <c r="A89" s="258"/>
      <c r="B89" s="592"/>
      <c r="C89" s="593"/>
      <c r="D89" s="339" t="s">
        <v>85</v>
      </c>
      <c r="E89" s="339"/>
      <c r="F89" s="339"/>
      <c r="G89" s="293"/>
      <c r="H89" s="259"/>
      <c r="I89" s="576" t="s">
        <v>498</v>
      </c>
      <c r="J89" s="295"/>
      <c r="K89" s="259"/>
      <c r="L89" s="259"/>
      <c r="M89" s="259"/>
      <c r="N89" s="259"/>
      <c r="O89" s="259"/>
      <c r="P89" s="298">
        <v>0</v>
      </c>
      <c r="Q89" s="299">
        <v>0</v>
      </c>
      <c r="R89" s="297">
        <v>0</v>
      </c>
      <c r="S89" s="298">
        <v>0</v>
      </c>
      <c r="T89" s="298">
        <v>0</v>
      </c>
      <c r="U89" s="298">
        <v>0</v>
      </c>
      <c r="V89" s="299">
        <v>0</v>
      </c>
      <c r="W89" s="339"/>
      <c r="X89" s="576" t="s">
        <v>498</v>
      </c>
      <c r="Y89" s="295"/>
      <c r="Z89" s="259"/>
      <c r="AA89" s="259"/>
      <c r="AB89" s="259"/>
      <c r="AC89" s="259"/>
      <c r="AD89" s="259"/>
      <c r="AE89" s="298">
        <v>0</v>
      </c>
      <c r="AF89" s="299">
        <v>0</v>
      </c>
      <c r="AG89" s="297">
        <v>0</v>
      </c>
      <c r="AH89" s="298">
        <v>0</v>
      </c>
      <c r="AI89" s="298">
        <v>0</v>
      </c>
      <c r="AJ89" s="298">
        <v>0</v>
      </c>
      <c r="AK89" s="299">
        <v>0</v>
      </c>
      <c r="AL89" s="441"/>
      <c r="AM89" s="601">
        <v>0</v>
      </c>
      <c r="AN89" s="304">
        <f t="shared" si="16"/>
        <v>0</v>
      </c>
      <c r="AO89" s="1485">
        <v>0</v>
      </c>
      <c r="AP89" s="1486"/>
    </row>
    <row r="90" spans="1:42">
      <c r="A90" s="258"/>
      <c r="B90" s="592"/>
      <c r="C90" s="593"/>
      <c r="D90" s="339" t="s">
        <v>85</v>
      </c>
      <c r="E90" s="339"/>
      <c r="F90" s="339"/>
      <c r="G90" s="293"/>
      <c r="H90" s="259"/>
      <c r="I90" s="576" t="s">
        <v>498</v>
      </c>
      <c r="J90" s="295"/>
      <c r="K90" s="259"/>
      <c r="L90" s="259"/>
      <c r="M90" s="259"/>
      <c r="N90" s="259"/>
      <c r="O90" s="259"/>
      <c r="P90" s="298">
        <v>0</v>
      </c>
      <c r="Q90" s="299">
        <v>0</v>
      </c>
      <c r="R90" s="297">
        <v>0</v>
      </c>
      <c r="S90" s="298">
        <v>0</v>
      </c>
      <c r="T90" s="298">
        <v>0</v>
      </c>
      <c r="U90" s="298">
        <v>0</v>
      </c>
      <c r="V90" s="299">
        <v>0</v>
      </c>
      <c r="W90" s="339"/>
      <c r="X90" s="576" t="s">
        <v>498</v>
      </c>
      <c r="Y90" s="295"/>
      <c r="Z90" s="259"/>
      <c r="AA90" s="259"/>
      <c r="AB90" s="259"/>
      <c r="AC90" s="259"/>
      <c r="AD90" s="259"/>
      <c r="AE90" s="298">
        <v>0</v>
      </c>
      <c r="AF90" s="299">
        <v>0</v>
      </c>
      <c r="AG90" s="297">
        <v>0</v>
      </c>
      <c r="AH90" s="298">
        <v>0</v>
      </c>
      <c r="AI90" s="298">
        <v>0</v>
      </c>
      <c r="AJ90" s="298">
        <v>0</v>
      </c>
      <c r="AK90" s="299">
        <v>0</v>
      </c>
      <c r="AL90" s="441"/>
      <c r="AM90" s="601">
        <v>0</v>
      </c>
      <c r="AN90" s="304">
        <f t="shared" si="16"/>
        <v>0</v>
      </c>
      <c r="AO90" s="1485">
        <v>0</v>
      </c>
      <c r="AP90" s="1486"/>
    </row>
    <row r="91" spans="1:42">
      <c r="A91" s="258"/>
      <c r="B91" s="592"/>
      <c r="C91" s="593"/>
      <c r="D91" s="339" t="s">
        <v>85</v>
      </c>
      <c r="E91" s="339"/>
      <c r="F91" s="339"/>
      <c r="G91" s="293"/>
      <c r="H91" s="259"/>
      <c r="I91" s="576" t="s">
        <v>498</v>
      </c>
      <c r="J91" s="295"/>
      <c r="K91" s="259"/>
      <c r="L91" s="259"/>
      <c r="M91" s="259"/>
      <c r="N91" s="259"/>
      <c r="O91" s="259"/>
      <c r="P91" s="298">
        <v>0</v>
      </c>
      <c r="Q91" s="299">
        <v>0</v>
      </c>
      <c r="R91" s="297">
        <v>0</v>
      </c>
      <c r="S91" s="298">
        <v>0</v>
      </c>
      <c r="T91" s="298">
        <v>0</v>
      </c>
      <c r="U91" s="298">
        <v>0</v>
      </c>
      <c r="V91" s="299">
        <v>0</v>
      </c>
      <c r="W91" s="339"/>
      <c r="X91" s="576" t="s">
        <v>498</v>
      </c>
      <c r="Y91" s="295"/>
      <c r="Z91" s="259"/>
      <c r="AA91" s="259"/>
      <c r="AB91" s="259"/>
      <c r="AC91" s="259"/>
      <c r="AD91" s="259"/>
      <c r="AE91" s="298">
        <v>0</v>
      </c>
      <c r="AF91" s="299">
        <v>0</v>
      </c>
      <c r="AG91" s="297">
        <v>0</v>
      </c>
      <c r="AH91" s="298">
        <v>0</v>
      </c>
      <c r="AI91" s="298">
        <v>0</v>
      </c>
      <c r="AJ91" s="298">
        <v>0</v>
      </c>
      <c r="AK91" s="299">
        <v>0</v>
      </c>
      <c r="AL91" s="339"/>
      <c r="AM91" s="601">
        <v>0</v>
      </c>
      <c r="AN91" s="304">
        <f t="shared" si="16"/>
        <v>0</v>
      </c>
      <c r="AO91" s="1485">
        <v>0</v>
      </c>
      <c r="AP91" s="1486"/>
    </row>
    <row r="92" spans="1:42">
      <c r="A92" s="258"/>
      <c r="B92" s="592"/>
      <c r="C92" s="593"/>
      <c r="D92" s="339" t="s">
        <v>85</v>
      </c>
      <c r="E92" s="339"/>
      <c r="F92" s="339"/>
      <c r="G92" s="293"/>
      <c r="H92" s="259"/>
      <c r="I92" s="576" t="s">
        <v>498</v>
      </c>
      <c r="J92" s="295"/>
      <c r="K92" s="259"/>
      <c r="L92" s="259"/>
      <c r="M92" s="259"/>
      <c r="N92" s="259"/>
      <c r="O92" s="259"/>
      <c r="P92" s="298">
        <v>0</v>
      </c>
      <c r="Q92" s="299">
        <v>0</v>
      </c>
      <c r="R92" s="297">
        <v>0</v>
      </c>
      <c r="S92" s="298">
        <v>0</v>
      </c>
      <c r="T92" s="298">
        <v>0</v>
      </c>
      <c r="U92" s="298">
        <v>0</v>
      </c>
      <c r="V92" s="299">
        <v>0</v>
      </c>
      <c r="W92" s="339"/>
      <c r="X92" s="576" t="s">
        <v>498</v>
      </c>
      <c r="Y92" s="295"/>
      <c r="Z92" s="259"/>
      <c r="AA92" s="259"/>
      <c r="AB92" s="259"/>
      <c r="AC92" s="259"/>
      <c r="AD92" s="259"/>
      <c r="AE92" s="298">
        <v>0</v>
      </c>
      <c r="AF92" s="299">
        <v>0</v>
      </c>
      <c r="AG92" s="297">
        <v>0</v>
      </c>
      <c r="AH92" s="298">
        <v>0</v>
      </c>
      <c r="AI92" s="298">
        <v>0</v>
      </c>
      <c r="AJ92" s="298">
        <v>0</v>
      </c>
      <c r="AK92" s="299">
        <v>0</v>
      </c>
      <c r="AL92" s="339"/>
      <c r="AM92" s="601">
        <v>0</v>
      </c>
      <c r="AN92" s="304">
        <f t="shared" si="16"/>
        <v>0</v>
      </c>
      <c r="AO92" s="1485">
        <v>0</v>
      </c>
      <c r="AP92" s="1486"/>
    </row>
    <row r="93" spans="1:42">
      <c r="A93" s="258"/>
      <c r="B93" s="592"/>
      <c r="C93" s="593"/>
      <c r="D93" s="926" t="s">
        <v>2443</v>
      </c>
      <c r="E93" s="339"/>
      <c r="F93" s="339"/>
      <c r="G93" s="561"/>
      <c r="H93" s="259"/>
      <c r="I93" s="576" t="s">
        <v>498</v>
      </c>
      <c r="J93" s="297">
        <v>1.3579417706246142</v>
      </c>
      <c r="K93" s="298">
        <v>0.54527591688311672</v>
      </c>
      <c r="L93" s="298">
        <v>2.7322059198708786</v>
      </c>
      <c r="M93" s="298">
        <v>0.31979660613452471</v>
      </c>
      <c r="N93" s="298">
        <v>6.5160369801195758E-2</v>
      </c>
      <c r="O93" s="298">
        <v>0.12559862999999999</v>
      </c>
      <c r="P93" s="259"/>
      <c r="Q93" s="296"/>
      <c r="R93" s="295"/>
      <c r="S93" s="259"/>
      <c r="T93" s="259"/>
      <c r="U93" s="259"/>
      <c r="V93" s="296"/>
      <c r="W93" s="339"/>
      <c r="X93" s="576" t="s">
        <v>498</v>
      </c>
      <c r="Y93" s="297">
        <v>0</v>
      </c>
      <c r="Z93" s="298">
        <v>0</v>
      </c>
      <c r="AA93" s="298">
        <v>0</v>
      </c>
      <c r="AB93" s="298">
        <v>0</v>
      </c>
      <c r="AC93" s="298">
        <v>0</v>
      </c>
      <c r="AD93" s="298">
        <v>0</v>
      </c>
      <c r="AE93" s="259"/>
      <c r="AF93" s="296"/>
      <c r="AG93" s="295"/>
      <c r="AH93" s="259"/>
      <c r="AI93" s="259"/>
      <c r="AJ93" s="259"/>
      <c r="AK93" s="296"/>
      <c r="AL93" s="339"/>
      <c r="AM93" s="339"/>
      <c r="AN93" s="339"/>
      <c r="AO93" s="339"/>
      <c r="AP93" s="353"/>
    </row>
    <row r="94" spans="1:42">
      <c r="A94" s="258"/>
      <c r="B94" s="592"/>
      <c r="C94" s="594"/>
      <c r="D94" s="594"/>
      <c r="E94" s="594"/>
      <c r="F94" s="594"/>
      <c r="G94" s="561"/>
      <c r="H94" s="259"/>
      <c r="I94" s="259"/>
      <c r="J94" s="295"/>
      <c r="K94" s="259"/>
      <c r="L94" s="259"/>
      <c r="M94" s="259"/>
      <c r="N94" s="259"/>
      <c r="O94" s="259"/>
      <c r="P94" s="259"/>
      <c r="Q94" s="296"/>
      <c r="R94" s="295"/>
      <c r="S94" s="259"/>
      <c r="T94" s="259"/>
      <c r="U94" s="259"/>
      <c r="V94" s="296"/>
      <c r="W94" s="339"/>
      <c r="X94" s="259"/>
      <c r="Y94" s="295"/>
      <c r="Z94" s="259"/>
      <c r="AA94" s="259"/>
      <c r="AB94" s="259"/>
      <c r="AC94" s="259"/>
      <c r="AD94" s="259"/>
      <c r="AE94" s="259"/>
      <c r="AF94" s="296"/>
      <c r="AG94" s="295"/>
      <c r="AH94" s="259"/>
      <c r="AI94" s="259"/>
      <c r="AJ94" s="259"/>
      <c r="AK94" s="296"/>
      <c r="AL94" s="339"/>
      <c r="AM94" s="339"/>
      <c r="AN94" s="339"/>
      <c r="AO94" s="339"/>
      <c r="AP94" s="353"/>
    </row>
    <row r="95" spans="1:42" ht="15.75" thickBot="1">
      <c r="A95" s="258"/>
      <c r="B95" s="754" t="s">
        <v>1701</v>
      </c>
      <c r="C95" s="595"/>
      <c r="D95" s="595"/>
      <c r="E95" s="595"/>
      <c r="F95" s="595"/>
      <c r="G95" s="596"/>
      <c r="H95" s="300"/>
      <c r="I95" s="581" t="s">
        <v>498</v>
      </c>
      <c r="J95" s="627">
        <f>SUM(J64:J93)</f>
        <v>1.3579417706246142</v>
      </c>
      <c r="K95" s="628">
        <f t="shared" ref="K95:V95" si="17">SUM(K64:K93)</f>
        <v>0.54527591688311672</v>
      </c>
      <c r="L95" s="628">
        <f t="shared" si="17"/>
        <v>2.7322059198708786</v>
      </c>
      <c r="M95" s="628">
        <f t="shared" si="17"/>
        <v>0.31979660613452471</v>
      </c>
      <c r="N95" s="628">
        <f t="shared" si="17"/>
        <v>6.5160369801195758E-2</v>
      </c>
      <c r="O95" s="628">
        <f t="shared" si="17"/>
        <v>0.12559862999999999</v>
      </c>
      <c r="P95" s="628">
        <f t="shared" si="17"/>
        <v>0</v>
      </c>
      <c r="Q95" s="629">
        <f t="shared" si="17"/>
        <v>0</v>
      </c>
      <c r="R95" s="627">
        <f t="shared" si="17"/>
        <v>0</v>
      </c>
      <c r="S95" s="628">
        <f t="shared" si="17"/>
        <v>0</v>
      </c>
      <c r="T95" s="628">
        <f t="shared" si="17"/>
        <v>0</v>
      </c>
      <c r="U95" s="628">
        <f t="shared" si="17"/>
        <v>0</v>
      </c>
      <c r="V95" s="629">
        <f t="shared" si="17"/>
        <v>2.440383522065988</v>
      </c>
      <c r="W95" s="358"/>
      <c r="X95" s="581" t="s">
        <v>498</v>
      </c>
      <c r="Y95" s="627">
        <f>SUM(Y64:Y93)</f>
        <v>0</v>
      </c>
      <c r="Z95" s="628">
        <f t="shared" ref="Z95:AK95" si="18">SUM(Z64:Z93)</f>
        <v>0</v>
      </c>
      <c r="AA95" s="628">
        <f t="shared" si="18"/>
        <v>0</v>
      </c>
      <c r="AB95" s="628">
        <f t="shared" si="18"/>
        <v>0</v>
      </c>
      <c r="AC95" s="628">
        <f t="shared" si="18"/>
        <v>0</v>
      </c>
      <c r="AD95" s="628">
        <f t="shared" si="18"/>
        <v>0</v>
      </c>
      <c r="AE95" s="628">
        <f t="shared" si="18"/>
        <v>0</v>
      </c>
      <c r="AF95" s="629">
        <f t="shared" si="18"/>
        <v>0</v>
      </c>
      <c r="AG95" s="627">
        <f t="shared" si="18"/>
        <v>0</v>
      </c>
      <c r="AH95" s="628">
        <f t="shared" si="18"/>
        <v>0</v>
      </c>
      <c r="AI95" s="628">
        <f t="shared" si="18"/>
        <v>0</v>
      </c>
      <c r="AJ95" s="628">
        <f t="shared" si="18"/>
        <v>0</v>
      </c>
      <c r="AK95" s="629">
        <f t="shared" si="18"/>
        <v>0</v>
      </c>
      <c r="AL95" s="358"/>
      <c r="AM95" s="751">
        <f t="shared" ref="AM95" si="19">SUM(AM64:AM93)</f>
        <v>0</v>
      </c>
      <c r="AN95" s="1483">
        <f>SUM(AN64:AN92)</f>
        <v>2.440383522065988</v>
      </c>
      <c r="AO95" s="358"/>
      <c r="AP95" s="602"/>
    </row>
    <row r="96" spans="1:42" ht="15" thickBot="1"/>
    <row r="97" spans="1:42" ht="30" customHeight="1" thickBot="1">
      <c r="A97" s="258"/>
      <c r="B97" s="640" t="s">
        <v>2570</v>
      </c>
      <c r="C97" s="558"/>
      <c r="D97" s="558"/>
      <c r="E97" s="558"/>
      <c r="F97" s="558"/>
      <c r="G97" s="559"/>
      <c r="H97" s="294"/>
      <c r="I97" s="105" t="s">
        <v>1864</v>
      </c>
      <c r="J97" s="106"/>
      <c r="K97" s="106"/>
      <c r="L97" s="106"/>
      <c r="M97" s="106"/>
      <c r="N97" s="106"/>
      <c r="O97" s="106"/>
      <c r="P97" s="106"/>
      <c r="Q97" s="106"/>
      <c r="R97" s="105"/>
      <c r="S97" s="105"/>
      <c r="T97" s="105"/>
      <c r="U97" s="105"/>
      <c r="V97" s="105"/>
      <c r="W97" s="587"/>
      <c r="X97" s="105" t="s">
        <v>2202</v>
      </c>
      <c r="Y97" s="106"/>
      <c r="Z97" s="106"/>
      <c r="AA97" s="106"/>
      <c r="AB97" s="106"/>
      <c r="AC97" s="106"/>
      <c r="AD97" s="106"/>
      <c r="AE97" s="106"/>
      <c r="AF97" s="106"/>
      <c r="AG97" s="105"/>
      <c r="AH97" s="105"/>
      <c r="AI97" s="105"/>
      <c r="AJ97" s="105"/>
      <c r="AK97" s="105"/>
      <c r="AL97" s="439"/>
      <c r="AM97" s="588" t="s">
        <v>2555</v>
      </c>
      <c r="AN97" s="597"/>
      <c r="AO97" s="1484"/>
      <c r="AP97" s="1484"/>
    </row>
    <row r="98" spans="1:42" ht="30" customHeight="1">
      <c r="A98" s="258"/>
      <c r="B98" s="560"/>
      <c r="C98" s="561"/>
      <c r="D98" s="561"/>
      <c r="E98" s="561"/>
      <c r="F98" s="561"/>
      <c r="G98" s="561"/>
      <c r="H98" s="259"/>
      <c r="I98" s="562"/>
      <c r="J98" s="563" t="s">
        <v>1666</v>
      </c>
      <c r="K98" s="564"/>
      <c r="L98" s="564"/>
      <c r="M98" s="564"/>
      <c r="N98" s="564"/>
      <c r="O98" s="564"/>
      <c r="P98" s="564"/>
      <c r="Q98" s="565"/>
      <c r="R98" s="566" t="s">
        <v>2</v>
      </c>
      <c r="S98" s="567"/>
      <c r="T98" s="567"/>
      <c r="U98" s="567"/>
      <c r="V98" s="568"/>
      <c r="W98" s="339"/>
      <c r="X98" s="562"/>
      <c r="Y98" s="563" t="s">
        <v>1666</v>
      </c>
      <c r="Z98" s="564"/>
      <c r="AA98" s="564"/>
      <c r="AB98" s="564"/>
      <c r="AC98" s="564"/>
      <c r="AD98" s="564"/>
      <c r="AE98" s="564"/>
      <c r="AF98" s="565"/>
      <c r="AG98" s="566" t="s">
        <v>2</v>
      </c>
      <c r="AH98" s="567"/>
      <c r="AI98" s="567"/>
      <c r="AJ98" s="567"/>
      <c r="AK98" s="568"/>
      <c r="AL98" s="441"/>
      <c r="AM98" s="598" t="s">
        <v>2556</v>
      </c>
      <c r="AN98" s="481" t="s">
        <v>2557</v>
      </c>
      <c r="AO98" s="590" t="s">
        <v>1897</v>
      </c>
      <c r="AP98" s="599" t="s">
        <v>2432</v>
      </c>
    </row>
    <row r="99" spans="1:42" ht="15">
      <c r="A99" s="258"/>
      <c r="B99" s="572"/>
      <c r="C99" s="339"/>
      <c r="D99" s="339"/>
      <c r="E99" s="339"/>
      <c r="F99" s="339"/>
      <c r="G99" s="339"/>
      <c r="H99" s="259"/>
      <c r="I99" s="571" t="s">
        <v>1667</v>
      </c>
      <c r="J99" s="518" t="s">
        <v>453</v>
      </c>
      <c r="K99" s="515" t="s">
        <v>455</v>
      </c>
      <c r="L99" s="515" t="s">
        <v>457</v>
      </c>
      <c r="M99" s="515" t="s">
        <v>459</v>
      </c>
      <c r="N99" s="515" t="s">
        <v>461</v>
      </c>
      <c r="O99" s="515" t="s">
        <v>463</v>
      </c>
      <c r="P99" s="515" t="s">
        <v>465</v>
      </c>
      <c r="Q99" s="516" t="s">
        <v>467</v>
      </c>
      <c r="R99" s="508" t="s">
        <v>469</v>
      </c>
      <c r="S99" s="509" t="s">
        <v>471</v>
      </c>
      <c r="T99" s="509" t="s">
        <v>473</v>
      </c>
      <c r="U99" s="509" t="s">
        <v>475</v>
      </c>
      <c r="V99" s="510" t="s">
        <v>477</v>
      </c>
      <c r="W99" s="339"/>
      <c r="X99" s="571" t="s">
        <v>1667</v>
      </c>
      <c r="Y99" s="518" t="s">
        <v>453</v>
      </c>
      <c r="Z99" s="515" t="s">
        <v>455</v>
      </c>
      <c r="AA99" s="515" t="s">
        <v>457</v>
      </c>
      <c r="AB99" s="515" t="s">
        <v>459</v>
      </c>
      <c r="AC99" s="515" t="s">
        <v>461</v>
      </c>
      <c r="AD99" s="515" t="s">
        <v>463</v>
      </c>
      <c r="AE99" s="515" t="s">
        <v>465</v>
      </c>
      <c r="AF99" s="516" t="s">
        <v>467</v>
      </c>
      <c r="AG99" s="508" t="s">
        <v>469</v>
      </c>
      <c r="AH99" s="509" t="s">
        <v>471</v>
      </c>
      <c r="AI99" s="509" t="s">
        <v>473</v>
      </c>
      <c r="AJ99" s="509" t="s">
        <v>475</v>
      </c>
      <c r="AK99" s="510" t="s">
        <v>477</v>
      </c>
      <c r="AL99" s="441"/>
      <c r="AM99" s="600" t="s">
        <v>498</v>
      </c>
      <c r="AN99" s="445" t="s">
        <v>498</v>
      </c>
      <c r="AO99" s="339"/>
      <c r="AP99" s="353"/>
    </row>
    <row r="100" spans="1:42" ht="15">
      <c r="A100" s="258"/>
      <c r="B100" s="572"/>
      <c r="C100" s="591" t="s">
        <v>2568</v>
      </c>
      <c r="D100" s="591"/>
      <c r="E100" s="591"/>
      <c r="F100" s="591"/>
      <c r="G100" s="339"/>
      <c r="H100" s="259"/>
      <c r="I100" s="260"/>
      <c r="J100" s="295"/>
      <c r="K100" s="259"/>
      <c r="L100" s="259"/>
      <c r="M100" s="259"/>
      <c r="N100" s="259"/>
      <c r="O100" s="259"/>
      <c r="P100" s="259"/>
      <c r="Q100" s="296"/>
      <c r="R100" s="295"/>
      <c r="S100" s="259"/>
      <c r="T100" s="259"/>
      <c r="U100" s="259"/>
      <c r="V100" s="296"/>
      <c r="W100" s="339"/>
      <c r="X100" s="260"/>
      <c r="Y100" s="295"/>
      <c r="Z100" s="259"/>
      <c r="AA100" s="259"/>
      <c r="AB100" s="259"/>
      <c r="AC100" s="259"/>
      <c r="AD100" s="259"/>
      <c r="AE100" s="259"/>
      <c r="AF100" s="296"/>
      <c r="AG100" s="295"/>
      <c r="AH100" s="259"/>
      <c r="AI100" s="259"/>
      <c r="AJ100" s="259"/>
      <c r="AK100" s="296"/>
      <c r="AL100" s="441"/>
      <c r="AM100" s="339"/>
      <c r="AN100" s="339"/>
      <c r="AO100" s="339"/>
      <c r="AP100" s="353"/>
    </row>
    <row r="101" spans="1:42">
      <c r="A101" s="258"/>
      <c r="B101" s="592"/>
      <c r="C101" s="593"/>
      <c r="D101" s="339" t="s">
        <v>85</v>
      </c>
      <c r="E101" s="339"/>
      <c r="F101" s="339"/>
      <c r="G101" s="293" t="s">
        <v>2571</v>
      </c>
      <c r="H101" s="259"/>
      <c r="I101" s="576" t="s">
        <v>498</v>
      </c>
      <c r="J101" s="295"/>
      <c r="K101" s="259"/>
      <c r="L101" s="259"/>
      <c r="M101" s="259"/>
      <c r="N101" s="259"/>
      <c r="O101" s="259"/>
      <c r="P101" s="298">
        <v>6.0991557712662061</v>
      </c>
      <c r="Q101" s="299">
        <v>0.48083117866433633</v>
      </c>
      <c r="R101" s="297">
        <v>0</v>
      </c>
      <c r="S101" s="298">
        <v>0</v>
      </c>
      <c r="T101" s="298">
        <v>0</v>
      </c>
      <c r="U101" s="298">
        <v>0</v>
      </c>
      <c r="V101" s="299">
        <v>0</v>
      </c>
      <c r="W101" s="339"/>
      <c r="X101" s="576" t="s">
        <v>498</v>
      </c>
      <c r="Y101" s="295"/>
      <c r="Z101" s="259"/>
      <c r="AA101" s="259"/>
      <c r="AB101" s="259"/>
      <c r="AC101" s="259"/>
      <c r="AD101" s="259"/>
      <c r="AE101" s="298">
        <v>0</v>
      </c>
      <c r="AF101" s="299">
        <v>0</v>
      </c>
      <c r="AG101" s="297">
        <v>0</v>
      </c>
      <c r="AH101" s="298">
        <v>0</v>
      </c>
      <c r="AI101" s="298">
        <v>0</v>
      </c>
      <c r="AJ101" s="298">
        <v>0</v>
      </c>
      <c r="AK101" s="299">
        <v>0</v>
      </c>
      <c r="AL101" s="441"/>
      <c r="AM101" s="601">
        <v>0</v>
      </c>
      <c r="AN101" s="304">
        <f>SUM($R101:$V101)-(AM101)</f>
        <v>0</v>
      </c>
      <c r="AO101" s="1485">
        <v>0</v>
      </c>
      <c r="AP101" s="1486"/>
    </row>
    <row r="102" spans="1:42">
      <c r="A102" s="258"/>
      <c r="B102" s="592"/>
      <c r="C102" s="593"/>
      <c r="D102" s="339" t="s">
        <v>85</v>
      </c>
      <c r="E102" s="339"/>
      <c r="F102" s="339"/>
      <c r="G102" s="293" t="s">
        <v>2572</v>
      </c>
      <c r="H102" s="259"/>
      <c r="I102" s="576" t="s">
        <v>498</v>
      </c>
      <c r="J102" s="295"/>
      <c r="K102" s="259"/>
      <c r="L102" s="259"/>
      <c r="M102" s="259"/>
      <c r="N102" s="259"/>
      <c r="O102" s="259"/>
      <c r="P102" s="298">
        <v>1.4699033558775378</v>
      </c>
      <c r="Q102" s="299">
        <v>0</v>
      </c>
      <c r="R102" s="297">
        <v>0</v>
      </c>
      <c r="S102" s="298">
        <v>0</v>
      </c>
      <c r="T102" s="298">
        <v>0</v>
      </c>
      <c r="U102" s="298">
        <v>0</v>
      </c>
      <c r="V102" s="299">
        <v>0</v>
      </c>
      <c r="W102" s="339"/>
      <c r="X102" s="576" t="s">
        <v>498</v>
      </c>
      <c r="Y102" s="295"/>
      <c r="Z102" s="259"/>
      <c r="AA102" s="259"/>
      <c r="AB102" s="259"/>
      <c r="AC102" s="259"/>
      <c r="AD102" s="259"/>
      <c r="AE102" s="298">
        <v>0</v>
      </c>
      <c r="AF102" s="299">
        <v>0</v>
      </c>
      <c r="AG102" s="297">
        <v>0</v>
      </c>
      <c r="AH102" s="298">
        <v>0</v>
      </c>
      <c r="AI102" s="298">
        <v>0</v>
      </c>
      <c r="AJ102" s="298">
        <v>0</v>
      </c>
      <c r="AK102" s="299">
        <v>0</v>
      </c>
      <c r="AL102" s="441"/>
      <c r="AM102" s="601">
        <v>0</v>
      </c>
      <c r="AN102" s="304">
        <f t="shared" ref="AN102:AN165" si="20">SUM($R102:$V102)-(AM102)</f>
        <v>0</v>
      </c>
      <c r="AO102" s="1485">
        <v>0</v>
      </c>
      <c r="AP102" s="1486"/>
    </row>
    <row r="103" spans="1:42">
      <c r="A103" s="258"/>
      <c r="B103" s="592"/>
      <c r="C103" s="593"/>
      <c r="D103" s="339" t="s">
        <v>85</v>
      </c>
      <c r="E103" s="339"/>
      <c r="F103" s="339"/>
      <c r="G103" s="293" t="s">
        <v>2573</v>
      </c>
      <c r="H103" s="259"/>
      <c r="I103" s="576" t="s">
        <v>498</v>
      </c>
      <c r="J103" s="295"/>
      <c r="K103" s="259"/>
      <c r="L103" s="259"/>
      <c r="M103" s="259"/>
      <c r="N103" s="259"/>
      <c r="O103" s="259"/>
      <c r="P103" s="298">
        <v>2.3348327696861029E-2</v>
      </c>
      <c r="Q103" s="299">
        <v>0</v>
      </c>
      <c r="R103" s="297">
        <v>0</v>
      </c>
      <c r="S103" s="298">
        <v>0</v>
      </c>
      <c r="T103" s="298">
        <v>0</v>
      </c>
      <c r="U103" s="298">
        <v>0</v>
      </c>
      <c r="V103" s="299">
        <v>0</v>
      </c>
      <c r="W103" s="339"/>
      <c r="X103" s="576" t="s">
        <v>498</v>
      </c>
      <c r="Y103" s="295"/>
      <c r="Z103" s="259"/>
      <c r="AA103" s="259"/>
      <c r="AB103" s="259"/>
      <c r="AC103" s="259"/>
      <c r="AD103" s="259"/>
      <c r="AE103" s="298">
        <v>0</v>
      </c>
      <c r="AF103" s="299">
        <v>0</v>
      </c>
      <c r="AG103" s="297">
        <v>0</v>
      </c>
      <c r="AH103" s="298">
        <v>0</v>
      </c>
      <c r="AI103" s="298">
        <v>0</v>
      </c>
      <c r="AJ103" s="298">
        <v>0</v>
      </c>
      <c r="AK103" s="299">
        <v>0</v>
      </c>
      <c r="AL103" s="441"/>
      <c r="AM103" s="601">
        <v>0</v>
      </c>
      <c r="AN103" s="304">
        <f t="shared" si="20"/>
        <v>0</v>
      </c>
      <c r="AO103" s="1485">
        <v>0</v>
      </c>
      <c r="AP103" s="1486"/>
    </row>
    <row r="104" spans="1:42">
      <c r="A104" s="258"/>
      <c r="B104" s="592"/>
      <c r="C104" s="593"/>
      <c r="D104" s="339" t="s">
        <v>85</v>
      </c>
      <c r="E104" s="339"/>
      <c r="F104" s="339"/>
      <c r="G104" s="293" t="s">
        <v>2574</v>
      </c>
      <c r="H104" s="259"/>
      <c r="I104" s="576" t="s">
        <v>498</v>
      </c>
      <c r="J104" s="295"/>
      <c r="K104" s="259"/>
      <c r="L104" s="259"/>
      <c r="M104" s="259"/>
      <c r="N104" s="259"/>
      <c r="O104" s="259"/>
      <c r="P104" s="298">
        <v>1.5543233309053326</v>
      </c>
      <c r="Q104" s="299">
        <v>5.4093507599737833</v>
      </c>
      <c r="R104" s="297">
        <v>0</v>
      </c>
      <c r="S104" s="298">
        <v>0</v>
      </c>
      <c r="T104" s="298">
        <v>0</v>
      </c>
      <c r="U104" s="298">
        <v>0</v>
      </c>
      <c r="V104" s="299">
        <v>0</v>
      </c>
      <c r="W104" s="339"/>
      <c r="X104" s="576" t="s">
        <v>498</v>
      </c>
      <c r="Y104" s="295"/>
      <c r="Z104" s="259"/>
      <c r="AA104" s="259"/>
      <c r="AB104" s="259"/>
      <c r="AC104" s="259"/>
      <c r="AD104" s="259"/>
      <c r="AE104" s="298">
        <v>0</v>
      </c>
      <c r="AF104" s="299">
        <v>0</v>
      </c>
      <c r="AG104" s="297">
        <v>0</v>
      </c>
      <c r="AH104" s="298">
        <v>0</v>
      </c>
      <c r="AI104" s="298">
        <v>0</v>
      </c>
      <c r="AJ104" s="298">
        <v>0</v>
      </c>
      <c r="AK104" s="299">
        <v>0</v>
      </c>
      <c r="AL104" s="339"/>
      <c r="AM104" s="601">
        <v>0</v>
      </c>
      <c r="AN104" s="304">
        <f t="shared" si="20"/>
        <v>0</v>
      </c>
      <c r="AO104" s="1485">
        <v>0</v>
      </c>
      <c r="AP104" s="1486"/>
    </row>
    <row r="105" spans="1:42">
      <c r="A105" s="258"/>
      <c r="B105" s="592"/>
      <c r="C105" s="593"/>
      <c r="D105" s="339" t="s">
        <v>85</v>
      </c>
      <c r="E105" s="339"/>
      <c r="F105" s="339"/>
      <c r="G105" s="293" t="s">
        <v>2575</v>
      </c>
      <c r="H105" s="259"/>
      <c r="I105" s="576" t="s">
        <v>498</v>
      </c>
      <c r="J105" s="295"/>
      <c r="K105" s="259"/>
      <c r="L105" s="259"/>
      <c r="M105" s="259"/>
      <c r="N105" s="259"/>
      <c r="O105" s="259"/>
      <c r="P105" s="298">
        <v>0.29890833286641016</v>
      </c>
      <c r="Q105" s="299">
        <v>0.90155845999563056</v>
      </c>
      <c r="R105" s="297">
        <v>0</v>
      </c>
      <c r="S105" s="298">
        <v>0</v>
      </c>
      <c r="T105" s="298">
        <v>0</v>
      </c>
      <c r="U105" s="298">
        <v>0</v>
      </c>
      <c r="V105" s="299">
        <v>0</v>
      </c>
      <c r="W105" s="339"/>
      <c r="X105" s="576" t="s">
        <v>498</v>
      </c>
      <c r="Y105" s="295"/>
      <c r="Z105" s="259"/>
      <c r="AA105" s="259"/>
      <c r="AB105" s="259"/>
      <c r="AC105" s="259"/>
      <c r="AD105" s="259"/>
      <c r="AE105" s="298">
        <v>0</v>
      </c>
      <c r="AF105" s="299">
        <v>0</v>
      </c>
      <c r="AG105" s="297">
        <v>0</v>
      </c>
      <c r="AH105" s="298">
        <v>0</v>
      </c>
      <c r="AI105" s="298">
        <v>0</v>
      </c>
      <c r="AJ105" s="298">
        <v>0</v>
      </c>
      <c r="AK105" s="299">
        <v>0</v>
      </c>
      <c r="AL105" s="441"/>
      <c r="AM105" s="601">
        <v>0</v>
      </c>
      <c r="AN105" s="304">
        <f t="shared" si="20"/>
        <v>0</v>
      </c>
      <c r="AO105" s="1485">
        <v>0</v>
      </c>
      <c r="AP105" s="1486"/>
    </row>
    <row r="106" spans="1:42">
      <c r="A106" s="258"/>
      <c r="B106" s="592"/>
      <c r="C106" s="593"/>
      <c r="D106" s="339" t="s">
        <v>85</v>
      </c>
      <c r="E106" s="339"/>
      <c r="F106" s="339"/>
      <c r="G106" s="293" t="s">
        <v>2576</v>
      </c>
      <c r="H106" s="259"/>
      <c r="I106" s="576" t="s">
        <v>498</v>
      </c>
      <c r="J106" s="295"/>
      <c r="K106" s="259"/>
      <c r="L106" s="259"/>
      <c r="M106" s="259"/>
      <c r="N106" s="259"/>
      <c r="O106" s="259"/>
      <c r="P106" s="298">
        <v>0.3586899994396921</v>
      </c>
      <c r="Q106" s="299">
        <v>0.54093507599737833</v>
      </c>
      <c r="R106" s="297">
        <v>0</v>
      </c>
      <c r="S106" s="298">
        <v>0</v>
      </c>
      <c r="T106" s="298">
        <v>0</v>
      </c>
      <c r="U106" s="298">
        <v>0</v>
      </c>
      <c r="V106" s="299">
        <v>0</v>
      </c>
      <c r="W106" s="339"/>
      <c r="X106" s="576" t="s">
        <v>498</v>
      </c>
      <c r="Y106" s="295"/>
      <c r="Z106" s="259"/>
      <c r="AA106" s="259"/>
      <c r="AB106" s="259"/>
      <c r="AC106" s="259"/>
      <c r="AD106" s="259"/>
      <c r="AE106" s="298">
        <v>0</v>
      </c>
      <c r="AF106" s="299">
        <v>0</v>
      </c>
      <c r="AG106" s="297">
        <v>0</v>
      </c>
      <c r="AH106" s="298">
        <v>0</v>
      </c>
      <c r="AI106" s="298">
        <v>0</v>
      </c>
      <c r="AJ106" s="298">
        <v>0</v>
      </c>
      <c r="AK106" s="299">
        <v>0</v>
      </c>
      <c r="AL106" s="441"/>
      <c r="AM106" s="601">
        <v>0</v>
      </c>
      <c r="AN106" s="304">
        <f t="shared" si="20"/>
        <v>0</v>
      </c>
      <c r="AO106" s="1485">
        <v>0</v>
      </c>
      <c r="AP106" s="1486"/>
    </row>
    <row r="107" spans="1:42">
      <c r="A107" s="258"/>
      <c r="B107" s="592"/>
      <c r="C107" s="593"/>
      <c r="D107" s="339" t="s">
        <v>85</v>
      </c>
      <c r="E107" s="339"/>
      <c r="F107" s="339"/>
      <c r="G107" s="293" t="s">
        <v>2577</v>
      </c>
      <c r="H107" s="259"/>
      <c r="I107" s="576" t="s">
        <v>498</v>
      </c>
      <c r="J107" s="295"/>
      <c r="K107" s="259"/>
      <c r="L107" s="259"/>
      <c r="M107" s="259"/>
      <c r="N107" s="259"/>
      <c r="O107" s="259"/>
      <c r="P107" s="298">
        <v>0.66579750743996102</v>
      </c>
      <c r="Q107" s="299">
        <v>0</v>
      </c>
      <c r="R107" s="297">
        <v>0</v>
      </c>
      <c r="S107" s="298">
        <v>0</v>
      </c>
      <c r="T107" s="298">
        <v>0</v>
      </c>
      <c r="U107" s="298">
        <v>0</v>
      </c>
      <c r="V107" s="299">
        <v>0</v>
      </c>
      <c r="W107" s="339"/>
      <c r="X107" s="576" t="s">
        <v>498</v>
      </c>
      <c r="Y107" s="295"/>
      <c r="Z107" s="259"/>
      <c r="AA107" s="259"/>
      <c r="AB107" s="259"/>
      <c r="AC107" s="259"/>
      <c r="AD107" s="259"/>
      <c r="AE107" s="298">
        <v>0</v>
      </c>
      <c r="AF107" s="299">
        <v>0</v>
      </c>
      <c r="AG107" s="297">
        <v>0</v>
      </c>
      <c r="AH107" s="298">
        <v>0</v>
      </c>
      <c r="AI107" s="298">
        <v>0</v>
      </c>
      <c r="AJ107" s="298">
        <v>0</v>
      </c>
      <c r="AK107" s="299">
        <v>0</v>
      </c>
      <c r="AL107" s="441"/>
      <c r="AM107" s="601">
        <v>0</v>
      </c>
      <c r="AN107" s="304">
        <f t="shared" si="20"/>
        <v>0</v>
      </c>
      <c r="AO107" s="1485">
        <v>0</v>
      </c>
      <c r="AP107" s="1486"/>
    </row>
    <row r="108" spans="1:42">
      <c r="A108" s="258"/>
      <c r="B108" s="592"/>
      <c r="C108" s="593"/>
      <c r="D108" s="339" t="s">
        <v>85</v>
      </c>
      <c r="E108" s="339"/>
      <c r="F108" s="339"/>
      <c r="G108" s="293" t="s">
        <v>2578</v>
      </c>
      <c r="H108" s="259"/>
      <c r="I108" s="576" t="s">
        <v>498</v>
      </c>
      <c r="J108" s="295"/>
      <c r="K108" s="259"/>
      <c r="L108" s="259"/>
      <c r="M108" s="259"/>
      <c r="N108" s="259"/>
      <c r="O108" s="259"/>
      <c r="P108" s="298">
        <v>0</v>
      </c>
      <c r="Q108" s="299">
        <v>1.5226324664630471</v>
      </c>
      <c r="R108" s="297">
        <v>0</v>
      </c>
      <c r="S108" s="298">
        <v>0</v>
      </c>
      <c r="T108" s="298">
        <v>0</v>
      </c>
      <c r="U108" s="298">
        <v>0</v>
      </c>
      <c r="V108" s="299">
        <v>0</v>
      </c>
      <c r="W108" s="339"/>
      <c r="X108" s="576" t="s">
        <v>498</v>
      </c>
      <c r="Y108" s="295"/>
      <c r="Z108" s="259"/>
      <c r="AA108" s="259"/>
      <c r="AB108" s="259"/>
      <c r="AC108" s="259"/>
      <c r="AD108" s="259"/>
      <c r="AE108" s="298">
        <v>0</v>
      </c>
      <c r="AF108" s="299">
        <v>0</v>
      </c>
      <c r="AG108" s="297">
        <v>0</v>
      </c>
      <c r="AH108" s="298">
        <v>0</v>
      </c>
      <c r="AI108" s="298">
        <v>0</v>
      </c>
      <c r="AJ108" s="298">
        <v>0</v>
      </c>
      <c r="AK108" s="299">
        <v>0</v>
      </c>
      <c r="AL108" s="339"/>
      <c r="AM108" s="601">
        <v>0</v>
      </c>
      <c r="AN108" s="304">
        <f t="shared" si="20"/>
        <v>0</v>
      </c>
      <c r="AO108" s="1485">
        <v>0</v>
      </c>
      <c r="AP108" s="1486"/>
    </row>
    <row r="109" spans="1:42">
      <c r="A109" s="258"/>
      <c r="B109" s="592"/>
      <c r="C109" s="593"/>
      <c r="D109" s="339" t="s">
        <v>85</v>
      </c>
      <c r="E109" s="339"/>
      <c r="F109" s="339"/>
      <c r="G109" s="293" t="s">
        <v>2579</v>
      </c>
      <c r="H109" s="259"/>
      <c r="I109" s="576" t="s">
        <v>498</v>
      </c>
      <c r="J109" s="295"/>
      <c r="K109" s="259"/>
      <c r="L109" s="259"/>
      <c r="M109" s="259"/>
      <c r="N109" s="259"/>
      <c r="O109" s="259"/>
      <c r="P109" s="298">
        <v>0</v>
      </c>
      <c r="Q109" s="299">
        <v>0</v>
      </c>
      <c r="R109" s="297">
        <v>1.1713840905916744</v>
      </c>
      <c r="S109" s="298">
        <v>0</v>
      </c>
      <c r="T109" s="298">
        <v>0</v>
      </c>
      <c r="U109" s="298">
        <v>1.1713840905916744</v>
      </c>
      <c r="V109" s="299">
        <v>0</v>
      </c>
      <c r="W109" s="339"/>
      <c r="X109" s="576" t="s">
        <v>498</v>
      </c>
      <c r="Y109" s="295"/>
      <c r="Z109" s="259"/>
      <c r="AA109" s="259"/>
      <c r="AB109" s="259"/>
      <c r="AC109" s="259"/>
      <c r="AD109" s="259"/>
      <c r="AE109" s="298">
        <v>0</v>
      </c>
      <c r="AF109" s="299">
        <v>0</v>
      </c>
      <c r="AG109" s="297">
        <v>0</v>
      </c>
      <c r="AH109" s="298">
        <v>0</v>
      </c>
      <c r="AI109" s="298">
        <v>0</v>
      </c>
      <c r="AJ109" s="298">
        <v>0</v>
      </c>
      <c r="AK109" s="299">
        <v>0</v>
      </c>
      <c r="AL109" s="339"/>
      <c r="AM109" s="601">
        <v>0</v>
      </c>
      <c r="AN109" s="304">
        <f t="shared" si="20"/>
        <v>2.3427681811833487</v>
      </c>
      <c r="AO109" s="1485">
        <v>0</v>
      </c>
      <c r="AP109" s="1486"/>
    </row>
    <row r="110" spans="1:42">
      <c r="A110" s="258"/>
      <c r="B110" s="592"/>
      <c r="C110" s="593"/>
      <c r="D110" s="339" t="s">
        <v>85</v>
      </c>
      <c r="E110" s="339"/>
      <c r="F110" s="339"/>
      <c r="G110" s="293" t="s">
        <v>2580</v>
      </c>
      <c r="H110" s="259"/>
      <c r="I110" s="576" t="s">
        <v>498</v>
      </c>
      <c r="J110" s="295"/>
      <c r="K110" s="259"/>
      <c r="L110" s="259"/>
      <c r="M110" s="259"/>
      <c r="N110" s="259"/>
      <c r="O110" s="259"/>
      <c r="P110" s="298">
        <v>0</v>
      </c>
      <c r="Q110" s="299">
        <v>0</v>
      </c>
      <c r="R110" s="297">
        <v>0.81996886341417197</v>
      </c>
      <c r="S110" s="298">
        <v>0</v>
      </c>
      <c r="T110" s="298">
        <v>0</v>
      </c>
      <c r="U110" s="298">
        <v>0.81996886341417197</v>
      </c>
      <c r="V110" s="299">
        <v>0</v>
      </c>
      <c r="W110" s="339"/>
      <c r="X110" s="576" t="s">
        <v>498</v>
      </c>
      <c r="Y110" s="295"/>
      <c r="Z110" s="259"/>
      <c r="AA110" s="259"/>
      <c r="AB110" s="259"/>
      <c r="AC110" s="259"/>
      <c r="AD110" s="259"/>
      <c r="AE110" s="298">
        <v>0</v>
      </c>
      <c r="AF110" s="299">
        <v>0</v>
      </c>
      <c r="AG110" s="297">
        <v>0</v>
      </c>
      <c r="AH110" s="298">
        <v>0</v>
      </c>
      <c r="AI110" s="298">
        <v>0</v>
      </c>
      <c r="AJ110" s="298">
        <v>0</v>
      </c>
      <c r="AK110" s="299">
        <v>0</v>
      </c>
      <c r="AL110" s="339"/>
      <c r="AM110" s="601">
        <v>0</v>
      </c>
      <c r="AN110" s="304">
        <f t="shared" si="20"/>
        <v>1.6399377268283439</v>
      </c>
      <c r="AO110" s="1485">
        <v>0</v>
      </c>
      <c r="AP110" s="1486"/>
    </row>
    <row r="111" spans="1:42">
      <c r="A111" s="258"/>
      <c r="B111" s="592"/>
      <c r="C111" s="593"/>
      <c r="D111" s="339" t="s">
        <v>85</v>
      </c>
      <c r="E111" s="339"/>
      <c r="F111" s="339"/>
      <c r="G111" s="293" t="s">
        <v>2581</v>
      </c>
      <c r="H111" s="259"/>
      <c r="I111" s="576" t="s">
        <v>498</v>
      </c>
      <c r="J111" s="295"/>
      <c r="K111" s="259"/>
      <c r="L111" s="259"/>
      <c r="M111" s="259"/>
      <c r="N111" s="259"/>
      <c r="O111" s="259"/>
      <c r="P111" s="298">
        <v>0</v>
      </c>
      <c r="Q111" s="299">
        <v>0</v>
      </c>
      <c r="R111" s="297">
        <v>0.42706711636154793</v>
      </c>
      <c r="S111" s="298">
        <v>0</v>
      </c>
      <c r="T111" s="298">
        <v>0</v>
      </c>
      <c r="U111" s="298">
        <v>0.42706711636154793</v>
      </c>
      <c r="V111" s="299">
        <v>0</v>
      </c>
      <c r="W111" s="339"/>
      <c r="X111" s="576" t="s">
        <v>498</v>
      </c>
      <c r="Y111" s="295"/>
      <c r="Z111" s="259"/>
      <c r="AA111" s="259"/>
      <c r="AB111" s="259"/>
      <c r="AC111" s="259"/>
      <c r="AD111" s="259"/>
      <c r="AE111" s="298">
        <v>0</v>
      </c>
      <c r="AF111" s="299">
        <v>0</v>
      </c>
      <c r="AG111" s="297">
        <v>0</v>
      </c>
      <c r="AH111" s="298">
        <v>0</v>
      </c>
      <c r="AI111" s="298">
        <v>0</v>
      </c>
      <c r="AJ111" s="298">
        <v>0</v>
      </c>
      <c r="AK111" s="299">
        <v>0</v>
      </c>
      <c r="AL111" s="441"/>
      <c r="AM111" s="601">
        <v>0</v>
      </c>
      <c r="AN111" s="304">
        <f t="shared" si="20"/>
        <v>0.85413423272309585</v>
      </c>
      <c r="AO111" s="1485">
        <v>0</v>
      </c>
      <c r="AP111" s="1486"/>
    </row>
    <row r="112" spans="1:42">
      <c r="A112" s="258"/>
      <c r="B112" s="592"/>
      <c r="C112" s="593"/>
      <c r="D112" s="339" t="s">
        <v>85</v>
      </c>
      <c r="E112" s="339"/>
      <c r="F112" s="339"/>
      <c r="G112" s="293" t="s">
        <v>2582</v>
      </c>
      <c r="H112" s="259"/>
      <c r="I112" s="576" t="s">
        <v>498</v>
      </c>
      <c r="J112" s="295"/>
      <c r="K112" s="259"/>
      <c r="L112" s="259"/>
      <c r="M112" s="259"/>
      <c r="N112" s="259"/>
      <c r="O112" s="259"/>
      <c r="P112" s="298">
        <v>0</v>
      </c>
      <c r="Q112" s="299">
        <v>0</v>
      </c>
      <c r="R112" s="297">
        <v>0</v>
      </c>
      <c r="S112" s="298">
        <v>0.48807670441319762</v>
      </c>
      <c r="T112" s="298">
        <v>0</v>
      </c>
      <c r="U112" s="298">
        <v>0</v>
      </c>
      <c r="V112" s="299">
        <v>0.48807670441319762</v>
      </c>
      <c r="W112" s="339"/>
      <c r="X112" s="576" t="s">
        <v>498</v>
      </c>
      <c r="Y112" s="295"/>
      <c r="Z112" s="259"/>
      <c r="AA112" s="259"/>
      <c r="AB112" s="259"/>
      <c r="AC112" s="259"/>
      <c r="AD112" s="259"/>
      <c r="AE112" s="298">
        <v>0</v>
      </c>
      <c r="AF112" s="299">
        <v>0</v>
      </c>
      <c r="AG112" s="297">
        <v>0</v>
      </c>
      <c r="AH112" s="298">
        <v>0</v>
      </c>
      <c r="AI112" s="298">
        <v>0</v>
      </c>
      <c r="AJ112" s="298">
        <v>0</v>
      </c>
      <c r="AK112" s="299">
        <v>0</v>
      </c>
      <c r="AL112" s="441"/>
      <c r="AM112" s="601">
        <v>0</v>
      </c>
      <c r="AN112" s="304">
        <f t="shared" si="20"/>
        <v>0.97615340882639523</v>
      </c>
      <c r="AO112" s="1485">
        <v>0</v>
      </c>
      <c r="AP112" s="1486"/>
    </row>
    <row r="113" spans="1:42">
      <c r="A113" s="258"/>
      <c r="B113" s="592"/>
      <c r="C113" s="593"/>
      <c r="D113" s="339" t="s">
        <v>85</v>
      </c>
      <c r="E113" s="339"/>
      <c r="F113" s="339"/>
      <c r="G113" s="293" t="s">
        <v>2583</v>
      </c>
      <c r="H113" s="259"/>
      <c r="I113" s="576" t="s">
        <v>498</v>
      </c>
      <c r="J113" s="295"/>
      <c r="K113" s="259"/>
      <c r="L113" s="259"/>
      <c r="M113" s="259"/>
      <c r="N113" s="259"/>
      <c r="O113" s="259"/>
      <c r="P113" s="298">
        <v>0</v>
      </c>
      <c r="Q113" s="299">
        <v>0</v>
      </c>
      <c r="R113" s="297">
        <v>0</v>
      </c>
      <c r="S113" s="298">
        <v>1.2232422404355763</v>
      </c>
      <c r="T113" s="298">
        <v>0</v>
      </c>
      <c r="U113" s="298">
        <v>0</v>
      </c>
      <c r="V113" s="299">
        <v>1.2232422404355763</v>
      </c>
      <c r="W113" s="339"/>
      <c r="X113" s="576" t="s">
        <v>498</v>
      </c>
      <c r="Y113" s="295"/>
      <c r="Z113" s="259"/>
      <c r="AA113" s="259"/>
      <c r="AB113" s="259"/>
      <c r="AC113" s="259"/>
      <c r="AD113" s="259"/>
      <c r="AE113" s="298">
        <v>0</v>
      </c>
      <c r="AF113" s="299">
        <v>0</v>
      </c>
      <c r="AG113" s="297">
        <v>0</v>
      </c>
      <c r="AH113" s="298">
        <v>0</v>
      </c>
      <c r="AI113" s="298">
        <v>0</v>
      </c>
      <c r="AJ113" s="298">
        <v>0</v>
      </c>
      <c r="AK113" s="299">
        <v>0</v>
      </c>
      <c r="AL113" s="441"/>
      <c r="AM113" s="601">
        <v>0</v>
      </c>
      <c r="AN113" s="304">
        <f t="shared" si="20"/>
        <v>2.4464844808711526</v>
      </c>
      <c r="AO113" s="1485">
        <v>0</v>
      </c>
      <c r="AP113" s="1486"/>
    </row>
    <row r="114" spans="1:42">
      <c r="A114" s="258"/>
      <c r="B114" s="592"/>
      <c r="C114" s="593"/>
      <c r="D114" s="339" t="s">
        <v>85</v>
      </c>
      <c r="E114" s="339"/>
      <c r="F114" s="339"/>
      <c r="G114" s="293" t="s">
        <v>2584</v>
      </c>
      <c r="H114" s="259"/>
      <c r="I114" s="576" t="s">
        <v>498</v>
      </c>
      <c r="J114" s="295"/>
      <c r="K114" s="259"/>
      <c r="L114" s="259"/>
      <c r="M114" s="259"/>
      <c r="N114" s="259"/>
      <c r="O114" s="259"/>
      <c r="P114" s="298">
        <v>0</v>
      </c>
      <c r="Q114" s="299">
        <v>0</v>
      </c>
      <c r="R114" s="297">
        <v>0.61009588051649699</v>
      </c>
      <c r="S114" s="298">
        <v>0.61009588051649699</v>
      </c>
      <c r="T114" s="298">
        <v>0.48807670441319762</v>
      </c>
      <c r="U114" s="298">
        <v>0.48807670441319762</v>
      </c>
      <c r="V114" s="299">
        <v>0</v>
      </c>
      <c r="W114" s="339"/>
      <c r="X114" s="576" t="s">
        <v>498</v>
      </c>
      <c r="Y114" s="295"/>
      <c r="Z114" s="259"/>
      <c r="AA114" s="259"/>
      <c r="AB114" s="259"/>
      <c r="AC114" s="259"/>
      <c r="AD114" s="259"/>
      <c r="AE114" s="298">
        <v>0</v>
      </c>
      <c r="AF114" s="299">
        <v>0</v>
      </c>
      <c r="AG114" s="297">
        <v>0</v>
      </c>
      <c r="AH114" s="298">
        <v>0</v>
      </c>
      <c r="AI114" s="298">
        <v>0</v>
      </c>
      <c r="AJ114" s="298">
        <v>0</v>
      </c>
      <c r="AK114" s="299">
        <v>0</v>
      </c>
      <c r="AL114" s="339"/>
      <c r="AM114" s="601">
        <v>0</v>
      </c>
      <c r="AN114" s="304">
        <f t="shared" si="20"/>
        <v>2.1963451698593892</v>
      </c>
      <c r="AO114" s="1485">
        <v>0</v>
      </c>
      <c r="AP114" s="1486"/>
    </row>
    <row r="115" spans="1:42">
      <c r="A115" s="258"/>
      <c r="B115" s="592"/>
      <c r="C115" s="593"/>
      <c r="D115" s="339" t="s">
        <v>85</v>
      </c>
      <c r="E115" s="339"/>
      <c r="F115" s="339"/>
      <c r="G115" s="293" t="s">
        <v>2585</v>
      </c>
      <c r="H115" s="259"/>
      <c r="I115" s="576" t="s">
        <v>498</v>
      </c>
      <c r="J115" s="295"/>
      <c r="K115" s="259"/>
      <c r="L115" s="259"/>
      <c r="M115" s="259"/>
      <c r="N115" s="259"/>
      <c r="O115" s="259"/>
      <c r="P115" s="298">
        <v>0</v>
      </c>
      <c r="Q115" s="299">
        <v>0</v>
      </c>
      <c r="R115" s="297">
        <v>0</v>
      </c>
      <c r="S115" s="298">
        <v>0.61009588051649699</v>
      </c>
      <c r="T115" s="298">
        <v>0.61009588051649699</v>
      </c>
      <c r="U115" s="298">
        <v>1.220191761032994</v>
      </c>
      <c r="V115" s="299">
        <v>1.220191761032994</v>
      </c>
      <c r="W115" s="339"/>
      <c r="X115" s="576" t="s">
        <v>498</v>
      </c>
      <c r="Y115" s="295"/>
      <c r="Z115" s="259"/>
      <c r="AA115" s="259"/>
      <c r="AB115" s="259"/>
      <c r="AC115" s="259"/>
      <c r="AD115" s="259"/>
      <c r="AE115" s="298">
        <v>0</v>
      </c>
      <c r="AF115" s="299">
        <v>0</v>
      </c>
      <c r="AG115" s="297">
        <v>0</v>
      </c>
      <c r="AH115" s="298">
        <v>0</v>
      </c>
      <c r="AI115" s="298">
        <v>0</v>
      </c>
      <c r="AJ115" s="298">
        <v>0</v>
      </c>
      <c r="AK115" s="299">
        <v>0</v>
      </c>
      <c r="AL115" s="441"/>
      <c r="AM115" s="601">
        <v>0</v>
      </c>
      <c r="AN115" s="304">
        <f t="shared" si="20"/>
        <v>3.6605752830989822</v>
      </c>
      <c r="AO115" s="1485">
        <v>0</v>
      </c>
      <c r="AP115" s="1486"/>
    </row>
    <row r="116" spans="1:42">
      <c r="A116" s="258"/>
      <c r="B116" s="592"/>
      <c r="C116" s="593"/>
      <c r="D116" s="339" t="s">
        <v>85</v>
      </c>
      <c r="E116" s="339"/>
      <c r="F116" s="339"/>
      <c r="G116" s="293" t="s">
        <v>2586</v>
      </c>
      <c r="H116" s="259"/>
      <c r="I116" s="576" t="s">
        <v>498</v>
      </c>
      <c r="J116" s="295"/>
      <c r="K116" s="259"/>
      <c r="L116" s="259"/>
      <c r="M116" s="259"/>
      <c r="N116" s="259"/>
      <c r="O116" s="259"/>
      <c r="P116" s="298">
        <v>0</v>
      </c>
      <c r="Q116" s="299">
        <v>0</v>
      </c>
      <c r="R116" s="297">
        <v>0</v>
      </c>
      <c r="S116" s="298">
        <v>1.8302876415494909</v>
      </c>
      <c r="T116" s="298">
        <v>0.61009588051649699</v>
      </c>
      <c r="U116" s="298">
        <v>0.18302876415494909</v>
      </c>
      <c r="V116" s="299">
        <v>0</v>
      </c>
      <c r="W116" s="339"/>
      <c r="X116" s="576" t="s">
        <v>498</v>
      </c>
      <c r="Y116" s="295"/>
      <c r="Z116" s="259"/>
      <c r="AA116" s="259"/>
      <c r="AB116" s="259"/>
      <c r="AC116" s="259"/>
      <c r="AD116" s="259"/>
      <c r="AE116" s="298">
        <v>0</v>
      </c>
      <c r="AF116" s="299">
        <v>0</v>
      </c>
      <c r="AG116" s="297">
        <v>0</v>
      </c>
      <c r="AH116" s="298">
        <v>0</v>
      </c>
      <c r="AI116" s="298">
        <v>0</v>
      </c>
      <c r="AJ116" s="298">
        <v>0</v>
      </c>
      <c r="AK116" s="299">
        <v>0</v>
      </c>
      <c r="AL116" s="441"/>
      <c r="AM116" s="601">
        <v>0</v>
      </c>
      <c r="AN116" s="304">
        <f t="shared" si="20"/>
        <v>2.6234122862209373</v>
      </c>
      <c r="AO116" s="1485">
        <v>0</v>
      </c>
      <c r="AP116" s="1486"/>
    </row>
    <row r="117" spans="1:42">
      <c r="A117" s="258"/>
      <c r="B117" s="592"/>
      <c r="C117" s="593"/>
      <c r="D117" s="339" t="s">
        <v>85</v>
      </c>
      <c r="E117" s="339"/>
      <c r="F117" s="339"/>
      <c r="G117" s="293" t="s">
        <v>2587</v>
      </c>
      <c r="H117" s="259"/>
      <c r="I117" s="576" t="s">
        <v>498</v>
      </c>
      <c r="J117" s="295"/>
      <c r="K117" s="259"/>
      <c r="L117" s="259"/>
      <c r="M117" s="259"/>
      <c r="N117" s="259"/>
      <c r="O117" s="259"/>
      <c r="P117" s="298">
        <v>0</v>
      </c>
      <c r="Q117" s="299">
        <v>0</v>
      </c>
      <c r="R117" s="297">
        <v>1.220191761032994</v>
      </c>
      <c r="S117" s="298">
        <v>1.220191761032994</v>
      </c>
      <c r="T117" s="298">
        <v>1.220191761032994</v>
      </c>
      <c r="U117" s="298">
        <v>0</v>
      </c>
      <c r="V117" s="299">
        <v>0</v>
      </c>
      <c r="W117" s="339"/>
      <c r="X117" s="576" t="s">
        <v>498</v>
      </c>
      <c r="Y117" s="295"/>
      <c r="Z117" s="259"/>
      <c r="AA117" s="259"/>
      <c r="AB117" s="259"/>
      <c r="AC117" s="259"/>
      <c r="AD117" s="259"/>
      <c r="AE117" s="298">
        <v>0</v>
      </c>
      <c r="AF117" s="299">
        <v>0</v>
      </c>
      <c r="AG117" s="297">
        <v>0</v>
      </c>
      <c r="AH117" s="298">
        <v>0</v>
      </c>
      <c r="AI117" s="298">
        <v>0</v>
      </c>
      <c r="AJ117" s="298">
        <v>0</v>
      </c>
      <c r="AK117" s="299">
        <v>0</v>
      </c>
      <c r="AL117" s="441"/>
      <c r="AM117" s="601">
        <v>0</v>
      </c>
      <c r="AN117" s="304">
        <f t="shared" si="20"/>
        <v>3.6605752830989822</v>
      </c>
      <c r="AO117" s="1485">
        <v>0</v>
      </c>
      <c r="AP117" s="1486"/>
    </row>
    <row r="118" spans="1:42">
      <c r="A118" s="258"/>
      <c r="B118" s="592"/>
      <c r="C118" s="593"/>
      <c r="D118" s="339" t="s">
        <v>85</v>
      </c>
      <c r="E118" s="339"/>
      <c r="F118" s="339"/>
      <c r="G118" s="293" t="s">
        <v>2588</v>
      </c>
      <c r="H118" s="259"/>
      <c r="I118" s="576" t="s">
        <v>498</v>
      </c>
      <c r="J118" s="295"/>
      <c r="K118" s="259"/>
      <c r="L118" s="259"/>
      <c r="M118" s="259"/>
      <c r="N118" s="259"/>
      <c r="O118" s="259"/>
      <c r="P118" s="298">
        <v>0</v>
      </c>
      <c r="Q118" s="299">
        <v>0</v>
      </c>
      <c r="R118" s="297">
        <v>0</v>
      </c>
      <c r="S118" s="298">
        <v>0</v>
      </c>
      <c r="T118" s="298">
        <v>1.220191761032994</v>
      </c>
      <c r="U118" s="298">
        <v>0.61009588051649699</v>
      </c>
      <c r="V118" s="299">
        <v>0</v>
      </c>
      <c r="W118" s="339"/>
      <c r="X118" s="576" t="s">
        <v>498</v>
      </c>
      <c r="Y118" s="295"/>
      <c r="Z118" s="259"/>
      <c r="AA118" s="259"/>
      <c r="AB118" s="259"/>
      <c r="AC118" s="259"/>
      <c r="AD118" s="259"/>
      <c r="AE118" s="298">
        <v>0</v>
      </c>
      <c r="AF118" s="299">
        <v>0</v>
      </c>
      <c r="AG118" s="297">
        <v>0</v>
      </c>
      <c r="AH118" s="298">
        <v>0</v>
      </c>
      <c r="AI118" s="298">
        <v>0</v>
      </c>
      <c r="AJ118" s="298">
        <v>0</v>
      </c>
      <c r="AK118" s="299">
        <v>0</v>
      </c>
      <c r="AL118" s="339"/>
      <c r="AM118" s="601">
        <v>0</v>
      </c>
      <c r="AN118" s="304">
        <f t="shared" si="20"/>
        <v>1.8302876415494911</v>
      </c>
      <c r="AO118" s="1485">
        <v>0</v>
      </c>
      <c r="AP118" s="1486"/>
    </row>
    <row r="119" spans="1:42">
      <c r="A119" s="258"/>
      <c r="B119" s="592"/>
      <c r="C119" s="593"/>
      <c r="D119" s="339" t="s">
        <v>85</v>
      </c>
      <c r="E119" s="339"/>
      <c r="F119" s="339"/>
      <c r="G119" s="293" t="s">
        <v>2589</v>
      </c>
      <c r="H119" s="259"/>
      <c r="I119" s="576" t="s">
        <v>498</v>
      </c>
      <c r="J119" s="295"/>
      <c r="K119" s="259"/>
      <c r="L119" s="259"/>
      <c r="M119" s="259"/>
      <c r="N119" s="259"/>
      <c r="O119" s="259"/>
      <c r="P119" s="298">
        <v>0</v>
      </c>
      <c r="Q119" s="299">
        <v>0</v>
      </c>
      <c r="R119" s="297">
        <v>0</v>
      </c>
      <c r="S119" s="298">
        <v>0.61009588051649699</v>
      </c>
      <c r="T119" s="298">
        <v>0</v>
      </c>
      <c r="U119" s="298">
        <v>0</v>
      </c>
      <c r="V119" s="299">
        <v>0.61009588051649699</v>
      </c>
      <c r="W119" s="339"/>
      <c r="X119" s="576" t="s">
        <v>498</v>
      </c>
      <c r="Y119" s="295"/>
      <c r="Z119" s="259"/>
      <c r="AA119" s="259"/>
      <c r="AB119" s="259"/>
      <c r="AC119" s="259"/>
      <c r="AD119" s="259"/>
      <c r="AE119" s="298">
        <v>0</v>
      </c>
      <c r="AF119" s="299">
        <v>0</v>
      </c>
      <c r="AG119" s="297">
        <v>0</v>
      </c>
      <c r="AH119" s="298">
        <v>0</v>
      </c>
      <c r="AI119" s="298">
        <v>0</v>
      </c>
      <c r="AJ119" s="298">
        <v>0</v>
      </c>
      <c r="AK119" s="299">
        <v>0</v>
      </c>
      <c r="AL119" s="339"/>
      <c r="AM119" s="601">
        <v>0</v>
      </c>
      <c r="AN119" s="304">
        <f t="shared" si="20"/>
        <v>1.220191761032994</v>
      </c>
      <c r="AO119" s="1485">
        <v>0</v>
      </c>
      <c r="AP119" s="1486"/>
    </row>
    <row r="120" spans="1:42">
      <c r="A120" s="258"/>
      <c r="B120" s="592"/>
      <c r="C120" s="593"/>
      <c r="D120" s="339" t="s">
        <v>85</v>
      </c>
      <c r="E120" s="339"/>
      <c r="F120" s="339"/>
      <c r="G120" s="293" t="s">
        <v>2590</v>
      </c>
      <c r="H120" s="259"/>
      <c r="I120" s="576" t="s">
        <v>498</v>
      </c>
      <c r="J120" s="295"/>
      <c r="K120" s="259"/>
      <c r="L120" s="259"/>
      <c r="M120" s="259"/>
      <c r="N120" s="259"/>
      <c r="O120" s="259"/>
      <c r="P120" s="298">
        <v>0</v>
      </c>
      <c r="Q120" s="299">
        <v>0</v>
      </c>
      <c r="R120" s="297">
        <v>1.220191761032994</v>
      </c>
      <c r="S120" s="298">
        <v>0</v>
      </c>
      <c r="T120" s="298">
        <v>0</v>
      </c>
      <c r="U120" s="298">
        <v>1.220191761032994</v>
      </c>
      <c r="V120" s="299">
        <v>0</v>
      </c>
      <c r="W120" s="339"/>
      <c r="X120" s="576" t="s">
        <v>498</v>
      </c>
      <c r="Y120" s="295"/>
      <c r="Z120" s="259"/>
      <c r="AA120" s="259"/>
      <c r="AB120" s="259"/>
      <c r="AC120" s="259"/>
      <c r="AD120" s="259"/>
      <c r="AE120" s="298">
        <v>0</v>
      </c>
      <c r="AF120" s="299">
        <v>0</v>
      </c>
      <c r="AG120" s="297">
        <v>0</v>
      </c>
      <c r="AH120" s="298">
        <v>0</v>
      </c>
      <c r="AI120" s="298">
        <v>0</v>
      </c>
      <c r="AJ120" s="298">
        <v>0</v>
      </c>
      <c r="AK120" s="299">
        <v>0</v>
      </c>
      <c r="AL120" s="339"/>
      <c r="AM120" s="601">
        <v>0</v>
      </c>
      <c r="AN120" s="304">
        <f t="shared" si="20"/>
        <v>2.440383522065988</v>
      </c>
      <c r="AO120" s="1485">
        <v>0</v>
      </c>
      <c r="AP120" s="1486"/>
    </row>
    <row r="121" spans="1:42">
      <c r="A121" s="258"/>
      <c r="B121" s="592"/>
      <c r="C121" s="593"/>
      <c r="D121" s="339" t="s">
        <v>85</v>
      </c>
      <c r="E121" s="339"/>
      <c r="F121" s="339"/>
      <c r="G121" s="293" t="s">
        <v>2591</v>
      </c>
      <c r="H121" s="259"/>
      <c r="I121" s="576" t="s">
        <v>498</v>
      </c>
      <c r="J121" s="295"/>
      <c r="K121" s="259"/>
      <c r="L121" s="259"/>
      <c r="M121" s="259"/>
      <c r="N121" s="259"/>
      <c r="O121" s="259"/>
      <c r="P121" s="298">
        <v>0</v>
      </c>
      <c r="Q121" s="299">
        <v>0</v>
      </c>
      <c r="R121" s="297">
        <v>0.36605752830989818</v>
      </c>
      <c r="S121" s="298">
        <v>0.36605752830989818</v>
      </c>
      <c r="T121" s="298">
        <v>0.36605752830989818</v>
      </c>
      <c r="U121" s="298">
        <v>0.73211505661979637</v>
      </c>
      <c r="V121" s="299">
        <v>0.36605752830989818</v>
      </c>
      <c r="W121" s="339"/>
      <c r="X121" s="576" t="s">
        <v>498</v>
      </c>
      <c r="Y121" s="295"/>
      <c r="Z121" s="259"/>
      <c r="AA121" s="259"/>
      <c r="AB121" s="259"/>
      <c r="AC121" s="259"/>
      <c r="AD121" s="259"/>
      <c r="AE121" s="298">
        <v>0</v>
      </c>
      <c r="AF121" s="299">
        <v>0</v>
      </c>
      <c r="AG121" s="297">
        <v>0</v>
      </c>
      <c r="AH121" s="298">
        <v>0</v>
      </c>
      <c r="AI121" s="298">
        <v>0</v>
      </c>
      <c r="AJ121" s="298">
        <v>0</v>
      </c>
      <c r="AK121" s="299">
        <v>0</v>
      </c>
      <c r="AL121" s="441"/>
      <c r="AM121" s="601">
        <v>0</v>
      </c>
      <c r="AN121" s="304">
        <f t="shared" si="20"/>
        <v>2.1963451698593892</v>
      </c>
      <c r="AO121" s="1485">
        <v>0</v>
      </c>
      <c r="AP121" s="1486"/>
    </row>
    <row r="122" spans="1:42">
      <c r="A122" s="258"/>
      <c r="B122" s="592"/>
      <c r="C122" s="593"/>
      <c r="D122" s="339" t="s">
        <v>85</v>
      </c>
      <c r="E122" s="339"/>
      <c r="F122" s="339"/>
      <c r="G122" s="293" t="s">
        <v>2592</v>
      </c>
      <c r="H122" s="259"/>
      <c r="I122" s="576" t="s">
        <v>498</v>
      </c>
      <c r="J122" s="295"/>
      <c r="K122" s="259"/>
      <c r="L122" s="259"/>
      <c r="M122" s="259"/>
      <c r="N122" s="259"/>
      <c r="O122" s="259"/>
      <c r="P122" s="298">
        <v>0</v>
      </c>
      <c r="Q122" s="299">
        <v>0</v>
      </c>
      <c r="R122" s="297">
        <v>0.61009588051649699</v>
      </c>
      <c r="S122" s="298">
        <v>1.220191761032994</v>
      </c>
      <c r="T122" s="298">
        <v>0.61009588051649699</v>
      </c>
      <c r="U122" s="298">
        <v>1.220191761032994</v>
      </c>
      <c r="V122" s="299">
        <v>0</v>
      </c>
      <c r="W122" s="339"/>
      <c r="X122" s="576" t="s">
        <v>498</v>
      </c>
      <c r="Y122" s="295"/>
      <c r="Z122" s="259"/>
      <c r="AA122" s="259"/>
      <c r="AB122" s="259"/>
      <c r="AC122" s="259"/>
      <c r="AD122" s="259"/>
      <c r="AE122" s="298">
        <v>0</v>
      </c>
      <c r="AF122" s="299">
        <v>0</v>
      </c>
      <c r="AG122" s="297">
        <v>0</v>
      </c>
      <c r="AH122" s="298">
        <v>0</v>
      </c>
      <c r="AI122" s="298">
        <v>0</v>
      </c>
      <c r="AJ122" s="298">
        <v>0</v>
      </c>
      <c r="AK122" s="299">
        <v>0</v>
      </c>
      <c r="AL122" s="441"/>
      <c r="AM122" s="601">
        <v>0</v>
      </c>
      <c r="AN122" s="304">
        <f t="shared" si="20"/>
        <v>3.6605752830989822</v>
      </c>
      <c r="AO122" s="1485">
        <v>0</v>
      </c>
      <c r="AP122" s="1486"/>
    </row>
    <row r="123" spans="1:42">
      <c r="A123" s="258"/>
      <c r="B123" s="592"/>
      <c r="C123" s="593"/>
      <c r="D123" s="339" t="s">
        <v>85</v>
      </c>
      <c r="E123" s="339"/>
      <c r="F123" s="339"/>
      <c r="G123" s="293"/>
      <c r="H123" s="259"/>
      <c r="I123" s="576" t="s">
        <v>498</v>
      </c>
      <c r="J123" s="295"/>
      <c r="K123" s="259"/>
      <c r="L123" s="259"/>
      <c r="M123" s="259"/>
      <c r="N123" s="259"/>
      <c r="O123" s="259"/>
      <c r="P123" s="298">
        <v>0</v>
      </c>
      <c r="Q123" s="299">
        <v>0</v>
      </c>
      <c r="R123" s="297">
        <v>0</v>
      </c>
      <c r="S123" s="298">
        <v>0</v>
      </c>
      <c r="T123" s="298">
        <v>0</v>
      </c>
      <c r="U123" s="298">
        <v>0</v>
      </c>
      <c r="V123" s="299">
        <v>0</v>
      </c>
      <c r="W123" s="339"/>
      <c r="X123" s="576" t="s">
        <v>498</v>
      </c>
      <c r="Y123" s="295"/>
      <c r="Z123" s="259"/>
      <c r="AA123" s="259"/>
      <c r="AB123" s="259"/>
      <c r="AC123" s="259"/>
      <c r="AD123" s="259"/>
      <c r="AE123" s="298">
        <v>0</v>
      </c>
      <c r="AF123" s="299">
        <v>0</v>
      </c>
      <c r="AG123" s="297">
        <v>0</v>
      </c>
      <c r="AH123" s="298">
        <v>0</v>
      </c>
      <c r="AI123" s="298">
        <v>0</v>
      </c>
      <c r="AJ123" s="298">
        <v>0</v>
      </c>
      <c r="AK123" s="299">
        <v>0</v>
      </c>
      <c r="AL123" s="441"/>
      <c r="AM123" s="601">
        <v>0</v>
      </c>
      <c r="AN123" s="304">
        <f t="shared" si="20"/>
        <v>0</v>
      </c>
      <c r="AO123" s="1485">
        <v>0</v>
      </c>
      <c r="AP123" s="1486"/>
    </row>
    <row r="124" spans="1:42">
      <c r="A124" s="258"/>
      <c r="B124" s="592"/>
      <c r="C124" s="593"/>
      <c r="D124" s="339" t="s">
        <v>85</v>
      </c>
      <c r="E124" s="339"/>
      <c r="F124" s="339"/>
      <c r="G124" s="293"/>
      <c r="H124" s="259"/>
      <c r="I124" s="576" t="s">
        <v>498</v>
      </c>
      <c r="J124" s="295"/>
      <c r="K124" s="259"/>
      <c r="L124" s="259"/>
      <c r="M124" s="259"/>
      <c r="N124" s="259"/>
      <c r="O124" s="259"/>
      <c r="P124" s="298">
        <v>0</v>
      </c>
      <c r="Q124" s="299">
        <v>0</v>
      </c>
      <c r="R124" s="297">
        <v>0</v>
      </c>
      <c r="S124" s="298">
        <v>0</v>
      </c>
      <c r="T124" s="298">
        <v>0</v>
      </c>
      <c r="U124" s="298">
        <v>0</v>
      </c>
      <c r="V124" s="299">
        <v>0</v>
      </c>
      <c r="W124" s="339"/>
      <c r="X124" s="576" t="s">
        <v>498</v>
      </c>
      <c r="Y124" s="295"/>
      <c r="Z124" s="259"/>
      <c r="AA124" s="259"/>
      <c r="AB124" s="259"/>
      <c r="AC124" s="259"/>
      <c r="AD124" s="259"/>
      <c r="AE124" s="298">
        <v>0</v>
      </c>
      <c r="AF124" s="299">
        <v>0</v>
      </c>
      <c r="AG124" s="297">
        <v>0</v>
      </c>
      <c r="AH124" s="298">
        <v>0</v>
      </c>
      <c r="AI124" s="298">
        <v>0</v>
      </c>
      <c r="AJ124" s="298">
        <v>0</v>
      </c>
      <c r="AK124" s="299">
        <v>0</v>
      </c>
      <c r="AL124" s="339"/>
      <c r="AM124" s="601">
        <v>0</v>
      </c>
      <c r="AN124" s="304">
        <f t="shared" si="20"/>
        <v>0</v>
      </c>
      <c r="AO124" s="1485">
        <v>0</v>
      </c>
      <c r="AP124" s="1486"/>
    </row>
    <row r="125" spans="1:42">
      <c r="A125" s="258"/>
      <c r="B125" s="592"/>
      <c r="C125" s="593"/>
      <c r="D125" s="339" t="s">
        <v>85</v>
      </c>
      <c r="E125" s="339"/>
      <c r="F125" s="339"/>
      <c r="G125" s="293"/>
      <c r="H125" s="259"/>
      <c r="I125" s="576" t="s">
        <v>498</v>
      </c>
      <c r="J125" s="295"/>
      <c r="K125" s="259"/>
      <c r="L125" s="259"/>
      <c r="M125" s="259"/>
      <c r="N125" s="259"/>
      <c r="O125" s="259"/>
      <c r="P125" s="298">
        <v>0</v>
      </c>
      <c r="Q125" s="299">
        <v>0</v>
      </c>
      <c r="R125" s="297">
        <v>0</v>
      </c>
      <c r="S125" s="298">
        <v>0</v>
      </c>
      <c r="T125" s="298">
        <v>0</v>
      </c>
      <c r="U125" s="298">
        <v>0</v>
      </c>
      <c r="V125" s="299">
        <v>0</v>
      </c>
      <c r="W125" s="339"/>
      <c r="X125" s="576" t="s">
        <v>498</v>
      </c>
      <c r="Y125" s="295"/>
      <c r="Z125" s="259"/>
      <c r="AA125" s="259"/>
      <c r="AB125" s="259"/>
      <c r="AC125" s="259"/>
      <c r="AD125" s="259"/>
      <c r="AE125" s="298">
        <v>0</v>
      </c>
      <c r="AF125" s="299">
        <v>0</v>
      </c>
      <c r="AG125" s="297">
        <v>0</v>
      </c>
      <c r="AH125" s="298">
        <v>0</v>
      </c>
      <c r="AI125" s="298">
        <v>0</v>
      </c>
      <c r="AJ125" s="298">
        <v>0</v>
      </c>
      <c r="AK125" s="299">
        <v>0</v>
      </c>
      <c r="AL125" s="441"/>
      <c r="AM125" s="601">
        <v>0</v>
      </c>
      <c r="AN125" s="304">
        <f t="shared" si="20"/>
        <v>0</v>
      </c>
      <c r="AO125" s="1485">
        <v>0</v>
      </c>
      <c r="AP125" s="1486"/>
    </row>
    <row r="126" spans="1:42">
      <c r="A126" s="258"/>
      <c r="B126" s="592"/>
      <c r="C126" s="593"/>
      <c r="D126" s="339" t="s">
        <v>85</v>
      </c>
      <c r="E126" s="339"/>
      <c r="F126" s="339"/>
      <c r="G126" s="293"/>
      <c r="H126" s="259"/>
      <c r="I126" s="576" t="s">
        <v>498</v>
      </c>
      <c r="J126" s="295"/>
      <c r="K126" s="259"/>
      <c r="L126" s="259"/>
      <c r="M126" s="259"/>
      <c r="N126" s="259"/>
      <c r="O126" s="259"/>
      <c r="P126" s="298">
        <v>0</v>
      </c>
      <c r="Q126" s="299">
        <v>0</v>
      </c>
      <c r="R126" s="297">
        <v>0</v>
      </c>
      <c r="S126" s="298">
        <v>0</v>
      </c>
      <c r="T126" s="298">
        <v>0</v>
      </c>
      <c r="U126" s="298">
        <v>0</v>
      </c>
      <c r="V126" s="299">
        <v>0</v>
      </c>
      <c r="W126" s="339"/>
      <c r="X126" s="576" t="s">
        <v>498</v>
      </c>
      <c r="Y126" s="295"/>
      <c r="Z126" s="259"/>
      <c r="AA126" s="259"/>
      <c r="AB126" s="259"/>
      <c r="AC126" s="259"/>
      <c r="AD126" s="259"/>
      <c r="AE126" s="298">
        <v>0</v>
      </c>
      <c r="AF126" s="299">
        <v>0</v>
      </c>
      <c r="AG126" s="297">
        <v>0</v>
      </c>
      <c r="AH126" s="298">
        <v>0</v>
      </c>
      <c r="AI126" s="298">
        <v>0</v>
      </c>
      <c r="AJ126" s="298">
        <v>0</v>
      </c>
      <c r="AK126" s="299">
        <v>0</v>
      </c>
      <c r="AL126" s="441"/>
      <c r="AM126" s="601">
        <v>0</v>
      </c>
      <c r="AN126" s="304">
        <f t="shared" si="20"/>
        <v>0</v>
      </c>
      <c r="AO126" s="1485">
        <v>0</v>
      </c>
      <c r="AP126" s="1486"/>
    </row>
    <row r="127" spans="1:42">
      <c r="A127" s="258"/>
      <c r="B127" s="592"/>
      <c r="C127" s="593"/>
      <c r="D127" s="339" t="s">
        <v>85</v>
      </c>
      <c r="E127" s="339"/>
      <c r="F127" s="339"/>
      <c r="G127" s="293"/>
      <c r="H127" s="259"/>
      <c r="I127" s="576" t="s">
        <v>498</v>
      </c>
      <c r="J127" s="295"/>
      <c r="K127" s="259"/>
      <c r="L127" s="259"/>
      <c r="M127" s="259"/>
      <c r="N127" s="259"/>
      <c r="O127" s="259"/>
      <c r="P127" s="298">
        <v>0</v>
      </c>
      <c r="Q127" s="299">
        <v>0</v>
      </c>
      <c r="R127" s="297">
        <v>0</v>
      </c>
      <c r="S127" s="298">
        <v>0</v>
      </c>
      <c r="T127" s="298">
        <v>0</v>
      </c>
      <c r="U127" s="298">
        <v>0</v>
      </c>
      <c r="V127" s="299">
        <v>0</v>
      </c>
      <c r="W127" s="339"/>
      <c r="X127" s="576" t="s">
        <v>498</v>
      </c>
      <c r="Y127" s="295"/>
      <c r="Z127" s="259"/>
      <c r="AA127" s="259"/>
      <c r="AB127" s="259"/>
      <c r="AC127" s="259"/>
      <c r="AD127" s="259"/>
      <c r="AE127" s="298">
        <v>0</v>
      </c>
      <c r="AF127" s="299">
        <v>0</v>
      </c>
      <c r="AG127" s="297">
        <v>0</v>
      </c>
      <c r="AH127" s="298">
        <v>0</v>
      </c>
      <c r="AI127" s="298">
        <v>0</v>
      </c>
      <c r="AJ127" s="298">
        <v>0</v>
      </c>
      <c r="AK127" s="299">
        <v>0</v>
      </c>
      <c r="AL127" s="441"/>
      <c r="AM127" s="601">
        <v>0</v>
      </c>
      <c r="AN127" s="304">
        <f t="shared" si="20"/>
        <v>0</v>
      </c>
      <c r="AO127" s="1485">
        <v>0</v>
      </c>
      <c r="AP127" s="1486"/>
    </row>
    <row r="128" spans="1:42">
      <c r="A128" s="258"/>
      <c r="B128" s="592"/>
      <c r="C128" s="593"/>
      <c r="D128" s="339" t="s">
        <v>85</v>
      </c>
      <c r="E128" s="339"/>
      <c r="F128" s="339"/>
      <c r="G128" s="293"/>
      <c r="H128" s="259"/>
      <c r="I128" s="576" t="s">
        <v>498</v>
      </c>
      <c r="J128" s="295"/>
      <c r="K128" s="259"/>
      <c r="L128" s="259"/>
      <c r="M128" s="259"/>
      <c r="N128" s="259"/>
      <c r="O128" s="259"/>
      <c r="P128" s="298">
        <v>0</v>
      </c>
      <c r="Q128" s="299">
        <v>0</v>
      </c>
      <c r="R128" s="297">
        <v>0</v>
      </c>
      <c r="S128" s="298">
        <v>0</v>
      </c>
      <c r="T128" s="298">
        <v>0</v>
      </c>
      <c r="U128" s="298">
        <v>0</v>
      </c>
      <c r="V128" s="299">
        <v>0</v>
      </c>
      <c r="W128" s="339"/>
      <c r="X128" s="576" t="s">
        <v>498</v>
      </c>
      <c r="Y128" s="295"/>
      <c r="Z128" s="259"/>
      <c r="AA128" s="259"/>
      <c r="AB128" s="259"/>
      <c r="AC128" s="259"/>
      <c r="AD128" s="259"/>
      <c r="AE128" s="298">
        <v>0</v>
      </c>
      <c r="AF128" s="299">
        <v>0</v>
      </c>
      <c r="AG128" s="297">
        <v>0</v>
      </c>
      <c r="AH128" s="298">
        <v>0</v>
      </c>
      <c r="AI128" s="298">
        <v>0</v>
      </c>
      <c r="AJ128" s="298">
        <v>0</v>
      </c>
      <c r="AK128" s="299">
        <v>0</v>
      </c>
      <c r="AL128" s="441"/>
      <c r="AM128" s="601">
        <v>0</v>
      </c>
      <c r="AN128" s="304">
        <f t="shared" si="20"/>
        <v>0</v>
      </c>
      <c r="AO128" s="1485">
        <v>0</v>
      </c>
      <c r="AP128" s="1486"/>
    </row>
    <row r="129" spans="1:42">
      <c r="A129" s="258"/>
      <c r="B129" s="592"/>
      <c r="C129" s="593"/>
      <c r="D129" s="339" t="s">
        <v>85</v>
      </c>
      <c r="E129" s="339"/>
      <c r="F129" s="339"/>
      <c r="G129" s="293"/>
      <c r="H129" s="259"/>
      <c r="I129" s="576" t="s">
        <v>498</v>
      </c>
      <c r="J129" s="295"/>
      <c r="K129" s="259"/>
      <c r="L129" s="259"/>
      <c r="M129" s="259"/>
      <c r="N129" s="259"/>
      <c r="O129" s="259"/>
      <c r="P129" s="298">
        <v>0</v>
      </c>
      <c r="Q129" s="299">
        <v>0</v>
      </c>
      <c r="R129" s="297">
        <v>0</v>
      </c>
      <c r="S129" s="298">
        <v>0</v>
      </c>
      <c r="T129" s="298">
        <v>0</v>
      </c>
      <c r="U129" s="298">
        <v>0</v>
      </c>
      <c r="V129" s="299">
        <v>0</v>
      </c>
      <c r="W129" s="339"/>
      <c r="X129" s="576" t="s">
        <v>498</v>
      </c>
      <c r="Y129" s="295"/>
      <c r="Z129" s="259"/>
      <c r="AA129" s="259"/>
      <c r="AB129" s="259"/>
      <c r="AC129" s="259"/>
      <c r="AD129" s="259"/>
      <c r="AE129" s="298">
        <v>0</v>
      </c>
      <c r="AF129" s="299">
        <v>0</v>
      </c>
      <c r="AG129" s="297">
        <v>0</v>
      </c>
      <c r="AH129" s="298">
        <v>0</v>
      </c>
      <c r="AI129" s="298">
        <v>0</v>
      </c>
      <c r="AJ129" s="298">
        <v>0</v>
      </c>
      <c r="AK129" s="299">
        <v>0</v>
      </c>
      <c r="AL129" s="339"/>
      <c r="AM129" s="601">
        <v>0</v>
      </c>
      <c r="AN129" s="304">
        <f t="shared" si="20"/>
        <v>0</v>
      </c>
      <c r="AO129" s="1485">
        <v>0</v>
      </c>
      <c r="AP129" s="1486"/>
    </row>
    <row r="130" spans="1:42">
      <c r="A130" s="258"/>
      <c r="B130" s="592"/>
      <c r="C130" s="593"/>
      <c r="D130" s="339" t="s">
        <v>85</v>
      </c>
      <c r="E130" s="339"/>
      <c r="F130" s="339"/>
      <c r="G130" s="293"/>
      <c r="H130" s="259"/>
      <c r="I130" s="576" t="s">
        <v>498</v>
      </c>
      <c r="J130" s="295"/>
      <c r="K130" s="259"/>
      <c r="L130" s="259"/>
      <c r="M130" s="259"/>
      <c r="N130" s="259"/>
      <c r="O130" s="259"/>
      <c r="P130" s="298">
        <v>0</v>
      </c>
      <c r="Q130" s="299">
        <v>0</v>
      </c>
      <c r="R130" s="297">
        <v>0</v>
      </c>
      <c r="S130" s="298">
        <v>0</v>
      </c>
      <c r="T130" s="298">
        <v>0</v>
      </c>
      <c r="U130" s="298">
        <v>0</v>
      </c>
      <c r="V130" s="299">
        <v>0</v>
      </c>
      <c r="W130" s="339"/>
      <c r="X130" s="576" t="s">
        <v>498</v>
      </c>
      <c r="Y130" s="295"/>
      <c r="Z130" s="259"/>
      <c r="AA130" s="259"/>
      <c r="AB130" s="259"/>
      <c r="AC130" s="259"/>
      <c r="AD130" s="259"/>
      <c r="AE130" s="298">
        <v>0</v>
      </c>
      <c r="AF130" s="299">
        <v>0</v>
      </c>
      <c r="AG130" s="297">
        <v>0</v>
      </c>
      <c r="AH130" s="298">
        <v>0</v>
      </c>
      <c r="AI130" s="298">
        <v>0</v>
      </c>
      <c r="AJ130" s="298">
        <v>0</v>
      </c>
      <c r="AK130" s="299">
        <v>0</v>
      </c>
      <c r="AL130" s="339"/>
      <c r="AM130" s="601">
        <v>0</v>
      </c>
      <c r="AN130" s="304">
        <f t="shared" si="20"/>
        <v>0</v>
      </c>
      <c r="AO130" s="1485">
        <v>0</v>
      </c>
      <c r="AP130" s="1486"/>
    </row>
    <row r="131" spans="1:42">
      <c r="A131" s="258"/>
      <c r="B131" s="592"/>
      <c r="C131" s="593"/>
      <c r="D131" s="339" t="s">
        <v>85</v>
      </c>
      <c r="E131" s="339"/>
      <c r="F131" s="339"/>
      <c r="G131" s="293"/>
      <c r="H131" s="259"/>
      <c r="I131" s="576" t="s">
        <v>498</v>
      </c>
      <c r="J131" s="295"/>
      <c r="K131" s="259"/>
      <c r="L131" s="259"/>
      <c r="M131" s="259"/>
      <c r="N131" s="259"/>
      <c r="O131" s="259"/>
      <c r="P131" s="298">
        <v>0</v>
      </c>
      <c r="Q131" s="299">
        <v>0</v>
      </c>
      <c r="R131" s="297">
        <v>0</v>
      </c>
      <c r="S131" s="298">
        <v>0</v>
      </c>
      <c r="T131" s="298">
        <v>0</v>
      </c>
      <c r="U131" s="298">
        <v>0</v>
      </c>
      <c r="V131" s="299">
        <v>0</v>
      </c>
      <c r="W131" s="339"/>
      <c r="X131" s="576" t="s">
        <v>498</v>
      </c>
      <c r="Y131" s="295"/>
      <c r="Z131" s="259"/>
      <c r="AA131" s="259"/>
      <c r="AB131" s="259"/>
      <c r="AC131" s="259"/>
      <c r="AD131" s="259"/>
      <c r="AE131" s="298">
        <v>0</v>
      </c>
      <c r="AF131" s="299">
        <v>0</v>
      </c>
      <c r="AG131" s="297">
        <v>0</v>
      </c>
      <c r="AH131" s="298">
        <v>0</v>
      </c>
      <c r="AI131" s="298">
        <v>0</v>
      </c>
      <c r="AJ131" s="298">
        <v>0</v>
      </c>
      <c r="AK131" s="299">
        <v>0</v>
      </c>
      <c r="AL131" s="339"/>
      <c r="AM131" s="601">
        <v>0</v>
      </c>
      <c r="AN131" s="304">
        <f t="shared" si="20"/>
        <v>0</v>
      </c>
      <c r="AO131" s="1485">
        <v>0</v>
      </c>
      <c r="AP131" s="1486"/>
    </row>
    <row r="132" spans="1:42">
      <c r="A132" s="258"/>
      <c r="B132" s="592"/>
      <c r="C132" s="593"/>
      <c r="D132" s="339" t="s">
        <v>85</v>
      </c>
      <c r="E132" s="339"/>
      <c r="F132" s="339"/>
      <c r="G132" s="293"/>
      <c r="H132" s="259"/>
      <c r="I132" s="576" t="s">
        <v>498</v>
      </c>
      <c r="J132" s="295"/>
      <c r="K132" s="259"/>
      <c r="L132" s="259"/>
      <c r="M132" s="259"/>
      <c r="N132" s="259"/>
      <c r="O132" s="259"/>
      <c r="P132" s="298">
        <v>0</v>
      </c>
      <c r="Q132" s="299">
        <v>0</v>
      </c>
      <c r="R132" s="297">
        <v>0</v>
      </c>
      <c r="S132" s="298">
        <v>0</v>
      </c>
      <c r="T132" s="298">
        <v>0</v>
      </c>
      <c r="U132" s="298">
        <v>0</v>
      </c>
      <c r="V132" s="299">
        <v>0</v>
      </c>
      <c r="W132" s="339"/>
      <c r="X132" s="576" t="s">
        <v>498</v>
      </c>
      <c r="Y132" s="295"/>
      <c r="Z132" s="259"/>
      <c r="AA132" s="259"/>
      <c r="AB132" s="259"/>
      <c r="AC132" s="259"/>
      <c r="AD132" s="259"/>
      <c r="AE132" s="298">
        <v>0</v>
      </c>
      <c r="AF132" s="299">
        <v>0</v>
      </c>
      <c r="AG132" s="297">
        <v>0</v>
      </c>
      <c r="AH132" s="298">
        <v>0</v>
      </c>
      <c r="AI132" s="298">
        <v>0</v>
      </c>
      <c r="AJ132" s="298">
        <v>0</v>
      </c>
      <c r="AK132" s="299">
        <v>0</v>
      </c>
      <c r="AL132" s="441"/>
      <c r="AM132" s="601">
        <v>0</v>
      </c>
      <c r="AN132" s="304">
        <f t="shared" si="20"/>
        <v>0</v>
      </c>
      <c r="AO132" s="1485">
        <v>0</v>
      </c>
      <c r="AP132" s="1486"/>
    </row>
    <row r="133" spans="1:42">
      <c r="A133" s="258"/>
      <c r="B133" s="592"/>
      <c r="C133" s="593"/>
      <c r="D133" s="339" t="s">
        <v>85</v>
      </c>
      <c r="E133" s="339"/>
      <c r="F133" s="339"/>
      <c r="G133" s="293"/>
      <c r="H133" s="259"/>
      <c r="I133" s="576" t="s">
        <v>498</v>
      </c>
      <c r="J133" s="295"/>
      <c r="K133" s="259"/>
      <c r="L133" s="259"/>
      <c r="M133" s="259"/>
      <c r="N133" s="259"/>
      <c r="O133" s="259"/>
      <c r="P133" s="298">
        <v>0</v>
      </c>
      <c r="Q133" s="299">
        <v>0</v>
      </c>
      <c r="R133" s="297">
        <v>0</v>
      </c>
      <c r="S133" s="298">
        <v>0</v>
      </c>
      <c r="T133" s="298">
        <v>0</v>
      </c>
      <c r="U133" s="298">
        <v>0</v>
      </c>
      <c r="V133" s="299">
        <v>0</v>
      </c>
      <c r="W133" s="339"/>
      <c r="X133" s="576" t="s">
        <v>498</v>
      </c>
      <c r="Y133" s="295"/>
      <c r="Z133" s="259"/>
      <c r="AA133" s="259"/>
      <c r="AB133" s="259"/>
      <c r="AC133" s="259"/>
      <c r="AD133" s="259"/>
      <c r="AE133" s="298">
        <v>0</v>
      </c>
      <c r="AF133" s="299">
        <v>0</v>
      </c>
      <c r="AG133" s="297">
        <v>0</v>
      </c>
      <c r="AH133" s="298">
        <v>0</v>
      </c>
      <c r="AI133" s="298">
        <v>0</v>
      </c>
      <c r="AJ133" s="298">
        <v>0</v>
      </c>
      <c r="AK133" s="299">
        <v>0</v>
      </c>
      <c r="AL133" s="441"/>
      <c r="AM133" s="601">
        <v>0</v>
      </c>
      <c r="AN133" s="304">
        <f t="shared" si="20"/>
        <v>0</v>
      </c>
      <c r="AO133" s="1485">
        <v>0</v>
      </c>
      <c r="AP133" s="1486"/>
    </row>
    <row r="134" spans="1:42">
      <c r="A134" s="258"/>
      <c r="B134" s="592"/>
      <c r="C134" s="593"/>
      <c r="D134" s="339" t="s">
        <v>85</v>
      </c>
      <c r="E134" s="339"/>
      <c r="F134" s="339"/>
      <c r="G134" s="293"/>
      <c r="H134" s="259"/>
      <c r="I134" s="576" t="s">
        <v>498</v>
      </c>
      <c r="J134" s="295"/>
      <c r="K134" s="259"/>
      <c r="L134" s="259"/>
      <c r="M134" s="259"/>
      <c r="N134" s="259"/>
      <c r="O134" s="259"/>
      <c r="P134" s="298">
        <v>0</v>
      </c>
      <c r="Q134" s="299">
        <v>0</v>
      </c>
      <c r="R134" s="297">
        <v>0</v>
      </c>
      <c r="S134" s="298">
        <v>0</v>
      </c>
      <c r="T134" s="298">
        <v>0</v>
      </c>
      <c r="U134" s="298">
        <v>0</v>
      </c>
      <c r="V134" s="299">
        <v>0</v>
      </c>
      <c r="W134" s="339"/>
      <c r="X134" s="576" t="s">
        <v>498</v>
      </c>
      <c r="Y134" s="295"/>
      <c r="Z134" s="259"/>
      <c r="AA134" s="259"/>
      <c r="AB134" s="259"/>
      <c r="AC134" s="259"/>
      <c r="AD134" s="259"/>
      <c r="AE134" s="298">
        <v>0</v>
      </c>
      <c r="AF134" s="299">
        <v>0</v>
      </c>
      <c r="AG134" s="297">
        <v>0</v>
      </c>
      <c r="AH134" s="298">
        <v>0</v>
      </c>
      <c r="AI134" s="298">
        <v>0</v>
      </c>
      <c r="AJ134" s="298">
        <v>0</v>
      </c>
      <c r="AK134" s="299">
        <v>0</v>
      </c>
      <c r="AL134" s="441"/>
      <c r="AM134" s="601">
        <v>0</v>
      </c>
      <c r="AN134" s="304">
        <f t="shared" si="20"/>
        <v>0</v>
      </c>
      <c r="AO134" s="1485">
        <v>0</v>
      </c>
      <c r="AP134" s="1486"/>
    </row>
    <row r="135" spans="1:42">
      <c r="A135" s="258"/>
      <c r="B135" s="592"/>
      <c r="C135" s="593"/>
      <c r="D135" s="339" t="s">
        <v>85</v>
      </c>
      <c r="E135" s="339"/>
      <c r="F135" s="339"/>
      <c r="G135" s="293"/>
      <c r="H135" s="259"/>
      <c r="I135" s="576" t="s">
        <v>498</v>
      </c>
      <c r="J135" s="295"/>
      <c r="K135" s="259"/>
      <c r="L135" s="259"/>
      <c r="M135" s="259"/>
      <c r="N135" s="259"/>
      <c r="O135" s="259"/>
      <c r="P135" s="298">
        <v>0</v>
      </c>
      <c r="Q135" s="299">
        <v>0</v>
      </c>
      <c r="R135" s="297">
        <v>0</v>
      </c>
      <c r="S135" s="298">
        <v>0</v>
      </c>
      <c r="T135" s="298">
        <v>0</v>
      </c>
      <c r="U135" s="298">
        <v>0</v>
      </c>
      <c r="V135" s="299">
        <v>0</v>
      </c>
      <c r="W135" s="339"/>
      <c r="X135" s="576" t="s">
        <v>498</v>
      </c>
      <c r="Y135" s="295"/>
      <c r="Z135" s="259"/>
      <c r="AA135" s="259"/>
      <c r="AB135" s="259"/>
      <c r="AC135" s="259"/>
      <c r="AD135" s="259"/>
      <c r="AE135" s="298">
        <v>0</v>
      </c>
      <c r="AF135" s="299">
        <v>0</v>
      </c>
      <c r="AG135" s="297">
        <v>0</v>
      </c>
      <c r="AH135" s="298">
        <v>0</v>
      </c>
      <c r="AI135" s="298">
        <v>0</v>
      </c>
      <c r="AJ135" s="298">
        <v>0</v>
      </c>
      <c r="AK135" s="299">
        <v>0</v>
      </c>
      <c r="AL135" s="339"/>
      <c r="AM135" s="601">
        <v>0</v>
      </c>
      <c r="AN135" s="304">
        <f t="shared" si="20"/>
        <v>0</v>
      </c>
      <c r="AO135" s="1485">
        <v>0</v>
      </c>
      <c r="AP135" s="1486"/>
    </row>
    <row r="136" spans="1:42">
      <c r="A136" s="258"/>
      <c r="B136" s="592"/>
      <c r="C136" s="593"/>
      <c r="D136" s="339" t="s">
        <v>85</v>
      </c>
      <c r="E136" s="339"/>
      <c r="F136" s="339"/>
      <c r="G136" s="293"/>
      <c r="H136" s="259"/>
      <c r="I136" s="576" t="s">
        <v>498</v>
      </c>
      <c r="J136" s="295"/>
      <c r="K136" s="259"/>
      <c r="L136" s="259"/>
      <c r="M136" s="259"/>
      <c r="N136" s="259"/>
      <c r="O136" s="259"/>
      <c r="P136" s="298">
        <v>0</v>
      </c>
      <c r="Q136" s="299">
        <v>0</v>
      </c>
      <c r="R136" s="297">
        <v>0</v>
      </c>
      <c r="S136" s="298">
        <v>0</v>
      </c>
      <c r="T136" s="298">
        <v>0</v>
      </c>
      <c r="U136" s="298">
        <v>0</v>
      </c>
      <c r="V136" s="299">
        <v>0</v>
      </c>
      <c r="W136" s="339"/>
      <c r="X136" s="576" t="s">
        <v>498</v>
      </c>
      <c r="Y136" s="295"/>
      <c r="Z136" s="259"/>
      <c r="AA136" s="259"/>
      <c r="AB136" s="259"/>
      <c r="AC136" s="259"/>
      <c r="AD136" s="259"/>
      <c r="AE136" s="298">
        <v>0</v>
      </c>
      <c r="AF136" s="299">
        <v>0</v>
      </c>
      <c r="AG136" s="297">
        <v>0</v>
      </c>
      <c r="AH136" s="298">
        <v>0</v>
      </c>
      <c r="AI136" s="298">
        <v>0</v>
      </c>
      <c r="AJ136" s="298">
        <v>0</v>
      </c>
      <c r="AK136" s="299">
        <v>0</v>
      </c>
      <c r="AL136" s="441"/>
      <c r="AM136" s="601">
        <v>0</v>
      </c>
      <c r="AN136" s="304">
        <f t="shared" si="20"/>
        <v>0</v>
      </c>
      <c r="AO136" s="1485">
        <v>0</v>
      </c>
      <c r="AP136" s="1486"/>
    </row>
    <row r="137" spans="1:42">
      <c r="A137" s="258"/>
      <c r="B137" s="592"/>
      <c r="C137" s="593"/>
      <c r="D137" s="339" t="s">
        <v>85</v>
      </c>
      <c r="E137" s="339"/>
      <c r="F137" s="339"/>
      <c r="G137" s="293"/>
      <c r="H137" s="259"/>
      <c r="I137" s="576" t="s">
        <v>498</v>
      </c>
      <c r="J137" s="295"/>
      <c r="K137" s="259"/>
      <c r="L137" s="259"/>
      <c r="M137" s="259"/>
      <c r="N137" s="259"/>
      <c r="O137" s="259"/>
      <c r="P137" s="298">
        <v>0</v>
      </c>
      <c r="Q137" s="299">
        <v>0</v>
      </c>
      <c r="R137" s="297">
        <v>0</v>
      </c>
      <c r="S137" s="298">
        <v>0</v>
      </c>
      <c r="T137" s="298">
        <v>0</v>
      </c>
      <c r="U137" s="298">
        <v>0</v>
      </c>
      <c r="V137" s="299">
        <v>0</v>
      </c>
      <c r="W137" s="339"/>
      <c r="X137" s="576" t="s">
        <v>498</v>
      </c>
      <c r="Y137" s="295"/>
      <c r="Z137" s="259"/>
      <c r="AA137" s="259"/>
      <c r="AB137" s="259"/>
      <c r="AC137" s="259"/>
      <c r="AD137" s="259"/>
      <c r="AE137" s="298">
        <v>0</v>
      </c>
      <c r="AF137" s="299">
        <v>0</v>
      </c>
      <c r="AG137" s="297">
        <v>0</v>
      </c>
      <c r="AH137" s="298">
        <v>0</v>
      </c>
      <c r="AI137" s="298">
        <v>0</v>
      </c>
      <c r="AJ137" s="298">
        <v>0</v>
      </c>
      <c r="AK137" s="299">
        <v>0</v>
      </c>
      <c r="AL137" s="441"/>
      <c r="AM137" s="601">
        <v>0</v>
      </c>
      <c r="AN137" s="304">
        <f t="shared" si="20"/>
        <v>0</v>
      </c>
      <c r="AO137" s="1485">
        <v>0</v>
      </c>
      <c r="AP137" s="1486"/>
    </row>
    <row r="138" spans="1:42">
      <c r="A138" s="258"/>
      <c r="B138" s="592"/>
      <c r="C138" s="593"/>
      <c r="D138" s="339" t="s">
        <v>85</v>
      </c>
      <c r="E138" s="339"/>
      <c r="F138" s="339"/>
      <c r="G138" s="293"/>
      <c r="H138" s="259"/>
      <c r="I138" s="576" t="s">
        <v>498</v>
      </c>
      <c r="J138" s="295"/>
      <c r="K138" s="259"/>
      <c r="L138" s="259"/>
      <c r="M138" s="259"/>
      <c r="N138" s="259"/>
      <c r="O138" s="259"/>
      <c r="P138" s="298">
        <v>0</v>
      </c>
      <c r="Q138" s="299">
        <v>0</v>
      </c>
      <c r="R138" s="297">
        <v>0</v>
      </c>
      <c r="S138" s="298">
        <v>0</v>
      </c>
      <c r="T138" s="298">
        <v>0</v>
      </c>
      <c r="U138" s="298">
        <v>0</v>
      </c>
      <c r="V138" s="299">
        <v>0</v>
      </c>
      <c r="W138" s="339"/>
      <c r="X138" s="576" t="s">
        <v>498</v>
      </c>
      <c r="Y138" s="295"/>
      <c r="Z138" s="259"/>
      <c r="AA138" s="259"/>
      <c r="AB138" s="259"/>
      <c r="AC138" s="259"/>
      <c r="AD138" s="259"/>
      <c r="AE138" s="298">
        <v>0</v>
      </c>
      <c r="AF138" s="299">
        <v>0</v>
      </c>
      <c r="AG138" s="297">
        <v>0</v>
      </c>
      <c r="AH138" s="298">
        <v>0</v>
      </c>
      <c r="AI138" s="298">
        <v>0</v>
      </c>
      <c r="AJ138" s="298">
        <v>0</v>
      </c>
      <c r="AK138" s="299">
        <v>0</v>
      </c>
      <c r="AL138" s="441"/>
      <c r="AM138" s="601">
        <v>0</v>
      </c>
      <c r="AN138" s="304">
        <f t="shared" si="20"/>
        <v>0</v>
      </c>
      <c r="AO138" s="1485">
        <v>0</v>
      </c>
      <c r="AP138" s="1486"/>
    </row>
    <row r="139" spans="1:42">
      <c r="A139" s="258"/>
      <c r="B139" s="592"/>
      <c r="C139" s="593"/>
      <c r="D139" s="339" t="s">
        <v>85</v>
      </c>
      <c r="E139" s="339"/>
      <c r="F139" s="339"/>
      <c r="G139" s="293"/>
      <c r="H139" s="259"/>
      <c r="I139" s="576" t="s">
        <v>498</v>
      </c>
      <c r="J139" s="295"/>
      <c r="K139" s="259"/>
      <c r="L139" s="259"/>
      <c r="M139" s="259"/>
      <c r="N139" s="259"/>
      <c r="O139" s="259"/>
      <c r="P139" s="298">
        <v>0</v>
      </c>
      <c r="Q139" s="299">
        <v>0</v>
      </c>
      <c r="R139" s="297">
        <v>0</v>
      </c>
      <c r="S139" s="298">
        <v>0</v>
      </c>
      <c r="T139" s="298">
        <v>0</v>
      </c>
      <c r="U139" s="298">
        <v>0</v>
      </c>
      <c r="V139" s="299">
        <v>0</v>
      </c>
      <c r="W139" s="339"/>
      <c r="X139" s="576" t="s">
        <v>498</v>
      </c>
      <c r="Y139" s="295"/>
      <c r="Z139" s="259"/>
      <c r="AA139" s="259"/>
      <c r="AB139" s="259"/>
      <c r="AC139" s="259"/>
      <c r="AD139" s="259"/>
      <c r="AE139" s="298">
        <v>0</v>
      </c>
      <c r="AF139" s="299">
        <v>0</v>
      </c>
      <c r="AG139" s="297">
        <v>0</v>
      </c>
      <c r="AH139" s="298">
        <v>0</v>
      </c>
      <c r="AI139" s="298">
        <v>0</v>
      </c>
      <c r="AJ139" s="298">
        <v>0</v>
      </c>
      <c r="AK139" s="299">
        <v>0</v>
      </c>
      <c r="AL139" s="339"/>
      <c r="AM139" s="601">
        <v>0</v>
      </c>
      <c r="AN139" s="304">
        <f t="shared" si="20"/>
        <v>0</v>
      </c>
      <c r="AO139" s="1485">
        <v>0</v>
      </c>
      <c r="AP139" s="1486"/>
    </row>
    <row r="140" spans="1:42">
      <c r="A140" s="258"/>
      <c r="B140" s="592"/>
      <c r="C140" s="593"/>
      <c r="D140" s="339" t="s">
        <v>85</v>
      </c>
      <c r="E140" s="339"/>
      <c r="F140" s="339"/>
      <c r="G140" s="293"/>
      <c r="H140" s="259"/>
      <c r="I140" s="576" t="s">
        <v>498</v>
      </c>
      <c r="J140" s="295"/>
      <c r="K140" s="259"/>
      <c r="L140" s="259"/>
      <c r="M140" s="259"/>
      <c r="N140" s="259"/>
      <c r="O140" s="259"/>
      <c r="P140" s="298">
        <v>0</v>
      </c>
      <c r="Q140" s="299">
        <v>0</v>
      </c>
      <c r="R140" s="297">
        <v>0</v>
      </c>
      <c r="S140" s="298">
        <v>0</v>
      </c>
      <c r="T140" s="298">
        <v>0</v>
      </c>
      <c r="U140" s="298">
        <v>0</v>
      </c>
      <c r="V140" s="299">
        <v>0</v>
      </c>
      <c r="W140" s="339"/>
      <c r="X140" s="576" t="s">
        <v>498</v>
      </c>
      <c r="Y140" s="295"/>
      <c r="Z140" s="259"/>
      <c r="AA140" s="259"/>
      <c r="AB140" s="259"/>
      <c r="AC140" s="259"/>
      <c r="AD140" s="259"/>
      <c r="AE140" s="298">
        <v>0</v>
      </c>
      <c r="AF140" s="299">
        <v>0</v>
      </c>
      <c r="AG140" s="297">
        <v>0</v>
      </c>
      <c r="AH140" s="298">
        <v>0</v>
      </c>
      <c r="AI140" s="298">
        <v>0</v>
      </c>
      <c r="AJ140" s="298">
        <v>0</v>
      </c>
      <c r="AK140" s="299">
        <v>0</v>
      </c>
      <c r="AL140" s="339"/>
      <c r="AM140" s="601">
        <v>0</v>
      </c>
      <c r="AN140" s="304">
        <f t="shared" si="20"/>
        <v>0</v>
      </c>
      <c r="AO140" s="1485">
        <v>0</v>
      </c>
      <c r="AP140" s="1486"/>
    </row>
    <row r="141" spans="1:42">
      <c r="A141" s="258"/>
      <c r="B141" s="592"/>
      <c r="C141" s="593"/>
      <c r="D141" s="339" t="s">
        <v>85</v>
      </c>
      <c r="E141" s="339"/>
      <c r="F141" s="339"/>
      <c r="G141" s="293"/>
      <c r="H141" s="259"/>
      <c r="I141" s="576" t="s">
        <v>498</v>
      </c>
      <c r="J141" s="295"/>
      <c r="K141" s="259"/>
      <c r="L141" s="259"/>
      <c r="M141" s="259"/>
      <c r="N141" s="259"/>
      <c r="O141" s="259"/>
      <c r="P141" s="298">
        <v>0</v>
      </c>
      <c r="Q141" s="299">
        <v>0</v>
      </c>
      <c r="R141" s="297">
        <v>0</v>
      </c>
      <c r="S141" s="298">
        <v>0</v>
      </c>
      <c r="T141" s="298">
        <v>0</v>
      </c>
      <c r="U141" s="298">
        <v>0</v>
      </c>
      <c r="V141" s="299">
        <v>0</v>
      </c>
      <c r="W141" s="339"/>
      <c r="X141" s="576" t="s">
        <v>498</v>
      </c>
      <c r="Y141" s="295"/>
      <c r="Z141" s="259"/>
      <c r="AA141" s="259"/>
      <c r="AB141" s="259"/>
      <c r="AC141" s="259"/>
      <c r="AD141" s="259"/>
      <c r="AE141" s="298">
        <v>0</v>
      </c>
      <c r="AF141" s="299">
        <v>0</v>
      </c>
      <c r="AG141" s="297">
        <v>0</v>
      </c>
      <c r="AH141" s="298">
        <v>0</v>
      </c>
      <c r="AI141" s="298">
        <v>0</v>
      </c>
      <c r="AJ141" s="298">
        <v>0</v>
      </c>
      <c r="AK141" s="299">
        <v>0</v>
      </c>
      <c r="AL141" s="441"/>
      <c r="AM141" s="601">
        <v>0</v>
      </c>
      <c r="AN141" s="304">
        <f t="shared" si="20"/>
        <v>0</v>
      </c>
      <c r="AO141" s="1485">
        <v>0</v>
      </c>
      <c r="AP141" s="1486"/>
    </row>
    <row r="142" spans="1:42">
      <c r="A142" s="258"/>
      <c r="B142" s="592"/>
      <c r="C142" s="593"/>
      <c r="D142" s="339" t="s">
        <v>85</v>
      </c>
      <c r="E142" s="339"/>
      <c r="F142" s="339"/>
      <c r="G142" s="293"/>
      <c r="H142" s="259"/>
      <c r="I142" s="576" t="s">
        <v>498</v>
      </c>
      <c r="J142" s="295"/>
      <c r="K142" s="259"/>
      <c r="L142" s="259"/>
      <c r="M142" s="259"/>
      <c r="N142" s="259"/>
      <c r="O142" s="259"/>
      <c r="P142" s="298">
        <v>0</v>
      </c>
      <c r="Q142" s="299">
        <v>0</v>
      </c>
      <c r="R142" s="297">
        <v>0</v>
      </c>
      <c r="S142" s="298">
        <v>0</v>
      </c>
      <c r="T142" s="298">
        <v>0</v>
      </c>
      <c r="U142" s="298">
        <v>0</v>
      </c>
      <c r="V142" s="299">
        <v>0</v>
      </c>
      <c r="W142" s="339"/>
      <c r="X142" s="576" t="s">
        <v>498</v>
      </c>
      <c r="Y142" s="295"/>
      <c r="Z142" s="259"/>
      <c r="AA142" s="259"/>
      <c r="AB142" s="259"/>
      <c r="AC142" s="259"/>
      <c r="AD142" s="259"/>
      <c r="AE142" s="298">
        <v>0</v>
      </c>
      <c r="AF142" s="299">
        <v>0</v>
      </c>
      <c r="AG142" s="297">
        <v>0</v>
      </c>
      <c r="AH142" s="298">
        <v>0</v>
      </c>
      <c r="AI142" s="298">
        <v>0</v>
      </c>
      <c r="AJ142" s="298">
        <v>0</v>
      </c>
      <c r="AK142" s="299">
        <v>0</v>
      </c>
      <c r="AL142" s="441"/>
      <c r="AM142" s="601">
        <v>0</v>
      </c>
      <c r="AN142" s="304">
        <f t="shared" si="20"/>
        <v>0</v>
      </c>
      <c r="AO142" s="1485">
        <v>0</v>
      </c>
      <c r="AP142" s="1486"/>
    </row>
    <row r="143" spans="1:42">
      <c r="A143" s="258"/>
      <c r="B143" s="592"/>
      <c r="C143" s="593"/>
      <c r="D143" s="339" t="s">
        <v>85</v>
      </c>
      <c r="E143" s="339"/>
      <c r="F143" s="339"/>
      <c r="G143" s="293"/>
      <c r="H143" s="259"/>
      <c r="I143" s="576" t="s">
        <v>498</v>
      </c>
      <c r="J143" s="295"/>
      <c r="K143" s="259"/>
      <c r="L143" s="259"/>
      <c r="M143" s="259"/>
      <c r="N143" s="259"/>
      <c r="O143" s="259"/>
      <c r="P143" s="298">
        <v>0</v>
      </c>
      <c r="Q143" s="299">
        <v>0</v>
      </c>
      <c r="R143" s="297">
        <v>0</v>
      </c>
      <c r="S143" s="298">
        <v>0</v>
      </c>
      <c r="T143" s="298">
        <v>0</v>
      </c>
      <c r="U143" s="298">
        <v>0</v>
      </c>
      <c r="V143" s="299">
        <v>0</v>
      </c>
      <c r="W143" s="339"/>
      <c r="X143" s="576" t="s">
        <v>498</v>
      </c>
      <c r="Y143" s="295"/>
      <c r="Z143" s="259"/>
      <c r="AA143" s="259"/>
      <c r="AB143" s="259"/>
      <c r="AC143" s="259"/>
      <c r="AD143" s="259"/>
      <c r="AE143" s="298">
        <v>0</v>
      </c>
      <c r="AF143" s="299">
        <v>0</v>
      </c>
      <c r="AG143" s="297">
        <v>0</v>
      </c>
      <c r="AH143" s="298">
        <v>0</v>
      </c>
      <c r="AI143" s="298">
        <v>0</v>
      </c>
      <c r="AJ143" s="298">
        <v>0</v>
      </c>
      <c r="AK143" s="299">
        <v>0</v>
      </c>
      <c r="AL143" s="339"/>
      <c r="AM143" s="601">
        <v>0</v>
      </c>
      <c r="AN143" s="304">
        <f t="shared" si="20"/>
        <v>0</v>
      </c>
      <c r="AO143" s="1485">
        <v>0</v>
      </c>
      <c r="AP143" s="1486"/>
    </row>
    <row r="144" spans="1:42">
      <c r="A144" s="258"/>
      <c r="B144" s="592"/>
      <c r="C144" s="593"/>
      <c r="D144" s="339" t="s">
        <v>85</v>
      </c>
      <c r="E144" s="339"/>
      <c r="F144" s="339"/>
      <c r="G144" s="293"/>
      <c r="H144" s="259"/>
      <c r="I144" s="576" t="s">
        <v>498</v>
      </c>
      <c r="J144" s="295"/>
      <c r="K144" s="259"/>
      <c r="L144" s="259"/>
      <c r="M144" s="259"/>
      <c r="N144" s="259"/>
      <c r="O144" s="259"/>
      <c r="P144" s="298">
        <v>0</v>
      </c>
      <c r="Q144" s="299">
        <v>0</v>
      </c>
      <c r="R144" s="297">
        <v>0</v>
      </c>
      <c r="S144" s="298">
        <v>0</v>
      </c>
      <c r="T144" s="298">
        <v>0</v>
      </c>
      <c r="U144" s="298">
        <v>0</v>
      </c>
      <c r="V144" s="299">
        <v>0</v>
      </c>
      <c r="W144" s="339"/>
      <c r="X144" s="576" t="s">
        <v>498</v>
      </c>
      <c r="Y144" s="295"/>
      <c r="Z144" s="259"/>
      <c r="AA144" s="259"/>
      <c r="AB144" s="259"/>
      <c r="AC144" s="259"/>
      <c r="AD144" s="259"/>
      <c r="AE144" s="298">
        <v>0</v>
      </c>
      <c r="AF144" s="299">
        <v>0</v>
      </c>
      <c r="AG144" s="297">
        <v>0</v>
      </c>
      <c r="AH144" s="298">
        <v>0</v>
      </c>
      <c r="AI144" s="298">
        <v>0</v>
      </c>
      <c r="AJ144" s="298">
        <v>0</v>
      </c>
      <c r="AK144" s="299">
        <v>0</v>
      </c>
      <c r="AL144" s="339"/>
      <c r="AM144" s="601">
        <v>0</v>
      </c>
      <c r="AN144" s="304">
        <f t="shared" si="20"/>
        <v>0</v>
      </c>
      <c r="AO144" s="1485">
        <v>0</v>
      </c>
      <c r="AP144" s="1486"/>
    </row>
    <row r="145" spans="1:42">
      <c r="A145" s="258"/>
      <c r="B145" s="592"/>
      <c r="C145" s="593"/>
      <c r="D145" s="339" t="s">
        <v>85</v>
      </c>
      <c r="E145" s="339"/>
      <c r="F145" s="339"/>
      <c r="G145" s="293"/>
      <c r="H145" s="259"/>
      <c r="I145" s="576" t="s">
        <v>498</v>
      </c>
      <c r="J145" s="295"/>
      <c r="K145" s="259"/>
      <c r="L145" s="259"/>
      <c r="M145" s="259"/>
      <c r="N145" s="259"/>
      <c r="O145" s="259"/>
      <c r="P145" s="298">
        <v>0</v>
      </c>
      <c r="Q145" s="299">
        <v>0</v>
      </c>
      <c r="R145" s="297">
        <v>0</v>
      </c>
      <c r="S145" s="298">
        <v>0</v>
      </c>
      <c r="T145" s="298">
        <v>0</v>
      </c>
      <c r="U145" s="298">
        <v>0</v>
      </c>
      <c r="V145" s="299">
        <v>0</v>
      </c>
      <c r="W145" s="339"/>
      <c r="X145" s="576" t="s">
        <v>498</v>
      </c>
      <c r="Y145" s="295"/>
      <c r="Z145" s="259"/>
      <c r="AA145" s="259"/>
      <c r="AB145" s="259"/>
      <c r="AC145" s="259"/>
      <c r="AD145" s="259"/>
      <c r="AE145" s="298">
        <v>0</v>
      </c>
      <c r="AF145" s="299">
        <v>0</v>
      </c>
      <c r="AG145" s="297">
        <v>0</v>
      </c>
      <c r="AH145" s="298">
        <v>0</v>
      </c>
      <c r="AI145" s="298">
        <v>0</v>
      </c>
      <c r="AJ145" s="298">
        <v>0</v>
      </c>
      <c r="AK145" s="299">
        <v>0</v>
      </c>
      <c r="AL145" s="339"/>
      <c r="AM145" s="601">
        <v>0</v>
      </c>
      <c r="AN145" s="304">
        <f t="shared" si="20"/>
        <v>0</v>
      </c>
      <c r="AO145" s="1485">
        <v>0</v>
      </c>
      <c r="AP145" s="1486"/>
    </row>
    <row r="146" spans="1:42">
      <c r="A146" s="258"/>
      <c r="B146" s="592"/>
      <c r="C146" s="593"/>
      <c r="D146" s="339" t="s">
        <v>85</v>
      </c>
      <c r="E146" s="339"/>
      <c r="F146" s="339"/>
      <c r="G146" s="293"/>
      <c r="H146" s="259"/>
      <c r="I146" s="576" t="s">
        <v>498</v>
      </c>
      <c r="J146" s="295"/>
      <c r="K146" s="259"/>
      <c r="L146" s="259"/>
      <c r="M146" s="259"/>
      <c r="N146" s="259"/>
      <c r="O146" s="259"/>
      <c r="P146" s="298">
        <v>0</v>
      </c>
      <c r="Q146" s="299">
        <v>0</v>
      </c>
      <c r="R146" s="297">
        <v>0</v>
      </c>
      <c r="S146" s="298">
        <v>0</v>
      </c>
      <c r="T146" s="298">
        <v>0</v>
      </c>
      <c r="U146" s="298">
        <v>0</v>
      </c>
      <c r="V146" s="299">
        <v>0</v>
      </c>
      <c r="W146" s="339"/>
      <c r="X146" s="576" t="s">
        <v>498</v>
      </c>
      <c r="Y146" s="295"/>
      <c r="Z146" s="259"/>
      <c r="AA146" s="259"/>
      <c r="AB146" s="259"/>
      <c r="AC146" s="259"/>
      <c r="AD146" s="259"/>
      <c r="AE146" s="298">
        <v>0</v>
      </c>
      <c r="AF146" s="299">
        <v>0</v>
      </c>
      <c r="AG146" s="297">
        <v>0</v>
      </c>
      <c r="AH146" s="298">
        <v>0</v>
      </c>
      <c r="AI146" s="298">
        <v>0</v>
      </c>
      <c r="AJ146" s="298">
        <v>0</v>
      </c>
      <c r="AK146" s="299">
        <v>0</v>
      </c>
      <c r="AL146" s="441"/>
      <c r="AM146" s="601">
        <v>0</v>
      </c>
      <c r="AN146" s="304">
        <f t="shared" si="20"/>
        <v>0</v>
      </c>
      <c r="AO146" s="1485">
        <v>0</v>
      </c>
      <c r="AP146" s="1486"/>
    </row>
    <row r="147" spans="1:42">
      <c r="A147" s="258"/>
      <c r="B147" s="592"/>
      <c r="C147" s="593"/>
      <c r="D147" s="339" t="s">
        <v>85</v>
      </c>
      <c r="E147" s="339"/>
      <c r="F147" s="339"/>
      <c r="G147" s="293"/>
      <c r="H147" s="259"/>
      <c r="I147" s="576" t="s">
        <v>498</v>
      </c>
      <c r="J147" s="295"/>
      <c r="K147" s="259"/>
      <c r="L147" s="259"/>
      <c r="M147" s="259"/>
      <c r="N147" s="259"/>
      <c r="O147" s="259"/>
      <c r="P147" s="298">
        <v>0</v>
      </c>
      <c r="Q147" s="299">
        <v>0</v>
      </c>
      <c r="R147" s="297">
        <v>0</v>
      </c>
      <c r="S147" s="298">
        <v>0</v>
      </c>
      <c r="T147" s="298">
        <v>0</v>
      </c>
      <c r="U147" s="298">
        <v>0</v>
      </c>
      <c r="V147" s="299">
        <v>0</v>
      </c>
      <c r="W147" s="339"/>
      <c r="X147" s="576" t="s">
        <v>498</v>
      </c>
      <c r="Y147" s="295"/>
      <c r="Z147" s="259"/>
      <c r="AA147" s="259"/>
      <c r="AB147" s="259"/>
      <c r="AC147" s="259"/>
      <c r="AD147" s="259"/>
      <c r="AE147" s="298">
        <v>0</v>
      </c>
      <c r="AF147" s="299">
        <v>0</v>
      </c>
      <c r="AG147" s="297">
        <v>0</v>
      </c>
      <c r="AH147" s="298">
        <v>0</v>
      </c>
      <c r="AI147" s="298">
        <v>0</v>
      </c>
      <c r="AJ147" s="298">
        <v>0</v>
      </c>
      <c r="AK147" s="299">
        <v>0</v>
      </c>
      <c r="AL147" s="441"/>
      <c r="AM147" s="601">
        <v>0</v>
      </c>
      <c r="AN147" s="304">
        <f t="shared" si="20"/>
        <v>0</v>
      </c>
      <c r="AO147" s="1485">
        <v>0</v>
      </c>
      <c r="AP147" s="1486"/>
    </row>
    <row r="148" spans="1:42">
      <c r="A148" s="258"/>
      <c r="B148" s="592"/>
      <c r="C148" s="593"/>
      <c r="D148" s="339" t="s">
        <v>85</v>
      </c>
      <c r="E148" s="339"/>
      <c r="F148" s="339"/>
      <c r="G148" s="293"/>
      <c r="H148" s="259"/>
      <c r="I148" s="576" t="s">
        <v>498</v>
      </c>
      <c r="J148" s="295"/>
      <c r="K148" s="259"/>
      <c r="L148" s="259"/>
      <c r="M148" s="259"/>
      <c r="N148" s="259"/>
      <c r="O148" s="259"/>
      <c r="P148" s="298">
        <v>0</v>
      </c>
      <c r="Q148" s="299">
        <v>0</v>
      </c>
      <c r="R148" s="297">
        <v>0</v>
      </c>
      <c r="S148" s="298">
        <v>0</v>
      </c>
      <c r="T148" s="298">
        <v>0</v>
      </c>
      <c r="U148" s="298">
        <v>0</v>
      </c>
      <c r="V148" s="299">
        <v>0</v>
      </c>
      <c r="W148" s="339"/>
      <c r="X148" s="576" t="s">
        <v>498</v>
      </c>
      <c r="Y148" s="295"/>
      <c r="Z148" s="259"/>
      <c r="AA148" s="259"/>
      <c r="AB148" s="259"/>
      <c r="AC148" s="259"/>
      <c r="AD148" s="259"/>
      <c r="AE148" s="298">
        <v>0</v>
      </c>
      <c r="AF148" s="299">
        <v>0</v>
      </c>
      <c r="AG148" s="297">
        <v>0</v>
      </c>
      <c r="AH148" s="298">
        <v>0</v>
      </c>
      <c r="AI148" s="298">
        <v>0</v>
      </c>
      <c r="AJ148" s="298">
        <v>0</v>
      </c>
      <c r="AK148" s="299">
        <v>0</v>
      </c>
      <c r="AL148" s="441"/>
      <c r="AM148" s="601">
        <v>0</v>
      </c>
      <c r="AN148" s="304">
        <f t="shared" si="20"/>
        <v>0</v>
      </c>
      <c r="AO148" s="1485">
        <v>0</v>
      </c>
      <c r="AP148" s="1486"/>
    </row>
    <row r="149" spans="1:42">
      <c r="A149" s="258"/>
      <c r="B149" s="592"/>
      <c r="C149" s="593"/>
      <c r="D149" s="339" t="s">
        <v>85</v>
      </c>
      <c r="E149" s="339"/>
      <c r="F149" s="339"/>
      <c r="G149" s="293"/>
      <c r="H149" s="259"/>
      <c r="I149" s="576" t="s">
        <v>498</v>
      </c>
      <c r="J149" s="295"/>
      <c r="K149" s="259"/>
      <c r="L149" s="259"/>
      <c r="M149" s="259"/>
      <c r="N149" s="259"/>
      <c r="O149" s="259"/>
      <c r="P149" s="298">
        <v>0</v>
      </c>
      <c r="Q149" s="299">
        <v>0</v>
      </c>
      <c r="R149" s="297">
        <v>0</v>
      </c>
      <c r="S149" s="298">
        <v>0</v>
      </c>
      <c r="T149" s="298">
        <v>0</v>
      </c>
      <c r="U149" s="298">
        <v>0</v>
      </c>
      <c r="V149" s="299">
        <v>0</v>
      </c>
      <c r="W149" s="339"/>
      <c r="X149" s="576" t="s">
        <v>498</v>
      </c>
      <c r="Y149" s="295"/>
      <c r="Z149" s="259"/>
      <c r="AA149" s="259"/>
      <c r="AB149" s="259"/>
      <c r="AC149" s="259"/>
      <c r="AD149" s="259"/>
      <c r="AE149" s="298">
        <v>0</v>
      </c>
      <c r="AF149" s="299">
        <v>0</v>
      </c>
      <c r="AG149" s="297">
        <v>0</v>
      </c>
      <c r="AH149" s="298">
        <v>0</v>
      </c>
      <c r="AI149" s="298">
        <v>0</v>
      </c>
      <c r="AJ149" s="298">
        <v>0</v>
      </c>
      <c r="AK149" s="299">
        <v>0</v>
      </c>
      <c r="AL149" s="339"/>
      <c r="AM149" s="601">
        <v>0</v>
      </c>
      <c r="AN149" s="304">
        <f t="shared" si="20"/>
        <v>0</v>
      </c>
      <c r="AO149" s="1485">
        <v>0</v>
      </c>
      <c r="AP149" s="1486"/>
    </row>
    <row r="150" spans="1:42">
      <c r="A150" s="258"/>
      <c r="B150" s="592"/>
      <c r="C150" s="593"/>
      <c r="D150" s="339" t="s">
        <v>85</v>
      </c>
      <c r="E150" s="339"/>
      <c r="F150" s="339"/>
      <c r="G150" s="293"/>
      <c r="H150" s="259"/>
      <c r="I150" s="576" t="s">
        <v>498</v>
      </c>
      <c r="J150" s="295"/>
      <c r="K150" s="259"/>
      <c r="L150" s="259"/>
      <c r="M150" s="259"/>
      <c r="N150" s="259"/>
      <c r="O150" s="259"/>
      <c r="P150" s="298">
        <v>0</v>
      </c>
      <c r="Q150" s="299">
        <v>0</v>
      </c>
      <c r="R150" s="297">
        <v>0</v>
      </c>
      <c r="S150" s="298">
        <v>0</v>
      </c>
      <c r="T150" s="298">
        <v>0</v>
      </c>
      <c r="U150" s="298">
        <v>0</v>
      </c>
      <c r="V150" s="299">
        <v>0</v>
      </c>
      <c r="W150" s="339"/>
      <c r="X150" s="576" t="s">
        <v>498</v>
      </c>
      <c r="Y150" s="295"/>
      <c r="Z150" s="259"/>
      <c r="AA150" s="259"/>
      <c r="AB150" s="259"/>
      <c r="AC150" s="259"/>
      <c r="AD150" s="259"/>
      <c r="AE150" s="298">
        <v>0</v>
      </c>
      <c r="AF150" s="299">
        <v>0</v>
      </c>
      <c r="AG150" s="297">
        <v>0</v>
      </c>
      <c r="AH150" s="298">
        <v>0</v>
      </c>
      <c r="AI150" s="298">
        <v>0</v>
      </c>
      <c r="AJ150" s="298">
        <v>0</v>
      </c>
      <c r="AK150" s="299">
        <v>0</v>
      </c>
      <c r="AL150" s="441"/>
      <c r="AM150" s="601">
        <v>0</v>
      </c>
      <c r="AN150" s="304">
        <f t="shared" si="20"/>
        <v>0</v>
      </c>
      <c r="AO150" s="1485">
        <v>0</v>
      </c>
      <c r="AP150" s="1486"/>
    </row>
    <row r="151" spans="1:42">
      <c r="A151" s="258"/>
      <c r="B151" s="592"/>
      <c r="C151" s="593"/>
      <c r="D151" s="339" t="s">
        <v>85</v>
      </c>
      <c r="E151" s="339"/>
      <c r="F151" s="339"/>
      <c r="G151" s="293"/>
      <c r="H151" s="259"/>
      <c r="I151" s="576" t="s">
        <v>498</v>
      </c>
      <c r="J151" s="295"/>
      <c r="K151" s="259"/>
      <c r="L151" s="259"/>
      <c r="M151" s="259"/>
      <c r="N151" s="259"/>
      <c r="O151" s="259"/>
      <c r="P151" s="298">
        <v>0</v>
      </c>
      <c r="Q151" s="299">
        <v>0</v>
      </c>
      <c r="R151" s="297">
        <v>0</v>
      </c>
      <c r="S151" s="298">
        <v>0</v>
      </c>
      <c r="T151" s="298">
        <v>0</v>
      </c>
      <c r="U151" s="298">
        <v>0</v>
      </c>
      <c r="V151" s="299">
        <v>0</v>
      </c>
      <c r="W151" s="339"/>
      <c r="X151" s="576" t="s">
        <v>498</v>
      </c>
      <c r="Y151" s="295"/>
      <c r="Z151" s="259"/>
      <c r="AA151" s="259"/>
      <c r="AB151" s="259"/>
      <c r="AC151" s="259"/>
      <c r="AD151" s="259"/>
      <c r="AE151" s="298">
        <v>0</v>
      </c>
      <c r="AF151" s="299">
        <v>0</v>
      </c>
      <c r="AG151" s="297">
        <v>0</v>
      </c>
      <c r="AH151" s="298">
        <v>0</v>
      </c>
      <c r="AI151" s="298">
        <v>0</v>
      </c>
      <c r="AJ151" s="298">
        <v>0</v>
      </c>
      <c r="AK151" s="299">
        <v>0</v>
      </c>
      <c r="AL151" s="441"/>
      <c r="AM151" s="601">
        <v>0</v>
      </c>
      <c r="AN151" s="304">
        <f t="shared" si="20"/>
        <v>0</v>
      </c>
      <c r="AO151" s="1485">
        <v>0</v>
      </c>
      <c r="AP151" s="1486"/>
    </row>
    <row r="152" spans="1:42">
      <c r="A152" s="258"/>
      <c r="B152" s="592"/>
      <c r="C152" s="593"/>
      <c r="D152" s="339" t="s">
        <v>85</v>
      </c>
      <c r="E152" s="339"/>
      <c r="F152" s="339"/>
      <c r="G152" s="293"/>
      <c r="H152" s="259"/>
      <c r="I152" s="576" t="s">
        <v>498</v>
      </c>
      <c r="J152" s="295"/>
      <c r="K152" s="259"/>
      <c r="L152" s="259"/>
      <c r="M152" s="259"/>
      <c r="N152" s="259"/>
      <c r="O152" s="259"/>
      <c r="P152" s="298">
        <v>0</v>
      </c>
      <c r="Q152" s="299">
        <v>0</v>
      </c>
      <c r="R152" s="297">
        <v>0</v>
      </c>
      <c r="S152" s="298">
        <v>0</v>
      </c>
      <c r="T152" s="298">
        <v>0</v>
      </c>
      <c r="U152" s="298">
        <v>0</v>
      </c>
      <c r="V152" s="299">
        <v>0</v>
      </c>
      <c r="W152" s="339"/>
      <c r="X152" s="576" t="s">
        <v>498</v>
      </c>
      <c r="Y152" s="295"/>
      <c r="Z152" s="259"/>
      <c r="AA152" s="259"/>
      <c r="AB152" s="259"/>
      <c r="AC152" s="259"/>
      <c r="AD152" s="259"/>
      <c r="AE152" s="298">
        <v>0</v>
      </c>
      <c r="AF152" s="299">
        <v>0</v>
      </c>
      <c r="AG152" s="297">
        <v>0</v>
      </c>
      <c r="AH152" s="298">
        <v>0</v>
      </c>
      <c r="AI152" s="298">
        <v>0</v>
      </c>
      <c r="AJ152" s="298">
        <v>0</v>
      </c>
      <c r="AK152" s="299">
        <v>0</v>
      </c>
      <c r="AL152" s="441"/>
      <c r="AM152" s="601">
        <v>0</v>
      </c>
      <c r="AN152" s="304">
        <f t="shared" si="20"/>
        <v>0</v>
      </c>
      <c r="AO152" s="1485">
        <v>0</v>
      </c>
      <c r="AP152" s="1486"/>
    </row>
    <row r="153" spans="1:42">
      <c r="A153" s="258"/>
      <c r="B153" s="592"/>
      <c r="C153" s="593"/>
      <c r="D153" s="339" t="s">
        <v>85</v>
      </c>
      <c r="E153" s="339"/>
      <c r="F153" s="339"/>
      <c r="G153" s="293"/>
      <c r="H153" s="259"/>
      <c r="I153" s="576" t="s">
        <v>498</v>
      </c>
      <c r="J153" s="295"/>
      <c r="K153" s="259"/>
      <c r="L153" s="259"/>
      <c r="M153" s="259"/>
      <c r="N153" s="259"/>
      <c r="O153" s="259"/>
      <c r="P153" s="298">
        <v>0</v>
      </c>
      <c r="Q153" s="299">
        <v>0</v>
      </c>
      <c r="R153" s="297">
        <v>0</v>
      </c>
      <c r="S153" s="298">
        <v>0</v>
      </c>
      <c r="T153" s="298">
        <v>0</v>
      </c>
      <c r="U153" s="298">
        <v>0</v>
      </c>
      <c r="V153" s="299">
        <v>0</v>
      </c>
      <c r="W153" s="339"/>
      <c r="X153" s="576" t="s">
        <v>498</v>
      </c>
      <c r="Y153" s="295"/>
      <c r="Z153" s="259"/>
      <c r="AA153" s="259"/>
      <c r="AB153" s="259"/>
      <c r="AC153" s="259"/>
      <c r="AD153" s="259"/>
      <c r="AE153" s="298">
        <v>0</v>
      </c>
      <c r="AF153" s="299">
        <v>0</v>
      </c>
      <c r="AG153" s="297">
        <v>0</v>
      </c>
      <c r="AH153" s="298">
        <v>0</v>
      </c>
      <c r="AI153" s="298">
        <v>0</v>
      </c>
      <c r="AJ153" s="298">
        <v>0</v>
      </c>
      <c r="AK153" s="299">
        <v>0</v>
      </c>
      <c r="AL153" s="339"/>
      <c r="AM153" s="601">
        <v>0</v>
      </c>
      <c r="AN153" s="304">
        <f t="shared" si="20"/>
        <v>0</v>
      </c>
      <c r="AO153" s="1485">
        <v>0</v>
      </c>
      <c r="AP153" s="1486"/>
    </row>
    <row r="154" spans="1:42">
      <c r="A154" s="258"/>
      <c r="B154" s="592"/>
      <c r="C154" s="593"/>
      <c r="D154" s="339" t="s">
        <v>85</v>
      </c>
      <c r="E154" s="339"/>
      <c r="F154" s="339"/>
      <c r="G154" s="293"/>
      <c r="H154" s="259"/>
      <c r="I154" s="576" t="s">
        <v>498</v>
      </c>
      <c r="J154" s="295"/>
      <c r="K154" s="259"/>
      <c r="L154" s="259"/>
      <c r="M154" s="259"/>
      <c r="N154" s="259"/>
      <c r="O154" s="259"/>
      <c r="P154" s="298">
        <v>0</v>
      </c>
      <c r="Q154" s="299">
        <v>0</v>
      </c>
      <c r="R154" s="297">
        <v>0</v>
      </c>
      <c r="S154" s="298">
        <v>0</v>
      </c>
      <c r="T154" s="298">
        <v>0</v>
      </c>
      <c r="U154" s="298">
        <v>0</v>
      </c>
      <c r="V154" s="299">
        <v>0</v>
      </c>
      <c r="W154" s="339"/>
      <c r="X154" s="576" t="s">
        <v>498</v>
      </c>
      <c r="Y154" s="295"/>
      <c r="Z154" s="259"/>
      <c r="AA154" s="259"/>
      <c r="AB154" s="259"/>
      <c r="AC154" s="259"/>
      <c r="AD154" s="259"/>
      <c r="AE154" s="298">
        <v>0</v>
      </c>
      <c r="AF154" s="299">
        <v>0</v>
      </c>
      <c r="AG154" s="297">
        <v>0</v>
      </c>
      <c r="AH154" s="298">
        <v>0</v>
      </c>
      <c r="AI154" s="298">
        <v>0</v>
      </c>
      <c r="AJ154" s="298">
        <v>0</v>
      </c>
      <c r="AK154" s="299">
        <v>0</v>
      </c>
      <c r="AL154" s="339"/>
      <c r="AM154" s="601">
        <v>0</v>
      </c>
      <c r="AN154" s="304">
        <f t="shared" si="20"/>
        <v>0</v>
      </c>
      <c r="AO154" s="1485">
        <v>0</v>
      </c>
      <c r="AP154" s="1486"/>
    </row>
    <row r="155" spans="1:42">
      <c r="A155" s="258"/>
      <c r="B155" s="592"/>
      <c r="C155" s="593"/>
      <c r="D155" s="339" t="s">
        <v>85</v>
      </c>
      <c r="E155" s="339"/>
      <c r="F155" s="339"/>
      <c r="G155" s="293"/>
      <c r="H155" s="259"/>
      <c r="I155" s="576" t="s">
        <v>498</v>
      </c>
      <c r="J155" s="295"/>
      <c r="K155" s="259"/>
      <c r="L155" s="259"/>
      <c r="M155" s="259"/>
      <c r="N155" s="259"/>
      <c r="O155" s="259"/>
      <c r="P155" s="298">
        <v>0</v>
      </c>
      <c r="Q155" s="299">
        <v>0</v>
      </c>
      <c r="R155" s="297">
        <v>0</v>
      </c>
      <c r="S155" s="298">
        <v>0</v>
      </c>
      <c r="T155" s="298">
        <v>0</v>
      </c>
      <c r="U155" s="298">
        <v>0</v>
      </c>
      <c r="V155" s="299">
        <v>0</v>
      </c>
      <c r="W155" s="339"/>
      <c r="X155" s="576" t="s">
        <v>498</v>
      </c>
      <c r="Y155" s="295"/>
      <c r="Z155" s="259"/>
      <c r="AA155" s="259"/>
      <c r="AB155" s="259"/>
      <c r="AC155" s="259"/>
      <c r="AD155" s="259"/>
      <c r="AE155" s="298">
        <v>0</v>
      </c>
      <c r="AF155" s="299">
        <v>0</v>
      </c>
      <c r="AG155" s="297">
        <v>0</v>
      </c>
      <c r="AH155" s="298">
        <v>0</v>
      </c>
      <c r="AI155" s="298">
        <v>0</v>
      </c>
      <c r="AJ155" s="298">
        <v>0</v>
      </c>
      <c r="AK155" s="299">
        <v>0</v>
      </c>
      <c r="AL155" s="339"/>
      <c r="AM155" s="601">
        <v>0</v>
      </c>
      <c r="AN155" s="304">
        <f t="shared" si="20"/>
        <v>0</v>
      </c>
      <c r="AO155" s="1485">
        <v>0</v>
      </c>
      <c r="AP155" s="1486"/>
    </row>
    <row r="156" spans="1:42">
      <c r="A156" s="258"/>
      <c r="B156" s="592"/>
      <c r="C156" s="593"/>
      <c r="D156" s="339" t="s">
        <v>85</v>
      </c>
      <c r="E156" s="339"/>
      <c r="F156" s="339"/>
      <c r="G156" s="293"/>
      <c r="H156" s="259"/>
      <c r="I156" s="576" t="s">
        <v>498</v>
      </c>
      <c r="J156" s="295"/>
      <c r="K156" s="259"/>
      <c r="L156" s="259"/>
      <c r="M156" s="259"/>
      <c r="N156" s="259"/>
      <c r="O156" s="259"/>
      <c r="P156" s="298">
        <v>0</v>
      </c>
      <c r="Q156" s="299">
        <v>0</v>
      </c>
      <c r="R156" s="297">
        <v>0</v>
      </c>
      <c r="S156" s="298">
        <v>0</v>
      </c>
      <c r="T156" s="298">
        <v>0</v>
      </c>
      <c r="U156" s="298">
        <v>0</v>
      </c>
      <c r="V156" s="299">
        <v>0</v>
      </c>
      <c r="W156" s="339"/>
      <c r="X156" s="576" t="s">
        <v>498</v>
      </c>
      <c r="Y156" s="295"/>
      <c r="Z156" s="259"/>
      <c r="AA156" s="259"/>
      <c r="AB156" s="259"/>
      <c r="AC156" s="259"/>
      <c r="AD156" s="259"/>
      <c r="AE156" s="298">
        <v>0</v>
      </c>
      <c r="AF156" s="299">
        <v>0</v>
      </c>
      <c r="AG156" s="297">
        <v>0</v>
      </c>
      <c r="AH156" s="298">
        <v>0</v>
      </c>
      <c r="AI156" s="298">
        <v>0</v>
      </c>
      <c r="AJ156" s="298">
        <v>0</v>
      </c>
      <c r="AK156" s="299">
        <v>0</v>
      </c>
      <c r="AL156" s="441"/>
      <c r="AM156" s="601">
        <v>0</v>
      </c>
      <c r="AN156" s="304">
        <f t="shared" si="20"/>
        <v>0</v>
      </c>
      <c r="AO156" s="1485">
        <v>0</v>
      </c>
      <c r="AP156" s="1486"/>
    </row>
    <row r="157" spans="1:42">
      <c r="A157" s="258"/>
      <c r="B157" s="592"/>
      <c r="C157" s="593"/>
      <c r="D157" s="339" t="s">
        <v>85</v>
      </c>
      <c r="E157" s="339"/>
      <c r="F157" s="339"/>
      <c r="G157" s="293"/>
      <c r="H157" s="259"/>
      <c r="I157" s="576" t="s">
        <v>498</v>
      </c>
      <c r="J157" s="295"/>
      <c r="K157" s="259"/>
      <c r="L157" s="259"/>
      <c r="M157" s="259"/>
      <c r="N157" s="259"/>
      <c r="O157" s="259"/>
      <c r="P157" s="298">
        <v>0</v>
      </c>
      <c r="Q157" s="299">
        <v>0</v>
      </c>
      <c r="R157" s="297">
        <v>0</v>
      </c>
      <c r="S157" s="298">
        <v>0</v>
      </c>
      <c r="T157" s="298">
        <v>0</v>
      </c>
      <c r="U157" s="298">
        <v>0</v>
      </c>
      <c r="V157" s="299">
        <v>0</v>
      </c>
      <c r="W157" s="339"/>
      <c r="X157" s="576" t="s">
        <v>498</v>
      </c>
      <c r="Y157" s="295"/>
      <c r="Z157" s="259"/>
      <c r="AA157" s="259"/>
      <c r="AB157" s="259"/>
      <c r="AC157" s="259"/>
      <c r="AD157" s="259"/>
      <c r="AE157" s="298">
        <v>0</v>
      </c>
      <c r="AF157" s="299">
        <v>0</v>
      </c>
      <c r="AG157" s="297">
        <v>0</v>
      </c>
      <c r="AH157" s="298">
        <v>0</v>
      </c>
      <c r="AI157" s="298">
        <v>0</v>
      </c>
      <c r="AJ157" s="298">
        <v>0</v>
      </c>
      <c r="AK157" s="299">
        <v>0</v>
      </c>
      <c r="AL157" s="441"/>
      <c r="AM157" s="601">
        <v>0</v>
      </c>
      <c r="AN157" s="304">
        <f t="shared" si="20"/>
        <v>0</v>
      </c>
      <c r="AO157" s="1485">
        <v>0</v>
      </c>
      <c r="AP157" s="1486"/>
    </row>
    <row r="158" spans="1:42">
      <c r="A158" s="258"/>
      <c r="B158" s="592"/>
      <c r="C158" s="593"/>
      <c r="D158" s="339" t="s">
        <v>85</v>
      </c>
      <c r="E158" s="339"/>
      <c r="F158" s="339"/>
      <c r="G158" s="293"/>
      <c r="H158" s="259"/>
      <c r="I158" s="576" t="s">
        <v>498</v>
      </c>
      <c r="J158" s="295"/>
      <c r="K158" s="259"/>
      <c r="L158" s="259"/>
      <c r="M158" s="259"/>
      <c r="N158" s="259"/>
      <c r="O158" s="259"/>
      <c r="P158" s="298">
        <v>0</v>
      </c>
      <c r="Q158" s="299">
        <v>0</v>
      </c>
      <c r="R158" s="297">
        <v>0</v>
      </c>
      <c r="S158" s="298">
        <v>0</v>
      </c>
      <c r="T158" s="298">
        <v>0</v>
      </c>
      <c r="U158" s="298">
        <v>0</v>
      </c>
      <c r="V158" s="299">
        <v>0</v>
      </c>
      <c r="W158" s="339"/>
      <c r="X158" s="576" t="s">
        <v>498</v>
      </c>
      <c r="Y158" s="295"/>
      <c r="Z158" s="259"/>
      <c r="AA158" s="259"/>
      <c r="AB158" s="259"/>
      <c r="AC158" s="259"/>
      <c r="AD158" s="259"/>
      <c r="AE158" s="298">
        <v>0</v>
      </c>
      <c r="AF158" s="299">
        <v>0</v>
      </c>
      <c r="AG158" s="297">
        <v>0</v>
      </c>
      <c r="AH158" s="298">
        <v>0</v>
      </c>
      <c r="AI158" s="298">
        <v>0</v>
      </c>
      <c r="AJ158" s="298">
        <v>0</v>
      </c>
      <c r="AK158" s="299">
        <v>0</v>
      </c>
      <c r="AL158" s="441"/>
      <c r="AM158" s="601">
        <v>0</v>
      </c>
      <c r="AN158" s="304">
        <f t="shared" si="20"/>
        <v>0</v>
      </c>
      <c r="AO158" s="1485">
        <v>0</v>
      </c>
      <c r="AP158" s="1486"/>
    </row>
    <row r="159" spans="1:42">
      <c r="A159" s="258"/>
      <c r="B159" s="592"/>
      <c r="C159" s="593"/>
      <c r="D159" s="339" t="s">
        <v>85</v>
      </c>
      <c r="E159" s="339"/>
      <c r="F159" s="339"/>
      <c r="G159" s="293"/>
      <c r="H159" s="259"/>
      <c r="I159" s="576" t="s">
        <v>498</v>
      </c>
      <c r="J159" s="295"/>
      <c r="K159" s="259"/>
      <c r="L159" s="259"/>
      <c r="M159" s="259"/>
      <c r="N159" s="259"/>
      <c r="O159" s="259"/>
      <c r="P159" s="298">
        <v>0</v>
      </c>
      <c r="Q159" s="299">
        <v>0</v>
      </c>
      <c r="R159" s="297">
        <v>0</v>
      </c>
      <c r="S159" s="298">
        <v>0</v>
      </c>
      <c r="T159" s="298">
        <v>0</v>
      </c>
      <c r="U159" s="298">
        <v>0</v>
      </c>
      <c r="V159" s="299">
        <v>0</v>
      </c>
      <c r="W159" s="339"/>
      <c r="X159" s="576" t="s">
        <v>498</v>
      </c>
      <c r="Y159" s="295"/>
      <c r="Z159" s="259"/>
      <c r="AA159" s="259"/>
      <c r="AB159" s="259"/>
      <c r="AC159" s="259"/>
      <c r="AD159" s="259"/>
      <c r="AE159" s="298">
        <v>0</v>
      </c>
      <c r="AF159" s="299">
        <v>0</v>
      </c>
      <c r="AG159" s="297">
        <v>0</v>
      </c>
      <c r="AH159" s="298">
        <v>0</v>
      </c>
      <c r="AI159" s="298">
        <v>0</v>
      </c>
      <c r="AJ159" s="298">
        <v>0</v>
      </c>
      <c r="AK159" s="299">
        <v>0</v>
      </c>
      <c r="AL159" s="339"/>
      <c r="AM159" s="601">
        <v>0</v>
      </c>
      <c r="AN159" s="304">
        <f t="shared" si="20"/>
        <v>0</v>
      </c>
      <c r="AO159" s="1485">
        <v>0</v>
      </c>
      <c r="AP159" s="1486"/>
    </row>
    <row r="160" spans="1:42">
      <c r="A160" s="258"/>
      <c r="B160" s="592"/>
      <c r="C160" s="593"/>
      <c r="D160" s="339" t="s">
        <v>85</v>
      </c>
      <c r="E160" s="339"/>
      <c r="F160" s="339"/>
      <c r="G160" s="293"/>
      <c r="H160" s="259"/>
      <c r="I160" s="576" t="s">
        <v>498</v>
      </c>
      <c r="J160" s="295"/>
      <c r="K160" s="259"/>
      <c r="L160" s="259"/>
      <c r="M160" s="259"/>
      <c r="N160" s="259"/>
      <c r="O160" s="259"/>
      <c r="P160" s="298">
        <v>0</v>
      </c>
      <c r="Q160" s="299">
        <v>0</v>
      </c>
      <c r="R160" s="297">
        <v>0</v>
      </c>
      <c r="S160" s="298">
        <v>0</v>
      </c>
      <c r="T160" s="298">
        <v>0</v>
      </c>
      <c r="U160" s="298">
        <v>0</v>
      </c>
      <c r="V160" s="299">
        <v>0</v>
      </c>
      <c r="W160" s="339"/>
      <c r="X160" s="576" t="s">
        <v>498</v>
      </c>
      <c r="Y160" s="295"/>
      <c r="Z160" s="259"/>
      <c r="AA160" s="259"/>
      <c r="AB160" s="259"/>
      <c r="AC160" s="259"/>
      <c r="AD160" s="259"/>
      <c r="AE160" s="298">
        <v>0</v>
      </c>
      <c r="AF160" s="299">
        <v>0</v>
      </c>
      <c r="AG160" s="297">
        <v>0</v>
      </c>
      <c r="AH160" s="298">
        <v>0</v>
      </c>
      <c r="AI160" s="298">
        <v>0</v>
      </c>
      <c r="AJ160" s="298">
        <v>0</v>
      </c>
      <c r="AK160" s="299">
        <v>0</v>
      </c>
      <c r="AL160" s="441"/>
      <c r="AM160" s="601">
        <v>0</v>
      </c>
      <c r="AN160" s="304">
        <f t="shared" si="20"/>
        <v>0</v>
      </c>
      <c r="AO160" s="1485">
        <v>0</v>
      </c>
      <c r="AP160" s="1486"/>
    </row>
    <row r="161" spans="1:42">
      <c r="A161" s="258"/>
      <c r="B161" s="592"/>
      <c r="C161" s="593"/>
      <c r="D161" s="339" t="s">
        <v>85</v>
      </c>
      <c r="E161" s="339"/>
      <c r="F161" s="339"/>
      <c r="G161" s="293"/>
      <c r="H161" s="259"/>
      <c r="I161" s="576" t="s">
        <v>498</v>
      </c>
      <c r="J161" s="295"/>
      <c r="K161" s="259"/>
      <c r="L161" s="259"/>
      <c r="M161" s="259"/>
      <c r="N161" s="259"/>
      <c r="O161" s="259"/>
      <c r="P161" s="298">
        <v>0</v>
      </c>
      <c r="Q161" s="299">
        <v>0</v>
      </c>
      <c r="R161" s="297">
        <v>0</v>
      </c>
      <c r="S161" s="298">
        <v>0</v>
      </c>
      <c r="T161" s="298">
        <v>0</v>
      </c>
      <c r="U161" s="298">
        <v>0</v>
      </c>
      <c r="V161" s="299">
        <v>0</v>
      </c>
      <c r="W161" s="339"/>
      <c r="X161" s="576" t="s">
        <v>498</v>
      </c>
      <c r="Y161" s="295"/>
      <c r="Z161" s="259"/>
      <c r="AA161" s="259"/>
      <c r="AB161" s="259"/>
      <c r="AC161" s="259"/>
      <c r="AD161" s="259"/>
      <c r="AE161" s="298">
        <v>0</v>
      </c>
      <c r="AF161" s="299">
        <v>0</v>
      </c>
      <c r="AG161" s="297">
        <v>0</v>
      </c>
      <c r="AH161" s="298">
        <v>0</v>
      </c>
      <c r="AI161" s="298">
        <v>0</v>
      </c>
      <c r="AJ161" s="298">
        <v>0</v>
      </c>
      <c r="AK161" s="299">
        <v>0</v>
      </c>
      <c r="AL161" s="441"/>
      <c r="AM161" s="601">
        <v>0</v>
      </c>
      <c r="AN161" s="304">
        <f t="shared" si="20"/>
        <v>0</v>
      </c>
      <c r="AO161" s="1485">
        <v>0</v>
      </c>
      <c r="AP161" s="1486"/>
    </row>
    <row r="162" spans="1:42">
      <c r="A162" s="258"/>
      <c r="B162" s="592"/>
      <c r="C162" s="593"/>
      <c r="D162" s="339" t="s">
        <v>85</v>
      </c>
      <c r="E162" s="339"/>
      <c r="F162" s="339"/>
      <c r="G162" s="293"/>
      <c r="H162" s="259"/>
      <c r="I162" s="576" t="s">
        <v>498</v>
      </c>
      <c r="J162" s="295"/>
      <c r="K162" s="259"/>
      <c r="L162" s="259"/>
      <c r="M162" s="259"/>
      <c r="N162" s="259"/>
      <c r="O162" s="259"/>
      <c r="P162" s="298">
        <v>0</v>
      </c>
      <c r="Q162" s="299">
        <v>0</v>
      </c>
      <c r="R162" s="297">
        <v>0</v>
      </c>
      <c r="S162" s="298">
        <v>0</v>
      </c>
      <c r="T162" s="298">
        <v>0</v>
      </c>
      <c r="U162" s="298">
        <v>0</v>
      </c>
      <c r="V162" s="299">
        <v>0</v>
      </c>
      <c r="W162" s="339"/>
      <c r="X162" s="576" t="s">
        <v>498</v>
      </c>
      <c r="Y162" s="295"/>
      <c r="Z162" s="259"/>
      <c r="AA162" s="259"/>
      <c r="AB162" s="259"/>
      <c r="AC162" s="259"/>
      <c r="AD162" s="259"/>
      <c r="AE162" s="298">
        <v>0</v>
      </c>
      <c r="AF162" s="299">
        <v>0</v>
      </c>
      <c r="AG162" s="297">
        <v>0</v>
      </c>
      <c r="AH162" s="298">
        <v>0</v>
      </c>
      <c r="AI162" s="298">
        <v>0</v>
      </c>
      <c r="AJ162" s="298">
        <v>0</v>
      </c>
      <c r="AK162" s="299">
        <v>0</v>
      </c>
      <c r="AL162" s="441"/>
      <c r="AM162" s="601">
        <v>0</v>
      </c>
      <c r="AN162" s="304">
        <f t="shared" si="20"/>
        <v>0</v>
      </c>
      <c r="AO162" s="1485">
        <v>0</v>
      </c>
      <c r="AP162" s="1486"/>
    </row>
    <row r="163" spans="1:42">
      <c r="A163" s="258"/>
      <c r="B163" s="592"/>
      <c r="C163" s="593"/>
      <c r="D163" s="339" t="s">
        <v>85</v>
      </c>
      <c r="E163" s="339"/>
      <c r="F163" s="339"/>
      <c r="G163" s="293"/>
      <c r="H163" s="259"/>
      <c r="I163" s="576" t="s">
        <v>498</v>
      </c>
      <c r="J163" s="295"/>
      <c r="K163" s="259"/>
      <c r="L163" s="259"/>
      <c r="M163" s="259"/>
      <c r="N163" s="259"/>
      <c r="O163" s="259"/>
      <c r="P163" s="298">
        <v>0</v>
      </c>
      <c r="Q163" s="299">
        <v>0</v>
      </c>
      <c r="R163" s="297">
        <v>0</v>
      </c>
      <c r="S163" s="298">
        <v>0</v>
      </c>
      <c r="T163" s="298">
        <v>0</v>
      </c>
      <c r="U163" s="298">
        <v>0</v>
      </c>
      <c r="V163" s="299">
        <v>0</v>
      </c>
      <c r="W163" s="339"/>
      <c r="X163" s="576" t="s">
        <v>498</v>
      </c>
      <c r="Y163" s="295"/>
      <c r="Z163" s="259"/>
      <c r="AA163" s="259"/>
      <c r="AB163" s="259"/>
      <c r="AC163" s="259"/>
      <c r="AD163" s="259"/>
      <c r="AE163" s="298">
        <v>0</v>
      </c>
      <c r="AF163" s="299">
        <v>0</v>
      </c>
      <c r="AG163" s="297">
        <v>0</v>
      </c>
      <c r="AH163" s="298">
        <v>0</v>
      </c>
      <c r="AI163" s="298">
        <v>0</v>
      </c>
      <c r="AJ163" s="298">
        <v>0</v>
      </c>
      <c r="AK163" s="299">
        <v>0</v>
      </c>
      <c r="AL163" s="339"/>
      <c r="AM163" s="601">
        <v>0</v>
      </c>
      <c r="AN163" s="304">
        <f t="shared" si="20"/>
        <v>0</v>
      </c>
      <c r="AO163" s="1485">
        <v>0</v>
      </c>
      <c r="AP163" s="1486"/>
    </row>
    <row r="164" spans="1:42">
      <c r="A164" s="258"/>
      <c r="B164" s="592"/>
      <c r="C164" s="593"/>
      <c r="D164" s="339" t="s">
        <v>85</v>
      </c>
      <c r="E164" s="339"/>
      <c r="F164" s="339"/>
      <c r="G164" s="293"/>
      <c r="H164" s="259"/>
      <c r="I164" s="576" t="s">
        <v>498</v>
      </c>
      <c r="J164" s="295"/>
      <c r="K164" s="259"/>
      <c r="L164" s="259"/>
      <c r="M164" s="259"/>
      <c r="N164" s="259"/>
      <c r="O164" s="259"/>
      <c r="P164" s="298">
        <v>0</v>
      </c>
      <c r="Q164" s="299">
        <v>0</v>
      </c>
      <c r="R164" s="297">
        <v>0</v>
      </c>
      <c r="S164" s="298">
        <v>0</v>
      </c>
      <c r="T164" s="298">
        <v>0</v>
      </c>
      <c r="U164" s="298">
        <v>0</v>
      </c>
      <c r="V164" s="299">
        <v>0</v>
      </c>
      <c r="W164" s="339"/>
      <c r="X164" s="576" t="s">
        <v>498</v>
      </c>
      <c r="Y164" s="295"/>
      <c r="Z164" s="259"/>
      <c r="AA164" s="259"/>
      <c r="AB164" s="259"/>
      <c r="AC164" s="259"/>
      <c r="AD164" s="259"/>
      <c r="AE164" s="298">
        <v>0</v>
      </c>
      <c r="AF164" s="299">
        <v>0</v>
      </c>
      <c r="AG164" s="297">
        <v>0</v>
      </c>
      <c r="AH164" s="298">
        <v>0</v>
      </c>
      <c r="AI164" s="298">
        <v>0</v>
      </c>
      <c r="AJ164" s="298">
        <v>0</v>
      </c>
      <c r="AK164" s="299">
        <v>0</v>
      </c>
      <c r="AL164" s="339"/>
      <c r="AM164" s="601">
        <v>0</v>
      </c>
      <c r="AN164" s="304">
        <f t="shared" si="20"/>
        <v>0</v>
      </c>
      <c r="AO164" s="1485">
        <v>0</v>
      </c>
      <c r="AP164" s="1486"/>
    </row>
    <row r="165" spans="1:42">
      <c r="A165" s="258"/>
      <c r="B165" s="592"/>
      <c r="C165" s="593"/>
      <c r="D165" s="339" t="s">
        <v>85</v>
      </c>
      <c r="E165" s="339"/>
      <c r="F165" s="339"/>
      <c r="G165" s="293"/>
      <c r="H165" s="259"/>
      <c r="I165" s="576" t="s">
        <v>498</v>
      </c>
      <c r="J165" s="295"/>
      <c r="K165" s="259"/>
      <c r="L165" s="259"/>
      <c r="M165" s="259"/>
      <c r="N165" s="259"/>
      <c r="O165" s="259"/>
      <c r="P165" s="298">
        <v>0</v>
      </c>
      <c r="Q165" s="299">
        <v>0</v>
      </c>
      <c r="R165" s="297">
        <v>0</v>
      </c>
      <c r="S165" s="298">
        <v>0</v>
      </c>
      <c r="T165" s="298">
        <v>0</v>
      </c>
      <c r="U165" s="298">
        <v>0</v>
      </c>
      <c r="V165" s="299">
        <v>0</v>
      </c>
      <c r="W165" s="339"/>
      <c r="X165" s="576" t="s">
        <v>498</v>
      </c>
      <c r="Y165" s="295"/>
      <c r="Z165" s="259"/>
      <c r="AA165" s="259"/>
      <c r="AB165" s="259"/>
      <c r="AC165" s="259"/>
      <c r="AD165" s="259"/>
      <c r="AE165" s="298">
        <v>0</v>
      </c>
      <c r="AF165" s="299">
        <v>0</v>
      </c>
      <c r="AG165" s="297">
        <v>0</v>
      </c>
      <c r="AH165" s="298">
        <v>0</v>
      </c>
      <c r="AI165" s="298">
        <v>0</v>
      </c>
      <c r="AJ165" s="298">
        <v>0</v>
      </c>
      <c r="AK165" s="299">
        <v>0</v>
      </c>
      <c r="AL165" s="339"/>
      <c r="AM165" s="601">
        <v>0</v>
      </c>
      <c r="AN165" s="304">
        <f t="shared" si="20"/>
        <v>0</v>
      </c>
      <c r="AO165" s="1485">
        <v>0</v>
      </c>
      <c r="AP165" s="1486"/>
    </row>
    <row r="166" spans="1:42">
      <c r="A166" s="258"/>
      <c r="B166" s="592"/>
      <c r="C166" s="593"/>
      <c r="D166" s="926" t="s">
        <v>2443</v>
      </c>
      <c r="E166" s="339"/>
      <c r="F166" s="339"/>
      <c r="G166" s="561"/>
      <c r="H166" s="259"/>
      <c r="I166" s="576" t="s">
        <v>498</v>
      </c>
      <c r="J166" s="297">
        <v>3.8538793151692254</v>
      </c>
      <c r="K166" s="298">
        <v>3.1171238649350643</v>
      </c>
      <c r="L166" s="298">
        <v>5.0167674825606925</v>
      </c>
      <c r="M166" s="298">
        <v>14.18613119162193</v>
      </c>
      <c r="N166" s="298">
        <v>11.868822969753316</v>
      </c>
      <c r="O166" s="298">
        <v>22.245077759999994</v>
      </c>
      <c r="P166" s="259"/>
      <c r="Q166" s="296"/>
      <c r="R166" s="295"/>
      <c r="S166" s="259"/>
      <c r="T166" s="259"/>
      <c r="U166" s="259"/>
      <c r="V166" s="296"/>
      <c r="W166" s="339"/>
      <c r="X166" s="576" t="s">
        <v>498</v>
      </c>
      <c r="Y166" s="297">
        <v>0</v>
      </c>
      <c r="Z166" s="298">
        <v>0</v>
      </c>
      <c r="AA166" s="298">
        <v>0</v>
      </c>
      <c r="AB166" s="298">
        <v>0</v>
      </c>
      <c r="AC166" s="298">
        <v>0</v>
      </c>
      <c r="AD166" s="298">
        <v>0</v>
      </c>
      <c r="AE166" s="259"/>
      <c r="AF166" s="296"/>
      <c r="AG166" s="295"/>
      <c r="AH166" s="259"/>
      <c r="AI166" s="259"/>
      <c r="AJ166" s="259"/>
      <c r="AK166" s="296"/>
      <c r="AL166" s="339"/>
      <c r="AM166" s="339"/>
      <c r="AN166" s="339"/>
      <c r="AO166" s="1488"/>
      <c r="AP166" s="1487"/>
    </row>
    <row r="167" spans="1:42">
      <c r="A167" s="258"/>
      <c r="B167" s="592"/>
      <c r="C167" s="594"/>
      <c r="D167" s="594"/>
      <c r="E167" s="594"/>
      <c r="F167" s="594"/>
      <c r="G167" s="561"/>
      <c r="H167" s="259"/>
      <c r="I167" s="259"/>
      <c r="J167" s="295"/>
      <c r="K167" s="259"/>
      <c r="L167" s="259"/>
      <c r="M167" s="259"/>
      <c r="N167" s="259"/>
      <c r="O167" s="259"/>
      <c r="P167" s="259"/>
      <c r="Q167" s="296"/>
      <c r="R167" s="295"/>
      <c r="S167" s="259"/>
      <c r="T167" s="259"/>
      <c r="U167" s="259"/>
      <c r="V167" s="296"/>
      <c r="W167" s="339"/>
      <c r="X167" s="259"/>
      <c r="Y167" s="295"/>
      <c r="Z167" s="259"/>
      <c r="AA167" s="259"/>
      <c r="AB167" s="259"/>
      <c r="AC167" s="259"/>
      <c r="AD167" s="259"/>
      <c r="AE167" s="259"/>
      <c r="AF167" s="296"/>
      <c r="AG167" s="295"/>
      <c r="AH167" s="259"/>
      <c r="AI167" s="259"/>
      <c r="AJ167" s="259"/>
      <c r="AK167" s="296"/>
      <c r="AL167" s="339"/>
      <c r="AM167" s="339"/>
      <c r="AN167" s="339"/>
      <c r="AO167" s="339"/>
      <c r="AP167" s="353"/>
    </row>
    <row r="168" spans="1:42" ht="15" thickBot="1">
      <c r="A168" s="258"/>
      <c r="B168" s="754" t="s">
        <v>1701</v>
      </c>
      <c r="C168" s="595"/>
      <c r="D168" s="595"/>
      <c r="E168" s="595"/>
      <c r="F168" s="595"/>
      <c r="G168" s="579"/>
      <c r="H168" s="300"/>
      <c r="I168" s="581" t="s">
        <v>498</v>
      </c>
      <c r="J168" s="627">
        <f t="shared" ref="J168:V168" si="21">SUM(J101:J166)</f>
        <v>3.8538793151692254</v>
      </c>
      <c r="K168" s="628">
        <f t="shared" si="21"/>
        <v>3.1171238649350643</v>
      </c>
      <c r="L168" s="628">
        <f t="shared" si="21"/>
        <v>5.0167674825606925</v>
      </c>
      <c r="M168" s="628">
        <f t="shared" si="21"/>
        <v>14.18613119162193</v>
      </c>
      <c r="N168" s="628">
        <f t="shared" si="21"/>
        <v>11.868822969753316</v>
      </c>
      <c r="O168" s="628">
        <f t="shared" si="21"/>
        <v>22.245077759999994</v>
      </c>
      <c r="P168" s="628">
        <f t="shared" si="21"/>
        <v>10.470126625492002</v>
      </c>
      <c r="Q168" s="629">
        <f t="shared" si="21"/>
        <v>8.8553079410941749</v>
      </c>
      <c r="R168" s="627">
        <f t="shared" si="21"/>
        <v>6.4450528817762747</v>
      </c>
      <c r="S168" s="628">
        <f t="shared" si="21"/>
        <v>8.178335278323642</v>
      </c>
      <c r="T168" s="628">
        <f t="shared" si="21"/>
        <v>5.1248053963385756</v>
      </c>
      <c r="U168" s="628">
        <f t="shared" si="21"/>
        <v>8.0923117591708174</v>
      </c>
      <c r="V168" s="629">
        <f t="shared" si="21"/>
        <v>3.9076641147081626</v>
      </c>
      <c r="W168" s="358"/>
      <c r="X168" s="581" t="s">
        <v>498</v>
      </c>
      <c r="Y168" s="627">
        <f t="shared" ref="Y168:AK168" si="22">SUM(Y101:Y166)</f>
        <v>0</v>
      </c>
      <c r="Z168" s="628">
        <f t="shared" si="22"/>
        <v>0</v>
      </c>
      <c r="AA168" s="628">
        <f t="shared" si="22"/>
        <v>0</v>
      </c>
      <c r="AB168" s="628">
        <f t="shared" si="22"/>
        <v>0</v>
      </c>
      <c r="AC168" s="628">
        <f t="shared" si="22"/>
        <v>0</v>
      </c>
      <c r="AD168" s="628">
        <f t="shared" si="22"/>
        <v>0</v>
      </c>
      <c r="AE168" s="628">
        <f t="shared" si="22"/>
        <v>0</v>
      </c>
      <c r="AF168" s="629">
        <f t="shared" si="22"/>
        <v>0</v>
      </c>
      <c r="AG168" s="627">
        <f t="shared" si="22"/>
        <v>0</v>
      </c>
      <c r="AH168" s="628">
        <f t="shared" si="22"/>
        <v>0</v>
      </c>
      <c r="AI168" s="628">
        <f t="shared" si="22"/>
        <v>0</v>
      </c>
      <c r="AJ168" s="628">
        <f t="shared" si="22"/>
        <v>0</v>
      </c>
      <c r="AK168" s="629">
        <f t="shared" si="22"/>
        <v>0</v>
      </c>
      <c r="AL168" s="358"/>
      <c r="AM168" s="751">
        <f>SUM(AM101:AM166)</f>
        <v>0</v>
      </c>
      <c r="AN168" s="628">
        <f>SUM(AN101:AN165)</f>
        <v>31.748169430317471</v>
      </c>
      <c r="AO168" s="358"/>
      <c r="AP168" s="602"/>
    </row>
    <row r="169" spans="1:42" ht="15" thickBot="1"/>
    <row r="170" spans="1:42" ht="30" customHeight="1" thickBot="1">
      <c r="A170" s="258"/>
      <c r="B170" s="640" t="s">
        <v>2593</v>
      </c>
      <c r="C170" s="558"/>
      <c r="D170" s="558"/>
      <c r="E170" s="558"/>
      <c r="F170" s="558"/>
      <c r="G170" s="559"/>
      <c r="H170" s="294"/>
      <c r="I170" s="105" t="s">
        <v>1864</v>
      </c>
      <c r="J170" s="106"/>
      <c r="K170" s="106"/>
      <c r="L170" s="106"/>
      <c r="M170" s="106"/>
      <c r="N170" s="106"/>
      <c r="O170" s="106"/>
      <c r="P170" s="106"/>
      <c r="Q170" s="106"/>
      <c r="R170" s="105"/>
      <c r="S170" s="105"/>
      <c r="T170" s="105"/>
      <c r="U170" s="105"/>
      <c r="V170" s="105"/>
      <c r="W170" s="587"/>
      <c r="X170" s="105" t="s">
        <v>2202</v>
      </c>
      <c r="Y170" s="106"/>
      <c r="Z170" s="106"/>
      <c r="AA170" s="106"/>
      <c r="AB170" s="106"/>
      <c r="AC170" s="106"/>
      <c r="AD170" s="106"/>
      <c r="AE170" s="106"/>
      <c r="AF170" s="106"/>
      <c r="AG170" s="105"/>
      <c r="AH170" s="105"/>
      <c r="AI170" s="105"/>
      <c r="AJ170" s="105"/>
      <c r="AK170" s="105"/>
      <c r="AL170" s="439"/>
      <c r="AM170" s="588" t="s">
        <v>2555</v>
      </c>
      <c r="AN170" s="597"/>
      <c r="AO170" s="589"/>
      <c r="AP170" s="589"/>
    </row>
    <row r="171" spans="1:42" ht="30" customHeight="1">
      <c r="A171" s="258"/>
      <c r="B171" s="560"/>
      <c r="C171" s="561"/>
      <c r="D171" s="561"/>
      <c r="E171" s="561"/>
      <c r="F171" s="561"/>
      <c r="G171" s="561"/>
      <c r="H171" s="259"/>
      <c r="I171" s="562"/>
      <c r="J171" s="563" t="s">
        <v>1666</v>
      </c>
      <c r="K171" s="564"/>
      <c r="L171" s="564"/>
      <c r="M171" s="564"/>
      <c r="N171" s="564"/>
      <c r="O171" s="564"/>
      <c r="P171" s="564"/>
      <c r="Q171" s="565"/>
      <c r="R171" s="566" t="s">
        <v>2</v>
      </c>
      <c r="S171" s="567"/>
      <c r="T171" s="567"/>
      <c r="U171" s="567"/>
      <c r="V171" s="568"/>
      <c r="W171" s="339"/>
      <c r="X171" s="562"/>
      <c r="Y171" s="563" t="s">
        <v>1666</v>
      </c>
      <c r="Z171" s="564"/>
      <c r="AA171" s="564"/>
      <c r="AB171" s="564"/>
      <c r="AC171" s="564"/>
      <c r="AD171" s="564"/>
      <c r="AE171" s="564"/>
      <c r="AF171" s="565"/>
      <c r="AG171" s="566" t="s">
        <v>2</v>
      </c>
      <c r="AH171" s="567"/>
      <c r="AI171" s="567"/>
      <c r="AJ171" s="567"/>
      <c r="AK171" s="568"/>
      <c r="AL171" s="441"/>
      <c r="AM171" s="598" t="s">
        <v>2556</v>
      </c>
      <c r="AN171" s="481" t="s">
        <v>2557</v>
      </c>
      <c r="AO171" s="590" t="s">
        <v>1897</v>
      </c>
      <c r="AP171" s="599" t="s">
        <v>2432</v>
      </c>
    </row>
    <row r="172" spans="1:42" ht="15">
      <c r="A172" s="258"/>
      <c r="B172" s="572"/>
      <c r="C172" s="339"/>
      <c r="D172" s="339"/>
      <c r="E172" s="339"/>
      <c r="F172" s="339"/>
      <c r="G172" s="339"/>
      <c r="H172" s="259"/>
      <c r="I172" s="571" t="s">
        <v>1667</v>
      </c>
      <c r="J172" s="518" t="s">
        <v>453</v>
      </c>
      <c r="K172" s="515" t="s">
        <v>455</v>
      </c>
      <c r="L172" s="515" t="s">
        <v>457</v>
      </c>
      <c r="M172" s="515" t="s">
        <v>459</v>
      </c>
      <c r="N172" s="515" t="s">
        <v>461</v>
      </c>
      <c r="O172" s="515" t="s">
        <v>463</v>
      </c>
      <c r="P172" s="515" t="s">
        <v>465</v>
      </c>
      <c r="Q172" s="516" t="s">
        <v>467</v>
      </c>
      <c r="R172" s="508" t="s">
        <v>469</v>
      </c>
      <c r="S172" s="509" t="s">
        <v>471</v>
      </c>
      <c r="T172" s="509" t="s">
        <v>473</v>
      </c>
      <c r="U172" s="509" t="s">
        <v>475</v>
      </c>
      <c r="V172" s="510" t="s">
        <v>477</v>
      </c>
      <c r="W172" s="339"/>
      <c r="X172" s="571" t="s">
        <v>1667</v>
      </c>
      <c r="Y172" s="518" t="s">
        <v>453</v>
      </c>
      <c r="Z172" s="515" t="s">
        <v>455</v>
      </c>
      <c r="AA172" s="515" t="s">
        <v>457</v>
      </c>
      <c r="AB172" s="515" t="s">
        <v>459</v>
      </c>
      <c r="AC172" s="515" t="s">
        <v>461</v>
      </c>
      <c r="AD172" s="515" t="s">
        <v>463</v>
      </c>
      <c r="AE172" s="515" t="s">
        <v>465</v>
      </c>
      <c r="AF172" s="516" t="s">
        <v>467</v>
      </c>
      <c r="AG172" s="508" t="s">
        <v>469</v>
      </c>
      <c r="AH172" s="509" t="s">
        <v>471</v>
      </c>
      <c r="AI172" s="509" t="s">
        <v>473</v>
      </c>
      <c r="AJ172" s="509" t="s">
        <v>475</v>
      </c>
      <c r="AK172" s="510" t="s">
        <v>477</v>
      </c>
      <c r="AL172" s="441"/>
      <c r="AM172" s="600" t="s">
        <v>498</v>
      </c>
      <c r="AN172" s="445" t="s">
        <v>498</v>
      </c>
      <c r="AO172" s="339"/>
      <c r="AP172" s="353"/>
    </row>
    <row r="173" spans="1:42" ht="15">
      <c r="A173" s="258"/>
      <c r="B173" s="572"/>
      <c r="C173" s="591" t="s">
        <v>2568</v>
      </c>
      <c r="D173" s="591"/>
      <c r="E173" s="591"/>
      <c r="F173" s="591"/>
      <c r="G173" s="339"/>
      <c r="H173" s="259"/>
      <c r="I173" s="260"/>
      <c r="J173" s="295"/>
      <c r="K173" s="259"/>
      <c r="L173" s="259"/>
      <c r="M173" s="259"/>
      <c r="N173" s="259"/>
      <c r="O173" s="259"/>
      <c r="P173" s="259"/>
      <c r="Q173" s="296"/>
      <c r="R173" s="295"/>
      <c r="S173" s="259"/>
      <c r="T173" s="259"/>
      <c r="U173" s="259"/>
      <c r="V173" s="296"/>
      <c r="W173" s="339"/>
      <c r="X173" s="260"/>
      <c r="Y173" s="295"/>
      <c r="Z173" s="259"/>
      <c r="AA173" s="259"/>
      <c r="AB173" s="259"/>
      <c r="AC173" s="259"/>
      <c r="AD173" s="259"/>
      <c r="AE173" s="259"/>
      <c r="AF173" s="296"/>
      <c r="AG173" s="295"/>
      <c r="AH173" s="259"/>
      <c r="AI173" s="259"/>
      <c r="AJ173" s="259"/>
      <c r="AK173" s="296"/>
      <c r="AL173" s="441"/>
      <c r="AM173" s="339"/>
      <c r="AN173" s="339"/>
      <c r="AO173" s="339"/>
      <c r="AP173" s="353"/>
    </row>
    <row r="174" spans="1:42">
      <c r="A174" s="258"/>
      <c r="B174" s="592"/>
      <c r="C174" s="593"/>
      <c r="D174" s="339" t="s">
        <v>85</v>
      </c>
      <c r="E174" s="339"/>
      <c r="F174" s="339"/>
      <c r="G174" s="293" t="s">
        <v>2594</v>
      </c>
      <c r="H174" s="259"/>
      <c r="I174" s="576" t="s">
        <v>498</v>
      </c>
      <c r="J174" s="295"/>
      <c r="K174" s="259"/>
      <c r="L174" s="259"/>
      <c r="M174" s="259"/>
      <c r="N174" s="259"/>
      <c r="O174" s="259"/>
      <c r="P174" s="298">
        <v>1.6127564067750546</v>
      </c>
      <c r="Q174" s="299">
        <v>0</v>
      </c>
      <c r="R174" s="297">
        <v>0</v>
      </c>
      <c r="S174" s="298">
        <v>0</v>
      </c>
      <c r="T174" s="298">
        <v>0</v>
      </c>
      <c r="U174" s="298">
        <v>0</v>
      </c>
      <c r="V174" s="299">
        <v>0</v>
      </c>
      <c r="W174" s="339"/>
      <c r="X174" s="576" t="s">
        <v>498</v>
      </c>
      <c r="Y174" s="295"/>
      <c r="Z174" s="259"/>
      <c r="AA174" s="259"/>
      <c r="AB174" s="259"/>
      <c r="AC174" s="259"/>
      <c r="AD174" s="259"/>
      <c r="AE174" s="298">
        <v>0</v>
      </c>
      <c r="AF174" s="299">
        <v>0</v>
      </c>
      <c r="AG174" s="297">
        <v>0</v>
      </c>
      <c r="AH174" s="298">
        <v>0</v>
      </c>
      <c r="AI174" s="298">
        <v>0</v>
      </c>
      <c r="AJ174" s="298">
        <v>0</v>
      </c>
      <c r="AK174" s="299">
        <v>0</v>
      </c>
      <c r="AL174" s="441"/>
      <c r="AM174" s="601">
        <v>0</v>
      </c>
      <c r="AN174" s="304">
        <f t="shared" ref="AN174:AN203" si="23">SUM($R174:$V174)-(AM174)</f>
        <v>0</v>
      </c>
      <c r="AO174" s="1485">
        <v>0</v>
      </c>
      <c r="AP174" s="1486"/>
    </row>
    <row r="175" spans="1:42">
      <c r="A175" s="258"/>
      <c r="B175" s="592"/>
      <c r="C175" s="593"/>
      <c r="D175" s="339" t="s">
        <v>85</v>
      </c>
      <c r="E175" s="339"/>
      <c r="F175" s="339"/>
      <c r="G175" s="293" t="s">
        <v>2595</v>
      </c>
      <c r="H175" s="259"/>
      <c r="I175" s="576" t="s">
        <v>498</v>
      </c>
      <c r="J175" s="295"/>
      <c r="K175" s="259"/>
      <c r="L175" s="259"/>
      <c r="M175" s="259"/>
      <c r="N175" s="259"/>
      <c r="O175" s="259"/>
      <c r="P175" s="298">
        <v>1.2832206467954874</v>
      </c>
      <c r="Q175" s="299">
        <v>0</v>
      </c>
      <c r="R175" s="297">
        <v>0</v>
      </c>
      <c r="S175" s="298">
        <v>0</v>
      </c>
      <c r="T175" s="298">
        <v>0</v>
      </c>
      <c r="U175" s="298">
        <v>0</v>
      </c>
      <c r="V175" s="299">
        <v>0</v>
      </c>
      <c r="W175" s="339"/>
      <c r="X175" s="576" t="s">
        <v>498</v>
      </c>
      <c r="Y175" s="295"/>
      <c r="Z175" s="259"/>
      <c r="AA175" s="259"/>
      <c r="AB175" s="259"/>
      <c r="AC175" s="259"/>
      <c r="AD175" s="259"/>
      <c r="AE175" s="298">
        <v>0</v>
      </c>
      <c r="AF175" s="299">
        <v>0</v>
      </c>
      <c r="AG175" s="297">
        <v>0</v>
      </c>
      <c r="AH175" s="298">
        <v>0</v>
      </c>
      <c r="AI175" s="298">
        <v>0</v>
      </c>
      <c r="AJ175" s="298">
        <v>0</v>
      </c>
      <c r="AK175" s="299">
        <v>0</v>
      </c>
      <c r="AL175" s="441"/>
      <c r="AM175" s="601">
        <v>0</v>
      </c>
      <c r="AN175" s="304">
        <f t="shared" si="23"/>
        <v>0</v>
      </c>
      <c r="AO175" s="1485">
        <v>0</v>
      </c>
      <c r="AP175" s="1486"/>
    </row>
    <row r="176" spans="1:42">
      <c r="A176" s="258"/>
      <c r="B176" s="592"/>
      <c r="C176" s="593"/>
      <c r="D176" s="339" t="s">
        <v>85</v>
      </c>
      <c r="E176" s="339"/>
      <c r="F176" s="339"/>
      <c r="G176" s="293" t="s">
        <v>2596</v>
      </c>
      <c r="H176" s="259"/>
      <c r="I176" s="576" t="s">
        <v>498</v>
      </c>
      <c r="J176" s="295"/>
      <c r="K176" s="259"/>
      <c r="L176" s="259"/>
      <c r="M176" s="259"/>
      <c r="N176" s="259"/>
      <c r="O176" s="259"/>
      <c r="P176" s="298">
        <v>1.0842390106947173</v>
      </c>
      <c r="Q176" s="299">
        <v>0.18992831557241283</v>
      </c>
      <c r="R176" s="297">
        <v>0</v>
      </c>
      <c r="S176" s="298">
        <v>0</v>
      </c>
      <c r="T176" s="298">
        <v>0</v>
      </c>
      <c r="U176" s="298">
        <v>0</v>
      </c>
      <c r="V176" s="299">
        <v>0</v>
      </c>
      <c r="W176" s="339"/>
      <c r="X176" s="576" t="s">
        <v>498</v>
      </c>
      <c r="Y176" s="295"/>
      <c r="Z176" s="259"/>
      <c r="AA176" s="259"/>
      <c r="AB176" s="259"/>
      <c r="AC176" s="259"/>
      <c r="AD176" s="259"/>
      <c r="AE176" s="298">
        <v>0</v>
      </c>
      <c r="AF176" s="299">
        <v>0</v>
      </c>
      <c r="AG176" s="297">
        <v>0</v>
      </c>
      <c r="AH176" s="298">
        <v>0</v>
      </c>
      <c r="AI176" s="298">
        <v>0</v>
      </c>
      <c r="AJ176" s="298">
        <v>0</v>
      </c>
      <c r="AK176" s="299">
        <v>0</v>
      </c>
      <c r="AL176" s="441"/>
      <c r="AM176" s="601">
        <v>0</v>
      </c>
      <c r="AN176" s="304">
        <f t="shared" si="23"/>
        <v>0</v>
      </c>
      <c r="AO176" s="1485">
        <v>0</v>
      </c>
      <c r="AP176" s="1486"/>
    </row>
    <row r="177" spans="1:42">
      <c r="A177" s="258"/>
      <c r="B177" s="592"/>
      <c r="C177" s="593"/>
      <c r="D177" s="339" t="s">
        <v>85</v>
      </c>
      <c r="E177" s="339"/>
      <c r="F177" s="339"/>
      <c r="G177" s="293" t="s">
        <v>2597</v>
      </c>
      <c r="H177" s="259"/>
      <c r="I177" s="576" t="s">
        <v>498</v>
      </c>
      <c r="J177" s="295"/>
      <c r="K177" s="259"/>
      <c r="L177" s="259"/>
      <c r="M177" s="259"/>
      <c r="N177" s="259"/>
      <c r="O177" s="259"/>
      <c r="P177" s="298">
        <v>1.3348119058806514</v>
      </c>
      <c r="Q177" s="299">
        <v>0.10819562207757376</v>
      </c>
      <c r="R177" s="297">
        <v>0</v>
      </c>
      <c r="S177" s="298">
        <v>0</v>
      </c>
      <c r="T177" s="298">
        <v>0</v>
      </c>
      <c r="U177" s="298">
        <v>0</v>
      </c>
      <c r="V177" s="299">
        <v>0</v>
      </c>
      <c r="W177" s="339"/>
      <c r="X177" s="576" t="s">
        <v>498</v>
      </c>
      <c r="Y177" s="295"/>
      <c r="Z177" s="259"/>
      <c r="AA177" s="259"/>
      <c r="AB177" s="259"/>
      <c r="AC177" s="259"/>
      <c r="AD177" s="259"/>
      <c r="AE177" s="298">
        <v>0</v>
      </c>
      <c r="AF177" s="299">
        <v>0</v>
      </c>
      <c r="AG177" s="297">
        <v>0</v>
      </c>
      <c r="AH177" s="298">
        <v>0</v>
      </c>
      <c r="AI177" s="298">
        <v>0</v>
      </c>
      <c r="AJ177" s="298">
        <v>0</v>
      </c>
      <c r="AK177" s="299">
        <v>0</v>
      </c>
      <c r="AL177" s="339"/>
      <c r="AM177" s="601">
        <v>0</v>
      </c>
      <c r="AN177" s="304">
        <f t="shared" si="23"/>
        <v>0</v>
      </c>
      <c r="AO177" s="1485">
        <v>0</v>
      </c>
      <c r="AP177" s="1486"/>
    </row>
    <row r="178" spans="1:42">
      <c r="A178" s="258"/>
      <c r="B178" s="592"/>
      <c r="C178" s="593"/>
      <c r="D178" s="339" t="s">
        <v>85</v>
      </c>
      <c r="E178" s="339"/>
      <c r="F178" s="339"/>
      <c r="G178" s="293" t="s">
        <v>2598</v>
      </c>
      <c r="H178" s="259"/>
      <c r="I178" s="576" t="s">
        <v>498</v>
      </c>
      <c r="J178" s="295"/>
      <c r="K178" s="259"/>
      <c r="L178" s="259"/>
      <c r="M178" s="259"/>
      <c r="N178" s="259"/>
      <c r="O178" s="259"/>
      <c r="P178" s="298">
        <v>0.60628533661959139</v>
      </c>
      <c r="Q178" s="299">
        <v>1.1875532388313377</v>
      </c>
      <c r="R178" s="297">
        <v>0</v>
      </c>
      <c r="S178" s="298">
        <v>0</v>
      </c>
      <c r="T178" s="298">
        <v>0</v>
      </c>
      <c r="U178" s="298">
        <v>0</v>
      </c>
      <c r="V178" s="299">
        <v>0</v>
      </c>
      <c r="W178" s="339"/>
      <c r="X178" s="576" t="s">
        <v>498</v>
      </c>
      <c r="Y178" s="295"/>
      <c r="Z178" s="259"/>
      <c r="AA178" s="259"/>
      <c r="AB178" s="259"/>
      <c r="AC178" s="259"/>
      <c r="AD178" s="259"/>
      <c r="AE178" s="298">
        <v>0</v>
      </c>
      <c r="AF178" s="299">
        <v>0</v>
      </c>
      <c r="AG178" s="297">
        <v>0</v>
      </c>
      <c r="AH178" s="298">
        <v>0</v>
      </c>
      <c r="AI178" s="298">
        <v>0</v>
      </c>
      <c r="AJ178" s="298">
        <v>0</v>
      </c>
      <c r="AK178" s="299">
        <v>0</v>
      </c>
      <c r="AL178" s="441"/>
      <c r="AM178" s="601">
        <v>0</v>
      </c>
      <c r="AN178" s="304">
        <f t="shared" si="23"/>
        <v>0</v>
      </c>
      <c r="AO178" s="1485">
        <v>0</v>
      </c>
      <c r="AP178" s="1486"/>
    </row>
    <row r="179" spans="1:42">
      <c r="A179" s="258"/>
      <c r="B179" s="592"/>
      <c r="C179" s="593"/>
      <c r="D179" s="339" t="s">
        <v>85</v>
      </c>
      <c r="E179" s="339"/>
      <c r="F179" s="339"/>
      <c r="G179" s="293" t="s">
        <v>2599</v>
      </c>
      <c r="H179" s="259"/>
      <c r="I179" s="576" t="s">
        <v>498</v>
      </c>
      <c r="J179" s="295"/>
      <c r="K179" s="259"/>
      <c r="L179" s="259"/>
      <c r="M179" s="259"/>
      <c r="N179" s="259"/>
      <c r="O179" s="259"/>
      <c r="P179" s="298">
        <v>2.9236017859258068</v>
      </c>
      <c r="Q179" s="299">
        <v>3.1618907356574546</v>
      </c>
      <c r="R179" s="297">
        <v>0</v>
      </c>
      <c r="S179" s="298">
        <v>0</v>
      </c>
      <c r="T179" s="298">
        <v>0</v>
      </c>
      <c r="U179" s="298">
        <v>0</v>
      </c>
      <c r="V179" s="299">
        <v>0</v>
      </c>
      <c r="W179" s="339"/>
      <c r="X179" s="576" t="s">
        <v>498</v>
      </c>
      <c r="Y179" s="295"/>
      <c r="Z179" s="259"/>
      <c r="AA179" s="259"/>
      <c r="AB179" s="259"/>
      <c r="AC179" s="259"/>
      <c r="AD179" s="259"/>
      <c r="AE179" s="298">
        <v>0</v>
      </c>
      <c r="AF179" s="299">
        <v>0</v>
      </c>
      <c r="AG179" s="297">
        <v>0</v>
      </c>
      <c r="AH179" s="298">
        <v>0</v>
      </c>
      <c r="AI179" s="298">
        <v>0</v>
      </c>
      <c r="AJ179" s="298">
        <v>0</v>
      </c>
      <c r="AK179" s="299">
        <v>0</v>
      </c>
      <c r="AL179" s="441"/>
      <c r="AM179" s="601">
        <v>0</v>
      </c>
      <c r="AN179" s="304">
        <f t="shared" si="23"/>
        <v>0</v>
      </c>
      <c r="AO179" s="1485">
        <v>0</v>
      </c>
      <c r="AP179" s="1486"/>
    </row>
    <row r="180" spans="1:42">
      <c r="A180" s="258"/>
      <c r="B180" s="592"/>
      <c r="C180" s="593"/>
      <c r="D180" s="339" t="s">
        <v>85</v>
      </c>
      <c r="E180" s="339"/>
      <c r="F180" s="339"/>
      <c r="G180" s="293" t="s">
        <v>2600</v>
      </c>
      <c r="H180" s="259"/>
      <c r="I180" s="576" t="s">
        <v>498</v>
      </c>
      <c r="J180" s="295"/>
      <c r="K180" s="259"/>
      <c r="L180" s="259"/>
      <c r="M180" s="259"/>
      <c r="N180" s="259"/>
      <c r="O180" s="259"/>
      <c r="P180" s="298">
        <v>0</v>
      </c>
      <c r="Q180" s="299">
        <v>0.60103897333042045</v>
      </c>
      <c r="R180" s="297">
        <v>0</v>
      </c>
      <c r="S180" s="298">
        <v>0</v>
      </c>
      <c r="T180" s="298">
        <v>0</v>
      </c>
      <c r="U180" s="298">
        <v>0</v>
      </c>
      <c r="V180" s="299">
        <v>0</v>
      </c>
      <c r="W180" s="339"/>
      <c r="X180" s="576" t="s">
        <v>498</v>
      </c>
      <c r="Y180" s="295"/>
      <c r="Z180" s="259"/>
      <c r="AA180" s="259"/>
      <c r="AB180" s="259"/>
      <c r="AC180" s="259"/>
      <c r="AD180" s="259"/>
      <c r="AE180" s="298">
        <v>0</v>
      </c>
      <c r="AF180" s="299">
        <v>0</v>
      </c>
      <c r="AG180" s="297">
        <v>0</v>
      </c>
      <c r="AH180" s="298">
        <v>0</v>
      </c>
      <c r="AI180" s="298">
        <v>0</v>
      </c>
      <c r="AJ180" s="298">
        <v>0</v>
      </c>
      <c r="AK180" s="299">
        <v>0</v>
      </c>
      <c r="AL180" s="441"/>
      <c r="AM180" s="601">
        <v>0</v>
      </c>
      <c r="AN180" s="304">
        <f t="shared" si="23"/>
        <v>0</v>
      </c>
      <c r="AO180" s="1485">
        <v>0</v>
      </c>
      <c r="AP180" s="1486"/>
    </row>
    <row r="181" spans="1:42">
      <c r="A181" s="258"/>
      <c r="B181" s="592"/>
      <c r="C181" s="593"/>
      <c r="D181" s="339" t="s">
        <v>85</v>
      </c>
      <c r="E181" s="339"/>
      <c r="F181" s="339"/>
      <c r="G181" s="293" t="s">
        <v>2601</v>
      </c>
      <c r="H181" s="259"/>
      <c r="I181" s="576" t="s">
        <v>498</v>
      </c>
      <c r="J181" s="295"/>
      <c r="K181" s="259"/>
      <c r="L181" s="259"/>
      <c r="M181" s="259"/>
      <c r="N181" s="259"/>
      <c r="O181" s="259"/>
      <c r="P181" s="298">
        <v>0</v>
      </c>
      <c r="Q181" s="299">
        <v>0</v>
      </c>
      <c r="R181" s="297">
        <v>2.197263162270811</v>
      </c>
      <c r="S181" s="298">
        <v>0</v>
      </c>
      <c r="T181" s="298">
        <v>0</v>
      </c>
      <c r="U181" s="298">
        <v>0</v>
      </c>
      <c r="V181" s="299">
        <v>0</v>
      </c>
      <c r="W181" s="339"/>
      <c r="X181" s="576" t="s">
        <v>498</v>
      </c>
      <c r="Y181" s="295"/>
      <c r="Z181" s="259"/>
      <c r="AA181" s="259"/>
      <c r="AB181" s="259"/>
      <c r="AC181" s="259"/>
      <c r="AD181" s="259"/>
      <c r="AE181" s="298">
        <v>0</v>
      </c>
      <c r="AF181" s="299">
        <v>0</v>
      </c>
      <c r="AG181" s="297">
        <v>0</v>
      </c>
      <c r="AH181" s="298">
        <v>0</v>
      </c>
      <c r="AI181" s="298">
        <v>0</v>
      </c>
      <c r="AJ181" s="298">
        <v>0</v>
      </c>
      <c r="AK181" s="299">
        <v>0</v>
      </c>
      <c r="AL181" s="339"/>
      <c r="AM181" s="601">
        <v>0</v>
      </c>
      <c r="AN181" s="304">
        <f t="shared" si="23"/>
        <v>2.197263162270811</v>
      </c>
      <c r="AO181" s="1485">
        <v>0</v>
      </c>
      <c r="AP181" s="1486"/>
    </row>
    <row r="182" spans="1:42">
      <c r="A182" s="258"/>
      <c r="B182" s="592"/>
      <c r="C182" s="593"/>
      <c r="D182" s="339" t="s">
        <v>85</v>
      </c>
      <c r="E182" s="339"/>
      <c r="F182" s="339"/>
      <c r="G182" s="293" t="s">
        <v>2602</v>
      </c>
      <c r="H182" s="259"/>
      <c r="I182" s="576" t="s">
        <v>498</v>
      </c>
      <c r="J182" s="295"/>
      <c r="K182" s="259"/>
      <c r="L182" s="259"/>
      <c r="M182" s="259"/>
      <c r="N182" s="259"/>
      <c r="O182" s="259"/>
      <c r="P182" s="298">
        <v>0</v>
      </c>
      <c r="Q182" s="299">
        <v>0</v>
      </c>
      <c r="R182" s="297">
        <v>0</v>
      </c>
      <c r="S182" s="298">
        <v>0</v>
      </c>
      <c r="T182" s="298">
        <v>0</v>
      </c>
      <c r="U182" s="298">
        <v>0</v>
      </c>
      <c r="V182" s="299">
        <v>0.93082575607949913</v>
      </c>
      <c r="W182" s="339"/>
      <c r="X182" s="576" t="s">
        <v>498</v>
      </c>
      <c r="Y182" s="295"/>
      <c r="Z182" s="259"/>
      <c r="AA182" s="259"/>
      <c r="AB182" s="259"/>
      <c r="AC182" s="259"/>
      <c r="AD182" s="259"/>
      <c r="AE182" s="298">
        <v>0</v>
      </c>
      <c r="AF182" s="299">
        <v>0</v>
      </c>
      <c r="AG182" s="297">
        <v>0</v>
      </c>
      <c r="AH182" s="298">
        <v>0</v>
      </c>
      <c r="AI182" s="298">
        <v>0</v>
      </c>
      <c r="AJ182" s="298">
        <v>0</v>
      </c>
      <c r="AK182" s="299">
        <v>0</v>
      </c>
      <c r="AL182" s="339"/>
      <c r="AM182" s="601">
        <v>0</v>
      </c>
      <c r="AN182" s="304">
        <f t="shared" si="23"/>
        <v>0.93082575607949913</v>
      </c>
      <c r="AO182" s="1485">
        <v>0</v>
      </c>
      <c r="AP182" s="1486"/>
    </row>
    <row r="183" spans="1:42">
      <c r="A183" s="258"/>
      <c r="B183" s="592"/>
      <c r="C183" s="593"/>
      <c r="D183" s="339" t="s">
        <v>85</v>
      </c>
      <c r="E183" s="339"/>
      <c r="F183" s="339"/>
      <c r="G183" s="293" t="s">
        <v>2603</v>
      </c>
      <c r="H183" s="259"/>
      <c r="I183" s="576" t="s">
        <v>498</v>
      </c>
      <c r="J183" s="295"/>
      <c r="K183" s="259"/>
      <c r="L183" s="259"/>
      <c r="M183" s="259"/>
      <c r="N183" s="259"/>
      <c r="O183" s="259"/>
      <c r="P183" s="298">
        <v>0</v>
      </c>
      <c r="Q183" s="299">
        <v>0</v>
      </c>
      <c r="R183" s="297">
        <v>2.6105758688948701</v>
      </c>
      <c r="S183" s="298">
        <v>2.2792938057744121</v>
      </c>
      <c r="T183" s="298">
        <v>1.1591577691461237</v>
      </c>
      <c r="U183" s="298">
        <v>0.99577409234380554</v>
      </c>
      <c r="V183" s="299">
        <v>0.86021078769303994</v>
      </c>
      <c r="W183" s="339"/>
      <c r="X183" s="576" t="s">
        <v>498</v>
      </c>
      <c r="Y183" s="295"/>
      <c r="Z183" s="259"/>
      <c r="AA183" s="259"/>
      <c r="AB183" s="259"/>
      <c r="AC183" s="259"/>
      <c r="AD183" s="259"/>
      <c r="AE183" s="298">
        <v>0</v>
      </c>
      <c r="AF183" s="299">
        <v>0</v>
      </c>
      <c r="AG183" s="297">
        <v>0</v>
      </c>
      <c r="AH183" s="298">
        <v>0</v>
      </c>
      <c r="AI183" s="298">
        <v>0</v>
      </c>
      <c r="AJ183" s="298">
        <v>0</v>
      </c>
      <c r="AK183" s="299">
        <v>0</v>
      </c>
      <c r="AL183" s="339"/>
      <c r="AM183" s="601">
        <v>0</v>
      </c>
      <c r="AN183" s="304">
        <f t="shared" si="23"/>
        <v>7.9050123238522518</v>
      </c>
      <c r="AO183" s="1485">
        <v>0</v>
      </c>
      <c r="AP183" s="1486"/>
    </row>
    <row r="184" spans="1:42">
      <c r="A184" s="258"/>
      <c r="B184" s="592"/>
      <c r="C184" s="593"/>
      <c r="D184" s="339" t="s">
        <v>85</v>
      </c>
      <c r="E184" s="339"/>
      <c r="F184" s="339"/>
      <c r="G184" s="293" t="s">
        <v>2604</v>
      </c>
      <c r="H184" s="259"/>
      <c r="I184" s="576" t="s">
        <v>498</v>
      </c>
      <c r="J184" s="295"/>
      <c r="K184" s="259"/>
      <c r="L184" s="259"/>
      <c r="M184" s="259"/>
      <c r="N184" s="259"/>
      <c r="O184" s="259"/>
      <c r="P184" s="298">
        <v>0</v>
      </c>
      <c r="Q184" s="299">
        <v>0</v>
      </c>
      <c r="R184" s="297">
        <v>1.5366735499882551</v>
      </c>
      <c r="S184" s="298">
        <v>1.5870444219970619</v>
      </c>
      <c r="T184" s="298">
        <v>2.0829812524766469</v>
      </c>
      <c r="U184" s="298">
        <v>2.4603141494382252</v>
      </c>
      <c r="V184" s="299">
        <v>2.3852876692705665</v>
      </c>
      <c r="W184" s="339"/>
      <c r="X184" s="576" t="s">
        <v>498</v>
      </c>
      <c r="Y184" s="295"/>
      <c r="Z184" s="259"/>
      <c r="AA184" s="259"/>
      <c r="AB184" s="259"/>
      <c r="AC184" s="259"/>
      <c r="AD184" s="259"/>
      <c r="AE184" s="298">
        <v>0</v>
      </c>
      <c r="AF184" s="299">
        <v>0</v>
      </c>
      <c r="AG184" s="297">
        <v>0</v>
      </c>
      <c r="AH184" s="298">
        <v>0</v>
      </c>
      <c r="AI184" s="298">
        <v>0</v>
      </c>
      <c r="AJ184" s="298">
        <v>0</v>
      </c>
      <c r="AK184" s="299">
        <v>0</v>
      </c>
      <c r="AL184" s="441"/>
      <c r="AM184" s="601">
        <v>0</v>
      </c>
      <c r="AN184" s="304">
        <f t="shared" si="23"/>
        <v>10.052301043170756</v>
      </c>
      <c r="AO184" s="1485">
        <v>0</v>
      </c>
      <c r="AP184" s="1486"/>
    </row>
    <row r="185" spans="1:42">
      <c r="A185" s="258"/>
      <c r="B185" s="592"/>
      <c r="C185" s="593"/>
      <c r="D185" s="339" t="s">
        <v>85</v>
      </c>
      <c r="E185" s="339"/>
      <c r="F185" s="339"/>
      <c r="G185" s="293" t="s">
        <v>2605</v>
      </c>
      <c r="H185" s="259"/>
      <c r="I185" s="576" t="s">
        <v>498</v>
      </c>
      <c r="J185" s="295"/>
      <c r="K185" s="259"/>
      <c r="L185" s="259"/>
      <c r="M185" s="259"/>
      <c r="N185" s="259"/>
      <c r="O185" s="259"/>
      <c r="P185" s="298">
        <v>0</v>
      </c>
      <c r="Q185" s="299">
        <v>0</v>
      </c>
      <c r="R185" s="297">
        <v>0.62142958164881457</v>
      </c>
      <c r="S185" s="298">
        <v>0.62142958164881457</v>
      </c>
      <c r="T185" s="298">
        <v>0.62142958164881457</v>
      </c>
      <c r="U185" s="298">
        <v>0.62142958164881457</v>
      </c>
      <c r="V185" s="299">
        <v>0.62142958164881457</v>
      </c>
      <c r="W185" s="339"/>
      <c r="X185" s="576" t="s">
        <v>498</v>
      </c>
      <c r="Y185" s="295"/>
      <c r="Z185" s="259"/>
      <c r="AA185" s="259"/>
      <c r="AB185" s="259"/>
      <c r="AC185" s="259"/>
      <c r="AD185" s="259"/>
      <c r="AE185" s="298">
        <v>0</v>
      </c>
      <c r="AF185" s="299">
        <v>0</v>
      </c>
      <c r="AG185" s="297">
        <v>0</v>
      </c>
      <c r="AH185" s="298">
        <v>0</v>
      </c>
      <c r="AI185" s="298">
        <v>0</v>
      </c>
      <c r="AJ185" s="298">
        <v>0</v>
      </c>
      <c r="AK185" s="299">
        <v>0</v>
      </c>
      <c r="AL185" s="441"/>
      <c r="AM185" s="601">
        <v>0</v>
      </c>
      <c r="AN185" s="304">
        <f t="shared" si="23"/>
        <v>3.1071479082440727</v>
      </c>
      <c r="AO185" s="1485">
        <v>0</v>
      </c>
      <c r="AP185" s="1486"/>
    </row>
    <row r="186" spans="1:42">
      <c r="A186" s="258"/>
      <c r="B186" s="592"/>
      <c r="C186" s="593"/>
      <c r="D186" s="339" t="s">
        <v>85</v>
      </c>
      <c r="E186" s="339"/>
      <c r="F186" s="339"/>
      <c r="G186" s="293"/>
      <c r="H186" s="259"/>
      <c r="I186" s="576" t="s">
        <v>498</v>
      </c>
      <c r="J186" s="295"/>
      <c r="K186" s="259"/>
      <c r="L186" s="259"/>
      <c r="M186" s="259"/>
      <c r="N186" s="259"/>
      <c r="O186" s="259"/>
      <c r="P186" s="298">
        <v>0</v>
      </c>
      <c r="Q186" s="299">
        <v>0</v>
      </c>
      <c r="R186" s="297">
        <v>0</v>
      </c>
      <c r="S186" s="298">
        <v>0</v>
      </c>
      <c r="T186" s="298">
        <v>0</v>
      </c>
      <c r="U186" s="298">
        <v>0</v>
      </c>
      <c r="V186" s="299">
        <v>0</v>
      </c>
      <c r="W186" s="339"/>
      <c r="X186" s="576" t="s">
        <v>498</v>
      </c>
      <c r="Y186" s="295"/>
      <c r="Z186" s="259"/>
      <c r="AA186" s="259"/>
      <c r="AB186" s="259"/>
      <c r="AC186" s="259"/>
      <c r="AD186" s="259"/>
      <c r="AE186" s="298">
        <v>0</v>
      </c>
      <c r="AF186" s="299">
        <v>0</v>
      </c>
      <c r="AG186" s="297">
        <v>0</v>
      </c>
      <c r="AH186" s="298">
        <v>0</v>
      </c>
      <c r="AI186" s="298">
        <v>0</v>
      </c>
      <c r="AJ186" s="298">
        <v>0</v>
      </c>
      <c r="AK186" s="299">
        <v>0</v>
      </c>
      <c r="AL186" s="441"/>
      <c r="AM186" s="601">
        <v>0</v>
      </c>
      <c r="AN186" s="304">
        <f t="shared" si="23"/>
        <v>0</v>
      </c>
      <c r="AO186" s="1485">
        <v>0</v>
      </c>
      <c r="AP186" s="1486"/>
    </row>
    <row r="187" spans="1:42">
      <c r="A187" s="258"/>
      <c r="B187" s="592"/>
      <c r="C187" s="593"/>
      <c r="D187" s="339" t="s">
        <v>85</v>
      </c>
      <c r="E187" s="339"/>
      <c r="F187" s="339"/>
      <c r="G187" s="293"/>
      <c r="H187" s="259"/>
      <c r="I187" s="576" t="s">
        <v>498</v>
      </c>
      <c r="J187" s="295"/>
      <c r="K187" s="259"/>
      <c r="L187" s="259"/>
      <c r="M187" s="259"/>
      <c r="N187" s="259"/>
      <c r="O187" s="259"/>
      <c r="P187" s="298">
        <v>0</v>
      </c>
      <c r="Q187" s="299">
        <v>0</v>
      </c>
      <c r="R187" s="297">
        <v>0</v>
      </c>
      <c r="S187" s="298">
        <v>0</v>
      </c>
      <c r="T187" s="298">
        <v>0</v>
      </c>
      <c r="U187" s="298">
        <v>0</v>
      </c>
      <c r="V187" s="299">
        <v>0</v>
      </c>
      <c r="W187" s="339"/>
      <c r="X187" s="576" t="s">
        <v>498</v>
      </c>
      <c r="Y187" s="295"/>
      <c r="Z187" s="259"/>
      <c r="AA187" s="259"/>
      <c r="AB187" s="259"/>
      <c r="AC187" s="259"/>
      <c r="AD187" s="259"/>
      <c r="AE187" s="298">
        <v>0</v>
      </c>
      <c r="AF187" s="299">
        <v>0</v>
      </c>
      <c r="AG187" s="297">
        <v>0</v>
      </c>
      <c r="AH187" s="298">
        <v>0</v>
      </c>
      <c r="AI187" s="298">
        <v>0</v>
      </c>
      <c r="AJ187" s="298">
        <v>0</v>
      </c>
      <c r="AK187" s="299">
        <v>0</v>
      </c>
      <c r="AL187" s="339"/>
      <c r="AM187" s="601">
        <v>0</v>
      </c>
      <c r="AN187" s="304">
        <f t="shared" si="23"/>
        <v>0</v>
      </c>
      <c r="AO187" s="1485">
        <v>0</v>
      </c>
      <c r="AP187" s="1486"/>
    </row>
    <row r="188" spans="1:42">
      <c r="A188" s="258"/>
      <c r="B188" s="592"/>
      <c r="C188" s="593"/>
      <c r="D188" s="339" t="s">
        <v>85</v>
      </c>
      <c r="E188" s="339"/>
      <c r="F188" s="339"/>
      <c r="G188" s="293"/>
      <c r="H188" s="259"/>
      <c r="I188" s="576" t="s">
        <v>498</v>
      </c>
      <c r="J188" s="295"/>
      <c r="K188" s="259"/>
      <c r="L188" s="259"/>
      <c r="M188" s="259"/>
      <c r="N188" s="259"/>
      <c r="O188" s="259"/>
      <c r="P188" s="298">
        <v>0</v>
      </c>
      <c r="Q188" s="299">
        <v>0</v>
      </c>
      <c r="R188" s="297">
        <v>0</v>
      </c>
      <c r="S188" s="298">
        <v>0</v>
      </c>
      <c r="T188" s="298">
        <v>0</v>
      </c>
      <c r="U188" s="298">
        <v>0</v>
      </c>
      <c r="V188" s="299">
        <v>0</v>
      </c>
      <c r="W188" s="339"/>
      <c r="X188" s="576" t="s">
        <v>498</v>
      </c>
      <c r="Y188" s="295"/>
      <c r="Z188" s="259"/>
      <c r="AA188" s="259"/>
      <c r="AB188" s="259"/>
      <c r="AC188" s="259"/>
      <c r="AD188" s="259"/>
      <c r="AE188" s="298">
        <v>0</v>
      </c>
      <c r="AF188" s="299">
        <v>0</v>
      </c>
      <c r="AG188" s="297">
        <v>0</v>
      </c>
      <c r="AH188" s="298">
        <v>0</v>
      </c>
      <c r="AI188" s="298">
        <v>0</v>
      </c>
      <c r="AJ188" s="298">
        <v>0</v>
      </c>
      <c r="AK188" s="299">
        <v>0</v>
      </c>
      <c r="AL188" s="441"/>
      <c r="AM188" s="601">
        <v>0</v>
      </c>
      <c r="AN188" s="304">
        <f t="shared" si="23"/>
        <v>0</v>
      </c>
      <c r="AO188" s="1485">
        <v>0</v>
      </c>
      <c r="AP188" s="1486"/>
    </row>
    <row r="189" spans="1:42">
      <c r="A189" s="258"/>
      <c r="B189" s="592"/>
      <c r="C189" s="593"/>
      <c r="D189" s="339" t="s">
        <v>85</v>
      </c>
      <c r="E189" s="339"/>
      <c r="F189" s="339"/>
      <c r="G189" s="293"/>
      <c r="H189" s="259"/>
      <c r="I189" s="576" t="s">
        <v>498</v>
      </c>
      <c r="J189" s="295"/>
      <c r="K189" s="259"/>
      <c r="L189" s="259"/>
      <c r="M189" s="259"/>
      <c r="N189" s="259"/>
      <c r="O189" s="259"/>
      <c r="P189" s="298">
        <v>0</v>
      </c>
      <c r="Q189" s="299">
        <v>0</v>
      </c>
      <c r="R189" s="297">
        <v>0</v>
      </c>
      <c r="S189" s="298">
        <v>0</v>
      </c>
      <c r="T189" s="298">
        <v>0</v>
      </c>
      <c r="U189" s="298">
        <v>0</v>
      </c>
      <c r="V189" s="299">
        <v>0</v>
      </c>
      <c r="W189" s="339"/>
      <c r="X189" s="576" t="s">
        <v>498</v>
      </c>
      <c r="Y189" s="295"/>
      <c r="Z189" s="259"/>
      <c r="AA189" s="259"/>
      <c r="AB189" s="259"/>
      <c r="AC189" s="259"/>
      <c r="AD189" s="259"/>
      <c r="AE189" s="298">
        <v>0</v>
      </c>
      <c r="AF189" s="299">
        <v>0</v>
      </c>
      <c r="AG189" s="297">
        <v>0</v>
      </c>
      <c r="AH189" s="298">
        <v>0</v>
      </c>
      <c r="AI189" s="298">
        <v>0</v>
      </c>
      <c r="AJ189" s="298">
        <v>0</v>
      </c>
      <c r="AK189" s="299">
        <v>0</v>
      </c>
      <c r="AL189" s="441"/>
      <c r="AM189" s="601">
        <v>0</v>
      </c>
      <c r="AN189" s="304">
        <f t="shared" si="23"/>
        <v>0</v>
      </c>
      <c r="AO189" s="1485">
        <v>0</v>
      </c>
      <c r="AP189" s="1486"/>
    </row>
    <row r="190" spans="1:42">
      <c r="A190" s="258"/>
      <c r="B190" s="592"/>
      <c r="C190" s="593"/>
      <c r="D190" s="339" t="s">
        <v>85</v>
      </c>
      <c r="E190" s="339"/>
      <c r="F190" s="339"/>
      <c r="G190" s="293"/>
      <c r="H190" s="259"/>
      <c r="I190" s="576" t="s">
        <v>498</v>
      </c>
      <c r="J190" s="295"/>
      <c r="K190" s="259"/>
      <c r="L190" s="259"/>
      <c r="M190" s="259"/>
      <c r="N190" s="259"/>
      <c r="O190" s="259"/>
      <c r="P190" s="298">
        <v>0</v>
      </c>
      <c r="Q190" s="299">
        <v>0</v>
      </c>
      <c r="R190" s="297">
        <v>0</v>
      </c>
      <c r="S190" s="298">
        <v>0</v>
      </c>
      <c r="T190" s="298">
        <v>0</v>
      </c>
      <c r="U190" s="298">
        <v>0</v>
      </c>
      <c r="V190" s="299">
        <v>0</v>
      </c>
      <c r="W190" s="339"/>
      <c r="X190" s="576" t="s">
        <v>498</v>
      </c>
      <c r="Y190" s="295"/>
      <c r="Z190" s="259"/>
      <c r="AA190" s="259"/>
      <c r="AB190" s="259"/>
      <c r="AC190" s="259"/>
      <c r="AD190" s="259"/>
      <c r="AE190" s="298">
        <v>0</v>
      </c>
      <c r="AF190" s="299">
        <v>0</v>
      </c>
      <c r="AG190" s="297">
        <v>0</v>
      </c>
      <c r="AH190" s="298">
        <v>0</v>
      </c>
      <c r="AI190" s="298">
        <v>0</v>
      </c>
      <c r="AJ190" s="298">
        <v>0</v>
      </c>
      <c r="AK190" s="299">
        <v>0</v>
      </c>
      <c r="AL190" s="441"/>
      <c r="AM190" s="601">
        <v>0</v>
      </c>
      <c r="AN190" s="304">
        <f t="shared" si="23"/>
        <v>0</v>
      </c>
      <c r="AO190" s="1485">
        <v>0</v>
      </c>
      <c r="AP190" s="1486"/>
    </row>
    <row r="191" spans="1:42">
      <c r="A191" s="258"/>
      <c r="B191" s="592"/>
      <c r="C191" s="593"/>
      <c r="D191" s="339" t="s">
        <v>85</v>
      </c>
      <c r="E191" s="339"/>
      <c r="F191" s="339"/>
      <c r="G191" s="293"/>
      <c r="H191" s="259"/>
      <c r="I191" s="576" t="s">
        <v>498</v>
      </c>
      <c r="J191" s="295"/>
      <c r="K191" s="259"/>
      <c r="L191" s="259"/>
      <c r="M191" s="259"/>
      <c r="N191" s="259"/>
      <c r="O191" s="259"/>
      <c r="P191" s="298">
        <v>0</v>
      </c>
      <c r="Q191" s="299">
        <v>0</v>
      </c>
      <c r="R191" s="297">
        <v>0</v>
      </c>
      <c r="S191" s="298">
        <v>0</v>
      </c>
      <c r="T191" s="298">
        <v>0</v>
      </c>
      <c r="U191" s="298">
        <v>0</v>
      </c>
      <c r="V191" s="299">
        <v>0</v>
      </c>
      <c r="W191" s="339"/>
      <c r="X191" s="576" t="s">
        <v>498</v>
      </c>
      <c r="Y191" s="295"/>
      <c r="Z191" s="259"/>
      <c r="AA191" s="259"/>
      <c r="AB191" s="259"/>
      <c r="AC191" s="259"/>
      <c r="AD191" s="259"/>
      <c r="AE191" s="298">
        <v>0</v>
      </c>
      <c r="AF191" s="299">
        <v>0</v>
      </c>
      <c r="AG191" s="297">
        <v>0</v>
      </c>
      <c r="AH191" s="298">
        <v>0</v>
      </c>
      <c r="AI191" s="298">
        <v>0</v>
      </c>
      <c r="AJ191" s="298">
        <v>0</v>
      </c>
      <c r="AK191" s="299">
        <v>0</v>
      </c>
      <c r="AL191" s="339"/>
      <c r="AM191" s="601">
        <v>0</v>
      </c>
      <c r="AN191" s="304">
        <f t="shared" si="23"/>
        <v>0</v>
      </c>
      <c r="AO191" s="1485">
        <v>0</v>
      </c>
      <c r="AP191" s="1486"/>
    </row>
    <row r="192" spans="1:42">
      <c r="A192" s="258"/>
      <c r="B192" s="592"/>
      <c r="C192" s="593"/>
      <c r="D192" s="339" t="s">
        <v>85</v>
      </c>
      <c r="E192" s="339"/>
      <c r="F192" s="339"/>
      <c r="G192" s="293"/>
      <c r="H192" s="259"/>
      <c r="I192" s="576" t="s">
        <v>498</v>
      </c>
      <c r="J192" s="295"/>
      <c r="K192" s="259"/>
      <c r="L192" s="259"/>
      <c r="M192" s="259"/>
      <c r="N192" s="259"/>
      <c r="O192" s="259"/>
      <c r="P192" s="298">
        <v>0</v>
      </c>
      <c r="Q192" s="299">
        <v>0</v>
      </c>
      <c r="R192" s="297">
        <v>0</v>
      </c>
      <c r="S192" s="298">
        <v>0</v>
      </c>
      <c r="T192" s="298">
        <v>0</v>
      </c>
      <c r="U192" s="298">
        <v>0</v>
      </c>
      <c r="V192" s="299">
        <v>0</v>
      </c>
      <c r="W192" s="339"/>
      <c r="X192" s="576" t="s">
        <v>498</v>
      </c>
      <c r="Y192" s="295"/>
      <c r="Z192" s="259"/>
      <c r="AA192" s="259"/>
      <c r="AB192" s="259"/>
      <c r="AC192" s="259"/>
      <c r="AD192" s="259"/>
      <c r="AE192" s="298">
        <v>0</v>
      </c>
      <c r="AF192" s="299">
        <v>0</v>
      </c>
      <c r="AG192" s="297">
        <v>0</v>
      </c>
      <c r="AH192" s="298">
        <v>0</v>
      </c>
      <c r="AI192" s="298">
        <v>0</v>
      </c>
      <c r="AJ192" s="298">
        <v>0</v>
      </c>
      <c r="AK192" s="299">
        <v>0</v>
      </c>
      <c r="AL192" s="339"/>
      <c r="AM192" s="601">
        <v>0</v>
      </c>
      <c r="AN192" s="304">
        <f t="shared" si="23"/>
        <v>0</v>
      </c>
      <c r="AO192" s="1485">
        <v>0</v>
      </c>
      <c r="AP192" s="1486"/>
    </row>
    <row r="193" spans="1:42">
      <c r="A193" s="258"/>
      <c r="B193" s="592"/>
      <c r="C193" s="593"/>
      <c r="D193" s="339" t="s">
        <v>85</v>
      </c>
      <c r="E193" s="339"/>
      <c r="F193" s="339"/>
      <c r="G193" s="293"/>
      <c r="H193" s="259"/>
      <c r="I193" s="576" t="s">
        <v>498</v>
      </c>
      <c r="J193" s="295"/>
      <c r="K193" s="259"/>
      <c r="L193" s="259"/>
      <c r="M193" s="259"/>
      <c r="N193" s="259"/>
      <c r="O193" s="259"/>
      <c r="P193" s="298">
        <v>0</v>
      </c>
      <c r="Q193" s="299">
        <v>0</v>
      </c>
      <c r="R193" s="297">
        <v>0</v>
      </c>
      <c r="S193" s="298">
        <v>0</v>
      </c>
      <c r="T193" s="298">
        <v>0</v>
      </c>
      <c r="U193" s="298">
        <v>0</v>
      </c>
      <c r="V193" s="299">
        <v>0</v>
      </c>
      <c r="W193" s="339"/>
      <c r="X193" s="576" t="s">
        <v>498</v>
      </c>
      <c r="Y193" s="295"/>
      <c r="Z193" s="259"/>
      <c r="AA193" s="259"/>
      <c r="AB193" s="259"/>
      <c r="AC193" s="259"/>
      <c r="AD193" s="259"/>
      <c r="AE193" s="298">
        <v>0</v>
      </c>
      <c r="AF193" s="299">
        <v>0</v>
      </c>
      <c r="AG193" s="297">
        <v>0</v>
      </c>
      <c r="AH193" s="298">
        <v>0</v>
      </c>
      <c r="AI193" s="298">
        <v>0</v>
      </c>
      <c r="AJ193" s="298">
        <v>0</v>
      </c>
      <c r="AK193" s="299">
        <v>0</v>
      </c>
      <c r="AL193" s="339"/>
      <c r="AM193" s="601">
        <v>0</v>
      </c>
      <c r="AN193" s="304">
        <f t="shared" si="23"/>
        <v>0</v>
      </c>
      <c r="AO193" s="1485">
        <v>0</v>
      </c>
      <c r="AP193" s="1486"/>
    </row>
    <row r="194" spans="1:42">
      <c r="A194" s="258"/>
      <c r="B194" s="592"/>
      <c r="C194" s="593"/>
      <c r="D194" s="339" t="s">
        <v>85</v>
      </c>
      <c r="E194" s="339"/>
      <c r="F194" s="339"/>
      <c r="G194" s="293"/>
      <c r="H194" s="259"/>
      <c r="I194" s="576" t="s">
        <v>498</v>
      </c>
      <c r="J194" s="295"/>
      <c r="K194" s="259"/>
      <c r="L194" s="259"/>
      <c r="M194" s="259"/>
      <c r="N194" s="259"/>
      <c r="O194" s="259"/>
      <c r="P194" s="298">
        <v>0</v>
      </c>
      <c r="Q194" s="299">
        <v>0</v>
      </c>
      <c r="R194" s="297">
        <v>0</v>
      </c>
      <c r="S194" s="298">
        <v>0</v>
      </c>
      <c r="T194" s="298">
        <v>0</v>
      </c>
      <c r="U194" s="298">
        <v>0</v>
      </c>
      <c r="V194" s="299">
        <v>0</v>
      </c>
      <c r="W194" s="339"/>
      <c r="X194" s="576" t="s">
        <v>498</v>
      </c>
      <c r="Y194" s="295"/>
      <c r="Z194" s="259"/>
      <c r="AA194" s="259"/>
      <c r="AB194" s="259"/>
      <c r="AC194" s="259"/>
      <c r="AD194" s="259"/>
      <c r="AE194" s="298">
        <v>0</v>
      </c>
      <c r="AF194" s="299">
        <v>0</v>
      </c>
      <c r="AG194" s="297">
        <v>0</v>
      </c>
      <c r="AH194" s="298">
        <v>0</v>
      </c>
      <c r="AI194" s="298">
        <v>0</v>
      </c>
      <c r="AJ194" s="298">
        <v>0</v>
      </c>
      <c r="AK194" s="299">
        <v>0</v>
      </c>
      <c r="AL194" s="441"/>
      <c r="AM194" s="601">
        <v>0</v>
      </c>
      <c r="AN194" s="304">
        <f t="shared" si="23"/>
        <v>0</v>
      </c>
      <c r="AO194" s="1485">
        <v>0</v>
      </c>
      <c r="AP194" s="1486"/>
    </row>
    <row r="195" spans="1:42">
      <c r="A195" s="258"/>
      <c r="B195" s="592"/>
      <c r="C195" s="593"/>
      <c r="D195" s="339" t="s">
        <v>85</v>
      </c>
      <c r="E195" s="339"/>
      <c r="F195" s="339"/>
      <c r="G195" s="293"/>
      <c r="H195" s="259"/>
      <c r="I195" s="576" t="s">
        <v>498</v>
      </c>
      <c r="J195" s="295"/>
      <c r="K195" s="259"/>
      <c r="L195" s="259"/>
      <c r="M195" s="259"/>
      <c r="N195" s="259"/>
      <c r="O195" s="259"/>
      <c r="P195" s="298">
        <v>0</v>
      </c>
      <c r="Q195" s="299">
        <v>0</v>
      </c>
      <c r="R195" s="297">
        <v>0</v>
      </c>
      <c r="S195" s="298">
        <v>0</v>
      </c>
      <c r="T195" s="298">
        <v>0</v>
      </c>
      <c r="U195" s="298">
        <v>0</v>
      </c>
      <c r="V195" s="299">
        <v>0</v>
      </c>
      <c r="W195" s="339"/>
      <c r="X195" s="576" t="s">
        <v>498</v>
      </c>
      <c r="Y195" s="295"/>
      <c r="Z195" s="259"/>
      <c r="AA195" s="259"/>
      <c r="AB195" s="259"/>
      <c r="AC195" s="259"/>
      <c r="AD195" s="259"/>
      <c r="AE195" s="298">
        <v>0</v>
      </c>
      <c r="AF195" s="299">
        <v>0</v>
      </c>
      <c r="AG195" s="297">
        <v>0</v>
      </c>
      <c r="AH195" s="298">
        <v>0</v>
      </c>
      <c r="AI195" s="298">
        <v>0</v>
      </c>
      <c r="AJ195" s="298">
        <v>0</v>
      </c>
      <c r="AK195" s="299">
        <v>0</v>
      </c>
      <c r="AL195" s="441"/>
      <c r="AM195" s="601">
        <v>0</v>
      </c>
      <c r="AN195" s="304">
        <f t="shared" si="23"/>
        <v>0</v>
      </c>
      <c r="AO195" s="1485">
        <v>0</v>
      </c>
      <c r="AP195" s="1486"/>
    </row>
    <row r="196" spans="1:42">
      <c r="A196" s="258"/>
      <c r="B196" s="592"/>
      <c r="C196" s="593"/>
      <c r="D196" s="339" t="s">
        <v>85</v>
      </c>
      <c r="E196" s="339"/>
      <c r="F196" s="339"/>
      <c r="G196" s="293"/>
      <c r="H196" s="259"/>
      <c r="I196" s="576" t="s">
        <v>498</v>
      </c>
      <c r="J196" s="295"/>
      <c r="K196" s="259"/>
      <c r="L196" s="259"/>
      <c r="M196" s="259"/>
      <c r="N196" s="259"/>
      <c r="O196" s="259"/>
      <c r="P196" s="298">
        <v>0</v>
      </c>
      <c r="Q196" s="299">
        <v>0</v>
      </c>
      <c r="R196" s="297">
        <v>0</v>
      </c>
      <c r="S196" s="298">
        <v>0</v>
      </c>
      <c r="T196" s="298">
        <v>0</v>
      </c>
      <c r="U196" s="298">
        <v>0</v>
      </c>
      <c r="V196" s="299">
        <v>0</v>
      </c>
      <c r="W196" s="339"/>
      <c r="X196" s="576" t="s">
        <v>498</v>
      </c>
      <c r="Y196" s="295"/>
      <c r="Z196" s="259"/>
      <c r="AA196" s="259"/>
      <c r="AB196" s="259"/>
      <c r="AC196" s="259"/>
      <c r="AD196" s="259"/>
      <c r="AE196" s="298">
        <v>0</v>
      </c>
      <c r="AF196" s="299">
        <v>0</v>
      </c>
      <c r="AG196" s="297">
        <v>0</v>
      </c>
      <c r="AH196" s="298">
        <v>0</v>
      </c>
      <c r="AI196" s="298">
        <v>0</v>
      </c>
      <c r="AJ196" s="298">
        <v>0</v>
      </c>
      <c r="AK196" s="299">
        <v>0</v>
      </c>
      <c r="AL196" s="441"/>
      <c r="AM196" s="601">
        <v>0</v>
      </c>
      <c r="AN196" s="304">
        <f t="shared" si="23"/>
        <v>0</v>
      </c>
      <c r="AO196" s="1485">
        <v>0</v>
      </c>
      <c r="AP196" s="1486"/>
    </row>
    <row r="197" spans="1:42">
      <c r="A197" s="258"/>
      <c r="B197" s="592"/>
      <c r="C197" s="593"/>
      <c r="D197" s="339" t="s">
        <v>85</v>
      </c>
      <c r="E197" s="339"/>
      <c r="F197" s="339"/>
      <c r="G197" s="293"/>
      <c r="H197" s="259"/>
      <c r="I197" s="576" t="s">
        <v>498</v>
      </c>
      <c r="J197" s="295"/>
      <c r="K197" s="259"/>
      <c r="L197" s="259"/>
      <c r="M197" s="259"/>
      <c r="N197" s="259"/>
      <c r="O197" s="259"/>
      <c r="P197" s="298">
        <v>0</v>
      </c>
      <c r="Q197" s="299">
        <v>0</v>
      </c>
      <c r="R197" s="297">
        <v>0</v>
      </c>
      <c r="S197" s="298">
        <v>0</v>
      </c>
      <c r="T197" s="298">
        <v>0</v>
      </c>
      <c r="U197" s="298">
        <v>0</v>
      </c>
      <c r="V197" s="299">
        <v>0</v>
      </c>
      <c r="W197" s="339"/>
      <c r="X197" s="576" t="s">
        <v>498</v>
      </c>
      <c r="Y197" s="295"/>
      <c r="Z197" s="259"/>
      <c r="AA197" s="259"/>
      <c r="AB197" s="259"/>
      <c r="AC197" s="259"/>
      <c r="AD197" s="259"/>
      <c r="AE197" s="298">
        <v>0</v>
      </c>
      <c r="AF197" s="299">
        <v>0</v>
      </c>
      <c r="AG197" s="297">
        <v>0</v>
      </c>
      <c r="AH197" s="298">
        <v>0</v>
      </c>
      <c r="AI197" s="298">
        <v>0</v>
      </c>
      <c r="AJ197" s="298">
        <v>0</v>
      </c>
      <c r="AK197" s="299">
        <v>0</v>
      </c>
      <c r="AL197" s="339"/>
      <c r="AM197" s="601">
        <v>0</v>
      </c>
      <c r="AN197" s="304">
        <f t="shared" si="23"/>
        <v>0</v>
      </c>
      <c r="AO197" s="1485">
        <v>0</v>
      </c>
      <c r="AP197" s="1486"/>
    </row>
    <row r="198" spans="1:42">
      <c r="A198" s="258"/>
      <c r="B198" s="592"/>
      <c r="C198" s="593"/>
      <c r="D198" s="339" t="s">
        <v>85</v>
      </c>
      <c r="E198" s="339"/>
      <c r="F198" s="339"/>
      <c r="G198" s="293"/>
      <c r="H198" s="259"/>
      <c r="I198" s="576" t="s">
        <v>498</v>
      </c>
      <c r="J198" s="295"/>
      <c r="K198" s="259"/>
      <c r="L198" s="259"/>
      <c r="M198" s="259"/>
      <c r="N198" s="259"/>
      <c r="O198" s="259"/>
      <c r="P198" s="298">
        <v>0</v>
      </c>
      <c r="Q198" s="299">
        <v>0</v>
      </c>
      <c r="R198" s="297">
        <v>0</v>
      </c>
      <c r="S198" s="298">
        <v>0</v>
      </c>
      <c r="T198" s="298">
        <v>0</v>
      </c>
      <c r="U198" s="298">
        <v>0</v>
      </c>
      <c r="V198" s="299">
        <v>0</v>
      </c>
      <c r="W198" s="339"/>
      <c r="X198" s="576" t="s">
        <v>498</v>
      </c>
      <c r="Y198" s="295"/>
      <c r="Z198" s="259"/>
      <c r="AA198" s="259"/>
      <c r="AB198" s="259"/>
      <c r="AC198" s="259"/>
      <c r="AD198" s="259"/>
      <c r="AE198" s="298">
        <v>0</v>
      </c>
      <c r="AF198" s="299">
        <v>0</v>
      </c>
      <c r="AG198" s="297">
        <v>0</v>
      </c>
      <c r="AH198" s="298">
        <v>0</v>
      </c>
      <c r="AI198" s="298">
        <v>0</v>
      </c>
      <c r="AJ198" s="298">
        <v>0</v>
      </c>
      <c r="AK198" s="299">
        <v>0</v>
      </c>
      <c r="AL198" s="441"/>
      <c r="AM198" s="601">
        <v>0</v>
      </c>
      <c r="AN198" s="304">
        <f t="shared" si="23"/>
        <v>0</v>
      </c>
      <c r="AO198" s="1485">
        <v>0</v>
      </c>
      <c r="AP198" s="1486"/>
    </row>
    <row r="199" spans="1:42">
      <c r="A199" s="258"/>
      <c r="B199" s="592"/>
      <c r="C199" s="593"/>
      <c r="D199" s="339" t="s">
        <v>85</v>
      </c>
      <c r="E199" s="339"/>
      <c r="F199" s="339"/>
      <c r="G199" s="293"/>
      <c r="H199" s="259"/>
      <c r="I199" s="576" t="s">
        <v>498</v>
      </c>
      <c r="J199" s="295"/>
      <c r="K199" s="259"/>
      <c r="L199" s="259"/>
      <c r="M199" s="259"/>
      <c r="N199" s="259"/>
      <c r="O199" s="259"/>
      <c r="P199" s="298">
        <v>0</v>
      </c>
      <c r="Q199" s="299">
        <v>0</v>
      </c>
      <c r="R199" s="297">
        <v>0</v>
      </c>
      <c r="S199" s="298">
        <v>0</v>
      </c>
      <c r="T199" s="298">
        <v>0</v>
      </c>
      <c r="U199" s="298">
        <v>0</v>
      </c>
      <c r="V199" s="299">
        <v>0</v>
      </c>
      <c r="W199" s="339"/>
      <c r="X199" s="576" t="s">
        <v>498</v>
      </c>
      <c r="Y199" s="295"/>
      <c r="Z199" s="259"/>
      <c r="AA199" s="259"/>
      <c r="AB199" s="259"/>
      <c r="AC199" s="259"/>
      <c r="AD199" s="259"/>
      <c r="AE199" s="298">
        <v>0</v>
      </c>
      <c r="AF199" s="299">
        <v>0</v>
      </c>
      <c r="AG199" s="297">
        <v>0</v>
      </c>
      <c r="AH199" s="298">
        <v>0</v>
      </c>
      <c r="AI199" s="298">
        <v>0</v>
      </c>
      <c r="AJ199" s="298">
        <v>0</v>
      </c>
      <c r="AK199" s="299">
        <v>0</v>
      </c>
      <c r="AL199" s="441"/>
      <c r="AM199" s="601">
        <v>0</v>
      </c>
      <c r="AN199" s="304">
        <f t="shared" si="23"/>
        <v>0</v>
      </c>
      <c r="AO199" s="1485">
        <v>0</v>
      </c>
      <c r="AP199" s="1486"/>
    </row>
    <row r="200" spans="1:42">
      <c r="A200" s="258"/>
      <c r="B200" s="592"/>
      <c r="C200" s="593"/>
      <c r="D200" s="339" t="s">
        <v>85</v>
      </c>
      <c r="E200" s="339"/>
      <c r="F200" s="339"/>
      <c r="G200" s="293"/>
      <c r="H200" s="259"/>
      <c r="I200" s="576" t="s">
        <v>498</v>
      </c>
      <c r="J200" s="295"/>
      <c r="K200" s="259"/>
      <c r="L200" s="259"/>
      <c r="M200" s="259"/>
      <c r="N200" s="259"/>
      <c r="O200" s="259"/>
      <c r="P200" s="298">
        <v>0</v>
      </c>
      <c r="Q200" s="299">
        <v>0</v>
      </c>
      <c r="R200" s="297">
        <v>0</v>
      </c>
      <c r="S200" s="298">
        <v>0</v>
      </c>
      <c r="T200" s="298">
        <v>0</v>
      </c>
      <c r="U200" s="298">
        <v>0</v>
      </c>
      <c r="V200" s="299">
        <v>0</v>
      </c>
      <c r="W200" s="339"/>
      <c r="X200" s="576" t="s">
        <v>498</v>
      </c>
      <c r="Y200" s="295"/>
      <c r="Z200" s="259"/>
      <c r="AA200" s="259"/>
      <c r="AB200" s="259"/>
      <c r="AC200" s="259"/>
      <c r="AD200" s="259"/>
      <c r="AE200" s="298">
        <v>0</v>
      </c>
      <c r="AF200" s="299">
        <v>0</v>
      </c>
      <c r="AG200" s="297">
        <v>0</v>
      </c>
      <c r="AH200" s="298">
        <v>0</v>
      </c>
      <c r="AI200" s="298">
        <v>0</v>
      </c>
      <c r="AJ200" s="298">
        <v>0</v>
      </c>
      <c r="AK200" s="299">
        <v>0</v>
      </c>
      <c r="AL200" s="441"/>
      <c r="AM200" s="601">
        <v>0</v>
      </c>
      <c r="AN200" s="304">
        <f t="shared" si="23"/>
        <v>0</v>
      </c>
      <c r="AO200" s="1485">
        <v>0</v>
      </c>
      <c r="AP200" s="1486"/>
    </row>
    <row r="201" spans="1:42">
      <c r="A201" s="258"/>
      <c r="B201" s="592"/>
      <c r="C201" s="593"/>
      <c r="D201" s="339" t="s">
        <v>85</v>
      </c>
      <c r="E201" s="339"/>
      <c r="F201" s="339"/>
      <c r="G201" s="293"/>
      <c r="H201" s="259"/>
      <c r="I201" s="576" t="s">
        <v>498</v>
      </c>
      <c r="J201" s="295"/>
      <c r="K201" s="259"/>
      <c r="L201" s="259"/>
      <c r="M201" s="259"/>
      <c r="N201" s="259"/>
      <c r="O201" s="259"/>
      <c r="P201" s="298">
        <v>0</v>
      </c>
      <c r="Q201" s="299">
        <v>0</v>
      </c>
      <c r="R201" s="297">
        <v>0</v>
      </c>
      <c r="S201" s="298">
        <v>0</v>
      </c>
      <c r="T201" s="298">
        <v>0</v>
      </c>
      <c r="U201" s="298">
        <v>0</v>
      </c>
      <c r="V201" s="299">
        <v>0</v>
      </c>
      <c r="W201" s="339"/>
      <c r="X201" s="576" t="s">
        <v>498</v>
      </c>
      <c r="Y201" s="295"/>
      <c r="Z201" s="259"/>
      <c r="AA201" s="259"/>
      <c r="AB201" s="259"/>
      <c r="AC201" s="259"/>
      <c r="AD201" s="259"/>
      <c r="AE201" s="298">
        <v>0</v>
      </c>
      <c r="AF201" s="299">
        <v>0</v>
      </c>
      <c r="AG201" s="297">
        <v>0</v>
      </c>
      <c r="AH201" s="298">
        <v>0</v>
      </c>
      <c r="AI201" s="298">
        <v>0</v>
      </c>
      <c r="AJ201" s="298">
        <v>0</v>
      </c>
      <c r="AK201" s="299">
        <v>0</v>
      </c>
      <c r="AL201" s="339"/>
      <c r="AM201" s="601">
        <v>0</v>
      </c>
      <c r="AN201" s="304">
        <f t="shared" si="23"/>
        <v>0</v>
      </c>
      <c r="AO201" s="1485">
        <v>0</v>
      </c>
      <c r="AP201" s="1486"/>
    </row>
    <row r="202" spans="1:42">
      <c r="A202" s="258"/>
      <c r="B202" s="592"/>
      <c r="C202" s="593"/>
      <c r="D202" s="339" t="s">
        <v>85</v>
      </c>
      <c r="E202" s="339"/>
      <c r="F202" s="339"/>
      <c r="G202" s="293"/>
      <c r="H202" s="259"/>
      <c r="I202" s="576" t="s">
        <v>498</v>
      </c>
      <c r="J202" s="295"/>
      <c r="K202" s="259"/>
      <c r="L202" s="259"/>
      <c r="M202" s="259"/>
      <c r="N202" s="259"/>
      <c r="O202" s="259"/>
      <c r="P202" s="298">
        <v>0</v>
      </c>
      <c r="Q202" s="299">
        <v>0</v>
      </c>
      <c r="R202" s="297">
        <v>0</v>
      </c>
      <c r="S202" s="298">
        <v>0</v>
      </c>
      <c r="T202" s="298">
        <v>0</v>
      </c>
      <c r="U202" s="298">
        <v>0</v>
      </c>
      <c r="V202" s="299">
        <v>0</v>
      </c>
      <c r="W202" s="339"/>
      <c r="X202" s="576" t="s">
        <v>498</v>
      </c>
      <c r="Y202" s="295"/>
      <c r="Z202" s="259"/>
      <c r="AA202" s="259"/>
      <c r="AB202" s="259"/>
      <c r="AC202" s="259"/>
      <c r="AD202" s="259"/>
      <c r="AE202" s="298">
        <v>0</v>
      </c>
      <c r="AF202" s="299">
        <v>0</v>
      </c>
      <c r="AG202" s="297">
        <v>0</v>
      </c>
      <c r="AH202" s="298">
        <v>0</v>
      </c>
      <c r="AI202" s="298">
        <v>0</v>
      </c>
      <c r="AJ202" s="298">
        <v>0</v>
      </c>
      <c r="AK202" s="299">
        <v>0</v>
      </c>
      <c r="AL202" s="339"/>
      <c r="AM202" s="601">
        <v>0</v>
      </c>
      <c r="AN202" s="304">
        <f t="shared" si="23"/>
        <v>0</v>
      </c>
      <c r="AO202" s="1485">
        <v>0</v>
      </c>
      <c r="AP202" s="1486"/>
    </row>
    <row r="203" spans="1:42">
      <c r="A203" s="258"/>
      <c r="B203" s="592"/>
      <c r="C203" s="593"/>
      <c r="D203" s="339" t="s">
        <v>85</v>
      </c>
      <c r="E203" s="339"/>
      <c r="F203" s="339"/>
      <c r="G203" s="293"/>
      <c r="H203" s="259"/>
      <c r="I203" s="576" t="s">
        <v>498</v>
      </c>
      <c r="J203" s="295"/>
      <c r="K203" s="259"/>
      <c r="L203" s="259"/>
      <c r="M203" s="259"/>
      <c r="N203" s="259"/>
      <c r="O203" s="259"/>
      <c r="P203" s="298">
        <v>0</v>
      </c>
      <c r="Q203" s="299">
        <v>0</v>
      </c>
      <c r="R203" s="297">
        <v>0</v>
      </c>
      <c r="S203" s="298">
        <v>0</v>
      </c>
      <c r="T203" s="298">
        <v>0</v>
      </c>
      <c r="U203" s="298">
        <v>0</v>
      </c>
      <c r="V203" s="299">
        <v>0</v>
      </c>
      <c r="W203" s="339"/>
      <c r="X203" s="576" t="s">
        <v>498</v>
      </c>
      <c r="Y203" s="295"/>
      <c r="Z203" s="259"/>
      <c r="AA203" s="259"/>
      <c r="AB203" s="259"/>
      <c r="AC203" s="259"/>
      <c r="AD203" s="259"/>
      <c r="AE203" s="298">
        <v>0</v>
      </c>
      <c r="AF203" s="299">
        <v>0</v>
      </c>
      <c r="AG203" s="297">
        <v>0</v>
      </c>
      <c r="AH203" s="298">
        <v>0</v>
      </c>
      <c r="AI203" s="298">
        <v>0</v>
      </c>
      <c r="AJ203" s="298">
        <v>0</v>
      </c>
      <c r="AK203" s="299">
        <v>0</v>
      </c>
      <c r="AL203" s="339"/>
      <c r="AM203" s="601">
        <v>0</v>
      </c>
      <c r="AN203" s="304">
        <f t="shared" si="23"/>
        <v>0</v>
      </c>
      <c r="AO203" s="1485">
        <v>0</v>
      </c>
      <c r="AP203" s="1486"/>
    </row>
    <row r="204" spans="1:42">
      <c r="A204" s="258"/>
      <c r="B204" s="592"/>
      <c r="C204" s="593"/>
      <c r="D204" s="926" t="s">
        <v>1742</v>
      </c>
      <c r="E204" s="339"/>
      <c r="F204" s="339"/>
      <c r="G204" s="561"/>
      <c r="H204" s="259"/>
      <c r="I204" s="576" t="s">
        <v>498</v>
      </c>
      <c r="J204" s="297">
        <v>0</v>
      </c>
      <c r="K204" s="298">
        <v>0</v>
      </c>
      <c r="L204" s="298">
        <v>0</v>
      </c>
      <c r="M204" s="298">
        <v>0</v>
      </c>
      <c r="N204" s="298">
        <v>0</v>
      </c>
      <c r="O204" s="298">
        <v>0</v>
      </c>
      <c r="P204" s="298">
        <v>0</v>
      </c>
      <c r="Q204" s="299">
        <v>0</v>
      </c>
      <c r="R204" s="295"/>
      <c r="S204" s="259"/>
      <c r="T204" s="259"/>
      <c r="U204" s="259"/>
      <c r="V204" s="296"/>
      <c r="W204" s="339"/>
      <c r="X204" s="576" t="s">
        <v>498</v>
      </c>
      <c r="Y204" s="297">
        <v>0</v>
      </c>
      <c r="Z204" s="298">
        <v>0</v>
      </c>
      <c r="AA204" s="298">
        <v>0</v>
      </c>
      <c r="AB204" s="298">
        <v>0</v>
      </c>
      <c r="AC204" s="298">
        <v>0</v>
      </c>
      <c r="AD204" s="298">
        <v>0</v>
      </c>
      <c r="AE204" s="298">
        <v>0</v>
      </c>
      <c r="AF204" s="299">
        <v>0</v>
      </c>
      <c r="AG204" s="295"/>
      <c r="AH204" s="259"/>
      <c r="AI204" s="259"/>
      <c r="AJ204" s="259"/>
      <c r="AK204" s="296"/>
      <c r="AL204" s="339"/>
      <c r="AM204" s="339"/>
      <c r="AN204" s="339"/>
      <c r="AO204" s="339"/>
      <c r="AP204" s="353"/>
    </row>
    <row r="205" spans="1:42">
      <c r="A205" s="258"/>
      <c r="B205" s="592"/>
      <c r="C205" s="593"/>
      <c r="D205" s="926" t="s">
        <v>2606</v>
      </c>
      <c r="E205" s="339"/>
      <c r="F205" s="339"/>
      <c r="G205" s="561"/>
      <c r="H205" s="259"/>
      <c r="I205" s="576" t="s">
        <v>498</v>
      </c>
      <c r="J205" s="297">
        <v>4.2012971625391291</v>
      </c>
      <c r="K205" s="298">
        <v>5.9152502805194791</v>
      </c>
      <c r="L205" s="298">
        <v>7.733715646676278</v>
      </c>
      <c r="M205" s="298">
        <v>6.7128874379905783</v>
      </c>
      <c r="N205" s="298">
        <v>7.2379734013456929</v>
      </c>
      <c r="O205" s="298">
        <v>1.9059529899999992</v>
      </c>
      <c r="P205" s="259"/>
      <c r="Q205" s="296"/>
      <c r="R205" s="295"/>
      <c r="S205" s="259"/>
      <c r="T205" s="259"/>
      <c r="U205" s="259"/>
      <c r="V205" s="296"/>
      <c r="W205" s="339"/>
      <c r="X205" s="576" t="s">
        <v>498</v>
      </c>
      <c r="Y205" s="297">
        <v>0</v>
      </c>
      <c r="Z205" s="298">
        <v>0</v>
      </c>
      <c r="AA205" s="298">
        <v>0</v>
      </c>
      <c r="AB205" s="298">
        <v>0</v>
      </c>
      <c r="AC205" s="298">
        <v>0</v>
      </c>
      <c r="AD205" s="298">
        <v>0</v>
      </c>
      <c r="AE205" s="259"/>
      <c r="AF205" s="296"/>
      <c r="AG205" s="295"/>
      <c r="AH205" s="259"/>
      <c r="AI205" s="259"/>
      <c r="AJ205" s="259"/>
      <c r="AK205" s="296"/>
      <c r="AL205" s="339"/>
      <c r="AM205" s="339"/>
      <c r="AN205" s="339"/>
      <c r="AO205" s="339"/>
      <c r="AP205" s="353"/>
    </row>
    <row r="206" spans="1:42">
      <c r="A206" s="258"/>
      <c r="B206" s="592"/>
      <c r="C206" s="594"/>
      <c r="D206" s="594"/>
      <c r="E206" s="594"/>
      <c r="F206" s="594"/>
      <c r="G206" s="561"/>
      <c r="H206" s="259"/>
      <c r="I206" s="259"/>
      <c r="J206" s="295"/>
      <c r="K206" s="259"/>
      <c r="L206" s="259"/>
      <c r="M206" s="259"/>
      <c r="N206" s="259"/>
      <c r="O206" s="259"/>
      <c r="P206" s="259"/>
      <c r="Q206" s="296"/>
      <c r="R206" s="295"/>
      <c r="S206" s="259"/>
      <c r="T206" s="259"/>
      <c r="U206" s="259"/>
      <c r="V206" s="296"/>
      <c r="W206" s="339"/>
      <c r="X206" s="259"/>
      <c r="Y206" s="295"/>
      <c r="Z206" s="259"/>
      <c r="AA206" s="259"/>
      <c r="AB206" s="259"/>
      <c r="AC206" s="259"/>
      <c r="AD206" s="259"/>
      <c r="AE206" s="259"/>
      <c r="AF206" s="296"/>
      <c r="AG206" s="295"/>
      <c r="AH206" s="259"/>
      <c r="AI206" s="259"/>
      <c r="AJ206" s="259"/>
      <c r="AK206" s="296"/>
      <c r="AL206" s="339"/>
      <c r="AM206" s="339"/>
      <c r="AN206" s="339"/>
      <c r="AO206" s="339"/>
      <c r="AP206" s="353"/>
    </row>
    <row r="207" spans="1:42" ht="15.75" thickBot="1">
      <c r="A207" s="258"/>
      <c r="B207" s="754" t="s">
        <v>1701</v>
      </c>
      <c r="C207" s="595"/>
      <c r="D207" s="595"/>
      <c r="E207" s="595"/>
      <c r="F207" s="595"/>
      <c r="G207" s="596"/>
      <c r="H207" s="300"/>
      <c r="I207" s="581" t="s">
        <v>498</v>
      </c>
      <c r="J207" s="627">
        <f t="shared" ref="J207:V207" si="24">SUM(J174:J205)</f>
        <v>4.2012971625391291</v>
      </c>
      <c r="K207" s="628">
        <f t="shared" si="24"/>
        <v>5.9152502805194791</v>
      </c>
      <c r="L207" s="628">
        <f t="shared" si="24"/>
        <v>7.733715646676278</v>
      </c>
      <c r="M207" s="628">
        <f t="shared" si="24"/>
        <v>6.7128874379905783</v>
      </c>
      <c r="N207" s="628">
        <f t="shared" si="24"/>
        <v>7.2379734013456929</v>
      </c>
      <c r="O207" s="628">
        <f t="shared" si="24"/>
        <v>1.9059529899999992</v>
      </c>
      <c r="P207" s="628">
        <f t="shared" si="24"/>
        <v>8.8449150926913092</v>
      </c>
      <c r="Q207" s="629">
        <f t="shared" si="24"/>
        <v>5.2486068854691998</v>
      </c>
      <c r="R207" s="627">
        <f t="shared" si="24"/>
        <v>6.9659421628027509</v>
      </c>
      <c r="S207" s="628">
        <f t="shared" si="24"/>
        <v>4.4877678094202889</v>
      </c>
      <c r="T207" s="628">
        <f t="shared" si="24"/>
        <v>3.863568603271585</v>
      </c>
      <c r="U207" s="628">
        <f t="shared" si="24"/>
        <v>4.0775178234308456</v>
      </c>
      <c r="V207" s="629">
        <f t="shared" si="24"/>
        <v>4.7977537946919204</v>
      </c>
      <c r="W207" s="358"/>
      <c r="X207" s="581" t="s">
        <v>498</v>
      </c>
      <c r="Y207" s="627">
        <f t="shared" ref="Y207:AK207" si="25">SUM(Y174:Y205)</f>
        <v>0</v>
      </c>
      <c r="Z207" s="628">
        <f t="shared" si="25"/>
        <v>0</v>
      </c>
      <c r="AA207" s="628">
        <f t="shared" si="25"/>
        <v>0</v>
      </c>
      <c r="AB207" s="628">
        <f t="shared" si="25"/>
        <v>0</v>
      </c>
      <c r="AC207" s="628">
        <f t="shared" si="25"/>
        <v>0</v>
      </c>
      <c r="AD207" s="628">
        <f t="shared" si="25"/>
        <v>0</v>
      </c>
      <c r="AE207" s="628">
        <f t="shared" si="25"/>
        <v>0</v>
      </c>
      <c r="AF207" s="629">
        <f t="shared" si="25"/>
        <v>0</v>
      </c>
      <c r="AG207" s="627">
        <f t="shared" si="25"/>
        <v>0</v>
      </c>
      <c r="AH207" s="628">
        <f t="shared" si="25"/>
        <v>0</v>
      </c>
      <c r="AI207" s="628">
        <f t="shared" si="25"/>
        <v>0</v>
      </c>
      <c r="AJ207" s="628">
        <f t="shared" si="25"/>
        <v>0</v>
      </c>
      <c r="AK207" s="629">
        <f t="shared" si="25"/>
        <v>0</v>
      </c>
      <c r="AL207" s="358"/>
      <c r="AM207" s="751">
        <f>SUM(AM174:AM205)</f>
        <v>0</v>
      </c>
      <c r="AN207" s="628">
        <f>SUM(AN174:AN203)</f>
        <v>24.192550193617393</v>
      </c>
      <c r="AO207" s="358"/>
      <c r="AP207" s="602"/>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B00-000000000000}">
          <x14:formula1>
            <xm:f>List!$A$44:$A$49</xm:f>
          </x14:formula1>
          <xm:sqref>AO174:AO203</xm:sqref>
        </x14:dataValidation>
        <x14:dataValidation type="list" allowBlank="1" showInputMessage="1" showErrorMessage="1" xr:uid="{00000000-0002-0000-2B00-000001000000}">
          <x14:formula1>
            <xm:f>List!$B$44:$B$46</xm:f>
          </x14:formula1>
          <xm:sqref>AO64:AO92 AO101:AO165</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B050"/>
  </sheetPr>
  <dimension ref="A1:AZ114"/>
  <sheetViews>
    <sheetView showGridLines="0" zoomScale="60" zoomScaleNormal="60" workbookViewId="0">
      <pane xSplit="7" topLeftCell="H1" activePane="topRight" state="frozen"/>
      <selection activeCell="G14" sqref="G14"/>
      <selection pane="topRight" activeCell="AX95" sqref="AX95"/>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3" customWidth="1"/>
    <col min="25" max="25" width="15.625" style="175" customWidth="1"/>
    <col min="26" max="37" width="15.625" style="173" customWidth="1"/>
    <col min="38" max="38" width="5.625" style="173" customWidth="1"/>
    <col min="39" max="52" width="15.625" style="173" customWidth="1"/>
    <col min="53" max="16384" width="11.875" style="173"/>
  </cols>
  <sheetData>
    <row r="1" spans="1:37" s="2" customFormat="1" ht="25.15" customHeight="1">
      <c r="A1" s="1" t="s">
        <v>0</v>
      </c>
      <c r="G1" s="3"/>
      <c r="J1" s="4" t="s">
        <v>1</v>
      </c>
      <c r="L1" s="3"/>
    </row>
    <row r="2" spans="1:37" s="2" customFormat="1" ht="25.15" customHeight="1">
      <c r="A2" s="5" t="str">
        <f>Fixed_Data!I12</f>
        <v>MASTER</v>
      </c>
      <c r="B2" s="6"/>
      <c r="C2" s="6"/>
      <c r="D2" s="7"/>
      <c r="E2" s="7"/>
      <c r="F2" s="7"/>
      <c r="G2" s="3"/>
    </row>
    <row r="3" spans="1:37" s="9" customFormat="1" ht="25.15" customHeight="1" thickBot="1">
      <c r="A3" s="8" t="str">
        <f>Fixed_Data!A3</f>
        <v>RIIO-GD2</v>
      </c>
      <c r="D3" s="10"/>
      <c r="E3" s="10"/>
      <c r="F3" s="10"/>
      <c r="G3" s="11"/>
    </row>
    <row r="4" spans="1:37" s="89" customFormat="1" ht="25.15" customHeight="1">
      <c r="B4" s="90" t="s">
        <v>2607</v>
      </c>
      <c r="C4" s="90"/>
      <c r="D4" s="90"/>
      <c r="E4" s="90"/>
      <c r="F4" s="90"/>
      <c r="G4" s="91"/>
      <c r="H4" s="92"/>
      <c r="I4" s="93"/>
      <c r="J4" s="94"/>
      <c r="K4" s="94"/>
      <c r="L4" s="94"/>
      <c r="M4" s="94"/>
      <c r="N4" s="94"/>
      <c r="O4" s="94"/>
      <c r="P4" s="94"/>
      <c r="Q4" s="94"/>
      <c r="R4" s="92"/>
      <c r="S4" s="92"/>
      <c r="T4" s="92"/>
      <c r="U4" s="92"/>
      <c r="V4" s="92"/>
      <c r="W4" s="92"/>
      <c r="X4" s="92"/>
      <c r="Y4" s="92"/>
      <c r="Z4" s="92"/>
      <c r="AA4" s="92"/>
      <c r="AB4" s="94"/>
      <c r="AC4" s="92"/>
      <c r="AD4" s="92"/>
      <c r="AE4" s="92"/>
      <c r="AF4" s="92"/>
      <c r="AG4" s="92"/>
      <c r="AH4" s="92"/>
    </row>
    <row r="5" spans="1:37" s="89" customFormat="1" ht="25.15" customHeight="1">
      <c r="B5" s="95" t="s">
        <v>1663</v>
      </c>
      <c r="C5" s="95"/>
      <c r="D5" s="95"/>
      <c r="E5" s="95"/>
      <c r="F5" s="95" t="s">
        <v>463</v>
      </c>
      <c r="G5" s="95"/>
      <c r="I5" s="95"/>
      <c r="J5" s="2561"/>
      <c r="K5" s="94"/>
      <c r="L5" s="94"/>
      <c r="M5" s="94"/>
      <c r="N5" s="94"/>
      <c r="O5" s="94"/>
      <c r="P5" s="94"/>
      <c r="Q5" s="94"/>
      <c r="R5" s="92"/>
      <c r="S5" s="92"/>
      <c r="T5" s="92"/>
      <c r="U5" s="92"/>
      <c r="V5" s="92"/>
      <c r="W5" s="92"/>
      <c r="X5" s="92"/>
      <c r="Y5" s="92"/>
      <c r="Z5" s="92"/>
      <c r="AA5" s="92"/>
      <c r="AB5" s="94"/>
      <c r="AC5" s="92"/>
      <c r="AD5" s="92"/>
      <c r="AE5" s="92"/>
      <c r="AF5" s="92"/>
      <c r="AG5" s="92"/>
      <c r="AH5" s="92"/>
    </row>
    <row r="6" spans="1:37" s="89" customFormat="1" ht="15" customHeight="1">
      <c r="B6" s="95"/>
      <c r="C6" s="95"/>
      <c r="D6" s="95"/>
      <c r="E6" s="95"/>
      <c r="F6" s="95"/>
      <c r="G6" s="95"/>
      <c r="I6" s="95"/>
      <c r="J6" s="94"/>
      <c r="K6" s="94"/>
      <c r="L6" s="94"/>
      <c r="M6" s="94"/>
      <c r="N6" s="94"/>
      <c r="O6" s="94"/>
      <c r="P6" s="94"/>
      <c r="Q6" s="94"/>
      <c r="R6" s="92"/>
      <c r="S6" s="92"/>
      <c r="T6" s="92"/>
      <c r="U6" s="92"/>
      <c r="V6" s="92"/>
      <c r="W6" s="92"/>
      <c r="X6" s="92"/>
      <c r="Y6" s="92"/>
      <c r="Z6" s="92"/>
      <c r="AA6" s="92"/>
      <c r="AB6" s="94"/>
      <c r="AC6" s="92"/>
      <c r="AD6" s="92"/>
      <c r="AE6" s="92"/>
      <c r="AF6" s="92"/>
      <c r="AG6" s="92"/>
      <c r="AH6" s="92"/>
    </row>
    <row r="7" spans="1:37" s="338" customFormat="1" ht="15" customHeight="1" thickBot="1">
      <c r="A7" s="258"/>
      <c r="B7" s="258"/>
      <c r="C7" s="258"/>
      <c r="D7" s="258"/>
      <c r="E7" s="258"/>
      <c r="F7" s="258"/>
      <c r="G7" s="259"/>
      <c r="H7" s="259"/>
      <c r="I7" s="260"/>
      <c r="J7" s="259"/>
      <c r="K7" s="259"/>
      <c r="L7" s="259"/>
      <c r="M7" s="259"/>
      <c r="N7" s="259"/>
      <c r="O7" s="259"/>
      <c r="P7" s="259"/>
      <c r="Q7" s="259"/>
      <c r="R7" s="259"/>
      <c r="S7" s="259"/>
      <c r="T7" s="259"/>
      <c r="U7" s="259"/>
      <c r="V7" s="259"/>
    </row>
    <row r="8" spans="1:37" s="338" customFormat="1" ht="30" customHeight="1" thickBot="1">
      <c r="A8" s="251"/>
      <c r="B8" s="640" t="s">
        <v>1744</v>
      </c>
      <c r="C8" s="650"/>
      <c r="D8" s="558"/>
      <c r="E8" s="558"/>
      <c r="F8" s="558"/>
      <c r="G8" s="559"/>
      <c r="H8" s="559"/>
      <c r="I8" s="105" t="s">
        <v>2608</v>
      </c>
      <c r="J8" s="106"/>
      <c r="K8" s="106"/>
      <c r="L8" s="106"/>
      <c r="M8" s="106"/>
      <c r="N8" s="106"/>
      <c r="O8" s="106"/>
      <c r="P8" s="106"/>
      <c r="Q8" s="106"/>
      <c r="R8" s="105"/>
      <c r="S8" s="105"/>
      <c r="T8" s="105"/>
      <c r="U8" s="105"/>
      <c r="V8" s="187"/>
    </row>
    <row r="9" spans="1:37" s="338" customFormat="1" ht="30" customHeight="1">
      <c r="A9" s="251"/>
      <c r="B9" s="560"/>
      <c r="C9" s="561"/>
      <c r="D9" s="561"/>
      <c r="E9" s="561"/>
      <c r="F9" s="561"/>
      <c r="G9" s="561"/>
      <c r="H9" s="561"/>
      <c r="I9" s="562"/>
      <c r="J9" s="563" t="s">
        <v>1666</v>
      </c>
      <c r="K9" s="564"/>
      <c r="L9" s="564"/>
      <c r="M9" s="564"/>
      <c r="N9" s="564"/>
      <c r="O9" s="564"/>
      <c r="P9" s="564"/>
      <c r="Q9" s="565"/>
      <c r="R9" s="566" t="s">
        <v>2</v>
      </c>
      <c r="S9" s="567"/>
      <c r="T9" s="567"/>
      <c r="U9" s="567"/>
      <c r="V9" s="568"/>
    </row>
    <row r="10" spans="1:37" s="338" customFormat="1" ht="15">
      <c r="A10" s="251"/>
      <c r="B10" s="569"/>
      <c r="C10" s="570"/>
      <c r="D10" s="570"/>
      <c r="E10" s="570"/>
      <c r="F10" s="570"/>
      <c r="G10" s="561"/>
      <c r="H10" s="561"/>
      <c r="I10" s="571" t="s">
        <v>1667</v>
      </c>
      <c r="J10" s="518" t="s">
        <v>453</v>
      </c>
      <c r="K10" s="515" t="s">
        <v>455</v>
      </c>
      <c r="L10" s="515" t="s">
        <v>457</v>
      </c>
      <c r="M10" s="515" t="s">
        <v>459</v>
      </c>
      <c r="N10" s="515" t="s">
        <v>461</v>
      </c>
      <c r="O10" s="515" t="s">
        <v>463</v>
      </c>
      <c r="P10" s="515" t="s">
        <v>465</v>
      </c>
      <c r="Q10" s="516" t="s">
        <v>467</v>
      </c>
      <c r="R10" s="508" t="s">
        <v>469</v>
      </c>
      <c r="S10" s="509" t="s">
        <v>471</v>
      </c>
      <c r="T10" s="509" t="s">
        <v>473</v>
      </c>
      <c r="U10" s="509" t="s">
        <v>475</v>
      </c>
      <c r="V10" s="510" t="s">
        <v>477</v>
      </c>
    </row>
    <row r="11" spans="1:37" s="338" customFormat="1" ht="15">
      <c r="A11" s="251"/>
      <c r="B11" s="572"/>
      <c r="C11" s="573"/>
      <c r="D11" s="573"/>
      <c r="E11" s="573"/>
      <c r="F11" s="573"/>
      <c r="G11" s="561"/>
      <c r="H11" s="561"/>
      <c r="I11" s="551"/>
      <c r="J11" s="574"/>
      <c r="K11" s="551"/>
      <c r="L11" s="551"/>
      <c r="M11" s="551"/>
      <c r="N11" s="551"/>
      <c r="O11" s="551"/>
      <c r="P11" s="551"/>
      <c r="Q11" s="575"/>
      <c r="R11" s="574"/>
      <c r="S11" s="551"/>
      <c r="T11" s="551"/>
      <c r="U11" s="551"/>
      <c r="V11" s="575"/>
    </row>
    <row r="12" spans="1:37" s="338" customFormat="1" ht="15">
      <c r="A12" s="251"/>
      <c r="B12" s="349"/>
      <c r="C12" s="339"/>
      <c r="D12" s="573"/>
      <c r="E12" s="573"/>
      <c r="F12" s="573"/>
      <c r="G12" s="561"/>
      <c r="H12" s="561"/>
      <c r="I12" s="576" t="s">
        <v>498</v>
      </c>
      <c r="J12" s="755">
        <f t="shared" ref="J12:V12" si="0">SUM(J13:J14)</f>
        <v>10.004801870540547</v>
      </c>
      <c r="K12" s="756">
        <f t="shared" si="0"/>
        <v>12.525556961859895</v>
      </c>
      <c r="L12" s="756">
        <f t="shared" si="0"/>
        <v>9.4391063015672554</v>
      </c>
      <c r="M12" s="756">
        <f t="shared" si="0"/>
        <v>8.9868159417920523</v>
      </c>
      <c r="N12" s="756">
        <f t="shared" si="0"/>
        <v>8.9753825793644104</v>
      </c>
      <c r="O12" s="756">
        <f t="shared" si="0"/>
        <v>6.2657107119420576</v>
      </c>
      <c r="P12" s="756">
        <f t="shared" si="0"/>
        <v>7.1599810907433579</v>
      </c>
      <c r="Q12" s="757">
        <f t="shared" si="0"/>
        <v>8.8361223822282184</v>
      </c>
      <c r="R12" s="755">
        <f t="shared" si="0"/>
        <v>10.009059628888725</v>
      </c>
      <c r="S12" s="756">
        <f t="shared" si="0"/>
        <v>11.058065587364839</v>
      </c>
      <c r="T12" s="756">
        <f t="shared" si="0"/>
        <v>10.031417056103122</v>
      </c>
      <c r="U12" s="756">
        <f t="shared" si="0"/>
        <v>9.5387531627834949</v>
      </c>
      <c r="V12" s="757">
        <f t="shared" si="0"/>
        <v>7.8115945914348952</v>
      </c>
    </row>
    <row r="13" spans="1:37" s="338" customFormat="1" ht="15">
      <c r="A13" s="251"/>
      <c r="B13" s="349"/>
      <c r="C13" s="339"/>
      <c r="D13" s="622" t="s">
        <v>2609</v>
      </c>
      <c r="E13" s="578"/>
      <c r="F13" s="578"/>
      <c r="G13" s="561"/>
      <c r="H13" s="561"/>
      <c r="I13" s="576" t="s">
        <v>498</v>
      </c>
      <c r="J13" s="281">
        <f>J25</f>
        <v>4.4155591023822902</v>
      </c>
      <c r="K13" s="282">
        <f t="shared" ref="K13:V13" si="1">K25</f>
        <v>4.9343227259946989</v>
      </c>
      <c r="L13" s="282">
        <f t="shared" si="1"/>
        <v>3.5868599645758135</v>
      </c>
      <c r="M13" s="282">
        <f t="shared" si="1"/>
        <v>3.4152201754967684</v>
      </c>
      <c r="N13" s="282">
        <f t="shared" si="1"/>
        <v>3.6460955778894562</v>
      </c>
      <c r="O13" s="282">
        <f t="shared" si="1"/>
        <v>0.37623034194205729</v>
      </c>
      <c r="P13" s="282">
        <f t="shared" si="1"/>
        <v>1.1872667481351091</v>
      </c>
      <c r="Q13" s="283">
        <f t="shared" si="1"/>
        <v>2.8634080396199688</v>
      </c>
      <c r="R13" s="281">
        <f t="shared" si="1"/>
        <v>4.2003070674334833</v>
      </c>
      <c r="S13" s="282">
        <f t="shared" si="1"/>
        <v>5.249313025909597</v>
      </c>
      <c r="T13" s="282">
        <f t="shared" si="1"/>
        <v>4.22266449464788</v>
      </c>
      <c r="U13" s="282">
        <f t="shared" si="1"/>
        <v>3.7300006013282538</v>
      </c>
      <c r="V13" s="283">
        <f t="shared" si="1"/>
        <v>2.0028420299796537</v>
      </c>
    </row>
    <row r="14" spans="1:37" s="338" customFormat="1" ht="15.75" thickBot="1">
      <c r="A14" s="251"/>
      <c r="B14" s="357"/>
      <c r="C14" s="358"/>
      <c r="D14" s="967" t="s">
        <v>2610</v>
      </c>
      <c r="E14" s="966"/>
      <c r="F14" s="966"/>
      <c r="G14" s="580"/>
      <c r="H14" s="580"/>
      <c r="I14" s="581" t="s">
        <v>498</v>
      </c>
      <c r="J14" s="962">
        <f>J36</f>
        <v>5.5892427681582566</v>
      </c>
      <c r="K14" s="963">
        <f t="shared" ref="K14:V14" si="2">K36</f>
        <v>7.5912342358651959</v>
      </c>
      <c r="L14" s="963">
        <f t="shared" si="2"/>
        <v>5.8522463369914419</v>
      </c>
      <c r="M14" s="963">
        <f t="shared" si="2"/>
        <v>5.5715957662952835</v>
      </c>
      <c r="N14" s="963">
        <f t="shared" si="2"/>
        <v>5.3292870014749543</v>
      </c>
      <c r="O14" s="963">
        <f t="shared" si="2"/>
        <v>5.8894803700000002</v>
      </c>
      <c r="P14" s="963">
        <f t="shared" si="2"/>
        <v>5.9727143426082492</v>
      </c>
      <c r="Q14" s="964">
        <f t="shared" si="2"/>
        <v>5.9727143426082492</v>
      </c>
      <c r="R14" s="962">
        <f t="shared" si="2"/>
        <v>5.8087525614552415</v>
      </c>
      <c r="S14" s="963">
        <f t="shared" si="2"/>
        <v>5.8087525614552415</v>
      </c>
      <c r="T14" s="963">
        <f t="shared" si="2"/>
        <v>5.8087525614552415</v>
      </c>
      <c r="U14" s="963">
        <f t="shared" si="2"/>
        <v>5.8087525614552415</v>
      </c>
      <c r="V14" s="964">
        <f t="shared" si="2"/>
        <v>5.8087525614552415</v>
      </c>
    </row>
    <row r="15" spans="1:37" s="89" customFormat="1" ht="15" customHeight="1" thickBot="1">
      <c r="B15" s="95"/>
      <c r="C15" s="95"/>
      <c r="D15" s="95"/>
      <c r="E15" s="95"/>
      <c r="F15" s="95"/>
      <c r="G15" s="95"/>
      <c r="H15" s="95"/>
      <c r="I15" s="93"/>
      <c r="J15" s="94"/>
      <c r="K15" s="94"/>
      <c r="L15" s="94"/>
      <c r="M15" s="94"/>
      <c r="N15" s="94"/>
      <c r="O15" s="94"/>
      <c r="P15" s="94"/>
      <c r="Q15" s="94"/>
      <c r="R15" s="92"/>
      <c r="S15" s="92"/>
      <c r="T15" s="92"/>
      <c r="U15" s="92"/>
      <c r="V15" s="92"/>
      <c r="W15" s="92"/>
      <c r="X15" s="92"/>
      <c r="Y15" s="92"/>
      <c r="Z15" s="92"/>
      <c r="AA15" s="92"/>
      <c r="AB15" s="94"/>
      <c r="AC15" s="92"/>
      <c r="AD15" s="92"/>
      <c r="AE15" s="92"/>
      <c r="AF15" s="92"/>
      <c r="AG15" s="92"/>
      <c r="AH15" s="92"/>
    </row>
    <row r="16" spans="1:37" s="100" customFormat="1" ht="30" customHeight="1" thickBot="1">
      <c r="A16" s="89"/>
      <c r="B16" s="621" t="s">
        <v>2609</v>
      </c>
      <c r="C16" s="788"/>
      <c r="D16" s="102"/>
      <c r="E16" s="102"/>
      <c r="F16" s="102"/>
      <c r="G16" s="103"/>
      <c r="H16" s="103"/>
      <c r="I16" s="105" t="s">
        <v>2608</v>
      </c>
      <c r="J16" s="106"/>
      <c r="K16" s="106"/>
      <c r="L16" s="106"/>
      <c r="M16" s="106"/>
      <c r="N16" s="106"/>
      <c r="O16" s="106"/>
      <c r="P16" s="106"/>
      <c r="Q16" s="106"/>
      <c r="R16" s="105"/>
      <c r="S16" s="105"/>
      <c r="T16" s="105"/>
      <c r="U16" s="105"/>
      <c r="V16" s="187"/>
      <c r="W16" s="103"/>
      <c r="X16" s="105" t="s">
        <v>2611</v>
      </c>
      <c r="Y16" s="106"/>
      <c r="Z16" s="106"/>
      <c r="AA16" s="106"/>
      <c r="AB16" s="106"/>
      <c r="AC16" s="106"/>
      <c r="AD16" s="106"/>
      <c r="AE16" s="106"/>
      <c r="AF16" s="106"/>
      <c r="AG16" s="105"/>
      <c r="AH16" s="105"/>
      <c r="AI16" s="105"/>
      <c r="AJ16" s="105"/>
      <c r="AK16" s="187"/>
    </row>
    <row r="17" spans="1:37" s="157" customFormat="1" ht="30" customHeight="1">
      <c r="A17" s="99"/>
      <c r="B17" s="109"/>
      <c r="C17" s="110"/>
      <c r="D17" s="110"/>
      <c r="E17" s="110"/>
      <c r="F17" s="110"/>
      <c r="G17" s="111"/>
      <c r="H17" s="111"/>
      <c r="I17" s="117"/>
      <c r="J17" s="695" t="s">
        <v>1666</v>
      </c>
      <c r="K17" s="152"/>
      <c r="L17" s="152"/>
      <c r="M17" s="152"/>
      <c r="N17" s="152"/>
      <c r="O17" s="152"/>
      <c r="P17" s="152"/>
      <c r="Q17" s="153"/>
      <c r="R17" s="696" t="s">
        <v>2</v>
      </c>
      <c r="S17" s="155"/>
      <c r="T17" s="155"/>
      <c r="U17" s="155"/>
      <c r="V17" s="156"/>
      <c r="W17" s="222"/>
      <c r="X17" s="117"/>
      <c r="Y17" s="695" t="s">
        <v>1666</v>
      </c>
      <c r="Z17" s="152"/>
      <c r="AA17" s="152"/>
      <c r="AB17" s="152"/>
      <c r="AC17" s="152"/>
      <c r="AD17" s="152"/>
      <c r="AE17" s="152"/>
      <c r="AF17" s="153"/>
      <c r="AG17" s="696" t="s">
        <v>2</v>
      </c>
      <c r="AH17" s="155"/>
      <c r="AI17" s="155"/>
      <c r="AJ17" s="155"/>
      <c r="AK17" s="156"/>
    </row>
    <row r="18" spans="1:37" s="98" customFormat="1" ht="15" customHeight="1">
      <c r="A18" s="99"/>
      <c r="B18" s="115"/>
      <c r="C18" s="116"/>
      <c r="D18" s="116"/>
      <c r="E18" s="116"/>
      <c r="F18" s="116"/>
      <c r="G18" s="117"/>
      <c r="H18" s="117"/>
      <c r="I18" s="119" t="s">
        <v>1667</v>
      </c>
      <c r="J18" s="158" t="s">
        <v>453</v>
      </c>
      <c r="K18" s="137" t="s">
        <v>455</v>
      </c>
      <c r="L18" s="137" t="s">
        <v>457</v>
      </c>
      <c r="M18" s="137" t="s">
        <v>459</v>
      </c>
      <c r="N18" s="137" t="s">
        <v>461</v>
      </c>
      <c r="O18" s="137" t="s">
        <v>463</v>
      </c>
      <c r="P18" s="137" t="s">
        <v>465</v>
      </c>
      <c r="Q18" s="138" t="s">
        <v>467</v>
      </c>
      <c r="R18" s="120" t="s">
        <v>469</v>
      </c>
      <c r="S18" s="121" t="s">
        <v>471</v>
      </c>
      <c r="T18" s="121" t="s">
        <v>473</v>
      </c>
      <c r="U18" s="121" t="s">
        <v>475</v>
      </c>
      <c r="V18" s="122" t="s">
        <v>477</v>
      </c>
      <c r="W18" s="185"/>
      <c r="X18" s="119" t="s">
        <v>1667</v>
      </c>
      <c r="Y18" s="158" t="s">
        <v>453</v>
      </c>
      <c r="Z18" s="137" t="s">
        <v>455</v>
      </c>
      <c r="AA18" s="137" t="s">
        <v>457</v>
      </c>
      <c r="AB18" s="137" t="s">
        <v>459</v>
      </c>
      <c r="AC18" s="137" t="s">
        <v>461</v>
      </c>
      <c r="AD18" s="137" t="s">
        <v>463</v>
      </c>
      <c r="AE18" s="137" t="s">
        <v>465</v>
      </c>
      <c r="AF18" s="138" t="s">
        <v>467</v>
      </c>
      <c r="AG18" s="120" t="s">
        <v>469</v>
      </c>
      <c r="AH18" s="121" t="s">
        <v>471</v>
      </c>
      <c r="AI18" s="121" t="s">
        <v>473</v>
      </c>
      <c r="AJ18" s="121" t="s">
        <v>475</v>
      </c>
      <c r="AK18" s="122" t="s">
        <v>477</v>
      </c>
    </row>
    <row r="19" spans="1:37" s="98" customFormat="1" ht="15" customHeight="1">
      <c r="B19" s="161"/>
      <c r="C19" s="616" t="s">
        <v>62</v>
      </c>
      <c r="D19" s="162"/>
      <c r="E19" s="162"/>
      <c r="F19" s="162"/>
      <c r="G19" s="163"/>
      <c r="H19" s="163"/>
      <c r="I19" s="117"/>
      <c r="J19" s="159"/>
      <c r="K19" s="117"/>
      <c r="L19" s="117"/>
      <c r="M19" s="117"/>
      <c r="N19" s="117"/>
      <c r="O19" s="117"/>
      <c r="P19" s="117"/>
      <c r="Q19" s="160"/>
      <c r="R19" s="159"/>
      <c r="S19" s="117"/>
      <c r="T19" s="117"/>
      <c r="U19" s="117"/>
      <c r="V19" s="160"/>
      <c r="W19" s="185"/>
      <c r="X19" s="117"/>
      <c r="Y19" s="159"/>
      <c r="Z19" s="117"/>
      <c r="AA19" s="117"/>
      <c r="AB19" s="117"/>
      <c r="AC19" s="117"/>
      <c r="AD19" s="117"/>
      <c r="AE19" s="117"/>
      <c r="AF19" s="160"/>
      <c r="AG19" s="159"/>
      <c r="AH19" s="117"/>
      <c r="AI19" s="117"/>
      <c r="AJ19" s="117"/>
      <c r="AK19" s="160"/>
    </row>
    <row r="20" spans="1:37" s="98" customFormat="1" ht="15" customHeight="1">
      <c r="B20" s="161"/>
      <c r="C20" s="185"/>
      <c r="D20" s="162" t="s">
        <v>2612</v>
      </c>
      <c r="E20" s="162"/>
      <c r="F20" s="162"/>
      <c r="G20" s="162"/>
      <c r="H20" s="163"/>
      <c r="I20" s="164" t="s">
        <v>498</v>
      </c>
      <c r="J20" s="143">
        <v>0</v>
      </c>
      <c r="K20" s="141">
        <v>0</v>
      </c>
      <c r="L20" s="141">
        <v>0</v>
      </c>
      <c r="M20" s="141">
        <v>0.63006001652744215</v>
      </c>
      <c r="N20" s="141">
        <v>0.7545740187548805</v>
      </c>
      <c r="O20" s="141">
        <v>0.10210405125094751</v>
      </c>
      <c r="P20" s="141">
        <v>0</v>
      </c>
      <c r="Q20" s="144">
        <v>0</v>
      </c>
      <c r="R20" s="143">
        <v>0</v>
      </c>
      <c r="S20" s="141">
        <v>0.5388122778369494</v>
      </c>
      <c r="T20" s="141">
        <v>5.3881227783694953E-2</v>
      </c>
      <c r="U20" s="141">
        <v>0</v>
      </c>
      <c r="V20" s="144">
        <v>0</v>
      </c>
      <c r="W20" s="185"/>
      <c r="X20" s="164" t="s">
        <v>498</v>
      </c>
      <c r="Y20" s="143">
        <v>0</v>
      </c>
      <c r="Z20" s="141">
        <v>0</v>
      </c>
      <c r="AA20" s="141">
        <v>0</v>
      </c>
      <c r="AB20" s="141">
        <v>0.63006001652744215</v>
      </c>
      <c r="AC20" s="141">
        <v>0.7545740187548805</v>
      </c>
      <c r="AD20" s="141">
        <v>0.10210405125094751</v>
      </c>
      <c r="AE20" s="141">
        <v>0</v>
      </c>
      <c r="AF20" s="144">
        <v>0</v>
      </c>
      <c r="AG20" s="143">
        <v>0</v>
      </c>
      <c r="AH20" s="141">
        <v>0.5388122778369494</v>
      </c>
      <c r="AI20" s="141">
        <v>5.3881227783694953E-2</v>
      </c>
      <c r="AJ20" s="141">
        <v>0</v>
      </c>
      <c r="AK20" s="144">
        <v>0</v>
      </c>
    </row>
    <row r="21" spans="1:37" s="98" customFormat="1" ht="15" customHeight="1">
      <c r="B21" s="161"/>
      <c r="C21" s="185"/>
      <c r="D21" s="162" t="s">
        <v>2613</v>
      </c>
      <c r="E21" s="162"/>
      <c r="F21" s="162"/>
      <c r="G21" s="162"/>
      <c r="H21" s="163"/>
      <c r="I21" s="164" t="s">
        <v>498</v>
      </c>
      <c r="J21" s="143">
        <v>0.36795128590786702</v>
      </c>
      <c r="K21" s="141">
        <v>0.12151514648244151</v>
      </c>
      <c r="L21" s="141">
        <v>2.8179146679994851E-2</v>
      </c>
      <c r="M21" s="141">
        <v>3.7982739362456675E-21</v>
      </c>
      <c r="N21" s="141">
        <v>0</v>
      </c>
      <c r="O21" s="141">
        <v>3.9999999999999649E-7</v>
      </c>
      <c r="P21" s="141">
        <v>0</v>
      </c>
      <c r="Q21" s="144">
        <v>0</v>
      </c>
      <c r="R21" s="143">
        <v>0.61816866920749136</v>
      </c>
      <c r="S21" s="141">
        <v>0.16859145523840671</v>
      </c>
      <c r="T21" s="141">
        <v>2.8098575873067785E-2</v>
      </c>
      <c r="U21" s="141">
        <v>0</v>
      </c>
      <c r="V21" s="144">
        <v>2.8098575873067785E-2</v>
      </c>
      <c r="W21" s="185"/>
      <c r="X21" s="164" t="s">
        <v>498</v>
      </c>
      <c r="Y21" s="143">
        <v>0.36795128590786702</v>
      </c>
      <c r="Z21" s="141">
        <v>0.12151514648244151</v>
      </c>
      <c r="AA21" s="141">
        <v>2.8179146679994851E-2</v>
      </c>
      <c r="AB21" s="141">
        <v>3.7982739362456675E-21</v>
      </c>
      <c r="AC21" s="141">
        <v>0</v>
      </c>
      <c r="AD21" s="141">
        <v>3.9999999999999649E-7</v>
      </c>
      <c r="AE21" s="141">
        <v>0</v>
      </c>
      <c r="AF21" s="144">
        <v>0</v>
      </c>
      <c r="AG21" s="143">
        <v>0.61816866920749136</v>
      </c>
      <c r="AH21" s="141">
        <v>0.16859145523840671</v>
      </c>
      <c r="AI21" s="141">
        <v>2.8098575873067785E-2</v>
      </c>
      <c r="AJ21" s="141">
        <v>0</v>
      </c>
      <c r="AK21" s="144">
        <v>2.8098575873067785E-2</v>
      </c>
    </row>
    <row r="22" spans="1:37" s="98" customFormat="1" ht="15" customHeight="1">
      <c r="B22" s="161"/>
      <c r="C22" s="185"/>
      <c r="D22" s="162" t="s">
        <v>2614</v>
      </c>
      <c r="E22" s="162"/>
      <c r="F22" s="162"/>
      <c r="G22" s="162"/>
      <c r="H22" s="163"/>
      <c r="I22" s="164" t="s">
        <v>498</v>
      </c>
      <c r="J22" s="143">
        <v>4.0302311693125494</v>
      </c>
      <c r="K22" s="141">
        <v>4.8080440535175555</v>
      </c>
      <c r="L22" s="141">
        <v>2.9555498929792567</v>
      </c>
      <c r="M22" s="141">
        <v>2.079114525336915</v>
      </c>
      <c r="N22" s="141">
        <v>2.5741967815489106</v>
      </c>
      <c r="O22" s="141">
        <v>3.1210613379147777E-2</v>
      </c>
      <c r="P22" s="141">
        <v>1.1872667481351091</v>
      </c>
      <c r="Q22" s="144">
        <v>2.8634080396199688</v>
      </c>
      <c r="R22" s="143">
        <v>3.4251249211506383</v>
      </c>
      <c r="S22" s="141">
        <v>4.3848958157588873</v>
      </c>
      <c r="T22" s="141">
        <v>3.9836712139157635</v>
      </c>
      <c r="U22" s="141">
        <v>3.5729871242529003</v>
      </c>
      <c r="V22" s="144">
        <v>1.8177299770312321</v>
      </c>
      <c r="W22" s="185"/>
      <c r="X22" s="164" t="s">
        <v>498</v>
      </c>
      <c r="Y22" s="143">
        <v>4.0302311693125494</v>
      </c>
      <c r="Z22" s="141">
        <v>4.8080440535175555</v>
      </c>
      <c r="AA22" s="141">
        <v>2.9555498929792567</v>
      </c>
      <c r="AB22" s="141">
        <v>2.079114525336915</v>
      </c>
      <c r="AC22" s="141">
        <v>2.5741967815489106</v>
      </c>
      <c r="AD22" s="141">
        <v>3.1210613379147777E-2</v>
      </c>
      <c r="AE22" s="141">
        <v>1.1872667481351091</v>
      </c>
      <c r="AF22" s="144">
        <v>2.8634080396199688</v>
      </c>
      <c r="AG22" s="143">
        <v>3.4251249211506383</v>
      </c>
      <c r="AH22" s="141">
        <v>4.3848958157588873</v>
      </c>
      <c r="AI22" s="141">
        <v>3.9836712139157635</v>
      </c>
      <c r="AJ22" s="141">
        <v>3.5729871242529003</v>
      </c>
      <c r="AK22" s="144">
        <v>1.8177299770312321</v>
      </c>
    </row>
    <row r="23" spans="1:37" s="98" customFormat="1" ht="15" customHeight="1">
      <c r="B23" s="161"/>
      <c r="C23" s="185"/>
      <c r="D23" s="162" t="s">
        <v>2615</v>
      </c>
      <c r="E23" s="162"/>
      <c r="F23" s="162"/>
      <c r="G23" s="162"/>
      <c r="H23" s="163"/>
      <c r="I23" s="164" t="s">
        <v>498</v>
      </c>
      <c r="J23" s="143">
        <v>0</v>
      </c>
      <c r="K23" s="141">
        <v>0</v>
      </c>
      <c r="L23" s="141">
        <v>0</v>
      </c>
      <c r="M23" s="141">
        <v>0</v>
      </c>
      <c r="N23" s="141">
        <v>0</v>
      </c>
      <c r="O23" s="141">
        <v>0.242915277311962</v>
      </c>
      <c r="P23" s="141">
        <v>0</v>
      </c>
      <c r="Q23" s="144">
        <v>0</v>
      </c>
      <c r="R23" s="143">
        <v>0</v>
      </c>
      <c r="S23" s="141">
        <v>0</v>
      </c>
      <c r="T23" s="141">
        <v>0</v>
      </c>
      <c r="U23" s="141">
        <v>0</v>
      </c>
      <c r="V23" s="144">
        <v>0</v>
      </c>
      <c r="W23" s="185"/>
      <c r="X23" s="164" t="s">
        <v>498</v>
      </c>
      <c r="Y23" s="143">
        <v>0</v>
      </c>
      <c r="Z23" s="141">
        <v>0</v>
      </c>
      <c r="AA23" s="141">
        <v>0</v>
      </c>
      <c r="AB23" s="141">
        <v>0</v>
      </c>
      <c r="AC23" s="141">
        <v>0</v>
      </c>
      <c r="AD23" s="141">
        <v>0.242915277311962</v>
      </c>
      <c r="AE23" s="141">
        <v>0</v>
      </c>
      <c r="AF23" s="144">
        <v>0</v>
      </c>
      <c r="AG23" s="143">
        <v>0</v>
      </c>
      <c r="AH23" s="141">
        <v>0</v>
      </c>
      <c r="AI23" s="141">
        <v>0</v>
      </c>
      <c r="AJ23" s="141">
        <v>0</v>
      </c>
      <c r="AK23" s="144">
        <v>0</v>
      </c>
    </row>
    <row r="24" spans="1:37" s="98" customFormat="1" ht="15" customHeight="1">
      <c r="B24" s="161"/>
      <c r="C24" s="185"/>
      <c r="D24" s="162" t="s">
        <v>2616</v>
      </c>
      <c r="E24" s="162"/>
      <c r="F24" s="162"/>
      <c r="G24" s="162"/>
      <c r="H24" s="163"/>
      <c r="I24" s="164" t="s">
        <v>498</v>
      </c>
      <c r="J24" s="143">
        <v>1.7376647161873884E-2</v>
      </c>
      <c r="K24" s="141">
        <v>4.7635259947012972E-3</v>
      </c>
      <c r="L24" s="141">
        <v>0.60313092491656151</v>
      </c>
      <c r="M24" s="141">
        <v>0.70604563363241135</v>
      </c>
      <c r="N24" s="141">
        <v>0.31732477758566491</v>
      </c>
      <c r="O24" s="141">
        <v>0</v>
      </c>
      <c r="P24" s="141">
        <v>0</v>
      </c>
      <c r="Q24" s="144">
        <v>0</v>
      </c>
      <c r="R24" s="143">
        <v>0.15701347707535362</v>
      </c>
      <c r="S24" s="141">
        <v>0.15701347707535362</v>
      </c>
      <c r="T24" s="141">
        <v>0.15701347707535362</v>
      </c>
      <c r="U24" s="141">
        <v>0.15701347707535362</v>
      </c>
      <c r="V24" s="144">
        <v>0.15701347707535362</v>
      </c>
      <c r="W24" s="185"/>
      <c r="X24" s="164" t="s">
        <v>498</v>
      </c>
      <c r="Y24" s="143">
        <v>1.7376647161873884E-2</v>
      </c>
      <c r="Z24" s="141">
        <v>4.7635259947012972E-3</v>
      </c>
      <c r="AA24" s="141">
        <v>0.60313092491656151</v>
      </c>
      <c r="AB24" s="141">
        <v>0.70604563363241135</v>
      </c>
      <c r="AC24" s="141">
        <v>0.31732477758566491</v>
      </c>
      <c r="AD24" s="141">
        <v>0</v>
      </c>
      <c r="AE24" s="141">
        <v>0</v>
      </c>
      <c r="AF24" s="144">
        <v>0</v>
      </c>
      <c r="AG24" s="143">
        <v>0.15701347707535362</v>
      </c>
      <c r="AH24" s="141">
        <v>0.15701347707535362</v>
      </c>
      <c r="AI24" s="141">
        <v>0.15701347707535362</v>
      </c>
      <c r="AJ24" s="141">
        <v>0.15701347707535362</v>
      </c>
      <c r="AK24" s="144">
        <v>0.15701347707535362</v>
      </c>
    </row>
    <row r="25" spans="1:37" s="98" customFormat="1" ht="15" customHeight="1" thickBot="1">
      <c r="B25" s="239" t="s">
        <v>1701</v>
      </c>
      <c r="C25" s="512"/>
      <c r="D25" s="240"/>
      <c r="E25" s="240"/>
      <c r="F25" s="240"/>
      <c r="G25" s="241"/>
      <c r="H25" s="241"/>
      <c r="I25" s="195" t="s">
        <v>498</v>
      </c>
      <c r="J25" s="177">
        <f>SUM(J20:J24)</f>
        <v>4.4155591023822902</v>
      </c>
      <c r="K25" s="178">
        <f t="shared" ref="K25:V25" si="3">SUM(K20:K24)</f>
        <v>4.9343227259946989</v>
      </c>
      <c r="L25" s="178">
        <f t="shared" si="3"/>
        <v>3.5868599645758135</v>
      </c>
      <c r="M25" s="178">
        <f t="shared" si="3"/>
        <v>3.4152201754967684</v>
      </c>
      <c r="N25" s="178">
        <f t="shared" si="3"/>
        <v>3.6460955778894562</v>
      </c>
      <c r="O25" s="178">
        <f t="shared" si="3"/>
        <v>0.37623034194205729</v>
      </c>
      <c r="P25" s="178">
        <f t="shared" si="3"/>
        <v>1.1872667481351091</v>
      </c>
      <c r="Q25" s="179">
        <f t="shared" si="3"/>
        <v>2.8634080396199688</v>
      </c>
      <c r="R25" s="177">
        <f t="shared" si="3"/>
        <v>4.2003070674334833</v>
      </c>
      <c r="S25" s="178">
        <f t="shared" si="3"/>
        <v>5.249313025909597</v>
      </c>
      <c r="T25" s="178">
        <f t="shared" si="3"/>
        <v>4.22266449464788</v>
      </c>
      <c r="U25" s="178">
        <f t="shared" si="3"/>
        <v>3.7300006013282538</v>
      </c>
      <c r="V25" s="179">
        <f t="shared" si="3"/>
        <v>2.0028420299796537</v>
      </c>
      <c r="W25" s="192"/>
      <c r="X25" s="195" t="s">
        <v>498</v>
      </c>
      <c r="Y25" s="177">
        <f>SUM(Y20:Y24)</f>
        <v>4.4155591023822902</v>
      </c>
      <c r="Z25" s="178">
        <f t="shared" ref="Z25" si="4">SUM(Z20:Z24)</f>
        <v>4.9343227259946989</v>
      </c>
      <c r="AA25" s="178">
        <f t="shared" ref="AA25" si="5">SUM(AA20:AA24)</f>
        <v>3.5868599645758135</v>
      </c>
      <c r="AB25" s="178">
        <f t="shared" ref="AB25" si="6">SUM(AB20:AB24)</f>
        <v>3.4152201754967684</v>
      </c>
      <c r="AC25" s="178">
        <f t="shared" ref="AC25" si="7">SUM(AC20:AC24)</f>
        <v>3.6460955778894562</v>
      </c>
      <c r="AD25" s="178">
        <f t="shared" ref="AD25" si="8">SUM(AD20:AD24)</f>
        <v>0.37623034194205729</v>
      </c>
      <c r="AE25" s="178">
        <f t="shared" ref="AE25" si="9">SUM(AE20:AE24)</f>
        <v>1.1872667481351091</v>
      </c>
      <c r="AF25" s="179">
        <f t="shared" ref="AF25" si="10">SUM(AF20:AF24)</f>
        <v>2.8634080396199688</v>
      </c>
      <c r="AG25" s="177">
        <f t="shared" ref="AG25" si="11">SUM(AG20:AG24)</f>
        <v>4.2003070674334833</v>
      </c>
      <c r="AH25" s="178">
        <f t="shared" ref="AH25" si="12">SUM(AH20:AH24)</f>
        <v>5.249313025909597</v>
      </c>
      <c r="AI25" s="178">
        <f t="shared" ref="AI25" si="13">SUM(AI20:AI24)</f>
        <v>4.22266449464788</v>
      </c>
      <c r="AJ25" s="178">
        <f t="shared" ref="AJ25" si="14">SUM(AJ20:AJ24)</f>
        <v>3.7300006013282538</v>
      </c>
      <c r="AK25" s="179">
        <f t="shared" ref="AK25" si="15">SUM(AK20:AK24)</f>
        <v>2.0028420299796537</v>
      </c>
    </row>
    <row r="26" spans="1:37" s="99" customFormat="1" ht="15" customHeight="1" thickBot="1">
      <c r="B26" s="150"/>
      <c r="C26" s="150"/>
      <c r="D26" s="150"/>
      <c r="E26" s="150"/>
      <c r="F26" s="150"/>
      <c r="G26" s="97"/>
      <c r="H26" s="97"/>
      <c r="I26" s="98"/>
      <c r="J26" s="98"/>
      <c r="K26" s="98"/>
      <c r="L26" s="98"/>
      <c r="M26" s="98"/>
      <c r="N26" s="98"/>
      <c r="O26" s="98"/>
      <c r="P26" s="98"/>
      <c r="Q26" s="98"/>
      <c r="R26" s="98"/>
      <c r="S26" s="98"/>
      <c r="T26" s="98"/>
      <c r="U26" s="98"/>
      <c r="V26" s="98"/>
    </row>
    <row r="27" spans="1:37" s="100" customFormat="1" ht="30" customHeight="1" thickBot="1">
      <c r="A27" s="89"/>
      <c r="B27" s="621" t="s">
        <v>2610</v>
      </c>
      <c r="C27" s="788"/>
      <c r="D27" s="102"/>
      <c r="E27" s="102"/>
      <c r="F27" s="102"/>
      <c r="G27" s="103"/>
      <c r="H27" s="103"/>
      <c r="I27" s="105" t="s">
        <v>2608</v>
      </c>
      <c r="J27" s="106"/>
      <c r="K27" s="106"/>
      <c r="L27" s="106"/>
      <c r="M27" s="106"/>
      <c r="N27" s="106"/>
      <c r="O27" s="106"/>
      <c r="P27" s="106"/>
      <c r="Q27" s="106"/>
      <c r="R27" s="105"/>
      <c r="S27" s="105"/>
      <c r="T27" s="105"/>
      <c r="U27" s="105"/>
      <c r="V27" s="187"/>
      <c r="W27" s="103"/>
      <c r="X27" s="105" t="s">
        <v>2611</v>
      </c>
      <c r="Y27" s="106"/>
      <c r="Z27" s="106"/>
      <c r="AA27" s="106"/>
      <c r="AB27" s="106"/>
      <c r="AC27" s="106"/>
      <c r="AD27" s="106"/>
      <c r="AE27" s="106"/>
      <c r="AF27" s="106"/>
      <c r="AG27" s="105"/>
      <c r="AH27" s="105"/>
      <c r="AI27" s="105"/>
      <c r="AJ27" s="105"/>
      <c r="AK27" s="187"/>
    </row>
    <row r="28" spans="1:37" s="157" customFormat="1" ht="30" customHeight="1">
      <c r="A28" s="99"/>
      <c r="B28" s="109"/>
      <c r="C28" s="110"/>
      <c r="D28" s="110"/>
      <c r="E28" s="110"/>
      <c r="F28" s="110"/>
      <c r="G28" s="111"/>
      <c r="H28" s="111"/>
      <c r="I28" s="117"/>
      <c r="J28" s="695" t="s">
        <v>1666</v>
      </c>
      <c r="K28" s="152"/>
      <c r="L28" s="152"/>
      <c r="M28" s="152"/>
      <c r="N28" s="152"/>
      <c r="O28" s="152"/>
      <c r="P28" s="152"/>
      <c r="Q28" s="153"/>
      <c r="R28" s="696" t="s">
        <v>2</v>
      </c>
      <c r="S28" s="155"/>
      <c r="T28" s="155"/>
      <c r="U28" s="155"/>
      <c r="V28" s="156"/>
      <c r="W28" s="222"/>
      <c r="X28" s="117"/>
      <c r="Y28" s="695" t="s">
        <v>1666</v>
      </c>
      <c r="Z28" s="152"/>
      <c r="AA28" s="152"/>
      <c r="AB28" s="152"/>
      <c r="AC28" s="152"/>
      <c r="AD28" s="152"/>
      <c r="AE28" s="152"/>
      <c r="AF28" s="153"/>
      <c r="AG28" s="696" t="s">
        <v>2</v>
      </c>
      <c r="AH28" s="155"/>
      <c r="AI28" s="155"/>
      <c r="AJ28" s="155"/>
      <c r="AK28" s="156"/>
    </row>
    <row r="29" spans="1:37" s="98" customFormat="1" ht="15" customHeight="1">
      <c r="A29" s="99"/>
      <c r="B29" s="115"/>
      <c r="C29" s="116"/>
      <c r="D29" s="116"/>
      <c r="E29" s="116"/>
      <c r="F29" s="116"/>
      <c r="G29" s="117"/>
      <c r="H29" s="117"/>
      <c r="I29" s="119" t="s">
        <v>1667</v>
      </c>
      <c r="J29" s="158" t="s">
        <v>453</v>
      </c>
      <c r="K29" s="137" t="s">
        <v>455</v>
      </c>
      <c r="L29" s="137" t="s">
        <v>457</v>
      </c>
      <c r="M29" s="137" t="s">
        <v>459</v>
      </c>
      <c r="N29" s="137" t="s">
        <v>461</v>
      </c>
      <c r="O29" s="137" t="s">
        <v>463</v>
      </c>
      <c r="P29" s="137" t="s">
        <v>465</v>
      </c>
      <c r="Q29" s="138" t="s">
        <v>467</v>
      </c>
      <c r="R29" s="120" t="s">
        <v>469</v>
      </c>
      <c r="S29" s="121" t="s">
        <v>471</v>
      </c>
      <c r="T29" s="121" t="s">
        <v>473</v>
      </c>
      <c r="U29" s="121" t="s">
        <v>475</v>
      </c>
      <c r="V29" s="122" t="s">
        <v>477</v>
      </c>
      <c r="W29" s="185"/>
      <c r="X29" s="119" t="s">
        <v>1667</v>
      </c>
      <c r="Y29" s="158" t="s">
        <v>453</v>
      </c>
      <c r="Z29" s="137" t="s">
        <v>455</v>
      </c>
      <c r="AA29" s="137" t="s">
        <v>457</v>
      </c>
      <c r="AB29" s="137" t="s">
        <v>459</v>
      </c>
      <c r="AC29" s="137" t="s">
        <v>461</v>
      </c>
      <c r="AD29" s="137" t="s">
        <v>463</v>
      </c>
      <c r="AE29" s="137" t="s">
        <v>465</v>
      </c>
      <c r="AF29" s="138" t="s">
        <v>467</v>
      </c>
      <c r="AG29" s="120" t="s">
        <v>469</v>
      </c>
      <c r="AH29" s="121" t="s">
        <v>471</v>
      </c>
      <c r="AI29" s="121" t="s">
        <v>473</v>
      </c>
      <c r="AJ29" s="121" t="s">
        <v>475</v>
      </c>
      <c r="AK29" s="122" t="s">
        <v>477</v>
      </c>
    </row>
    <row r="30" spans="1:37" s="98" customFormat="1" ht="15" customHeight="1">
      <c r="B30" s="161"/>
      <c r="C30" s="616" t="s">
        <v>36</v>
      </c>
      <c r="D30" s="162"/>
      <c r="E30" s="162"/>
      <c r="F30" s="162"/>
      <c r="G30" s="163"/>
      <c r="H30" s="163"/>
      <c r="I30" s="117"/>
      <c r="J30" s="159"/>
      <c r="K30" s="117"/>
      <c r="L30" s="117"/>
      <c r="M30" s="117"/>
      <c r="N30" s="117"/>
      <c r="O30" s="117"/>
      <c r="P30" s="117"/>
      <c r="Q30" s="160"/>
      <c r="R30" s="159"/>
      <c r="S30" s="117"/>
      <c r="T30" s="117"/>
      <c r="U30" s="117"/>
      <c r="V30" s="160"/>
      <c r="W30" s="185"/>
      <c r="X30" s="117"/>
      <c r="Y30" s="159"/>
      <c r="Z30" s="117"/>
      <c r="AA30" s="117"/>
      <c r="AB30" s="117"/>
      <c r="AC30" s="117"/>
      <c r="AD30" s="117"/>
      <c r="AE30" s="117"/>
      <c r="AF30" s="160"/>
      <c r="AG30" s="159"/>
      <c r="AH30" s="117"/>
      <c r="AI30" s="117"/>
      <c r="AJ30" s="117"/>
      <c r="AK30" s="160"/>
    </row>
    <row r="31" spans="1:37" s="98" customFormat="1" ht="15" customHeight="1">
      <c r="B31" s="161"/>
      <c r="C31" s="185"/>
      <c r="D31" s="162" t="s">
        <v>2612</v>
      </c>
      <c r="E31" s="162"/>
      <c r="F31" s="162"/>
      <c r="G31" s="162"/>
      <c r="H31" s="163"/>
      <c r="I31" s="164" t="s">
        <v>498</v>
      </c>
      <c r="J31" s="143">
        <v>6.7421800210402645E-4</v>
      </c>
      <c r="K31" s="141">
        <v>7.5768627331670513E-4</v>
      </c>
      <c r="L31" s="141">
        <v>0</v>
      </c>
      <c r="M31" s="141">
        <v>0</v>
      </c>
      <c r="N31" s="141">
        <v>7.1032795399317466E-3</v>
      </c>
      <c r="O31" s="141">
        <v>2.6015598020711277E-2</v>
      </c>
      <c r="P31" s="141">
        <v>2.7146710978133509E-2</v>
      </c>
      <c r="Q31" s="144">
        <v>2.7146710978133509E-2</v>
      </c>
      <c r="R31" s="143">
        <v>2.7146710978133509E-2</v>
      </c>
      <c r="S31" s="141">
        <v>2.7146710978133509E-2</v>
      </c>
      <c r="T31" s="141">
        <v>2.7146710978133509E-2</v>
      </c>
      <c r="U31" s="141">
        <v>2.7146710978133509E-2</v>
      </c>
      <c r="V31" s="144">
        <v>2.7146710978133509E-2</v>
      </c>
      <c r="W31" s="185"/>
      <c r="X31" s="164" t="s">
        <v>498</v>
      </c>
      <c r="Y31" s="143">
        <v>6.7421800210402645E-4</v>
      </c>
      <c r="Z31" s="141">
        <v>7.5768627331670513E-4</v>
      </c>
      <c r="AA31" s="141">
        <v>0</v>
      </c>
      <c r="AB31" s="141">
        <v>0</v>
      </c>
      <c r="AC31" s="141">
        <v>7.1032795399317466E-3</v>
      </c>
      <c r="AD31" s="141">
        <v>2.6015598020711277E-2</v>
      </c>
      <c r="AE31" s="141">
        <v>2.7146710978133509E-2</v>
      </c>
      <c r="AF31" s="144">
        <v>2.7146710978133509E-2</v>
      </c>
      <c r="AG31" s="143">
        <v>2.7146710978133509E-2</v>
      </c>
      <c r="AH31" s="141">
        <v>2.7146710978133509E-2</v>
      </c>
      <c r="AI31" s="141">
        <v>2.7146710978133509E-2</v>
      </c>
      <c r="AJ31" s="141">
        <v>2.7146710978133509E-2</v>
      </c>
      <c r="AK31" s="144">
        <v>2.7146710978133509E-2</v>
      </c>
    </row>
    <row r="32" spans="1:37" s="98" customFormat="1" ht="15" customHeight="1">
      <c r="B32" s="161"/>
      <c r="C32" s="185"/>
      <c r="D32" s="162" t="s">
        <v>2613</v>
      </c>
      <c r="E32" s="162"/>
      <c r="F32" s="162"/>
      <c r="G32" s="162"/>
      <c r="H32" s="163"/>
      <c r="I32" s="164" t="s">
        <v>498</v>
      </c>
      <c r="J32" s="143">
        <v>3.9531902582299827E-2</v>
      </c>
      <c r="K32" s="141">
        <v>4.4425956962330281E-2</v>
      </c>
      <c r="L32" s="141">
        <v>9.2113806965069434E-2</v>
      </c>
      <c r="M32" s="141">
        <v>9.7343483200786576E-2</v>
      </c>
      <c r="N32" s="141">
        <v>8.1838296125151963E-2</v>
      </c>
      <c r="O32" s="141">
        <v>8.4786478318875397E-2</v>
      </c>
      <c r="P32" s="141">
        <v>7.1386592471348057E-2</v>
      </c>
      <c r="Q32" s="144">
        <v>7.1386592471348057E-2</v>
      </c>
      <c r="R32" s="143">
        <v>7.1386592471348057E-2</v>
      </c>
      <c r="S32" s="141">
        <v>7.1386592471348057E-2</v>
      </c>
      <c r="T32" s="141">
        <v>7.1386592471348057E-2</v>
      </c>
      <c r="U32" s="141">
        <v>7.1386592471348057E-2</v>
      </c>
      <c r="V32" s="144">
        <v>7.1386592471348057E-2</v>
      </c>
      <c r="W32" s="185"/>
      <c r="X32" s="164" t="s">
        <v>498</v>
      </c>
      <c r="Y32" s="143">
        <v>3.9531902582299827E-2</v>
      </c>
      <c r="Z32" s="141">
        <v>4.4425956962330281E-2</v>
      </c>
      <c r="AA32" s="141">
        <v>9.2113806965069434E-2</v>
      </c>
      <c r="AB32" s="141">
        <v>9.7343483200786576E-2</v>
      </c>
      <c r="AC32" s="141">
        <v>8.1838296125151963E-2</v>
      </c>
      <c r="AD32" s="141">
        <v>8.4786478318875397E-2</v>
      </c>
      <c r="AE32" s="141">
        <v>7.1386592471348057E-2</v>
      </c>
      <c r="AF32" s="144">
        <v>7.1386592471348057E-2</v>
      </c>
      <c r="AG32" s="143">
        <v>7.1386592471348057E-2</v>
      </c>
      <c r="AH32" s="141">
        <v>7.1386592471348057E-2</v>
      </c>
      <c r="AI32" s="141">
        <v>7.1386592471348057E-2</v>
      </c>
      <c r="AJ32" s="141">
        <v>7.1386592471348057E-2</v>
      </c>
      <c r="AK32" s="144">
        <v>7.1386592471348057E-2</v>
      </c>
    </row>
    <row r="33" spans="1:52" s="98" customFormat="1" ht="15" customHeight="1">
      <c r="B33" s="161"/>
      <c r="C33" s="185"/>
      <c r="D33" s="162" t="s">
        <v>2614</v>
      </c>
      <c r="E33" s="162"/>
      <c r="F33" s="162"/>
      <c r="G33" s="162"/>
      <c r="H33" s="163"/>
      <c r="I33" s="164" t="s">
        <v>498</v>
      </c>
      <c r="J33" s="143">
        <v>3.4083997959140575</v>
      </c>
      <c r="K33" s="141">
        <v>3.8303601079774809</v>
      </c>
      <c r="L33" s="141">
        <v>2.9418159907669459</v>
      </c>
      <c r="M33" s="141">
        <v>2.5361147035953109</v>
      </c>
      <c r="N33" s="141">
        <v>2.5124063903980751</v>
      </c>
      <c r="O33" s="141">
        <v>2.677565240670762</v>
      </c>
      <c r="P33" s="141">
        <v>2.8914753949073067</v>
      </c>
      <c r="Q33" s="144">
        <v>2.8914753949073067</v>
      </c>
      <c r="R33" s="143">
        <v>2.8914753949073067</v>
      </c>
      <c r="S33" s="141">
        <v>2.8914753949073067</v>
      </c>
      <c r="T33" s="141">
        <v>2.8914753949073067</v>
      </c>
      <c r="U33" s="141">
        <v>2.8914753949073067</v>
      </c>
      <c r="V33" s="144">
        <v>2.8914753949073067</v>
      </c>
      <c r="W33" s="185"/>
      <c r="X33" s="164" t="s">
        <v>498</v>
      </c>
      <c r="Y33" s="143">
        <v>3.4083997959140575</v>
      </c>
      <c r="Z33" s="141">
        <v>3.8303601079774809</v>
      </c>
      <c r="AA33" s="141">
        <v>2.9418159907669459</v>
      </c>
      <c r="AB33" s="141">
        <v>2.5361147035953109</v>
      </c>
      <c r="AC33" s="141">
        <v>2.5124063903980751</v>
      </c>
      <c r="AD33" s="141">
        <v>2.677565240670762</v>
      </c>
      <c r="AE33" s="141">
        <v>2.8914753949073067</v>
      </c>
      <c r="AF33" s="144">
        <v>2.8914753949073067</v>
      </c>
      <c r="AG33" s="143">
        <v>2.8914753949073067</v>
      </c>
      <c r="AH33" s="141">
        <v>2.8914753949073067</v>
      </c>
      <c r="AI33" s="141">
        <v>2.8914753949073067</v>
      </c>
      <c r="AJ33" s="141">
        <v>2.8914753949073067</v>
      </c>
      <c r="AK33" s="144">
        <v>2.8914753949073067</v>
      </c>
    </row>
    <row r="34" spans="1:52" s="98" customFormat="1" ht="15" customHeight="1">
      <c r="B34" s="161"/>
      <c r="C34" s="185"/>
      <c r="D34" s="162" t="s">
        <v>2615</v>
      </c>
      <c r="E34" s="162"/>
      <c r="F34" s="162"/>
      <c r="G34" s="162"/>
      <c r="H34" s="163"/>
      <c r="I34" s="164" t="s">
        <v>498</v>
      </c>
      <c r="J34" s="143">
        <v>0.28026202672658868</v>
      </c>
      <c r="K34" s="141">
        <v>0.31495849995101688</v>
      </c>
      <c r="L34" s="141">
        <v>0.20618562581730715</v>
      </c>
      <c r="M34" s="141">
        <v>0.18800469585690466</v>
      </c>
      <c r="N34" s="141">
        <v>0.26579045975643506</v>
      </c>
      <c r="O34" s="141">
        <v>0.25793974369099298</v>
      </c>
      <c r="P34" s="141">
        <v>0.32792356230601433</v>
      </c>
      <c r="Q34" s="144">
        <v>0.32792356230601433</v>
      </c>
      <c r="R34" s="143">
        <v>0.16396178115300716</v>
      </c>
      <c r="S34" s="141">
        <v>0.16396178115300716</v>
      </c>
      <c r="T34" s="141">
        <v>0.16396178115300716</v>
      </c>
      <c r="U34" s="141">
        <v>0.16396178115300716</v>
      </c>
      <c r="V34" s="144">
        <v>0.16396178115300716</v>
      </c>
      <c r="W34" s="185"/>
      <c r="X34" s="164" t="s">
        <v>498</v>
      </c>
      <c r="Y34" s="143">
        <v>0.28026202672658868</v>
      </c>
      <c r="Z34" s="141">
        <v>0.31495849995101688</v>
      </c>
      <c r="AA34" s="141">
        <v>0.20618562581730715</v>
      </c>
      <c r="AB34" s="141">
        <v>0.18800469585690466</v>
      </c>
      <c r="AC34" s="141">
        <v>0.26579045975643506</v>
      </c>
      <c r="AD34" s="141">
        <v>0.25793974369099298</v>
      </c>
      <c r="AE34" s="141">
        <v>0.32792356230601433</v>
      </c>
      <c r="AF34" s="144">
        <v>0.32792356230601433</v>
      </c>
      <c r="AG34" s="143">
        <v>0.16396178115300716</v>
      </c>
      <c r="AH34" s="141">
        <v>0.16396178115300716</v>
      </c>
      <c r="AI34" s="141">
        <v>0.16396178115300716</v>
      </c>
      <c r="AJ34" s="141">
        <v>0.16396178115300716</v>
      </c>
      <c r="AK34" s="144">
        <v>0.16396178115300716</v>
      </c>
    </row>
    <row r="35" spans="1:52" s="98" customFormat="1" ht="15" customHeight="1">
      <c r="B35" s="161"/>
      <c r="C35" s="185"/>
      <c r="D35" s="162" t="s">
        <v>2616</v>
      </c>
      <c r="E35" s="162"/>
      <c r="F35" s="162"/>
      <c r="G35" s="162"/>
      <c r="H35" s="163"/>
      <c r="I35" s="164" t="s">
        <v>498</v>
      </c>
      <c r="J35" s="143">
        <v>1.8603748249332068</v>
      </c>
      <c r="K35" s="141">
        <v>3.4007319847010504</v>
      </c>
      <c r="L35" s="141">
        <v>2.6121309134421198</v>
      </c>
      <c r="M35" s="141">
        <v>2.7501328836422818</v>
      </c>
      <c r="N35" s="141">
        <v>2.4621485756553603</v>
      </c>
      <c r="O35" s="141">
        <v>2.8431733092986584</v>
      </c>
      <c r="P35" s="908">
        <v>2.6547820819454464</v>
      </c>
      <c r="Q35" s="909">
        <v>2.6547820819454464</v>
      </c>
      <c r="R35" s="907">
        <v>2.6547820819454464</v>
      </c>
      <c r="S35" s="908">
        <v>2.6547820819454464</v>
      </c>
      <c r="T35" s="908">
        <v>2.6547820819454464</v>
      </c>
      <c r="U35" s="908">
        <v>2.6547820819454464</v>
      </c>
      <c r="V35" s="909">
        <v>2.6547820819454464</v>
      </c>
      <c r="W35" s="185"/>
      <c r="X35" s="164" t="s">
        <v>498</v>
      </c>
      <c r="Y35" s="143">
        <v>1.8603748249332068</v>
      </c>
      <c r="Z35" s="141">
        <v>3.4007319847010504</v>
      </c>
      <c r="AA35" s="141">
        <v>2.6121309134421198</v>
      </c>
      <c r="AB35" s="141">
        <v>2.7501328836422818</v>
      </c>
      <c r="AC35" s="141">
        <v>2.4621485756553603</v>
      </c>
      <c r="AD35" s="141">
        <v>2.8431733092986584</v>
      </c>
      <c r="AE35" s="908">
        <v>2.6547820819454464</v>
      </c>
      <c r="AF35" s="909">
        <v>2.6547820819454464</v>
      </c>
      <c r="AG35" s="907">
        <v>2.6547820819454464</v>
      </c>
      <c r="AH35" s="908">
        <v>2.6547820819454464</v>
      </c>
      <c r="AI35" s="908">
        <v>2.6547820819454464</v>
      </c>
      <c r="AJ35" s="908">
        <v>2.6547820819454464</v>
      </c>
      <c r="AK35" s="909">
        <v>2.6547820819454464</v>
      </c>
    </row>
    <row r="36" spans="1:52" s="98" customFormat="1" ht="15" customHeight="1" thickBot="1">
      <c r="B36" s="239" t="s">
        <v>1701</v>
      </c>
      <c r="C36" s="512"/>
      <c r="D36" s="246"/>
      <c r="E36" s="246"/>
      <c r="F36" s="246"/>
      <c r="G36" s="241"/>
      <c r="H36" s="241"/>
      <c r="I36" s="195" t="s">
        <v>498</v>
      </c>
      <c r="J36" s="177">
        <f>SUM(J31:J35)</f>
        <v>5.5892427681582566</v>
      </c>
      <c r="K36" s="178">
        <f t="shared" ref="K36" si="16">SUM(K31:K35)</f>
        <v>7.5912342358651959</v>
      </c>
      <c r="L36" s="178">
        <f t="shared" ref="L36" si="17">SUM(L31:L35)</f>
        <v>5.8522463369914419</v>
      </c>
      <c r="M36" s="178">
        <f t="shared" ref="M36" si="18">SUM(M31:M35)</f>
        <v>5.5715957662952835</v>
      </c>
      <c r="N36" s="178">
        <f t="shared" ref="N36" si="19">SUM(N31:N35)</f>
        <v>5.3292870014749543</v>
      </c>
      <c r="O36" s="178">
        <f t="shared" ref="O36" si="20">SUM(O31:O35)</f>
        <v>5.8894803700000002</v>
      </c>
      <c r="P36" s="178">
        <f t="shared" ref="P36" si="21">SUM(P31:P35)</f>
        <v>5.9727143426082492</v>
      </c>
      <c r="Q36" s="179">
        <f t="shared" ref="Q36" si="22">SUM(Q31:Q35)</f>
        <v>5.9727143426082492</v>
      </c>
      <c r="R36" s="177">
        <f t="shared" ref="R36" si="23">SUM(R31:R35)</f>
        <v>5.8087525614552415</v>
      </c>
      <c r="S36" s="178">
        <f t="shared" ref="S36" si="24">SUM(S31:S35)</f>
        <v>5.8087525614552415</v>
      </c>
      <c r="T36" s="178">
        <f t="shared" ref="T36" si="25">SUM(T31:T35)</f>
        <v>5.8087525614552415</v>
      </c>
      <c r="U36" s="178">
        <f t="shared" ref="U36" si="26">SUM(U31:U35)</f>
        <v>5.8087525614552415</v>
      </c>
      <c r="V36" s="179">
        <f t="shared" ref="V36" si="27">SUM(V31:V35)</f>
        <v>5.8087525614552415</v>
      </c>
      <c r="W36" s="192"/>
      <c r="X36" s="195" t="s">
        <v>498</v>
      </c>
      <c r="Y36" s="177">
        <f>SUM(Y31:Y35)</f>
        <v>5.5892427681582566</v>
      </c>
      <c r="Z36" s="178">
        <f t="shared" ref="Z36" si="28">SUM(Z31:Z35)</f>
        <v>7.5912342358651959</v>
      </c>
      <c r="AA36" s="178">
        <f t="shared" ref="AA36" si="29">SUM(AA31:AA35)</f>
        <v>5.8522463369914419</v>
      </c>
      <c r="AB36" s="178">
        <f t="shared" ref="AB36" si="30">SUM(AB31:AB35)</f>
        <v>5.5715957662952835</v>
      </c>
      <c r="AC36" s="178">
        <f t="shared" ref="AC36" si="31">SUM(AC31:AC35)</f>
        <v>5.3292870014749543</v>
      </c>
      <c r="AD36" s="178">
        <f t="shared" ref="AD36" si="32">SUM(AD31:AD35)</f>
        <v>5.8894803700000002</v>
      </c>
      <c r="AE36" s="178">
        <f t="shared" ref="AE36" si="33">SUM(AE31:AE35)</f>
        <v>5.9727143426082492</v>
      </c>
      <c r="AF36" s="179">
        <f t="shared" ref="AF36" si="34">SUM(AF31:AF35)</f>
        <v>5.9727143426082492</v>
      </c>
      <c r="AG36" s="177">
        <f t="shared" ref="AG36" si="35">SUM(AG31:AG35)</f>
        <v>5.8087525614552415</v>
      </c>
      <c r="AH36" s="178">
        <f t="shared" ref="AH36" si="36">SUM(AH31:AH35)</f>
        <v>5.8087525614552415</v>
      </c>
      <c r="AI36" s="178">
        <f t="shared" ref="AI36" si="37">SUM(AI31:AI35)</f>
        <v>5.8087525614552415</v>
      </c>
      <c r="AJ36" s="178">
        <f t="shared" ref="AJ36" si="38">SUM(AJ31:AJ35)</f>
        <v>5.8087525614552415</v>
      </c>
      <c r="AK36" s="179">
        <f t="shared" ref="AK36" si="39">SUM(AK31:AK35)</f>
        <v>5.8087525614552415</v>
      </c>
    </row>
    <row r="37" spans="1:52" s="99" customFormat="1" ht="15" customHeight="1" thickBot="1">
      <c r="B37" s="150"/>
      <c r="C37" s="150"/>
      <c r="D37" s="150"/>
      <c r="E37" s="150"/>
      <c r="F37" s="150"/>
      <c r="G37" s="97"/>
      <c r="H37" s="97"/>
      <c r="I37" s="98"/>
      <c r="J37" s="98"/>
      <c r="K37" s="98"/>
      <c r="L37" s="98"/>
      <c r="M37" s="98"/>
      <c r="N37" s="98"/>
      <c r="O37" s="98"/>
      <c r="P37" s="98"/>
      <c r="Q37" s="98"/>
      <c r="R37" s="98"/>
      <c r="S37" s="98"/>
      <c r="T37" s="98"/>
      <c r="U37" s="98"/>
      <c r="V37" s="98"/>
    </row>
    <row r="38" spans="1:52" s="100" customFormat="1" ht="30" customHeight="1" thickBot="1">
      <c r="A38" s="89"/>
      <c r="B38" s="621" t="s">
        <v>2617</v>
      </c>
      <c r="C38" s="788"/>
      <c r="D38" s="102"/>
      <c r="E38" s="102"/>
      <c r="F38" s="102"/>
      <c r="G38" s="103"/>
      <c r="H38" s="103"/>
      <c r="I38" s="2517"/>
      <c r="J38" s="2517"/>
      <c r="K38" s="2517"/>
      <c r="L38" s="2517"/>
      <c r="M38" s="2517"/>
      <c r="N38" s="2517"/>
      <c r="O38" s="2517"/>
      <c r="P38" s="2517"/>
      <c r="Q38" s="2517"/>
      <c r="R38" s="2517"/>
      <c r="S38" s="2517"/>
      <c r="T38" s="2517"/>
      <c r="U38" s="2517"/>
      <c r="V38" s="2517"/>
      <c r="W38" s="103"/>
      <c r="X38" s="2517"/>
      <c r="Y38" s="2517"/>
      <c r="Z38" s="2517"/>
      <c r="AA38" s="2517"/>
      <c r="AB38" s="2517"/>
      <c r="AC38" s="2517"/>
      <c r="AD38" s="2517"/>
      <c r="AE38" s="2517"/>
      <c r="AF38" s="2517"/>
      <c r="AG38" s="2517"/>
      <c r="AH38" s="2517"/>
      <c r="AI38" s="2517"/>
      <c r="AJ38" s="2517"/>
      <c r="AK38" s="2517"/>
      <c r="AL38" s="103"/>
      <c r="AM38" s="105" t="s">
        <v>2231</v>
      </c>
      <c r="AN38" s="106"/>
      <c r="AO38" s="106"/>
      <c r="AP38" s="106"/>
      <c r="AQ38" s="106"/>
      <c r="AR38" s="106"/>
      <c r="AS38" s="106"/>
      <c r="AT38" s="106"/>
      <c r="AU38" s="106"/>
      <c r="AV38" s="105"/>
      <c r="AW38" s="105"/>
      <c r="AX38" s="105"/>
      <c r="AY38" s="105"/>
      <c r="AZ38" s="187"/>
    </row>
    <row r="39" spans="1:52" s="157" customFormat="1" ht="30" customHeight="1">
      <c r="A39" s="99"/>
      <c r="B39" s="109"/>
      <c r="C39" s="110"/>
      <c r="D39" s="110"/>
      <c r="E39" s="110"/>
      <c r="F39" s="110"/>
      <c r="G39" s="111"/>
      <c r="H39" s="111"/>
      <c r="I39" s="2451"/>
      <c r="J39" s="2518"/>
      <c r="K39" s="2519"/>
      <c r="L39" s="2519"/>
      <c r="M39" s="2519"/>
      <c r="N39" s="2519"/>
      <c r="O39" s="2519"/>
      <c r="P39" s="2519"/>
      <c r="Q39" s="2519"/>
      <c r="R39" s="2518"/>
      <c r="S39" s="2519"/>
      <c r="T39" s="2519"/>
      <c r="U39" s="2519"/>
      <c r="V39" s="2519"/>
      <c r="W39" s="222"/>
      <c r="X39" s="2451"/>
      <c r="Y39" s="2518"/>
      <c r="Z39" s="2519"/>
      <c r="AA39" s="2519"/>
      <c r="AB39" s="2519"/>
      <c r="AC39" s="2519"/>
      <c r="AD39" s="2519"/>
      <c r="AE39" s="2519"/>
      <c r="AF39" s="2519"/>
      <c r="AG39" s="2518"/>
      <c r="AH39" s="2519"/>
      <c r="AI39" s="2519"/>
      <c r="AJ39" s="2519"/>
      <c r="AK39" s="2519"/>
      <c r="AL39" s="222"/>
      <c r="AM39" s="117"/>
      <c r="AN39" s="695" t="s">
        <v>1666</v>
      </c>
      <c r="AO39" s="152"/>
      <c r="AP39" s="152"/>
      <c r="AQ39" s="152"/>
      <c r="AR39" s="152"/>
      <c r="AS39" s="152"/>
      <c r="AT39" s="152"/>
      <c r="AU39" s="153"/>
      <c r="AV39" s="696" t="s">
        <v>2</v>
      </c>
      <c r="AW39" s="155"/>
      <c r="AX39" s="155"/>
      <c r="AY39" s="155"/>
      <c r="AZ39" s="156"/>
    </row>
    <row r="40" spans="1:52" s="98" customFormat="1" ht="15" customHeight="1">
      <c r="A40" s="99"/>
      <c r="B40" s="115"/>
      <c r="C40" s="116"/>
      <c r="D40" s="116"/>
      <c r="E40" s="116"/>
      <c r="F40" s="116"/>
      <c r="G40" s="117"/>
      <c r="H40" s="117"/>
      <c r="I40" s="2520"/>
      <c r="J40" s="2520"/>
      <c r="K40" s="2520"/>
      <c r="L40" s="2520"/>
      <c r="M40" s="2520"/>
      <c r="N40" s="2520"/>
      <c r="O40" s="2520"/>
      <c r="P40" s="2520"/>
      <c r="Q40" s="2520"/>
      <c r="R40" s="2520"/>
      <c r="S40" s="2520"/>
      <c r="T40" s="2520"/>
      <c r="U40" s="2520"/>
      <c r="V40" s="2520"/>
      <c r="W40" s="185"/>
      <c r="X40" s="2520"/>
      <c r="Y40" s="2520"/>
      <c r="Z40" s="2520"/>
      <c r="AA40" s="2520"/>
      <c r="AB40" s="2520"/>
      <c r="AC40" s="2520"/>
      <c r="AD40" s="2520"/>
      <c r="AE40" s="2520"/>
      <c r="AF40" s="2520"/>
      <c r="AG40" s="2520"/>
      <c r="AH40" s="2520"/>
      <c r="AI40" s="2520"/>
      <c r="AJ40" s="2520"/>
      <c r="AK40" s="2520"/>
      <c r="AL40" s="185"/>
      <c r="AM40" s="119" t="s">
        <v>1667</v>
      </c>
      <c r="AN40" s="158" t="s">
        <v>453</v>
      </c>
      <c r="AO40" s="137" t="s">
        <v>455</v>
      </c>
      <c r="AP40" s="137" t="s">
        <v>457</v>
      </c>
      <c r="AQ40" s="137" t="s">
        <v>459</v>
      </c>
      <c r="AR40" s="137" t="s">
        <v>461</v>
      </c>
      <c r="AS40" s="137" t="s">
        <v>463</v>
      </c>
      <c r="AT40" s="137" t="s">
        <v>465</v>
      </c>
      <c r="AU40" s="138" t="s">
        <v>467</v>
      </c>
      <c r="AV40" s="120" t="s">
        <v>469</v>
      </c>
      <c r="AW40" s="121" t="s">
        <v>471</v>
      </c>
      <c r="AX40" s="121" t="s">
        <v>473</v>
      </c>
      <c r="AY40" s="121" t="s">
        <v>475</v>
      </c>
      <c r="AZ40" s="122" t="s">
        <v>477</v>
      </c>
    </row>
    <row r="41" spans="1:52" s="98" customFormat="1" ht="15" customHeight="1">
      <c r="B41" s="161"/>
      <c r="C41" s="180" t="s">
        <v>2618</v>
      </c>
      <c r="D41" s="162"/>
      <c r="E41" s="162"/>
      <c r="F41" s="162"/>
      <c r="G41" s="163"/>
      <c r="H41" s="163"/>
      <c r="I41" s="2521"/>
      <c r="J41" s="2522"/>
      <c r="K41" s="2522"/>
      <c r="L41" s="2522"/>
      <c r="M41" s="2522"/>
      <c r="N41" s="2522"/>
      <c r="O41" s="2522"/>
      <c r="P41" s="2522"/>
      <c r="Q41" s="2522"/>
      <c r="R41" s="2522"/>
      <c r="S41" s="2522"/>
      <c r="T41" s="2522"/>
      <c r="U41" s="2522"/>
      <c r="V41" s="2522"/>
      <c r="W41" s="185"/>
      <c r="X41" s="2521"/>
      <c r="Y41" s="2522"/>
      <c r="Z41" s="2522"/>
      <c r="AA41" s="2522"/>
      <c r="AB41" s="2522"/>
      <c r="AC41" s="2522"/>
      <c r="AD41" s="2522"/>
      <c r="AE41" s="2522"/>
      <c r="AF41" s="2522"/>
      <c r="AG41" s="2522"/>
      <c r="AH41" s="2522"/>
      <c r="AI41" s="2522"/>
      <c r="AJ41" s="2522"/>
      <c r="AK41" s="2522"/>
      <c r="AL41" s="185"/>
      <c r="AM41" s="117"/>
      <c r="AN41" s="159"/>
      <c r="AO41" s="117"/>
      <c r="AP41" s="117"/>
      <c r="AQ41" s="117"/>
      <c r="AR41" s="117"/>
      <c r="AS41" s="117"/>
      <c r="AT41" s="117"/>
      <c r="AU41" s="160"/>
      <c r="AV41" s="159"/>
      <c r="AW41" s="117"/>
      <c r="AX41" s="117"/>
      <c r="AY41" s="117"/>
      <c r="AZ41" s="160"/>
    </row>
    <row r="42" spans="1:52" s="98" customFormat="1" ht="15" customHeight="1">
      <c r="B42" s="161"/>
      <c r="C42" s="185"/>
      <c r="D42" s="162" t="s">
        <v>2612</v>
      </c>
      <c r="E42" s="162"/>
      <c r="F42" s="162"/>
      <c r="G42" s="162"/>
      <c r="H42" s="163"/>
      <c r="I42" s="2521"/>
      <c r="J42" s="2522"/>
      <c r="K42" s="2522"/>
      <c r="L42" s="2522"/>
      <c r="M42" s="2522"/>
      <c r="N42" s="2522"/>
      <c r="O42" s="2522"/>
      <c r="P42" s="2522"/>
      <c r="Q42" s="2522"/>
      <c r="R42" s="2522"/>
      <c r="S42" s="2522"/>
      <c r="T42" s="2522"/>
      <c r="U42" s="2522"/>
      <c r="V42" s="2522"/>
      <c r="W42" s="185"/>
      <c r="X42" s="2521"/>
      <c r="Y42" s="2522"/>
      <c r="Z42" s="2522"/>
      <c r="AA42" s="2522"/>
      <c r="AB42" s="2522"/>
      <c r="AC42" s="2522"/>
      <c r="AD42" s="2522"/>
      <c r="AE42" s="2522"/>
      <c r="AF42" s="2522"/>
      <c r="AG42" s="2522"/>
      <c r="AH42" s="2522"/>
      <c r="AI42" s="2522"/>
      <c r="AJ42" s="2522"/>
      <c r="AK42" s="2522"/>
      <c r="AL42" s="185"/>
      <c r="AM42" s="164" t="s">
        <v>1876</v>
      </c>
      <c r="AN42" s="2832">
        <v>0</v>
      </c>
      <c r="AO42" s="2833">
        <v>0</v>
      </c>
      <c r="AP42" s="2833">
        <v>0</v>
      </c>
      <c r="AQ42" s="2833">
        <v>0</v>
      </c>
      <c r="AR42" s="2833">
        <v>23</v>
      </c>
      <c r="AS42" s="2833">
        <v>23</v>
      </c>
      <c r="AT42" s="2833">
        <v>24</v>
      </c>
      <c r="AU42" s="2834">
        <v>24</v>
      </c>
      <c r="AV42" s="2832">
        <v>24</v>
      </c>
      <c r="AW42" s="2833">
        <v>24</v>
      </c>
      <c r="AX42" s="2833">
        <v>24</v>
      </c>
      <c r="AY42" s="2833">
        <v>24</v>
      </c>
      <c r="AZ42" s="2834">
        <v>24</v>
      </c>
    </row>
    <row r="43" spans="1:52" s="98" customFormat="1" ht="15" customHeight="1">
      <c r="B43" s="161"/>
      <c r="C43" s="185"/>
      <c r="D43" s="162" t="s">
        <v>2613</v>
      </c>
      <c r="E43" s="162"/>
      <c r="F43" s="162"/>
      <c r="G43" s="162"/>
      <c r="H43" s="163"/>
      <c r="I43" s="2521"/>
      <c r="J43" s="2522"/>
      <c r="K43" s="2522"/>
      <c r="L43" s="2522"/>
      <c r="M43" s="2522"/>
      <c r="N43" s="2522"/>
      <c r="O43" s="2522"/>
      <c r="P43" s="2522"/>
      <c r="Q43" s="2522"/>
      <c r="R43" s="2522"/>
      <c r="S43" s="2522"/>
      <c r="T43" s="2522"/>
      <c r="U43" s="2522"/>
      <c r="V43" s="2522"/>
      <c r="W43" s="185"/>
      <c r="X43" s="2521"/>
      <c r="Y43" s="2522"/>
      <c r="Z43" s="2522"/>
      <c r="AA43" s="2522"/>
      <c r="AB43" s="2522"/>
      <c r="AC43" s="2522"/>
      <c r="AD43" s="2522"/>
      <c r="AE43" s="2522"/>
      <c r="AF43" s="2522"/>
      <c r="AG43" s="2522"/>
      <c r="AH43" s="2522"/>
      <c r="AI43" s="2522"/>
      <c r="AJ43" s="2522"/>
      <c r="AK43" s="2522"/>
      <c r="AL43" s="185"/>
      <c r="AM43" s="164" t="s">
        <v>1876</v>
      </c>
      <c r="AN43" s="2832">
        <v>35</v>
      </c>
      <c r="AO43" s="2833">
        <v>35</v>
      </c>
      <c r="AP43" s="2833">
        <v>39</v>
      </c>
      <c r="AQ43" s="2833">
        <v>38</v>
      </c>
      <c r="AR43" s="2833">
        <v>36</v>
      </c>
      <c r="AS43" s="2833">
        <v>32</v>
      </c>
      <c r="AT43" s="2833">
        <v>29</v>
      </c>
      <c r="AU43" s="2834">
        <v>29</v>
      </c>
      <c r="AV43" s="2832">
        <v>29</v>
      </c>
      <c r="AW43" s="2833">
        <v>29</v>
      </c>
      <c r="AX43" s="2833">
        <v>29</v>
      </c>
      <c r="AY43" s="2833">
        <v>29</v>
      </c>
      <c r="AZ43" s="2834">
        <v>29</v>
      </c>
    </row>
    <row r="44" spans="1:52" s="98" customFormat="1" ht="15" customHeight="1">
      <c r="B44" s="161"/>
      <c r="C44" s="185"/>
      <c r="D44" s="162" t="s">
        <v>2614</v>
      </c>
      <c r="E44" s="162"/>
      <c r="F44" s="162"/>
      <c r="G44" s="162"/>
      <c r="H44" s="163"/>
      <c r="I44" s="2521"/>
      <c r="J44" s="2522"/>
      <c r="K44" s="2522"/>
      <c r="L44" s="2522"/>
      <c r="M44" s="2522"/>
      <c r="N44" s="2522"/>
      <c r="O44" s="2522"/>
      <c r="P44" s="2522"/>
      <c r="Q44" s="2522"/>
      <c r="R44" s="2522"/>
      <c r="S44" s="2522"/>
      <c r="T44" s="2522"/>
      <c r="U44" s="2522"/>
      <c r="V44" s="2522"/>
      <c r="W44" s="185"/>
      <c r="X44" s="2521"/>
      <c r="Y44" s="2522"/>
      <c r="Z44" s="2522"/>
      <c r="AA44" s="2522"/>
      <c r="AB44" s="2522"/>
      <c r="AC44" s="2522"/>
      <c r="AD44" s="2522"/>
      <c r="AE44" s="2522"/>
      <c r="AF44" s="2522"/>
      <c r="AG44" s="2522"/>
      <c r="AH44" s="2522"/>
      <c r="AI44" s="2522"/>
      <c r="AJ44" s="2522"/>
      <c r="AK44" s="2522"/>
      <c r="AL44" s="185"/>
      <c r="AM44" s="164" t="s">
        <v>1876</v>
      </c>
      <c r="AN44" s="2832">
        <v>581</v>
      </c>
      <c r="AO44" s="2833">
        <v>577</v>
      </c>
      <c r="AP44" s="2833">
        <v>542</v>
      </c>
      <c r="AQ44" s="2833">
        <v>558</v>
      </c>
      <c r="AR44" s="2833">
        <v>556</v>
      </c>
      <c r="AS44" s="2833">
        <v>547</v>
      </c>
      <c r="AT44" s="2833">
        <v>544</v>
      </c>
      <c r="AU44" s="2834">
        <v>544</v>
      </c>
      <c r="AV44" s="2832">
        <v>544</v>
      </c>
      <c r="AW44" s="2833">
        <v>535</v>
      </c>
      <c r="AX44" s="2833">
        <v>531</v>
      </c>
      <c r="AY44" s="2833">
        <v>527</v>
      </c>
      <c r="AZ44" s="2834">
        <v>524</v>
      </c>
    </row>
    <row r="45" spans="1:52" s="98" customFormat="1" ht="15" customHeight="1">
      <c r="B45" s="161"/>
      <c r="C45" s="185"/>
      <c r="D45" s="162" t="s">
        <v>2615</v>
      </c>
      <c r="E45" s="162"/>
      <c r="F45" s="162"/>
      <c r="G45" s="162"/>
      <c r="H45" s="163"/>
      <c r="I45" s="2521"/>
      <c r="J45" s="2522"/>
      <c r="K45" s="2522"/>
      <c r="L45" s="2522"/>
      <c r="M45" s="2522"/>
      <c r="N45" s="2522"/>
      <c r="O45" s="2522"/>
      <c r="P45" s="2522"/>
      <c r="Q45" s="2522"/>
      <c r="R45" s="2522"/>
      <c r="S45" s="2522"/>
      <c r="T45" s="2522"/>
      <c r="U45" s="2522"/>
      <c r="V45" s="2522"/>
      <c r="W45" s="185"/>
      <c r="X45" s="2521"/>
      <c r="Y45" s="2522"/>
      <c r="Z45" s="2522"/>
      <c r="AA45" s="2522"/>
      <c r="AB45" s="2522"/>
      <c r="AC45" s="2522"/>
      <c r="AD45" s="2522"/>
      <c r="AE45" s="2522"/>
      <c r="AF45" s="2522"/>
      <c r="AG45" s="2522"/>
      <c r="AH45" s="2522"/>
      <c r="AI45" s="2522"/>
      <c r="AJ45" s="2522"/>
      <c r="AK45" s="2522"/>
      <c r="AL45" s="185"/>
      <c r="AM45" s="164" t="s">
        <v>1876</v>
      </c>
      <c r="AN45" s="2832">
        <v>7</v>
      </c>
      <c r="AO45" s="2833">
        <v>5</v>
      </c>
      <c r="AP45" s="2833">
        <v>5</v>
      </c>
      <c r="AQ45" s="2833">
        <v>7</v>
      </c>
      <c r="AR45" s="2833">
        <v>7</v>
      </c>
      <c r="AS45" s="2833">
        <v>7</v>
      </c>
      <c r="AT45" s="2833">
        <v>8</v>
      </c>
      <c r="AU45" s="2834">
        <v>8</v>
      </c>
      <c r="AV45" s="2832">
        <v>4</v>
      </c>
      <c r="AW45" s="2833">
        <v>4</v>
      </c>
      <c r="AX45" s="2833">
        <v>4</v>
      </c>
      <c r="AY45" s="2833">
        <v>4</v>
      </c>
      <c r="AZ45" s="2834">
        <v>4</v>
      </c>
    </row>
    <row r="46" spans="1:52" s="98" customFormat="1" ht="15" customHeight="1">
      <c r="B46" s="161"/>
      <c r="C46" s="185"/>
      <c r="D46" s="162" t="s">
        <v>2616</v>
      </c>
      <c r="E46" s="162"/>
      <c r="F46" s="162"/>
      <c r="G46" s="162"/>
      <c r="H46" s="163"/>
      <c r="I46" s="2521"/>
      <c r="J46" s="2523"/>
      <c r="K46" s="2523"/>
      <c r="L46" s="2523"/>
      <c r="M46" s="2523"/>
      <c r="N46" s="2523"/>
      <c r="O46" s="2523"/>
      <c r="P46" s="2523"/>
      <c r="Q46" s="2523"/>
      <c r="R46" s="2523"/>
      <c r="S46" s="2523"/>
      <c r="T46" s="2523"/>
      <c r="U46" s="2523"/>
      <c r="V46" s="2523"/>
      <c r="W46" s="185"/>
      <c r="X46" s="2521"/>
      <c r="Y46" s="2523"/>
      <c r="Z46" s="2523"/>
      <c r="AA46" s="2523"/>
      <c r="AB46" s="2523"/>
      <c r="AC46" s="2523"/>
      <c r="AD46" s="2523"/>
      <c r="AE46" s="2523"/>
      <c r="AF46" s="2523"/>
      <c r="AG46" s="2523"/>
      <c r="AH46" s="2523"/>
      <c r="AI46" s="2523"/>
      <c r="AJ46" s="2523"/>
      <c r="AK46" s="2523"/>
      <c r="AL46" s="185"/>
      <c r="AM46" s="164" t="s">
        <v>1876</v>
      </c>
      <c r="AN46" s="2832">
        <v>86</v>
      </c>
      <c r="AO46" s="2833">
        <v>87</v>
      </c>
      <c r="AP46" s="2833">
        <v>93</v>
      </c>
      <c r="AQ46" s="2833">
        <v>95</v>
      </c>
      <c r="AR46" s="2833">
        <v>99</v>
      </c>
      <c r="AS46" s="2833">
        <v>100</v>
      </c>
      <c r="AT46" s="2833">
        <v>106</v>
      </c>
      <c r="AU46" s="2834">
        <v>114</v>
      </c>
      <c r="AV46" s="2832">
        <v>114</v>
      </c>
      <c r="AW46" s="2833">
        <v>114</v>
      </c>
      <c r="AX46" s="2833">
        <v>114</v>
      </c>
      <c r="AY46" s="2833">
        <v>114</v>
      </c>
      <c r="AZ46" s="2834">
        <v>114</v>
      </c>
    </row>
    <row r="47" spans="1:52" s="98" customFormat="1" ht="15" customHeight="1" thickBot="1">
      <c r="B47" s="239" t="s">
        <v>1701</v>
      </c>
      <c r="C47" s="512"/>
      <c r="D47" s="246"/>
      <c r="E47" s="246"/>
      <c r="F47" s="246"/>
      <c r="G47" s="241"/>
      <c r="H47" s="241"/>
      <c r="I47" s="2524"/>
      <c r="J47" s="2524"/>
      <c r="K47" s="2524"/>
      <c r="L47" s="2524"/>
      <c r="M47" s="2524"/>
      <c r="N47" s="2524"/>
      <c r="O47" s="2524"/>
      <c r="P47" s="2524"/>
      <c r="Q47" s="2524"/>
      <c r="R47" s="2524"/>
      <c r="S47" s="2524"/>
      <c r="T47" s="2524"/>
      <c r="U47" s="2524"/>
      <c r="V47" s="2524"/>
      <c r="W47" s="192"/>
      <c r="X47" s="2524"/>
      <c r="Y47" s="2524"/>
      <c r="Z47" s="2524"/>
      <c r="AA47" s="2524"/>
      <c r="AB47" s="2524"/>
      <c r="AC47" s="2524"/>
      <c r="AD47" s="2524"/>
      <c r="AE47" s="2524"/>
      <c r="AF47" s="2524"/>
      <c r="AG47" s="2524"/>
      <c r="AH47" s="2524"/>
      <c r="AI47" s="2524"/>
      <c r="AJ47" s="2524"/>
      <c r="AK47" s="2524"/>
      <c r="AL47" s="192"/>
      <c r="AM47" s="195" t="s">
        <v>1876</v>
      </c>
      <c r="AN47" s="892">
        <f t="shared" ref="AN47:AZ47" si="40">SUM(AN42:AN46)</f>
        <v>709</v>
      </c>
      <c r="AO47" s="893">
        <f t="shared" si="40"/>
        <v>704</v>
      </c>
      <c r="AP47" s="893">
        <f t="shared" si="40"/>
        <v>679</v>
      </c>
      <c r="AQ47" s="893">
        <f t="shared" si="40"/>
        <v>698</v>
      </c>
      <c r="AR47" s="893">
        <f t="shared" si="40"/>
        <v>721</v>
      </c>
      <c r="AS47" s="893">
        <f t="shared" si="40"/>
        <v>709</v>
      </c>
      <c r="AT47" s="893">
        <f t="shared" si="40"/>
        <v>711</v>
      </c>
      <c r="AU47" s="890">
        <f t="shared" si="40"/>
        <v>719</v>
      </c>
      <c r="AV47" s="892">
        <f t="shared" si="40"/>
        <v>715</v>
      </c>
      <c r="AW47" s="893">
        <f t="shared" si="40"/>
        <v>706</v>
      </c>
      <c r="AX47" s="893">
        <f t="shared" si="40"/>
        <v>702</v>
      </c>
      <c r="AY47" s="893">
        <f t="shared" si="40"/>
        <v>698</v>
      </c>
      <c r="AZ47" s="890">
        <f t="shared" si="40"/>
        <v>695</v>
      </c>
    </row>
    <row r="48" spans="1:52" s="98" customFormat="1" ht="15" customHeight="1" thickBot="1">
      <c r="B48" s="183"/>
      <c r="C48" s="183"/>
      <c r="D48" s="245"/>
      <c r="E48" s="245"/>
      <c r="F48" s="245"/>
      <c r="G48" s="184"/>
      <c r="H48" s="184"/>
      <c r="I48" s="96"/>
      <c r="J48" s="1452"/>
      <c r="K48" s="1452"/>
      <c r="L48" s="1452"/>
      <c r="M48" s="1452"/>
      <c r="N48" s="1452"/>
      <c r="O48" s="1452"/>
      <c r="P48" s="1452"/>
      <c r="Q48" s="1452"/>
      <c r="R48" s="1452"/>
      <c r="S48" s="1452"/>
      <c r="T48" s="1452"/>
      <c r="U48" s="1452"/>
      <c r="V48" s="1452"/>
      <c r="W48" s="185"/>
      <c r="X48" s="96"/>
      <c r="Y48" s="1452"/>
      <c r="Z48" s="1452"/>
      <c r="AA48" s="1452"/>
      <c r="AB48" s="1452"/>
      <c r="AC48" s="1452"/>
      <c r="AD48" s="1452"/>
      <c r="AE48" s="1452"/>
      <c r="AF48" s="1452"/>
      <c r="AG48" s="1452"/>
      <c r="AH48" s="1452"/>
      <c r="AI48" s="1452"/>
      <c r="AJ48" s="1452"/>
      <c r="AK48" s="1452"/>
      <c r="AM48" s="96"/>
      <c r="AN48" s="1452"/>
      <c r="AO48" s="1452"/>
      <c r="AP48" s="1452"/>
      <c r="AQ48" s="1452"/>
      <c r="AR48" s="1452"/>
      <c r="AS48" s="1452"/>
      <c r="AT48" s="1452"/>
      <c r="AU48" s="1452"/>
      <c r="AV48" s="1452"/>
      <c r="AW48" s="1452"/>
      <c r="AX48" s="1452"/>
      <c r="AY48" s="1452"/>
      <c r="AZ48" s="1452"/>
    </row>
    <row r="49" spans="1:52" s="100" customFormat="1" ht="30" customHeight="1" thickBot="1">
      <c r="A49" s="89"/>
      <c r="B49" s="621" t="s">
        <v>2619</v>
      </c>
      <c r="C49" s="788"/>
      <c r="D49" s="102"/>
      <c r="E49" s="102"/>
      <c r="F49" s="102"/>
      <c r="G49" s="103"/>
      <c r="H49" s="103"/>
      <c r="I49" s="2517"/>
      <c r="J49" s="2517"/>
      <c r="K49" s="2517"/>
      <c r="L49" s="2517"/>
      <c r="M49" s="2517"/>
      <c r="N49" s="2517"/>
      <c r="O49" s="2517"/>
      <c r="P49" s="2517"/>
      <c r="Q49" s="2517"/>
      <c r="R49" s="2517"/>
      <c r="S49" s="2517"/>
      <c r="T49" s="2517"/>
      <c r="U49" s="2517"/>
      <c r="V49" s="2517"/>
      <c r="W49" s="1719"/>
      <c r="X49" s="2517"/>
      <c r="Y49" s="2517"/>
      <c r="Z49" s="2517"/>
      <c r="AA49" s="2517"/>
      <c r="AB49" s="2517"/>
      <c r="AC49" s="2517"/>
      <c r="AD49" s="2517"/>
      <c r="AE49" s="2517"/>
      <c r="AF49" s="2517"/>
      <c r="AG49" s="2517"/>
      <c r="AH49" s="2517"/>
      <c r="AI49" s="2517"/>
      <c r="AJ49" s="2517"/>
      <c r="AK49" s="2517"/>
      <c r="AL49" s="103"/>
      <c r="AM49" s="105" t="s">
        <v>2231</v>
      </c>
      <c r="AN49" s="106"/>
      <c r="AO49" s="106"/>
      <c r="AP49" s="106"/>
      <c r="AQ49" s="106"/>
      <c r="AR49" s="106"/>
      <c r="AS49" s="106"/>
      <c r="AT49" s="106"/>
      <c r="AU49" s="106"/>
      <c r="AV49" s="105"/>
      <c r="AW49" s="105"/>
      <c r="AX49" s="105"/>
      <c r="AY49" s="105"/>
      <c r="AZ49" s="187"/>
    </row>
    <row r="50" spans="1:52" s="157" customFormat="1" ht="30" customHeight="1">
      <c r="A50" s="99"/>
      <c r="B50" s="109"/>
      <c r="C50" s="110"/>
      <c r="D50" s="110"/>
      <c r="E50" s="110"/>
      <c r="F50" s="110"/>
      <c r="G50" s="111"/>
      <c r="H50" s="111"/>
      <c r="I50" s="2451"/>
      <c r="J50" s="2518"/>
      <c r="K50" s="2519"/>
      <c r="L50" s="2519"/>
      <c r="M50" s="2519"/>
      <c r="N50" s="2519"/>
      <c r="O50" s="2519"/>
      <c r="P50" s="2519"/>
      <c r="Q50" s="2519"/>
      <c r="R50" s="2518"/>
      <c r="S50" s="2519"/>
      <c r="T50" s="2519"/>
      <c r="U50" s="2519"/>
      <c r="V50" s="2519"/>
      <c r="W50" s="222"/>
      <c r="X50" s="2451"/>
      <c r="Y50" s="2518"/>
      <c r="Z50" s="2519"/>
      <c r="AA50" s="2519"/>
      <c r="AB50" s="2519"/>
      <c r="AC50" s="2519"/>
      <c r="AD50" s="2519"/>
      <c r="AE50" s="2519"/>
      <c r="AF50" s="2519"/>
      <c r="AG50" s="2518"/>
      <c r="AH50" s="2519"/>
      <c r="AI50" s="2519"/>
      <c r="AJ50" s="2519"/>
      <c r="AK50" s="2519"/>
      <c r="AL50" s="222"/>
      <c r="AM50" s="117"/>
      <c r="AN50" s="695" t="s">
        <v>1666</v>
      </c>
      <c r="AO50" s="152"/>
      <c r="AP50" s="152"/>
      <c r="AQ50" s="152"/>
      <c r="AR50" s="152"/>
      <c r="AS50" s="152"/>
      <c r="AT50" s="152"/>
      <c r="AU50" s="153"/>
      <c r="AV50" s="696" t="s">
        <v>2</v>
      </c>
      <c r="AW50" s="155"/>
      <c r="AX50" s="155"/>
      <c r="AY50" s="155"/>
      <c r="AZ50" s="156"/>
    </row>
    <row r="51" spans="1:52" s="98" customFormat="1" ht="15" customHeight="1">
      <c r="A51" s="99"/>
      <c r="B51" s="115"/>
      <c r="C51" s="185"/>
      <c r="D51" s="116"/>
      <c r="E51" s="116"/>
      <c r="F51" s="116"/>
      <c r="G51" s="117"/>
      <c r="H51" s="117"/>
      <c r="I51" s="2520"/>
      <c r="J51" s="2520"/>
      <c r="K51" s="2520"/>
      <c r="L51" s="2520"/>
      <c r="M51" s="2520"/>
      <c r="N51" s="2520"/>
      <c r="O51" s="2520"/>
      <c r="P51" s="2520"/>
      <c r="Q51" s="2520"/>
      <c r="R51" s="2520"/>
      <c r="S51" s="2520"/>
      <c r="T51" s="2520"/>
      <c r="U51" s="2520"/>
      <c r="V51" s="2520"/>
      <c r="W51" s="185"/>
      <c r="X51" s="2520"/>
      <c r="Y51" s="2520"/>
      <c r="Z51" s="2520"/>
      <c r="AA51" s="2520"/>
      <c r="AB51" s="2520"/>
      <c r="AC51" s="2520"/>
      <c r="AD51" s="2520"/>
      <c r="AE51" s="2520"/>
      <c r="AF51" s="2520"/>
      <c r="AG51" s="2520"/>
      <c r="AH51" s="2520"/>
      <c r="AI51" s="2520"/>
      <c r="AJ51" s="2520"/>
      <c r="AK51" s="2520"/>
      <c r="AL51" s="185"/>
      <c r="AM51" s="119" t="s">
        <v>1667</v>
      </c>
      <c r="AN51" s="158" t="s">
        <v>453</v>
      </c>
      <c r="AO51" s="137" t="s">
        <v>455</v>
      </c>
      <c r="AP51" s="137" t="s">
        <v>457</v>
      </c>
      <c r="AQ51" s="137" t="s">
        <v>459</v>
      </c>
      <c r="AR51" s="137" t="s">
        <v>461</v>
      </c>
      <c r="AS51" s="137" t="s">
        <v>463</v>
      </c>
      <c r="AT51" s="137" t="s">
        <v>465</v>
      </c>
      <c r="AU51" s="138" t="s">
        <v>467</v>
      </c>
      <c r="AV51" s="120" t="s">
        <v>469</v>
      </c>
      <c r="AW51" s="121" t="s">
        <v>471</v>
      </c>
      <c r="AX51" s="121" t="s">
        <v>473</v>
      </c>
      <c r="AY51" s="121" t="s">
        <v>475</v>
      </c>
      <c r="AZ51" s="122" t="s">
        <v>477</v>
      </c>
    </row>
    <row r="52" spans="1:52" s="98" customFormat="1" ht="15" customHeight="1">
      <c r="A52" s="99"/>
      <c r="B52" s="115"/>
      <c r="C52" s="180" t="s">
        <v>2618</v>
      </c>
      <c r="D52" s="116"/>
      <c r="E52" s="116"/>
      <c r="F52" s="116"/>
      <c r="G52" s="117"/>
      <c r="H52" s="117"/>
      <c r="I52" s="2520"/>
      <c r="J52" s="2520"/>
      <c r="K52" s="2520"/>
      <c r="L52" s="2520"/>
      <c r="M52" s="2520"/>
      <c r="N52" s="2520"/>
      <c r="O52" s="2520"/>
      <c r="P52" s="2520"/>
      <c r="Q52" s="2520"/>
      <c r="R52" s="2520"/>
      <c r="S52" s="2520"/>
      <c r="T52" s="2520"/>
      <c r="U52" s="2520"/>
      <c r="V52" s="2520"/>
      <c r="W52" s="185"/>
      <c r="X52" s="2520"/>
      <c r="Y52" s="2520"/>
      <c r="Z52" s="2520"/>
      <c r="AA52" s="2520"/>
      <c r="AB52" s="2520"/>
      <c r="AC52" s="2520"/>
      <c r="AD52" s="2520"/>
      <c r="AE52" s="2520"/>
      <c r="AF52" s="2520"/>
      <c r="AG52" s="2520"/>
      <c r="AH52" s="2520"/>
      <c r="AI52" s="2520"/>
      <c r="AJ52" s="2520"/>
      <c r="AK52" s="2520"/>
      <c r="AL52" s="185"/>
      <c r="AM52" s="117"/>
      <c r="AN52" s="159"/>
      <c r="AO52" s="117"/>
      <c r="AP52" s="117"/>
      <c r="AQ52" s="117"/>
      <c r="AR52" s="117"/>
      <c r="AS52" s="117"/>
      <c r="AT52" s="117"/>
      <c r="AU52" s="160"/>
      <c r="AV52" s="159"/>
      <c r="AW52" s="117"/>
      <c r="AX52" s="117"/>
      <c r="AY52" s="117"/>
      <c r="AZ52" s="160"/>
    </row>
    <row r="53" spans="1:52" s="98" customFormat="1" ht="15" customHeight="1">
      <c r="B53" s="161"/>
      <c r="C53" s="185"/>
      <c r="D53" s="162" t="s">
        <v>2612</v>
      </c>
      <c r="E53" s="162"/>
      <c r="F53" s="162"/>
      <c r="G53" s="162"/>
      <c r="H53" s="163"/>
      <c r="I53" s="2521"/>
      <c r="J53" s="2522"/>
      <c r="K53" s="2522"/>
      <c r="L53" s="2522"/>
      <c r="M53" s="2522"/>
      <c r="N53" s="2522"/>
      <c r="O53" s="2522"/>
      <c r="P53" s="2522"/>
      <c r="Q53" s="2522"/>
      <c r="R53" s="2522"/>
      <c r="S53" s="2522"/>
      <c r="T53" s="2522"/>
      <c r="U53" s="2522"/>
      <c r="V53" s="2522"/>
      <c r="W53" s="185"/>
      <c r="X53" s="2521"/>
      <c r="Y53" s="2522"/>
      <c r="Z53" s="2522"/>
      <c r="AA53" s="2522"/>
      <c r="AB53" s="2522"/>
      <c r="AC53" s="2522"/>
      <c r="AD53" s="2522"/>
      <c r="AE53" s="2522"/>
      <c r="AF53" s="2522"/>
      <c r="AG53" s="2522"/>
      <c r="AH53" s="2522"/>
      <c r="AI53" s="2522"/>
      <c r="AJ53" s="2522"/>
      <c r="AK53" s="2522"/>
      <c r="AL53" s="185"/>
      <c r="AM53" s="164" t="s">
        <v>1876</v>
      </c>
      <c r="AN53" s="2832">
        <v>0</v>
      </c>
      <c r="AO53" s="2833">
        <v>0</v>
      </c>
      <c r="AP53" s="2833">
        <v>0</v>
      </c>
      <c r="AQ53" s="2833">
        <v>0</v>
      </c>
      <c r="AR53" s="2833">
        <v>23</v>
      </c>
      <c r="AS53" s="2833">
        <v>0</v>
      </c>
      <c r="AT53" s="2833">
        <v>1</v>
      </c>
      <c r="AU53" s="2834">
        <v>3</v>
      </c>
      <c r="AV53" s="2832">
        <v>0</v>
      </c>
      <c r="AW53" s="2833">
        <v>20</v>
      </c>
      <c r="AX53" s="2833">
        <v>2</v>
      </c>
      <c r="AY53" s="2833">
        <v>0</v>
      </c>
      <c r="AZ53" s="2834">
        <v>0</v>
      </c>
    </row>
    <row r="54" spans="1:52" s="98" customFormat="1" ht="15" customHeight="1">
      <c r="B54" s="161"/>
      <c r="C54" s="185"/>
      <c r="D54" s="162" t="s">
        <v>2613</v>
      </c>
      <c r="E54" s="162"/>
      <c r="F54" s="162"/>
      <c r="G54" s="162"/>
      <c r="H54" s="163"/>
      <c r="I54" s="2521"/>
      <c r="J54" s="2522"/>
      <c r="K54" s="2522"/>
      <c r="L54" s="2522"/>
      <c r="M54" s="2522"/>
      <c r="N54" s="2522"/>
      <c r="O54" s="2522"/>
      <c r="P54" s="2522"/>
      <c r="Q54" s="2522"/>
      <c r="R54" s="2522"/>
      <c r="S54" s="2522"/>
      <c r="T54" s="2522"/>
      <c r="U54" s="2522"/>
      <c r="V54" s="2522"/>
      <c r="W54" s="185"/>
      <c r="X54" s="2521"/>
      <c r="Y54" s="2522"/>
      <c r="Z54" s="2522"/>
      <c r="AA54" s="2522"/>
      <c r="AB54" s="2522"/>
      <c r="AC54" s="2522"/>
      <c r="AD54" s="2522"/>
      <c r="AE54" s="2522"/>
      <c r="AF54" s="2522"/>
      <c r="AG54" s="2522"/>
      <c r="AH54" s="2522"/>
      <c r="AI54" s="2522"/>
      <c r="AJ54" s="2522"/>
      <c r="AK54" s="2522"/>
      <c r="AL54" s="185"/>
      <c r="AM54" s="164" t="s">
        <v>1876</v>
      </c>
      <c r="AN54" s="2832">
        <v>24</v>
      </c>
      <c r="AO54" s="2833">
        <v>0</v>
      </c>
      <c r="AP54" s="2833">
        <v>4</v>
      </c>
      <c r="AQ54" s="2833">
        <v>0</v>
      </c>
      <c r="AR54" s="2833">
        <v>0</v>
      </c>
      <c r="AS54" s="2833">
        <v>0</v>
      </c>
      <c r="AT54" s="2833">
        <v>0</v>
      </c>
      <c r="AU54" s="2834">
        <v>0</v>
      </c>
      <c r="AV54" s="2832">
        <v>22</v>
      </c>
      <c r="AW54" s="2833">
        <v>6</v>
      </c>
      <c r="AX54" s="2833">
        <v>1</v>
      </c>
      <c r="AY54" s="2833">
        <v>0</v>
      </c>
      <c r="AZ54" s="2834">
        <v>1</v>
      </c>
    </row>
    <row r="55" spans="1:52" s="98" customFormat="1" ht="15" customHeight="1">
      <c r="B55" s="161"/>
      <c r="C55" s="185"/>
      <c r="D55" s="162" t="s">
        <v>2614</v>
      </c>
      <c r="E55" s="162"/>
      <c r="F55" s="162"/>
      <c r="G55" s="162"/>
      <c r="H55" s="163"/>
      <c r="I55" s="2521"/>
      <c r="J55" s="2522"/>
      <c r="K55" s="2522"/>
      <c r="L55" s="2522"/>
      <c r="M55" s="2522"/>
      <c r="N55" s="2522"/>
      <c r="O55" s="2522"/>
      <c r="P55" s="2522"/>
      <c r="Q55" s="2522"/>
      <c r="R55" s="2522"/>
      <c r="S55" s="2522"/>
      <c r="T55" s="2522"/>
      <c r="U55" s="2522"/>
      <c r="V55" s="2522"/>
      <c r="W55" s="185"/>
      <c r="X55" s="2521"/>
      <c r="Y55" s="2522"/>
      <c r="Z55" s="2522"/>
      <c r="AA55" s="2522"/>
      <c r="AB55" s="2522"/>
      <c r="AC55" s="2522"/>
      <c r="AD55" s="2522"/>
      <c r="AE55" s="2522"/>
      <c r="AF55" s="2522"/>
      <c r="AG55" s="2522"/>
      <c r="AH55" s="2522"/>
      <c r="AI55" s="2522"/>
      <c r="AJ55" s="2522"/>
      <c r="AK55" s="2522"/>
      <c r="AL55" s="185"/>
      <c r="AM55" s="164" t="s">
        <v>1876</v>
      </c>
      <c r="AN55" s="2832">
        <v>140</v>
      </c>
      <c r="AO55" s="2833">
        <v>75</v>
      </c>
      <c r="AP55" s="2833">
        <v>197</v>
      </c>
      <c r="AQ55" s="2833">
        <v>40</v>
      </c>
      <c r="AR55" s="2833">
        <v>52</v>
      </c>
      <c r="AS55" s="2833">
        <v>31</v>
      </c>
      <c r="AT55" s="2833">
        <v>34</v>
      </c>
      <c r="AU55" s="2834">
        <v>72</v>
      </c>
      <c r="AV55" s="2832">
        <v>102</v>
      </c>
      <c r="AW55" s="2833">
        <v>123</v>
      </c>
      <c r="AX55" s="2833">
        <v>114</v>
      </c>
      <c r="AY55" s="2833">
        <v>90</v>
      </c>
      <c r="AZ55" s="2834">
        <v>47</v>
      </c>
    </row>
    <row r="56" spans="1:52" s="98" customFormat="1" ht="15" customHeight="1">
      <c r="B56" s="161"/>
      <c r="C56" s="185"/>
      <c r="D56" s="162" t="s">
        <v>2615</v>
      </c>
      <c r="E56" s="162"/>
      <c r="F56" s="162"/>
      <c r="G56" s="162"/>
      <c r="H56" s="163"/>
      <c r="I56" s="2521"/>
      <c r="J56" s="2522"/>
      <c r="K56" s="2522"/>
      <c r="L56" s="2522"/>
      <c r="M56" s="2522"/>
      <c r="N56" s="2522"/>
      <c r="O56" s="2522"/>
      <c r="P56" s="2522"/>
      <c r="Q56" s="2522"/>
      <c r="R56" s="2522"/>
      <c r="S56" s="2522"/>
      <c r="T56" s="2522"/>
      <c r="U56" s="2522"/>
      <c r="V56" s="2522"/>
      <c r="W56" s="185"/>
      <c r="X56" s="2521"/>
      <c r="Y56" s="2522"/>
      <c r="Z56" s="2522"/>
      <c r="AA56" s="2522"/>
      <c r="AB56" s="2522"/>
      <c r="AC56" s="2522"/>
      <c r="AD56" s="2522"/>
      <c r="AE56" s="2522"/>
      <c r="AF56" s="2522"/>
      <c r="AG56" s="2522"/>
      <c r="AH56" s="2522"/>
      <c r="AI56" s="2522"/>
      <c r="AJ56" s="2522"/>
      <c r="AK56" s="2522"/>
      <c r="AL56" s="185"/>
      <c r="AM56" s="164" t="s">
        <v>1876</v>
      </c>
      <c r="AN56" s="2832">
        <v>0</v>
      </c>
      <c r="AO56" s="2833">
        <v>0</v>
      </c>
      <c r="AP56" s="2833">
        <v>0</v>
      </c>
      <c r="AQ56" s="2833">
        <v>2</v>
      </c>
      <c r="AR56" s="2833">
        <v>0</v>
      </c>
      <c r="AS56" s="2833">
        <v>2</v>
      </c>
      <c r="AT56" s="2833">
        <v>4</v>
      </c>
      <c r="AU56" s="2834">
        <v>0</v>
      </c>
      <c r="AV56" s="2832">
        <v>0</v>
      </c>
      <c r="AW56" s="2833">
        <v>0</v>
      </c>
      <c r="AX56" s="2833">
        <v>0</v>
      </c>
      <c r="AY56" s="2833">
        <v>0</v>
      </c>
      <c r="AZ56" s="2834">
        <v>0</v>
      </c>
    </row>
    <row r="57" spans="1:52" s="98" customFormat="1" ht="15" customHeight="1">
      <c r="B57" s="161"/>
      <c r="C57" s="185"/>
      <c r="D57" s="162" t="s">
        <v>2616</v>
      </c>
      <c r="E57" s="162"/>
      <c r="F57" s="162"/>
      <c r="G57" s="162"/>
      <c r="H57" s="163"/>
      <c r="I57" s="2521"/>
      <c r="J57" s="2522"/>
      <c r="K57" s="2522"/>
      <c r="L57" s="2522"/>
      <c r="M57" s="2522"/>
      <c r="N57" s="2522"/>
      <c r="O57" s="2522"/>
      <c r="P57" s="2522"/>
      <c r="Q57" s="2522"/>
      <c r="R57" s="2522"/>
      <c r="S57" s="2522"/>
      <c r="T57" s="2522"/>
      <c r="U57" s="2522"/>
      <c r="V57" s="2522"/>
      <c r="W57" s="185"/>
      <c r="X57" s="2521"/>
      <c r="Y57" s="2522"/>
      <c r="Z57" s="2522"/>
      <c r="AA57" s="2522"/>
      <c r="AB57" s="2522"/>
      <c r="AC57" s="2522"/>
      <c r="AD57" s="2522"/>
      <c r="AE57" s="2522"/>
      <c r="AF57" s="2522"/>
      <c r="AG57" s="2522"/>
      <c r="AH57" s="2522"/>
      <c r="AI57" s="2522"/>
      <c r="AJ57" s="2522"/>
      <c r="AK57" s="2522"/>
      <c r="AL57" s="185"/>
      <c r="AM57" s="164" t="s">
        <v>1876</v>
      </c>
      <c r="AN57" s="2832">
        <v>0</v>
      </c>
      <c r="AO57" s="2833">
        <v>8</v>
      </c>
      <c r="AP57" s="2833">
        <v>13</v>
      </c>
      <c r="AQ57" s="2833">
        <v>9</v>
      </c>
      <c r="AR57" s="2833">
        <v>11</v>
      </c>
      <c r="AS57" s="2833">
        <v>8</v>
      </c>
      <c r="AT57" s="2833">
        <v>6</v>
      </c>
      <c r="AU57" s="2834">
        <v>8</v>
      </c>
      <c r="AV57" s="2832">
        <v>6</v>
      </c>
      <c r="AW57" s="2833">
        <v>6</v>
      </c>
      <c r="AX57" s="2833">
        <v>6</v>
      </c>
      <c r="AY57" s="2833">
        <v>6</v>
      </c>
      <c r="AZ57" s="2834">
        <v>6</v>
      </c>
    </row>
    <row r="58" spans="1:52" s="98" customFormat="1" ht="15" customHeight="1">
      <c r="B58" s="181" t="s">
        <v>1701</v>
      </c>
      <c r="C58" s="183"/>
      <c r="D58" s="245"/>
      <c r="E58" s="245"/>
      <c r="F58" s="245"/>
      <c r="G58" s="184"/>
      <c r="H58" s="184"/>
      <c r="I58" s="2521"/>
      <c r="J58" s="2523"/>
      <c r="K58" s="2523"/>
      <c r="L58" s="2523"/>
      <c r="M58" s="2523"/>
      <c r="N58" s="2523"/>
      <c r="O58" s="2523"/>
      <c r="P58" s="2523"/>
      <c r="Q58" s="2523"/>
      <c r="R58" s="2523"/>
      <c r="S58" s="2523"/>
      <c r="T58" s="2523"/>
      <c r="U58" s="2523"/>
      <c r="V58" s="2523"/>
      <c r="W58" s="185"/>
      <c r="X58" s="2521"/>
      <c r="Y58" s="2523"/>
      <c r="Z58" s="2523"/>
      <c r="AA58" s="2523"/>
      <c r="AB58" s="2523"/>
      <c r="AC58" s="2523"/>
      <c r="AD58" s="2523"/>
      <c r="AE58" s="2523"/>
      <c r="AF58" s="2523"/>
      <c r="AG58" s="2523"/>
      <c r="AH58" s="2523"/>
      <c r="AI58" s="2523"/>
      <c r="AJ58" s="2523"/>
      <c r="AK58" s="2523"/>
      <c r="AL58" s="185"/>
      <c r="AM58" s="164" t="s">
        <v>1876</v>
      </c>
      <c r="AN58" s="777">
        <f t="shared" ref="AN58:AZ58" si="41">SUM(AN53:AN57)</f>
        <v>164</v>
      </c>
      <c r="AO58" s="778">
        <f t="shared" si="41"/>
        <v>83</v>
      </c>
      <c r="AP58" s="778">
        <f t="shared" si="41"/>
        <v>214</v>
      </c>
      <c r="AQ58" s="778">
        <f t="shared" si="41"/>
        <v>51</v>
      </c>
      <c r="AR58" s="778">
        <f t="shared" si="41"/>
        <v>86</v>
      </c>
      <c r="AS58" s="778">
        <f t="shared" si="41"/>
        <v>41</v>
      </c>
      <c r="AT58" s="778">
        <f t="shared" si="41"/>
        <v>45</v>
      </c>
      <c r="AU58" s="779">
        <f t="shared" si="41"/>
        <v>83</v>
      </c>
      <c r="AV58" s="777">
        <f t="shared" si="41"/>
        <v>130</v>
      </c>
      <c r="AW58" s="778">
        <f t="shared" si="41"/>
        <v>155</v>
      </c>
      <c r="AX58" s="778">
        <f t="shared" si="41"/>
        <v>123</v>
      </c>
      <c r="AY58" s="778">
        <f t="shared" si="41"/>
        <v>96</v>
      </c>
      <c r="AZ58" s="779">
        <f t="shared" si="41"/>
        <v>54</v>
      </c>
    </row>
    <row r="59" spans="1:52" s="98" customFormat="1" ht="15" customHeight="1">
      <c r="B59" s="181"/>
      <c r="C59" s="180" t="s">
        <v>2620</v>
      </c>
      <c r="D59" s="245"/>
      <c r="E59" s="245"/>
      <c r="F59" s="245"/>
      <c r="G59" s="184"/>
      <c r="H59" s="184"/>
      <c r="I59" s="2521"/>
      <c r="J59" s="2523"/>
      <c r="K59" s="2523"/>
      <c r="L59" s="2523"/>
      <c r="M59" s="2523"/>
      <c r="N59" s="2523"/>
      <c r="O59" s="2523"/>
      <c r="P59" s="2523"/>
      <c r="Q59" s="2523"/>
      <c r="R59" s="2523"/>
      <c r="S59" s="2523"/>
      <c r="T59" s="2523"/>
      <c r="U59" s="2523"/>
      <c r="V59" s="2523"/>
      <c r="W59" s="185"/>
      <c r="X59" s="2521"/>
      <c r="Y59" s="2523"/>
      <c r="Z59" s="2523"/>
      <c r="AA59" s="2523"/>
      <c r="AB59" s="2523"/>
      <c r="AC59" s="2523"/>
      <c r="AD59" s="2523"/>
      <c r="AE59" s="2523"/>
      <c r="AF59" s="2523"/>
      <c r="AG59" s="2523"/>
      <c r="AH59" s="2523"/>
      <c r="AI59" s="2523"/>
      <c r="AJ59" s="2523"/>
      <c r="AK59" s="2523"/>
      <c r="AL59" s="185"/>
      <c r="AM59" s="96"/>
      <c r="AN59" s="1724"/>
      <c r="AO59" s="1452"/>
      <c r="AP59" s="1452"/>
      <c r="AQ59" s="1452"/>
      <c r="AR59" s="1452"/>
      <c r="AS59" s="1452"/>
      <c r="AT59" s="1452"/>
      <c r="AU59" s="1720"/>
      <c r="AV59" s="1724"/>
      <c r="AW59" s="1452"/>
      <c r="AX59" s="1452"/>
      <c r="AY59" s="1452"/>
      <c r="AZ59" s="1720"/>
    </row>
    <row r="60" spans="1:52" s="98" customFormat="1" ht="15" customHeight="1">
      <c r="B60" s="181"/>
      <c r="C60" s="183"/>
      <c r="D60" s="162" t="s">
        <v>2612</v>
      </c>
      <c r="E60" s="162"/>
      <c r="F60" s="162"/>
      <c r="G60" s="184"/>
      <c r="H60" s="184"/>
      <c r="I60" s="2521"/>
      <c r="J60" s="2523"/>
      <c r="K60" s="2523"/>
      <c r="L60" s="2523"/>
      <c r="M60" s="2523"/>
      <c r="N60" s="2523"/>
      <c r="O60" s="2523"/>
      <c r="P60" s="2523"/>
      <c r="Q60" s="2523"/>
      <c r="R60" s="2523"/>
      <c r="S60" s="2523"/>
      <c r="T60" s="2523"/>
      <c r="U60" s="2523"/>
      <c r="V60" s="2523"/>
      <c r="W60" s="185"/>
      <c r="X60" s="2521"/>
      <c r="Y60" s="2523"/>
      <c r="Z60" s="2523"/>
      <c r="AA60" s="2523"/>
      <c r="AB60" s="2523"/>
      <c r="AC60" s="2523"/>
      <c r="AD60" s="2523"/>
      <c r="AE60" s="2523"/>
      <c r="AF60" s="2523"/>
      <c r="AG60" s="2523"/>
      <c r="AH60" s="2523"/>
      <c r="AI60" s="2523"/>
      <c r="AJ60" s="2523"/>
      <c r="AK60" s="2523"/>
      <c r="AL60" s="185"/>
      <c r="AM60" s="164" t="s">
        <v>2144</v>
      </c>
      <c r="AN60" s="764">
        <v>3</v>
      </c>
      <c r="AO60" s="765">
        <v>4</v>
      </c>
      <c r="AP60" s="765">
        <v>4</v>
      </c>
      <c r="AQ60" s="765">
        <v>4</v>
      </c>
      <c r="AR60" s="765">
        <v>4</v>
      </c>
      <c r="AS60" s="765">
        <v>4</v>
      </c>
      <c r="AT60" s="765">
        <v>4</v>
      </c>
      <c r="AU60" s="766">
        <v>4</v>
      </c>
      <c r="AV60" s="764">
        <v>4</v>
      </c>
      <c r="AW60" s="765">
        <v>4</v>
      </c>
      <c r="AX60" s="765">
        <v>4</v>
      </c>
      <c r="AY60" s="765">
        <v>4</v>
      </c>
      <c r="AZ60" s="766">
        <v>4</v>
      </c>
    </row>
    <row r="61" spans="1:52" s="98" customFormat="1" ht="15" customHeight="1">
      <c r="B61" s="181"/>
      <c r="C61" s="183"/>
      <c r="D61" s="162" t="s">
        <v>2613</v>
      </c>
      <c r="E61" s="162"/>
      <c r="F61" s="162"/>
      <c r="G61" s="184"/>
      <c r="H61" s="184"/>
      <c r="I61" s="2521"/>
      <c r="J61" s="2523"/>
      <c r="K61" s="2523"/>
      <c r="L61" s="2523"/>
      <c r="M61" s="2523"/>
      <c r="N61" s="2523"/>
      <c r="O61" s="2523"/>
      <c r="P61" s="2523"/>
      <c r="Q61" s="2523"/>
      <c r="R61" s="2523"/>
      <c r="S61" s="2523"/>
      <c r="T61" s="2523"/>
      <c r="U61" s="2523"/>
      <c r="V61" s="2523"/>
      <c r="W61" s="185"/>
      <c r="X61" s="2521"/>
      <c r="Y61" s="2523"/>
      <c r="Z61" s="2523"/>
      <c r="AA61" s="2523"/>
      <c r="AB61" s="2523"/>
      <c r="AC61" s="2523"/>
      <c r="AD61" s="2523"/>
      <c r="AE61" s="2523"/>
      <c r="AF61" s="2523"/>
      <c r="AG61" s="2523"/>
      <c r="AH61" s="2523"/>
      <c r="AI61" s="2523"/>
      <c r="AJ61" s="2523"/>
      <c r="AK61" s="2523"/>
      <c r="AL61" s="185"/>
      <c r="AM61" s="164" t="s">
        <v>2144</v>
      </c>
      <c r="AN61" s="764">
        <v>5</v>
      </c>
      <c r="AO61" s="765">
        <v>6</v>
      </c>
      <c r="AP61" s="765">
        <v>6</v>
      </c>
      <c r="AQ61" s="765">
        <v>6</v>
      </c>
      <c r="AR61" s="765">
        <v>6</v>
      </c>
      <c r="AS61" s="765">
        <v>6</v>
      </c>
      <c r="AT61" s="765">
        <v>6</v>
      </c>
      <c r="AU61" s="766">
        <v>6</v>
      </c>
      <c r="AV61" s="764">
        <v>6</v>
      </c>
      <c r="AW61" s="765">
        <v>6</v>
      </c>
      <c r="AX61" s="765">
        <v>6</v>
      </c>
      <c r="AY61" s="765">
        <v>6</v>
      </c>
      <c r="AZ61" s="766">
        <v>6</v>
      </c>
    </row>
    <row r="62" spans="1:52" s="98" customFormat="1" ht="15" customHeight="1">
      <c r="B62" s="181"/>
      <c r="C62" s="183"/>
      <c r="D62" s="162" t="s">
        <v>2614</v>
      </c>
      <c r="E62" s="162"/>
      <c r="F62" s="162"/>
      <c r="G62" s="184"/>
      <c r="H62" s="184"/>
      <c r="I62" s="2521"/>
      <c r="J62" s="2523"/>
      <c r="K62" s="2523"/>
      <c r="L62" s="2523"/>
      <c r="M62" s="2523"/>
      <c r="N62" s="2523"/>
      <c r="O62" s="2523"/>
      <c r="P62" s="2523"/>
      <c r="Q62" s="2523"/>
      <c r="R62" s="2523"/>
      <c r="S62" s="2523"/>
      <c r="T62" s="2523"/>
      <c r="U62" s="2523"/>
      <c r="V62" s="2523"/>
      <c r="W62" s="185"/>
      <c r="X62" s="2521"/>
      <c r="Y62" s="2523"/>
      <c r="Z62" s="2523"/>
      <c r="AA62" s="2523"/>
      <c r="AB62" s="2523"/>
      <c r="AC62" s="2523"/>
      <c r="AD62" s="2523"/>
      <c r="AE62" s="2523"/>
      <c r="AF62" s="2523"/>
      <c r="AG62" s="2523"/>
      <c r="AH62" s="2523"/>
      <c r="AI62" s="2523"/>
      <c r="AJ62" s="2523"/>
      <c r="AK62" s="2523"/>
      <c r="AL62" s="185"/>
      <c r="AM62" s="164" t="s">
        <v>2144</v>
      </c>
      <c r="AN62" s="764">
        <v>6</v>
      </c>
      <c r="AO62" s="765">
        <v>6</v>
      </c>
      <c r="AP62" s="765">
        <v>6</v>
      </c>
      <c r="AQ62" s="765">
        <v>6</v>
      </c>
      <c r="AR62" s="765">
        <v>6</v>
      </c>
      <c r="AS62" s="765">
        <v>6</v>
      </c>
      <c r="AT62" s="765">
        <v>6</v>
      </c>
      <c r="AU62" s="766">
        <v>6</v>
      </c>
      <c r="AV62" s="764">
        <v>6</v>
      </c>
      <c r="AW62" s="765">
        <v>6</v>
      </c>
      <c r="AX62" s="765">
        <v>6</v>
      </c>
      <c r="AY62" s="765">
        <v>6</v>
      </c>
      <c r="AZ62" s="766">
        <v>6</v>
      </c>
    </row>
    <row r="63" spans="1:52" s="98" customFormat="1" ht="15" customHeight="1">
      <c r="B63" s="181"/>
      <c r="C63" s="183"/>
      <c r="D63" s="162" t="s">
        <v>2615</v>
      </c>
      <c r="E63" s="162"/>
      <c r="F63" s="162"/>
      <c r="G63" s="184"/>
      <c r="H63" s="184"/>
      <c r="I63" s="2521"/>
      <c r="J63" s="2523"/>
      <c r="K63" s="2523"/>
      <c r="L63" s="2523"/>
      <c r="M63" s="2523"/>
      <c r="N63" s="2523"/>
      <c r="O63" s="2523"/>
      <c r="P63" s="2523"/>
      <c r="Q63" s="2523"/>
      <c r="R63" s="2523"/>
      <c r="S63" s="2523"/>
      <c r="T63" s="2523"/>
      <c r="U63" s="2523"/>
      <c r="V63" s="2523"/>
      <c r="W63" s="185"/>
      <c r="X63" s="2521"/>
      <c r="Y63" s="2523"/>
      <c r="Z63" s="2523"/>
      <c r="AA63" s="2523"/>
      <c r="AB63" s="2523"/>
      <c r="AC63" s="2523"/>
      <c r="AD63" s="2523"/>
      <c r="AE63" s="2523"/>
      <c r="AF63" s="2523"/>
      <c r="AG63" s="2523"/>
      <c r="AH63" s="2523"/>
      <c r="AI63" s="2523"/>
      <c r="AJ63" s="2523"/>
      <c r="AK63" s="2523"/>
      <c r="AL63" s="185"/>
      <c r="AM63" s="164" t="s">
        <v>2144</v>
      </c>
      <c r="AN63" s="764">
        <v>8</v>
      </c>
      <c r="AO63" s="765">
        <v>8</v>
      </c>
      <c r="AP63" s="765">
        <v>8</v>
      </c>
      <c r="AQ63" s="765">
        <v>8</v>
      </c>
      <c r="AR63" s="765">
        <v>8</v>
      </c>
      <c r="AS63" s="765">
        <v>8</v>
      </c>
      <c r="AT63" s="765">
        <v>8</v>
      </c>
      <c r="AU63" s="766">
        <v>8</v>
      </c>
      <c r="AV63" s="764">
        <v>8</v>
      </c>
      <c r="AW63" s="765">
        <v>8</v>
      </c>
      <c r="AX63" s="765">
        <v>8</v>
      </c>
      <c r="AY63" s="765">
        <v>8</v>
      </c>
      <c r="AZ63" s="766">
        <v>8</v>
      </c>
    </row>
    <row r="64" spans="1:52" s="98" customFormat="1" ht="15" customHeight="1">
      <c r="B64" s="181"/>
      <c r="C64" s="183"/>
      <c r="D64" s="162" t="s">
        <v>2616</v>
      </c>
      <c r="E64" s="162"/>
      <c r="F64" s="162"/>
      <c r="G64" s="184"/>
      <c r="H64" s="184"/>
      <c r="I64" s="2521"/>
      <c r="J64" s="2523"/>
      <c r="K64" s="2523"/>
      <c r="L64" s="2523"/>
      <c r="M64" s="2523"/>
      <c r="N64" s="2523"/>
      <c r="O64" s="2523"/>
      <c r="P64" s="2523"/>
      <c r="Q64" s="2523"/>
      <c r="R64" s="2523"/>
      <c r="S64" s="2523"/>
      <c r="T64" s="2523"/>
      <c r="U64" s="2523"/>
      <c r="V64" s="2523"/>
      <c r="W64" s="185"/>
      <c r="X64" s="2521"/>
      <c r="Y64" s="2523"/>
      <c r="Z64" s="2523"/>
      <c r="AA64" s="2523"/>
      <c r="AB64" s="2523"/>
      <c r="AC64" s="2523"/>
      <c r="AD64" s="2523"/>
      <c r="AE64" s="2523"/>
      <c r="AF64" s="2523"/>
      <c r="AG64" s="2523"/>
      <c r="AH64" s="2523"/>
      <c r="AI64" s="2523"/>
      <c r="AJ64" s="2523"/>
      <c r="AK64" s="2523"/>
      <c r="AL64" s="185"/>
      <c r="AM64" s="655" t="s">
        <v>2144</v>
      </c>
      <c r="AN64" s="1721">
        <v>7</v>
      </c>
      <c r="AO64" s="1722">
        <v>7</v>
      </c>
      <c r="AP64" s="1722">
        <v>7</v>
      </c>
      <c r="AQ64" s="1722">
        <v>7</v>
      </c>
      <c r="AR64" s="1722">
        <v>7</v>
      </c>
      <c r="AS64" s="1722">
        <v>7</v>
      </c>
      <c r="AT64" s="1722">
        <v>7</v>
      </c>
      <c r="AU64" s="1723">
        <v>7</v>
      </c>
      <c r="AV64" s="1721">
        <v>7</v>
      </c>
      <c r="AW64" s="1722">
        <v>7</v>
      </c>
      <c r="AX64" s="1722">
        <v>7</v>
      </c>
      <c r="AY64" s="1722">
        <v>7</v>
      </c>
      <c r="AZ64" s="1723">
        <v>7</v>
      </c>
    </row>
    <row r="65" spans="1:52" s="98" customFormat="1" ht="15" customHeight="1" thickBot="1">
      <c r="B65" s="239" t="s">
        <v>1701</v>
      </c>
      <c r="C65" s="512"/>
      <c r="D65" s="246"/>
      <c r="E65" s="246"/>
      <c r="F65" s="246"/>
      <c r="G65" s="241"/>
      <c r="H65" s="241"/>
      <c r="I65" s="2525"/>
      <c r="J65" s="2526"/>
      <c r="K65" s="2526"/>
      <c r="L65" s="2526"/>
      <c r="M65" s="2526"/>
      <c r="N65" s="2526"/>
      <c r="O65" s="2526"/>
      <c r="P65" s="2526"/>
      <c r="Q65" s="2526"/>
      <c r="R65" s="2526"/>
      <c r="S65" s="2526"/>
      <c r="T65" s="2526"/>
      <c r="U65" s="2526"/>
      <c r="V65" s="2526"/>
      <c r="W65" s="192"/>
      <c r="X65" s="2525"/>
      <c r="Y65" s="2526"/>
      <c r="Z65" s="2526"/>
      <c r="AA65" s="2526"/>
      <c r="AB65" s="2526"/>
      <c r="AC65" s="2526"/>
      <c r="AD65" s="2526"/>
      <c r="AE65" s="2526"/>
      <c r="AF65" s="2526"/>
      <c r="AG65" s="2526"/>
      <c r="AH65" s="2526"/>
      <c r="AI65" s="2526"/>
      <c r="AJ65" s="2526"/>
      <c r="AK65" s="2526"/>
      <c r="AL65" s="192"/>
      <c r="AM65" s="195" t="s">
        <v>2144</v>
      </c>
      <c r="AN65" s="892">
        <f t="shared" ref="AN65:AZ65" si="42">SUM(AN60:AN64)</f>
        <v>29</v>
      </c>
      <c r="AO65" s="893">
        <f t="shared" si="42"/>
        <v>31</v>
      </c>
      <c r="AP65" s="893">
        <f t="shared" si="42"/>
        <v>31</v>
      </c>
      <c r="AQ65" s="893">
        <f t="shared" si="42"/>
        <v>31</v>
      </c>
      <c r="AR65" s="893">
        <f t="shared" si="42"/>
        <v>31</v>
      </c>
      <c r="AS65" s="893">
        <f t="shared" si="42"/>
        <v>31</v>
      </c>
      <c r="AT65" s="893">
        <f t="shared" si="42"/>
        <v>31</v>
      </c>
      <c r="AU65" s="890">
        <f t="shared" si="42"/>
        <v>31</v>
      </c>
      <c r="AV65" s="892">
        <f t="shared" si="42"/>
        <v>31</v>
      </c>
      <c r="AW65" s="893">
        <f t="shared" si="42"/>
        <v>31</v>
      </c>
      <c r="AX65" s="893">
        <f t="shared" si="42"/>
        <v>31</v>
      </c>
      <c r="AY65" s="893">
        <f t="shared" si="42"/>
        <v>31</v>
      </c>
      <c r="AZ65" s="890">
        <f t="shared" si="42"/>
        <v>31</v>
      </c>
    </row>
    <row r="66" spans="1:52" s="99" customFormat="1" ht="15" customHeight="1" thickBot="1">
      <c r="B66" s="150"/>
      <c r="C66" s="150"/>
      <c r="D66" s="150"/>
      <c r="E66" s="150"/>
      <c r="F66" s="150"/>
      <c r="G66" s="97"/>
      <c r="H66" s="97"/>
      <c r="I66" s="98"/>
      <c r="J66" s="98"/>
      <c r="K66" s="98"/>
      <c r="L66" s="98"/>
      <c r="M66" s="98"/>
      <c r="N66" s="98"/>
      <c r="O66" s="98"/>
      <c r="P66" s="98"/>
      <c r="Q66" s="98"/>
      <c r="R66" s="98"/>
      <c r="S66" s="98"/>
      <c r="T66" s="98"/>
      <c r="U66" s="98"/>
      <c r="V66" s="98"/>
    </row>
    <row r="67" spans="1:52" s="100" customFormat="1" ht="30" customHeight="1" thickBot="1">
      <c r="A67" s="89"/>
      <c r="B67" s="621" t="s">
        <v>2621</v>
      </c>
      <c r="C67" s="788"/>
      <c r="D67" s="102"/>
      <c r="E67" s="102"/>
      <c r="F67" s="102"/>
      <c r="G67" s="103"/>
      <c r="H67" s="1719"/>
      <c r="I67" s="2517"/>
      <c r="J67" s="2517"/>
      <c r="K67" s="2517"/>
      <c r="L67" s="2517"/>
      <c r="M67" s="2517"/>
      <c r="N67" s="2517"/>
      <c r="O67" s="2517"/>
      <c r="P67" s="2517"/>
      <c r="Q67" s="2517"/>
      <c r="R67" s="2517"/>
      <c r="S67" s="2517"/>
      <c r="T67" s="2517"/>
      <c r="U67" s="2517"/>
      <c r="V67" s="2517"/>
      <c r="W67" s="1719"/>
      <c r="X67" s="2517"/>
      <c r="Y67" s="2517"/>
      <c r="Z67" s="2517"/>
      <c r="AA67" s="2517"/>
      <c r="AB67" s="2517"/>
      <c r="AC67" s="2517"/>
      <c r="AD67" s="2517"/>
      <c r="AE67" s="2517"/>
      <c r="AF67" s="2517"/>
      <c r="AG67" s="2517"/>
      <c r="AH67" s="2517"/>
      <c r="AI67" s="2517"/>
      <c r="AJ67" s="2517"/>
      <c r="AK67" s="2517"/>
      <c r="AL67" s="103"/>
      <c r="AM67" s="105" t="s">
        <v>2231</v>
      </c>
      <c r="AN67" s="106"/>
      <c r="AO67" s="106"/>
      <c r="AP67" s="106"/>
      <c r="AQ67" s="106"/>
      <c r="AR67" s="106"/>
      <c r="AS67" s="106"/>
      <c r="AT67" s="106"/>
      <c r="AU67" s="106"/>
      <c r="AV67" s="105"/>
      <c r="AW67" s="105"/>
      <c r="AX67" s="105"/>
      <c r="AY67" s="105"/>
      <c r="AZ67" s="187"/>
    </row>
    <row r="68" spans="1:52" s="157" customFormat="1" ht="30" customHeight="1">
      <c r="A68" s="99"/>
      <c r="B68" s="109"/>
      <c r="C68" s="110"/>
      <c r="D68" s="110"/>
      <c r="E68" s="110"/>
      <c r="F68" s="110"/>
      <c r="G68" s="111"/>
      <c r="H68" s="1725"/>
      <c r="I68" s="2451"/>
      <c r="J68" s="2518"/>
      <c r="K68" s="2519"/>
      <c r="L68" s="2519"/>
      <c r="M68" s="2519"/>
      <c r="N68" s="2519"/>
      <c r="O68" s="2519"/>
      <c r="P68" s="2519"/>
      <c r="Q68" s="2519"/>
      <c r="R68" s="2518"/>
      <c r="S68" s="2519"/>
      <c r="T68" s="2519"/>
      <c r="U68" s="2519"/>
      <c r="V68" s="2519"/>
      <c r="W68" s="222"/>
      <c r="X68" s="2451"/>
      <c r="Y68" s="2518"/>
      <c r="Z68" s="2519"/>
      <c r="AA68" s="2519"/>
      <c r="AB68" s="2519"/>
      <c r="AC68" s="2519"/>
      <c r="AD68" s="2519"/>
      <c r="AE68" s="2519"/>
      <c r="AF68" s="2519"/>
      <c r="AG68" s="2518"/>
      <c r="AH68" s="2519"/>
      <c r="AI68" s="2519"/>
      <c r="AJ68" s="2519"/>
      <c r="AK68" s="2519"/>
      <c r="AL68" s="222"/>
      <c r="AM68" s="117"/>
      <c r="AN68" s="695" t="s">
        <v>1666</v>
      </c>
      <c r="AO68" s="152"/>
      <c r="AP68" s="152"/>
      <c r="AQ68" s="152"/>
      <c r="AR68" s="152"/>
      <c r="AS68" s="152"/>
      <c r="AT68" s="152"/>
      <c r="AU68" s="153"/>
      <c r="AV68" s="696" t="s">
        <v>2</v>
      </c>
      <c r="AW68" s="155"/>
      <c r="AX68" s="155"/>
      <c r="AY68" s="155"/>
      <c r="AZ68" s="156"/>
    </row>
    <row r="69" spans="1:52" s="98" customFormat="1" ht="15" customHeight="1">
      <c r="A69" s="99"/>
      <c r="B69" s="115"/>
      <c r="C69" s="116"/>
      <c r="D69" s="116"/>
      <c r="E69" s="116"/>
      <c r="F69" s="116"/>
      <c r="G69" s="117"/>
      <c r="H69" s="1449"/>
      <c r="I69" s="2520"/>
      <c r="J69" s="2520"/>
      <c r="K69" s="2520"/>
      <c r="L69" s="2520"/>
      <c r="M69" s="2520"/>
      <c r="N69" s="2520"/>
      <c r="O69" s="2520"/>
      <c r="P69" s="2520"/>
      <c r="Q69" s="2520"/>
      <c r="R69" s="2520"/>
      <c r="S69" s="2520"/>
      <c r="T69" s="2520"/>
      <c r="U69" s="2520"/>
      <c r="V69" s="2520"/>
      <c r="W69" s="185"/>
      <c r="X69" s="2520"/>
      <c r="Y69" s="2520"/>
      <c r="Z69" s="2520"/>
      <c r="AA69" s="2520"/>
      <c r="AB69" s="2520"/>
      <c r="AC69" s="2520"/>
      <c r="AD69" s="2520"/>
      <c r="AE69" s="2520"/>
      <c r="AF69" s="2520"/>
      <c r="AG69" s="2520"/>
      <c r="AH69" s="2520"/>
      <c r="AI69" s="2520"/>
      <c r="AJ69" s="2520"/>
      <c r="AK69" s="2520"/>
      <c r="AL69" s="185"/>
      <c r="AM69" s="119" t="s">
        <v>1667</v>
      </c>
      <c r="AN69" s="158" t="s">
        <v>453</v>
      </c>
      <c r="AO69" s="137" t="s">
        <v>455</v>
      </c>
      <c r="AP69" s="137" t="s">
        <v>457</v>
      </c>
      <c r="AQ69" s="137" t="s">
        <v>459</v>
      </c>
      <c r="AR69" s="137" t="s">
        <v>461</v>
      </c>
      <c r="AS69" s="137" t="s">
        <v>463</v>
      </c>
      <c r="AT69" s="137" t="s">
        <v>465</v>
      </c>
      <c r="AU69" s="138" t="s">
        <v>467</v>
      </c>
      <c r="AV69" s="120" t="s">
        <v>469</v>
      </c>
      <c r="AW69" s="121" t="s">
        <v>471</v>
      </c>
      <c r="AX69" s="121" t="s">
        <v>473</v>
      </c>
      <c r="AY69" s="121" t="s">
        <v>475</v>
      </c>
      <c r="AZ69" s="122" t="s">
        <v>477</v>
      </c>
    </row>
    <row r="70" spans="1:52" s="98" customFormat="1" ht="15" customHeight="1">
      <c r="B70" s="161"/>
      <c r="C70" s="180" t="s">
        <v>2622</v>
      </c>
      <c r="D70" s="162"/>
      <c r="E70" s="162"/>
      <c r="F70" s="162"/>
      <c r="G70" s="163"/>
      <c r="H70" s="168"/>
      <c r="I70" s="2451"/>
      <c r="J70" s="2451"/>
      <c r="K70" s="2451"/>
      <c r="L70" s="2451"/>
      <c r="M70" s="2451"/>
      <c r="N70" s="2451"/>
      <c r="O70" s="2451"/>
      <c r="P70" s="2451"/>
      <c r="Q70" s="2451"/>
      <c r="R70" s="2451"/>
      <c r="S70" s="2451"/>
      <c r="T70" s="2451"/>
      <c r="U70" s="2451"/>
      <c r="V70" s="2451"/>
      <c r="W70" s="185"/>
      <c r="X70" s="2451"/>
      <c r="Y70" s="2451"/>
      <c r="Z70" s="2451"/>
      <c r="AA70" s="2451"/>
      <c r="AB70" s="2451"/>
      <c r="AC70" s="2451"/>
      <c r="AD70" s="2451"/>
      <c r="AE70" s="2451"/>
      <c r="AF70" s="2451"/>
      <c r="AG70" s="2451"/>
      <c r="AH70" s="2451"/>
      <c r="AI70" s="2451"/>
      <c r="AJ70" s="2451"/>
      <c r="AK70" s="2451"/>
      <c r="AL70" s="185"/>
      <c r="AM70" s="117"/>
      <c r="AN70" s="159"/>
      <c r="AO70" s="117"/>
      <c r="AP70" s="117"/>
      <c r="AQ70" s="117"/>
      <c r="AR70" s="117"/>
      <c r="AS70" s="117"/>
      <c r="AT70" s="117"/>
      <c r="AU70" s="160"/>
      <c r="AV70" s="159"/>
      <c r="AW70" s="117"/>
      <c r="AX70" s="117"/>
      <c r="AY70" s="117"/>
      <c r="AZ70" s="160"/>
    </row>
    <row r="71" spans="1:52" s="98" customFormat="1" ht="15" customHeight="1">
      <c r="B71" s="161"/>
      <c r="C71" s="185"/>
      <c r="D71" s="162" t="s">
        <v>2612</v>
      </c>
      <c r="E71" s="162"/>
      <c r="F71" s="162"/>
      <c r="G71" s="162"/>
      <c r="H71" s="168"/>
      <c r="I71" s="2521"/>
      <c r="J71" s="2527"/>
      <c r="K71" s="2527"/>
      <c r="L71" s="2527"/>
      <c r="M71" s="2527"/>
      <c r="N71" s="2527"/>
      <c r="O71" s="2527"/>
      <c r="P71" s="2527"/>
      <c r="Q71" s="2527"/>
      <c r="R71" s="2527"/>
      <c r="S71" s="2527"/>
      <c r="T71" s="2527"/>
      <c r="U71" s="2527"/>
      <c r="V71" s="2527"/>
      <c r="W71" s="185"/>
      <c r="X71" s="2521"/>
      <c r="Y71" s="2527"/>
      <c r="Z71" s="2527"/>
      <c r="AA71" s="2527"/>
      <c r="AB71" s="2527"/>
      <c r="AC71" s="2527"/>
      <c r="AD71" s="2527"/>
      <c r="AE71" s="2527"/>
      <c r="AF71" s="2527"/>
      <c r="AG71" s="2527"/>
      <c r="AH71" s="2527"/>
      <c r="AI71" s="2527"/>
      <c r="AJ71" s="2527"/>
      <c r="AK71" s="2527"/>
      <c r="AL71" s="185"/>
      <c r="AM71" s="164" t="s">
        <v>627</v>
      </c>
      <c r="AN71" s="1728">
        <v>1</v>
      </c>
      <c r="AO71" s="1729">
        <v>1</v>
      </c>
      <c r="AP71" s="1729">
        <v>1</v>
      </c>
      <c r="AQ71" s="1729">
        <v>1</v>
      </c>
      <c r="AR71" s="1729">
        <v>1</v>
      </c>
      <c r="AS71" s="1729">
        <v>1</v>
      </c>
      <c r="AT71" s="1729">
        <v>1</v>
      </c>
      <c r="AU71" s="1730">
        <v>1</v>
      </c>
      <c r="AV71" s="1728">
        <v>0</v>
      </c>
      <c r="AW71" s="1729">
        <v>0</v>
      </c>
      <c r="AX71" s="1729">
        <v>0</v>
      </c>
      <c r="AY71" s="1729">
        <v>0</v>
      </c>
      <c r="AZ71" s="1730">
        <v>0</v>
      </c>
    </row>
    <row r="72" spans="1:52" s="98" customFormat="1" ht="15" customHeight="1">
      <c r="B72" s="161"/>
      <c r="C72" s="185"/>
      <c r="D72" s="162" t="s">
        <v>2613</v>
      </c>
      <c r="E72" s="162"/>
      <c r="F72" s="162"/>
      <c r="G72" s="162"/>
      <c r="H72" s="168"/>
      <c r="I72" s="2521"/>
      <c r="J72" s="2527"/>
      <c r="K72" s="2527"/>
      <c r="L72" s="2527"/>
      <c r="M72" s="2527"/>
      <c r="N72" s="2527"/>
      <c r="O72" s="2527"/>
      <c r="P72" s="2527"/>
      <c r="Q72" s="2527"/>
      <c r="R72" s="2527"/>
      <c r="S72" s="2527"/>
      <c r="T72" s="2527"/>
      <c r="U72" s="2527"/>
      <c r="V72" s="2527"/>
      <c r="W72" s="185"/>
      <c r="X72" s="2521"/>
      <c r="Y72" s="2527"/>
      <c r="Z72" s="2527"/>
      <c r="AA72" s="2527"/>
      <c r="AB72" s="2527"/>
      <c r="AC72" s="2527"/>
      <c r="AD72" s="2527"/>
      <c r="AE72" s="2527"/>
      <c r="AF72" s="2527"/>
      <c r="AG72" s="2527"/>
      <c r="AH72" s="2527"/>
      <c r="AI72" s="2527"/>
      <c r="AJ72" s="2527"/>
      <c r="AK72" s="2527"/>
      <c r="AL72" s="185"/>
      <c r="AM72" s="164" t="s">
        <v>627</v>
      </c>
      <c r="AN72" s="1728">
        <v>1</v>
      </c>
      <c r="AO72" s="1729">
        <v>1</v>
      </c>
      <c r="AP72" s="1729">
        <v>1</v>
      </c>
      <c r="AQ72" s="1729">
        <v>1</v>
      </c>
      <c r="AR72" s="1729">
        <v>1</v>
      </c>
      <c r="AS72" s="1729">
        <v>1</v>
      </c>
      <c r="AT72" s="1729">
        <v>1</v>
      </c>
      <c r="AU72" s="1730">
        <v>1</v>
      </c>
      <c r="AV72" s="1728">
        <v>0</v>
      </c>
      <c r="AW72" s="1729">
        <v>0</v>
      </c>
      <c r="AX72" s="1729">
        <v>0</v>
      </c>
      <c r="AY72" s="1729">
        <v>0</v>
      </c>
      <c r="AZ72" s="1730">
        <v>0</v>
      </c>
    </row>
    <row r="73" spans="1:52" s="98" customFormat="1" ht="15" customHeight="1">
      <c r="B73" s="161"/>
      <c r="C73" s="185"/>
      <c r="D73" s="162" t="s">
        <v>2614</v>
      </c>
      <c r="E73" s="162"/>
      <c r="F73" s="162"/>
      <c r="G73" s="162"/>
      <c r="H73" s="168"/>
      <c r="I73" s="2521"/>
      <c r="J73" s="2527"/>
      <c r="K73" s="2527"/>
      <c r="L73" s="2527"/>
      <c r="M73" s="2527"/>
      <c r="N73" s="2527"/>
      <c r="O73" s="2527"/>
      <c r="P73" s="2527"/>
      <c r="Q73" s="2527"/>
      <c r="R73" s="2527"/>
      <c r="S73" s="2527"/>
      <c r="T73" s="2527"/>
      <c r="U73" s="2527"/>
      <c r="V73" s="2527"/>
      <c r="W73" s="185"/>
      <c r="X73" s="2521"/>
      <c r="Y73" s="2527"/>
      <c r="Z73" s="2527"/>
      <c r="AA73" s="2527"/>
      <c r="AB73" s="2527"/>
      <c r="AC73" s="2527"/>
      <c r="AD73" s="2527"/>
      <c r="AE73" s="2527"/>
      <c r="AF73" s="2527"/>
      <c r="AG73" s="2527"/>
      <c r="AH73" s="2527"/>
      <c r="AI73" s="2527"/>
      <c r="AJ73" s="2527"/>
      <c r="AK73" s="2527"/>
      <c r="AL73" s="185"/>
      <c r="AM73" s="164" t="s">
        <v>627</v>
      </c>
      <c r="AN73" s="1728">
        <v>1</v>
      </c>
      <c r="AO73" s="1729">
        <v>1</v>
      </c>
      <c r="AP73" s="1729">
        <v>1</v>
      </c>
      <c r="AQ73" s="1729">
        <v>1</v>
      </c>
      <c r="AR73" s="1729">
        <v>1</v>
      </c>
      <c r="AS73" s="1729">
        <v>1</v>
      </c>
      <c r="AT73" s="1729">
        <v>1</v>
      </c>
      <c r="AU73" s="1730">
        <v>1</v>
      </c>
      <c r="AV73" s="1728">
        <v>0</v>
      </c>
      <c r="AW73" s="1729">
        <v>0</v>
      </c>
      <c r="AX73" s="1729">
        <v>0</v>
      </c>
      <c r="AY73" s="1729">
        <v>0</v>
      </c>
      <c r="AZ73" s="1730">
        <v>0</v>
      </c>
    </row>
    <row r="74" spans="1:52" s="98" customFormat="1" ht="15" customHeight="1">
      <c r="B74" s="161"/>
      <c r="C74" s="185"/>
      <c r="D74" s="162" t="s">
        <v>2615</v>
      </c>
      <c r="E74" s="162"/>
      <c r="F74" s="162"/>
      <c r="G74" s="162"/>
      <c r="H74" s="168"/>
      <c r="I74" s="2521"/>
      <c r="J74" s="2527"/>
      <c r="K74" s="2527"/>
      <c r="L74" s="2527"/>
      <c r="M74" s="2527"/>
      <c r="N74" s="2527"/>
      <c r="O74" s="2527"/>
      <c r="P74" s="2527"/>
      <c r="Q74" s="2527"/>
      <c r="R74" s="2527"/>
      <c r="S74" s="2527"/>
      <c r="T74" s="2527"/>
      <c r="U74" s="2527"/>
      <c r="V74" s="2527"/>
      <c r="W74" s="185"/>
      <c r="X74" s="2521"/>
      <c r="Y74" s="2527"/>
      <c r="Z74" s="2527"/>
      <c r="AA74" s="2527"/>
      <c r="AB74" s="2527"/>
      <c r="AC74" s="2527"/>
      <c r="AD74" s="2527"/>
      <c r="AE74" s="2527"/>
      <c r="AF74" s="2527"/>
      <c r="AG74" s="2527"/>
      <c r="AH74" s="2527"/>
      <c r="AI74" s="2527"/>
      <c r="AJ74" s="2527"/>
      <c r="AK74" s="2527"/>
      <c r="AL74" s="185"/>
      <c r="AM74" s="164" t="s">
        <v>627</v>
      </c>
      <c r="AN74" s="1728">
        <v>1</v>
      </c>
      <c r="AO74" s="1729">
        <v>1</v>
      </c>
      <c r="AP74" s="1729">
        <v>1</v>
      </c>
      <c r="AQ74" s="1729">
        <v>1</v>
      </c>
      <c r="AR74" s="1729">
        <v>1</v>
      </c>
      <c r="AS74" s="1729">
        <v>1</v>
      </c>
      <c r="AT74" s="1729">
        <v>0.5</v>
      </c>
      <c r="AU74" s="1730">
        <v>0.5</v>
      </c>
      <c r="AV74" s="1728">
        <v>0</v>
      </c>
      <c r="AW74" s="1729">
        <v>0</v>
      </c>
      <c r="AX74" s="1729">
        <v>0</v>
      </c>
      <c r="AY74" s="1729">
        <v>0</v>
      </c>
      <c r="AZ74" s="1730">
        <v>0</v>
      </c>
    </row>
    <row r="75" spans="1:52" s="98" customFormat="1" ht="15" customHeight="1">
      <c r="B75" s="161"/>
      <c r="C75" s="185"/>
      <c r="D75" s="162" t="s">
        <v>2616</v>
      </c>
      <c r="E75" s="162"/>
      <c r="F75" s="162"/>
      <c r="G75" s="162"/>
      <c r="H75" s="168"/>
      <c r="I75" s="2521"/>
      <c r="J75" s="2528"/>
      <c r="K75" s="2527"/>
      <c r="L75" s="2527"/>
      <c r="M75" s="2527"/>
      <c r="N75" s="2527"/>
      <c r="O75" s="2527"/>
      <c r="P75" s="2527"/>
      <c r="Q75" s="2527"/>
      <c r="R75" s="2527"/>
      <c r="S75" s="2527"/>
      <c r="T75" s="2527"/>
      <c r="U75" s="2527"/>
      <c r="V75" s="2527"/>
      <c r="W75" s="185"/>
      <c r="X75" s="2521"/>
      <c r="Y75" s="2527"/>
      <c r="Z75" s="2527"/>
      <c r="AA75" s="2527"/>
      <c r="AB75" s="2527"/>
      <c r="AC75" s="2527"/>
      <c r="AD75" s="2527"/>
      <c r="AE75" s="2527"/>
      <c r="AF75" s="2527"/>
      <c r="AG75" s="2527"/>
      <c r="AH75" s="2527"/>
      <c r="AI75" s="2527"/>
      <c r="AJ75" s="2527"/>
      <c r="AK75" s="2527"/>
      <c r="AL75" s="185"/>
      <c r="AM75" s="164" t="s">
        <v>627</v>
      </c>
      <c r="AN75" s="1728">
        <v>1</v>
      </c>
      <c r="AO75" s="1729">
        <v>1</v>
      </c>
      <c r="AP75" s="1729">
        <v>1</v>
      </c>
      <c r="AQ75" s="1729">
        <v>1</v>
      </c>
      <c r="AR75" s="1729">
        <v>1</v>
      </c>
      <c r="AS75" s="1729">
        <v>1</v>
      </c>
      <c r="AT75" s="1729">
        <v>1</v>
      </c>
      <c r="AU75" s="1730">
        <v>1</v>
      </c>
      <c r="AV75" s="1728">
        <v>0</v>
      </c>
      <c r="AW75" s="1729">
        <v>0</v>
      </c>
      <c r="AX75" s="1729">
        <v>0</v>
      </c>
      <c r="AY75" s="1729">
        <v>0</v>
      </c>
      <c r="AZ75" s="1730">
        <v>0</v>
      </c>
    </row>
    <row r="76" spans="1:52" s="98" customFormat="1" ht="15" customHeight="1">
      <c r="B76" s="181"/>
      <c r="C76" s="180" t="s">
        <v>2623</v>
      </c>
      <c r="D76" s="245"/>
      <c r="E76" s="245"/>
      <c r="F76" s="245"/>
      <c r="G76" s="184"/>
      <c r="H76" s="1726"/>
      <c r="I76" s="2521"/>
      <c r="J76" s="2523"/>
      <c r="K76" s="2523"/>
      <c r="L76" s="2523"/>
      <c r="M76" s="2523"/>
      <c r="N76" s="2523"/>
      <c r="O76" s="2523"/>
      <c r="P76" s="2523"/>
      <c r="Q76" s="2523"/>
      <c r="R76" s="2523"/>
      <c r="S76" s="2523"/>
      <c r="T76" s="2523"/>
      <c r="U76" s="2523"/>
      <c r="V76" s="2523"/>
      <c r="W76" s="185"/>
      <c r="X76" s="2521"/>
      <c r="Y76" s="2523"/>
      <c r="Z76" s="2523"/>
      <c r="AA76" s="2523"/>
      <c r="AB76" s="2523"/>
      <c r="AC76" s="2523"/>
      <c r="AD76" s="2523"/>
      <c r="AE76" s="2523"/>
      <c r="AF76" s="2523"/>
      <c r="AG76" s="2523"/>
      <c r="AH76" s="2523"/>
      <c r="AI76" s="2523"/>
      <c r="AJ76" s="2523"/>
      <c r="AK76" s="2523"/>
      <c r="AL76" s="185"/>
      <c r="AM76" s="96"/>
      <c r="AN76" s="1724"/>
      <c r="AO76" s="1452"/>
      <c r="AP76" s="1452"/>
      <c r="AQ76" s="1452"/>
      <c r="AR76" s="1452"/>
      <c r="AS76" s="1452"/>
      <c r="AT76" s="1452"/>
      <c r="AU76" s="1720"/>
      <c r="AV76" s="1724"/>
      <c r="AW76" s="1452"/>
      <c r="AX76" s="1452"/>
      <c r="AY76" s="1452"/>
      <c r="AZ76" s="1720"/>
    </row>
    <row r="77" spans="1:52" s="98" customFormat="1" ht="15" customHeight="1">
      <c r="B77" s="181"/>
      <c r="C77" s="183"/>
      <c r="D77" s="162" t="s">
        <v>2612</v>
      </c>
      <c r="E77" s="162"/>
      <c r="F77" s="162"/>
      <c r="G77" s="184"/>
      <c r="H77" s="1726"/>
      <c r="I77" s="2521"/>
      <c r="J77" s="2523"/>
      <c r="K77" s="2523"/>
      <c r="L77" s="2523"/>
      <c r="M77" s="2523"/>
      <c r="N77" s="2523"/>
      <c r="O77" s="2523"/>
      <c r="P77" s="2523"/>
      <c r="Q77" s="2523"/>
      <c r="R77" s="2523"/>
      <c r="S77" s="2523"/>
      <c r="T77" s="2523"/>
      <c r="U77" s="2523"/>
      <c r="V77" s="2523"/>
      <c r="W77" s="185"/>
      <c r="X77" s="2521"/>
      <c r="Y77" s="2523"/>
      <c r="Z77" s="2523"/>
      <c r="AA77" s="2523"/>
      <c r="AB77" s="2523"/>
      <c r="AC77" s="2523"/>
      <c r="AD77" s="2523"/>
      <c r="AE77" s="2523"/>
      <c r="AF77" s="2523"/>
      <c r="AG77" s="2523"/>
      <c r="AH77" s="2523"/>
      <c r="AI77" s="2523"/>
      <c r="AJ77" s="2523"/>
      <c r="AK77" s="2523"/>
      <c r="AL77" s="185"/>
      <c r="AM77" s="164" t="s">
        <v>627</v>
      </c>
      <c r="AN77" s="1731">
        <f>1-AN71</f>
        <v>0</v>
      </c>
      <c r="AO77" s="1732">
        <f t="shared" ref="AO77:AZ77" si="43">1-AO71</f>
        <v>0</v>
      </c>
      <c r="AP77" s="1732">
        <f t="shared" si="43"/>
        <v>0</v>
      </c>
      <c r="AQ77" s="1732">
        <f t="shared" si="43"/>
        <v>0</v>
      </c>
      <c r="AR77" s="1732">
        <f t="shared" si="43"/>
        <v>0</v>
      </c>
      <c r="AS77" s="1732">
        <f t="shared" si="43"/>
        <v>0</v>
      </c>
      <c r="AT77" s="1732">
        <f t="shared" si="43"/>
        <v>0</v>
      </c>
      <c r="AU77" s="1733">
        <f t="shared" si="43"/>
        <v>0</v>
      </c>
      <c r="AV77" s="1731">
        <f t="shared" si="43"/>
        <v>1</v>
      </c>
      <c r="AW77" s="1732">
        <f t="shared" si="43"/>
        <v>1</v>
      </c>
      <c r="AX77" s="1732">
        <f t="shared" si="43"/>
        <v>1</v>
      </c>
      <c r="AY77" s="1732">
        <f t="shared" si="43"/>
        <v>1</v>
      </c>
      <c r="AZ77" s="1733">
        <f t="shared" si="43"/>
        <v>1</v>
      </c>
    </row>
    <row r="78" spans="1:52" s="98" customFormat="1" ht="15" customHeight="1">
      <c r="B78" s="181"/>
      <c r="C78" s="183"/>
      <c r="D78" s="162" t="s">
        <v>2613</v>
      </c>
      <c r="E78" s="162"/>
      <c r="F78" s="162"/>
      <c r="G78" s="184"/>
      <c r="H78" s="1726"/>
      <c r="I78" s="2521"/>
      <c r="J78" s="2523"/>
      <c r="K78" s="2523"/>
      <c r="L78" s="2523"/>
      <c r="M78" s="2523"/>
      <c r="N78" s="2523"/>
      <c r="O78" s="2523"/>
      <c r="P78" s="2523"/>
      <c r="Q78" s="2523"/>
      <c r="R78" s="2523"/>
      <c r="S78" s="2523"/>
      <c r="T78" s="2523"/>
      <c r="U78" s="2523"/>
      <c r="V78" s="2523"/>
      <c r="W78" s="185"/>
      <c r="X78" s="2521"/>
      <c r="Y78" s="2523"/>
      <c r="Z78" s="2523"/>
      <c r="AA78" s="2523"/>
      <c r="AB78" s="2523"/>
      <c r="AC78" s="2523"/>
      <c r="AD78" s="2523"/>
      <c r="AE78" s="2523"/>
      <c r="AF78" s="2523"/>
      <c r="AG78" s="2523"/>
      <c r="AH78" s="2523"/>
      <c r="AI78" s="2523"/>
      <c r="AJ78" s="2523"/>
      <c r="AK78" s="2523"/>
      <c r="AL78" s="185"/>
      <c r="AM78" s="164" t="s">
        <v>627</v>
      </c>
      <c r="AN78" s="1731">
        <f t="shared" ref="AN78:AZ78" si="44">1-AN72</f>
        <v>0</v>
      </c>
      <c r="AO78" s="1732">
        <f t="shared" si="44"/>
        <v>0</v>
      </c>
      <c r="AP78" s="1732">
        <f t="shared" si="44"/>
        <v>0</v>
      </c>
      <c r="AQ78" s="1732">
        <f t="shared" si="44"/>
        <v>0</v>
      </c>
      <c r="AR78" s="1732">
        <f t="shared" si="44"/>
        <v>0</v>
      </c>
      <c r="AS78" s="1732">
        <f t="shared" si="44"/>
        <v>0</v>
      </c>
      <c r="AT78" s="1732">
        <f t="shared" si="44"/>
        <v>0</v>
      </c>
      <c r="AU78" s="1733">
        <f t="shared" si="44"/>
        <v>0</v>
      </c>
      <c r="AV78" s="1731">
        <f t="shared" si="44"/>
        <v>1</v>
      </c>
      <c r="AW78" s="1732">
        <f t="shared" si="44"/>
        <v>1</v>
      </c>
      <c r="AX78" s="1732">
        <f t="shared" si="44"/>
        <v>1</v>
      </c>
      <c r="AY78" s="1732">
        <f t="shared" si="44"/>
        <v>1</v>
      </c>
      <c r="AZ78" s="1733">
        <f t="shared" si="44"/>
        <v>1</v>
      </c>
    </row>
    <row r="79" spans="1:52" s="98" customFormat="1" ht="15" customHeight="1">
      <c r="B79" s="181"/>
      <c r="C79" s="183"/>
      <c r="D79" s="162" t="s">
        <v>2614</v>
      </c>
      <c r="E79" s="162"/>
      <c r="F79" s="162"/>
      <c r="G79" s="184"/>
      <c r="H79" s="1726"/>
      <c r="I79" s="2521"/>
      <c r="J79" s="2523"/>
      <c r="K79" s="2523"/>
      <c r="L79" s="2523"/>
      <c r="M79" s="2523"/>
      <c r="N79" s="2523"/>
      <c r="O79" s="2523"/>
      <c r="P79" s="2523"/>
      <c r="Q79" s="2523"/>
      <c r="R79" s="2523"/>
      <c r="S79" s="2523"/>
      <c r="T79" s="2523"/>
      <c r="U79" s="2523"/>
      <c r="V79" s="2523"/>
      <c r="W79" s="185"/>
      <c r="X79" s="2521"/>
      <c r="Y79" s="2523"/>
      <c r="Z79" s="2523"/>
      <c r="AA79" s="2523"/>
      <c r="AB79" s="2523"/>
      <c r="AC79" s="2523"/>
      <c r="AD79" s="2523"/>
      <c r="AE79" s="2523"/>
      <c r="AF79" s="2523"/>
      <c r="AG79" s="2523"/>
      <c r="AH79" s="2523"/>
      <c r="AI79" s="2523"/>
      <c r="AJ79" s="2523"/>
      <c r="AK79" s="2523"/>
      <c r="AL79" s="185"/>
      <c r="AM79" s="164" t="s">
        <v>627</v>
      </c>
      <c r="AN79" s="1731">
        <f t="shared" ref="AN79:AZ79" si="45">1-AN73</f>
        <v>0</v>
      </c>
      <c r="AO79" s="1732">
        <f t="shared" si="45"/>
        <v>0</v>
      </c>
      <c r="AP79" s="1732">
        <f t="shared" si="45"/>
        <v>0</v>
      </c>
      <c r="AQ79" s="1732">
        <f t="shared" si="45"/>
        <v>0</v>
      </c>
      <c r="AR79" s="1732">
        <f t="shared" si="45"/>
        <v>0</v>
      </c>
      <c r="AS79" s="1732">
        <f t="shared" si="45"/>
        <v>0</v>
      </c>
      <c r="AT79" s="1732">
        <f t="shared" si="45"/>
        <v>0</v>
      </c>
      <c r="AU79" s="1733">
        <f t="shared" si="45"/>
        <v>0</v>
      </c>
      <c r="AV79" s="1731">
        <f t="shared" si="45"/>
        <v>1</v>
      </c>
      <c r="AW79" s="1732">
        <f t="shared" si="45"/>
        <v>1</v>
      </c>
      <c r="AX79" s="1732">
        <f t="shared" si="45"/>
        <v>1</v>
      </c>
      <c r="AY79" s="1732">
        <f t="shared" si="45"/>
        <v>1</v>
      </c>
      <c r="AZ79" s="1733">
        <f t="shared" si="45"/>
        <v>1</v>
      </c>
    </row>
    <row r="80" spans="1:52" s="98" customFormat="1" ht="15" customHeight="1">
      <c r="B80" s="181"/>
      <c r="C80" s="183"/>
      <c r="D80" s="162" t="s">
        <v>2615</v>
      </c>
      <c r="E80" s="162"/>
      <c r="F80" s="162"/>
      <c r="G80" s="184"/>
      <c r="H80" s="1726"/>
      <c r="I80" s="2521"/>
      <c r="J80" s="2523"/>
      <c r="K80" s="2523"/>
      <c r="L80" s="2523"/>
      <c r="M80" s="2523"/>
      <c r="N80" s="2523"/>
      <c r="O80" s="2523"/>
      <c r="P80" s="2523"/>
      <c r="Q80" s="2523"/>
      <c r="R80" s="2523"/>
      <c r="S80" s="2523"/>
      <c r="T80" s="2523"/>
      <c r="U80" s="2523"/>
      <c r="V80" s="2523"/>
      <c r="W80" s="185"/>
      <c r="X80" s="2521"/>
      <c r="Y80" s="2523"/>
      <c r="Z80" s="2523"/>
      <c r="AA80" s="2523"/>
      <c r="AB80" s="2523"/>
      <c r="AC80" s="2523"/>
      <c r="AD80" s="2523"/>
      <c r="AE80" s="2523"/>
      <c r="AF80" s="2523"/>
      <c r="AG80" s="2523"/>
      <c r="AH80" s="2523"/>
      <c r="AI80" s="2523"/>
      <c r="AJ80" s="2523"/>
      <c r="AK80" s="2523"/>
      <c r="AL80" s="185"/>
      <c r="AM80" s="164" t="s">
        <v>627</v>
      </c>
      <c r="AN80" s="1731">
        <f t="shared" ref="AN80:AZ80" si="46">1-AN74</f>
        <v>0</v>
      </c>
      <c r="AO80" s="1732">
        <f t="shared" si="46"/>
        <v>0</v>
      </c>
      <c r="AP80" s="1732">
        <f t="shared" si="46"/>
        <v>0</v>
      </c>
      <c r="AQ80" s="1732">
        <f t="shared" si="46"/>
        <v>0</v>
      </c>
      <c r="AR80" s="1732">
        <f t="shared" si="46"/>
        <v>0</v>
      </c>
      <c r="AS80" s="1732">
        <f t="shared" si="46"/>
        <v>0</v>
      </c>
      <c r="AT80" s="1732">
        <f t="shared" si="46"/>
        <v>0.5</v>
      </c>
      <c r="AU80" s="1733">
        <f t="shared" si="46"/>
        <v>0.5</v>
      </c>
      <c r="AV80" s="1731">
        <f t="shared" si="46"/>
        <v>1</v>
      </c>
      <c r="AW80" s="1732">
        <f t="shared" si="46"/>
        <v>1</v>
      </c>
      <c r="AX80" s="1732">
        <f t="shared" si="46"/>
        <v>1</v>
      </c>
      <c r="AY80" s="1732">
        <f t="shared" si="46"/>
        <v>1</v>
      </c>
      <c r="AZ80" s="1733">
        <f t="shared" si="46"/>
        <v>1</v>
      </c>
    </row>
    <row r="81" spans="1:52" s="98" customFormat="1" ht="15" customHeight="1" thickBot="1">
      <c r="B81" s="239"/>
      <c r="C81" s="512"/>
      <c r="D81" s="193" t="s">
        <v>2616</v>
      </c>
      <c r="E81" s="193"/>
      <c r="F81" s="193"/>
      <c r="G81" s="241"/>
      <c r="H81" s="1727"/>
      <c r="I81" s="2525"/>
      <c r="J81" s="2526"/>
      <c r="K81" s="2526"/>
      <c r="L81" s="2526"/>
      <c r="M81" s="2526"/>
      <c r="N81" s="2526"/>
      <c r="O81" s="2526"/>
      <c r="P81" s="2526"/>
      <c r="Q81" s="2526"/>
      <c r="R81" s="2526"/>
      <c r="S81" s="2526"/>
      <c r="T81" s="2526"/>
      <c r="U81" s="2526"/>
      <c r="V81" s="2526"/>
      <c r="W81" s="192"/>
      <c r="X81" s="2525"/>
      <c r="Y81" s="2526"/>
      <c r="Z81" s="2526"/>
      <c r="AA81" s="2526"/>
      <c r="AB81" s="2526"/>
      <c r="AC81" s="2526"/>
      <c r="AD81" s="2526"/>
      <c r="AE81" s="2526"/>
      <c r="AF81" s="2526"/>
      <c r="AG81" s="2526"/>
      <c r="AH81" s="2526"/>
      <c r="AI81" s="2526"/>
      <c r="AJ81" s="2526"/>
      <c r="AK81" s="2526"/>
      <c r="AL81" s="192"/>
      <c r="AM81" s="195" t="s">
        <v>627</v>
      </c>
      <c r="AN81" s="1734">
        <f t="shared" ref="AN81:AZ81" si="47">1-AN75</f>
        <v>0</v>
      </c>
      <c r="AO81" s="1735">
        <f t="shared" si="47"/>
        <v>0</v>
      </c>
      <c r="AP81" s="1735">
        <f t="shared" si="47"/>
        <v>0</v>
      </c>
      <c r="AQ81" s="1735">
        <f t="shared" si="47"/>
        <v>0</v>
      </c>
      <c r="AR81" s="1735">
        <f t="shared" si="47"/>
        <v>0</v>
      </c>
      <c r="AS81" s="1735">
        <f t="shared" si="47"/>
        <v>0</v>
      </c>
      <c r="AT81" s="1735">
        <f t="shared" si="47"/>
        <v>0</v>
      </c>
      <c r="AU81" s="1736">
        <f t="shared" si="47"/>
        <v>0</v>
      </c>
      <c r="AV81" s="1734">
        <f t="shared" si="47"/>
        <v>1</v>
      </c>
      <c r="AW81" s="1735">
        <f t="shared" si="47"/>
        <v>1</v>
      </c>
      <c r="AX81" s="1735">
        <f t="shared" si="47"/>
        <v>1</v>
      </c>
      <c r="AY81" s="1735">
        <f t="shared" si="47"/>
        <v>1</v>
      </c>
      <c r="AZ81" s="1736">
        <f t="shared" si="47"/>
        <v>1</v>
      </c>
    </row>
    <row r="82" spans="1:52" s="99" customFormat="1" ht="15" customHeight="1" thickBot="1">
      <c r="B82" s="150"/>
      <c r="C82" s="150"/>
      <c r="D82" s="150"/>
      <c r="E82" s="150"/>
      <c r="F82" s="150"/>
      <c r="G82" s="97"/>
      <c r="H82" s="97"/>
      <c r="I82" s="98"/>
      <c r="J82" s="98"/>
      <c r="K82" s="98"/>
      <c r="L82" s="98"/>
      <c r="M82" s="98"/>
      <c r="N82" s="98"/>
      <c r="O82" s="98"/>
      <c r="P82" s="98"/>
      <c r="Q82" s="98"/>
      <c r="R82" s="98"/>
      <c r="S82" s="98"/>
      <c r="T82" s="98"/>
      <c r="U82" s="98"/>
      <c r="V82" s="98"/>
    </row>
    <row r="83" spans="1:52" s="100" customFormat="1" ht="30" customHeight="1" thickBot="1">
      <c r="A83" s="89"/>
      <c r="B83" s="621" t="s">
        <v>2624</v>
      </c>
      <c r="C83" s="788"/>
      <c r="D83" s="102"/>
      <c r="E83" s="102"/>
      <c r="F83" s="102"/>
      <c r="G83" s="103"/>
      <c r="H83" s="103"/>
      <c r="I83" s="2529"/>
      <c r="J83" s="2529"/>
      <c r="K83" s="2529"/>
      <c r="L83" s="2529"/>
      <c r="M83" s="2529"/>
      <c r="N83" s="2529"/>
      <c r="O83" s="2529"/>
      <c r="P83" s="2529"/>
      <c r="Q83" s="2529"/>
      <c r="R83" s="2529"/>
      <c r="S83" s="2529"/>
      <c r="T83" s="2529"/>
      <c r="U83" s="2529"/>
      <c r="V83" s="2529"/>
      <c r="W83" s="1365"/>
      <c r="X83" s="2531"/>
      <c r="Y83" s="2531"/>
      <c r="Z83" s="2531"/>
      <c r="AA83" s="2531"/>
      <c r="AB83" s="2531"/>
      <c r="AC83" s="2531"/>
      <c r="AD83" s="2531"/>
      <c r="AE83" s="2531"/>
      <c r="AF83" s="2531"/>
      <c r="AG83" s="2531"/>
      <c r="AH83" s="2531"/>
      <c r="AI83" s="2531"/>
      <c r="AJ83" s="2531"/>
      <c r="AK83" s="2531"/>
      <c r="AL83" s="103"/>
      <c r="AM83" s="105" t="s">
        <v>2231</v>
      </c>
      <c r="AN83" s="106"/>
      <c r="AO83" s="106"/>
      <c r="AP83" s="106"/>
      <c r="AQ83" s="106"/>
      <c r="AR83" s="106"/>
      <c r="AS83" s="106"/>
      <c r="AT83" s="106"/>
      <c r="AU83" s="106"/>
      <c r="AV83" s="105"/>
      <c r="AW83" s="105"/>
      <c r="AX83" s="105"/>
      <c r="AY83" s="105"/>
      <c r="AZ83" s="187"/>
    </row>
    <row r="84" spans="1:52" s="157" customFormat="1" ht="30" customHeight="1">
      <c r="A84" s="99"/>
      <c r="B84" s="109"/>
      <c r="C84" s="110"/>
      <c r="D84" s="110"/>
      <c r="E84" s="110"/>
      <c r="F84" s="110"/>
      <c r="G84" s="111"/>
      <c r="H84" s="111"/>
      <c r="I84" s="2530"/>
      <c r="J84" s="2453"/>
      <c r="K84" s="2453"/>
      <c r="L84" s="2453"/>
      <c r="M84" s="2453"/>
      <c r="N84" s="2453"/>
      <c r="O84" s="2453"/>
      <c r="P84" s="2453"/>
      <c r="Q84" s="2453"/>
      <c r="R84" s="2453"/>
      <c r="S84" s="2453"/>
      <c r="T84" s="2453"/>
      <c r="U84" s="2453"/>
      <c r="V84" s="2453"/>
      <c r="W84" s="660"/>
      <c r="X84" s="2453"/>
      <c r="Y84" s="2530"/>
      <c r="Z84" s="2453"/>
      <c r="AA84" s="2453"/>
      <c r="AB84" s="2453"/>
      <c r="AC84" s="2453"/>
      <c r="AD84" s="2453"/>
      <c r="AE84" s="2453"/>
      <c r="AF84" s="2453"/>
      <c r="AG84" s="2453"/>
      <c r="AH84" s="2453"/>
      <c r="AI84" s="2453"/>
      <c r="AJ84" s="2453"/>
      <c r="AK84" s="2453"/>
      <c r="AL84" s="222"/>
      <c r="AM84" s="117"/>
      <c r="AN84" s="695" t="s">
        <v>1666</v>
      </c>
      <c r="AO84" s="152"/>
      <c r="AP84" s="152"/>
      <c r="AQ84" s="152"/>
      <c r="AR84" s="152"/>
      <c r="AS84" s="152"/>
      <c r="AT84" s="152"/>
      <c r="AU84" s="153"/>
      <c r="AV84" s="696" t="s">
        <v>2</v>
      </c>
      <c r="AW84" s="155"/>
      <c r="AX84" s="155"/>
      <c r="AY84" s="155"/>
      <c r="AZ84" s="156"/>
    </row>
    <row r="85" spans="1:52" s="98" customFormat="1" ht="15" customHeight="1">
      <c r="A85" s="99"/>
      <c r="B85" s="115"/>
      <c r="C85" s="116"/>
      <c r="D85" s="116"/>
      <c r="E85" s="116"/>
      <c r="F85" s="116"/>
      <c r="G85" s="117"/>
      <c r="H85" s="117"/>
      <c r="I85" s="2530"/>
      <c r="J85" s="2453"/>
      <c r="K85" s="2453"/>
      <c r="L85" s="2453"/>
      <c r="M85" s="2453"/>
      <c r="N85" s="2453"/>
      <c r="O85" s="2453"/>
      <c r="P85" s="2453"/>
      <c r="Q85" s="2453"/>
      <c r="R85" s="2453"/>
      <c r="S85" s="2453"/>
      <c r="T85" s="2453"/>
      <c r="U85" s="2453"/>
      <c r="V85" s="2453"/>
      <c r="W85" s="660"/>
      <c r="X85" s="2453"/>
      <c r="Y85" s="2530"/>
      <c r="Z85" s="2453"/>
      <c r="AA85" s="2453"/>
      <c r="AB85" s="2453"/>
      <c r="AC85" s="2453"/>
      <c r="AD85" s="2453"/>
      <c r="AE85" s="2453"/>
      <c r="AF85" s="2453"/>
      <c r="AG85" s="2453"/>
      <c r="AH85" s="2453"/>
      <c r="AI85" s="2453"/>
      <c r="AJ85" s="2453"/>
      <c r="AK85" s="2453"/>
      <c r="AL85" s="185"/>
      <c r="AM85" s="119" t="s">
        <v>1667</v>
      </c>
      <c r="AN85" s="158" t="s">
        <v>453</v>
      </c>
      <c r="AO85" s="137" t="s">
        <v>455</v>
      </c>
      <c r="AP85" s="137" t="s">
        <v>457</v>
      </c>
      <c r="AQ85" s="137" t="s">
        <v>459</v>
      </c>
      <c r="AR85" s="137" t="s">
        <v>461</v>
      </c>
      <c r="AS85" s="137" t="s">
        <v>463</v>
      </c>
      <c r="AT85" s="137" t="s">
        <v>465</v>
      </c>
      <c r="AU85" s="138" t="s">
        <v>467</v>
      </c>
      <c r="AV85" s="120" t="s">
        <v>469</v>
      </c>
      <c r="AW85" s="121" t="s">
        <v>471</v>
      </c>
      <c r="AX85" s="121" t="s">
        <v>473</v>
      </c>
      <c r="AY85" s="121" t="s">
        <v>475</v>
      </c>
      <c r="AZ85" s="122" t="s">
        <v>477</v>
      </c>
    </row>
    <row r="86" spans="1:52" s="98" customFormat="1" ht="15" customHeight="1">
      <c r="B86" s="161"/>
      <c r="C86" s="180" t="s">
        <v>2625</v>
      </c>
      <c r="D86" s="162"/>
      <c r="E86" s="162"/>
      <c r="F86" s="162"/>
      <c r="G86" s="163"/>
      <c r="H86" s="163"/>
      <c r="I86" s="2530"/>
      <c r="J86" s="2453"/>
      <c r="K86" s="2453"/>
      <c r="L86" s="2453"/>
      <c r="M86" s="2453"/>
      <c r="N86" s="2453"/>
      <c r="O86" s="2453"/>
      <c r="P86" s="2453"/>
      <c r="Q86" s="2453"/>
      <c r="R86" s="2453"/>
      <c r="S86" s="2453"/>
      <c r="T86" s="2453"/>
      <c r="U86" s="2453"/>
      <c r="V86" s="2453"/>
      <c r="W86" s="660"/>
      <c r="X86" s="2453"/>
      <c r="Y86" s="2530"/>
      <c r="Z86" s="2453"/>
      <c r="AA86" s="2453"/>
      <c r="AB86" s="2453"/>
      <c r="AC86" s="2453"/>
      <c r="AD86" s="2453"/>
      <c r="AE86" s="2453"/>
      <c r="AF86" s="2453"/>
      <c r="AG86" s="2453"/>
      <c r="AH86" s="2453"/>
      <c r="AI86" s="2453"/>
      <c r="AJ86" s="2453"/>
      <c r="AK86" s="2453"/>
      <c r="AL86" s="185"/>
      <c r="AM86" s="117"/>
      <c r="AN86" s="159"/>
      <c r="AO86" s="117"/>
      <c r="AP86" s="117"/>
      <c r="AQ86" s="117"/>
      <c r="AR86" s="117"/>
      <c r="AS86" s="117"/>
      <c r="AT86" s="117"/>
      <c r="AU86" s="160"/>
      <c r="AV86" s="159"/>
      <c r="AW86" s="117"/>
      <c r="AX86" s="117"/>
      <c r="AY86" s="117"/>
      <c r="AZ86" s="160"/>
    </row>
    <row r="87" spans="1:52" s="98" customFormat="1" ht="15" customHeight="1">
      <c r="B87" s="161"/>
      <c r="C87" s="185"/>
      <c r="D87" s="162" t="s">
        <v>2612</v>
      </c>
      <c r="E87" s="162"/>
      <c r="F87" s="162"/>
      <c r="G87" s="162"/>
      <c r="H87" s="163"/>
      <c r="I87" s="2530"/>
      <c r="J87" s="2453"/>
      <c r="K87" s="2453"/>
      <c r="L87" s="2453"/>
      <c r="M87" s="2453"/>
      <c r="N87" s="2453"/>
      <c r="O87" s="2453"/>
      <c r="P87" s="2453"/>
      <c r="Q87" s="2453"/>
      <c r="R87" s="2453"/>
      <c r="S87" s="2453"/>
      <c r="T87" s="2453"/>
      <c r="U87" s="2453"/>
      <c r="V87" s="2453"/>
      <c r="W87" s="660"/>
      <c r="X87" s="2453"/>
      <c r="Y87" s="2530"/>
      <c r="Z87" s="2453"/>
      <c r="AA87" s="2453"/>
      <c r="AB87" s="2453"/>
      <c r="AC87" s="2453"/>
      <c r="AD87" s="2453"/>
      <c r="AE87" s="2453"/>
      <c r="AF87" s="2453"/>
      <c r="AG87" s="2453"/>
      <c r="AH87" s="2453"/>
      <c r="AI87" s="2453"/>
      <c r="AJ87" s="2453"/>
      <c r="AK87" s="2453"/>
      <c r="AL87" s="185"/>
      <c r="AM87" s="164" t="s">
        <v>2626</v>
      </c>
      <c r="AN87" s="165">
        <v>0</v>
      </c>
      <c r="AO87" s="166">
        <v>0</v>
      </c>
      <c r="AP87" s="166">
        <v>0</v>
      </c>
      <c r="AQ87" s="166">
        <v>0</v>
      </c>
      <c r="AR87" s="166">
        <v>345</v>
      </c>
      <c r="AS87" s="166">
        <v>345</v>
      </c>
      <c r="AT87" s="166">
        <v>360</v>
      </c>
      <c r="AU87" s="167">
        <v>360</v>
      </c>
      <c r="AV87" s="165">
        <v>360</v>
      </c>
      <c r="AW87" s="166">
        <v>360</v>
      </c>
      <c r="AX87" s="166">
        <v>360</v>
      </c>
      <c r="AY87" s="166">
        <v>360</v>
      </c>
      <c r="AZ87" s="167">
        <v>360</v>
      </c>
    </row>
    <row r="88" spans="1:52" s="98" customFormat="1" ht="15" customHeight="1">
      <c r="B88" s="161"/>
      <c r="C88" s="185"/>
      <c r="D88" s="162" t="s">
        <v>2613</v>
      </c>
      <c r="E88" s="162"/>
      <c r="F88" s="162"/>
      <c r="G88" s="162"/>
      <c r="H88" s="163"/>
      <c r="I88" s="2530"/>
      <c r="J88" s="2453"/>
      <c r="K88" s="2453"/>
      <c r="L88" s="2453"/>
      <c r="M88" s="2453"/>
      <c r="N88" s="2453"/>
      <c r="O88" s="2453"/>
      <c r="P88" s="2453"/>
      <c r="Q88" s="2453"/>
      <c r="R88" s="2453"/>
      <c r="S88" s="2453"/>
      <c r="T88" s="2453"/>
      <c r="U88" s="2453"/>
      <c r="V88" s="2453"/>
      <c r="W88" s="660"/>
      <c r="X88" s="2453"/>
      <c r="Y88" s="2530"/>
      <c r="Z88" s="2453"/>
      <c r="AA88" s="2453"/>
      <c r="AB88" s="2453"/>
      <c r="AC88" s="2453"/>
      <c r="AD88" s="2453"/>
      <c r="AE88" s="2453"/>
      <c r="AF88" s="2453"/>
      <c r="AG88" s="2453"/>
      <c r="AH88" s="2453"/>
      <c r="AI88" s="2453"/>
      <c r="AJ88" s="2453"/>
      <c r="AK88" s="2453"/>
      <c r="AL88" s="185"/>
      <c r="AM88" s="164" t="s">
        <v>2626</v>
      </c>
      <c r="AN88" s="165">
        <v>525</v>
      </c>
      <c r="AO88" s="166">
        <v>525</v>
      </c>
      <c r="AP88" s="166">
        <v>585</v>
      </c>
      <c r="AQ88" s="166">
        <v>570</v>
      </c>
      <c r="AR88" s="166">
        <v>540</v>
      </c>
      <c r="AS88" s="166">
        <v>480</v>
      </c>
      <c r="AT88" s="166">
        <v>435</v>
      </c>
      <c r="AU88" s="167">
        <v>435</v>
      </c>
      <c r="AV88" s="165">
        <v>435</v>
      </c>
      <c r="AW88" s="166">
        <v>435</v>
      </c>
      <c r="AX88" s="166">
        <v>435</v>
      </c>
      <c r="AY88" s="166">
        <v>435</v>
      </c>
      <c r="AZ88" s="167">
        <v>435</v>
      </c>
    </row>
    <row r="89" spans="1:52" s="98" customFormat="1" ht="15" customHeight="1">
      <c r="B89" s="161"/>
      <c r="C89" s="185"/>
      <c r="D89" s="162" t="s">
        <v>2614</v>
      </c>
      <c r="E89" s="162"/>
      <c r="F89" s="162"/>
      <c r="G89" s="162"/>
      <c r="H89" s="163"/>
      <c r="I89" s="2530"/>
      <c r="J89" s="2453"/>
      <c r="K89" s="2453"/>
      <c r="L89" s="2453"/>
      <c r="M89" s="2453"/>
      <c r="N89" s="2453"/>
      <c r="O89" s="2453"/>
      <c r="P89" s="2453"/>
      <c r="Q89" s="2453"/>
      <c r="R89" s="2453"/>
      <c r="S89" s="2453"/>
      <c r="T89" s="2453"/>
      <c r="U89" s="2453"/>
      <c r="V89" s="2453"/>
      <c r="W89" s="660"/>
      <c r="X89" s="2453"/>
      <c r="Y89" s="2530"/>
      <c r="Z89" s="2453"/>
      <c r="AA89" s="2453"/>
      <c r="AB89" s="2453"/>
      <c r="AC89" s="2453"/>
      <c r="AD89" s="2453"/>
      <c r="AE89" s="2453"/>
      <c r="AF89" s="2453"/>
      <c r="AG89" s="2453"/>
      <c r="AH89" s="2453"/>
      <c r="AI89" s="2453"/>
      <c r="AJ89" s="2453"/>
      <c r="AK89" s="2453"/>
      <c r="AL89" s="185"/>
      <c r="AM89" s="164" t="s">
        <v>2626</v>
      </c>
      <c r="AN89" s="165">
        <v>8715</v>
      </c>
      <c r="AO89" s="166">
        <v>8655</v>
      </c>
      <c r="AP89" s="166">
        <v>8130</v>
      </c>
      <c r="AQ89" s="166">
        <v>8370</v>
      </c>
      <c r="AR89" s="166">
        <v>8340</v>
      </c>
      <c r="AS89" s="166">
        <v>8205</v>
      </c>
      <c r="AT89" s="166">
        <v>8160</v>
      </c>
      <c r="AU89" s="167">
        <v>8160</v>
      </c>
      <c r="AV89" s="165">
        <v>8160</v>
      </c>
      <c r="AW89" s="166">
        <v>8025</v>
      </c>
      <c r="AX89" s="166">
        <v>7965</v>
      </c>
      <c r="AY89" s="166">
        <v>7905</v>
      </c>
      <c r="AZ89" s="167">
        <v>7860</v>
      </c>
    </row>
    <row r="90" spans="1:52" s="98" customFormat="1" ht="15" customHeight="1">
      <c r="B90" s="161"/>
      <c r="C90" s="185"/>
      <c r="D90" s="162" t="s">
        <v>2615</v>
      </c>
      <c r="E90" s="162"/>
      <c r="F90" s="162"/>
      <c r="G90" s="162"/>
      <c r="H90" s="163"/>
      <c r="I90" s="2530"/>
      <c r="J90" s="2453"/>
      <c r="K90" s="2453"/>
      <c r="L90" s="2453"/>
      <c r="M90" s="2453"/>
      <c r="N90" s="2453"/>
      <c r="O90" s="2453"/>
      <c r="P90" s="2453"/>
      <c r="Q90" s="2453"/>
      <c r="R90" s="2453"/>
      <c r="S90" s="2453"/>
      <c r="T90" s="2453"/>
      <c r="U90" s="2453"/>
      <c r="V90" s="2453"/>
      <c r="W90" s="660"/>
      <c r="X90" s="2453"/>
      <c r="Y90" s="2530"/>
      <c r="Z90" s="2453"/>
      <c r="AA90" s="2453"/>
      <c r="AB90" s="2453"/>
      <c r="AC90" s="2453"/>
      <c r="AD90" s="2453"/>
      <c r="AE90" s="2453"/>
      <c r="AF90" s="2453"/>
      <c r="AG90" s="2453"/>
      <c r="AH90" s="2453"/>
      <c r="AI90" s="2453"/>
      <c r="AJ90" s="2453"/>
      <c r="AK90" s="2453"/>
      <c r="AL90" s="185"/>
      <c r="AM90" s="164" t="s">
        <v>2626</v>
      </c>
      <c r="AN90" s="165">
        <v>105</v>
      </c>
      <c r="AO90" s="166">
        <v>75</v>
      </c>
      <c r="AP90" s="166">
        <v>75</v>
      </c>
      <c r="AQ90" s="166">
        <v>105</v>
      </c>
      <c r="AR90" s="166">
        <v>105</v>
      </c>
      <c r="AS90" s="166">
        <v>105</v>
      </c>
      <c r="AT90" s="166">
        <v>120</v>
      </c>
      <c r="AU90" s="167">
        <v>120</v>
      </c>
      <c r="AV90" s="165">
        <v>60</v>
      </c>
      <c r="AW90" s="166">
        <v>60</v>
      </c>
      <c r="AX90" s="166">
        <v>60</v>
      </c>
      <c r="AY90" s="166">
        <v>60</v>
      </c>
      <c r="AZ90" s="167">
        <v>60</v>
      </c>
    </row>
    <row r="91" spans="1:52" s="98" customFormat="1" ht="15" customHeight="1">
      <c r="B91" s="161"/>
      <c r="C91" s="185"/>
      <c r="D91" s="162" t="s">
        <v>2616</v>
      </c>
      <c r="E91" s="162"/>
      <c r="F91" s="162"/>
      <c r="G91" s="162"/>
      <c r="H91" s="163"/>
      <c r="I91" s="2453"/>
      <c r="J91" s="2453"/>
      <c r="K91" s="2453"/>
      <c r="L91" s="2453"/>
      <c r="M91" s="2453"/>
      <c r="N91" s="2453"/>
      <c r="O91" s="2453"/>
      <c r="P91" s="2453"/>
      <c r="Q91" s="2453"/>
      <c r="R91" s="2453"/>
      <c r="S91" s="2453"/>
      <c r="T91" s="2453"/>
      <c r="U91" s="2453"/>
      <c r="V91" s="2453"/>
      <c r="W91" s="660"/>
      <c r="X91" s="2453"/>
      <c r="Y91" s="2530"/>
      <c r="Z91" s="2453"/>
      <c r="AA91" s="2453"/>
      <c r="AB91" s="2453"/>
      <c r="AC91" s="2453"/>
      <c r="AD91" s="2453"/>
      <c r="AE91" s="2453"/>
      <c r="AF91" s="2453"/>
      <c r="AG91" s="2453"/>
      <c r="AH91" s="2453"/>
      <c r="AI91" s="2453"/>
      <c r="AJ91" s="2453"/>
      <c r="AK91" s="2453"/>
      <c r="AL91" s="185"/>
      <c r="AM91" s="164" t="s">
        <v>2626</v>
      </c>
      <c r="AN91" s="165">
        <v>1290</v>
      </c>
      <c r="AO91" s="166">
        <v>1305</v>
      </c>
      <c r="AP91" s="166">
        <v>1395</v>
      </c>
      <c r="AQ91" s="166">
        <v>1425</v>
      </c>
      <c r="AR91" s="166">
        <v>1485</v>
      </c>
      <c r="AS91" s="166">
        <v>1500</v>
      </c>
      <c r="AT91" s="166">
        <v>1590</v>
      </c>
      <c r="AU91" s="167">
        <v>1710</v>
      </c>
      <c r="AV91" s="165">
        <v>1710</v>
      </c>
      <c r="AW91" s="166">
        <v>1710</v>
      </c>
      <c r="AX91" s="166">
        <v>1710</v>
      </c>
      <c r="AY91" s="166">
        <v>1710</v>
      </c>
      <c r="AZ91" s="167">
        <v>1710</v>
      </c>
    </row>
    <row r="92" spans="1:52" s="98" customFormat="1" ht="15" customHeight="1" thickBot="1">
      <c r="B92" s="239" t="s">
        <v>1701</v>
      </c>
      <c r="C92" s="512"/>
      <c r="D92" s="246"/>
      <c r="E92" s="246"/>
      <c r="F92" s="246"/>
      <c r="G92" s="241"/>
      <c r="H92" s="241"/>
      <c r="I92" s="2516"/>
      <c r="J92" s="2516"/>
      <c r="K92" s="2516"/>
      <c r="L92" s="2516"/>
      <c r="M92" s="2516"/>
      <c r="N92" s="2516"/>
      <c r="O92" s="2516"/>
      <c r="P92" s="2516"/>
      <c r="Q92" s="2516"/>
      <c r="R92" s="2516"/>
      <c r="S92" s="2516"/>
      <c r="T92" s="2516"/>
      <c r="U92" s="2516"/>
      <c r="V92" s="2516"/>
      <c r="W92" s="657"/>
      <c r="X92" s="2516"/>
      <c r="Y92" s="2515"/>
      <c r="Z92" s="2516"/>
      <c r="AA92" s="2516"/>
      <c r="AB92" s="2516"/>
      <c r="AC92" s="2516"/>
      <c r="AD92" s="2516"/>
      <c r="AE92" s="2516"/>
      <c r="AF92" s="2516"/>
      <c r="AG92" s="2516"/>
      <c r="AH92" s="2516"/>
      <c r="AI92" s="2516"/>
      <c r="AJ92" s="2516"/>
      <c r="AK92" s="2516"/>
      <c r="AL92" s="192"/>
      <c r="AM92" s="195" t="s">
        <v>2626</v>
      </c>
      <c r="AN92" s="892">
        <f>SUM(AN87:AN91)</f>
        <v>10635</v>
      </c>
      <c r="AO92" s="893">
        <f t="shared" ref="AO92:AZ92" si="48">SUM(AO87:AO91)</f>
        <v>10560</v>
      </c>
      <c r="AP92" s="893">
        <f t="shared" si="48"/>
        <v>10185</v>
      </c>
      <c r="AQ92" s="893">
        <f t="shared" si="48"/>
        <v>10470</v>
      </c>
      <c r="AR92" s="893">
        <f t="shared" si="48"/>
        <v>10815</v>
      </c>
      <c r="AS92" s="893">
        <f t="shared" si="48"/>
        <v>10635</v>
      </c>
      <c r="AT92" s="893">
        <f t="shared" si="48"/>
        <v>10665</v>
      </c>
      <c r="AU92" s="890">
        <f t="shared" si="48"/>
        <v>10785</v>
      </c>
      <c r="AV92" s="892">
        <f t="shared" si="48"/>
        <v>10725</v>
      </c>
      <c r="AW92" s="893">
        <f t="shared" si="48"/>
        <v>10590</v>
      </c>
      <c r="AX92" s="893">
        <f t="shared" si="48"/>
        <v>10530</v>
      </c>
      <c r="AY92" s="893">
        <f t="shared" si="48"/>
        <v>10470</v>
      </c>
      <c r="AZ92" s="890">
        <f t="shared" si="48"/>
        <v>10425</v>
      </c>
    </row>
    <row r="93" spans="1:52" s="99" customFormat="1" ht="15" customHeight="1">
      <c r="B93" s="150"/>
      <c r="C93" s="150"/>
      <c r="D93" s="150"/>
      <c r="E93" s="150"/>
      <c r="F93" s="150"/>
      <c r="G93" s="97"/>
      <c r="H93" s="97"/>
      <c r="I93" s="174"/>
      <c r="J93" s="173"/>
      <c r="K93" s="173"/>
      <c r="L93" s="173"/>
      <c r="M93" s="173"/>
      <c r="N93" s="173"/>
      <c r="O93" s="173"/>
      <c r="P93" s="173"/>
      <c r="Q93" s="173"/>
      <c r="R93" s="173"/>
      <c r="S93" s="173"/>
      <c r="T93" s="173"/>
      <c r="U93" s="173"/>
      <c r="V93" s="173"/>
      <c r="W93" s="173"/>
      <c r="X93" s="173"/>
      <c r="Y93" s="175"/>
      <c r="Z93" s="173"/>
      <c r="AA93" s="173"/>
      <c r="AB93" s="173"/>
      <c r="AC93" s="173"/>
      <c r="AD93" s="173"/>
      <c r="AE93" s="173"/>
      <c r="AF93" s="173"/>
      <c r="AG93" s="173"/>
      <c r="AH93" s="173"/>
      <c r="AI93" s="173"/>
      <c r="AJ93" s="173"/>
      <c r="AK93" s="173"/>
    </row>
    <row r="94" spans="1:52">
      <c r="I94" s="174"/>
    </row>
    <row r="95" spans="1:52">
      <c r="I95" s="174"/>
    </row>
    <row r="96" spans="1:52">
      <c r="I96" s="174"/>
    </row>
    <row r="97" spans="9:9">
      <c r="I97" s="174"/>
    </row>
    <row r="98" spans="9:9">
      <c r="I98" s="174"/>
    </row>
    <row r="99" spans="9:9">
      <c r="I99" s="174"/>
    </row>
    <row r="100" spans="9:9">
      <c r="I100" s="174"/>
    </row>
    <row r="101" spans="9:9">
      <c r="I101" s="174"/>
    </row>
    <row r="102" spans="9:9">
      <c r="I102" s="174"/>
    </row>
    <row r="103" spans="9:9">
      <c r="I103" s="174"/>
    </row>
    <row r="104" spans="9:9">
      <c r="I104" s="174"/>
    </row>
    <row r="105" spans="9:9">
      <c r="I105" s="174"/>
    </row>
    <row r="106" spans="9:9">
      <c r="I106" s="174"/>
    </row>
    <row r="107" spans="9:9">
      <c r="I107" s="174"/>
    </row>
    <row r="108" spans="9:9">
      <c r="I108" s="174"/>
    </row>
    <row r="109" spans="9:9">
      <c r="I109" s="174"/>
    </row>
    <row r="110" spans="9:9">
      <c r="I110" s="174"/>
    </row>
    <row r="111" spans="9:9">
      <c r="I111" s="174"/>
    </row>
    <row r="112" spans="9:9">
      <c r="I112" s="174"/>
    </row>
    <row r="113" spans="9:9">
      <c r="I113" s="174"/>
    </row>
    <row r="114" spans="9:9">
      <c r="I114" s="174"/>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00B050"/>
  </sheetPr>
  <dimension ref="A1:BK98"/>
  <sheetViews>
    <sheetView showGridLines="0" topLeftCell="A67" zoomScale="70" zoomScaleNormal="70" workbookViewId="0">
      <pane xSplit="7" topLeftCell="J1" activePane="topRight" state="frozen"/>
      <selection pane="topRight" activeCell="T104" sqref="T104"/>
    </sheetView>
  </sheetViews>
  <sheetFormatPr defaultColWidth="11.125" defaultRowHeight="14.25"/>
  <cols>
    <col min="1" max="1" width="11.125" style="338"/>
    <col min="2" max="6" width="4.375" style="338" customWidth="1"/>
    <col min="7" max="7" width="38.25" style="338" customWidth="1"/>
    <col min="8" max="8" width="11.125" style="338"/>
    <col min="9" max="22" width="15.625" style="338" customWidth="1"/>
    <col min="23" max="23" width="11.125" style="338"/>
    <col min="24" max="37" width="15.625" style="338" customWidth="1"/>
    <col min="38" max="38" width="11.125" style="338"/>
    <col min="39" max="43" width="15.625" style="338" customWidth="1"/>
    <col min="44" max="44" width="11.125" style="338"/>
    <col min="45" max="46" width="15.625" style="338" customWidth="1"/>
    <col min="47" max="47" width="27.125" style="338" customWidth="1"/>
    <col min="48" max="16384" width="11.125" style="338"/>
  </cols>
  <sheetData>
    <row r="1" spans="1:63" s="2" customFormat="1" ht="25.15" customHeight="1">
      <c r="A1" s="1" t="s">
        <v>0</v>
      </c>
      <c r="E1" s="3"/>
      <c r="H1" s="4" t="s">
        <v>1</v>
      </c>
      <c r="J1" s="3"/>
    </row>
    <row r="2" spans="1:63" s="2" customFormat="1" ht="25.15" customHeight="1">
      <c r="A2" s="5" t="str">
        <f>Fixed_Data!I12</f>
        <v>MASTER</v>
      </c>
      <c r="B2" s="6"/>
      <c r="D2" s="7"/>
      <c r="E2" s="3"/>
    </row>
    <row r="3" spans="1:63" s="9" customFormat="1" ht="25.15" customHeight="1" thickBot="1">
      <c r="A3" s="8" t="str">
        <f>Fixed_Data!A3</f>
        <v>RIIO-GD2</v>
      </c>
      <c r="D3" s="10"/>
      <c r="E3" s="11"/>
    </row>
    <row r="4" spans="1:63" s="89" customFormat="1" ht="25.15" customHeight="1">
      <c r="B4" s="90" t="s">
        <v>2627</v>
      </c>
      <c r="C4" s="90"/>
      <c r="D4" s="90"/>
      <c r="E4" s="91"/>
      <c r="F4" s="92"/>
      <c r="G4" s="93"/>
      <c r="H4" s="94"/>
      <c r="I4" s="94"/>
      <c r="J4" s="94"/>
      <c r="K4" s="94"/>
      <c r="L4" s="94"/>
      <c r="M4" s="94"/>
      <c r="N4" s="94"/>
      <c r="O4" s="94"/>
      <c r="P4" s="92"/>
      <c r="Q4" s="92"/>
      <c r="R4" s="92"/>
      <c r="S4" s="92"/>
      <c r="T4" s="92"/>
      <c r="U4" s="92"/>
      <c r="V4" s="92"/>
      <c r="W4" s="92"/>
      <c r="X4" s="92"/>
      <c r="Y4" s="92"/>
      <c r="Z4" s="94"/>
      <c r="AA4" s="92"/>
      <c r="AB4" s="92"/>
      <c r="AC4" s="92"/>
      <c r="AD4" s="92"/>
      <c r="AE4" s="92"/>
      <c r="AF4" s="92"/>
    </row>
    <row r="5" spans="1:63" s="553" customFormat="1" ht="25.15" customHeight="1">
      <c r="B5" s="95" t="s">
        <v>1663</v>
      </c>
      <c r="C5" s="95"/>
      <c r="D5" s="95"/>
      <c r="E5" s="95"/>
      <c r="F5" s="95" t="s">
        <v>463</v>
      </c>
      <c r="G5" s="95"/>
      <c r="H5" s="95"/>
      <c r="J5" s="95"/>
      <c r="K5" s="554"/>
      <c r="L5" s="555"/>
      <c r="M5" s="555"/>
      <c r="N5" s="555"/>
      <c r="O5" s="555"/>
      <c r="P5" s="555"/>
      <c r="Q5" s="555"/>
      <c r="R5" s="555"/>
      <c r="S5" s="555"/>
      <c r="T5" s="556"/>
      <c r="U5" s="556"/>
      <c r="V5" s="556"/>
      <c r="W5" s="556"/>
      <c r="X5" s="556"/>
      <c r="Y5" s="556"/>
      <c r="Z5" s="556"/>
      <c r="AA5" s="556"/>
      <c r="AB5" s="556"/>
      <c r="AC5" s="556"/>
      <c r="AD5" s="556"/>
      <c r="AE5" s="556"/>
      <c r="AF5" s="556"/>
      <c r="AG5" s="556"/>
      <c r="AH5" s="555"/>
      <c r="AI5" s="556"/>
      <c r="AJ5" s="556"/>
      <c r="AK5" s="556"/>
      <c r="AL5" s="556"/>
      <c r="AM5" s="556"/>
      <c r="AN5" s="556"/>
      <c r="AO5" s="556"/>
      <c r="AP5" s="556"/>
      <c r="AQ5" s="556"/>
      <c r="AR5" s="556"/>
      <c r="AS5" s="556"/>
      <c r="AT5" s="556"/>
      <c r="AU5" s="556"/>
      <c r="AV5" s="555"/>
      <c r="AW5" s="555"/>
      <c r="AX5" s="556"/>
      <c r="AY5" s="556"/>
      <c r="AZ5" s="556"/>
      <c r="BA5" s="556"/>
      <c r="BB5" s="556"/>
      <c r="BC5" s="556"/>
      <c r="BD5" s="556"/>
      <c r="BE5" s="556"/>
      <c r="BF5" s="556"/>
      <c r="BG5" s="556"/>
      <c r="BH5" s="556"/>
      <c r="BI5" s="556"/>
      <c r="BJ5" s="556"/>
      <c r="BK5" s="555"/>
    </row>
    <row r="6" spans="1:63" ht="15" customHeight="1">
      <c r="A6" s="258"/>
    </row>
    <row r="7" spans="1:63" ht="15" customHeight="1" thickBot="1">
      <c r="A7" s="258"/>
      <c r="B7" s="258"/>
      <c r="C7" s="258"/>
      <c r="D7" s="258"/>
      <c r="E7" s="258"/>
      <c r="F7" s="258"/>
      <c r="G7" s="259"/>
      <c r="H7" s="259"/>
      <c r="I7" s="260"/>
      <c r="J7" s="259"/>
      <c r="K7" s="259"/>
      <c r="L7" s="259"/>
      <c r="M7" s="259"/>
      <c r="N7" s="259"/>
      <c r="O7" s="259"/>
      <c r="P7" s="259"/>
      <c r="Q7" s="259"/>
      <c r="R7" s="259"/>
      <c r="S7" s="259"/>
      <c r="T7" s="259"/>
      <c r="U7" s="259"/>
      <c r="V7" s="259"/>
    </row>
    <row r="8" spans="1:63" ht="30" customHeight="1" thickBot="1">
      <c r="A8" s="251"/>
      <c r="B8" s="640" t="s">
        <v>1744</v>
      </c>
      <c r="C8" s="558"/>
      <c r="D8" s="558"/>
      <c r="E8" s="558"/>
      <c r="F8" s="558"/>
      <c r="G8" s="559"/>
      <c r="H8" s="559"/>
      <c r="I8" s="105" t="s">
        <v>1864</v>
      </c>
      <c r="J8" s="106"/>
      <c r="K8" s="106"/>
      <c r="L8" s="106"/>
      <c r="M8" s="106"/>
      <c r="N8" s="106"/>
      <c r="O8" s="106"/>
      <c r="P8" s="106"/>
      <c r="Q8" s="106"/>
      <c r="R8" s="105"/>
      <c r="S8" s="105"/>
      <c r="T8" s="105"/>
      <c r="U8" s="105"/>
      <c r="V8" s="187"/>
    </row>
    <row r="9" spans="1:63" ht="30" customHeight="1">
      <c r="A9" s="251"/>
      <c r="B9" s="560"/>
      <c r="C9" s="561"/>
      <c r="D9" s="561"/>
      <c r="E9" s="561"/>
      <c r="F9" s="561"/>
      <c r="G9" s="561"/>
      <c r="H9" s="561"/>
      <c r="I9" s="562"/>
      <c r="J9" s="1076" t="s">
        <v>1666</v>
      </c>
      <c r="K9" s="1077"/>
      <c r="L9" s="1077"/>
      <c r="M9" s="1077"/>
      <c r="N9" s="1077"/>
      <c r="O9" s="1077"/>
      <c r="P9" s="1077"/>
      <c r="Q9" s="1077"/>
      <c r="R9" s="566" t="s">
        <v>2</v>
      </c>
      <c r="S9" s="567"/>
      <c r="T9" s="567"/>
      <c r="U9" s="567"/>
      <c r="V9" s="568"/>
    </row>
    <row r="10" spans="1:63" ht="15">
      <c r="A10" s="251"/>
      <c r="B10" s="569"/>
      <c r="C10" s="570"/>
      <c r="D10" s="570"/>
      <c r="E10" s="570"/>
      <c r="F10" s="570"/>
      <c r="G10" s="561"/>
      <c r="H10" s="561"/>
      <c r="I10" s="571" t="s">
        <v>1667</v>
      </c>
      <c r="J10" s="515" t="s">
        <v>453</v>
      </c>
      <c r="K10" s="515" t="s">
        <v>455</v>
      </c>
      <c r="L10" s="515" t="s">
        <v>457</v>
      </c>
      <c r="M10" s="515" t="s">
        <v>459</v>
      </c>
      <c r="N10" s="515" t="s">
        <v>461</v>
      </c>
      <c r="O10" s="515" t="s">
        <v>463</v>
      </c>
      <c r="P10" s="515" t="s">
        <v>465</v>
      </c>
      <c r="Q10" s="265" t="s">
        <v>467</v>
      </c>
      <c r="R10" s="508" t="s">
        <v>469</v>
      </c>
      <c r="S10" s="509" t="s">
        <v>471</v>
      </c>
      <c r="T10" s="509" t="s">
        <v>473</v>
      </c>
      <c r="U10" s="509" t="s">
        <v>475</v>
      </c>
      <c r="V10" s="510" t="s">
        <v>477</v>
      </c>
    </row>
    <row r="11" spans="1:63" ht="15">
      <c r="A11" s="251"/>
      <c r="B11" s="572"/>
      <c r="C11" s="573"/>
      <c r="D11" s="573"/>
      <c r="E11" s="573"/>
      <c r="F11" s="573"/>
      <c r="G11" s="561"/>
      <c r="H11" s="561"/>
      <c r="I11" s="551"/>
      <c r="J11" s="1078"/>
      <c r="K11" s="551"/>
      <c r="L11" s="551"/>
      <c r="M11" s="551"/>
      <c r="N11" s="551"/>
      <c r="O11" s="551"/>
      <c r="P11" s="551"/>
      <c r="Q11" s="551"/>
      <c r="R11" s="574"/>
      <c r="S11" s="551"/>
      <c r="T11" s="551"/>
      <c r="U11" s="551"/>
      <c r="V11" s="575"/>
    </row>
    <row r="12" spans="1:63" ht="15">
      <c r="A12" s="251"/>
      <c r="B12" s="349"/>
      <c r="C12" s="867" t="s">
        <v>1806</v>
      </c>
      <c r="D12" s="573"/>
      <c r="E12" s="573"/>
      <c r="F12" s="573"/>
      <c r="G12" s="561"/>
      <c r="H12" s="561"/>
      <c r="I12" s="576" t="s">
        <v>498</v>
      </c>
      <c r="J12" s="756">
        <f t="shared" ref="J12:V12" si="0">SUM(J13:J14)</f>
        <v>33.789120976092278</v>
      </c>
      <c r="K12" s="756">
        <f t="shared" si="0"/>
        <v>34.292175588276919</v>
      </c>
      <c r="L12" s="756">
        <f t="shared" si="0"/>
        <v>39.654187039494786</v>
      </c>
      <c r="M12" s="756">
        <f t="shared" si="0"/>
        <v>37.075501309286906</v>
      </c>
      <c r="N12" s="756">
        <f t="shared" si="0"/>
        <v>36.667173370180137</v>
      </c>
      <c r="O12" s="756">
        <f t="shared" si="0"/>
        <v>30.971406808749997</v>
      </c>
      <c r="P12" s="756">
        <f t="shared" si="0"/>
        <v>31.195605428067921</v>
      </c>
      <c r="Q12" s="1079">
        <f t="shared" si="0"/>
        <v>29.796922207348402</v>
      </c>
      <c r="R12" s="755">
        <f t="shared" si="0"/>
        <v>30.82049315025656</v>
      </c>
      <c r="S12" s="756">
        <f t="shared" si="0"/>
        <v>32.664581199222532</v>
      </c>
      <c r="T12" s="756">
        <f t="shared" si="0"/>
        <v>32.787953279431861</v>
      </c>
      <c r="U12" s="756">
        <f t="shared" si="0"/>
        <v>31.675137864255674</v>
      </c>
      <c r="V12" s="757">
        <f t="shared" si="0"/>
        <v>29.63111958396691</v>
      </c>
    </row>
    <row r="13" spans="1:63" ht="15">
      <c r="A13" s="251"/>
      <c r="B13" s="349"/>
      <c r="C13" s="339"/>
      <c r="D13" s="622" t="s">
        <v>62</v>
      </c>
      <c r="E13" s="578"/>
      <c r="F13" s="578"/>
      <c r="G13" s="561"/>
      <c r="H13" s="561"/>
      <c r="I13" s="576" t="s">
        <v>498</v>
      </c>
      <c r="J13" s="282">
        <f>J43</f>
        <v>11.622542444439796</v>
      </c>
      <c r="K13" s="282">
        <f t="shared" ref="K13:V13" si="1">K43</f>
        <v>12.816680296807812</v>
      </c>
      <c r="L13" s="282">
        <f t="shared" si="1"/>
        <v>17.050960416827632</v>
      </c>
      <c r="M13" s="282">
        <f t="shared" si="1"/>
        <v>16.259158245198627</v>
      </c>
      <c r="N13" s="282">
        <f t="shared" si="1"/>
        <v>16.455152460441244</v>
      </c>
      <c r="O13" s="282">
        <f t="shared" si="1"/>
        <v>15.367004808750002</v>
      </c>
      <c r="P13" s="282">
        <f t="shared" si="1"/>
        <v>15.659472176037502</v>
      </c>
      <c r="Q13" s="1080">
        <f t="shared" si="1"/>
        <v>15.675693066723184</v>
      </c>
      <c r="R13" s="281">
        <f t="shared" si="1"/>
        <v>13.468943559405018</v>
      </c>
      <c r="S13" s="282">
        <f t="shared" si="1"/>
        <v>15.418209856102338</v>
      </c>
      <c r="T13" s="282">
        <f t="shared" si="1"/>
        <v>15.645775622359904</v>
      </c>
      <c r="U13" s="282">
        <f t="shared" si="1"/>
        <v>14.636185675251333</v>
      </c>
      <c r="V13" s="283">
        <f t="shared" si="1"/>
        <v>12.694440622653271</v>
      </c>
    </row>
    <row r="14" spans="1:63" ht="15.75" thickBot="1">
      <c r="A14" s="251"/>
      <c r="B14" s="357"/>
      <c r="C14" s="358"/>
      <c r="D14" s="967" t="s">
        <v>71</v>
      </c>
      <c r="E14" s="966"/>
      <c r="F14" s="966"/>
      <c r="G14" s="580"/>
      <c r="H14" s="580"/>
      <c r="I14" s="581" t="s">
        <v>498</v>
      </c>
      <c r="J14" s="963">
        <f>J72</f>
        <v>22.16657853165248</v>
      </c>
      <c r="K14" s="963">
        <f t="shared" ref="K14:V14" si="2">K72</f>
        <v>21.475495291469105</v>
      </c>
      <c r="L14" s="963">
        <f t="shared" si="2"/>
        <v>22.603226622667151</v>
      </c>
      <c r="M14" s="963">
        <f t="shared" si="2"/>
        <v>20.816343064088276</v>
      </c>
      <c r="N14" s="963">
        <f t="shared" si="2"/>
        <v>20.212020909738893</v>
      </c>
      <c r="O14" s="963">
        <f t="shared" si="2"/>
        <v>15.604401999999997</v>
      </c>
      <c r="P14" s="963">
        <f t="shared" si="2"/>
        <v>15.536133252030419</v>
      </c>
      <c r="Q14" s="1737">
        <f t="shared" si="2"/>
        <v>14.121229140625218</v>
      </c>
      <c r="R14" s="962">
        <f t="shared" si="2"/>
        <v>17.35154959085154</v>
      </c>
      <c r="S14" s="963">
        <f t="shared" si="2"/>
        <v>17.246371343120192</v>
      </c>
      <c r="T14" s="963">
        <f t="shared" si="2"/>
        <v>17.142177657071958</v>
      </c>
      <c r="U14" s="963">
        <f t="shared" si="2"/>
        <v>17.038952189004341</v>
      </c>
      <c r="V14" s="964">
        <f t="shared" si="2"/>
        <v>16.936678961313639</v>
      </c>
    </row>
    <row r="15" spans="1:63" ht="15" thickBot="1">
      <c r="A15" s="258"/>
      <c r="J15" s="2486"/>
      <c r="K15" s="2486"/>
      <c r="L15" s="2486"/>
      <c r="M15" s="2486"/>
      <c r="N15" s="2486"/>
      <c r="O15" s="2486"/>
    </row>
    <row r="16" spans="1:63" ht="30" customHeight="1" thickBot="1">
      <c r="A16" s="258"/>
      <c r="B16" s="557" t="s">
        <v>2628</v>
      </c>
      <c r="C16" s="558"/>
      <c r="D16" s="558"/>
      <c r="E16" s="558"/>
      <c r="F16" s="558"/>
      <c r="G16" s="559"/>
      <c r="H16" s="294"/>
      <c r="I16" s="105" t="s">
        <v>1864</v>
      </c>
      <c r="J16" s="106"/>
      <c r="K16" s="106"/>
      <c r="L16" s="106"/>
      <c r="M16" s="106"/>
      <c r="N16" s="106"/>
      <c r="O16" s="106"/>
      <c r="P16" s="106"/>
      <c r="Q16" s="106"/>
      <c r="R16" s="105"/>
      <c r="S16" s="105"/>
      <c r="T16" s="105"/>
      <c r="U16" s="105"/>
      <c r="V16" s="105"/>
    </row>
    <row r="17" spans="1:53" ht="30" customHeight="1">
      <c r="A17" s="258"/>
      <c r="B17" s="560"/>
      <c r="C17" s="561"/>
      <c r="D17" s="561"/>
      <c r="E17" s="561"/>
      <c r="F17" s="561"/>
      <c r="G17" s="561"/>
      <c r="H17" s="259"/>
      <c r="I17" s="562"/>
      <c r="J17" s="563" t="s">
        <v>1666</v>
      </c>
      <c r="K17" s="564"/>
      <c r="L17" s="564"/>
      <c r="M17" s="564"/>
      <c r="N17" s="564"/>
      <c r="O17" s="564"/>
      <c r="P17" s="564"/>
      <c r="Q17" s="565"/>
      <c r="R17" s="566" t="s">
        <v>2</v>
      </c>
      <c r="S17" s="567"/>
      <c r="T17" s="567"/>
      <c r="U17" s="567"/>
      <c r="V17" s="568"/>
    </row>
    <row r="18" spans="1:53" ht="15">
      <c r="A18" s="258"/>
      <c r="B18" s="572"/>
      <c r="C18" s="339"/>
      <c r="D18" s="339"/>
      <c r="E18" s="339"/>
      <c r="F18" s="339"/>
      <c r="G18" s="339"/>
      <c r="H18" s="259"/>
      <c r="I18" s="571" t="s">
        <v>1667</v>
      </c>
      <c r="J18" s="518" t="s">
        <v>453</v>
      </c>
      <c r="K18" s="515" t="s">
        <v>455</v>
      </c>
      <c r="L18" s="515" t="s">
        <v>457</v>
      </c>
      <c r="M18" s="515" t="s">
        <v>459</v>
      </c>
      <c r="N18" s="515" t="s">
        <v>461</v>
      </c>
      <c r="O18" s="515" t="s">
        <v>463</v>
      </c>
      <c r="P18" s="515" t="s">
        <v>465</v>
      </c>
      <c r="Q18" s="516" t="s">
        <v>467</v>
      </c>
      <c r="R18" s="508" t="s">
        <v>469</v>
      </c>
      <c r="S18" s="509" t="s">
        <v>471</v>
      </c>
      <c r="T18" s="509" t="s">
        <v>473</v>
      </c>
      <c r="U18" s="509" t="s">
        <v>475</v>
      </c>
      <c r="V18" s="510" t="s">
        <v>477</v>
      </c>
    </row>
    <row r="19" spans="1:53" ht="15">
      <c r="A19" s="258"/>
      <c r="B19" s="572"/>
      <c r="C19" s="591" t="s">
        <v>2629</v>
      </c>
      <c r="D19" s="591"/>
      <c r="E19" s="591"/>
      <c r="F19" s="591"/>
      <c r="G19" s="339"/>
      <c r="H19" s="259"/>
      <c r="I19" s="260"/>
      <c r="J19" s="295"/>
      <c r="K19" s="259"/>
      <c r="L19" s="259"/>
      <c r="M19" s="259"/>
      <c r="N19" s="259"/>
      <c r="O19" s="259"/>
      <c r="P19" s="259"/>
      <c r="Q19" s="296"/>
      <c r="R19" s="295"/>
      <c r="S19" s="259"/>
      <c r="T19" s="259"/>
      <c r="U19" s="259"/>
      <c r="V19" s="296"/>
    </row>
    <row r="20" spans="1:53">
      <c r="A20" s="258"/>
      <c r="B20" s="592"/>
      <c r="C20" s="593"/>
      <c r="D20" s="593" t="s">
        <v>2630</v>
      </c>
      <c r="E20" s="593"/>
      <c r="F20" s="593"/>
      <c r="G20" s="593"/>
      <c r="H20" s="259"/>
      <c r="I20" s="576" t="s">
        <v>498</v>
      </c>
      <c r="J20" s="297">
        <v>6.7679716404493444</v>
      </c>
      <c r="K20" s="298">
        <v>7.4633350825058766</v>
      </c>
      <c r="L20" s="298">
        <v>9.9290165723353496</v>
      </c>
      <c r="M20" s="298">
        <v>11.61106153019688</v>
      </c>
      <c r="N20" s="298">
        <v>12.946474806463769</v>
      </c>
      <c r="O20" s="298">
        <v>11.62823555625434</v>
      </c>
      <c r="P20" s="298">
        <v>11.849546051153135</v>
      </c>
      <c r="Q20" s="299">
        <v>11.861820423431455</v>
      </c>
      <c r="R20" s="297">
        <v>10.191969765863323</v>
      </c>
      <c r="S20" s="298">
        <v>11.666982492283349</v>
      </c>
      <c r="T20" s="298">
        <v>11.839181848469909</v>
      </c>
      <c r="U20" s="298">
        <v>11.075223623278218</v>
      </c>
      <c r="V20" s="299">
        <v>9.6059022335337989</v>
      </c>
    </row>
    <row r="21" spans="1:53">
      <c r="A21" s="258"/>
      <c r="B21" s="592"/>
      <c r="C21" s="593"/>
      <c r="D21" s="593" t="s">
        <v>2631</v>
      </c>
      <c r="E21" s="593"/>
      <c r="F21" s="593"/>
      <c r="G21" s="593"/>
      <c r="H21" s="259"/>
      <c r="I21" s="576" t="s">
        <v>498</v>
      </c>
      <c r="J21" s="297">
        <v>0</v>
      </c>
      <c r="K21" s="298">
        <v>0</v>
      </c>
      <c r="L21" s="298">
        <v>0</v>
      </c>
      <c r="M21" s="298">
        <v>0</v>
      </c>
      <c r="N21" s="298">
        <v>0</v>
      </c>
      <c r="O21" s="298">
        <v>0</v>
      </c>
      <c r="P21" s="298">
        <v>0</v>
      </c>
      <c r="Q21" s="299">
        <v>0</v>
      </c>
      <c r="R21" s="297">
        <v>0</v>
      </c>
      <c r="S21" s="298">
        <v>0</v>
      </c>
      <c r="T21" s="298">
        <v>0</v>
      </c>
      <c r="U21" s="298">
        <v>0</v>
      </c>
      <c r="V21" s="299">
        <v>0</v>
      </c>
    </row>
    <row r="22" spans="1:53">
      <c r="A22" s="258"/>
      <c r="B22" s="592"/>
      <c r="C22" s="593"/>
      <c r="D22" s="593" t="s">
        <v>2632</v>
      </c>
      <c r="E22" s="593"/>
      <c r="F22" s="593"/>
      <c r="G22" s="593"/>
      <c r="H22" s="259"/>
      <c r="I22" s="576" t="s">
        <v>498</v>
      </c>
      <c r="J22" s="297">
        <v>2.9882231129878276</v>
      </c>
      <c r="K22" s="298">
        <v>3.2952428849179229</v>
      </c>
      <c r="L22" s="298">
        <v>4.3839008770908183</v>
      </c>
      <c r="M22" s="298">
        <v>1.9792793430945026</v>
      </c>
      <c r="N22" s="298">
        <v>1.7965770183026439</v>
      </c>
      <c r="O22" s="298">
        <v>1.6558067232851335</v>
      </c>
      <c r="P22" s="298">
        <v>1.6873203096426002</v>
      </c>
      <c r="Q22" s="299">
        <v>1.6890681232334261</v>
      </c>
      <c r="R22" s="297">
        <v>1.4512891470244118</v>
      </c>
      <c r="S22" s="298">
        <v>1.6613241069735833</v>
      </c>
      <c r="T22" s="298">
        <v>1.6858444953282654</v>
      </c>
      <c r="U22" s="298">
        <v>1.5770603930917908</v>
      </c>
      <c r="V22" s="299">
        <v>1.3678358530456525</v>
      </c>
    </row>
    <row r="23" spans="1:53">
      <c r="A23" s="258"/>
      <c r="B23" s="592"/>
      <c r="C23" s="593"/>
      <c r="D23" s="593" t="s">
        <v>2633</v>
      </c>
      <c r="E23" s="593"/>
      <c r="F23" s="593"/>
      <c r="G23" s="593"/>
      <c r="H23" s="259"/>
      <c r="I23" s="576" t="s">
        <v>498</v>
      </c>
      <c r="J23" s="297">
        <v>0</v>
      </c>
      <c r="K23" s="298">
        <v>0</v>
      </c>
      <c r="L23" s="298">
        <v>0</v>
      </c>
      <c r="M23" s="298">
        <v>0</v>
      </c>
      <c r="N23" s="298">
        <v>0</v>
      </c>
      <c r="O23" s="298">
        <v>0</v>
      </c>
      <c r="P23" s="298">
        <v>0</v>
      </c>
      <c r="Q23" s="299">
        <v>0</v>
      </c>
      <c r="R23" s="297">
        <v>0</v>
      </c>
      <c r="S23" s="298">
        <v>0</v>
      </c>
      <c r="T23" s="298">
        <v>0</v>
      </c>
      <c r="U23" s="298">
        <v>0</v>
      </c>
      <c r="V23" s="299">
        <v>0</v>
      </c>
    </row>
    <row r="24" spans="1:53">
      <c r="A24" s="258"/>
      <c r="B24" s="592"/>
      <c r="C24" s="593"/>
      <c r="D24" s="593" t="s">
        <v>2562</v>
      </c>
      <c r="E24" s="593"/>
      <c r="F24" s="593"/>
      <c r="G24" s="593"/>
      <c r="H24" s="259"/>
      <c r="I24" s="576" t="s">
        <v>498</v>
      </c>
      <c r="J24" s="297">
        <v>0.28172496341668196</v>
      </c>
      <c r="K24" s="298">
        <v>0.31067030342133783</v>
      </c>
      <c r="L24" s="298">
        <v>0.41330726238372478</v>
      </c>
      <c r="M24" s="298">
        <v>0.30693200900668832</v>
      </c>
      <c r="N24" s="298">
        <v>0.29498218625767114</v>
      </c>
      <c r="O24" s="298">
        <v>0.2151631444988466</v>
      </c>
      <c r="P24" s="298">
        <v>0.21925816491382341</v>
      </c>
      <c r="Q24" s="299">
        <v>0.21948528385404237</v>
      </c>
      <c r="R24" s="297">
        <v>0.18858718959135959</v>
      </c>
      <c r="S24" s="298">
        <v>0.21588009872250033</v>
      </c>
      <c r="T24" s="298">
        <v>0.2190663908111439</v>
      </c>
      <c r="U24" s="298">
        <v>0.20493048401747804</v>
      </c>
      <c r="V24" s="299">
        <v>0.17774288457752827</v>
      </c>
    </row>
    <row r="25" spans="1:53">
      <c r="A25" s="258"/>
      <c r="B25" s="592"/>
      <c r="C25" s="593"/>
      <c r="D25" s="593" t="s">
        <v>2634</v>
      </c>
      <c r="E25" s="593"/>
      <c r="F25" s="593"/>
      <c r="G25" s="593"/>
      <c r="H25" s="259"/>
      <c r="I25" s="576" t="s">
        <v>498</v>
      </c>
      <c r="J25" s="297">
        <v>0</v>
      </c>
      <c r="K25" s="298">
        <v>0</v>
      </c>
      <c r="L25" s="298">
        <v>0</v>
      </c>
      <c r="M25" s="298">
        <v>0</v>
      </c>
      <c r="N25" s="298">
        <v>0</v>
      </c>
      <c r="O25" s="298">
        <v>0</v>
      </c>
      <c r="P25" s="298">
        <v>0</v>
      </c>
      <c r="Q25" s="299">
        <v>0</v>
      </c>
      <c r="R25" s="297">
        <v>0</v>
      </c>
      <c r="S25" s="298">
        <v>0</v>
      </c>
      <c r="T25" s="298">
        <v>0</v>
      </c>
      <c r="U25" s="298">
        <v>0</v>
      </c>
      <c r="V25" s="299">
        <v>0</v>
      </c>
    </row>
    <row r="26" spans="1:53">
      <c r="A26" s="258"/>
      <c r="B26" s="592"/>
      <c r="C26" s="593"/>
      <c r="D26" s="593" t="s">
        <v>85</v>
      </c>
      <c r="E26" s="593"/>
      <c r="F26" s="593"/>
      <c r="G26" s="293" t="s">
        <v>2640</v>
      </c>
      <c r="H26" s="259"/>
      <c r="I26" s="576" t="s">
        <v>498</v>
      </c>
      <c r="J26" s="297">
        <v>0.46963967993479327</v>
      </c>
      <c r="K26" s="298">
        <v>0.51789198974265549</v>
      </c>
      <c r="L26" s="298">
        <v>0.68898931804466568</v>
      </c>
      <c r="M26" s="298">
        <v>0.99184610552262076</v>
      </c>
      <c r="N26" s="298">
        <v>0.52205773018204527</v>
      </c>
      <c r="O26" s="298">
        <v>0.55659074901975691</v>
      </c>
      <c r="P26" s="298">
        <v>0.56718387585535845</v>
      </c>
      <c r="Q26" s="299">
        <v>0.56777139423053136</v>
      </c>
      <c r="R26" s="297">
        <v>0.48784323799817136</v>
      </c>
      <c r="S26" s="298">
        <v>0.55844538862026005</v>
      </c>
      <c r="T26" s="298">
        <v>0.56668778861094882</v>
      </c>
      <c r="U26" s="298">
        <v>0.53012058297410181</v>
      </c>
      <c r="V26" s="299">
        <v>0.45979085075357323</v>
      </c>
    </row>
    <row r="27" spans="1:53">
      <c r="A27" s="258"/>
      <c r="B27" s="592"/>
      <c r="C27" s="593"/>
      <c r="D27" s="593" t="s">
        <v>85</v>
      </c>
      <c r="E27" s="593"/>
      <c r="F27" s="593"/>
      <c r="G27" s="293" t="s">
        <v>2635</v>
      </c>
      <c r="H27" s="259"/>
      <c r="I27" s="576" t="s">
        <v>498</v>
      </c>
      <c r="J27" s="297">
        <v>0.67870778961968414</v>
      </c>
      <c r="K27" s="298">
        <v>0.74844043771765867</v>
      </c>
      <c r="L27" s="298">
        <v>0.9957046584875352</v>
      </c>
      <c r="M27" s="298">
        <v>0.81023417763321903</v>
      </c>
      <c r="N27" s="298">
        <v>0.71852635146577282</v>
      </c>
      <c r="O27" s="298">
        <v>0.76345498583174631</v>
      </c>
      <c r="P27" s="298">
        <v>0.77798518690395457</v>
      </c>
      <c r="Q27" s="299">
        <v>0.77879106417299537</v>
      </c>
      <c r="R27" s="297">
        <v>0.66915656253709421</v>
      </c>
      <c r="S27" s="298">
        <v>0.76599892651422918</v>
      </c>
      <c r="T27" s="298">
        <v>0.77730472234212133</v>
      </c>
      <c r="U27" s="298">
        <v>0.72714683612041797</v>
      </c>
      <c r="V27" s="299">
        <v>0.63067813840933151</v>
      </c>
    </row>
    <row r="28" spans="1:53">
      <c r="A28" s="258"/>
      <c r="B28" s="592"/>
      <c r="C28" s="593"/>
      <c r="D28" s="593" t="s">
        <v>85</v>
      </c>
      <c r="E28" s="593"/>
      <c r="F28" s="593"/>
      <c r="G28" s="293" t="s">
        <v>2636</v>
      </c>
      <c r="H28" s="259"/>
      <c r="I28" s="576" t="s">
        <v>498</v>
      </c>
      <c r="J28" s="297">
        <v>0.43627525803146472</v>
      </c>
      <c r="K28" s="298">
        <v>0.48109959850235956</v>
      </c>
      <c r="L28" s="298">
        <v>0.64004172848553709</v>
      </c>
      <c r="M28" s="298">
        <v>0.55980507974471583</v>
      </c>
      <c r="N28" s="298">
        <v>0.17653436776934131</v>
      </c>
      <c r="O28" s="298">
        <v>0.54775364986017849</v>
      </c>
      <c r="P28" s="298">
        <v>0.55817858756863215</v>
      </c>
      <c r="Q28" s="299">
        <v>0.55875677780073285</v>
      </c>
      <c r="R28" s="297">
        <v>0.4800976563906576</v>
      </c>
      <c r="S28" s="298">
        <v>0.54957884298841475</v>
      </c>
      <c r="T28" s="298">
        <v>0.55769037679751687</v>
      </c>
      <c r="U28" s="298">
        <v>0.52170375576932648</v>
      </c>
      <c r="V28" s="299">
        <v>0.45249066233338786</v>
      </c>
    </row>
    <row r="29" spans="1:53" s="98" customFormat="1" ht="15" customHeight="1">
      <c r="A29" s="99"/>
      <c r="B29" s="181"/>
      <c r="C29" s="182" t="s">
        <v>1710</v>
      </c>
      <c r="D29" s="183"/>
      <c r="E29" s="183"/>
      <c r="F29" s="183"/>
      <c r="G29" s="184"/>
      <c r="H29" s="184"/>
      <c r="I29" s="164" t="s">
        <v>498</v>
      </c>
      <c r="J29" s="128">
        <f>SUM(J20:J28)</f>
        <v>11.622542444439796</v>
      </c>
      <c r="K29" s="129">
        <f t="shared" ref="K29:V29" si="3">SUM(K20:K28)</f>
        <v>12.816680296807812</v>
      </c>
      <c r="L29" s="129">
        <f t="shared" si="3"/>
        <v>17.050960416827632</v>
      </c>
      <c r="M29" s="129">
        <f t="shared" si="3"/>
        <v>16.259158245198627</v>
      </c>
      <c r="N29" s="129">
        <f t="shared" si="3"/>
        <v>16.455152460441244</v>
      </c>
      <c r="O29" s="129">
        <f t="shared" si="3"/>
        <v>15.367004808750002</v>
      </c>
      <c r="P29" s="129">
        <f t="shared" si="3"/>
        <v>15.659472176037502</v>
      </c>
      <c r="Q29" s="130">
        <f t="shared" si="3"/>
        <v>15.675693066723184</v>
      </c>
      <c r="R29" s="128">
        <f t="shared" si="3"/>
        <v>13.468943559405018</v>
      </c>
      <c r="S29" s="129">
        <f t="shared" si="3"/>
        <v>15.418209856102338</v>
      </c>
      <c r="T29" s="129">
        <f t="shared" si="3"/>
        <v>15.645775622359904</v>
      </c>
      <c r="U29" s="129">
        <f t="shared" si="3"/>
        <v>14.636185675251333</v>
      </c>
      <c r="V29" s="130">
        <f t="shared" si="3"/>
        <v>12.694440622653271</v>
      </c>
      <c r="W29" s="338"/>
      <c r="X29" s="338"/>
      <c r="Y29" s="338"/>
      <c r="Z29" s="338"/>
      <c r="AA29" s="338"/>
      <c r="AB29" s="338"/>
      <c r="AC29" s="338"/>
      <c r="AD29" s="338"/>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row>
    <row r="30" spans="1:53">
      <c r="A30" s="258"/>
      <c r="B30" s="592"/>
      <c r="C30" s="594"/>
      <c r="D30" s="594"/>
      <c r="E30" s="594"/>
      <c r="F30" s="594"/>
      <c r="G30" s="561"/>
      <c r="H30" s="259"/>
      <c r="I30" s="259"/>
      <c r="J30" s="295"/>
      <c r="K30" s="259"/>
      <c r="L30" s="259"/>
      <c r="M30" s="259"/>
      <c r="N30" s="259"/>
      <c r="O30" s="259"/>
      <c r="P30" s="259"/>
      <c r="Q30" s="296"/>
      <c r="R30" s="295"/>
      <c r="S30" s="259"/>
      <c r="T30" s="259"/>
      <c r="U30" s="259"/>
      <c r="V30" s="296"/>
    </row>
    <row r="31" spans="1:53" ht="15">
      <c r="A31" s="258"/>
      <c r="B31" s="572"/>
      <c r="C31" s="591" t="s">
        <v>2637</v>
      </c>
      <c r="D31" s="591"/>
      <c r="E31" s="591"/>
      <c r="F31" s="591"/>
      <c r="G31" s="339"/>
      <c r="H31" s="259"/>
      <c r="I31" s="260"/>
      <c r="J31" s="295"/>
      <c r="K31" s="259"/>
      <c r="L31" s="259"/>
      <c r="M31" s="259"/>
      <c r="N31" s="259"/>
      <c r="O31" s="259"/>
      <c r="P31" s="259"/>
      <c r="Q31" s="296"/>
      <c r="R31" s="295"/>
      <c r="S31" s="259"/>
      <c r="T31" s="259"/>
      <c r="U31" s="259"/>
      <c r="V31" s="296"/>
    </row>
    <row r="32" spans="1:53" ht="15">
      <c r="A32" s="258"/>
      <c r="B32" s="572"/>
      <c r="C32" s="591"/>
      <c r="D32" s="622" t="s">
        <v>1715</v>
      </c>
      <c r="E32" s="591"/>
      <c r="F32" s="591"/>
      <c r="G32" s="339"/>
      <c r="H32" s="259"/>
      <c r="I32" s="576" t="s">
        <v>498</v>
      </c>
      <c r="J32" s="297"/>
      <c r="K32" s="298"/>
      <c r="L32" s="298"/>
      <c r="M32" s="298"/>
      <c r="N32" s="298"/>
      <c r="O32" s="298"/>
      <c r="P32" s="298">
        <v>0</v>
      </c>
      <c r="Q32" s="299">
        <v>0</v>
      </c>
      <c r="R32" s="297">
        <v>0</v>
      </c>
      <c r="S32" s="298">
        <v>0</v>
      </c>
      <c r="T32" s="298">
        <v>0</v>
      </c>
      <c r="U32" s="298">
        <v>0</v>
      </c>
      <c r="V32" s="299">
        <v>0</v>
      </c>
    </row>
    <row r="33" spans="1:22" ht="15">
      <c r="A33" s="258"/>
      <c r="B33" s="572"/>
      <c r="C33" s="591"/>
      <c r="D33" s="622" t="s">
        <v>118</v>
      </c>
      <c r="E33" s="591"/>
      <c r="F33" s="591"/>
      <c r="G33" s="339"/>
      <c r="H33" s="259"/>
      <c r="I33" s="576" t="s">
        <v>498</v>
      </c>
      <c r="J33" s="297"/>
      <c r="K33" s="298"/>
      <c r="L33" s="298"/>
      <c r="M33" s="298"/>
      <c r="N33" s="298"/>
      <c r="O33" s="298"/>
      <c r="P33" s="298">
        <v>0</v>
      </c>
      <c r="Q33" s="299">
        <v>0</v>
      </c>
      <c r="R33" s="297">
        <v>0</v>
      </c>
      <c r="S33" s="298">
        <v>0</v>
      </c>
      <c r="T33" s="298">
        <v>0</v>
      </c>
      <c r="U33" s="298">
        <v>0</v>
      </c>
      <c r="V33" s="299">
        <v>0</v>
      </c>
    </row>
    <row r="34" spans="1:22" ht="15">
      <c r="A34" s="258"/>
      <c r="B34" s="572"/>
      <c r="C34" s="591"/>
      <c r="D34" s="622" t="s">
        <v>1718</v>
      </c>
      <c r="E34" s="591"/>
      <c r="F34" s="591"/>
      <c r="G34" s="339"/>
      <c r="H34" s="259"/>
      <c r="I34" s="576" t="s">
        <v>498</v>
      </c>
      <c r="J34" s="297"/>
      <c r="K34" s="298"/>
      <c r="L34" s="298"/>
      <c r="M34" s="298"/>
      <c r="N34" s="298"/>
      <c r="O34" s="298"/>
      <c r="P34" s="298">
        <v>0</v>
      </c>
      <c r="Q34" s="299">
        <v>0</v>
      </c>
      <c r="R34" s="297">
        <v>0</v>
      </c>
      <c r="S34" s="298">
        <v>0</v>
      </c>
      <c r="T34" s="298">
        <v>0</v>
      </c>
      <c r="U34" s="298">
        <v>0</v>
      </c>
      <c r="V34" s="299">
        <v>0</v>
      </c>
    </row>
    <row r="35" spans="1:22" ht="15">
      <c r="A35" s="258"/>
      <c r="B35" s="572"/>
      <c r="C35" s="591"/>
      <c r="D35" s="622" t="s">
        <v>1716</v>
      </c>
      <c r="E35" s="591"/>
      <c r="F35" s="591"/>
      <c r="G35" s="339"/>
      <c r="H35" s="259"/>
      <c r="I35" s="576" t="s">
        <v>498</v>
      </c>
      <c r="J35" s="297"/>
      <c r="K35" s="298"/>
      <c r="L35" s="298"/>
      <c r="M35" s="298"/>
      <c r="N35" s="298"/>
      <c r="O35" s="298"/>
      <c r="P35" s="298">
        <v>0</v>
      </c>
      <c r="Q35" s="299">
        <v>0</v>
      </c>
      <c r="R35" s="297">
        <v>0</v>
      </c>
      <c r="S35" s="298">
        <v>0</v>
      </c>
      <c r="T35" s="298">
        <v>0</v>
      </c>
      <c r="U35" s="298">
        <v>0</v>
      </c>
      <c r="V35" s="299">
        <v>0</v>
      </c>
    </row>
    <row r="36" spans="1:22" ht="15">
      <c r="A36" s="258"/>
      <c r="B36" s="572"/>
      <c r="C36" s="591"/>
      <c r="D36" s="622" t="s">
        <v>1717</v>
      </c>
      <c r="E36" s="591"/>
      <c r="F36" s="591"/>
      <c r="G36" s="339"/>
      <c r="H36" s="259"/>
      <c r="I36" s="576" t="s">
        <v>498</v>
      </c>
      <c r="J36" s="297"/>
      <c r="K36" s="298"/>
      <c r="L36" s="298"/>
      <c r="M36" s="298"/>
      <c r="N36" s="298"/>
      <c r="O36" s="298"/>
      <c r="P36" s="298">
        <v>0</v>
      </c>
      <c r="Q36" s="299">
        <v>0</v>
      </c>
      <c r="R36" s="297">
        <v>0</v>
      </c>
      <c r="S36" s="298">
        <v>0</v>
      </c>
      <c r="T36" s="298">
        <v>0</v>
      </c>
      <c r="U36" s="298">
        <v>0</v>
      </c>
      <c r="V36" s="299">
        <v>0</v>
      </c>
    </row>
    <row r="37" spans="1:22" ht="15">
      <c r="A37" s="258"/>
      <c r="B37" s="572"/>
      <c r="C37" s="591"/>
      <c r="D37" s="622" t="s">
        <v>1719</v>
      </c>
      <c r="E37" s="591"/>
      <c r="F37" s="591"/>
      <c r="G37" s="339"/>
      <c r="H37" s="259"/>
      <c r="I37" s="576" t="s">
        <v>498</v>
      </c>
      <c r="J37" s="297"/>
      <c r="K37" s="298"/>
      <c r="L37" s="298"/>
      <c r="M37" s="298"/>
      <c r="N37" s="298"/>
      <c r="O37" s="298"/>
      <c r="P37" s="298">
        <v>0</v>
      </c>
      <c r="Q37" s="299">
        <v>0</v>
      </c>
      <c r="R37" s="297">
        <v>0</v>
      </c>
      <c r="S37" s="298">
        <v>0</v>
      </c>
      <c r="T37" s="298">
        <v>0</v>
      </c>
      <c r="U37" s="298">
        <v>0</v>
      </c>
      <c r="V37" s="299">
        <v>0</v>
      </c>
    </row>
    <row r="38" spans="1:22" ht="15">
      <c r="A38" s="258"/>
      <c r="B38" s="572"/>
      <c r="C38" s="591"/>
      <c r="D38" s="622" t="s">
        <v>1721</v>
      </c>
      <c r="E38" s="591"/>
      <c r="F38" s="591"/>
      <c r="G38" s="339"/>
      <c r="H38" s="259"/>
      <c r="I38" s="576" t="s">
        <v>498</v>
      </c>
      <c r="J38" s="297"/>
      <c r="K38" s="298"/>
      <c r="L38" s="298"/>
      <c r="M38" s="298"/>
      <c r="N38" s="298"/>
      <c r="O38" s="298"/>
      <c r="P38" s="298">
        <v>0</v>
      </c>
      <c r="Q38" s="299">
        <v>0</v>
      </c>
      <c r="R38" s="297">
        <v>0</v>
      </c>
      <c r="S38" s="298">
        <v>0</v>
      </c>
      <c r="T38" s="298">
        <v>0</v>
      </c>
      <c r="U38" s="298">
        <v>0</v>
      </c>
      <c r="V38" s="299">
        <v>0</v>
      </c>
    </row>
    <row r="39" spans="1:22" ht="15">
      <c r="A39" s="258"/>
      <c r="B39" s="572"/>
      <c r="C39" s="591"/>
      <c r="D39" s="622" t="s">
        <v>1720</v>
      </c>
      <c r="E39" s="591"/>
      <c r="F39" s="591"/>
      <c r="G39" s="339"/>
      <c r="H39" s="259"/>
      <c r="I39" s="576" t="s">
        <v>498</v>
      </c>
      <c r="J39" s="297"/>
      <c r="K39" s="298"/>
      <c r="L39" s="298"/>
      <c r="M39" s="298"/>
      <c r="N39" s="298"/>
      <c r="O39" s="298"/>
      <c r="P39" s="298">
        <v>0</v>
      </c>
      <c r="Q39" s="299">
        <v>0</v>
      </c>
      <c r="R39" s="297">
        <v>0</v>
      </c>
      <c r="S39" s="298">
        <v>0</v>
      </c>
      <c r="T39" s="298">
        <v>0</v>
      </c>
      <c r="U39" s="298">
        <v>0</v>
      </c>
      <c r="V39" s="299">
        <v>0</v>
      </c>
    </row>
    <row r="40" spans="1:22" ht="15">
      <c r="A40" s="258"/>
      <c r="B40" s="572"/>
      <c r="C40" s="591"/>
      <c r="D40" s="1384" t="s">
        <v>1676</v>
      </c>
      <c r="E40" s="591"/>
      <c r="F40" s="591"/>
      <c r="G40" s="339"/>
      <c r="H40" s="259"/>
      <c r="I40" s="576" t="s">
        <v>498</v>
      </c>
      <c r="J40" s="297"/>
      <c r="K40" s="298"/>
      <c r="L40" s="298"/>
      <c r="M40" s="298"/>
      <c r="N40" s="298"/>
      <c r="O40" s="298"/>
      <c r="P40" s="298">
        <v>0</v>
      </c>
      <c r="Q40" s="299">
        <v>0</v>
      </c>
      <c r="R40" s="297">
        <v>0</v>
      </c>
      <c r="S40" s="298">
        <v>0</v>
      </c>
      <c r="T40" s="298">
        <v>0</v>
      </c>
      <c r="U40" s="298">
        <v>0</v>
      </c>
      <c r="V40" s="299">
        <v>0</v>
      </c>
    </row>
    <row r="41" spans="1:22">
      <c r="A41" s="258"/>
      <c r="B41" s="592"/>
      <c r="C41" s="593" t="s">
        <v>1710</v>
      </c>
      <c r="D41" s="593"/>
      <c r="E41" s="593"/>
      <c r="F41" s="593"/>
      <c r="G41" s="593"/>
      <c r="H41" s="259"/>
      <c r="I41" s="576" t="s">
        <v>498</v>
      </c>
      <c r="J41" s="302">
        <f>SUM(J32:J40)</f>
        <v>0</v>
      </c>
      <c r="K41" s="303">
        <f t="shared" ref="K41:V41" si="4">SUM(K32:K40)</f>
        <v>0</v>
      </c>
      <c r="L41" s="303">
        <f t="shared" si="4"/>
        <v>0</v>
      </c>
      <c r="M41" s="303">
        <f t="shared" si="4"/>
        <v>0</v>
      </c>
      <c r="N41" s="303">
        <f t="shared" si="4"/>
        <v>0</v>
      </c>
      <c r="O41" s="303">
        <f t="shared" si="4"/>
        <v>0</v>
      </c>
      <c r="P41" s="303">
        <f t="shared" si="4"/>
        <v>0</v>
      </c>
      <c r="Q41" s="304">
        <f t="shared" si="4"/>
        <v>0</v>
      </c>
      <c r="R41" s="302">
        <f t="shared" si="4"/>
        <v>0</v>
      </c>
      <c r="S41" s="303">
        <f t="shared" si="4"/>
        <v>0</v>
      </c>
      <c r="T41" s="303">
        <f t="shared" si="4"/>
        <v>0</v>
      </c>
      <c r="U41" s="303">
        <f t="shared" si="4"/>
        <v>0</v>
      </c>
      <c r="V41" s="304">
        <f t="shared" si="4"/>
        <v>0</v>
      </c>
    </row>
    <row r="42" spans="1:22">
      <c r="A42" s="258"/>
      <c r="B42" s="592"/>
      <c r="C42" s="594"/>
      <c r="D42" s="594"/>
      <c r="E42" s="594"/>
      <c r="F42" s="594"/>
      <c r="G42" s="561"/>
      <c r="H42" s="259"/>
      <c r="I42" s="259"/>
      <c r="J42" s="295"/>
      <c r="K42" s="259"/>
      <c r="L42" s="259"/>
      <c r="M42" s="259"/>
      <c r="N42" s="259"/>
      <c r="O42" s="259"/>
      <c r="P42" s="259"/>
      <c r="Q42" s="296"/>
      <c r="R42" s="295"/>
      <c r="S42" s="259"/>
      <c r="T42" s="259"/>
      <c r="U42" s="259"/>
      <c r="V42" s="296"/>
    </row>
    <row r="43" spans="1:22" ht="15.75" thickBot="1">
      <c r="A43" s="258"/>
      <c r="B43" s="754" t="s">
        <v>1701</v>
      </c>
      <c r="C43" s="595"/>
      <c r="D43" s="595"/>
      <c r="E43" s="595"/>
      <c r="F43" s="595"/>
      <c r="G43" s="596"/>
      <c r="H43" s="300"/>
      <c r="I43" s="581" t="s">
        <v>498</v>
      </c>
      <c r="J43" s="627">
        <f>SUM(J29,J41)</f>
        <v>11.622542444439796</v>
      </c>
      <c r="K43" s="628">
        <f t="shared" ref="K43:V43" si="5">SUM(K29,K41)</f>
        <v>12.816680296807812</v>
      </c>
      <c r="L43" s="628">
        <f t="shared" si="5"/>
        <v>17.050960416827632</v>
      </c>
      <c r="M43" s="628">
        <f t="shared" si="5"/>
        <v>16.259158245198627</v>
      </c>
      <c r="N43" s="628">
        <f t="shared" si="5"/>
        <v>16.455152460441244</v>
      </c>
      <c r="O43" s="628">
        <f t="shared" si="5"/>
        <v>15.367004808750002</v>
      </c>
      <c r="P43" s="628">
        <f t="shared" si="5"/>
        <v>15.659472176037502</v>
      </c>
      <c r="Q43" s="629">
        <f t="shared" si="5"/>
        <v>15.675693066723184</v>
      </c>
      <c r="R43" s="627">
        <f t="shared" si="5"/>
        <v>13.468943559405018</v>
      </c>
      <c r="S43" s="628">
        <f t="shared" si="5"/>
        <v>15.418209856102338</v>
      </c>
      <c r="T43" s="628">
        <f t="shared" si="5"/>
        <v>15.645775622359904</v>
      </c>
      <c r="U43" s="628">
        <f t="shared" si="5"/>
        <v>14.636185675251333</v>
      </c>
      <c r="V43" s="629">
        <f t="shared" si="5"/>
        <v>12.694440622653271</v>
      </c>
    </row>
    <row r="44" spans="1:22" ht="15" thickBot="1">
      <c r="A44" s="258"/>
    </row>
    <row r="45" spans="1:22" ht="30" customHeight="1" thickBot="1">
      <c r="A45" s="258"/>
      <c r="B45" s="557" t="s">
        <v>2638</v>
      </c>
      <c r="C45" s="558"/>
      <c r="D45" s="558"/>
      <c r="E45" s="558"/>
      <c r="F45" s="558"/>
      <c r="G45" s="559"/>
      <c r="H45" s="294"/>
      <c r="I45" s="105" t="s">
        <v>1864</v>
      </c>
      <c r="J45" s="106"/>
      <c r="K45" s="106"/>
      <c r="L45" s="106"/>
      <c r="M45" s="106"/>
      <c r="N45" s="106"/>
      <c r="O45" s="106"/>
      <c r="P45" s="106"/>
      <c r="Q45" s="106"/>
      <c r="R45" s="105"/>
      <c r="S45" s="105"/>
      <c r="T45" s="105"/>
      <c r="U45" s="105"/>
      <c r="V45" s="105"/>
    </row>
    <row r="46" spans="1:22" ht="30" customHeight="1">
      <c r="A46" s="258"/>
      <c r="B46" s="560"/>
      <c r="C46" s="561"/>
      <c r="D46" s="561"/>
      <c r="E46" s="561"/>
      <c r="F46" s="561"/>
      <c r="G46" s="561"/>
      <c r="H46" s="259"/>
      <c r="I46" s="562"/>
      <c r="J46" s="563" t="s">
        <v>1666</v>
      </c>
      <c r="K46" s="564"/>
      <c r="L46" s="564"/>
      <c r="M46" s="564"/>
      <c r="N46" s="564"/>
      <c r="O46" s="564"/>
      <c r="P46" s="564"/>
      <c r="Q46" s="565"/>
      <c r="R46" s="566" t="s">
        <v>2</v>
      </c>
      <c r="S46" s="567"/>
      <c r="T46" s="567"/>
      <c r="U46" s="567"/>
      <c r="V46" s="568"/>
    </row>
    <row r="47" spans="1:22" ht="15">
      <c r="A47" s="258"/>
      <c r="B47" s="572"/>
      <c r="C47" s="339"/>
      <c r="D47" s="339"/>
      <c r="E47" s="339"/>
      <c r="F47" s="339"/>
      <c r="G47" s="339"/>
      <c r="H47" s="259"/>
      <c r="I47" s="571" t="s">
        <v>1667</v>
      </c>
      <c r="J47" s="518" t="s">
        <v>453</v>
      </c>
      <c r="K47" s="515" t="s">
        <v>455</v>
      </c>
      <c r="L47" s="515" t="s">
        <v>457</v>
      </c>
      <c r="M47" s="515" t="s">
        <v>459</v>
      </c>
      <c r="N47" s="515" t="s">
        <v>461</v>
      </c>
      <c r="O47" s="515" t="s">
        <v>463</v>
      </c>
      <c r="P47" s="515" t="s">
        <v>465</v>
      </c>
      <c r="Q47" s="516" t="s">
        <v>467</v>
      </c>
      <c r="R47" s="508" t="s">
        <v>469</v>
      </c>
      <c r="S47" s="509" t="s">
        <v>471</v>
      </c>
      <c r="T47" s="509" t="s">
        <v>473</v>
      </c>
      <c r="U47" s="509" t="s">
        <v>475</v>
      </c>
      <c r="V47" s="510" t="s">
        <v>477</v>
      </c>
    </row>
    <row r="48" spans="1:22" ht="15">
      <c r="A48" s="258"/>
      <c r="B48" s="572"/>
      <c r="C48" s="591" t="s">
        <v>2639</v>
      </c>
      <c r="D48" s="591"/>
      <c r="E48" s="591"/>
      <c r="F48" s="591"/>
      <c r="G48" s="339"/>
      <c r="H48" s="259"/>
      <c r="I48" s="260"/>
      <c r="J48" s="295"/>
      <c r="K48" s="259"/>
      <c r="L48" s="259"/>
      <c r="M48" s="259"/>
      <c r="N48" s="259"/>
      <c r="O48" s="259"/>
      <c r="P48" s="259"/>
      <c r="Q48" s="296"/>
      <c r="R48" s="295"/>
      <c r="S48" s="259"/>
      <c r="T48" s="259"/>
      <c r="U48" s="259"/>
      <c r="V48" s="296"/>
    </row>
    <row r="49" spans="1:53">
      <c r="A49" s="258"/>
      <c r="B49" s="592"/>
      <c r="C49" s="593"/>
      <c r="D49" s="593" t="s">
        <v>2630</v>
      </c>
      <c r="E49" s="593"/>
      <c r="F49" s="593"/>
      <c r="G49" s="593"/>
      <c r="H49" s="259"/>
      <c r="I49" s="576" t="s">
        <v>498</v>
      </c>
      <c r="J49" s="297">
        <v>12.907913701772531</v>
      </c>
      <c r="K49" s="298">
        <v>12.505486109607574</v>
      </c>
      <c r="L49" s="298">
        <v>13.162180090643188</v>
      </c>
      <c r="M49" s="298">
        <v>14.86545837772325</v>
      </c>
      <c r="N49" s="298">
        <v>15.902278640366768</v>
      </c>
      <c r="O49" s="298">
        <v>11.807874366458673</v>
      </c>
      <c r="P49" s="298">
        <v>11.756215302613727</v>
      </c>
      <c r="Q49" s="299">
        <v>10.685555242198824</v>
      </c>
      <c r="R49" s="297">
        <v>13.12994356542163</v>
      </c>
      <c r="S49" s="298">
        <v>13.050355027822047</v>
      </c>
      <c r="T49" s="298">
        <v>12.9715115095228</v>
      </c>
      <c r="U49" s="298">
        <v>12.893400643219733</v>
      </c>
      <c r="V49" s="299">
        <v>12.816010338636193</v>
      </c>
    </row>
    <row r="50" spans="1:53">
      <c r="A50" s="258"/>
      <c r="B50" s="592"/>
      <c r="C50" s="593"/>
      <c r="D50" s="593" t="s">
        <v>2631</v>
      </c>
      <c r="E50" s="593"/>
      <c r="F50" s="593"/>
      <c r="G50" s="593"/>
      <c r="H50" s="259"/>
      <c r="I50" s="576" t="s">
        <v>498</v>
      </c>
      <c r="J50" s="297">
        <v>0</v>
      </c>
      <c r="K50" s="298">
        <v>0</v>
      </c>
      <c r="L50" s="298">
        <v>0</v>
      </c>
      <c r="M50" s="298">
        <v>0</v>
      </c>
      <c r="N50" s="298">
        <v>0</v>
      </c>
      <c r="O50" s="298">
        <v>0</v>
      </c>
      <c r="P50" s="298">
        <v>0</v>
      </c>
      <c r="Q50" s="299">
        <v>0</v>
      </c>
      <c r="R50" s="297">
        <v>0</v>
      </c>
      <c r="S50" s="298">
        <v>0</v>
      </c>
      <c r="T50" s="298">
        <v>0</v>
      </c>
      <c r="U50" s="298">
        <v>0</v>
      </c>
      <c r="V50" s="299">
        <v>0</v>
      </c>
    </row>
    <row r="51" spans="1:53">
      <c r="A51" s="258"/>
      <c r="B51" s="592"/>
      <c r="C51" s="593"/>
      <c r="D51" s="593" t="s">
        <v>2632</v>
      </c>
      <c r="E51" s="593"/>
      <c r="F51" s="593"/>
      <c r="G51" s="593"/>
      <c r="H51" s="259"/>
      <c r="I51" s="576" t="s">
        <v>498</v>
      </c>
      <c r="J51" s="297">
        <v>5.6991559825046876</v>
      </c>
      <c r="K51" s="298">
        <v>5.5214744708056349</v>
      </c>
      <c r="L51" s="298">
        <v>5.8114207407578418</v>
      </c>
      <c r="M51" s="298">
        <v>2.5340400286518716</v>
      </c>
      <c r="N51" s="298">
        <v>2.2067527084410661</v>
      </c>
      <c r="O51" s="298">
        <v>1.68138645533135</v>
      </c>
      <c r="P51" s="298">
        <v>1.674030444626263</v>
      </c>
      <c r="Q51" s="299">
        <v>1.5215734258626257</v>
      </c>
      <c r="R51" s="297">
        <v>1.869642967482382</v>
      </c>
      <c r="S51" s="298">
        <v>1.8583099294633039</v>
      </c>
      <c r="T51" s="298">
        <v>1.8470829787315455</v>
      </c>
      <c r="U51" s="298">
        <v>1.8359603542404479</v>
      </c>
      <c r="V51" s="299">
        <v>1.8249403343907822</v>
      </c>
    </row>
    <row r="52" spans="1:53">
      <c r="A52" s="258"/>
      <c r="B52" s="592"/>
      <c r="C52" s="593"/>
      <c r="D52" s="593" t="s">
        <v>2633</v>
      </c>
      <c r="E52" s="593"/>
      <c r="F52" s="593"/>
      <c r="G52" s="593"/>
      <c r="H52" s="259"/>
      <c r="I52" s="576" t="s">
        <v>498</v>
      </c>
      <c r="J52" s="297">
        <v>0</v>
      </c>
      <c r="K52" s="298">
        <v>0</v>
      </c>
      <c r="L52" s="298">
        <v>0</v>
      </c>
      <c r="M52" s="298">
        <v>0</v>
      </c>
      <c r="N52" s="298">
        <v>0</v>
      </c>
      <c r="O52" s="298">
        <v>0</v>
      </c>
      <c r="P52" s="298">
        <v>0</v>
      </c>
      <c r="Q52" s="299">
        <v>0</v>
      </c>
      <c r="R52" s="297">
        <v>0</v>
      </c>
      <c r="S52" s="298">
        <v>0</v>
      </c>
      <c r="T52" s="298">
        <v>0</v>
      </c>
      <c r="U52" s="298">
        <v>0</v>
      </c>
      <c r="V52" s="299">
        <v>0</v>
      </c>
    </row>
    <row r="53" spans="1:53">
      <c r="A53" s="258"/>
      <c r="B53" s="592"/>
      <c r="C53" s="593"/>
      <c r="D53" s="593" t="s">
        <v>2562</v>
      </c>
      <c r="E53" s="593"/>
      <c r="F53" s="593"/>
      <c r="G53" s="593"/>
      <c r="H53" s="259"/>
      <c r="I53" s="576" t="s">
        <v>498</v>
      </c>
      <c r="J53" s="297">
        <v>0.53730743989585006</v>
      </c>
      <c r="K53" s="298">
        <v>0.52055590713189059</v>
      </c>
      <c r="L53" s="298">
        <v>0.54789158429068707</v>
      </c>
      <c r="M53" s="298">
        <v>0.3929601951392413</v>
      </c>
      <c r="N53" s="298">
        <v>0.36232943638619231</v>
      </c>
      <c r="O53" s="298">
        <v>0.21848709258113383</v>
      </c>
      <c r="P53" s="298">
        <v>0.21753121870285083</v>
      </c>
      <c r="Q53" s="299">
        <v>0.19772025218314604</v>
      </c>
      <c r="R53" s="297">
        <v>0.24295000999605862</v>
      </c>
      <c r="S53" s="298">
        <v>0.24147734288907169</v>
      </c>
      <c r="T53" s="298">
        <v>0.24001846125233928</v>
      </c>
      <c r="U53" s="298">
        <v>0.23857313624735541</v>
      </c>
      <c r="V53" s="299">
        <v>0.23714114416159465</v>
      </c>
    </row>
    <row r="54" spans="1:53">
      <c r="A54" s="258"/>
      <c r="B54" s="592"/>
      <c r="C54" s="593"/>
      <c r="D54" s="593" t="s">
        <v>2634</v>
      </c>
      <c r="E54" s="593"/>
      <c r="F54" s="593"/>
      <c r="G54" s="593"/>
      <c r="H54" s="259"/>
      <c r="I54" s="576" t="s">
        <v>498</v>
      </c>
      <c r="J54" s="297">
        <v>0</v>
      </c>
      <c r="K54" s="298">
        <v>0</v>
      </c>
      <c r="L54" s="298">
        <v>0</v>
      </c>
      <c r="M54" s="298">
        <v>0</v>
      </c>
      <c r="N54" s="298">
        <v>0</v>
      </c>
      <c r="O54" s="298">
        <v>0</v>
      </c>
      <c r="P54" s="298">
        <v>0</v>
      </c>
      <c r="Q54" s="299">
        <v>0</v>
      </c>
      <c r="R54" s="297">
        <v>0</v>
      </c>
      <c r="S54" s="298">
        <v>0</v>
      </c>
      <c r="T54" s="298">
        <v>0</v>
      </c>
      <c r="U54" s="298">
        <v>0</v>
      </c>
      <c r="V54" s="299">
        <v>0</v>
      </c>
    </row>
    <row r="55" spans="1:53">
      <c r="A55" s="258"/>
      <c r="B55" s="592"/>
      <c r="C55" s="593"/>
      <c r="D55" s="593" t="s">
        <v>85</v>
      </c>
      <c r="E55" s="593"/>
      <c r="F55" s="593"/>
      <c r="G55" s="293" t="s">
        <v>2640</v>
      </c>
      <c r="H55" s="259"/>
      <c r="I55" s="576" t="s">
        <v>498</v>
      </c>
      <c r="J55" s="297">
        <v>0.89569944757095721</v>
      </c>
      <c r="K55" s="298">
        <v>0.86777439474542095</v>
      </c>
      <c r="L55" s="298">
        <v>0.91334337278685296</v>
      </c>
      <c r="M55" s="298">
        <v>1.2698448768364605</v>
      </c>
      <c r="N55" s="298">
        <v>0.64124849550299323</v>
      </c>
      <c r="O55" s="298">
        <v>0.56518924183846053</v>
      </c>
      <c r="P55" s="298">
        <v>0.56271655740581217</v>
      </c>
      <c r="Q55" s="299">
        <v>0.5114689298453825</v>
      </c>
      <c r="R55" s="297">
        <v>0.62847068141258056</v>
      </c>
      <c r="S55" s="298">
        <v>0.62466114009897045</v>
      </c>
      <c r="T55" s="298">
        <v>0.6208872594708017</v>
      </c>
      <c r="U55" s="298">
        <v>0.61714844756147269</v>
      </c>
      <c r="V55" s="299">
        <v>0.61344412566442863</v>
      </c>
    </row>
    <row r="56" spans="1:53">
      <c r="A56" s="258"/>
      <c r="B56" s="592"/>
      <c r="C56" s="593"/>
      <c r="D56" s="593" t="s">
        <v>85</v>
      </c>
      <c r="E56" s="593"/>
      <c r="F56" s="593"/>
      <c r="G56" s="293" t="s">
        <v>2635</v>
      </c>
      <c r="H56" s="259"/>
      <c r="I56" s="576" t="s">
        <v>498</v>
      </c>
      <c r="J56" s="297">
        <v>1.294435326054354</v>
      </c>
      <c r="K56" s="298">
        <v>1.2540789599124127</v>
      </c>
      <c r="L56" s="298">
        <v>1.3199337453641498</v>
      </c>
      <c r="M56" s="298">
        <v>1.0373299988542235</v>
      </c>
      <c r="N56" s="298">
        <v>0.88257277925185296</v>
      </c>
      <c r="O56" s="298">
        <v>0.7752492210479065</v>
      </c>
      <c r="P56" s="298">
        <v>0.77185753108213084</v>
      </c>
      <c r="Q56" s="299">
        <v>0.70156305198422242</v>
      </c>
      <c r="R56" s="297">
        <v>0.86205003589895868</v>
      </c>
      <c r="S56" s="298">
        <v>0.85682462869495857</v>
      </c>
      <c r="T56" s="298">
        <v>0.85164813593688915</v>
      </c>
      <c r="U56" s="298">
        <v>0.84651974564601318</v>
      </c>
      <c r="V56" s="299">
        <v>0.84143866403191037</v>
      </c>
    </row>
    <row r="57" spans="1:53">
      <c r="A57" s="258"/>
      <c r="B57" s="592"/>
      <c r="C57" s="593"/>
      <c r="D57" s="593" t="s">
        <v>85</v>
      </c>
      <c r="E57" s="593"/>
      <c r="F57" s="593"/>
      <c r="G57" s="293" t="s">
        <v>2636</v>
      </c>
      <c r="H57" s="259"/>
      <c r="I57" s="576" t="s">
        <v>498</v>
      </c>
      <c r="J57" s="297">
        <v>0.83206663385409896</v>
      </c>
      <c r="K57" s="298">
        <v>0.80612544926617258</v>
      </c>
      <c r="L57" s="298">
        <v>0.84845708882443183</v>
      </c>
      <c r="M57" s="298">
        <v>0.71670958688322561</v>
      </c>
      <c r="N57" s="298">
        <v>0.21683884979001788</v>
      </c>
      <c r="O57" s="298">
        <v>0.5562156227424736</v>
      </c>
      <c r="P57" s="298">
        <v>0.55378219759963587</v>
      </c>
      <c r="Q57" s="298">
        <v>0.50334823855102062</v>
      </c>
      <c r="R57" s="297">
        <v>0.61849233063993125</v>
      </c>
      <c r="S57" s="298">
        <v>0.61474327415184182</v>
      </c>
      <c r="T57" s="298">
        <v>0.61102931215758194</v>
      </c>
      <c r="U57" s="298">
        <v>0.60734986208931829</v>
      </c>
      <c r="V57" s="299">
        <v>0.60370435442873216</v>
      </c>
    </row>
    <row r="58" spans="1:53" s="98" customFormat="1" ht="15" customHeight="1">
      <c r="A58" s="99"/>
      <c r="B58" s="181"/>
      <c r="C58" s="182" t="s">
        <v>1710</v>
      </c>
      <c r="D58" s="183"/>
      <c r="E58" s="183"/>
      <c r="F58" s="183"/>
      <c r="G58" s="184"/>
      <c r="H58" s="184"/>
      <c r="I58" s="164" t="s">
        <v>498</v>
      </c>
      <c r="J58" s="128">
        <f>SUM(J49:J57)</f>
        <v>22.16657853165248</v>
      </c>
      <c r="K58" s="129">
        <f t="shared" ref="K58" si="6">SUM(K49:K57)</f>
        <v>21.475495291469105</v>
      </c>
      <c r="L58" s="129">
        <f t="shared" ref="L58" si="7">SUM(L49:L57)</f>
        <v>22.603226622667151</v>
      </c>
      <c r="M58" s="129">
        <f t="shared" ref="M58" si="8">SUM(M49:M57)</f>
        <v>20.816343064088276</v>
      </c>
      <c r="N58" s="129">
        <f t="shared" ref="N58" si="9">SUM(N49:N57)</f>
        <v>20.212020909738893</v>
      </c>
      <c r="O58" s="129">
        <f t="shared" ref="O58" si="10">SUM(O49:O57)</f>
        <v>15.604401999999997</v>
      </c>
      <c r="P58" s="129">
        <f t="shared" ref="P58" si="11">SUM(P49:P57)</f>
        <v>15.536133252030419</v>
      </c>
      <c r="Q58" s="130">
        <f t="shared" ref="Q58" si="12">SUM(Q49:Q57)</f>
        <v>14.121229140625218</v>
      </c>
      <c r="R58" s="128">
        <f t="shared" ref="R58" si="13">SUM(R49:R57)</f>
        <v>17.35154959085154</v>
      </c>
      <c r="S58" s="129">
        <f t="shared" ref="S58" si="14">SUM(S49:S57)</f>
        <v>17.246371343120192</v>
      </c>
      <c r="T58" s="129">
        <f t="shared" ref="T58" si="15">SUM(T49:T57)</f>
        <v>17.142177657071958</v>
      </c>
      <c r="U58" s="129">
        <f t="shared" ref="U58" si="16">SUM(U49:U57)</f>
        <v>17.038952189004341</v>
      </c>
      <c r="V58" s="130">
        <f t="shared" ref="V58" si="17">SUM(V49:V57)</f>
        <v>16.936678961313639</v>
      </c>
      <c r="W58" s="338"/>
      <c r="X58" s="338"/>
      <c r="Y58" s="338"/>
      <c r="Z58" s="338"/>
      <c r="AA58" s="338"/>
      <c r="AB58" s="338"/>
      <c r="AC58" s="338"/>
      <c r="AD58" s="338"/>
      <c r="AE58" s="338"/>
      <c r="AF58" s="338"/>
      <c r="AG58" s="338"/>
      <c r="AH58" s="338"/>
      <c r="AI58" s="338"/>
      <c r="AJ58" s="338"/>
      <c r="AK58" s="338"/>
      <c r="AL58" s="338"/>
      <c r="AM58" s="338"/>
      <c r="AN58" s="338"/>
      <c r="AO58" s="338"/>
      <c r="AP58" s="338"/>
      <c r="AQ58" s="338"/>
      <c r="AR58" s="338"/>
      <c r="AS58" s="338"/>
      <c r="AT58" s="338"/>
      <c r="AU58" s="338"/>
      <c r="AV58" s="338"/>
      <c r="AW58" s="338"/>
      <c r="AX58" s="338"/>
      <c r="AY58" s="338"/>
      <c r="AZ58" s="338"/>
      <c r="BA58" s="338"/>
    </row>
    <row r="59" spans="1:53">
      <c r="A59" s="258"/>
      <c r="B59" s="592"/>
      <c r="C59" s="594"/>
      <c r="D59" s="594"/>
      <c r="E59" s="594"/>
      <c r="F59" s="594"/>
      <c r="G59" s="561"/>
      <c r="H59" s="259"/>
      <c r="I59" s="259"/>
      <c r="J59" s="295"/>
      <c r="K59" s="259"/>
      <c r="L59" s="259"/>
      <c r="M59" s="259"/>
      <c r="N59" s="259"/>
      <c r="O59" s="259"/>
      <c r="P59" s="259"/>
      <c r="Q59" s="296"/>
      <c r="R59" s="295"/>
      <c r="S59" s="259"/>
      <c r="T59" s="259"/>
      <c r="U59" s="259"/>
      <c r="V59" s="296"/>
    </row>
    <row r="60" spans="1:53" ht="15">
      <c r="A60" s="258"/>
      <c r="B60" s="572"/>
      <c r="C60" s="591" t="s">
        <v>2641</v>
      </c>
      <c r="D60" s="591"/>
      <c r="E60" s="591"/>
      <c r="F60" s="591"/>
      <c r="G60" s="339"/>
      <c r="H60" s="259"/>
      <c r="I60" s="260"/>
      <c r="J60" s="295"/>
      <c r="K60" s="259"/>
      <c r="L60" s="259"/>
      <c r="M60" s="259"/>
      <c r="N60" s="259"/>
      <c r="O60" s="259"/>
      <c r="P60" s="259"/>
      <c r="Q60" s="296"/>
      <c r="R60" s="295"/>
      <c r="S60" s="259"/>
      <c r="T60" s="259"/>
      <c r="U60" s="259"/>
      <c r="V60" s="296"/>
    </row>
    <row r="61" spans="1:53" ht="15">
      <c r="A61" s="258"/>
      <c r="B61" s="572"/>
      <c r="C61" s="591"/>
      <c r="D61" s="622" t="s">
        <v>1715</v>
      </c>
      <c r="E61" s="591"/>
      <c r="F61" s="591"/>
      <c r="G61" s="339"/>
      <c r="H61" s="259"/>
      <c r="I61" s="576" t="s">
        <v>498</v>
      </c>
      <c r="J61" s="297">
        <v>0</v>
      </c>
      <c r="K61" s="298">
        <v>0</v>
      </c>
      <c r="L61" s="298">
        <v>0</v>
      </c>
      <c r="M61" s="298">
        <v>0</v>
      </c>
      <c r="N61" s="298">
        <v>0</v>
      </c>
      <c r="O61" s="298">
        <v>0</v>
      </c>
      <c r="P61" s="298">
        <v>0</v>
      </c>
      <c r="Q61" s="299">
        <v>0</v>
      </c>
      <c r="R61" s="297">
        <v>0</v>
      </c>
      <c r="S61" s="298">
        <v>0</v>
      </c>
      <c r="T61" s="298">
        <v>0</v>
      </c>
      <c r="U61" s="298">
        <v>0</v>
      </c>
      <c r="V61" s="299">
        <v>0</v>
      </c>
    </row>
    <row r="62" spans="1:53" ht="15">
      <c r="A62" s="258"/>
      <c r="B62" s="572"/>
      <c r="C62" s="591"/>
      <c r="D62" s="622" t="s">
        <v>118</v>
      </c>
      <c r="E62" s="591"/>
      <c r="F62" s="591"/>
      <c r="G62" s="339"/>
      <c r="H62" s="259"/>
      <c r="I62" s="576" t="s">
        <v>498</v>
      </c>
      <c r="J62" s="297">
        <v>0</v>
      </c>
      <c r="K62" s="298">
        <v>0</v>
      </c>
      <c r="L62" s="298">
        <v>0</v>
      </c>
      <c r="M62" s="298">
        <v>0</v>
      </c>
      <c r="N62" s="298">
        <v>0</v>
      </c>
      <c r="O62" s="298">
        <v>0</v>
      </c>
      <c r="P62" s="298">
        <v>0</v>
      </c>
      <c r="Q62" s="299">
        <v>0</v>
      </c>
      <c r="R62" s="297">
        <v>0</v>
      </c>
      <c r="S62" s="298">
        <v>0</v>
      </c>
      <c r="T62" s="298">
        <v>0</v>
      </c>
      <c r="U62" s="298">
        <v>0</v>
      </c>
      <c r="V62" s="299">
        <v>0</v>
      </c>
    </row>
    <row r="63" spans="1:53" ht="15">
      <c r="A63" s="258"/>
      <c r="B63" s="572"/>
      <c r="C63" s="591"/>
      <c r="D63" s="622" t="s">
        <v>1718</v>
      </c>
      <c r="E63" s="591"/>
      <c r="F63" s="591"/>
      <c r="G63" s="339"/>
      <c r="H63" s="259"/>
      <c r="I63" s="576" t="s">
        <v>498</v>
      </c>
      <c r="J63" s="297">
        <v>0</v>
      </c>
      <c r="K63" s="298">
        <v>0</v>
      </c>
      <c r="L63" s="298">
        <v>0</v>
      </c>
      <c r="M63" s="298">
        <v>0</v>
      </c>
      <c r="N63" s="298">
        <v>0</v>
      </c>
      <c r="O63" s="298">
        <v>0</v>
      </c>
      <c r="P63" s="298">
        <v>0</v>
      </c>
      <c r="Q63" s="299">
        <v>0</v>
      </c>
      <c r="R63" s="297">
        <v>0</v>
      </c>
      <c r="S63" s="298">
        <v>0</v>
      </c>
      <c r="T63" s="298">
        <v>0</v>
      </c>
      <c r="U63" s="298">
        <v>0</v>
      </c>
      <c r="V63" s="299">
        <v>0</v>
      </c>
    </row>
    <row r="64" spans="1:53" ht="15">
      <c r="A64" s="258"/>
      <c r="B64" s="572"/>
      <c r="C64" s="591"/>
      <c r="D64" s="622" t="s">
        <v>1716</v>
      </c>
      <c r="E64" s="591"/>
      <c r="F64" s="591"/>
      <c r="G64" s="339"/>
      <c r="H64" s="259"/>
      <c r="I64" s="576" t="s">
        <v>498</v>
      </c>
      <c r="J64" s="297">
        <v>0</v>
      </c>
      <c r="K64" s="298">
        <v>0</v>
      </c>
      <c r="L64" s="298">
        <v>0</v>
      </c>
      <c r="M64" s="298">
        <v>0</v>
      </c>
      <c r="N64" s="298">
        <v>0</v>
      </c>
      <c r="O64" s="298">
        <v>0</v>
      </c>
      <c r="P64" s="298">
        <v>0</v>
      </c>
      <c r="Q64" s="299">
        <v>0</v>
      </c>
      <c r="R64" s="297">
        <v>0</v>
      </c>
      <c r="S64" s="298">
        <v>0</v>
      </c>
      <c r="T64" s="298">
        <v>0</v>
      </c>
      <c r="U64" s="298">
        <v>0</v>
      </c>
      <c r="V64" s="299">
        <v>0</v>
      </c>
    </row>
    <row r="65" spans="1:22" ht="15">
      <c r="A65" s="258"/>
      <c r="B65" s="572"/>
      <c r="C65" s="591"/>
      <c r="D65" s="622" t="s">
        <v>1717</v>
      </c>
      <c r="E65" s="591"/>
      <c r="F65" s="591"/>
      <c r="G65" s="339"/>
      <c r="H65" s="259"/>
      <c r="I65" s="576" t="s">
        <v>498</v>
      </c>
      <c r="J65" s="297">
        <v>0</v>
      </c>
      <c r="K65" s="298">
        <v>0</v>
      </c>
      <c r="L65" s="298">
        <v>0</v>
      </c>
      <c r="M65" s="298">
        <v>0</v>
      </c>
      <c r="N65" s="298">
        <v>0</v>
      </c>
      <c r="O65" s="298">
        <v>0</v>
      </c>
      <c r="P65" s="298">
        <v>0</v>
      </c>
      <c r="Q65" s="299">
        <v>0</v>
      </c>
      <c r="R65" s="297">
        <v>0</v>
      </c>
      <c r="S65" s="298">
        <v>0</v>
      </c>
      <c r="T65" s="298">
        <v>0</v>
      </c>
      <c r="U65" s="298">
        <v>0</v>
      </c>
      <c r="V65" s="299">
        <v>0</v>
      </c>
    </row>
    <row r="66" spans="1:22" ht="15">
      <c r="A66" s="258"/>
      <c r="B66" s="572"/>
      <c r="C66" s="591"/>
      <c r="D66" s="622" t="s">
        <v>1719</v>
      </c>
      <c r="E66" s="591"/>
      <c r="F66" s="591"/>
      <c r="G66" s="339"/>
      <c r="H66" s="259"/>
      <c r="I66" s="576" t="s">
        <v>498</v>
      </c>
      <c r="J66" s="297">
        <v>0</v>
      </c>
      <c r="K66" s="298">
        <v>0</v>
      </c>
      <c r="L66" s="298">
        <v>0</v>
      </c>
      <c r="M66" s="298">
        <v>0</v>
      </c>
      <c r="N66" s="298">
        <v>0</v>
      </c>
      <c r="O66" s="298">
        <v>0</v>
      </c>
      <c r="P66" s="298">
        <v>0</v>
      </c>
      <c r="Q66" s="299">
        <v>0</v>
      </c>
      <c r="R66" s="297">
        <v>0</v>
      </c>
      <c r="S66" s="298">
        <v>0</v>
      </c>
      <c r="T66" s="298">
        <v>0</v>
      </c>
      <c r="U66" s="298">
        <v>0</v>
      </c>
      <c r="V66" s="299">
        <v>0</v>
      </c>
    </row>
    <row r="67" spans="1:22" ht="15">
      <c r="A67" s="258"/>
      <c r="B67" s="572"/>
      <c r="C67" s="591"/>
      <c r="D67" s="622" t="s">
        <v>1721</v>
      </c>
      <c r="E67" s="591"/>
      <c r="F67" s="591"/>
      <c r="G67" s="339"/>
      <c r="H67" s="259"/>
      <c r="I67" s="576" t="s">
        <v>498</v>
      </c>
      <c r="J67" s="297">
        <v>0</v>
      </c>
      <c r="K67" s="298">
        <v>0</v>
      </c>
      <c r="L67" s="298">
        <v>0</v>
      </c>
      <c r="M67" s="298">
        <v>0</v>
      </c>
      <c r="N67" s="298">
        <v>0</v>
      </c>
      <c r="O67" s="298">
        <v>0</v>
      </c>
      <c r="P67" s="298">
        <v>0</v>
      </c>
      <c r="Q67" s="299">
        <v>0</v>
      </c>
      <c r="R67" s="297">
        <v>0</v>
      </c>
      <c r="S67" s="298">
        <v>0</v>
      </c>
      <c r="T67" s="298">
        <v>0</v>
      </c>
      <c r="U67" s="298">
        <v>0</v>
      </c>
      <c r="V67" s="299">
        <v>0</v>
      </c>
    </row>
    <row r="68" spans="1:22" ht="15">
      <c r="A68" s="258"/>
      <c r="B68" s="572"/>
      <c r="C68" s="591"/>
      <c r="D68" s="622" t="s">
        <v>1720</v>
      </c>
      <c r="E68" s="591"/>
      <c r="F68" s="591"/>
      <c r="G68" s="339"/>
      <c r="H68" s="259"/>
      <c r="I68" s="576" t="s">
        <v>498</v>
      </c>
      <c r="J68" s="297">
        <v>0</v>
      </c>
      <c r="K68" s="298">
        <v>0</v>
      </c>
      <c r="L68" s="298">
        <v>0</v>
      </c>
      <c r="M68" s="298">
        <v>0</v>
      </c>
      <c r="N68" s="298">
        <v>0</v>
      </c>
      <c r="O68" s="298">
        <v>0</v>
      </c>
      <c r="P68" s="298">
        <v>0</v>
      </c>
      <c r="Q68" s="299">
        <v>0</v>
      </c>
      <c r="R68" s="297">
        <v>0</v>
      </c>
      <c r="S68" s="298">
        <v>0</v>
      </c>
      <c r="T68" s="298">
        <v>0</v>
      </c>
      <c r="U68" s="298">
        <v>0</v>
      </c>
      <c r="V68" s="299">
        <v>0</v>
      </c>
    </row>
    <row r="69" spans="1:22" ht="15">
      <c r="A69" s="258"/>
      <c r="B69" s="572"/>
      <c r="C69" s="591"/>
      <c r="D69" s="1384" t="s">
        <v>1676</v>
      </c>
      <c r="E69" s="591"/>
      <c r="F69" s="591"/>
      <c r="G69" s="339"/>
      <c r="H69" s="259"/>
      <c r="I69" s="576" t="s">
        <v>498</v>
      </c>
      <c r="J69" s="297">
        <v>0</v>
      </c>
      <c r="K69" s="298">
        <v>0</v>
      </c>
      <c r="L69" s="298">
        <v>0</v>
      </c>
      <c r="M69" s="298">
        <v>0</v>
      </c>
      <c r="N69" s="298">
        <v>0</v>
      </c>
      <c r="O69" s="298">
        <v>0</v>
      </c>
      <c r="P69" s="298">
        <v>0</v>
      </c>
      <c r="Q69" s="299">
        <v>0</v>
      </c>
      <c r="R69" s="297">
        <v>0</v>
      </c>
      <c r="S69" s="298">
        <v>0</v>
      </c>
      <c r="T69" s="298">
        <v>0</v>
      </c>
      <c r="U69" s="298">
        <v>0</v>
      </c>
      <c r="V69" s="299">
        <v>0</v>
      </c>
    </row>
    <row r="70" spans="1:22">
      <c r="A70" s="258"/>
      <c r="B70" s="592"/>
      <c r="C70" s="593" t="s">
        <v>1710</v>
      </c>
      <c r="D70" s="593"/>
      <c r="E70" s="593"/>
      <c r="F70" s="593"/>
      <c r="G70" s="593"/>
      <c r="H70" s="259"/>
      <c r="I70" s="164" t="s">
        <v>498</v>
      </c>
      <c r="J70" s="128">
        <f>SUM(J61:J69)</f>
        <v>0</v>
      </c>
      <c r="K70" s="129">
        <f t="shared" ref="K70:V70" si="18">SUM(K61:K69)</f>
        <v>0</v>
      </c>
      <c r="L70" s="129">
        <f t="shared" si="18"/>
        <v>0</v>
      </c>
      <c r="M70" s="129">
        <f t="shared" si="18"/>
        <v>0</v>
      </c>
      <c r="N70" s="129">
        <f t="shared" si="18"/>
        <v>0</v>
      </c>
      <c r="O70" s="129">
        <f t="shared" si="18"/>
        <v>0</v>
      </c>
      <c r="P70" s="129">
        <f t="shared" si="18"/>
        <v>0</v>
      </c>
      <c r="Q70" s="130">
        <f t="shared" si="18"/>
        <v>0</v>
      </c>
      <c r="R70" s="128">
        <f t="shared" si="18"/>
        <v>0</v>
      </c>
      <c r="S70" s="129">
        <f t="shared" si="18"/>
        <v>0</v>
      </c>
      <c r="T70" s="129">
        <f t="shared" si="18"/>
        <v>0</v>
      </c>
      <c r="U70" s="129">
        <f t="shared" si="18"/>
        <v>0</v>
      </c>
      <c r="V70" s="130">
        <f t="shared" si="18"/>
        <v>0</v>
      </c>
    </row>
    <row r="71" spans="1:22">
      <c r="A71" s="258"/>
      <c r="B71" s="592"/>
      <c r="C71" s="594"/>
      <c r="D71" s="594"/>
      <c r="E71" s="594"/>
      <c r="F71" s="594"/>
      <c r="G71" s="561"/>
      <c r="H71" s="259"/>
      <c r="I71" s="259"/>
      <c r="J71" s="295"/>
      <c r="K71" s="259"/>
      <c r="L71" s="259"/>
      <c r="M71" s="259"/>
      <c r="N71" s="259"/>
      <c r="O71" s="259"/>
      <c r="P71" s="259"/>
      <c r="Q71" s="296"/>
      <c r="R71" s="295"/>
      <c r="S71" s="259"/>
      <c r="T71" s="259"/>
      <c r="U71" s="259"/>
      <c r="V71" s="296"/>
    </row>
    <row r="72" spans="1:22" ht="15.75" thickBot="1">
      <c r="A72" s="258"/>
      <c r="B72" s="754" t="s">
        <v>1701</v>
      </c>
      <c r="C72" s="595"/>
      <c r="D72" s="595"/>
      <c r="E72" s="595"/>
      <c r="F72" s="595"/>
      <c r="G72" s="596"/>
      <c r="H72" s="300"/>
      <c r="I72" s="581" t="s">
        <v>498</v>
      </c>
      <c r="J72" s="627">
        <f>SUM(J58,J70)</f>
        <v>22.16657853165248</v>
      </c>
      <c r="K72" s="628">
        <f t="shared" ref="K72:V72" si="19">SUM(K58,K70)</f>
        <v>21.475495291469105</v>
      </c>
      <c r="L72" s="628">
        <f t="shared" si="19"/>
        <v>22.603226622667151</v>
      </c>
      <c r="M72" s="628">
        <f t="shared" si="19"/>
        <v>20.816343064088276</v>
      </c>
      <c r="N72" s="628">
        <f t="shared" si="19"/>
        <v>20.212020909738893</v>
      </c>
      <c r="O72" s="628">
        <f t="shared" si="19"/>
        <v>15.604401999999997</v>
      </c>
      <c r="P72" s="628">
        <f t="shared" si="19"/>
        <v>15.536133252030419</v>
      </c>
      <c r="Q72" s="629">
        <f t="shared" si="19"/>
        <v>14.121229140625218</v>
      </c>
      <c r="R72" s="627">
        <f t="shared" si="19"/>
        <v>17.35154959085154</v>
      </c>
      <c r="S72" s="628">
        <f t="shared" si="19"/>
        <v>17.246371343120192</v>
      </c>
      <c r="T72" s="628">
        <f t="shared" si="19"/>
        <v>17.142177657071958</v>
      </c>
      <c r="U72" s="628">
        <f t="shared" si="19"/>
        <v>17.038952189004341</v>
      </c>
      <c r="V72" s="629">
        <f t="shared" si="19"/>
        <v>16.936678961313639</v>
      </c>
    </row>
    <row r="73" spans="1:22" ht="15" thickBot="1">
      <c r="A73" s="258"/>
    </row>
    <row r="74" spans="1:22" ht="30" customHeight="1" thickBot="1">
      <c r="A74" s="258"/>
      <c r="B74" s="557" t="s">
        <v>2642</v>
      </c>
      <c r="C74" s="558"/>
      <c r="D74" s="558"/>
      <c r="E74" s="558"/>
      <c r="F74" s="558"/>
      <c r="G74" s="559"/>
      <c r="H74" s="294"/>
      <c r="I74" s="105" t="s">
        <v>1864</v>
      </c>
      <c r="J74" s="106"/>
      <c r="K74" s="106"/>
      <c r="L74" s="106"/>
      <c r="M74" s="106"/>
      <c r="N74" s="106"/>
      <c r="O74" s="106"/>
      <c r="P74" s="106"/>
      <c r="Q74" s="106"/>
      <c r="R74" s="105"/>
      <c r="S74" s="105"/>
      <c r="T74" s="105"/>
      <c r="U74" s="105"/>
      <c r="V74" s="187"/>
    </row>
    <row r="75" spans="1:22" ht="30" customHeight="1">
      <c r="A75" s="258"/>
      <c r="B75" s="560"/>
      <c r="C75" s="561"/>
      <c r="D75" s="561"/>
      <c r="E75" s="561"/>
      <c r="F75" s="561"/>
      <c r="G75" s="561"/>
      <c r="H75" s="259"/>
      <c r="I75" s="562"/>
      <c r="J75" s="563" t="s">
        <v>1666</v>
      </c>
      <c r="K75" s="564"/>
      <c r="L75" s="564"/>
      <c r="M75" s="564"/>
      <c r="N75" s="564"/>
      <c r="O75" s="564"/>
      <c r="P75" s="564"/>
      <c r="Q75" s="565"/>
      <c r="R75" s="566" t="s">
        <v>2</v>
      </c>
      <c r="S75" s="567"/>
      <c r="T75" s="567"/>
      <c r="U75" s="567"/>
      <c r="V75" s="568"/>
    </row>
    <row r="76" spans="1:22" ht="15">
      <c r="A76" s="258"/>
      <c r="B76" s="572"/>
      <c r="C76" s="339"/>
      <c r="D76" s="339"/>
      <c r="E76" s="339"/>
      <c r="F76" s="339"/>
      <c r="G76" s="339"/>
      <c r="H76" s="259"/>
      <c r="I76" s="571" t="s">
        <v>1667</v>
      </c>
      <c r="J76" s="518" t="s">
        <v>453</v>
      </c>
      <c r="K76" s="515" t="s">
        <v>455</v>
      </c>
      <c r="L76" s="515" t="s">
        <v>457</v>
      </c>
      <c r="M76" s="515" t="s">
        <v>459</v>
      </c>
      <c r="N76" s="515" t="s">
        <v>461</v>
      </c>
      <c r="O76" s="515" t="s">
        <v>463</v>
      </c>
      <c r="P76" s="515" t="s">
        <v>465</v>
      </c>
      <c r="Q76" s="516" t="s">
        <v>467</v>
      </c>
      <c r="R76" s="508" t="s">
        <v>469</v>
      </c>
      <c r="S76" s="509" t="s">
        <v>471</v>
      </c>
      <c r="T76" s="509" t="s">
        <v>473</v>
      </c>
      <c r="U76" s="509" t="s">
        <v>475</v>
      </c>
      <c r="V76" s="510" t="s">
        <v>477</v>
      </c>
    </row>
    <row r="77" spans="1:22" ht="15">
      <c r="A77" s="258"/>
      <c r="B77" s="572"/>
      <c r="C77" s="591" t="s">
        <v>2643</v>
      </c>
      <c r="D77" s="591"/>
      <c r="E77" s="591"/>
      <c r="F77" s="591"/>
      <c r="G77" s="339"/>
      <c r="H77" s="259"/>
      <c r="I77" s="260"/>
      <c r="J77" s="295"/>
      <c r="K77" s="259"/>
      <c r="L77" s="259"/>
      <c r="M77" s="259"/>
      <c r="N77" s="259"/>
      <c r="O77" s="259"/>
      <c r="P77" s="259"/>
      <c r="Q77" s="296"/>
      <c r="R77" s="295"/>
      <c r="S77" s="259"/>
      <c r="T77" s="259"/>
      <c r="U77" s="259"/>
      <c r="V77" s="296"/>
    </row>
    <row r="78" spans="1:22">
      <c r="A78" s="258"/>
      <c r="B78" s="592"/>
      <c r="C78" s="593"/>
      <c r="D78" s="162" t="s">
        <v>64</v>
      </c>
      <c r="E78" s="593"/>
      <c r="F78" s="593"/>
      <c r="G78" s="593"/>
      <c r="H78" s="259"/>
      <c r="I78" s="576" t="s">
        <v>498</v>
      </c>
      <c r="J78" s="297">
        <v>2.6218927355346842</v>
      </c>
      <c r="K78" s="298">
        <v>2.8912745317567756</v>
      </c>
      <c r="L78" s="298">
        <v>4.3343008995233205</v>
      </c>
      <c r="M78" s="298">
        <v>3.0867021343463912</v>
      </c>
      <c r="N78" s="298">
        <v>2.0951193710663114</v>
      </c>
      <c r="O78" s="298">
        <v>2.9280624900000025</v>
      </c>
      <c r="P78" s="298">
        <v>2.8861110065279614</v>
      </c>
      <c r="Q78" s="299">
        <v>3.6532196525938443</v>
      </c>
      <c r="R78" s="297">
        <v>2.4543813536957253</v>
      </c>
      <c r="S78" s="298">
        <v>4.2189489273542655</v>
      </c>
      <c r="T78" s="298">
        <v>4.9308623359120265</v>
      </c>
      <c r="U78" s="298">
        <v>3.8669890325118006</v>
      </c>
      <c r="V78" s="299">
        <v>3.9991694369839474</v>
      </c>
    </row>
    <row r="79" spans="1:22">
      <c r="A79" s="258"/>
      <c r="B79" s="592"/>
      <c r="C79" s="593"/>
      <c r="D79" s="162" t="s">
        <v>172</v>
      </c>
      <c r="E79" s="593"/>
      <c r="F79" s="593"/>
      <c r="G79" s="593"/>
      <c r="H79" s="259"/>
      <c r="I79" s="576" t="s">
        <v>498</v>
      </c>
      <c r="J79" s="297">
        <v>0.30317538804272076</v>
      </c>
      <c r="K79" s="298">
        <v>0.33432461451350648</v>
      </c>
      <c r="L79" s="298">
        <v>0.51728638410335359</v>
      </c>
      <c r="M79" s="298">
        <v>0.41440428883815333</v>
      </c>
      <c r="N79" s="298">
        <v>0.38783667703015512</v>
      </c>
      <c r="O79" s="298">
        <v>0.45888159000000012</v>
      </c>
      <c r="P79" s="298">
        <v>1.12436040315508</v>
      </c>
      <c r="Q79" s="299">
        <v>2.1115321276434962</v>
      </c>
      <c r="R79" s="297">
        <v>1.2761564996843582</v>
      </c>
      <c r="S79" s="298">
        <v>1.4124295320303448</v>
      </c>
      <c r="T79" s="298">
        <v>1.5231566221783908</v>
      </c>
      <c r="U79" s="298">
        <v>1.5804960000708159</v>
      </c>
      <c r="V79" s="299">
        <v>1.8375765328944489</v>
      </c>
    </row>
    <row r="80" spans="1:22">
      <c r="A80" s="258"/>
      <c r="B80" s="592"/>
      <c r="C80" s="593"/>
      <c r="D80" s="162" t="s">
        <v>2044</v>
      </c>
      <c r="E80" s="593"/>
      <c r="F80" s="593"/>
      <c r="G80" s="593"/>
      <c r="H80" s="259"/>
      <c r="I80" s="576" t="s">
        <v>498</v>
      </c>
      <c r="J80" s="297">
        <v>0</v>
      </c>
      <c r="K80" s="298">
        <v>0</v>
      </c>
      <c r="L80" s="298">
        <v>0.24204931322297316</v>
      </c>
      <c r="M80" s="298">
        <v>0.81838122420239079</v>
      </c>
      <c r="N80" s="298">
        <v>0.71612785772958409</v>
      </c>
      <c r="O80" s="298">
        <v>0.14913909000000003</v>
      </c>
      <c r="P80" s="298">
        <v>0</v>
      </c>
      <c r="Q80" s="299">
        <v>0</v>
      </c>
      <c r="R80" s="297">
        <v>0</v>
      </c>
      <c r="S80" s="298">
        <v>0</v>
      </c>
      <c r="T80" s="298">
        <v>0</v>
      </c>
      <c r="U80" s="298">
        <v>0</v>
      </c>
      <c r="V80" s="299">
        <v>0</v>
      </c>
    </row>
    <row r="81" spans="1:22">
      <c r="A81" s="258"/>
      <c r="B81" s="592"/>
      <c r="C81" s="593"/>
      <c r="D81" s="162" t="s">
        <v>66</v>
      </c>
      <c r="E81" s="593"/>
      <c r="F81" s="593"/>
      <c r="G81" s="593"/>
      <c r="H81" s="259"/>
      <c r="I81" s="576" t="s">
        <v>498</v>
      </c>
      <c r="J81" s="297">
        <v>0.2304669501542054</v>
      </c>
      <c r="K81" s="298">
        <v>0.25414587498623376</v>
      </c>
      <c r="L81" s="298">
        <v>0.28259158348446606</v>
      </c>
      <c r="M81" s="298">
        <v>0.86061938162419982</v>
      </c>
      <c r="N81" s="298">
        <v>0.39047261316343518</v>
      </c>
      <c r="O81" s="298">
        <v>0.47501606000000024</v>
      </c>
      <c r="P81" s="298">
        <v>0.6418937002856423</v>
      </c>
      <c r="Q81" s="299">
        <v>0.55830510560088709</v>
      </c>
      <c r="R81" s="297">
        <v>0.34097824103848279</v>
      </c>
      <c r="S81" s="298">
        <v>0.35357953467224773</v>
      </c>
      <c r="T81" s="298">
        <v>0.35143272368481704</v>
      </c>
      <c r="U81" s="298">
        <v>0.3586585895862992</v>
      </c>
      <c r="V81" s="299">
        <v>0.40198454558139118</v>
      </c>
    </row>
    <row r="82" spans="1:22">
      <c r="A82" s="258"/>
      <c r="B82" s="592"/>
      <c r="C82" s="593"/>
      <c r="D82" s="162" t="s">
        <v>67</v>
      </c>
      <c r="E82" s="593"/>
      <c r="F82" s="593"/>
      <c r="G82" s="593"/>
      <c r="H82" s="259"/>
      <c r="I82" s="576" t="s">
        <v>498</v>
      </c>
      <c r="J82" s="297">
        <v>5.0232451347630187</v>
      </c>
      <c r="K82" s="298">
        <v>5.5393496950017864</v>
      </c>
      <c r="L82" s="298">
        <v>6.2592713655706369</v>
      </c>
      <c r="M82" s="298">
        <v>4.8924662275384732</v>
      </c>
      <c r="N82" s="298">
        <v>6.2523620512190323</v>
      </c>
      <c r="O82" s="298">
        <v>5.9010749687499988</v>
      </c>
      <c r="P82" s="298">
        <v>5.5437342894565251</v>
      </c>
      <c r="Q82" s="299">
        <v>5.5255337521003494</v>
      </c>
      <c r="R82" s="297">
        <v>6.1673468931275695</v>
      </c>
      <c r="S82" s="298">
        <v>6.6338313237504218</v>
      </c>
      <c r="T82" s="298">
        <v>6.8270957419654357</v>
      </c>
      <c r="U82" s="298">
        <v>7.2078080296074649</v>
      </c>
      <c r="V82" s="299">
        <v>5.1408559699856369</v>
      </c>
    </row>
    <row r="83" spans="1:22">
      <c r="A83" s="258"/>
      <c r="B83" s="592"/>
      <c r="C83" s="593"/>
      <c r="D83" s="162" t="s">
        <v>68</v>
      </c>
      <c r="E83" s="593"/>
      <c r="F83" s="593"/>
      <c r="G83" s="593"/>
      <c r="H83" s="259"/>
      <c r="I83" s="576" t="s">
        <v>498</v>
      </c>
      <c r="J83" s="297">
        <v>3.4437622359451634</v>
      </c>
      <c r="K83" s="298">
        <v>3.7975855805495069</v>
      </c>
      <c r="L83" s="298">
        <v>5.41546087092288</v>
      </c>
      <c r="M83" s="298">
        <v>6.1865849886490167</v>
      </c>
      <c r="N83" s="298">
        <v>6.6132338902327241</v>
      </c>
      <c r="O83" s="298">
        <v>5.4548306100000001</v>
      </c>
      <c r="P83" s="298">
        <v>5.3113952468802292</v>
      </c>
      <c r="Q83" s="299">
        <v>3.6749674728718409</v>
      </c>
      <c r="R83" s="297">
        <v>3.0993624513981386</v>
      </c>
      <c r="S83" s="298">
        <v>2.6497844956188117</v>
      </c>
      <c r="T83" s="298">
        <v>1.8613835959980205</v>
      </c>
      <c r="U83" s="298">
        <v>1.4801876429444287</v>
      </c>
      <c r="V83" s="299">
        <v>1.1916526840890476</v>
      </c>
    </row>
    <row r="84" spans="1:22" ht="15.75" thickBot="1">
      <c r="A84" s="258"/>
      <c r="B84" s="754" t="s">
        <v>1701</v>
      </c>
      <c r="C84" s="240"/>
      <c r="D84" s="595"/>
      <c r="E84" s="595"/>
      <c r="F84" s="595"/>
      <c r="G84" s="596"/>
      <c r="H84" s="300"/>
      <c r="I84" s="581" t="s">
        <v>498</v>
      </c>
      <c r="J84" s="627">
        <f>SUM(J78:J83)</f>
        <v>11.622542444439793</v>
      </c>
      <c r="K84" s="628">
        <f t="shared" ref="K84:V84" si="20">SUM(K78:K83)</f>
        <v>12.816680296807808</v>
      </c>
      <c r="L84" s="628">
        <f t="shared" si="20"/>
        <v>17.050960416827628</v>
      </c>
      <c r="M84" s="628">
        <f t="shared" si="20"/>
        <v>16.259158245198623</v>
      </c>
      <c r="N84" s="628">
        <f t="shared" si="20"/>
        <v>16.455152460441241</v>
      </c>
      <c r="O84" s="628">
        <f t="shared" si="20"/>
        <v>15.367004808750002</v>
      </c>
      <c r="P84" s="628">
        <f t="shared" si="20"/>
        <v>15.507494646305437</v>
      </c>
      <c r="Q84" s="629">
        <f t="shared" si="20"/>
        <v>15.523558110810416</v>
      </c>
      <c r="R84" s="627">
        <f t="shared" si="20"/>
        <v>13.338225438944274</v>
      </c>
      <c r="S84" s="628">
        <f t="shared" si="20"/>
        <v>15.268573813426093</v>
      </c>
      <c r="T84" s="628">
        <f t="shared" si="20"/>
        <v>15.493931019738691</v>
      </c>
      <c r="U84" s="628">
        <f t="shared" si="20"/>
        <v>14.49413929472081</v>
      </c>
      <c r="V84" s="629">
        <f t="shared" si="20"/>
        <v>12.571239169534474</v>
      </c>
    </row>
    <row r="85" spans="1:22" ht="15" thickBot="1">
      <c r="A85" s="258"/>
    </row>
    <row r="86" spans="1:22" ht="30" customHeight="1" thickBot="1">
      <c r="A86" s="258"/>
      <c r="B86" s="557" t="s">
        <v>2644</v>
      </c>
      <c r="C86" s="558"/>
      <c r="D86" s="558"/>
      <c r="E86" s="558"/>
      <c r="F86" s="558"/>
      <c r="G86" s="559"/>
      <c r="H86" s="294"/>
      <c r="I86" s="105" t="s">
        <v>1864</v>
      </c>
      <c r="J86" s="106"/>
      <c r="K86" s="106"/>
      <c r="L86" s="106"/>
      <c r="M86" s="106"/>
      <c r="N86" s="106"/>
      <c r="O86" s="106"/>
      <c r="P86" s="106"/>
      <c r="Q86" s="106"/>
      <c r="R86" s="105"/>
      <c r="S86" s="105"/>
      <c r="T86" s="105"/>
      <c r="U86" s="105"/>
      <c r="V86" s="187"/>
    </row>
    <row r="87" spans="1:22" ht="30" customHeight="1">
      <c r="A87" s="258"/>
      <c r="B87" s="560"/>
      <c r="C87" s="561"/>
      <c r="D87" s="561"/>
      <c r="E87" s="561"/>
      <c r="F87" s="561"/>
      <c r="G87" s="561"/>
      <c r="H87" s="259"/>
      <c r="I87" s="562"/>
      <c r="J87" s="563" t="s">
        <v>1666</v>
      </c>
      <c r="K87" s="564"/>
      <c r="L87" s="564"/>
      <c r="M87" s="564"/>
      <c r="N87" s="564"/>
      <c r="O87" s="564"/>
      <c r="P87" s="564"/>
      <c r="Q87" s="565"/>
      <c r="R87" s="566" t="s">
        <v>2</v>
      </c>
      <c r="S87" s="567"/>
      <c r="T87" s="567"/>
      <c r="U87" s="567"/>
      <c r="V87" s="568"/>
    </row>
    <row r="88" spans="1:22" ht="15">
      <c r="A88" s="258"/>
      <c r="B88" s="572"/>
      <c r="C88" s="339"/>
      <c r="D88" s="339"/>
      <c r="E88" s="339"/>
      <c r="F88" s="339"/>
      <c r="G88" s="339"/>
      <c r="H88" s="259"/>
      <c r="I88" s="571" t="s">
        <v>1667</v>
      </c>
      <c r="J88" s="518" t="s">
        <v>453</v>
      </c>
      <c r="K88" s="515" t="s">
        <v>455</v>
      </c>
      <c r="L88" s="515" t="s">
        <v>457</v>
      </c>
      <c r="M88" s="515" t="s">
        <v>459</v>
      </c>
      <c r="N88" s="515" t="s">
        <v>461</v>
      </c>
      <c r="O88" s="515" t="s">
        <v>463</v>
      </c>
      <c r="P88" s="515" t="s">
        <v>465</v>
      </c>
      <c r="Q88" s="516" t="s">
        <v>467</v>
      </c>
      <c r="R88" s="508" t="s">
        <v>469</v>
      </c>
      <c r="S88" s="509" t="s">
        <v>471</v>
      </c>
      <c r="T88" s="509" t="s">
        <v>473</v>
      </c>
      <c r="U88" s="509" t="s">
        <v>475</v>
      </c>
      <c r="V88" s="510" t="s">
        <v>477</v>
      </c>
    </row>
    <row r="89" spans="1:22" ht="15">
      <c r="A89" s="258"/>
      <c r="B89" s="572"/>
      <c r="C89" s="591" t="s">
        <v>2645</v>
      </c>
      <c r="D89" s="591"/>
      <c r="E89" s="591"/>
      <c r="F89" s="591"/>
      <c r="G89" s="339"/>
      <c r="H89" s="259"/>
      <c r="I89" s="260"/>
      <c r="J89" s="295"/>
      <c r="K89" s="259"/>
      <c r="L89" s="259"/>
      <c r="M89" s="259"/>
      <c r="N89" s="259"/>
      <c r="O89" s="259"/>
      <c r="P89" s="259"/>
      <c r="Q89" s="296"/>
      <c r="R89" s="295"/>
      <c r="S89" s="259"/>
      <c r="T89" s="259"/>
      <c r="U89" s="259"/>
      <c r="V89" s="296"/>
    </row>
    <row r="90" spans="1:22">
      <c r="A90" s="258"/>
      <c r="B90" s="592"/>
      <c r="C90" s="593"/>
      <c r="D90" s="162" t="s">
        <v>2046</v>
      </c>
      <c r="E90" s="593"/>
      <c r="F90" s="593"/>
      <c r="G90" s="593"/>
      <c r="H90" s="259"/>
      <c r="I90" s="576" t="s">
        <v>498</v>
      </c>
      <c r="J90" s="297">
        <v>13.787611895637363</v>
      </c>
      <c r="K90" s="298">
        <v>13.048433629108395</v>
      </c>
      <c r="L90" s="298">
        <v>16.313635658681452</v>
      </c>
      <c r="M90" s="298">
        <v>15.327824113066686</v>
      </c>
      <c r="N90" s="298">
        <v>14.653574373847846</v>
      </c>
      <c r="O90" s="298">
        <v>11.05129249460456</v>
      </c>
      <c r="P90" s="298">
        <v>11.002943451683707</v>
      </c>
      <c r="Q90" s="299">
        <v>10.000885238433536</v>
      </c>
      <c r="R90" s="297">
        <v>12.28865096933138</v>
      </c>
      <c r="S90" s="298">
        <v>12.214162015525325</v>
      </c>
      <c r="T90" s="298">
        <v>12.140370344392393</v>
      </c>
      <c r="U90" s="298">
        <v>12.0672643810554</v>
      </c>
      <c r="V90" s="299">
        <v>11.994832809914309</v>
      </c>
    </row>
    <row r="91" spans="1:22">
      <c r="A91" s="258"/>
      <c r="B91" s="592"/>
      <c r="C91" s="593"/>
      <c r="D91" s="162" t="s">
        <v>2047</v>
      </c>
      <c r="E91" s="593"/>
      <c r="F91" s="593"/>
      <c r="G91" s="593"/>
      <c r="H91" s="259"/>
      <c r="I91" s="576" t="s">
        <v>498</v>
      </c>
      <c r="J91" s="297">
        <v>0.58910905254469736</v>
      </c>
      <c r="K91" s="298">
        <v>0.54356794807937803</v>
      </c>
      <c r="L91" s="298">
        <v>0.49695835813322004</v>
      </c>
      <c r="M91" s="298">
        <v>0.39163120226056908</v>
      </c>
      <c r="N91" s="298">
        <v>0.62951071760158139</v>
      </c>
      <c r="O91" s="298">
        <v>0.27586042385940002</v>
      </c>
      <c r="P91" s="298">
        <v>0.2746535435347815</v>
      </c>
      <c r="Q91" s="299">
        <v>0.24964034226679022</v>
      </c>
      <c r="R91" s="297">
        <v>0.30674714896153704</v>
      </c>
      <c r="S91" s="298">
        <v>0.30488776876869406</v>
      </c>
      <c r="T91" s="298">
        <v>0.30304579402357151</v>
      </c>
      <c r="U91" s="298">
        <v>0.30122093579611636</v>
      </c>
      <c r="V91" s="299">
        <v>0.29941291162830619</v>
      </c>
    </row>
    <row r="92" spans="1:22">
      <c r="A92" s="258"/>
      <c r="B92" s="592"/>
      <c r="C92" s="593"/>
      <c r="D92" s="162" t="s">
        <v>2048</v>
      </c>
      <c r="E92" s="593"/>
      <c r="F92" s="593"/>
      <c r="G92" s="593"/>
      <c r="H92" s="259"/>
      <c r="I92" s="576" t="s">
        <v>498</v>
      </c>
      <c r="J92" s="297">
        <v>2.6921007541642421</v>
      </c>
      <c r="K92" s="298">
        <v>1.56216064931109</v>
      </c>
      <c r="L92" s="298">
        <v>1.5329113226187288</v>
      </c>
      <c r="M92" s="298">
        <v>1.2553890652634065</v>
      </c>
      <c r="N92" s="298">
        <v>2.3929501286704085</v>
      </c>
      <c r="O92" s="298">
        <v>2.4774871549501674</v>
      </c>
      <c r="P92" s="298">
        <v>2.4666482297430905</v>
      </c>
      <c r="Q92" s="299">
        <v>2.2420060575219081</v>
      </c>
      <c r="R92" s="297">
        <v>2.7548791187137791</v>
      </c>
      <c r="S92" s="298">
        <v>2.7381801284074165</v>
      </c>
      <c r="T92" s="298">
        <v>2.7216374554609355</v>
      </c>
      <c r="U92" s="298">
        <v>2.7052485050095667</v>
      </c>
      <c r="V92" s="299">
        <v>2.6890107403134893</v>
      </c>
    </row>
    <row r="93" spans="1:22">
      <c r="A93" s="258"/>
      <c r="B93" s="592"/>
      <c r="C93" s="593"/>
      <c r="D93" s="162" t="s">
        <v>2049</v>
      </c>
      <c r="E93" s="593"/>
      <c r="F93" s="593"/>
      <c r="G93" s="593"/>
      <c r="H93" s="259"/>
      <c r="I93" s="576" t="s">
        <v>498</v>
      </c>
      <c r="J93" s="297">
        <v>0.72244163058081012</v>
      </c>
      <c r="K93" s="298">
        <v>0.80947689043845472</v>
      </c>
      <c r="L93" s="298">
        <v>1.3415265403819998</v>
      </c>
      <c r="M93" s="298">
        <v>0.91731627263216908</v>
      </c>
      <c r="N93" s="298">
        <v>1.5757270581795457</v>
      </c>
      <c r="O93" s="298">
        <v>0.75375431544141991</v>
      </c>
      <c r="P93" s="298">
        <v>0.7504566649840777</v>
      </c>
      <c r="Q93" s="299">
        <v>0.68211120195976727</v>
      </c>
      <c r="R93" s="297">
        <v>0.83814845219317957</v>
      </c>
      <c r="S93" s="298">
        <v>0.83306792695946208</v>
      </c>
      <c r="T93" s="298">
        <v>0.82803495994793508</v>
      </c>
      <c r="U93" s="298">
        <v>0.823048761693146</v>
      </c>
      <c r="V93" s="299">
        <v>0.81810856041366165</v>
      </c>
    </row>
    <row r="94" spans="1:22">
      <c r="A94" s="258"/>
      <c r="B94" s="592"/>
      <c r="C94" s="593"/>
      <c r="D94" s="162" t="s">
        <v>2022</v>
      </c>
      <c r="E94" s="593"/>
      <c r="F94" s="593"/>
      <c r="G94" s="593"/>
      <c r="H94" s="259"/>
      <c r="I94" s="576" t="s">
        <v>498</v>
      </c>
      <c r="J94" s="297">
        <v>3.4145423847450518</v>
      </c>
      <c r="K94" s="298">
        <v>3.8181288093988477</v>
      </c>
      <c r="L94" s="298">
        <v>1.5421610763152673</v>
      </c>
      <c r="M94" s="298">
        <v>1.2949644218155794</v>
      </c>
      <c r="N94" s="298">
        <v>0.38406041067450747</v>
      </c>
      <c r="O94" s="298">
        <v>0.36711987002558916</v>
      </c>
      <c r="P94" s="298">
        <v>0.36551373261119791</v>
      </c>
      <c r="Q94" s="299">
        <v>0.33222572750355273</v>
      </c>
      <c r="R94" s="297">
        <v>0.40822446323389922</v>
      </c>
      <c r="S94" s="298">
        <v>0.40574996759884363</v>
      </c>
      <c r="T94" s="298">
        <v>0.4032986354376038</v>
      </c>
      <c r="U94" s="298">
        <v>0.40087008223701887</v>
      </c>
      <c r="V94" s="299">
        <v>0.39846393209701947</v>
      </c>
    </row>
    <row r="95" spans="1:22">
      <c r="A95" s="258"/>
      <c r="B95" s="592"/>
      <c r="C95" s="593"/>
      <c r="D95" s="162" t="s">
        <v>2050</v>
      </c>
      <c r="E95" s="593"/>
      <c r="F95" s="593"/>
      <c r="G95" s="593"/>
      <c r="H95" s="259"/>
      <c r="I95" s="576" t="s">
        <v>498</v>
      </c>
      <c r="J95" s="297">
        <v>0.95948291983372647</v>
      </c>
      <c r="K95" s="298">
        <v>1.6746783666884113</v>
      </c>
      <c r="L95" s="298">
        <v>1.3210234987409075</v>
      </c>
      <c r="M95" s="298">
        <v>1.5537539503524229</v>
      </c>
      <c r="N95" s="298">
        <v>0.5881207624351722</v>
      </c>
      <c r="O95" s="298">
        <v>0.64219760695129136</v>
      </c>
      <c r="P95" s="298">
        <v>0.63938801344199669</v>
      </c>
      <c r="Q95" s="299">
        <v>0.58115777594811757</v>
      </c>
      <c r="R95" s="297">
        <v>0.71410129168304692</v>
      </c>
      <c r="S95" s="298">
        <v>0.70977269139471788</v>
      </c>
      <c r="T95" s="298">
        <v>0.70548461064419565</v>
      </c>
      <c r="U95" s="298">
        <v>0.70123637680803519</v>
      </c>
      <c r="V95" s="299">
        <v>0.69702733232955072</v>
      </c>
    </row>
    <row r="96" spans="1:22">
      <c r="A96" s="258"/>
      <c r="B96" s="592"/>
      <c r="C96" s="593"/>
      <c r="D96" s="162" t="s">
        <v>2015</v>
      </c>
      <c r="E96" s="593"/>
      <c r="F96" s="593"/>
      <c r="G96" s="593"/>
      <c r="H96" s="259"/>
      <c r="I96" s="576" t="s">
        <v>498</v>
      </c>
      <c r="J96" s="297">
        <v>1.2898941465866107E-3</v>
      </c>
      <c r="K96" s="298">
        <v>1.9048998444523423E-2</v>
      </c>
      <c r="L96" s="298">
        <v>5.5010167795573855E-2</v>
      </c>
      <c r="M96" s="298">
        <v>7.546403869743662E-2</v>
      </c>
      <c r="N96" s="298">
        <v>-1.1922541670171281E-2</v>
      </c>
      <c r="O96" s="298">
        <v>3.6690134167572559E-2</v>
      </c>
      <c r="P96" s="298">
        <v>3.6529616031571191E-2</v>
      </c>
      <c r="Q96" s="299">
        <v>3.3202796991552437E-2</v>
      </c>
      <c r="R96" s="297">
        <v>4.0798146734724726E-2</v>
      </c>
      <c r="S96" s="298">
        <v>4.0550844465738492E-2</v>
      </c>
      <c r="T96" s="298">
        <v>4.0305857165326489E-2</v>
      </c>
      <c r="U96" s="298">
        <v>4.0063146405060805E-2</v>
      </c>
      <c r="V96" s="299">
        <v>3.9822674617309983E-2</v>
      </c>
    </row>
    <row r="97" spans="1:22" ht="15.75" thickBot="1">
      <c r="A97" s="258"/>
      <c r="B97" s="754" t="s">
        <v>1701</v>
      </c>
      <c r="C97" s="240"/>
      <c r="D97" s="595"/>
      <c r="E97" s="595"/>
      <c r="F97" s="595"/>
      <c r="G97" s="596"/>
      <c r="H97" s="300"/>
      <c r="I97" s="581" t="s">
        <v>498</v>
      </c>
      <c r="J97" s="627">
        <f>SUM(J90:J96)</f>
        <v>22.16657853165248</v>
      </c>
      <c r="K97" s="628">
        <f t="shared" ref="K97:V97" si="21">SUM(K90:K96)</f>
        <v>21.475495291469102</v>
      </c>
      <c r="L97" s="628">
        <f t="shared" si="21"/>
        <v>22.603226622667147</v>
      </c>
      <c r="M97" s="628">
        <f t="shared" si="21"/>
        <v>20.816343064088272</v>
      </c>
      <c r="N97" s="628">
        <f t="shared" si="21"/>
        <v>20.212020909738889</v>
      </c>
      <c r="O97" s="628">
        <f t="shared" si="21"/>
        <v>15.604402000000002</v>
      </c>
      <c r="P97" s="628">
        <f t="shared" si="21"/>
        <v>15.536133252030425</v>
      </c>
      <c r="Q97" s="629">
        <f t="shared" si="21"/>
        <v>14.121229140625225</v>
      </c>
      <c r="R97" s="627">
        <f t="shared" si="21"/>
        <v>17.351549590851551</v>
      </c>
      <c r="S97" s="628">
        <f t="shared" si="21"/>
        <v>17.246371343120199</v>
      </c>
      <c r="T97" s="628">
        <f t="shared" si="21"/>
        <v>17.142177657071958</v>
      </c>
      <c r="U97" s="628">
        <f t="shared" si="21"/>
        <v>17.038952189004341</v>
      </c>
      <c r="V97" s="629">
        <f t="shared" si="21"/>
        <v>16.936678961313643</v>
      </c>
    </row>
    <row r="98" spans="1:22">
      <c r="A98" s="258"/>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FF6600"/>
    <pageSetUpPr fitToPage="1"/>
  </sheetPr>
  <dimension ref="A1:CD194"/>
  <sheetViews>
    <sheetView showGridLines="0" topLeftCell="A61" zoomScale="80" zoomScaleNormal="80" workbookViewId="0">
      <pane xSplit="7" topLeftCell="BA1" activePane="topRight" state="frozen"/>
      <selection activeCell="G14" sqref="G14"/>
      <selection pane="topRight" activeCell="BC146" sqref="BC146"/>
    </sheetView>
  </sheetViews>
  <sheetFormatPr defaultColWidth="11.875" defaultRowHeight="12.75"/>
  <cols>
    <col min="1" max="1" width="11.875" style="173" customWidth="1"/>
    <col min="2" max="6" width="4.375" style="174" customWidth="1"/>
    <col min="7" max="7" width="40.5" style="173" customWidth="1"/>
    <col min="8" max="8" width="11.875" style="173" customWidth="1"/>
    <col min="9" max="9" width="15.625" style="175" customWidth="1"/>
    <col min="10" max="22" width="15.625" style="173" customWidth="1"/>
    <col min="23" max="23" width="11.875" style="173"/>
    <col min="24" max="33" width="15.625" style="173" customWidth="1"/>
    <col min="34" max="34" width="15.625" style="175" customWidth="1"/>
    <col min="35" max="37" width="15.625" style="173" customWidth="1"/>
    <col min="38" max="38" width="14.125" style="173" customWidth="1"/>
    <col min="39" max="42" width="15.625" style="173" customWidth="1"/>
    <col min="43" max="43" width="15.625" style="175" customWidth="1"/>
    <col min="44" max="82" width="15.625" style="173" customWidth="1"/>
    <col min="83" max="16384" width="11.875" style="173"/>
  </cols>
  <sheetData>
    <row r="1" spans="1:82" s="2" customFormat="1" ht="25.15" customHeight="1">
      <c r="A1" s="1" t="s">
        <v>0</v>
      </c>
      <c r="E1" s="3"/>
      <c r="H1" s="4" t="s">
        <v>1</v>
      </c>
      <c r="J1" s="3"/>
    </row>
    <row r="2" spans="1:82" s="2" customFormat="1" ht="25.15" customHeight="1">
      <c r="A2" s="5" t="str">
        <f>Fixed_Data!I12</f>
        <v>MASTER</v>
      </c>
      <c r="B2" s="6"/>
      <c r="D2" s="7"/>
      <c r="E2" s="3"/>
    </row>
    <row r="3" spans="1:82" s="9" customFormat="1" ht="25.15" customHeight="1" thickBot="1">
      <c r="A3" s="8" t="str">
        <f>Fixed_Data!A3</f>
        <v>RIIO-GD2</v>
      </c>
      <c r="D3" s="10"/>
      <c r="E3" s="11"/>
    </row>
    <row r="4" spans="1:82" s="89" customFormat="1" ht="25.15" customHeight="1">
      <c r="B4" s="90" t="s">
        <v>2646</v>
      </c>
      <c r="C4" s="90"/>
      <c r="D4" s="90"/>
      <c r="E4" s="90"/>
      <c r="F4" s="90"/>
      <c r="G4" s="91"/>
      <c r="H4" s="92"/>
      <c r="I4" s="93"/>
      <c r="J4" s="94"/>
      <c r="K4" s="94"/>
      <c r="L4" s="94"/>
      <c r="M4" s="94"/>
      <c r="N4" s="94"/>
      <c r="O4" s="94"/>
      <c r="P4" s="94"/>
      <c r="Q4" s="94"/>
      <c r="R4" s="92"/>
      <c r="S4" s="92"/>
      <c r="T4" s="92"/>
      <c r="U4" s="92"/>
      <c r="V4" s="92"/>
      <c r="W4" s="94"/>
      <c r="X4" s="94"/>
      <c r="Y4" s="94"/>
      <c r="Z4" s="94"/>
      <c r="AA4" s="94"/>
      <c r="AB4" s="92"/>
      <c r="AC4" s="92"/>
      <c r="AD4" s="92"/>
      <c r="AE4" s="92"/>
      <c r="AF4" s="92"/>
      <c r="AG4" s="92"/>
      <c r="AH4" s="93"/>
      <c r="AI4" s="94"/>
      <c r="AJ4" s="94"/>
      <c r="AK4" s="94"/>
      <c r="AL4" s="92"/>
      <c r="AM4" s="92"/>
      <c r="AN4" s="92"/>
      <c r="AO4" s="92"/>
      <c r="AP4" s="92"/>
      <c r="AQ4" s="92"/>
      <c r="AR4" s="92"/>
      <c r="AS4" s="92"/>
      <c r="AT4" s="94"/>
      <c r="AU4" s="92"/>
      <c r="AV4" s="92"/>
      <c r="AW4" s="92"/>
      <c r="AX4" s="92"/>
      <c r="AY4" s="92"/>
      <c r="AZ4" s="92"/>
    </row>
    <row r="5" spans="1:82" s="89" customFormat="1" ht="25.15" customHeight="1">
      <c r="B5" s="95" t="s">
        <v>1663</v>
      </c>
      <c r="C5" s="95"/>
      <c r="E5" s="254"/>
      <c r="F5" s="95" t="s">
        <v>463</v>
      </c>
      <c r="G5" s="95"/>
      <c r="H5" s="95"/>
      <c r="I5" s="93"/>
      <c r="J5" s="94"/>
      <c r="K5" s="94"/>
      <c r="L5" s="94"/>
      <c r="M5" s="94"/>
      <c r="N5" s="94"/>
      <c r="O5" s="94"/>
      <c r="P5" s="94"/>
      <c r="Q5" s="94"/>
      <c r="R5" s="92"/>
      <c r="S5" s="92"/>
      <c r="T5" s="92"/>
      <c r="U5" s="92"/>
      <c r="V5" s="92"/>
      <c r="W5" s="94"/>
      <c r="X5" s="94"/>
      <c r="Y5" s="94"/>
      <c r="Z5" s="94"/>
      <c r="AA5" s="94"/>
      <c r="AB5" s="92"/>
      <c r="AC5" s="92"/>
      <c r="AD5" s="92"/>
      <c r="AE5" s="92"/>
      <c r="AF5" s="92"/>
      <c r="AG5" s="92"/>
      <c r="AH5" s="93"/>
      <c r="AI5" s="94"/>
      <c r="AJ5" s="94"/>
      <c r="AK5" s="94"/>
      <c r="AL5" s="92"/>
      <c r="AM5" s="92"/>
      <c r="AN5" s="92"/>
      <c r="AO5" s="92"/>
      <c r="AP5" s="92"/>
      <c r="AQ5" s="92"/>
      <c r="AR5" s="92"/>
      <c r="AS5" s="92"/>
      <c r="AT5" s="94"/>
      <c r="AU5" s="92"/>
      <c r="AV5" s="92"/>
      <c r="AW5" s="92"/>
      <c r="AX5" s="92"/>
      <c r="AY5" s="92"/>
      <c r="AZ5" s="92"/>
    </row>
    <row r="6" spans="1:82" s="89" customFormat="1" ht="15" customHeight="1">
      <c r="B6" s="95"/>
      <c r="C6" s="95"/>
      <c r="D6" s="95"/>
      <c r="E6" s="95"/>
      <c r="F6" s="95"/>
      <c r="G6" s="95"/>
      <c r="H6" s="95"/>
      <c r="I6" s="93"/>
      <c r="J6" s="94"/>
      <c r="K6" s="94"/>
      <c r="L6" s="94"/>
      <c r="M6" s="94"/>
      <c r="N6" s="94"/>
      <c r="O6" s="94"/>
      <c r="P6" s="94"/>
      <c r="Q6" s="94"/>
      <c r="R6" s="92"/>
      <c r="S6" s="92"/>
      <c r="T6" s="92"/>
      <c r="U6" s="92"/>
      <c r="V6" s="92"/>
      <c r="W6" s="94"/>
      <c r="X6" s="94"/>
      <c r="Y6" s="94"/>
      <c r="Z6" s="94"/>
      <c r="AA6" s="94"/>
      <c r="AB6" s="92"/>
      <c r="AC6" s="92"/>
      <c r="AD6" s="92"/>
      <c r="AE6" s="92"/>
      <c r="AF6" s="92"/>
      <c r="AG6" s="92"/>
      <c r="AH6" s="93"/>
      <c r="AI6" s="94"/>
      <c r="AJ6" s="94"/>
      <c r="AK6" s="94"/>
      <c r="AL6" s="92"/>
      <c r="AM6" s="92"/>
      <c r="AN6" s="92"/>
      <c r="AO6" s="92"/>
      <c r="AP6" s="92"/>
      <c r="AQ6" s="92"/>
      <c r="AR6" s="92"/>
      <c r="AS6" s="92"/>
      <c r="AT6" s="94"/>
      <c r="AU6" s="92"/>
      <c r="AV6" s="92"/>
      <c r="AW6" s="92"/>
      <c r="AX6" s="92"/>
      <c r="AY6" s="92"/>
      <c r="AZ6" s="92"/>
    </row>
    <row r="7" spans="1:82"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7"/>
      <c r="AD7" s="97"/>
      <c r="AE7" s="97"/>
      <c r="AF7" s="97"/>
      <c r="AG7" s="97"/>
      <c r="AH7" s="96"/>
      <c r="AI7" s="97"/>
      <c r="AJ7" s="97"/>
      <c r="AK7" s="97"/>
      <c r="AL7" s="97"/>
      <c r="AM7" s="97"/>
      <c r="AN7" s="97"/>
      <c r="AO7" s="97"/>
      <c r="AP7" s="97"/>
      <c r="AQ7" s="96"/>
      <c r="AR7" s="98"/>
      <c r="AS7" s="98"/>
      <c r="AT7" s="98"/>
      <c r="AU7" s="98"/>
      <c r="AV7" s="98"/>
      <c r="AW7" s="98"/>
      <c r="AX7" s="98"/>
      <c r="AY7" s="98"/>
      <c r="AZ7" s="98"/>
    </row>
    <row r="8" spans="1:82" s="99" customFormat="1" ht="30" customHeight="1" thickBot="1">
      <c r="A8" s="89"/>
      <c r="B8" s="621" t="s">
        <v>72</v>
      </c>
      <c r="C8" s="102"/>
      <c r="D8" s="102"/>
      <c r="E8" s="102"/>
      <c r="F8" s="102"/>
      <c r="G8" s="103"/>
      <c r="H8" s="103"/>
      <c r="I8" s="106" t="s">
        <v>1864</v>
      </c>
      <c r="J8" s="106"/>
      <c r="K8" s="106"/>
      <c r="L8" s="106"/>
      <c r="M8" s="106"/>
      <c r="N8" s="106"/>
      <c r="O8" s="106"/>
      <c r="P8" s="106"/>
      <c r="Q8" s="106"/>
      <c r="R8" s="105"/>
      <c r="S8" s="105"/>
      <c r="T8" s="105"/>
      <c r="U8" s="105"/>
      <c r="V8" s="187"/>
      <c r="W8" s="103"/>
      <c r="X8" s="106" t="s">
        <v>2202</v>
      </c>
      <c r="Y8" s="106"/>
      <c r="Z8" s="106"/>
      <c r="AA8" s="106"/>
      <c r="AB8" s="106"/>
      <c r="AC8" s="106"/>
      <c r="AD8" s="106"/>
      <c r="AE8" s="106"/>
      <c r="AF8" s="106"/>
      <c r="AG8" s="105"/>
      <c r="AH8" s="105"/>
      <c r="AI8" s="105"/>
      <c r="AJ8" s="105"/>
      <c r="AK8" s="187"/>
      <c r="AL8" s="103"/>
      <c r="AM8" s="106" t="s">
        <v>1704</v>
      </c>
      <c r="AN8" s="106"/>
      <c r="AO8" s="106"/>
      <c r="AP8" s="106"/>
      <c r="AQ8" s="106"/>
      <c r="AR8" s="106"/>
      <c r="AS8" s="106"/>
      <c r="AT8" s="106"/>
      <c r="AU8" s="106"/>
      <c r="AV8" s="105"/>
      <c r="AW8" s="105"/>
      <c r="AX8" s="105"/>
      <c r="AY8" s="105"/>
      <c r="AZ8" s="187"/>
      <c r="BA8" s="103"/>
      <c r="BB8" s="106" t="s">
        <v>2231</v>
      </c>
      <c r="BC8" s="106"/>
      <c r="BD8" s="106"/>
      <c r="BE8" s="106"/>
      <c r="BF8" s="106"/>
      <c r="BG8" s="106"/>
      <c r="BH8" s="106"/>
      <c r="BI8" s="106"/>
      <c r="BJ8" s="106"/>
      <c r="BK8" s="105"/>
      <c r="BL8" s="105"/>
      <c r="BM8" s="105"/>
      <c r="BN8" s="105"/>
      <c r="BO8" s="187"/>
      <c r="BP8" s="103"/>
      <c r="BQ8" s="105" t="s">
        <v>2414</v>
      </c>
      <c r="BR8" s="106"/>
      <c r="BS8" s="106"/>
      <c r="BT8" s="106"/>
      <c r="BU8" s="106"/>
      <c r="BV8" s="106"/>
      <c r="BW8" s="106"/>
      <c r="BX8" s="106"/>
      <c r="BY8" s="106"/>
      <c r="BZ8" s="105"/>
      <c r="CA8" s="105"/>
      <c r="CB8" s="105"/>
      <c r="CC8" s="105"/>
      <c r="CD8" s="187"/>
    </row>
    <row r="9" spans="1:82" s="99" customFormat="1" ht="30" customHeight="1">
      <c r="A9" s="89"/>
      <c r="B9" s="109"/>
      <c r="C9" s="95"/>
      <c r="D9" s="95"/>
      <c r="E9" s="95"/>
      <c r="F9" s="95"/>
      <c r="G9" s="95"/>
      <c r="H9" s="95"/>
      <c r="I9" s="1343"/>
      <c r="J9" s="917" t="s">
        <v>1666</v>
      </c>
      <c r="K9" s="152"/>
      <c r="L9" s="152"/>
      <c r="M9" s="152"/>
      <c r="N9" s="152"/>
      <c r="O9" s="152"/>
      <c r="P9" s="152"/>
      <c r="Q9" s="153"/>
      <c r="R9" s="871" t="s">
        <v>2</v>
      </c>
      <c r="S9" s="155"/>
      <c r="T9" s="155"/>
      <c r="U9" s="155"/>
      <c r="V9" s="156"/>
      <c r="W9" s="111"/>
      <c r="X9" s="1343"/>
      <c r="Y9" s="917" t="s">
        <v>1666</v>
      </c>
      <c r="Z9" s="152"/>
      <c r="AA9" s="152"/>
      <c r="AB9" s="152"/>
      <c r="AC9" s="152"/>
      <c r="AD9" s="152"/>
      <c r="AE9" s="152"/>
      <c r="AF9" s="153"/>
      <c r="AG9" s="871" t="s">
        <v>2</v>
      </c>
      <c r="AH9" s="155"/>
      <c r="AI9" s="155"/>
      <c r="AJ9" s="155"/>
      <c r="AK9" s="156"/>
      <c r="AL9" s="111"/>
      <c r="AM9" s="1343"/>
      <c r="AN9" s="917" t="s">
        <v>1666</v>
      </c>
      <c r="AO9" s="152"/>
      <c r="AP9" s="152"/>
      <c r="AQ9" s="152"/>
      <c r="AR9" s="152"/>
      <c r="AS9" s="152"/>
      <c r="AT9" s="152"/>
      <c r="AU9" s="153"/>
      <c r="AV9" s="871" t="s">
        <v>2</v>
      </c>
      <c r="AW9" s="155"/>
      <c r="AX9" s="155"/>
      <c r="AY9" s="155"/>
      <c r="AZ9" s="156"/>
      <c r="BA9" s="111"/>
      <c r="BB9" s="1343"/>
      <c r="BC9" s="695" t="s">
        <v>1666</v>
      </c>
      <c r="BD9" s="152"/>
      <c r="BE9" s="152"/>
      <c r="BF9" s="152"/>
      <c r="BG9" s="152"/>
      <c r="BH9" s="152"/>
      <c r="BI9" s="152"/>
      <c r="BJ9" s="153"/>
      <c r="BK9" s="871" t="s">
        <v>2</v>
      </c>
      <c r="BL9" s="155"/>
      <c r="BM9" s="155"/>
      <c r="BN9" s="155"/>
      <c r="BO9" s="156"/>
      <c r="BP9" s="111"/>
      <c r="BQ9" s="117"/>
      <c r="BR9" s="695" t="s">
        <v>1666</v>
      </c>
      <c r="BS9" s="152"/>
      <c r="BT9" s="152"/>
      <c r="BU9" s="152"/>
      <c r="BV9" s="152"/>
      <c r="BW9" s="152"/>
      <c r="BX9" s="152"/>
      <c r="BY9" s="153"/>
      <c r="BZ9" s="871" t="s">
        <v>2</v>
      </c>
      <c r="CA9" s="155"/>
      <c r="CB9" s="155"/>
      <c r="CC9" s="155"/>
      <c r="CD9" s="156"/>
    </row>
    <row r="10" spans="1:82" s="99" customFormat="1" ht="15" customHeight="1">
      <c r="A10" s="89"/>
      <c r="B10" s="115"/>
      <c r="C10" s="95"/>
      <c r="D10" s="95"/>
      <c r="E10" s="95"/>
      <c r="F10" s="95"/>
      <c r="G10" s="95"/>
      <c r="H10" s="95"/>
      <c r="I10" s="138" t="s">
        <v>1667</v>
      </c>
      <c r="J10" s="236" t="s">
        <v>453</v>
      </c>
      <c r="K10" s="137" t="s">
        <v>455</v>
      </c>
      <c r="L10" s="137" t="s">
        <v>457</v>
      </c>
      <c r="M10" s="137" t="s">
        <v>459</v>
      </c>
      <c r="N10" s="137" t="s">
        <v>461</v>
      </c>
      <c r="O10" s="137" t="s">
        <v>463</v>
      </c>
      <c r="P10" s="137" t="s">
        <v>465</v>
      </c>
      <c r="Q10" s="138" t="s">
        <v>467</v>
      </c>
      <c r="R10" s="242" t="s">
        <v>469</v>
      </c>
      <c r="S10" s="121" t="s">
        <v>471</v>
      </c>
      <c r="T10" s="121" t="s">
        <v>473</v>
      </c>
      <c r="U10" s="121" t="s">
        <v>475</v>
      </c>
      <c r="V10" s="122" t="s">
        <v>477</v>
      </c>
      <c r="W10" s="117"/>
      <c r="X10" s="138" t="s">
        <v>1667</v>
      </c>
      <c r="Y10" s="236" t="s">
        <v>453</v>
      </c>
      <c r="Z10" s="137" t="s">
        <v>455</v>
      </c>
      <c r="AA10" s="137" t="s">
        <v>457</v>
      </c>
      <c r="AB10" s="137" t="s">
        <v>459</v>
      </c>
      <c r="AC10" s="137" t="s">
        <v>461</v>
      </c>
      <c r="AD10" s="137" t="s">
        <v>463</v>
      </c>
      <c r="AE10" s="137" t="s">
        <v>465</v>
      </c>
      <c r="AF10" s="138" t="s">
        <v>467</v>
      </c>
      <c r="AG10" s="242" t="s">
        <v>469</v>
      </c>
      <c r="AH10" s="121" t="s">
        <v>471</v>
      </c>
      <c r="AI10" s="121" t="s">
        <v>473</v>
      </c>
      <c r="AJ10" s="121" t="s">
        <v>475</v>
      </c>
      <c r="AK10" s="122" t="s">
        <v>477</v>
      </c>
      <c r="AL10" s="117"/>
      <c r="AM10" s="138" t="s">
        <v>1667</v>
      </c>
      <c r="AN10" s="236" t="s">
        <v>453</v>
      </c>
      <c r="AO10" s="137" t="s">
        <v>455</v>
      </c>
      <c r="AP10" s="137" t="s">
        <v>457</v>
      </c>
      <c r="AQ10" s="137" t="s">
        <v>459</v>
      </c>
      <c r="AR10" s="137" t="s">
        <v>461</v>
      </c>
      <c r="AS10" s="137" t="s">
        <v>463</v>
      </c>
      <c r="AT10" s="137" t="s">
        <v>465</v>
      </c>
      <c r="AU10" s="138" t="s">
        <v>467</v>
      </c>
      <c r="AV10" s="242" t="s">
        <v>469</v>
      </c>
      <c r="AW10" s="121" t="s">
        <v>471</v>
      </c>
      <c r="AX10" s="121" t="s">
        <v>473</v>
      </c>
      <c r="AY10" s="121" t="s">
        <v>475</v>
      </c>
      <c r="AZ10" s="122" t="s">
        <v>477</v>
      </c>
      <c r="BA10" s="117"/>
      <c r="BB10" s="138" t="s">
        <v>1667</v>
      </c>
      <c r="BC10" s="158" t="s">
        <v>453</v>
      </c>
      <c r="BD10" s="137" t="s">
        <v>455</v>
      </c>
      <c r="BE10" s="137" t="s">
        <v>457</v>
      </c>
      <c r="BF10" s="137" t="s">
        <v>459</v>
      </c>
      <c r="BG10" s="137" t="s">
        <v>461</v>
      </c>
      <c r="BH10" s="137" t="s">
        <v>463</v>
      </c>
      <c r="BI10" s="137" t="s">
        <v>465</v>
      </c>
      <c r="BJ10" s="138" t="s">
        <v>467</v>
      </c>
      <c r="BK10" s="242" t="s">
        <v>469</v>
      </c>
      <c r="BL10" s="121" t="s">
        <v>471</v>
      </c>
      <c r="BM10" s="121" t="s">
        <v>473</v>
      </c>
      <c r="BN10" s="121" t="s">
        <v>475</v>
      </c>
      <c r="BO10" s="122" t="s">
        <v>477</v>
      </c>
      <c r="BP10" s="117"/>
      <c r="BQ10" s="119" t="s">
        <v>1667</v>
      </c>
      <c r="BR10" s="158" t="s">
        <v>453</v>
      </c>
      <c r="BS10" s="137" t="s">
        <v>455</v>
      </c>
      <c r="BT10" s="137" t="s">
        <v>457</v>
      </c>
      <c r="BU10" s="137" t="s">
        <v>459</v>
      </c>
      <c r="BV10" s="137" t="s">
        <v>461</v>
      </c>
      <c r="BW10" s="137" t="s">
        <v>463</v>
      </c>
      <c r="BX10" s="137" t="s">
        <v>465</v>
      </c>
      <c r="BY10" s="138" t="s">
        <v>467</v>
      </c>
      <c r="BZ10" s="242" t="s">
        <v>469</v>
      </c>
      <c r="CA10" s="121" t="s">
        <v>471</v>
      </c>
      <c r="CB10" s="121" t="s">
        <v>473</v>
      </c>
      <c r="CC10" s="121" t="s">
        <v>475</v>
      </c>
      <c r="CD10" s="122" t="s">
        <v>477</v>
      </c>
    </row>
    <row r="11" spans="1:82" s="99" customFormat="1" ht="15" customHeight="1">
      <c r="A11" s="89"/>
      <c r="B11" s="161"/>
      <c r="C11" s="1339" t="s">
        <v>2647</v>
      </c>
      <c r="D11" s="95"/>
      <c r="E11" s="95"/>
      <c r="F11" s="95"/>
      <c r="G11" s="95"/>
      <c r="H11" s="95"/>
      <c r="I11" s="1347"/>
      <c r="J11" s="97"/>
      <c r="K11" s="97"/>
      <c r="L11" s="97"/>
      <c r="M11" s="97"/>
      <c r="N11" s="97"/>
      <c r="O11" s="97"/>
      <c r="P11" s="97"/>
      <c r="Q11" s="668"/>
      <c r="R11" s="97"/>
      <c r="S11" s="97"/>
      <c r="T11" s="97"/>
      <c r="U11" s="97"/>
      <c r="V11" s="668"/>
      <c r="W11" s="97"/>
      <c r="X11" s="668"/>
      <c r="Y11" s="97"/>
      <c r="Z11" s="97"/>
      <c r="AA11" s="97"/>
      <c r="AB11" s="97"/>
      <c r="AC11" s="97"/>
      <c r="AD11" s="97"/>
      <c r="AE11" s="97"/>
      <c r="AF11" s="668"/>
      <c r="AG11" s="97"/>
      <c r="AH11" s="96"/>
      <c r="AI11" s="97"/>
      <c r="AJ11" s="97"/>
      <c r="AK11" s="668"/>
      <c r="AL11" s="97"/>
      <c r="AM11" s="668"/>
      <c r="AN11" s="97"/>
      <c r="AO11" s="97"/>
      <c r="AP11" s="97"/>
      <c r="AQ11" s="96"/>
      <c r="AR11" s="98"/>
      <c r="AS11" s="98"/>
      <c r="AT11" s="98"/>
      <c r="AU11" s="215"/>
      <c r="AV11" s="98"/>
      <c r="AW11" s="98"/>
      <c r="AX11" s="98"/>
      <c r="AY11" s="98"/>
      <c r="AZ11" s="215"/>
      <c r="BB11" s="1341"/>
      <c r="BC11" s="1340"/>
      <c r="BD11" s="1491"/>
      <c r="BE11" s="1491"/>
      <c r="BF11" s="1491"/>
      <c r="BG11" s="1491"/>
      <c r="BH11" s="1491"/>
      <c r="BI11" s="1491"/>
      <c r="BJ11" s="1341"/>
      <c r="BK11" s="1491"/>
      <c r="BL11" s="1491"/>
      <c r="BM11" s="1491"/>
      <c r="BN11" s="1491"/>
      <c r="BO11" s="1341"/>
      <c r="BR11" s="1340"/>
      <c r="BY11" s="1341"/>
      <c r="CD11" s="1341"/>
    </row>
    <row r="12" spans="1:82" s="99" customFormat="1" ht="15" customHeight="1">
      <c r="A12" s="89"/>
      <c r="B12" s="161"/>
      <c r="C12" s="95"/>
      <c r="D12" s="95" t="s">
        <v>2523</v>
      </c>
      <c r="E12" s="95"/>
      <c r="F12" s="95"/>
      <c r="G12" s="95"/>
      <c r="H12" s="95"/>
      <c r="I12" s="1344" t="s">
        <v>498</v>
      </c>
      <c r="J12" s="998">
        <f>J53</f>
        <v>53.242326481003694</v>
      </c>
      <c r="K12" s="998">
        <f t="shared" ref="K12:V12" si="0">K53</f>
        <v>59.20724679598181</v>
      </c>
      <c r="L12" s="998">
        <f t="shared" si="0"/>
        <v>56.307400901580429</v>
      </c>
      <c r="M12" s="998">
        <f t="shared" si="0"/>
        <v>56.794227368466487</v>
      </c>
      <c r="N12" s="998">
        <f t="shared" si="0"/>
        <v>55.648239245556717</v>
      </c>
      <c r="O12" s="998">
        <f t="shared" si="0"/>
        <v>58.538633534690838</v>
      </c>
      <c r="P12" s="998">
        <f t="shared" si="0"/>
        <v>53.365283711155556</v>
      </c>
      <c r="Q12" s="1348">
        <f t="shared" si="0"/>
        <v>49.191345686299947</v>
      </c>
      <c r="R12" s="641">
        <f t="shared" si="0"/>
        <v>55.490989170159999</v>
      </c>
      <c r="S12" s="998">
        <f t="shared" si="0"/>
        <v>55.213534224309186</v>
      </c>
      <c r="T12" s="998">
        <f t="shared" si="0"/>
        <v>54.937466553187654</v>
      </c>
      <c r="U12" s="998">
        <f t="shared" si="0"/>
        <v>54.662779220421704</v>
      </c>
      <c r="V12" s="1351">
        <f t="shared" si="0"/>
        <v>54.389465324319602</v>
      </c>
      <c r="W12" s="185"/>
      <c r="X12" s="1344" t="s">
        <v>498</v>
      </c>
      <c r="Y12" s="998">
        <f>Y53</f>
        <v>-0.33449367641537225</v>
      </c>
      <c r="Z12" s="998">
        <f t="shared" ref="Z12:AK12" si="1">Z53</f>
        <v>-0.78238775594251253</v>
      </c>
      <c r="AA12" s="998">
        <f t="shared" si="1"/>
        <v>-1.0562576199140532</v>
      </c>
      <c r="AB12" s="998">
        <f t="shared" si="1"/>
        <v>-0.1301121703949783</v>
      </c>
      <c r="AC12" s="998">
        <f t="shared" si="1"/>
        <v>-0.59238152378472442</v>
      </c>
      <c r="AD12" s="998">
        <f t="shared" si="1"/>
        <v>-1.0277515257476271</v>
      </c>
      <c r="AE12" s="998">
        <f t="shared" si="1"/>
        <v>-0.36939516126550154</v>
      </c>
      <c r="AF12" s="1348">
        <f t="shared" si="1"/>
        <v>-0.32987492584781664</v>
      </c>
      <c r="AG12" s="641">
        <f t="shared" si="1"/>
        <v>-1.5245749736449068</v>
      </c>
      <c r="AH12" s="998">
        <f t="shared" si="1"/>
        <v>-1.5169520987766825</v>
      </c>
      <c r="AI12" s="998">
        <f t="shared" si="1"/>
        <v>-1.5093673382827986</v>
      </c>
      <c r="AJ12" s="998">
        <f t="shared" si="1"/>
        <v>-1.5018205015913846</v>
      </c>
      <c r="AK12" s="1351">
        <f t="shared" si="1"/>
        <v>-1.4943113990834278</v>
      </c>
      <c r="AL12" s="185"/>
      <c r="AM12" s="1344" t="s">
        <v>498</v>
      </c>
      <c r="AN12" s="641">
        <f>J12+Y12</f>
        <v>52.907832804588324</v>
      </c>
      <c r="AO12" s="642">
        <f t="shared" ref="AO12:AO13" si="2">K12+Z12</f>
        <v>58.424859040039294</v>
      </c>
      <c r="AP12" s="642">
        <f t="shared" ref="AP12:AP13" si="3">L12+AA12</f>
        <v>55.251143281666373</v>
      </c>
      <c r="AQ12" s="642">
        <f t="shared" ref="AQ12:AQ13" si="4">M12+AB12</f>
        <v>56.664115198071507</v>
      </c>
      <c r="AR12" s="642">
        <f t="shared" ref="AR12:AR13" si="5">N12+AC12</f>
        <v>55.055857721771993</v>
      </c>
      <c r="AS12" s="642">
        <f t="shared" ref="AS12:AS13" si="6">O12+AD12</f>
        <v>57.510882008943213</v>
      </c>
      <c r="AT12" s="642">
        <f t="shared" ref="AT12:AT13" si="7">P12+AE12</f>
        <v>52.995888549890054</v>
      </c>
      <c r="AU12" s="643">
        <f t="shared" ref="AU12:AU13" si="8">Q12+AF12</f>
        <v>48.861470760452129</v>
      </c>
      <c r="AV12" s="641">
        <f t="shared" ref="AV12:AV13" si="9">R12+AG12</f>
        <v>53.966414196515089</v>
      </c>
      <c r="AW12" s="642">
        <f t="shared" ref="AW12:AW13" si="10">S12+AH12</f>
        <v>53.696582125532501</v>
      </c>
      <c r="AX12" s="642">
        <f t="shared" ref="AX12:AX13" si="11">T12+AI12</f>
        <v>53.428099214904854</v>
      </c>
      <c r="AY12" s="642">
        <f t="shared" ref="AY12:AY13" si="12">U12+AJ12</f>
        <v>53.160958718830322</v>
      </c>
      <c r="AZ12" s="643">
        <f t="shared" ref="AZ12:AZ13" si="13">V12+AK12</f>
        <v>52.895153925236173</v>
      </c>
      <c r="BA12" s="185"/>
      <c r="BB12" s="1344" t="s">
        <v>2233</v>
      </c>
      <c r="BC12" s="641">
        <f>BC53</f>
        <v>476.41484000000008</v>
      </c>
      <c r="BD12" s="998">
        <f t="shared" ref="BD12:BO12" si="14">BD53</f>
        <v>531.65332000000012</v>
      </c>
      <c r="BE12" s="998">
        <f t="shared" si="14"/>
        <v>471.27901000000003</v>
      </c>
      <c r="BF12" s="998">
        <f t="shared" si="14"/>
        <v>487.64500000000044</v>
      </c>
      <c r="BG12" s="998">
        <f t="shared" si="14"/>
        <v>514.70399999999779</v>
      </c>
      <c r="BH12" s="998">
        <f t="shared" si="14"/>
        <v>530.319999999998</v>
      </c>
      <c r="BI12" s="998">
        <f t="shared" si="14"/>
        <v>495.83594288006788</v>
      </c>
      <c r="BJ12" s="1348">
        <f t="shared" si="14"/>
        <v>469.67986746988117</v>
      </c>
      <c r="BK12" s="641">
        <f t="shared" si="14"/>
        <v>470.59987128090563</v>
      </c>
      <c r="BL12" s="998">
        <f t="shared" si="14"/>
        <v>470.59987128090563</v>
      </c>
      <c r="BM12" s="998">
        <f t="shared" si="14"/>
        <v>470.59987128090563</v>
      </c>
      <c r="BN12" s="998">
        <f t="shared" si="14"/>
        <v>470.59987128090563</v>
      </c>
      <c r="BO12" s="1351">
        <f t="shared" si="14"/>
        <v>470.59987128090563</v>
      </c>
      <c r="BP12" s="185"/>
      <c r="BQ12" s="164" t="s">
        <v>2415</v>
      </c>
      <c r="BR12" s="641">
        <f>IF(BC12,AN12/BC12,0)</f>
        <v>0.1110541241842683</v>
      </c>
      <c r="BS12" s="998">
        <f t="shared" ref="BS12:CD12" si="15">IF(BD12,AO12/BD12,0)</f>
        <v>0.10989277569081912</v>
      </c>
      <c r="BT12" s="998">
        <f t="shared" si="15"/>
        <v>0.11723658832517572</v>
      </c>
      <c r="BU12" s="998">
        <f t="shared" si="15"/>
        <v>0.11619952054890639</v>
      </c>
      <c r="BV12" s="998">
        <f t="shared" si="15"/>
        <v>0.10696605762102535</v>
      </c>
      <c r="BW12" s="998">
        <f t="shared" si="15"/>
        <v>0.10844562152840441</v>
      </c>
      <c r="BX12" s="998">
        <f t="shared" si="15"/>
        <v>0.10688190178804489</v>
      </c>
      <c r="BY12" s="1348">
        <f t="shared" si="15"/>
        <v>0.10403143533416499</v>
      </c>
      <c r="BZ12" s="641">
        <f t="shared" si="15"/>
        <v>0.11467579463977799</v>
      </c>
      <c r="CA12" s="998">
        <f t="shared" si="15"/>
        <v>0.11410241566657907</v>
      </c>
      <c r="CB12" s="998">
        <f t="shared" si="15"/>
        <v>0.11353190358824621</v>
      </c>
      <c r="CC12" s="998">
        <f t="shared" si="15"/>
        <v>0.11296424407030496</v>
      </c>
      <c r="CD12" s="1351">
        <f t="shared" si="15"/>
        <v>0.11239942284995344</v>
      </c>
    </row>
    <row r="13" spans="1:82" s="99" customFormat="1" ht="15" customHeight="1">
      <c r="A13" s="89"/>
      <c r="B13" s="161"/>
      <c r="C13" s="95"/>
      <c r="D13" s="95" t="s">
        <v>1843</v>
      </c>
      <c r="E13" s="95"/>
      <c r="F13" s="95"/>
      <c r="G13" s="95"/>
      <c r="H13" s="95"/>
      <c r="I13" s="1344" t="s">
        <v>498</v>
      </c>
      <c r="J13" s="998">
        <f>J60+J67</f>
        <v>18.400236970703943</v>
      </c>
      <c r="K13" s="998">
        <f t="shared" ref="K13:V13" si="16">K60+K67</f>
        <v>19.056353030985729</v>
      </c>
      <c r="L13" s="998">
        <f t="shared" si="16"/>
        <v>15.250675405831297</v>
      </c>
      <c r="M13" s="998">
        <f t="shared" si="16"/>
        <v>13.959161028358727</v>
      </c>
      <c r="N13" s="998">
        <f t="shared" si="16"/>
        <v>11.015803310625822</v>
      </c>
      <c r="O13" s="998">
        <f t="shared" si="16"/>
        <v>11.569119498034418</v>
      </c>
      <c r="P13" s="998">
        <f t="shared" si="16"/>
        <v>14.652025871582797</v>
      </c>
      <c r="Q13" s="1348">
        <f t="shared" si="16"/>
        <v>13.525392871975372</v>
      </c>
      <c r="R13" s="641">
        <f t="shared" si="16"/>
        <v>9.8332704068194943</v>
      </c>
      <c r="S13" s="998">
        <f t="shared" si="16"/>
        <v>9.784104054785395</v>
      </c>
      <c r="T13" s="998">
        <f t="shared" si="16"/>
        <v>9.735183534511469</v>
      </c>
      <c r="U13" s="998">
        <f t="shared" si="16"/>
        <v>9.6865076168389113</v>
      </c>
      <c r="V13" s="1351">
        <f t="shared" si="16"/>
        <v>9.6380750787547171</v>
      </c>
      <c r="W13" s="185"/>
      <c r="X13" s="1344" t="s">
        <v>498</v>
      </c>
      <c r="Y13" s="998">
        <f>Y60+Y67</f>
        <v>0</v>
      </c>
      <c r="Z13" s="998">
        <f t="shared" ref="Z13:AK13" si="17">Z60+Z67</f>
        <v>0</v>
      </c>
      <c r="AA13" s="998">
        <f t="shared" si="17"/>
        <v>0</v>
      </c>
      <c r="AB13" s="998">
        <f t="shared" si="17"/>
        <v>0</v>
      </c>
      <c r="AC13" s="998">
        <f t="shared" si="17"/>
        <v>0</v>
      </c>
      <c r="AD13" s="998">
        <f t="shared" si="17"/>
        <v>0</v>
      </c>
      <c r="AE13" s="998">
        <f t="shared" si="17"/>
        <v>0</v>
      </c>
      <c r="AF13" s="1348">
        <f t="shared" si="17"/>
        <v>0</v>
      </c>
      <c r="AG13" s="641">
        <f t="shared" si="17"/>
        <v>-2.2820849209811363E-2</v>
      </c>
      <c r="AH13" s="998">
        <f t="shared" si="17"/>
        <v>-2.2706744963762304E-2</v>
      </c>
      <c r="AI13" s="998">
        <f t="shared" si="17"/>
        <v>-2.2593211238943492E-2</v>
      </c>
      <c r="AJ13" s="998">
        <f t="shared" si="17"/>
        <v>-2.2480245182748774E-2</v>
      </c>
      <c r="AK13" s="1351">
        <f t="shared" si="17"/>
        <v>-2.236784395683503E-2</v>
      </c>
      <c r="AL13" s="185"/>
      <c r="AM13" s="1344" t="s">
        <v>498</v>
      </c>
      <c r="AN13" s="641">
        <f t="shared" ref="AN13" si="18">J13+Y13</f>
        <v>18.400236970703943</v>
      </c>
      <c r="AO13" s="642">
        <f t="shared" si="2"/>
        <v>19.056353030985729</v>
      </c>
      <c r="AP13" s="642">
        <f t="shared" si="3"/>
        <v>15.250675405831297</v>
      </c>
      <c r="AQ13" s="642">
        <f t="shared" si="4"/>
        <v>13.959161028358727</v>
      </c>
      <c r="AR13" s="642">
        <f t="shared" si="5"/>
        <v>11.015803310625822</v>
      </c>
      <c r="AS13" s="642">
        <f t="shared" si="6"/>
        <v>11.569119498034418</v>
      </c>
      <c r="AT13" s="642">
        <f t="shared" si="7"/>
        <v>14.652025871582797</v>
      </c>
      <c r="AU13" s="643">
        <f t="shared" si="8"/>
        <v>13.525392871975372</v>
      </c>
      <c r="AV13" s="641">
        <f t="shared" si="9"/>
        <v>9.8104495576096831</v>
      </c>
      <c r="AW13" s="642">
        <f t="shared" si="10"/>
        <v>9.761397309821632</v>
      </c>
      <c r="AX13" s="642">
        <f t="shared" si="11"/>
        <v>9.7125903232725257</v>
      </c>
      <c r="AY13" s="642">
        <f t="shared" si="12"/>
        <v>9.6640273716561627</v>
      </c>
      <c r="AZ13" s="643">
        <f t="shared" si="13"/>
        <v>9.6157072347978829</v>
      </c>
      <c r="BA13" s="185"/>
      <c r="BB13" s="1344" t="s">
        <v>1876</v>
      </c>
      <c r="BC13" s="641">
        <f>BC60+BC67</f>
        <v>34829</v>
      </c>
      <c r="BD13" s="998">
        <f t="shared" ref="BD13:BO13" si="19">BD60+BD67</f>
        <v>37933</v>
      </c>
      <c r="BE13" s="998">
        <f t="shared" si="19"/>
        <v>34732</v>
      </c>
      <c r="BF13" s="998">
        <f t="shared" si="19"/>
        <v>37075</v>
      </c>
      <c r="BG13" s="998">
        <f t="shared" si="19"/>
        <v>39187</v>
      </c>
      <c r="BH13" s="998">
        <f t="shared" si="19"/>
        <v>38445</v>
      </c>
      <c r="BI13" s="998">
        <f t="shared" si="19"/>
        <v>37874.754601091503</v>
      </c>
      <c r="BJ13" s="1348">
        <f t="shared" si="19"/>
        <v>35778.023594496997</v>
      </c>
      <c r="BK13" s="641">
        <f t="shared" si="19"/>
        <v>32346.829525549128</v>
      </c>
      <c r="BL13" s="998">
        <f t="shared" si="19"/>
        <v>32346.829525549128</v>
      </c>
      <c r="BM13" s="998">
        <f t="shared" si="19"/>
        <v>32346.829525549128</v>
      </c>
      <c r="BN13" s="998">
        <f t="shared" si="19"/>
        <v>32346.829525549128</v>
      </c>
      <c r="BO13" s="1351">
        <f t="shared" si="19"/>
        <v>32346.829525549128</v>
      </c>
      <c r="BP13" s="185"/>
      <c r="BQ13" s="164" t="s">
        <v>2648</v>
      </c>
      <c r="BR13" s="641">
        <f>IF(BC13,AN13/BC13,0)</f>
        <v>5.2830218986200993E-4</v>
      </c>
      <c r="BS13" s="998">
        <f t="shared" ref="BS13" si="20">IF(BD13,AO13/BD13,0)</f>
        <v>5.0236872989180205E-4</v>
      </c>
      <c r="BT13" s="998">
        <f t="shared" ref="BT13" si="21">IF(BE13,AP13/BE13,0)</f>
        <v>4.3909580231001082E-4</v>
      </c>
      <c r="BU13" s="998">
        <f t="shared" ref="BU13" si="22">IF(BF13,AQ13/BF13,0)</f>
        <v>3.7651142355654016E-4</v>
      </c>
      <c r="BV13" s="998">
        <f t="shared" ref="BV13" si="23">IF(BG13,AR13/BG13,0)</f>
        <v>2.8110861537310389E-4</v>
      </c>
      <c r="BW13" s="998">
        <f t="shared" ref="BW13" si="24">IF(BH13,AS13/BH13,0)</f>
        <v>3.0092650534619374E-4</v>
      </c>
      <c r="BX13" s="998">
        <f t="shared" ref="BX13" si="25">IF(BI13,AT13/BI13,0)</f>
        <v>3.8685467472733261E-4</v>
      </c>
      <c r="BY13" s="1348">
        <f t="shared" ref="BY13" si="26">IF(BJ13,AU13/BJ13,0)</f>
        <v>3.7803633384756634E-4</v>
      </c>
      <c r="BZ13" s="641">
        <f t="shared" ref="BZ13" si="27">IF(BK13,AV13/BK13,0)</f>
        <v>3.032893702877713E-4</v>
      </c>
      <c r="CA13" s="998">
        <f t="shared" ref="CA13" si="28">IF(BL13,AW13/BL13,0)</f>
        <v>3.0177292343633235E-4</v>
      </c>
      <c r="CB13" s="998">
        <f t="shared" ref="CB13" si="29">IF(BM13,AX13/BM13,0)</f>
        <v>3.0026405881915073E-4</v>
      </c>
      <c r="CC13" s="998">
        <f t="shared" ref="CC13" si="30">IF(BN13,AY13/BN13,0)</f>
        <v>2.9876273852505496E-4</v>
      </c>
      <c r="CD13" s="1351">
        <f t="shared" ref="CD13" si="31">IF(BO13,AZ13/BO13,0)</f>
        <v>2.9726892483242977E-4</v>
      </c>
    </row>
    <row r="14" spans="1:82" s="99" customFormat="1" ht="15" customHeight="1">
      <c r="A14" s="89"/>
      <c r="B14" s="161"/>
      <c r="C14" s="95" t="s">
        <v>1710</v>
      </c>
      <c r="D14" s="95"/>
      <c r="E14" s="95"/>
      <c r="F14" s="95"/>
      <c r="G14" s="95"/>
      <c r="H14" s="95"/>
      <c r="I14" s="1344" t="s">
        <v>498</v>
      </c>
      <c r="J14" s="1342">
        <f>SUM(J12:J13)</f>
        <v>71.642563451707645</v>
      </c>
      <c r="K14" s="1342">
        <f t="shared" ref="K14:V14" si="32">SUM(K12:K13)</f>
        <v>78.263599826967535</v>
      </c>
      <c r="L14" s="1342">
        <f t="shared" si="32"/>
        <v>71.558076307411724</v>
      </c>
      <c r="M14" s="1342">
        <f t="shared" si="32"/>
        <v>70.753388396825216</v>
      </c>
      <c r="N14" s="1342">
        <f t="shared" si="32"/>
        <v>66.664042556182537</v>
      </c>
      <c r="O14" s="1342">
        <f t="shared" si="32"/>
        <v>70.107753032725256</v>
      </c>
      <c r="P14" s="1342">
        <f t="shared" si="32"/>
        <v>68.017309582738349</v>
      </c>
      <c r="Q14" s="1349">
        <f t="shared" si="32"/>
        <v>62.716738558275317</v>
      </c>
      <c r="R14" s="697">
        <f t="shared" si="32"/>
        <v>65.3242595769795</v>
      </c>
      <c r="S14" s="1342">
        <f t="shared" si="32"/>
        <v>64.997638279094588</v>
      </c>
      <c r="T14" s="1342">
        <f t="shared" si="32"/>
        <v>64.672650087699125</v>
      </c>
      <c r="U14" s="1342">
        <f t="shared" si="32"/>
        <v>64.349286837260621</v>
      </c>
      <c r="V14" s="1352">
        <f t="shared" si="32"/>
        <v>64.027540403074312</v>
      </c>
      <c r="W14" s="185"/>
      <c r="X14" s="1344" t="s">
        <v>498</v>
      </c>
      <c r="Y14" s="1342">
        <f>SUM(Y12:Y13)</f>
        <v>-0.33449367641537225</v>
      </c>
      <c r="Z14" s="1342">
        <f t="shared" ref="Z14" si="33">SUM(Z12:Z13)</f>
        <v>-0.78238775594251253</v>
      </c>
      <c r="AA14" s="1342">
        <f t="shared" ref="AA14" si="34">SUM(AA12:AA13)</f>
        <v>-1.0562576199140532</v>
      </c>
      <c r="AB14" s="1342">
        <f t="shared" ref="AB14" si="35">SUM(AB12:AB13)</f>
        <v>-0.1301121703949783</v>
      </c>
      <c r="AC14" s="1342">
        <f t="shared" ref="AC14" si="36">SUM(AC12:AC13)</f>
        <v>-0.59238152378472442</v>
      </c>
      <c r="AD14" s="1342">
        <f t="shared" ref="AD14" si="37">SUM(AD12:AD13)</f>
        <v>-1.0277515257476271</v>
      </c>
      <c r="AE14" s="1342">
        <f t="shared" ref="AE14" si="38">SUM(AE12:AE13)</f>
        <v>-0.36939516126550154</v>
      </c>
      <c r="AF14" s="1349">
        <f t="shared" ref="AF14" si="39">SUM(AF12:AF13)</f>
        <v>-0.32987492584781664</v>
      </c>
      <c r="AG14" s="697">
        <f t="shared" ref="AG14" si="40">SUM(AG12:AG13)</f>
        <v>-1.5473958228547182</v>
      </c>
      <c r="AH14" s="1342">
        <f t="shared" ref="AH14" si="41">SUM(AH12:AH13)</f>
        <v>-1.5396588437404448</v>
      </c>
      <c r="AI14" s="1342">
        <f t="shared" ref="AI14" si="42">SUM(AI12:AI13)</f>
        <v>-1.5319605495217421</v>
      </c>
      <c r="AJ14" s="1342">
        <f t="shared" ref="AJ14" si="43">SUM(AJ12:AJ13)</f>
        <v>-1.5243007467741334</v>
      </c>
      <c r="AK14" s="1352">
        <f t="shared" ref="AK14" si="44">SUM(AK12:AK13)</f>
        <v>-1.5166792430402629</v>
      </c>
      <c r="AL14" s="185"/>
      <c r="AM14" s="1344" t="s">
        <v>498</v>
      </c>
      <c r="AN14" s="697">
        <f>SUM(AN12:AN13)</f>
        <v>71.308069775292267</v>
      </c>
      <c r="AO14" s="698">
        <f t="shared" ref="AO14:AZ14" si="45">SUM(AO12:AO13)</f>
        <v>77.481212071025027</v>
      </c>
      <c r="AP14" s="698">
        <f t="shared" si="45"/>
        <v>70.501818687497675</v>
      </c>
      <c r="AQ14" s="698">
        <f t="shared" si="45"/>
        <v>70.623276226430235</v>
      </c>
      <c r="AR14" s="698">
        <f t="shared" si="45"/>
        <v>66.071661032397813</v>
      </c>
      <c r="AS14" s="698">
        <f t="shared" si="45"/>
        <v>69.080001506977624</v>
      </c>
      <c r="AT14" s="698">
        <f t="shared" si="45"/>
        <v>67.647914421472848</v>
      </c>
      <c r="AU14" s="699">
        <f t="shared" si="45"/>
        <v>62.386863632427499</v>
      </c>
      <c r="AV14" s="697">
        <f t="shared" si="45"/>
        <v>63.776863754124776</v>
      </c>
      <c r="AW14" s="698">
        <f t="shared" si="45"/>
        <v>63.457979435354133</v>
      </c>
      <c r="AX14" s="698">
        <f t="shared" si="45"/>
        <v>63.140689538177384</v>
      </c>
      <c r="AY14" s="698">
        <f t="shared" si="45"/>
        <v>62.824986090486483</v>
      </c>
      <c r="AZ14" s="699">
        <f t="shared" si="45"/>
        <v>62.510861160034054</v>
      </c>
      <c r="BA14" s="185"/>
      <c r="BB14" s="1341"/>
      <c r="BC14" s="1340"/>
      <c r="BD14" s="1491"/>
      <c r="BE14" s="1491"/>
      <c r="BF14" s="1491"/>
      <c r="BG14" s="1491"/>
      <c r="BH14" s="1491"/>
      <c r="BI14" s="1491"/>
      <c r="BJ14" s="1341"/>
      <c r="BK14" s="1491"/>
      <c r="BL14" s="1491"/>
      <c r="BM14" s="1491"/>
      <c r="BN14" s="1491"/>
      <c r="BO14" s="1341"/>
      <c r="BP14" s="185"/>
      <c r="BR14" s="1340"/>
      <c r="BY14" s="1341"/>
      <c r="CD14" s="1341"/>
    </row>
    <row r="15" spans="1:82" s="99" customFormat="1" ht="15" customHeight="1">
      <c r="A15" s="89"/>
      <c r="B15" s="161"/>
      <c r="C15" s="95"/>
      <c r="D15" s="95"/>
      <c r="E15" s="95"/>
      <c r="F15" s="95"/>
      <c r="G15" s="95"/>
      <c r="H15" s="95"/>
      <c r="I15" s="1347"/>
      <c r="J15" s="97"/>
      <c r="K15" s="97"/>
      <c r="L15" s="97"/>
      <c r="M15" s="97"/>
      <c r="N15" s="97"/>
      <c r="O15" s="97"/>
      <c r="P15" s="97"/>
      <c r="Q15" s="97"/>
      <c r="R15" s="669"/>
      <c r="S15" s="97"/>
      <c r="T15" s="97"/>
      <c r="U15" s="97"/>
      <c r="V15" s="668"/>
      <c r="W15" s="97"/>
      <c r="X15" s="668"/>
      <c r="Y15" s="97"/>
      <c r="Z15" s="97"/>
      <c r="AA15" s="97"/>
      <c r="AB15" s="97"/>
      <c r="AC15" s="97"/>
      <c r="AD15" s="97"/>
      <c r="AE15" s="97"/>
      <c r="AF15" s="97"/>
      <c r="AG15" s="669"/>
      <c r="AH15" s="97"/>
      <c r="AI15" s="97"/>
      <c r="AJ15" s="97"/>
      <c r="AK15" s="668"/>
      <c r="AL15" s="97"/>
      <c r="AM15" s="668"/>
      <c r="AN15" s="97"/>
      <c r="AO15" s="97"/>
      <c r="AP15" s="97"/>
      <c r="AQ15" s="97"/>
      <c r="AR15" s="97"/>
      <c r="AS15" s="97"/>
      <c r="AT15" s="97"/>
      <c r="AU15" s="97"/>
      <c r="AV15" s="669"/>
      <c r="AW15" s="97"/>
      <c r="AX15" s="97"/>
      <c r="AY15" s="97"/>
      <c r="AZ15" s="668"/>
      <c r="BB15" s="1341"/>
      <c r="BC15" s="1340"/>
      <c r="BD15" s="1491"/>
      <c r="BE15" s="1491"/>
      <c r="BF15" s="1491"/>
      <c r="BG15" s="1491"/>
      <c r="BH15" s="1491"/>
      <c r="BI15" s="1491"/>
      <c r="BJ15" s="1341"/>
      <c r="BK15" s="1491"/>
      <c r="BL15" s="1491"/>
      <c r="BM15" s="1491"/>
      <c r="BN15" s="1491"/>
      <c r="BO15" s="1341"/>
      <c r="BR15" s="1340"/>
      <c r="BY15" s="1341"/>
      <c r="CD15" s="1341"/>
    </row>
    <row r="16" spans="1:82" s="99" customFormat="1" ht="15" customHeight="1">
      <c r="A16" s="89"/>
      <c r="B16" s="181"/>
      <c r="C16" s="1339" t="s">
        <v>2649</v>
      </c>
      <c r="D16" s="95"/>
      <c r="E16" s="95"/>
      <c r="F16" s="95"/>
      <c r="G16" s="95"/>
      <c r="H16" s="95"/>
      <c r="I16" s="1347"/>
      <c r="J16" s="97"/>
      <c r="K16" s="97"/>
      <c r="L16" s="97"/>
      <c r="M16" s="97"/>
      <c r="N16" s="97"/>
      <c r="O16" s="97"/>
      <c r="P16" s="97"/>
      <c r="Q16" s="97"/>
      <c r="R16" s="669"/>
      <c r="S16" s="97"/>
      <c r="T16" s="97"/>
      <c r="U16" s="97"/>
      <c r="V16" s="668"/>
      <c r="W16" s="97"/>
      <c r="X16" s="668"/>
      <c r="Y16" s="97"/>
      <c r="Z16" s="97"/>
      <c r="AA16" s="97"/>
      <c r="AB16" s="97"/>
      <c r="AC16" s="97"/>
      <c r="AD16" s="97"/>
      <c r="AE16" s="97"/>
      <c r="AF16" s="97"/>
      <c r="AG16" s="669"/>
      <c r="AH16" s="97"/>
      <c r="AI16" s="97"/>
      <c r="AJ16" s="97"/>
      <c r="AK16" s="668"/>
      <c r="AL16" s="97"/>
      <c r="AM16" s="668"/>
      <c r="AN16" s="97"/>
      <c r="AO16" s="97"/>
      <c r="AP16" s="97"/>
      <c r="AQ16" s="97"/>
      <c r="AR16" s="97"/>
      <c r="AS16" s="97"/>
      <c r="AT16" s="97"/>
      <c r="AU16" s="97"/>
      <c r="AV16" s="669"/>
      <c r="AW16" s="97"/>
      <c r="AX16" s="97"/>
      <c r="AY16" s="97"/>
      <c r="AZ16" s="668"/>
      <c r="BB16" s="1341"/>
      <c r="BC16" s="1340"/>
      <c r="BD16" s="1491"/>
      <c r="BE16" s="1491"/>
      <c r="BF16" s="1491"/>
      <c r="BG16" s="1491"/>
      <c r="BH16" s="1491"/>
      <c r="BI16" s="1491"/>
      <c r="BJ16" s="1341"/>
      <c r="BK16" s="1491"/>
      <c r="BL16" s="1491"/>
      <c r="BM16" s="1491"/>
      <c r="BN16" s="1491"/>
      <c r="BO16" s="1341"/>
      <c r="BR16" s="1340"/>
      <c r="BY16" s="1341"/>
      <c r="CD16" s="1341"/>
    </row>
    <row r="17" spans="1:82" s="99" customFormat="1" ht="15" customHeight="1">
      <c r="A17" s="89"/>
      <c r="B17" s="161"/>
      <c r="C17" s="95"/>
      <c r="D17" s="95" t="s">
        <v>2523</v>
      </c>
      <c r="E17" s="95"/>
      <c r="F17" s="95"/>
      <c r="G17" s="95"/>
      <c r="H17" s="95"/>
      <c r="I17" s="1344" t="s">
        <v>498</v>
      </c>
      <c r="J17" s="998">
        <f>J78</f>
        <v>2.5193312240193482</v>
      </c>
      <c r="K17" s="998">
        <f t="shared" ref="K17:V17" si="46">K78</f>
        <v>2.626877643311154</v>
      </c>
      <c r="L17" s="998">
        <f t="shared" si="46"/>
        <v>1.863412419057505</v>
      </c>
      <c r="M17" s="998">
        <f t="shared" si="46"/>
        <v>1.656983511593719</v>
      </c>
      <c r="N17" s="998">
        <f t="shared" si="46"/>
        <v>2.5315269795060518</v>
      </c>
      <c r="O17" s="998">
        <f t="shared" si="46"/>
        <v>1.476762616241831</v>
      </c>
      <c r="P17" s="998">
        <f t="shared" si="46"/>
        <v>4.8221869760373028</v>
      </c>
      <c r="Q17" s="1348">
        <f t="shared" si="46"/>
        <v>4.644392487711845</v>
      </c>
      <c r="R17" s="641">
        <f t="shared" si="46"/>
        <v>0.75641721269517914</v>
      </c>
      <c r="S17" s="998">
        <f t="shared" si="46"/>
        <v>0.75263512663170329</v>
      </c>
      <c r="T17" s="998">
        <f t="shared" si="46"/>
        <v>0.74887195099854464</v>
      </c>
      <c r="U17" s="998">
        <f t="shared" si="46"/>
        <v>0.74512759124355199</v>
      </c>
      <c r="V17" s="1351">
        <f t="shared" si="46"/>
        <v>0.74140195328733416</v>
      </c>
      <c r="W17" s="185"/>
      <c r="X17" s="1344" t="s">
        <v>498</v>
      </c>
      <c r="Y17" s="998">
        <f>Y78</f>
        <v>0</v>
      </c>
      <c r="Z17" s="998">
        <f t="shared" ref="Z17:AK17" si="47">Z78</f>
        <v>0</v>
      </c>
      <c r="AA17" s="998">
        <f t="shared" si="47"/>
        <v>0</v>
      </c>
      <c r="AB17" s="998">
        <f t="shared" si="47"/>
        <v>0</v>
      </c>
      <c r="AC17" s="998">
        <f t="shared" si="47"/>
        <v>0</v>
      </c>
      <c r="AD17" s="998">
        <f t="shared" si="47"/>
        <v>0</v>
      </c>
      <c r="AE17" s="998">
        <f t="shared" si="47"/>
        <v>0</v>
      </c>
      <c r="AF17" s="1348">
        <f t="shared" si="47"/>
        <v>0</v>
      </c>
      <c r="AG17" s="641">
        <f t="shared" si="47"/>
        <v>0</v>
      </c>
      <c r="AH17" s="998">
        <f t="shared" si="47"/>
        <v>0</v>
      </c>
      <c r="AI17" s="998">
        <f t="shared" si="47"/>
        <v>0</v>
      </c>
      <c r="AJ17" s="998">
        <f t="shared" si="47"/>
        <v>0</v>
      </c>
      <c r="AK17" s="1351">
        <f t="shared" si="47"/>
        <v>0</v>
      </c>
      <c r="AL17" s="185"/>
      <c r="AM17" s="1344" t="s">
        <v>498</v>
      </c>
      <c r="AN17" s="641">
        <f>J17+Y17</f>
        <v>2.5193312240193482</v>
      </c>
      <c r="AO17" s="642">
        <f t="shared" ref="AO17:AO18" si="48">K17+Z17</f>
        <v>2.626877643311154</v>
      </c>
      <c r="AP17" s="642">
        <f t="shared" ref="AP17:AP18" si="49">L17+AA17</f>
        <v>1.863412419057505</v>
      </c>
      <c r="AQ17" s="642">
        <f t="shared" ref="AQ17:AQ18" si="50">M17+AB17</f>
        <v>1.656983511593719</v>
      </c>
      <c r="AR17" s="642">
        <f t="shared" ref="AR17:AR18" si="51">N17+AC17</f>
        <v>2.5315269795060518</v>
      </c>
      <c r="AS17" s="642">
        <f t="shared" ref="AS17:AS18" si="52">O17+AD17</f>
        <v>1.476762616241831</v>
      </c>
      <c r="AT17" s="642">
        <f t="shared" ref="AT17:AT18" si="53">P17+AE17</f>
        <v>4.8221869760373028</v>
      </c>
      <c r="AU17" s="643">
        <f t="shared" ref="AU17:AU18" si="54">Q17+AF17</f>
        <v>4.644392487711845</v>
      </c>
      <c r="AV17" s="641">
        <f t="shared" ref="AV17:AV18" si="55">R17+AG17</f>
        <v>0.75641721269517914</v>
      </c>
      <c r="AW17" s="642">
        <f t="shared" ref="AW17:AW18" si="56">S17+AH17</f>
        <v>0.75263512663170329</v>
      </c>
      <c r="AX17" s="642">
        <f t="shared" ref="AX17:AX18" si="57">T17+AI17</f>
        <v>0.74887195099854464</v>
      </c>
      <c r="AY17" s="642">
        <f t="shared" ref="AY17:AY18" si="58">U17+AJ17</f>
        <v>0.74512759124355199</v>
      </c>
      <c r="AZ17" s="643">
        <f t="shared" ref="AZ17:AZ18" si="59">V17+AK17</f>
        <v>0.74140195328733416</v>
      </c>
      <c r="BA17" s="185"/>
      <c r="BB17" s="1344" t="s">
        <v>2233</v>
      </c>
      <c r="BC17" s="641">
        <f>BC78</f>
        <v>8.0860000000000003</v>
      </c>
      <c r="BD17" s="998">
        <f t="shared" ref="BD17:BO17" si="60">BD78</f>
        <v>8.2949999999999999</v>
      </c>
      <c r="BE17" s="998">
        <f t="shared" si="60"/>
        <v>5.2570000000000006</v>
      </c>
      <c r="BF17" s="998">
        <f t="shared" si="60"/>
        <v>4.07</v>
      </c>
      <c r="BG17" s="998">
        <f t="shared" si="60"/>
        <v>7.6760000000000002</v>
      </c>
      <c r="BH17" s="998">
        <f t="shared" si="60"/>
        <v>4.0609999999999999</v>
      </c>
      <c r="BI17" s="998">
        <f t="shared" si="60"/>
        <v>14.851000000000003</v>
      </c>
      <c r="BJ17" s="1348">
        <f t="shared" si="60"/>
        <v>14.874177221205709</v>
      </c>
      <c r="BK17" s="642">
        <f t="shared" si="60"/>
        <v>2.0250000000000008</v>
      </c>
      <c r="BL17" s="642">
        <f t="shared" si="60"/>
        <v>2.0250000000000008</v>
      </c>
      <c r="BM17" s="642">
        <f t="shared" si="60"/>
        <v>2.0250000000000008</v>
      </c>
      <c r="BN17" s="642">
        <f t="shared" si="60"/>
        <v>2.0250000000000008</v>
      </c>
      <c r="BO17" s="643">
        <f t="shared" si="60"/>
        <v>2.0250000000000008</v>
      </c>
      <c r="BP17" s="185"/>
      <c r="BQ17" s="164" t="s">
        <v>2415</v>
      </c>
      <c r="BR17" s="641">
        <f>IF(BC17,AN17/BC17,0)</f>
        <v>0.31156705713818306</v>
      </c>
      <c r="BS17" s="998">
        <f t="shared" ref="BS17:BS18" si="61">IF(BD17,AO17/BD17,0)</f>
        <v>0.31668205464872262</v>
      </c>
      <c r="BT17" s="998">
        <f t="shared" ref="BT17:BT18" si="62">IF(BE17,AP17/BE17,0)</f>
        <v>0.35446308142619454</v>
      </c>
      <c r="BU17" s="998">
        <f t="shared" ref="BU17:BU18" si="63">IF(BF17,AQ17/BF17,0)</f>
        <v>0.40712125591983267</v>
      </c>
      <c r="BV17" s="998">
        <f t="shared" ref="BV17:BV18" si="64">IF(BG17,AR17/BG17,0)</f>
        <v>0.32979767841402446</v>
      </c>
      <c r="BW17" s="998">
        <f t="shared" ref="BW17:BW18" si="65">IF(BH17,AS17/BH17,0)</f>
        <v>0.36364506679188158</v>
      </c>
      <c r="BX17" s="998">
        <f t="shared" ref="BX17:BX18" si="66">IF(BI17,AT17/BI17,0)</f>
        <v>0.32470453006782724</v>
      </c>
      <c r="BY17" s="1348">
        <f t="shared" ref="BY17:BY18" si="67">IF(BJ17,AU17/BJ17,0)</f>
        <v>0.31224533758347728</v>
      </c>
      <c r="BZ17" s="641">
        <f t="shared" ref="BZ17:BZ18" si="68">IF(BK17,AV17/BK17,0)</f>
        <v>0.37353936429391549</v>
      </c>
      <c r="CA17" s="998">
        <f t="shared" ref="CA17:CA18" si="69">IF(BL17,AW17/BL17,0)</f>
        <v>0.3716716674724459</v>
      </c>
      <c r="CB17" s="998">
        <f t="shared" ref="CB17:CB18" si="70">IF(BM17,AX17/BM17,0)</f>
        <v>0.36981330913508365</v>
      </c>
      <c r="CC17" s="998">
        <f t="shared" ref="CC17:CC18" si="71">IF(BN17,AY17/BN17,0)</f>
        <v>0.36796424258940824</v>
      </c>
      <c r="CD17" s="1351">
        <f t="shared" ref="CD17:CD18" si="72">IF(BO17,AZ17/BO17,0)</f>
        <v>0.36612442137646117</v>
      </c>
    </row>
    <row r="18" spans="1:82" s="99" customFormat="1" ht="15" customHeight="1">
      <c r="A18" s="89"/>
      <c r="B18" s="161"/>
      <c r="C18" s="95"/>
      <c r="D18" s="95" t="s">
        <v>1843</v>
      </c>
      <c r="E18" s="95"/>
      <c r="F18" s="95"/>
      <c r="G18" s="95"/>
      <c r="H18" s="95"/>
      <c r="I18" s="1344" t="s">
        <v>498</v>
      </c>
      <c r="J18" s="998">
        <f>J83+J88</f>
        <v>0.11271049164811676</v>
      </c>
      <c r="K18" s="998">
        <f t="shared" ref="K18:V18" si="73">K83+K88</f>
        <v>7.1694330440126894E-2</v>
      </c>
      <c r="L18" s="998">
        <f t="shared" si="73"/>
        <v>0.11296551619754933</v>
      </c>
      <c r="M18" s="998">
        <f t="shared" si="73"/>
        <v>2.3668560231897451E-2</v>
      </c>
      <c r="N18" s="998">
        <f t="shared" si="73"/>
        <v>0.11215948396827322</v>
      </c>
      <c r="O18" s="998">
        <f t="shared" si="73"/>
        <v>5.899586591379144E-2</v>
      </c>
      <c r="P18" s="998">
        <f t="shared" si="73"/>
        <v>5.716344580394514E-2</v>
      </c>
      <c r="Q18" s="1348">
        <f t="shared" si="73"/>
        <v>4.9415813617331036E-2</v>
      </c>
      <c r="R18" s="641">
        <f t="shared" si="73"/>
        <v>1.3845620971733313E-2</v>
      </c>
      <c r="S18" s="998">
        <f t="shared" si="73"/>
        <v>1.3776392866874647E-2</v>
      </c>
      <c r="T18" s="998">
        <f t="shared" si="73"/>
        <v>1.3707510902540274E-2</v>
      </c>
      <c r="U18" s="998">
        <f t="shared" si="73"/>
        <v>1.3638973348027572E-2</v>
      </c>
      <c r="V18" s="1351">
        <f t="shared" si="73"/>
        <v>1.3570778481287434E-2</v>
      </c>
      <c r="W18" s="185"/>
      <c r="X18" s="1344" t="s">
        <v>498</v>
      </c>
      <c r="Y18" s="998">
        <f>Y83+Y88</f>
        <v>0</v>
      </c>
      <c r="Z18" s="998">
        <f t="shared" ref="Z18:AK18" si="74">Z83+Z88</f>
        <v>0</v>
      </c>
      <c r="AA18" s="998">
        <f t="shared" si="74"/>
        <v>0</v>
      </c>
      <c r="AB18" s="998">
        <f t="shared" si="74"/>
        <v>0</v>
      </c>
      <c r="AC18" s="998">
        <f t="shared" si="74"/>
        <v>0</v>
      </c>
      <c r="AD18" s="998">
        <f t="shared" si="74"/>
        <v>0</v>
      </c>
      <c r="AE18" s="998">
        <f t="shared" si="74"/>
        <v>0</v>
      </c>
      <c r="AF18" s="1348">
        <f t="shared" si="74"/>
        <v>0</v>
      </c>
      <c r="AG18" s="641">
        <f t="shared" si="74"/>
        <v>0</v>
      </c>
      <c r="AH18" s="998">
        <f t="shared" si="74"/>
        <v>0</v>
      </c>
      <c r="AI18" s="998">
        <f t="shared" si="74"/>
        <v>0</v>
      </c>
      <c r="AJ18" s="998">
        <f t="shared" si="74"/>
        <v>0</v>
      </c>
      <c r="AK18" s="1351">
        <f t="shared" si="74"/>
        <v>0</v>
      </c>
      <c r="AL18" s="185"/>
      <c r="AM18" s="1344" t="s">
        <v>498</v>
      </c>
      <c r="AN18" s="641">
        <f t="shared" ref="AN18" si="75">J18+Y18</f>
        <v>0.11271049164811676</v>
      </c>
      <c r="AO18" s="642">
        <f t="shared" si="48"/>
        <v>7.1694330440126894E-2</v>
      </c>
      <c r="AP18" s="642">
        <f t="shared" si="49"/>
        <v>0.11296551619754933</v>
      </c>
      <c r="AQ18" s="642">
        <f t="shared" si="50"/>
        <v>2.3668560231897451E-2</v>
      </c>
      <c r="AR18" s="642">
        <f t="shared" si="51"/>
        <v>0.11215948396827322</v>
      </c>
      <c r="AS18" s="642">
        <f t="shared" si="52"/>
        <v>5.899586591379144E-2</v>
      </c>
      <c r="AT18" s="642">
        <f t="shared" si="53"/>
        <v>5.716344580394514E-2</v>
      </c>
      <c r="AU18" s="643">
        <f t="shared" si="54"/>
        <v>4.9415813617331036E-2</v>
      </c>
      <c r="AV18" s="641">
        <f t="shared" si="55"/>
        <v>1.3845620971733313E-2</v>
      </c>
      <c r="AW18" s="642">
        <f t="shared" si="56"/>
        <v>1.3776392866874647E-2</v>
      </c>
      <c r="AX18" s="642">
        <f t="shared" si="57"/>
        <v>1.3707510902540274E-2</v>
      </c>
      <c r="AY18" s="642">
        <f t="shared" si="58"/>
        <v>1.3638973348027572E-2</v>
      </c>
      <c r="AZ18" s="643">
        <f t="shared" si="59"/>
        <v>1.3570778481287434E-2</v>
      </c>
      <c r="BA18" s="185"/>
      <c r="BB18" s="1344" t="s">
        <v>1876</v>
      </c>
      <c r="BC18" s="641">
        <f>BC83+BC88</f>
        <v>210</v>
      </c>
      <c r="BD18" s="998">
        <f t="shared" ref="BD18:BO18" si="76">BD83+BD88</f>
        <v>146</v>
      </c>
      <c r="BE18" s="998">
        <f t="shared" si="76"/>
        <v>167</v>
      </c>
      <c r="BF18" s="998">
        <f t="shared" si="76"/>
        <v>36</v>
      </c>
      <c r="BG18" s="998">
        <f t="shared" si="76"/>
        <v>216</v>
      </c>
      <c r="BH18" s="998">
        <f t="shared" si="76"/>
        <v>187</v>
      </c>
      <c r="BI18" s="998">
        <f t="shared" si="76"/>
        <v>163.5603955945119</v>
      </c>
      <c r="BJ18" s="1348">
        <f t="shared" si="76"/>
        <v>152.32903875913138</v>
      </c>
      <c r="BK18" s="642">
        <f t="shared" si="76"/>
        <v>41.153984423847639</v>
      </c>
      <c r="BL18" s="642">
        <f t="shared" si="76"/>
        <v>41.153984423847639</v>
      </c>
      <c r="BM18" s="642">
        <f t="shared" si="76"/>
        <v>41.153984423847639</v>
      </c>
      <c r="BN18" s="642">
        <f t="shared" si="76"/>
        <v>41.153984423847639</v>
      </c>
      <c r="BO18" s="643">
        <f t="shared" si="76"/>
        <v>41.153984423847639</v>
      </c>
      <c r="BP18" s="185"/>
      <c r="BQ18" s="164" t="s">
        <v>2648</v>
      </c>
      <c r="BR18" s="641">
        <f>IF(BC18,AN18/BC18,0)</f>
        <v>5.3671662689579408E-4</v>
      </c>
      <c r="BS18" s="998">
        <f t="shared" si="61"/>
        <v>4.9105705780908828E-4</v>
      </c>
      <c r="BT18" s="998">
        <f t="shared" si="62"/>
        <v>6.7644021675179234E-4</v>
      </c>
      <c r="BU18" s="998">
        <f t="shared" si="63"/>
        <v>6.5746000644159586E-4</v>
      </c>
      <c r="BV18" s="998">
        <f t="shared" si="64"/>
        <v>5.1925687022348708E-4</v>
      </c>
      <c r="BW18" s="998">
        <f t="shared" si="65"/>
        <v>3.1548591397749433E-4</v>
      </c>
      <c r="BX18" s="998">
        <f t="shared" si="66"/>
        <v>3.4949442128802969E-4</v>
      </c>
      <c r="BY18" s="1348">
        <f t="shared" si="67"/>
        <v>3.24401795086945E-4</v>
      </c>
      <c r="BZ18" s="641">
        <f t="shared" si="68"/>
        <v>3.364345194170347E-4</v>
      </c>
      <c r="CA18" s="998">
        <f t="shared" si="69"/>
        <v>3.3475234681994956E-4</v>
      </c>
      <c r="CB18" s="998">
        <f t="shared" si="70"/>
        <v>3.3307858508584983E-4</v>
      </c>
      <c r="CC18" s="998">
        <f t="shared" si="71"/>
        <v>3.3141319216042057E-4</v>
      </c>
      <c r="CD18" s="1351">
        <f t="shared" si="72"/>
        <v>3.2975612619961847E-4</v>
      </c>
    </row>
    <row r="19" spans="1:82" s="99" customFormat="1" ht="15" customHeight="1">
      <c r="A19" s="89"/>
      <c r="B19" s="161"/>
      <c r="C19" s="95" t="s">
        <v>1710</v>
      </c>
      <c r="D19" s="95"/>
      <c r="E19" s="95"/>
      <c r="F19" s="95"/>
      <c r="G19" s="95"/>
      <c r="H19" s="95"/>
      <c r="I19" s="1344" t="s">
        <v>498</v>
      </c>
      <c r="J19" s="1342">
        <f>SUM(J17:J18)</f>
        <v>2.6320417156674649</v>
      </c>
      <c r="K19" s="1342">
        <f t="shared" ref="K19:V19" si="77">SUM(K17:K18)</f>
        <v>2.6985719737512808</v>
      </c>
      <c r="L19" s="1342">
        <f t="shared" si="77"/>
        <v>1.9763779352550543</v>
      </c>
      <c r="M19" s="1342">
        <f t="shared" si="77"/>
        <v>1.6806520718256164</v>
      </c>
      <c r="N19" s="1342">
        <f t="shared" si="77"/>
        <v>2.6436864634743249</v>
      </c>
      <c r="O19" s="1342">
        <f t="shared" si="77"/>
        <v>1.5357584821556225</v>
      </c>
      <c r="P19" s="1342">
        <f t="shared" si="77"/>
        <v>4.8793504218412478</v>
      </c>
      <c r="Q19" s="1349">
        <f t="shared" si="77"/>
        <v>4.6938083013291756</v>
      </c>
      <c r="R19" s="697">
        <f t="shared" si="77"/>
        <v>0.77026283366691251</v>
      </c>
      <c r="S19" s="1342">
        <f t="shared" si="77"/>
        <v>0.76641151949857789</v>
      </c>
      <c r="T19" s="1342">
        <f t="shared" si="77"/>
        <v>0.76257946190108494</v>
      </c>
      <c r="U19" s="1342">
        <f t="shared" si="77"/>
        <v>0.75876656459157954</v>
      </c>
      <c r="V19" s="1352">
        <f t="shared" si="77"/>
        <v>0.75497273176862156</v>
      </c>
      <c r="W19" s="185"/>
      <c r="X19" s="1344" t="s">
        <v>498</v>
      </c>
      <c r="Y19" s="1342">
        <f>SUM(Y17:Y18)</f>
        <v>0</v>
      </c>
      <c r="Z19" s="1342">
        <f t="shared" ref="Z19" si="78">SUM(Z17:Z18)</f>
        <v>0</v>
      </c>
      <c r="AA19" s="1342">
        <f t="shared" ref="AA19" si="79">SUM(AA17:AA18)</f>
        <v>0</v>
      </c>
      <c r="AB19" s="1342">
        <f t="shared" ref="AB19" si="80">SUM(AB17:AB18)</f>
        <v>0</v>
      </c>
      <c r="AC19" s="1342">
        <f t="shared" ref="AC19" si="81">SUM(AC17:AC18)</f>
        <v>0</v>
      </c>
      <c r="AD19" s="1342">
        <f t="shared" ref="AD19" si="82">SUM(AD17:AD18)</f>
        <v>0</v>
      </c>
      <c r="AE19" s="1342">
        <f t="shared" ref="AE19" si="83">SUM(AE17:AE18)</f>
        <v>0</v>
      </c>
      <c r="AF19" s="1349">
        <f t="shared" ref="AF19" si="84">SUM(AF17:AF18)</f>
        <v>0</v>
      </c>
      <c r="AG19" s="697">
        <f t="shared" ref="AG19" si="85">SUM(AG17:AG18)</f>
        <v>0</v>
      </c>
      <c r="AH19" s="1342">
        <f t="shared" ref="AH19" si="86">SUM(AH17:AH18)</f>
        <v>0</v>
      </c>
      <c r="AI19" s="1342">
        <f t="shared" ref="AI19" si="87">SUM(AI17:AI18)</f>
        <v>0</v>
      </c>
      <c r="AJ19" s="1342">
        <f t="shared" ref="AJ19" si="88">SUM(AJ17:AJ18)</f>
        <v>0</v>
      </c>
      <c r="AK19" s="1352">
        <f t="shared" ref="AK19" si="89">SUM(AK17:AK18)</f>
        <v>0</v>
      </c>
      <c r="AL19" s="185"/>
      <c r="AM19" s="1344" t="s">
        <v>498</v>
      </c>
      <c r="AN19" s="697">
        <f>SUM(AN17:AN18)</f>
        <v>2.6320417156674649</v>
      </c>
      <c r="AO19" s="698">
        <f t="shared" ref="AO19:AZ19" si="90">SUM(AO17:AO18)</f>
        <v>2.6985719737512808</v>
      </c>
      <c r="AP19" s="698">
        <f t="shared" si="90"/>
        <v>1.9763779352550543</v>
      </c>
      <c r="AQ19" s="698">
        <f t="shared" si="90"/>
        <v>1.6806520718256164</v>
      </c>
      <c r="AR19" s="698">
        <f t="shared" si="90"/>
        <v>2.6436864634743249</v>
      </c>
      <c r="AS19" s="698">
        <f t="shared" si="90"/>
        <v>1.5357584821556225</v>
      </c>
      <c r="AT19" s="698">
        <f t="shared" si="90"/>
        <v>4.8793504218412478</v>
      </c>
      <c r="AU19" s="699">
        <f t="shared" si="90"/>
        <v>4.6938083013291756</v>
      </c>
      <c r="AV19" s="697">
        <f t="shared" si="90"/>
        <v>0.77026283366691251</v>
      </c>
      <c r="AW19" s="698">
        <f t="shared" si="90"/>
        <v>0.76641151949857789</v>
      </c>
      <c r="AX19" s="698">
        <f t="shared" si="90"/>
        <v>0.76257946190108494</v>
      </c>
      <c r="AY19" s="698">
        <f t="shared" si="90"/>
        <v>0.75876656459157954</v>
      </c>
      <c r="AZ19" s="699">
        <f t="shared" si="90"/>
        <v>0.75497273176862156</v>
      </c>
      <c r="BA19" s="185"/>
      <c r="BB19" s="1341"/>
      <c r="BC19" s="1340"/>
      <c r="BD19" s="1491"/>
      <c r="BE19" s="1491"/>
      <c r="BF19" s="1491"/>
      <c r="BG19" s="1491"/>
      <c r="BH19" s="1491"/>
      <c r="BI19" s="1491"/>
      <c r="BJ19" s="1341"/>
      <c r="BK19" s="1491"/>
      <c r="BL19" s="1491"/>
      <c r="BM19" s="1491"/>
      <c r="BN19" s="1491"/>
      <c r="BO19" s="1341"/>
      <c r="BP19" s="185"/>
      <c r="BR19" s="1340"/>
      <c r="BY19" s="1341"/>
      <c r="CD19" s="1341"/>
    </row>
    <row r="20" spans="1:82" s="99" customFormat="1" ht="15" customHeight="1">
      <c r="A20" s="89"/>
      <c r="B20" s="161"/>
      <c r="C20" s="95"/>
      <c r="D20" s="95"/>
      <c r="E20" s="95"/>
      <c r="F20" s="95"/>
      <c r="G20" s="95"/>
      <c r="H20" s="95"/>
      <c r="I20" s="1347"/>
      <c r="J20" s="97"/>
      <c r="K20" s="97"/>
      <c r="L20" s="97"/>
      <c r="M20" s="97"/>
      <c r="N20" s="97"/>
      <c r="O20" s="97"/>
      <c r="P20" s="97"/>
      <c r="Q20" s="97"/>
      <c r="R20" s="669"/>
      <c r="S20" s="97"/>
      <c r="T20" s="97"/>
      <c r="U20" s="97"/>
      <c r="V20" s="668"/>
      <c r="W20" s="97"/>
      <c r="X20" s="668"/>
      <c r="Y20" s="97"/>
      <c r="Z20" s="97"/>
      <c r="AA20" s="97"/>
      <c r="AB20" s="97"/>
      <c r="AC20" s="97"/>
      <c r="AD20" s="97"/>
      <c r="AE20" s="97"/>
      <c r="AF20" s="97"/>
      <c r="AG20" s="669"/>
      <c r="AH20" s="97"/>
      <c r="AI20" s="97"/>
      <c r="AJ20" s="97"/>
      <c r="AK20" s="668"/>
      <c r="AL20" s="97"/>
      <c r="AM20" s="668"/>
      <c r="AN20" s="97"/>
      <c r="AO20" s="97"/>
      <c r="AP20" s="97"/>
      <c r="AQ20" s="97"/>
      <c r="AR20" s="97"/>
      <c r="AS20" s="97"/>
      <c r="AT20" s="97"/>
      <c r="AU20" s="97"/>
      <c r="AV20" s="669"/>
      <c r="AW20" s="97"/>
      <c r="AX20" s="97"/>
      <c r="AY20" s="97"/>
      <c r="AZ20" s="668"/>
      <c r="BB20" s="1341"/>
      <c r="BC20" s="1340"/>
      <c r="BD20" s="1491"/>
      <c r="BE20" s="1491"/>
      <c r="BF20" s="1491"/>
      <c r="BG20" s="1491"/>
      <c r="BH20" s="1491"/>
      <c r="BI20" s="1491"/>
      <c r="BJ20" s="1341"/>
      <c r="BK20" s="1491"/>
      <c r="BL20" s="1491"/>
      <c r="BM20" s="1491"/>
      <c r="BN20" s="1491"/>
      <c r="BO20" s="1341"/>
      <c r="BR20" s="1340"/>
      <c r="BY20" s="1341"/>
      <c r="CD20" s="1341"/>
    </row>
    <row r="21" spans="1:82" s="99" customFormat="1" ht="15" customHeight="1">
      <c r="A21" s="89"/>
      <c r="B21" s="181"/>
      <c r="C21" s="1339" t="s">
        <v>2650</v>
      </c>
      <c r="D21" s="95"/>
      <c r="E21" s="95"/>
      <c r="F21" s="95"/>
      <c r="G21" s="95"/>
      <c r="H21" s="95"/>
      <c r="I21" s="1347"/>
      <c r="J21" s="97"/>
      <c r="K21" s="97"/>
      <c r="L21" s="97"/>
      <c r="M21" s="97"/>
      <c r="N21" s="97"/>
      <c r="O21" s="97"/>
      <c r="P21" s="97"/>
      <c r="Q21" s="97"/>
      <c r="R21" s="669"/>
      <c r="S21" s="97"/>
      <c r="T21" s="97"/>
      <c r="U21" s="97"/>
      <c r="V21" s="668"/>
      <c r="W21" s="97"/>
      <c r="X21" s="668"/>
      <c r="Y21" s="97"/>
      <c r="Z21" s="97"/>
      <c r="AA21" s="97"/>
      <c r="AB21" s="97"/>
      <c r="AC21" s="97"/>
      <c r="AD21" s="97"/>
      <c r="AE21" s="97"/>
      <c r="AF21" s="97"/>
      <c r="AG21" s="669"/>
      <c r="AH21" s="97"/>
      <c r="AI21" s="97"/>
      <c r="AJ21" s="97"/>
      <c r="AK21" s="668"/>
      <c r="AL21" s="97"/>
      <c r="AM21" s="668"/>
      <c r="AN21" s="97"/>
      <c r="AO21" s="97"/>
      <c r="AP21" s="97"/>
      <c r="AQ21" s="97"/>
      <c r="AR21" s="97"/>
      <c r="AS21" s="97"/>
      <c r="AT21" s="97"/>
      <c r="AU21" s="97"/>
      <c r="AV21" s="669"/>
      <c r="AW21" s="97"/>
      <c r="AX21" s="97"/>
      <c r="AY21" s="97"/>
      <c r="AZ21" s="668"/>
      <c r="BB21" s="1341"/>
      <c r="BC21" s="1340"/>
      <c r="BD21" s="1491"/>
      <c r="BE21" s="1491"/>
      <c r="BF21" s="1491"/>
      <c r="BG21" s="1491"/>
      <c r="BH21" s="1491"/>
      <c r="BI21" s="1491"/>
      <c r="BJ21" s="1341"/>
      <c r="BK21" s="1491"/>
      <c r="BL21" s="1491"/>
      <c r="BM21" s="1491"/>
      <c r="BN21" s="1491"/>
      <c r="BO21" s="1341"/>
      <c r="BR21" s="1340"/>
      <c r="BY21" s="1341"/>
      <c r="CD21" s="1341"/>
    </row>
    <row r="22" spans="1:82" s="99" customFormat="1" ht="15" customHeight="1">
      <c r="A22" s="89"/>
      <c r="B22" s="161"/>
      <c r="C22" s="95"/>
      <c r="D22" s="95" t="s">
        <v>2523</v>
      </c>
      <c r="E22" s="95"/>
      <c r="F22" s="95"/>
      <c r="G22" s="95"/>
      <c r="H22" s="95"/>
      <c r="I22" s="1344" t="s">
        <v>498</v>
      </c>
      <c r="J22" s="998">
        <f>J99</f>
        <v>6.5226766092995447</v>
      </c>
      <c r="K22" s="998">
        <f t="shared" ref="K22:V22" si="91">K99</f>
        <v>5.564339284098816</v>
      </c>
      <c r="L22" s="998">
        <f t="shared" si="91"/>
        <v>3.9580143898044327</v>
      </c>
      <c r="M22" s="998">
        <f t="shared" si="91"/>
        <v>4.7589689914717974</v>
      </c>
      <c r="N22" s="998">
        <f t="shared" si="91"/>
        <v>8.2450903904535906</v>
      </c>
      <c r="O22" s="998">
        <f t="shared" si="91"/>
        <v>9.289294953977663</v>
      </c>
      <c r="P22" s="998">
        <f t="shared" si="91"/>
        <v>10.320567469112536</v>
      </c>
      <c r="Q22" s="1348">
        <f t="shared" si="91"/>
        <v>9.161888602272457</v>
      </c>
      <c r="R22" s="641">
        <f t="shared" si="91"/>
        <v>9.731002439985307</v>
      </c>
      <c r="S22" s="998">
        <f t="shared" si="91"/>
        <v>9.6823474277853805</v>
      </c>
      <c r="T22" s="998">
        <f t="shared" si="91"/>
        <v>9.6339356906464548</v>
      </c>
      <c r="U22" s="998">
        <f t="shared" si="91"/>
        <v>9.585766012193222</v>
      </c>
      <c r="V22" s="1351">
        <f t="shared" si="91"/>
        <v>9.5378371821322574</v>
      </c>
      <c r="W22" s="185"/>
      <c r="X22" s="1344" t="s">
        <v>498</v>
      </c>
      <c r="Y22" s="998">
        <f>Y99</f>
        <v>-0.43742458160873071</v>
      </c>
      <c r="Z22" s="998">
        <f t="shared" ref="Z22:AK22" si="92">Z99</f>
        <v>-0.40660399793880408</v>
      </c>
      <c r="AA22" s="998">
        <f t="shared" si="92"/>
        <v>-0.34027673886815007</v>
      </c>
      <c r="AB22" s="998">
        <f t="shared" si="92"/>
        <v>-0.93076434507200168</v>
      </c>
      <c r="AC22" s="998">
        <f t="shared" si="92"/>
        <v>-0.33967088883319541</v>
      </c>
      <c r="AD22" s="998">
        <f t="shared" si="92"/>
        <v>-0.49360828786010202</v>
      </c>
      <c r="AE22" s="998">
        <f t="shared" si="92"/>
        <v>-0.44442760464843861</v>
      </c>
      <c r="AF22" s="1348">
        <f t="shared" si="92"/>
        <v>-0.37710710041593137</v>
      </c>
      <c r="AG22" s="641">
        <f t="shared" si="92"/>
        <v>-1.447098417875923</v>
      </c>
      <c r="AH22" s="998">
        <f t="shared" si="92"/>
        <v>-1.4398629257865434</v>
      </c>
      <c r="AI22" s="998">
        <f t="shared" si="92"/>
        <v>-1.4326636111576105</v>
      </c>
      <c r="AJ22" s="998">
        <f t="shared" si="92"/>
        <v>-1.4255002931018226</v>
      </c>
      <c r="AK22" s="1351">
        <f t="shared" si="92"/>
        <v>-1.4183727916363134</v>
      </c>
      <c r="AL22" s="185"/>
      <c r="AM22" s="1344" t="s">
        <v>498</v>
      </c>
      <c r="AN22" s="641">
        <f>J22+Y22</f>
        <v>6.0852520276908137</v>
      </c>
      <c r="AO22" s="642">
        <f t="shared" ref="AO22:AO23" si="93">K22+Z22</f>
        <v>5.1577352861600119</v>
      </c>
      <c r="AP22" s="642">
        <f t="shared" ref="AP22:AP23" si="94">L22+AA22</f>
        <v>3.6177376509362826</v>
      </c>
      <c r="AQ22" s="642">
        <f t="shared" ref="AQ22:AQ23" si="95">M22+AB22</f>
        <v>3.8282046463997959</v>
      </c>
      <c r="AR22" s="642">
        <f t="shared" ref="AR22:AR23" si="96">N22+AC22</f>
        <v>7.9054195016203952</v>
      </c>
      <c r="AS22" s="642">
        <f t="shared" ref="AS22:AS23" si="97">O22+AD22</f>
        <v>8.795686666117561</v>
      </c>
      <c r="AT22" s="642">
        <f t="shared" ref="AT22:AT23" si="98">P22+AE22</f>
        <v>9.876139864464097</v>
      </c>
      <c r="AU22" s="643">
        <f t="shared" ref="AU22:AU23" si="99">Q22+AF22</f>
        <v>8.784781501856525</v>
      </c>
      <c r="AV22" s="641">
        <f t="shared" ref="AV22:AV23" si="100">R22+AG22</f>
        <v>8.2839040221093843</v>
      </c>
      <c r="AW22" s="642">
        <f t="shared" ref="AW22:AW23" si="101">S22+AH22</f>
        <v>8.2424845019988364</v>
      </c>
      <c r="AX22" s="642">
        <f t="shared" ref="AX22:AX23" si="102">T22+AI22</f>
        <v>8.2012720794888452</v>
      </c>
      <c r="AY22" s="642">
        <f t="shared" ref="AY22:AY23" si="103">U22+AJ22</f>
        <v>8.1602657190913988</v>
      </c>
      <c r="AZ22" s="643">
        <f t="shared" ref="AZ22:AZ23" si="104">V22+AK22</f>
        <v>8.1194643904959438</v>
      </c>
      <c r="BA22" s="185"/>
      <c r="BB22" s="1344" t="s">
        <v>2233</v>
      </c>
      <c r="BC22" s="641">
        <f>BC99</f>
        <v>22.163519999999998</v>
      </c>
      <c r="BD22" s="998">
        <f t="shared" ref="BD22:BO22" si="105">BD99</f>
        <v>18.241700000000002</v>
      </c>
      <c r="BE22" s="998">
        <f t="shared" si="105"/>
        <v>11.177</v>
      </c>
      <c r="BF22" s="998">
        <f t="shared" si="105"/>
        <v>10.947000000000001</v>
      </c>
      <c r="BG22" s="998">
        <f t="shared" si="105"/>
        <v>24.616</v>
      </c>
      <c r="BH22" s="998">
        <f t="shared" si="105"/>
        <v>25.471</v>
      </c>
      <c r="BI22" s="998">
        <f t="shared" si="105"/>
        <v>26.152360872458893</v>
      </c>
      <c r="BJ22" s="1348">
        <f t="shared" si="105"/>
        <v>20.22654630347915</v>
      </c>
      <c r="BK22" s="642">
        <f t="shared" si="105"/>
        <v>23.597698400182587</v>
      </c>
      <c r="BL22" s="642">
        <f t="shared" si="105"/>
        <v>23.597698400182587</v>
      </c>
      <c r="BM22" s="642">
        <f t="shared" si="105"/>
        <v>23.597698400182587</v>
      </c>
      <c r="BN22" s="642">
        <f t="shared" si="105"/>
        <v>23.597698400182587</v>
      </c>
      <c r="BO22" s="643">
        <f t="shared" si="105"/>
        <v>23.597698400182587</v>
      </c>
      <c r="BP22" s="185"/>
      <c r="BQ22" s="164" t="s">
        <v>2415</v>
      </c>
      <c r="BR22" s="641">
        <f>IF(BC22,AN22/BC22,0)</f>
        <v>0.27456162323001104</v>
      </c>
      <c r="BS22" s="998">
        <f t="shared" ref="BS22:BS23" si="106">IF(BD22,AO22/BD22,0)</f>
        <v>0.28274422264153076</v>
      </c>
      <c r="BT22" s="998">
        <f t="shared" ref="BT22:BT23" si="107">IF(BE22,AP22/BE22,0)</f>
        <v>0.32367698406873785</v>
      </c>
      <c r="BU22" s="998">
        <f t="shared" ref="BU22:BU23" si="108">IF(BF22,AQ22/BF22,0)</f>
        <v>0.34970353945371296</v>
      </c>
      <c r="BV22" s="998">
        <f t="shared" ref="BV22:BV23" si="109">IF(BG22,AR22/BG22,0)</f>
        <v>0.32114963851236578</v>
      </c>
      <c r="BW22" s="998">
        <f t="shared" ref="BW22:BW23" si="110">IF(BH22,AS22/BH22,0)</f>
        <v>0.34532160755830399</v>
      </c>
      <c r="BX22" s="998">
        <f t="shared" ref="BX22:BX23" si="111">IF(BI22,AT22/BI22,0)</f>
        <v>0.37763855862300683</v>
      </c>
      <c r="BY22" s="1348">
        <f t="shared" ref="BY22:BY23" si="112">IF(BJ22,AU22/BJ22,0)</f>
        <v>0.43431940233639704</v>
      </c>
      <c r="BZ22" s="641">
        <f t="shared" ref="BZ22:BZ23" si="113">IF(BK22,AV22/BK22,0)</f>
        <v>0.35104711830901641</v>
      </c>
      <c r="CA22" s="998">
        <f t="shared" ref="CA22:CA23" si="114">IF(BL22,AW22/BL22,0)</f>
        <v>0.3492918827174713</v>
      </c>
      <c r="CB22" s="998">
        <f t="shared" ref="CB22:CB23" si="115">IF(BM22,AX22/BM22,0)</f>
        <v>0.34754542330388405</v>
      </c>
      <c r="CC22" s="998">
        <f t="shared" ref="CC22:CC23" si="116">IF(BN22,AY22/BN22,0)</f>
        <v>0.34580769618736457</v>
      </c>
      <c r="CD22" s="1351">
        <f t="shared" ref="CD22:CD23" si="117">IF(BO22,AZ22/BO22,0)</f>
        <v>0.34407865770642782</v>
      </c>
    </row>
    <row r="23" spans="1:82" s="99" customFormat="1" ht="15" customHeight="1">
      <c r="A23" s="89"/>
      <c r="B23" s="161"/>
      <c r="C23" s="95"/>
      <c r="D23" s="95" t="s">
        <v>1843</v>
      </c>
      <c r="E23" s="95"/>
      <c r="F23" s="95"/>
      <c r="G23" s="95"/>
      <c r="H23" s="95"/>
      <c r="I23" s="1344" t="s">
        <v>498</v>
      </c>
      <c r="J23" s="998">
        <f>J104+J109</f>
        <v>0.55332363071117585</v>
      </c>
      <c r="K23" s="998">
        <f t="shared" ref="K23:V23" si="118">K104+K109</f>
        <v>0.62982553954643705</v>
      </c>
      <c r="L23" s="998">
        <f t="shared" si="118"/>
        <v>0.23587135869538486</v>
      </c>
      <c r="M23" s="998">
        <f t="shared" si="118"/>
        <v>0.35559400213396369</v>
      </c>
      <c r="N23" s="998">
        <f t="shared" si="118"/>
        <v>0.56179696084100805</v>
      </c>
      <c r="O23" s="998">
        <f t="shared" si="118"/>
        <v>0.42870670471827055</v>
      </c>
      <c r="P23" s="998">
        <f t="shared" si="118"/>
        <v>0.39938761232521514</v>
      </c>
      <c r="Q23" s="1348">
        <f t="shared" si="118"/>
        <v>0.33502357258482685</v>
      </c>
      <c r="R23" s="641">
        <f t="shared" si="118"/>
        <v>0.16869645988064946</v>
      </c>
      <c r="S23" s="998">
        <f t="shared" si="118"/>
        <v>0.16785297758124623</v>
      </c>
      <c r="T23" s="998">
        <f t="shared" si="118"/>
        <v>0.16701371269334001</v>
      </c>
      <c r="U23" s="998">
        <f t="shared" si="118"/>
        <v>0.16617864412987332</v>
      </c>
      <c r="V23" s="1351">
        <f t="shared" si="118"/>
        <v>0.16534775090922393</v>
      </c>
      <c r="W23" s="185"/>
      <c r="X23" s="1344" t="s">
        <v>498</v>
      </c>
      <c r="Y23" s="998">
        <f>Y104+Y109</f>
        <v>0</v>
      </c>
      <c r="Z23" s="998">
        <f t="shared" ref="Z23:AK23" si="119">Z104+Z109</f>
        <v>0</v>
      </c>
      <c r="AA23" s="998">
        <f t="shared" si="119"/>
        <v>0</v>
      </c>
      <c r="AB23" s="998">
        <f t="shared" si="119"/>
        <v>0</v>
      </c>
      <c r="AC23" s="998">
        <f t="shared" si="119"/>
        <v>0</v>
      </c>
      <c r="AD23" s="998">
        <f t="shared" si="119"/>
        <v>0</v>
      </c>
      <c r="AE23" s="998">
        <f t="shared" si="119"/>
        <v>0</v>
      </c>
      <c r="AF23" s="1348">
        <f t="shared" si="119"/>
        <v>0</v>
      </c>
      <c r="AG23" s="641">
        <f t="shared" si="119"/>
        <v>0</v>
      </c>
      <c r="AH23" s="998">
        <f t="shared" si="119"/>
        <v>0</v>
      </c>
      <c r="AI23" s="998">
        <f t="shared" si="119"/>
        <v>0</v>
      </c>
      <c r="AJ23" s="998">
        <f t="shared" si="119"/>
        <v>0</v>
      </c>
      <c r="AK23" s="1351">
        <f t="shared" si="119"/>
        <v>0</v>
      </c>
      <c r="AL23" s="185"/>
      <c r="AM23" s="1344" t="s">
        <v>498</v>
      </c>
      <c r="AN23" s="641">
        <f t="shared" ref="AN23" si="120">J23+Y23</f>
        <v>0.55332363071117585</v>
      </c>
      <c r="AO23" s="642">
        <f t="shared" si="93"/>
        <v>0.62982553954643705</v>
      </c>
      <c r="AP23" s="642">
        <f t="shared" si="94"/>
        <v>0.23587135869538486</v>
      </c>
      <c r="AQ23" s="642">
        <f t="shared" si="95"/>
        <v>0.35559400213396369</v>
      </c>
      <c r="AR23" s="642">
        <f t="shared" si="96"/>
        <v>0.56179696084100805</v>
      </c>
      <c r="AS23" s="642">
        <f t="shared" si="97"/>
        <v>0.42870670471827055</v>
      </c>
      <c r="AT23" s="642">
        <f t="shared" si="98"/>
        <v>0.39938761232521514</v>
      </c>
      <c r="AU23" s="643">
        <f t="shared" si="99"/>
        <v>0.33502357258482685</v>
      </c>
      <c r="AV23" s="641">
        <f t="shared" si="100"/>
        <v>0.16869645988064946</v>
      </c>
      <c r="AW23" s="642">
        <f t="shared" si="101"/>
        <v>0.16785297758124623</v>
      </c>
      <c r="AX23" s="642">
        <f t="shared" si="102"/>
        <v>0.16701371269334001</v>
      </c>
      <c r="AY23" s="642">
        <f t="shared" si="103"/>
        <v>0.16617864412987332</v>
      </c>
      <c r="AZ23" s="643">
        <f t="shared" si="104"/>
        <v>0.16534775090922393</v>
      </c>
      <c r="BA23" s="185"/>
      <c r="BB23" s="1344" t="s">
        <v>1876</v>
      </c>
      <c r="BC23" s="641">
        <f>BC104+BC109</f>
        <v>1571</v>
      </c>
      <c r="BD23" s="998">
        <f t="shared" ref="BD23:BO23" si="121">BD104+BD109</f>
        <v>1741</v>
      </c>
      <c r="BE23" s="998">
        <f t="shared" si="121"/>
        <v>546</v>
      </c>
      <c r="BF23" s="998">
        <f t="shared" si="121"/>
        <v>1236</v>
      </c>
      <c r="BG23" s="998">
        <f t="shared" si="121"/>
        <v>1435</v>
      </c>
      <c r="BH23" s="998">
        <f t="shared" si="121"/>
        <v>1614</v>
      </c>
      <c r="BI23" s="998">
        <f t="shared" si="121"/>
        <v>1374.7442452294176</v>
      </c>
      <c r="BJ23" s="1348">
        <f t="shared" si="121"/>
        <v>0</v>
      </c>
      <c r="BK23" s="642">
        <f t="shared" si="121"/>
        <v>530.90333486369377</v>
      </c>
      <c r="BL23" s="642">
        <f t="shared" si="121"/>
        <v>530.90333486369377</v>
      </c>
      <c r="BM23" s="642">
        <f t="shared" si="121"/>
        <v>530.90333486369377</v>
      </c>
      <c r="BN23" s="642">
        <f t="shared" si="121"/>
        <v>530.90333486369377</v>
      </c>
      <c r="BO23" s="643">
        <f t="shared" si="121"/>
        <v>530.90333486369377</v>
      </c>
      <c r="BP23" s="185"/>
      <c r="BQ23" s="164" t="s">
        <v>2648</v>
      </c>
      <c r="BR23" s="641">
        <f>IF(BC23,AN23/BC23,0)</f>
        <v>3.5221109529673828E-4</v>
      </c>
      <c r="BS23" s="998">
        <f t="shared" si="106"/>
        <v>3.6176079238738485E-4</v>
      </c>
      <c r="BT23" s="998">
        <f t="shared" si="107"/>
        <v>4.3199882544942285E-4</v>
      </c>
      <c r="BU23" s="998">
        <f t="shared" si="108"/>
        <v>2.8769741272974411E-4</v>
      </c>
      <c r="BV23" s="998">
        <f t="shared" si="109"/>
        <v>3.9149613995889063E-4</v>
      </c>
      <c r="BW23" s="998">
        <f t="shared" si="110"/>
        <v>2.6561753700016764E-4</v>
      </c>
      <c r="BX23" s="998">
        <f t="shared" si="111"/>
        <v>2.9051775536515536E-4</v>
      </c>
      <c r="BY23" s="1348">
        <f t="shared" si="112"/>
        <v>0</v>
      </c>
      <c r="BZ23" s="641">
        <f t="shared" si="113"/>
        <v>3.177536263243878E-4</v>
      </c>
      <c r="CA23" s="998">
        <f t="shared" si="114"/>
        <v>3.1616485819276589E-4</v>
      </c>
      <c r="CB23" s="998">
        <f t="shared" si="115"/>
        <v>3.1458403390180207E-4</v>
      </c>
      <c r="CC23" s="998">
        <f t="shared" si="116"/>
        <v>3.1301111373229309E-4</v>
      </c>
      <c r="CD23" s="1351">
        <f t="shared" si="117"/>
        <v>3.1144605816363157E-4</v>
      </c>
    </row>
    <row r="24" spans="1:82" s="99" customFormat="1" ht="15" customHeight="1">
      <c r="A24" s="89"/>
      <c r="B24" s="161"/>
      <c r="C24" s="95" t="s">
        <v>1710</v>
      </c>
      <c r="D24" s="95"/>
      <c r="E24" s="95"/>
      <c r="F24" s="95"/>
      <c r="G24" s="95"/>
      <c r="H24" s="95"/>
      <c r="I24" s="1344" t="s">
        <v>498</v>
      </c>
      <c r="J24" s="1342">
        <f>SUM(J22:J23)</f>
        <v>7.0760002400107203</v>
      </c>
      <c r="K24" s="1342">
        <f t="shared" ref="K24:V24" si="122">SUM(K22:K23)</f>
        <v>6.1941648236452531</v>
      </c>
      <c r="L24" s="1342">
        <f t="shared" si="122"/>
        <v>4.1938857484998175</v>
      </c>
      <c r="M24" s="1342">
        <f t="shared" si="122"/>
        <v>5.1145629936057615</v>
      </c>
      <c r="N24" s="1342">
        <f t="shared" si="122"/>
        <v>8.8068873512945984</v>
      </c>
      <c r="O24" s="1342">
        <f t="shared" si="122"/>
        <v>9.7180016586959344</v>
      </c>
      <c r="P24" s="1342">
        <f t="shared" si="122"/>
        <v>10.719955081437751</v>
      </c>
      <c r="Q24" s="1349">
        <f t="shared" si="122"/>
        <v>9.4969121748572842</v>
      </c>
      <c r="R24" s="697">
        <f t="shared" si="122"/>
        <v>9.8996988998659567</v>
      </c>
      <c r="S24" s="1342">
        <f t="shared" si="122"/>
        <v>9.8502004053666266</v>
      </c>
      <c r="T24" s="1342">
        <f t="shared" si="122"/>
        <v>9.8009494033397946</v>
      </c>
      <c r="U24" s="1342">
        <f t="shared" si="122"/>
        <v>9.7519446563230954</v>
      </c>
      <c r="V24" s="1352">
        <f t="shared" si="122"/>
        <v>9.7031849330414808</v>
      </c>
      <c r="W24" s="185"/>
      <c r="X24" s="1344" t="s">
        <v>498</v>
      </c>
      <c r="Y24" s="1342">
        <f>SUM(Y22:Y23)</f>
        <v>-0.43742458160873071</v>
      </c>
      <c r="Z24" s="1342">
        <f t="shared" ref="Z24" si="123">SUM(Z22:Z23)</f>
        <v>-0.40660399793880408</v>
      </c>
      <c r="AA24" s="1342">
        <f t="shared" ref="AA24" si="124">SUM(AA22:AA23)</f>
        <v>-0.34027673886815007</v>
      </c>
      <c r="AB24" s="1342">
        <f t="shared" ref="AB24" si="125">SUM(AB22:AB23)</f>
        <v>-0.93076434507200168</v>
      </c>
      <c r="AC24" s="1342">
        <f t="shared" ref="AC24" si="126">SUM(AC22:AC23)</f>
        <v>-0.33967088883319541</v>
      </c>
      <c r="AD24" s="1342">
        <f t="shared" ref="AD24" si="127">SUM(AD22:AD23)</f>
        <v>-0.49360828786010202</v>
      </c>
      <c r="AE24" s="1342">
        <f t="shared" ref="AE24" si="128">SUM(AE22:AE23)</f>
        <v>-0.44442760464843861</v>
      </c>
      <c r="AF24" s="1349">
        <f t="shared" ref="AF24" si="129">SUM(AF22:AF23)</f>
        <v>-0.37710710041593137</v>
      </c>
      <c r="AG24" s="697">
        <f t="shared" ref="AG24" si="130">SUM(AG22:AG23)</f>
        <v>-1.447098417875923</v>
      </c>
      <c r="AH24" s="1342">
        <f t="shared" ref="AH24" si="131">SUM(AH22:AH23)</f>
        <v>-1.4398629257865434</v>
      </c>
      <c r="AI24" s="1342">
        <f t="shared" ref="AI24" si="132">SUM(AI22:AI23)</f>
        <v>-1.4326636111576105</v>
      </c>
      <c r="AJ24" s="1342">
        <f t="shared" ref="AJ24" si="133">SUM(AJ22:AJ23)</f>
        <v>-1.4255002931018226</v>
      </c>
      <c r="AK24" s="1352">
        <f t="shared" ref="AK24" si="134">SUM(AK22:AK23)</f>
        <v>-1.4183727916363134</v>
      </c>
      <c r="AL24" s="185"/>
      <c r="AM24" s="1344" t="s">
        <v>498</v>
      </c>
      <c r="AN24" s="697">
        <f>SUM(AN22:AN23)</f>
        <v>6.6385756584019893</v>
      </c>
      <c r="AO24" s="698">
        <f t="shared" ref="AO24" si="135">SUM(AO22:AO23)</f>
        <v>5.787560825706449</v>
      </c>
      <c r="AP24" s="698">
        <f t="shared" ref="AP24" si="136">SUM(AP22:AP23)</f>
        <v>3.8536090096316675</v>
      </c>
      <c r="AQ24" s="698">
        <f t="shared" ref="AQ24" si="137">SUM(AQ22:AQ23)</f>
        <v>4.1837986485337595</v>
      </c>
      <c r="AR24" s="698">
        <f t="shared" ref="AR24" si="138">SUM(AR22:AR23)</f>
        <v>8.467216462461403</v>
      </c>
      <c r="AS24" s="698">
        <f t="shared" ref="AS24" si="139">SUM(AS22:AS23)</f>
        <v>9.2243933708358323</v>
      </c>
      <c r="AT24" s="698">
        <f t="shared" ref="AT24" si="140">SUM(AT22:AT23)</f>
        <v>10.275527476789312</v>
      </c>
      <c r="AU24" s="699">
        <f t="shared" ref="AU24" si="141">SUM(AU22:AU23)</f>
        <v>9.1198050744413521</v>
      </c>
      <c r="AV24" s="697">
        <f t="shared" ref="AV24" si="142">SUM(AV22:AV23)</f>
        <v>8.452600481990034</v>
      </c>
      <c r="AW24" s="698">
        <f t="shared" ref="AW24" si="143">SUM(AW22:AW23)</f>
        <v>8.4103374795800825</v>
      </c>
      <c r="AX24" s="698">
        <f t="shared" ref="AX24" si="144">SUM(AX22:AX23)</f>
        <v>8.3682857921821849</v>
      </c>
      <c r="AY24" s="698">
        <f t="shared" ref="AY24" si="145">SUM(AY22:AY23)</f>
        <v>8.3264443632212721</v>
      </c>
      <c r="AZ24" s="699">
        <f t="shared" ref="AZ24" si="146">SUM(AZ22:AZ23)</f>
        <v>8.2848121414051672</v>
      </c>
      <c r="BA24" s="185"/>
      <c r="BB24" s="1341"/>
      <c r="BC24" s="1340"/>
      <c r="BD24" s="1491"/>
      <c r="BE24" s="1491"/>
      <c r="BF24" s="1491"/>
      <c r="BG24" s="1491"/>
      <c r="BH24" s="1491"/>
      <c r="BI24" s="1491"/>
      <c r="BJ24" s="1341"/>
      <c r="BK24" s="1491"/>
      <c r="BL24" s="1491"/>
      <c r="BM24" s="1491"/>
      <c r="BN24" s="1491"/>
      <c r="BO24" s="1341"/>
      <c r="BP24" s="185"/>
      <c r="BR24" s="1340"/>
      <c r="BY24" s="1341"/>
      <c r="CD24" s="1341"/>
    </row>
    <row r="25" spans="1:82" s="99" customFormat="1" ht="15" customHeight="1">
      <c r="A25" s="89"/>
      <c r="B25" s="161"/>
      <c r="C25" s="95"/>
      <c r="D25" s="95"/>
      <c r="E25" s="95"/>
      <c r="F25" s="95"/>
      <c r="G25" s="95"/>
      <c r="H25" s="95"/>
      <c r="I25" s="1347"/>
      <c r="J25" s="97"/>
      <c r="K25" s="97"/>
      <c r="L25" s="97"/>
      <c r="M25" s="97"/>
      <c r="N25" s="97"/>
      <c r="O25" s="97"/>
      <c r="P25" s="97"/>
      <c r="Q25" s="97"/>
      <c r="R25" s="669"/>
      <c r="S25" s="97"/>
      <c r="T25" s="97"/>
      <c r="U25" s="97"/>
      <c r="V25" s="668"/>
      <c r="W25" s="97"/>
      <c r="X25" s="668"/>
      <c r="Y25" s="97"/>
      <c r="Z25" s="97"/>
      <c r="AA25" s="97"/>
      <c r="AB25" s="97"/>
      <c r="AC25" s="97"/>
      <c r="AD25" s="97"/>
      <c r="AE25" s="97"/>
      <c r="AF25" s="97"/>
      <c r="AG25" s="669"/>
      <c r="AH25" s="97"/>
      <c r="AI25" s="97"/>
      <c r="AJ25" s="97"/>
      <c r="AK25" s="668"/>
      <c r="AL25" s="97"/>
      <c r="AM25" s="668"/>
      <c r="AN25" s="97"/>
      <c r="AO25" s="97"/>
      <c r="AP25" s="97"/>
      <c r="AQ25" s="97"/>
      <c r="AR25" s="97"/>
      <c r="AS25" s="97"/>
      <c r="AT25" s="97"/>
      <c r="AU25" s="97"/>
      <c r="AV25" s="669"/>
      <c r="AW25" s="97"/>
      <c r="AX25" s="97"/>
      <c r="AY25" s="97"/>
      <c r="AZ25" s="668"/>
      <c r="BB25" s="1341"/>
      <c r="BC25" s="1340"/>
      <c r="BD25" s="1491"/>
      <c r="BE25" s="1491"/>
      <c r="BF25" s="1491"/>
      <c r="BG25" s="1491"/>
      <c r="BH25" s="1491"/>
      <c r="BI25" s="1491"/>
      <c r="BJ25" s="1341"/>
      <c r="BK25" s="1491"/>
      <c r="BL25" s="1491"/>
      <c r="BM25" s="1491"/>
      <c r="BN25" s="1491"/>
      <c r="BO25" s="1341"/>
      <c r="BR25" s="1340"/>
      <c r="BY25" s="1341"/>
      <c r="CD25" s="1341"/>
    </row>
    <row r="26" spans="1:82" s="99" customFormat="1" ht="15" customHeight="1">
      <c r="A26" s="89"/>
      <c r="B26" s="161"/>
      <c r="C26" s="1339" t="s">
        <v>2651</v>
      </c>
      <c r="D26" s="95"/>
      <c r="E26" s="95"/>
      <c r="F26" s="95"/>
      <c r="G26" s="95"/>
      <c r="H26" s="95"/>
      <c r="I26" s="1347"/>
      <c r="J26" s="97"/>
      <c r="K26" s="97"/>
      <c r="L26" s="97"/>
      <c r="M26" s="97"/>
      <c r="N26" s="97"/>
      <c r="O26" s="97"/>
      <c r="P26" s="97"/>
      <c r="Q26" s="97"/>
      <c r="R26" s="669"/>
      <c r="S26" s="97"/>
      <c r="T26" s="97"/>
      <c r="U26" s="97"/>
      <c r="V26" s="668"/>
      <c r="W26" s="97"/>
      <c r="X26" s="668"/>
      <c r="Y26" s="97"/>
      <c r="Z26" s="97"/>
      <c r="AA26" s="97"/>
      <c r="AB26" s="97"/>
      <c r="AC26" s="97"/>
      <c r="AD26" s="97"/>
      <c r="AE26" s="97"/>
      <c r="AF26" s="97"/>
      <c r="AG26" s="669"/>
      <c r="AH26" s="97"/>
      <c r="AI26" s="97"/>
      <c r="AJ26" s="97"/>
      <c r="AK26" s="668"/>
      <c r="AL26" s="97"/>
      <c r="AM26" s="668"/>
      <c r="AN26" s="97"/>
      <c r="AO26" s="97"/>
      <c r="AP26" s="97"/>
      <c r="AQ26" s="97"/>
      <c r="AR26" s="97"/>
      <c r="AS26" s="97"/>
      <c r="AT26" s="97"/>
      <c r="AU26" s="97"/>
      <c r="AV26" s="669"/>
      <c r="AW26" s="97"/>
      <c r="AX26" s="97"/>
      <c r="AY26" s="97"/>
      <c r="AZ26" s="668"/>
      <c r="BB26" s="1341"/>
      <c r="BC26" s="1340"/>
      <c r="BD26" s="1491"/>
      <c r="BE26" s="1491"/>
      <c r="BF26" s="1491"/>
      <c r="BG26" s="1491"/>
      <c r="BH26" s="1491"/>
      <c r="BI26" s="1491"/>
      <c r="BJ26" s="1341"/>
      <c r="BK26" s="1491"/>
      <c r="BL26" s="1491"/>
      <c r="BM26" s="1491"/>
      <c r="BN26" s="1491"/>
      <c r="BO26" s="1341"/>
      <c r="BR26" s="1340"/>
      <c r="BY26" s="1341"/>
      <c r="CD26" s="1341"/>
    </row>
    <row r="27" spans="1:82" s="99" customFormat="1" ht="15" customHeight="1">
      <c r="A27" s="89"/>
      <c r="B27" s="161"/>
      <c r="C27" s="95"/>
      <c r="D27" s="95" t="s">
        <v>2523</v>
      </c>
      <c r="E27" s="95"/>
      <c r="F27" s="95"/>
      <c r="G27" s="95"/>
      <c r="H27" s="95"/>
      <c r="I27" s="1344" t="s">
        <v>498</v>
      </c>
      <c r="J27" s="998">
        <f>J120</f>
        <v>4.3858461061925595</v>
      </c>
      <c r="K27" s="998">
        <f t="shared" ref="K27:V27" si="147">K120</f>
        <v>2.4572764796198445</v>
      </c>
      <c r="L27" s="998">
        <f t="shared" si="147"/>
        <v>2.8240325203104959</v>
      </c>
      <c r="M27" s="998">
        <f t="shared" si="147"/>
        <v>1.4844448192909465</v>
      </c>
      <c r="N27" s="998">
        <f t="shared" si="147"/>
        <v>1.8356164502598964</v>
      </c>
      <c r="O27" s="998">
        <f t="shared" si="147"/>
        <v>4.6082664548605869</v>
      </c>
      <c r="P27" s="998">
        <f t="shared" si="147"/>
        <v>2.8209678647229701</v>
      </c>
      <c r="Q27" s="1348">
        <f t="shared" si="147"/>
        <v>2.406930582500975</v>
      </c>
      <c r="R27" s="641">
        <f t="shared" si="147"/>
        <v>7.1840643134824695</v>
      </c>
      <c r="S27" s="998">
        <f t="shared" si="147"/>
        <v>7.1481439919150569</v>
      </c>
      <c r="T27" s="998">
        <f t="shared" si="147"/>
        <v>7.1124032719554817</v>
      </c>
      <c r="U27" s="998">
        <f t="shared" si="147"/>
        <v>7.0768412555957045</v>
      </c>
      <c r="V27" s="1351">
        <f t="shared" si="147"/>
        <v>7.0414570493177262</v>
      </c>
      <c r="W27" s="185"/>
      <c r="X27" s="1344" t="s">
        <v>498</v>
      </c>
      <c r="Y27" s="998">
        <f>Y120</f>
        <v>-0.43986345569506069</v>
      </c>
      <c r="Z27" s="998">
        <f t="shared" ref="Z27:AK27" si="148">Z120</f>
        <v>-1.9971925095105827E-2</v>
      </c>
      <c r="AA27" s="998">
        <f t="shared" si="148"/>
        <v>-0.30881190017736804</v>
      </c>
      <c r="AB27" s="998">
        <f t="shared" si="148"/>
        <v>0</v>
      </c>
      <c r="AC27" s="998">
        <f t="shared" si="148"/>
        <v>0</v>
      </c>
      <c r="AD27" s="998">
        <f t="shared" si="148"/>
        <v>0</v>
      </c>
      <c r="AE27" s="998">
        <f t="shared" si="148"/>
        <v>-0.2372815841344281</v>
      </c>
      <c r="AF27" s="1348">
        <f t="shared" si="148"/>
        <v>-0.20908969871722355</v>
      </c>
      <c r="AG27" s="641">
        <f t="shared" si="148"/>
        <v>-0.62028458849790769</v>
      </c>
      <c r="AH27" s="998">
        <f t="shared" si="148"/>
        <v>-0.61718316555541808</v>
      </c>
      <c r="AI27" s="998">
        <f t="shared" si="148"/>
        <v>-0.6140972497276409</v>
      </c>
      <c r="AJ27" s="998">
        <f t="shared" si="148"/>
        <v>-0.61102676347900275</v>
      </c>
      <c r="AK27" s="1351">
        <f t="shared" si="148"/>
        <v>-0.60797162966160789</v>
      </c>
      <c r="AL27" s="185"/>
      <c r="AM27" s="1344" t="s">
        <v>498</v>
      </c>
      <c r="AN27" s="641">
        <f>J27+Y27</f>
        <v>3.9459826504974989</v>
      </c>
      <c r="AO27" s="642">
        <f t="shared" ref="AO27:AO28" si="149">K27+Z27</f>
        <v>2.4373045545247387</v>
      </c>
      <c r="AP27" s="642">
        <f t="shared" ref="AP27:AP28" si="150">L27+AA27</f>
        <v>2.5152206201331277</v>
      </c>
      <c r="AQ27" s="642">
        <f t="shared" ref="AQ27:AQ28" si="151">M27+AB27</f>
        <v>1.4844448192909465</v>
      </c>
      <c r="AR27" s="642">
        <f t="shared" ref="AR27:AR28" si="152">N27+AC27</f>
        <v>1.8356164502598964</v>
      </c>
      <c r="AS27" s="642">
        <f t="shared" ref="AS27:AS28" si="153">O27+AD27</f>
        <v>4.6082664548605869</v>
      </c>
      <c r="AT27" s="642">
        <f t="shared" ref="AT27:AT28" si="154">P27+AE27</f>
        <v>2.5836862805885419</v>
      </c>
      <c r="AU27" s="643">
        <f t="shared" ref="AU27:AU28" si="155">Q27+AF27</f>
        <v>2.1978408837837513</v>
      </c>
      <c r="AV27" s="641">
        <f t="shared" ref="AV27:AV28" si="156">R27+AG27</f>
        <v>6.5637797249845615</v>
      </c>
      <c r="AW27" s="642">
        <f t="shared" ref="AW27:AW28" si="157">S27+AH27</f>
        <v>6.5309608263596388</v>
      </c>
      <c r="AX27" s="642">
        <f t="shared" ref="AX27:AX28" si="158">T27+AI27</f>
        <v>6.4983060222278404</v>
      </c>
      <c r="AY27" s="642">
        <f t="shared" ref="AY27:AY28" si="159">U27+AJ27</f>
        <v>6.465814492116702</v>
      </c>
      <c r="AZ27" s="643">
        <f t="shared" ref="AZ27:AZ28" si="160">V27+AK27</f>
        <v>6.433485419656118</v>
      </c>
      <c r="BA27" s="185"/>
      <c r="BB27" s="1344" t="s">
        <v>2233</v>
      </c>
      <c r="BC27" s="641">
        <f>BC120</f>
        <v>7.394000000000001</v>
      </c>
      <c r="BD27" s="998">
        <f t="shared" ref="BD27:BO27" si="161">BD120</f>
        <v>5.3594999999999997</v>
      </c>
      <c r="BE27" s="998">
        <f t="shared" si="161"/>
        <v>4.8464999999999989</v>
      </c>
      <c r="BF27" s="998">
        <f t="shared" si="161"/>
        <v>1.4939999999999998</v>
      </c>
      <c r="BG27" s="998">
        <f t="shared" si="161"/>
        <v>2.4299999999999997</v>
      </c>
      <c r="BH27" s="998">
        <f t="shared" si="161"/>
        <v>5.7700000000000005</v>
      </c>
      <c r="BI27" s="998">
        <f t="shared" si="161"/>
        <v>6.8000654794830711</v>
      </c>
      <c r="BJ27" s="1348">
        <f t="shared" si="161"/>
        <v>5.0085236086747313</v>
      </c>
      <c r="BK27" s="642">
        <f t="shared" si="161"/>
        <v>10.597200921512412</v>
      </c>
      <c r="BL27" s="642">
        <f t="shared" si="161"/>
        <v>10.597200921512412</v>
      </c>
      <c r="BM27" s="642">
        <f t="shared" si="161"/>
        <v>10.597200921512412</v>
      </c>
      <c r="BN27" s="642">
        <f t="shared" si="161"/>
        <v>10.597200921512412</v>
      </c>
      <c r="BO27" s="643">
        <f t="shared" si="161"/>
        <v>10.597200921512412</v>
      </c>
      <c r="BP27" s="185"/>
      <c r="BQ27" s="164" t="s">
        <v>2415</v>
      </c>
      <c r="BR27" s="641">
        <f>IF(BC27,AN27/BC27,0)</f>
        <v>0.53367360704591538</v>
      </c>
      <c r="BS27" s="998">
        <f t="shared" ref="BS27:BS28" si="162">IF(BD27,AO27/BD27,0)</f>
        <v>0.45476342093940458</v>
      </c>
      <c r="BT27" s="998">
        <f t="shared" ref="BT27:BT28" si="163">IF(BE27,AP27/BE27,0)</f>
        <v>0.51897670899270165</v>
      </c>
      <c r="BU27" s="998">
        <f t="shared" ref="BU27:BU28" si="164">IF(BF27,AQ27/BF27,0)</f>
        <v>0.9936042967141544</v>
      </c>
      <c r="BV27" s="998">
        <f t="shared" ref="BV27:BV28" si="165">IF(BG27,AR27/BG27,0)</f>
        <v>0.75539771615633611</v>
      </c>
      <c r="BW27" s="998">
        <f t="shared" ref="BW27:BW28" si="166">IF(BH27,AS27/BH27,0)</f>
        <v>0.79865969754949506</v>
      </c>
      <c r="BX27" s="998">
        <f t="shared" ref="BX27:BX28" si="167">IF(BI27,AT27/BI27,0)</f>
        <v>0.37995020612433117</v>
      </c>
      <c r="BY27" s="1348">
        <f t="shared" ref="BY27:BY28" si="168">IF(BJ27,AU27/BJ27,0)</f>
        <v>0.43882011057651893</v>
      </c>
      <c r="BZ27" s="641">
        <f t="shared" ref="BZ27:BZ28" si="169">IF(BK27,AV27/BK27,0)</f>
        <v>0.61938806045094708</v>
      </c>
      <c r="CA27" s="998">
        <f t="shared" ref="CA27:CA28" si="170">IF(BL27,AW27/BL27,0)</f>
        <v>0.61629112014869236</v>
      </c>
      <c r="CB27" s="998">
        <f t="shared" ref="CB27:CB28" si="171">IF(BM27,AX27/BM27,0)</f>
        <v>0.61320966454794879</v>
      </c>
      <c r="CC27" s="998">
        <f t="shared" ref="CC27:CC28" si="172">IF(BN27,AY27/BN27,0)</f>
        <v>0.61014361622520918</v>
      </c>
      <c r="CD27" s="1351">
        <f t="shared" ref="CD27:CD28" si="173">IF(BO27,AZ27/BO27,0)</f>
        <v>0.60709289814408307</v>
      </c>
    </row>
    <row r="28" spans="1:82" s="99" customFormat="1" ht="15" customHeight="1">
      <c r="A28" s="89"/>
      <c r="B28" s="161"/>
      <c r="C28" s="95"/>
      <c r="D28" s="95" t="s">
        <v>1843</v>
      </c>
      <c r="E28" s="95"/>
      <c r="F28" s="95"/>
      <c r="G28" s="95"/>
      <c r="H28" s="95"/>
      <c r="I28" s="1344" t="s">
        <v>498</v>
      </c>
      <c r="J28" s="998">
        <f>J125+J130</f>
        <v>0.18818035869672661</v>
      </c>
      <c r="K28" s="998">
        <f t="shared" ref="K28:V28" si="174">K125+K130</f>
        <v>0.19521075536456173</v>
      </c>
      <c r="L28" s="998">
        <f t="shared" si="174"/>
        <v>8.0363875440082222E-2</v>
      </c>
      <c r="M28" s="998">
        <f t="shared" si="174"/>
        <v>0.132818596515662</v>
      </c>
      <c r="N28" s="998">
        <f t="shared" si="174"/>
        <v>5.8198110004138874E-2</v>
      </c>
      <c r="O28" s="998">
        <f t="shared" si="174"/>
        <v>7.6945265885993652E-2</v>
      </c>
      <c r="P28" s="998">
        <f t="shared" si="174"/>
        <v>0.10489186268163769</v>
      </c>
      <c r="Q28" s="1348">
        <f t="shared" si="174"/>
        <v>8.395444913927938E-2</v>
      </c>
      <c r="R28" s="641">
        <f t="shared" si="174"/>
        <v>8.73888451465865E-2</v>
      </c>
      <c r="S28" s="998">
        <f t="shared" si="174"/>
        <v>8.6951900920853573E-2</v>
      </c>
      <c r="T28" s="998">
        <f t="shared" si="174"/>
        <v>8.6517141416249305E-2</v>
      </c>
      <c r="U28" s="998">
        <f t="shared" si="174"/>
        <v>8.6084555709168037E-2</v>
      </c>
      <c r="V28" s="1351">
        <f t="shared" si="174"/>
        <v>8.5654132930622212E-2</v>
      </c>
      <c r="W28" s="185"/>
      <c r="X28" s="1344" t="s">
        <v>498</v>
      </c>
      <c r="Y28" s="998">
        <f>Y125+Y130</f>
        <v>0</v>
      </c>
      <c r="Z28" s="998">
        <f t="shared" ref="Z28:AK28" si="175">Z125+Z130</f>
        <v>0</v>
      </c>
      <c r="AA28" s="998">
        <f t="shared" si="175"/>
        <v>0</v>
      </c>
      <c r="AB28" s="998">
        <f t="shared" si="175"/>
        <v>0</v>
      </c>
      <c r="AC28" s="998">
        <f t="shared" si="175"/>
        <v>0</v>
      </c>
      <c r="AD28" s="998">
        <f t="shared" si="175"/>
        <v>0</v>
      </c>
      <c r="AE28" s="998">
        <f t="shared" si="175"/>
        <v>0</v>
      </c>
      <c r="AF28" s="1348">
        <f t="shared" si="175"/>
        <v>0</v>
      </c>
      <c r="AG28" s="641">
        <f t="shared" si="175"/>
        <v>0</v>
      </c>
      <c r="AH28" s="998">
        <f t="shared" si="175"/>
        <v>0</v>
      </c>
      <c r="AI28" s="998">
        <f t="shared" si="175"/>
        <v>0</v>
      </c>
      <c r="AJ28" s="998">
        <f t="shared" si="175"/>
        <v>0</v>
      </c>
      <c r="AK28" s="1351">
        <f t="shared" si="175"/>
        <v>0</v>
      </c>
      <c r="AL28" s="185"/>
      <c r="AM28" s="1344" t="s">
        <v>498</v>
      </c>
      <c r="AN28" s="641">
        <f t="shared" ref="AN28" si="176">J28+Y28</f>
        <v>0.18818035869672661</v>
      </c>
      <c r="AO28" s="642">
        <f t="shared" si="149"/>
        <v>0.19521075536456173</v>
      </c>
      <c r="AP28" s="642">
        <f t="shared" si="150"/>
        <v>8.0363875440082222E-2</v>
      </c>
      <c r="AQ28" s="642">
        <f t="shared" si="151"/>
        <v>0.132818596515662</v>
      </c>
      <c r="AR28" s="642">
        <f t="shared" si="152"/>
        <v>5.8198110004138874E-2</v>
      </c>
      <c r="AS28" s="642">
        <f t="shared" si="153"/>
        <v>7.6945265885993652E-2</v>
      </c>
      <c r="AT28" s="642">
        <f t="shared" si="154"/>
        <v>0.10489186268163769</v>
      </c>
      <c r="AU28" s="643">
        <f t="shared" si="155"/>
        <v>8.395444913927938E-2</v>
      </c>
      <c r="AV28" s="641">
        <f t="shared" si="156"/>
        <v>8.73888451465865E-2</v>
      </c>
      <c r="AW28" s="642">
        <f t="shared" si="157"/>
        <v>8.6951900920853573E-2</v>
      </c>
      <c r="AX28" s="642">
        <f t="shared" si="158"/>
        <v>8.6517141416249305E-2</v>
      </c>
      <c r="AY28" s="642">
        <f t="shared" si="159"/>
        <v>8.6084555709168037E-2</v>
      </c>
      <c r="AZ28" s="643">
        <f t="shared" si="160"/>
        <v>8.5654132930622212E-2</v>
      </c>
      <c r="BA28" s="185"/>
      <c r="BB28" s="1344" t="s">
        <v>1876</v>
      </c>
      <c r="BC28" s="641">
        <f>BC125+BC130</f>
        <v>0</v>
      </c>
      <c r="BD28" s="998">
        <f t="shared" ref="BD28:BO28" si="177">BD125+BD130</f>
        <v>0</v>
      </c>
      <c r="BE28" s="998">
        <f t="shared" si="177"/>
        <v>0</v>
      </c>
      <c r="BF28" s="998">
        <f t="shared" si="177"/>
        <v>0</v>
      </c>
      <c r="BG28" s="998">
        <f t="shared" si="177"/>
        <v>0</v>
      </c>
      <c r="BH28" s="998">
        <f t="shared" si="177"/>
        <v>0</v>
      </c>
      <c r="BI28" s="998">
        <f t="shared" si="177"/>
        <v>0</v>
      </c>
      <c r="BJ28" s="1348">
        <f t="shared" si="177"/>
        <v>0</v>
      </c>
      <c r="BK28" s="642">
        <f t="shared" si="177"/>
        <v>280.48107263245686</v>
      </c>
      <c r="BL28" s="642">
        <f t="shared" si="177"/>
        <v>280.48107263245686</v>
      </c>
      <c r="BM28" s="642">
        <f t="shared" si="177"/>
        <v>280.48107263245686</v>
      </c>
      <c r="BN28" s="642">
        <f t="shared" si="177"/>
        <v>280.48107263245686</v>
      </c>
      <c r="BO28" s="643">
        <f t="shared" si="177"/>
        <v>280.48107263245686</v>
      </c>
      <c r="BP28" s="185"/>
      <c r="BQ28" s="164" t="s">
        <v>2648</v>
      </c>
      <c r="BR28" s="641">
        <f>IF(BC28,AN28/BC28,0)</f>
        <v>0</v>
      </c>
      <c r="BS28" s="998">
        <f t="shared" si="162"/>
        <v>0</v>
      </c>
      <c r="BT28" s="998">
        <f t="shared" si="163"/>
        <v>0</v>
      </c>
      <c r="BU28" s="998">
        <f t="shared" si="164"/>
        <v>0</v>
      </c>
      <c r="BV28" s="998">
        <f t="shared" si="165"/>
        <v>0</v>
      </c>
      <c r="BW28" s="998">
        <f t="shared" si="166"/>
        <v>0</v>
      </c>
      <c r="BX28" s="998">
        <f t="shared" si="167"/>
        <v>0</v>
      </c>
      <c r="BY28" s="1348">
        <f t="shared" si="168"/>
        <v>0</v>
      </c>
      <c r="BZ28" s="641">
        <f t="shared" si="169"/>
        <v>3.1156770874554192E-4</v>
      </c>
      <c r="CA28" s="998">
        <f t="shared" si="170"/>
        <v>3.1000987020181418E-4</v>
      </c>
      <c r="CB28" s="998">
        <f t="shared" si="171"/>
        <v>3.0845982085080516E-4</v>
      </c>
      <c r="CC28" s="998">
        <f t="shared" si="172"/>
        <v>3.0691752174655105E-4</v>
      </c>
      <c r="CD28" s="1351">
        <f t="shared" si="173"/>
        <v>3.0538293413781835E-4</v>
      </c>
    </row>
    <row r="29" spans="1:82" s="99" customFormat="1" ht="15" customHeight="1">
      <c r="A29" s="89"/>
      <c r="B29" s="161"/>
      <c r="C29" s="95" t="s">
        <v>1710</v>
      </c>
      <c r="D29" s="95"/>
      <c r="E29" s="95"/>
      <c r="F29" s="95"/>
      <c r="G29" s="95"/>
      <c r="H29" s="95"/>
      <c r="I29" s="1344" t="s">
        <v>498</v>
      </c>
      <c r="J29" s="1342">
        <f>SUM(J27:J28)</f>
        <v>4.5740264648892861</v>
      </c>
      <c r="K29" s="1342">
        <f t="shared" ref="K29:V29" si="178">SUM(K27:K28)</f>
        <v>2.6524872349844064</v>
      </c>
      <c r="L29" s="1342">
        <f t="shared" si="178"/>
        <v>2.9043963957505783</v>
      </c>
      <c r="M29" s="1342">
        <f t="shared" si="178"/>
        <v>1.6172634158066086</v>
      </c>
      <c r="N29" s="1342">
        <f t="shared" si="178"/>
        <v>1.8938145602640353</v>
      </c>
      <c r="O29" s="1342">
        <f t="shared" si="178"/>
        <v>4.6852117207465804</v>
      </c>
      <c r="P29" s="1342">
        <f t="shared" si="178"/>
        <v>2.9258597274046076</v>
      </c>
      <c r="Q29" s="1349">
        <f t="shared" si="178"/>
        <v>2.4908850316402544</v>
      </c>
      <c r="R29" s="697">
        <f t="shared" si="178"/>
        <v>7.2714531586290558</v>
      </c>
      <c r="S29" s="1342">
        <f t="shared" si="178"/>
        <v>7.2350958928359104</v>
      </c>
      <c r="T29" s="1342">
        <f t="shared" si="178"/>
        <v>7.1989204133717308</v>
      </c>
      <c r="U29" s="1342">
        <f t="shared" si="178"/>
        <v>7.1629258113048726</v>
      </c>
      <c r="V29" s="1352">
        <f t="shared" si="178"/>
        <v>7.1271111822483482</v>
      </c>
      <c r="W29" s="185"/>
      <c r="X29" s="1344" t="s">
        <v>498</v>
      </c>
      <c r="Y29" s="1342">
        <f>SUM(Y27:Y28)</f>
        <v>-0.43986345569506069</v>
      </c>
      <c r="Z29" s="1342">
        <f t="shared" ref="Z29" si="179">SUM(Z27:Z28)</f>
        <v>-1.9971925095105827E-2</v>
      </c>
      <c r="AA29" s="1342">
        <f t="shared" ref="AA29" si="180">SUM(AA27:AA28)</f>
        <v>-0.30881190017736804</v>
      </c>
      <c r="AB29" s="1342">
        <f t="shared" ref="AB29" si="181">SUM(AB27:AB28)</f>
        <v>0</v>
      </c>
      <c r="AC29" s="1342">
        <f t="shared" ref="AC29" si="182">SUM(AC27:AC28)</f>
        <v>0</v>
      </c>
      <c r="AD29" s="1342">
        <f t="shared" ref="AD29" si="183">SUM(AD27:AD28)</f>
        <v>0</v>
      </c>
      <c r="AE29" s="1342">
        <f t="shared" ref="AE29" si="184">SUM(AE27:AE28)</f>
        <v>-0.2372815841344281</v>
      </c>
      <c r="AF29" s="1349">
        <f t="shared" ref="AF29" si="185">SUM(AF27:AF28)</f>
        <v>-0.20908969871722355</v>
      </c>
      <c r="AG29" s="697">
        <f t="shared" ref="AG29" si="186">SUM(AG27:AG28)</f>
        <v>-0.62028458849790769</v>
      </c>
      <c r="AH29" s="1342">
        <f t="shared" ref="AH29" si="187">SUM(AH27:AH28)</f>
        <v>-0.61718316555541808</v>
      </c>
      <c r="AI29" s="1342">
        <f t="shared" ref="AI29" si="188">SUM(AI27:AI28)</f>
        <v>-0.6140972497276409</v>
      </c>
      <c r="AJ29" s="1342">
        <f t="shared" ref="AJ29" si="189">SUM(AJ27:AJ28)</f>
        <v>-0.61102676347900275</v>
      </c>
      <c r="AK29" s="1352">
        <f t="shared" ref="AK29" si="190">SUM(AK27:AK28)</f>
        <v>-0.60797162966160789</v>
      </c>
      <c r="AL29" s="185"/>
      <c r="AM29" s="1344" t="s">
        <v>498</v>
      </c>
      <c r="AN29" s="697">
        <f>SUM(AN27:AN28)</f>
        <v>4.1341630091942259</v>
      </c>
      <c r="AO29" s="698">
        <f t="shared" ref="AO29" si="191">SUM(AO27:AO28)</f>
        <v>2.6325153098893006</v>
      </c>
      <c r="AP29" s="698">
        <f t="shared" ref="AP29" si="192">SUM(AP27:AP28)</f>
        <v>2.5955844955732101</v>
      </c>
      <c r="AQ29" s="698">
        <f t="shared" ref="AQ29" si="193">SUM(AQ27:AQ28)</f>
        <v>1.6172634158066086</v>
      </c>
      <c r="AR29" s="698">
        <f t="shared" ref="AR29" si="194">SUM(AR27:AR28)</f>
        <v>1.8938145602640353</v>
      </c>
      <c r="AS29" s="698">
        <f t="shared" ref="AS29" si="195">SUM(AS27:AS28)</f>
        <v>4.6852117207465804</v>
      </c>
      <c r="AT29" s="698">
        <f t="shared" ref="AT29" si="196">SUM(AT27:AT28)</f>
        <v>2.6885781432701794</v>
      </c>
      <c r="AU29" s="699">
        <f t="shared" ref="AU29" si="197">SUM(AU27:AU28)</f>
        <v>2.2817953329230307</v>
      </c>
      <c r="AV29" s="697">
        <f t="shared" ref="AV29" si="198">SUM(AV27:AV28)</f>
        <v>6.6511685701311478</v>
      </c>
      <c r="AW29" s="698">
        <f t="shared" ref="AW29" si="199">SUM(AW27:AW28)</f>
        <v>6.6179127272804923</v>
      </c>
      <c r="AX29" s="698">
        <f t="shared" ref="AX29" si="200">SUM(AX27:AX28)</f>
        <v>6.5848231636440895</v>
      </c>
      <c r="AY29" s="698">
        <f t="shared" ref="AY29" si="201">SUM(AY27:AY28)</f>
        <v>6.5518990478258701</v>
      </c>
      <c r="AZ29" s="699">
        <f t="shared" ref="AZ29" si="202">SUM(AZ27:AZ28)</f>
        <v>6.5191395525867399</v>
      </c>
      <c r="BA29" s="185"/>
      <c r="BB29" s="1341"/>
      <c r="BC29" s="1340"/>
      <c r="BD29" s="1491"/>
      <c r="BE29" s="1491"/>
      <c r="BF29" s="1491"/>
      <c r="BG29" s="1491"/>
      <c r="BH29" s="1491"/>
      <c r="BI29" s="1491"/>
      <c r="BJ29" s="1341"/>
      <c r="BK29" s="1491"/>
      <c r="BL29" s="1491"/>
      <c r="BM29" s="1491"/>
      <c r="BN29" s="1491"/>
      <c r="BO29" s="1341"/>
      <c r="BP29" s="185"/>
      <c r="BR29" s="1340"/>
      <c r="BY29" s="1341"/>
      <c r="CD29" s="1341"/>
    </row>
    <row r="30" spans="1:82" s="99" customFormat="1" ht="15" customHeight="1">
      <c r="A30" s="89"/>
      <c r="B30" s="161"/>
      <c r="C30" s="95"/>
      <c r="D30" s="95"/>
      <c r="E30" s="95"/>
      <c r="F30" s="95"/>
      <c r="G30" s="95"/>
      <c r="H30" s="95"/>
      <c r="I30" s="1347"/>
      <c r="J30" s="97"/>
      <c r="K30" s="97"/>
      <c r="L30" s="97"/>
      <c r="M30" s="97"/>
      <c r="N30" s="97"/>
      <c r="O30" s="97"/>
      <c r="P30" s="97"/>
      <c r="Q30" s="97"/>
      <c r="R30" s="669"/>
      <c r="S30" s="97"/>
      <c r="T30" s="97"/>
      <c r="U30" s="97"/>
      <c r="V30" s="668"/>
      <c r="W30" s="97"/>
      <c r="X30" s="668"/>
      <c r="Y30" s="97"/>
      <c r="Z30" s="97"/>
      <c r="AA30" s="97"/>
      <c r="AB30" s="97"/>
      <c r="AC30" s="97"/>
      <c r="AD30" s="97"/>
      <c r="AE30" s="97"/>
      <c r="AF30" s="97"/>
      <c r="AG30" s="669"/>
      <c r="AH30" s="97"/>
      <c r="AI30" s="97"/>
      <c r="AJ30" s="97"/>
      <c r="AK30" s="668"/>
      <c r="AL30" s="97"/>
      <c r="AM30" s="668"/>
      <c r="AN30" s="97"/>
      <c r="AO30" s="97"/>
      <c r="AP30" s="97"/>
      <c r="AQ30" s="97"/>
      <c r="AR30" s="97"/>
      <c r="AS30" s="97"/>
      <c r="AT30" s="97"/>
      <c r="AU30" s="97"/>
      <c r="AV30" s="669"/>
      <c r="AW30" s="97"/>
      <c r="AX30" s="97"/>
      <c r="AY30" s="97"/>
      <c r="AZ30" s="668"/>
      <c r="BB30" s="1341"/>
      <c r="BC30" s="1340"/>
      <c r="BD30" s="1491"/>
      <c r="BE30" s="1491"/>
      <c r="BF30" s="1491"/>
      <c r="BG30" s="1491"/>
      <c r="BH30" s="1491"/>
      <c r="BI30" s="1491"/>
      <c r="BJ30" s="1341"/>
      <c r="BK30" s="1491"/>
      <c r="BL30" s="1491"/>
      <c r="BM30" s="1491"/>
      <c r="BN30" s="1491"/>
      <c r="BO30" s="1341"/>
      <c r="BR30" s="1340"/>
      <c r="BY30" s="1341"/>
      <c r="CD30" s="1341"/>
    </row>
    <row r="31" spans="1:82" s="99" customFormat="1" ht="15" customHeight="1">
      <c r="A31" s="89"/>
      <c r="B31" s="161"/>
      <c r="C31" s="1339" t="s">
        <v>1686</v>
      </c>
      <c r="D31" s="95"/>
      <c r="E31" s="95"/>
      <c r="F31" s="95"/>
      <c r="G31" s="95"/>
      <c r="H31" s="95"/>
      <c r="I31" s="1347"/>
      <c r="J31" s="97"/>
      <c r="K31" s="97"/>
      <c r="L31" s="97"/>
      <c r="M31" s="97"/>
      <c r="N31" s="97"/>
      <c r="O31" s="97"/>
      <c r="P31" s="97"/>
      <c r="Q31" s="97"/>
      <c r="R31" s="669"/>
      <c r="S31" s="97"/>
      <c r="T31" s="97"/>
      <c r="U31" s="97"/>
      <c r="V31" s="668"/>
      <c r="W31" s="97"/>
      <c r="X31" s="668"/>
      <c r="Y31" s="97"/>
      <c r="Z31" s="97"/>
      <c r="AA31" s="97"/>
      <c r="AB31" s="97"/>
      <c r="AC31" s="97"/>
      <c r="AD31" s="97"/>
      <c r="AE31" s="97"/>
      <c r="AF31" s="97"/>
      <c r="AG31" s="669"/>
      <c r="AH31" s="97"/>
      <c r="AI31" s="97"/>
      <c r="AJ31" s="97"/>
      <c r="AK31" s="668"/>
      <c r="AL31" s="97"/>
      <c r="AM31" s="668"/>
      <c r="AN31" s="97"/>
      <c r="AO31" s="97"/>
      <c r="AP31" s="97"/>
      <c r="AQ31" s="97"/>
      <c r="AR31" s="97"/>
      <c r="AS31" s="97"/>
      <c r="AT31" s="97"/>
      <c r="AU31" s="97"/>
      <c r="AV31" s="669"/>
      <c r="AW31" s="97"/>
      <c r="AX31" s="97"/>
      <c r="AY31" s="97"/>
      <c r="AZ31" s="668"/>
      <c r="BB31" s="1341"/>
      <c r="BC31" s="1340"/>
      <c r="BD31" s="1491"/>
      <c r="BE31" s="1491"/>
      <c r="BF31" s="1491"/>
      <c r="BG31" s="1491"/>
      <c r="BH31" s="1491"/>
      <c r="BI31" s="1491"/>
      <c r="BJ31" s="1341"/>
      <c r="BK31" s="1491"/>
      <c r="BL31" s="1491"/>
      <c r="BM31" s="1491"/>
      <c r="BN31" s="1491"/>
      <c r="BO31" s="1341"/>
      <c r="BR31" s="1340"/>
      <c r="BY31" s="1341"/>
      <c r="CD31" s="1341"/>
    </row>
    <row r="32" spans="1:82" s="99" customFormat="1" ht="15" customHeight="1">
      <c r="A32" s="89"/>
      <c r="B32" s="161"/>
      <c r="C32" s="95"/>
      <c r="D32" s="95" t="s">
        <v>2523</v>
      </c>
      <c r="E32" s="95"/>
      <c r="F32" s="95"/>
      <c r="G32" s="95"/>
      <c r="H32" s="95"/>
      <c r="I32" s="1344" t="s">
        <v>498</v>
      </c>
      <c r="J32" s="998">
        <f>J141</f>
        <v>5.0220636102173302</v>
      </c>
      <c r="K32" s="998">
        <f t="shared" ref="K32:V32" si="203">K141</f>
        <v>6.4023177920089367</v>
      </c>
      <c r="L32" s="998">
        <f t="shared" si="203"/>
        <v>7.6483926312056072</v>
      </c>
      <c r="M32" s="998">
        <f t="shared" si="203"/>
        <v>6.4342830303902119</v>
      </c>
      <c r="N32" s="998">
        <f t="shared" si="203"/>
        <v>9.9894414997183585</v>
      </c>
      <c r="O32" s="998">
        <f t="shared" si="203"/>
        <v>6.680776228174043</v>
      </c>
      <c r="P32" s="998">
        <f t="shared" si="203"/>
        <v>3.3130316525695127</v>
      </c>
      <c r="Q32" s="1348">
        <f t="shared" si="203"/>
        <v>3.0833023351138795</v>
      </c>
      <c r="R32" s="641">
        <f t="shared" si="203"/>
        <v>17.693859450868192</v>
      </c>
      <c r="S32" s="998">
        <f t="shared" si="203"/>
        <v>17.60539015361385</v>
      </c>
      <c r="T32" s="998">
        <f t="shared" si="203"/>
        <v>17.517363202845786</v>
      </c>
      <c r="U32" s="998">
        <f t="shared" si="203"/>
        <v>17.429776386831556</v>
      </c>
      <c r="V32" s="1351">
        <f t="shared" si="203"/>
        <v>17.342627504897393</v>
      </c>
      <c r="W32" s="185"/>
      <c r="X32" s="1344" t="s">
        <v>498</v>
      </c>
      <c r="Y32" s="998">
        <f>Y141</f>
        <v>-1.9821297957955564</v>
      </c>
      <c r="Z32" s="998">
        <f t="shared" ref="Z32:AK32" si="204">Z141</f>
        <v>-2.3585800544822586</v>
      </c>
      <c r="AA32" s="998">
        <f t="shared" si="204"/>
        <v>-0.88554771181436898</v>
      </c>
      <c r="AB32" s="998">
        <f t="shared" si="204"/>
        <v>-2.4695536201072343</v>
      </c>
      <c r="AC32" s="998">
        <f t="shared" si="204"/>
        <v>-2.9563206045100929</v>
      </c>
      <c r="AD32" s="998">
        <f t="shared" si="204"/>
        <v>-1.1431039774168803</v>
      </c>
      <c r="AE32" s="998">
        <f t="shared" si="204"/>
        <v>0</v>
      </c>
      <c r="AF32" s="1348">
        <f t="shared" si="204"/>
        <v>0</v>
      </c>
      <c r="AG32" s="641">
        <f t="shared" si="204"/>
        <v>0</v>
      </c>
      <c r="AH32" s="998">
        <f t="shared" si="204"/>
        <v>0</v>
      </c>
      <c r="AI32" s="998">
        <f t="shared" si="204"/>
        <v>0</v>
      </c>
      <c r="AJ32" s="998">
        <f t="shared" si="204"/>
        <v>0</v>
      </c>
      <c r="AK32" s="1351">
        <f t="shared" si="204"/>
        <v>0</v>
      </c>
      <c r="AL32" s="185"/>
      <c r="AM32" s="1344" t="s">
        <v>498</v>
      </c>
      <c r="AN32" s="641">
        <f>J32+Y32</f>
        <v>3.039933814421774</v>
      </c>
      <c r="AO32" s="642">
        <f t="shared" ref="AO32:AO33" si="205">K32+Z32</f>
        <v>4.0437377375266781</v>
      </c>
      <c r="AP32" s="642">
        <f t="shared" ref="AP32:AP33" si="206">L32+AA32</f>
        <v>6.7628449193912381</v>
      </c>
      <c r="AQ32" s="642">
        <f t="shared" ref="AQ32:AQ33" si="207">M32+AB32</f>
        <v>3.9647294102829775</v>
      </c>
      <c r="AR32" s="642">
        <f t="shared" ref="AR32:AR33" si="208">N32+AC32</f>
        <v>7.0331208952082651</v>
      </c>
      <c r="AS32" s="642">
        <f t="shared" ref="AS32:AS33" si="209">O32+AD32</f>
        <v>5.5376722507571632</v>
      </c>
      <c r="AT32" s="642">
        <f t="shared" ref="AT32:AT33" si="210">P32+AE32</f>
        <v>3.3130316525695127</v>
      </c>
      <c r="AU32" s="643">
        <f t="shared" ref="AU32:AU33" si="211">Q32+AF32</f>
        <v>3.0833023351138795</v>
      </c>
      <c r="AV32" s="641">
        <f t="shared" ref="AV32:AV33" si="212">R32+AG32</f>
        <v>17.693859450868192</v>
      </c>
      <c r="AW32" s="642">
        <f t="shared" ref="AW32:AW33" si="213">S32+AH32</f>
        <v>17.60539015361385</v>
      </c>
      <c r="AX32" s="642">
        <f t="shared" ref="AX32:AX33" si="214">T32+AI32</f>
        <v>17.517363202845786</v>
      </c>
      <c r="AY32" s="642">
        <f t="shared" ref="AY32:AY33" si="215">U32+AJ32</f>
        <v>17.429776386831556</v>
      </c>
      <c r="AZ32" s="643">
        <f t="shared" ref="AZ32:AZ33" si="216">V32+AK32</f>
        <v>17.342627504897393</v>
      </c>
      <c r="BA32" s="185"/>
      <c r="BB32" s="1344" t="s">
        <v>2233</v>
      </c>
      <c r="BC32" s="641">
        <f>BC141</f>
        <v>24.942610000000002</v>
      </c>
      <c r="BD32" s="998">
        <f t="shared" ref="BD32:BO32" si="217">BD141</f>
        <v>31.096000000000007</v>
      </c>
      <c r="BE32" s="998">
        <f t="shared" si="217"/>
        <v>20.127099999999999</v>
      </c>
      <c r="BF32" s="998">
        <f t="shared" si="217"/>
        <v>29.54399999999999</v>
      </c>
      <c r="BG32" s="998">
        <f t="shared" si="217"/>
        <v>26.996999999999996</v>
      </c>
      <c r="BH32" s="998">
        <f t="shared" si="217"/>
        <v>26.735999999999997</v>
      </c>
      <c r="BI32" s="998">
        <f t="shared" si="217"/>
        <v>16.315931435278792</v>
      </c>
      <c r="BJ32" s="1348">
        <f t="shared" si="217"/>
        <v>17.071664735106026</v>
      </c>
      <c r="BK32" s="641">
        <f t="shared" si="217"/>
        <v>41.823849999999993</v>
      </c>
      <c r="BL32" s="998">
        <f t="shared" si="217"/>
        <v>41.823849999999993</v>
      </c>
      <c r="BM32" s="998">
        <f t="shared" si="217"/>
        <v>41.823849999999993</v>
      </c>
      <c r="BN32" s="998">
        <f t="shared" si="217"/>
        <v>41.823849999999993</v>
      </c>
      <c r="BO32" s="1351">
        <f t="shared" si="217"/>
        <v>41.823849999999993</v>
      </c>
      <c r="BP32" s="185"/>
      <c r="BQ32" s="164" t="s">
        <v>2415</v>
      </c>
      <c r="BR32" s="641">
        <f>IF(BC32,AN32/BC32,0)</f>
        <v>0.12187713372505017</v>
      </c>
      <c r="BS32" s="998">
        <f t="shared" ref="BS32:BS33" si="218">IF(BD32,AO32/BD32,0)</f>
        <v>0.13004044692329164</v>
      </c>
      <c r="BT32" s="998">
        <f t="shared" ref="BT32:BT33" si="219">IF(BE32,AP32/BE32,0)</f>
        <v>0.33600692198037663</v>
      </c>
      <c r="BU32" s="998">
        <f t="shared" ref="BU32:BU33" si="220">IF(BF32,AQ32/BF32,0)</f>
        <v>0.13419744822241331</v>
      </c>
      <c r="BV32" s="998">
        <f t="shared" ref="BV32:BV33" si="221">IF(BG32,AR32/BG32,0)</f>
        <v>0.26051490518236348</v>
      </c>
      <c r="BW32" s="998">
        <f t="shared" ref="BW32:BW33" si="222">IF(BH32,AS32/BH32,0)</f>
        <v>0.20712418651844569</v>
      </c>
      <c r="BX32" s="998">
        <f t="shared" ref="BX32:BX33" si="223">IF(BI32,AT32/BI32,0)</f>
        <v>0.20305501195022047</v>
      </c>
      <c r="BY32" s="1348">
        <f t="shared" ref="BY32:BY33" si="224">IF(BJ32,AU32/BJ32,0)</f>
        <v>0.18060935374236836</v>
      </c>
      <c r="BZ32" s="641">
        <f t="shared" ref="BZ32:BZ33" si="225">IF(BK32,AV32/BK32,0)</f>
        <v>0.42305668777188604</v>
      </c>
      <c r="CA32" s="998">
        <f t="shared" ref="CA32:CA33" si="226">IF(BL32,AW32/BL32,0)</f>
        <v>0.42094140433302657</v>
      </c>
      <c r="CB32" s="998">
        <f t="shared" ref="CB32:CB33" si="227">IF(BM32,AX32/BM32,0)</f>
        <v>0.41883669731136153</v>
      </c>
      <c r="CC32" s="998">
        <f t="shared" ref="CC32:CC33" si="228">IF(BN32,AY32/BN32,0)</f>
        <v>0.41674251382480471</v>
      </c>
      <c r="CD32" s="1351">
        <f t="shared" ref="CD32:CD33" si="229">IF(BO32,AZ32/BO32,0)</f>
        <v>0.41465880125568061</v>
      </c>
    </row>
    <row r="33" spans="1:82" s="99" customFormat="1" ht="15" customHeight="1">
      <c r="A33" s="89"/>
      <c r="B33" s="161"/>
      <c r="C33" s="95"/>
      <c r="D33" s="95" t="s">
        <v>1843</v>
      </c>
      <c r="E33" s="95"/>
      <c r="F33" s="95"/>
      <c r="G33" s="95"/>
      <c r="H33" s="95"/>
      <c r="I33" s="1344" t="s">
        <v>498</v>
      </c>
      <c r="J33" s="998">
        <f>J146+J151</f>
        <v>0</v>
      </c>
      <c r="K33" s="998">
        <f t="shared" ref="K33:V33" si="230">K146+K151</f>
        <v>0</v>
      </c>
      <c r="L33" s="998">
        <f t="shared" si="230"/>
        <v>0</v>
      </c>
      <c r="M33" s="998">
        <f t="shared" si="230"/>
        <v>0</v>
      </c>
      <c r="N33" s="998">
        <f t="shared" si="230"/>
        <v>0</v>
      </c>
      <c r="O33" s="998">
        <f t="shared" si="230"/>
        <v>0</v>
      </c>
      <c r="P33" s="998">
        <f t="shared" si="230"/>
        <v>0</v>
      </c>
      <c r="Q33" s="1348">
        <f t="shared" si="230"/>
        <v>0</v>
      </c>
      <c r="R33" s="641">
        <f t="shared" si="230"/>
        <v>0.72302014628169231</v>
      </c>
      <c r="S33" s="998">
        <f t="shared" si="230"/>
        <v>0.71940504555028384</v>
      </c>
      <c r="T33" s="998">
        <f t="shared" si="230"/>
        <v>0.71580802032253232</v>
      </c>
      <c r="U33" s="998">
        <f t="shared" si="230"/>
        <v>0.71222898022091974</v>
      </c>
      <c r="V33" s="1351">
        <f t="shared" si="230"/>
        <v>0.70866783531981514</v>
      </c>
      <c r="W33" s="185"/>
      <c r="X33" s="1344" t="s">
        <v>498</v>
      </c>
      <c r="Y33" s="998">
        <f>Y146+Y151</f>
        <v>0</v>
      </c>
      <c r="Z33" s="998">
        <f t="shared" ref="Z33:AK33" si="231">Z146+Z151</f>
        <v>0</v>
      </c>
      <c r="AA33" s="998">
        <f t="shared" si="231"/>
        <v>0</v>
      </c>
      <c r="AB33" s="998">
        <f t="shared" si="231"/>
        <v>0</v>
      </c>
      <c r="AC33" s="998">
        <f t="shared" si="231"/>
        <v>0</v>
      </c>
      <c r="AD33" s="998">
        <f t="shared" si="231"/>
        <v>0</v>
      </c>
      <c r="AE33" s="998">
        <f t="shared" si="231"/>
        <v>0</v>
      </c>
      <c r="AF33" s="1348">
        <f t="shared" si="231"/>
        <v>0</v>
      </c>
      <c r="AG33" s="641">
        <f t="shared" si="231"/>
        <v>0</v>
      </c>
      <c r="AH33" s="998">
        <f t="shared" si="231"/>
        <v>0</v>
      </c>
      <c r="AI33" s="998">
        <f t="shared" si="231"/>
        <v>0</v>
      </c>
      <c r="AJ33" s="998">
        <f t="shared" si="231"/>
        <v>0</v>
      </c>
      <c r="AK33" s="1351">
        <f t="shared" si="231"/>
        <v>0</v>
      </c>
      <c r="AL33" s="185"/>
      <c r="AM33" s="1344" t="s">
        <v>498</v>
      </c>
      <c r="AN33" s="641">
        <f t="shared" ref="AN33" si="232">J33+Y33</f>
        <v>0</v>
      </c>
      <c r="AO33" s="642">
        <f t="shared" si="205"/>
        <v>0</v>
      </c>
      <c r="AP33" s="642">
        <f t="shared" si="206"/>
        <v>0</v>
      </c>
      <c r="AQ33" s="642">
        <f t="shared" si="207"/>
        <v>0</v>
      </c>
      <c r="AR33" s="642">
        <f t="shared" si="208"/>
        <v>0</v>
      </c>
      <c r="AS33" s="642">
        <f t="shared" si="209"/>
        <v>0</v>
      </c>
      <c r="AT33" s="642">
        <f t="shared" si="210"/>
        <v>0</v>
      </c>
      <c r="AU33" s="643">
        <f t="shared" si="211"/>
        <v>0</v>
      </c>
      <c r="AV33" s="641">
        <f t="shared" si="212"/>
        <v>0.72302014628169231</v>
      </c>
      <c r="AW33" s="642">
        <f t="shared" si="213"/>
        <v>0.71940504555028384</v>
      </c>
      <c r="AX33" s="642">
        <f t="shared" si="214"/>
        <v>0.71580802032253232</v>
      </c>
      <c r="AY33" s="642">
        <f t="shared" si="215"/>
        <v>0.71222898022091974</v>
      </c>
      <c r="AZ33" s="643">
        <f t="shared" si="216"/>
        <v>0.70866783531981514</v>
      </c>
      <c r="BA33" s="185"/>
      <c r="BB33" s="1344" t="s">
        <v>1876</v>
      </c>
      <c r="BC33" s="641">
        <f>BC146+BC151</f>
        <v>0</v>
      </c>
      <c r="BD33" s="998">
        <f t="shared" ref="BD33:BO33" si="233">BD146+BD151</f>
        <v>0</v>
      </c>
      <c r="BE33" s="998">
        <f t="shared" si="233"/>
        <v>0</v>
      </c>
      <c r="BF33" s="998">
        <f t="shared" si="233"/>
        <v>0</v>
      </c>
      <c r="BG33" s="998">
        <f t="shared" si="233"/>
        <v>0</v>
      </c>
      <c r="BH33" s="998">
        <f t="shared" si="233"/>
        <v>0</v>
      </c>
      <c r="BI33" s="998">
        <f t="shared" si="233"/>
        <v>0</v>
      </c>
      <c r="BJ33" s="1348">
        <f t="shared" si="233"/>
        <v>0</v>
      </c>
      <c r="BK33" s="641">
        <f t="shared" si="233"/>
        <v>2256.2715738508723</v>
      </c>
      <c r="BL33" s="998">
        <f t="shared" si="233"/>
        <v>2256.2715738508723</v>
      </c>
      <c r="BM33" s="998">
        <f t="shared" si="233"/>
        <v>2256.2715738508723</v>
      </c>
      <c r="BN33" s="998">
        <f t="shared" si="233"/>
        <v>2256.2715738508723</v>
      </c>
      <c r="BO33" s="1351">
        <f t="shared" si="233"/>
        <v>2256.2715738508723</v>
      </c>
      <c r="BP33" s="185"/>
      <c r="BQ33" s="164" t="s">
        <v>2648</v>
      </c>
      <c r="BR33" s="641">
        <f>IF(BC33,AN33/BC33,0)</f>
        <v>0</v>
      </c>
      <c r="BS33" s="998">
        <f t="shared" si="218"/>
        <v>0</v>
      </c>
      <c r="BT33" s="998">
        <f t="shared" si="219"/>
        <v>0</v>
      </c>
      <c r="BU33" s="998">
        <f t="shared" si="220"/>
        <v>0</v>
      </c>
      <c r="BV33" s="998">
        <f t="shared" si="221"/>
        <v>0</v>
      </c>
      <c r="BW33" s="998">
        <f t="shared" si="222"/>
        <v>0</v>
      </c>
      <c r="BX33" s="998">
        <f t="shared" si="223"/>
        <v>0</v>
      </c>
      <c r="BY33" s="1348">
        <f t="shared" si="224"/>
        <v>0</v>
      </c>
      <c r="BZ33" s="641">
        <f t="shared" si="225"/>
        <v>3.204490783206934E-4</v>
      </c>
      <c r="CA33" s="998">
        <f t="shared" si="226"/>
        <v>3.1884683292908992E-4</v>
      </c>
      <c r="CB33" s="998">
        <f t="shared" si="227"/>
        <v>3.172525987644444E-4</v>
      </c>
      <c r="CC33" s="998">
        <f t="shared" si="228"/>
        <v>3.1566633577062223E-4</v>
      </c>
      <c r="CD33" s="1351">
        <f t="shared" si="229"/>
        <v>3.1408800409176915E-4</v>
      </c>
    </row>
    <row r="34" spans="1:82" s="99" customFormat="1" ht="15" customHeight="1">
      <c r="A34" s="89"/>
      <c r="B34" s="161"/>
      <c r="C34" s="95" t="s">
        <v>1710</v>
      </c>
      <c r="D34" s="95"/>
      <c r="E34" s="95"/>
      <c r="F34" s="95"/>
      <c r="G34" s="95"/>
      <c r="H34" s="95"/>
      <c r="I34" s="1344" t="s">
        <v>498</v>
      </c>
      <c r="J34" s="1342">
        <f>SUM(J32:J33)</f>
        <v>5.0220636102173302</v>
      </c>
      <c r="K34" s="1342">
        <f t="shared" ref="K34:V34" si="234">SUM(K32:K33)</f>
        <v>6.4023177920089367</v>
      </c>
      <c r="L34" s="1342">
        <f t="shared" si="234"/>
        <v>7.6483926312056072</v>
      </c>
      <c r="M34" s="1342">
        <f t="shared" si="234"/>
        <v>6.4342830303902119</v>
      </c>
      <c r="N34" s="1342">
        <f t="shared" si="234"/>
        <v>9.9894414997183585</v>
      </c>
      <c r="O34" s="1342">
        <f t="shared" si="234"/>
        <v>6.680776228174043</v>
      </c>
      <c r="P34" s="1342">
        <f t="shared" si="234"/>
        <v>3.3130316525695127</v>
      </c>
      <c r="Q34" s="1349">
        <f t="shared" si="234"/>
        <v>3.0833023351138795</v>
      </c>
      <c r="R34" s="697">
        <f t="shared" si="234"/>
        <v>18.416879597149883</v>
      </c>
      <c r="S34" s="1342">
        <f t="shared" si="234"/>
        <v>18.324795199164136</v>
      </c>
      <c r="T34" s="1342">
        <f t="shared" si="234"/>
        <v>18.23317122316832</v>
      </c>
      <c r="U34" s="1342">
        <f t="shared" si="234"/>
        <v>18.142005367052477</v>
      </c>
      <c r="V34" s="1352">
        <f t="shared" si="234"/>
        <v>18.051295340217209</v>
      </c>
      <c r="W34" s="185"/>
      <c r="X34" s="1344" t="s">
        <v>498</v>
      </c>
      <c r="Y34" s="1342">
        <f>SUM(Y32:Y33)</f>
        <v>-1.9821297957955564</v>
      </c>
      <c r="Z34" s="1342">
        <f t="shared" ref="Z34" si="235">SUM(Z32:Z33)</f>
        <v>-2.3585800544822586</v>
      </c>
      <c r="AA34" s="1342">
        <f t="shared" ref="AA34" si="236">SUM(AA32:AA33)</f>
        <v>-0.88554771181436898</v>
      </c>
      <c r="AB34" s="1342">
        <f t="shared" ref="AB34" si="237">SUM(AB32:AB33)</f>
        <v>-2.4695536201072343</v>
      </c>
      <c r="AC34" s="1342">
        <f t="shared" ref="AC34" si="238">SUM(AC32:AC33)</f>
        <v>-2.9563206045100929</v>
      </c>
      <c r="AD34" s="1342">
        <f t="shared" ref="AD34" si="239">SUM(AD32:AD33)</f>
        <v>-1.1431039774168803</v>
      </c>
      <c r="AE34" s="1342">
        <f t="shared" ref="AE34" si="240">SUM(AE32:AE33)</f>
        <v>0</v>
      </c>
      <c r="AF34" s="1349">
        <f t="shared" ref="AF34" si="241">SUM(AF32:AF33)</f>
        <v>0</v>
      </c>
      <c r="AG34" s="697">
        <f t="shared" ref="AG34" si="242">SUM(AG32:AG33)</f>
        <v>0</v>
      </c>
      <c r="AH34" s="1342">
        <f t="shared" ref="AH34" si="243">SUM(AH32:AH33)</f>
        <v>0</v>
      </c>
      <c r="AI34" s="1342">
        <f t="shared" ref="AI34" si="244">SUM(AI32:AI33)</f>
        <v>0</v>
      </c>
      <c r="AJ34" s="1342">
        <f t="shared" ref="AJ34" si="245">SUM(AJ32:AJ33)</f>
        <v>0</v>
      </c>
      <c r="AK34" s="1352">
        <f t="shared" ref="AK34" si="246">SUM(AK32:AK33)</f>
        <v>0</v>
      </c>
      <c r="AL34" s="185"/>
      <c r="AM34" s="1344" t="s">
        <v>498</v>
      </c>
      <c r="AN34" s="697">
        <f>SUM(AN32:AN33)</f>
        <v>3.039933814421774</v>
      </c>
      <c r="AO34" s="698">
        <f t="shared" ref="AO34" si="247">SUM(AO32:AO33)</f>
        <v>4.0437377375266781</v>
      </c>
      <c r="AP34" s="698">
        <f t="shared" ref="AP34" si="248">SUM(AP32:AP33)</f>
        <v>6.7628449193912381</v>
      </c>
      <c r="AQ34" s="698">
        <f t="shared" ref="AQ34" si="249">SUM(AQ32:AQ33)</f>
        <v>3.9647294102829775</v>
      </c>
      <c r="AR34" s="698">
        <f t="shared" ref="AR34" si="250">SUM(AR32:AR33)</f>
        <v>7.0331208952082651</v>
      </c>
      <c r="AS34" s="698">
        <f t="shared" ref="AS34" si="251">SUM(AS32:AS33)</f>
        <v>5.5376722507571632</v>
      </c>
      <c r="AT34" s="698">
        <f t="shared" ref="AT34" si="252">SUM(AT32:AT33)</f>
        <v>3.3130316525695127</v>
      </c>
      <c r="AU34" s="699">
        <f t="shared" ref="AU34" si="253">SUM(AU32:AU33)</f>
        <v>3.0833023351138795</v>
      </c>
      <c r="AV34" s="697">
        <f t="shared" ref="AV34" si="254">SUM(AV32:AV33)</f>
        <v>18.416879597149883</v>
      </c>
      <c r="AW34" s="698">
        <f t="shared" ref="AW34" si="255">SUM(AW32:AW33)</f>
        <v>18.324795199164136</v>
      </c>
      <c r="AX34" s="698">
        <f t="shared" ref="AX34" si="256">SUM(AX32:AX33)</f>
        <v>18.23317122316832</v>
      </c>
      <c r="AY34" s="698">
        <f t="shared" ref="AY34" si="257">SUM(AY32:AY33)</f>
        <v>18.142005367052477</v>
      </c>
      <c r="AZ34" s="699">
        <f t="shared" ref="AZ34" si="258">SUM(AZ32:AZ33)</f>
        <v>18.051295340217209</v>
      </c>
      <c r="BA34" s="185"/>
      <c r="BB34" s="1341"/>
      <c r="BC34" s="1340"/>
      <c r="BD34" s="1491"/>
      <c r="BE34" s="1491"/>
      <c r="BF34" s="1491"/>
      <c r="BG34" s="1491"/>
      <c r="BH34" s="1491"/>
      <c r="BI34" s="1491"/>
      <c r="BJ34" s="1341"/>
      <c r="BK34" s="1491"/>
      <c r="BL34" s="1491"/>
      <c r="BM34" s="1491"/>
      <c r="BN34" s="1491"/>
      <c r="BO34" s="1341"/>
      <c r="BP34" s="185"/>
      <c r="BR34" s="1340"/>
      <c r="BY34" s="1341"/>
      <c r="CD34" s="1341"/>
    </row>
    <row r="35" spans="1:82" s="99" customFormat="1" ht="15" customHeight="1">
      <c r="A35" s="89"/>
      <c r="B35" s="161"/>
      <c r="C35" s="95"/>
      <c r="D35" s="95"/>
      <c r="E35" s="95"/>
      <c r="F35" s="95"/>
      <c r="G35" s="95"/>
      <c r="H35" s="95"/>
      <c r="I35" s="1347"/>
      <c r="J35" s="97"/>
      <c r="K35" s="97"/>
      <c r="L35" s="97"/>
      <c r="M35" s="97"/>
      <c r="N35" s="97"/>
      <c r="O35" s="97"/>
      <c r="P35" s="97"/>
      <c r="Q35" s="97"/>
      <c r="R35" s="669"/>
      <c r="S35" s="97"/>
      <c r="T35" s="97"/>
      <c r="U35" s="97"/>
      <c r="V35" s="668"/>
      <c r="W35" s="97"/>
      <c r="X35" s="668"/>
      <c r="Y35" s="97"/>
      <c r="Z35" s="97"/>
      <c r="AA35" s="97"/>
      <c r="AB35" s="97"/>
      <c r="AC35" s="97"/>
      <c r="AD35" s="97"/>
      <c r="AE35" s="97"/>
      <c r="AF35" s="97"/>
      <c r="AG35" s="669"/>
      <c r="AH35" s="97"/>
      <c r="AI35" s="97"/>
      <c r="AJ35" s="97"/>
      <c r="AK35" s="668"/>
      <c r="AL35" s="97"/>
      <c r="AM35" s="668"/>
      <c r="AN35" s="97"/>
      <c r="AO35" s="97"/>
      <c r="AP35" s="97"/>
      <c r="AQ35" s="97"/>
      <c r="AR35" s="97"/>
      <c r="AS35" s="97"/>
      <c r="AT35" s="97"/>
      <c r="AU35" s="97"/>
      <c r="AV35" s="669"/>
      <c r="AW35" s="97"/>
      <c r="AX35" s="97"/>
      <c r="AY35" s="97"/>
      <c r="AZ35" s="668"/>
      <c r="BB35" s="1341"/>
      <c r="BC35" s="1340"/>
      <c r="BD35" s="1491"/>
      <c r="BE35" s="1491"/>
      <c r="BF35" s="1491"/>
      <c r="BG35" s="1491"/>
      <c r="BH35" s="1491"/>
      <c r="BI35" s="1491"/>
      <c r="BJ35" s="1341"/>
      <c r="BK35" s="1491"/>
      <c r="BL35" s="1491"/>
      <c r="BM35" s="1491"/>
      <c r="BN35" s="1491"/>
      <c r="BO35" s="1341"/>
      <c r="BR35" s="1340"/>
      <c r="BY35" s="1341"/>
      <c r="CD35" s="1341"/>
    </row>
    <row r="36" spans="1:82" s="99" customFormat="1" ht="15" customHeight="1">
      <c r="A36" s="89"/>
      <c r="B36" s="161"/>
      <c r="C36" s="1339" t="s">
        <v>1687</v>
      </c>
      <c r="D36" s="95"/>
      <c r="E36" s="95"/>
      <c r="F36" s="95"/>
      <c r="G36" s="95"/>
      <c r="H36" s="95"/>
      <c r="I36" s="1344" t="s">
        <v>498</v>
      </c>
      <c r="J36" s="641">
        <f>J162</f>
        <v>0.10394239891873502</v>
      </c>
      <c r="K36" s="642">
        <f t="shared" ref="K36:V36" si="259">K162</f>
        <v>3.5295670370524015E-2</v>
      </c>
      <c r="L36" s="642">
        <f t="shared" si="259"/>
        <v>1.1845109035597472E-2</v>
      </c>
      <c r="M36" s="642">
        <f t="shared" si="259"/>
        <v>0</v>
      </c>
      <c r="N36" s="642">
        <f t="shared" si="259"/>
        <v>0.14178992288903058</v>
      </c>
      <c r="O36" s="642">
        <f t="shared" si="259"/>
        <v>6.7284100001811968E-3</v>
      </c>
      <c r="P36" s="642">
        <f t="shared" si="259"/>
        <v>0.08</v>
      </c>
      <c r="Q36" s="643">
        <f t="shared" si="259"/>
        <v>0.08</v>
      </c>
      <c r="R36" s="641">
        <f t="shared" si="259"/>
        <v>0.56815875689320938</v>
      </c>
      <c r="S36" s="642">
        <f t="shared" si="259"/>
        <v>0.56531796310874327</v>
      </c>
      <c r="T36" s="642">
        <f t="shared" si="259"/>
        <v>0.56249137329319954</v>
      </c>
      <c r="U36" s="642">
        <f t="shared" si="259"/>
        <v>0.55967891642673362</v>
      </c>
      <c r="V36" s="643">
        <f t="shared" si="259"/>
        <v>0.55688052184459991</v>
      </c>
      <c r="W36" s="185"/>
      <c r="X36" s="1344" t="s">
        <v>498</v>
      </c>
      <c r="Y36" s="641">
        <f>Y162</f>
        <v>0</v>
      </c>
      <c r="Z36" s="642">
        <f t="shared" ref="Z36:AK36" si="260">Z162</f>
        <v>0</v>
      </c>
      <c r="AA36" s="642">
        <f t="shared" si="260"/>
        <v>0</v>
      </c>
      <c r="AB36" s="642">
        <f t="shared" si="260"/>
        <v>0</v>
      </c>
      <c r="AC36" s="642">
        <f t="shared" si="260"/>
        <v>0</v>
      </c>
      <c r="AD36" s="642">
        <f t="shared" si="260"/>
        <v>0</v>
      </c>
      <c r="AE36" s="642">
        <f t="shared" si="260"/>
        <v>0</v>
      </c>
      <c r="AF36" s="643">
        <f t="shared" si="260"/>
        <v>0</v>
      </c>
      <c r="AG36" s="641">
        <f t="shared" si="260"/>
        <v>0</v>
      </c>
      <c r="AH36" s="642">
        <f t="shared" si="260"/>
        <v>0</v>
      </c>
      <c r="AI36" s="642">
        <f t="shared" si="260"/>
        <v>0</v>
      </c>
      <c r="AJ36" s="642">
        <f t="shared" si="260"/>
        <v>0</v>
      </c>
      <c r="AK36" s="643">
        <f t="shared" si="260"/>
        <v>0</v>
      </c>
      <c r="AL36" s="185"/>
      <c r="AM36" s="1344" t="s">
        <v>498</v>
      </c>
      <c r="AN36" s="641">
        <f>J36+Y36</f>
        <v>0.10394239891873502</v>
      </c>
      <c r="AO36" s="642">
        <f t="shared" ref="AO36" si="261">K36+Z36</f>
        <v>3.5295670370524015E-2</v>
      </c>
      <c r="AP36" s="642">
        <f t="shared" ref="AP36" si="262">L36+AA36</f>
        <v>1.1845109035597472E-2</v>
      </c>
      <c r="AQ36" s="642">
        <f t="shared" ref="AQ36" si="263">M36+AB36</f>
        <v>0</v>
      </c>
      <c r="AR36" s="642">
        <f t="shared" ref="AR36" si="264">N36+AC36</f>
        <v>0.14178992288903058</v>
      </c>
      <c r="AS36" s="642">
        <f t="shared" ref="AS36" si="265">O36+AD36</f>
        <v>6.7284100001811968E-3</v>
      </c>
      <c r="AT36" s="642">
        <f t="shared" ref="AT36" si="266">P36+AE36</f>
        <v>0.08</v>
      </c>
      <c r="AU36" s="643">
        <f t="shared" ref="AU36" si="267">Q36+AF36</f>
        <v>0.08</v>
      </c>
      <c r="AV36" s="641">
        <f t="shared" ref="AV36" si="268">R36+AG36</f>
        <v>0.56815875689320938</v>
      </c>
      <c r="AW36" s="642">
        <f t="shared" ref="AW36" si="269">S36+AH36</f>
        <v>0.56531796310874327</v>
      </c>
      <c r="AX36" s="642">
        <f t="shared" ref="AX36" si="270">T36+AI36</f>
        <v>0.56249137329319954</v>
      </c>
      <c r="AY36" s="642">
        <f t="shared" ref="AY36" si="271">U36+AJ36</f>
        <v>0.55967891642673362</v>
      </c>
      <c r="AZ36" s="643">
        <f t="shared" ref="AZ36" si="272">V36+AK36</f>
        <v>0.55688052184459991</v>
      </c>
      <c r="BA36" s="185"/>
      <c r="BB36" s="1344" t="s">
        <v>2233</v>
      </c>
      <c r="BC36" s="641">
        <f>BC162</f>
        <v>0</v>
      </c>
      <c r="BD36" s="642">
        <f t="shared" ref="BD36:BO36" si="273">BD162</f>
        <v>0</v>
      </c>
      <c r="BE36" s="642">
        <f t="shared" si="273"/>
        <v>0</v>
      </c>
      <c r="BF36" s="642">
        <f t="shared" si="273"/>
        <v>0</v>
      </c>
      <c r="BG36" s="642">
        <f t="shared" si="273"/>
        <v>0</v>
      </c>
      <c r="BH36" s="642">
        <f t="shared" si="273"/>
        <v>0</v>
      </c>
      <c r="BI36" s="642">
        <f t="shared" si="273"/>
        <v>0</v>
      </c>
      <c r="BJ36" s="643">
        <f t="shared" si="273"/>
        <v>0</v>
      </c>
      <c r="BK36" s="641">
        <f t="shared" si="273"/>
        <v>0</v>
      </c>
      <c r="BL36" s="642">
        <f t="shared" si="273"/>
        <v>0</v>
      </c>
      <c r="BM36" s="642">
        <f t="shared" si="273"/>
        <v>0</v>
      </c>
      <c r="BN36" s="642">
        <f t="shared" si="273"/>
        <v>0</v>
      </c>
      <c r="BO36" s="643">
        <f t="shared" si="273"/>
        <v>0</v>
      </c>
      <c r="BR36" s="1340"/>
      <c r="BY36" s="1341"/>
      <c r="CD36" s="1341"/>
    </row>
    <row r="37" spans="1:82" s="99" customFormat="1" ht="15" customHeight="1">
      <c r="A37" s="89"/>
      <c r="B37" s="161"/>
      <c r="C37" s="95"/>
      <c r="D37" s="95"/>
      <c r="E37" s="95"/>
      <c r="F37" s="95"/>
      <c r="G37" s="95"/>
      <c r="H37" s="95"/>
      <c r="I37" s="1347"/>
      <c r="J37" s="97"/>
      <c r="K37" s="97"/>
      <c r="L37" s="97"/>
      <c r="M37" s="97"/>
      <c r="N37" s="97"/>
      <c r="O37" s="97"/>
      <c r="P37" s="97"/>
      <c r="Q37" s="97"/>
      <c r="R37" s="669"/>
      <c r="S37" s="97"/>
      <c r="T37" s="97"/>
      <c r="U37" s="97"/>
      <c r="V37" s="668"/>
      <c r="W37" s="97"/>
      <c r="X37" s="668"/>
      <c r="Y37" s="97"/>
      <c r="Z37" s="97"/>
      <c r="AA37" s="97"/>
      <c r="AB37" s="97"/>
      <c r="AC37" s="97"/>
      <c r="AD37" s="97"/>
      <c r="AE37" s="97"/>
      <c r="AF37" s="97"/>
      <c r="AG37" s="669"/>
      <c r="AH37" s="97"/>
      <c r="AI37" s="97"/>
      <c r="AJ37" s="97"/>
      <c r="AK37" s="668"/>
      <c r="AL37" s="97"/>
      <c r="AM37" s="668"/>
      <c r="AN37" s="97"/>
      <c r="AO37" s="97"/>
      <c r="AP37" s="97"/>
      <c r="AQ37" s="97"/>
      <c r="AR37" s="97"/>
      <c r="AS37" s="97"/>
      <c r="AT37" s="97"/>
      <c r="AU37" s="97"/>
      <c r="AV37" s="669"/>
      <c r="AW37" s="97"/>
      <c r="AX37" s="97"/>
      <c r="AY37" s="97"/>
      <c r="AZ37" s="668"/>
      <c r="BB37" s="1341"/>
      <c r="BC37" s="669"/>
      <c r="BD37" s="97"/>
      <c r="BE37" s="97"/>
      <c r="BF37" s="97"/>
      <c r="BG37" s="97"/>
      <c r="BH37" s="97"/>
      <c r="BI37" s="97"/>
      <c r="BJ37" s="97"/>
      <c r="BK37" s="669"/>
      <c r="BL37" s="97"/>
      <c r="BM37" s="97"/>
      <c r="BN37" s="97"/>
      <c r="BO37" s="668"/>
      <c r="BR37" s="1340"/>
      <c r="BY37" s="1341"/>
      <c r="CD37" s="1341"/>
    </row>
    <row r="38" spans="1:82" s="99" customFormat="1" ht="15" customHeight="1">
      <c r="A38" s="89"/>
      <c r="B38" s="161"/>
      <c r="C38" s="116" t="s">
        <v>1688</v>
      </c>
      <c r="D38" s="95"/>
      <c r="E38" s="95"/>
      <c r="F38" s="95"/>
      <c r="G38" s="95"/>
      <c r="H38" s="95"/>
      <c r="I38" s="1344" t="s">
        <v>498</v>
      </c>
      <c r="J38" s="641">
        <f>J171</f>
        <v>10.973977748967384</v>
      </c>
      <c r="K38" s="642">
        <f t="shared" ref="K38:V38" si="274">K171</f>
        <v>11.107106269724273</v>
      </c>
      <c r="L38" s="642">
        <f t="shared" si="274"/>
        <v>8.9538296827195563</v>
      </c>
      <c r="M38" s="642">
        <f t="shared" si="274"/>
        <v>8.8057312084608395</v>
      </c>
      <c r="N38" s="642">
        <f t="shared" si="274"/>
        <v>7.3770266463747554</v>
      </c>
      <c r="O38" s="642">
        <f t="shared" si="274"/>
        <v>7.0412185709450688</v>
      </c>
      <c r="P38" s="642">
        <f t="shared" si="274"/>
        <v>9.403427317958192</v>
      </c>
      <c r="Q38" s="643">
        <f t="shared" si="274"/>
        <v>7.73030873280808</v>
      </c>
      <c r="R38" s="641">
        <f t="shared" si="274"/>
        <v>8.6960979367741427</v>
      </c>
      <c r="S38" s="642">
        <f t="shared" si="274"/>
        <v>8.5348357070692025</v>
      </c>
      <c r="T38" s="642">
        <f t="shared" si="274"/>
        <v>8.3773125538393103</v>
      </c>
      <c r="U38" s="642">
        <f t="shared" si="274"/>
        <v>8.2234367558454604</v>
      </c>
      <c r="V38" s="643">
        <f t="shared" si="274"/>
        <v>8.0731188687986748</v>
      </c>
      <c r="W38" s="185"/>
      <c r="X38" s="1344" t="s">
        <v>498</v>
      </c>
      <c r="Y38" s="641">
        <f>Y171</f>
        <v>0</v>
      </c>
      <c r="Z38" s="642">
        <f t="shared" ref="Z38:AK38" si="275">Z171</f>
        <v>0</v>
      </c>
      <c r="AA38" s="642">
        <f t="shared" si="275"/>
        <v>0</v>
      </c>
      <c r="AB38" s="642">
        <f t="shared" si="275"/>
        <v>0</v>
      </c>
      <c r="AC38" s="642">
        <f t="shared" si="275"/>
        <v>0</v>
      </c>
      <c r="AD38" s="642">
        <f t="shared" si="275"/>
        <v>0</v>
      </c>
      <c r="AE38" s="642">
        <f t="shared" si="275"/>
        <v>0</v>
      </c>
      <c r="AF38" s="643">
        <f t="shared" si="275"/>
        <v>0</v>
      </c>
      <c r="AG38" s="641">
        <f t="shared" si="275"/>
        <v>0</v>
      </c>
      <c r="AH38" s="642">
        <f t="shared" si="275"/>
        <v>0</v>
      </c>
      <c r="AI38" s="642">
        <f t="shared" si="275"/>
        <v>0</v>
      </c>
      <c r="AJ38" s="642">
        <f t="shared" si="275"/>
        <v>0</v>
      </c>
      <c r="AK38" s="643">
        <f t="shared" si="275"/>
        <v>0</v>
      </c>
      <c r="AL38" s="185"/>
      <c r="AM38" s="1344" t="s">
        <v>498</v>
      </c>
      <c r="AN38" s="641">
        <f>J38+Y38</f>
        <v>10.973977748967384</v>
      </c>
      <c r="AO38" s="642">
        <f t="shared" ref="AO38" si="276">K38+Z38</f>
        <v>11.107106269724273</v>
      </c>
      <c r="AP38" s="642">
        <f t="shared" ref="AP38" si="277">L38+AA38</f>
        <v>8.9538296827195563</v>
      </c>
      <c r="AQ38" s="642">
        <f t="shared" ref="AQ38" si="278">M38+AB38</f>
        <v>8.8057312084608395</v>
      </c>
      <c r="AR38" s="642">
        <f t="shared" ref="AR38" si="279">N38+AC38</f>
        <v>7.3770266463747554</v>
      </c>
      <c r="AS38" s="642">
        <f t="shared" ref="AS38" si="280">O38+AD38</f>
        <v>7.0412185709450688</v>
      </c>
      <c r="AT38" s="642">
        <f t="shared" ref="AT38" si="281">P38+AE38</f>
        <v>9.403427317958192</v>
      </c>
      <c r="AU38" s="643">
        <f t="shared" ref="AU38" si="282">Q38+AF38</f>
        <v>7.73030873280808</v>
      </c>
      <c r="AV38" s="641">
        <f t="shared" ref="AV38" si="283">R38+AG38</f>
        <v>8.6960979367741427</v>
      </c>
      <c r="AW38" s="642">
        <f t="shared" ref="AW38" si="284">S38+AH38</f>
        <v>8.5348357070692025</v>
      </c>
      <c r="AX38" s="642">
        <f t="shared" ref="AX38" si="285">T38+AI38</f>
        <v>8.3773125538393103</v>
      </c>
      <c r="AY38" s="642">
        <f t="shared" ref="AY38" si="286">U38+AJ38</f>
        <v>8.2234367558454604</v>
      </c>
      <c r="AZ38" s="643">
        <f t="shared" ref="AZ38" si="287">V38+AK38</f>
        <v>8.0731188687986748</v>
      </c>
      <c r="BA38" s="185"/>
      <c r="BB38" s="1344" t="s">
        <v>1876</v>
      </c>
      <c r="BC38" s="641">
        <f>BC171</f>
        <v>7551</v>
      </c>
      <c r="BD38" s="642">
        <f t="shared" ref="BD38:BO38" si="288">BD171</f>
        <v>6167</v>
      </c>
      <c r="BE38" s="642">
        <f t="shared" si="288"/>
        <v>6513</v>
      </c>
      <c r="BF38" s="642">
        <f t="shared" si="288"/>
        <v>6307</v>
      </c>
      <c r="BG38" s="642">
        <f t="shared" si="288"/>
        <v>5940</v>
      </c>
      <c r="BH38" s="642">
        <f t="shared" si="288"/>
        <v>6736</v>
      </c>
      <c r="BI38" s="642">
        <f t="shared" si="288"/>
        <v>6691.9407580845664</v>
      </c>
      <c r="BJ38" s="643">
        <f t="shared" si="288"/>
        <v>6224.64957289834</v>
      </c>
      <c r="BK38" s="641">
        <f t="shared" si="288"/>
        <v>6494.7761903157898</v>
      </c>
      <c r="BL38" s="642">
        <f t="shared" si="288"/>
        <v>6411.8046665094735</v>
      </c>
      <c r="BM38" s="642">
        <f t="shared" si="288"/>
        <v>6330.4925731792846</v>
      </c>
      <c r="BN38" s="642">
        <f t="shared" si="288"/>
        <v>6250.8067217156986</v>
      </c>
      <c r="BO38" s="643">
        <f t="shared" si="288"/>
        <v>6172.7145872813853</v>
      </c>
      <c r="BR38" s="1340"/>
      <c r="BY38" s="1341"/>
      <c r="CD38" s="1341"/>
    </row>
    <row r="39" spans="1:82" s="99" customFormat="1" ht="15" customHeight="1">
      <c r="A39" s="89"/>
      <c r="B39" s="161"/>
      <c r="C39" s="95"/>
      <c r="D39" s="95"/>
      <c r="E39" s="95"/>
      <c r="F39" s="95"/>
      <c r="G39" s="95"/>
      <c r="H39" s="95"/>
      <c r="I39" s="1347"/>
      <c r="J39" s="97"/>
      <c r="K39" s="97"/>
      <c r="L39" s="97"/>
      <c r="M39" s="97"/>
      <c r="N39" s="97"/>
      <c r="O39" s="97"/>
      <c r="P39" s="97"/>
      <c r="Q39" s="97"/>
      <c r="R39" s="669"/>
      <c r="S39" s="97"/>
      <c r="T39" s="97"/>
      <c r="U39" s="97"/>
      <c r="V39" s="668"/>
      <c r="W39" s="97"/>
      <c r="X39" s="668"/>
      <c r="Y39" s="97"/>
      <c r="Z39" s="97"/>
      <c r="AA39" s="97"/>
      <c r="AB39" s="97"/>
      <c r="AC39" s="97"/>
      <c r="AD39" s="97"/>
      <c r="AE39" s="97"/>
      <c r="AF39" s="97"/>
      <c r="AG39" s="669"/>
      <c r="AH39" s="97"/>
      <c r="AI39" s="97"/>
      <c r="AJ39" s="97"/>
      <c r="AK39" s="668"/>
      <c r="AL39" s="97"/>
      <c r="AM39" s="668"/>
      <c r="AN39" s="97"/>
      <c r="AO39" s="97"/>
      <c r="AP39" s="97"/>
      <c r="AQ39" s="97"/>
      <c r="AR39" s="97"/>
      <c r="AS39" s="97"/>
      <c r="AT39" s="97"/>
      <c r="AU39" s="97"/>
      <c r="AV39" s="669"/>
      <c r="AW39" s="97"/>
      <c r="AX39" s="97"/>
      <c r="AY39" s="97"/>
      <c r="AZ39" s="668"/>
      <c r="BB39" s="1341"/>
      <c r="BC39" s="1340"/>
      <c r="BD39" s="1491"/>
      <c r="BE39" s="1491"/>
      <c r="BF39" s="1491"/>
      <c r="BG39" s="1491"/>
      <c r="BH39" s="1491"/>
      <c r="BI39" s="1491"/>
      <c r="BJ39" s="1341"/>
      <c r="BK39" s="1491"/>
      <c r="BL39" s="1491"/>
      <c r="BM39" s="1491"/>
      <c r="BN39" s="1491"/>
      <c r="BO39" s="1341"/>
      <c r="BR39" s="1340"/>
      <c r="BY39" s="1341"/>
      <c r="CD39" s="1341"/>
    </row>
    <row r="40" spans="1:82" s="99" customFormat="1" ht="15" customHeight="1" thickBot="1">
      <c r="A40" s="89"/>
      <c r="B40" s="191" t="s">
        <v>1701</v>
      </c>
      <c r="C40" s="192"/>
      <c r="D40" s="192"/>
      <c r="E40" s="193"/>
      <c r="F40" s="192"/>
      <c r="G40" s="192"/>
      <c r="H40" s="194"/>
      <c r="I40" s="1346" t="s">
        <v>498</v>
      </c>
      <c r="J40" s="1345">
        <f>J14+J19+J24+J29+J34+J36+J38</f>
        <v>102.02461563037856</v>
      </c>
      <c r="K40" s="1345">
        <f t="shared" ref="K40:V40" si="289">K14+K19+K24+K29+K34+K36+K38</f>
        <v>107.35354359145222</v>
      </c>
      <c r="L40" s="1345">
        <f t="shared" si="289"/>
        <v>97.246803809877946</v>
      </c>
      <c r="M40" s="1345">
        <f t="shared" si="289"/>
        <v>94.405881116914244</v>
      </c>
      <c r="N40" s="1345">
        <f t="shared" si="289"/>
        <v>97.516689000197644</v>
      </c>
      <c r="O40" s="1345">
        <f t="shared" si="289"/>
        <v>99.775448103442685</v>
      </c>
      <c r="P40" s="1345">
        <f t="shared" si="289"/>
        <v>99.338933783949656</v>
      </c>
      <c r="Q40" s="1350">
        <f t="shared" si="289"/>
        <v>90.291955134024008</v>
      </c>
      <c r="R40" s="701">
        <f t="shared" si="289"/>
        <v>110.94681075995867</v>
      </c>
      <c r="S40" s="1345">
        <f t="shared" si="289"/>
        <v>110.27429496613777</v>
      </c>
      <c r="T40" s="1345">
        <f t="shared" si="289"/>
        <v>109.60807451661256</v>
      </c>
      <c r="U40" s="1345">
        <f t="shared" si="289"/>
        <v>108.94804490880483</v>
      </c>
      <c r="V40" s="1353">
        <f t="shared" si="289"/>
        <v>108.29410398099324</v>
      </c>
      <c r="W40" s="194"/>
      <c r="X40" s="1346" t="s">
        <v>498</v>
      </c>
      <c r="Y40" s="1345">
        <f>Y14+Y19+Y24+Y29+Y34+Y36+Y38</f>
        <v>-3.1939115095147201</v>
      </c>
      <c r="Z40" s="1345">
        <f t="shared" ref="Z40:AK40" si="290">Z14+Z19+Z24+Z29+Z34+Z36+Z38</f>
        <v>-3.567543733458681</v>
      </c>
      <c r="AA40" s="1345">
        <f t="shared" si="290"/>
        <v>-2.5908939707739402</v>
      </c>
      <c r="AB40" s="1345">
        <f t="shared" si="290"/>
        <v>-3.530430135574214</v>
      </c>
      <c r="AC40" s="1345">
        <f t="shared" si="290"/>
        <v>-3.8883730171280129</v>
      </c>
      <c r="AD40" s="1345">
        <f t="shared" si="290"/>
        <v>-2.6644637910246094</v>
      </c>
      <c r="AE40" s="1345">
        <f t="shared" si="290"/>
        <v>-1.0511043500483681</v>
      </c>
      <c r="AF40" s="1350">
        <f t="shared" si="290"/>
        <v>-0.91607172498097156</v>
      </c>
      <c r="AG40" s="701">
        <f t="shared" si="290"/>
        <v>-3.6147788292285488</v>
      </c>
      <c r="AH40" s="1345">
        <f t="shared" si="290"/>
        <v>-3.5967049350824061</v>
      </c>
      <c r="AI40" s="1345">
        <f t="shared" si="290"/>
        <v>-3.5787214104069935</v>
      </c>
      <c r="AJ40" s="1345">
        <f t="shared" si="290"/>
        <v>-3.5608278033549583</v>
      </c>
      <c r="AK40" s="1353">
        <f t="shared" si="290"/>
        <v>-3.5430236643381838</v>
      </c>
      <c r="AL40" s="194"/>
      <c r="AM40" s="1346" t="s">
        <v>498</v>
      </c>
      <c r="AN40" s="1345">
        <f>AN14+AN19+AN24+AN29+AN34+AN36+AN38</f>
        <v>98.830704120863842</v>
      </c>
      <c r="AO40" s="1345">
        <f t="shared" ref="AO40:AZ40" si="291">AO14+AO19+AO24+AO29+AO34+AO36+AO38</f>
        <v>103.78599985799354</v>
      </c>
      <c r="AP40" s="1345">
        <f t="shared" si="291"/>
        <v>94.655909839103998</v>
      </c>
      <c r="AQ40" s="1345">
        <f t="shared" si="291"/>
        <v>90.875450981340052</v>
      </c>
      <c r="AR40" s="1345">
        <f t="shared" si="291"/>
        <v>93.628315983069641</v>
      </c>
      <c r="AS40" s="1345">
        <f t="shared" si="291"/>
        <v>97.110984312418068</v>
      </c>
      <c r="AT40" s="1345">
        <f t="shared" si="291"/>
        <v>98.28782943390128</v>
      </c>
      <c r="AU40" s="1350">
        <f t="shared" si="291"/>
        <v>89.375883409043013</v>
      </c>
      <c r="AV40" s="701">
        <f t="shared" si="291"/>
        <v>107.33203193073011</v>
      </c>
      <c r="AW40" s="1345">
        <f t="shared" si="291"/>
        <v>106.67759003105536</v>
      </c>
      <c r="AX40" s="1345">
        <f t="shared" si="291"/>
        <v>106.02935310620558</v>
      </c>
      <c r="AY40" s="1345">
        <f t="shared" si="291"/>
        <v>105.38721710544988</v>
      </c>
      <c r="AZ40" s="1353">
        <f t="shared" si="291"/>
        <v>104.75108031665506</v>
      </c>
      <c r="BA40" s="194"/>
      <c r="BB40" s="972"/>
      <c r="BC40" s="656"/>
      <c r="BD40" s="194"/>
      <c r="BE40" s="194"/>
      <c r="BF40" s="194"/>
      <c r="BG40" s="194"/>
      <c r="BH40" s="194"/>
      <c r="BI40" s="194"/>
      <c r="BJ40" s="972"/>
      <c r="BK40" s="194"/>
      <c r="BL40" s="194"/>
      <c r="BM40" s="194"/>
      <c r="BN40" s="194"/>
      <c r="BO40" s="972"/>
      <c r="BP40" s="194"/>
      <c r="BQ40" s="194"/>
      <c r="BR40" s="656"/>
      <c r="BS40" s="194"/>
      <c r="BT40" s="194"/>
      <c r="BU40" s="194"/>
      <c r="BV40" s="194"/>
      <c r="BW40" s="194"/>
      <c r="BX40" s="194"/>
      <c r="BY40" s="972"/>
      <c r="BZ40" s="194"/>
      <c r="CA40" s="194"/>
      <c r="CB40" s="194"/>
      <c r="CC40" s="194"/>
      <c r="CD40" s="972"/>
    </row>
    <row r="41" spans="1:82" s="99" customFormat="1" ht="15" customHeight="1">
      <c r="A41" s="89"/>
      <c r="B41" s="95"/>
      <c r="C41" s="95"/>
      <c r="D41" s="95"/>
      <c r="E41" s="95"/>
      <c r="F41" s="95"/>
      <c r="G41" s="95"/>
      <c r="H41" s="95"/>
      <c r="I41" s="96"/>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6"/>
      <c r="AI41" s="97"/>
      <c r="AJ41" s="97"/>
      <c r="AK41" s="97"/>
      <c r="AL41" s="97"/>
      <c r="AM41" s="97"/>
      <c r="AN41" s="97"/>
      <c r="AO41" s="97"/>
      <c r="AP41" s="97"/>
      <c r="AQ41" s="96"/>
      <c r="AR41" s="98"/>
      <c r="AS41" s="98"/>
      <c r="AT41" s="98"/>
      <c r="AU41" s="98"/>
      <c r="AV41" s="98"/>
      <c r="AW41" s="98"/>
      <c r="AX41" s="98"/>
      <c r="AY41" s="98"/>
      <c r="AZ41" s="98"/>
      <c r="BF41" s="1090">
        <f t="shared" ref="BF41:BN41" si="292">SUM(BF12,BF17,BF22,BF27,BF32)</f>
        <v>533.70000000000039</v>
      </c>
      <c r="BG41" s="1090">
        <f>SUM(BG12,BG17,BG22,BG27,BG32)</f>
        <v>576.42299999999773</v>
      </c>
      <c r="BH41" s="1090">
        <f t="shared" si="292"/>
        <v>592.35799999999801</v>
      </c>
      <c r="BI41" s="1090">
        <f t="shared" si="292"/>
        <v>559.95530066728872</v>
      </c>
      <c r="BJ41" s="1090">
        <f t="shared" si="292"/>
        <v>526.86077933834679</v>
      </c>
      <c r="BK41" s="1090">
        <f>SUM(BK12,BK17,BK22,BK27,BK32)</f>
        <v>548.64362060260055</v>
      </c>
      <c r="BL41" s="1090">
        <f t="shared" si="292"/>
        <v>548.64362060260055</v>
      </c>
      <c r="BM41" s="1090">
        <f t="shared" si="292"/>
        <v>548.64362060260055</v>
      </c>
      <c r="BN41" s="1090">
        <f t="shared" si="292"/>
        <v>548.64362060260055</v>
      </c>
      <c r="BO41" s="1090">
        <f>SUM(BO12,BO17,BO22,BO27,BO32)</f>
        <v>548.64362060260055</v>
      </c>
    </row>
    <row r="42" spans="1:82" s="99" customFormat="1" ht="15" customHeight="1" thickBot="1">
      <c r="A42" s="89"/>
      <c r="B42" s="95"/>
      <c r="C42" s="95"/>
      <c r="D42" s="95"/>
      <c r="E42" s="95"/>
      <c r="F42" s="95"/>
      <c r="G42" s="95"/>
      <c r="H42" s="95"/>
      <c r="I42" s="96"/>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6"/>
      <c r="AI42" s="97"/>
      <c r="AJ42" s="97"/>
      <c r="AK42" s="97"/>
      <c r="AL42" s="97"/>
      <c r="AM42" s="97"/>
      <c r="AN42" s="97"/>
      <c r="AO42" s="97"/>
      <c r="AP42" s="97"/>
      <c r="AQ42" s="96"/>
      <c r="AR42" s="98"/>
      <c r="AS42" s="98"/>
      <c r="AT42" s="98"/>
      <c r="AU42" s="98"/>
      <c r="AV42" s="98"/>
      <c r="AW42" s="98"/>
      <c r="AX42" s="98"/>
      <c r="AY42" s="98"/>
      <c r="AZ42" s="98"/>
    </row>
    <row r="43" spans="1:82" s="100" customFormat="1" ht="30" customHeight="1" thickBot="1">
      <c r="A43" s="89"/>
      <c r="B43" s="621" t="s">
        <v>1682</v>
      </c>
      <c r="C43" s="102"/>
      <c r="D43" s="102"/>
      <c r="E43" s="102"/>
      <c r="F43" s="102"/>
      <c r="G43" s="103"/>
      <c r="H43" s="103"/>
      <c r="I43" s="105" t="s">
        <v>1864</v>
      </c>
      <c r="J43" s="106"/>
      <c r="K43" s="106"/>
      <c r="L43" s="106"/>
      <c r="M43" s="106"/>
      <c r="N43" s="106"/>
      <c r="O43" s="106"/>
      <c r="P43" s="106"/>
      <c r="Q43" s="106"/>
      <c r="R43" s="105"/>
      <c r="S43" s="105"/>
      <c r="T43" s="105"/>
      <c r="U43" s="105"/>
      <c r="V43" s="187"/>
      <c r="W43" s="103"/>
      <c r="X43" s="105" t="s">
        <v>2202</v>
      </c>
      <c r="Y43" s="106"/>
      <c r="Z43" s="106"/>
      <c r="AA43" s="106"/>
      <c r="AB43" s="106"/>
      <c r="AC43" s="106"/>
      <c r="AD43" s="106"/>
      <c r="AE43" s="106"/>
      <c r="AF43" s="106"/>
      <c r="AG43" s="105"/>
      <c r="AH43" s="105"/>
      <c r="AI43" s="105"/>
      <c r="AJ43" s="105"/>
      <c r="AK43" s="187"/>
      <c r="AL43" s="103"/>
      <c r="AM43" s="105" t="s">
        <v>1704</v>
      </c>
      <c r="AN43" s="106"/>
      <c r="AO43" s="106"/>
      <c r="AP43" s="106"/>
      <c r="AQ43" s="106"/>
      <c r="AR43" s="106"/>
      <c r="AS43" s="106"/>
      <c r="AT43" s="106"/>
      <c r="AU43" s="106"/>
      <c r="AV43" s="105"/>
      <c r="AW43" s="105"/>
      <c r="AX43" s="105"/>
      <c r="AY43" s="105"/>
      <c r="AZ43" s="187"/>
      <c r="BA43" s="103"/>
      <c r="BB43" s="105" t="s">
        <v>2231</v>
      </c>
      <c r="BC43" s="106"/>
      <c r="BD43" s="106"/>
      <c r="BE43" s="106"/>
      <c r="BF43" s="106"/>
      <c r="BG43" s="106"/>
      <c r="BH43" s="106"/>
      <c r="BI43" s="106"/>
      <c r="BJ43" s="106"/>
      <c r="BK43" s="105"/>
      <c r="BL43" s="105"/>
      <c r="BM43" s="105"/>
      <c r="BN43" s="105"/>
      <c r="BO43" s="187"/>
      <c r="BP43" s="103"/>
      <c r="BQ43" s="105" t="s">
        <v>2414</v>
      </c>
      <c r="BR43" s="106"/>
      <c r="BS43" s="106"/>
      <c r="BT43" s="106"/>
      <c r="BU43" s="106"/>
      <c r="BV43" s="106"/>
      <c r="BW43" s="106"/>
      <c r="BX43" s="106"/>
      <c r="BY43" s="106"/>
      <c r="BZ43" s="105"/>
      <c r="CA43" s="105"/>
      <c r="CB43" s="105"/>
      <c r="CC43" s="105"/>
      <c r="CD43" s="187"/>
    </row>
    <row r="44" spans="1:82" s="157" customFormat="1" ht="30" customHeight="1">
      <c r="A44" s="99"/>
      <c r="B44" s="109"/>
      <c r="C44" s="110"/>
      <c r="D44" s="110"/>
      <c r="E44" s="110"/>
      <c r="F44" s="110"/>
      <c r="G44" s="111"/>
      <c r="H44" s="111"/>
      <c r="I44" s="117"/>
      <c r="J44" s="695" t="s">
        <v>1666</v>
      </c>
      <c r="K44" s="152"/>
      <c r="L44" s="152"/>
      <c r="M44" s="152"/>
      <c r="N44" s="152"/>
      <c r="O44" s="152"/>
      <c r="P44" s="152"/>
      <c r="Q44" s="153"/>
      <c r="R44" s="696" t="s">
        <v>2</v>
      </c>
      <c r="S44" s="155"/>
      <c r="T44" s="155"/>
      <c r="U44" s="155"/>
      <c r="V44" s="156"/>
      <c r="W44" s="111"/>
      <c r="X44" s="117"/>
      <c r="Y44" s="695" t="s">
        <v>1666</v>
      </c>
      <c r="Z44" s="152"/>
      <c r="AA44" s="152"/>
      <c r="AB44" s="152"/>
      <c r="AC44" s="152"/>
      <c r="AD44" s="152"/>
      <c r="AE44" s="152"/>
      <c r="AF44" s="153"/>
      <c r="AG44" s="696" t="s">
        <v>2</v>
      </c>
      <c r="AH44" s="155"/>
      <c r="AI44" s="155"/>
      <c r="AJ44" s="155"/>
      <c r="AK44" s="156"/>
      <c r="AL44" s="111"/>
      <c r="AM44" s="117"/>
      <c r="AN44" s="695" t="s">
        <v>1666</v>
      </c>
      <c r="AO44" s="152"/>
      <c r="AP44" s="152"/>
      <c r="AQ44" s="152"/>
      <c r="AR44" s="152"/>
      <c r="AS44" s="152"/>
      <c r="AT44" s="152"/>
      <c r="AU44" s="153"/>
      <c r="AV44" s="696" t="s">
        <v>2</v>
      </c>
      <c r="AW44" s="155"/>
      <c r="AX44" s="155"/>
      <c r="AY44" s="155"/>
      <c r="AZ44" s="156"/>
      <c r="BA44" s="111"/>
      <c r="BB44" s="117"/>
      <c r="BC44" s="695" t="s">
        <v>1666</v>
      </c>
      <c r="BD44" s="152" t="s">
        <v>1666</v>
      </c>
      <c r="BE44" s="152" t="s">
        <v>1666</v>
      </c>
      <c r="BF44" s="152" t="s">
        <v>1666</v>
      </c>
      <c r="BG44" s="152" t="s">
        <v>1666</v>
      </c>
      <c r="BH44" s="152" t="s">
        <v>1666</v>
      </c>
      <c r="BI44" s="152" t="s">
        <v>1666</v>
      </c>
      <c r="BJ44" s="153" t="s">
        <v>1666</v>
      </c>
      <c r="BK44" s="696" t="s">
        <v>1666</v>
      </c>
      <c r="BL44" s="155" t="s">
        <v>1666</v>
      </c>
      <c r="BM44" s="155" t="s">
        <v>1666</v>
      </c>
      <c r="BN44" s="155" t="s">
        <v>1666</v>
      </c>
      <c r="BO44" s="156" t="s">
        <v>1666</v>
      </c>
      <c r="BP44" s="111"/>
      <c r="BQ44" s="117"/>
      <c r="BR44" s="695" t="s">
        <v>1666</v>
      </c>
      <c r="BS44" s="152"/>
      <c r="BT44" s="152"/>
      <c r="BU44" s="152"/>
      <c r="BV44" s="152"/>
      <c r="BW44" s="152"/>
      <c r="BX44" s="152"/>
      <c r="BY44" s="153"/>
      <c r="BZ44" s="696" t="s">
        <v>2</v>
      </c>
      <c r="CA44" s="155"/>
      <c r="CB44" s="155"/>
      <c r="CC44" s="155"/>
      <c r="CD44" s="156"/>
    </row>
    <row r="45" spans="1:82" ht="15">
      <c r="B45" s="115"/>
      <c r="C45" s="185"/>
      <c r="D45" s="116"/>
      <c r="E45" s="116"/>
      <c r="F45" s="116"/>
      <c r="G45" s="117"/>
      <c r="H45" s="117"/>
      <c r="I45" s="119" t="s">
        <v>1667</v>
      </c>
      <c r="J45" s="158" t="s">
        <v>453</v>
      </c>
      <c r="K45" s="137" t="s">
        <v>455</v>
      </c>
      <c r="L45" s="137" t="s">
        <v>457</v>
      </c>
      <c r="M45" s="137" t="s">
        <v>459</v>
      </c>
      <c r="N45" s="137" t="s">
        <v>461</v>
      </c>
      <c r="O45" s="137" t="s">
        <v>463</v>
      </c>
      <c r="P45" s="137" t="s">
        <v>465</v>
      </c>
      <c r="Q45" s="138" t="s">
        <v>467</v>
      </c>
      <c r="R45" s="120" t="s">
        <v>469</v>
      </c>
      <c r="S45" s="121" t="s">
        <v>471</v>
      </c>
      <c r="T45" s="121" t="s">
        <v>473</v>
      </c>
      <c r="U45" s="121" t="s">
        <v>475</v>
      </c>
      <c r="V45" s="122" t="s">
        <v>477</v>
      </c>
      <c r="W45" s="117"/>
      <c r="X45" s="119" t="s">
        <v>1667</v>
      </c>
      <c r="Y45" s="158" t="s">
        <v>453</v>
      </c>
      <c r="Z45" s="137" t="s">
        <v>455</v>
      </c>
      <c r="AA45" s="137" t="s">
        <v>457</v>
      </c>
      <c r="AB45" s="137" t="s">
        <v>459</v>
      </c>
      <c r="AC45" s="137" t="s">
        <v>461</v>
      </c>
      <c r="AD45" s="137" t="s">
        <v>463</v>
      </c>
      <c r="AE45" s="137" t="s">
        <v>465</v>
      </c>
      <c r="AF45" s="138" t="s">
        <v>467</v>
      </c>
      <c r="AG45" s="120" t="s">
        <v>469</v>
      </c>
      <c r="AH45" s="121" t="s">
        <v>471</v>
      </c>
      <c r="AI45" s="121" t="s">
        <v>473</v>
      </c>
      <c r="AJ45" s="121" t="s">
        <v>475</v>
      </c>
      <c r="AK45" s="122" t="s">
        <v>477</v>
      </c>
      <c r="AL45" s="117"/>
      <c r="AM45" s="119" t="s">
        <v>1667</v>
      </c>
      <c r="AN45" s="158" t="s">
        <v>453</v>
      </c>
      <c r="AO45" s="137" t="s">
        <v>455</v>
      </c>
      <c r="AP45" s="137" t="s">
        <v>457</v>
      </c>
      <c r="AQ45" s="137" t="s">
        <v>459</v>
      </c>
      <c r="AR45" s="137" t="s">
        <v>461</v>
      </c>
      <c r="AS45" s="137" t="s">
        <v>463</v>
      </c>
      <c r="AT45" s="137" t="s">
        <v>465</v>
      </c>
      <c r="AU45" s="138" t="s">
        <v>467</v>
      </c>
      <c r="AV45" s="120" t="s">
        <v>469</v>
      </c>
      <c r="AW45" s="121" t="s">
        <v>471</v>
      </c>
      <c r="AX45" s="121" t="s">
        <v>473</v>
      </c>
      <c r="AY45" s="121" t="s">
        <v>475</v>
      </c>
      <c r="AZ45" s="122" t="s">
        <v>477</v>
      </c>
      <c r="BA45" s="117"/>
      <c r="BB45" s="119" t="s">
        <v>1667</v>
      </c>
      <c r="BC45" s="158" t="s">
        <v>453</v>
      </c>
      <c r="BD45" s="137" t="s">
        <v>453</v>
      </c>
      <c r="BE45" s="137" t="s">
        <v>453</v>
      </c>
      <c r="BF45" s="137" t="s">
        <v>453</v>
      </c>
      <c r="BG45" s="137" t="s">
        <v>453</v>
      </c>
      <c r="BH45" s="137" t="s">
        <v>453</v>
      </c>
      <c r="BI45" s="137" t="s">
        <v>453</v>
      </c>
      <c r="BJ45" s="138" t="s">
        <v>453</v>
      </c>
      <c r="BK45" s="120" t="s">
        <v>453</v>
      </c>
      <c r="BL45" s="121" t="s">
        <v>453</v>
      </c>
      <c r="BM45" s="121" t="s">
        <v>453</v>
      </c>
      <c r="BN45" s="121" t="s">
        <v>453</v>
      </c>
      <c r="BO45" s="122" t="s">
        <v>453</v>
      </c>
      <c r="BP45" s="117"/>
      <c r="BQ45" s="119" t="s">
        <v>1667</v>
      </c>
      <c r="BR45" s="158" t="s">
        <v>453</v>
      </c>
      <c r="BS45" s="137" t="s">
        <v>455</v>
      </c>
      <c r="BT45" s="137" t="s">
        <v>457</v>
      </c>
      <c r="BU45" s="137" t="s">
        <v>459</v>
      </c>
      <c r="BV45" s="137" t="s">
        <v>461</v>
      </c>
      <c r="BW45" s="137" t="s">
        <v>463</v>
      </c>
      <c r="BX45" s="137" t="s">
        <v>465</v>
      </c>
      <c r="BY45" s="138" t="s">
        <v>467</v>
      </c>
      <c r="BZ45" s="120" t="s">
        <v>469</v>
      </c>
      <c r="CA45" s="121" t="s">
        <v>471</v>
      </c>
      <c r="CB45" s="121" t="s">
        <v>473</v>
      </c>
      <c r="CC45" s="121" t="s">
        <v>475</v>
      </c>
      <c r="CD45" s="122" t="s">
        <v>477</v>
      </c>
    </row>
    <row r="46" spans="1:82" ht="15.75">
      <c r="B46" s="161"/>
      <c r="C46" s="616" t="s">
        <v>2652</v>
      </c>
      <c r="D46" s="186"/>
      <c r="E46" s="180"/>
      <c r="F46" s="180"/>
      <c r="G46" s="162"/>
      <c r="H46" s="163"/>
      <c r="I46" s="117"/>
      <c r="J46" s="159"/>
      <c r="K46" s="117"/>
      <c r="L46" s="117"/>
      <c r="M46" s="117"/>
      <c r="N46" s="117"/>
      <c r="O46" s="117"/>
      <c r="P46" s="117"/>
      <c r="Q46" s="160"/>
      <c r="R46" s="159"/>
      <c r="S46" s="117"/>
      <c r="T46" s="117"/>
      <c r="U46" s="117"/>
      <c r="V46" s="160"/>
      <c r="W46" s="163"/>
      <c r="X46" s="117"/>
      <c r="Y46" s="159"/>
      <c r="Z46" s="117"/>
      <c r="AA46" s="117"/>
      <c r="AB46" s="117"/>
      <c r="AC46" s="117"/>
      <c r="AD46" s="117"/>
      <c r="AE46" s="117"/>
      <c r="AF46" s="160"/>
      <c r="AG46" s="159"/>
      <c r="AH46" s="117"/>
      <c r="AI46" s="117"/>
      <c r="AJ46" s="117"/>
      <c r="AK46" s="160"/>
      <c r="AL46" s="163"/>
      <c r="AM46" s="117"/>
      <c r="AN46" s="159"/>
      <c r="AO46" s="117"/>
      <c r="AP46" s="117"/>
      <c r="AQ46" s="117"/>
      <c r="AR46" s="117"/>
      <c r="AS46" s="117"/>
      <c r="AT46" s="117"/>
      <c r="AU46" s="160"/>
      <c r="AV46" s="159"/>
      <c r="AW46" s="117"/>
      <c r="AX46" s="117"/>
      <c r="AY46" s="117"/>
      <c r="AZ46" s="160"/>
      <c r="BA46" s="163"/>
      <c r="BB46" s="117"/>
      <c r="BC46" s="159"/>
      <c r="BD46" s="117"/>
      <c r="BE46" s="117"/>
      <c r="BF46" s="117"/>
      <c r="BG46" s="117"/>
      <c r="BH46" s="117"/>
      <c r="BI46" s="117"/>
      <c r="BJ46" s="160"/>
      <c r="BK46" s="159"/>
      <c r="BL46" s="117"/>
      <c r="BM46" s="117"/>
      <c r="BN46" s="117"/>
      <c r="BO46" s="160"/>
      <c r="BP46" s="163"/>
      <c r="BQ46" s="117"/>
      <c r="BR46" s="159"/>
      <c r="BS46" s="117"/>
      <c r="BT46" s="117"/>
      <c r="BU46" s="117"/>
      <c r="BV46" s="117"/>
      <c r="BW46" s="117"/>
      <c r="BX46" s="117"/>
      <c r="BY46" s="160"/>
      <c r="BZ46" s="159"/>
      <c r="CA46" s="117"/>
      <c r="CB46" s="117"/>
      <c r="CC46" s="117"/>
      <c r="CD46" s="160"/>
    </row>
    <row r="47" spans="1:82" ht="15">
      <c r="B47" s="161"/>
      <c r="C47" s="185"/>
      <c r="D47" s="185" t="s">
        <v>1682</v>
      </c>
      <c r="E47" s="617"/>
      <c r="F47" s="162"/>
      <c r="G47" s="162"/>
      <c r="H47" s="185"/>
      <c r="I47" s="164" t="s">
        <v>498</v>
      </c>
      <c r="J47" s="641">
        <f>'4.01_Repex_Mains_Tier-1'!J29+'4.01_Repex_Mains_Tier-1'!J40</f>
        <v>48.205691561401565</v>
      </c>
      <c r="K47" s="642">
        <f>'4.01_Repex_Mains_Tier-1'!K29+'4.01_Repex_Mains_Tier-1'!K40</f>
        <v>50.866575952420497</v>
      </c>
      <c r="L47" s="642">
        <f>'4.01_Repex_Mains_Tier-1'!L29+'4.01_Repex_Mains_Tier-1'!L40</f>
        <v>48.035500271191502</v>
      </c>
      <c r="M47" s="642">
        <f>'4.01_Repex_Mains_Tier-1'!M29+'4.01_Repex_Mains_Tier-1'!M40</f>
        <v>50.668988876306869</v>
      </c>
      <c r="N47" s="642">
        <f>'4.01_Repex_Mains_Tier-1'!N29+'4.01_Repex_Mains_Tier-1'!N40</f>
        <v>50.854493071635076</v>
      </c>
      <c r="O47" s="642">
        <f>'4.01_Repex_Mains_Tier-1'!O29+'4.01_Repex_Mains_Tier-1'!O40</f>
        <v>53.294193597933067</v>
      </c>
      <c r="P47" s="642">
        <f>'4.01_Repex_Mains_Tier-1'!P29+'4.01_Repex_Mains_Tier-1'!P40</f>
        <v>47.565463019058321</v>
      </c>
      <c r="Q47" s="643">
        <f>'4.01_Repex_Mains_Tier-1'!Q29+'4.01_Repex_Mains_Tier-1'!Q40</f>
        <v>43.597213920285128</v>
      </c>
      <c r="R47" s="641">
        <f>'4.01_Repex_Mains_Tier-1'!R29+'4.01_Repex_Mains_Tier-1'!R40</f>
        <v>49.059211457221352</v>
      </c>
      <c r="S47" s="642">
        <f>'4.01_Repex_Mains_Tier-1'!S29+'4.01_Repex_Mains_Tier-1'!S40</f>
        <v>48.813915399935226</v>
      </c>
      <c r="T47" s="642">
        <f>'4.01_Repex_Mains_Tier-1'!T29+'4.01_Repex_Mains_Tier-1'!T40</f>
        <v>48.569845822935562</v>
      </c>
      <c r="U47" s="642">
        <f>'4.01_Repex_Mains_Tier-1'!U29+'4.01_Repex_Mains_Tier-1'!U40</f>
        <v>48.32699659382088</v>
      </c>
      <c r="V47" s="643">
        <f>'4.01_Repex_Mains_Tier-1'!V29+'4.01_Repex_Mains_Tier-1'!V40</f>
        <v>48.085361610851777</v>
      </c>
      <c r="W47" s="185"/>
      <c r="X47" s="164" t="s">
        <v>498</v>
      </c>
      <c r="Y47" s="641">
        <f>'4.01_Repex_Mains_Tier-1'!Y29+'4.01_Repex_Mains_Tier-1'!Y40</f>
        <v>0</v>
      </c>
      <c r="Z47" s="642">
        <f>'4.01_Repex_Mains_Tier-1'!Z29+'4.01_Repex_Mains_Tier-1'!Z40</f>
        <v>0</v>
      </c>
      <c r="AA47" s="642">
        <f>'4.01_Repex_Mains_Tier-1'!AA29+'4.01_Repex_Mains_Tier-1'!AA40</f>
        <v>0</v>
      </c>
      <c r="AB47" s="642">
        <f>'4.01_Repex_Mains_Tier-1'!AB29+'4.01_Repex_Mains_Tier-1'!AB40</f>
        <v>0</v>
      </c>
      <c r="AC47" s="642">
        <f>'4.01_Repex_Mains_Tier-1'!AC29+'4.01_Repex_Mains_Tier-1'!AC40</f>
        <v>0</v>
      </c>
      <c r="AD47" s="642">
        <f>'4.01_Repex_Mains_Tier-1'!AD29+'4.01_Repex_Mains_Tier-1'!AD40</f>
        <v>0</v>
      </c>
      <c r="AE47" s="642">
        <f>'4.01_Repex_Mains_Tier-1'!AE29+'4.01_Repex_Mains_Tier-1'!AE40</f>
        <v>0</v>
      </c>
      <c r="AF47" s="643">
        <f>'4.01_Repex_Mains_Tier-1'!AF29+'4.01_Repex_Mains_Tier-1'!AF40</f>
        <v>0</v>
      </c>
      <c r="AG47" s="641">
        <f>'4.01_Repex_Mains_Tier-1'!AG29+'4.01_Repex_Mains_Tier-1'!AG40</f>
        <v>0</v>
      </c>
      <c r="AH47" s="642">
        <f>'4.01_Repex_Mains_Tier-1'!AH29+'4.01_Repex_Mains_Tier-1'!AH40</f>
        <v>0</v>
      </c>
      <c r="AI47" s="642">
        <f>'4.01_Repex_Mains_Tier-1'!AI29+'4.01_Repex_Mains_Tier-1'!AI40</f>
        <v>0</v>
      </c>
      <c r="AJ47" s="642">
        <f>'4.01_Repex_Mains_Tier-1'!AJ29+'4.01_Repex_Mains_Tier-1'!AJ40</f>
        <v>0</v>
      </c>
      <c r="AK47" s="643">
        <f>'4.01_Repex_Mains_Tier-1'!AK29+'4.01_Repex_Mains_Tier-1'!AK40</f>
        <v>0</v>
      </c>
      <c r="AL47" s="185"/>
      <c r="AM47" s="164" t="s">
        <v>498</v>
      </c>
      <c r="AN47" s="641">
        <f>J47+Y47</f>
        <v>48.205691561401565</v>
      </c>
      <c r="AO47" s="642">
        <f t="shared" ref="AO47:AO50" si="293">K47+Z47</f>
        <v>50.866575952420497</v>
      </c>
      <c r="AP47" s="642">
        <f t="shared" ref="AP47:AP50" si="294">L47+AA47</f>
        <v>48.035500271191502</v>
      </c>
      <c r="AQ47" s="642">
        <f t="shared" ref="AQ47:AQ50" si="295">M47+AB47</f>
        <v>50.668988876306869</v>
      </c>
      <c r="AR47" s="642">
        <f t="shared" ref="AR47:AR50" si="296">N47+AC47</f>
        <v>50.854493071635076</v>
      </c>
      <c r="AS47" s="642">
        <f t="shared" ref="AS47:AS50" si="297">O47+AD47</f>
        <v>53.294193597933067</v>
      </c>
      <c r="AT47" s="642">
        <f t="shared" ref="AT47:AT50" si="298">P47+AE47</f>
        <v>47.565463019058321</v>
      </c>
      <c r="AU47" s="643">
        <f t="shared" ref="AU47:AU50" si="299">Q47+AF47</f>
        <v>43.597213920285128</v>
      </c>
      <c r="AV47" s="641">
        <f t="shared" ref="AV47:AV50" si="300">R47+AG47</f>
        <v>49.059211457221352</v>
      </c>
      <c r="AW47" s="642">
        <f t="shared" ref="AW47:AW50" si="301">S47+AH47</f>
        <v>48.813915399935226</v>
      </c>
      <c r="AX47" s="642">
        <f t="shared" ref="AX47:AX50" si="302">T47+AI47</f>
        <v>48.569845822935562</v>
      </c>
      <c r="AY47" s="642">
        <f t="shared" ref="AY47:AY50" si="303">U47+AJ47</f>
        <v>48.32699659382088</v>
      </c>
      <c r="AZ47" s="643">
        <f t="shared" ref="AZ47:AZ50" si="304">V47+AK47</f>
        <v>48.085361610851777</v>
      </c>
      <c r="BA47" s="185"/>
      <c r="BB47" s="164" t="s">
        <v>2233</v>
      </c>
      <c r="BC47" s="641">
        <f>'4.01_Repex_Mains_Tier-1'!AN29+'4.01_Repex_Mains_Tier-1'!AN40</f>
        <v>437.63033000000007</v>
      </c>
      <c r="BD47" s="642">
        <f>'4.01_Repex_Mains_Tier-1'!AO29+'4.01_Repex_Mains_Tier-1'!AO40</f>
        <v>476.65861000000007</v>
      </c>
      <c r="BE47" s="642">
        <f>'4.01_Repex_Mains_Tier-1'!AP29+'4.01_Repex_Mains_Tier-1'!AP40</f>
        <v>430.23501000000005</v>
      </c>
      <c r="BF47" s="642">
        <f>'4.01_Repex_Mains_Tier-1'!AQ29+'4.01_Repex_Mains_Tier-1'!AQ40</f>
        <v>448.3790000000003</v>
      </c>
      <c r="BG47" s="642">
        <f>'4.01_Repex_Mains_Tier-1'!AR29+'4.01_Repex_Mains_Tier-1'!AR40</f>
        <v>473.72399999999777</v>
      </c>
      <c r="BH47" s="642">
        <f>'4.01_Repex_Mains_Tier-1'!AS29+'4.01_Repex_Mains_Tier-1'!AS40</f>
        <v>489.64999999999793</v>
      </c>
      <c r="BI47" s="642">
        <f>'4.01_Repex_Mains_Tier-1'!AT29+'4.01_Repex_Mains_Tier-1'!AT40</f>
        <v>452.09438561468664</v>
      </c>
      <c r="BJ47" s="643">
        <f>'4.01_Repex_Mains_Tier-1'!AU29+'4.01_Repex_Mains_Tier-1'!AU40</f>
        <v>425.94154492588979</v>
      </c>
      <c r="BK47" s="641">
        <f>'4.01_Repex_Mains_Tier-1'!AV29+'4.01_Repex_Mains_Tier-1'!AV40</f>
        <v>424.57785309749727</v>
      </c>
      <c r="BL47" s="642">
        <f>'4.01_Repex_Mains_Tier-1'!AW29+'4.01_Repex_Mains_Tier-1'!AW40</f>
        <v>424.57785309749727</v>
      </c>
      <c r="BM47" s="642">
        <f>'4.01_Repex_Mains_Tier-1'!AX29+'4.01_Repex_Mains_Tier-1'!AX40</f>
        <v>424.57785309749727</v>
      </c>
      <c r="BN47" s="642">
        <f>'4.01_Repex_Mains_Tier-1'!AY29+'4.01_Repex_Mains_Tier-1'!AY40</f>
        <v>424.57785309749727</v>
      </c>
      <c r="BO47" s="643">
        <f>'4.01_Repex_Mains_Tier-1'!AZ29+'4.01_Repex_Mains_Tier-1'!AZ40</f>
        <v>424.57785309749727</v>
      </c>
      <c r="BP47" s="185"/>
      <c r="BQ47" s="164" t="s">
        <v>2415</v>
      </c>
      <c r="BR47" s="641">
        <f>IF(BC47,AN47/BC47,0)</f>
        <v>0.11015162400056129</v>
      </c>
      <c r="BS47" s="642">
        <f t="shared" ref="BS47:CD50" si="305">IF(BD47,AO47/BD47,0)</f>
        <v>0.10671490010936861</v>
      </c>
      <c r="BT47" s="642">
        <f t="shared" si="305"/>
        <v>0.11164944543028123</v>
      </c>
      <c r="BU47" s="642">
        <f t="shared" si="305"/>
        <v>0.11300482153782143</v>
      </c>
      <c r="BV47" s="642">
        <f t="shared" si="305"/>
        <v>0.10735046793414586</v>
      </c>
      <c r="BW47" s="642">
        <f t="shared" si="305"/>
        <v>0.10884140426413416</v>
      </c>
      <c r="BX47" s="642">
        <f t="shared" si="305"/>
        <v>0.10521135526685718</v>
      </c>
      <c r="BY47" s="643">
        <f t="shared" si="305"/>
        <v>0.10235492273445802</v>
      </c>
      <c r="BZ47" s="641">
        <f t="shared" si="305"/>
        <v>0.11554821123926055</v>
      </c>
      <c r="CA47" s="642">
        <f t="shared" si="305"/>
        <v>0.11497047018306421</v>
      </c>
      <c r="CB47" s="642">
        <f t="shared" si="305"/>
        <v>0.11439561783214892</v>
      </c>
      <c r="CC47" s="642">
        <f t="shared" si="305"/>
        <v>0.11382363974298816</v>
      </c>
      <c r="CD47" s="643">
        <f t="shared" si="305"/>
        <v>0.11325452154427322</v>
      </c>
    </row>
    <row r="48" spans="1:82" ht="15">
      <c r="B48" s="161"/>
      <c r="C48" s="185"/>
      <c r="D48" s="185" t="s">
        <v>2653</v>
      </c>
      <c r="E48" s="617"/>
      <c r="F48" s="162"/>
      <c r="G48" s="162"/>
      <c r="H48" s="185"/>
      <c r="I48" s="164" t="s">
        <v>498</v>
      </c>
      <c r="J48" s="641">
        <f>'4.01_Repex_Mains_Tier-1'!J50</f>
        <v>3.417614086127442</v>
      </c>
      <c r="K48" s="642">
        <f>'4.01_Repex_Mains_Tier-1'!K50</f>
        <v>6.55065582282944</v>
      </c>
      <c r="L48" s="642">
        <f>'4.01_Repex_Mains_Tier-1'!L50</f>
        <v>5.6032751717368887</v>
      </c>
      <c r="M48" s="642">
        <f>'4.01_Repex_Mains_Tier-1'!M50</f>
        <v>5.8235512095882314</v>
      </c>
      <c r="N48" s="642">
        <f>'4.01_Repex_Mains_Tier-1'!N50</f>
        <v>3.9015681751707878</v>
      </c>
      <c r="O48" s="642">
        <f>'4.01_Repex_Mains_Tier-1'!O50</f>
        <v>3.845139749332072</v>
      </c>
      <c r="P48" s="642">
        <f>'4.01_Repex_Mains_Tier-1'!P50</f>
        <v>4.9175247401111406</v>
      </c>
      <c r="Q48" s="643">
        <f>'4.01_Repex_Mains_Tier-1'!Q50</f>
        <v>4.7956092198817029</v>
      </c>
      <c r="R48" s="641">
        <f>'4.01_Repex_Mains_Tier-1'!R50</f>
        <v>3.620923645421871</v>
      </c>
      <c r="S48" s="642">
        <f>'4.01_Repex_Mains_Tier-1'!S50</f>
        <v>3.6028190271947618</v>
      </c>
      <c r="T48" s="642">
        <f>'4.01_Repex_Mains_Tier-1'!T50</f>
        <v>3.584804932058788</v>
      </c>
      <c r="U48" s="642">
        <f>'4.01_Repex_Mains_Tier-1'!U50</f>
        <v>3.5668809073984944</v>
      </c>
      <c r="V48" s="643">
        <f>'4.01_Repex_Mains_Tier-1'!V50</f>
        <v>3.5490465028615019</v>
      </c>
      <c r="W48" s="185"/>
      <c r="X48" s="164" t="s">
        <v>498</v>
      </c>
      <c r="Y48" s="641">
        <f>'4.01_Repex_Mains_Tier-1'!Y50</f>
        <v>0</v>
      </c>
      <c r="Z48" s="642">
        <f>'4.01_Repex_Mains_Tier-1'!Z50</f>
        <v>0</v>
      </c>
      <c r="AA48" s="642">
        <f>'4.01_Repex_Mains_Tier-1'!AA50</f>
        <v>0</v>
      </c>
      <c r="AB48" s="642">
        <f>'4.01_Repex_Mains_Tier-1'!AB50</f>
        <v>0</v>
      </c>
      <c r="AC48" s="642">
        <f>'4.01_Repex_Mains_Tier-1'!AC50</f>
        <v>0</v>
      </c>
      <c r="AD48" s="642">
        <f>'4.01_Repex_Mains_Tier-1'!AD50</f>
        <v>0</v>
      </c>
      <c r="AE48" s="642">
        <f>'4.01_Repex_Mains_Tier-1'!AE50</f>
        <v>0</v>
      </c>
      <c r="AF48" s="643">
        <f>'4.01_Repex_Mains_Tier-1'!AF50</f>
        <v>0</v>
      </c>
      <c r="AG48" s="641">
        <f>'4.01_Repex_Mains_Tier-1'!AG50</f>
        <v>0</v>
      </c>
      <c r="AH48" s="642">
        <f>'4.01_Repex_Mains_Tier-1'!AH50</f>
        <v>0</v>
      </c>
      <c r="AI48" s="642">
        <f>'4.01_Repex_Mains_Tier-1'!AI50</f>
        <v>0</v>
      </c>
      <c r="AJ48" s="642">
        <f>'4.01_Repex_Mains_Tier-1'!AJ50</f>
        <v>0</v>
      </c>
      <c r="AK48" s="643">
        <f>'4.01_Repex_Mains_Tier-1'!AK50</f>
        <v>0</v>
      </c>
      <c r="AL48" s="185"/>
      <c r="AM48" s="164" t="s">
        <v>498</v>
      </c>
      <c r="AN48" s="641">
        <f>J48+Y48</f>
        <v>3.417614086127442</v>
      </c>
      <c r="AO48" s="642">
        <f t="shared" ref="AO48" si="306">K48+Z48</f>
        <v>6.55065582282944</v>
      </c>
      <c r="AP48" s="642">
        <f t="shared" ref="AP48" si="307">L48+AA48</f>
        <v>5.6032751717368887</v>
      </c>
      <c r="AQ48" s="642">
        <f t="shared" ref="AQ48" si="308">M48+AB48</f>
        <v>5.8235512095882314</v>
      </c>
      <c r="AR48" s="642">
        <f t="shared" ref="AR48" si="309">N48+AC48</f>
        <v>3.9015681751707878</v>
      </c>
      <c r="AS48" s="642">
        <f t="shared" ref="AS48" si="310">O48+AD48</f>
        <v>3.845139749332072</v>
      </c>
      <c r="AT48" s="642">
        <f t="shared" ref="AT48" si="311">P48+AE48</f>
        <v>4.9175247401111406</v>
      </c>
      <c r="AU48" s="643">
        <f t="shared" ref="AU48" si="312">Q48+AF48</f>
        <v>4.7956092198817029</v>
      </c>
      <c r="AV48" s="641">
        <f t="shared" ref="AV48" si="313">R48+AG48</f>
        <v>3.620923645421871</v>
      </c>
      <c r="AW48" s="642">
        <f t="shared" ref="AW48" si="314">S48+AH48</f>
        <v>3.6028190271947618</v>
      </c>
      <c r="AX48" s="642">
        <f t="shared" ref="AX48" si="315">T48+AI48</f>
        <v>3.584804932058788</v>
      </c>
      <c r="AY48" s="642">
        <f t="shared" ref="AY48" si="316">U48+AJ48</f>
        <v>3.5668809073984944</v>
      </c>
      <c r="AZ48" s="643">
        <f t="shared" ref="AZ48" si="317">V48+AK48</f>
        <v>3.5490465028615019</v>
      </c>
      <c r="BA48" s="185"/>
      <c r="BB48" s="164" t="s">
        <v>2233</v>
      </c>
      <c r="BC48" s="641">
        <f>'4.01_Repex_Mains_Tier-1'!AN50</f>
        <v>34.515509999999992</v>
      </c>
      <c r="BD48" s="642">
        <f>'4.01_Repex_Mains_Tier-1'!AO50</f>
        <v>50.468199999999996</v>
      </c>
      <c r="BE48" s="642">
        <f>'4.01_Repex_Mains_Tier-1'!AP50</f>
        <v>34.436999999999998</v>
      </c>
      <c r="BF48" s="642">
        <f>'4.01_Repex_Mains_Tier-1'!AQ50</f>
        <v>37.563000000000095</v>
      </c>
      <c r="BG48" s="642">
        <f>'4.01_Repex_Mains_Tier-1'!AR50</f>
        <v>38.80299999999999</v>
      </c>
      <c r="BH48" s="642">
        <f>'4.01_Repex_Mains_Tier-1'!AS50</f>
        <v>38.233000000000011</v>
      </c>
      <c r="BI48" s="642">
        <f>'4.01_Repex_Mains_Tier-1'!AT50</f>
        <v>41.077497495745753</v>
      </c>
      <c r="BJ48" s="643">
        <f>'4.01_Repex_Mains_Tier-1'!AU50</f>
        <v>41.015741570483534</v>
      </c>
      <c r="BK48" s="641">
        <f>'4.01_Repex_Mains_Tier-1'!AV50</f>
        <v>37.206625000000003</v>
      </c>
      <c r="BL48" s="642">
        <f>'4.01_Repex_Mains_Tier-1'!AW50</f>
        <v>37.206625000000003</v>
      </c>
      <c r="BM48" s="642">
        <f>'4.01_Repex_Mains_Tier-1'!AX50</f>
        <v>37.206625000000003</v>
      </c>
      <c r="BN48" s="642">
        <f>'4.01_Repex_Mains_Tier-1'!AY50</f>
        <v>37.206625000000003</v>
      </c>
      <c r="BO48" s="643">
        <f>'4.01_Repex_Mains_Tier-1'!AZ50</f>
        <v>37.206625000000003</v>
      </c>
      <c r="BP48" s="185"/>
      <c r="BQ48" s="164" t="s">
        <v>2415</v>
      </c>
      <c r="BR48" s="641">
        <f>IF(BC48,AN48/BC48,0)</f>
        <v>9.9016763366018432E-2</v>
      </c>
      <c r="BS48" s="642">
        <f t="shared" ref="BS48" si="318">IF(BD48,AO48/BD48,0)</f>
        <v>0.12979769087919601</v>
      </c>
      <c r="BT48" s="642">
        <f t="shared" ref="BT48" si="319">IF(BE48,AP48/BE48,0)</f>
        <v>0.16271089734114147</v>
      </c>
      <c r="BU48" s="642">
        <f t="shared" ref="BU48" si="320">IF(BF48,AQ48/BF48,0)</f>
        <v>0.1550342413968058</v>
      </c>
      <c r="BV48" s="642">
        <f t="shared" ref="BV48" si="321">IF(BG48,AR48/BG48,0)</f>
        <v>0.10054810646524209</v>
      </c>
      <c r="BW48" s="642">
        <f t="shared" ref="BW48" si="322">IF(BH48,AS48/BH48,0)</f>
        <v>0.10057122771773261</v>
      </c>
      <c r="BX48" s="642">
        <f t="shared" ref="BX48" si="323">IF(BI48,AT48/BI48,0)</f>
        <v>0.11971334769408556</v>
      </c>
      <c r="BY48" s="643">
        <f t="shared" ref="BY48" si="324">IF(BJ48,AU48/BJ48,0)</f>
        <v>0.11692118772595357</v>
      </c>
      <c r="BZ48" s="641">
        <f t="shared" ref="BZ48" si="325">IF(BK48,AV48/BK48,0)</f>
        <v>9.7319325400298223E-2</v>
      </c>
      <c r="CA48" s="642">
        <f t="shared" ref="CA48" si="326">IF(BL48,AW48/BL48,0)</f>
        <v>9.6832728773296739E-2</v>
      </c>
      <c r="CB48" s="642">
        <f t="shared" ref="CB48" si="327">IF(BM48,AX48/BM48,0)</f>
        <v>9.6348565129430255E-2</v>
      </c>
      <c r="CC48" s="642">
        <f t="shared" ref="CC48" si="328">IF(BN48,AY48/BN48,0)</f>
        <v>9.5866822303783114E-2</v>
      </c>
      <c r="CD48" s="643">
        <f t="shared" ref="CD48" si="329">IF(BO48,AZ48/BO48,0)</f>
        <v>9.5387488192264197E-2</v>
      </c>
    </row>
    <row r="49" spans="2:82" ht="14.25">
      <c r="B49" s="161"/>
      <c r="C49" s="185"/>
      <c r="D49" s="185" t="s">
        <v>2654</v>
      </c>
      <c r="E49" s="185"/>
      <c r="F49" s="162"/>
      <c r="G49" s="185"/>
      <c r="H49" s="185"/>
      <c r="I49" s="164" t="s">
        <v>498</v>
      </c>
      <c r="J49" s="641">
        <f>'4.05_Repex_Mains_Diversions'!J34+'4.05_Repex_Mains_Diversions'!J119</f>
        <v>1.1849670158862131</v>
      </c>
      <c r="K49" s="642">
        <f>'4.05_Repex_Mains_Diversions'!K34+'4.05_Repex_Mains_Diversions'!K119</f>
        <v>1.5128385905243549</v>
      </c>
      <c r="L49" s="642">
        <f>'4.05_Repex_Mains_Diversions'!L34+'4.05_Repex_Mains_Diversions'!L119</f>
        <v>2.3460659292468917</v>
      </c>
      <c r="M49" s="642">
        <f>'4.05_Repex_Mains_Diversions'!M34+'4.05_Repex_Mains_Diversions'!M119</f>
        <v>0.1594297953719252</v>
      </c>
      <c r="N49" s="642">
        <f>'4.05_Repex_Mains_Diversions'!N34+'4.05_Repex_Mains_Diversions'!N119</f>
        <v>0.81284088812064914</v>
      </c>
      <c r="O49" s="642">
        <f>'4.05_Repex_Mains_Diversions'!O34+'4.05_Repex_Mains_Diversions'!O119</f>
        <v>1.3699422888662587</v>
      </c>
      <c r="P49" s="642">
        <f>'4.05_Repex_Mains_Diversions'!P34+'4.05_Repex_Mains_Diversions'!P119</f>
        <v>0.8822959519860929</v>
      </c>
      <c r="Q49" s="643">
        <f>'4.05_Repex_Mains_Diversions'!Q34+'4.05_Repex_Mains_Diversions'!Q119</f>
        <v>0.79852254613311546</v>
      </c>
      <c r="R49" s="641">
        <f>'4.05_Repex_Mains_Diversions'!R34+'4.05_Repex_Mains_Diversions'!R119</f>
        <v>2.810854067516781</v>
      </c>
      <c r="S49" s="642">
        <f>'4.05_Repex_Mains_Diversions'!S34+'4.05_Repex_Mains_Diversions'!S119</f>
        <v>2.7967997971791969</v>
      </c>
      <c r="T49" s="642">
        <f>'4.05_Repex_Mains_Diversions'!T34+'4.05_Repex_Mains_Diversions'!T119</f>
        <v>2.7828157981933015</v>
      </c>
      <c r="U49" s="642">
        <f>'4.05_Repex_Mains_Diversions'!U34+'4.05_Repex_Mains_Diversions'!U119</f>
        <v>2.7689017192023346</v>
      </c>
      <c r="V49" s="643">
        <f>'4.05_Repex_Mains_Diversions'!V34+'4.05_Repex_Mains_Diversions'!V119</f>
        <v>2.7550572106063225</v>
      </c>
      <c r="W49" s="185"/>
      <c r="X49" s="164" t="s">
        <v>498</v>
      </c>
      <c r="Y49" s="641">
        <f>'4.05_Repex_Mains_Diversions'!Y34+'4.05_Repex_Mains_Diversions'!Y119</f>
        <v>-0.31307486336883139</v>
      </c>
      <c r="Z49" s="642">
        <f>'4.05_Repex_Mains_Diversions'!Z34+'4.05_Repex_Mains_Diversions'!Z119</f>
        <v>-0.69686166713709008</v>
      </c>
      <c r="AA49" s="642">
        <f>'4.05_Repex_Mains_Diversions'!AA34+'4.05_Repex_Mains_Diversions'!AA119</f>
        <v>-0.97998512558836004</v>
      </c>
      <c r="AB49" s="642">
        <f>'4.05_Repex_Mains_Diversions'!AB34+'4.05_Repex_Mains_Diversions'!AB119</f>
        <v>-8.824205654012042E-2</v>
      </c>
      <c r="AC49" s="642">
        <f>'4.05_Repex_Mains_Diversions'!AC34+'4.05_Repex_Mains_Diversions'!AC119</f>
        <v>-0.55316027105483279</v>
      </c>
      <c r="AD49" s="642">
        <f>'4.05_Repex_Mains_Diversions'!AD34+'4.05_Repex_Mains_Diversions'!AD119</f>
        <v>-1.0127395312200826</v>
      </c>
      <c r="AE49" s="642">
        <f>'4.05_Repex_Mains_Diversions'!AE34+'4.05_Repex_Mains_Diversions'!AE119</f>
        <v>-0.36939516126550154</v>
      </c>
      <c r="AF49" s="643">
        <f>'4.05_Repex_Mains_Diversions'!AF34+'4.05_Repex_Mains_Diversions'!AF119</f>
        <v>-0.32987492584781664</v>
      </c>
      <c r="AG49" s="641">
        <f>'4.05_Repex_Mains_Diversions'!AG34+'4.05_Repex_Mains_Diversions'!AG119</f>
        <v>-1.5245749736449068</v>
      </c>
      <c r="AH49" s="642">
        <f>'4.05_Repex_Mains_Diversions'!AH34+'4.05_Repex_Mains_Diversions'!AH119</f>
        <v>-1.5169520987766825</v>
      </c>
      <c r="AI49" s="642">
        <f>'4.05_Repex_Mains_Diversions'!AI34+'4.05_Repex_Mains_Diversions'!AI119</f>
        <v>-1.5093673382827986</v>
      </c>
      <c r="AJ49" s="642">
        <f>'4.05_Repex_Mains_Diversions'!AJ34+'4.05_Repex_Mains_Diversions'!AJ119</f>
        <v>-1.5018205015913846</v>
      </c>
      <c r="AK49" s="643">
        <f>'4.05_Repex_Mains_Diversions'!AK34+'4.05_Repex_Mains_Diversions'!AK119</f>
        <v>-1.4943113990834278</v>
      </c>
      <c r="AL49" s="185"/>
      <c r="AM49" s="164" t="s">
        <v>498</v>
      </c>
      <c r="AN49" s="641">
        <f>J49+Y49</f>
        <v>0.87189215251738172</v>
      </c>
      <c r="AO49" s="642">
        <f t="shared" ref="AO49" si="330">K49+Z49</f>
        <v>0.8159769233872648</v>
      </c>
      <c r="AP49" s="642">
        <f t="shared" ref="AP49" si="331">L49+AA49</f>
        <v>1.3660808036585317</v>
      </c>
      <c r="AQ49" s="642">
        <f t="shared" ref="AQ49" si="332">M49+AB49</f>
        <v>7.1187738831804778E-2</v>
      </c>
      <c r="AR49" s="642">
        <f t="shared" ref="AR49" si="333">N49+AC49</f>
        <v>0.25968061706581635</v>
      </c>
      <c r="AS49" s="642">
        <f t="shared" ref="AS49" si="334">O49+AD49</f>
        <v>0.35720275764617604</v>
      </c>
      <c r="AT49" s="642">
        <f t="shared" ref="AT49" si="335">P49+AE49</f>
        <v>0.51290079072059136</v>
      </c>
      <c r="AU49" s="643">
        <f t="shared" ref="AU49" si="336">Q49+AF49</f>
        <v>0.46864762028529883</v>
      </c>
      <c r="AV49" s="641">
        <f t="shared" ref="AV49" si="337">R49+AG49</f>
        <v>1.2862790938718742</v>
      </c>
      <c r="AW49" s="642">
        <f t="shared" ref="AW49" si="338">S49+AH49</f>
        <v>1.2798476984025144</v>
      </c>
      <c r="AX49" s="642">
        <f t="shared" ref="AX49" si="339">T49+AI49</f>
        <v>1.2734484599105029</v>
      </c>
      <c r="AY49" s="642">
        <f t="shared" ref="AY49" si="340">U49+AJ49</f>
        <v>1.2670812176109501</v>
      </c>
      <c r="AZ49" s="643">
        <f t="shared" ref="AZ49" si="341">V49+AK49</f>
        <v>1.2607458115228947</v>
      </c>
      <c r="BA49" s="185"/>
      <c r="BB49" s="164" t="s">
        <v>2233</v>
      </c>
      <c r="BC49" s="641">
        <f>'4.05_Repex_Mains_Diversions'!AN34+'4.05_Repex_Mains_Diversions'!AN119</f>
        <v>3.2119999999999997</v>
      </c>
      <c r="BD49" s="642">
        <f>'4.05_Repex_Mains_Diversions'!AO34+'4.05_Repex_Mains_Diversions'!AO119</f>
        <v>3.6295100000000002</v>
      </c>
      <c r="BE49" s="642">
        <f>'4.05_Repex_Mains_Diversions'!AP34+'4.05_Repex_Mains_Diversions'!AP119</f>
        <v>5.27</v>
      </c>
      <c r="BF49" s="642">
        <f>'4.05_Repex_Mains_Diversions'!AQ34+'4.05_Repex_Mains_Diversions'!AQ119</f>
        <v>0.98299999999999998</v>
      </c>
      <c r="BG49" s="642">
        <f>'4.05_Repex_Mains_Diversions'!AR34+'4.05_Repex_Mains_Diversions'!AR119</f>
        <v>1.9220000000000002</v>
      </c>
      <c r="BH49" s="642">
        <f>'4.05_Repex_Mains_Diversions'!AS34+'4.05_Repex_Mains_Diversions'!AS119</f>
        <v>2.3210000000000002</v>
      </c>
      <c r="BI49" s="642">
        <f>'4.05_Repex_Mains_Diversions'!AT34+'4.05_Repex_Mains_Diversions'!AT119</f>
        <v>2.6640597696354522</v>
      </c>
      <c r="BJ49" s="643">
        <f>'4.05_Repex_Mains_Diversions'!AU34+'4.05_Repex_Mains_Diversions'!AU119</f>
        <v>2.722580973507831</v>
      </c>
      <c r="BK49" s="641">
        <f>'4.05_Repex_Mains_Diversions'!AV34+'4.05_Repex_Mains_Diversions'!AV119</f>
        <v>8.8153931834083146</v>
      </c>
      <c r="BL49" s="642">
        <f>'4.05_Repex_Mains_Diversions'!AW34+'4.05_Repex_Mains_Diversions'!AW119</f>
        <v>8.8153931834083146</v>
      </c>
      <c r="BM49" s="642">
        <f>'4.05_Repex_Mains_Diversions'!AX34+'4.05_Repex_Mains_Diversions'!AX119</f>
        <v>8.8153931834083146</v>
      </c>
      <c r="BN49" s="642">
        <f>'4.05_Repex_Mains_Diversions'!AY34+'4.05_Repex_Mains_Diversions'!AY119</f>
        <v>8.8153931834083146</v>
      </c>
      <c r="BO49" s="643">
        <f>'4.05_Repex_Mains_Diversions'!AZ34+'4.05_Repex_Mains_Diversions'!AZ119</f>
        <v>8.8153931834083146</v>
      </c>
      <c r="BP49" s="185"/>
      <c r="BQ49" s="164" t="s">
        <v>2415</v>
      </c>
      <c r="BR49" s="641">
        <f t="shared" ref="BR49:BR50" si="342">IF(BC49,AN49/BC49,0)</f>
        <v>0.27144836628810143</v>
      </c>
      <c r="BS49" s="642">
        <f t="shared" si="305"/>
        <v>0.22481737848559855</v>
      </c>
      <c r="BT49" s="642">
        <f t="shared" si="305"/>
        <v>0.25921836881566068</v>
      </c>
      <c r="BU49" s="642">
        <f t="shared" si="305"/>
        <v>7.241885944232429E-2</v>
      </c>
      <c r="BV49" s="642">
        <f t="shared" si="305"/>
        <v>0.13510958224027905</v>
      </c>
      <c r="BW49" s="642">
        <f t="shared" si="305"/>
        <v>0.15390036951580183</v>
      </c>
      <c r="BX49" s="642">
        <f t="shared" si="305"/>
        <v>0.19252600732406852</v>
      </c>
      <c r="BY49" s="643">
        <f t="shared" si="305"/>
        <v>0.17213358384763972</v>
      </c>
      <c r="BZ49" s="641">
        <f t="shared" si="305"/>
        <v>0.14591284439732244</v>
      </c>
      <c r="CA49" s="642">
        <f t="shared" si="305"/>
        <v>0.14518328017533577</v>
      </c>
      <c r="CB49" s="642">
        <f t="shared" si="305"/>
        <v>0.14445736377445922</v>
      </c>
      <c r="CC49" s="642">
        <f t="shared" si="305"/>
        <v>0.14373507695558688</v>
      </c>
      <c r="CD49" s="643">
        <f t="shared" si="305"/>
        <v>0.14301640157080886</v>
      </c>
    </row>
    <row r="50" spans="2:82" ht="14.25">
      <c r="B50" s="161"/>
      <c r="C50" s="185"/>
      <c r="D50" s="185" t="s">
        <v>2655</v>
      </c>
      <c r="E50" s="185"/>
      <c r="F50" s="162"/>
      <c r="G50" s="185"/>
      <c r="H50" s="185"/>
      <c r="I50" s="164" t="s">
        <v>498</v>
      </c>
      <c r="J50" s="641">
        <f>'4.06_Capitalised_Replacement'!J34</f>
        <v>0</v>
      </c>
      <c r="K50" s="642">
        <f>'4.06_Capitalised_Replacement'!K34</f>
        <v>0</v>
      </c>
      <c r="L50" s="642">
        <f>'4.06_Capitalised_Replacement'!L34</f>
        <v>0</v>
      </c>
      <c r="M50" s="642">
        <f>'4.06_Capitalised_Replacement'!M34</f>
        <v>0</v>
      </c>
      <c r="N50" s="642">
        <f>'4.06_Capitalised_Replacement'!N34</f>
        <v>0</v>
      </c>
      <c r="O50" s="642">
        <f>'4.06_Capitalised_Replacement'!O34</f>
        <v>0</v>
      </c>
      <c r="P50" s="642">
        <f>'4.06_Capitalised_Replacement'!P34</f>
        <v>0</v>
      </c>
      <c r="Q50" s="643">
        <f>'4.06_Capitalised_Replacement'!Q34</f>
        <v>0</v>
      </c>
      <c r="R50" s="641">
        <f>'4.06_Capitalised_Replacement'!R34</f>
        <v>0</v>
      </c>
      <c r="S50" s="642">
        <f>'4.06_Capitalised_Replacement'!S34</f>
        <v>0</v>
      </c>
      <c r="T50" s="642">
        <f>'4.06_Capitalised_Replacement'!T34</f>
        <v>0</v>
      </c>
      <c r="U50" s="642">
        <f>'4.06_Capitalised_Replacement'!U34</f>
        <v>0</v>
      </c>
      <c r="V50" s="643">
        <f>'4.06_Capitalised_Replacement'!V34</f>
        <v>0</v>
      </c>
      <c r="W50" s="185"/>
      <c r="X50" s="164" t="s">
        <v>498</v>
      </c>
      <c r="Y50" s="641">
        <f>'4.06_Capitalised_Replacement'!Y34</f>
        <v>0</v>
      </c>
      <c r="Z50" s="642">
        <f>'4.06_Capitalised_Replacement'!Z34</f>
        <v>0</v>
      </c>
      <c r="AA50" s="642">
        <f>'4.06_Capitalised_Replacement'!AA34</f>
        <v>0</v>
      </c>
      <c r="AB50" s="642">
        <f>'4.06_Capitalised_Replacement'!AB34</f>
        <v>0</v>
      </c>
      <c r="AC50" s="642">
        <f>'4.06_Capitalised_Replacement'!AC34</f>
        <v>0</v>
      </c>
      <c r="AD50" s="642">
        <f>'4.06_Capitalised_Replacement'!AD34</f>
        <v>0</v>
      </c>
      <c r="AE50" s="642">
        <f>'4.06_Capitalised_Replacement'!AE34</f>
        <v>0</v>
      </c>
      <c r="AF50" s="643">
        <f>'4.06_Capitalised_Replacement'!AF34</f>
        <v>0</v>
      </c>
      <c r="AG50" s="641">
        <f>'4.06_Capitalised_Replacement'!AG34</f>
        <v>0</v>
      </c>
      <c r="AH50" s="642">
        <f>'4.06_Capitalised_Replacement'!AH34</f>
        <v>0</v>
      </c>
      <c r="AI50" s="642">
        <f>'4.06_Capitalised_Replacement'!AI34</f>
        <v>0</v>
      </c>
      <c r="AJ50" s="642">
        <f>'4.06_Capitalised_Replacement'!AJ34</f>
        <v>0</v>
      </c>
      <c r="AK50" s="643">
        <f>'4.06_Capitalised_Replacement'!AK34</f>
        <v>0</v>
      </c>
      <c r="AL50" s="185"/>
      <c r="AM50" s="164" t="s">
        <v>498</v>
      </c>
      <c r="AN50" s="641">
        <f t="shared" ref="AN50" si="343">J50+Y50</f>
        <v>0</v>
      </c>
      <c r="AO50" s="642">
        <f t="shared" si="293"/>
        <v>0</v>
      </c>
      <c r="AP50" s="642">
        <f t="shared" si="294"/>
        <v>0</v>
      </c>
      <c r="AQ50" s="642">
        <f t="shared" si="295"/>
        <v>0</v>
      </c>
      <c r="AR50" s="642">
        <f t="shared" si="296"/>
        <v>0</v>
      </c>
      <c r="AS50" s="642">
        <f t="shared" si="297"/>
        <v>0</v>
      </c>
      <c r="AT50" s="642">
        <f t="shared" si="298"/>
        <v>0</v>
      </c>
      <c r="AU50" s="643">
        <f t="shared" si="299"/>
        <v>0</v>
      </c>
      <c r="AV50" s="641">
        <f t="shared" si="300"/>
        <v>0</v>
      </c>
      <c r="AW50" s="642">
        <f t="shared" si="301"/>
        <v>0</v>
      </c>
      <c r="AX50" s="642">
        <f t="shared" si="302"/>
        <v>0</v>
      </c>
      <c r="AY50" s="642">
        <f t="shared" si="303"/>
        <v>0</v>
      </c>
      <c r="AZ50" s="643">
        <f t="shared" si="304"/>
        <v>0</v>
      </c>
      <c r="BA50" s="185"/>
      <c r="BB50" s="164" t="s">
        <v>2233</v>
      </c>
      <c r="BC50" s="641">
        <f>'4.06_Capitalised_Replacement'!AN34</f>
        <v>0</v>
      </c>
      <c r="BD50" s="642">
        <f>'4.06_Capitalised_Replacement'!AO34</f>
        <v>0</v>
      </c>
      <c r="BE50" s="642">
        <f>'4.06_Capitalised_Replacement'!AP34</f>
        <v>0</v>
      </c>
      <c r="BF50" s="642">
        <f>'4.06_Capitalised_Replacement'!AQ34</f>
        <v>0</v>
      </c>
      <c r="BG50" s="642">
        <f>'4.06_Capitalised_Replacement'!AR34</f>
        <v>0</v>
      </c>
      <c r="BH50" s="642">
        <f>'4.06_Capitalised_Replacement'!AS34</f>
        <v>0</v>
      </c>
      <c r="BI50" s="642">
        <f>'4.06_Capitalised_Replacement'!AT34</f>
        <v>0</v>
      </c>
      <c r="BJ50" s="643">
        <f>'4.06_Capitalised_Replacement'!AU34</f>
        <v>0</v>
      </c>
      <c r="BK50" s="641">
        <f>'4.06_Capitalised_Replacement'!AV34</f>
        <v>0</v>
      </c>
      <c r="BL50" s="642">
        <f>'4.06_Capitalised_Replacement'!AW34</f>
        <v>0</v>
      </c>
      <c r="BM50" s="642">
        <f>'4.06_Capitalised_Replacement'!AX34</f>
        <v>0</v>
      </c>
      <c r="BN50" s="642">
        <f>'4.06_Capitalised_Replacement'!AY34</f>
        <v>0</v>
      </c>
      <c r="BO50" s="643">
        <f>'4.06_Capitalised_Replacement'!AZ34</f>
        <v>0</v>
      </c>
      <c r="BP50" s="185"/>
      <c r="BQ50" s="164" t="s">
        <v>2415</v>
      </c>
      <c r="BR50" s="641">
        <f t="shared" si="342"/>
        <v>0</v>
      </c>
      <c r="BS50" s="642">
        <f t="shared" si="305"/>
        <v>0</v>
      </c>
      <c r="BT50" s="642">
        <f t="shared" si="305"/>
        <v>0</v>
      </c>
      <c r="BU50" s="642">
        <f t="shared" si="305"/>
        <v>0</v>
      </c>
      <c r="BV50" s="642">
        <f t="shared" si="305"/>
        <v>0</v>
      </c>
      <c r="BW50" s="642">
        <f t="shared" si="305"/>
        <v>0</v>
      </c>
      <c r="BX50" s="642">
        <f t="shared" si="305"/>
        <v>0</v>
      </c>
      <c r="BY50" s="643">
        <f t="shared" si="305"/>
        <v>0</v>
      </c>
      <c r="BZ50" s="641">
        <f t="shared" si="305"/>
        <v>0</v>
      </c>
      <c r="CA50" s="642">
        <f t="shared" si="305"/>
        <v>0</v>
      </c>
      <c r="CB50" s="642">
        <f t="shared" si="305"/>
        <v>0</v>
      </c>
      <c r="CC50" s="642">
        <f t="shared" si="305"/>
        <v>0</v>
      </c>
      <c r="CD50" s="643">
        <f t="shared" si="305"/>
        <v>0</v>
      </c>
    </row>
    <row r="51" spans="2:82" ht="14.25">
      <c r="B51" s="161"/>
      <c r="C51" s="185"/>
      <c r="D51" s="185" t="s">
        <v>2656</v>
      </c>
      <c r="E51" s="185"/>
      <c r="F51" s="162"/>
      <c r="G51" s="185"/>
      <c r="H51" s="185"/>
      <c r="I51" s="164" t="s">
        <v>498</v>
      </c>
      <c r="J51" s="641">
        <f>'4.05_Repex_Mains_Diversions'!J81+'4.05_Repex_Mains_Diversions'!J166</f>
        <v>0.43405381758846978</v>
      </c>
      <c r="K51" s="642">
        <f>'4.05_Repex_Mains_Diversions'!K81+'4.05_Repex_Mains_Diversions'!K166</f>
        <v>0.27717643020751781</v>
      </c>
      <c r="L51" s="642">
        <f>'4.05_Repex_Mains_Diversions'!L81+'4.05_Repex_Mains_Diversions'!L166</f>
        <v>0.32255952940515048</v>
      </c>
      <c r="M51" s="642">
        <f>'4.05_Repex_Mains_Diversions'!M81+'4.05_Repex_Mains_Diversions'!M166</f>
        <v>0.14225748719945991</v>
      </c>
      <c r="N51" s="642">
        <f>'4.05_Repex_Mains_Diversions'!N81+'4.05_Repex_Mains_Diversions'!N166</f>
        <v>7.933711063020929E-2</v>
      </c>
      <c r="O51" s="642">
        <f>'4.05_Repex_Mains_Diversions'!O81+'4.05_Repex_Mains_Diversions'!O166</f>
        <v>2.9357898559447298E-2</v>
      </c>
      <c r="P51" s="642">
        <f>'4.05_Repex_Mains_Diversions'!P81+'4.05_Repex_Mains_Diversions'!P166</f>
        <v>0</v>
      </c>
      <c r="Q51" s="643">
        <f>'4.05_Repex_Mains_Diversions'!Q81+'4.05_Repex_Mains_Diversions'!Q166</f>
        <v>0</v>
      </c>
      <c r="R51" s="641">
        <f>'4.05_Repex_Mains_Diversions'!R81+'4.05_Repex_Mains_Diversions'!R166</f>
        <v>0</v>
      </c>
      <c r="S51" s="642">
        <f>'4.05_Repex_Mains_Diversions'!S81+'4.05_Repex_Mains_Diversions'!S166</f>
        <v>0</v>
      </c>
      <c r="T51" s="642">
        <f>'4.05_Repex_Mains_Diversions'!T81+'4.05_Repex_Mains_Diversions'!T166</f>
        <v>0</v>
      </c>
      <c r="U51" s="642">
        <f>'4.05_Repex_Mains_Diversions'!U81+'4.05_Repex_Mains_Diversions'!U166</f>
        <v>0</v>
      </c>
      <c r="V51" s="643">
        <f>'4.05_Repex_Mains_Diversions'!V81+'4.05_Repex_Mains_Diversions'!V166</f>
        <v>0</v>
      </c>
      <c r="W51" s="185"/>
      <c r="X51" s="164" t="s">
        <v>498</v>
      </c>
      <c r="Y51" s="641">
        <f>'4.05_Repex_Mains_Diversions'!Y81+'4.05_Repex_Mains_Diversions'!Y166</f>
        <v>-2.1418813046540877E-2</v>
      </c>
      <c r="Z51" s="642">
        <f>'4.05_Repex_Mains_Diversions'!Z81+'4.05_Repex_Mains_Diversions'!Z166</f>
        <v>-8.5526088805422507E-2</v>
      </c>
      <c r="AA51" s="642">
        <f>'4.05_Repex_Mains_Diversions'!AA81+'4.05_Repex_Mains_Diversions'!AA166</f>
        <v>-7.6272494325693121E-2</v>
      </c>
      <c r="AB51" s="642">
        <f>'4.05_Repex_Mains_Diversions'!AB81+'4.05_Repex_Mains_Diversions'!AB166</f>
        <v>-4.1870113854857893E-2</v>
      </c>
      <c r="AC51" s="642">
        <f>'4.05_Repex_Mains_Diversions'!AC81+'4.05_Repex_Mains_Diversions'!AC166</f>
        <v>-3.9221252729891638E-2</v>
      </c>
      <c r="AD51" s="642">
        <f>'4.05_Repex_Mains_Diversions'!AD81+'4.05_Repex_Mains_Diversions'!AD166</f>
        <v>-1.5011994527544415E-2</v>
      </c>
      <c r="AE51" s="642">
        <f>'4.05_Repex_Mains_Diversions'!AE81+'4.05_Repex_Mains_Diversions'!AE166</f>
        <v>0</v>
      </c>
      <c r="AF51" s="643">
        <f>'4.05_Repex_Mains_Diversions'!AF81+'4.05_Repex_Mains_Diversions'!AF166</f>
        <v>0</v>
      </c>
      <c r="AG51" s="641">
        <f>'4.05_Repex_Mains_Diversions'!AG81+'4.05_Repex_Mains_Diversions'!AG166</f>
        <v>0</v>
      </c>
      <c r="AH51" s="642">
        <f>'4.05_Repex_Mains_Diversions'!AH81+'4.05_Repex_Mains_Diversions'!AH166</f>
        <v>0</v>
      </c>
      <c r="AI51" s="642">
        <f>'4.05_Repex_Mains_Diversions'!AI81+'4.05_Repex_Mains_Diversions'!AI166</f>
        <v>0</v>
      </c>
      <c r="AJ51" s="642">
        <f>'4.05_Repex_Mains_Diversions'!AJ81+'4.05_Repex_Mains_Diversions'!AJ166</f>
        <v>0</v>
      </c>
      <c r="AK51" s="643">
        <f>'4.05_Repex_Mains_Diversions'!AK81+'4.05_Repex_Mains_Diversions'!AK166</f>
        <v>0</v>
      </c>
      <c r="AL51" s="185"/>
      <c r="AM51" s="164" t="s">
        <v>498</v>
      </c>
      <c r="AN51" s="641"/>
      <c r="AO51" s="642"/>
      <c r="AP51" s="642"/>
      <c r="AQ51" s="642"/>
      <c r="AR51" s="642"/>
      <c r="AS51" s="642"/>
      <c r="AT51" s="642"/>
      <c r="AU51" s="643"/>
      <c r="AV51" s="641"/>
      <c r="AW51" s="642"/>
      <c r="AX51" s="642"/>
      <c r="AY51" s="642"/>
      <c r="AZ51" s="643"/>
      <c r="BA51" s="185"/>
      <c r="BB51" s="164" t="s">
        <v>2233</v>
      </c>
      <c r="BC51" s="641">
        <f>'4.05_Repex_Mains_Diversions'!AN81+'4.05_Repex_Mains_Diversions'!AN166</f>
        <v>1.0569999999999999</v>
      </c>
      <c r="BD51" s="642">
        <f>'4.05_Repex_Mains_Diversions'!AO81+'4.05_Repex_Mains_Diversions'!AO166</f>
        <v>0.89700000000000002</v>
      </c>
      <c r="BE51" s="642">
        <f>'4.05_Repex_Mains_Diversions'!AP81+'4.05_Repex_Mains_Diversions'!AP166</f>
        <v>1.337</v>
      </c>
      <c r="BF51" s="642">
        <f>'4.05_Repex_Mains_Diversions'!AQ81+'4.05_Repex_Mains_Diversions'!AQ166</f>
        <v>0.72</v>
      </c>
      <c r="BG51" s="642">
        <f>'4.05_Repex_Mains_Diversions'!AR81+'4.05_Repex_Mains_Diversions'!AR166</f>
        <v>0.255</v>
      </c>
      <c r="BH51" s="642">
        <f>'4.05_Repex_Mains_Diversions'!AS81+'4.05_Repex_Mains_Diversions'!AS166</f>
        <v>0.11599999999999999</v>
      </c>
      <c r="BI51" s="642">
        <f>'4.05_Repex_Mains_Diversions'!AT81+'4.05_Repex_Mains_Diversions'!AT166</f>
        <v>0</v>
      </c>
      <c r="BJ51" s="643">
        <f>'4.05_Repex_Mains_Diversions'!AU81+'4.05_Repex_Mains_Diversions'!AU166</f>
        <v>0</v>
      </c>
      <c r="BK51" s="641">
        <f>'4.05_Repex_Mains_Diversions'!AV81+'4.05_Repex_Mains_Diversions'!AV166</f>
        <v>0</v>
      </c>
      <c r="BL51" s="642">
        <f>'4.05_Repex_Mains_Diversions'!AW81+'4.05_Repex_Mains_Diversions'!AW166</f>
        <v>0</v>
      </c>
      <c r="BM51" s="642">
        <f>'4.05_Repex_Mains_Diversions'!AX81+'4.05_Repex_Mains_Diversions'!AX166</f>
        <v>0</v>
      </c>
      <c r="BN51" s="642">
        <f>'4.05_Repex_Mains_Diversions'!AY81+'4.05_Repex_Mains_Diversions'!AY166</f>
        <v>0</v>
      </c>
      <c r="BO51" s="643">
        <f>'4.05_Repex_Mains_Diversions'!AZ81+'4.05_Repex_Mains_Diversions'!AZ166</f>
        <v>0</v>
      </c>
      <c r="BP51" s="185"/>
      <c r="BQ51" s="164" t="s">
        <v>2415</v>
      </c>
      <c r="BR51" s="641">
        <f t="shared" ref="BR51:BR52" si="344">IF(BC51,AN51/BC51,0)</f>
        <v>0</v>
      </c>
      <c r="BS51" s="642">
        <f t="shared" ref="BS51:BS52" si="345">IF(BD51,AO51/BD51,0)</f>
        <v>0</v>
      </c>
      <c r="BT51" s="642">
        <f t="shared" ref="BT51:BT52" si="346">IF(BE51,AP51/BE51,0)</f>
        <v>0</v>
      </c>
      <c r="BU51" s="642">
        <f t="shared" ref="BU51:BU52" si="347">IF(BF51,AQ51/BF51,0)</f>
        <v>0</v>
      </c>
      <c r="BV51" s="642">
        <f t="shared" ref="BV51:BV52" si="348">IF(BG51,AR51/BG51,0)</f>
        <v>0</v>
      </c>
      <c r="BW51" s="642">
        <f t="shared" ref="BW51:BW52" si="349">IF(BH51,AS51/BH51,0)</f>
        <v>0</v>
      </c>
      <c r="BX51" s="642">
        <f t="shared" ref="BX51:BX52" si="350">IF(BI51,AT51/BI51,0)</f>
        <v>0</v>
      </c>
      <c r="BY51" s="643">
        <f t="shared" ref="BY51:BY52" si="351">IF(BJ51,AU51/BJ51,0)</f>
        <v>0</v>
      </c>
      <c r="BZ51" s="641">
        <f t="shared" ref="BZ51:BZ52" si="352">IF(BK51,AV51/BK51,0)</f>
        <v>0</v>
      </c>
      <c r="CA51" s="642">
        <f t="shared" ref="CA51:CA52" si="353">IF(BL51,AW51/BL51,0)</f>
        <v>0</v>
      </c>
      <c r="CB51" s="642">
        <f t="shared" ref="CB51:CB52" si="354">IF(BM51,AX51/BM51,0)</f>
        <v>0</v>
      </c>
      <c r="CC51" s="642">
        <f t="shared" ref="CC51:CC52" si="355">IF(BN51,AY51/BN51,0)</f>
        <v>0</v>
      </c>
      <c r="CD51" s="643">
        <f t="shared" ref="CD51:CD52" si="356">IF(BO51,AZ51/BO51,0)</f>
        <v>0</v>
      </c>
    </row>
    <row r="52" spans="2:82" ht="14.25">
      <c r="B52" s="161"/>
      <c r="C52" s="185"/>
      <c r="D52" s="185" t="s">
        <v>2657</v>
      </c>
      <c r="E52" s="185"/>
      <c r="F52" s="162"/>
      <c r="G52" s="185"/>
      <c r="H52" s="185"/>
      <c r="I52" s="164" t="s">
        <v>498</v>
      </c>
      <c r="J52" s="641">
        <f>'4.06_Capitalised_Replacement'!J81</f>
        <v>0</v>
      </c>
      <c r="K52" s="642">
        <f>'4.06_Capitalised_Replacement'!K81</f>
        <v>0</v>
      </c>
      <c r="L52" s="642">
        <f>'4.06_Capitalised_Replacement'!L81</f>
        <v>0</v>
      </c>
      <c r="M52" s="642">
        <f>'4.06_Capitalised_Replacement'!M81</f>
        <v>0</v>
      </c>
      <c r="N52" s="642">
        <f>'4.06_Capitalised_Replacement'!N81</f>
        <v>0</v>
      </c>
      <c r="O52" s="642">
        <f>'4.06_Capitalised_Replacement'!O81</f>
        <v>0</v>
      </c>
      <c r="P52" s="642">
        <f>'4.06_Capitalised_Replacement'!P81</f>
        <v>0</v>
      </c>
      <c r="Q52" s="643">
        <f>'4.06_Capitalised_Replacement'!Q81</f>
        <v>0</v>
      </c>
      <c r="R52" s="641">
        <f>'4.06_Capitalised_Replacement'!R81</f>
        <v>0</v>
      </c>
      <c r="S52" s="642">
        <f>'4.06_Capitalised_Replacement'!S81</f>
        <v>0</v>
      </c>
      <c r="T52" s="642">
        <f>'4.06_Capitalised_Replacement'!T81</f>
        <v>0</v>
      </c>
      <c r="U52" s="642">
        <f>'4.06_Capitalised_Replacement'!U81</f>
        <v>0</v>
      </c>
      <c r="V52" s="643">
        <f>'4.06_Capitalised_Replacement'!V81</f>
        <v>0</v>
      </c>
      <c r="W52" s="185"/>
      <c r="X52" s="164" t="s">
        <v>498</v>
      </c>
      <c r="Y52" s="641">
        <f>'4.06_Capitalised_Replacement'!Y81</f>
        <v>0</v>
      </c>
      <c r="Z52" s="642">
        <f>'4.06_Capitalised_Replacement'!Z81</f>
        <v>0</v>
      </c>
      <c r="AA52" s="642">
        <f>'4.06_Capitalised_Replacement'!AA81</f>
        <v>0</v>
      </c>
      <c r="AB52" s="642">
        <f>'4.06_Capitalised_Replacement'!AB81</f>
        <v>0</v>
      </c>
      <c r="AC52" s="642">
        <f>'4.06_Capitalised_Replacement'!AC81</f>
        <v>0</v>
      </c>
      <c r="AD52" s="642">
        <f>'4.06_Capitalised_Replacement'!AD81</f>
        <v>0</v>
      </c>
      <c r="AE52" s="642">
        <f>'4.06_Capitalised_Replacement'!AE81</f>
        <v>0</v>
      </c>
      <c r="AF52" s="643">
        <f>'4.06_Capitalised_Replacement'!AF81</f>
        <v>0</v>
      </c>
      <c r="AG52" s="641">
        <f>'4.06_Capitalised_Replacement'!AG81</f>
        <v>0</v>
      </c>
      <c r="AH52" s="642">
        <f>'4.06_Capitalised_Replacement'!AH81</f>
        <v>0</v>
      </c>
      <c r="AI52" s="642">
        <f>'4.06_Capitalised_Replacement'!AI81</f>
        <v>0</v>
      </c>
      <c r="AJ52" s="642">
        <f>'4.06_Capitalised_Replacement'!AJ81</f>
        <v>0</v>
      </c>
      <c r="AK52" s="643">
        <f>'4.06_Capitalised_Replacement'!AK81</f>
        <v>0</v>
      </c>
      <c r="AL52" s="185"/>
      <c r="AM52" s="164" t="s">
        <v>498</v>
      </c>
      <c r="AN52" s="641"/>
      <c r="AO52" s="642"/>
      <c r="AP52" s="642"/>
      <c r="AQ52" s="642"/>
      <c r="AR52" s="642"/>
      <c r="AS52" s="642"/>
      <c r="AT52" s="642"/>
      <c r="AU52" s="643"/>
      <c r="AV52" s="641"/>
      <c r="AW52" s="642"/>
      <c r="AX52" s="642"/>
      <c r="AY52" s="642"/>
      <c r="AZ52" s="643"/>
      <c r="BA52" s="185"/>
      <c r="BB52" s="164" t="s">
        <v>2233</v>
      </c>
      <c r="BC52" s="641">
        <f>'4.06_Capitalised_Replacement'!AN81</f>
        <v>0</v>
      </c>
      <c r="BD52" s="642">
        <f>'4.06_Capitalised_Replacement'!AO81</f>
        <v>0</v>
      </c>
      <c r="BE52" s="642">
        <f>'4.06_Capitalised_Replacement'!AP81</f>
        <v>0</v>
      </c>
      <c r="BF52" s="642">
        <f>'4.06_Capitalised_Replacement'!AQ81</f>
        <v>0</v>
      </c>
      <c r="BG52" s="642">
        <f>'4.06_Capitalised_Replacement'!AR81</f>
        <v>0</v>
      </c>
      <c r="BH52" s="642">
        <f>'4.06_Capitalised_Replacement'!AS81</f>
        <v>0</v>
      </c>
      <c r="BI52" s="642">
        <f>'4.06_Capitalised_Replacement'!AT81</f>
        <v>0</v>
      </c>
      <c r="BJ52" s="643">
        <f>'4.06_Capitalised_Replacement'!AU81</f>
        <v>0</v>
      </c>
      <c r="BK52" s="641">
        <f>'4.06_Capitalised_Replacement'!AV81</f>
        <v>0</v>
      </c>
      <c r="BL52" s="642">
        <f>'4.06_Capitalised_Replacement'!AW81</f>
        <v>0</v>
      </c>
      <c r="BM52" s="642">
        <f>'4.06_Capitalised_Replacement'!AX81</f>
        <v>0</v>
      </c>
      <c r="BN52" s="642">
        <f>'4.06_Capitalised_Replacement'!AY81</f>
        <v>0</v>
      </c>
      <c r="BO52" s="643">
        <f>'4.06_Capitalised_Replacement'!AZ81</f>
        <v>0</v>
      </c>
      <c r="BP52" s="185"/>
      <c r="BQ52" s="164" t="s">
        <v>2415</v>
      </c>
      <c r="BR52" s="641">
        <f t="shared" si="344"/>
        <v>0</v>
      </c>
      <c r="BS52" s="642">
        <f t="shared" si="345"/>
        <v>0</v>
      </c>
      <c r="BT52" s="642">
        <f t="shared" si="346"/>
        <v>0</v>
      </c>
      <c r="BU52" s="642">
        <f t="shared" si="347"/>
        <v>0</v>
      </c>
      <c r="BV52" s="642">
        <f t="shared" si="348"/>
        <v>0</v>
      </c>
      <c r="BW52" s="642">
        <f t="shared" si="349"/>
        <v>0</v>
      </c>
      <c r="BX52" s="642">
        <f t="shared" si="350"/>
        <v>0</v>
      </c>
      <c r="BY52" s="643">
        <f t="shared" si="351"/>
        <v>0</v>
      </c>
      <c r="BZ52" s="641">
        <f t="shared" si="352"/>
        <v>0</v>
      </c>
      <c r="CA52" s="642">
        <f t="shared" si="353"/>
        <v>0</v>
      </c>
      <c r="CB52" s="642">
        <f t="shared" si="354"/>
        <v>0</v>
      </c>
      <c r="CC52" s="642">
        <f t="shared" si="355"/>
        <v>0</v>
      </c>
      <c r="CD52" s="643">
        <f t="shared" si="356"/>
        <v>0</v>
      </c>
    </row>
    <row r="53" spans="2:82" ht="14.25">
      <c r="B53" s="161"/>
      <c r="C53" s="185" t="s">
        <v>1710</v>
      </c>
      <c r="D53" s="185"/>
      <c r="E53" s="185"/>
      <c r="F53" s="162"/>
      <c r="G53" s="185"/>
      <c r="H53" s="185"/>
      <c r="I53" s="164" t="s">
        <v>498</v>
      </c>
      <c r="J53" s="697">
        <f>SUM(J47:J52)</f>
        <v>53.242326481003694</v>
      </c>
      <c r="K53" s="698">
        <f t="shared" ref="K53:V53" si="357">SUM(K47:K52)</f>
        <v>59.20724679598181</v>
      </c>
      <c r="L53" s="698">
        <f t="shared" si="357"/>
        <v>56.307400901580429</v>
      </c>
      <c r="M53" s="698">
        <f t="shared" si="357"/>
        <v>56.794227368466487</v>
      </c>
      <c r="N53" s="698">
        <f t="shared" si="357"/>
        <v>55.648239245556717</v>
      </c>
      <c r="O53" s="698">
        <f t="shared" si="357"/>
        <v>58.538633534690838</v>
      </c>
      <c r="P53" s="698">
        <f t="shared" si="357"/>
        <v>53.365283711155556</v>
      </c>
      <c r="Q53" s="699">
        <f t="shared" si="357"/>
        <v>49.191345686299947</v>
      </c>
      <c r="R53" s="697">
        <f t="shared" si="357"/>
        <v>55.490989170159999</v>
      </c>
      <c r="S53" s="698">
        <f t="shared" si="357"/>
        <v>55.213534224309186</v>
      </c>
      <c r="T53" s="698">
        <f t="shared" si="357"/>
        <v>54.937466553187654</v>
      </c>
      <c r="U53" s="698">
        <f t="shared" si="357"/>
        <v>54.662779220421704</v>
      </c>
      <c r="V53" s="699">
        <f t="shared" si="357"/>
        <v>54.389465324319602</v>
      </c>
      <c r="W53" s="185"/>
      <c r="X53" s="164" t="s">
        <v>498</v>
      </c>
      <c r="Y53" s="697">
        <f>SUM(Y47:Y52)</f>
        <v>-0.33449367641537225</v>
      </c>
      <c r="Z53" s="698">
        <f t="shared" ref="Z53" si="358">SUM(Z47:Z52)</f>
        <v>-0.78238775594251253</v>
      </c>
      <c r="AA53" s="698">
        <f t="shared" ref="AA53" si="359">SUM(AA47:AA52)</f>
        <v>-1.0562576199140532</v>
      </c>
      <c r="AB53" s="698">
        <f t="shared" ref="AB53" si="360">SUM(AB47:AB52)</f>
        <v>-0.1301121703949783</v>
      </c>
      <c r="AC53" s="698">
        <f t="shared" ref="AC53" si="361">SUM(AC47:AC52)</f>
        <v>-0.59238152378472442</v>
      </c>
      <c r="AD53" s="698">
        <f t="shared" ref="AD53" si="362">SUM(AD47:AD52)</f>
        <v>-1.0277515257476271</v>
      </c>
      <c r="AE53" s="698">
        <f t="shared" ref="AE53" si="363">SUM(AE47:AE52)</f>
        <v>-0.36939516126550154</v>
      </c>
      <c r="AF53" s="699">
        <f t="shared" ref="AF53" si="364">SUM(AF47:AF52)</f>
        <v>-0.32987492584781664</v>
      </c>
      <c r="AG53" s="697">
        <f t="shared" ref="AG53" si="365">SUM(AG47:AG52)</f>
        <v>-1.5245749736449068</v>
      </c>
      <c r="AH53" s="698">
        <f t="shared" ref="AH53" si="366">SUM(AH47:AH52)</f>
        <v>-1.5169520987766825</v>
      </c>
      <c r="AI53" s="698">
        <f t="shared" ref="AI53" si="367">SUM(AI47:AI52)</f>
        <v>-1.5093673382827986</v>
      </c>
      <c r="AJ53" s="698">
        <f t="shared" ref="AJ53" si="368">SUM(AJ47:AJ52)</f>
        <v>-1.5018205015913846</v>
      </c>
      <c r="AK53" s="699">
        <f t="shared" ref="AK53" si="369">SUM(AK47:AK52)</f>
        <v>-1.4943113990834278</v>
      </c>
      <c r="AL53" s="185"/>
      <c r="AM53" s="164" t="s">
        <v>498</v>
      </c>
      <c r="AN53" s="697">
        <f>SUM(AN47:AN52)</f>
        <v>52.495197800046391</v>
      </c>
      <c r="AO53" s="698">
        <f t="shared" ref="AO53" si="370">SUM(AO47:AO52)</f>
        <v>58.233208698637206</v>
      </c>
      <c r="AP53" s="698">
        <f t="shared" ref="AP53" si="371">SUM(AP47:AP52)</f>
        <v>55.004856246586925</v>
      </c>
      <c r="AQ53" s="698">
        <f t="shared" ref="AQ53" si="372">SUM(AQ47:AQ52)</f>
        <v>56.563727824726904</v>
      </c>
      <c r="AR53" s="698">
        <f t="shared" ref="AR53" si="373">SUM(AR47:AR52)</f>
        <v>55.015741863871682</v>
      </c>
      <c r="AS53" s="698">
        <f t="shared" ref="AS53" si="374">SUM(AS47:AS52)</f>
        <v>57.496536104911314</v>
      </c>
      <c r="AT53" s="698">
        <f t="shared" ref="AT53" si="375">SUM(AT47:AT52)</f>
        <v>52.995888549890054</v>
      </c>
      <c r="AU53" s="699">
        <f t="shared" ref="AU53" si="376">SUM(AU47:AU52)</f>
        <v>48.861470760452129</v>
      </c>
      <c r="AV53" s="697">
        <f t="shared" ref="AV53" si="377">SUM(AV47:AV52)</f>
        <v>53.966414196515096</v>
      </c>
      <c r="AW53" s="698">
        <f t="shared" ref="AW53" si="378">SUM(AW47:AW52)</f>
        <v>53.696582125532501</v>
      </c>
      <c r="AX53" s="698">
        <f t="shared" ref="AX53" si="379">SUM(AX47:AX52)</f>
        <v>53.428099214904854</v>
      </c>
      <c r="AY53" s="698">
        <f t="shared" ref="AY53" si="380">SUM(AY47:AY52)</f>
        <v>53.160958718830322</v>
      </c>
      <c r="AZ53" s="699">
        <f t="shared" ref="AZ53" si="381">SUM(AZ47:AZ52)</f>
        <v>52.895153925236173</v>
      </c>
      <c r="BA53" s="185"/>
      <c r="BB53" s="164" t="s">
        <v>2233</v>
      </c>
      <c r="BC53" s="697">
        <f>SUM(BC47:BC52)</f>
        <v>476.41484000000008</v>
      </c>
      <c r="BD53" s="698">
        <f t="shared" ref="BD53:BO53" si="382">SUM(BD47:BD52)</f>
        <v>531.65332000000012</v>
      </c>
      <c r="BE53" s="698">
        <f t="shared" si="382"/>
        <v>471.27901000000003</v>
      </c>
      <c r="BF53" s="698">
        <f t="shared" si="382"/>
        <v>487.64500000000044</v>
      </c>
      <c r="BG53" s="698">
        <f t="shared" si="382"/>
        <v>514.70399999999779</v>
      </c>
      <c r="BH53" s="698">
        <f t="shared" si="382"/>
        <v>530.319999999998</v>
      </c>
      <c r="BI53" s="698">
        <f t="shared" si="382"/>
        <v>495.83594288006788</v>
      </c>
      <c r="BJ53" s="699">
        <f t="shared" si="382"/>
        <v>469.67986746988117</v>
      </c>
      <c r="BK53" s="697">
        <f t="shared" si="382"/>
        <v>470.59987128090563</v>
      </c>
      <c r="BL53" s="698">
        <f t="shared" si="382"/>
        <v>470.59987128090563</v>
      </c>
      <c r="BM53" s="698">
        <f t="shared" si="382"/>
        <v>470.59987128090563</v>
      </c>
      <c r="BN53" s="698">
        <f t="shared" si="382"/>
        <v>470.59987128090563</v>
      </c>
      <c r="BO53" s="699">
        <f t="shared" si="382"/>
        <v>470.59987128090563</v>
      </c>
      <c r="BP53" s="185"/>
      <c r="BQ53" s="117"/>
      <c r="BR53" s="713"/>
      <c r="BS53" s="714"/>
      <c r="BT53" s="714"/>
      <c r="BU53" s="714"/>
      <c r="BV53" s="714"/>
      <c r="BW53" s="714"/>
      <c r="BX53" s="714"/>
      <c r="BY53" s="715"/>
      <c r="BZ53" s="716"/>
      <c r="CA53" s="714"/>
      <c r="CB53" s="714"/>
      <c r="CC53" s="714"/>
      <c r="CD53" s="715"/>
    </row>
    <row r="54" spans="2:82" ht="14.25">
      <c r="B54" s="181"/>
      <c r="C54" s="185"/>
      <c r="D54" s="185"/>
      <c r="E54" s="182"/>
      <c r="F54" s="185"/>
      <c r="G54" s="184"/>
      <c r="H54" s="184"/>
      <c r="I54" s="117"/>
      <c r="J54" s="713"/>
      <c r="K54" s="714"/>
      <c r="L54" s="714"/>
      <c r="M54" s="714"/>
      <c r="N54" s="714"/>
      <c r="O54" s="714"/>
      <c r="P54" s="714"/>
      <c r="Q54" s="715"/>
      <c r="R54" s="716"/>
      <c r="S54" s="714"/>
      <c r="T54" s="714"/>
      <c r="U54" s="714"/>
      <c r="V54" s="715"/>
      <c r="W54" s="184"/>
      <c r="X54" s="117"/>
      <c r="Y54" s="713"/>
      <c r="Z54" s="714"/>
      <c r="AA54" s="714"/>
      <c r="AB54" s="714"/>
      <c r="AC54" s="714"/>
      <c r="AD54" s="714"/>
      <c r="AE54" s="714"/>
      <c r="AF54" s="715"/>
      <c r="AG54" s="716"/>
      <c r="AH54" s="714"/>
      <c r="AI54" s="714"/>
      <c r="AJ54" s="714"/>
      <c r="AK54" s="715"/>
      <c r="AL54" s="184"/>
      <c r="AM54" s="117"/>
      <c r="AN54" s="713"/>
      <c r="AO54" s="714"/>
      <c r="AP54" s="714"/>
      <c r="AQ54" s="714"/>
      <c r="AR54" s="714"/>
      <c r="AS54" s="714"/>
      <c r="AT54" s="714"/>
      <c r="AU54" s="715"/>
      <c r="AV54" s="716"/>
      <c r="AW54" s="714"/>
      <c r="AX54" s="714"/>
      <c r="AY54" s="714"/>
      <c r="AZ54" s="715"/>
      <c r="BA54" s="184"/>
      <c r="BB54" s="117"/>
      <c r="BC54" s="713"/>
      <c r="BD54" s="714"/>
      <c r="BE54" s="714"/>
      <c r="BF54" s="714"/>
      <c r="BG54" s="714"/>
      <c r="BH54" s="714"/>
      <c r="BI54" s="714"/>
      <c r="BJ54" s="715"/>
      <c r="BK54" s="716"/>
      <c r="BL54" s="714"/>
      <c r="BM54" s="714"/>
      <c r="BN54" s="714"/>
      <c r="BO54" s="715"/>
      <c r="BP54" s="184"/>
      <c r="BQ54" s="117"/>
      <c r="BR54" s="713"/>
      <c r="BS54" s="714"/>
      <c r="BT54" s="714"/>
      <c r="BU54" s="714"/>
      <c r="BV54" s="714"/>
      <c r="BW54" s="714"/>
      <c r="BX54" s="714"/>
      <c r="BY54" s="715"/>
      <c r="BZ54" s="716"/>
      <c r="CA54" s="714"/>
      <c r="CB54" s="714"/>
      <c r="CC54" s="714"/>
      <c r="CD54" s="715"/>
    </row>
    <row r="55" spans="2:82" ht="15.75">
      <c r="B55" s="161"/>
      <c r="C55" s="186" t="s">
        <v>2658</v>
      </c>
      <c r="D55" s="617"/>
      <c r="E55" s="180"/>
      <c r="F55" s="162"/>
      <c r="G55" s="163"/>
      <c r="H55" s="163"/>
      <c r="I55" s="117"/>
      <c r="J55" s="713"/>
      <c r="K55" s="714"/>
      <c r="L55" s="714"/>
      <c r="M55" s="714"/>
      <c r="N55" s="714"/>
      <c r="O55" s="714"/>
      <c r="P55" s="714"/>
      <c r="Q55" s="715"/>
      <c r="R55" s="716"/>
      <c r="S55" s="714"/>
      <c r="T55" s="714"/>
      <c r="U55" s="714"/>
      <c r="V55" s="715"/>
      <c r="W55" s="163"/>
      <c r="X55" s="117"/>
      <c r="Y55" s="713"/>
      <c r="Z55" s="714"/>
      <c r="AA55" s="714"/>
      <c r="AB55" s="714"/>
      <c r="AC55" s="714"/>
      <c r="AD55" s="714"/>
      <c r="AE55" s="714"/>
      <c r="AF55" s="715"/>
      <c r="AG55" s="716"/>
      <c r="AH55" s="714"/>
      <c r="AI55" s="714"/>
      <c r="AJ55" s="714"/>
      <c r="AK55" s="715"/>
      <c r="AL55" s="163"/>
      <c r="AM55" s="117"/>
      <c r="AN55" s="713"/>
      <c r="AO55" s="714"/>
      <c r="AP55" s="714"/>
      <c r="AQ55" s="714"/>
      <c r="AR55" s="714"/>
      <c r="AS55" s="714"/>
      <c r="AT55" s="714"/>
      <c r="AU55" s="715"/>
      <c r="AV55" s="716"/>
      <c r="AW55" s="714"/>
      <c r="AX55" s="714"/>
      <c r="AY55" s="714"/>
      <c r="AZ55" s="715"/>
      <c r="BA55" s="163"/>
      <c r="BB55" s="117"/>
      <c r="BC55" s="713"/>
      <c r="BD55" s="714"/>
      <c r="BE55" s="714"/>
      <c r="BF55" s="714"/>
      <c r="BG55" s="714"/>
      <c r="BH55" s="714"/>
      <c r="BI55" s="714"/>
      <c r="BJ55" s="715"/>
      <c r="BK55" s="716"/>
      <c r="BL55" s="714"/>
      <c r="BM55" s="714"/>
      <c r="BN55" s="714"/>
      <c r="BO55" s="715"/>
      <c r="BP55" s="163"/>
      <c r="BQ55" s="117"/>
      <c r="BR55" s="713"/>
      <c r="BS55" s="714"/>
      <c r="BT55" s="714"/>
      <c r="BU55" s="714"/>
      <c r="BV55" s="714"/>
      <c r="BW55" s="714"/>
      <c r="BX55" s="714"/>
      <c r="BY55" s="715"/>
      <c r="BZ55" s="716"/>
      <c r="CA55" s="714"/>
      <c r="CB55" s="714"/>
      <c r="CC55" s="714"/>
      <c r="CD55" s="715"/>
    </row>
    <row r="56" spans="2:82" ht="14.25">
      <c r="B56" s="161"/>
      <c r="C56" s="660"/>
      <c r="D56" s="687" t="s">
        <v>2659</v>
      </c>
      <c r="E56" s="660"/>
      <c r="F56" s="162"/>
      <c r="G56" s="185"/>
      <c r="H56" s="163"/>
      <c r="I56" s="164" t="s">
        <v>498</v>
      </c>
      <c r="J56" s="641">
        <f>SUM('4.07_Repex_Services'!J30,'4.07_Repex_Services'!J127,'4.07_Repex_Services'!J196,'4.07_Repex_Services'!J265)</f>
        <v>14.329827425302371</v>
      </c>
      <c r="K56" s="642">
        <f>SUM('4.07_Repex_Services'!K30,'4.07_Repex_Services'!K127,'4.07_Repex_Services'!K196,'4.07_Repex_Services'!K265)</f>
        <v>14.169005674367233</v>
      </c>
      <c r="L56" s="642">
        <f>SUM('4.07_Repex_Services'!L30,'4.07_Repex_Services'!L127,'4.07_Repex_Services'!L196,'4.07_Repex_Services'!L265)</f>
        <v>9.8442682998499969</v>
      </c>
      <c r="M56" s="642">
        <f>SUM('4.07_Repex_Services'!M30,'4.07_Repex_Services'!M127,'4.07_Repex_Services'!M196,'4.07_Repex_Services'!M265)</f>
        <v>7.8346231065849734</v>
      </c>
      <c r="N56" s="642">
        <f>SUM('4.07_Repex_Services'!N30,'4.07_Repex_Services'!N127,'4.07_Repex_Services'!N196,'4.07_Repex_Services'!N265)</f>
        <v>7.0115616984825744</v>
      </c>
      <c r="O56" s="642">
        <f>SUM('4.07_Repex_Services'!O30,'4.07_Repex_Services'!O127,'4.07_Repex_Services'!O196,'4.07_Repex_Services'!O265)</f>
        <v>8.6190648149155979</v>
      </c>
      <c r="P56" s="642">
        <f>SUM('4.07_Repex_Services'!P30,'4.07_Repex_Services'!P127,'4.07_Repex_Services'!P196,'4.07_Repex_Services'!P265)</f>
        <v>10.142549991406398</v>
      </c>
      <c r="Q56" s="643">
        <f>SUM('4.07_Repex_Services'!Q30,'4.07_Repex_Services'!Q127,'4.07_Repex_Services'!Q196,'4.07_Repex_Services'!Q265)</f>
        <v>9.4007010038810428</v>
      </c>
      <c r="R56" s="641">
        <f>SUM('4.07_Repex_Services'!R30,'4.07_Repex_Services'!R127,'4.07_Repex_Services'!R196,'4.07_Repex_Services'!R265)</f>
        <v>5.2242567096716277</v>
      </c>
      <c r="S56" s="642">
        <f>SUM('4.07_Repex_Services'!S30,'4.07_Repex_Services'!S127,'4.07_Repex_Services'!S196,'4.07_Repex_Services'!S265)</f>
        <v>5.1981354261232688</v>
      </c>
      <c r="T56" s="642">
        <f>SUM('4.07_Repex_Services'!T30,'4.07_Repex_Services'!T127,'4.07_Repex_Services'!T196,'4.07_Repex_Services'!T265)</f>
        <v>5.1721447489926522</v>
      </c>
      <c r="U56" s="642">
        <f>SUM('4.07_Repex_Services'!U30,'4.07_Repex_Services'!U127,'4.07_Repex_Services'!U196,'4.07_Repex_Services'!U265)</f>
        <v>5.1462840252476889</v>
      </c>
      <c r="V56" s="643">
        <f>SUM('4.07_Repex_Services'!V30,'4.07_Repex_Services'!V127,'4.07_Repex_Services'!V196,'4.07_Repex_Services'!V265)</f>
        <v>5.1205526051214507</v>
      </c>
      <c r="W56" s="163"/>
      <c r="X56" s="164" t="s">
        <v>498</v>
      </c>
      <c r="Y56" s="641">
        <f>SUM('4.07_Repex_Services'!Y30,'4.07_Repex_Services'!Y196,'4.07_Repex_Services'!Y265)</f>
        <v>0</v>
      </c>
      <c r="Z56" s="642">
        <f>SUM('4.07_Repex_Services'!Z30,'4.07_Repex_Services'!Z196,'4.07_Repex_Services'!Z265)</f>
        <v>0</v>
      </c>
      <c r="AA56" s="642">
        <f>SUM('4.07_Repex_Services'!AA30,'4.07_Repex_Services'!AA196,'4.07_Repex_Services'!AA265)</f>
        <v>0</v>
      </c>
      <c r="AB56" s="642">
        <f>SUM('4.07_Repex_Services'!AB30,'4.07_Repex_Services'!AB196,'4.07_Repex_Services'!AB265)</f>
        <v>0</v>
      </c>
      <c r="AC56" s="642">
        <f>SUM('4.07_Repex_Services'!AC30,'4.07_Repex_Services'!AC196,'4.07_Repex_Services'!AC265)</f>
        <v>0</v>
      </c>
      <c r="AD56" s="642">
        <f>SUM('4.07_Repex_Services'!AD30,'4.07_Repex_Services'!AD196,'4.07_Repex_Services'!AD265)</f>
        <v>0</v>
      </c>
      <c r="AE56" s="642">
        <f>SUM('4.07_Repex_Services'!AE30,'4.07_Repex_Services'!AE196,'4.07_Repex_Services'!AE265)</f>
        <v>0</v>
      </c>
      <c r="AF56" s="643">
        <f>SUM('4.07_Repex_Services'!AF30,'4.07_Repex_Services'!AF196,'4.07_Repex_Services'!AF265)</f>
        <v>0</v>
      </c>
      <c r="AG56" s="641">
        <f>SUM('4.07_Repex_Services'!AG30,'4.07_Repex_Services'!AG196,'4.07_Repex_Services'!AG265)</f>
        <v>-1.3260046415979852E-2</v>
      </c>
      <c r="AH56" s="642">
        <f>SUM('4.07_Repex_Services'!AH30,'4.07_Repex_Services'!AH196,'4.07_Repex_Services'!AH265)</f>
        <v>-1.3193746183899954E-2</v>
      </c>
      <c r="AI56" s="642">
        <f>SUM('4.07_Repex_Services'!AI30,'4.07_Repex_Services'!AI196,'4.07_Repex_Services'!AI265)</f>
        <v>-1.3127777452980454E-2</v>
      </c>
      <c r="AJ56" s="642">
        <f>SUM('4.07_Repex_Services'!AJ30,'4.07_Repex_Services'!AJ196,'4.07_Repex_Services'!AJ265)</f>
        <v>-1.306213856571555E-2</v>
      </c>
      <c r="AK56" s="643">
        <f>SUM('4.07_Repex_Services'!AK30,'4.07_Repex_Services'!AK196,'4.07_Repex_Services'!AK265)</f>
        <v>-1.2996827872886972E-2</v>
      </c>
      <c r="AL56" s="163"/>
      <c r="AM56" s="164" t="s">
        <v>498</v>
      </c>
      <c r="AN56" s="641">
        <f>J56+Y56</f>
        <v>14.329827425302371</v>
      </c>
      <c r="AO56" s="642">
        <f t="shared" ref="AO56:AO58" si="383">K56+Z56</f>
        <v>14.169005674367233</v>
      </c>
      <c r="AP56" s="642">
        <f t="shared" ref="AP56:AP58" si="384">L56+AA56</f>
        <v>9.8442682998499969</v>
      </c>
      <c r="AQ56" s="642">
        <f t="shared" ref="AQ56:AQ58" si="385">M56+AB56</f>
        <v>7.8346231065849734</v>
      </c>
      <c r="AR56" s="642">
        <f t="shared" ref="AR56:AR58" si="386">N56+AC56</f>
        <v>7.0115616984825744</v>
      </c>
      <c r="AS56" s="642">
        <f t="shared" ref="AS56:AS58" si="387">O56+AD56</f>
        <v>8.6190648149155979</v>
      </c>
      <c r="AT56" s="642">
        <f t="shared" ref="AT56:AT58" si="388">P56+AE56</f>
        <v>10.142549991406398</v>
      </c>
      <c r="AU56" s="643">
        <f t="shared" ref="AU56:AU58" si="389">Q56+AF56</f>
        <v>9.4007010038810428</v>
      </c>
      <c r="AV56" s="641">
        <f t="shared" ref="AV56:AV58" si="390">R56+AG56</f>
        <v>5.2109966632556475</v>
      </c>
      <c r="AW56" s="642">
        <f t="shared" ref="AW56:AW58" si="391">S56+AH56</f>
        <v>5.1849416799393691</v>
      </c>
      <c r="AX56" s="642">
        <f t="shared" ref="AX56:AX58" si="392">T56+AI56</f>
        <v>5.1590169715396721</v>
      </c>
      <c r="AY56" s="642">
        <f t="shared" ref="AY56:AY58" si="393">U56+AJ56</f>
        <v>5.133221886681973</v>
      </c>
      <c r="AZ56" s="643">
        <f t="shared" ref="AZ56:AZ58" si="394">V56+AK56</f>
        <v>5.1075557772485638</v>
      </c>
      <c r="BA56" s="163"/>
      <c r="BB56" s="164" t="s">
        <v>1876</v>
      </c>
      <c r="BC56" s="641">
        <f>SUM('4.07_Repex_Services'!AN30,'4.07_Repex_Services'!AN127,'4.07_Repex_Services'!AN196,'4.07_Repex_Services'!AN265)</f>
        <v>21171</v>
      </c>
      <c r="BD56" s="642">
        <f>SUM('4.07_Repex_Services'!AO30,'4.07_Repex_Services'!AO127,'4.07_Repex_Services'!AO196,'4.07_Repex_Services'!AO265)</f>
        <v>22608</v>
      </c>
      <c r="BE56" s="642">
        <f>SUM('4.07_Repex_Services'!AP30,'4.07_Repex_Services'!AP127,'4.07_Repex_Services'!AP196,'4.07_Repex_Services'!AP265)</f>
        <v>20766</v>
      </c>
      <c r="BF56" s="642">
        <f>SUM('4.07_Repex_Services'!AQ30,'4.07_Repex_Services'!AQ127,'4.07_Repex_Services'!AQ196,'4.07_Repex_Services'!AQ265)</f>
        <v>22423</v>
      </c>
      <c r="BG56" s="642">
        <f>SUM('4.07_Repex_Services'!AR30,'4.07_Repex_Services'!AR127,'4.07_Repex_Services'!AR196,'4.07_Repex_Services'!AR265)</f>
        <v>23367</v>
      </c>
      <c r="BH56" s="642">
        <f>SUM('4.07_Repex_Services'!AS30,'4.07_Repex_Services'!AS127,'4.07_Repex_Services'!AS196,'4.07_Repex_Services'!AS265)</f>
        <v>23121</v>
      </c>
      <c r="BI56" s="642">
        <f>SUM('4.07_Repex_Services'!AT30,'4.07_Repex_Services'!AT127,'4.07_Repex_Services'!AT196,'4.07_Repex_Services'!AT265)</f>
        <v>22768.251537525743</v>
      </c>
      <c r="BJ56" s="643">
        <f>SUM('4.07_Repex_Services'!AU30,'4.07_Repex_Services'!AU127,'4.07_Repex_Services'!AU196,'4.07_Repex_Services'!AU265)</f>
        <v>21464.089687819913</v>
      </c>
      <c r="BK56" s="641">
        <f>SUM('4.07_Repex_Services'!AV30,'4.07_Repex_Services'!AV127,'4.07_Repex_Services'!AV196,'4.07_Repex_Services'!AV265)</f>
        <v>17768.401965345205</v>
      </c>
      <c r="BL56" s="642">
        <f>SUM('4.07_Repex_Services'!AW30,'4.07_Repex_Services'!AW127,'4.07_Repex_Services'!AW196,'4.07_Repex_Services'!AW265)</f>
        <v>17768.401965345205</v>
      </c>
      <c r="BM56" s="642">
        <f>SUM('4.07_Repex_Services'!AX30,'4.07_Repex_Services'!AX127,'4.07_Repex_Services'!AX196,'4.07_Repex_Services'!AX265)</f>
        <v>17768.401965345205</v>
      </c>
      <c r="BN56" s="642">
        <f>SUM('4.07_Repex_Services'!AY30,'4.07_Repex_Services'!AY127,'4.07_Repex_Services'!AY196,'4.07_Repex_Services'!AY265)</f>
        <v>17768.401965345205</v>
      </c>
      <c r="BO56" s="643">
        <f>SUM('4.07_Repex_Services'!AZ30,'4.07_Repex_Services'!AZ127,'4.07_Repex_Services'!AZ196,'4.07_Repex_Services'!AZ265)</f>
        <v>17768.401965345205</v>
      </c>
      <c r="BP56" s="163"/>
      <c r="BQ56" s="164" t="s">
        <v>2648</v>
      </c>
      <c r="BR56" s="641">
        <f>IF(BC56,AN56/BC56,0)</f>
        <v>6.7686115088103397E-4</v>
      </c>
      <c r="BS56" s="642">
        <f t="shared" ref="BS56" si="395">IF(BD56,AO56/BD56,0)</f>
        <v>6.2672530406790656E-4</v>
      </c>
      <c r="BT56" s="642">
        <f t="shared" ref="BT56" si="396">IF(BE56,AP56/BE56,0)</f>
        <v>4.7405703071607422E-4</v>
      </c>
      <c r="BU56" s="642">
        <f t="shared" ref="BU56" si="397">IF(BF56,AQ56/BF56,0)</f>
        <v>3.4940119995473278E-4</v>
      </c>
      <c r="BV56" s="642">
        <f t="shared" ref="BV56" si="398">IF(BG56,AR56/BG56,0)</f>
        <v>3.000625539642476E-4</v>
      </c>
      <c r="BW56" s="642">
        <f t="shared" ref="BW56" si="399">IF(BH56,AS56/BH56,0)</f>
        <v>3.7278079732345478E-4</v>
      </c>
      <c r="BX56" s="642">
        <f t="shared" ref="BX56" si="400">IF(BI56,AT56/BI56,0)</f>
        <v>4.4546898889841598E-4</v>
      </c>
      <c r="BY56" s="643">
        <f t="shared" ref="BY56" si="401">IF(BJ56,AU56/BJ56,0)</f>
        <v>4.3797343100069122E-4</v>
      </c>
      <c r="BZ56" s="641">
        <f t="shared" ref="BZ56" si="402">IF(BK56,AV56/BK56,0)</f>
        <v>2.9327323151620338E-4</v>
      </c>
      <c r="CA56" s="642">
        <f t="shared" ref="CA56" si="403">IF(BL56,AW56/BL56,0)</f>
        <v>2.9180686535862236E-4</v>
      </c>
      <c r="CB56" s="642">
        <f t="shared" ref="CB56" si="404">IF(BM56,AX56/BM56,0)</f>
        <v>2.9034783103182922E-4</v>
      </c>
      <c r="CC56" s="642">
        <f t="shared" ref="CC56" si="405">IF(BN56,AY56/BN56,0)</f>
        <v>2.8889609187667003E-4</v>
      </c>
      <c r="CD56" s="643">
        <f t="shared" ref="CD56" si="406">IF(BO56,AZ56/BO56,0)</f>
        <v>2.8745161141728674E-4</v>
      </c>
    </row>
    <row r="57" spans="2:82" ht="14.25">
      <c r="B57" s="161"/>
      <c r="C57" s="660"/>
      <c r="D57" s="687" t="s">
        <v>2660</v>
      </c>
      <c r="E57" s="660"/>
      <c r="F57" s="162"/>
      <c r="G57" s="185"/>
      <c r="H57" s="163"/>
      <c r="I57" s="164" t="s">
        <v>498</v>
      </c>
      <c r="J57" s="641">
        <f>SUM('4.07_Repex_Services'!J31,'4.07_Repex_Services'!J128,'4.07_Repex_Services'!J197,'4.07_Repex_Services'!J266)</f>
        <v>3.6541979724551967</v>
      </c>
      <c r="K57" s="642">
        <f>SUM('4.07_Repex_Services'!K31,'4.07_Repex_Services'!K128,'4.07_Repex_Services'!K197,'4.07_Repex_Services'!K266)</f>
        <v>4.2398924032591969</v>
      </c>
      <c r="L57" s="642">
        <f>SUM('4.07_Repex_Services'!L31,'4.07_Repex_Services'!L128,'4.07_Repex_Services'!L197,'4.07_Repex_Services'!L266)</f>
        <v>4.864423236696453</v>
      </c>
      <c r="M57" s="642">
        <f>SUM('4.07_Repex_Services'!M31,'4.07_Repex_Services'!M128,'4.07_Repex_Services'!M197,'4.07_Repex_Services'!M266)</f>
        <v>5.5694593750472752</v>
      </c>
      <c r="N57" s="642">
        <f>SUM('4.07_Repex_Services'!N31,'4.07_Repex_Services'!N128,'4.07_Repex_Services'!N197,'4.07_Repex_Services'!N266)</f>
        <v>3.0371874139594963</v>
      </c>
      <c r="O57" s="642">
        <f>SUM('4.07_Repex_Services'!O31,'4.07_Repex_Services'!O128,'4.07_Repex_Services'!O197,'4.07_Repex_Services'!O266)</f>
        <v>2.5214886980848612</v>
      </c>
      <c r="P57" s="642">
        <f>SUM('4.07_Repex_Services'!P31,'4.07_Repex_Services'!P128,'4.07_Repex_Services'!P197,'4.07_Repex_Services'!P266)</f>
        <v>3.9094001403647258</v>
      </c>
      <c r="Q57" s="643">
        <f>SUM('4.07_Repex_Services'!Q31,'4.07_Repex_Services'!Q128,'4.07_Repex_Services'!Q197,'4.07_Repex_Services'!Q266)</f>
        <v>3.6306795025752545</v>
      </c>
      <c r="R57" s="641">
        <f>SUM('4.07_Repex_Services'!R31,'4.07_Repex_Services'!R128,'4.07_Repex_Services'!R197,'4.07_Repex_Services'!R266)</f>
        <v>2.8962694948671897</v>
      </c>
      <c r="S57" s="642">
        <f>SUM('4.07_Repex_Services'!S31,'4.07_Repex_Services'!S128,'4.07_Repex_Services'!S197,'4.07_Repex_Services'!S266)</f>
        <v>2.8817881473928537</v>
      </c>
      <c r="T57" s="642">
        <f>SUM('4.07_Repex_Services'!T31,'4.07_Repex_Services'!T128,'4.07_Repex_Services'!T197,'4.07_Repex_Services'!T266)</f>
        <v>2.8673792066558899</v>
      </c>
      <c r="U57" s="642">
        <f>SUM('4.07_Repex_Services'!U31,'4.07_Repex_Services'!U128,'4.07_Repex_Services'!U197,'4.07_Repex_Services'!U266)</f>
        <v>2.8530423106226097</v>
      </c>
      <c r="V57" s="643">
        <f>SUM('4.07_Repex_Services'!V31,'4.07_Repex_Services'!V128,'4.07_Repex_Services'!V197,'4.07_Repex_Services'!V266)</f>
        <v>2.8387770990694969</v>
      </c>
      <c r="W57" s="163"/>
      <c r="X57" s="164" t="s">
        <v>498</v>
      </c>
      <c r="Y57" s="641">
        <f>SUM('4.07_Repex_Services'!Y31,'4.07_Repex_Services'!Y197,'4.07_Repex_Services'!Y266)</f>
        <v>0</v>
      </c>
      <c r="Z57" s="642">
        <f>SUM('4.07_Repex_Services'!Z31,'4.07_Repex_Services'!Z197,'4.07_Repex_Services'!Z266)</f>
        <v>0</v>
      </c>
      <c r="AA57" s="642">
        <f>SUM('4.07_Repex_Services'!AA31,'4.07_Repex_Services'!AA197,'4.07_Repex_Services'!AA266)</f>
        <v>0</v>
      </c>
      <c r="AB57" s="642">
        <f>SUM('4.07_Repex_Services'!AB31,'4.07_Repex_Services'!AB197,'4.07_Repex_Services'!AB266)</f>
        <v>0</v>
      </c>
      <c r="AC57" s="642">
        <f>SUM('4.07_Repex_Services'!AC31,'4.07_Repex_Services'!AC197,'4.07_Repex_Services'!AC266)</f>
        <v>0</v>
      </c>
      <c r="AD57" s="642">
        <f>SUM('4.07_Repex_Services'!AD31,'4.07_Repex_Services'!AD197,'4.07_Repex_Services'!AD266)</f>
        <v>0</v>
      </c>
      <c r="AE57" s="642">
        <f>SUM('4.07_Repex_Services'!AE31,'4.07_Repex_Services'!AE197,'4.07_Repex_Services'!AE266)</f>
        <v>0</v>
      </c>
      <c r="AF57" s="643">
        <f>SUM('4.07_Repex_Services'!AF31,'4.07_Repex_Services'!AF197,'4.07_Repex_Services'!AF266)</f>
        <v>0</v>
      </c>
      <c r="AG57" s="641">
        <f>SUM('4.07_Repex_Services'!AG31,'4.07_Repex_Services'!AG197,'4.07_Repex_Services'!AG266)</f>
        <v>-7.3123749292490128E-3</v>
      </c>
      <c r="AH57" s="642">
        <f>SUM('4.07_Repex_Services'!AH31,'4.07_Repex_Services'!AH197,'4.07_Repex_Services'!AH266)</f>
        <v>-7.2758130546027658E-3</v>
      </c>
      <c r="AI57" s="642">
        <f>SUM('4.07_Repex_Services'!AI31,'4.07_Repex_Services'!AI197,'4.07_Repex_Services'!AI266)</f>
        <v>-7.2394339893297518E-3</v>
      </c>
      <c r="AJ57" s="642">
        <f>SUM('4.07_Repex_Services'!AJ31,'4.07_Repex_Services'!AJ197,'4.07_Repex_Services'!AJ266)</f>
        <v>-7.203236819383103E-3</v>
      </c>
      <c r="AK57" s="643">
        <f>SUM('4.07_Repex_Services'!AK31,'4.07_Repex_Services'!AK197,'4.07_Repex_Services'!AK266)</f>
        <v>-7.1672206352861884E-3</v>
      </c>
      <c r="AL57" s="163"/>
      <c r="AM57" s="164" t="s">
        <v>498</v>
      </c>
      <c r="AN57" s="641">
        <f t="shared" ref="AN57:AN58" si="407">J57+Y57</f>
        <v>3.6541979724551967</v>
      </c>
      <c r="AO57" s="642">
        <f t="shared" si="383"/>
        <v>4.2398924032591969</v>
      </c>
      <c r="AP57" s="642">
        <f t="shared" si="384"/>
        <v>4.864423236696453</v>
      </c>
      <c r="AQ57" s="642">
        <f t="shared" si="385"/>
        <v>5.5694593750472752</v>
      </c>
      <c r="AR57" s="642">
        <f t="shared" si="386"/>
        <v>3.0371874139594963</v>
      </c>
      <c r="AS57" s="642">
        <f t="shared" si="387"/>
        <v>2.5214886980848612</v>
      </c>
      <c r="AT57" s="642">
        <f t="shared" si="388"/>
        <v>3.9094001403647258</v>
      </c>
      <c r="AU57" s="643">
        <f t="shared" si="389"/>
        <v>3.6306795025752545</v>
      </c>
      <c r="AV57" s="641">
        <f t="shared" si="390"/>
        <v>2.8889571199379405</v>
      </c>
      <c r="AW57" s="642">
        <f t="shared" si="391"/>
        <v>2.874512334338251</v>
      </c>
      <c r="AX57" s="642">
        <f t="shared" si="392"/>
        <v>2.8601397726665603</v>
      </c>
      <c r="AY57" s="642">
        <f t="shared" si="393"/>
        <v>2.8458390738032264</v>
      </c>
      <c r="AZ57" s="643">
        <f t="shared" si="394"/>
        <v>2.8316098784342105</v>
      </c>
      <c r="BA57" s="163"/>
      <c r="BB57" s="164" t="s">
        <v>1876</v>
      </c>
      <c r="BC57" s="641">
        <f>SUM('4.07_Repex_Services'!AN31,'4.07_Repex_Services'!AN128,'4.07_Repex_Services'!AN197,'4.07_Repex_Services'!AN266)</f>
        <v>13550</v>
      </c>
      <c r="BD57" s="642">
        <f>SUM('4.07_Repex_Services'!AO31,'4.07_Repex_Services'!AO128,'4.07_Repex_Services'!AO197,'4.07_Repex_Services'!AO266)</f>
        <v>14880</v>
      </c>
      <c r="BE57" s="642">
        <f>SUM('4.07_Repex_Services'!AP31,'4.07_Repex_Services'!AP128,'4.07_Repex_Services'!AP197,'4.07_Repex_Services'!AP266)</f>
        <v>13759</v>
      </c>
      <c r="BF57" s="642">
        <f>SUM('4.07_Repex_Services'!AQ31,'4.07_Repex_Services'!AQ128,'4.07_Repex_Services'!AQ197,'4.07_Repex_Services'!AQ266)</f>
        <v>14536</v>
      </c>
      <c r="BG57" s="642">
        <f>SUM('4.07_Repex_Services'!AR31,'4.07_Repex_Services'!AR128,'4.07_Repex_Services'!AR197,'4.07_Repex_Services'!AR266)</f>
        <v>15693</v>
      </c>
      <c r="BH57" s="642">
        <f>SUM('4.07_Repex_Services'!AS31,'4.07_Repex_Services'!AS128,'4.07_Repex_Services'!AS197,'4.07_Repex_Services'!AS266)</f>
        <v>15197</v>
      </c>
      <c r="BI57" s="642">
        <f>SUM('4.07_Repex_Services'!AT31,'4.07_Repex_Services'!AT128,'4.07_Repex_Services'!AT197,'4.07_Repex_Services'!AT266)</f>
        <v>14913.003535293572</v>
      </c>
      <c r="BJ57" s="643">
        <f>SUM('4.07_Repex_Services'!AU31,'4.07_Repex_Services'!AU128,'4.07_Repex_Services'!AU197,'4.07_Repex_Services'!AU266)</f>
        <v>14149.49012982059</v>
      </c>
      <c r="BK57" s="641">
        <f>SUM('4.07_Repex_Services'!AV31,'4.07_Repex_Services'!AV128,'4.07_Repex_Services'!AV197,'4.07_Repex_Services'!AV266)</f>
        <v>11845.601310230137</v>
      </c>
      <c r="BL57" s="642">
        <f>SUM('4.07_Repex_Services'!AW31,'4.07_Repex_Services'!AW128,'4.07_Repex_Services'!AW197,'4.07_Repex_Services'!AW266)</f>
        <v>11845.601310230137</v>
      </c>
      <c r="BM57" s="642">
        <f>SUM('4.07_Repex_Services'!AX31,'4.07_Repex_Services'!AX128,'4.07_Repex_Services'!AX197,'4.07_Repex_Services'!AX266)</f>
        <v>11845.601310230137</v>
      </c>
      <c r="BN57" s="642">
        <f>SUM('4.07_Repex_Services'!AY31,'4.07_Repex_Services'!AY128,'4.07_Repex_Services'!AY197,'4.07_Repex_Services'!AY266)</f>
        <v>11845.601310230137</v>
      </c>
      <c r="BO57" s="643">
        <f>SUM('4.07_Repex_Services'!AZ31,'4.07_Repex_Services'!AZ128,'4.07_Repex_Services'!AZ197,'4.07_Repex_Services'!AZ266)</f>
        <v>11845.601310230137</v>
      </c>
      <c r="BP57" s="163"/>
      <c r="BQ57" s="164" t="s">
        <v>2648</v>
      </c>
      <c r="BR57" s="641">
        <f>IF(BC57,AN57/BC57,0)</f>
        <v>2.6968250719226544E-4</v>
      </c>
      <c r="BS57" s="642">
        <f t="shared" ref="BS57:BS59" si="408">IF(BD57,AO57/BD57,0)</f>
        <v>2.8493900559537616E-4</v>
      </c>
      <c r="BT57" s="642">
        <f t="shared" ref="BT57:BT59" si="409">IF(BE57,AP57/BE57,0)</f>
        <v>3.5354482423842232E-4</v>
      </c>
      <c r="BU57" s="642">
        <f t="shared" ref="BU57:BU59" si="410">IF(BF57,AQ57/BF57,0)</f>
        <v>3.8314937913093525E-4</v>
      </c>
      <c r="BV57" s="642">
        <f t="shared" ref="BV57:BV59" si="411">IF(BG57,AR57/BG57,0)</f>
        <v>1.9353771834317826E-4</v>
      </c>
      <c r="BW57" s="642">
        <f t="shared" ref="BW57:BW59" si="412">IF(BH57,AS57/BH57,0)</f>
        <v>1.6592016174803324E-4</v>
      </c>
      <c r="BX57" s="642">
        <f t="shared" ref="BX57:BX59" si="413">IF(BI57,AT57/BI57,0)</f>
        <v>2.6214706722979173E-4</v>
      </c>
      <c r="BY57" s="643">
        <f t="shared" ref="BY57:BY59" si="414">IF(BJ57,AU57/BJ57,0)</f>
        <v>2.5659436978039648E-4</v>
      </c>
      <c r="BZ57" s="641">
        <f t="shared" ref="BZ57:BZ59" si="415">IF(BK57,AV57/BK57,0)</f>
        <v>2.4388437904312801E-4</v>
      </c>
      <c r="CA57" s="642">
        <f t="shared" ref="CA57:CA59" si="416">IF(BL57,AW57/BL57,0)</f>
        <v>2.4266495714791241E-4</v>
      </c>
      <c r="CB57" s="642">
        <f t="shared" ref="CB57:CB59" si="417">IF(BM57,AX57/BM57,0)</f>
        <v>2.4145163236217288E-4</v>
      </c>
      <c r="CC57" s="642">
        <f t="shared" ref="CC57:CC59" si="418">IF(BN57,AY57/BN57,0)</f>
        <v>2.4024437420036191E-4</v>
      </c>
      <c r="CD57" s="643">
        <f t="shared" ref="CD57:CD59" si="419">IF(BO57,AZ57/BO57,0)</f>
        <v>2.3904315232936013E-4</v>
      </c>
    </row>
    <row r="58" spans="2:82" ht="14.25">
      <c r="B58" s="161"/>
      <c r="C58" s="660"/>
      <c r="D58" s="687" t="s">
        <v>2661</v>
      </c>
      <c r="E58" s="660"/>
      <c r="F58" s="162"/>
      <c r="G58" s="185"/>
      <c r="H58" s="163"/>
      <c r="I58" s="164" t="s">
        <v>498</v>
      </c>
      <c r="J58" s="641">
        <f>'4.07_Repex_Services'!J90+'4.07_Repex_Services'!J167+'4.07_Repex_Services'!J236+'4.07_Repex_Services'!J305</f>
        <v>0</v>
      </c>
      <c r="K58" s="642">
        <f>'4.07_Repex_Services'!K90+'4.07_Repex_Services'!K167+'4.07_Repex_Services'!K236+'4.07_Repex_Services'!K305</f>
        <v>0</v>
      </c>
      <c r="L58" s="642">
        <f>'4.07_Repex_Services'!L90+'4.07_Repex_Services'!L167+'4.07_Repex_Services'!L236+'4.07_Repex_Services'!L305</f>
        <v>0</v>
      </c>
      <c r="M58" s="642">
        <f>'4.07_Repex_Services'!M90+'4.07_Repex_Services'!M167+'4.07_Repex_Services'!M236+'4.07_Repex_Services'!M305</f>
        <v>0</v>
      </c>
      <c r="N58" s="642">
        <f>'4.07_Repex_Services'!N90+'4.07_Repex_Services'!N167+'4.07_Repex_Services'!N236+'4.07_Repex_Services'!N305</f>
        <v>0</v>
      </c>
      <c r="O58" s="642">
        <f>'4.07_Repex_Services'!O90+'4.07_Repex_Services'!O167+'4.07_Repex_Services'!O236+'4.07_Repex_Services'!O305</f>
        <v>0</v>
      </c>
      <c r="P58" s="642">
        <f>'4.07_Repex_Services'!P90+'4.07_Repex_Services'!P167+'4.07_Repex_Services'!P236+'4.07_Repex_Services'!P305</f>
        <v>0</v>
      </c>
      <c r="Q58" s="643">
        <f>'4.07_Repex_Services'!Q90+'4.07_Repex_Services'!Q167+'4.07_Repex_Services'!Q236+'4.07_Repex_Services'!Q305</f>
        <v>0</v>
      </c>
      <c r="R58" s="641">
        <f>'4.07_Repex_Services'!R90+'4.07_Repex_Services'!R167+'4.07_Repex_Services'!R236+'4.07_Repex_Services'!R305</f>
        <v>0.48098556474872844</v>
      </c>
      <c r="S58" s="642">
        <f>'4.07_Repex_Services'!S90+'4.07_Repex_Services'!S167+'4.07_Repex_Services'!S236+'4.07_Repex_Services'!S305</f>
        <v>0.47858063692498481</v>
      </c>
      <c r="T58" s="642">
        <f>'4.07_Repex_Services'!T90+'4.07_Repex_Services'!T167+'4.07_Repex_Services'!T236+'4.07_Repex_Services'!T305</f>
        <v>0.47618773374035989</v>
      </c>
      <c r="U58" s="642">
        <f>'4.07_Repex_Services'!U90+'4.07_Repex_Services'!U167+'4.07_Repex_Services'!U236+'4.07_Repex_Services'!U305</f>
        <v>0.47380679507165807</v>
      </c>
      <c r="V58" s="643">
        <f>'4.07_Repex_Services'!V90+'4.07_Repex_Services'!V167+'4.07_Repex_Services'!V236+'4.07_Repex_Services'!V305</f>
        <v>0.47143776109629976</v>
      </c>
      <c r="W58" s="163"/>
      <c r="X58" s="164" t="s">
        <v>498</v>
      </c>
      <c r="Y58" s="641">
        <f>'4.07_Repex_Services'!Y90+'4.07_Repex_Services'!Y167+'4.07_Repex_Services'!Y236+'4.07_Repex_Services'!Y305</f>
        <v>0</v>
      </c>
      <c r="Z58" s="642">
        <f>'4.07_Repex_Services'!Z90+'4.07_Repex_Services'!Z167+'4.07_Repex_Services'!Z236+'4.07_Repex_Services'!Z305</f>
        <v>0</v>
      </c>
      <c r="AA58" s="642">
        <f>'4.07_Repex_Services'!AA90+'4.07_Repex_Services'!AA167+'4.07_Repex_Services'!AA236+'4.07_Repex_Services'!AA305</f>
        <v>0</v>
      </c>
      <c r="AB58" s="642">
        <f>'4.07_Repex_Services'!AB90+'4.07_Repex_Services'!AB167+'4.07_Repex_Services'!AB236+'4.07_Repex_Services'!AB305</f>
        <v>0</v>
      </c>
      <c r="AC58" s="642">
        <f>'4.07_Repex_Services'!AC90+'4.07_Repex_Services'!AC167+'4.07_Repex_Services'!AC236+'4.07_Repex_Services'!AC305</f>
        <v>0</v>
      </c>
      <c r="AD58" s="642">
        <f>'4.07_Repex_Services'!AD90+'4.07_Repex_Services'!AD167+'4.07_Repex_Services'!AD236+'4.07_Repex_Services'!AD305</f>
        <v>0</v>
      </c>
      <c r="AE58" s="642">
        <f>'4.07_Repex_Services'!AE90+'4.07_Repex_Services'!AE167+'4.07_Repex_Services'!AE236+'4.07_Repex_Services'!AE305</f>
        <v>0</v>
      </c>
      <c r="AF58" s="643">
        <f>'4.07_Repex_Services'!AF90+'4.07_Repex_Services'!AF167+'4.07_Repex_Services'!AF236+'4.07_Repex_Services'!AF305</f>
        <v>0</v>
      </c>
      <c r="AG58" s="641">
        <f>'4.07_Repex_Services'!AG90+'4.07_Repex_Services'!AG167+'4.07_Repex_Services'!AG236+'4.07_Repex_Services'!AG305</f>
        <v>0</v>
      </c>
      <c r="AH58" s="642">
        <f>'4.07_Repex_Services'!AH90+'4.07_Repex_Services'!AH167+'4.07_Repex_Services'!AH236+'4.07_Repex_Services'!AH305</f>
        <v>0</v>
      </c>
      <c r="AI58" s="642">
        <f>'4.07_Repex_Services'!AI90+'4.07_Repex_Services'!AI167+'4.07_Repex_Services'!AI236+'4.07_Repex_Services'!AI305</f>
        <v>0</v>
      </c>
      <c r="AJ58" s="642">
        <f>'4.07_Repex_Services'!AJ90+'4.07_Repex_Services'!AJ167+'4.07_Repex_Services'!AJ236+'4.07_Repex_Services'!AJ305</f>
        <v>0</v>
      </c>
      <c r="AK58" s="643">
        <f>'4.07_Repex_Services'!AK90+'4.07_Repex_Services'!AK167+'4.07_Repex_Services'!AK236+'4.07_Repex_Services'!AK305</f>
        <v>0</v>
      </c>
      <c r="AL58" s="163"/>
      <c r="AM58" s="164" t="s">
        <v>498</v>
      </c>
      <c r="AN58" s="641">
        <f t="shared" si="407"/>
        <v>0</v>
      </c>
      <c r="AO58" s="642">
        <f t="shared" si="383"/>
        <v>0</v>
      </c>
      <c r="AP58" s="642">
        <f t="shared" si="384"/>
        <v>0</v>
      </c>
      <c r="AQ58" s="642">
        <f t="shared" si="385"/>
        <v>0</v>
      </c>
      <c r="AR58" s="642">
        <f t="shared" si="386"/>
        <v>0</v>
      </c>
      <c r="AS58" s="642">
        <f t="shared" si="387"/>
        <v>0</v>
      </c>
      <c r="AT58" s="642">
        <f t="shared" si="388"/>
        <v>0</v>
      </c>
      <c r="AU58" s="643">
        <f t="shared" si="389"/>
        <v>0</v>
      </c>
      <c r="AV58" s="641">
        <f t="shared" si="390"/>
        <v>0.48098556474872844</v>
      </c>
      <c r="AW58" s="642">
        <f t="shared" si="391"/>
        <v>0.47858063692498481</v>
      </c>
      <c r="AX58" s="642">
        <f t="shared" si="392"/>
        <v>0.47618773374035989</v>
      </c>
      <c r="AY58" s="642">
        <f t="shared" si="393"/>
        <v>0.47380679507165807</v>
      </c>
      <c r="AZ58" s="643">
        <f t="shared" si="394"/>
        <v>0.47143776109629976</v>
      </c>
      <c r="BA58" s="163"/>
      <c r="BB58" s="164" t="s">
        <v>1876</v>
      </c>
      <c r="BC58" s="641">
        <f>'4.07_Repex_Services'!AN90+'4.07_Repex_Services'!AN167+'4.07_Repex_Services'!AN236+'4.07_Repex_Services'!AN305</f>
        <v>0</v>
      </c>
      <c r="BD58" s="642">
        <f>'4.07_Repex_Services'!AO90+'4.07_Repex_Services'!AO167+'4.07_Repex_Services'!AO236+'4.07_Repex_Services'!AO305</f>
        <v>0</v>
      </c>
      <c r="BE58" s="642">
        <f>'4.07_Repex_Services'!AP90+'4.07_Repex_Services'!AP167+'4.07_Repex_Services'!AP236+'4.07_Repex_Services'!AP305</f>
        <v>0</v>
      </c>
      <c r="BF58" s="642">
        <f>'4.07_Repex_Services'!AQ90+'4.07_Repex_Services'!AQ167+'4.07_Repex_Services'!AQ236+'4.07_Repex_Services'!AQ305</f>
        <v>0</v>
      </c>
      <c r="BG58" s="642">
        <f>'4.07_Repex_Services'!AR90+'4.07_Repex_Services'!AR167+'4.07_Repex_Services'!AR236+'4.07_Repex_Services'!AR305</f>
        <v>0</v>
      </c>
      <c r="BH58" s="642">
        <f>'4.07_Repex_Services'!AS90+'4.07_Repex_Services'!AS167+'4.07_Repex_Services'!AS236+'4.07_Repex_Services'!AS305</f>
        <v>0</v>
      </c>
      <c r="BI58" s="642">
        <f>'4.07_Repex_Services'!AT90+'4.07_Repex_Services'!AT167+'4.07_Repex_Services'!AT236+'4.07_Repex_Services'!AT305</f>
        <v>0</v>
      </c>
      <c r="BJ58" s="643">
        <f>'4.07_Repex_Services'!AU90+'4.07_Repex_Services'!AU167+'4.07_Repex_Services'!AU236+'4.07_Repex_Services'!AU305</f>
        <v>0</v>
      </c>
      <c r="BK58" s="641">
        <f>'4.07_Repex_Services'!AV90+'4.07_Repex_Services'!AV167+'4.07_Repex_Services'!AV236+'4.07_Repex_Services'!AV305</f>
        <v>1544.7762502295768</v>
      </c>
      <c r="BL58" s="642">
        <f>'4.07_Repex_Services'!AW90+'4.07_Repex_Services'!AW167+'4.07_Repex_Services'!AW236+'4.07_Repex_Services'!AW305</f>
        <v>1544.7762502295768</v>
      </c>
      <c r="BM58" s="642">
        <f>'4.07_Repex_Services'!AX90+'4.07_Repex_Services'!AX167+'4.07_Repex_Services'!AX236+'4.07_Repex_Services'!AX305</f>
        <v>1544.7762502295768</v>
      </c>
      <c r="BN58" s="642">
        <f>'4.07_Repex_Services'!AY90+'4.07_Repex_Services'!AY167+'4.07_Repex_Services'!AY236+'4.07_Repex_Services'!AY305</f>
        <v>1544.7762502295768</v>
      </c>
      <c r="BO58" s="643">
        <f>'4.07_Repex_Services'!AZ90+'4.07_Repex_Services'!AZ167+'4.07_Repex_Services'!AZ236+'4.07_Repex_Services'!AZ305</f>
        <v>1544.7762502295768</v>
      </c>
      <c r="BP58" s="163"/>
      <c r="BQ58" s="164" t="s">
        <v>2648</v>
      </c>
      <c r="BR58" s="641">
        <f>IF(BC58,AN58/BC58,0)</f>
        <v>0</v>
      </c>
      <c r="BS58" s="642">
        <f t="shared" si="408"/>
        <v>0</v>
      </c>
      <c r="BT58" s="642">
        <f t="shared" si="409"/>
        <v>0</v>
      </c>
      <c r="BU58" s="642">
        <f t="shared" si="410"/>
        <v>0</v>
      </c>
      <c r="BV58" s="642">
        <f t="shared" si="411"/>
        <v>0</v>
      </c>
      <c r="BW58" s="642">
        <f t="shared" si="412"/>
        <v>0</v>
      </c>
      <c r="BX58" s="642">
        <f t="shared" si="413"/>
        <v>0</v>
      </c>
      <c r="BY58" s="643">
        <f t="shared" si="414"/>
        <v>0</v>
      </c>
      <c r="BZ58" s="641">
        <f t="shared" si="415"/>
        <v>3.113626097483353E-4</v>
      </c>
      <c r="CA58" s="642">
        <f t="shared" si="416"/>
        <v>3.0980579669959363E-4</v>
      </c>
      <c r="CB58" s="642">
        <f t="shared" si="417"/>
        <v>3.0825676771609564E-4</v>
      </c>
      <c r="CC58" s="642">
        <f t="shared" si="418"/>
        <v>3.0671548387751514E-4</v>
      </c>
      <c r="CD58" s="643">
        <f t="shared" si="419"/>
        <v>3.0518190645812754E-4</v>
      </c>
    </row>
    <row r="59" spans="2:82" ht="14.25">
      <c r="B59" s="161"/>
      <c r="C59" s="660"/>
      <c r="D59" s="687" t="s">
        <v>2662</v>
      </c>
      <c r="E59" s="660"/>
      <c r="F59" s="162"/>
      <c r="G59" s="185"/>
      <c r="H59" s="163"/>
      <c r="I59" s="164" t="s">
        <v>498</v>
      </c>
      <c r="J59" s="641">
        <f>'4.07_Repex_Services'!J91+'4.07_Repex_Services'!J168+'4.07_Repex_Services'!J237+'4.07_Repex_Services'!J306</f>
        <v>0</v>
      </c>
      <c r="K59" s="642">
        <f>'4.07_Repex_Services'!K91+'4.07_Repex_Services'!K168+'4.07_Repex_Services'!K237+'4.07_Repex_Services'!K306</f>
        <v>0</v>
      </c>
      <c r="L59" s="642">
        <f>'4.07_Repex_Services'!L91+'4.07_Repex_Services'!L168+'4.07_Repex_Services'!L237+'4.07_Repex_Services'!L306</f>
        <v>0</v>
      </c>
      <c r="M59" s="642">
        <f>'4.07_Repex_Services'!M91+'4.07_Repex_Services'!M168+'4.07_Repex_Services'!M237+'4.07_Repex_Services'!M306</f>
        <v>0</v>
      </c>
      <c r="N59" s="642">
        <f>'4.07_Repex_Services'!N91+'4.07_Repex_Services'!N168+'4.07_Repex_Services'!N237+'4.07_Repex_Services'!N306</f>
        <v>0</v>
      </c>
      <c r="O59" s="642">
        <f>'4.07_Repex_Services'!O91+'4.07_Repex_Services'!O168+'4.07_Repex_Services'!O237+'4.07_Repex_Services'!O306</f>
        <v>0</v>
      </c>
      <c r="P59" s="642">
        <f>'4.07_Repex_Services'!P91+'4.07_Repex_Services'!P168+'4.07_Repex_Services'!P237+'4.07_Repex_Services'!P306</f>
        <v>0</v>
      </c>
      <c r="Q59" s="643">
        <f>'4.07_Repex_Services'!Q91+'4.07_Repex_Services'!Q168+'4.07_Repex_Services'!Q237+'4.07_Repex_Services'!Q306</f>
        <v>0</v>
      </c>
      <c r="R59" s="641">
        <f>'4.07_Repex_Services'!R91+'4.07_Repex_Services'!R168+'4.07_Repex_Services'!R237+'4.07_Repex_Services'!R306</f>
        <v>0.26428385245384273</v>
      </c>
      <c r="S59" s="642">
        <f>'4.07_Repex_Services'!S91+'4.07_Repex_Services'!S168+'4.07_Repex_Services'!S237+'4.07_Repex_Services'!S306</f>
        <v>0.26296243319157353</v>
      </c>
      <c r="T59" s="642">
        <f>'4.07_Repex_Services'!T91+'4.07_Repex_Services'!T168+'4.07_Repex_Services'!T237+'4.07_Repex_Services'!T306</f>
        <v>0.26164762102561567</v>
      </c>
      <c r="U59" s="642">
        <f>'4.07_Repex_Services'!U91+'4.07_Repex_Services'!U168+'4.07_Repex_Services'!U237+'4.07_Repex_Services'!U306</f>
        <v>0.26033938292048758</v>
      </c>
      <c r="V59" s="643">
        <f>'4.07_Repex_Services'!V91+'4.07_Repex_Services'!V168+'4.07_Repex_Services'!V237+'4.07_Repex_Services'!V306</f>
        <v>0.25903768600588517</v>
      </c>
      <c r="W59" s="163"/>
      <c r="X59" s="164" t="s">
        <v>498</v>
      </c>
      <c r="Y59" s="641">
        <f>'4.07_Repex_Services'!Y91+'4.07_Repex_Services'!Y168+'4.07_Repex_Services'!Y237+'4.07_Repex_Services'!Y306</f>
        <v>0</v>
      </c>
      <c r="Z59" s="642">
        <f>'4.07_Repex_Services'!Z91+'4.07_Repex_Services'!Z168+'4.07_Repex_Services'!Z237+'4.07_Repex_Services'!Z306</f>
        <v>0</v>
      </c>
      <c r="AA59" s="642">
        <f>'4.07_Repex_Services'!AA91+'4.07_Repex_Services'!AA168+'4.07_Repex_Services'!AA237+'4.07_Repex_Services'!AA306</f>
        <v>0</v>
      </c>
      <c r="AB59" s="642">
        <f>'4.07_Repex_Services'!AB91+'4.07_Repex_Services'!AB168+'4.07_Repex_Services'!AB237+'4.07_Repex_Services'!AB306</f>
        <v>0</v>
      </c>
      <c r="AC59" s="642">
        <f>'4.07_Repex_Services'!AC91+'4.07_Repex_Services'!AC168+'4.07_Repex_Services'!AC237+'4.07_Repex_Services'!AC306</f>
        <v>0</v>
      </c>
      <c r="AD59" s="642">
        <f>'4.07_Repex_Services'!AD91+'4.07_Repex_Services'!AD168+'4.07_Repex_Services'!AD237+'4.07_Repex_Services'!AD306</f>
        <v>0</v>
      </c>
      <c r="AE59" s="642">
        <f>'4.07_Repex_Services'!AE91+'4.07_Repex_Services'!AE168+'4.07_Repex_Services'!AE237+'4.07_Repex_Services'!AE306</f>
        <v>0</v>
      </c>
      <c r="AF59" s="643">
        <f>'4.07_Repex_Services'!AF91+'4.07_Repex_Services'!AF168+'4.07_Repex_Services'!AF237+'4.07_Repex_Services'!AF306</f>
        <v>0</v>
      </c>
      <c r="AG59" s="641">
        <f>'4.07_Repex_Services'!AG91+'4.07_Repex_Services'!AG168+'4.07_Repex_Services'!AG237+'4.07_Repex_Services'!AG306</f>
        <v>0</v>
      </c>
      <c r="AH59" s="642">
        <f>'4.07_Repex_Services'!AH91+'4.07_Repex_Services'!AH168+'4.07_Repex_Services'!AH237+'4.07_Repex_Services'!AH306</f>
        <v>0</v>
      </c>
      <c r="AI59" s="642">
        <f>'4.07_Repex_Services'!AI91+'4.07_Repex_Services'!AI168+'4.07_Repex_Services'!AI237+'4.07_Repex_Services'!AI306</f>
        <v>0</v>
      </c>
      <c r="AJ59" s="642">
        <f>'4.07_Repex_Services'!AJ91+'4.07_Repex_Services'!AJ168+'4.07_Repex_Services'!AJ237+'4.07_Repex_Services'!AJ306</f>
        <v>0</v>
      </c>
      <c r="AK59" s="643">
        <f>'4.07_Repex_Services'!AK91+'4.07_Repex_Services'!AK168+'4.07_Repex_Services'!AK237+'4.07_Repex_Services'!AK306</f>
        <v>0</v>
      </c>
      <c r="AL59" s="163"/>
      <c r="AM59" s="164" t="s">
        <v>498</v>
      </c>
      <c r="AN59" s="641">
        <f t="shared" ref="AN59" si="420">J59+Y59</f>
        <v>0</v>
      </c>
      <c r="AO59" s="642">
        <f t="shared" ref="AO59" si="421">K59+Z59</f>
        <v>0</v>
      </c>
      <c r="AP59" s="642">
        <f t="shared" ref="AP59" si="422">L59+AA59</f>
        <v>0</v>
      </c>
      <c r="AQ59" s="642">
        <f t="shared" ref="AQ59" si="423">M59+AB59</f>
        <v>0</v>
      </c>
      <c r="AR59" s="642">
        <f t="shared" ref="AR59" si="424">N59+AC59</f>
        <v>0</v>
      </c>
      <c r="AS59" s="642">
        <f t="shared" ref="AS59" si="425">O59+AD59</f>
        <v>0</v>
      </c>
      <c r="AT59" s="642">
        <f t="shared" ref="AT59" si="426">P59+AE59</f>
        <v>0</v>
      </c>
      <c r="AU59" s="643">
        <f t="shared" ref="AU59" si="427">Q59+AF59</f>
        <v>0</v>
      </c>
      <c r="AV59" s="641">
        <f t="shared" ref="AV59" si="428">R59+AG59</f>
        <v>0.26428385245384273</v>
      </c>
      <c r="AW59" s="642">
        <f t="shared" ref="AW59" si="429">S59+AH59</f>
        <v>0.26296243319157353</v>
      </c>
      <c r="AX59" s="642">
        <f t="shared" ref="AX59" si="430">T59+AI59</f>
        <v>0.26164762102561567</v>
      </c>
      <c r="AY59" s="642">
        <f t="shared" ref="AY59" si="431">U59+AJ59</f>
        <v>0.26033938292048758</v>
      </c>
      <c r="AZ59" s="643">
        <f t="shared" ref="AZ59" si="432">V59+AK59</f>
        <v>0.25903768600588517</v>
      </c>
      <c r="BA59" s="163"/>
      <c r="BB59" s="164" t="s">
        <v>1876</v>
      </c>
      <c r="BC59" s="641">
        <f>'4.07_Repex_Services'!AN91+'4.07_Repex_Services'!AN168+'4.07_Repex_Services'!AN237+'4.07_Repex_Services'!AN306</f>
        <v>0</v>
      </c>
      <c r="BD59" s="642">
        <f>'4.07_Repex_Services'!AO91+'4.07_Repex_Services'!AO168+'4.07_Repex_Services'!AO237+'4.07_Repex_Services'!AO306</f>
        <v>0</v>
      </c>
      <c r="BE59" s="642">
        <f>'4.07_Repex_Services'!AP91+'4.07_Repex_Services'!AP168+'4.07_Repex_Services'!AP237+'4.07_Repex_Services'!AP306</f>
        <v>0</v>
      </c>
      <c r="BF59" s="642">
        <f>'4.07_Repex_Services'!AQ91+'4.07_Repex_Services'!AQ168+'4.07_Repex_Services'!AQ237+'4.07_Repex_Services'!AQ306</f>
        <v>0</v>
      </c>
      <c r="BG59" s="642">
        <f>'4.07_Repex_Services'!AR91+'4.07_Repex_Services'!AR168+'4.07_Repex_Services'!AR237+'4.07_Repex_Services'!AR306</f>
        <v>0</v>
      </c>
      <c r="BH59" s="642">
        <f>'4.07_Repex_Services'!AS91+'4.07_Repex_Services'!AS168+'4.07_Repex_Services'!AS237+'4.07_Repex_Services'!AS306</f>
        <v>0</v>
      </c>
      <c r="BI59" s="642">
        <f>'4.07_Repex_Services'!AT91+'4.07_Repex_Services'!AT168+'4.07_Repex_Services'!AT237+'4.07_Repex_Services'!AT306</f>
        <v>0</v>
      </c>
      <c r="BJ59" s="643">
        <f>'4.07_Repex_Services'!AU91+'4.07_Repex_Services'!AU168+'4.07_Repex_Services'!AU237+'4.07_Repex_Services'!AU306</f>
        <v>0</v>
      </c>
      <c r="BK59" s="641">
        <f>'4.07_Repex_Services'!AV91+'4.07_Repex_Services'!AV168+'4.07_Repex_Services'!AV237+'4.07_Repex_Services'!AV306</f>
        <v>1029.8508334863845</v>
      </c>
      <c r="BL59" s="642">
        <f>'4.07_Repex_Services'!AW91+'4.07_Repex_Services'!AW168+'4.07_Repex_Services'!AW237+'4.07_Repex_Services'!AW306</f>
        <v>1029.8508334863845</v>
      </c>
      <c r="BM59" s="642">
        <f>'4.07_Repex_Services'!AX91+'4.07_Repex_Services'!AX168+'4.07_Repex_Services'!AX237+'4.07_Repex_Services'!AX306</f>
        <v>1029.8508334863845</v>
      </c>
      <c r="BN59" s="642">
        <f>'4.07_Repex_Services'!AY91+'4.07_Repex_Services'!AY168+'4.07_Repex_Services'!AY237+'4.07_Repex_Services'!AY306</f>
        <v>1029.8508334863845</v>
      </c>
      <c r="BO59" s="643">
        <f>'4.07_Repex_Services'!AZ91+'4.07_Repex_Services'!AZ168+'4.07_Repex_Services'!AZ237+'4.07_Repex_Services'!AZ306</f>
        <v>1029.8508334863845</v>
      </c>
      <c r="BP59" s="163"/>
      <c r="BQ59" s="164" t="s">
        <v>2648</v>
      </c>
      <c r="BR59" s="641">
        <f>IF(BC59,AN59/BC59,0)</f>
        <v>0</v>
      </c>
      <c r="BS59" s="642">
        <f t="shared" si="408"/>
        <v>0</v>
      </c>
      <c r="BT59" s="642">
        <f t="shared" si="409"/>
        <v>0</v>
      </c>
      <c r="BU59" s="642">
        <f t="shared" si="410"/>
        <v>0</v>
      </c>
      <c r="BV59" s="642">
        <f t="shared" si="411"/>
        <v>0</v>
      </c>
      <c r="BW59" s="642">
        <f t="shared" si="412"/>
        <v>0</v>
      </c>
      <c r="BX59" s="642">
        <f t="shared" si="413"/>
        <v>0</v>
      </c>
      <c r="BY59" s="643">
        <f t="shared" si="414"/>
        <v>0</v>
      </c>
      <c r="BZ59" s="641">
        <f t="shared" si="415"/>
        <v>2.5662342920008599E-4</v>
      </c>
      <c r="CA59" s="642">
        <f t="shared" si="416"/>
        <v>2.5534031205408554E-4</v>
      </c>
      <c r="CB59" s="642">
        <f t="shared" si="417"/>
        <v>2.5406361049381512E-4</v>
      </c>
      <c r="CC59" s="642">
        <f t="shared" si="418"/>
        <v>2.5279329244134606E-4</v>
      </c>
      <c r="CD59" s="643">
        <f t="shared" si="419"/>
        <v>2.5152932597913936E-4</v>
      </c>
    </row>
    <row r="60" spans="2:82" ht="14.25">
      <c r="B60" s="161"/>
      <c r="C60" s="185" t="s">
        <v>1710</v>
      </c>
      <c r="D60" s="660"/>
      <c r="E60" s="185"/>
      <c r="F60" s="162"/>
      <c r="G60" s="185"/>
      <c r="H60" s="185"/>
      <c r="I60" s="164" t="s">
        <v>498</v>
      </c>
      <c r="J60" s="697">
        <f>SUM(J56:J59)</f>
        <v>17.984025397757566</v>
      </c>
      <c r="K60" s="698">
        <f t="shared" ref="K60:V60" si="433">SUM(K56:K59)</f>
        <v>18.408898077626429</v>
      </c>
      <c r="L60" s="698">
        <f t="shared" si="433"/>
        <v>14.70869153654645</v>
      </c>
      <c r="M60" s="698">
        <f t="shared" si="433"/>
        <v>13.404082481632248</v>
      </c>
      <c r="N60" s="698">
        <f t="shared" si="433"/>
        <v>10.048749112442071</v>
      </c>
      <c r="O60" s="698">
        <f t="shared" si="433"/>
        <v>11.140553513000459</v>
      </c>
      <c r="P60" s="698">
        <f t="shared" si="433"/>
        <v>14.051950131771124</v>
      </c>
      <c r="Q60" s="699">
        <f t="shared" si="433"/>
        <v>13.031380506456298</v>
      </c>
      <c r="R60" s="697">
        <f t="shared" si="433"/>
        <v>8.8657956217413894</v>
      </c>
      <c r="S60" s="698">
        <f t="shared" si="433"/>
        <v>8.8214666436326805</v>
      </c>
      <c r="T60" s="698">
        <f t="shared" si="433"/>
        <v>8.7773593104145178</v>
      </c>
      <c r="U60" s="698">
        <f t="shared" si="433"/>
        <v>8.7334725138624449</v>
      </c>
      <c r="V60" s="699">
        <f t="shared" si="433"/>
        <v>8.6898051512931325</v>
      </c>
      <c r="W60" s="185"/>
      <c r="X60" s="164" t="s">
        <v>498</v>
      </c>
      <c r="Y60" s="697">
        <f>SUM(Y56:Y59)</f>
        <v>0</v>
      </c>
      <c r="Z60" s="698">
        <f t="shared" ref="Z60" si="434">SUM(Z56:Z59)</f>
        <v>0</v>
      </c>
      <c r="AA60" s="698">
        <f t="shared" ref="AA60" si="435">SUM(AA56:AA59)</f>
        <v>0</v>
      </c>
      <c r="AB60" s="698">
        <f t="shared" ref="AB60" si="436">SUM(AB56:AB59)</f>
        <v>0</v>
      </c>
      <c r="AC60" s="698">
        <f t="shared" ref="AC60" si="437">SUM(AC56:AC59)</f>
        <v>0</v>
      </c>
      <c r="AD60" s="698">
        <f t="shared" ref="AD60" si="438">SUM(AD56:AD59)</f>
        <v>0</v>
      </c>
      <c r="AE60" s="698">
        <f t="shared" ref="AE60" si="439">SUM(AE56:AE59)</f>
        <v>0</v>
      </c>
      <c r="AF60" s="699">
        <f t="shared" ref="AF60" si="440">SUM(AF56:AF59)</f>
        <v>0</v>
      </c>
      <c r="AG60" s="697">
        <f t="shared" ref="AG60" si="441">SUM(AG56:AG59)</f>
        <v>-2.0572421345228867E-2</v>
      </c>
      <c r="AH60" s="698">
        <f t="shared" ref="AH60" si="442">SUM(AH56:AH59)</f>
        <v>-2.0469559238502719E-2</v>
      </c>
      <c r="AI60" s="698">
        <f t="shared" ref="AI60" si="443">SUM(AI56:AI59)</f>
        <v>-2.0367211442310205E-2</v>
      </c>
      <c r="AJ60" s="698">
        <f t="shared" ref="AJ60" si="444">SUM(AJ56:AJ59)</f>
        <v>-2.0265375385098653E-2</v>
      </c>
      <c r="AK60" s="699">
        <f t="shared" ref="AK60" si="445">SUM(AK56:AK59)</f>
        <v>-2.016404850817316E-2</v>
      </c>
      <c r="AL60" s="185"/>
      <c r="AM60" s="164" t="s">
        <v>498</v>
      </c>
      <c r="AN60" s="697">
        <f>SUM(AN56:AN59)</f>
        <v>17.984025397757566</v>
      </c>
      <c r="AO60" s="698">
        <f t="shared" ref="AO60" si="446">SUM(AO56:AO59)</f>
        <v>18.408898077626429</v>
      </c>
      <c r="AP60" s="698">
        <f t="shared" ref="AP60" si="447">SUM(AP56:AP59)</f>
        <v>14.70869153654645</v>
      </c>
      <c r="AQ60" s="698">
        <f t="shared" ref="AQ60" si="448">SUM(AQ56:AQ59)</f>
        <v>13.404082481632248</v>
      </c>
      <c r="AR60" s="698">
        <f t="shared" ref="AR60" si="449">SUM(AR56:AR59)</f>
        <v>10.048749112442071</v>
      </c>
      <c r="AS60" s="698">
        <f t="shared" ref="AS60" si="450">SUM(AS56:AS59)</f>
        <v>11.140553513000459</v>
      </c>
      <c r="AT60" s="698">
        <f t="shared" ref="AT60" si="451">SUM(AT56:AT59)</f>
        <v>14.051950131771124</v>
      </c>
      <c r="AU60" s="699">
        <f t="shared" ref="AU60" si="452">SUM(AU56:AU59)</f>
        <v>13.031380506456298</v>
      </c>
      <c r="AV60" s="697">
        <f t="shared" ref="AV60" si="453">SUM(AV56:AV59)</f>
        <v>8.8452232003961591</v>
      </c>
      <c r="AW60" s="698">
        <f t="shared" ref="AW60" si="454">SUM(AW56:AW59)</f>
        <v>8.8009970843941776</v>
      </c>
      <c r="AX60" s="698">
        <f t="shared" ref="AX60" si="455">SUM(AX56:AX59)</f>
        <v>8.7569920989722068</v>
      </c>
      <c r="AY60" s="698">
        <f t="shared" ref="AY60" si="456">SUM(AY56:AY59)</f>
        <v>8.7132071384773457</v>
      </c>
      <c r="AZ60" s="699">
        <f t="shared" ref="AZ60" si="457">SUM(AZ56:AZ59)</f>
        <v>8.6696411027849614</v>
      </c>
      <c r="BA60" s="185"/>
      <c r="BB60" s="164" t="s">
        <v>1876</v>
      </c>
      <c r="BC60" s="697">
        <f>SUM(BC56:BC59)</f>
        <v>34721</v>
      </c>
      <c r="BD60" s="698">
        <f t="shared" ref="BD60:BO60" si="458">SUM(BD56:BD59)</f>
        <v>37488</v>
      </c>
      <c r="BE60" s="698">
        <f t="shared" si="458"/>
        <v>34525</v>
      </c>
      <c r="BF60" s="698">
        <f t="shared" si="458"/>
        <v>36959</v>
      </c>
      <c r="BG60" s="698">
        <f t="shared" si="458"/>
        <v>39060</v>
      </c>
      <c r="BH60" s="698">
        <f t="shared" si="458"/>
        <v>38318</v>
      </c>
      <c r="BI60" s="698">
        <f t="shared" si="458"/>
        <v>37681.255072819316</v>
      </c>
      <c r="BJ60" s="699">
        <f t="shared" si="458"/>
        <v>35613.579817640501</v>
      </c>
      <c r="BK60" s="697">
        <f t="shared" si="458"/>
        <v>32188.630359291303</v>
      </c>
      <c r="BL60" s="698">
        <f t="shared" si="458"/>
        <v>32188.630359291303</v>
      </c>
      <c r="BM60" s="698">
        <f t="shared" si="458"/>
        <v>32188.630359291303</v>
      </c>
      <c r="BN60" s="698">
        <f t="shared" si="458"/>
        <v>32188.630359291303</v>
      </c>
      <c r="BO60" s="699">
        <f t="shared" si="458"/>
        <v>32188.630359291303</v>
      </c>
      <c r="BP60" s="185"/>
      <c r="BQ60" s="117"/>
      <c r="BR60" s="713"/>
      <c r="BS60" s="714"/>
      <c r="BT60" s="714"/>
      <c r="BU60" s="714"/>
      <c r="BV60" s="714"/>
      <c r="BW60" s="714"/>
      <c r="BX60" s="714"/>
      <c r="BY60" s="715"/>
      <c r="BZ60" s="716"/>
      <c r="CA60" s="714"/>
      <c r="CB60" s="714"/>
      <c r="CC60" s="714"/>
      <c r="CD60" s="715"/>
    </row>
    <row r="61" spans="2:82" ht="14.25">
      <c r="B61" s="181"/>
      <c r="C61" s="185"/>
      <c r="D61" s="185"/>
      <c r="E61" s="182"/>
      <c r="F61" s="185"/>
      <c r="G61" s="184"/>
      <c r="H61" s="184"/>
      <c r="I61" s="117"/>
      <c r="J61" s="713"/>
      <c r="K61" s="714"/>
      <c r="L61" s="714"/>
      <c r="M61" s="714"/>
      <c r="N61" s="714"/>
      <c r="O61" s="714"/>
      <c r="P61" s="714"/>
      <c r="Q61" s="715"/>
      <c r="R61" s="716"/>
      <c r="S61" s="714"/>
      <c r="T61" s="714"/>
      <c r="U61" s="714"/>
      <c r="V61" s="715"/>
      <c r="W61" s="184"/>
      <c r="X61" s="117"/>
      <c r="Y61" s="713"/>
      <c r="Z61" s="714"/>
      <c r="AA61" s="714"/>
      <c r="AB61" s="714"/>
      <c r="AC61" s="714"/>
      <c r="AD61" s="714"/>
      <c r="AE61" s="714"/>
      <c r="AF61" s="715"/>
      <c r="AG61" s="716"/>
      <c r="AH61" s="714"/>
      <c r="AI61" s="714"/>
      <c r="AJ61" s="714"/>
      <c r="AK61" s="715"/>
      <c r="AL61" s="184"/>
      <c r="AM61" s="117"/>
      <c r="AN61" s="713"/>
      <c r="AO61" s="714"/>
      <c r="AP61" s="714"/>
      <c r="AQ61" s="714"/>
      <c r="AR61" s="714"/>
      <c r="AS61" s="714"/>
      <c r="AT61" s="714"/>
      <c r="AU61" s="715"/>
      <c r="AV61" s="716"/>
      <c r="AW61" s="714"/>
      <c r="AX61" s="714"/>
      <c r="AY61" s="714"/>
      <c r="AZ61" s="715"/>
      <c r="BA61" s="184"/>
      <c r="BB61" s="117"/>
      <c r="BC61" s="713"/>
      <c r="BD61" s="714"/>
      <c r="BE61" s="714"/>
      <c r="BF61" s="714"/>
      <c r="BG61" s="714"/>
      <c r="BH61" s="714"/>
      <c r="BI61" s="714"/>
      <c r="BJ61" s="715"/>
      <c r="BK61" s="716"/>
      <c r="BL61" s="714"/>
      <c r="BM61" s="714"/>
      <c r="BN61" s="714"/>
      <c r="BO61" s="715"/>
      <c r="BP61" s="184"/>
      <c r="BQ61" s="117"/>
      <c r="BR61" s="713"/>
      <c r="BS61" s="714"/>
      <c r="BT61" s="714"/>
      <c r="BU61" s="714"/>
      <c r="BV61" s="714"/>
      <c r="BW61" s="714"/>
      <c r="BX61" s="714"/>
      <c r="BY61" s="715"/>
      <c r="BZ61" s="716"/>
      <c r="CA61" s="714"/>
      <c r="CB61" s="714"/>
      <c r="CC61" s="714"/>
      <c r="CD61" s="715"/>
    </row>
    <row r="62" spans="2:82" ht="15.75">
      <c r="B62" s="161"/>
      <c r="C62" s="186" t="s">
        <v>2663</v>
      </c>
      <c r="D62" s="617"/>
      <c r="E62" s="180"/>
      <c r="F62" s="162"/>
      <c r="G62" s="163"/>
      <c r="H62" s="163"/>
      <c r="I62" s="117"/>
      <c r="J62" s="713"/>
      <c r="K62" s="714"/>
      <c r="L62" s="714"/>
      <c r="M62" s="714"/>
      <c r="N62" s="714"/>
      <c r="O62" s="714"/>
      <c r="P62" s="714"/>
      <c r="Q62" s="715"/>
      <c r="R62" s="716"/>
      <c r="S62" s="714"/>
      <c r="T62" s="714"/>
      <c r="U62" s="714"/>
      <c r="V62" s="715"/>
      <c r="W62" s="163"/>
      <c r="X62" s="117"/>
      <c r="Y62" s="713"/>
      <c r="Z62" s="714"/>
      <c r="AA62" s="714"/>
      <c r="AB62" s="714"/>
      <c r="AC62" s="714"/>
      <c r="AD62" s="714"/>
      <c r="AE62" s="714"/>
      <c r="AF62" s="715"/>
      <c r="AG62" s="716"/>
      <c r="AH62" s="714"/>
      <c r="AI62" s="714"/>
      <c r="AJ62" s="714"/>
      <c r="AK62" s="715"/>
      <c r="AL62" s="163"/>
      <c r="AM62" s="117"/>
      <c r="AN62" s="713"/>
      <c r="AO62" s="714"/>
      <c r="AP62" s="714"/>
      <c r="AQ62" s="714"/>
      <c r="AR62" s="714"/>
      <c r="AS62" s="714"/>
      <c r="AT62" s="714"/>
      <c r="AU62" s="715"/>
      <c r="AV62" s="716"/>
      <c r="AW62" s="714"/>
      <c r="AX62" s="714"/>
      <c r="AY62" s="714"/>
      <c r="AZ62" s="715"/>
      <c r="BA62" s="163"/>
      <c r="BB62" s="117"/>
      <c r="BC62" s="713"/>
      <c r="BD62" s="714"/>
      <c r="BE62" s="714"/>
      <c r="BF62" s="714"/>
      <c r="BG62" s="714"/>
      <c r="BH62" s="714"/>
      <c r="BI62" s="714"/>
      <c r="BJ62" s="715"/>
      <c r="BK62" s="716"/>
      <c r="BL62" s="714"/>
      <c r="BM62" s="714"/>
      <c r="BN62" s="714"/>
      <c r="BO62" s="715"/>
      <c r="BP62" s="163"/>
      <c r="BQ62" s="117"/>
      <c r="BR62" s="713"/>
      <c r="BS62" s="714"/>
      <c r="BT62" s="714"/>
      <c r="BU62" s="714"/>
      <c r="BV62" s="714"/>
      <c r="BW62" s="714"/>
      <c r="BX62" s="714"/>
      <c r="BY62" s="715"/>
      <c r="BZ62" s="716"/>
      <c r="CA62" s="714"/>
      <c r="CB62" s="714"/>
      <c r="CC62" s="714"/>
      <c r="CD62" s="715"/>
    </row>
    <row r="63" spans="2:82" ht="14.25">
      <c r="B63" s="161"/>
      <c r="C63" s="660"/>
      <c r="D63" s="687" t="s">
        <v>2659</v>
      </c>
      <c r="E63" s="660"/>
      <c r="F63" s="162"/>
      <c r="G63" s="185"/>
      <c r="H63" s="163"/>
      <c r="I63" s="164" t="s">
        <v>498</v>
      </c>
      <c r="J63" s="641">
        <f>SUM('4.07_Repex_Services'!J33,'4.07_Repex_Services'!J130,'4.07_Repex_Services'!J199,'4.07_Repex_Services'!J268)</f>
        <v>0.41621157294637878</v>
      </c>
      <c r="K63" s="642">
        <f>SUM('4.07_Repex_Services'!K33,'4.07_Repex_Services'!K130,'4.07_Repex_Services'!K199,'4.07_Repex_Services'!K268)</f>
        <v>0.58348155081272512</v>
      </c>
      <c r="L63" s="642">
        <f>SUM('4.07_Repex_Services'!L33,'4.07_Repex_Services'!L130,'4.07_Repex_Services'!L199,'4.07_Repex_Services'!L268)</f>
        <v>0.50203330414590475</v>
      </c>
      <c r="M63" s="642">
        <f>SUM('4.07_Repex_Services'!M33,'4.07_Repex_Services'!M130,'4.07_Repex_Services'!M199,'4.07_Repex_Services'!M268)</f>
        <v>0.52979068770383697</v>
      </c>
      <c r="N63" s="642">
        <f>SUM('4.07_Repex_Services'!N33,'4.07_Repex_Services'!N130,'4.07_Repex_Services'!N199,'4.07_Repex_Services'!N268)</f>
        <v>0.95505485964647496</v>
      </c>
      <c r="O63" s="642">
        <f>SUM('4.07_Repex_Services'!O33,'4.07_Repex_Services'!O130,'4.07_Repex_Services'!O199,'4.07_Repex_Services'!O268)</f>
        <v>0.41695233791815789</v>
      </c>
      <c r="P63" s="642">
        <f>SUM('4.07_Repex_Services'!P33,'4.07_Repex_Services'!P130,'4.07_Repex_Services'!P199,'4.07_Repex_Services'!P268)</f>
        <v>0.57549154335092201</v>
      </c>
      <c r="Q63" s="643">
        <f>SUM('4.07_Repex_Services'!Q33,'4.07_Repex_Services'!Q130,'4.07_Repex_Services'!Q199,'4.07_Repex_Services'!Q268)</f>
        <v>0.4721215868791086</v>
      </c>
      <c r="R63" s="641">
        <f>SUM('4.07_Repex_Services'!R33,'4.07_Repex_Services'!R130,'4.07_Repex_Services'!R199,'4.07_Repex_Services'!R268)</f>
        <v>0.87168716912324584</v>
      </c>
      <c r="S63" s="642">
        <f>SUM('4.07_Repex_Services'!S33,'4.07_Repex_Services'!S130,'4.07_Repex_Services'!S199,'4.07_Repex_Services'!S268)</f>
        <v>0.86732873327762972</v>
      </c>
      <c r="T63" s="642">
        <f>SUM('4.07_Repex_Services'!T33,'4.07_Repex_Services'!T130,'4.07_Repex_Services'!T199,'4.07_Repex_Services'!T268)</f>
        <v>0.86299208961124141</v>
      </c>
      <c r="U63" s="642">
        <f>SUM('4.07_Repex_Services'!U33,'4.07_Repex_Services'!U130,'4.07_Repex_Services'!U199,'4.07_Repex_Services'!U268)</f>
        <v>0.85867712916318528</v>
      </c>
      <c r="V63" s="643">
        <f>SUM('4.07_Repex_Services'!V33,'4.07_Repex_Services'!V130,'4.07_Repex_Services'!V199,'4.07_Repex_Services'!V268)</f>
        <v>0.85438374351736934</v>
      </c>
      <c r="W63" s="163"/>
      <c r="X63" s="164" t="s">
        <v>498</v>
      </c>
      <c r="Y63" s="641">
        <f>SUM('4.07_Repex_Services'!Y33,'4.07_Repex_Services'!Y199,'4.07_Repex_Services'!Y268)</f>
        <v>0</v>
      </c>
      <c r="Z63" s="642">
        <f>SUM('4.07_Repex_Services'!Z33,'4.07_Repex_Services'!Z199,'4.07_Repex_Services'!Z268)</f>
        <v>0</v>
      </c>
      <c r="AA63" s="642">
        <f>SUM('4.07_Repex_Services'!AA33,'4.07_Repex_Services'!AA199,'4.07_Repex_Services'!AA268)</f>
        <v>0</v>
      </c>
      <c r="AB63" s="642">
        <f>SUM('4.07_Repex_Services'!AB33,'4.07_Repex_Services'!AB199,'4.07_Repex_Services'!AB268)</f>
        <v>0</v>
      </c>
      <c r="AC63" s="642">
        <f>SUM('4.07_Repex_Services'!AC33,'4.07_Repex_Services'!AC199,'4.07_Repex_Services'!AC268)</f>
        <v>0</v>
      </c>
      <c r="AD63" s="642">
        <f>SUM('4.07_Repex_Services'!AD33,'4.07_Repex_Services'!AD199,'4.07_Repex_Services'!AD268)</f>
        <v>0</v>
      </c>
      <c r="AE63" s="642">
        <f>SUM('4.07_Repex_Services'!AE33,'4.07_Repex_Services'!AE199,'4.07_Repex_Services'!AE268)</f>
        <v>0</v>
      </c>
      <c r="AF63" s="643">
        <f>SUM('4.07_Repex_Services'!AF33,'4.07_Repex_Services'!AF199,'4.07_Repex_Services'!AF268)</f>
        <v>0</v>
      </c>
      <c r="AG63" s="641">
        <f>SUM('4.07_Repex_Services'!AG33,'4.07_Repex_Services'!AG199,'4.07_Repex_Services'!AG268)</f>
        <v>-2.2124893482722528E-3</v>
      </c>
      <c r="AH63" s="642">
        <f>SUM('4.07_Repex_Services'!AH33,'4.07_Repex_Services'!AH199,'4.07_Repex_Services'!AH268)</f>
        <v>-2.2014269015308914E-3</v>
      </c>
      <c r="AI63" s="642">
        <f>SUM('4.07_Repex_Services'!AI33,'4.07_Repex_Services'!AI199,'4.07_Repex_Services'!AI268)</f>
        <v>-2.1904197670232369E-3</v>
      </c>
      <c r="AJ63" s="642">
        <f>SUM('4.07_Repex_Services'!AJ33,'4.07_Repex_Services'!AJ199,'4.07_Repex_Services'!AJ268)</f>
        <v>-2.1794676681881208E-3</v>
      </c>
      <c r="AK63" s="643">
        <f>SUM('4.07_Repex_Services'!AK33,'4.07_Repex_Services'!AK199,'4.07_Repex_Services'!AK268)</f>
        <v>-2.1685703298471803E-3</v>
      </c>
      <c r="AL63" s="163"/>
      <c r="AM63" s="164" t="s">
        <v>498</v>
      </c>
      <c r="AN63" s="641">
        <f>J63+Y63</f>
        <v>0.41621157294637878</v>
      </c>
      <c r="AO63" s="642">
        <f t="shared" ref="AO63:AO64" si="459">K63+Z63</f>
        <v>0.58348155081272512</v>
      </c>
      <c r="AP63" s="642">
        <f t="shared" ref="AP63:AP64" si="460">L63+AA63</f>
        <v>0.50203330414590475</v>
      </c>
      <c r="AQ63" s="642">
        <f t="shared" ref="AQ63:AQ64" si="461">M63+AB63</f>
        <v>0.52979068770383697</v>
      </c>
      <c r="AR63" s="642">
        <f t="shared" ref="AR63:AR64" si="462">N63+AC63</f>
        <v>0.95505485964647496</v>
      </c>
      <c r="AS63" s="642">
        <f t="shared" ref="AS63:AS64" si="463">O63+AD63</f>
        <v>0.41695233791815789</v>
      </c>
      <c r="AT63" s="642">
        <f t="shared" ref="AT63:AT64" si="464">P63+AE63</f>
        <v>0.57549154335092201</v>
      </c>
      <c r="AU63" s="643">
        <f t="shared" ref="AU63:AU64" si="465">Q63+AF63</f>
        <v>0.4721215868791086</v>
      </c>
      <c r="AV63" s="641">
        <f t="shared" ref="AV63:AV64" si="466">R63+AG63</f>
        <v>0.86947467977497361</v>
      </c>
      <c r="AW63" s="642">
        <f t="shared" ref="AW63:AW64" si="467">S63+AH63</f>
        <v>0.8651273063760988</v>
      </c>
      <c r="AX63" s="642">
        <f t="shared" ref="AX63:AX64" si="468">T63+AI63</f>
        <v>0.86080166984421813</v>
      </c>
      <c r="AY63" s="642">
        <f t="shared" ref="AY63:AY64" si="469">U63+AJ63</f>
        <v>0.85649766149499718</v>
      </c>
      <c r="AZ63" s="643">
        <f t="shared" ref="AZ63:AZ64" si="470">V63+AK63</f>
        <v>0.85221517318752216</v>
      </c>
      <c r="BA63" s="163"/>
      <c r="BB63" s="164" t="s">
        <v>1876</v>
      </c>
      <c r="BC63" s="641">
        <f>SUM('4.07_Repex_Services'!AN33,'4.07_Repex_Services'!AN130,'4.07_Repex_Services'!AN199,'4.07_Repex_Services'!AN268)</f>
        <v>79</v>
      </c>
      <c r="BD63" s="642">
        <f>SUM('4.07_Repex_Services'!AO33,'4.07_Repex_Services'!AO130,'4.07_Repex_Services'!AO199,'4.07_Repex_Services'!AO268)</f>
        <v>222</v>
      </c>
      <c r="BE63" s="642">
        <f>SUM('4.07_Repex_Services'!AP33,'4.07_Repex_Services'!AP130,'4.07_Repex_Services'!AP199,'4.07_Repex_Services'!AP268)</f>
        <v>94</v>
      </c>
      <c r="BF63" s="642">
        <f>SUM('4.07_Repex_Services'!AQ33,'4.07_Repex_Services'!AQ130,'4.07_Repex_Services'!AQ199,'4.07_Repex_Services'!AQ268)</f>
        <v>50</v>
      </c>
      <c r="BG63" s="642">
        <f>SUM('4.07_Repex_Services'!AR33,'4.07_Repex_Services'!AR130,'4.07_Repex_Services'!AR199,'4.07_Repex_Services'!AR268)</f>
        <v>65</v>
      </c>
      <c r="BH63" s="642">
        <f>SUM('4.07_Repex_Services'!AS33,'4.07_Repex_Services'!AS130,'4.07_Repex_Services'!AS199,'4.07_Repex_Services'!AS268)</f>
        <v>57</v>
      </c>
      <c r="BI63" s="642">
        <f>SUM('4.07_Repex_Services'!AT33,'4.07_Repex_Services'!AT130,'4.07_Repex_Services'!AT199,'4.07_Repex_Services'!AT268)</f>
        <v>99.490157037543085</v>
      </c>
      <c r="BJ63" s="643">
        <f>SUM('4.07_Repex_Services'!AU33,'4.07_Repex_Services'!AU130,'4.07_Repex_Services'!AU199,'4.07_Repex_Services'!AU268)</f>
        <v>80.093325677488878</v>
      </c>
      <c r="BK63" s="641">
        <f>SUM('4.07_Repex_Services'!AV33,'4.07_Repex_Services'!AV130,'4.07_Repex_Services'!AV199,'4.07_Repex_Services'!AV268)</f>
        <v>87.327306110125619</v>
      </c>
      <c r="BL63" s="642">
        <f>SUM('4.07_Repex_Services'!AW33,'4.07_Repex_Services'!AW130,'4.07_Repex_Services'!AW199,'4.07_Repex_Services'!AW268)</f>
        <v>87.327306110125619</v>
      </c>
      <c r="BM63" s="642">
        <f>SUM('4.07_Repex_Services'!AX33,'4.07_Repex_Services'!AX130,'4.07_Repex_Services'!AX199,'4.07_Repex_Services'!AX268)</f>
        <v>87.327306110125619</v>
      </c>
      <c r="BN63" s="642">
        <f>SUM('4.07_Repex_Services'!AY33,'4.07_Repex_Services'!AY130,'4.07_Repex_Services'!AY199,'4.07_Repex_Services'!AY268)</f>
        <v>87.327306110125619</v>
      </c>
      <c r="BO63" s="643">
        <f>SUM('4.07_Repex_Services'!AZ33,'4.07_Repex_Services'!AZ130,'4.07_Repex_Services'!AZ199,'4.07_Repex_Services'!AZ268)</f>
        <v>87.327306110125619</v>
      </c>
      <c r="BP63" s="163"/>
      <c r="BQ63" s="164" t="s">
        <v>2648</v>
      </c>
      <c r="BR63" s="641">
        <f>IF(BC63,AN63/BC63,0)</f>
        <v>5.268500923371883E-3</v>
      </c>
      <c r="BS63" s="642">
        <f t="shared" ref="BS63:BS64" si="471">IF(BD63,AO63/BD63,0)</f>
        <v>2.6282952739311942E-3</v>
      </c>
      <c r="BT63" s="642">
        <f t="shared" ref="BT63:BT64" si="472">IF(BE63,AP63/BE63,0)</f>
        <v>5.3407798313394126E-3</v>
      </c>
      <c r="BU63" s="642">
        <f t="shared" ref="BU63:BU64" si="473">IF(BF63,AQ63/BF63,0)</f>
        <v>1.0595813754076739E-2</v>
      </c>
      <c r="BV63" s="642">
        <f t="shared" ref="BV63:BV64" si="474">IF(BG63,AR63/BG63,0)</f>
        <v>1.4693151686868846E-2</v>
      </c>
      <c r="BW63" s="642">
        <f t="shared" ref="BW63:BW64" si="475">IF(BH63,AS63/BH63,0)</f>
        <v>7.3149532968097876E-3</v>
      </c>
      <c r="BX63" s="642">
        <f t="shared" ref="BX63:BX64" si="476">IF(BI63,AT63/BI63,0)</f>
        <v>5.7844068246244457E-3</v>
      </c>
      <c r="BY63" s="643">
        <f t="shared" ref="BY63:BY64" si="477">IF(BJ63,AU63/BJ63,0)</f>
        <v>5.8946433162258317E-3</v>
      </c>
      <c r="BZ63" s="641">
        <f t="shared" ref="BZ63:BZ64" si="478">IF(BK63,AV63/BK63,0)</f>
        <v>9.9565040822226607E-3</v>
      </c>
      <c r="CA63" s="642">
        <f t="shared" ref="CA63:CA64" si="479">IF(BL63,AW63/BL63,0)</f>
        <v>9.9067215618115472E-3</v>
      </c>
      <c r="CB63" s="642">
        <f t="shared" ref="CB63:CB64" si="480">IF(BM63,AX63/BM63,0)</f>
        <v>9.857187954002488E-3</v>
      </c>
      <c r="CC63" s="642">
        <f t="shared" ref="CC63:CC64" si="481">IF(BN63,AY63/BN63,0)</f>
        <v>9.8079020142324766E-3</v>
      </c>
      <c r="CD63" s="643">
        <f t="shared" ref="CD63:CD64" si="482">IF(BO63,AZ63/BO63,0)</f>
        <v>9.7588625041613152E-3</v>
      </c>
    </row>
    <row r="64" spans="2:82" ht="14.25">
      <c r="B64" s="161"/>
      <c r="C64" s="660"/>
      <c r="D64" s="687" t="s">
        <v>2660</v>
      </c>
      <c r="E64" s="660"/>
      <c r="F64" s="162"/>
      <c r="G64" s="185"/>
      <c r="H64" s="163"/>
      <c r="I64" s="164" t="s">
        <v>498</v>
      </c>
      <c r="J64" s="641">
        <f>SUM('4.07_Repex_Services'!J34,'4.07_Repex_Services'!J131,'4.07_Repex_Services'!J200,'4.07_Repex_Services'!J269)</f>
        <v>0</v>
      </c>
      <c r="K64" s="642">
        <f>SUM('4.07_Repex_Services'!K34,'4.07_Repex_Services'!K131,'4.07_Repex_Services'!K200,'4.07_Repex_Services'!K269)</f>
        <v>6.397340254657477E-2</v>
      </c>
      <c r="L64" s="642">
        <f>SUM('4.07_Repex_Services'!L34,'4.07_Repex_Services'!L131,'4.07_Repex_Services'!L200,'4.07_Repex_Services'!L269)</f>
        <v>3.9950565138941727E-2</v>
      </c>
      <c r="M64" s="642">
        <f>SUM('4.07_Repex_Services'!M34,'4.07_Repex_Services'!M131,'4.07_Repex_Services'!M200,'4.07_Repex_Services'!M269)</f>
        <v>2.5287859022641728E-2</v>
      </c>
      <c r="N64" s="642">
        <f>SUM('4.07_Repex_Services'!N34,'4.07_Repex_Services'!N131,'4.07_Repex_Services'!N200,'4.07_Repex_Services'!N269)</f>
        <v>1.1999338537277049E-2</v>
      </c>
      <c r="O64" s="642">
        <f>SUM('4.07_Repex_Services'!O34,'4.07_Repex_Services'!O131,'4.07_Repex_Services'!O200,'4.07_Repex_Services'!O269)</f>
        <v>1.161364711580078E-2</v>
      </c>
      <c r="P64" s="642">
        <f>SUM('4.07_Repex_Services'!P34,'4.07_Repex_Services'!P131,'4.07_Repex_Services'!P200,'4.07_Repex_Services'!P269)</f>
        <v>2.4584196460751228E-2</v>
      </c>
      <c r="Q64" s="643">
        <f>SUM('4.07_Repex_Services'!Q34,'4.07_Repex_Services'!Q131,'4.07_Repex_Services'!Q200,'4.07_Repex_Services'!Q269)</f>
        <v>2.1890778639965892E-2</v>
      </c>
      <c r="R64" s="641">
        <f>SUM('4.07_Repex_Services'!R34,'4.07_Repex_Services'!R131,'4.07_Repex_Services'!R200,'4.07_Repex_Services'!R269)</f>
        <v>1.4234449065761677E-2</v>
      </c>
      <c r="S64" s="642">
        <f>SUM('4.07_Repex_Services'!S34,'4.07_Repex_Services'!S131,'4.07_Repex_Services'!S200,'4.07_Repex_Services'!S269)</f>
        <v>1.4163276820432868E-2</v>
      </c>
      <c r="T64" s="642">
        <f>SUM('4.07_Repex_Services'!T34,'4.07_Repex_Services'!T131,'4.07_Repex_Services'!T200,'4.07_Repex_Services'!T269)</f>
        <v>1.4092460436330704E-2</v>
      </c>
      <c r="U64" s="642">
        <f>SUM('4.07_Repex_Services'!U34,'4.07_Repex_Services'!U131,'4.07_Repex_Services'!U200,'4.07_Repex_Services'!U269)</f>
        <v>1.402199813414905E-2</v>
      </c>
      <c r="V64" s="643">
        <f>SUM('4.07_Repex_Services'!V34,'4.07_Repex_Services'!V131,'4.07_Repex_Services'!V200,'4.07_Repex_Services'!V269)</f>
        <v>1.3951888143478305E-2</v>
      </c>
      <c r="W64" s="163"/>
      <c r="X64" s="164" t="s">
        <v>498</v>
      </c>
      <c r="Y64" s="641">
        <f>SUM('4.07_Repex_Services'!Y34,'4.07_Repex_Services'!Y200,'4.07_Repex_Services'!Y269)</f>
        <v>0</v>
      </c>
      <c r="Z64" s="642">
        <f>SUM('4.07_Repex_Services'!Z34,'4.07_Repex_Services'!Z200,'4.07_Repex_Services'!Z269)</f>
        <v>0</v>
      </c>
      <c r="AA64" s="642">
        <f>SUM('4.07_Repex_Services'!AA34,'4.07_Repex_Services'!AA200,'4.07_Repex_Services'!AA269)</f>
        <v>0</v>
      </c>
      <c r="AB64" s="642">
        <f>SUM('4.07_Repex_Services'!AB34,'4.07_Repex_Services'!AB200,'4.07_Repex_Services'!AB269)</f>
        <v>0</v>
      </c>
      <c r="AC64" s="642">
        <f>SUM('4.07_Repex_Services'!AC34,'4.07_Repex_Services'!AC200,'4.07_Repex_Services'!AC269)</f>
        <v>0</v>
      </c>
      <c r="AD64" s="642">
        <f>SUM('4.07_Repex_Services'!AD34,'4.07_Repex_Services'!AD200,'4.07_Repex_Services'!AD269)</f>
        <v>0</v>
      </c>
      <c r="AE64" s="642">
        <f>SUM('4.07_Repex_Services'!AE34,'4.07_Repex_Services'!AE200,'4.07_Repex_Services'!AE269)</f>
        <v>0</v>
      </c>
      <c r="AF64" s="643">
        <f>SUM('4.07_Repex_Services'!AF34,'4.07_Repex_Services'!AF200,'4.07_Repex_Services'!AF269)</f>
        <v>0</v>
      </c>
      <c r="AG64" s="641">
        <f>SUM('4.07_Repex_Services'!AG34,'4.07_Repex_Services'!AG200,'4.07_Repex_Services'!AG269)</f>
        <v>-3.5938516310244369E-5</v>
      </c>
      <c r="AH64" s="642">
        <f>SUM('4.07_Repex_Services'!AH34,'4.07_Repex_Services'!AH200,'4.07_Repex_Services'!AH269)</f>
        <v>-3.5758823728693144E-5</v>
      </c>
      <c r="AI64" s="642">
        <f>SUM('4.07_Repex_Services'!AI34,'4.07_Repex_Services'!AI200,'4.07_Repex_Services'!AI269)</f>
        <v>-3.5580029610049684E-5</v>
      </c>
      <c r="AJ64" s="642">
        <f>SUM('4.07_Repex_Services'!AJ34,'4.07_Repex_Services'!AJ200,'4.07_Repex_Services'!AJ269)</f>
        <v>-3.5402129461999427E-5</v>
      </c>
      <c r="AK64" s="643">
        <f>SUM('4.07_Repex_Services'!AK34,'4.07_Repex_Services'!AK200,'4.07_Repex_Services'!AK269)</f>
        <v>-3.5225118814689433E-5</v>
      </c>
      <c r="AL64" s="163"/>
      <c r="AM64" s="164" t="s">
        <v>498</v>
      </c>
      <c r="AN64" s="641">
        <f t="shared" ref="AN64" si="483">J64+Y64</f>
        <v>0</v>
      </c>
      <c r="AO64" s="642">
        <f t="shared" si="459"/>
        <v>6.397340254657477E-2</v>
      </c>
      <c r="AP64" s="642">
        <f t="shared" si="460"/>
        <v>3.9950565138941727E-2</v>
      </c>
      <c r="AQ64" s="642">
        <f t="shared" si="461"/>
        <v>2.5287859022641728E-2</v>
      </c>
      <c r="AR64" s="642">
        <f t="shared" si="462"/>
        <v>1.1999338537277049E-2</v>
      </c>
      <c r="AS64" s="642">
        <f t="shared" si="463"/>
        <v>1.161364711580078E-2</v>
      </c>
      <c r="AT64" s="642">
        <f t="shared" si="464"/>
        <v>2.4584196460751228E-2</v>
      </c>
      <c r="AU64" s="643">
        <f t="shared" si="465"/>
        <v>2.1890778639965892E-2</v>
      </c>
      <c r="AV64" s="641">
        <f t="shared" si="466"/>
        <v>1.4198510549451433E-2</v>
      </c>
      <c r="AW64" s="642">
        <f t="shared" si="467"/>
        <v>1.4127517996704175E-2</v>
      </c>
      <c r="AX64" s="642">
        <f t="shared" si="468"/>
        <v>1.4056880406720654E-2</v>
      </c>
      <c r="AY64" s="642">
        <f t="shared" si="469"/>
        <v>1.3986596004687052E-2</v>
      </c>
      <c r="AZ64" s="643">
        <f t="shared" si="470"/>
        <v>1.3916663024663616E-2</v>
      </c>
      <c r="BA64" s="163"/>
      <c r="BB64" s="164" t="s">
        <v>1876</v>
      </c>
      <c r="BC64" s="641">
        <f>SUM('4.07_Repex_Services'!AN34,'4.07_Repex_Services'!AN131,'4.07_Repex_Services'!AN200,'4.07_Repex_Services'!AN269)</f>
        <v>29</v>
      </c>
      <c r="BD64" s="642">
        <f>SUM('4.07_Repex_Services'!AO34,'4.07_Repex_Services'!AO131,'4.07_Repex_Services'!AO200,'4.07_Repex_Services'!AO269)</f>
        <v>223</v>
      </c>
      <c r="BE64" s="642">
        <f>SUM('4.07_Repex_Services'!AP34,'4.07_Repex_Services'!AP131,'4.07_Repex_Services'!AP200,'4.07_Repex_Services'!AP269)</f>
        <v>113</v>
      </c>
      <c r="BF64" s="642">
        <f>SUM('4.07_Repex_Services'!AQ34,'4.07_Repex_Services'!AQ131,'4.07_Repex_Services'!AQ200,'4.07_Repex_Services'!AQ269)</f>
        <v>66</v>
      </c>
      <c r="BG64" s="642">
        <f>SUM('4.07_Repex_Services'!AR34,'4.07_Repex_Services'!AR131,'4.07_Repex_Services'!AR200,'4.07_Repex_Services'!AR269)</f>
        <v>62</v>
      </c>
      <c r="BH64" s="642">
        <f>SUM('4.07_Repex_Services'!AS34,'4.07_Repex_Services'!AS131,'4.07_Repex_Services'!AS200,'4.07_Repex_Services'!AS269)</f>
        <v>70</v>
      </c>
      <c r="BI64" s="642">
        <f>SUM('4.07_Repex_Services'!AT34,'4.07_Repex_Services'!AT131,'4.07_Repex_Services'!AT200,'4.07_Repex_Services'!AT269)</f>
        <v>94.009371234646238</v>
      </c>
      <c r="BJ64" s="643">
        <f>SUM('4.07_Repex_Services'!AU34,'4.07_Repex_Services'!AU131,'4.07_Repex_Services'!AU200,'4.07_Repex_Services'!AU269)</f>
        <v>84.350451179006754</v>
      </c>
      <c r="BK64" s="641">
        <f>SUM('4.07_Repex_Services'!AV34,'4.07_Repex_Services'!AV131,'4.07_Repex_Services'!AV200,'4.07_Repex_Services'!AV269)</f>
        <v>58.218204073417077</v>
      </c>
      <c r="BL64" s="642">
        <f>SUM('4.07_Repex_Services'!AW34,'4.07_Repex_Services'!AW131,'4.07_Repex_Services'!AW200,'4.07_Repex_Services'!AW269)</f>
        <v>58.218204073417077</v>
      </c>
      <c r="BM64" s="642">
        <f>SUM('4.07_Repex_Services'!AX34,'4.07_Repex_Services'!AX131,'4.07_Repex_Services'!AX200,'4.07_Repex_Services'!AX269)</f>
        <v>58.218204073417077</v>
      </c>
      <c r="BN64" s="642">
        <f>SUM('4.07_Repex_Services'!AY34,'4.07_Repex_Services'!AY131,'4.07_Repex_Services'!AY200,'4.07_Repex_Services'!AY269)</f>
        <v>58.218204073417077</v>
      </c>
      <c r="BO64" s="643">
        <f>SUM('4.07_Repex_Services'!AZ34,'4.07_Repex_Services'!AZ131,'4.07_Repex_Services'!AZ200,'4.07_Repex_Services'!AZ269)</f>
        <v>58.218204073417077</v>
      </c>
      <c r="BP64" s="163"/>
      <c r="BQ64" s="164" t="s">
        <v>2648</v>
      </c>
      <c r="BR64" s="641">
        <f>IF(BC64,AN64/BC64,0)</f>
        <v>0</v>
      </c>
      <c r="BS64" s="642">
        <f t="shared" si="471"/>
        <v>2.8687624460347428E-4</v>
      </c>
      <c r="BT64" s="642">
        <f t="shared" si="472"/>
        <v>3.5354482423842238E-4</v>
      </c>
      <c r="BU64" s="642">
        <f t="shared" si="473"/>
        <v>3.8314937913093525E-4</v>
      </c>
      <c r="BV64" s="642">
        <f t="shared" si="474"/>
        <v>1.9353771834317821E-4</v>
      </c>
      <c r="BW64" s="642">
        <f t="shared" si="475"/>
        <v>1.6590924451143971E-4</v>
      </c>
      <c r="BX64" s="642">
        <f t="shared" si="476"/>
        <v>2.6150793413338947E-4</v>
      </c>
      <c r="BY64" s="643">
        <f t="shared" si="477"/>
        <v>2.5952177296016758E-4</v>
      </c>
      <c r="BZ64" s="641">
        <f t="shared" si="478"/>
        <v>2.4388437904312809E-4</v>
      </c>
      <c r="CA64" s="642">
        <f t="shared" si="479"/>
        <v>2.4266495714791241E-4</v>
      </c>
      <c r="CB64" s="642">
        <f t="shared" si="480"/>
        <v>2.4145163236217286E-4</v>
      </c>
      <c r="CC64" s="642">
        <f t="shared" si="481"/>
        <v>2.4024437420036199E-4</v>
      </c>
      <c r="CD64" s="643">
        <f t="shared" si="482"/>
        <v>2.3904315232936018E-4</v>
      </c>
    </row>
    <row r="65" spans="1:82" ht="14.25">
      <c r="B65" s="161"/>
      <c r="C65" s="660"/>
      <c r="D65" s="687" t="s">
        <v>2661</v>
      </c>
      <c r="E65" s="660"/>
      <c r="F65" s="162"/>
      <c r="G65" s="185"/>
      <c r="H65" s="163"/>
      <c r="I65" s="164" t="s">
        <v>498</v>
      </c>
      <c r="J65" s="641">
        <f>'4.07_Repex_Services'!J93+'4.07_Repex_Services'!J170+'4.07_Repex_Services'!J239+'4.07_Repex_Services'!J308</f>
        <v>0</v>
      </c>
      <c r="K65" s="642">
        <f>'4.07_Repex_Services'!K93+'4.07_Repex_Services'!K170+'4.07_Repex_Services'!K239+'4.07_Repex_Services'!K308</f>
        <v>0</v>
      </c>
      <c r="L65" s="642">
        <f>'4.07_Repex_Services'!L93+'4.07_Repex_Services'!L170+'4.07_Repex_Services'!L239+'4.07_Repex_Services'!L308</f>
        <v>0</v>
      </c>
      <c r="M65" s="642">
        <f>'4.07_Repex_Services'!M93+'4.07_Repex_Services'!M170+'4.07_Repex_Services'!M239+'4.07_Repex_Services'!M308</f>
        <v>0</v>
      </c>
      <c r="N65" s="642">
        <f>'4.07_Repex_Services'!N93+'4.07_Repex_Services'!N170+'4.07_Repex_Services'!N239+'4.07_Repex_Services'!N308</f>
        <v>0</v>
      </c>
      <c r="O65" s="642">
        <f>'4.07_Repex_Services'!O93+'4.07_Repex_Services'!O170+'4.07_Repex_Services'!O239+'4.07_Repex_Services'!O308</f>
        <v>0</v>
      </c>
      <c r="P65" s="642">
        <f>'4.07_Repex_Services'!P93+'4.07_Repex_Services'!P170+'4.07_Repex_Services'!P239+'4.07_Repex_Services'!P308</f>
        <v>0</v>
      </c>
      <c r="Q65" s="643">
        <f>'4.07_Repex_Services'!Q93+'4.07_Repex_Services'!Q170+'4.07_Repex_Services'!Q239+'4.07_Repex_Services'!Q308</f>
        <v>0</v>
      </c>
      <c r="R65" s="641">
        <f>'4.07_Repex_Services'!R93+'4.07_Repex_Services'!R170+'4.07_Repex_Services'!R239+'4.07_Repex_Services'!R308</f>
        <v>8.0254277043617581E-2</v>
      </c>
      <c r="S65" s="642">
        <f>'4.07_Repex_Services'!S93+'4.07_Repex_Services'!S170+'4.07_Repex_Services'!S239+'4.07_Repex_Services'!S308</f>
        <v>7.9853005658399492E-2</v>
      </c>
      <c r="T65" s="642">
        <f>'4.07_Repex_Services'!T93+'4.07_Repex_Services'!T170+'4.07_Repex_Services'!T239+'4.07_Repex_Services'!T308</f>
        <v>7.9453740630107489E-2</v>
      </c>
      <c r="U65" s="642">
        <f>'4.07_Repex_Services'!U93+'4.07_Repex_Services'!U170+'4.07_Repex_Services'!U239+'4.07_Repex_Services'!U308</f>
        <v>7.9056471926956945E-2</v>
      </c>
      <c r="V65" s="643">
        <f>'4.07_Repex_Services'!V93+'4.07_Repex_Services'!V170+'4.07_Repex_Services'!V239+'4.07_Repex_Services'!V308</f>
        <v>7.8661189567322154E-2</v>
      </c>
      <c r="W65" s="163"/>
      <c r="X65" s="164" t="s">
        <v>498</v>
      </c>
      <c r="Y65" s="641">
        <f>'4.07_Repex_Services'!Y93+'4.07_Repex_Services'!Y170+'4.07_Repex_Services'!Y239+'4.07_Repex_Services'!Y308</f>
        <v>0</v>
      </c>
      <c r="Z65" s="642">
        <f>'4.07_Repex_Services'!Z93+'4.07_Repex_Services'!Z170+'4.07_Repex_Services'!Z239+'4.07_Repex_Services'!Z308</f>
        <v>0</v>
      </c>
      <c r="AA65" s="642">
        <f>'4.07_Repex_Services'!AA93+'4.07_Repex_Services'!AA170+'4.07_Repex_Services'!AA239+'4.07_Repex_Services'!AA308</f>
        <v>0</v>
      </c>
      <c r="AB65" s="642">
        <f>'4.07_Repex_Services'!AB93+'4.07_Repex_Services'!AB170+'4.07_Repex_Services'!AB239+'4.07_Repex_Services'!AB308</f>
        <v>0</v>
      </c>
      <c r="AC65" s="642">
        <f>'4.07_Repex_Services'!AC93+'4.07_Repex_Services'!AC170+'4.07_Repex_Services'!AC239+'4.07_Repex_Services'!AC308</f>
        <v>0</v>
      </c>
      <c r="AD65" s="642">
        <f>'4.07_Repex_Services'!AD93+'4.07_Repex_Services'!AD170+'4.07_Repex_Services'!AD239+'4.07_Repex_Services'!AD308</f>
        <v>0</v>
      </c>
      <c r="AE65" s="642">
        <f>'4.07_Repex_Services'!AE93+'4.07_Repex_Services'!AE170+'4.07_Repex_Services'!AE239+'4.07_Repex_Services'!AE308</f>
        <v>0</v>
      </c>
      <c r="AF65" s="643">
        <f>'4.07_Repex_Services'!AF93+'4.07_Repex_Services'!AF170+'4.07_Repex_Services'!AF239+'4.07_Repex_Services'!AF308</f>
        <v>0</v>
      </c>
      <c r="AG65" s="641">
        <f>'4.07_Repex_Services'!AG93+'4.07_Repex_Services'!AG170+'4.07_Repex_Services'!AG239+'4.07_Repex_Services'!AG308</f>
        <v>0</v>
      </c>
      <c r="AH65" s="642">
        <f>'4.07_Repex_Services'!AH93+'4.07_Repex_Services'!AH170+'4.07_Repex_Services'!AH239+'4.07_Repex_Services'!AH308</f>
        <v>0</v>
      </c>
      <c r="AI65" s="642">
        <f>'4.07_Repex_Services'!AI93+'4.07_Repex_Services'!AI170+'4.07_Repex_Services'!AI239+'4.07_Repex_Services'!AI308</f>
        <v>0</v>
      </c>
      <c r="AJ65" s="642">
        <f>'4.07_Repex_Services'!AJ93+'4.07_Repex_Services'!AJ170+'4.07_Repex_Services'!AJ239+'4.07_Repex_Services'!AJ308</f>
        <v>0</v>
      </c>
      <c r="AK65" s="643">
        <f>'4.07_Repex_Services'!AK93+'4.07_Repex_Services'!AK170+'4.07_Repex_Services'!AK239+'4.07_Repex_Services'!AK308</f>
        <v>0</v>
      </c>
      <c r="AL65" s="163"/>
      <c r="AM65" s="164" t="s">
        <v>498</v>
      </c>
      <c r="AN65" s="641">
        <f t="shared" ref="AN65:AN66" si="484">J65+Y65</f>
        <v>0</v>
      </c>
      <c r="AO65" s="642">
        <f t="shared" ref="AO65:AO66" si="485">K65+Z65</f>
        <v>0</v>
      </c>
      <c r="AP65" s="642">
        <f t="shared" ref="AP65:AP66" si="486">L65+AA65</f>
        <v>0</v>
      </c>
      <c r="AQ65" s="642">
        <f t="shared" ref="AQ65:AQ66" si="487">M65+AB65</f>
        <v>0</v>
      </c>
      <c r="AR65" s="642">
        <f t="shared" ref="AR65:AR66" si="488">N65+AC65</f>
        <v>0</v>
      </c>
      <c r="AS65" s="642">
        <f t="shared" ref="AS65:AS66" si="489">O65+AD65</f>
        <v>0</v>
      </c>
      <c r="AT65" s="642">
        <f t="shared" ref="AT65:AT66" si="490">P65+AE65</f>
        <v>0</v>
      </c>
      <c r="AU65" s="643">
        <f t="shared" ref="AU65:AU66" si="491">Q65+AF65</f>
        <v>0</v>
      </c>
      <c r="AV65" s="641">
        <f t="shared" ref="AV65:AV66" si="492">R65+AG65</f>
        <v>8.0254277043617581E-2</v>
      </c>
      <c r="AW65" s="642">
        <f t="shared" ref="AW65:AW66" si="493">S65+AH65</f>
        <v>7.9853005658399492E-2</v>
      </c>
      <c r="AX65" s="642">
        <f t="shared" ref="AX65:AX66" si="494">T65+AI65</f>
        <v>7.9453740630107489E-2</v>
      </c>
      <c r="AY65" s="642">
        <f t="shared" ref="AY65:AY66" si="495">U65+AJ65</f>
        <v>7.9056471926956945E-2</v>
      </c>
      <c r="AZ65" s="643">
        <f t="shared" ref="AZ65:AZ66" si="496">V65+AK65</f>
        <v>7.8661189567322154E-2</v>
      </c>
      <c r="BA65" s="163"/>
      <c r="BB65" s="164" t="s">
        <v>1876</v>
      </c>
      <c r="BC65" s="641">
        <f>'4.07_Repex_Services'!AN93+'4.07_Repex_Services'!AN170+'4.07_Repex_Services'!AN239+'4.07_Repex_Services'!AN308</f>
        <v>0</v>
      </c>
      <c r="BD65" s="642">
        <f>'4.07_Repex_Services'!AO93+'4.07_Repex_Services'!AO170+'4.07_Repex_Services'!AO239+'4.07_Repex_Services'!AO308</f>
        <v>0</v>
      </c>
      <c r="BE65" s="642">
        <f>'4.07_Repex_Services'!AP93+'4.07_Repex_Services'!AP170+'4.07_Repex_Services'!AP239+'4.07_Repex_Services'!AP308</f>
        <v>0</v>
      </c>
      <c r="BF65" s="642">
        <f>'4.07_Repex_Services'!AQ93+'4.07_Repex_Services'!AQ170+'4.07_Repex_Services'!AQ239+'4.07_Repex_Services'!AQ308</f>
        <v>0</v>
      </c>
      <c r="BG65" s="642">
        <f>'4.07_Repex_Services'!AR93+'4.07_Repex_Services'!AR170+'4.07_Repex_Services'!AR239+'4.07_Repex_Services'!AR308</f>
        <v>0</v>
      </c>
      <c r="BH65" s="642">
        <f>'4.07_Repex_Services'!AS93+'4.07_Repex_Services'!AS170+'4.07_Repex_Services'!AS239+'4.07_Repex_Services'!AS308</f>
        <v>0</v>
      </c>
      <c r="BI65" s="642">
        <f>'4.07_Repex_Services'!AT93+'4.07_Repex_Services'!AT170+'4.07_Repex_Services'!AT239+'4.07_Repex_Services'!AT308</f>
        <v>0</v>
      </c>
      <c r="BJ65" s="643">
        <f>'4.07_Repex_Services'!AU93+'4.07_Repex_Services'!AU170+'4.07_Repex_Services'!AU239+'4.07_Repex_Services'!AU308</f>
        <v>0</v>
      </c>
      <c r="BK65" s="641">
        <f>'4.07_Repex_Services'!AV93+'4.07_Repex_Services'!AV170+'4.07_Repex_Services'!AV239+'4.07_Repex_Services'!AV308</f>
        <v>7.5921936445695097</v>
      </c>
      <c r="BL65" s="642">
        <f>'4.07_Repex_Services'!AW93+'4.07_Repex_Services'!AW170+'4.07_Repex_Services'!AW239+'4.07_Repex_Services'!AW308</f>
        <v>7.5921936445695097</v>
      </c>
      <c r="BM65" s="642">
        <f>'4.07_Repex_Services'!AX93+'4.07_Repex_Services'!AX170+'4.07_Repex_Services'!AX239+'4.07_Repex_Services'!AX308</f>
        <v>7.5921936445695097</v>
      </c>
      <c r="BN65" s="642">
        <f>'4.07_Repex_Services'!AY93+'4.07_Repex_Services'!AY170+'4.07_Repex_Services'!AY239+'4.07_Repex_Services'!AY308</f>
        <v>7.5921936445695097</v>
      </c>
      <c r="BO65" s="643">
        <f>'4.07_Repex_Services'!AZ93+'4.07_Repex_Services'!AZ170+'4.07_Repex_Services'!AZ239+'4.07_Repex_Services'!AZ308</f>
        <v>7.5921936445695097</v>
      </c>
      <c r="BP65" s="163"/>
      <c r="BQ65" s="164" t="s">
        <v>2648</v>
      </c>
      <c r="BR65" s="641">
        <f>IF(BC65,AN65/BC65,0)</f>
        <v>0</v>
      </c>
      <c r="BS65" s="642">
        <f t="shared" ref="BS65:BS66" si="497">IF(BD65,AO65/BD65,0)</f>
        <v>0</v>
      </c>
      <c r="BT65" s="642">
        <f t="shared" ref="BT65:BT66" si="498">IF(BE65,AP65/BE65,0)</f>
        <v>0</v>
      </c>
      <c r="BU65" s="642">
        <f t="shared" ref="BU65:BU66" si="499">IF(BF65,AQ65/BF65,0)</f>
        <v>0</v>
      </c>
      <c r="BV65" s="642">
        <f t="shared" ref="BV65:BV66" si="500">IF(BG65,AR65/BG65,0)</f>
        <v>0</v>
      </c>
      <c r="BW65" s="642">
        <f t="shared" ref="BW65:BW66" si="501">IF(BH65,AS65/BH65,0)</f>
        <v>0</v>
      </c>
      <c r="BX65" s="642">
        <f t="shared" ref="BX65:BX66" si="502">IF(BI65,AT65/BI65,0)</f>
        <v>0</v>
      </c>
      <c r="BY65" s="643">
        <f t="shared" ref="BY65:BY66" si="503">IF(BJ65,AU65/BJ65,0)</f>
        <v>0</v>
      </c>
      <c r="BZ65" s="641">
        <f t="shared" ref="BZ65:BZ66" si="504">IF(BK65,AV65/BK65,0)</f>
        <v>1.0570630940244956E-2</v>
      </c>
      <c r="CA65" s="642">
        <f t="shared" ref="CA65:CA66" si="505">IF(BL65,AW65/BL65,0)</f>
        <v>1.0517777785543731E-2</v>
      </c>
      <c r="CB65" s="642">
        <f t="shared" ref="CB65:CB66" si="506">IF(BM65,AX65/BM65,0)</f>
        <v>1.0465188896616013E-2</v>
      </c>
      <c r="CC65" s="642">
        <f t="shared" ref="CC65:CC66" si="507">IF(BN65,AY65/BN65,0)</f>
        <v>1.0412862952132932E-2</v>
      </c>
      <c r="CD65" s="643">
        <f t="shared" ref="CD65:CD66" si="508">IF(BO65,AZ65/BO65,0)</f>
        <v>1.0360798637372265E-2</v>
      </c>
    </row>
    <row r="66" spans="1:82" ht="14.25">
      <c r="B66" s="161"/>
      <c r="C66" s="660"/>
      <c r="D66" s="687" t="s">
        <v>2662</v>
      </c>
      <c r="E66" s="660"/>
      <c r="F66" s="162"/>
      <c r="G66" s="185"/>
      <c r="H66" s="163"/>
      <c r="I66" s="164" t="s">
        <v>498</v>
      </c>
      <c r="J66" s="641">
        <f>'4.07_Repex_Services'!J94+'4.07_Repex_Services'!J171+'4.07_Repex_Services'!J240+'4.07_Repex_Services'!J309</f>
        <v>0</v>
      </c>
      <c r="K66" s="642">
        <f>'4.07_Repex_Services'!K94+'4.07_Repex_Services'!K171+'4.07_Repex_Services'!K240+'4.07_Repex_Services'!K309</f>
        <v>0</v>
      </c>
      <c r="L66" s="642">
        <f>'4.07_Repex_Services'!L94+'4.07_Repex_Services'!L171+'4.07_Repex_Services'!L240+'4.07_Repex_Services'!L309</f>
        <v>0</v>
      </c>
      <c r="M66" s="642">
        <f>'4.07_Repex_Services'!M94+'4.07_Repex_Services'!M171+'4.07_Repex_Services'!M240+'4.07_Repex_Services'!M309</f>
        <v>0</v>
      </c>
      <c r="N66" s="642">
        <f>'4.07_Repex_Services'!N94+'4.07_Repex_Services'!N171+'4.07_Repex_Services'!N240+'4.07_Repex_Services'!N309</f>
        <v>0</v>
      </c>
      <c r="O66" s="642">
        <f>'4.07_Repex_Services'!O94+'4.07_Repex_Services'!O171+'4.07_Repex_Services'!O240+'4.07_Repex_Services'!O309</f>
        <v>0</v>
      </c>
      <c r="P66" s="642">
        <f>'4.07_Repex_Services'!P94+'4.07_Repex_Services'!P171+'4.07_Repex_Services'!P240+'4.07_Repex_Services'!P309</f>
        <v>0</v>
      </c>
      <c r="Q66" s="643">
        <f>'4.07_Repex_Services'!Q94+'4.07_Repex_Services'!Q171+'4.07_Repex_Services'!Q240+'4.07_Repex_Services'!Q309</f>
        <v>0</v>
      </c>
      <c r="R66" s="641">
        <f>'4.07_Repex_Services'!R94+'4.07_Repex_Services'!R171+'4.07_Repex_Services'!R240+'4.07_Repex_Services'!R309</f>
        <v>1.2988898454803508E-3</v>
      </c>
      <c r="S66" s="642">
        <f>'4.07_Repex_Services'!S94+'4.07_Repex_Services'!S171+'4.07_Repex_Services'!S240+'4.07_Repex_Services'!S309</f>
        <v>1.2923953962529491E-3</v>
      </c>
      <c r="T66" s="642">
        <f>'4.07_Repex_Services'!T94+'4.07_Repex_Services'!T171+'4.07_Repex_Services'!T240+'4.07_Repex_Services'!T309</f>
        <v>1.2859334192716844E-3</v>
      </c>
      <c r="U66" s="642">
        <f>'4.07_Repex_Services'!U94+'4.07_Repex_Services'!U171+'4.07_Repex_Services'!U240+'4.07_Repex_Services'!U309</f>
        <v>1.2795037521753259E-3</v>
      </c>
      <c r="V66" s="643">
        <f>'4.07_Repex_Services'!V94+'4.07_Repex_Services'!V171+'4.07_Repex_Services'!V240+'4.07_Repex_Services'!V309</f>
        <v>1.2731062334144492E-3</v>
      </c>
      <c r="W66" s="163"/>
      <c r="X66" s="164" t="s">
        <v>498</v>
      </c>
      <c r="Y66" s="641">
        <f>'4.07_Repex_Services'!Y94+'4.07_Repex_Services'!Y171+'4.07_Repex_Services'!Y240+'4.07_Repex_Services'!Y309</f>
        <v>0</v>
      </c>
      <c r="Z66" s="642">
        <f>'4.07_Repex_Services'!Z94+'4.07_Repex_Services'!Z171+'4.07_Repex_Services'!Z240+'4.07_Repex_Services'!Z309</f>
        <v>0</v>
      </c>
      <c r="AA66" s="642">
        <f>'4.07_Repex_Services'!AA94+'4.07_Repex_Services'!AA171+'4.07_Repex_Services'!AA240+'4.07_Repex_Services'!AA309</f>
        <v>0</v>
      </c>
      <c r="AB66" s="642">
        <f>'4.07_Repex_Services'!AB94+'4.07_Repex_Services'!AB171+'4.07_Repex_Services'!AB240+'4.07_Repex_Services'!AB309</f>
        <v>0</v>
      </c>
      <c r="AC66" s="642">
        <f>'4.07_Repex_Services'!AC94+'4.07_Repex_Services'!AC171+'4.07_Repex_Services'!AC240+'4.07_Repex_Services'!AC309</f>
        <v>0</v>
      </c>
      <c r="AD66" s="642">
        <f>'4.07_Repex_Services'!AD94+'4.07_Repex_Services'!AD171+'4.07_Repex_Services'!AD240+'4.07_Repex_Services'!AD309</f>
        <v>0</v>
      </c>
      <c r="AE66" s="642">
        <f>'4.07_Repex_Services'!AE94+'4.07_Repex_Services'!AE171+'4.07_Repex_Services'!AE240+'4.07_Repex_Services'!AE309</f>
        <v>0</v>
      </c>
      <c r="AF66" s="643">
        <f>'4.07_Repex_Services'!AF94+'4.07_Repex_Services'!AF171+'4.07_Repex_Services'!AF240+'4.07_Repex_Services'!AF309</f>
        <v>0</v>
      </c>
      <c r="AG66" s="641">
        <f>'4.07_Repex_Services'!AG94+'4.07_Repex_Services'!AG171+'4.07_Repex_Services'!AG240+'4.07_Repex_Services'!AG309</f>
        <v>0</v>
      </c>
      <c r="AH66" s="642">
        <f>'4.07_Repex_Services'!AH94+'4.07_Repex_Services'!AH171+'4.07_Repex_Services'!AH240+'4.07_Repex_Services'!AH309</f>
        <v>0</v>
      </c>
      <c r="AI66" s="642">
        <f>'4.07_Repex_Services'!AI94+'4.07_Repex_Services'!AI171+'4.07_Repex_Services'!AI240+'4.07_Repex_Services'!AI309</f>
        <v>0</v>
      </c>
      <c r="AJ66" s="642">
        <f>'4.07_Repex_Services'!AJ94+'4.07_Repex_Services'!AJ171+'4.07_Repex_Services'!AJ240+'4.07_Repex_Services'!AJ309</f>
        <v>0</v>
      </c>
      <c r="AK66" s="643">
        <f>'4.07_Repex_Services'!AK94+'4.07_Repex_Services'!AK171+'4.07_Repex_Services'!AK240+'4.07_Repex_Services'!AK309</f>
        <v>0</v>
      </c>
      <c r="AL66" s="163"/>
      <c r="AM66" s="164" t="s">
        <v>498</v>
      </c>
      <c r="AN66" s="641">
        <f t="shared" si="484"/>
        <v>0</v>
      </c>
      <c r="AO66" s="642">
        <f t="shared" si="485"/>
        <v>0</v>
      </c>
      <c r="AP66" s="642">
        <f t="shared" si="486"/>
        <v>0</v>
      </c>
      <c r="AQ66" s="642">
        <f t="shared" si="487"/>
        <v>0</v>
      </c>
      <c r="AR66" s="642">
        <f t="shared" si="488"/>
        <v>0</v>
      </c>
      <c r="AS66" s="642">
        <f t="shared" si="489"/>
        <v>0</v>
      </c>
      <c r="AT66" s="642">
        <f t="shared" si="490"/>
        <v>0</v>
      </c>
      <c r="AU66" s="643">
        <f t="shared" si="491"/>
        <v>0</v>
      </c>
      <c r="AV66" s="641">
        <f t="shared" si="492"/>
        <v>1.2988898454803508E-3</v>
      </c>
      <c r="AW66" s="642">
        <f t="shared" si="493"/>
        <v>1.2923953962529491E-3</v>
      </c>
      <c r="AX66" s="642">
        <f t="shared" si="494"/>
        <v>1.2859334192716844E-3</v>
      </c>
      <c r="AY66" s="642">
        <f t="shared" si="495"/>
        <v>1.2795037521753259E-3</v>
      </c>
      <c r="AZ66" s="643">
        <f t="shared" si="496"/>
        <v>1.2731062334144492E-3</v>
      </c>
      <c r="BA66" s="163"/>
      <c r="BB66" s="164" t="s">
        <v>1876</v>
      </c>
      <c r="BC66" s="641">
        <f>'4.07_Repex_Services'!AN94+'4.07_Repex_Services'!AN171+'4.07_Repex_Services'!AN240+'4.07_Repex_Services'!AN309</f>
        <v>0</v>
      </c>
      <c r="BD66" s="642">
        <f>'4.07_Repex_Services'!AO94+'4.07_Repex_Services'!AO171+'4.07_Repex_Services'!AO240+'4.07_Repex_Services'!AO309</f>
        <v>0</v>
      </c>
      <c r="BE66" s="642">
        <f>'4.07_Repex_Services'!AP94+'4.07_Repex_Services'!AP171+'4.07_Repex_Services'!AP240+'4.07_Repex_Services'!AP309</f>
        <v>0</v>
      </c>
      <c r="BF66" s="642">
        <f>'4.07_Repex_Services'!AQ94+'4.07_Repex_Services'!AQ171+'4.07_Repex_Services'!AQ240+'4.07_Repex_Services'!AQ309</f>
        <v>0</v>
      </c>
      <c r="BG66" s="642">
        <f>'4.07_Repex_Services'!AR94+'4.07_Repex_Services'!AR171+'4.07_Repex_Services'!AR240+'4.07_Repex_Services'!AR309</f>
        <v>0</v>
      </c>
      <c r="BH66" s="642">
        <f>'4.07_Repex_Services'!AS94+'4.07_Repex_Services'!AS171+'4.07_Repex_Services'!AS240+'4.07_Repex_Services'!AS309</f>
        <v>0</v>
      </c>
      <c r="BI66" s="642">
        <f>'4.07_Repex_Services'!AT94+'4.07_Repex_Services'!AT171+'4.07_Repex_Services'!AT240+'4.07_Repex_Services'!AT309</f>
        <v>0</v>
      </c>
      <c r="BJ66" s="643">
        <f>'4.07_Repex_Services'!AU94+'4.07_Repex_Services'!AU171+'4.07_Repex_Services'!AU240+'4.07_Repex_Services'!AU309</f>
        <v>0</v>
      </c>
      <c r="BK66" s="641">
        <f>'4.07_Repex_Services'!AV94+'4.07_Repex_Services'!AV171+'4.07_Repex_Services'!AV240+'4.07_Repex_Services'!AV309</f>
        <v>5.0614624297130062</v>
      </c>
      <c r="BL66" s="642">
        <f>'4.07_Repex_Services'!AW94+'4.07_Repex_Services'!AW171+'4.07_Repex_Services'!AW240+'4.07_Repex_Services'!AW309</f>
        <v>5.0614624297130062</v>
      </c>
      <c r="BM66" s="642">
        <f>'4.07_Repex_Services'!AX94+'4.07_Repex_Services'!AX171+'4.07_Repex_Services'!AX240+'4.07_Repex_Services'!AX309</f>
        <v>5.0614624297130062</v>
      </c>
      <c r="BN66" s="642">
        <f>'4.07_Repex_Services'!AY94+'4.07_Repex_Services'!AY171+'4.07_Repex_Services'!AY240+'4.07_Repex_Services'!AY309</f>
        <v>5.0614624297130062</v>
      </c>
      <c r="BO66" s="643">
        <f>'4.07_Repex_Services'!AZ94+'4.07_Repex_Services'!AZ171+'4.07_Repex_Services'!AZ240+'4.07_Repex_Services'!AZ309</f>
        <v>5.0614624297130062</v>
      </c>
      <c r="BP66" s="163"/>
      <c r="BQ66" s="164" t="s">
        <v>2648</v>
      </c>
      <c r="BR66" s="641">
        <f>IF(BC66,AN66/BC66,0)</f>
        <v>0</v>
      </c>
      <c r="BS66" s="642">
        <f t="shared" si="497"/>
        <v>0</v>
      </c>
      <c r="BT66" s="642">
        <f t="shared" si="498"/>
        <v>0</v>
      </c>
      <c r="BU66" s="642">
        <f t="shared" si="499"/>
        <v>0</v>
      </c>
      <c r="BV66" s="642">
        <f t="shared" si="500"/>
        <v>0</v>
      </c>
      <c r="BW66" s="642">
        <f t="shared" si="501"/>
        <v>0</v>
      </c>
      <c r="BX66" s="642">
        <f t="shared" si="502"/>
        <v>0</v>
      </c>
      <c r="BY66" s="643">
        <f t="shared" si="503"/>
        <v>0</v>
      </c>
      <c r="BZ66" s="641">
        <f t="shared" si="504"/>
        <v>2.5662342920008599E-4</v>
      </c>
      <c r="CA66" s="642">
        <f t="shared" si="505"/>
        <v>2.5534031205408554E-4</v>
      </c>
      <c r="CB66" s="642">
        <f t="shared" si="506"/>
        <v>2.5406361049381512E-4</v>
      </c>
      <c r="CC66" s="642">
        <f t="shared" si="507"/>
        <v>2.5279329244134606E-4</v>
      </c>
      <c r="CD66" s="643">
        <f t="shared" si="508"/>
        <v>2.5152932597913931E-4</v>
      </c>
    </row>
    <row r="67" spans="1:82" ht="14.25">
      <c r="B67" s="161"/>
      <c r="C67" s="185" t="s">
        <v>1710</v>
      </c>
      <c r="D67" s="660"/>
      <c r="E67" s="185"/>
      <c r="F67" s="162"/>
      <c r="G67" s="185"/>
      <c r="H67" s="185"/>
      <c r="I67" s="164" t="s">
        <v>498</v>
      </c>
      <c r="J67" s="697">
        <f>SUM(J63:J66)</f>
        <v>0.41621157294637878</v>
      </c>
      <c r="K67" s="698">
        <f t="shared" ref="K67:V67" si="509">SUM(K63:K66)</f>
        <v>0.64745495335929992</v>
      </c>
      <c r="L67" s="698">
        <f t="shared" si="509"/>
        <v>0.54198386928484643</v>
      </c>
      <c r="M67" s="698">
        <f t="shared" si="509"/>
        <v>0.55507854672647872</v>
      </c>
      <c r="N67" s="698">
        <f t="shared" si="509"/>
        <v>0.96705419818375205</v>
      </c>
      <c r="O67" s="698">
        <f t="shared" si="509"/>
        <v>0.42856598503395865</v>
      </c>
      <c r="P67" s="698">
        <f t="shared" si="509"/>
        <v>0.60007573981167328</v>
      </c>
      <c r="Q67" s="699">
        <f t="shared" si="509"/>
        <v>0.49401236551907451</v>
      </c>
      <c r="R67" s="697">
        <f t="shared" si="509"/>
        <v>0.96747478507810536</v>
      </c>
      <c r="S67" s="698">
        <f t="shared" si="509"/>
        <v>0.96263741115271495</v>
      </c>
      <c r="T67" s="698">
        <f t="shared" si="509"/>
        <v>0.95782422409695123</v>
      </c>
      <c r="U67" s="698">
        <f t="shared" si="509"/>
        <v>0.95303510297646665</v>
      </c>
      <c r="V67" s="699">
        <f t="shared" si="509"/>
        <v>0.94826992746158423</v>
      </c>
      <c r="W67" s="185"/>
      <c r="X67" s="164" t="s">
        <v>498</v>
      </c>
      <c r="Y67" s="697">
        <f>SUM(Y63:Y66)</f>
        <v>0</v>
      </c>
      <c r="Z67" s="698">
        <f t="shared" ref="Z67" si="510">SUM(Z63:Z66)</f>
        <v>0</v>
      </c>
      <c r="AA67" s="698">
        <f t="shared" ref="AA67" si="511">SUM(AA63:AA66)</f>
        <v>0</v>
      </c>
      <c r="AB67" s="698">
        <f t="shared" ref="AB67" si="512">SUM(AB63:AB66)</f>
        <v>0</v>
      </c>
      <c r="AC67" s="698">
        <f t="shared" ref="AC67" si="513">SUM(AC63:AC66)</f>
        <v>0</v>
      </c>
      <c r="AD67" s="698">
        <f t="shared" ref="AD67" si="514">SUM(AD63:AD66)</f>
        <v>0</v>
      </c>
      <c r="AE67" s="698">
        <f t="shared" ref="AE67" si="515">SUM(AE63:AE66)</f>
        <v>0</v>
      </c>
      <c r="AF67" s="699">
        <f t="shared" ref="AF67" si="516">SUM(AF63:AF66)</f>
        <v>0</v>
      </c>
      <c r="AG67" s="697">
        <f t="shared" ref="AG67" si="517">SUM(AG63:AG66)</f>
        <v>-2.2484278645824971E-3</v>
      </c>
      <c r="AH67" s="698">
        <f t="shared" ref="AH67" si="518">SUM(AH63:AH66)</f>
        <v>-2.2371857252595846E-3</v>
      </c>
      <c r="AI67" s="698">
        <f t="shared" ref="AI67" si="519">SUM(AI63:AI66)</f>
        <v>-2.2259997966332865E-3</v>
      </c>
      <c r="AJ67" s="698">
        <f t="shared" ref="AJ67" si="520">SUM(AJ63:AJ66)</f>
        <v>-2.2148697976501204E-3</v>
      </c>
      <c r="AK67" s="699">
        <f t="shared" ref="AK67" si="521">SUM(AK63:AK66)</f>
        <v>-2.2037954486618695E-3</v>
      </c>
      <c r="AL67" s="185"/>
      <c r="AM67" s="164" t="s">
        <v>498</v>
      </c>
      <c r="AN67" s="697">
        <f>SUM(AN63:AN66)</f>
        <v>0.41621157294637878</v>
      </c>
      <c r="AO67" s="698">
        <f t="shared" ref="AO67" si="522">SUM(AO63:AO66)</f>
        <v>0.64745495335929992</v>
      </c>
      <c r="AP67" s="698">
        <f t="shared" ref="AP67" si="523">SUM(AP63:AP66)</f>
        <v>0.54198386928484643</v>
      </c>
      <c r="AQ67" s="698">
        <f t="shared" ref="AQ67" si="524">SUM(AQ63:AQ66)</f>
        <v>0.55507854672647872</v>
      </c>
      <c r="AR67" s="698">
        <f t="shared" ref="AR67" si="525">SUM(AR63:AR66)</f>
        <v>0.96705419818375205</v>
      </c>
      <c r="AS67" s="698">
        <f t="shared" ref="AS67" si="526">SUM(AS63:AS66)</f>
        <v>0.42856598503395865</v>
      </c>
      <c r="AT67" s="698">
        <f t="shared" ref="AT67" si="527">SUM(AT63:AT66)</f>
        <v>0.60007573981167328</v>
      </c>
      <c r="AU67" s="699">
        <f t="shared" ref="AU67" si="528">SUM(AU63:AU66)</f>
        <v>0.49401236551907451</v>
      </c>
      <c r="AV67" s="697">
        <f t="shared" ref="AV67" si="529">SUM(AV63:AV66)</f>
        <v>0.9652263572135229</v>
      </c>
      <c r="AW67" s="698">
        <f t="shared" ref="AW67" si="530">SUM(AW63:AW66)</f>
        <v>0.9604002254274554</v>
      </c>
      <c r="AX67" s="698">
        <f t="shared" ref="AX67" si="531">SUM(AX63:AX66)</f>
        <v>0.95559822430031793</v>
      </c>
      <c r="AY67" s="698">
        <f t="shared" ref="AY67" si="532">SUM(AY63:AY66)</f>
        <v>0.95082023317881659</v>
      </c>
      <c r="AZ67" s="699">
        <f t="shared" ref="AZ67" si="533">SUM(AZ63:AZ66)</f>
        <v>0.94606613201292244</v>
      </c>
      <c r="BA67" s="185"/>
      <c r="BB67" s="164" t="s">
        <v>1876</v>
      </c>
      <c r="BC67" s="697">
        <f>SUM(BC63:BC66)</f>
        <v>108</v>
      </c>
      <c r="BD67" s="698">
        <f t="shared" ref="BD67:BO67" si="534">SUM(BD63:BD66)</f>
        <v>445</v>
      </c>
      <c r="BE67" s="698">
        <f t="shared" si="534"/>
        <v>207</v>
      </c>
      <c r="BF67" s="698">
        <f t="shared" si="534"/>
        <v>116</v>
      </c>
      <c r="BG67" s="698">
        <f t="shared" si="534"/>
        <v>127</v>
      </c>
      <c r="BH67" s="698">
        <f t="shared" si="534"/>
        <v>127</v>
      </c>
      <c r="BI67" s="698">
        <f t="shared" si="534"/>
        <v>193.49952827218931</v>
      </c>
      <c r="BJ67" s="699">
        <f t="shared" si="534"/>
        <v>164.44377685649562</v>
      </c>
      <c r="BK67" s="697">
        <f t="shared" si="534"/>
        <v>158.1991662578252</v>
      </c>
      <c r="BL67" s="698">
        <f t="shared" si="534"/>
        <v>158.1991662578252</v>
      </c>
      <c r="BM67" s="698">
        <f t="shared" si="534"/>
        <v>158.1991662578252</v>
      </c>
      <c r="BN67" s="698">
        <f t="shared" si="534"/>
        <v>158.1991662578252</v>
      </c>
      <c r="BO67" s="699">
        <f t="shared" si="534"/>
        <v>158.1991662578252</v>
      </c>
      <c r="BP67" s="185"/>
      <c r="BQ67" s="117"/>
      <c r="BR67" s="159"/>
      <c r="BS67" s="117"/>
      <c r="BT67" s="117"/>
      <c r="BU67" s="117"/>
      <c r="BV67" s="117"/>
      <c r="BW67" s="117"/>
      <c r="BX67" s="117"/>
      <c r="BY67" s="160"/>
      <c r="BZ67" s="159"/>
      <c r="CA67" s="117"/>
      <c r="CB67" s="117"/>
      <c r="CC67" s="117"/>
      <c r="CD67" s="160"/>
    </row>
    <row r="68" spans="1:82" ht="14.25">
      <c r="B68" s="181"/>
      <c r="C68" s="185"/>
      <c r="D68" s="185"/>
      <c r="E68" s="182"/>
      <c r="F68" s="185"/>
      <c r="G68" s="184"/>
      <c r="H68" s="184"/>
      <c r="I68" s="117"/>
      <c r="J68" s="713"/>
      <c r="K68" s="714"/>
      <c r="L68" s="714"/>
      <c r="M68" s="714"/>
      <c r="N68" s="714"/>
      <c r="O68" s="714"/>
      <c r="P68" s="714"/>
      <c r="Q68" s="715"/>
      <c r="R68" s="716"/>
      <c r="S68" s="714"/>
      <c r="T68" s="714"/>
      <c r="U68" s="714"/>
      <c r="V68" s="715"/>
      <c r="W68" s="184"/>
      <c r="X68" s="117"/>
      <c r="Y68" s="713"/>
      <c r="Z68" s="714"/>
      <c r="AA68" s="714"/>
      <c r="AB68" s="714"/>
      <c r="AC68" s="714"/>
      <c r="AD68" s="714"/>
      <c r="AE68" s="714"/>
      <c r="AF68" s="715"/>
      <c r="AG68" s="716"/>
      <c r="AH68" s="714"/>
      <c r="AI68" s="714"/>
      <c r="AJ68" s="714"/>
      <c r="AK68" s="715"/>
      <c r="AL68" s="184"/>
      <c r="AM68" s="117"/>
      <c r="AN68" s="713"/>
      <c r="AO68" s="714"/>
      <c r="AP68" s="714"/>
      <c r="AQ68" s="714"/>
      <c r="AR68" s="714"/>
      <c r="AS68" s="714"/>
      <c r="AT68" s="714"/>
      <c r="AU68" s="715"/>
      <c r="AV68" s="716"/>
      <c r="AW68" s="714"/>
      <c r="AX68" s="714"/>
      <c r="AY68" s="714"/>
      <c r="AZ68" s="715"/>
      <c r="BA68" s="184"/>
      <c r="BB68" s="117"/>
      <c r="BC68" s="159"/>
      <c r="BD68" s="117"/>
      <c r="BE68" s="117"/>
      <c r="BF68" s="117"/>
      <c r="BG68" s="117"/>
      <c r="BH68" s="117"/>
      <c r="BI68" s="117"/>
      <c r="BJ68" s="160"/>
      <c r="BK68" s="159"/>
      <c r="BL68" s="117"/>
      <c r="BM68" s="117"/>
      <c r="BN68" s="117"/>
      <c r="BO68" s="160"/>
      <c r="BP68" s="184"/>
      <c r="BQ68" s="117"/>
      <c r="BR68" s="159"/>
      <c r="BS68" s="117"/>
      <c r="BT68" s="117"/>
      <c r="BU68" s="117"/>
      <c r="BV68" s="117"/>
      <c r="BW68" s="117"/>
      <c r="BX68" s="117"/>
      <c r="BY68" s="160"/>
      <c r="BZ68" s="159"/>
      <c r="CA68" s="117"/>
      <c r="CB68" s="117"/>
      <c r="CC68" s="117"/>
      <c r="CD68" s="160"/>
    </row>
    <row r="69" spans="1:82" ht="15" thickBot="1">
      <c r="B69" s="191" t="s">
        <v>1701</v>
      </c>
      <c r="C69" s="192"/>
      <c r="D69" s="192"/>
      <c r="E69" s="193"/>
      <c r="F69" s="192"/>
      <c r="G69" s="192"/>
      <c r="H69" s="194"/>
      <c r="I69" s="195" t="s">
        <v>498</v>
      </c>
      <c r="J69" s="701">
        <f>SUM(J53,J60,J67)</f>
        <v>71.642563451707645</v>
      </c>
      <c r="K69" s="702">
        <f t="shared" ref="K69:V69" si="535">SUM(K53,K60,K67)</f>
        <v>78.263599826967535</v>
      </c>
      <c r="L69" s="702">
        <f t="shared" si="535"/>
        <v>71.558076307411724</v>
      </c>
      <c r="M69" s="702">
        <f t="shared" si="535"/>
        <v>70.753388396825216</v>
      </c>
      <c r="N69" s="702">
        <f t="shared" si="535"/>
        <v>66.664042556182537</v>
      </c>
      <c r="O69" s="702">
        <f t="shared" si="535"/>
        <v>70.107753032725256</v>
      </c>
      <c r="P69" s="702">
        <f t="shared" si="535"/>
        <v>68.017309582738349</v>
      </c>
      <c r="Q69" s="703">
        <f t="shared" si="535"/>
        <v>62.716738558275317</v>
      </c>
      <c r="R69" s="701">
        <f t="shared" si="535"/>
        <v>65.3242595769795</v>
      </c>
      <c r="S69" s="702">
        <f t="shared" si="535"/>
        <v>64.997638279094573</v>
      </c>
      <c r="T69" s="702">
        <f t="shared" si="535"/>
        <v>64.672650087699125</v>
      </c>
      <c r="U69" s="702">
        <f t="shared" si="535"/>
        <v>64.349286837260621</v>
      </c>
      <c r="V69" s="703">
        <f t="shared" si="535"/>
        <v>64.027540403074312</v>
      </c>
      <c r="W69" s="194"/>
      <c r="X69" s="195" t="s">
        <v>498</v>
      </c>
      <c r="Y69" s="701">
        <f>SUM(Y53,Y60,Y67)</f>
        <v>-0.33449367641537225</v>
      </c>
      <c r="Z69" s="702">
        <f t="shared" ref="Z69:AK69" si="536">SUM(Z53,Z60,Z67)</f>
        <v>-0.78238775594251253</v>
      </c>
      <c r="AA69" s="702">
        <f t="shared" si="536"/>
        <v>-1.0562576199140532</v>
      </c>
      <c r="AB69" s="702">
        <f t="shared" si="536"/>
        <v>-0.1301121703949783</v>
      </c>
      <c r="AC69" s="702">
        <f t="shared" si="536"/>
        <v>-0.59238152378472442</v>
      </c>
      <c r="AD69" s="702">
        <f t="shared" si="536"/>
        <v>-1.0277515257476271</v>
      </c>
      <c r="AE69" s="702">
        <f t="shared" si="536"/>
        <v>-0.36939516126550154</v>
      </c>
      <c r="AF69" s="703">
        <f t="shared" si="536"/>
        <v>-0.32987492584781664</v>
      </c>
      <c r="AG69" s="701">
        <f t="shared" si="536"/>
        <v>-1.5473958228547182</v>
      </c>
      <c r="AH69" s="702">
        <f t="shared" si="536"/>
        <v>-1.5396588437404448</v>
      </c>
      <c r="AI69" s="702">
        <f t="shared" si="536"/>
        <v>-1.5319605495217419</v>
      </c>
      <c r="AJ69" s="702">
        <f t="shared" si="536"/>
        <v>-1.5243007467741334</v>
      </c>
      <c r="AK69" s="703">
        <f t="shared" si="536"/>
        <v>-1.5166792430402627</v>
      </c>
      <c r="AL69" s="194"/>
      <c r="AM69" s="195" t="s">
        <v>498</v>
      </c>
      <c r="AN69" s="701">
        <f>SUM(AN53,AN60,AN67)</f>
        <v>70.895434770750342</v>
      </c>
      <c r="AO69" s="702">
        <f t="shared" ref="AO69:AZ69" si="537">SUM(AO53,AO60,AO67)</f>
        <v>77.289561729622932</v>
      </c>
      <c r="AP69" s="702">
        <f t="shared" si="537"/>
        <v>70.255531652418227</v>
      </c>
      <c r="AQ69" s="702">
        <f t="shared" si="537"/>
        <v>70.522888853085632</v>
      </c>
      <c r="AR69" s="702">
        <f t="shared" si="537"/>
        <v>66.031545174497495</v>
      </c>
      <c r="AS69" s="702">
        <f t="shared" si="537"/>
        <v>69.065655602945725</v>
      </c>
      <c r="AT69" s="702">
        <f t="shared" si="537"/>
        <v>67.647914421472848</v>
      </c>
      <c r="AU69" s="703">
        <f t="shared" si="537"/>
        <v>62.386863632427499</v>
      </c>
      <c r="AV69" s="701">
        <f t="shared" si="537"/>
        <v>63.776863754124776</v>
      </c>
      <c r="AW69" s="702">
        <f t="shared" si="537"/>
        <v>63.457979435354133</v>
      </c>
      <c r="AX69" s="702">
        <f t="shared" si="537"/>
        <v>63.140689538177377</v>
      </c>
      <c r="AY69" s="702">
        <f t="shared" si="537"/>
        <v>62.824986090486483</v>
      </c>
      <c r="AZ69" s="703">
        <f t="shared" si="537"/>
        <v>62.510861160034061</v>
      </c>
      <c r="BA69" s="194"/>
      <c r="BB69" s="194"/>
      <c r="BC69" s="656"/>
      <c r="BD69" s="194"/>
      <c r="BE69" s="194"/>
      <c r="BF69" s="194"/>
      <c r="BG69" s="194"/>
      <c r="BH69" s="194"/>
      <c r="BI69" s="194"/>
      <c r="BJ69" s="972"/>
      <c r="BK69" s="656"/>
      <c r="BL69" s="194"/>
      <c r="BM69" s="194"/>
      <c r="BN69" s="194"/>
      <c r="BO69" s="972"/>
      <c r="BP69" s="194"/>
      <c r="BQ69" s="194"/>
      <c r="BR69" s="656"/>
      <c r="BS69" s="194"/>
      <c r="BT69" s="194"/>
      <c r="BU69" s="194"/>
      <c r="BV69" s="194"/>
      <c r="BW69" s="194"/>
      <c r="BX69" s="194"/>
      <c r="BY69" s="972"/>
      <c r="BZ69" s="656"/>
      <c r="CA69" s="194"/>
      <c r="CB69" s="194"/>
      <c r="CC69" s="194"/>
      <c r="CD69" s="972"/>
    </row>
    <row r="70" spans="1:82" ht="15" thickBot="1">
      <c r="B70" s="185"/>
      <c r="C70" s="185"/>
      <c r="D70" s="162"/>
      <c r="E70" s="162"/>
      <c r="F70" s="185"/>
      <c r="G70" s="185"/>
      <c r="H70" s="163"/>
      <c r="I70" s="185"/>
      <c r="J70" s="162"/>
      <c r="K70" s="162"/>
      <c r="L70" s="185"/>
      <c r="M70" s="185"/>
      <c r="N70" s="163"/>
      <c r="O70" s="185"/>
      <c r="P70" s="162"/>
      <c r="Q70" s="162"/>
      <c r="R70" s="185"/>
      <c r="S70" s="185"/>
      <c r="T70" s="163"/>
      <c r="U70" s="185"/>
      <c r="V70" s="162"/>
      <c r="AH70" s="173"/>
      <c r="AQ70" s="173"/>
    </row>
    <row r="71" spans="1:82" s="100" customFormat="1" ht="30" customHeight="1" thickBot="1">
      <c r="A71" s="89"/>
      <c r="B71" s="621" t="s">
        <v>1683</v>
      </c>
      <c r="C71" s="102"/>
      <c r="D71" s="102"/>
      <c r="E71" s="102"/>
      <c r="F71" s="102"/>
      <c r="G71" s="103"/>
      <c r="H71" s="103"/>
      <c r="I71" s="105" t="s">
        <v>1864</v>
      </c>
      <c r="J71" s="106"/>
      <c r="K71" s="106"/>
      <c r="L71" s="106"/>
      <c r="M71" s="106"/>
      <c r="N71" s="106"/>
      <c r="O71" s="106"/>
      <c r="P71" s="106"/>
      <c r="Q71" s="106"/>
      <c r="R71" s="105"/>
      <c r="S71" s="105"/>
      <c r="T71" s="105"/>
      <c r="U71" s="105"/>
      <c r="V71" s="187"/>
      <c r="W71" s="103"/>
      <c r="X71" s="105" t="s">
        <v>2202</v>
      </c>
      <c r="Y71" s="106"/>
      <c r="Z71" s="106"/>
      <c r="AA71" s="106"/>
      <c r="AB71" s="106"/>
      <c r="AC71" s="106"/>
      <c r="AD71" s="106"/>
      <c r="AE71" s="106"/>
      <c r="AF71" s="106"/>
      <c r="AG71" s="105"/>
      <c r="AH71" s="105"/>
      <c r="AI71" s="105"/>
      <c r="AJ71" s="105"/>
      <c r="AK71" s="187"/>
      <c r="AL71" s="103"/>
      <c r="AM71" s="105" t="s">
        <v>1704</v>
      </c>
      <c r="AN71" s="106"/>
      <c r="AO71" s="106"/>
      <c r="AP71" s="106"/>
      <c r="AQ71" s="106"/>
      <c r="AR71" s="106"/>
      <c r="AS71" s="106"/>
      <c r="AT71" s="106"/>
      <c r="AU71" s="106"/>
      <c r="AV71" s="105"/>
      <c r="AW71" s="105"/>
      <c r="AX71" s="105"/>
      <c r="AY71" s="105"/>
      <c r="AZ71" s="187"/>
      <c r="BA71" s="103"/>
      <c r="BB71" s="105" t="s">
        <v>2231</v>
      </c>
      <c r="BC71" s="106"/>
      <c r="BD71" s="106"/>
      <c r="BE71" s="106"/>
      <c r="BF71" s="106"/>
      <c r="BG71" s="106"/>
      <c r="BH71" s="106"/>
      <c r="BI71" s="106"/>
      <c r="BJ71" s="106"/>
      <c r="BK71" s="105"/>
      <c r="BL71" s="105"/>
      <c r="BM71" s="105"/>
      <c r="BN71" s="105"/>
      <c r="BO71" s="187"/>
      <c r="BP71" s="103"/>
      <c r="BQ71" s="105" t="s">
        <v>2414</v>
      </c>
      <c r="BR71" s="106"/>
      <c r="BS71" s="106"/>
      <c r="BT71" s="106"/>
      <c r="BU71" s="106"/>
      <c r="BV71" s="106"/>
      <c r="BW71" s="106"/>
      <c r="BX71" s="106"/>
      <c r="BY71" s="106"/>
      <c r="BZ71" s="105"/>
      <c r="CA71" s="105"/>
      <c r="CB71" s="105"/>
      <c r="CC71" s="105"/>
      <c r="CD71" s="187"/>
    </row>
    <row r="72" spans="1:82" s="157" customFormat="1" ht="30" customHeight="1">
      <c r="A72" s="99"/>
      <c r="B72" s="109"/>
      <c r="C72" s="110"/>
      <c r="D72" s="110"/>
      <c r="E72" s="110"/>
      <c r="F72" s="110"/>
      <c r="G72" s="111"/>
      <c r="H72" s="111"/>
      <c r="I72" s="117"/>
      <c r="J72" s="695" t="s">
        <v>1666</v>
      </c>
      <c r="K72" s="152"/>
      <c r="L72" s="152"/>
      <c r="M72" s="152"/>
      <c r="N72" s="152"/>
      <c r="O72" s="152"/>
      <c r="P72" s="152"/>
      <c r="Q72" s="153"/>
      <c r="R72" s="696" t="s">
        <v>2</v>
      </c>
      <c r="S72" s="155"/>
      <c r="T72" s="155"/>
      <c r="U72" s="155"/>
      <c r="V72" s="156"/>
      <c r="W72" s="111"/>
      <c r="X72" s="117"/>
      <c r="Y72" s="695" t="s">
        <v>1666</v>
      </c>
      <c r="Z72" s="152"/>
      <c r="AA72" s="152"/>
      <c r="AB72" s="152"/>
      <c r="AC72" s="152"/>
      <c r="AD72" s="152"/>
      <c r="AE72" s="152"/>
      <c r="AF72" s="153"/>
      <c r="AG72" s="696" t="s">
        <v>2</v>
      </c>
      <c r="AH72" s="155"/>
      <c r="AI72" s="155"/>
      <c r="AJ72" s="155"/>
      <c r="AK72" s="156"/>
      <c r="AL72" s="111"/>
      <c r="AM72" s="117"/>
      <c r="AN72" s="695" t="s">
        <v>1666</v>
      </c>
      <c r="AO72" s="152"/>
      <c r="AP72" s="152"/>
      <c r="AQ72" s="152"/>
      <c r="AR72" s="152"/>
      <c r="AS72" s="152"/>
      <c r="AT72" s="152"/>
      <c r="AU72" s="153"/>
      <c r="AV72" s="696" t="s">
        <v>2</v>
      </c>
      <c r="AW72" s="155"/>
      <c r="AX72" s="155"/>
      <c r="AY72" s="155"/>
      <c r="AZ72" s="156"/>
      <c r="BA72" s="111"/>
      <c r="BB72" s="117"/>
      <c r="BC72" s="695" t="s">
        <v>1666</v>
      </c>
      <c r="BD72" s="152" t="s">
        <v>1666</v>
      </c>
      <c r="BE72" s="152" t="s">
        <v>1666</v>
      </c>
      <c r="BF72" s="152" t="s">
        <v>1666</v>
      </c>
      <c r="BG72" s="152" t="s">
        <v>1666</v>
      </c>
      <c r="BH72" s="152" t="s">
        <v>1666</v>
      </c>
      <c r="BI72" s="152" t="s">
        <v>1666</v>
      </c>
      <c r="BJ72" s="153" t="s">
        <v>1666</v>
      </c>
      <c r="BK72" s="696" t="s">
        <v>1666</v>
      </c>
      <c r="BL72" s="155" t="s">
        <v>1666</v>
      </c>
      <c r="BM72" s="155" t="s">
        <v>1666</v>
      </c>
      <c r="BN72" s="155" t="s">
        <v>1666</v>
      </c>
      <c r="BO72" s="156" t="s">
        <v>1666</v>
      </c>
      <c r="BP72" s="111"/>
      <c r="BQ72" s="117"/>
      <c r="BR72" s="695" t="s">
        <v>1666</v>
      </c>
      <c r="BS72" s="152"/>
      <c r="BT72" s="152"/>
      <c r="BU72" s="152"/>
      <c r="BV72" s="152"/>
      <c r="BW72" s="152"/>
      <c r="BX72" s="152"/>
      <c r="BY72" s="153"/>
      <c r="BZ72" s="696" t="s">
        <v>2</v>
      </c>
      <c r="CA72" s="155"/>
      <c r="CB72" s="155"/>
      <c r="CC72" s="155"/>
      <c r="CD72" s="156"/>
    </row>
    <row r="73" spans="1:82" ht="15">
      <c r="B73" s="115"/>
      <c r="C73" s="185"/>
      <c r="D73" s="116"/>
      <c r="E73" s="116"/>
      <c r="F73" s="116"/>
      <c r="G73" s="117"/>
      <c r="H73" s="117"/>
      <c r="I73" s="119" t="s">
        <v>1667</v>
      </c>
      <c r="J73" s="158" t="s">
        <v>453</v>
      </c>
      <c r="K73" s="137" t="s">
        <v>455</v>
      </c>
      <c r="L73" s="137" t="s">
        <v>457</v>
      </c>
      <c r="M73" s="137" t="s">
        <v>459</v>
      </c>
      <c r="N73" s="137" t="s">
        <v>461</v>
      </c>
      <c r="O73" s="137" t="s">
        <v>463</v>
      </c>
      <c r="P73" s="137" t="s">
        <v>465</v>
      </c>
      <c r="Q73" s="138" t="s">
        <v>467</v>
      </c>
      <c r="R73" s="120" t="s">
        <v>469</v>
      </c>
      <c r="S73" s="121" t="s">
        <v>471</v>
      </c>
      <c r="T73" s="121" t="s">
        <v>473</v>
      </c>
      <c r="U73" s="121" t="s">
        <v>475</v>
      </c>
      <c r="V73" s="122" t="s">
        <v>477</v>
      </c>
      <c r="W73" s="117"/>
      <c r="X73" s="119" t="s">
        <v>1667</v>
      </c>
      <c r="Y73" s="158" t="s">
        <v>453</v>
      </c>
      <c r="Z73" s="137" t="s">
        <v>455</v>
      </c>
      <c r="AA73" s="137" t="s">
        <v>457</v>
      </c>
      <c r="AB73" s="137" t="s">
        <v>459</v>
      </c>
      <c r="AC73" s="137" t="s">
        <v>461</v>
      </c>
      <c r="AD73" s="137" t="s">
        <v>463</v>
      </c>
      <c r="AE73" s="137" t="s">
        <v>465</v>
      </c>
      <c r="AF73" s="138" t="s">
        <v>467</v>
      </c>
      <c r="AG73" s="120" t="s">
        <v>469</v>
      </c>
      <c r="AH73" s="121" t="s">
        <v>471</v>
      </c>
      <c r="AI73" s="121" t="s">
        <v>473</v>
      </c>
      <c r="AJ73" s="121" t="s">
        <v>475</v>
      </c>
      <c r="AK73" s="122" t="s">
        <v>477</v>
      </c>
      <c r="AL73" s="117"/>
      <c r="AM73" s="119" t="s">
        <v>1667</v>
      </c>
      <c r="AN73" s="158" t="s">
        <v>453</v>
      </c>
      <c r="AO73" s="137" t="s">
        <v>455</v>
      </c>
      <c r="AP73" s="137" t="s">
        <v>457</v>
      </c>
      <c r="AQ73" s="137" t="s">
        <v>459</v>
      </c>
      <c r="AR73" s="137" t="s">
        <v>461</v>
      </c>
      <c r="AS73" s="137" t="s">
        <v>463</v>
      </c>
      <c r="AT73" s="137" t="s">
        <v>465</v>
      </c>
      <c r="AU73" s="138" t="s">
        <v>467</v>
      </c>
      <c r="AV73" s="120" t="s">
        <v>469</v>
      </c>
      <c r="AW73" s="121" t="s">
        <v>471</v>
      </c>
      <c r="AX73" s="121" t="s">
        <v>473</v>
      </c>
      <c r="AY73" s="121" t="s">
        <v>475</v>
      </c>
      <c r="AZ73" s="122" t="s">
        <v>477</v>
      </c>
      <c r="BA73" s="117"/>
      <c r="BB73" s="119" t="s">
        <v>1667</v>
      </c>
      <c r="BC73" s="158" t="s">
        <v>453</v>
      </c>
      <c r="BD73" s="137" t="s">
        <v>453</v>
      </c>
      <c r="BE73" s="137" t="s">
        <v>453</v>
      </c>
      <c r="BF73" s="137" t="s">
        <v>453</v>
      </c>
      <c r="BG73" s="137" t="s">
        <v>453</v>
      </c>
      <c r="BH73" s="137" t="s">
        <v>453</v>
      </c>
      <c r="BI73" s="137" t="s">
        <v>453</v>
      </c>
      <c r="BJ73" s="138" t="s">
        <v>453</v>
      </c>
      <c r="BK73" s="120" t="s">
        <v>453</v>
      </c>
      <c r="BL73" s="121" t="s">
        <v>453</v>
      </c>
      <c r="BM73" s="121" t="s">
        <v>453</v>
      </c>
      <c r="BN73" s="121" t="s">
        <v>453</v>
      </c>
      <c r="BO73" s="122" t="s">
        <v>453</v>
      </c>
      <c r="BP73" s="117"/>
      <c r="BQ73" s="119" t="s">
        <v>1667</v>
      </c>
      <c r="BR73" s="158" t="s">
        <v>453</v>
      </c>
      <c r="BS73" s="137" t="s">
        <v>455</v>
      </c>
      <c r="BT73" s="137" t="s">
        <v>457</v>
      </c>
      <c r="BU73" s="137" t="s">
        <v>459</v>
      </c>
      <c r="BV73" s="137" t="s">
        <v>461</v>
      </c>
      <c r="BW73" s="137" t="s">
        <v>463</v>
      </c>
      <c r="BX73" s="137" t="s">
        <v>465</v>
      </c>
      <c r="BY73" s="138" t="s">
        <v>467</v>
      </c>
      <c r="BZ73" s="120" t="s">
        <v>469</v>
      </c>
      <c r="CA73" s="121" t="s">
        <v>471</v>
      </c>
      <c r="CB73" s="121" t="s">
        <v>473</v>
      </c>
      <c r="CC73" s="121" t="s">
        <v>475</v>
      </c>
      <c r="CD73" s="122" t="s">
        <v>477</v>
      </c>
    </row>
    <row r="74" spans="1:82" ht="15.75">
      <c r="B74" s="161"/>
      <c r="C74" s="616" t="s">
        <v>2652</v>
      </c>
      <c r="D74" s="186"/>
      <c r="E74" s="180"/>
      <c r="F74" s="180"/>
      <c r="G74" s="162"/>
      <c r="H74" s="163"/>
      <c r="I74" s="117"/>
      <c r="J74" s="159"/>
      <c r="K74" s="117"/>
      <c r="L74" s="117"/>
      <c r="M74" s="117"/>
      <c r="N74" s="117"/>
      <c r="O74" s="117"/>
      <c r="P74" s="117"/>
      <c r="Q74" s="160"/>
      <c r="R74" s="159"/>
      <c r="S74" s="117"/>
      <c r="T74" s="117"/>
      <c r="U74" s="117"/>
      <c r="V74" s="160"/>
      <c r="W74" s="163"/>
      <c r="X74" s="117"/>
      <c r="Y74" s="159"/>
      <c r="Z74" s="117"/>
      <c r="AA74" s="117"/>
      <c r="AB74" s="117"/>
      <c r="AC74" s="117"/>
      <c r="AD74" s="117"/>
      <c r="AE74" s="117"/>
      <c r="AF74" s="160"/>
      <c r="AG74" s="159"/>
      <c r="AH74" s="117"/>
      <c r="AI74" s="117"/>
      <c r="AJ74" s="117"/>
      <c r="AK74" s="160"/>
      <c r="AL74" s="163"/>
      <c r="AM74" s="117"/>
      <c r="AN74" s="159"/>
      <c r="AO74" s="117"/>
      <c r="AP74" s="117"/>
      <c r="AQ74" s="117"/>
      <c r="AR74" s="117"/>
      <c r="AS74" s="117"/>
      <c r="AT74" s="117"/>
      <c r="AU74" s="160"/>
      <c r="AV74" s="159"/>
      <c r="AW74" s="117"/>
      <c r="AX74" s="117"/>
      <c r="AY74" s="117"/>
      <c r="AZ74" s="160"/>
      <c r="BA74" s="163"/>
      <c r="BB74" s="117"/>
      <c r="BC74" s="159"/>
      <c r="BD74" s="117"/>
      <c r="BE74" s="117"/>
      <c r="BF74" s="117"/>
      <c r="BG74" s="117"/>
      <c r="BH74" s="117"/>
      <c r="BI74" s="117"/>
      <c r="BJ74" s="160"/>
      <c r="BK74" s="159"/>
      <c r="BL74" s="117"/>
      <c r="BM74" s="117"/>
      <c r="BN74" s="117"/>
      <c r="BO74" s="160"/>
      <c r="BP74" s="163"/>
      <c r="BQ74" s="117"/>
      <c r="BR74" s="159"/>
      <c r="BS74" s="117"/>
      <c r="BT74" s="117"/>
      <c r="BU74" s="117"/>
      <c r="BV74" s="117"/>
      <c r="BW74" s="117"/>
      <c r="BX74" s="117"/>
      <c r="BY74" s="160"/>
      <c r="BZ74" s="159"/>
      <c r="CA74" s="117"/>
      <c r="CB74" s="117"/>
      <c r="CC74" s="117"/>
      <c r="CD74" s="160"/>
    </row>
    <row r="75" spans="1:82" ht="15">
      <c r="B75" s="161"/>
      <c r="C75" s="185"/>
      <c r="D75" s="185" t="s">
        <v>1683</v>
      </c>
      <c r="E75" s="617"/>
      <c r="F75" s="162"/>
      <c r="G75" s="162"/>
      <c r="H75" s="185"/>
      <c r="I75" s="164" t="s">
        <v>498</v>
      </c>
      <c r="J75" s="641">
        <f>'4.02_Repex_Mains_Tier-2A'!J53</f>
        <v>2.5193312240193482</v>
      </c>
      <c r="K75" s="642">
        <f>'4.02_Repex_Mains_Tier-2A'!K53</f>
        <v>2.626877643311154</v>
      </c>
      <c r="L75" s="642">
        <f>'4.02_Repex_Mains_Tier-2A'!L53</f>
        <v>1.863412419057505</v>
      </c>
      <c r="M75" s="642">
        <f>'4.02_Repex_Mains_Tier-2A'!M53</f>
        <v>1.656983511593719</v>
      </c>
      <c r="N75" s="642">
        <f>'4.02_Repex_Mains_Tier-2A'!N53</f>
        <v>2.5315269795060518</v>
      </c>
      <c r="O75" s="642">
        <f>'4.02_Repex_Mains_Tier-2A'!O53</f>
        <v>1.476762616241831</v>
      </c>
      <c r="P75" s="642">
        <f>'4.02_Repex_Mains_Tier-2A'!P53</f>
        <v>4.8221869760373028</v>
      </c>
      <c r="Q75" s="643">
        <f>'4.02_Repex_Mains_Tier-2A'!Q53</f>
        <v>4.644392487711845</v>
      </c>
      <c r="R75" s="641">
        <f>'4.02_Repex_Mains_Tier-2A'!R53</f>
        <v>0.75641721269517914</v>
      </c>
      <c r="S75" s="642">
        <f>'4.02_Repex_Mains_Tier-2A'!S53</f>
        <v>0.75263512663170329</v>
      </c>
      <c r="T75" s="642">
        <f>'4.02_Repex_Mains_Tier-2A'!T53</f>
        <v>0.74887195099854464</v>
      </c>
      <c r="U75" s="642">
        <f>'4.02_Repex_Mains_Tier-2A'!U53</f>
        <v>0.74512759124355199</v>
      </c>
      <c r="V75" s="643">
        <f>'4.02_Repex_Mains_Tier-2A'!V53</f>
        <v>0.74140195328733416</v>
      </c>
      <c r="W75" s="185"/>
      <c r="X75" s="164" t="s">
        <v>498</v>
      </c>
      <c r="Y75" s="641">
        <f>'4.02_Repex_Mains_Tier-2A'!Y53</f>
        <v>0</v>
      </c>
      <c r="Z75" s="642">
        <f>'4.02_Repex_Mains_Tier-2A'!Z53</f>
        <v>0</v>
      </c>
      <c r="AA75" s="642">
        <f>'4.02_Repex_Mains_Tier-2A'!AA53</f>
        <v>0</v>
      </c>
      <c r="AB75" s="642">
        <f>'4.02_Repex_Mains_Tier-2A'!AB53</f>
        <v>0</v>
      </c>
      <c r="AC75" s="642">
        <f>'4.02_Repex_Mains_Tier-2A'!AC53</f>
        <v>0</v>
      </c>
      <c r="AD75" s="642">
        <f>'4.02_Repex_Mains_Tier-2A'!AD53</f>
        <v>0</v>
      </c>
      <c r="AE75" s="642">
        <f>'4.02_Repex_Mains_Tier-2A'!AE53</f>
        <v>0</v>
      </c>
      <c r="AF75" s="643">
        <f>'4.02_Repex_Mains_Tier-2A'!AF53</f>
        <v>0</v>
      </c>
      <c r="AG75" s="641">
        <f>'4.02_Repex_Mains_Tier-2A'!AG53</f>
        <v>0</v>
      </c>
      <c r="AH75" s="642">
        <f>'4.02_Repex_Mains_Tier-2A'!AH53</f>
        <v>0</v>
      </c>
      <c r="AI75" s="642">
        <f>'4.02_Repex_Mains_Tier-2A'!AI53</f>
        <v>0</v>
      </c>
      <c r="AJ75" s="642">
        <f>'4.02_Repex_Mains_Tier-2A'!AJ53</f>
        <v>0</v>
      </c>
      <c r="AK75" s="643">
        <f>'4.02_Repex_Mains_Tier-2A'!AK53</f>
        <v>0</v>
      </c>
      <c r="AL75" s="185"/>
      <c r="AM75" s="164" t="s">
        <v>498</v>
      </c>
      <c r="AN75" s="641">
        <f>J75+Y75</f>
        <v>2.5193312240193482</v>
      </c>
      <c r="AO75" s="642">
        <f t="shared" ref="AO75:AZ77" si="538">K75+Z75</f>
        <v>2.626877643311154</v>
      </c>
      <c r="AP75" s="642">
        <f t="shared" si="538"/>
        <v>1.863412419057505</v>
      </c>
      <c r="AQ75" s="642">
        <f t="shared" si="538"/>
        <v>1.656983511593719</v>
      </c>
      <c r="AR75" s="642">
        <f t="shared" si="538"/>
        <v>2.5315269795060518</v>
      </c>
      <c r="AS75" s="642">
        <f t="shared" si="538"/>
        <v>1.476762616241831</v>
      </c>
      <c r="AT75" s="642">
        <f t="shared" si="538"/>
        <v>4.8221869760373028</v>
      </c>
      <c r="AU75" s="643">
        <f t="shared" si="538"/>
        <v>4.644392487711845</v>
      </c>
      <c r="AV75" s="641">
        <f t="shared" si="538"/>
        <v>0.75641721269517914</v>
      </c>
      <c r="AW75" s="642">
        <f t="shared" si="538"/>
        <v>0.75263512663170329</v>
      </c>
      <c r="AX75" s="642">
        <f t="shared" si="538"/>
        <v>0.74887195099854464</v>
      </c>
      <c r="AY75" s="642">
        <f t="shared" si="538"/>
        <v>0.74512759124355199</v>
      </c>
      <c r="AZ75" s="643">
        <f t="shared" si="538"/>
        <v>0.74140195328733416</v>
      </c>
      <c r="BA75" s="185"/>
      <c r="BB75" s="164" t="s">
        <v>2233</v>
      </c>
      <c r="BC75" s="641">
        <f>'4.02_Repex_Mains_Tier-2A'!AN53</f>
        <v>8.0860000000000003</v>
      </c>
      <c r="BD75" s="642">
        <f>'4.02_Repex_Mains_Tier-2A'!AO53</f>
        <v>8.2949999999999999</v>
      </c>
      <c r="BE75" s="642">
        <f>'4.02_Repex_Mains_Tier-2A'!AP53</f>
        <v>5.2570000000000006</v>
      </c>
      <c r="BF75" s="642">
        <f>'4.02_Repex_Mains_Tier-2A'!AQ53</f>
        <v>4.07</v>
      </c>
      <c r="BG75" s="642">
        <f>'4.02_Repex_Mains_Tier-2A'!AR53</f>
        <v>7.6760000000000002</v>
      </c>
      <c r="BH75" s="642">
        <f>'4.02_Repex_Mains_Tier-2A'!AS53</f>
        <v>4.0609999999999999</v>
      </c>
      <c r="BI75" s="642">
        <f>'4.02_Repex_Mains_Tier-2A'!AT53</f>
        <v>14.851000000000003</v>
      </c>
      <c r="BJ75" s="643">
        <f>'4.02_Repex_Mains_Tier-2A'!AU53</f>
        <v>14.874177221205709</v>
      </c>
      <c r="BK75" s="641">
        <f>'4.02_Repex_Mains_Tier-2A'!AV53</f>
        <v>2.0250000000000008</v>
      </c>
      <c r="BL75" s="642">
        <f>'4.02_Repex_Mains_Tier-2A'!AW53</f>
        <v>2.0250000000000008</v>
      </c>
      <c r="BM75" s="642">
        <f>'4.02_Repex_Mains_Tier-2A'!AX53</f>
        <v>2.0250000000000008</v>
      </c>
      <c r="BN75" s="642">
        <f>'4.02_Repex_Mains_Tier-2A'!AY53</f>
        <v>2.0250000000000008</v>
      </c>
      <c r="BO75" s="643">
        <f>'4.02_Repex_Mains_Tier-2A'!AZ53</f>
        <v>2.0250000000000008</v>
      </c>
      <c r="BP75" s="185"/>
      <c r="BQ75" s="164" t="s">
        <v>2415</v>
      </c>
      <c r="BR75" s="641">
        <f>IF(BC75,AN75/BC75,0)</f>
        <v>0.31156705713818306</v>
      </c>
      <c r="BS75" s="642">
        <f t="shared" ref="BS75:BS77" si="539">IF(BD75,AO75/BD75,0)</f>
        <v>0.31668205464872262</v>
      </c>
      <c r="BT75" s="642">
        <f t="shared" ref="BT75:BT77" si="540">IF(BE75,AP75/BE75,0)</f>
        <v>0.35446308142619454</v>
      </c>
      <c r="BU75" s="642">
        <f t="shared" ref="BU75:BU77" si="541">IF(BF75,AQ75/BF75,0)</f>
        <v>0.40712125591983267</v>
      </c>
      <c r="BV75" s="642">
        <f t="shared" ref="BV75:BV77" si="542">IF(BG75,AR75/BG75,0)</f>
        <v>0.32979767841402446</v>
      </c>
      <c r="BW75" s="642">
        <f t="shared" ref="BW75:BW77" si="543">IF(BH75,AS75/BH75,0)</f>
        <v>0.36364506679188158</v>
      </c>
      <c r="BX75" s="642">
        <f t="shared" ref="BX75:BX77" si="544">IF(BI75,AT75/BI75,0)</f>
        <v>0.32470453006782724</v>
      </c>
      <c r="BY75" s="643">
        <f t="shared" ref="BY75:BY77" si="545">IF(BJ75,AU75/BJ75,0)</f>
        <v>0.31224533758347728</v>
      </c>
      <c r="BZ75" s="641">
        <f t="shared" ref="BZ75:BZ77" si="546">IF(BK75,AV75/BK75,0)</f>
        <v>0.37353936429391549</v>
      </c>
      <c r="CA75" s="642">
        <f t="shared" ref="CA75:CA77" si="547">IF(BL75,AW75/BL75,0)</f>
        <v>0.3716716674724459</v>
      </c>
      <c r="CB75" s="642">
        <f t="shared" ref="CB75:CB77" si="548">IF(BM75,AX75/BM75,0)</f>
        <v>0.36981330913508365</v>
      </c>
      <c r="CC75" s="642">
        <f t="shared" ref="CC75:CC77" si="549">IF(BN75,AY75/BN75,0)</f>
        <v>0.36796424258940824</v>
      </c>
      <c r="CD75" s="643">
        <f t="shared" ref="CD75:CD77" si="550">IF(BO75,AZ75/BO75,0)</f>
        <v>0.36612442137646117</v>
      </c>
    </row>
    <row r="76" spans="1:82" ht="14.25">
      <c r="B76" s="161"/>
      <c r="C76" s="185"/>
      <c r="D76" s="185" t="s">
        <v>2664</v>
      </c>
      <c r="E76" s="185"/>
      <c r="F76" s="162"/>
      <c r="G76" s="185"/>
      <c r="H76" s="185"/>
      <c r="I76" s="164" t="s">
        <v>498</v>
      </c>
      <c r="J76" s="641">
        <f>'4.05_Repex_Mains_Diversions'!J45+'4.05_Repex_Mains_Diversions'!J130</f>
        <v>0</v>
      </c>
      <c r="K76" s="642">
        <f>'4.05_Repex_Mains_Diversions'!K45+'4.05_Repex_Mains_Diversions'!K130</f>
        <v>0</v>
      </c>
      <c r="L76" s="642">
        <f>'4.05_Repex_Mains_Diversions'!L45+'4.05_Repex_Mains_Diversions'!L130</f>
        <v>0</v>
      </c>
      <c r="M76" s="642">
        <f>'4.05_Repex_Mains_Diversions'!M45+'4.05_Repex_Mains_Diversions'!M130</f>
        <v>0</v>
      </c>
      <c r="N76" s="642">
        <f>'4.05_Repex_Mains_Diversions'!N45+'4.05_Repex_Mains_Diversions'!N130</f>
        <v>0</v>
      </c>
      <c r="O76" s="642">
        <f>'4.05_Repex_Mains_Diversions'!O45+'4.05_Repex_Mains_Diversions'!O130</f>
        <v>0</v>
      </c>
      <c r="P76" s="642">
        <f>'4.05_Repex_Mains_Diversions'!P45+'4.05_Repex_Mains_Diversions'!P130</f>
        <v>0</v>
      </c>
      <c r="Q76" s="643">
        <f>'4.05_Repex_Mains_Diversions'!Q45+'4.05_Repex_Mains_Diversions'!Q130</f>
        <v>0</v>
      </c>
      <c r="R76" s="641">
        <f>'4.05_Repex_Mains_Diversions'!R45+'4.05_Repex_Mains_Diversions'!R130</f>
        <v>0</v>
      </c>
      <c r="S76" s="642">
        <f>'4.05_Repex_Mains_Diversions'!S45+'4.05_Repex_Mains_Diversions'!S130</f>
        <v>0</v>
      </c>
      <c r="T76" s="642">
        <f>'4.05_Repex_Mains_Diversions'!T45+'4.05_Repex_Mains_Diversions'!T130</f>
        <v>0</v>
      </c>
      <c r="U76" s="642">
        <f>'4.05_Repex_Mains_Diversions'!U45+'4.05_Repex_Mains_Diversions'!U130</f>
        <v>0</v>
      </c>
      <c r="V76" s="643">
        <f>'4.05_Repex_Mains_Diversions'!V45+'4.05_Repex_Mains_Diversions'!V130</f>
        <v>0</v>
      </c>
      <c r="W76" s="185"/>
      <c r="X76" s="164" t="s">
        <v>498</v>
      </c>
      <c r="Y76" s="641">
        <f>'4.05_Repex_Mains_Diversions'!Y45+'4.05_Repex_Mains_Diversions'!Y130</f>
        <v>0</v>
      </c>
      <c r="Z76" s="642">
        <f>'4.05_Repex_Mains_Diversions'!Z45+'4.05_Repex_Mains_Diversions'!Z130</f>
        <v>0</v>
      </c>
      <c r="AA76" s="642">
        <f>'4.05_Repex_Mains_Diversions'!AA45+'4.05_Repex_Mains_Diversions'!AA130</f>
        <v>0</v>
      </c>
      <c r="AB76" s="642">
        <f>'4.05_Repex_Mains_Diversions'!AB45+'4.05_Repex_Mains_Diversions'!AB130</f>
        <v>0</v>
      </c>
      <c r="AC76" s="642">
        <f>'4.05_Repex_Mains_Diversions'!AC45+'4.05_Repex_Mains_Diversions'!AC130</f>
        <v>0</v>
      </c>
      <c r="AD76" s="642">
        <f>'4.05_Repex_Mains_Diversions'!AD45+'4.05_Repex_Mains_Diversions'!AD130</f>
        <v>0</v>
      </c>
      <c r="AE76" s="642">
        <f>'4.05_Repex_Mains_Diversions'!AE45+'4.05_Repex_Mains_Diversions'!AE130</f>
        <v>0</v>
      </c>
      <c r="AF76" s="643">
        <f>'4.05_Repex_Mains_Diversions'!AF45+'4.05_Repex_Mains_Diversions'!AF130</f>
        <v>0</v>
      </c>
      <c r="AG76" s="641">
        <f>'4.05_Repex_Mains_Diversions'!AG45+'4.05_Repex_Mains_Diversions'!AG130</f>
        <v>0</v>
      </c>
      <c r="AH76" s="642">
        <f>'4.05_Repex_Mains_Diversions'!AH45+'4.05_Repex_Mains_Diversions'!AH130</f>
        <v>0</v>
      </c>
      <c r="AI76" s="642">
        <f>'4.05_Repex_Mains_Diversions'!AI45+'4.05_Repex_Mains_Diversions'!AI130</f>
        <v>0</v>
      </c>
      <c r="AJ76" s="642">
        <f>'4.05_Repex_Mains_Diversions'!AJ45+'4.05_Repex_Mains_Diversions'!AJ130</f>
        <v>0</v>
      </c>
      <c r="AK76" s="643">
        <f>'4.05_Repex_Mains_Diversions'!AK45+'4.05_Repex_Mains_Diversions'!AK130</f>
        <v>0</v>
      </c>
      <c r="AL76" s="185"/>
      <c r="AM76" s="164" t="s">
        <v>498</v>
      </c>
      <c r="AN76" s="641">
        <f t="shared" ref="AN76:AN77" si="551">J76+Y76</f>
        <v>0</v>
      </c>
      <c r="AO76" s="642">
        <f t="shared" si="538"/>
        <v>0</v>
      </c>
      <c r="AP76" s="642">
        <f t="shared" si="538"/>
        <v>0</v>
      </c>
      <c r="AQ76" s="642">
        <f t="shared" si="538"/>
        <v>0</v>
      </c>
      <c r="AR76" s="642">
        <f t="shared" si="538"/>
        <v>0</v>
      </c>
      <c r="AS76" s="642">
        <f t="shared" si="538"/>
        <v>0</v>
      </c>
      <c r="AT76" s="642">
        <f t="shared" si="538"/>
        <v>0</v>
      </c>
      <c r="AU76" s="643">
        <f t="shared" si="538"/>
        <v>0</v>
      </c>
      <c r="AV76" s="641">
        <f t="shared" si="538"/>
        <v>0</v>
      </c>
      <c r="AW76" s="642">
        <f t="shared" si="538"/>
        <v>0</v>
      </c>
      <c r="AX76" s="642">
        <f t="shared" si="538"/>
        <v>0</v>
      </c>
      <c r="AY76" s="642">
        <f t="shared" si="538"/>
        <v>0</v>
      </c>
      <c r="AZ76" s="643">
        <f t="shared" si="538"/>
        <v>0</v>
      </c>
      <c r="BA76" s="185"/>
      <c r="BB76" s="164" t="s">
        <v>2233</v>
      </c>
      <c r="BC76" s="641">
        <f>'4.05_Repex_Mains_Diversions'!AN45+'4.05_Repex_Mains_Diversions'!AN130</f>
        <v>0</v>
      </c>
      <c r="BD76" s="642">
        <f>'4.05_Repex_Mains_Diversions'!AO45+'4.05_Repex_Mains_Diversions'!AO130</f>
        <v>0</v>
      </c>
      <c r="BE76" s="642">
        <f>'4.05_Repex_Mains_Diversions'!AP45+'4.05_Repex_Mains_Diversions'!AP130</f>
        <v>0</v>
      </c>
      <c r="BF76" s="642">
        <f>'4.05_Repex_Mains_Diversions'!AQ45+'4.05_Repex_Mains_Diversions'!AQ130</f>
        <v>0</v>
      </c>
      <c r="BG76" s="642">
        <f>'4.05_Repex_Mains_Diversions'!AR45+'4.05_Repex_Mains_Diversions'!AR130</f>
        <v>0</v>
      </c>
      <c r="BH76" s="642">
        <f>'4.05_Repex_Mains_Diversions'!AS45+'4.05_Repex_Mains_Diversions'!AS130</f>
        <v>0</v>
      </c>
      <c r="BI76" s="642">
        <f>'4.05_Repex_Mains_Diversions'!AT45+'4.05_Repex_Mains_Diversions'!AT130</f>
        <v>0</v>
      </c>
      <c r="BJ76" s="643">
        <f>'4.05_Repex_Mains_Diversions'!AU45+'4.05_Repex_Mains_Diversions'!AU130</f>
        <v>0</v>
      </c>
      <c r="BK76" s="641">
        <f>'4.05_Repex_Mains_Diversions'!AV45+'4.05_Repex_Mains_Diversions'!AV130</f>
        <v>0</v>
      </c>
      <c r="BL76" s="642">
        <f>'4.05_Repex_Mains_Diversions'!AW45+'4.05_Repex_Mains_Diversions'!AW130</f>
        <v>0</v>
      </c>
      <c r="BM76" s="642">
        <f>'4.05_Repex_Mains_Diversions'!AX45+'4.05_Repex_Mains_Diversions'!AX130</f>
        <v>0</v>
      </c>
      <c r="BN76" s="642">
        <f>'4.05_Repex_Mains_Diversions'!AY45+'4.05_Repex_Mains_Diversions'!AY130</f>
        <v>0</v>
      </c>
      <c r="BO76" s="643">
        <f>'4.05_Repex_Mains_Diversions'!AZ45+'4.05_Repex_Mains_Diversions'!AZ130</f>
        <v>0</v>
      </c>
      <c r="BP76" s="185"/>
      <c r="BQ76" s="164" t="s">
        <v>2415</v>
      </c>
      <c r="BR76" s="641">
        <f t="shared" ref="BR76:BR77" si="552">IF(BC76,AN76/BC76,0)</f>
        <v>0</v>
      </c>
      <c r="BS76" s="642">
        <f t="shared" si="539"/>
        <v>0</v>
      </c>
      <c r="BT76" s="642">
        <f t="shared" si="540"/>
        <v>0</v>
      </c>
      <c r="BU76" s="642">
        <f t="shared" si="541"/>
        <v>0</v>
      </c>
      <c r="BV76" s="642">
        <f t="shared" si="542"/>
        <v>0</v>
      </c>
      <c r="BW76" s="642">
        <f t="shared" si="543"/>
        <v>0</v>
      </c>
      <c r="BX76" s="642">
        <f t="shared" si="544"/>
        <v>0</v>
      </c>
      <c r="BY76" s="643">
        <f t="shared" si="545"/>
        <v>0</v>
      </c>
      <c r="BZ76" s="641">
        <f t="shared" si="546"/>
        <v>0</v>
      </c>
      <c r="CA76" s="642">
        <f t="shared" si="547"/>
        <v>0</v>
      </c>
      <c r="CB76" s="642">
        <f t="shared" si="548"/>
        <v>0</v>
      </c>
      <c r="CC76" s="642">
        <f t="shared" si="549"/>
        <v>0</v>
      </c>
      <c r="CD76" s="643">
        <f t="shared" si="550"/>
        <v>0</v>
      </c>
    </row>
    <row r="77" spans="1:82" ht="14.25">
      <c r="B77" s="161"/>
      <c r="C77" s="185"/>
      <c r="D77" s="185" t="s">
        <v>2665</v>
      </c>
      <c r="E77" s="185"/>
      <c r="F77" s="162"/>
      <c r="G77" s="185"/>
      <c r="H77" s="185"/>
      <c r="I77" s="164" t="s">
        <v>498</v>
      </c>
      <c r="J77" s="641">
        <f>'4.06_Capitalised_Replacement'!J45</f>
        <v>0</v>
      </c>
      <c r="K77" s="642">
        <f>'4.06_Capitalised_Replacement'!K45</f>
        <v>0</v>
      </c>
      <c r="L77" s="642">
        <f>'4.06_Capitalised_Replacement'!L45</f>
        <v>0</v>
      </c>
      <c r="M77" s="642">
        <f>'4.06_Capitalised_Replacement'!M45</f>
        <v>0</v>
      </c>
      <c r="N77" s="642">
        <f>'4.06_Capitalised_Replacement'!N45</f>
        <v>0</v>
      </c>
      <c r="O77" s="642">
        <f>'4.06_Capitalised_Replacement'!O45</f>
        <v>0</v>
      </c>
      <c r="P77" s="642">
        <f>'4.06_Capitalised_Replacement'!P45</f>
        <v>0</v>
      </c>
      <c r="Q77" s="643">
        <f>'4.06_Capitalised_Replacement'!Q45</f>
        <v>0</v>
      </c>
      <c r="R77" s="641">
        <f>'4.06_Capitalised_Replacement'!R45</f>
        <v>0</v>
      </c>
      <c r="S77" s="642">
        <f>'4.06_Capitalised_Replacement'!S45</f>
        <v>0</v>
      </c>
      <c r="T77" s="642">
        <f>'4.06_Capitalised_Replacement'!T45</f>
        <v>0</v>
      </c>
      <c r="U77" s="642">
        <f>'4.06_Capitalised_Replacement'!U45</f>
        <v>0</v>
      </c>
      <c r="V77" s="643">
        <f>'4.06_Capitalised_Replacement'!V45</f>
        <v>0</v>
      </c>
      <c r="W77" s="185"/>
      <c r="X77" s="164" t="s">
        <v>498</v>
      </c>
      <c r="Y77" s="641">
        <f>'4.06_Capitalised_Replacement'!Y45</f>
        <v>0</v>
      </c>
      <c r="Z77" s="642">
        <f>'4.06_Capitalised_Replacement'!Z45</f>
        <v>0</v>
      </c>
      <c r="AA77" s="642">
        <f>'4.06_Capitalised_Replacement'!AA45</f>
        <v>0</v>
      </c>
      <c r="AB77" s="642">
        <f>'4.06_Capitalised_Replacement'!AB45</f>
        <v>0</v>
      </c>
      <c r="AC77" s="642">
        <f>'4.06_Capitalised_Replacement'!AC45</f>
        <v>0</v>
      </c>
      <c r="AD77" s="642">
        <f>'4.06_Capitalised_Replacement'!AD45</f>
        <v>0</v>
      </c>
      <c r="AE77" s="642">
        <f>'4.06_Capitalised_Replacement'!AE45</f>
        <v>0</v>
      </c>
      <c r="AF77" s="643">
        <f>'4.06_Capitalised_Replacement'!AF45</f>
        <v>0</v>
      </c>
      <c r="AG77" s="641">
        <f>'4.06_Capitalised_Replacement'!AG45</f>
        <v>0</v>
      </c>
      <c r="AH77" s="642">
        <f>'4.06_Capitalised_Replacement'!AH45</f>
        <v>0</v>
      </c>
      <c r="AI77" s="642">
        <f>'4.06_Capitalised_Replacement'!AI45</f>
        <v>0</v>
      </c>
      <c r="AJ77" s="642">
        <f>'4.06_Capitalised_Replacement'!AJ45</f>
        <v>0</v>
      </c>
      <c r="AK77" s="643">
        <f>'4.06_Capitalised_Replacement'!AK45</f>
        <v>0</v>
      </c>
      <c r="AL77" s="185"/>
      <c r="AM77" s="164" t="s">
        <v>498</v>
      </c>
      <c r="AN77" s="641">
        <f t="shared" si="551"/>
        <v>0</v>
      </c>
      <c r="AO77" s="642">
        <f t="shared" si="538"/>
        <v>0</v>
      </c>
      <c r="AP77" s="642">
        <f t="shared" si="538"/>
        <v>0</v>
      </c>
      <c r="AQ77" s="642">
        <f t="shared" si="538"/>
        <v>0</v>
      </c>
      <c r="AR77" s="642">
        <f t="shared" si="538"/>
        <v>0</v>
      </c>
      <c r="AS77" s="642">
        <f t="shared" si="538"/>
        <v>0</v>
      </c>
      <c r="AT77" s="642">
        <f t="shared" si="538"/>
        <v>0</v>
      </c>
      <c r="AU77" s="643">
        <f t="shared" si="538"/>
        <v>0</v>
      </c>
      <c r="AV77" s="641">
        <f t="shared" si="538"/>
        <v>0</v>
      </c>
      <c r="AW77" s="642">
        <f t="shared" si="538"/>
        <v>0</v>
      </c>
      <c r="AX77" s="642">
        <f t="shared" si="538"/>
        <v>0</v>
      </c>
      <c r="AY77" s="642">
        <f t="shared" si="538"/>
        <v>0</v>
      </c>
      <c r="AZ77" s="643">
        <f t="shared" si="538"/>
        <v>0</v>
      </c>
      <c r="BA77" s="185"/>
      <c r="BB77" s="164" t="s">
        <v>2233</v>
      </c>
      <c r="BC77" s="641">
        <f>'4.06_Capitalised_Replacement'!AN45</f>
        <v>0</v>
      </c>
      <c r="BD77" s="642">
        <f>'4.06_Capitalised_Replacement'!AO45</f>
        <v>0</v>
      </c>
      <c r="BE77" s="642">
        <f>'4.06_Capitalised_Replacement'!AP45</f>
        <v>0</v>
      </c>
      <c r="BF77" s="642">
        <f>'4.06_Capitalised_Replacement'!AQ45</f>
        <v>0</v>
      </c>
      <c r="BG77" s="642">
        <f>'4.06_Capitalised_Replacement'!AR45</f>
        <v>0</v>
      </c>
      <c r="BH77" s="642">
        <f>'4.06_Capitalised_Replacement'!AS45</f>
        <v>0</v>
      </c>
      <c r="BI77" s="642">
        <f>'4.06_Capitalised_Replacement'!AT45</f>
        <v>0</v>
      </c>
      <c r="BJ77" s="643">
        <f>'4.06_Capitalised_Replacement'!AU45</f>
        <v>0</v>
      </c>
      <c r="BK77" s="641">
        <f>'4.06_Capitalised_Replacement'!AV45</f>
        <v>0</v>
      </c>
      <c r="BL77" s="642">
        <f>'4.06_Capitalised_Replacement'!AW45</f>
        <v>0</v>
      </c>
      <c r="BM77" s="642">
        <f>'4.06_Capitalised_Replacement'!AX45</f>
        <v>0</v>
      </c>
      <c r="BN77" s="642">
        <f>'4.06_Capitalised_Replacement'!AY45</f>
        <v>0</v>
      </c>
      <c r="BO77" s="643">
        <f>'4.06_Capitalised_Replacement'!AZ45</f>
        <v>0</v>
      </c>
      <c r="BP77" s="185"/>
      <c r="BQ77" s="164" t="s">
        <v>2415</v>
      </c>
      <c r="BR77" s="641">
        <f t="shared" si="552"/>
        <v>0</v>
      </c>
      <c r="BS77" s="642">
        <f t="shared" si="539"/>
        <v>0</v>
      </c>
      <c r="BT77" s="642">
        <f t="shared" si="540"/>
        <v>0</v>
      </c>
      <c r="BU77" s="642">
        <f t="shared" si="541"/>
        <v>0</v>
      </c>
      <c r="BV77" s="642">
        <f t="shared" si="542"/>
        <v>0</v>
      </c>
      <c r="BW77" s="642">
        <f t="shared" si="543"/>
        <v>0</v>
      </c>
      <c r="BX77" s="642">
        <f t="shared" si="544"/>
        <v>0</v>
      </c>
      <c r="BY77" s="643">
        <f t="shared" si="545"/>
        <v>0</v>
      </c>
      <c r="BZ77" s="641">
        <f t="shared" si="546"/>
        <v>0</v>
      </c>
      <c r="CA77" s="642">
        <f t="shared" si="547"/>
        <v>0</v>
      </c>
      <c r="CB77" s="642">
        <f t="shared" si="548"/>
        <v>0</v>
      </c>
      <c r="CC77" s="642">
        <f t="shared" si="549"/>
        <v>0</v>
      </c>
      <c r="CD77" s="643">
        <f t="shared" si="550"/>
        <v>0</v>
      </c>
    </row>
    <row r="78" spans="1:82" ht="14.25">
      <c r="B78" s="161"/>
      <c r="C78" s="185" t="s">
        <v>1710</v>
      </c>
      <c r="D78" s="185"/>
      <c r="E78" s="185"/>
      <c r="F78" s="162"/>
      <c r="G78" s="185"/>
      <c r="H78" s="185"/>
      <c r="I78" s="164" t="s">
        <v>498</v>
      </c>
      <c r="J78" s="697">
        <f>SUM(J75:J77)</f>
        <v>2.5193312240193482</v>
      </c>
      <c r="K78" s="698">
        <f t="shared" ref="K78:V78" si="553">SUM(K75:K77)</f>
        <v>2.626877643311154</v>
      </c>
      <c r="L78" s="698">
        <f t="shared" si="553"/>
        <v>1.863412419057505</v>
      </c>
      <c r="M78" s="698">
        <f t="shared" si="553"/>
        <v>1.656983511593719</v>
      </c>
      <c r="N78" s="698">
        <f t="shared" si="553"/>
        <v>2.5315269795060518</v>
      </c>
      <c r="O78" s="698">
        <f t="shared" si="553"/>
        <v>1.476762616241831</v>
      </c>
      <c r="P78" s="698">
        <f t="shared" si="553"/>
        <v>4.8221869760373028</v>
      </c>
      <c r="Q78" s="699">
        <f t="shared" si="553"/>
        <v>4.644392487711845</v>
      </c>
      <c r="R78" s="697">
        <f t="shared" si="553"/>
        <v>0.75641721269517914</v>
      </c>
      <c r="S78" s="698">
        <f t="shared" si="553"/>
        <v>0.75263512663170329</v>
      </c>
      <c r="T78" s="698">
        <f t="shared" si="553"/>
        <v>0.74887195099854464</v>
      </c>
      <c r="U78" s="698">
        <f t="shared" si="553"/>
        <v>0.74512759124355199</v>
      </c>
      <c r="V78" s="699">
        <f t="shared" si="553"/>
        <v>0.74140195328733416</v>
      </c>
      <c r="W78" s="185"/>
      <c r="X78" s="164" t="s">
        <v>498</v>
      </c>
      <c r="Y78" s="697">
        <f>SUM(Y75:Y77)</f>
        <v>0</v>
      </c>
      <c r="Z78" s="698">
        <f t="shared" ref="Z78" si="554">SUM(Z75:Z77)</f>
        <v>0</v>
      </c>
      <c r="AA78" s="698">
        <f t="shared" ref="AA78" si="555">SUM(AA75:AA77)</f>
        <v>0</v>
      </c>
      <c r="AB78" s="698">
        <f t="shared" ref="AB78" si="556">SUM(AB75:AB77)</f>
        <v>0</v>
      </c>
      <c r="AC78" s="698">
        <f t="shared" ref="AC78" si="557">SUM(AC75:AC77)</f>
        <v>0</v>
      </c>
      <c r="AD78" s="698">
        <f t="shared" ref="AD78" si="558">SUM(AD75:AD77)</f>
        <v>0</v>
      </c>
      <c r="AE78" s="698">
        <f t="shared" ref="AE78" si="559">SUM(AE75:AE77)</f>
        <v>0</v>
      </c>
      <c r="AF78" s="699">
        <f t="shared" ref="AF78" si="560">SUM(AF75:AF77)</f>
        <v>0</v>
      </c>
      <c r="AG78" s="697">
        <f t="shared" ref="AG78" si="561">SUM(AG75:AG77)</f>
        <v>0</v>
      </c>
      <c r="AH78" s="698">
        <f t="shared" ref="AH78" si="562">SUM(AH75:AH77)</f>
        <v>0</v>
      </c>
      <c r="AI78" s="698">
        <f t="shared" ref="AI78" si="563">SUM(AI75:AI77)</f>
        <v>0</v>
      </c>
      <c r="AJ78" s="698">
        <f t="shared" ref="AJ78" si="564">SUM(AJ75:AJ77)</f>
        <v>0</v>
      </c>
      <c r="AK78" s="699">
        <f t="shared" ref="AK78" si="565">SUM(AK75:AK77)</f>
        <v>0</v>
      </c>
      <c r="AL78" s="185"/>
      <c r="AM78" s="164" t="s">
        <v>498</v>
      </c>
      <c r="AN78" s="697">
        <f t="shared" ref="AN78" si="566">SUM(AN75:AN77)</f>
        <v>2.5193312240193482</v>
      </c>
      <c r="AO78" s="698">
        <f t="shared" ref="AO78:AZ78" si="567">SUM(AO75:AO77)</f>
        <v>2.626877643311154</v>
      </c>
      <c r="AP78" s="698">
        <f t="shared" si="567"/>
        <v>1.863412419057505</v>
      </c>
      <c r="AQ78" s="698">
        <f t="shared" si="567"/>
        <v>1.656983511593719</v>
      </c>
      <c r="AR78" s="698">
        <f t="shared" si="567"/>
        <v>2.5315269795060518</v>
      </c>
      <c r="AS78" s="698">
        <f t="shared" si="567"/>
        <v>1.476762616241831</v>
      </c>
      <c r="AT78" s="698">
        <f t="shared" si="567"/>
        <v>4.8221869760373028</v>
      </c>
      <c r="AU78" s="699">
        <f t="shared" si="567"/>
        <v>4.644392487711845</v>
      </c>
      <c r="AV78" s="697">
        <f t="shared" si="567"/>
        <v>0.75641721269517914</v>
      </c>
      <c r="AW78" s="698">
        <f t="shared" si="567"/>
        <v>0.75263512663170329</v>
      </c>
      <c r="AX78" s="698">
        <f t="shared" si="567"/>
        <v>0.74887195099854464</v>
      </c>
      <c r="AY78" s="698">
        <f t="shared" si="567"/>
        <v>0.74512759124355199</v>
      </c>
      <c r="AZ78" s="699">
        <f t="shared" si="567"/>
        <v>0.74140195328733416</v>
      </c>
      <c r="BA78" s="185"/>
      <c r="BB78" s="164" t="s">
        <v>2233</v>
      </c>
      <c r="BC78" s="697">
        <f t="shared" ref="BC78:BO78" si="568">SUM(BC75:BC77)</f>
        <v>8.0860000000000003</v>
      </c>
      <c r="BD78" s="698">
        <f t="shared" si="568"/>
        <v>8.2949999999999999</v>
      </c>
      <c r="BE78" s="698">
        <f t="shared" si="568"/>
        <v>5.2570000000000006</v>
      </c>
      <c r="BF78" s="698">
        <f t="shared" si="568"/>
        <v>4.07</v>
      </c>
      <c r="BG78" s="698">
        <f t="shared" si="568"/>
        <v>7.6760000000000002</v>
      </c>
      <c r="BH78" s="698">
        <f t="shared" si="568"/>
        <v>4.0609999999999999</v>
      </c>
      <c r="BI78" s="698">
        <f t="shared" si="568"/>
        <v>14.851000000000003</v>
      </c>
      <c r="BJ78" s="699">
        <f t="shared" si="568"/>
        <v>14.874177221205709</v>
      </c>
      <c r="BK78" s="697">
        <f t="shared" si="568"/>
        <v>2.0250000000000008</v>
      </c>
      <c r="BL78" s="698">
        <f t="shared" si="568"/>
        <v>2.0250000000000008</v>
      </c>
      <c r="BM78" s="698">
        <f t="shared" si="568"/>
        <v>2.0250000000000008</v>
      </c>
      <c r="BN78" s="698">
        <f t="shared" si="568"/>
        <v>2.0250000000000008</v>
      </c>
      <c r="BO78" s="699">
        <f t="shared" si="568"/>
        <v>2.0250000000000008</v>
      </c>
      <c r="BP78" s="185"/>
      <c r="BQ78" s="117"/>
      <c r="BR78" s="713"/>
      <c r="BS78" s="714"/>
      <c r="BT78" s="714"/>
      <c r="BU78" s="714"/>
      <c r="BV78" s="714"/>
      <c r="BW78" s="714"/>
      <c r="BX78" s="714"/>
      <c r="BY78" s="715"/>
      <c r="BZ78" s="716"/>
      <c r="CA78" s="714"/>
      <c r="CB78" s="714"/>
      <c r="CC78" s="714"/>
      <c r="CD78" s="715"/>
    </row>
    <row r="79" spans="1:82" ht="14.25">
      <c r="B79" s="181"/>
      <c r="C79" s="185"/>
      <c r="D79" s="185"/>
      <c r="E79" s="182"/>
      <c r="F79" s="185"/>
      <c r="G79" s="184"/>
      <c r="H79" s="184"/>
      <c r="I79" s="117"/>
      <c r="J79" s="713"/>
      <c r="K79" s="714"/>
      <c r="L79" s="714"/>
      <c r="M79" s="714"/>
      <c r="N79" s="714"/>
      <c r="O79" s="714"/>
      <c r="P79" s="714"/>
      <c r="Q79" s="715"/>
      <c r="R79" s="716"/>
      <c r="S79" s="714"/>
      <c r="T79" s="714"/>
      <c r="U79" s="714"/>
      <c r="V79" s="715"/>
      <c r="W79" s="184"/>
      <c r="X79" s="117"/>
      <c r="Y79" s="713"/>
      <c r="Z79" s="714"/>
      <c r="AA79" s="714"/>
      <c r="AB79" s="714"/>
      <c r="AC79" s="714"/>
      <c r="AD79" s="714"/>
      <c r="AE79" s="714"/>
      <c r="AF79" s="715"/>
      <c r="AG79" s="716"/>
      <c r="AH79" s="714"/>
      <c r="AI79" s="714"/>
      <c r="AJ79" s="714"/>
      <c r="AK79" s="715"/>
      <c r="AL79" s="184"/>
      <c r="AM79" s="117"/>
      <c r="AN79" s="713"/>
      <c r="AO79" s="714"/>
      <c r="AP79" s="714"/>
      <c r="AQ79" s="714"/>
      <c r="AR79" s="714"/>
      <c r="AS79" s="714"/>
      <c r="AT79" s="714"/>
      <c r="AU79" s="715"/>
      <c r="AV79" s="716"/>
      <c r="AW79" s="714"/>
      <c r="AX79" s="714"/>
      <c r="AY79" s="714"/>
      <c r="AZ79" s="715"/>
      <c r="BA79" s="184"/>
      <c r="BB79" s="117"/>
      <c r="BC79" s="713"/>
      <c r="BD79" s="714"/>
      <c r="BE79" s="714"/>
      <c r="BF79" s="714"/>
      <c r="BG79" s="714"/>
      <c r="BH79" s="714"/>
      <c r="BI79" s="714"/>
      <c r="BJ79" s="715"/>
      <c r="BK79" s="716"/>
      <c r="BL79" s="714"/>
      <c r="BM79" s="714"/>
      <c r="BN79" s="714"/>
      <c r="BO79" s="715"/>
      <c r="BP79" s="184"/>
      <c r="BQ79" s="117"/>
      <c r="BR79" s="713"/>
      <c r="BS79" s="714"/>
      <c r="BT79" s="714"/>
      <c r="BU79" s="714"/>
      <c r="BV79" s="714"/>
      <c r="BW79" s="714"/>
      <c r="BX79" s="714"/>
      <c r="BY79" s="715"/>
      <c r="BZ79" s="716"/>
      <c r="CA79" s="714"/>
      <c r="CB79" s="714"/>
      <c r="CC79" s="714"/>
      <c r="CD79" s="715"/>
    </row>
    <row r="80" spans="1:82" ht="15.75">
      <c r="B80" s="161"/>
      <c r="C80" s="186" t="s">
        <v>2658</v>
      </c>
      <c r="D80" s="617"/>
      <c r="E80" s="180"/>
      <c r="F80" s="162"/>
      <c r="G80" s="163"/>
      <c r="H80" s="163"/>
      <c r="I80" s="117"/>
      <c r="J80" s="713"/>
      <c r="K80" s="714"/>
      <c r="L80" s="714"/>
      <c r="M80" s="714"/>
      <c r="N80" s="714"/>
      <c r="O80" s="714"/>
      <c r="P80" s="714"/>
      <c r="Q80" s="715"/>
      <c r="R80" s="716"/>
      <c r="S80" s="714"/>
      <c r="T80" s="714"/>
      <c r="U80" s="714"/>
      <c r="V80" s="715"/>
      <c r="W80" s="163"/>
      <c r="X80" s="117"/>
      <c r="Y80" s="713"/>
      <c r="Z80" s="714"/>
      <c r="AA80" s="714"/>
      <c r="AB80" s="714"/>
      <c r="AC80" s="714"/>
      <c r="AD80" s="714"/>
      <c r="AE80" s="714"/>
      <c r="AF80" s="715"/>
      <c r="AG80" s="716"/>
      <c r="AH80" s="714"/>
      <c r="AI80" s="714"/>
      <c r="AJ80" s="714"/>
      <c r="AK80" s="715"/>
      <c r="AL80" s="163"/>
      <c r="AM80" s="117"/>
      <c r="AN80" s="713"/>
      <c r="AO80" s="714"/>
      <c r="AP80" s="714"/>
      <c r="AQ80" s="714"/>
      <c r="AR80" s="714"/>
      <c r="AS80" s="714"/>
      <c r="AT80" s="714"/>
      <c r="AU80" s="715"/>
      <c r="AV80" s="716"/>
      <c r="AW80" s="714"/>
      <c r="AX80" s="714"/>
      <c r="AY80" s="714"/>
      <c r="AZ80" s="715"/>
      <c r="BA80" s="163"/>
      <c r="BB80" s="117"/>
      <c r="BC80" s="713"/>
      <c r="BD80" s="714"/>
      <c r="BE80" s="714"/>
      <c r="BF80" s="714"/>
      <c r="BG80" s="714"/>
      <c r="BH80" s="714"/>
      <c r="BI80" s="714"/>
      <c r="BJ80" s="715"/>
      <c r="BK80" s="716"/>
      <c r="BL80" s="714"/>
      <c r="BM80" s="714"/>
      <c r="BN80" s="714"/>
      <c r="BO80" s="715"/>
      <c r="BP80" s="163"/>
      <c r="BQ80" s="117"/>
      <c r="BR80" s="713"/>
      <c r="BS80" s="714"/>
      <c r="BT80" s="714"/>
      <c r="BU80" s="714"/>
      <c r="BV80" s="714"/>
      <c r="BW80" s="714"/>
      <c r="BX80" s="714"/>
      <c r="BY80" s="715"/>
      <c r="BZ80" s="716"/>
      <c r="CA80" s="714"/>
      <c r="CB80" s="714"/>
      <c r="CC80" s="714"/>
      <c r="CD80" s="715"/>
    </row>
    <row r="81" spans="1:82" ht="14.25">
      <c r="B81" s="161"/>
      <c r="C81" s="660"/>
      <c r="D81" s="162" t="s">
        <v>2659</v>
      </c>
      <c r="E81" s="660"/>
      <c r="F81" s="162"/>
      <c r="G81" s="185"/>
      <c r="H81" s="163"/>
      <c r="I81" s="164" t="s">
        <v>498</v>
      </c>
      <c r="J81" s="641">
        <f>SUM('4.07_Repex_Services'!J42,'4.07_Repex_Services'!J135,'4.07_Repex_Services'!J204,'4.07_Repex_Services'!J273)</f>
        <v>5.2118308617839608E-2</v>
      </c>
      <c r="K81" s="642">
        <f>SUM('4.07_Repex_Services'!K42,'4.07_Repex_Services'!K135,'4.07_Repex_Services'!K204,'4.07_Repex_Services'!K273)</f>
        <v>4.1913608564997255E-2</v>
      </c>
      <c r="L81" s="642">
        <f>SUM('4.07_Repex_Services'!L42,'4.07_Repex_Services'!L135,'4.07_Repex_Services'!L204,'4.07_Repex_Services'!L273)</f>
        <v>3.5554277303705563E-2</v>
      </c>
      <c r="M81" s="642">
        <f>SUM('4.07_Repex_Services'!M42,'4.07_Repex_Services'!M135,'4.07_Repex_Services'!M204,'4.07_Repex_Services'!M273)</f>
        <v>3.4940119995473281E-3</v>
      </c>
      <c r="N81" s="642">
        <f>SUM('4.07_Repex_Services'!N42,'4.07_Repex_Services'!N135,'4.07_Repex_Services'!N204,'4.07_Repex_Services'!N273)</f>
        <v>3.4807256259852724E-2</v>
      </c>
      <c r="O81" s="642">
        <f>SUM('4.07_Repex_Services'!O42,'4.07_Repex_Services'!O135,'4.07_Repex_Services'!O204,'4.07_Repex_Services'!O273)</f>
        <v>2.5784123934890615E-2</v>
      </c>
      <c r="P81" s="642">
        <f>SUM('4.07_Repex_Services'!P42,'4.07_Repex_Services'!P135,'4.07_Repex_Services'!P204,'4.07_Repex_Services'!P273)</f>
        <v>3.2148111298157485E-2</v>
      </c>
      <c r="Q81" s="643">
        <f>SUM('4.07_Repex_Services'!Q42,'4.07_Repex_Services'!Q135,'4.07_Repex_Services'!Q204,'4.07_Repex_Services'!Q273)</f>
        <v>2.9398422542447566E-2</v>
      </c>
      <c r="R81" s="641">
        <f>SUM('4.07_Repex_Services'!R42,'4.07_Repex_Services'!R135,'4.07_Repex_Services'!R204,'4.07_Repex_Services'!R273)</f>
        <v>8.0480414736673628E-3</v>
      </c>
      <c r="S81" s="642">
        <f>SUM('4.07_Repex_Services'!S42,'4.07_Repex_Services'!S135,'4.07_Repex_Services'!S204,'4.07_Repex_Services'!S273)</f>
        <v>8.0078012662990264E-3</v>
      </c>
      <c r="T81" s="642">
        <f>SUM('4.07_Repex_Services'!T42,'4.07_Repex_Services'!T135,'4.07_Repex_Services'!T204,'4.07_Repex_Services'!T273)</f>
        <v>7.9677622599675316E-3</v>
      </c>
      <c r="U81" s="642">
        <f>SUM('4.07_Repex_Services'!U42,'4.07_Repex_Services'!U135,'4.07_Repex_Services'!U204,'4.07_Repex_Services'!U273)</f>
        <v>7.9279234486676932E-3</v>
      </c>
      <c r="V81" s="643">
        <f>SUM('4.07_Repex_Services'!V42,'4.07_Repex_Services'!V135,'4.07_Repex_Services'!V204,'4.07_Repex_Services'!V273)</f>
        <v>7.8882838314243541E-3</v>
      </c>
      <c r="W81" s="163"/>
      <c r="X81" s="164" t="s">
        <v>498</v>
      </c>
      <c r="Y81" s="641">
        <f>SUM('4.07_Repex_Services'!Y42,'4.07_Repex_Services'!Y204,'4.07_Repex_Services'!Y273)</f>
        <v>0</v>
      </c>
      <c r="Z81" s="642">
        <f>SUM('4.07_Repex_Services'!Z42,'4.07_Repex_Services'!Z204,'4.07_Repex_Services'!Z273)</f>
        <v>0</v>
      </c>
      <c r="AA81" s="642">
        <f>SUM('4.07_Repex_Services'!AA42,'4.07_Repex_Services'!AA204,'4.07_Repex_Services'!AA273)</f>
        <v>0</v>
      </c>
      <c r="AB81" s="642">
        <f>SUM('4.07_Repex_Services'!AB42,'4.07_Repex_Services'!AB204,'4.07_Repex_Services'!AB273)</f>
        <v>0</v>
      </c>
      <c r="AC81" s="642">
        <f>SUM('4.07_Repex_Services'!AC42,'4.07_Repex_Services'!AC204,'4.07_Repex_Services'!AC273)</f>
        <v>0</v>
      </c>
      <c r="AD81" s="642">
        <f>SUM('4.07_Repex_Services'!AD42,'4.07_Repex_Services'!AD204,'4.07_Repex_Services'!AD273)</f>
        <v>0</v>
      </c>
      <c r="AE81" s="642">
        <f>SUM('4.07_Repex_Services'!AE42,'4.07_Repex_Services'!AE204,'4.07_Repex_Services'!AE273)</f>
        <v>0</v>
      </c>
      <c r="AF81" s="643">
        <f>SUM('4.07_Repex_Services'!AF42,'4.07_Repex_Services'!AF204,'4.07_Repex_Services'!AF273)</f>
        <v>0</v>
      </c>
      <c r="AG81" s="641">
        <f>SUM('4.07_Repex_Services'!AG42,'4.07_Repex_Services'!AG204,'4.07_Repex_Services'!AG273)</f>
        <v>0</v>
      </c>
      <c r="AH81" s="642">
        <f>SUM('4.07_Repex_Services'!AH42,'4.07_Repex_Services'!AH204,'4.07_Repex_Services'!AH273)</f>
        <v>0</v>
      </c>
      <c r="AI81" s="642">
        <f>SUM('4.07_Repex_Services'!AI42,'4.07_Repex_Services'!AI204,'4.07_Repex_Services'!AI273)</f>
        <v>0</v>
      </c>
      <c r="AJ81" s="642">
        <f>SUM('4.07_Repex_Services'!AJ42,'4.07_Repex_Services'!AJ204,'4.07_Repex_Services'!AJ273)</f>
        <v>0</v>
      </c>
      <c r="AK81" s="643">
        <f>SUM('4.07_Repex_Services'!AK42,'4.07_Repex_Services'!AK204,'4.07_Repex_Services'!AK273)</f>
        <v>0</v>
      </c>
      <c r="AL81" s="163"/>
      <c r="AM81" s="164" t="s">
        <v>498</v>
      </c>
      <c r="AN81" s="641">
        <f>J81+Y81</f>
        <v>5.2118308617839608E-2</v>
      </c>
      <c r="AO81" s="642">
        <f t="shared" ref="AO81:AO82" si="569">K81+Z81</f>
        <v>4.1913608564997255E-2</v>
      </c>
      <c r="AP81" s="642">
        <f t="shared" ref="AP81:AP82" si="570">L81+AA81</f>
        <v>3.5554277303705563E-2</v>
      </c>
      <c r="AQ81" s="642">
        <f t="shared" ref="AQ81:AQ82" si="571">M81+AB81</f>
        <v>3.4940119995473281E-3</v>
      </c>
      <c r="AR81" s="642">
        <f t="shared" ref="AR81:AR82" si="572">N81+AC81</f>
        <v>3.4807256259852724E-2</v>
      </c>
      <c r="AS81" s="642">
        <f t="shared" ref="AS81:AS82" si="573">O81+AD81</f>
        <v>2.5784123934890615E-2</v>
      </c>
      <c r="AT81" s="642">
        <f t="shared" ref="AT81:AT82" si="574">P81+AE81</f>
        <v>3.2148111298157485E-2</v>
      </c>
      <c r="AU81" s="643">
        <f t="shared" ref="AU81:AU82" si="575">Q81+AF81</f>
        <v>2.9398422542447566E-2</v>
      </c>
      <c r="AV81" s="641">
        <f t="shared" ref="AV81:AV82" si="576">R81+AG81</f>
        <v>8.0480414736673628E-3</v>
      </c>
      <c r="AW81" s="642">
        <f t="shared" ref="AW81:AW82" si="577">S81+AH81</f>
        <v>8.0078012662990264E-3</v>
      </c>
      <c r="AX81" s="642">
        <f t="shared" ref="AX81:AX82" si="578">T81+AI81</f>
        <v>7.9677622599675316E-3</v>
      </c>
      <c r="AY81" s="642">
        <f t="shared" ref="AY81:AY82" si="579">U81+AJ81</f>
        <v>7.9279234486676932E-3</v>
      </c>
      <c r="AZ81" s="643">
        <f t="shared" ref="AZ81:AZ82" si="580">V81+AK81</f>
        <v>7.8882838314243541E-3</v>
      </c>
      <c r="BA81" s="163"/>
      <c r="BB81" s="164" t="s">
        <v>1876</v>
      </c>
      <c r="BC81" s="641">
        <f>SUM('4.07_Repex_Services'!AN42,'4.07_Repex_Services'!AN135,'4.07_Repex_Services'!AN204,'4.07_Repex_Services'!AN273)</f>
        <v>77</v>
      </c>
      <c r="BD81" s="642">
        <f>SUM('4.07_Repex_Services'!AO42,'4.07_Repex_Services'!AO135,'4.07_Repex_Services'!AO204,'4.07_Repex_Services'!AO273)</f>
        <v>66</v>
      </c>
      <c r="BE81" s="642">
        <f>SUM('4.07_Repex_Services'!AP42,'4.07_Repex_Services'!AP135,'4.07_Repex_Services'!AP204,'4.07_Repex_Services'!AP273)</f>
        <v>75</v>
      </c>
      <c r="BF81" s="642">
        <f>SUM('4.07_Repex_Services'!AQ42,'4.07_Repex_Services'!AQ135,'4.07_Repex_Services'!AQ204,'4.07_Repex_Services'!AQ273)</f>
        <v>10</v>
      </c>
      <c r="BG81" s="642">
        <f>SUM('4.07_Repex_Services'!AR42,'4.07_Repex_Services'!AR135,'4.07_Repex_Services'!AR204,'4.07_Repex_Services'!AR273)</f>
        <v>116</v>
      </c>
      <c r="BH81" s="642">
        <f>SUM('4.07_Repex_Services'!AS42,'4.07_Repex_Services'!AS135,'4.07_Repex_Services'!AS204,'4.07_Repex_Services'!AS273)</f>
        <v>73</v>
      </c>
      <c r="BI81" s="642">
        <f>SUM('4.07_Repex_Services'!AT42,'4.07_Repex_Services'!AT135,'4.07_Repex_Services'!AT204,'4.07_Repex_Services'!AT273)</f>
        <v>72.00239556311179</v>
      </c>
      <c r="BJ81" s="643">
        <f>SUM('4.07_Repex_Services'!AU42,'4.07_Repex_Services'!AU135,'4.07_Repex_Services'!AU204,'4.07_Repex_Services'!AU273)</f>
        <v>67.415515663285277</v>
      </c>
      <c r="BK81" s="641">
        <f>SUM('4.07_Repex_Services'!AV42,'4.07_Repex_Services'!AV135,'4.07_Repex_Services'!AV204,'4.07_Repex_Services'!AV273)</f>
        <v>24.57162717696875</v>
      </c>
      <c r="BL81" s="642">
        <f>SUM('4.07_Repex_Services'!AW42,'4.07_Repex_Services'!AW135,'4.07_Repex_Services'!AW204,'4.07_Repex_Services'!AW273)</f>
        <v>24.57162717696875</v>
      </c>
      <c r="BM81" s="642">
        <f>SUM('4.07_Repex_Services'!AX42,'4.07_Repex_Services'!AX135,'4.07_Repex_Services'!AX204,'4.07_Repex_Services'!AX273)</f>
        <v>24.57162717696875</v>
      </c>
      <c r="BN81" s="642">
        <f>SUM('4.07_Repex_Services'!AY42,'4.07_Repex_Services'!AY135,'4.07_Repex_Services'!AY204,'4.07_Repex_Services'!AY273)</f>
        <v>24.57162717696875</v>
      </c>
      <c r="BO81" s="643">
        <f>SUM('4.07_Repex_Services'!AZ42,'4.07_Repex_Services'!AZ135,'4.07_Repex_Services'!AZ204,'4.07_Repex_Services'!AZ273)</f>
        <v>24.57162717696875</v>
      </c>
      <c r="BP81" s="163"/>
      <c r="BQ81" s="164" t="s">
        <v>2648</v>
      </c>
      <c r="BR81" s="641">
        <f>IF(BC81,AN81/BC81,0)</f>
        <v>6.7686115088103386E-4</v>
      </c>
      <c r="BS81" s="642">
        <f t="shared" ref="BS81:BS82" si="581">IF(BD81,AO81/BD81,0)</f>
        <v>6.3505467522723114E-4</v>
      </c>
      <c r="BT81" s="642">
        <f t="shared" ref="BT81:BT82" si="582">IF(BE81,AP81/BE81,0)</f>
        <v>4.7405703071607417E-4</v>
      </c>
      <c r="BU81" s="642">
        <f t="shared" ref="BU81:BU82" si="583">IF(BF81,AQ81/BF81,0)</f>
        <v>3.4940119995473284E-4</v>
      </c>
      <c r="BV81" s="642">
        <f t="shared" ref="BV81:BV82" si="584">IF(BG81,AR81/BG81,0)</f>
        <v>3.000625539642476E-4</v>
      </c>
      <c r="BW81" s="642">
        <f t="shared" ref="BW81:BW82" si="585">IF(BH81,AS81/BH81,0)</f>
        <v>3.5320717719028238E-4</v>
      </c>
      <c r="BX81" s="642">
        <f t="shared" ref="BX81:BX82" si="586">IF(BI81,AT81/BI81,0)</f>
        <v>4.4648669043211085E-4</v>
      </c>
      <c r="BY81" s="643">
        <f t="shared" ref="BY81:BY82" si="587">IF(BJ81,AU81/BJ81,0)</f>
        <v>4.3607798966162993E-4</v>
      </c>
      <c r="BZ81" s="641">
        <f t="shared" ref="BZ81:BZ82" si="588">IF(BK81,AV81/BK81,0)</f>
        <v>3.2753392421690648E-4</v>
      </c>
      <c r="CA81" s="642">
        <f t="shared" ref="CA81:CA82" si="589">IF(BL81,AW81/BL81,0)</f>
        <v>3.2589625459582196E-4</v>
      </c>
      <c r="CB81" s="642">
        <f t="shared" ref="CB81:CB82" si="590">IF(BM81,AX81/BM81,0)</f>
        <v>3.2426677332284291E-4</v>
      </c>
      <c r="CC81" s="642">
        <f t="shared" ref="CC81:CC82" si="591">IF(BN81,AY81/BN81,0)</f>
        <v>3.2264543945622866E-4</v>
      </c>
      <c r="CD81" s="643">
        <f t="shared" ref="CD81:CD82" si="592">IF(BO81,AZ81/BO81,0)</f>
        <v>3.2103221225894746E-4</v>
      </c>
    </row>
    <row r="82" spans="1:82" ht="14.25">
      <c r="B82" s="161"/>
      <c r="C82" s="660"/>
      <c r="D82" s="162" t="s">
        <v>2660</v>
      </c>
      <c r="E82" s="660"/>
      <c r="F82" s="162"/>
      <c r="G82" s="185"/>
      <c r="H82" s="163"/>
      <c r="I82" s="164" t="s">
        <v>498</v>
      </c>
      <c r="J82" s="641">
        <f>SUM('4.07_Repex_Services'!J43,'4.07_Repex_Services'!J136,'4.07_Repex_Services'!J205,'4.07_Repex_Services'!J274)</f>
        <v>3.4249678413417722E-2</v>
      </c>
      <c r="K82" s="642">
        <f>SUM('4.07_Repex_Services'!K43,'4.07_Repex_Services'!K136,'4.07_Repex_Services'!K205,'4.07_Repex_Services'!K274)</f>
        <v>1.7647835185262008E-2</v>
      </c>
      <c r="L82" s="642">
        <f>SUM('4.07_Repex_Services'!L43,'4.07_Repex_Services'!L136,'4.07_Repex_Services'!L205,'4.07_Repex_Services'!L274)</f>
        <v>2.545522734516641E-2</v>
      </c>
      <c r="M82" s="642">
        <f>SUM('4.07_Repex_Services'!M43,'4.07_Repex_Services'!M136,'4.07_Repex_Services'!M205,'4.07_Repex_Services'!M274)</f>
        <v>8.8124357200115109E-3</v>
      </c>
      <c r="N82" s="642">
        <f>SUM('4.07_Repex_Services'!N43,'4.07_Repex_Services'!N136,'4.07_Repex_Services'!N205,'4.07_Repex_Services'!N274)</f>
        <v>1.8192545524258752E-2</v>
      </c>
      <c r="O82" s="642">
        <f>SUM('4.07_Repex_Services'!O43,'4.07_Repex_Services'!O136,'4.07_Repex_Services'!O205,'4.07_Repex_Services'!O274)</f>
        <v>1.8415926140769812E-2</v>
      </c>
      <c r="P82" s="642">
        <f>SUM('4.07_Repex_Services'!P43,'4.07_Repex_Services'!P136,'4.07_Repex_Services'!P205,'4.07_Repex_Services'!P274)</f>
        <v>2.1889065006802651E-2</v>
      </c>
      <c r="Q82" s="643">
        <f>SUM('4.07_Repex_Services'!Q43,'4.07_Repex_Services'!Q136,'4.07_Repex_Services'!Q205,'4.07_Repex_Services'!Q274)</f>
        <v>2.0017391074883466E-2</v>
      </c>
      <c r="R82" s="641">
        <f>SUM('4.07_Repex_Services'!R43,'4.07_Repex_Services'!R136,'4.07_Repex_Services'!R205,'4.07_Repex_Services'!R274)</f>
        <v>4.4329462291866012E-3</v>
      </c>
      <c r="S82" s="642">
        <f>SUM('4.07_Repex_Services'!S43,'4.07_Repex_Services'!S136,'4.07_Repex_Services'!S205,'4.07_Repex_Services'!S274)</f>
        <v>4.4107814980406685E-3</v>
      </c>
      <c r="T82" s="642">
        <f>SUM('4.07_Repex_Services'!T43,'4.07_Repex_Services'!T136,'4.07_Repex_Services'!T205,'4.07_Repex_Services'!T274)</f>
        <v>4.3887275905504656E-3</v>
      </c>
      <c r="U82" s="642">
        <f>SUM('4.07_Repex_Services'!U43,'4.07_Repex_Services'!U136,'4.07_Repex_Services'!U205,'4.07_Repex_Services'!U274)</f>
        <v>4.3667839525977133E-3</v>
      </c>
      <c r="V82" s="643">
        <f>SUM('4.07_Repex_Services'!V43,'4.07_Repex_Services'!V136,'4.07_Repex_Services'!V205,'4.07_Repex_Services'!V274)</f>
        <v>4.3449500328347247E-3</v>
      </c>
      <c r="W82" s="163"/>
      <c r="X82" s="164" t="s">
        <v>498</v>
      </c>
      <c r="Y82" s="641">
        <f>SUM('4.07_Repex_Services'!Y43,'4.07_Repex_Services'!Y205,'4.07_Repex_Services'!Y274)</f>
        <v>0</v>
      </c>
      <c r="Z82" s="642">
        <f>SUM('4.07_Repex_Services'!Z43,'4.07_Repex_Services'!Z205,'4.07_Repex_Services'!Z274)</f>
        <v>0</v>
      </c>
      <c r="AA82" s="642">
        <f>SUM('4.07_Repex_Services'!AA43,'4.07_Repex_Services'!AA205,'4.07_Repex_Services'!AA274)</f>
        <v>0</v>
      </c>
      <c r="AB82" s="642">
        <f>SUM('4.07_Repex_Services'!AB43,'4.07_Repex_Services'!AB205,'4.07_Repex_Services'!AB274)</f>
        <v>0</v>
      </c>
      <c r="AC82" s="642">
        <f>SUM('4.07_Repex_Services'!AC43,'4.07_Repex_Services'!AC205,'4.07_Repex_Services'!AC274)</f>
        <v>0</v>
      </c>
      <c r="AD82" s="642">
        <f>SUM('4.07_Repex_Services'!AD43,'4.07_Repex_Services'!AD205,'4.07_Repex_Services'!AD274)</f>
        <v>0</v>
      </c>
      <c r="AE82" s="642">
        <f>SUM('4.07_Repex_Services'!AE43,'4.07_Repex_Services'!AE205,'4.07_Repex_Services'!AE274)</f>
        <v>0</v>
      </c>
      <c r="AF82" s="643">
        <f>SUM('4.07_Repex_Services'!AF43,'4.07_Repex_Services'!AF205,'4.07_Repex_Services'!AF274)</f>
        <v>0</v>
      </c>
      <c r="AG82" s="641">
        <f>SUM('4.07_Repex_Services'!AG43,'4.07_Repex_Services'!AG205,'4.07_Repex_Services'!AG274)</f>
        <v>0</v>
      </c>
      <c r="AH82" s="642">
        <f>SUM('4.07_Repex_Services'!AH43,'4.07_Repex_Services'!AH205,'4.07_Repex_Services'!AH274)</f>
        <v>0</v>
      </c>
      <c r="AI82" s="642">
        <f>SUM('4.07_Repex_Services'!AI43,'4.07_Repex_Services'!AI205,'4.07_Repex_Services'!AI274)</f>
        <v>0</v>
      </c>
      <c r="AJ82" s="642">
        <f>SUM('4.07_Repex_Services'!AJ43,'4.07_Repex_Services'!AJ205,'4.07_Repex_Services'!AJ274)</f>
        <v>0</v>
      </c>
      <c r="AK82" s="643">
        <f>SUM('4.07_Repex_Services'!AK43,'4.07_Repex_Services'!AK205,'4.07_Repex_Services'!AK274)</f>
        <v>0</v>
      </c>
      <c r="AL82" s="163"/>
      <c r="AM82" s="164" t="s">
        <v>498</v>
      </c>
      <c r="AN82" s="641">
        <f t="shared" ref="AN82" si="593">J82+Y82</f>
        <v>3.4249678413417722E-2</v>
      </c>
      <c r="AO82" s="642">
        <f t="shared" si="569"/>
        <v>1.7647835185262008E-2</v>
      </c>
      <c r="AP82" s="642">
        <f t="shared" si="570"/>
        <v>2.545522734516641E-2</v>
      </c>
      <c r="AQ82" s="642">
        <f t="shared" si="571"/>
        <v>8.8124357200115109E-3</v>
      </c>
      <c r="AR82" s="642">
        <f t="shared" si="572"/>
        <v>1.8192545524258752E-2</v>
      </c>
      <c r="AS82" s="642">
        <f t="shared" si="573"/>
        <v>1.8415926140769812E-2</v>
      </c>
      <c r="AT82" s="642">
        <f t="shared" si="574"/>
        <v>2.1889065006802651E-2</v>
      </c>
      <c r="AU82" s="643">
        <f t="shared" si="575"/>
        <v>2.0017391074883466E-2</v>
      </c>
      <c r="AV82" s="641">
        <f t="shared" si="576"/>
        <v>4.4329462291866012E-3</v>
      </c>
      <c r="AW82" s="642">
        <f t="shared" si="577"/>
        <v>4.4107814980406685E-3</v>
      </c>
      <c r="AX82" s="642">
        <f t="shared" si="578"/>
        <v>4.3887275905504656E-3</v>
      </c>
      <c r="AY82" s="642">
        <f t="shared" si="579"/>
        <v>4.3667839525977133E-3</v>
      </c>
      <c r="AZ82" s="643">
        <f t="shared" si="580"/>
        <v>4.3449500328347247E-3</v>
      </c>
      <c r="BA82" s="163"/>
      <c r="BB82" s="164" t="s">
        <v>1876</v>
      </c>
      <c r="BC82" s="641">
        <f>SUM('4.07_Repex_Services'!AN43,'4.07_Repex_Services'!AN136,'4.07_Repex_Services'!AN205,'4.07_Repex_Services'!AN274)</f>
        <v>127</v>
      </c>
      <c r="BD82" s="642">
        <f>SUM('4.07_Repex_Services'!AO43,'4.07_Repex_Services'!AO136,'4.07_Repex_Services'!AO205,'4.07_Repex_Services'!AO274)</f>
        <v>62</v>
      </c>
      <c r="BE82" s="642">
        <f>SUM('4.07_Repex_Services'!AP43,'4.07_Repex_Services'!AP136,'4.07_Repex_Services'!AP205,'4.07_Repex_Services'!AP274)</f>
        <v>72</v>
      </c>
      <c r="BF82" s="642">
        <f>SUM('4.07_Repex_Services'!AQ43,'4.07_Repex_Services'!AQ136,'4.07_Repex_Services'!AQ205,'4.07_Repex_Services'!AQ274)</f>
        <v>23</v>
      </c>
      <c r="BG82" s="642">
        <f>SUM('4.07_Repex_Services'!AR43,'4.07_Repex_Services'!AR136,'4.07_Repex_Services'!AR205,'4.07_Repex_Services'!AR274)</f>
        <v>94</v>
      </c>
      <c r="BH82" s="642">
        <f>SUM('4.07_Repex_Services'!AS43,'4.07_Repex_Services'!AS136,'4.07_Repex_Services'!AS205,'4.07_Repex_Services'!AS274)</f>
        <v>111</v>
      </c>
      <c r="BI82" s="642">
        <f>SUM('4.07_Repex_Services'!AT43,'4.07_Repex_Services'!AT136,'4.07_Repex_Services'!AT205,'4.07_Repex_Services'!AT274)</f>
        <v>90.688505915804527</v>
      </c>
      <c r="BJ82" s="643">
        <f>SUM('4.07_Repex_Services'!AU43,'4.07_Repex_Services'!AU136,'4.07_Repex_Services'!AU205,'4.07_Repex_Services'!AU274)</f>
        <v>84.913523095846088</v>
      </c>
      <c r="BK82" s="641">
        <f>SUM('4.07_Repex_Services'!AV43,'4.07_Repex_Services'!AV136,'4.07_Repex_Services'!AV205,'4.07_Repex_Services'!AV274)</f>
        <v>16.381084784645836</v>
      </c>
      <c r="BL82" s="642">
        <f>SUM('4.07_Repex_Services'!AW43,'4.07_Repex_Services'!AW136,'4.07_Repex_Services'!AW205,'4.07_Repex_Services'!AW274)</f>
        <v>16.381084784645836</v>
      </c>
      <c r="BM82" s="642">
        <f>SUM('4.07_Repex_Services'!AX43,'4.07_Repex_Services'!AX136,'4.07_Repex_Services'!AX205,'4.07_Repex_Services'!AX274)</f>
        <v>16.381084784645836</v>
      </c>
      <c r="BN82" s="642">
        <f>SUM('4.07_Repex_Services'!AY43,'4.07_Repex_Services'!AY136,'4.07_Repex_Services'!AY205,'4.07_Repex_Services'!AY274)</f>
        <v>16.381084784645836</v>
      </c>
      <c r="BO82" s="643">
        <f>SUM('4.07_Repex_Services'!AZ43,'4.07_Repex_Services'!AZ136,'4.07_Repex_Services'!AZ205,'4.07_Repex_Services'!AZ274)</f>
        <v>16.381084784645836</v>
      </c>
      <c r="BP82" s="163"/>
      <c r="BQ82" s="164" t="s">
        <v>2648</v>
      </c>
      <c r="BR82" s="641">
        <f t="shared" ref="BR82" si="594">IF(BC82,AN82/BC82,0)</f>
        <v>2.6968250719226555E-4</v>
      </c>
      <c r="BS82" s="642">
        <f t="shared" si="581"/>
        <v>2.8464250298809691E-4</v>
      </c>
      <c r="BT82" s="642">
        <f t="shared" si="582"/>
        <v>3.5354482423842238E-4</v>
      </c>
      <c r="BU82" s="642">
        <f t="shared" si="583"/>
        <v>3.8314937913093525E-4</v>
      </c>
      <c r="BV82" s="642">
        <f t="shared" si="584"/>
        <v>1.9353771834317821E-4</v>
      </c>
      <c r="BW82" s="642">
        <f t="shared" si="585"/>
        <v>1.6590924451143974E-4</v>
      </c>
      <c r="BX82" s="642">
        <f t="shared" si="586"/>
        <v>2.4136537244449173E-4</v>
      </c>
      <c r="BY82" s="643">
        <f t="shared" si="587"/>
        <v>2.3573855311937592E-4</v>
      </c>
      <c r="BZ82" s="641">
        <f t="shared" si="588"/>
        <v>2.7061371621381564E-4</v>
      </c>
      <c r="CA82" s="642">
        <f t="shared" si="589"/>
        <v>2.6926064763274654E-4</v>
      </c>
      <c r="CB82" s="642">
        <f t="shared" si="590"/>
        <v>2.6791434439458285E-4</v>
      </c>
      <c r="CC82" s="642">
        <f t="shared" si="591"/>
        <v>2.6657477267260992E-4</v>
      </c>
      <c r="CD82" s="643">
        <f t="shared" si="592"/>
        <v>2.6524189880924691E-4</v>
      </c>
    </row>
    <row r="83" spans="1:82" ht="14.25">
      <c r="B83" s="161"/>
      <c r="C83" s="185" t="s">
        <v>1710</v>
      </c>
      <c r="D83" s="660"/>
      <c r="E83" s="185"/>
      <c r="F83" s="162"/>
      <c r="G83" s="185"/>
      <c r="H83" s="185"/>
      <c r="I83" s="164" t="s">
        <v>498</v>
      </c>
      <c r="J83" s="697">
        <f>SUM(J81:J82)</f>
        <v>8.6367987031257337E-2</v>
      </c>
      <c r="K83" s="698">
        <f t="shared" ref="K83" si="595">SUM(K81:K82)</f>
        <v>5.9561443750259263E-2</v>
      </c>
      <c r="L83" s="698">
        <f t="shared" ref="L83" si="596">SUM(L81:L82)</f>
        <v>6.1009504648871976E-2</v>
      </c>
      <c r="M83" s="698">
        <f t="shared" ref="M83" si="597">SUM(M81:M82)</f>
        <v>1.2306447719558839E-2</v>
      </c>
      <c r="N83" s="698">
        <f t="shared" ref="N83" si="598">SUM(N81:N82)</f>
        <v>5.2999801784111476E-2</v>
      </c>
      <c r="O83" s="698">
        <f t="shared" ref="O83" si="599">SUM(O81:O82)</f>
        <v>4.4200050075660427E-2</v>
      </c>
      <c r="P83" s="698">
        <f t="shared" ref="P83" si="600">SUM(P81:P82)</f>
        <v>5.4037176304960133E-2</v>
      </c>
      <c r="Q83" s="699">
        <f t="shared" ref="Q83" si="601">SUM(Q81:Q82)</f>
        <v>4.9415813617331036E-2</v>
      </c>
      <c r="R83" s="697">
        <f t="shared" ref="R83" si="602">SUM(R81:R82)</f>
        <v>1.2480987702853965E-2</v>
      </c>
      <c r="S83" s="698">
        <f t="shared" ref="S83" si="603">SUM(S81:S82)</f>
        <v>1.2418582764339695E-2</v>
      </c>
      <c r="T83" s="698">
        <f t="shared" ref="T83" si="604">SUM(T81:T82)</f>
        <v>1.2356489850517998E-2</v>
      </c>
      <c r="U83" s="698">
        <f t="shared" ref="U83" si="605">SUM(U81:U82)</f>
        <v>1.2294707401265407E-2</v>
      </c>
      <c r="V83" s="699">
        <f t="shared" ref="V83" si="606">SUM(V81:V82)</f>
        <v>1.2233233864259079E-2</v>
      </c>
      <c r="W83" s="185"/>
      <c r="X83" s="164" t="s">
        <v>498</v>
      </c>
      <c r="Y83" s="697">
        <f>SUM(Y81:Y82)</f>
        <v>0</v>
      </c>
      <c r="Z83" s="698">
        <f t="shared" ref="Z83:AK83" si="607">SUM(Z81:Z82)</f>
        <v>0</v>
      </c>
      <c r="AA83" s="698">
        <f t="shared" si="607"/>
        <v>0</v>
      </c>
      <c r="AB83" s="698">
        <f t="shared" si="607"/>
        <v>0</v>
      </c>
      <c r="AC83" s="698">
        <f t="shared" si="607"/>
        <v>0</v>
      </c>
      <c r="AD83" s="698">
        <f t="shared" si="607"/>
        <v>0</v>
      </c>
      <c r="AE83" s="698">
        <f t="shared" si="607"/>
        <v>0</v>
      </c>
      <c r="AF83" s="699">
        <f t="shared" si="607"/>
        <v>0</v>
      </c>
      <c r="AG83" s="697">
        <f t="shared" si="607"/>
        <v>0</v>
      </c>
      <c r="AH83" s="698">
        <f t="shared" si="607"/>
        <v>0</v>
      </c>
      <c r="AI83" s="698">
        <f t="shared" si="607"/>
        <v>0</v>
      </c>
      <c r="AJ83" s="698">
        <f t="shared" si="607"/>
        <v>0</v>
      </c>
      <c r="AK83" s="699">
        <f t="shared" si="607"/>
        <v>0</v>
      </c>
      <c r="AL83" s="185"/>
      <c r="AM83" s="164" t="s">
        <v>498</v>
      </c>
      <c r="AN83" s="697">
        <f>SUM(AN81:AN82)</f>
        <v>8.6367987031257337E-2</v>
      </c>
      <c r="AO83" s="698">
        <f t="shared" ref="AO83:AZ83" si="608">SUM(AO81:AO82)</f>
        <v>5.9561443750259263E-2</v>
      </c>
      <c r="AP83" s="698">
        <f t="shared" si="608"/>
        <v>6.1009504648871976E-2</v>
      </c>
      <c r="AQ83" s="698">
        <f t="shared" si="608"/>
        <v>1.2306447719558839E-2</v>
      </c>
      <c r="AR83" s="698">
        <f t="shared" si="608"/>
        <v>5.2999801784111476E-2</v>
      </c>
      <c r="AS83" s="698">
        <f t="shared" si="608"/>
        <v>4.4200050075660427E-2</v>
      </c>
      <c r="AT83" s="698">
        <f t="shared" si="608"/>
        <v>5.4037176304960133E-2</v>
      </c>
      <c r="AU83" s="699">
        <f t="shared" si="608"/>
        <v>4.9415813617331036E-2</v>
      </c>
      <c r="AV83" s="697">
        <f t="shared" si="608"/>
        <v>1.2480987702853965E-2</v>
      </c>
      <c r="AW83" s="698">
        <f t="shared" si="608"/>
        <v>1.2418582764339695E-2</v>
      </c>
      <c r="AX83" s="698">
        <f t="shared" si="608"/>
        <v>1.2356489850517998E-2</v>
      </c>
      <c r="AY83" s="698">
        <f t="shared" si="608"/>
        <v>1.2294707401265407E-2</v>
      </c>
      <c r="AZ83" s="699">
        <f t="shared" si="608"/>
        <v>1.2233233864259079E-2</v>
      </c>
      <c r="BA83" s="185"/>
      <c r="BB83" s="164" t="s">
        <v>1876</v>
      </c>
      <c r="BC83" s="697">
        <f>SUM(BC81:BC82)</f>
        <v>204</v>
      </c>
      <c r="BD83" s="698">
        <f t="shared" ref="BD83:BO83" si="609">SUM(BD81:BD82)</f>
        <v>128</v>
      </c>
      <c r="BE83" s="698">
        <f t="shared" si="609"/>
        <v>147</v>
      </c>
      <c r="BF83" s="698">
        <f t="shared" si="609"/>
        <v>33</v>
      </c>
      <c r="BG83" s="698">
        <f t="shared" si="609"/>
        <v>210</v>
      </c>
      <c r="BH83" s="698">
        <f t="shared" si="609"/>
        <v>184</v>
      </c>
      <c r="BI83" s="698">
        <f t="shared" si="609"/>
        <v>162.69090147891632</v>
      </c>
      <c r="BJ83" s="699">
        <f t="shared" si="609"/>
        <v>152.32903875913138</v>
      </c>
      <c r="BK83" s="697">
        <f t="shared" si="609"/>
        <v>40.952711961614582</v>
      </c>
      <c r="BL83" s="698">
        <f t="shared" si="609"/>
        <v>40.952711961614582</v>
      </c>
      <c r="BM83" s="698">
        <f t="shared" si="609"/>
        <v>40.952711961614582</v>
      </c>
      <c r="BN83" s="698">
        <f t="shared" si="609"/>
        <v>40.952711961614582</v>
      </c>
      <c r="BO83" s="699">
        <f t="shared" si="609"/>
        <v>40.952711961614582</v>
      </c>
      <c r="BP83" s="185"/>
      <c r="BQ83" s="117"/>
      <c r="BR83" s="713"/>
      <c r="BS83" s="714"/>
      <c r="BT83" s="714"/>
      <c r="BU83" s="714"/>
      <c r="BV83" s="714"/>
      <c r="BW83" s="714"/>
      <c r="BX83" s="714"/>
      <c r="BY83" s="715"/>
      <c r="BZ83" s="716"/>
      <c r="CA83" s="714"/>
      <c r="CB83" s="714"/>
      <c r="CC83" s="714"/>
      <c r="CD83" s="715"/>
    </row>
    <row r="84" spans="1:82" ht="14.25">
      <c r="B84" s="181"/>
      <c r="C84" s="185"/>
      <c r="D84" s="185"/>
      <c r="E84" s="182"/>
      <c r="F84" s="185"/>
      <c r="G84" s="184"/>
      <c r="H84" s="184"/>
      <c r="I84" s="117"/>
      <c r="J84" s="713"/>
      <c r="K84" s="714"/>
      <c r="L84" s="714"/>
      <c r="M84" s="714"/>
      <c r="N84" s="714"/>
      <c r="O84" s="714"/>
      <c r="P84" s="714"/>
      <c r="Q84" s="715"/>
      <c r="R84" s="716"/>
      <c r="S84" s="714"/>
      <c r="T84" s="714"/>
      <c r="U84" s="714"/>
      <c r="V84" s="715"/>
      <c r="W84" s="184"/>
      <c r="X84" s="117"/>
      <c r="Y84" s="713"/>
      <c r="Z84" s="714"/>
      <c r="AA84" s="714"/>
      <c r="AB84" s="714"/>
      <c r="AC84" s="714"/>
      <c r="AD84" s="714"/>
      <c r="AE84" s="714"/>
      <c r="AF84" s="715"/>
      <c r="AG84" s="716"/>
      <c r="AH84" s="714"/>
      <c r="AI84" s="714"/>
      <c r="AJ84" s="714"/>
      <c r="AK84" s="715"/>
      <c r="AL84" s="184"/>
      <c r="AM84" s="117"/>
      <c r="AN84" s="713"/>
      <c r="AO84" s="714"/>
      <c r="AP84" s="714"/>
      <c r="AQ84" s="714"/>
      <c r="AR84" s="714"/>
      <c r="AS84" s="714"/>
      <c r="AT84" s="714"/>
      <c r="AU84" s="715"/>
      <c r="AV84" s="716"/>
      <c r="AW84" s="714"/>
      <c r="AX84" s="714"/>
      <c r="AY84" s="714"/>
      <c r="AZ84" s="715"/>
      <c r="BA84" s="184"/>
      <c r="BB84" s="117"/>
      <c r="BC84" s="159"/>
      <c r="BD84" s="117"/>
      <c r="BE84" s="117"/>
      <c r="BF84" s="117"/>
      <c r="BG84" s="117"/>
      <c r="BH84" s="117"/>
      <c r="BI84" s="117"/>
      <c r="BJ84" s="160"/>
      <c r="BK84" s="159"/>
      <c r="BL84" s="117"/>
      <c r="BM84" s="117"/>
      <c r="BN84" s="117"/>
      <c r="BO84" s="160"/>
      <c r="BP84" s="184"/>
      <c r="BQ84" s="117"/>
      <c r="BR84" s="713"/>
      <c r="BS84" s="714"/>
      <c r="BT84" s="714"/>
      <c r="BU84" s="714"/>
      <c r="BV84" s="714"/>
      <c r="BW84" s="714"/>
      <c r="BX84" s="714"/>
      <c r="BY84" s="715"/>
      <c r="BZ84" s="716"/>
      <c r="CA84" s="714"/>
      <c r="CB84" s="714"/>
      <c r="CC84" s="714"/>
      <c r="CD84" s="715"/>
    </row>
    <row r="85" spans="1:82" ht="15.75">
      <c r="B85" s="161"/>
      <c r="C85" s="186" t="s">
        <v>2663</v>
      </c>
      <c r="D85" s="617"/>
      <c r="E85" s="180"/>
      <c r="F85" s="162"/>
      <c r="G85" s="163"/>
      <c r="H85" s="163"/>
      <c r="I85" s="117"/>
      <c r="J85" s="713"/>
      <c r="K85" s="714"/>
      <c r="L85" s="714"/>
      <c r="M85" s="714"/>
      <c r="N85" s="714"/>
      <c r="O85" s="714"/>
      <c r="P85" s="714"/>
      <c r="Q85" s="715"/>
      <c r="R85" s="716"/>
      <c r="S85" s="714"/>
      <c r="T85" s="714"/>
      <c r="U85" s="714"/>
      <c r="V85" s="715"/>
      <c r="W85" s="163"/>
      <c r="X85" s="117"/>
      <c r="Y85" s="713"/>
      <c r="Z85" s="714"/>
      <c r="AA85" s="714"/>
      <c r="AB85" s="714"/>
      <c r="AC85" s="714"/>
      <c r="AD85" s="714"/>
      <c r="AE85" s="714"/>
      <c r="AF85" s="715"/>
      <c r="AG85" s="716"/>
      <c r="AH85" s="714"/>
      <c r="AI85" s="714"/>
      <c r="AJ85" s="714"/>
      <c r="AK85" s="715"/>
      <c r="AL85" s="163"/>
      <c r="AM85" s="117"/>
      <c r="AN85" s="713"/>
      <c r="AO85" s="714"/>
      <c r="AP85" s="714"/>
      <c r="AQ85" s="714"/>
      <c r="AR85" s="714"/>
      <c r="AS85" s="714"/>
      <c r="AT85" s="714"/>
      <c r="AU85" s="715"/>
      <c r="AV85" s="716"/>
      <c r="AW85" s="714"/>
      <c r="AX85" s="714"/>
      <c r="AY85" s="714"/>
      <c r="AZ85" s="715"/>
      <c r="BA85" s="163"/>
      <c r="BB85" s="117"/>
      <c r="BC85" s="159"/>
      <c r="BD85" s="117"/>
      <c r="BE85" s="117"/>
      <c r="BF85" s="117"/>
      <c r="BG85" s="117"/>
      <c r="BH85" s="117"/>
      <c r="BI85" s="117"/>
      <c r="BJ85" s="160"/>
      <c r="BK85" s="159"/>
      <c r="BL85" s="117"/>
      <c r="BM85" s="117"/>
      <c r="BN85" s="117"/>
      <c r="BO85" s="160"/>
      <c r="BP85" s="163"/>
      <c r="BQ85" s="117"/>
      <c r="BR85" s="713"/>
      <c r="BS85" s="714"/>
      <c r="BT85" s="714"/>
      <c r="BU85" s="714"/>
      <c r="BV85" s="714"/>
      <c r="BW85" s="714"/>
      <c r="BX85" s="714"/>
      <c r="BY85" s="715"/>
      <c r="BZ85" s="716"/>
      <c r="CA85" s="714"/>
      <c r="CB85" s="714"/>
      <c r="CC85" s="714"/>
      <c r="CD85" s="715"/>
    </row>
    <row r="86" spans="1:82" ht="14.25">
      <c r="B86" s="161"/>
      <c r="C86" s="660"/>
      <c r="D86" s="162" t="s">
        <v>2659</v>
      </c>
      <c r="E86" s="660"/>
      <c r="F86" s="162"/>
      <c r="G86" s="185"/>
      <c r="H86" s="163"/>
      <c r="I86" s="164" t="s">
        <v>498</v>
      </c>
      <c r="J86" s="641">
        <f>SUM('4.07_Repex_Services'!J45,'4.07_Repex_Services'!J138,'4.07_Repex_Services'!J207,'4.07_Repex_Services'!J276)</f>
        <v>2.6342504616859427E-2</v>
      </c>
      <c r="K86" s="642">
        <f>SUM('4.07_Repex_Services'!K45,'4.07_Repex_Services'!K138,'4.07_Repex_Services'!K207,'4.07_Repex_Services'!K276)</f>
        <v>7.7209278935521279E-3</v>
      </c>
      <c r="L86" s="642">
        <f>SUM('4.07_Repex_Services'!L45,'4.07_Repex_Services'!L138,'4.07_Repex_Services'!L207,'4.07_Repex_Services'!L276)</f>
        <v>4.8067018482054705E-2</v>
      </c>
      <c r="M86" s="642">
        <f>SUM('4.07_Repex_Services'!M45,'4.07_Repex_Services'!M138,'4.07_Repex_Services'!M207,'4.07_Repex_Services'!M276)</f>
        <v>1.0595813754076739E-2</v>
      </c>
      <c r="N86" s="642">
        <f>SUM('4.07_Repex_Services'!N45,'4.07_Repex_Services'!N138,'4.07_Repex_Services'!N207,'4.07_Repex_Services'!N276)</f>
        <v>5.8772606747475378E-2</v>
      </c>
      <c r="O86" s="642">
        <f>SUM('4.07_Repex_Services'!O45,'4.07_Repex_Services'!O138,'4.07_Repex_Services'!O207,'4.07_Repex_Services'!O276)</f>
        <v>1.4629906593619577E-2</v>
      </c>
      <c r="P86" s="642">
        <f>SUM('4.07_Repex_Services'!P45,'4.07_Repex_Services'!P138,'4.07_Repex_Services'!P207,'4.07_Repex_Services'!P276)</f>
        <v>3.0055090754412457E-3</v>
      </c>
      <c r="Q86" s="643">
        <f>SUM('4.07_Repex_Services'!Q45,'4.07_Repex_Services'!Q138,'4.07_Repex_Services'!Q207,'4.07_Repex_Services'!Q276)</f>
        <v>0</v>
      </c>
      <c r="R86" s="641">
        <f>SUM('4.07_Repex_Services'!R45,'4.07_Repex_Services'!R138,'4.07_Repex_Services'!R207,'4.07_Repex_Services'!R276)</f>
        <v>1.3428464332887918E-3</v>
      </c>
      <c r="S86" s="642">
        <f>SUM('4.07_Repex_Services'!S45,'4.07_Repex_Services'!S138,'4.07_Repex_Services'!S207,'4.07_Repex_Services'!S276)</f>
        <v>1.3361322011223478E-3</v>
      </c>
      <c r="T86" s="642">
        <f>SUM('4.07_Repex_Services'!T45,'4.07_Repex_Services'!T138,'4.07_Repex_Services'!T207,'4.07_Repex_Services'!T276)</f>
        <v>1.329451540116736E-3</v>
      </c>
      <c r="U86" s="642">
        <f>SUM('4.07_Repex_Services'!U45,'4.07_Repex_Services'!U138,'4.07_Repex_Services'!U207,'4.07_Repex_Services'!U276)</f>
        <v>1.3228042824161522E-3</v>
      </c>
      <c r="V86" s="643">
        <f>SUM('4.07_Repex_Services'!V45,'4.07_Repex_Services'!V138,'4.07_Repex_Services'!V207,'4.07_Repex_Services'!V276)</f>
        <v>1.3161902610040715E-3</v>
      </c>
      <c r="W86" s="163"/>
      <c r="X86" s="164" t="s">
        <v>498</v>
      </c>
      <c r="Y86" s="641">
        <f>SUM('4.07_Repex_Services'!Y45,'4.07_Repex_Services'!Y207,'4.07_Repex_Services'!Y276)</f>
        <v>0</v>
      </c>
      <c r="Z86" s="642">
        <f>SUM('4.07_Repex_Services'!Z45,'4.07_Repex_Services'!Z207,'4.07_Repex_Services'!Z276)</f>
        <v>0</v>
      </c>
      <c r="AA86" s="642">
        <f>SUM('4.07_Repex_Services'!AA45,'4.07_Repex_Services'!AA207,'4.07_Repex_Services'!AA276)</f>
        <v>0</v>
      </c>
      <c r="AB86" s="642">
        <f>SUM('4.07_Repex_Services'!AB45,'4.07_Repex_Services'!AB207,'4.07_Repex_Services'!AB276)</f>
        <v>0</v>
      </c>
      <c r="AC86" s="642">
        <f>SUM('4.07_Repex_Services'!AC45,'4.07_Repex_Services'!AC207,'4.07_Repex_Services'!AC276)</f>
        <v>0</v>
      </c>
      <c r="AD86" s="642">
        <f>SUM('4.07_Repex_Services'!AD45,'4.07_Repex_Services'!AD207,'4.07_Repex_Services'!AD276)</f>
        <v>0</v>
      </c>
      <c r="AE86" s="642">
        <f>SUM('4.07_Repex_Services'!AE45,'4.07_Repex_Services'!AE207,'4.07_Repex_Services'!AE276)</f>
        <v>0</v>
      </c>
      <c r="AF86" s="643">
        <f>SUM('4.07_Repex_Services'!AF45,'4.07_Repex_Services'!AF207,'4.07_Repex_Services'!AF276)</f>
        <v>0</v>
      </c>
      <c r="AG86" s="641">
        <f>SUM('4.07_Repex_Services'!AG45,'4.07_Repex_Services'!AG207,'4.07_Repex_Services'!AG276)</f>
        <v>0</v>
      </c>
      <c r="AH86" s="642">
        <f>SUM('4.07_Repex_Services'!AH45,'4.07_Repex_Services'!AH207,'4.07_Repex_Services'!AH276)</f>
        <v>0</v>
      </c>
      <c r="AI86" s="642">
        <f>SUM('4.07_Repex_Services'!AI45,'4.07_Repex_Services'!AI207,'4.07_Repex_Services'!AI276)</f>
        <v>0</v>
      </c>
      <c r="AJ86" s="642">
        <f>SUM('4.07_Repex_Services'!AJ45,'4.07_Repex_Services'!AJ207,'4.07_Repex_Services'!AJ276)</f>
        <v>0</v>
      </c>
      <c r="AK86" s="643">
        <f>SUM('4.07_Repex_Services'!AK45,'4.07_Repex_Services'!AK207,'4.07_Repex_Services'!AK276)</f>
        <v>0</v>
      </c>
      <c r="AL86" s="163"/>
      <c r="AM86" s="164" t="s">
        <v>498</v>
      </c>
      <c r="AN86" s="641">
        <f>J86+Y86</f>
        <v>2.6342504616859427E-2</v>
      </c>
      <c r="AO86" s="642">
        <f t="shared" ref="AO86:AO87" si="610">K86+Z86</f>
        <v>7.7209278935521279E-3</v>
      </c>
      <c r="AP86" s="642">
        <f t="shared" ref="AP86:AP87" si="611">L86+AA86</f>
        <v>4.8067018482054705E-2</v>
      </c>
      <c r="AQ86" s="642">
        <f t="shared" ref="AQ86:AQ87" si="612">M86+AB86</f>
        <v>1.0595813754076739E-2</v>
      </c>
      <c r="AR86" s="642">
        <f t="shared" ref="AR86:AR87" si="613">N86+AC86</f>
        <v>5.8772606747475378E-2</v>
      </c>
      <c r="AS86" s="642">
        <f t="shared" ref="AS86:AS87" si="614">O86+AD86</f>
        <v>1.4629906593619577E-2</v>
      </c>
      <c r="AT86" s="642">
        <f t="shared" ref="AT86:AT87" si="615">P86+AE86</f>
        <v>3.0055090754412457E-3</v>
      </c>
      <c r="AU86" s="643">
        <f t="shared" ref="AU86:AU87" si="616">Q86+AF86</f>
        <v>0</v>
      </c>
      <c r="AV86" s="641">
        <f t="shared" ref="AV86:AV87" si="617">R86+AG86</f>
        <v>1.3428464332887918E-3</v>
      </c>
      <c r="AW86" s="642">
        <f t="shared" ref="AW86:AW87" si="618">S86+AH86</f>
        <v>1.3361322011223478E-3</v>
      </c>
      <c r="AX86" s="642">
        <f t="shared" ref="AX86:AX87" si="619">T86+AI86</f>
        <v>1.329451540116736E-3</v>
      </c>
      <c r="AY86" s="642">
        <f t="shared" ref="AY86:AY87" si="620">U86+AJ86</f>
        <v>1.3228042824161522E-3</v>
      </c>
      <c r="AZ86" s="643">
        <f t="shared" ref="AZ86:AZ87" si="621">V86+AK86</f>
        <v>1.3161902610040715E-3</v>
      </c>
      <c r="BA86" s="163"/>
      <c r="BB86" s="164" t="s">
        <v>1876</v>
      </c>
      <c r="BC86" s="641">
        <f>SUM('4.07_Repex_Services'!AN45,'4.07_Repex_Services'!AN138,'4.07_Repex_Services'!AN207,'4.07_Repex_Services'!AN276)</f>
        <v>5</v>
      </c>
      <c r="BD86" s="642">
        <f>SUM('4.07_Repex_Services'!AO45,'4.07_Repex_Services'!AO138,'4.07_Repex_Services'!AO207,'4.07_Repex_Services'!AO276)</f>
        <v>3</v>
      </c>
      <c r="BE86" s="642">
        <f>SUM('4.07_Repex_Services'!AP45,'4.07_Repex_Services'!AP138,'4.07_Repex_Services'!AP207,'4.07_Repex_Services'!AP276)</f>
        <v>9</v>
      </c>
      <c r="BF86" s="642">
        <f>SUM('4.07_Repex_Services'!AQ45,'4.07_Repex_Services'!AQ138,'4.07_Repex_Services'!AQ207,'4.07_Repex_Services'!AQ276)</f>
        <v>1</v>
      </c>
      <c r="BG86" s="642">
        <f>SUM('4.07_Repex_Services'!AR45,'4.07_Repex_Services'!AR138,'4.07_Repex_Services'!AR207,'4.07_Repex_Services'!AR276)</f>
        <v>4</v>
      </c>
      <c r="BH86" s="642">
        <f>SUM('4.07_Repex_Services'!AS45,'4.07_Repex_Services'!AS138,'4.07_Repex_Services'!AS207,'4.07_Repex_Services'!AS276)</f>
        <v>2</v>
      </c>
      <c r="BI86" s="642">
        <f>SUM('4.07_Repex_Services'!AT45,'4.07_Repex_Services'!AT138,'4.07_Repex_Services'!AT207,'4.07_Repex_Services'!AT276)</f>
        <v>0.45165388782326577</v>
      </c>
      <c r="BJ86" s="643">
        <f>SUM('4.07_Repex_Services'!AU45,'4.07_Repex_Services'!AU138,'4.07_Repex_Services'!AU207,'4.07_Repex_Services'!AU276)</f>
        <v>0</v>
      </c>
      <c r="BK86" s="641">
        <f>SUM('4.07_Repex_Services'!AV45,'4.07_Repex_Services'!AV138,'4.07_Repex_Services'!AV207,'4.07_Repex_Services'!AV276)</f>
        <v>0.12076347733983424</v>
      </c>
      <c r="BL86" s="642">
        <f>SUM('4.07_Repex_Services'!AW45,'4.07_Repex_Services'!AW138,'4.07_Repex_Services'!AW207,'4.07_Repex_Services'!AW276)</f>
        <v>0.12076347733983424</v>
      </c>
      <c r="BM86" s="642">
        <f>SUM('4.07_Repex_Services'!AX45,'4.07_Repex_Services'!AX138,'4.07_Repex_Services'!AX207,'4.07_Repex_Services'!AX276)</f>
        <v>0.12076347733983424</v>
      </c>
      <c r="BN86" s="642">
        <f>SUM('4.07_Repex_Services'!AY45,'4.07_Repex_Services'!AY138,'4.07_Repex_Services'!AY207,'4.07_Repex_Services'!AY276)</f>
        <v>0.12076347733983424</v>
      </c>
      <c r="BO86" s="643">
        <f>SUM('4.07_Repex_Services'!AZ45,'4.07_Repex_Services'!AZ138,'4.07_Repex_Services'!AZ207,'4.07_Repex_Services'!AZ276)</f>
        <v>0.12076347733983424</v>
      </c>
      <c r="BP86" s="163"/>
      <c r="BQ86" s="164" t="s">
        <v>2648</v>
      </c>
      <c r="BR86" s="641">
        <f>IF(BC86,AN86/BC86,0)</f>
        <v>5.2685009233718856E-3</v>
      </c>
      <c r="BS86" s="642">
        <f t="shared" ref="BS86:BS87" si="622">IF(BD86,AO86/BD86,0)</f>
        <v>2.5736426311840426E-3</v>
      </c>
      <c r="BT86" s="642">
        <f t="shared" ref="BT86:BT87" si="623">IF(BE86,AP86/BE86,0)</f>
        <v>5.3407798313394117E-3</v>
      </c>
      <c r="BU86" s="642">
        <f t="shared" ref="BU86:BU87" si="624">IF(BF86,AQ86/BF86,0)</f>
        <v>1.0595813754076739E-2</v>
      </c>
      <c r="BV86" s="642">
        <f t="shared" ref="BV86:BV87" si="625">IF(BG86,AR86/BG86,0)</f>
        <v>1.4693151686868845E-2</v>
      </c>
      <c r="BW86" s="642">
        <f t="shared" ref="BW86:BW87" si="626">IF(BH86,AS86/BH86,0)</f>
        <v>7.3149532968097885E-3</v>
      </c>
      <c r="BX86" s="642">
        <f t="shared" ref="BX86:BX87" si="627">IF(BI86,AT86/BI86,0)</f>
        <v>6.6544519076902429E-3</v>
      </c>
      <c r="BY86" s="643">
        <f t="shared" ref="BY86:BY87" si="628">IF(BJ86,AU86/BJ86,0)</f>
        <v>0</v>
      </c>
      <c r="BZ86" s="641">
        <f t="shared" ref="BZ86:BZ87" si="629">IF(BK86,AV86/BK86,0)</f>
        <v>1.1119640332233538E-2</v>
      </c>
      <c r="CA86" s="642">
        <f t="shared" ref="CA86:CA87" si="630">IF(BL86,AW86/BL86,0)</f>
        <v>1.106404213057237E-2</v>
      </c>
      <c r="CB86" s="642">
        <f t="shared" ref="CB86:CB87" si="631">IF(BM86,AX86/BM86,0)</f>
        <v>1.1008721919919508E-2</v>
      </c>
      <c r="CC86" s="642">
        <f t="shared" ref="CC86:CC87" si="632">IF(BN86,AY86/BN86,0)</f>
        <v>1.095367831031991E-2</v>
      </c>
      <c r="CD86" s="643">
        <f t="shared" ref="CD86:CD87" si="633">IF(BO86,AZ86/BO86,0)</f>
        <v>1.0898909918768311E-2</v>
      </c>
    </row>
    <row r="87" spans="1:82" ht="14.25">
      <c r="B87" s="161"/>
      <c r="C87" s="660"/>
      <c r="D87" s="162" t="s">
        <v>2660</v>
      </c>
      <c r="E87" s="660"/>
      <c r="F87" s="162"/>
      <c r="G87" s="185"/>
      <c r="H87" s="163"/>
      <c r="I87" s="164" t="s">
        <v>498</v>
      </c>
      <c r="J87" s="641">
        <f>SUM('4.07_Repex_Services'!J46,'4.07_Repex_Services'!J139,'4.07_Repex_Services'!J208,'4.07_Repex_Services'!J277)</f>
        <v>0</v>
      </c>
      <c r="K87" s="642">
        <f>SUM('4.07_Repex_Services'!K46,'4.07_Repex_Services'!K139,'4.07_Repex_Services'!K208,'4.07_Repex_Services'!K277)</f>
        <v>4.4119587963155019E-3</v>
      </c>
      <c r="L87" s="642">
        <f>SUM('4.07_Repex_Services'!L46,'4.07_Repex_Services'!L139,'4.07_Repex_Services'!L208,'4.07_Repex_Services'!L277)</f>
        <v>3.8889930666226456E-3</v>
      </c>
      <c r="M87" s="642">
        <f>SUM('4.07_Repex_Services'!M46,'4.07_Repex_Services'!M139,'4.07_Repex_Services'!M208,'4.07_Repex_Services'!M277)</f>
        <v>7.6629875826187061E-4</v>
      </c>
      <c r="N87" s="642">
        <f>SUM('4.07_Repex_Services'!N46,'4.07_Repex_Services'!N139,'4.07_Repex_Services'!N208,'4.07_Repex_Services'!N277)</f>
        <v>3.8707543668635647E-4</v>
      </c>
      <c r="O87" s="642">
        <f>SUM('4.07_Repex_Services'!O46,'4.07_Repex_Services'!O139,'4.07_Repex_Services'!O208,'4.07_Repex_Services'!O277)</f>
        <v>1.6590924451143974E-4</v>
      </c>
      <c r="P87" s="642">
        <f>SUM('4.07_Repex_Services'!P46,'4.07_Repex_Services'!P139,'4.07_Repex_Services'!P208,'4.07_Repex_Services'!P277)</f>
        <v>1.2076042354376346E-4</v>
      </c>
      <c r="Q87" s="643">
        <f>SUM('4.07_Repex_Services'!Q46,'4.07_Repex_Services'!Q139,'4.07_Repex_Services'!Q208,'4.07_Repex_Services'!Q277)</f>
        <v>0</v>
      </c>
      <c r="R87" s="641">
        <f>SUM('4.07_Repex_Services'!R46,'4.07_Repex_Services'!R139,'4.07_Repex_Services'!R208,'4.07_Repex_Services'!R277)</f>
        <v>2.1786835590556973E-5</v>
      </c>
      <c r="S87" s="642">
        <f>SUM('4.07_Repex_Services'!S46,'4.07_Repex_Services'!S139,'4.07_Repex_Services'!S208,'4.07_Repex_Services'!S277)</f>
        <v>2.1677901412604189E-5</v>
      </c>
      <c r="T87" s="642">
        <f>SUM('4.07_Repex_Services'!T46,'4.07_Repex_Services'!T139,'4.07_Repex_Services'!T208,'4.07_Repex_Services'!T277)</f>
        <v>2.156951190554117E-5</v>
      </c>
      <c r="U87" s="642">
        <f>SUM('4.07_Repex_Services'!U46,'4.07_Repex_Services'!U139,'4.07_Repex_Services'!U208,'4.07_Repex_Services'!U277)</f>
        <v>2.1461664346013463E-5</v>
      </c>
      <c r="V87" s="643">
        <f>SUM('4.07_Repex_Services'!V46,'4.07_Repex_Services'!V139,'4.07_Repex_Services'!V208,'4.07_Repex_Services'!V277)</f>
        <v>2.1354356024283398E-5</v>
      </c>
      <c r="W87" s="163"/>
      <c r="X87" s="164" t="s">
        <v>498</v>
      </c>
      <c r="Y87" s="641">
        <f>SUM('4.07_Repex_Services'!Y46,'4.07_Repex_Services'!Y208,'4.07_Repex_Services'!Y277)</f>
        <v>0</v>
      </c>
      <c r="Z87" s="642">
        <f>SUM('4.07_Repex_Services'!Z46,'4.07_Repex_Services'!Z208,'4.07_Repex_Services'!Z277)</f>
        <v>0</v>
      </c>
      <c r="AA87" s="642">
        <f>SUM('4.07_Repex_Services'!AA46,'4.07_Repex_Services'!AA208,'4.07_Repex_Services'!AA277)</f>
        <v>0</v>
      </c>
      <c r="AB87" s="642">
        <f>SUM('4.07_Repex_Services'!AB46,'4.07_Repex_Services'!AB208,'4.07_Repex_Services'!AB277)</f>
        <v>0</v>
      </c>
      <c r="AC87" s="642">
        <f>SUM('4.07_Repex_Services'!AC46,'4.07_Repex_Services'!AC208,'4.07_Repex_Services'!AC277)</f>
        <v>0</v>
      </c>
      <c r="AD87" s="642">
        <f>SUM('4.07_Repex_Services'!AD46,'4.07_Repex_Services'!AD208,'4.07_Repex_Services'!AD277)</f>
        <v>0</v>
      </c>
      <c r="AE87" s="642">
        <f>SUM('4.07_Repex_Services'!AE46,'4.07_Repex_Services'!AE208,'4.07_Repex_Services'!AE277)</f>
        <v>0</v>
      </c>
      <c r="AF87" s="643">
        <f>SUM('4.07_Repex_Services'!AF46,'4.07_Repex_Services'!AF208,'4.07_Repex_Services'!AF277)</f>
        <v>0</v>
      </c>
      <c r="AG87" s="641">
        <f>SUM('4.07_Repex_Services'!AG46,'4.07_Repex_Services'!AG208,'4.07_Repex_Services'!AG277)</f>
        <v>0</v>
      </c>
      <c r="AH87" s="642">
        <f>SUM('4.07_Repex_Services'!AH46,'4.07_Repex_Services'!AH208,'4.07_Repex_Services'!AH277)</f>
        <v>0</v>
      </c>
      <c r="AI87" s="642">
        <f>SUM('4.07_Repex_Services'!AI46,'4.07_Repex_Services'!AI208,'4.07_Repex_Services'!AI277)</f>
        <v>0</v>
      </c>
      <c r="AJ87" s="642">
        <f>SUM('4.07_Repex_Services'!AJ46,'4.07_Repex_Services'!AJ208,'4.07_Repex_Services'!AJ277)</f>
        <v>0</v>
      </c>
      <c r="AK87" s="643">
        <f>SUM('4.07_Repex_Services'!AK46,'4.07_Repex_Services'!AK208,'4.07_Repex_Services'!AK277)</f>
        <v>0</v>
      </c>
      <c r="AL87" s="163"/>
      <c r="AM87" s="164" t="s">
        <v>498</v>
      </c>
      <c r="AN87" s="641">
        <f t="shared" ref="AN87" si="634">J87+Y87</f>
        <v>0</v>
      </c>
      <c r="AO87" s="642">
        <f t="shared" si="610"/>
        <v>4.4119587963155019E-3</v>
      </c>
      <c r="AP87" s="642">
        <f t="shared" si="611"/>
        <v>3.8889930666226456E-3</v>
      </c>
      <c r="AQ87" s="642">
        <f t="shared" si="612"/>
        <v>7.6629875826187061E-4</v>
      </c>
      <c r="AR87" s="642">
        <f t="shared" si="613"/>
        <v>3.8707543668635647E-4</v>
      </c>
      <c r="AS87" s="642">
        <f t="shared" si="614"/>
        <v>1.6590924451143974E-4</v>
      </c>
      <c r="AT87" s="642">
        <f t="shared" si="615"/>
        <v>1.2076042354376346E-4</v>
      </c>
      <c r="AU87" s="643">
        <f t="shared" si="616"/>
        <v>0</v>
      </c>
      <c r="AV87" s="641">
        <f t="shared" si="617"/>
        <v>2.1786835590556973E-5</v>
      </c>
      <c r="AW87" s="642">
        <f t="shared" si="618"/>
        <v>2.1677901412604189E-5</v>
      </c>
      <c r="AX87" s="642">
        <f t="shared" si="619"/>
        <v>2.156951190554117E-5</v>
      </c>
      <c r="AY87" s="642">
        <f t="shared" si="620"/>
        <v>2.1461664346013463E-5</v>
      </c>
      <c r="AZ87" s="643">
        <f t="shared" si="621"/>
        <v>2.1354356024283398E-5</v>
      </c>
      <c r="BA87" s="163"/>
      <c r="BB87" s="164" t="s">
        <v>1876</v>
      </c>
      <c r="BC87" s="641">
        <f>SUM('4.07_Repex_Services'!AN46,'4.07_Repex_Services'!AN139,'4.07_Repex_Services'!AN208,'4.07_Repex_Services'!AN277)</f>
        <v>1</v>
      </c>
      <c r="BD87" s="642">
        <f>SUM('4.07_Repex_Services'!AO46,'4.07_Repex_Services'!AO139,'4.07_Repex_Services'!AO208,'4.07_Repex_Services'!AO277)</f>
        <v>15</v>
      </c>
      <c r="BE87" s="642">
        <f>SUM('4.07_Repex_Services'!AP46,'4.07_Repex_Services'!AP139,'4.07_Repex_Services'!AP208,'4.07_Repex_Services'!AP277)</f>
        <v>11</v>
      </c>
      <c r="BF87" s="642">
        <f>SUM('4.07_Repex_Services'!AQ46,'4.07_Repex_Services'!AQ139,'4.07_Repex_Services'!AQ208,'4.07_Repex_Services'!AQ277)</f>
        <v>2</v>
      </c>
      <c r="BG87" s="642">
        <f>SUM('4.07_Repex_Services'!AR46,'4.07_Repex_Services'!AR139,'4.07_Repex_Services'!AR208,'4.07_Repex_Services'!AR277)</f>
        <v>2</v>
      </c>
      <c r="BH87" s="642">
        <f>SUM('4.07_Repex_Services'!AS46,'4.07_Repex_Services'!AS139,'4.07_Repex_Services'!AS208,'4.07_Repex_Services'!AS277)</f>
        <v>1</v>
      </c>
      <c r="BI87" s="642">
        <f>SUM('4.07_Repex_Services'!AT46,'4.07_Repex_Services'!AT139,'4.07_Repex_Services'!AT208,'4.07_Repex_Services'!AT277)</f>
        <v>0.41784022777232627</v>
      </c>
      <c r="BJ87" s="643">
        <f>SUM('4.07_Repex_Services'!AU46,'4.07_Repex_Services'!AU139,'4.07_Repex_Services'!AU208,'4.07_Repex_Services'!AU277)</f>
        <v>0</v>
      </c>
      <c r="BK87" s="641">
        <f>SUM('4.07_Repex_Services'!AV46,'4.07_Repex_Services'!AV139,'4.07_Repex_Services'!AV208,'4.07_Repex_Services'!AV277)</f>
        <v>8.0508984893222835E-2</v>
      </c>
      <c r="BL87" s="642">
        <f>SUM('4.07_Repex_Services'!AW46,'4.07_Repex_Services'!AW139,'4.07_Repex_Services'!AW208,'4.07_Repex_Services'!AW277)</f>
        <v>8.0508984893222835E-2</v>
      </c>
      <c r="BM87" s="642">
        <f>SUM('4.07_Repex_Services'!AX46,'4.07_Repex_Services'!AX139,'4.07_Repex_Services'!AX208,'4.07_Repex_Services'!AX277)</f>
        <v>8.0508984893222835E-2</v>
      </c>
      <c r="BN87" s="642">
        <f>SUM('4.07_Repex_Services'!AY46,'4.07_Repex_Services'!AY139,'4.07_Repex_Services'!AY208,'4.07_Repex_Services'!AY277)</f>
        <v>8.0508984893222835E-2</v>
      </c>
      <c r="BO87" s="643">
        <f>SUM('4.07_Repex_Services'!AZ46,'4.07_Repex_Services'!AZ139,'4.07_Repex_Services'!AZ208,'4.07_Repex_Services'!AZ277)</f>
        <v>8.0508984893222835E-2</v>
      </c>
      <c r="BP87" s="163"/>
      <c r="BQ87" s="164" t="s">
        <v>2648</v>
      </c>
      <c r="BR87" s="641">
        <f t="shared" ref="BR87" si="635">IF(BC87,AN87/BC87,0)</f>
        <v>0</v>
      </c>
      <c r="BS87" s="642">
        <f t="shared" si="622"/>
        <v>2.9413058642103345E-4</v>
      </c>
      <c r="BT87" s="642">
        <f t="shared" si="623"/>
        <v>3.5354482423842232E-4</v>
      </c>
      <c r="BU87" s="642">
        <f t="shared" si="624"/>
        <v>3.8314937913093531E-4</v>
      </c>
      <c r="BV87" s="642">
        <f t="shared" si="625"/>
        <v>1.9353771834317824E-4</v>
      </c>
      <c r="BW87" s="642">
        <f t="shared" si="626"/>
        <v>1.6590924451143974E-4</v>
      </c>
      <c r="BX87" s="642">
        <f t="shared" si="627"/>
        <v>2.8901100353019067E-4</v>
      </c>
      <c r="BY87" s="643">
        <f t="shared" si="628"/>
        <v>0</v>
      </c>
      <c r="BZ87" s="641">
        <f t="shared" si="629"/>
        <v>2.7061371621381564E-4</v>
      </c>
      <c r="CA87" s="642">
        <f t="shared" si="630"/>
        <v>2.6926064763274654E-4</v>
      </c>
      <c r="CB87" s="642">
        <f t="shared" si="631"/>
        <v>2.6791434439458285E-4</v>
      </c>
      <c r="CC87" s="642">
        <f t="shared" si="632"/>
        <v>2.6657477267260992E-4</v>
      </c>
      <c r="CD87" s="643">
        <f t="shared" si="633"/>
        <v>2.6524189880924691E-4</v>
      </c>
    </row>
    <row r="88" spans="1:82" ht="14.25">
      <c r="B88" s="161"/>
      <c r="C88" s="185" t="s">
        <v>1710</v>
      </c>
      <c r="D88" s="660"/>
      <c r="E88" s="185"/>
      <c r="F88" s="162"/>
      <c r="G88" s="185"/>
      <c r="H88" s="185"/>
      <c r="I88" s="164" t="s">
        <v>498</v>
      </c>
      <c r="J88" s="697">
        <f>SUM(J86:J87)</f>
        <v>2.6342504616859427E-2</v>
      </c>
      <c r="K88" s="698">
        <f t="shared" ref="K88" si="636">SUM(K86:K87)</f>
        <v>1.2132886689867631E-2</v>
      </c>
      <c r="L88" s="698">
        <f t="shared" ref="L88" si="637">SUM(L86:L87)</f>
        <v>5.195601154867735E-2</v>
      </c>
      <c r="M88" s="698">
        <f t="shared" ref="M88" si="638">SUM(M86:M87)</f>
        <v>1.136211251233861E-2</v>
      </c>
      <c r="N88" s="698">
        <f t="shared" ref="N88" si="639">SUM(N86:N87)</f>
        <v>5.9159682184161733E-2</v>
      </c>
      <c r="O88" s="698">
        <f t="shared" ref="O88" si="640">SUM(O86:O87)</f>
        <v>1.4795815838131016E-2</v>
      </c>
      <c r="P88" s="698">
        <f t="shared" ref="P88" si="641">SUM(P86:P87)</f>
        <v>3.1262694989850092E-3</v>
      </c>
      <c r="Q88" s="699">
        <f t="shared" ref="Q88" si="642">SUM(Q86:Q87)</f>
        <v>0</v>
      </c>
      <c r="R88" s="697">
        <f t="shared" ref="R88" si="643">SUM(R86:R87)</f>
        <v>1.3646332688793488E-3</v>
      </c>
      <c r="S88" s="698">
        <f t="shared" ref="S88" si="644">SUM(S86:S87)</f>
        <v>1.357810102534952E-3</v>
      </c>
      <c r="T88" s="698">
        <f t="shared" ref="T88" si="645">SUM(T86:T87)</f>
        <v>1.3510210520222771E-3</v>
      </c>
      <c r="U88" s="698">
        <f t="shared" ref="U88" si="646">SUM(U86:U87)</f>
        <v>1.3442659467621657E-3</v>
      </c>
      <c r="V88" s="699">
        <f t="shared" ref="V88" si="647">SUM(V86:V87)</f>
        <v>1.3375446170283548E-3</v>
      </c>
      <c r="W88" s="185"/>
      <c r="X88" s="164" t="s">
        <v>498</v>
      </c>
      <c r="Y88" s="697">
        <f>SUM(Y86:Y87)</f>
        <v>0</v>
      </c>
      <c r="Z88" s="698">
        <f t="shared" ref="Z88" si="648">SUM(Z86:Z87)</f>
        <v>0</v>
      </c>
      <c r="AA88" s="698">
        <f t="shared" ref="AA88" si="649">SUM(AA86:AA87)</f>
        <v>0</v>
      </c>
      <c r="AB88" s="698">
        <f t="shared" ref="AB88" si="650">SUM(AB86:AB87)</f>
        <v>0</v>
      </c>
      <c r="AC88" s="698">
        <f t="shared" ref="AC88" si="651">SUM(AC86:AC87)</f>
        <v>0</v>
      </c>
      <c r="AD88" s="698">
        <f t="shared" ref="AD88" si="652">SUM(AD86:AD87)</f>
        <v>0</v>
      </c>
      <c r="AE88" s="698">
        <f t="shared" ref="AE88" si="653">SUM(AE86:AE87)</f>
        <v>0</v>
      </c>
      <c r="AF88" s="699">
        <f t="shared" ref="AF88" si="654">SUM(AF86:AF87)</f>
        <v>0</v>
      </c>
      <c r="AG88" s="697">
        <f t="shared" ref="AG88" si="655">SUM(AG86:AG87)</f>
        <v>0</v>
      </c>
      <c r="AH88" s="698">
        <f t="shared" ref="AH88" si="656">SUM(AH86:AH87)</f>
        <v>0</v>
      </c>
      <c r="AI88" s="698">
        <f t="shared" ref="AI88" si="657">SUM(AI86:AI87)</f>
        <v>0</v>
      </c>
      <c r="AJ88" s="698">
        <f t="shared" ref="AJ88" si="658">SUM(AJ86:AJ87)</f>
        <v>0</v>
      </c>
      <c r="AK88" s="699">
        <f t="shared" ref="AK88" si="659">SUM(AK86:AK87)</f>
        <v>0</v>
      </c>
      <c r="AL88" s="185"/>
      <c r="AM88" s="164" t="s">
        <v>498</v>
      </c>
      <c r="AN88" s="697">
        <f>SUM(AN86:AN87)</f>
        <v>2.6342504616859427E-2</v>
      </c>
      <c r="AO88" s="698">
        <f t="shared" ref="AO88" si="660">SUM(AO86:AO87)</f>
        <v>1.2132886689867631E-2</v>
      </c>
      <c r="AP88" s="698">
        <f t="shared" ref="AP88" si="661">SUM(AP86:AP87)</f>
        <v>5.195601154867735E-2</v>
      </c>
      <c r="AQ88" s="698">
        <f t="shared" ref="AQ88" si="662">SUM(AQ86:AQ87)</f>
        <v>1.136211251233861E-2</v>
      </c>
      <c r="AR88" s="698">
        <f t="shared" ref="AR88" si="663">SUM(AR86:AR87)</f>
        <v>5.9159682184161733E-2</v>
      </c>
      <c r="AS88" s="698">
        <f t="shared" ref="AS88" si="664">SUM(AS86:AS87)</f>
        <v>1.4795815838131016E-2</v>
      </c>
      <c r="AT88" s="698">
        <f t="shared" ref="AT88" si="665">SUM(AT86:AT87)</f>
        <v>3.1262694989850092E-3</v>
      </c>
      <c r="AU88" s="699">
        <f t="shared" ref="AU88" si="666">SUM(AU86:AU87)</f>
        <v>0</v>
      </c>
      <c r="AV88" s="697">
        <f t="shared" ref="AV88" si="667">SUM(AV86:AV87)</f>
        <v>1.3646332688793488E-3</v>
      </c>
      <c r="AW88" s="698">
        <f t="shared" ref="AW88" si="668">SUM(AW86:AW87)</f>
        <v>1.357810102534952E-3</v>
      </c>
      <c r="AX88" s="698">
        <f t="shared" ref="AX88" si="669">SUM(AX86:AX87)</f>
        <v>1.3510210520222771E-3</v>
      </c>
      <c r="AY88" s="698">
        <f t="shared" ref="AY88" si="670">SUM(AY86:AY87)</f>
        <v>1.3442659467621657E-3</v>
      </c>
      <c r="AZ88" s="699">
        <f t="shared" ref="AZ88" si="671">SUM(AZ86:AZ87)</f>
        <v>1.3375446170283548E-3</v>
      </c>
      <c r="BA88" s="185"/>
      <c r="BB88" s="164" t="s">
        <v>1876</v>
      </c>
      <c r="BC88" s="697">
        <f>SUM(BC86:BC87)</f>
        <v>6</v>
      </c>
      <c r="BD88" s="698">
        <f t="shared" ref="BD88:BO88" si="672">SUM(BD86:BD87)</f>
        <v>18</v>
      </c>
      <c r="BE88" s="698">
        <f t="shared" si="672"/>
        <v>20</v>
      </c>
      <c r="BF88" s="698">
        <f t="shared" si="672"/>
        <v>3</v>
      </c>
      <c r="BG88" s="698">
        <f t="shared" si="672"/>
        <v>6</v>
      </c>
      <c r="BH88" s="698">
        <f t="shared" si="672"/>
        <v>3</v>
      </c>
      <c r="BI88" s="698">
        <f t="shared" si="672"/>
        <v>0.86949411559559198</v>
      </c>
      <c r="BJ88" s="699">
        <f t="shared" si="672"/>
        <v>0</v>
      </c>
      <c r="BK88" s="697">
        <f t="shared" si="672"/>
        <v>0.20127246223305706</v>
      </c>
      <c r="BL88" s="698">
        <f t="shared" si="672"/>
        <v>0.20127246223305706</v>
      </c>
      <c r="BM88" s="698">
        <f t="shared" si="672"/>
        <v>0.20127246223305706</v>
      </c>
      <c r="BN88" s="698">
        <f t="shared" si="672"/>
        <v>0.20127246223305706</v>
      </c>
      <c r="BO88" s="699">
        <f t="shared" si="672"/>
        <v>0.20127246223305706</v>
      </c>
      <c r="BP88" s="185"/>
      <c r="BQ88" s="117"/>
      <c r="BR88" s="159"/>
      <c r="BS88" s="117"/>
      <c r="BT88" s="117"/>
      <c r="BU88" s="117"/>
      <c r="BV88" s="117"/>
      <c r="BW88" s="117"/>
      <c r="BX88" s="117"/>
      <c r="BY88" s="160"/>
      <c r="BZ88" s="159"/>
      <c r="CA88" s="117"/>
      <c r="CB88" s="117"/>
      <c r="CC88" s="117"/>
      <c r="CD88" s="160"/>
    </row>
    <row r="89" spans="1:82" ht="14.25">
      <c r="B89" s="181"/>
      <c r="C89" s="185"/>
      <c r="D89" s="185"/>
      <c r="E89" s="182"/>
      <c r="F89" s="185"/>
      <c r="G89" s="184"/>
      <c r="H89" s="184"/>
      <c r="I89" s="117"/>
      <c r="J89" s="713"/>
      <c r="K89" s="714"/>
      <c r="L89" s="714"/>
      <c r="M89" s="714"/>
      <c r="N89" s="714"/>
      <c r="O89" s="714"/>
      <c r="P89" s="714"/>
      <c r="Q89" s="715"/>
      <c r="R89" s="716"/>
      <c r="S89" s="714"/>
      <c r="T89" s="714"/>
      <c r="U89" s="714"/>
      <c r="V89" s="715"/>
      <c r="W89" s="184"/>
      <c r="X89" s="117"/>
      <c r="Y89" s="713"/>
      <c r="Z89" s="714"/>
      <c r="AA89" s="714"/>
      <c r="AB89" s="714"/>
      <c r="AC89" s="714"/>
      <c r="AD89" s="714"/>
      <c r="AE89" s="714"/>
      <c r="AF89" s="715"/>
      <c r="AG89" s="716"/>
      <c r="AH89" s="714"/>
      <c r="AI89" s="714"/>
      <c r="AJ89" s="714"/>
      <c r="AK89" s="715"/>
      <c r="AL89" s="184"/>
      <c r="AM89" s="117"/>
      <c r="AN89" s="713"/>
      <c r="AO89" s="714"/>
      <c r="AP89" s="714"/>
      <c r="AQ89" s="714"/>
      <c r="AR89" s="714"/>
      <c r="AS89" s="714"/>
      <c r="AT89" s="714"/>
      <c r="AU89" s="715"/>
      <c r="AV89" s="716"/>
      <c r="AW89" s="714"/>
      <c r="AX89" s="714"/>
      <c r="AY89" s="714"/>
      <c r="AZ89" s="715"/>
      <c r="BA89" s="184"/>
      <c r="BB89" s="117"/>
      <c r="BC89" s="159"/>
      <c r="BD89" s="117"/>
      <c r="BE89" s="117"/>
      <c r="BF89" s="117"/>
      <c r="BG89" s="117"/>
      <c r="BH89" s="117"/>
      <c r="BI89" s="117"/>
      <c r="BJ89" s="160"/>
      <c r="BK89" s="159"/>
      <c r="BL89" s="117"/>
      <c r="BM89" s="117"/>
      <c r="BN89" s="117"/>
      <c r="BO89" s="160"/>
      <c r="BP89" s="184"/>
      <c r="BQ89" s="117"/>
      <c r="BR89" s="159"/>
      <c r="BS89" s="117"/>
      <c r="BT89" s="117"/>
      <c r="BU89" s="117"/>
      <c r="BV89" s="117"/>
      <c r="BW89" s="117"/>
      <c r="BX89" s="117"/>
      <c r="BY89" s="160"/>
      <c r="BZ89" s="159"/>
      <c r="CA89" s="117"/>
      <c r="CB89" s="117"/>
      <c r="CC89" s="117"/>
      <c r="CD89" s="160"/>
    </row>
    <row r="90" spans="1:82" ht="15" thickBot="1">
      <c r="B90" s="191" t="s">
        <v>1701</v>
      </c>
      <c r="C90" s="192"/>
      <c r="D90" s="192"/>
      <c r="E90" s="193"/>
      <c r="F90" s="192"/>
      <c r="G90" s="192"/>
      <c r="H90" s="194"/>
      <c r="I90" s="195" t="s">
        <v>498</v>
      </c>
      <c r="J90" s="701">
        <f>SUM(J78,J83,J88)</f>
        <v>2.6320417156674649</v>
      </c>
      <c r="K90" s="702">
        <f t="shared" ref="K90:V90" si="673">SUM(K78,K83,K88)</f>
        <v>2.6985719737512808</v>
      </c>
      <c r="L90" s="702">
        <f t="shared" si="673"/>
        <v>1.9763779352550541</v>
      </c>
      <c r="M90" s="702">
        <f t="shared" si="673"/>
        <v>1.6806520718256166</v>
      </c>
      <c r="N90" s="702">
        <f t="shared" si="673"/>
        <v>2.6436864634743249</v>
      </c>
      <c r="O90" s="702">
        <f t="shared" si="673"/>
        <v>1.5357584821556225</v>
      </c>
      <c r="P90" s="702">
        <f t="shared" si="673"/>
        <v>4.8793504218412478</v>
      </c>
      <c r="Q90" s="703">
        <f t="shared" si="673"/>
        <v>4.6938083013291756</v>
      </c>
      <c r="R90" s="701">
        <f t="shared" si="673"/>
        <v>0.77026283366691251</v>
      </c>
      <c r="S90" s="702">
        <f t="shared" si="673"/>
        <v>0.766411519498578</v>
      </c>
      <c r="T90" s="702">
        <f t="shared" si="673"/>
        <v>0.76257946190108483</v>
      </c>
      <c r="U90" s="702">
        <f t="shared" si="673"/>
        <v>0.75876656459157954</v>
      </c>
      <c r="V90" s="703">
        <f t="shared" si="673"/>
        <v>0.75497273176862167</v>
      </c>
      <c r="W90" s="194"/>
      <c r="X90" s="195" t="s">
        <v>498</v>
      </c>
      <c r="Y90" s="701">
        <f>SUM(Y78,Y83,Y88)</f>
        <v>0</v>
      </c>
      <c r="Z90" s="702">
        <f t="shared" ref="Z90:AK90" si="674">SUM(Z78,Z83,Z88)</f>
        <v>0</v>
      </c>
      <c r="AA90" s="702">
        <f t="shared" si="674"/>
        <v>0</v>
      </c>
      <c r="AB90" s="702">
        <f t="shared" si="674"/>
        <v>0</v>
      </c>
      <c r="AC90" s="702">
        <f t="shared" si="674"/>
        <v>0</v>
      </c>
      <c r="AD90" s="702">
        <f t="shared" si="674"/>
        <v>0</v>
      </c>
      <c r="AE90" s="702">
        <f t="shared" si="674"/>
        <v>0</v>
      </c>
      <c r="AF90" s="703">
        <f t="shared" si="674"/>
        <v>0</v>
      </c>
      <c r="AG90" s="701">
        <f t="shared" si="674"/>
        <v>0</v>
      </c>
      <c r="AH90" s="702">
        <f t="shared" si="674"/>
        <v>0</v>
      </c>
      <c r="AI90" s="702">
        <f t="shared" si="674"/>
        <v>0</v>
      </c>
      <c r="AJ90" s="702">
        <f t="shared" si="674"/>
        <v>0</v>
      </c>
      <c r="AK90" s="703">
        <f t="shared" si="674"/>
        <v>0</v>
      </c>
      <c r="AL90" s="194"/>
      <c r="AM90" s="195" t="s">
        <v>498</v>
      </c>
      <c r="AN90" s="701">
        <f>SUM(AN78,AN83,AN88)</f>
        <v>2.6320417156674649</v>
      </c>
      <c r="AO90" s="702">
        <f t="shared" ref="AO90:AZ90" si="675">SUM(AO78,AO83,AO88)</f>
        <v>2.6985719737512808</v>
      </c>
      <c r="AP90" s="702">
        <f t="shared" si="675"/>
        <v>1.9763779352550541</v>
      </c>
      <c r="AQ90" s="702">
        <f t="shared" si="675"/>
        <v>1.6806520718256166</v>
      </c>
      <c r="AR90" s="702">
        <f t="shared" si="675"/>
        <v>2.6436864634743249</v>
      </c>
      <c r="AS90" s="702">
        <f t="shared" si="675"/>
        <v>1.5357584821556225</v>
      </c>
      <c r="AT90" s="702">
        <f t="shared" si="675"/>
        <v>4.8793504218412478</v>
      </c>
      <c r="AU90" s="703">
        <f t="shared" si="675"/>
        <v>4.6938083013291756</v>
      </c>
      <c r="AV90" s="701">
        <f t="shared" si="675"/>
        <v>0.77026283366691251</v>
      </c>
      <c r="AW90" s="702">
        <f t="shared" si="675"/>
        <v>0.766411519498578</v>
      </c>
      <c r="AX90" s="702">
        <f t="shared" si="675"/>
        <v>0.76257946190108483</v>
      </c>
      <c r="AY90" s="702">
        <f t="shared" si="675"/>
        <v>0.75876656459157954</v>
      </c>
      <c r="AZ90" s="703">
        <f t="shared" si="675"/>
        <v>0.75497273176862167</v>
      </c>
      <c r="BA90" s="194"/>
      <c r="BB90" s="194"/>
      <c r="BC90" s="656"/>
      <c r="BD90" s="194"/>
      <c r="BE90" s="194"/>
      <c r="BF90" s="194"/>
      <c r="BG90" s="194"/>
      <c r="BH90" s="194"/>
      <c r="BI90" s="194"/>
      <c r="BJ90" s="972"/>
      <c r="BK90" s="656"/>
      <c r="BL90" s="194"/>
      <c r="BM90" s="194"/>
      <c r="BN90" s="194"/>
      <c r="BO90" s="972"/>
      <c r="BP90" s="194"/>
      <c r="BQ90" s="194"/>
      <c r="BR90" s="656"/>
      <c r="BS90" s="194"/>
      <c r="BT90" s="194"/>
      <c r="BU90" s="194"/>
      <c r="BV90" s="194"/>
      <c r="BW90" s="194"/>
      <c r="BX90" s="194"/>
      <c r="BY90" s="972"/>
      <c r="BZ90" s="656"/>
      <c r="CA90" s="194"/>
      <c r="CB90" s="194"/>
      <c r="CC90" s="194"/>
      <c r="CD90" s="972"/>
    </row>
    <row r="91" spans="1:82" ht="15" thickBot="1">
      <c r="B91" s="185"/>
      <c r="C91" s="185"/>
      <c r="D91" s="162"/>
      <c r="E91" s="162"/>
      <c r="F91" s="185"/>
      <c r="G91" s="185"/>
      <c r="H91" s="163"/>
      <c r="I91" s="185"/>
      <c r="J91" s="162"/>
      <c r="K91" s="162"/>
      <c r="L91" s="185"/>
      <c r="M91" s="185"/>
      <c r="N91" s="163"/>
      <c r="O91" s="185"/>
      <c r="P91" s="162"/>
      <c r="Q91" s="162"/>
      <c r="R91" s="185"/>
      <c r="S91" s="185"/>
      <c r="T91" s="163"/>
      <c r="U91" s="185"/>
      <c r="V91" s="162"/>
      <c r="AH91" s="173"/>
      <c r="AQ91" s="173"/>
    </row>
    <row r="92" spans="1:82" s="100" customFormat="1" ht="30" customHeight="1" thickBot="1">
      <c r="A92" s="89"/>
      <c r="B92" s="621" t="s">
        <v>1684</v>
      </c>
      <c r="C92" s="102"/>
      <c r="D92" s="102"/>
      <c r="E92" s="102"/>
      <c r="F92" s="102"/>
      <c r="G92" s="103"/>
      <c r="H92" s="103"/>
      <c r="I92" s="105" t="s">
        <v>1864</v>
      </c>
      <c r="J92" s="106"/>
      <c r="K92" s="106"/>
      <c r="L92" s="106"/>
      <c r="M92" s="106"/>
      <c r="N92" s="106"/>
      <c r="O92" s="106"/>
      <c r="P92" s="106"/>
      <c r="Q92" s="106"/>
      <c r="R92" s="105"/>
      <c r="S92" s="105"/>
      <c r="T92" s="105"/>
      <c r="U92" s="105"/>
      <c r="V92" s="187"/>
      <c r="W92" s="103"/>
      <c r="X92" s="105" t="s">
        <v>2202</v>
      </c>
      <c r="Y92" s="106"/>
      <c r="Z92" s="106"/>
      <c r="AA92" s="106"/>
      <c r="AB92" s="106"/>
      <c r="AC92" s="106"/>
      <c r="AD92" s="106"/>
      <c r="AE92" s="106"/>
      <c r="AF92" s="106"/>
      <c r="AG92" s="105"/>
      <c r="AH92" s="105"/>
      <c r="AI92" s="105"/>
      <c r="AJ92" s="105"/>
      <c r="AK92" s="187"/>
      <c r="AL92" s="103"/>
      <c r="AM92" s="105" t="s">
        <v>1704</v>
      </c>
      <c r="AN92" s="106"/>
      <c r="AO92" s="106"/>
      <c r="AP92" s="106"/>
      <c r="AQ92" s="106"/>
      <c r="AR92" s="106"/>
      <c r="AS92" s="106"/>
      <c r="AT92" s="106"/>
      <c r="AU92" s="106"/>
      <c r="AV92" s="105"/>
      <c r="AW92" s="105"/>
      <c r="AX92" s="105"/>
      <c r="AY92" s="105"/>
      <c r="AZ92" s="187"/>
      <c r="BA92" s="103"/>
      <c r="BB92" s="105" t="s">
        <v>2231</v>
      </c>
      <c r="BC92" s="106"/>
      <c r="BD92" s="106"/>
      <c r="BE92" s="106"/>
      <c r="BF92" s="106"/>
      <c r="BG92" s="106"/>
      <c r="BH92" s="106"/>
      <c r="BI92" s="106"/>
      <c r="BJ92" s="106"/>
      <c r="BK92" s="105"/>
      <c r="BL92" s="105"/>
      <c r="BM92" s="105"/>
      <c r="BN92" s="105"/>
      <c r="BO92" s="187"/>
      <c r="BP92" s="103"/>
      <c r="BQ92" s="105" t="s">
        <v>2414</v>
      </c>
      <c r="BR92" s="106"/>
      <c r="BS92" s="106"/>
      <c r="BT92" s="106"/>
      <c r="BU92" s="106"/>
      <c r="BV92" s="106"/>
      <c r="BW92" s="106"/>
      <c r="BX92" s="106"/>
      <c r="BY92" s="106"/>
      <c r="BZ92" s="105"/>
      <c r="CA92" s="105"/>
      <c r="CB92" s="105"/>
      <c r="CC92" s="105"/>
      <c r="CD92" s="187"/>
    </row>
    <row r="93" spans="1:82" s="157" customFormat="1" ht="30" customHeight="1">
      <c r="A93" s="99"/>
      <c r="B93" s="109"/>
      <c r="C93" s="110"/>
      <c r="D93" s="110"/>
      <c r="E93" s="110"/>
      <c r="F93" s="110"/>
      <c r="G93" s="111"/>
      <c r="H93" s="111"/>
      <c r="I93" s="117"/>
      <c r="J93" s="695" t="s">
        <v>1666</v>
      </c>
      <c r="K93" s="152"/>
      <c r="L93" s="152"/>
      <c r="M93" s="152"/>
      <c r="N93" s="152"/>
      <c r="O93" s="152"/>
      <c r="P93" s="152"/>
      <c r="Q93" s="153"/>
      <c r="R93" s="696" t="s">
        <v>2</v>
      </c>
      <c r="S93" s="155"/>
      <c r="T93" s="155"/>
      <c r="U93" s="155"/>
      <c r="V93" s="156"/>
      <c r="W93" s="111"/>
      <c r="X93" s="117"/>
      <c r="Y93" s="695" t="s">
        <v>1666</v>
      </c>
      <c r="Z93" s="152"/>
      <c r="AA93" s="152"/>
      <c r="AB93" s="152"/>
      <c r="AC93" s="152"/>
      <c r="AD93" s="152"/>
      <c r="AE93" s="152"/>
      <c r="AF93" s="153"/>
      <c r="AG93" s="696" t="s">
        <v>2</v>
      </c>
      <c r="AH93" s="155"/>
      <c r="AI93" s="155"/>
      <c r="AJ93" s="155"/>
      <c r="AK93" s="156"/>
      <c r="AL93" s="111"/>
      <c r="AM93" s="117"/>
      <c r="AN93" s="695" t="s">
        <v>1666</v>
      </c>
      <c r="AO93" s="152"/>
      <c r="AP93" s="152"/>
      <c r="AQ93" s="152"/>
      <c r="AR93" s="152"/>
      <c r="AS93" s="152"/>
      <c r="AT93" s="152"/>
      <c r="AU93" s="153"/>
      <c r="AV93" s="696" t="s">
        <v>2</v>
      </c>
      <c r="AW93" s="155"/>
      <c r="AX93" s="155"/>
      <c r="AY93" s="155"/>
      <c r="AZ93" s="156"/>
      <c r="BA93" s="111"/>
      <c r="BB93" s="117"/>
      <c r="BC93" s="695" t="s">
        <v>1666</v>
      </c>
      <c r="BD93" s="152" t="s">
        <v>1666</v>
      </c>
      <c r="BE93" s="152" t="s">
        <v>1666</v>
      </c>
      <c r="BF93" s="152" t="s">
        <v>1666</v>
      </c>
      <c r="BG93" s="152" t="s">
        <v>1666</v>
      </c>
      <c r="BH93" s="152" t="s">
        <v>1666</v>
      </c>
      <c r="BI93" s="152" t="s">
        <v>1666</v>
      </c>
      <c r="BJ93" s="153" t="s">
        <v>1666</v>
      </c>
      <c r="BK93" s="696" t="s">
        <v>1666</v>
      </c>
      <c r="BL93" s="155" t="s">
        <v>1666</v>
      </c>
      <c r="BM93" s="155" t="s">
        <v>1666</v>
      </c>
      <c r="BN93" s="155" t="s">
        <v>1666</v>
      </c>
      <c r="BO93" s="156" t="s">
        <v>1666</v>
      </c>
      <c r="BP93" s="111"/>
      <c r="BQ93" s="117"/>
      <c r="BR93" s="695" t="s">
        <v>1666</v>
      </c>
      <c r="BS93" s="152"/>
      <c r="BT93" s="152"/>
      <c r="BU93" s="152"/>
      <c r="BV93" s="152"/>
      <c r="BW93" s="152"/>
      <c r="BX93" s="152"/>
      <c r="BY93" s="153"/>
      <c r="BZ93" s="696" t="s">
        <v>2</v>
      </c>
      <c r="CA93" s="155"/>
      <c r="CB93" s="155"/>
      <c r="CC93" s="155"/>
      <c r="CD93" s="156"/>
    </row>
    <row r="94" spans="1:82" ht="15">
      <c r="B94" s="115"/>
      <c r="C94" s="185"/>
      <c r="D94" s="116"/>
      <c r="E94" s="116"/>
      <c r="F94" s="116"/>
      <c r="G94" s="117"/>
      <c r="H94" s="117"/>
      <c r="I94" s="119" t="s">
        <v>1667</v>
      </c>
      <c r="J94" s="158" t="s">
        <v>453</v>
      </c>
      <c r="K94" s="137" t="s">
        <v>455</v>
      </c>
      <c r="L94" s="137" t="s">
        <v>457</v>
      </c>
      <c r="M94" s="137" t="s">
        <v>459</v>
      </c>
      <c r="N94" s="137" t="s">
        <v>461</v>
      </c>
      <c r="O94" s="137" t="s">
        <v>463</v>
      </c>
      <c r="P94" s="137" t="s">
        <v>465</v>
      </c>
      <c r="Q94" s="138" t="s">
        <v>467</v>
      </c>
      <c r="R94" s="120" t="s">
        <v>469</v>
      </c>
      <c r="S94" s="121" t="s">
        <v>471</v>
      </c>
      <c r="T94" s="121" t="s">
        <v>473</v>
      </c>
      <c r="U94" s="121" t="s">
        <v>475</v>
      </c>
      <c r="V94" s="122" t="s">
        <v>477</v>
      </c>
      <c r="W94" s="117"/>
      <c r="X94" s="119" t="s">
        <v>1667</v>
      </c>
      <c r="Y94" s="158" t="s">
        <v>453</v>
      </c>
      <c r="Z94" s="137" t="s">
        <v>455</v>
      </c>
      <c r="AA94" s="137" t="s">
        <v>457</v>
      </c>
      <c r="AB94" s="137" t="s">
        <v>459</v>
      </c>
      <c r="AC94" s="137" t="s">
        <v>461</v>
      </c>
      <c r="AD94" s="137" t="s">
        <v>463</v>
      </c>
      <c r="AE94" s="137" t="s">
        <v>465</v>
      </c>
      <c r="AF94" s="138" t="s">
        <v>467</v>
      </c>
      <c r="AG94" s="120" t="s">
        <v>469</v>
      </c>
      <c r="AH94" s="121" t="s">
        <v>471</v>
      </c>
      <c r="AI94" s="121" t="s">
        <v>473</v>
      </c>
      <c r="AJ94" s="121" t="s">
        <v>475</v>
      </c>
      <c r="AK94" s="122" t="s">
        <v>477</v>
      </c>
      <c r="AL94" s="117"/>
      <c r="AM94" s="119" t="s">
        <v>1667</v>
      </c>
      <c r="AN94" s="158" t="s">
        <v>453</v>
      </c>
      <c r="AO94" s="137" t="s">
        <v>455</v>
      </c>
      <c r="AP94" s="137" t="s">
        <v>457</v>
      </c>
      <c r="AQ94" s="137" t="s">
        <v>459</v>
      </c>
      <c r="AR94" s="137" t="s">
        <v>461</v>
      </c>
      <c r="AS94" s="137" t="s">
        <v>463</v>
      </c>
      <c r="AT94" s="137" t="s">
        <v>465</v>
      </c>
      <c r="AU94" s="138" t="s">
        <v>467</v>
      </c>
      <c r="AV94" s="120" t="s">
        <v>469</v>
      </c>
      <c r="AW94" s="121" t="s">
        <v>471</v>
      </c>
      <c r="AX94" s="121" t="s">
        <v>473</v>
      </c>
      <c r="AY94" s="121" t="s">
        <v>475</v>
      </c>
      <c r="AZ94" s="122" t="s">
        <v>477</v>
      </c>
      <c r="BA94" s="117"/>
      <c r="BB94" s="119" t="s">
        <v>1667</v>
      </c>
      <c r="BC94" s="158" t="s">
        <v>453</v>
      </c>
      <c r="BD94" s="137" t="s">
        <v>453</v>
      </c>
      <c r="BE94" s="137" t="s">
        <v>453</v>
      </c>
      <c r="BF94" s="137" t="s">
        <v>453</v>
      </c>
      <c r="BG94" s="137" t="s">
        <v>453</v>
      </c>
      <c r="BH94" s="137" t="s">
        <v>453</v>
      </c>
      <c r="BI94" s="137" t="s">
        <v>453</v>
      </c>
      <c r="BJ94" s="138" t="s">
        <v>453</v>
      </c>
      <c r="BK94" s="120" t="s">
        <v>453</v>
      </c>
      <c r="BL94" s="121" t="s">
        <v>453</v>
      </c>
      <c r="BM94" s="121" t="s">
        <v>453</v>
      </c>
      <c r="BN94" s="121" t="s">
        <v>453</v>
      </c>
      <c r="BO94" s="122" t="s">
        <v>453</v>
      </c>
      <c r="BP94" s="117"/>
      <c r="BQ94" s="119" t="s">
        <v>1667</v>
      </c>
      <c r="BR94" s="158" t="s">
        <v>453</v>
      </c>
      <c r="BS94" s="137" t="s">
        <v>455</v>
      </c>
      <c r="BT94" s="137" t="s">
        <v>457</v>
      </c>
      <c r="BU94" s="137" t="s">
        <v>459</v>
      </c>
      <c r="BV94" s="137" t="s">
        <v>461</v>
      </c>
      <c r="BW94" s="137" t="s">
        <v>463</v>
      </c>
      <c r="BX94" s="137" t="s">
        <v>465</v>
      </c>
      <c r="BY94" s="138" t="s">
        <v>467</v>
      </c>
      <c r="BZ94" s="120" t="s">
        <v>469</v>
      </c>
      <c r="CA94" s="121" t="s">
        <v>471</v>
      </c>
      <c r="CB94" s="121" t="s">
        <v>473</v>
      </c>
      <c r="CC94" s="121" t="s">
        <v>475</v>
      </c>
      <c r="CD94" s="122" t="s">
        <v>477</v>
      </c>
    </row>
    <row r="95" spans="1:82" ht="15.75">
      <c r="B95" s="161"/>
      <c r="C95" s="616" t="s">
        <v>2652</v>
      </c>
      <c r="D95" s="186"/>
      <c r="E95" s="180"/>
      <c r="F95" s="180"/>
      <c r="G95" s="162"/>
      <c r="H95" s="163"/>
      <c r="I95" s="117"/>
      <c r="J95" s="159"/>
      <c r="K95" s="117"/>
      <c r="L95" s="117"/>
      <c r="M95" s="117"/>
      <c r="N95" s="117"/>
      <c r="O95" s="117"/>
      <c r="P95" s="117"/>
      <c r="Q95" s="160"/>
      <c r="R95" s="159"/>
      <c r="S95" s="117"/>
      <c r="T95" s="117"/>
      <c r="U95" s="117"/>
      <c r="V95" s="160"/>
      <c r="W95" s="163"/>
      <c r="X95" s="117"/>
      <c r="Y95" s="159"/>
      <c r="Z95" s="117"/>
      <c r="AA95" s="117"/>
      <c r="AB95" s="117"/>
      <c r="AC95" s="117"/>
      <c r="AD95" s="117"/>
      <c r="AE95" s="117"/>
      <c r="AF95" s="160"/>
      <c r="AG95" s="159"/>
      <c r="AH95" s="117"/>
      <c r="AI95" s="117"/>
      <c r="AJ95" s="117"/>
      <c r="AK95" s="160"/>
      <c r="AL95" s="163"/>
      <c r="AM95" s="117"/>
      <c r="AN95" s="159"/>
      <c r="AO95" s="117"/>
      <c r="AP95" s="117"/>
      <c r="AQ95" s="117"/>
      <c r="AR95" s="117"/>
      <c r="AS95" s="117"/>
      <c r="AT95" s="117"/>
      <c r="AU95" s="160"/>
      <c r="AV95" s="159"/>
      <c r="AW95" s="117"/>
      <c r="AX95" s="117"/>
      <c r="AY95" s="117"/>
      <c r="AZ95" s="160"/>
      <c r="BA95" s="163"/>
      <c r="BB95" s="117"/>
      <c r="BC95" s="159"/>
      <c r="BD95" s="117"/>
      <c r="BE95" s="117"/>
      <c r="BF95" s="117"/>
      <c r="BG95" s="117"/>
      <c r="BH95" s="117"/>
      <c r="BI95" s="117"/>
      <c r="BJ95" s="160"/>
      <c r="BK95" s="159"/>
      <c r="BL95" s="117"/>
      <c r="BM95" s="117"/>
      <c r="BN95" s="117"/>
      <c r="BO95" s="160"/>
      <c r="BP95" s="163"/>
      <c r="BQ95" s="117"/>
      <c r="BR95" s="159"/>
      <c r="BS95" s="117"/>
      <c r="BT95" s="117"/>
      <c r="BU95" s="117"/>
      <c r="BV95" s="117"/>
      <c r="BW95" s="117"/>
      <c r="BX95" s="117"/>
      <c r="BY95" s="160"/>
      <c r="BZ95" s="159"/>
      <c r="CA95" s="117"/>
      <c r="CB95" s="117"/>
      <c r="CC95" s="117"/>
      <c r="CD95" s="160"/>
    </row>
    <row r="96" spans="1:82" ht="15">
      <c r="B96" s="161"/>
      <c r="C96" s="185"/>
      <c r="D96" s="185" t="s">
        <v>1684</v>
      </c>
      <c r="E96" s="617"/>
      <c r="F96" s="162"/>
      <c r="G96" s="162"/>
      <c r="H96" s="185"/>
      <c r="I96" s="164" t="s">
        <v>498</v>
      </c>
      <c r="J96" s="641">
        <f>'4.03_Repex_Mains_Tier-2B_&amp;_3'!J61</f>
        <v>5.2174129248933392</v>
      </c>
      <c r="K96" s="642">
        <f>'4.03_Repex_Mains_Tier-2B_&amp;_3'!K61</f>
        <v>5.000876772824423</v>
      </c>
      <c r="L96" s="642">
        <f>'4.03_Repex_Mains_Tier-2B_&amp;_3'!L61</f>
        <v>3.4139316262368244</v>
      </c>
      <c r="M96" s="642">
        <f>'4.03_Repex_Mains_Tier-2B_&amp;_3'!M61</f>
        <v>3.6983622664596512</v>
      </c>
      <c r="N96" s="642">
        <f>'4.03_Repex_Mains_Tier-2B_&amp;_3'!N61</f>
        <v>7.8274067075286267</v>
      </c>
      <c r="O96" s="642">
        <f>'4.03_Repex_Mains_Tier-2B_&amp;_3'!O61</f>
        <v>8.6859122029074811</v>
      </c>
      <c r="P96" s="642">
        <f>'4.03_Repex_Mains_Tier-2B_&amp;_3'!P61</f>
        <v>9.6301748766542143</v>
      </c>
      <c r="Q96" s="643">
        <f>'4.03_Repex_Mains_Tier-2B_&amp;_3'!Q61</f>
        <v>8.5902189709159611</v>
      </c>
      <c r="R96" s="641">
        <f>'4.03_Repex_Mains_Tier-2B_&amp;_3'!R61</f>
        <v>7.4677989709639609</v>
      </c>
      <c r="S96" s="642">
        <f>'4.03_Repex_Mains_Tier-2B_&amp;_3'!S61</f>
        <v>7.430459976109141</v>
      </c>
      <c r="T96" s="642">
        <f>'4.03_Repex_Mains_Tier-2B_&amp;_3'!T61</f>
        <v>7.3933076762285959</v>
      </c>
      <c r="U96" s="642">
        <f>'4.03_Repex_Mains_Tier-2B_&amp;_3'!U61</f>
        <v>7.3563411378474513</v>
      </c>
      <c r="V96" s="643">
        <f>'4.03_Repex_Mains_Tier-2B_&amp;_3'!V61</f>
        <v>7.3195594321582158</v>
      </c>
      <c r="W96" s="185"/>
      <c r="X96" s="164" t="s">
        <v>498</v>
      </c>
      <c r="Y96" s="641">
        <f>'4.03_Repex_Mains_Tier-2B_&amp;_3'!Y61</f>
        <v>0</v>
      </c>
      <c r="Z96" s="642">
        <f>'4.03_Repex_Mains_Tier-2B_&amp;_3'!Z61</f>
        <v>0</v>
      </c>
      <c r="AA96" s="642">
        <f>'4.03_Repex_Mains_Tier-2B_&amp;_3'!AA61</f>
        <v>0</v>
      </c>
      <c r="AB96" s="642">
        <f>'4.03_Repex_Mains_Tier-2B_&amp;_3'!AB61</f>
        <v>0</v>
      </c>
      <c r="AC96" s="642">
        <f>'4.03_Repex_Mains_Tier-2B_&amp;_3'!AC61</f>
        <v>0</v>
      </c>
      <c r="AD96" s="642">
        <f>'4.03_Repex_Mains_Tier-2B_&amp;_3'!AD61</f>
        <v>0</v>
      </c>
      <c r="AE96" s="642">
        <f>'4.03_Repex_Mains_Tier-2B_&amp;_3'!AE61</f>
        <v>0</v>
      </c>
      <c r="AF96" s="643">
        <f>'4.03_Repex_Mains_Tier-2B_&amp;_3'!AF61</f>
        <v>0</v>
      </c>
      <c r="AG96" s="641">
        <f>'4.03_Repex_Mains_Tier-2B_&amp;_3'!AG61</f>
        <v>0</v>
      </c>
      <c r="AH96" s="642">
        <f>'4.03_Repex_Mains_Tier-2B_&amp;_3'!AH61</f>
        <v>0</v>
      </c>
      <c r="AI96" s="642">
        <f>'4.03_Repex_Mains_Tier-2B_&amp;_3'!AI61</f>
        <v>0</v>
      </c>
      <c r="AJ96" s="642">
        <f>'4.03_Repex_Mains_Tier-2B_&amp;_3'!AJ61</f>
        <v>0</v>
      </c>
      <c r="AK96" s="643">
        <f>'4.03_Repex_Mains_Tier-2B_&amp;_3'!AK61</f>
        <v>0</v>
      </c>
      <c r="AL96" s="185"/>
      <c r="AM96" s="164" t="s">
        <v>498</v>
      </c>
      <c r="AN96" s="641">
        <f>J96+Y96</f>
        <v>5.2174129248933392</v>
      </c>
      <c r="AO96" s="642">
        <f t="shared" ref="AO96:AO98" si="676">K96+Z96</f>
        <v>5.000876772824423</v>
      </c>
      <c r="AP96" s="642">
        <f t="shared" ref="AP96:AP98" si="677">L96+AA96</f>
        <v>3.4139316262368244</v>
      </c>
      <c r="AQ96" s="642">
        <f t="shared" ref="AQ96:AQ98" si="678">M96+AB96</f>
        <v>3.6983622664596512</v>
      </c>
      <c r="AR96" s="642">
        <f t="shared" ref="AR96:AR98" si="679">N96+AC96</f>
        <v>7.8274067075286267</v>
      </c>
      <c r="AS96" s="642">
        <f t="shared" ref="AS96:AS98" si="680">O96+AD96</f>
        <v>8.6859122029074811</v>
      </c>
      <c r="AT96" s="642">
        <f t="shared" ref="AT96:AT98" si="681">P96+AE96</f>
        <v>9.6301748766542143</v>
      </c>
      <c r="AU96" s="643">
        <f t="shared" ref="AU96:AU98" si="682">Q96+AF96</f>
        <v>8.5902189709159611</v>
      </c>
      <c r="AV96" s="641">
        <f t="shared" ref="AV96:AV98" si="683">R96+AG96</f>
        <v>7.4677989709639609</v>
      </c>
      <c r="AW96" s="642">
        <f t="shared" ref="AW96:AW98" si="684">S96+AH96</f>
        <v>7.430459976109141</v>
      </c>
      <c r="AX96" s="642">
        <f t="shared" ref="AX96:AX98" si="685">T96+AI96</f>
        <v>7.3933076762285959</v>
      </c>
      <c r="AY96" s="642">
        <f t="shared" ref="AY96:AY98" si="686">U96+AJ96</f>
        <v>7.3563411378474513</v>
      </c>
      <c r="AZ96" s="643">
        <f t="shared" ref="AZ96:AZ98" si="687">V96+AK96</f>
        <v>7.3195594321582158</v>
      </c>
      <c r="BA96" s="185"/>
      <c r="BB96" s="164" t="s">
        <v>2233</v>
      </c>
      <c r="BC96" s="641">
        <f>'4.03_Repex_Mains_Tier-2B_&amp;_3'!AN61</f>
        <v>20.41752</v>
      </c>
      <c r="BD96" s="642">
        <f>'4.03_Repex_Mains_Tier-2B_&amp;_3'!AO61</f>
        <v>17.229700000000001</v>
      </c>
      <c r="BE96" s="642">
        <f>'4.03_Repex_Mains_Tier-2B_&amp;_3'!AP61</f>
        <v>10.1265</v>
      </c>
      <c r="BF96" s="642">
        <f>'4.03_Repex_Mains_Tier-2B_&amp;_3'!AQ61</f>
        <v>9.9350000000000005</v>
      </c>
      <c r="BG96" s="642">
        <f>'4.03_Repex_Mains_Tier-2B_&amp;_3'!AR61</f>
        <v>24.067</v>
      </c>
      <c r="BH96" s="642">
        <f>'4.03_Repex_Mains_Tier-2B_&amp;_3'!AS61</f>
        <v>25.038</v>
      </c>
      <c r="BI96" s="642">
        <f>'4.03_Repex_Mains_Tier-2B_&amp;_3'!AT61</f>
        <v>25.01318575861297</v>
      </c>
      <c r="BJ96" s="643">
        <f>'4.03_Repex_Mains_Tier-2B_&amp;_3'!AU61</f>
        <v>19.139891735220164</v>
      </c>
      <c r="BK96" s="641">
        <f>'4.03_Repex_Mains_Tier-2B_&amp;_3'!AV61</f>
        <v>19.992000000000004</v>
      </c>
      <c r="BL96" s="642">
        <f>'4.03_Repex_Mains_Tier-2B_&amp;_3'!AW61</f>
        <v>19.992000000000004</v>
      </c>
      <c r="BM96" s="642">
        <f>'4.03_Repex_Mains_Tier-2B_&amp;_3'!AX61</f>
        <v>19.992000000000004</v>
      </c>
      <c r="BN96" s="642">
        <f>'4.03_Repex_Mains_Tier-2B_&amp;_3'!AY61</f>
        <v>19.992000000000004</v>
      </c>
      <c r="BO96" s="643">
        <f>'4.03_Repex_Mains_Tier-2B_&amp;_3'!AZ61</f>
        <v>19.992000000000004</v>
      </c>
      <c r="BP96" s="185"/>
      <c r="BQ96" s="164" t="s">
        <v>2415</v>
      </c>
      <c r="BR96" s="641">
        <f>IF(BC96,AN96/BC96,0)</f>
        <v>0.25553607514004339</v>
      </c>
      <c r="BS96" s="642">
        <f t="shared" ref="BS96:BS98" si="688">IF(BD96,AO96/BD96,0)</f>
        <v>0.29024746645759492</v>
      </c>
      <c r="BT96" s="642">
        <f t="shared" ref="BT96:BT98" si="689">IF(BE96,AP96/BE96,0)</f>
        <v>0.3371284872598454</v>
      </c>
      <c r="BU96" s="642">
        <f t="shared" ref="BU96:BU98" si="690">IF(BF96,AQ96/BF96,0)</f>
        <v>0.37225588993051345</v>
      </c>
      <c r="BV96" s="642">
        <f t="shared" ref="BV96:BV98" si="691">IF(BG96,AR96/BG96,0)</f>
        <v>0.32523400122693424</v>
      </c>
      <c r="BW96" s="642">
        <f t="shared" ref="BW96:BW98" si="692">IF(BH96,AS96/BH96,0)</f>
        <v>0.34690918615334615</v>
      </c>
      <c r="BX96" s="642">
        <f t="shared" ref="BX96:BX98" si="693">IF(BI96,AT96/BI96,0)</f>
        <v>0.38500393230950947</v>
      </c>
      <c r="BY96" s="643">
        <f t="shared" ref="BY96:BY98" si="694">IF(BJ96,AU96/BJ96,0)</f>
        <v>0.44881230728743976</v>
      </c>
      <c r="BZ96" s="641">
        <f t="shared" ref="BZ96:BZ98" si="695">IF(BK96,AV96/BK96,0)</f>
        <v>0.37353936429391554</v>
      </c>
      <c r="CA96" s="642">
        <f t="shared" ref="CA96:CA98" si="696">IF(BL96,AW96/BL96,0)</f>
        <v>0.37167166747244595</v>
      </c>
      <c r="CB96" s="642">
        <f t="shared" ref="CB96:CB98" si="697">IF(BM96,AX96/BM96,0)</f>
        <v>0.36981330913508376</v>
      </c>
      <c r="CC96" s="642">
        <f t="shared" ref="CC96:CC98" si="698">IF(BN96,AY96/BN96,0)</f>
        <v>0.36796424258940824</v>
      </c>
      <c r="CD96" s="643">
        <f t="shared" ref="CD96:CD98" si="699">IF(BO96,AZ96/BO96,0)</f>
        <v>0.36612442137646128</v>
      </c>
    </row>
    <row r="97" spans="2:82" ht="14.25">
      <c r="B97" s="161"/>
      <c r="C97" s="185"/>
      <c r="D97" s="185" t="s">
        <v>2666</v>
      </c>
      <c r="E97" s="185"/>
      <c r="F97" s="162"/>
      <c r="G97" s="185"/>
      <c r="H97" s="185"/>
      <c r="I97" s="164" t="s">
        <v>498</v>
      </c>
      <c r="J97" s="641">
        <f>'4.05_Repex_Mains_Diversions'!J56+'4.05_Repex_Mains_Diversions'!J141</f>
        <v>1.3052636844062053</v>
      </c>
      <c r="K97" s="642">
        <f>'4.05_Repex_Mains_Diversions'!K56+'4.05_Repex_Mains_Diversions'!K141</f>
        <v>0.56346251127439284</v>
      </c>
      <c r="L97" s="642">
        <f>'4.05_Repex_Mains_Diversions'!L56+'4.05_Repex_Mains_Diversions'!L141</f>
        <v>0.54408276356760821</v>
      </c>
      <c r="M97" s="642">
        <f>'4.05_Repex_Mains_Diversions'!M56+'4.05_Repex_Mains_Diversions'!M141</f>
        <v>1.060606725012146</v>
      </c>
      <c r="N97" s="642">
        <f>'4.05_Repex_Mains_Diversions'!N56+'4.05_Repex_Mains_Diversions'!N141</f>
        <v>0.41768368292496411</v>
      </c>
      <c r="O97" s="642">
        <f>'4.05_Repex_Mains_Diversions'!O56+'4.05_Repex_Mains_Diversions'!O141</f>
        <v>0.60338275107018169</v>
      </c>
      <c r="P97" s="642">
        <f>'4.05_Repex_Mains_Diversions'!P56+'4.05_Repex_Mains_Diversions'!P141</f>
        <v>0.6903925924583213</v>
      </c>
      <c r="Q97" s="643">
        <f>'4.05_Repex_Mains_Diversions'!Q56+'4.05_Repex_Mains_Diversions'!Q141</f>
        <v>0.5716696313564954</v>
      </c>
      <c r="R97" s="641">
        <f>'4.05_Repex_Mains_Diversions'!R56+'4.05_Repex_Mains_Diversions'!R141</f>
        <v>2.2632034690213469</v>
      </c>
      <c r="S97" s="642">
        <f>'4.05_Repex_Mains_Diversions'!S56+'4.05_Repex_Mains_Diversions'!S141</f>
        <v>2.2518874516762404</v>
      </c>
      <c r="T97" s="642">
        <f>'4.05_Repex_Mains_Diversions'!T56+'4.05_Repex_Mains_Diversions'!T141</f>
        <v>2.240628014417859</v>
      </c>
      <c r="U97" s="642">
        <f>'4.05_Repex_Mains_Diversions'!U56+'4.05_Repex_Mains_Diversions'!U141</f>
        <v>2.2294248743457699</v>
      </c>
      <c r="V97" s="643">
        <f>'4.05_Repex_Mains_Diversions'!V56+'4.05_Repex_Mains_Diversions'!V141</f>
        <v>2.2182777499740411</v>
      </c>
      <c r="W97" s="185"/>
      <c r="X97" s="164" t="s">
        <v>498</v>
      </c>
      <c r="Y97" s="641">
        <f>'4.05_Repex_Mains_Diversions'!Y56+'4.05_Repex_Mains_Diversions'!Y141</f>
        <v>-0.43742458160873071</v>
      </c>
      <c r="Z97" s="641">
        <f>'4.05_Repex_Mains_Diversions'!Z56+'4.05_Repex_Mains_Diversions'!Z141</f>
        <v>-0.40660399793880408</v>
      </c>
      <c r="AA97" s="641">
        <f>'4.05_Repex_Mains_Diversions'!AA56+'4.05_Repex_Mains_Diversions'!AA141</f>
        <v>-0.34027673886815007</v>
      </c>
      <c r="AB97" s="641">
        <f>'4.05_Repex_Mains_Diversions'!AB56+'4.05_Repex_Mains_Diversions'!AB141</f>
        <v>-0.93076434507200168</v>
      </c>
      <c r="AC97" s="641">
        <f>'4.05_Repex_Mains_Diversions'!AC56+'4.05_Repex_Mains_Diversions'!AC141</f>
        <v>-0.33967088883319541</v>
      </c>
      <c r="AD97" s="641">
        <f>'4.05_Repex_Mains_Diversions'!AD56+'4.05_Repex_Mains_Diversions'!AD141</f>
        <v>-0.49360828786010202</v>
      </c>
      <c r="AE97" s="641">
        <f>'4.05_Repex_Mains_Diversions'!AE56+'4.05_Repex_Mains_Diversions'!AE141</f>
        <v>-0.44442760464843861</v>
      </c>
      <c r="AF97" s="641">
        <f>'4.05_Repex_Mains_Diversions'!AF56+'4.05_Repex_Mains_Diversions'!AF141</f>
        <v>-0.37710710041593137</v>
      </c>
      <c r="AG97" s="641">
        <f>'4.05_Repex_Mains_Diversions'!AG56+'4.05_Repex_Mains_Diversions'!AG141</f>
        <v>-1.447098417875923</v>
      </c>
      <c r="AH97" s="641">
        <f>'4.05_Repex_Mains_Diversions'!AH56+'4.05_Repex_Mains_Diversions'!AH141</f>
        <v>-1.4398629257865434</v>
      </c>
      <c r="AI97" s="641">
        <f>'4.05_Repex_Mains_Diversions'!AI56+'4.05_Repex_Mains_Diversions'!AI141</f>
        <v>-1.4326636111576105</v>
      </c>
      <c r="AJ97" s="641">
        <f>'4.05_Repex_Mains_Diversions'!AJ56+'4.05_Repex_Mains_Diversions'!AJ141</f>
        <v>-1.4255002931018226</v>
      </c>
      <c r="AK97" s="641">
        <f>'4.05_Repex_Mains_Diversions'!AK56+'4.05_Repex_Mains_Diversions'!AK141</f>
        <v>-1.4183727916363134</v>
      </c>
      <c r="AL97" s="185"/>
      <c r="AM97" s="164" t="s">
        <v>498</v>
      </c>
      <c r="AN97" s="641">
        <f t="shared" ref="AN97:AN98" si="700">J97+Y97</f>
        <v>0.86783910279747456</v>
      </c>
      <c r="AO97" s="642">
        <f t="shared" si="676"/>
        <v>0.15685851333558876</v>
      </c>
      <c r="AP97" s="642">
        <f t="shared" si="677"/>
        <v>0.20380602469945813</v>
      </c>
      <c r="AQ97" s="642">
        <f t="shared" si="678"/>
        <v>0.12984237994014436</v>
      </c>
      <c r="AR97" s="642">
        <f t="shared" si="679"/>
        <v>7.80127940917687E-2</v>
      </c>
      <c r="AS97" s="642">
        <f t="shared" si="680"/>
        <v>0.10977446321007966</v>
      </c>
      <c r="AT97" s="642">
        <f t="shared" si="681"/>
        <v>0.24596498780988268</v>
      </c>
      <c r="AU97" s="643">
        <f t="shared" si="682"/>
        <v>0.19456253094056403</v>
      </c>
      <c r="AV97" s="641">
        <f t="shared" si="683"/>
        <v>0.81610505114542398</v>
      </c>
      <c r="AW97" s="642">
        <f t="shared" si="684"/>
        <v>0.81202452588969698</v>
      </c>
      <c r="AX97" s="642">
        <f t="shared" si="685"/>
        <v>0.80796440326024843</v>
      </c>
      <c r="AY97" s="642">
        <f t="shared" si="686"/>
        <v>0.80392458124394728</v>
      </c>
      <c r="AZ97" s="643">
        <f t="shared" si="687"/>
        <v>0.79990495833772779</v>
      </c>
      <c r="BA97" s="185"/>
      <c r="BB97" s="164" t="s">
        <v>2233</v>
      </c>
      <c r="BC97" s="641">
        <f>'4.05_Repex_Mains_Diversions'!AN56+'4.05_Repex_Mains_Diversions'!AN141</f>
        <v>1.746</v>
      </c>
      <c r="BD97" s="641">
        <f>'4.05_Repex_Mains_Diversions'!AO56+'4.05_Repex_Mains_Diversions'!AO141</f>
        <v>1.012</v>
      </c>
      <c r="BE97" s="641">
        <f>'4.05_Repex_Mains_Diversions'!AP56+'4.05_Repex_Mains_Diversions'!AP141</f>
        <v>1.0505</v>
      </c>
      <c r="BF97" s="641">
        <f>'4.05_Repex_Mains_Diversions'!AQ56+'4.05_Repex_Mains_Diversions'!AQ141</f>
        <v>1.012</v>
      </c>
      <c r="BG97" s="641">
        <f>'4.05_Repex_Mains_Diversions'!AR56+'4.05_Repex_Mains_Diversions'!AR141</f>
        <v>0.54899999999999993</v>
      </c>
      <c r="BH97" s="641">
        <f>'4.05_Repex_Mains_Diversions'!AS56+'4.05_Repex_Mains_Diversions'!AS141</f>
        <v>0.433</v>
      </c>
      <c r="BI97" s="641">
        <f>'4.05_Repex_Mains_Diversions'!AT56+'4.05_Repex_Mains_Diversions'!AT141</f>
        <v>1.1391751138459232</v>
      </c>
      <c r="BJ97" s="641">
        <f>'4.05_Repex_Mains_Diversions'!AU56+'4.05_Repex_Mains_Diversions'!AU141</f>
        <v>1.0866545682589868</v>
      </c>
      <c r="BK97" s="641">
        <f>'4.05_Repex_Mains_Diversions'!AV56+'4.05_Repex_Mains_Diversions'!AV141</f>
        <v>3.6056984001825807</v>
      </c>
      <c r="BL97" s="641">
        <f>'4.05_Repex_Mains_Diversions'!AW56+'4.05_Repex_Mains_Diversions'!AW141</f>
        <v>3.6056984001825807</v>
      </c>
      <c r="BM97" s="641">
        <f>'4.05_Repex_Mains_Diversions'!AX56+'4.05_Repex_Mains_Diversions'!AX141</f>
        <v>3.6056984001825807</v>
      </c>
      <c r="BN97" s="641">
        <f>'4.05_Repex_Mains_Diversions'!AY56+'4.05_Repex_Mains_Diversions'!AY141</f>
        <v>3.6056984001825807</v>
      </c>
      <c r="BO97" s="641">
        <f>'4.05_Repex_Mains_Diversions'!AZ56+'4.05_Repex_Mains_Diversions'!AZ141</f>
        <v>3.6056984001825807</v>
      </c>
      <c r="BP97" s="185"/>
      <c r="BQ97" s="164" t="s">
        <v>2415</v>
      </c>
      <c r="BR97" s="641">
        <f t="shared" ref="BR97:BR98" si="701">IF(BC97,AN97/BC97,0)</f>
        <v>0.49704415967782051</v>
      </c>
      <c r="BS97" s="642">
        <f t="shared" si="688"/>
        <v>0.1549985309640205</v>
      </c>
      <c r="BT97" s="642">
        <f t="shared" si="689"/>
        <v>0.19400859086097871</v>
      </c>
      <c r="BU97" s="642">
        <f t="shared" si="690"/>
        <v>0.12830274697642724</v>
      </c>
      <c r="BV97" s="642">
        <f t="shared" si="691"/>
        <v>0.14209980708883188</v>
      </c>
      <c r="BW97" s="642">
        <f t="shared" si="692"/>
        <v>0.25352070025422557</v>
      </c>
      <c r="BX97" s="642">
        <f t="shared" si="693"/>
        <v>0.21591499394635669</v>
      </c>
      <c r="BY97" s="643">
        <f t="shared" si="694"/>
        <v>0.1790472672951513</v>
      </c>
      <c r="BZ97" s="641">
        <f t="shared" si="695"/>
        <v>0.22633758028794063</v>
      </c>
      <c r="CA97" s="642">
        <f t="shared" si="696"/>
        <v>0.22520589238650096</v>
      </c>
      <c r="CB97" s="642">
        <f t="shared" si="697"/>
        <v>0.22407986292456844</v>
      </c>
      <c r="CC97" s="642">
        <f t="shared" si="698"/>
        <v>0.22295946360994562</v>
      </c>
      <c r="CD97" s="643">
        <f t="shared" si="699"/>
        <v>0.22184466629189598</v>
      </c>
    </row>
    <row r="98" spans="2:82" ht="14.25">
      <c r="B98" s="161"/>
      <c r="C98" s="185"/>
      <c r="D98" s="185" t="s">
        <v>2667</v>
      </c>
      <c r="E98" s="185"/>
      <c r="F98" s="162"/>
      <c r="G98" s="185"/>
      <c r="H98" s="185"/>
      <c r="I98" s="164" t="s">
        <v>498</v>
      </c>
      <c r="J98" s="641">
        <f>'4.06_Capitalised_Replacement'!J56</f>
        <v>0</v>
      </c>
      <c r="K98" s="642">
        <f>'4.06_Capitalised_Replacement'!K56</f>
        <v>0</v>
      </c>
      <c r="L98" s="642">
        <f>'4.06_Capitalised_Replacement'!L56</f>
        <v>0</v>
      </c>
      <c r="M98" s="642">
        <f>'4.06_Capitalised_Replacement'!M56</f>
        <v>0</v>
      </c>
      <c r="N98" s="642">
        <f>'4.06_Capitalised_Replacement'!N56</f>
        <v>0</v>
      </c>
      <c r="O98" s="642">
        <f>'4.06_Capitalised_Replacement'!O56</f>
        <v>0</v>
      </c>
      <c r="P98" s="642">
        <f>'4.06_Capitalised_Replacement'!P56</f>
        <v>0</v>
      </c>
      <c r="Q98" s="643">
        <f>'4.06_Capitalised_Replacement'!Q56</f>
        <v>0</v>
      </c>
      <c r="R98" s="641">
        <f>'4.06_Capitalised_Replacement'!R56</f>
        <v>0</v>
      </c>
      <c r="S98" s="642">
        <f>'4.06_Capitalised_Replacement'!S56</f>
        <v>0</v>
      </c>
      <c r="T98" s="642">
        <f>'4.06_Capitalised_Replacement'!T56</f>
        <v>0</v>
      </c>
      <c r="U98" s="642">
        <f>'4.06_Capitalised_Replacement'!U56</f>
        <v>0</v>
      </c>
      <c r="V98" s="643">
        <f>'4.06_Capitalised_Replacement'!V56</f>
        <v>0</v>
      </c>
      <c r="W98" s="185"/>
      <c r="X98" s="164" t="s">
        <v>498</v>
      </c>
      <c r="Y98" s="641">
        <f>'4.06_Capitalised_Replacement'!Y56</f>
        <v>0</v>
      </c>
      <c r="Z98" s="642">
        <f>'4.06_Capitalised_Replacement'!Z56</f>
        <v>0</v>
      </c>
      <c r="AA98" s="642">
        <f>'4.06_Capitalised_Replacement'!AA56</f>
        <v>0</v>
      </c>
      <c r="AB98" s="642">
        <f>'4.06_Capitalised_Replacement'!AB56</f>
        <v>0</v>
      </c>
      <c r="AC98" s="642">
        <f>'4.06_Capitalised_Replacement'!AC56</f>
        <v>0</v>
      </c>
      <c r="AD98" s="642">
        <f>'4.06_Capitalised_Replacement'!AD56</f>
        <v>0</v>
      </c>
      <c r="AE98" s="642">
        <f>'4.06_Capitalised_Replacement'!AE56</f>
        <v>0</v>
      </c>
      <c r="AF98" s="643">
        <f>'4.06_Capitalised_Replacement'!AF56</f>
        <v>0</v>
      </c>
      <c r="AG98" s="641">
        <f>'4.06_Capitalised_Replacement'!AG56</f>
        <v>0</v>
      </c>
      <c r="AH98" s="642">
        <f>'4.06_Capitalised_Replacement'!AH56</f>
        <v>0</v>
      </c>
      <c r="AI98" s="642">
        <f>'4.06_Capitalised_Replacement'!AI56</f>
        <v>0</v>
      </c>
      <c r="AJ98" s="642">
        <f>'4.06_Capitalised_Replacement'!AJ56</f>
        <v>0</v>
      </c>
      <c r="AK98" s="643">
        <f>'4.06_Capitalised_Replacement'!AK56</f>
        <v>0</v>
      </c>
      <c r="AL98" s="185"/>
      <c r="AM98" s="164" t="s">
        <v>498</v>
      </c>
      <c r="AN98" s="641">
        <f t="shared" si="700"/>
        <v>0</v>
      </c>
      <c r="AO98" s="642">
        <f t="shared" si="676"/>
        <v>0</v>
      </c>
      <c r="AP98" s="642">
        <f t="shared" si="677"/>
        <v>0</v>
      </c>
      <c r="AQ98" s="642">
        <f t="shared" si="678"/>
        <v>0</v>
      </c>
      <c r="AR98" s="642">
        <f t="shared" si="679"/>
        <v>0</v>
      </c>
      <c r="AS98" s="642">
        <f t="shared" si="680"/>
        <v>0</v>
      </c>
      <c r="AT98" s="642">
        <f t="shared" si="681"/>
        <v>0</v>
      </c>
      <c r="AU98" s="643">
        <f t="shared" si="682"/>
        <v>0</v>
      </c>
      <c r="AV98" s="641">
        <f t="shared" si="683"/>
        <v>0</v>
      </c>
      <c r="AW98" s="642">
        <f t="shared" si="684"/>
        <v>0</v>
      </c>
      <c r="AX98" s="642">
        <f t="shared" si="685"/>
        <v>0</v>
      </c>
      <c r="AY98" s="642">
        <f t="shared" si="686"/>
        <v>0</v>
      </c>
      <c r="AZ98" s="643">
        <f t="shared" si="687"/>
        <v>0</v>
      </c>
      <c r="BA98" s="185"/>
      <c r="BB98" s="164" t="s">
        <v>2233</v>
      </c>
      <c r="BC98" s="641">
        <f>'4.06_Capitalised_Replacement'!AN56</f>
        <v>0</v>
      </c>
      <c r="BD98" s="642">
        <f>'4.06_Capitalised_Replacement'!AO56</f>
        <v>0</v>
      </c>
      <c r="BE98" s="642">
        <f>'4.06_Capitalised_Replacement'!AP56</f>
        <v>0</v>
      </c>
      <c r="BF98" s="642">
        <f>'4.06_Capitalised_Replacement'!AQ56</f>
        <v>0</v>
      </c>
      <c r="BG98" s="642">
        <f>'4.06_Capitalised_Replacement'!AR56</f>
        <v>0</v>
      </c>
      <c r="BH98" s="642">
        <f>'4.06_Capitalised_Replacement'!AS56</f>
        <v>0</v>
      </c>
      <c r="BI98" s="642">
        <f>'4.06_Capitalised_Replacement'!AT56</f>
        <v>0</v>
      </c>
      <c r="BJ98" s="643">
        <f>'4.06_Capitalised_Replacement'!AU56</f>
        <v>0</v>
      </c>
      <c r="BK98" s="641">
        <f>'4.06_Capitalised_Replacement'!AV56</f>
        <v>0</v>
      </c>
      <c r="BL98" s="642">
        <f>'4.06_Capitalised_Replacement'!AW56</f>
        <v>0</v>
      </c>
      <c r="BM98" s="642">
        <f>'4.06_Capitalised_Replacement'!AX56</f>
        <v>0</v>
      </c>
      <c r="BN98" s="642">
        <f>'4.06_Capitalised_Replacement'!AY56</f>
        <v>0</v>
      </c>
      <c r="BO98" s="643">
        <f>'4.06_Capitalised_Replacement'!AZ56</f>
        <v>0</v>
      </c>
      <c r="BP98" s="185"/>
      <c r="BQ98" s="164" t="s">
        <v>2415</v>
      </c>
      <c r="BR98" s="641">
        <f t="shared" si="701"/>
        <v>0</v>
      </c>
      <c r="BS98" s="642">
        <f t="shared" si="688"/>
        <v>0</v>
      </c>
      <c r="BT98" s="642">
        <f t="shared" si="689"/>
        <v>0</v>
      </c>
      <c r="BU98" s="642">
        <f t="shared" si="690"/>
        <v>0</v>
      </c>
      <c r="BV98" s="642">
        <f t="shared" si="691"/>
        <v>0</v>
      </c>
      <c r="BW98" s="642">
        <f t="shared" si="692"/>
        <v>0</v>
      </c>
      <c r="BX98" s="642">
        <f t="shared" si="693"/>
        <v>0</v>
      </c>
      <c r="BY98" s="643">
        <f t="shared" si="694"/>
        <v>0</v>
      </c>
      <c r="BZ98" s="641">
        <f t="shared" si="695"/>
        <v>0</v>
      </c>
      <c r="CA98" s="642">
        <f t="shared" si="696"/>
        <v>0</v>
      </c>
      <c r="CB98" s="642">
        <f t="shared" si="697"/>
        <v>0</v>
      </c>
      <c r="CC98" s="642">
        <f t="shared" si="698"/>
        <v>0</v>
      </c>
      <c r="CD98" s="643">
        <f t="shared" si="699"/>
        <v>0</v>
      </c>
    </row>
    <row r="99" spans="2:82" ht="14.25">
      <c r="B99" s="161"/>
      <c r="C99" s="185" t="s">
        <v>1710</v>
      </c>
      <c r="D99" s="185"/>
      <c r="E99" s="185"/>
      <c r="F99" s="162"/>
      <c r="G99" s="185"/>
      <c r="H99" s="185"/>
      <c r="I99" s="164" t="s">
        <v>498</v>
      </c>
      <c r="J99" s="697">
        <f t="shared" ref="J99" si="702">SUM(J96:J98)</f>
        <v>6.5226766092995447</v>
      </c>
      <c r="K99" s="698">
        <f t="shared" ref="K99:V99" si="703">SUM(K96:K98)</f>
        <v>5.564339284098816</v>
      </c>
      <c r="L99" s="698">
        <f t="shared" si="703"/>
        <v>3.9580143898044327</v>
      </c>
      <c r="M99" s="698">
        <f t="shared" si="703"/>
        <v>4.7589689914717974</v>
      </c>
      <c r="N99" s="698">
        <f t="shared" si="703"/>
        <v>8.2450903904535906</v>
      </c>
      <c r="O99" s="698">
        <f t="shared" si="703"/>
        <v>9.289294953977663</v>
      </c>
      <c r="P99" s="698">
        <f t="shared" si="703"/>
        <v>10.320567469112536</v>
      </c>
      <c r="Q99" s="699">
        <f t="shared" si="703"/>
        <v>9.161888602272457</v>
      </c>
      <c r="R99" s="697">
        <f t="shared" si="703"/>
        <v>9.731002439985307</v>
      </c>
      <c r="S99" s="698">
        <f t="shared" si="703"/>
        <v>9.6823474277853805</v>
      </c>
      <c r="T99" s="698">
        <f t="shared" si="703"/>
        <v>9.6339356906464548</v>
      </c>
      <c r="U99" s="698">
        <f t="shared" si="703"/>
        <v>9.585766012193222</v>
      </c>
      <c r="V99" s="699">
        <f t="shared" si="703"/>
        <v>9.5378371821322574</v>
      </c>
      <c r="W99" s="185"/>
      <c r="X99" s="164" t="s">
        <v>498</v>
      </c>
      <c r="Y99" s="697">
        <f t="shared" ref="Y99:AK99" si="704">SUM(Y96:Y98)</f>
        <v>-0.43742458160873071</v>
      </c>
      <c r="Z99" s="698">
        <f t="shared" si="704"/>
        <v>-0.40660399793880408</v>
      </c>
      <c r="AA99" s="698">
        <f t="shared" si="704"/>
        <v>-0.34027673886815007</v>
      </c>
      <c r="AB99" s="698">
        <f t="shared" si="704"/>
        <v>-0.93076434507200168</v>
      </c>
      <c r="AC99" s="698">
        <f t="shared" si="704"/>
        <v>-0.33967088883319541</v>
      </c>
      <c r="AD99" s="698">
        <f t="shared" si="704"/>
        <v>-0.49360828786010202</v>
      </c>
      <c r="AE99" s="698">
        <f t="shared" si="704"/>
        <v>-0.44442760464843861</v>
      </c>
      <c r="AF99" s="699">
        <f t="shared" si="704"/>
        <v>-0.37710710041593137</v>
      </c>
      <c r="AG99" s="697">
        <f t="shared" si="704"/>
        <v>-1.447098417875923</v>
      </c>
      <c r="AH99" s="698">
        <f t="shared" si="704"/>
        <v>-1.4398629257865434</v>
      </c>
      <c r="AI99" s="698">
        <f t="shared" si="704"/>
        <v>-1.4326636111576105</v>
      </c>
      <c r="AJ99" s="698">
        <f t="shared" si="704"/>
        <v>-1.4255002931018226</v>
      </c>
      <c r="AK99" s="699">
        <f t="shared" si="704"/>
        <v>-1.4183727916363134</v>
      </c>
      <c r="AL99" s="185"/>
      <c r="AM99" s="164" t="s">
        <v>498</v>
      </c>
      <c r="AN99" s="697">
        <f t="shared" ref="AN99:AZ99" si="705">SUM(AN96:AN98)</f>
        <v>6.0852520276908137</v>
      </c>
      <c r="AO99" s="698">
        <f t="shared" si="705"/>
        <v>5.1577352861600119</v>
      </c>
      <c r="AP99" s="698">
        <f t="shared" si="705"/>
        <v>3.6177376509362826</v>
      </c>
      <c r="AQ99" s="698">
        <f t="shared" si="705"/>
        <v>3.8282046463997954</v>
      </c>
      <c r="AR99" s="698">
        <f t="shared" si="705"/>
        <v>7.9054195016203952</v>
      </c>
      <c r="AS99" s="698">
        <f t="shared" si="705"/>
        <v>8.795686666117561</v>
      </c>
      <c r="AT99" s="698">
        <f t="shared" si="705"/>
        <v>9.876139864464097</v>
      </c>
      <c r="AU99" s="699">
        <f t="shared" si="705"/>
        <v>8.784781501856525</v>
      </c>
      <c r="AV99" s="697">
        <f t="shared" si="705"/>
        <v>8.2839040221093843</v>
      </c>
      <c r="AW99" s="698">
        <f t="shared" si="705"/>
        <v>8.2424845019988382</v>
      </c>
      <c r="AX99" s="698">
        <f t="shared" si="705"/>
        <v>8.2012720794888452</v>
      </c>
      <c r="AY99" s="698">
        <f t="shared" si="705"/>
        <v>8.1602657190913988</v>
      </c>
      <c r="AZ99" s="699">
        <f t="shared" si="705"/>
        <v>8.1194643904959438</v>
      </c>
      <c r="BA99" s="185"/>
      <c r="BB99" s="164" t="s">
        <v>2233</v>
      </c>
      <c r="BC99" s="697">
        <f t="shared" ref="BC99" si="706">SUM(BC96:BC98)</f>
        <v>22.163519999999998</v>
      </c>
      <c r="BD99" s="698">
        <f t="shared" ref="BD99:BO99" si="707">SUM(BD96:BD98)</f>
        <v>18.241700000000002</v>
      </c>
      <c r="BE99" s="698">
        <f t="shared" si="707"/>
        <v>11.177</v>
      </c>
      <c r="BF99" s="698">
        <f t="shared" si="707"/>
        <v>10.947000000000001</v>
      </c>
      <c r="BG99" s="698">
        <f t="shared" si="707"/>
        <v>24.616</v>
      </c>
      <c r="BH99" s="698">
        <f t="shared" si="707"/>
        <v>25.471</v>
      </c>
      <c r="BI99" s="698">
        <f t="shared" si="707"/>
        <v>26.152360872458893</v>
      </c>
      <c r="BJ99" s="699">
        <f t="shared" si="707"/>
        <v>20.22654630347915</v>
      </c>
      <c r="BK99" s="697">
        <f t="shared" si="707"/>
        <v>23.597698400182587</v>
      </c>
      <c r="BL99" s="698">
        <f t="shared" si="707"/>
        <v>23.597698400182587</v>
      </c>
      <c r="BM99" s="698">
        <f t="shared" si="707"/>
        <v>23.597698400182587</v>
      </c>
      <c r="BN99" s="698">
        <f t="shared" si="707"/>
        <v>23.597698400182587</v>
      </c>
      <c r="BO99" s="699">
        <f t="shared" si="707"/>
        <v>23.597698400182587</v>
      </c>
      <c r="BP99" s="185"/>
      <c r="BQ99" s="117"/>
      <c r="BR99" s="713"/>
      <c r="BS99" s="714"/>
      <c r="BT99" s="714"/>
      <c r="BU99" s="714"/>
      <c r="BV99" s="714"/>
      <c r="BW99" s="714"/>
      <c r="BX99" s="714"/>
      <c r="BY99" s="715"/>
      <c r="BZ99" s="716"/>
      <c r="CA99" s="714"/>
      <c r="CB99" s="714"/>
      <c r="CC99" s="714"/>
      <c r="CD99" s="715"/>
    </row>
    <row r="100" spans="2:82" ht="14.25">
      <c r="B100" s="181"/>
      <c r="C100" s="185"/>
      <c r="D100" s="185"/>
      <c r="E100" s="182"/>
      <c r="F100" s="185"/>
      <c r="G100" s="184"/>
      <c r="H100" s="184"/>
      <c r="I100" s="117"/>
      <c r="J100" s="713"/>
      <c r="K100" s="714"/>
      <c r="L100" s="714"/>
      <c r="M100" s="714"/>
      <c r="N100" s="714"/>
      <c r="O100" s="714"/>
      <c r="P100" s="714"/>
      <c r="Q100" s="715"/>
      <c r="R100" s="716"/>
      <c r="S100" s="714"/>
      <c r="T100" s="714"/>
      <c r="U100" s="714"/>
      <c r="V100" s="715"/>
      <c r="W100" s="184"/>
      <c r="X100" s="117"/>
      <c r="Y100" s="713"/>
      <c r="Z100" s="714"/>
      <c r="AA100" s="714"/>
      <c r="AB100" s="714"/>
      <c r="AC100" s="714"/>
      <c r="AD100" s="714"/>
      <c r="AE100" s="714"/>
      <c r="AF100" s="715"/>
      <c r="AG100" s="716"/>
      <c r="AH100" s="714"/>
      <c r="AI100" s="714"/>
      <c r="AJ100" s="714"/>
      <c r="AK100" s="715"/>
      <c r="AL100" s="184"/>
      <c r="AM100" s="117"/>
      <c r="AN100" s="713"/>
      <c r="AO100" s="714"/>
      <c r="AP100" s="714"/>
      <c r="AQ100" s="714"/>
      <c r="AR100" s="714"/>
      <c r="AS100" s="714"/>
      <c r="AT100" s="714"/>
      <c r="AU100" s="715"/>
      <c r="AV100" s="716"/>
      <c r="AW100" s="714"/>
      <c r="AX100" s="714"/>
      <c r="AY100" s="714"/>
      <c r="AZ100" s="715"/>
      <c r="BA100" s="184"/>
      <c r="BB100" s="117"/>
      <c r="BC100" s="713"/>
      <c r="BD100" s="714"/>
      <c r="BE100" s="714"/>
      <c r="BF100" s="714"/>
      <c r="BG100" s="714"/>
      <c r="BH100" s="714"/>
      <c r="BI100" s="714"/>
      <c r="BJ100" s="715"/>
      <c r="BK100" s="716"/>
      <c r="BL100" s="714"/>
      <c r="BM100" s="714"/>
      <c r="BN100" s="714"/>
      <c r="BO100" s="715"/>
      <c r="BP100" s="184"/>
      <c r="BQ100" s="117"/>
      <c r="BR100" s="713"/>
      <c r="BS100" s="714"/>
      <c r="BT100" s="714"/>
      <c r="BU100" s="714"/>
      <c r="BV100" s="714"/>
      <c r="BW100" s="714"/>
      <c r="BX100" s="714"/>
      <c r="BY100" s="715"/>
      <c r="BZ100" s="716"/>
      <c r="CA100" s="714"/>
      <c r="CB100" s="714"/>
      <c r="CC100" s="714"/>
      <c r="CD100" s="715"/>
    </row>
    <row r="101" spans="2:82" ht="15.75">
      <c r="B101" s="161"/>
      <c r="C101" s="186" t="s">
        <v>2658</v>
      </c>
      <c r="D101" s="617"/>
      <c r="E101" s="180"/>
      <c r="F101" s="162"/>
      <c r="G101" s="163"/>
      <c r="H101" s="163"/>
      <c r="I101" s="117"/>
      <c r="J101" s="713"/>
      <c r="K101" s="714"/>
      <c r="L101" s="714"/>
      <c r="M101" s="714"/>
      <c r="N101" s="714"/>
      <c r="O101" s="714"/>
      <c r="P101" s="714"/>
      <c r="Q101" s="715"/>
      <c r="R101" s="716"/>
      <c r="S101" s="714"/>
      <c r="T101" s="714"/>
      <c r="U101" s="714"/>
      <c r="V101" s="715"/>
      <c r="W101" s="163"/>
      <c r="X101" s="117"/>
      <c r="Y101" s="713"/>
      <c r="Z101" s="714"/>
      <c r="AA101" s="714"/>
      <c r="AB101" s="714"/>
      <c r="AC101" s="714"/>
      <c r="AD101" s="714"/>
      <c r="AE101" s="714"/>
      <c r="AF101" s="715"/>
      <c r="AG101" s="716"/>
      <c r="AH101" s="714"/>
      <c r="AI101" s="714"/>
      <c r="AJ101" s="714"/>
      <c r="AK101" s="715"/>
      <c r="AL101" s="163"/>
      <c r="AM101" s="117"/>
      <c r="AN101" s="713"/>
      <c r="AO101" s="714"/>
      <c r="AP101" s="714"/>
      <c r="AQ101" s="714"/>
      <c r="AR101" s="714"/>
      <c r="AS101" s="714"/>
      <c r="AT101" s="714"/>
      <c r="AU101" s="715"/>
      <c r="AV101" s="716"/>
      <c r="AW101" s="714"/>
      <c r="AX101" s="714"/>
      <c r="AY101" s="714"/>
      <c r="AZ101" s="715"/>
      <c r="BA101" s="163"/>
      <c r="BB101" s="117"/>
      <c r="BC101" s="713"/>
      <c r="BD101" s="714"/>
      <c r="BE101" s="714"/>
      <c r="BF101" s="714"/>
      <c r="BG101" s="714"/>
      <c r="BH101" s="714"/>
      <c r="BI101" s="714"/>
      <c r="BJ101" s="715"/>
      <c r="BK101" s="716"/>
      <c r="BL101" s="714"/>
      <c r="BM101" s="714"/>
      <c r="BN101" s="714"/>
      <c r="BO101" s="715"/>
      <c r="BP101" s="163"/>
      <c r="BQ101" s="117"/>
      <c r="BR101" s="713"/>
      <c r="BS101" s="714"/>
      <c r="BT101" s="714"/>
      <c r="BU101" s="714"/>
      <c r="BV101" s="714"/>
      <c r="BW101" s="714"/>
      <c r="BX101" s="714"/>
      <c r="BY101" s="715"/>
      <c r="BZ101" s="716"/>
      <c r="CA101" s="714"/>
      <c r="CB101" s="714"/>
      <c r="CC101" s="714"/>
      <c r="CD101" s="715"/>
    </row>
    <row r="102" spans="2:82" ht="14.25">
      <c r="B102" s="161"/>
      <c r="C102" s="660"/>
      <c r="D102" s="162" t="s">
        <v>2659</v>
      </c>
      <c r="E102" s="660"/>
      <c r="F102" s="162"/>
      <c r="G102" s="185"/>
      <c r="H102" s="163"/>
      <c r="I102" s="164" t="s">
        <v>498</v>
      </c>
      <c r="J102" s="641">
        <f>SUM('4.07_Repex_Services'!J54,'4.07_Repex_Services'!J143,'4.07_Repex_Services'!J212,'4.07_Repex_Services'!J281)</f>
        <v>0.34926035385461351</v>
      </c>
      <c r="K102" s="642">
        <f>SUM('4.07_Repex_Services'!K54,'4.07_Repex_Services'!K143,'4.07_Repex_Services'!K212,'4.07_Repex_Services'!K281)</f>
        <v>0.39818325849379277</v>
      </c>
      <c r="L102" s="642">
        <f>SUM('4.07_Repex_Services'!L54,'4.07_Repex_Services'!L143,'4.07_Repex_Services'!L212,'4.07_Repex_Services'!L281)</f>
        <v>0.10429254675753633</v>
      </c>
      <c r="M102" s="642">
        <f>SUM('4.07_Repex_Services'!M54,'4.07_Repex_Services'!M143,'4.07_Repex_Services'!M212,'4.07_Repex_Services'!M281)</f>
        <v>0.1516401207803541</v>
      </c>
      <c r="N102" s="642">
        <f>SUM('4.07_Repex_Services'!N54,'4.07_Repex_Services'!N143,'4.07_Repex_Services'!N212,'4.07_Repex_Services'!N281)</f>
        <v>0.15273183996780201</v>
      </c>
      <c r="O102" s="642">
        <f>SUM('4.07_Repex_Services'!O54,'4.07_Repex_Services'!O143,'4.07_Repex_Services'!O212,'4.07_Repex_Services'!O281)</f>
        <v>0.24406615943848517</v>
      </c>
      <c r="P102" s="642">
        <f>SUM('4.07_Repex_Services'!P54,'4.07_Repex_Services'!P143,'4.07_Repex_Services'!P212,'4.07_Repex_Services'!P281)</f>
        <v>0.2472611407973698</v>
      </c>
      <c r="Q102" s="643">
        <f>SUM('4.07_Repex_Services'!Q54,'4.07_Repex_Services'!Q143,'4.07_Repex_Services'!Q212,'4.07_Repex_Services'!Q281)</f>
        <v>0.20768299569422141</v>
      </c>
      <c r="R102" s="641">
        <f>SUM('4.07_Repex_Services'!R54,'4.07_Repex_Services'!R143,'4.07_Repex_Services'!R212,'4.07_Repex_Services'!R281)</f>
        <v>9.8275538135951163E-2</v>
      </c>
      <c r="S102" s="642">
        <f>SUM('4.07_Repex_Services'!S54,'4.07_Repex_Services'!S143,'4.07_Repex_Services'!S212,'4.07_Repex_Services'!S281)</f>
        <v>9.7784160445271412E-2</v>
      </c>
      <c r="T102" s="642">
        <f>SUM('4.07_Repex_Services'!T54,'4.07_Repex_Services'!T143,'4.07_Repex_Services'!T212,'4.07_Repex_Services'!T281)</f>
        <v>9.7295239643045053E-2</v>
      </c>
      <c r="U102" s="642">
        <f>SUM('4.07_Repex_Services'!U54,'4.07_Repex_Services'!U143,'4.07_Repex_Services'!U212,'4.07_Repex_Services'!U281)</f>
        <v>9.6808763444829832E-2</v>
      </c>
      <c r="V102" s="643">
        <f>SUM('4.07_Repex_Services'!V54,'4.07_Repex_Services'!V143,'4.07_Repex_Services'!V212,'4.07_Repex_Services'!V281)</f>
        <v>9.6324719627605679E-2</v>
      </c>
      <c r="W102" s="163"/>
      <c r="X102" s="164" t="s">
        <v>498</v>
      </c>
      <c r="Y102" s="641">
        <f>SUM('4.07_Repex_Services'!Y54,'4.07_Repex_Services'!Y212,'4.07_Repex_Services'!Y281)</f>
        <v>0</v>
      </c>
      <c r="Z102" s="642">
        <f>SUM('4.07_Repex_Services'!Z54,'4.07_Repex_Services'!Z212,'4.07_Repex_Services'!Z281)</f>
        <v>0</v>
      </c>
      <c r="AA102" s="642">
        <f>SUM('4.07_Repex_Services'!AA54,'4.07_Repex_Services'!AA212,'4.07_Repex_Services'!AA281)</f>
        <v>0</v>
      </c>
      <c r="AB102" s="642">
        <f>SUM('4.07_Repex_Services'!AB54,'4.07_Repex_Services'!AB212,'4.07_Repex_Services'!AB281)</f>
        <v>0</v>
      </c>
      <c r="AC102" s="642">
        <f>SUM('4.07_Repex_Services'!AC54,'4.07_Repex_Services'!AC212,'4.07_Repex_Services'!AC281)</f>
        <v>0</v>
      </c>
      <c r="AD102" s="642">
        <f>SUM('4.07_Repex_Services'!AD54,'4.07_Repex_Services'!AD212,'4.07_Repex_Services'!AD281)</f>
        <v>0</v>
      </c>
      <c r="AE102" s="642">
        <f>SUM('4.07_Repex_Services'!AE54,'4.07_Repex_Services'!AE212,'4.07_Repex_Services'!AE281)</f>
        <v>0</v>
      </c>
      <c r="AF102" s="643">
        <f>SUM('4.07_Repex_Services'!AF54,'4.07_Repex_Services'!AF212,'4.07_Repex_Services'!AF281)</f>
        <v>0</v>
      </c>
      <c r="AG102" s="641">
        <f>SUM('4.07_Repex_Services'!AG54,'4.07_Repex_Services'!AG212,'4.07_Repex_Services'!AG281)</f>
        <v>0</v>
      </c>
      <c r="AH102" s="642">
        <f>SUM('4.07_Repex_Services'!AH54,'4.07_Repex_Services'!AH212,'4.07_Repex_Services'!AH281)</f>
        <v>0</v>
      </c>
      <c r="AI102" s="642">
        <f>SUM('4.07_Repex_Services'!AI54,'4.07_Repex_Services'!AI212,'4.07_Repex_Services'!AI281)</f>
        <v>0</v>
      </c>
      <c r="AJ102" s="642">
        <f>SUM('4.07_Repex_Services'!AJ54,'4.07_Repex_Services'!AJ212,'4.07_Repex_Services'!AJ281)</f>
        <v>0</v>
      </c>
      <c r="AK102" s="643">
        <f>SUM('4.07_Repex_Services'!AK54,'4.07_Repex_Services'!AK212,'4.07_Repex_Services'!AK281)</f>
        <v>0</v>
      </c>
      <c r="AL102" s="163"/>
      <c r="AM102" s="164" t="s">
        <v>498</v>
      </c>
      <c r="AN102" s="641">
        <f>J102+Y102</f>
        <v>0.34926035385461351</v>
      </c>
      <c r="AO102" s="642">
        <f t="shared" ref="AO102:AO103" si="708">K102+Z102</f>
        <v>0.39818325849379277</v>
      </c>
      <c r="AP102" s="642">
        <f t="shared" ref="AP102:AP103" si="709">L102+AA102</f>
        <v>0.10429254675753633</v>
      </c>
      <c r="AQ102" s="642">
        <f t="shared" ref="AQ102:AQ103" si="710">M102+AB102</f>
        <v>0.1516401207803541</v>
      </c>
      <c r="AR102" s="642">
        <f t="shared" ref="AR102:AR103" si="711">N102+AC102</f>
        <v>0.15273183996780201</v>
      </c>
      <c r="AS102" s="642">
        <f t="shared" ref="AS102:AS103" si="712">O102+AD102</f>
        <v>0.24406615943848517</v>
      </c>
      <c r="AT102" s="642">
        <f t="shared" ref="AT102:AT103" si="713">P102+AE102</f>
        <v>0.2472611407973698</v>
      </c>
      <c r="AU102" s="643">
        <f t="shared" ref="AU102:AU103" si="714">Q102+AF102</f>
        <v>0.20768299569422141</v>
      </c>
      <c r="AV102" s="641">
        <f t="shared" ref="AV102:AV103" si="715">R102+AG102</f>
        <v>9.8275538135951163E-2</v>
      </c>
      <c r="AW102" s="642">
        <f t="shared" ref="AW102:AW103" si="716">S102+AH102</f>
        <v>9.7784160445271412E-2</v>
      </c>
      <c r="AX102" s="642">
        <f t="shared" ref="AX102:AX103" si="717">T102+AI102</f>
        <v>9.7295239643045053E-2</v>
      </c>
      <c r="AY102" s="642">
        <f t="shared" ref="AY102:AY103" si="718">U102+AJ102</f>
        <v>9.6808763444829832E-2</v>
      </c>
      <c r="AZ102" s="643">
        <f t="shared" ref="AZ102:AZ103" si="719">V102+AK102</f>
        <v>9.6324719627605679E-2</v>
      </c>
      <c r="BA102" s="163"/>
      <c r="BB102" s="164" t="s">
        <v>1876</v>
      </c>
      <c r="BC102" s="641">
        <f>SUM('4.07_Repex_Services'!AN54,'4.07_Repex_Services'!AN143,'4.07_Repex_Services'!AN212,'4.07_Repex_Services'!AN281)</f>
        <v>690</v>
      </c>
      <c r="BD102" s="642">
        <f>SUM('4.07_Repex_Services'!AO54,'4.07_Repex_Services'!AO143,'4.07_Repex_Services'!AO212,'4.07_Repex_Services'!AO281)</f>
        <v>832</v>
      </c>
      <c r="BE102" s="642">
        <f>SUM('4.07_Repex_Services'!AP54,'4.07_Repex_Services'!AP143,'4.07_Repex_Services'!AP212,'4.07_Repex_Services'!AP281)</f>
        <v>293</v>
      </c>
      <c r="BF102" s="642">
        <f>SUM('4.07_Repex_Services'!AQ54,'4.07_Repex_Services'!AQ143,'4.07_Repex_Services'!AQ212,'4.07_Repex_Services'!AQ281)</f>
        <v>593</v>
      </c>
      <c r="BG102" s="642">
        <f>SUM('4.07_Repex_Services'!AR54,'4.07_Repex_Services'!AR143,'4.07_Repex_Services'!AR212,'4.07_Repex_Services'!AR281)</f>
        <v>556</v>
      </c>
      <c r="BH102" s="642">
        <f>SUM('4.07_Repex_Services'!AS54,'4.07_Repex_Services'!AS143,'4.07_Repex_Services'!AS212,'4.07_Repex_Services'!AS281)</f>
        <v>812</v>
      </c>
      <c r="BI102" s="642">
        <f>SUM('4.07_Repex_Services'!AT54,'4.07_Repex_Services'!AT143,'4.07_Repex_Services'!AT212,'4.07_Repex_Services'!AT281)</f>
        <v>649.16792289759269</v>
      </c>
      <c r="BJ102" s="643">
        <f>SUM('4.07_Repex_Services'!AU54,'4.07_Repex_Services'!AU143,'4.07_Repex_Services'!AU212,'4.07_Repex_Services'!AU281)</f>
        <v>0</v>
      </c>
      <c r="BK102" s="643">
        <f>SUM('4.07_Repex_Services'!AV54,'4.07_Repex_Services'!AV143,'4.07_Repex_Services'!AV212,'4.07_Repex_Services'!AV281)</f>
        <v>316.98410236362815</v>
      </c>
      <c r="BL102" s="643">
        <f>SUM('4.07_Repex_Services'!AW54,'4.07_Repex_Services'!AW143,'4.07_Repex_Services'!AW212,'4.07_Repex_Services'!AW281)</f>
        <v>316.98410236362815</v>
      </c>
      <c r="BM102" s="643">
        <f>SUM('4.07_Repex_Services'!AX54,'4.07_Repex_Services'!AX143,'4.07_Repex_Services'!AX212,'4.07_Repex_Services'!AX281)</f>
        <v>316.98410236362815</v>
      </c>
      <c r="BN102" s="643">
        <f>SUM('4.07_Repex_Services'!AY54,'4.07_Repex_Services'!AY143,'4.07_Repex_Services'!AY212,'4.07_Repex_Services'!AY281)</f>
        <v>316.98410236362815</v>
      </c>
      <c r="BO102" s="643">
        <f>SUM('4.07_Repex_Services'!AZ54,'4.07_Repex_Services'!AZ143,'4.07_Repex_Services'!AZ212,'4.07_Repex_Services'!AZ281)</f>
        <v>316.98410236362815</v>
      </c>
      <c r="BP102" s="163"/>
      <c r="BQ102" s="164" t="s">
        <v>2648</v>
      </c>
      <c r="BR102" s="641">
        <f>IF(BC102,AN102/BC102,0)</f>
        <v>5.0617442587625144E-4</v>
      </c>
      <c r="BS102" s="642">
        <f t="shared" ref="BS102:BS103" si="720">IF(BD102,AO102/BD102,0)</f>
        <v>4.7858564722811633E-4</v>
      </c>
      <c r="BT102" s="642">
        <f t="shared" ref="BT102:BT103" si="721">IF(BE102,AP102/BE102,0)</f>
        <v>3.5594725855814447E-4</v>
      </c>
      <c r="BU102" s="642">
        <f t="shared" ref="BU102:BU103" si="722">IF(BF102,AQ102/BF102,0)</f>
        <v>2.5571689844916377E-4</v>
      </c>
      <c r="BV102" s="642">
        <f t="shared" ref="BV102:BV103" si="723">IF(BG102,AR102/BG102,0)</f>
        <v>2.7469755389892446E-4</v>
      </c>
      <c r="BW102" s="642">
        <f t="shared" ref="BW102:BW103" si="724">IF(BH102,AS102/BH102,0)</f>
        <v>3.0057408797843E-4</v>
      </c>
      <c r="BX102" s="642">
        <f t="shared" ref="BX102:BX103" si="725">IF(BI102,AT102/BI102,0)</f>
        <v>3.8088933860703968E-4</v>
      </c>
      <c r="BY102" s="643">
        <f t="shared" ref="BY102:BY103" si="726">IF(BJ102,AU102/BJ102,0)</f>
        <v>0</v>
      </c>
      <c r="BZ102" s="641">
        <f t="shared" ref="BZ102:BZ103" si="727">IF(BK102,AV102/BK102,0)</f>
        <v>3.1003301870077517E-4</v>
      </c>
      <c r="CA102" s="642">
        <f t="shared" ref="CA102:CA103" si="728">IF(BL102,AW102/BL102,0)</f>
        <v>3.084828536072713E-4</v>
      </c>
      <c r="CB102" s="642">
        <f t="shared" ref="CB102:CB103" si="729">IF(BM102,AX102/BM102,0)</f>
        <v>3.0694043933923498E-4</v>
      </c>
      <c r="CC102" s="642">
        <f t="shared" ref="CC102:CC103" si="730">IF(BN102,AY102/BN102,0)</f>
        <v>3.0540573714253882E-4</v>
      </c>
      <c r="CD102" s="643">
        <f t="shared" ref="CD102:CD103" si="731">IF(BO102,AZ102/BO102,0)</f>
        <v>3.0387870845682607E-4</v>
      </c>
    </row>
    <row r="103" spans="2:82" ht="14.25">
      <c r="B103" s="161"/>
      <c r="C103" s="660"/>
      <c r="D103" s="162" t="s">
        <v>2660</v>
      </c>
      <c r="E103" s="660"/>
      <c r="F103" s="162"/>
      <c r="G103" s="185"/>
      <c r="H103" s="163"/>
      <c r="I103" s="164" t="s">
        <v>498</v>
      </c>
      <c r="J103" s="641">
        <f>SUM('4.07_Repex_Services'!J55,'4.07_Repex_Services'!J144,'4.07_Repex_Services'!J213,'4.07_Repex_Services'!J282)</f>
        <v>0.17772077223970295</v>
      </c>
      <c r="K103" s="642">
        <f>SUM('4.07_Repex_Services'!K55,'4.07_Repex_Services'!K144,'4.07_Repex_Services'!K213,'4.07_Repex_Services'!K282)</f>
        <v>0.19789503852890408</v>
      </c>
      <c r="L103" s="642">
        <f>SUM('4.07_Repex_Services'!L55,'4.07_Repex_Services'!L144,'4.07_Repex_Services'!L213,'4.07_Repex_Services'!L282)</f>
        <v>6.7173516605300243E-2</v>
      </c>
      <c r="M103" s="642">
        <f>SUM('4.07_Repex_Services'!M55,'4.07_Repex_Services'!M144,'4.07_Repex_Services'!M213,'4.07_Repex_Services'!M282)</f>
        <v>0.1804633575706705</v>
      </c>
      <c r="N103" s="642">
        <f>SUM('4.07_Repex_Services'!N55,'4.07_Repex_Services'!N144,'4.07_Repex_Services'!N213,'4.07_Repex_Services'!N282)</f>
        <v>0.1557978632662585</v>
      </c>
      <c r="O103" s="642">
        <f>SUM('4.07_Repex_Services'!O55,'4.07_Repex_Services'!O144,'4.07_Repex_Services'!O213,'4.07_Repex_Services'!O282)</f>
        <v>0.10916828288852734</v>
      </c>
      <c r="P103" s="642">
        <f>SUM('4.07_Repex_Services'!P55,'4.07_Repex_Services'!P144,'4.07_Repex_Services'!P213,'4.07_Repex_Services'!P282)</f>
        <v>0.15212647152784534</v>
      </c>
      <c r="Q103" s="643">
        <f>SUM('4.07_Repex_Services'!Q55,'4.07_Repex_Services'!Q144,'4.07_Repex_Services'!Q213,'4.07_Repex_Services'!Q282)</f>
        <v>0.12734057689060543</v>
      </c>
      <c r="R103" s="641">
        <f>SUM('4.07_Repex_Services'!R55,'4.07_Repex_Services'!R144,'4.07_Repex_Services'!R213,'4.07_Repex_Services'!R282)</f>
        <v>5.375906065947713E-2</v>
      </c>
      <c r="S103" s="642">
        <f>SUM('4.07_Repex_Services'!S55,'4.07_Repex_Services'!S144,'4.07_Repex_Services'!S213,'4.07_Repex_Services'!S282)</f>
        <v>5.3490265356179748E-2</v>
      </c>
      <c r="T103" s="642">
        <f>SUM('4.07_Repex_Services'!T55,'4.07_Repex_Services'!T144,'4.07_Repex_Services'!T213,'4.07_Repex_Services'!T282)</f>
        <v>5.3222814029398852E-2</v>
      </c>
      <c r="U103" s="642">
        <f>SUM('4.07_Repex_Services'!U55,'4.07_Repex_Services'!U144,'4.07_Repex_Services'!U213,'4.07_Repex_Services'!U282)</f>
        <v>5.2956699959251854E-2</v>
      </c>
      <c r="V103" s="643">
        <f>SUM('4.07_Repex_Services'!V55,'4.07_Repex_Services'!V144,'4.07_Repex_Services'!V213,'4.07_Repex_Services'!V282)</f>
        <v>5.2691916459455597E-2</v>
      </c>
      <c r="W103" s="163"/>
      <c r="X103" s="164" t="s">
        <v>498</v>
      </c>
      <c r="Y103" s="641">
        <f>SUM('4.07_Repex_Services'!Y55,'4.07_Repex_Services'!Y213,'4.07_Repex_Services'!Y282)</f>
        <v>0</v>
      </c>
      <c r="Z103" s="642">
        <f>SUM('4.07_Repex_Services'!Z55,'4.07_Repex_Services'!Z213,'4.07_Repex_Services'!Z282)</f>
        <v>0</v>
      </c>
      <c r="AA103" s="642">
        <f>SUM('4.07_Repex_Services'!AA55,'4.07_Repex_Services'!AA213,'4.07_Repex_Services'!AA282)</f>
        <v>0</v>
      </c>
      <c r="AB103" s="642">
        <f>SUM('4.07_Repex_Services'!AB55,'4.07_Repex_Services'!AB213,'4.07_Repex_Services'!AB282)</f>
        <v>0</v>
      </c>
      <c r="AC103" s="642">
        <f>SUM('4.07_Repex_Services'!AC55,'4.07_Repex_Services'!AC213,'4.07_Repex_Services'!AC282)</f>
        <v>0</v>
      </c>
      <c r="AD103" s="642">
        <f>SUM('4.07_Repex_Services'!AD55,'4.07_Repex_Services'!AD213,'4.07_Repex_Services'!AD282)</f>
        <v>0</v>
      </c>
      <c r="AE103" s="642">
        <f>SUM('4.07_Repex_Services'!AE55,'4.07_Repex_Services'!AE213,'4.07_Repex_Services'!AE282)</f>
        <v>0</v>
      </c>
      <c r="AF103" s="643">
        <f>SUM('4.07_Repex_Services'!AF55,'4.07_Repex_Services'!AF213,'4.07_Repex_Services'!AF282)</f>
        <v>0</v>
      </c>
      <c r="AG103" s="641">
        <f>SUM('4.07_Repex_Services'!AG55,'4.07_Repex_Services'!AG213,'4.07_Repex_Services'!AG282)</f>
        <v>0</v>
      </c>
      <c r="AH103" s="642">
        <f>SUM('4.07_Repex_Services'!AH55,'4.07_Repex_Services'!AH213,'4.07_Repex_Services'!AH282)</f>
        <v>0</v>
      </c>
      <c r="AI103" s="642">
        <f>SUM('4.07_Repex_Services'!AI55,'4.07_Repex_Services'!AI213,'4.07_Repex_Services'!AI282)</f>
        <v>0</v>
      </c>
      <c r="AJ103" s="642">
        <f>SUM('4.07_Repex_Services'!AJ55,'4.07_Repex_Services'!AJ213,'4.07_Repex_Services'!AJ282)</f>
        <v>0</v>
      </c>
      <c r="AK103" s="643">
        <f>SUM('4.07_Repex_Services'!AK55,'4.07_Repex_Services'!AK213,'4.07_Repex_Services'!AK282)</f>
        <v>0</v>
      </c>
      <c r="AL103" s="163"/>
      <c r="AM103" s="164" t="s">
        <v>498</v>
      </c>
      <c r="AN103" s="641">
        <f t="shared" ref="AN103" si="732">J103+Y103</f>
        <v>0.17772077223970295</v>
      </c>
      <c r="AO103" s="642">
        <f t="shared" si="708"/>
        <v>0.19789503852890408</v>
      </c>
      <c r="AP103" s="642">
        <f t="shared" si="709"/>
        <v>6.7173516605300243E-2</v>
      </c>
      <c r="AQ103" s="642">
        <f t="shared" si="710"/>
        <v>0.1804633575706705</v>
      </c>
      <c r="AR103" s="642">
        <f t="shared" si="711"/>
        <v>0.1557978632662585</v>
      </c>
      <c r="AS103" s="642">
        <f t="shared" si="712"/>
        <v>0.10916828288852734</v>
      </c>
      <c r="AT103" s="642">
        <f t="shared" si="713"/>
        <v>0.15212647152784534</v>
      </c>
      <c r="AU103" s="643">
        <f t="shared" si="714"/>
        <v>0.12734057689060543</v>
      </c>
      <c r="AV103" s="641">
        <f t="shared" si="715"/>
        <v>5.375906065947713E-2</v>
      </c>
      <c r="AW103" s="642">
        <f t="shared" si="716"/>
        <v>5.3490265356179748E-2</v>
      </c>
      <c r="AX103" s="642">
        <f t="shared" si="717"/>
        <v>5.3222814029398852E-2</v>
      </c>
      <c r="AY103" s="642">
        <f t="shared" si="718"/>
        <v>5.2956699959251854E-2</v>
      </c>
      <c r="AZ103" s="643">
        <f t="shared" si="719"/>
        <v>5.2691916459455597E-2</v>
      </c>
      <c r="BA103" s="163"/>
      <c r="BB103" s="164" t="s">
        <v>1876</v>
      </c>
      <c r="BC103" s="641">
        <f>SUM('4.07_Repex_Services'!AN55,'4.07_Repex_Services'!AN144,'4.07_Repex_Services'!AN213,'4.07_Repex_Services'!AN282)</f>
        <v>881</v>
      </c>
      <c r="BD103" s="642">
        <f>SUM('4.07_Repex_Services'!AO55,'4.07_Repex_Services'!AO144,'4.07_Repex_Services'!AO213,'4.07_Repex_Services'!AO282)</f>
        <v>909</v>
      </c>
      <c r="BE103" s="642">
        <f>SUM('4.07_Repex_Services'!AP55,'4.07_Repex_Services'!AP144,'4.07_Repex_Services'!AP213,'4.07_Repex_Services'!AP282)</f>
        <v>253</v>
      </c>
      <c r="BF103" s="642">
        <f>SUM('4.07_Repex_Services'!AQ55,'4.07_Repex_Services'!AQ144,'4.07_Repex_Services'!AQ213,'4.07_Repex_Services'!AQ282)</f>
        <v>643</v>
      </c>
      <c r="BG103" s="642">
        <f>SUM('4.07_Repex_Services'!AR55,'4.07_Repex_Services'!AR144,'4.07_Repex_Services'!AR213,'4.07_Repex_Services'!AR282)</f>
        <v>879</v>
      </c>
      <c r="BH103" s="642">
        <f>SUM('4.07_Repex_Services'!AS55,'4.07_Repex_Services'!AS144,'4.07_Repex_Services'!AS213,'4.07_Repex_Services'!AS282)</f>
        <v>773</v>
      </c>
      <c r="BI103" s="642">
        <f>SUM('4.07_Repex_Services'!AT55,'4.07_Repex_Services'!AT144,'4.07_Repex_Services'!AT213,'4.07_Repex_Services'!AT282)</f>
        <v>725.57632233182494</v>
      </c>
      <c r="BJ103" s="643">
        <f>SUM('4.07_Repex_Services'!AU55,'4.07_Repex_Services'!AU144,'4.07_Repex_Services'!AU213,'4.07_Repex_Services'!AU282)</f>
        <v>0</v>
      </c>
      <c r="BK103" s="643">
        <f>SUM('4.07_Repex_Services'!AV55,'4.07_Repex_Services'!AV144,'4.07_Repex_Services'!AV213,'4.07_Repex_Services'!AV282)</f>
        <v>211.32273490908543</v>
      </c>
      <c r="BL103" s="643">
        <f>SUM('4.07_Repex_Services'!AW55,'4.07_Repex_Services'!AW144,'4.07_Repex_Services'!AW213,'4.07_Repex_Services'!AW282)</f>
        <v>211.32273490908543</v>
      </c>
      <c r="BM103" s="643">
        <f>SUM('4.07_Repex_Services'!AX55,'4.07_Repex_Services'!AX144,'4.07_Repex_Services'!AX213,'4.07_Repex_Services'!AX282)</f>
        <v>211.32273490908543</v>
      </c>
      <c r="BN103" s="643">
        <f>SUM('4.07_Repex_Services'!AY55,'4.07_Repex_Services'!AY144,'4.07_Repex_Services'!AY213,'4.07_Repex_Services'!AY282)</f>
        <v>211.32273490908543</v>
      </c>
      <c r="BO103" s="643">
        <f>SUM('4.07_Repex_Services'!AZ55,'4.07_Repex_Services'!AZ144,'4.07_Repex_Services'!AZ213,'4.07_Repex_Services'!AZ282)</f>
        <v>211.32273490908543</v>
      </c>
      <c r="BP103" s="163"/>
      <c r="BQ103" s="164" t="s">
        <v>2648</v>
      </c>
      <c r="BR103" s="641">
        <f t="shared" ref="BR103" si="733">IF(BC103,AN103/BC103,0)</f>
        <v>2.0172618869432798E-4</v>
      </c>
      <c r="BS103" s="642">
        <f t="shared" si="720"/>
        <v>2.177063130130958E-4</v>
      </c>
      <c r="BT103" s="642">
        <f t="shared" si="721"/>
        <v>2.6550797077193772E-4</v>
      </c>
      <c r="BU103" s="642">
        <f t="shared" si="722"/>
        <v>2.8065840990773019E-4</v>
      </c>
      <c r="BV103" s="642">
        <f t="shared" si="723"/>
        <v>1.7724444057594824E-4</v>
      </c>
      <c r="BW103" s="642">
        <f t="shared" si="724"/>
        <v>1.4122675664751273E-4</v>
      </c>
      <c r="BX103" s="642">
        <f t="shared" si="725"/>
        <v>2.096629490870761E-4</v>
      </c>
      <c r="BY103" s="643">
        <f t="shared" si="726"/>
        <v>0</v>
      </c>
      <c r="BZ103" s="641">
        <f t="shared" si="727"/>
        <v>2.5439317110203586E-4</v>
      </c>
      <c r="CA103" s="642">
        <f t="shared" si="728"/>
        <v>2.5312120524652564E-4</v>
      </c>
      <c r="CB103" s="642">
        <f t="shared" si="729"/>
        <v>2.5185559922029306E-4</v>
      </c>
      <c r="CC103" s="642">
        <f t="shared" si="730"/>
        <v>2.5059632122419157E-4</v>
      </c>
      <c r="CD103" s="643">
        <f t="shared" si="731"/>
        <v>2.4934333961807061E-4</v>
      </c>
    </row>
    <row r="104" spans="2:82" ht="14.25">
      <c r="B104" s="161"/>
      <c r="C104" s="185" t="s">
        <v>1710</v>
      </c>
      <c r="D104" s="660"/>
      <c r="E104" s="185"/>
      <c r="F104" s="162"/>
      <c r="G104" s="185"/>
      <c r="H104" s="185"/>
      <c r="I104" s="164" t="s">
        <v>498</v>
      </c>
      <c r="J104" s="697">
        <f>SUM(J102:J103)</f>
        <v>0.52698112609431647</v>
      </c>
      <c r="K104" s="698">
        <f t="shared" ref="K104:V104" si="734">SUM(K102:K103)</f>
        <v>0.59607829702269688</v>
      </c>
      <c r="L104" s="698">
        <f t="shared" si="734"/>
        <v>0.17146606336283657</v>
      </c>
      <c r="M104" s="698">
        <f t="shared" si="734"/>
        <v>0.33210347835102461</v>
      </c>
      <c r="N104" s="698">
        <f t="shared" si="734"/>
        <v>0.30852970323406048</v>
      </c>
      <c r="O104" s="698">
        <f t="shared" si="734"/>
        <v>0.35323444232701251</v>
      </c>
      <c r="P104" s="698">
        <f t="shared" si="734"/>
        <v>0.39938761232521514</v>
      </c>
      <c r="Q104" s="699">
        <f t="shared" si="734"/>
        <v>0.33502357258482685</v>
      </c>
      <c r="R104" s="697">
        <f t="shared" si="734"/>
        <v>0.1520345987954283</v>
      </c>
      <c r="S104" s="698">
        <f t="shared" si="734"/>
        <v>0.15127442580145117</v>
      </c>
      <c r="T104" s="698">
        <f t="shared" si="734"/>
        <v>0.15051805367244392</v>
      </c>
      <c r="U104" s="698">
        <f t="shared" si="734"/>
        <v>0.1497654634040817</v>
      </c>
      <c r="V104" s="699">
        <f t="shared" si="734"/>
        <v>0.14901663608706128</v>
      </c>
      <c r="W104" s="185"/>
      <c r="X104" s="164" t="s">
        <v>498</v>
      </c>
      <c r="Y104" s="697">
        <f>SUM(Y102:Y103)</f>
        <v>0</v>
      </c>
      <c r="Z104" s="698">
        <f t="shared" ref="Z104:AK104" si="735">SUM(Z102:Z103)</f>
        <v>0</v>
      </c>
      <c r="AA104" s="698">
        <f t="shared" si="735"/>
        <v>0</v>
      </c>
      <c r="AB104" s="698">
        <f t="shared" si="735"/>
        <v>0</v>
      </c>
      <c r="AC104" s="698">
        <f t="shared" si="735"/>
        <v>0</v>
      </c>
      <c r="AD104" s="698">
        <f t="shared" si="735"/>
        <v>0</v>
      </c>
      <c r="AE104" s="698">
        <f t="shared" si="735"/>
        <v>0</v>
      </c>
      <c r="AF104" s="699">
        <f t="shared" si="735"/>
        <v>0</v>
      </c>
      <c r="AG104" s="697">
        <f t="shared" si="735"/>
        <v>0</v>
      </c>
      <c r="AH104" s="698">
        <f t="shared" si="735"/>
        <v>0</v>
      </c>
      <c r="AI104" s="698">
        <f t="shared" si="735"/>
        <v>0</v>
      </c>
      <c r="AJ104" s="698">
        <f t="shared" si="735"/>
        <v>0</v>
      </c>
      <c r="AK104" s="699">
        <f t="shared" si="735"/>
        <v>0</v>
      </c>
      <c r="AL104" s="185"/>
      <c r="AM104" s="164" t="s">
        <v>498</v>
      </c>
      <c r="AN104" s="697">
        <f>SUM(AN102:AN103)</f>
        <v>0.52698112609431647</v>
      </c>
      <c r="AO104" s="698">
        <f t="shared" ref="AO104:AZ104" si="736">SUM(AO102:AO103)</f>
        <v>0.59607829702269688</v>
      </c>
      <c r="AP104" s="698">
        <f t="shared" si="736"/>
        <v>0.17146606336283657</v>
      </c>
      <c r="AQ104" s="698">
        <f t="shared" si="736"/>
        <v>0.33210347835102461</v>
      </c>
      <c r="AR104" s="698">
        <f t="shared" si="736"/>
        <v>0.30852970323406048</v>
      </c>
      <c r="AS104" s="698">
        <f t="shared" si="736"/>
        <v>0.35323444232701251</v>
      </c>
      <c r="AT104" s="698">
        <f t="shared" si="736"/>
        <v>0.39938761232521514</v>
      </c>
      <c r="AU104" s="699">
        <f t="shared" si="736"/>
        <v>0.33502357258482685</v>
      </c>
      <c r="AV104" s="697">
        <f t="shared" si="736"/>
        <v>0.1520345987954283</v>
      </c>
      <c r="AW104" s="698">
        <f t="shared" si="736"/>
        <v>0.15127442580145117</v>
      </c>
      <c r="AX104" s="698">
        <f t="shared" si="736"/>
        <v>0.15051805367244392</v>
      </c>
      <c r="AY104" s="698">
        <f t="shared" si="736"/>
        <v>0.1497654634040817</v>
      </c>
      <c r="AZ104" s="699">
        <f t="shared" si="736"/>
        <v>0.14901663608706128</v>
      </c>
      <c r="BA104" s="185"/>
      <c r="BB104" s="164" t="s">
        <v>1876</v>
      </c>
      <c r="BC104" s="697">
        <f>SUM(BC102:BC103)</f>
        <v>1571</v>
      </c>
      <c r="BD104" s="698">
        <f t="shared" ref="BD104:BO104" si="737">SUM(BD102:BD103)</f>
        <v>1741</v>
      </c>
      <c r="BE104" s="698">
        <f t="shared" si="737"/>
        <v>546</v>
      </c>
      <c r="BF104" s="698">
        <f t="shared" si="737"/>
        <v>1236</v>
      </c>
      <c r="BG104" s="698">
        <f t="shared" si="737"/>
        <v>1435</v>
      </c>
      <c r="BH104" s="698">
        <f t="shared" si="737"/>
        <v>1585</v>
      </c>
      <c r="BI104" s="698">
        <f t="shared" si="737"/>
        <v>1374.7442452294176</v>
      </c>
      <c r="BJ104" s="699">
        <f t="shared" si="737"/>
        <v>0</v>
      </c>
      <c r="BK104" s="697">
        <f t="shared" si="737"/>
        <v>528.30683727271355</v>
      </c>
      <c r="BL104" s="698">
        <f t="shared" si="737"/>
        <v>528.30683727271355</v>
      </c>
      <c r="BM104" s="698">
        <f t="shared" si="737"/>
        <v>528.30683727271355</v>
      </c>
      <c r="BN104" s="698">
        <f t="shared" si="737"/>
        <v>528.30683727271355</v>
      </c>
      <c r="BO104" s="699">
        <f t="shared" si="737"/>
        <v>528.30683727271355</v>
      </c>
      <c r="BP104" s="185"/>
      <c r="BQ104" s="117"/>
      <c r="BR104" s="713"/>
      <c r="BS104" s="714"/>
      <c r="BT104" s="714"/>
      <c r="BU104" s="714"/>
      <c r="BV104" s="714"/>
      <c r="BW104" s="714"/>
      <c r="BX104" s="714"/>
      <c r="BY104" s="715"/>
      <c r="BZ104" s="716"/>
      <c r="CA104" s="714"/>
      <c r="CB104" s="714"/>
      <c r="CC104" s="714"/>
      <c r="CD104" s="715"/>
    </row>
    <row r="105" spans="2:82" ht="14.25">
      <c r="B105" s="181"/>
      <c r="C105" s="185"/>
      <c r="D105" s="185"/>
      <c r="E105" s="182"/>
      <c r="F105" s="185"/>
      <c r="G105" s="184"/>
      <c r="H105" s="184"/>
      <c r="I105" s="117"/>
      <c r="J105" s="159"/>
      <c r="K105" s="117"/>
      <c r="L105" s="117"/>
      <c r="M105" s="117"/>
      <c r="N105" s="117"/>
      <c r="O105" s="117"/>
      <c r="P105" s="117"/>
      <c r="Q105" s="160"/>
      <c r="R105" s="159"/>
      <c r="S105" s="117"/>
      <c r="T105" s="117"/>
      <c r="U105" s="117"/>
      <c r="V105" s="160"/>
      <c r="W105" s="184"/>
      <c r="X105" s="117"/>
      <c r="Y105" s="713"/>
      <c r="Z105" s="714"/>
      <c r="AA105" s="714"/>
      <c r="AB105" s="714"/>
      <c r="AC105" s="714"/>
      <c r="AD105" s="714"/>
      <c r="AE105" s="714"/>
      <c r="AF105" s="715"/>
      <c r="AG105" s="716"/>
      <c r="AH105" s="714"/>
      <c r="AI105" s="714"/>
      <c r="AJ105" s="714"/>
      <c r="AK105" s="715"/>
      <c r="AL105" s="184"/>
      <c r="AM105" s="117"/>
      <c r="AN105" s="713"/>
      <c r="AO105" s="714"/>
      <c r="AP105" s="714"/>
      <c r="AQ105" s="714"/>
      <c r="AR105" s="714"/>
      <c r="AS105" s="714"/>
      <c r="AT105" s="714"/>
      <c r="AU105" s="715"/>
      <c r="AV105" s="716"/>
      <c r="AW105" s="714"/>
      <c r="AX105" s="714"/>
      <c r="AY105" s="714"/>
      <c r="AZ105" s="715"/>
      <c r="BA105" s="184"/>
      <c r="BB105" s="117"/>
      <c r="BC105" s="159"/>
      <c r="BD105" s="714"/>
      <c r="BE105" s="714"/>
      <c r="BF105" s="714"/>
      <c r="BG105" s="714"/>
      <c r="BH105" s="714"/>
      <c r="BI105" s="714"/>
      <c r="BJ105" s="715"/>
      <c r="BK105" s="716"/>
      <c r="BL105" s="714"/>
      <c r="BM105" s="714"/>
      <c r="BN105" s="714"/>
      <c r="BO105" s="715"/>
      <c r="BP105" s="184"/>
      <c r="BQ105" s="117"/>
      <c r="BR105" s="713"/>
      <c r="BS105" s="714"/>
      <c r="BT105" s="714"/>
      <c r="BU105" s="714"/>
      <c r="BV105" s="714"/>
      <c r="BW105" s="714"/>
      <c r="BX105" s="714"/>
      <c r="BY105" s="715"/>
      <c r="BZ105" s="716"/>
      <c r="CA105" s="714"/>
      <c r="CB105" s="714"/>
      <c r="CC105" s="714"/>
      <c r="CD105" s="715"/>
    </row>
    <row r="106" spans="2:82" ht="15.75">
      <c r="B106" s="161"/>
      <c r="C106" s="186" t="s">
        <v>2663</v>
      </c>
      <c r="D106" s="617"/>
      <c r="E106" s="180"/>
      <c r="F106" s="162"/>
      <c r="G106" s="163"/>
      <c r="H106" s="163"/>
      <c r="I106" s="117"/>
      <c r="J106" s="159"/>
      <c r="K106" s="117"/>
      <c r="L106" s="117"/>
      <c r="M106" s="117"/>
      <c r="N106" s="117"/>
      <c r="O106" s="117"/>
      <c r="P106" s="117"/>
      <c r="Q106" s="160"/>
      <c r="R106" s="159"/>
      <c r="S106" s="117"/>
      <c r="T106" s="117"/>
      <c r="U106" s="117"/>
      <c r="V106" s="160"/>
      <c r="W106" s="163"/>
      <c r="X106" s="117"/>
      <c r="Y106" s="713"/>
      <c r="Z106" s="714"/>
      <c r="AA106" s="714"/>
      <c r="AB106" s="714"/>
      <c r="AC106" s="714"/>
      <c r="AD106" s="714"/>
      <c r="AE106" s="714"/>
      <c r="AF106" s="715"/>
      <c r="AG106" s="716"/>
      <c r="AH106" s="714"/>
      <c r="AI106" s="714"/>
      <c r="AJ106" s="714"/>
      <c r="AK106" s="715"/>
      <c r="AL106" s="163"/>
      <c r="AM106" s="117"/>
      <c r="AN106" s="713"/>
      <c r="AO106" s="714"/>
      <c r="AP106" s="714"/>
      <c r="AQ106" s="714"/>
      <c r="AR106" s="714"/>
      <c r="AS106" s="714"/>
      <c r="AT106" s="714"/>
      <c r="AU106" s="715"/>
      <c r="AV106" s="716"/>
      <c r="AW106" s="714"/>
      <c r="AX106" s="714"/>
      <c r="AY106" s="714"/>
      <c r="AZ106" s="715"/>
      <c r="BA106" s="163"/>
      <c r="BB106" s="117"/>
      <c r="BC106" s="159"/>
      <c r="BD106" s="714"/>
      <c r="BE106" s="714"/>
      <c r="BF106" s="714"/>
      <c r="BG106" s="714"/>
      <c r="BH106" s="714"/>
      <c r="BI106" s="714"/>
      <c r="BJ106" s="715"/>
      <c r="BK106" s="716"/>
      <c r="BL106" s="714"/>
      <c r="BM106" s="714"/>
      <c r="BN106" s="714"/>
      <c r="BO106" s="715"/>
      <c r="BP106" s="163"/>
      <c r="BQ106" s="117"/>
      <c r="BR106" s="713"/>
      <c r="BS106" s="714"/>
      <c r="BT106" s="714"/>
      <c r="BU106" s="714"/>
      <c r="BV106" s="714"/>
      <c r="BW106" s="714"/>
      <c r="BX106" s="714"/>
      <c r="BY106" s="715"/>
      <c r="BZ106" s="716"/>
      <c r="CA106" s="714"/>
      <c r="CB106" s="714"/>
      <c r="CC106" s="714"/>
      <c r="CD106" s="715"/>
    </row>
    <row r="107" spans="2:82" ht="14.25">
      <c r="B107" s="161"/>
      <c r="C107" s="660"/>
      <c r="D107" s="162" t="s">
        <v>2659</v>
      </c>
      <c r="E107" s="660"/>
      <c r="F107" s="162"/>
      <c r="G107" s="185"/>
      <c r="H107" s="163"/>
      <c r="I107" s="164" t="s">
        <v>498</v>
      </c>
      <c r="J107" s="641">
        <f>SUM('4.07_Repex_Services'!J57,'4.07_Repex_Services'!J146,'4.07_Repex_Services'!J215,'4.07_Repex_Services'!J284)</f>
        <v>2.634250461685942E-2</v>
      </c>
      <c r="K107" s="642">
        <f>SUM('4.07_Repex_Services'!K57,'4.07_Repex_Services'!K146,'4.07_Repex_Services'!K215,'4.07_Repex_Services'!K284)</f>
        <v>2.63020620549578E-2</v>
      </c>
      <c r="L107" s="642">
        <f>SUM('4.07_Repex_Services'!L57,'4.07_Repex_Services'!L146,'4.07_Repex_Services'!L215,'4.07_Repex_Services'!L284)</f>
        <v>5.8748578144733533E-2</v>
      </c>
      <c r="M107" s="642">
        <f>SUM('4.07_Repex_Services'!M57,'4.07_Repex_Services'!M146,'4.07_Repex_Services'!M215,'4.07_Repex_Services'!M284)</f>
        <v>2.1191627508153475E-2</v>
      </c>
      <c r="N107" s="642">
        <f>SUM('4.07_Repex_Services'!N57,'4.07_Repex_Services'!N146,'4.07_Repex_Services'!N215,'4.07_Repex_Services'!N284)</f>
        <v>0.2497835786767704</v>
      </c>
      <c r="O107" s="642">
        <f>SUM('4.07_Repex_Services'!O57,'4.07_Repex_Services'!O146,'4.07_Repex_Services'!O215,'4.07_Repex_Services'!O284)</f>
        <v>7.3149532968097897E-2</v>
      </c>
      <c r="P107" s="642">
        <f>SUM('4.07_Repex_Services'!P57,'4.07_Repex_Services'!P146,'4.07_Repex_Services'!P215,'4.07_Repex_Services'!P284)</f>
        <v>0</v>
      </c>
      <c r="Q107" s="643">
        <f>SUM('4.07_Repex_Services'!Q57,'4.07_Repex_Services'!Q146,'4.07_Repex_Services'!Q215,'4.07_Repex_Services'!Q284)</f>
        <v>0</v>
      </c>
      <c r="R107" s="641">
        <f>SUM('4.07_Repex_Services'!R57,'4.07_Repex_Services'!R146,'4.07_Repex_Services'!R215,'4.07_Repex_Services'!R284)</f>
        <v>1.6397648582849866E-2</v>
      </c>
      <c r="S107" s="642">
        <f>SUM('4.07_Repex_Services'!S57,'4.07_Repex_Services'!S146,'4.07_Repex_Services'!S215,'4.07_Repex_Services'!S284)</f>
        <v>1.6315660339935617E-2</v>
      </c>
      <c r="T107" s="642">
        <f>SUM('4.07_Repex_Services'!T57,'4.07_Repex_Services'!T146,'4.07_Repex_Services'!T215,'4.07_Repex_Services'!T284)</f>
        <v>1.6234082038235939E-2</v>
      </c>
      <c r="U107" s="642">
        <f>SUM('4.07_Repex_Services'!U57,'4.07_Repex_Services'!U146,'4.07_Repex_Services'!U215,'4.07_Repex_Services'!U284)</f>
        <v>1.6152911628044761E-2</v>
      </c>
      <c r="V107" s="643">
        <f>SUM('4.07_Repex_Services'!V57,'4.07_Repex_Services'!V146,'4.07_Repex_Services'!V215,'4.07_Repex_Services'!V284)</f>
        <v>1.6072147069904535E-2</v>
      </c>
      <c r="W107" s="163"/>
      <c r="X107" s="164" t="s">
        <v>498</v>
      </c>
      <c r="Y107" s="641">
        <f>SUM('4.07_Repex_Services'!Y57,'4.07_Repex_Services'!Y215,'4.07_Repex_Services'!Y284)</f>
        <v>0</v>
      </c>
      <c r="Z107" s="642">
        <f>SUM('4.07_Repex_Services'!Z57,'4.07_Repex_Services'!Z215,'4.07_Repex_Services'!Z284)</f>
        <v>0</v>
      </c>
      <c r="AA107" s="642">
        <f>SUM('4.07_Repex_Services'!AA57,'4.07_Repex_Services'!AA215,'4.07_Repex_Services'!AA284)</f>
        <v>0</v>
      </c>
      <c r="AB107" s="642">
        <f>SUM('4.07_Repex_Services'!AB57,'4.07_Repex_Services'!AB215,'4.07_Repex_Services'!AB284)</f>
        <v>0</v>
      </c>
      <c r="AC107" s="642">
        <f>SUM('4.07_Repex_Services'!AC57,'4.07_Repex_Services'!AC215,'4.07_Repex_Services'!AC284)</f>
        <v>0</v>
      </c>
      <c r="AD107" s="642">
        <f>SUM('4.07_Repex_Services'!AD57,'4.07_Repex_Services'!AD215,'4.07_Repex_Services'!AD284)</f>
        <v>0</v>
      </c>
      <c r="AE107" s="642">
        <f>SUM('4.07_Repex_Services'!AE57,'4.07_Repex_Services'!AE215,'4.07_Repex_Services'!AE284)</f>
        <v>0</v>
      </c>
      <c r="AF107" s="643">
        <f>SUM('4.07_Repex_Services'!AF57,'4.07_Repex_Services'!AF215,'4.07_Repex_Services'!AF284)</f>
        <v>0</v>
      </c>
      <c r="AG107" s="641">
        <f>SUM('4.07_Repex_Services'!AG57,'4.07_Repex_Services'!AG215,'4.07_Repex_Services'!AG284)</f>
        <v>0</v>
      </c>
      <c r="AH107" s="642">
        <f>SUM('4.07_Repex_Services'!AH57,'4.07_Repex_Services'!AH215,'4.07_Repex_Services'!AH284)</f>
        <v>0</v>
      </c>
      <c r="AI107" s="642">
        <f>SUM('4.07_Repex_Services'!AI57,'4.07_Repex_Services'!AI215,'4.07_Repex_Services'!AI284)</f>
        <v>0</v>
      </c>
      <c r="AJ107" s="642">
        <f>SUM('4.07_Repex_Services'!AJ57,'4.07_Repex_Services'!AJ215,'4.07_Repex_Services'!AJ284)</f>
        <v>0</v>
      </c>
      <c r="AK107" s="643">
        <f>SUM('4.07_Repex_Services'!AK57,'4.07_Repex_Services'!AK215,'4.07_Repex_Services'!AK284)</f>
        <v>0</v>
      </c>
      <c r="AL107" s="163"/>
      <c r="AM107" s="164" t="s">
        <v>498</v>
      </c>
      <c r="AN107" s="641">
        <f>J107+Y107</f>
        <v>2.634250461685942E-2</v>
      </c>
      <c r="AO107" s="642">
        <f t="shared" ref="AO107:AO108" si="738">K107+Z107</f>
        <v>2.63020620549578E-2</v>
      </c>
      <c r="AP107" s="642">
        <f t="shared" ref="AP107:AP108" si="739">L107+AA107</f>
        <v>5.8748578144733533E-2</v>
      </c>
      <c r="AQ107" s="642">
        <f t="shared" ref="AQ107:AQ108" si="740">M107+AB107</f>
        <v>2.1191627508153475E-2</v>
      </c>
      <c r="AR107" s="642">
        <f t="shared" ref="AR107:AR108" si="741">N107+AC107</f>
        <v>0.2497835786767704</v>
      </c>
      <c r="AS107" s="642">
        <f t="shared" ref="AS107:AS108" si="742">O107+AD107</f>
        <v>7.3149532968097897E-2</v>
      </c>
      <c r="AT107" s="642">
        <f t="shared" ref="AT107:AT108" si="743">P107+AE107</f>
        <v>0</v>
      </c>
      <c r="AU107" s="643">
        <f t="shared" ref="AU107:AU108" si="744">Q107+AF107</f>
        <v>0</v>
      </c>
      <c r="AV107" s="641">
        <f t="shared" ref="AV107:AV108" si="745">R107+AG107</f>
        <v>1.6397648582849866E-2</v>
      </c>
      <c r="AW107" s="642">
        <f t="shared" ref="AW107:AW108" si="746">S107+AH107</f>
        <v>1.6315660339935617E-2</v>
      </c>
      <c r="AX107" s="642">
        <f t="shared" ref="AX107:AX108" si="747">T107+AI107</f>
        <v>1.6234082038235939E-2</v>
      </c>
      <c r="AY107" s="642">
        <f t="shared" ref="AY107:AY108" si="748">U107+AJ107</f>
        <v>1.6152911628044761E-2</v>
      </c>
      <c r="AZ107" s="643">
        <f t="shared" ref="AZ107:AZ108" si="749">V107+AK107</f>
        <v>1.6072147069904535E-2</v>
      </c>
      <c r="BA107" s="163"/>
      <c r="BB107" s="164" t="s">
        <v>1876</v>
      </c>
      <c r="BC107" s="641">
        <f>SUM('4.07_Repex_Services'!AN57,'4.07_Repex_Services'!AN146,'4.07_Repex_Services'!AN215,'4.07_Repex_Services'!AN284)</f>
        <v>0</v>
      </c>
      <c r="BD107" s="642">
        <f>SUM('4.07_Repex_Services'!AO57,'4.07_Repex_Services'!AO146,'4.07_Repex_Services'!AO215,'4.07_Repex_Services'!AO284)</f>
        <v>0</v>
      </c>
      <c r="BE107" s="642">
        <f>SUM('4.07_Repex_Services'!AP57,'4.07_Repex_Services'!AP146,'4.07_Repex_Services'!AP215,'4.07_Repex_Services'!AP284)</f>
        <v>0</v>
      </c>
      <c r="BF107" s="642">
        <f>SUM('4.07_Repex_Services'!AQ57,'4.07_Repex_Services'!AQ146,'4.07_Repex_Services'!AQ215,'4.07_Repex_Services'!AQ284)</f>
        <v>0</v>
      </c>
      <c r="BG107" s="642">
        <f>SUM('4.07_Repex_Services'!AR57,'4.07_Repex_Services'!AR146,'4.07_Repex_Services'!AR215,'4.07_Repex_Services'!AR284)</f>
        <v>0</v>
      </c>
      <c r="BH107" s="642">
        <f>SUM('4.07_Repex_Services'!AS57,'4.07_Repex_Services'!AS146,'4.07_Repex_Services'!AS215,'4.07_Repex_Services'!AS284)</f>
        <v>12</v>
      </c>
      <c r="BI107" s="642">
        <f>SUM('4.07_Repex_Services'!AT57,'4.07_Repex_Services'!AT146,'4.07_Repex_Services'!AT215,'4.07_Repex_Services'!AT284)</f>
        <v>0</v>
      </c>
      <c r="BJ107" s="643">
        <f>SUM('4.07_Repex_Services'!AU57,'4.07_Repex_Services'!AU146,'4.07_Repex_Services'!AU215,'4.07_Repex_Services'!AU284)</f>
        <v>0</v>
      </c>
      <c r="BK107" s="643">
        <f>SUM('4.07_Repex_Services'!AV57,'4.07_Repex_Services'!AV146,'4.07_Repex_Services'!AV215,'4.07_Repex_Services'!AV284)</f>
        <v>1.5578985545881165</v>
      </c>
      <c r="BL107" s="643">
        <f>SUM('4.07_Repex_Services'!AW57,'4.07_Repex_Services'!AW146,'4.07_Repex_Services'!AW215,'4.07_Repex_Services'!AW284)</f>
        <v>1.5578985545881165</v>
      </c>
      <c r="BM107" s="643">
        <f>SUM('4.07_Repex_Services'!AX57,'4.07_Repex_Services'!AX146,'4.07_Repex_Services'!AX215,'4.07_Repex_Services'!AX284)</f>
        <v>1.5578985545881165</v>
      </c>
      <c r="BN107" s="643">
        <f>SUM('4.07_Repex_Services'!AY57,'4.07_Repex_Services'!AY146,'4.07_Repex_Services'!AY215,'4.07_Repex_Services'!AY284)</f>
        <v>1.5578985545881165</v>
      </c>
      <c r="BO107" s="643">
        <f>SUM('4.07_Repex_Services'!AZ57,'4.07_Repex_Services'!AZ146,'4.07_Repex_Services'!AZ215,'4.07_Repex_Services'!AZ284)</f>
        <v>1.5578985545881165</v>
      </c>
      <c r="BP107" s="163"/>
      <c r="BQ107" s="164" t="s">
        <v>2648</v>
      </c>
      <c r="BR107" s="641">
        <f>IF(BC107,AN107/BC107,0)</f>
        <v>0</v>
      </c>
      <c r="BS107" s="642">
        <f t="shared" ref="BS107:BS108" si="750">IF(BD107,AO107/BD107,0)</f>
        <v>0</v>
      </c>
      <c r="BT107" s="642">
        <f t="shared" ref="BT107:BT108" si="751">IF(BE107,AP107/BE107,0)</f>
        <v>0</v>
      </c>
      <c r="BU107" s="642">
        <f t="shared" ref="BU107:BU108" si="752">IF(BF107,AQ107/BF107,0)</f>
        <v>0</v>
      </c>
      <c r="BV107" s="642">
        <f t="shared" ref="BV107:BV108" si="753">IF(BG107,AR107/BG107,0)</f>
        <v>0</v>
      </c>
      <c r="BW107" s="642">
        <f t="shared" ref="BW107:BW108" si="754">IF(BH107,AS107/BH107,0)</f>
        <v>6.0957944140081584E-3</v>
      </c>
      <c r="BX107" s="642">
        <f t="shared" ref="BX107:BX108" si="755">IF(BI107,AT107/BI107,0)</f>
        <v>0</v>
      </c>
      <c r="BY107" s="643">
        <f t="shared" ref="BY107:BY108" si="756">IF(BJ107,AU107/BJ107,0)</f>
        <v>0</v>
      </c>
      <c r="BZ107" s="641">
        <f t="shared" ref="BZ107:BZ108" si="757">IF(BK107,AV107/BK107,0)</f>
        <v>1.0525491877861805E-2</v>
      </c>
      <c r="CA107" s="642">
        <f t="shared" ref="CA107:CA108" si="758">IF(BL107,AW107/BL107,0)</f>
        <v>1.0472864418472496E-2</v>
      </c>
      <c r="CB107" s="642">
        <f t="shared" ref="CB107:CB108" si="759">IF(BM107,AX107/BM107,0)</f>
        <v>1.0420500096380134E-2</v>
      </c>
      <c r="CC107" s="642">
        <f t="shared" ref="CC107:CC108" si="760">IF(BN107,AY107/BN107,0)</f>
        <v>1.0368397595898233E-2</v>
      </c>
      <c r="CD107" s="643">
        <f t="shared" ref="CD107:CD108" si="761">IF(BO107,AZ107/BO107,0)</f>
        <v>1.0316555607918741E-2</v>
      </c>
    </row>
    <row r="108" spans="2:82" ht="14.25">
      <c r="B108" s="161"/>
      <c r="C108" s="660"/>
      <c r="D108" s="162" t="s">
        <v>2660</v>
      </c>
      <c r="E108" s="660"/>
      <c r="F108" s="162"/>
      <c r="G108" s="185"/>
      <c r="H108" s="163"/>
      <c r="I108" s="164" t="s">
        <v>498</v>
      </c>
      <c r="J108" s="641">
        <f>SUM('4.07_Repex_Services'!J58,'4.07_Repex_Services'!J147,'4.07_Repex_Services'!J216,'4.07_Repex_Services'!J285)</f>
        <v>0</v>
      </c>
      <c r="K108" s="642">
        <f>SUM('4.07_Repex_Services'!K58,'4.07_Repex_Services'!K147,'4.07_Repex_Services'!K216,'4.07_Repex_Services'!K285)</f>
        <v>7.4451804687824079E-3</v>
      </c>
      <c r="L108" s="642">
        <f>SUM('4.07_Repex_Services'!L58,'4.07_Repex_Services'!L147,'4.07_Repex_Services'!L216,'4.07_Repex_Services'!L285)</f>
        <v>5.6567171878147571E-3</v>
      </c>
      <c r="M108" s="642">
        <f>SUM('4.07_Repex_Services'!M58,'4.07_Repex_Services'!M147,'4.07_Repex_Services'!M216,'4.07_Repex_Services'!M285)</f>
        <v>2.2988962747856117E-3</v>
      </c>
      <c r="N108" s="642">
        <f>SUM('4.07_Repex_Services'!N58,'4.07_Repex_Services'!N147,'4.07_Repex_Services'!N216,'4.07_Repex_Services'!N285)</f>
        <v>3.4836789301772079E-3</v>
      </c>
      <c r="O108" s="642">
        <f>SUM('4.07_Repex_Services'!O58,'4.07_Repex_Services'!O147,'4.07_Repex_Services'!O216,'4.07_Repex_Services'!O285)</f>
        <v>2.3227294231601562E-3</v>
      </c>
      <c r="P108" s="642">
        <f>SUM('4.07_Repex_Services'!P58,'4.07_Repex_Services'!P147,'4.07_Repex_Services'!P216,'4.07_Repex_Services'!P285)</f>
        <v>0</v>
      </c>
      <c r="Q108" s="643">
        <f>SUM('4.07_Repex_Services'!Q58,'4.07_Repex_Services'!Q147,'4.07_Repex_Services'!Q216,'4.07_Repex_Services'!Q285)</f>
        <v>0</v>
      </c>
      <c r="R108" s="641">
        <f>SUM('4.07_Repex_Services'!R58,'4.07_Repex_Services'!R147,'4.07_Repex_Services'!R216,'4.07_Repex_Services'!R285)</f>
        <v>2.6421250237129934E-4</v>
      </c>
      <c r="S108" s="642">
        <f>SUM('4.07_Repex_Services'!S58,'4.07_Repex_Services'!S147,'4.07_Repex_Services'!S216,'4.07_Repex_Services'!S285)</f>
        <v>2.6289143985944283E-4</v>
      </c>
      <c r="T108" s="642">
        <f>SUM('4.07_Repex_Services'!T58,'4.07_Repex_Services'!T147,'4.07_Repex_Services'!T216,'4.07_Repex_Services'!T285)</f>
        <v>2.615769826601456E-4</v>
      </c>
      <c r="U108" s="642">
        <f>SUM('4.07_Repex_Services'!U58,'4.07_Repex_Services'!U147,'4.07_Repex_Services'!U216,'4.07_Repex_Services'!U285)</f>
        <v>2.6026909774684489E-4</v>
      </c>
      <c r="V108" s="643">
        <f>SUM('4.07_Repex_Services'!V58,'4.07_Repex_Services'!V147,'4.07_Repex_Services'!V216,'4.07_Repex_Services'!V285)</f>
        <v>2.5896775225811065E-4</v>
      </c>
      <c r="W108" s="163"/>
      <c r="X108" s="164" t="s">
        <v>498</v>
      </c>
      <c r="Y108" s="641">
        <f>SUM('4.07_Repex_Services'!Y58,'4.07_Repex_Services'!Y216,'4.07_Repex_Services'!Y285)</f>
        <v>0</v>
      </c>
      <c r="Z108" s="642">
        <f>SUM('4.07_Repex_Services'!Z58,'4.07_Repex_Services'!Z216,'4.07_Repex_Services'!Z285)</f>
        <v>0</v>
      </c>
      <c r="AA108" s="642">
        <f>SUM('4.07_Repex_Services'!AA58,'4.07_Repex_Services'!AA216,'4.07_Repex_Services'!AA285)</f>
        <v>0</v>
      </c>
      <c r="AB108" s="642">
        <f>SUM('4.07_Repex_Services'!AB58,'4.07_Repex_Services'!AB216,'4.07_Repex_Services'!AB285)</f>
        <v>0</v>
      </c>
      <c r="AC108" s="642">
        <f>SUM('4.07_Repex_Services'!AC58,'4.07_Repex_Services'!AC216,'4.07_Repex_Services'!AC285)</f>
        <v>0</v>
      </c>
      <c r="AD108" s="642">
        <f>SUM('4.07_Repex_Services'!AD58,'4.07_Repex_Services'!AD216,'4.07_Repex_Services'!AD285)</f>
        <v>0</v>
      </c>
      <c r="AE108" s="642">
        <f>SUM('4.07_Repex_Services'!AE58,'4.07_Repex_Services'!AE216,'4.07_Repex_Services'!AE285)</f>
        <v>0</v>
      </c>
      <c r="AF108" s="643">
        <f>SUM('4.07_Repex_Services'!AF58,'4.07_Repex_Services'!AF216,'4.07_Repex_Services'!AF285)</f>
        <v>0</v>
      </c>
      <c r="AG108" s="641">
        <f>SUM('4.07_Repex_Services'!AG58,'4.07_Repex_Services'!AG216,'4.07_Repex_Services'!AG285)</f>
        <v>0</v>
      </c>
      <c r="AH108" s="642">
        <f>SUM('4.07_Repex_Services'!AH58,'4.07_Repex_Services'!AH216,'4.07_Repex_Services'!AH285)</f>
        <v>0</v>
      </c>
      <c r="AI108" s="642">
        <f>SUM('4.07_Repex_Services'!AI58,'4.07_Repex_Services'!AI216,'4.07_Repex_Services'!AI285)</f>
        <v>0</v>
      </c>
      <c r="AJ108" s="642">
        <f>SUM('4.07_Repex_Services'!AJ58,'4.07_Repex_Services'!AJ216,'4.07_Repex_Services'!AJ285)</f>
        <v>0</v>
      </c>
      <c r="AK108" s="643">
        <f>SUM('4.07_Repex_Services'!AK58,'4.07_Repex_Services'!AK216,'4.07_Repex_Services'!AK285)</f>
        <v>0</v>
      </c>
      <c r="AL108" s="163"/>
      <c r="AM108" s="164" t="s">
        <v>498</v>
      </c>
      <c r="AN108" s="641">
        <f t="shared" ref="AN108" si="762">J108+Y108</f>
        <v>0</v>
      </c>
      <c r="AO108" s="642">
        <f t="shared" si="738"/>
        <v>7.4451804687824079E-3</v>
      </c>
      <c r="AP108" s="642">
        <f t="shared" si="739"/>
        <v>5.6567171878147571E-3</v>
      </c>
      <c r="AQ108" s="642">
        <f t="shared" si="740"/>
        <v>2.2988962747856117E-3</v>
      </c>
      <c r="AR108" s="642">
        <f t="shared" si="741"/>
        <v>3.4836789301772079E-3</v>
      </c>
      <c r="AS108" s="642">
        <f t="shared" si="742"/>
        <v>2.3227294231601562E-3</v>
      </c>
      <c r="AT108" s="642">
        <f t="shared" si="743"/>
        <v>0</v>
      </c>
      <c r="AU108" s="643">
        <f t="shared" si="744"/>
        <v>0</v>
      </c>
      <c r="AV108" s="641">
        <f t="shared" si="745"/>
        <v>2.6421250237129934E-4</v>
      </c>
      <c r="AW108" s="642">
        <f t="shared" si="746"/>
        <v>2.6289143985944283E-4</v>
      </c>
      <c r="AX108" s="642">
        <f t="shared" si="747"/>
        <v>2.615769826601456E-4</v>
      </c>
      <c r="AY108" s="642">
        <f t="shared" si="748"/>
        <v>2.6026909774684489E-4</v>
      </c>
      <c r="AZ108" s="643">
        <f t="shared" si="749"/>
        <v>2.5896775225811065E-4</v>
      </c>
      <c r="BA108" s="163"/>
      <c r="BB108" s="164" t="s">
        <v>1876</v>
      </c>
      <c r="BC108" s="641">
        <f>SUM('4.07_Repex_Services'!AN58,'4.07_Repex_Services'!AN147,'4.07_Repex_Services'!AN216,'4.07_Repex_Services'!AN285)</f>
        <v>0</v>
      </c>
      <c r="BD108" s="642">
        <f>SUM('4.07_Repex_Services'!AO58,'4.07_Repex_Services'!AO147,'4.07_Repex_Services'!AO216,'4.07_Repex_Services'!AO285)</f>
        <v>0</v>
      </c>
      <c r="BE108" s="642">
        <f>SUM('4.07_Repex_Services'!AP58,'4.07_Repex_Services'!AP147,'4.07_Repex_Services'!AP216,'4.07_Repex_Services'!AP285)</f>
        <v>0</v>
      </c>
      <c r="BF108" s="642">
        <f>SUM('4.07_Repex_Services'!AQ58,'4.07_Repex_Services'!AQ147,'4.07_Repex_Services'!AQ216,'4.07_Repex_Services'!AQ285)</f>
        <v>0</v>
      </c>
      <c r="BG108" s="642">
        <f>SUM('4.07_Repex_Services'!AR58,'4.07_Repex_Services'!AR147,'4.07_Repex_Services'!AR216,'4.07_Repex_Services'!AR285)</f>
        <v>0</v>
      </c>
      <c r="BH108" s="642">
        <f>SUM('4.07_Repex_Services'!AS58,'4.07_Repex_Services'!AS147,'4.07_Repex_Services'!AS216,'4.07_Repex_Services'!AS285)</f>
        <v>17</v>
      </c>
      <c r="BI108" s="642">
        <f>SUM('4.07_Repex_Services'!AT58,'4.07_Repex_Services'!AT147,'4.07_Repex_Services'!AT216,'4.07_Repex_Services'!AT285)</f>
        <v>0</v>
      </c>
      <c r="BJ108" s="643">
        <f>SUM('4.07_Repex_Services'!AU58,'4.07_Repex_Services'!AU147,'4.07_Repex_Services'!AU216,'4.07_Repex_Services'!AU285)</f>
        <v>0</v>
      </c>
      <c r="BK108" s="643">
        <f>SUM('4.07_Repex_Services'!AV58,'4.07_Repex_Services'!AV147,'4.07_Repex_Services'!AV216,'4.07_Repex_Services'!AV285)</f>
        <v>1.0385990363920778</v>
      </c>
      <c r="BL108" s="643">
        <f>SUM('4.07_Repex_Services'!AW58,'4.07_Repex_Services'!AW147,'4.07_Repex_Services'!AW216,'4.07_Repex_Services'!AW285)</f>
        <v>1.0385990363920778</v>
      </c>
      <c r="BM108" s="643">
        <f>SUM('4.07_Repex_Services'!AX58,'4.07_Repex_Services'!AX147,'4.07_Repex_Services'!AX216,'4.07_Repex_Services'!AX285)</f>
        <v>1.0385990363920778</v>
      </c>
      <c r="BN108" s="643">
        <f>SUM('4.07_Repex_Services'!AY58,'4.07_Repex_Services'!AY147,'4.07_Repex_Services'!AY216,'4.07_Repex_Services'!AY285)</f>
        <v>1.0385990363920778</v>
      </c>
      <c r="BO108" s="643">
        <f>SUM('4.07_Repex_Services'!AZ58,'4.07_Repex_Services'!AZ147,'4.07_Repex_Services'!AZ216,'4.07_Repex_Services'!AZ285)</f>
        <v>1.0385990363920778</v>
      </c>
      <c r="BP108" s="163"/>
      <c r="BQ108" s="164" t="s">
        <v>2648</v>
      </c>
      <c r="BR108" s="641">
        <f t="shared" ref="BR108" si="763">IF(BC108,AN108/BC108,0)</f>
        <v>0</v>
      </c>
      <c r="BS108" s="642">
        <f t="shared" si="750"/>
        <v>0</v>
      </c>
      <c r="BT108" s="642">
        <f t="shared" si="751"/>
        <v>0</v>
      </c>
      <c r="BU108" s="642">
        <f t="shared" si="752"/>
        <v>0</v>
      </c>
      <c r="BV108" s="642">
        <f t="shared" si="753"/>
        <v>0</v>
      </c>
      <c r="BW108" s="642">
        <f t="shared" si="754"/>
        <v>1.3663114253883272E-4</v>
      </c>
      <c r="BX108" s="642">
        <f t="shared" si="755"/>
        <v>0</v>
      </c>
      <c r="BY108" s="643">
        <f t="shared" si="756"/>
        <v>0</v>
      </c>
      <c r="BZ108" s="641">
        <f t="shared" si="757"/>
        <v>2.5439317110203575E-4</v>
      </c>
      <c r="CA108" s="642">
        <f t="shared" si="758"/>
        <v>2.5312120524652559E-4</v>
      </c>
      <c r="CB108" s="642">
        <f t="shared" si="759"/>
        <v>2.5185559922029295E-4</v>
      </c>
      <c r="CC108" s="642">
        <f t="shared" si="760"/>
        <v>2.5059632122419152E-4</v>
      </c>
      <c r="CD108" s="643">
        <f t="shared" si="761"/>
        <v>2.493433396180705E-4</v>
      </c>
    </row>
    <row r="109" spans="2:82" ht="14.25">
      <c r="B109" s="161"/>
      <c r="C109" s="185" t="s">
        <v>1710</v>
      </c>
      <c r="D109" s="660"/>
      <c r="E109" s="185"/>
      <c r="F109" s="162"/>
      <c r="G109" s="185"/>
      <c r="H109" s="185"/>
      <c r="I109" s="164" t="s">
        <v>498</v>
      </c>
      <c r="J109" s="697">
        <f>SUM(J107:J108)</f>
        <v>2.634250461685942E-2</v>
      </c>
      <c r="K109" s="698">
        <f t="shared" ref="K109:V109" si="764">SUM(K107:K108)</f>
        <v>3.3747242523740208E-2</v>
      </c>
      <c r="L109" s="698">
        <f t="shared" si="764"/>
        <v>6.4405295332548296E-2</v>
      </c>
      <c r="M109" s="698">
        <f t="shared" si="764"/>
        <v>2.3490523782939088E-2</v>
      </c>
      <c r="N109" s="698">
        <f t="shared" si="764"/>
        <v>0.25326725760694763</v>
      </c>
      <c r="O109" s="698">
        <f t="shared" si="764"/>
        <v>7.5472262391258052E-2</v>
      </c>
      <c r="P109" s="698">
        <f t="shared" si="764"/>
        <v>0</v>
      </c>
      <c r="Q109" s="699">
        <f t="shared" si="764"/>
        <v>0</v>
      </c>
      <c r="R109" s="697">
        <f t="shared" si="764"/>
        <v>1.6661861085221167E-2</v>
      </c>
      <c r="S109" s="698">
        <f t="shared" si="764"/>
        <v>1.6578551779795059E-2</v>
      </c>
      <c r="T109" s="698">
        <f t="shared" si="764"/>
        <v>1.6495659020896086E-2</v>
      </c>
      <c r="U109" s="698">
        <f t="shared" si="764"/>
        <v>1.6413180725791607E-2</v>
      </c>
      <c r="V109" s="699">
        <f t="shared" si="764"/>
        <v>1.6331114822162648E-2</v>
      </c>
      <c r="W109" s="185"/>
      <c r="X109" s="164" t="s">
        <v>498</v>
      </c>
      <c r="Y109" s="697">
        <f>SUM(Y107:Y108)</f>
        <v>0</v>
      </c>
      <c r="Z109" s="698">
        <f t="shared" ref="Z109" si="765">SUM(Z107:Z108)</f>
        <v>0</v>
      </c>
      <c r="AA109" s="698">
        <f t="shared" ref="AA109" si="766">SUM(AA107:AA108)</f>
        <v>0</v>
      </c>
      <c r="AB109" s="698">
        <f t="shared" ref="AB109" si="767">SUM(AB107:AB108)</f>
        <v>0</v>
      </c>
      <c r="AC109" s="698">
        <f t="shared" ref="AC109" si="768">SUM(AC107:AC108)</f>
        <v>0</v>
      </c>
      <c r="AD109" s="698">
        <f t="shared" ref="AD109" si="769">SUM(AD107:AD108)</f>
        <v>0</v>
      </c>
      <c r="AE109" s="698">
        <f t="shared" ref="AE109" si="770">SUM(AE107:AE108)</f>
        <v>0</v>
      </c>
      <c r="AF109" s="699">
        <f t="shared" ref="AF109" si="771">SUM(AF107:AF108)</f>
        <v>0</v>
      </c>
      <c r="AG109" s="697">
        <f t="shared" ref="AG109" si="772">SUM(AG107:AG108)</f>
        <v>0</v>
      </c>
      <c r="AH109" s="698">
        <f t="shared" ref="AH109" si="773">SUM(AH107:AH108)</f>
        <v>0</v>
      </c>
      <c r="AI109" s="698">
        <f t="shared" ref="AI109" si="774">SUM(AI107:AI108)</f>
        <v>0</v>
      </c>
      <c r="AJ109" s="698">
        <f t="shared" ref="AJ109" si="775">SUM(AJ107:AJ108)</f>
        <v>0</v>
      </c>
      <c r="AK109" s="699">
        <f t="shared" ref="AK109" si="776">SUM(AK107:AK108)</f>
        <v>0</v>
      </c>
      <c r="AL109" s="185"/>
      <c r="AM109" s="164" t="s">
        <v>498</v>
      </c>
      <c r="AN109" s="697">
        <f>SUM(AN107:AN108)</f>
        <v>2.634250461685942E-2</v>
      </c>
      <c r="AO109" s="698">
        <f t="shared" ref="AO109:AZ109" si="777">SUM(AO107:AO108)</f>
        <v>3.3747242523740208E-2</v>
      </c>
      <c r="AP109" s="698">
        <f t="shared" si="777"/>
        <v>6.4405295332548296E-2</v>
      </c>
      <c r="AQ109" s="698">
        <f t="shared" si="777"/>
        <v>2.3490523782939088E-2</v>
      </c>
      <c r="AR109" s="698">
        <f t="shared" si="777"/>
        <v>0.25326725760694763</v>
      </c>
      <c r="AS109" s="698">
        <f t="shared" si="777"/>
        <v>7.5472262391258052E-2</v>
      </c>
      <c r="AT109" s="698">
        <f t="shared" si="777"/>
        <v>0</v>
      </c>
      <c r="AU109" s="699">
        <f t="shared" si="777"/>
        <v>0</v>
      </c>
      <c r="AV109" s="697">
        <f t="shared" si="777"/>
        <v>1.6661861085221167E-2</v>
      </c>
      <c r="AW109" s="698">
        <f t="shared" si="777"/>
        <v>1.6578551779795059E-2</v>
      </c>
      <c r="AX109" s="698">
        <f t="shared" si="777"/>
        <v>1.6495659020896086E-2</v>
      </c>
      <c r="AY109" s="698">
        <f t="shared" si="777"/>
        <v>1.6413180725791607E-2</v>
      </c>
      <c r="AZ109" s="699">
        <f t="shared" si="777"/>
        <v>1.6331114822162648E-2</v>
      </c>
      <c r="BA109" s="185"/>
      <c r="BB109" s="164" t="s">
        <v>1876</v>
      </c>
      <c r="BC109" s="697">
        <f>SUM(BC107:BC108)</f>
        <v>0</v>
      </c>
      <c r="BD109" s="698">
        <f t="shared" ref="BD109:BO109" si="778">SUM(BD107:BD108)</f>
        <v>0</v>
      </c>
      <c r="BE109" s="698">
        <f t="shared" si="778"/>
        <v>0</v>
      </c>
      <c r="BF109" s="698">
        <f t="shared" si="778"/>
        <v>0</v>
      </c>
      <c r="BG109" s="698">
        <f t="shared" si="778"/>
        <v>0</v>
      </c>
      <c r="BH109" s="698">
        <f t="shared" si="778"/>
        <v>29</v>
      </c>
      <c r="BI109" s="698">
        <f t="shared" si="778"/>
        <v>0</v>
      </c>
      <c r="BJ109" s="699">
        <f t="shared" si="778"/>
        <v>0</v>
      </c>
      <c r="BK109" s="697">
        <f t="shared" si="778"/>
        <v>2.5964975909801944</v>
      </c>
      <c r="BL109" s="698">
        <f t="shared" si="778"/>
        <v>2.5964975909801944</v>
      </c>
      <c r="BM109" s="698">
        <f t="shared" si="778"/>
        <v>2.5964975909801944</v>
      </c>
      <c r="BN109" s="698">
        <f t="shared" si="778"/>
        <v>2.5964975909801944</v>
      </c>
      <c r="BO109" s="699">
        <f t="shared" si="778"/>
        <v>2.5964975909801944</v>
      </c>
      <c r="BP109" s="185"/>
      <c r="BQ109" s="117"/>
      <c r="BR109" s="159"/>
      <c r="BS109" s="117"/>
      <c r="BT109" s="117"/>
      <c r="BU109" s="117"/>
      <c r="BV109" s="117"/>
      <c r="BW109" s="117"/>
      <c r="BX109" s="117"/>
      <c r="BY109" s="160"/>
      <c r="BZ109" s="159"/>
      <c r="CA109" s="117"/>
      <c r="CB109" s="117"/>
      <c r="CC109" s="117"/>
      <c r="CD109" s="160"/>
    </row>
    <row r="110" spans="2:82" ht="14.25">
      <c r="B110" s="181"/>
      <c r="C110" s="185"/>
      <c r="D110" s="185"/>
      <c r="E110" s="182"/>
      <c r="F110" s="185"/>
      <c r="G110" s="184"/>
      <c r="H110" s="184"/>
      <c r="I110" s="117"/>
      <c r="J110" s="159"/>
      <c r="K110" s="117"/>
      <c r="L110" s="117"/>
      <c r="M110" s="117"/>
      <c r="N110" s="117"/>
      <c r="O110" s="117"/>
      <c r="P110" s="117"/>
      <c r="Q110" s="160"/>
      <c r="R110" s="159"/>
      <c r="S110" s="117"/>
      <c r="T110" s="117"/>
      <c r="U110" s="117"/>
      <c r="V110" s="160"/>
      <c r="W110" s="184"/>
      <c r="X110" s="117"/>
      <c r="Y110" s="159"/>
      <c r="Z110" s="117"/>
      <c r="AA110" s="117"/>
      <c r="AB110" s="117"/>
      <c r="AC110" s="117"/>
      <c r="AD110" s="117"/>
      <c r="AE110" s="117"/>
      <c r="AF110" s="160"/>
      <c r="AG110" s="159"/>
      <c r="AH110" s="117"/>
      <c r="AI110" s="117"/>
      <c r="AJ110" s="117"/>
      <c r="AK110" s="160"/>
      <c r="AL110" s="184"/>
      <c r="AM110" s="117"/>
      <c r="AN110" s="713"/>
      <c r="AO110" s="714"/>
      <c r="AP110" s="714"/>
      <c r="AQ110" s="714"/>
      <c r="AR110" s="714"/>
      <c r="AS110" s="714"/>
      <c r="AT110" s="714"/>
      <c r="AU110" s="715"/>
      <c r="AV110" s="716"/>
      <c r="AW110" s="714"/>
      <c r="AX110" s="714"/>
      <c r="AY110" s="714"/>
      <c r="AZ110" s="715"/>
      <c r="BA110" s="184"/>
      <c r="BB110" s="117"/>
      <c r="BC110" s="159"/>
      <c r="BD110" s="117"/>
      <c r="BE110" s="117"/>
      <c r="BF110" s="117"/>
      <c r="BG110" s="117"/>
      <c r="BH110" s="117"/>
      <c r="BI110" s="117"/>
      <c r="BJ110" s="160"/>
      <c r="BK110" s="159"/>
      <c r="BL110" s="117"/>
      <c r="BM110" s="117"/>
      <c r="BN110" s="117"/>
      <c r="BO110" s="160"/>
      <c r="BP110" s="184"/>
      <c r="BQ110" s="117"/>
      <c r="BR110" s="159"/>
      <c r="BS110" s="117"/>
      <c r="BT110" s="117"/>
      <c r="BU110" s="117"/>
      <c r="BV110" s="117"/>
      <c r="BW110" s="117"/>
      <c r="BX110" s="117"/>
      <c r="BY110" s="160"/>
      <c r="BZ110" s="159"/>
      <c r="CA110" s="117"/>
      <c r="CB110" s="117"/>
      <c r="CC110" s="117"/>
      <c r="CD110" s="160"/>
    </row>
    <row r="111" spans="2:82" ht="15" thickBot="1">
      <c r="B111" s="191" t="s">
        <v>1701</v>
      </c>
      <c r="C111" s="192"/>
      <c r="D111" s="192"/>
      <c r="E111" s="193"/>
      <c r="F111" s="192"/>
      <c r="G111" s="192"/>
      <c r="H111" s="194"/>
      <c r="I111" s="195" t="s">
        <v>498</v>
      </c>
      <c r="J111" s="701">
        <f>SUM(J99,J104,J109)</f>
        <v>7.0760002400107203</v>
      </c>
      <c r="K111" s="702">
        <f t="shared" ref="K111:V111" si="779">SUM(K99,K104,K109)</f>
        <v>6.1941648236452531</v>
      </c>
      <c r="L111" s="702">
        <f t="shared" si="779"/>
        <v>4.1938857484998175</v>
      </c>
      <c r="M111" s="702">
        <f t="shared" si="779"/>
        <v>5.1145629936057615</v>
      </c>
      <c r="N111" s="702">
        <f t="shared" si="779"/>
        <v>8.8068873512946002</v>
      </c>
      <c r="O111" s="702">
        <f t="shared" si="779"/>
        <v>9.7180016586959344</v>
      </c>
      <c r="P111" s="702">
        <f t="shared" si="779"/>
        <v>10.719955081437751</v>
      </c>
      <c r="Q111" s="703">
        <f t="shared" si="779"/>
        <v>9.4969121748572842</v>
      </c>
      <c r="R111" s="701">
        <f t="shared" si="779"/>
        <v>9.8996988998659567</v>
      </c>
      <c r="S111" s="702">
        <f t="shared" si="779"/>
        <v>9.8502004053666266</v>
      </c>
      <c r="T111" s="702">
        <f t="shared" si="779"/>
        <v>9.8009494033397946</v>
      </c>
      <c r="U111" s="702">
        <f t="shared" si="779"/>
        <v>9.7519446563230954</v>
      </c>
      <c r="V111" s="703">
        <f t="shared" si="779"/>
        <v>9.7031849330414826</v>
      </c>
      <c r="W111" s="194"/>
      <c r="X111" s="195" t="s">
        <v>498</v>
      </c>
      <c r="Y111" s="701">
        <f>SUM(Y99,Y104,Y109)</f>
        <v>-0.43742458160873071</v>
      </c>
      <c r="Z111" s="702">
        <f t="shared" ref="Z111:AK111" si="780">SUM(Z99,Z104,Z109)</f>
        <v>-0.40660399793880408</v>
      </c>
      <c r="AA111" s="702">
        <f t="shared" si="780"/>
        <v>-0.34027673886815007</v>
      </c>
      <c r="AB111" s="702">
        <f t="shared" si="780"/>
        <v>-0.93076434507200168</v>
      </c>
      <c r="AC111" s="702">
        <f t="shared" si="780"/>
        <v>-0.33967088883319541</v>
      </c>
      <c r="AD111" s="702">
        <f t="shared" si="780"/>
        <v>-0.49360828786010202</v>
      </c>
      <c r="AE111" s="702">
        <f t="shared" si="780"/>
        <v>-0.44442760464843861</v>
      </c>
      <c r="AF111" s="703">
        <f t="shared" si="780"/>
        <v>-0.37710710041593137</v>
      </c>
      <c r="AG111" s="701">
        <f t="shared" si="780"/>
        <v>-1.447098417875923</v>
      </c>
      <c r="AH111" s="702">
        <f t="shared" si="780"/>
        <v>-1.4398629257865434</v>
      </c>
      <c r="AI111" s="702">
        <f t="shared" si="780"/>
        <v>-1.4326636111576105</v>
      </c>
      <c r="AJ111" s="702">
        <f t="shared" si="780"/>
        <v>-1.4255002931018226</v>
      </c>
      <c r="AK111" s="703">
        <f t="shared" si="780"/>
        <v>-1.4183727916363134</v>
      </c>
      <c r="AL111" s="194"/>
      <c r="AM111" s="195" t="s">
        <v>498</v>
      </c>
      <c r="AN111" s="701">
        <f>SUM(AN99,AN104,AN109)</f>
        <v>6.6385756584019893</v>
      </c>
      <c r="AO111" s="702">
        <f t="shared" ref="AO111:AZ111" si="781">SUM(AO99,AO104,AO109)</f>
        <v>5.787560825706449</v>
      </c>
      <c r="AP111" s="702">
        <f t="shared" si="781"/>
        <v>3.8536090096316675</v>
      </c>
      <c r="AQ111" s="702">
        <f t="shared" si="781"/>
        <v>4.1837986485337595</v>
      </c>
      <c r="AR111" s="702">
        <f t="shared" si="781"/>
        <v>8.4672164624614048</v>
      </c>
      <c r="AS111" s="702">
        <f t="shared" si="781"/>
        <v>9.2243933708358323</v>
      </c>
      <c r="AT111" s="702">
        <f t="shared" si="781"/>
        <v>10.275527476789312</v>
      </c>
      <c r="AU111" s="703">
        <f t="shared" si="781"/>
        <v>9.1198050744413521</v>
      </c>
      <c r="AV111" s="701">
        <f t="shared" si="781"/>
        <v>8.452600481990034</v>
      </c>
      <c r="AW111" s="702">
        <f t="shared" si="781"/>
        <v>8.4103374795800843</v>
      </c>
      <c r="AX111" s="702">
        <f t="shared" si="781"/>
        <v>8.3682857921821849</v>
      </c>
      <c r="AY111" s="702">
        <f t="shared" si="781"/>
        <v>8.3264443632212721</v>
      </c>
      <c r="AZ111" s="703">
        <f t="shared" si="781"/>
        <v>8.284812141405169</v>
      </c>
      <c r="BA111" s="194"/>
      <c r="BB111" s="194"/>
      <c r="BC111" s="656"/>
      <c r="BD111" s="194"/>
      <c r="BE111" s="194"/>
      <c r="BF111" s="194"/>
      <c r="BG111" s="194"/>
      <c r="BH111" s="194"/>
      <c r="BI111" s="194"/>
      <c r="BJ111" s="972"/>
      <c r="BK111" s="656"/>
      <c r="BL111" s="194"/>
      <c r="BM111" s="194"/>
      <c r="BN111" s="194"/>
      <c r="BO111" s="972"/>
      <c r="BP111" s="194"/>
      <c r="BQ111" s="194"/>
      <c r="BR111" s="656"/>
      <c r="BS111" s="194"/>
      <c r="BT111" s="194"/>
      <c r="BU111" s="194"/>
      <c r="BV111" s="194"/>
      <c r="BW111" s="194"/>
      <c r="BX111" s="194"/>
      <c r="BY111" s="972"/>
      <c r="BZ111" s="656"/>
      <c r="CA111" s="194"/>
      <c r="CB111" s="194"/>
      <c r="CC111" s="194"/>
      <c r="CD111" s="972"/>
    </row>
    <row r="112" spans="2:82" ht="15" thickBot="1">
      <c r="B112" s="185"/>
      <c r="C112" s="185"/>
      <c r="D112" s="162"/>
      <c r="E112" s="162"/>
      <c r="F112" s="185"/>
      <c r="G112" s="185"/>
      <c r="H112" s="163"/>
      <c r="I112" s="185"/>
      <c r="J112" s="162"/>
      <c r="K112" s="162"/>
      <c r="L112" s="185"/>
      <c r="M112" s="185"/>
      <c r="N112" s="163"/>
      <c r="O112" s="185"/>
      <c r="P112" s="162"/>
      <c r="Q112" s="162"/>
      <c r="R112" s="185"/>
      <c r="S112" s="185"/>
      <c r="T112" s="163"/>
      <c r="U112" s="185"/>
      <c r="V112" s="162"/>
      <c r="AH112" s="173"/>
      <c r="AQ112" s="173"/>
    </row>
    <row r="113" spans="1:82" s="100" customFormat="1" ht="30" customHeight="1" thickBot="1">
      <c r="A113" s="89"/>
      <c r="B113" s="621" t="s">
        <v>1685</v>
      </c>
      <c r="C113" s="102"/>
      <c r="D113" s="102"/>
      <c r="E113" s="102"/>
      <c r="F113" s="102"/>
      <c r="G113" s="103"/>
      <c r="H113" s="103"/>
      <c r="I113" s="105" t="s">
        <v>1864</v>
      </c>
      <c r="J113" s="106"/>
      <c r="K113" s="106"/>
      <c r="L113" s="106"/>
      <c r="M113" s="106"/>
      <c r="N113" s="106"/>
      <c r="O113" s="106"/>
      <c r="P113" s="106"/>
      <c r="Q113" s="106"/>
      <c r="R113" s="105"/>
      <c r="S113" s="105"/>
      <c r="T113" s="105"/>
      <c r="U113" s="105"/>
      <c r="V113" s="187"/>
      <c r="W113" s="103"/>
      <c r="X113" s="105" t="s">
        <v>2202</v>
      </c>
      <c r="Y113" s="106"/>
      <c r="Z113" s="106"/>
      <c r="AA113" s="106"/>
      <c r="AB113" s="106"/>
      <c r="AC113" s="106"/>
      <c r="AD113" s="106"/>
      <c r="AE113" s="106"/>
      <c r="AF113" s="106"/>
      <c r="AG113" s="105"/>
      <c r="AH113" s="105"/>
      <c r="AI113" s="105"/>
      <c r="AJ113" s="105"/>
      <c r="AK113" s="187"/>
      <c r="AL113" s="103"/>
      <c r="AM113" s="105" t="s">
        <v>1704</v>
      </c>
      <c r="AN113" s="106"/>
      <c r="AO113" s="106"/>
      <c r="AP113" s="106"/>
      <c r="AQ113" s="106"/>
      <c r="AR113" s="106"/>
      <c r="AS113" s="106"/>
      <c r="AT113" s="106"/>
      <c r="AU113" s="106"/>
      <c r="AV113" s="105"/>
      <c r="AW113" s="105"/>
      <c r="AX113" s="105"/>
      <c r="AY113" s="105"/>
      <c r="AZ113" s="187"/>
      <c r="BA113" s="103"/>
      <c r="BB113" s="105" t="s">
        <v>2231</v>
      </c>
      <c r="BC113" s="106"/>
      <c r="BD113" s="106"/>
      <c r="BE113" s="106"/>
      <c r="BF113" s="106"/>
      <c r="BG113" s="106"/>
      <c r="BH113" s="106"/>
      <c r="BI113" s="106"/>
      <c r="BJ113" s="106"/>
      <c r="BK113" s="105"/>
      <c r="BL113" s="105"/>
      <c r="BM113" s="105"/>
      <c r="BN113" s="105"/>
      <c r="BO113" s="187"/>
      <c r="BP113" s="103"/>
      <c r="BQ113" s="105" t="s">
        <v>2414</v>
      </c>
      <c r="BR113" s="106"/>
      <c r="BS113" s="106"/>
      <c r="BT113" s="106"/>
      <c r="BU113" s="106"/>
      <c r="BV113" s="106"/>
      <c r="BW113" s="106"/>
      <c r="BX113" s="106"/>
      <c r="BY113" s="106"/>
      <c r="BZ113" s="105"/>
      <c r="CA113" s="105"/>
      <c r="CB113" s="105"/>
      <c r="CC113" s="105"/>
      <c r="CD113" s="187"/>
    </row>
    <row r="114" spans="1:82" s="157" customFormat="1" ht="30" customHeight="1">
      <c r="A114" s="99"/>
      <c r="B114" s="109"/>
      <c r="C114" s="110"/>
      <c r="D114" s="110"/>
      <c r="E114" s="110"/>
      <c r="F114" s="110"/>
      <c r="G114" s="111"/>
      <c r="H114" s="111"/>
      <c r="I114" s="117"/>
      <c r="J114" s="695" t="s">
        <v>1666</v>
      </c>
      <c r="K114" s="152"/>
      <c r="L114" s="152"/>
      <c r="M114" s="152"/>
      <c r="N114" s="152"/>
      <c r="O114" s="152"/>
      <c r="P114" s="152"/>
      <c r="Q114" s="153"/>
      <c r="R114" s="696" t="s">
        <v>2</v>
      </c>
      <c r="S114" s="155"/>
      <c r="T114" s="155"/>
      <c r="U114" s="155"/>
      <c r="V114" s="156"/>
      <c r="W114" s="111"/>
      <c r="X114" s="117"/>
      <c r="Y114" s="695" t="s">
        <v>1666</v>
      </c>
      <c r="Z114" s="152"/>
      <c r="AA114" s="152"/>
      <c r="AB114" s="152"/>
      <c r="AC114" s="152"/>
      <c r="AD114" s="152"/>
      <c r="AE114" s="152"/>
      <c r="AF114" s="153"/>
      <c r="AG114" s="696" t="s">
        <v>2</v>
      </c>
      <c r="AH114" s="155"/>
      <c r="AI114" s="155"/>
      <c r="AJ114" s="155"/>
      <c r="AK114" s="156"/>
      <c r="AL114" s="111"/>
      <c r="AM114" s="117"/>
      <c r="AN114" s="695" t="s">
        <v>1666</v>
      </c>
      <c r="AO114" s="152"/>
      <c r="AP114" s="152"/>
      <c r="AQ114" s="152"/>
      <c r="AR114" s="152"/>
      <c r="AS114" s="152"/>
      <c r="AT114" s="152"/>
      <c r="AU114" s="153"/>
      <c r="AV114" s="696" t="s">
        <v>2</v>
      </c>
      <c r="AW114" s="155"/>
      <c r="AX114" s="155"/>
      <c r="AY114" s="155"/>
      <c r="AZ114" s="156"/>
      <c r="BA114" s="111"/>
      <c r="BB114" s="117"/>
      <c r="BC114" s="695" t="s">
        <v>1666</v>
      </c>
      <c r="BD114" s="152"/>
      <c r="BE114" s="152"/>
      <c r="BF114" s="152"/>
      <c r="BG114" s="152"/>
      <c r="BH114" s="152"/>
      <c r="BI114" s="152"/>
      <c r="BJ114" s="153"/>
      <c r="BK114" s="696" t="s">
        <v>2</v>
      </c>
      <c r="BL114" s="155"/>
      <c r="BM114" s="155"/>
      <c r="BN114" s="155"/>
      <c r="BO114" s="156"/>
      <c r="BP114" s="111"/>
      <c r="BQ114" s="117"/>
      <c r="BR114" s="695" t="s">
        <v>1666</v>
      </c>
      <c r="BS114" s="152"/>
      <c r="BT114" s="152"/>
      <c r="BU114" s="152"/>
      <c r="BV114" s="152"/>
      <c r="BW114" s="152"/>
      <c r="BX114" s="152"/>
      <c r="BY114" s="153"/>
      <c r="BZ114" s="696" t="s">
        <v>2</v>
      </c>
      <c r="CA114" s="155"/>
      <c r="CB114" s="155"/>
      <c r="CC114" s="155"/>
      <c r="CD114" s="156"/>
    </row>
    <row r="115" spans="1:82" ht="15">
      <c r="B115" s="115"/>
      <c r="C115" s="185"/>
      <c r="D115" s="116"/>
      <c r="E115" s="116"/>
      <c r="F115" s="116"/>
      <c r="G115" s="117"/>
      <c r="H115" s="117"/>
      <c r="I115" s="119" t="s">
        <v>1667</v>
      </c>
      <c r="J115" s="158" t="s">
        <v>453</v>
      </c>
      <c r="K115" s="137" t="s">
        <v>455</v>
      </c>
      <c r="L115" s="137" t="s">
        <v>457</v>
      </c>
      <c r="M115" s="137" t="s">
        <v>459</v>
      </c>
      <c r="N115" s="137" t="s">
        <v>461</v>
      </c>
      <c r="O115" s="137" t="s">
        <v>463</v>
      </c>
      <c r="P115" s="137" t="s">
        <v>465</v>
      </c>
      <c r="Q115" s="138" t="s">
        <v>467</v>
      </c>
      <c r="R115" s="120" t="s">
        <v>469</v>
      </c>
      <c r="S115" s="121" t="s">
        <v>471</v>
      </c>
      <c r="T115" s="121" t="s">
        <v>473</v>
      </c>
      <c r="U115" s="121" t="s">
        <v>475</v>
      </c>
      <c r="V115" s="122" t="s">
        <v>477</v>
      </c>
      <c r="W115" s="117"/>
      <c r="X115" s="119" t="s">
        <v>1667</v>
      </c>
      <c r="Y115" s="158" t="s">
        <v>453</v>
      </c>
      <c r="Z115" s="137" t="s">
        <v>455</v>
      </c>
      <c r="AA115" s="137" t="s">
        <v>457</v>
      </c>
      <c r="AB115" s="137" t="s">
        <v>459</v>
      </c>
      <c r="AC115" s="137" t="s">
        <v>461</v>
      </c>
      <c r="AD115" s="137" t="s">
        <v>463</v>
      </c>
      <c r="AE115" s="137" t="s">
        <v>465</v>
      </c>
      <c r="AF115" s="138" t="s">
        <v>467</v>
      </c>
      <c r="AG115" s="120" t="s">
        <v>469</v>
      </c>
      <c r="AH115" s="121" t="s">
        <v>471</v>
      </c>
      <c r="AI115" s="121" t="s">
        <v>473</v>
      </c>
      <c r="AJ115" s="121" t="s">
        <v>475</v>
      </c>
      <c r="AK115" s="122" t="s">
        <v>477</v>
      </c>
      <c r="AL115" s="117"/>
      <c r="AM115" s="119" t="s">
        <v>1667</v>
      </c>
      <c r="AN115" s="158" t="s">
        <v>453</v>
      </c>
      <c r="AO115" s="137" t="s">
        <v>455</v>
      </c>
      <c r="AP115" s="137" t="s">
        <v>457</v>
      </c>
      <c r="AQ115" s="137" t="s">
        <v>459</v>
      </c>
      <c r="AR115" s="137" t="s">
        <v>461</v>
      </c>
      <c r="AS115" s="137" t="s">
        <v>463</v>
      </c>
      <c r="AT115" s="137" t="s">
        <v>465</v>
      </c>
      <c r="AU115" s="138" t="s">
        <v>467</v>
      </c>
      <c r="AV115" s="120" t="s">
        <v>469</v>
      </c>
      <c r="AW115" s="121" t="s">
        <v>471</v>
      </c>
      <c r="AX115" s="121" t="s">
        <v>473</v>
      </c>
      <c r="AY115" s="121" t="s">
        <v>475</v>
      </c>
      <c r="AZ115" s="122" t="s">
        <v>477</v>
      </c>
      <c r="BA115" s="117"/>
      <c r="BB115" s="119" t="s">
        <v>1667</v>
      </c>
      <c r="BC115" s="158" t="s">
        <v>453</v>
      </c>
      <c r="BD115" s="137" t="s">
        <v>455</v>
      </c>
      <c r="BE115" s="137" t="s">
        <v>457</v>
      </c>
      <c r="BF115" s="137" t="s">
        <v>459</v>
      </c>
      <c r="BG115" s="137" t="s">
        <v>461</v>
      </c>
      <c r="BH115" s="137" t="s">
        <v>463</v>
      </c>
      <c r="BI115" s="137" t="s">
        <v>465</v>
      </c>
      <c r="BJ115" s="138" t="s">
        <v>467</v>
      </c>
      <c r="BK115" s="120" t="s">
        <v>469</v>
      </c>
      <c r="BL115" s="121" t="s">
        <v>471</v>
      </c>
      <c r="BM115" s="121" t="s">
        <v>473</v>
      </c>
      <c r="BN115" s="121" t="s">
        <v>475</v>
      </c>
      <c r="BO115" s="122" t="s">
        <v>477</v>
      </c>
      <c r="BP115" s="117"/>
      <c r="BQ115" s="119" t="s">
        <v>1667</v>
      </c>
      <c r="BR115" s="158" t="s">
        <v>453</v>
      </c>
      <c r="BS115" s="137" t="s">
        <v>455</v>
      </c>
      <c r="BT115" s="137" t="s">
        <v>457</v>
      </c>
      <c r="BU115" s="137" t="s">
        <v>459</v>
      </c>
      <c r="BV115" s="137" t="s">
        <v>461</v>
      </c>
      <c r="BW115" s="137" t="s">
        <v>463</v>
      </c>
      <c r="BX115" s="137" t="s">
        <v>465</v>
      </c>
      <c r="BY115" s="138" t="s">
        <v>467</v>
      </c>
      <c r="BZ115" s="120" t="s">
        <v>469</v>
      </c>
      <c r="CA115" s="121" t="s">
        <v>471</v>
      </c>
      <c r="CB115" s="121" t="s">
        <v>473</v>
      </c>
      <c r="CC115" s="121" t="s">
        <v>475</v>
      </c>
      <c r="CD115" s="122" t="s">
        <v>477</v>
      </c>
    </row>
    <row r="116" spans="1:82" ht="15.75">
      <c r="B116" s="161"/>
      <c r="C116" s="616" t="s">
        <v>2652</v>
      </c>
      <c r="D116" s="186"/>
      <c r="E116" s="180"/>
      <c r="F116" s="180"/>
      <c r="G116" s="162"/>
      <c r="H116" s="163"/>
      <c r="I116" s="117"/>
      <c r="J116" s="159"/>
      <c r="K116" s="117"/>
      <c r="L116" s="117"/>
      <c r="M116" s="117"/>
      <c r="N116" s="117"/>
      <c r="O116" s="117"/>
      <c r="P116" s="117"/>
      <c r="Q116" s="160"/>
      <c r="R116" s="159"/>
      <c r="S116" s="117"/>
      <c r="T116" s="117"/>
      <c r="U116" s="117"/>
      <c r="V116" s="160"/>
      <c r="W116" s="163"/>
      <c r="X116" s="117"/>
      <c r="Y116" s="159"/>
      <c r="Z116" s="117"/>
      <c r="AA116" s="117"/>
      <c r="AB116" s="117"/>
      <c r="AC116" s="117"/>
      <c r="AD116" s="117"/>
      <c r="AE116" s="117"/>
      <c r="AF116" s="160"/>
      <c r="AG116" s="159"/>
      <c r="AH116" s="117"/>
      <c r="AI116" s="117"/>
      <c r="AJ116" s="117"/>
      <c r="AK116" s="160"/>
      <c r="AL116" s="163"/>
      <c r="AM116" s="117"/>
      <c r="AN116" s="159"/>
      <c r="AO116" s="117"/>
      <c r="AP116" s="117"/>
      <c r="AQ116" s="117"/>
      <c r="AR116" s="117"/>
      <c r="AS116" s="117"/>
      <c r="AT116" s="117"/>
      <c r="AU116" s="160"/>
      <c r="AV116" s="159"/>
      <c r="AW116" s="117"/>
      <c r="AX116" s="117"/>
      <c r="AY116" s="117"/>
      <c r="AZ116" s="160"/>
      <c r="BA116" s="163"/>
      <c r="BB116" s="117"/>
      <c r="BC116" s="159"/>
      <c r="BD116" s="117"/>
      <c r="BE116" s="117"/>
      <c r="BF116" s="117"/>
      <c r="BG116" s="117"/>
      <c r="BH116" s="117"/>
      <c r="BI116" s="117"/>
      <c r="BJ116" s="160"/>
      <c r="BK116" s="159"/>
      <c r="BL116" s="117"/>
      <c r="BM116" s="117"/>
      <c r="BN116" s="117"/>
      <c r="BO116" s="160"/>
      <c r="BP116" s="163"/>
      <c r="BQ116" s="117"/>
      <c r="BR116" s="159"/>
      <c r="BS116" s="117"/>
      <c r="BT116" s="117"/>
      <c r="BU116" s="117"/>
      <c r="BV116" s="117"/>
      <c r="BW116" s="117"/>
      <c r="BX116" s="117"/>
      <c r="BY116" s="160"/>
      <c r="BZ116" s="159"/>
      <c r="CA116" s="117"/>
      <c r="CB116" s="117"/>
      <c r="CC116" s="117"/>
      <c r="CD116" s="160"/>
    </row>
    <row r="117" spans="1:82" ht="15">
      <c r="B117" s="161"/>
      <c r="C117" s="185"/>
      <c r="D117" s="185" t="s">
        <v>1685</v>
      </c>
      <c r="E117" s="617"/>
      <c r="F117" s="162"/>
      <c r="G117" s="162"/>
      <c r="H117" s="185"/>
      <c r="I117" s="164" t="s">
        <v>498</v>
      </c>
      <c r="J117" s="641">
        <f>'4.03_Repex_Mains_Tier-2B_&amp;_3'!J99</f>
        <v>3.8774434250995231</v>
      </c>
      <c r="K117" s="642">
        <f>'4.03_Repex_Mains_Tier-2B_&amp;_3'!K99</f>
        <v>2.4321708092681193</v>
      </c>
      <c r="L117" s="642">
        <f>'4.03_Repex_Mains_Tier-2B_&amp;_3'!L99</f>
        <v>2.4395710846019689</v>
      </c>
      <c r="M117" s="642">
        <f>'4.03_Repex_Mains_Tier-2B_&amp;_3'!M99</f>
        <v>1.4844448192909465</v>
      </c>
      <c r="N117" s="642">
        <f>'4.03_Repex_Mains_Tier-2B_&amp;_3'!N99</f>
        <v>1.8356164502598964</v>
      </c>
      <c r="O117" s="642">
        <f>'4.03_Repex_Mains_Tier-2B_&amp;_3'!O99</f>
        <v>4.6082664548605869</v>
      </c>
      <c r="P117" s="642">
        <f>'4.03_Repex_Mains_Tier-2B_&amp;_3'!P99</f>
        <v>2.5449743131026099</v>
      </c>
      <c r="Q117" s="643">
        <f>'4.03_Repex_Mains_Tier-2B_&amp;_3'!Q99</f>
        <v>2.1636063544109998</v>
      </c>
      <c r="R117" s="641">
        <f>'4.03_Repex_Mains_Tier-2B_&amp;_3'!R99</f>
        <v>6.4456302795563891</v>
      </c>
      <c r="S117" s="642">
        <f>'4.03_Repex_Mains_Tier-2B_&amp;_3'!S99</f>
        <v>6.4134021281586069</v>
      </c>
      <c r="T117" s="642">
        <f>'4.03_Repex_Mains_Tier-2B_&amp;_3'!T99</f>
        <v>6.3813351175178141</v>
      </c>
      <c r="U117" s="642">
        <f>'4.03_Repex_Mains_Tier-2B_&amp;_3'!U99</f>
        <v>6.3494284419302254</v>
      </c>
      <c r="V117" s="643">
        <f>'4.03_Repex_Mains_Tier-2B_&amp;_3'!V99</f>
        <v>6.317681299720574</v>
      </c>
      <c r="W117" s="185"/>
      <c r="X117" s="164" t="s">
        <v>498</v>
      </c>
      <c r="Y117" s="641">
        <f>'4.03_Repex_Mains_Tier-2B_&amp;_3'!Y99</f>
        <v>0</v>
      </c>
      <c r="Z117" s="642">
        <f>'4.03_Repex_Mains_Tier-2B_&amp;_3'!Z99</f>
        <v>0</v>
      </c>
      <c r="AA117" s="642">
        <f>'4.03_Repex_Mains_Tier-2B_&amp;_3'!AA99</f>
        <v>0</v>
      </c>
      <c r="AB117" s="642">
        <f>'4.03_Repex_Mains_Tier-2B_&amp;_3'!AB99</f>
        <v>0</v>
      </c>
      <c r="AC117" s="642">
        <f>'4.03_Repex_Mains_Tier-2B_&amp;_3'!AC99</f>
        <v>0</v>
      </c>
      <c r="AD117" s="642">
        <f>'4.03_Repex_Mains_Tier-2B_&amp;_3'!AD99</f>
        <v>0</v>
      </c>
      <c r="AE117" s="642">
        <f>'4.03_Repex_Mains_Tier-2B_&amp;_3'!AE99</f>
        <v>0</v>
      </c>
      <c r="AF117" s="643">
        <f>'4.03_Repex_Mains_Tier-2B_&amp;_3'!AF99</f>
        <v>0</v>
      </c>
      <c r="AG117" s="641">
        <f>'4.03_Repex_Mains_Tier-2B_&amp;_3'!AG99</f>
        <v>0</v>
      </c>
      <c r="AH117" s="642">
        <f>'4.03_Repex_Mains_Tier-2B_&amp;_3'!AH99</f>
        <v>0</v>
      </c>
      <c r="AI117" s="642">
        <f>'4.03_Repex_Mains_Tier-2B_&amp;_3'!AI99</f>
        <v>0</v>
      </c>
      <c r="AJ117" s="642">
        <f>'4.03_Repex_Mains_Tier-2B_&amp;_3'!AJ99</f>
        <v>0</v>
      </c>
      <c r="AK117" s="643">
        <f>'4.03_Repex_Mains_Tier-2B_&amp;_3'!AK99</f>
        <v>0</v>
      </c>
      <c r="AL117" s="185"/>
      <c r="AM117" s="164" t="s">
        <v>498</v>
      </c>
      <c r="AN117" s="641">
        <f>J117+Y117</f>
        <v>3.8774434250995231</v>
      </c>
      <c r="AO117" s="642">
        <f t="shared" ref="AO117:AO119" si="782">K117+Z117</f>
        <v>2.4321708092681193</v>
      </c>
      <c r="AP117" s="642">
        <f t="shared" ref="AP117:AP119" si="783">L117+AA117</f>
        <v>2.4395710846019689</v>
      </c>
      <c r="AQ117" s="642">
        <f t="shared" ref="AQ117:AQ119" si="784">M117+AB117</f>
        <v>1.4844448192909465</v>
      </c>
      <c r="AR117" s="642">
        <f t="shared" ref="AR117:AR119" si="785">N117+AC117</f>
        <v>1.8356164502598964</v>
      </c>
      <c r="AS117" s="642">
        <f t="shared" ref="AS117:AS119" si="786">O117+AD117</f>
        <v>4.6082664548605869</v>
      </c>
      <c r="AT117" s="642">
        <f t="shared" ref="AT117:AT119" si="787">P117+AE117</f>
        <v>2.5449743131026099</v>
      </c>
      <c r="AU117" s="643">
        <f t="shared" ref="AU117:AU119" si="788">Q117+AF117</f>
        <v>2.1636063544109998</v>
      </c>
      <c r="AV117" s="641">
        <f t="shared" ref="AV117:AV119" si="789">R117+AG117</f>
        <v>6.4456302795563891</v>
      </c>
      <c r="AW117" s="642">
        <f t="shared" ref="AW117:AW119" si="790">S117+AH117</f>
        <v>6.4134021281586069</v>
      </c>
      <c r="AX117" s="642">
        <f t="shared" ref="AX117:AX119" si="791">T117+AI117</f>
        <v>6.3813351175178141</v>
      </c>
      <c r="AY117" s="642">
        <f t="shared" ref="AY117:AY119" si="792">U117+AJ117</f>
        <v>6.3494284419302254</v>
      </c>
      <c r="AZ117" s="643">
        <f t="shared" ref="AZ117:AZ119" si="793">V117+AK117</f>
        <v>6.317681299720574</v>
      </c>
      <c r="BA117" s="185"/>
      <c r="BB117" s="164" t="s">
        <v>2233</v>
      </c>
      <c r="BC117" s="641">
        <f>'4.03_Repex_Mains_Tier-2B_&amp;_3'!AN99</f>
        <v>7.0870000000000006</v>
      </c>
      <c r="BD117" s="642">
        <f>'4.03_Repex_Mains_Tier-2B_&amp;_3'!AO99</f>
        <v>5.3064999999999998</v>
      </c>
      <c r="BE117" s="642">
        <f>'4.03_Repex_Mains_Tier-2B_&amp;_3'!AP99</f>
        <v>4.4274999999999993</v>
      </c>
      <c r="BF117" s="642">
        <f>'4.03_Repex_Mains_Tier-2B_&amp;_3'!AQ99</f>
        <v>1.4939999999999998</v>
      </c>
      <c r="BG117" s="642">
        <f>'4.03_Repex_Mains_Tier-2B_&amp;_3'!AR99</f>
        <v>2.4299999999999997</v>
      </c>
      <c r="BH117" s="642">
        <f>'4.03_Repex_Mains_Tier-2B_&amp;_3'!AS99</f>
        <v>5.7700000000000005</v>
      </c>
      <c r="BI117" s="642">
        <f>'4.03_Repex_Mains_Tier-2B_&amp;_3'!AT99</f>
        <v>6.5955663606410555</v>
      </c>
      <c r="BJ117" s="643">
        <f>'4.03_Repex_Mains_Tier-2B_&amp;_3'!AU99</f>
        <v>4.8100251481181564</v>
      </c>
      <c r="BK117" s="641">
        <f>'4.03_Repex_Mains_Tier-2B_&amp;_3'!AV99</f>
        <v>9.9960000000000004</v>
      </c>
      <c r="BL117" s="642">
        <f>'4.03_Repex_Mains_Tier-2B_&amp;_3'!AW99</f>
        <v>9.9960000000000004</v>
      </c>
      <c r="BM117" s="642">
        <f>'4.03_Repex_Mains_Tier-2B_&amp;_3'!AX99</f>
        <v>9.9960000000000004</v>
      </c>
      <c r="BN117" s="642">
        <f>'4.03_Repex_Mains_Tier-2B_&amp;_3'!AY99</f>
        <v>9.9960000000000004</v>
      </c>
      <c r="BO117" s="643">
        <f>'4.03_Repex_Mains_Tier-2B_&amp;_3'!AZ99</f>
        <v>9.9960000000000004</v>
      </c>
      <c r="BP117" s="185"/>
      <c r="BQ117" s="164" t="s">
        <v>2415</v>
      </c>
      <c r="BR117" s="641">
        <f>IF(BC117,AN117/BC117,0)</f>
        <v>0.54712056231120687</v>
      </c>
      <c r="BS117" s="642">
        <f t="shared" ref="BS117:BS119" si="794">IF(BD117,AO117/BD117,0)</f>
        <v>0.45833804000153011</v>
      </c>
      <c r="BT117" s="642">
        <f t="shared" ref="BT117:BT119" si="795">IF(BE117,AP117/BE117,0)</f>
        <v>0.55100419753855889</v>
      </c>
      <c r="BU117" s="642">
        <f t="shared" ref="BU117:BU119" si="796">IF(BF117,AQ117/BF117,0)</f>
        <v>0.9936042967141544</v>
      </c>
      <c r="BV117" s="642">
        <f t="shared" ref="BV117:BV119" si="797">IF(BG117,AR117/BG117,0)</f>
        <v>0.75539771615633611</v>
      </c>
      <c r="BW117" s="642">
        <f t="shared" ref="BW117:BW119" si="798">IF(BH117,AS117/BH117,0)</f>
        <v>0.79865969754949506</v>
      </c>
      <c r="BX117" s="642">
        <f t="shared" ref="BX117:BX119" si="799">IF(BI117,AT117/BI117,0)</f>
        <v>0.38586137625567779</v>
      </c>
      <c r="BY117" s="643">
        <f t="shared" ref="BY117:BY119" si="800">IF(BJ117,AU117/BJ117,0)</f>
        <v>0.44981185914536753</v>
      </c>
      <c r="BZ117" s="641">
        <f t="shared" ref="BZ117:BZ119" si="801">IF(BK117,AV117/BK117,0)</f>
        <v>0.64482095633817416</v>
      </c>
      <c r="CA117" s="642">
        <f t="shared" ref="CA117:CA119" si="802">IF(BL117,AW117/BL117,0)</f>
        <v>0.64159685155648327</v>
      </c>
      <c r="CB117" s="642">
        <f t="shared" ref="CB117:CB119" si="803">IF(BM117,AX117/BM117,0)</f>
        <v>0.63838886729870081</v>
      </c>
      <c r="CC117" s="642">
        <f t="shared" ref="CC117:CC119" si="804">IF(BN117,AY117/BN117,0)</f>
        <v>0.63519692296220742</v>
      </c>
      <c r="CD117" s="643">
        <f t="shared" ref="CD117:CD119" si="805">IF(BO117,AZ117/BO117,0)</f>
        <v>0.63202093834739637</v>
      </c>
    </row>
    <row r="118" spans="1:82" ht="14.25">
      <c r="B118" s="161"/>
      <c r="C118" s="185"/>
      <c r="D118" s="185" t="s">
        <v>2668</v>
      </c>
      <c r="E118" s="185"/>
      <c r="F118" s="162"/>
      <c r="G118" s="185"/>
      <c r="H118" s="185"/>
      <c r="I118" s="164" t="s">
        <v>498</v>
      </c>
      <c r="J118" s="641">
        <f>'4.05_Repex_Mains_Diversions'!J67+'4.05_Repex_Mains_Diversions'!J152</f>
        <v>0.5084026810930361</v>
      </c>
      <c r="K118" s="642">
        <f>'4.05_Repex_Mains_Diversions'!K67+'4.05_Repex_Mains_Diversions'!K152</f>
        <v>2.5105670351725069E-2</v>
      </c>
      <c r="L118" s="642">
        <f>'4.05_Repex_Mains_Diversions'!L67+'4.05_Repex_Mains_Diversions'!L152</f>
        <v>0.38446143570852692</v>
      </c>
      <c r="M118" s="642">
        <f>'4.05_Repex_Mains_Diversions'!M67+'4.05_Repex_Mains_Diversions'!M152</f>
        <v>0</v>
      </c>
      <c r="N118" s="642">
        <f>'4.05_Repex_Mains_Diversions'!N67+'4.05_Repex_Mains_Diversions'!N152</f>
        <v>0</v>
      </c>
      <c r="O118" s="642">
        <f>'4.05_Repex_Mains_Diversions'!O67+'4.05_Repex_Mains_Diversions'!O152</f>
        <v>0</v>
      </c>
      <c r="P118" s="642">
        <f>'4.05_Repex_Mains_Diversions'!P67+'4.05_Repex_Mains_Diversions'!P152</f>
        <v>0.27599355162036043</v>
      </c>
      <c r="Q118" s="643">
        <f>'4.05_Repex_Mains_Diversions'!Q67+'4.05_Repex_Mains_Diversions'!Q152</f>
        <v>0.24332422808997525</v>
      </c>
      <c r="R118" s="641">
        <f>'4.05_Repex_Mains_Diversions'!R67+'4.05_Repex_Mains_Diversions'!R152</f>
        <v>0.73843403392608054</v>
      </c>
      <c r="S118" s="642">
        <f>'4.05_Repex_Mains_Diversions'!S67+'4.05_Repex_Mains_Diversions'!S152</f>
        <v>0.73474186375645001</v>
      </c>
      <c r="T118" s="642">
        <f>'4.05_Repex_Mains_Diversions'!T67+'4.05_Repex_Mains_Diversions'!T152</f>
        <v>0.73106815443766793</v>
      </c>
      <c r="U118" s="642">
        <f>'4.05_Repex_Mains_Diversions'!U67+'4.05_Repex_Mains_Diversions'!U152</f>
        <v>0.72741281366547961</v>
      </c>
      <c r="V118" s="643">
        <f>'4.05_Repex_Mains_Diversions'!V67+'4.05_Repex_Mains_Diversions'!V152</f>
        <v>0.72377574959715218</v>
      </c>
      <c r="W118" s="185"/>
      <c r="X118" s="185"/>
      <c r="Y118" s="641">
        <f>'4.05_Repex_Mains_Diversions'!Y67+'4.05_Repex_Mains_Diversions'!Y152</f>
        <v>-0.43986345569506069</v>
      </c>
      <c r="Z118" s="642">
        <f>'4.05_Repex_Mains_Diversions'!Z67+'4.05_Repex_Mains_Diversions'!Z152</f>
        <v>-1.9971925095105827E-2</v>
      </c>
      <c r="AA118" s="642">
        <f>'4.05_Repex_Mains_Diversions'!AA67+'4.05_Repex_Mains_Diversions'!AA152</f>
        <v>-0.30881190017736804</v>
      </c>
      <c r="AB118" s="642">
        <f>'4.05_Repex_Mains_Diversions'!AB67+'4.05_Repex_Mains_Diversions'!AB152</f>
        <v>0</v>
      </c>
      <c r="AC118" s="642">
        <f>'4.05_Repex_Mains_Diversions'!AC67+'4.05_Repex_Mains_Diversions'!AC152</f>
        <v>0</v>
      </c>
      <c r="AD118" s="642">
        <f>'4.05_Repex_Mains_Diversions'!AD67+'4.05_Repex_Mains_Diversions'!AD152</f>
        <v>0</v>
      </c>
      <c r="AE118" s="642">
        <f>'4.05_Repex_Mains_Diversions'!AE67+'4.05_Repex_Mains_Diversions'!AE152</f>
        <v>-0.2372815841344281</v>
      </c>
      <c r="AF118" s="643">
        <f>'4.05_Repex_Mains_Diversions'!AF67+'4.05_Repex_Mains_Diversions'!AF152</f>
        <v>-0.20908969871722355</v>
      </c>
      <c r="AG118" s="641">
        <f>'4.05_Repex_Mains_Diversions'!AG67+'4.05_Repex_Mains_Diversions'!AG152</f>
        <v>-0.62028458849790769</v>
      </c>
      <c r="AH118" s="642">
        <f>'4.05_Repex_Mains_Diversions'!AH67+'4.05_Repex_Mains_Diversions'!AH152</f>
        <v>-0.61718316555541808</v>
      </c>
      <c r="AI118" s="642">
        <f>'4.05_Repex_Mains_Diversions'!AI67+'4.05_Repex_Mains_Diversions'!AI152</f>
        <v>-0.6140972497276409</v>
      </c>
      <c r="AJ118" s="642">
        <f>'4.05_Repex_Mains_Diversions'!AJ67+'4.05_Repex_Mains_Diversions'!AJ152</f>
        <v>-0.61102676347900275</v>
      </c>
      <c r="AK118" s="643">
        <f>'4.05_Repex_Mains_Diversions'!AK67+'4.05_Repex_Mains_Diversions'!AK152</f>
        <v>-0.60797162966160789</v>
      </c>
      <c r="AL118" s="185"/>
      <c r="AM118" s="164" t="s">
        <v>498</v>
      </c>
      <c r="AN118" s="641">
        <f t="shared" ref="AN118:AN119" si="806">J118+Y118</f>
        <v>6.8539225397975412E-2</v>
      </c>
      <c r="AO118" s="642">
        <f t="shared" si="782"/>
        <v>5.1337452566192418E-3</v>
      </c>
      <c r="AP118" s="642">
        <f t="shared" si="783"/>
        <v>7.5649535531158885E-2</v>
      </c>
      <c r="AQ118" s="642">
        <f t="shared" si="784"/>
        <v>0</v>
      </c>
      <c r="AR118" s="642">
        <f t="shared" si="785"/>
        <v>0</v>
      </c>
      <c r="AS118" s="642">
        <f t="shared" si="786"/>
        <v>0</v>
      </c>
      <c r="AT118" s="642">
        <f t="shared" si="787"/>
        <v>3.8711967485932336E-2</v>
      </c>
      <c r="AU118" s="643">
        <f t="shared" si="788"/>
        <v>3.4234529372751704E-2</v>
      </c>
      <c r="AV118" s="641">
        <f t="shared" si="789"/>
        <v>0.11814944542817285</v>
      </c>
      <c r="AW118" s="642">
        <f t="shared" si="790"/>
        <v>0.11755869820103193</v>
      </c>
      <c r="AX118" s="642">
        <f t="shared" si="791"/>
        <v>0.11697090471002702</v>
      </c>
      <c r="AY118" s="642">
        <f t="shared" si="792"/>
        <v>0.11638605018647685</v>
      </c>
      <c r="AZ118" s="643">
        <f t="shared" si="793"/>
        <v>0.11580411993554429</v>
      </c>
      <c r="BA118" s="185"/>
      <c r="BB118" s="164" t="s">
        <v>2233</v>
      </c>
      <c r="BC118" s="641">
        <f>'4.05_Repex_Mains_Diversions'!AN67+'4.05_Repex_Mains_Diversions'!AN152</f>
        <v>0.30700000000000005</v>
      </c>
      <c r="BD118" s="642">
        <f>'4.05_Repex_Mains_Diversions'!AO67+'4.05_Repex_Mains_Diversions'!AO152</f>
        <v>5.2999999999999999E-2</v>
      </c>
      <c r="BE118" s="642">
        <f>'4.05_Repex_Mains_Diversions'!AP67+'4.05_Repex_Mains_Diversions'!AP152</f>
        <v>0.41900000000000004</v>
      </c>
      <c r="BF118" s="642">
        <f>'4.05_Repex_Mains_Diversions'!AQ67+'4.05_Repex_Mains_Diversions'!AQ152</f>
        <v>0</v>
      </c>
      <c r="BG118" s="642">
        <f>'4.05_Repex_Mains_Diversions'!AR67+'4.05_Repex_Mains_Diversions'!AR152</f>
        <v>0</v>
      </c>
      <c r="BH118" s="642">
        <f>'4.05_Repex_Mains_Diversions'!AS67+'4.05_Repex_Mains_Diversions'!AS152</f>
        <v>0</v>
      </c>
      <c r="BI118" s="642">
        <f>'4.05_Repex_Mains_Diversions'!AT67+'4.05_Repex_Mains_Diversions'!AT152</f>
        <v>0.20449911884201585</v>
      </c>
      <c r="BJ118" s="643">
        <f>'4.05_Repex_Mains_Diversions'!AU67+'4.05_Repex_Mains_Diversions'!AU152</f>
        <v>0.19849846055657452</v>
      </c>
      <c r="BK118" s="641">
        <f>'4.05_Repex_Mains_Diversions'!AV67+'4.05_Repex_Mains_Diversions'!AV152</f>
        <v>0.60120092151241156</v>
      </c>
      <c r="BL118" s="642">
        <f>'4.05_Repex_Mains_Diversions'!AW67+'4.05_Repex_Mains_Diversions'!AW152</f>
        <v>0.60120092151241156</v>
      </c>
      <c r="BM118" s="642">
        <f>'4.05_Repex_Mains_Diversions'!AX67+'4.05_Repex_Mains_Diversions'!AX152</f>
        <v>0.60120092151241156</v>
      </c>
      <c r="BN118" s="642">
        <f>'4.05_Repex_Mains_Diversions'!AY67+'4.05_Repex_Mains_Diversions'!AY152</f>
        <v>0.60120092151241156</v>
      </c>
      <c r="BO118" s="643">
        <f>'4.05_Repex_Mains_Diversions'!AZ67+'4.05_Repex_Mains_Diversions'!AZ152</f>
        <v>0.60120092151241156</v>
      </c>
      <c r="BP118" s="185"/>
      <c r="BQ118" s="164" t="s">
        <v>2415</v>
      </c>
      <c r="BR118" s="641">
        <f t="shared" ref="BR118:BR119" si="807">IF(BC118,AN118/BC118,0)</f>
        <v>0.2232548058565974</v>
      </c>
      <c r="BS118" s="642">
        <f t="shared" si="794"/>
        <v>9.6863118049419661E-2</v>
      </c>
      <c r="BT118" s="642">
        <f t="shared" si="795"/>
        <v>0.18054781749679924</v>
      </c>
      <c r="BU118" s="642">
        <f t="shared" si="796"/>
        <v>0</v>
      </c>
      <c r="BV118" s="642">
        <f t="shared" si="797"/>
        <v>0</v>
      </c>
      <c r="BW118" s="642">
        <f t="shared" si="798"/>
        <v>0</v>
      </c>
      <c r="BX118" s="642">
        <f t="shared" si="799"/>
        <v>0.1893013901729276</v>
      </c>
      <c r="BY118" s="643">
        <f t="shared" si="800"/>
        <v>0.17246748048705615</v>
      </c>
      <c r="BZ118" s="641">
        <f t="shared" si="801"/>
        <v>0.19652239575905855</v>
      </c>
      <c r="CA118" s="642">
        <f t="shared" si="802"/>
        <v>0.19553978378026318</v>
      </c>
      <c r="CB118" s="642">
        <f t="shared" si="803"/>
        <v>0.19456208486136228</v>
      </c>
      <c r="CC118" s="642">
        <f t="shared" si="804"/>
        <v>0.19358927443705543</v>
      </c>
      <c r="CD118" s="643">
        <f t="shared" si="805"/>
        <v>0.19262132806486984</v>
      </c>
    </row>
    <row r="119" spans="1:82" ht="14.25">
      <c r="B119" s="161"/>
      <c r="C119" s="185"/>
      <c r="D119" s="185" t="s">
        <v>2669</v>
      </c>
      <c r="E119" s="185"/>
      <c r="F119" s="162"/>
      <c r="G119" s="185"/>
      <c r="H119" s="185"/>
      <c r="I119" s="164" t="s">
        <v>498</v>
      </c>
      <c r="J119" s="641">
        <f>'4.06_Capitalised_Replacement'!J67</f>
        <v>0</v>
      </c>
      <c r="K119" s="642">
        <f>'4.06_Capitalised_Replacement'!K67</f>
        <v>0</v>
      </c>
      <c r="L119" s="642">
        <f>'4.06_Capitalised_Replacement'!L67</f>
        <v>0</v>
      </c>
      <c r="M119" s="642">
        <f>'4.06_Capitalised_Replacement'!M67</f>
        <v>0</v>
      </c>
      <c r="N119" s="642">
        <f>'4.06_Capitalised_Replacement'!N67</f>
        <v>0</v>
      </c>
      <c r="O119" s="642">
        <f>'4.06_Capitalised_Replacement'!O67</f>
        <v>0</v>
      </c>
      <c r="P119" s="642">
        <f>'4.06_Capitalised_Replacement'!P67</f>
        <v>0</v>
      </c>
      <c r="Q119" s="643">
        <f>'4.06_Capitalised_Replacement'!Q67</f>
        <v>0</v>
      </c>
      <c r="R119" s="641">
        <f>'4.06_Capitalised_Replacement'!R67</f>
        <v>0</v>
      </c>
      <c r="S119" s="642">
        <f>'4.06_Capitalised_Replacement'!S67</f>
        <v>0</v>
      </c>
      <c r="T119" s="642">
        <f>'4.06_Capitalised_Replacement'!T67</f>
        <v>0</v>
      </c>
      <c r="U119" s="642">
        <f>'4.06_Capitalised_Replacement'!U67</f>
        <v>0</v>
      </c>
      <c r="V119" s="643">
        <f>'4.06_Capitalised_Replacement'!V67</f>
        <v>0</v>
      </c>
      <c r="W119" s="185"/>
      <c r="X119" s="164" t="s">
        <v>498</v>
      </c>
      <c r="Y119" s="641">
        <f>'4.06_Capitalised_Replacement'!Y67</f>
        <v>0</v>
      </c>
      <c r="Z119" s="642">
        <f>'4.06_Capitalised_Replacement'!Z67</f>
        <v>0</v>
      </c>
      <c r="AA119" s="642">
        <f>'4.06_Capitalised_Replacement'!AA67</f>
        <v>0</v>
      </c>
      <c r="AB119" s="642">
        <f>'4.06_Capitalised_Replacement'!AB67</f>
        <v>0</v>
      </c>
      <c r="AC119" s="642">
        <f>'4.06_Capitalised_Replacement'!AC67</f>
        <v>0</v>
      </c>
      <c r="AD119" s="642">
        <f>'4.06_Capitalised_Replacement'!AD67</f>
        <v>0</v>
      </c>
      <c r="AE119" s="642">
        <f>'4.06_Capitalised_Replacement'!AE67</f>
        <v>0</v>
      </c>
      <c r="AF119" s="643">
        <f>'4.06_Capitalised_Replacement'!AF67</f>
        <v>0</v>
      </c>
      <c r="AG119" s="641">
        <f>'4.06_Capitalised_Replacement'!AG67</f>
        <v>0</v>
      </c>
      <c r="AH119" s="642">
        <f>'4.06_Capitalised_Replacement'!AH67</f>
        <v>0</v>
      </c>
      <c r="AI119" s="642">
        <f>'4.06_Capitalised_Replacement'!AI67</f>
        <v>0</v>
      </c>
      <c r="AJ119" s="642">
        <f>'4.06_Capitalised_Replacement'!AJ67</f>
        <v>0</v>
      </c>
      <c r="AK119" s="643">
        <f>'4.06_Capitalised_Replacement'!AK67</f>
        <v>0</v>
      </c>
      <c r="AL119" s="185"/>
      <c r="AM119" s="164" t="s">
        <v>498</v>
      </c>
      <c r="AN119" s="641">
        <f t="shared" si="806"/>
        <v>0</v>
      </c>
      <c r="AO119" s="642">
        <f t="shared" si="782"/>
        <v>0</v>
      </c>
      <c r="AP119" s="642">
        <f t="shared" si="783"/>
        <v>0</v>
      </c>
      <c r="AQ119" s="642">
        <f t="shared" si="784"/>
        <v>0</v>
      </c>
      <c r="AR119" s="642">
        <f t="shared" si="785"/>
        <v>0</v>
      </c>
      <c r="AS119" s="642">
        <f t="shared" si="786"/>
        <v>0</v>
      </c>
      <c r="AT119" s="642">
        <f t="shared" si="787"/>
        <v>0</v>
      </c>
      <c r="AU119" s="643">
        <f t="shared" si="788"/>
        <v>0</v>
      </c>
      <c r="AV119" s="641">
        <f t="shared" si="789"/>
        <v>0</v>
      </c>
      <c r="AW119" s="642">
        <f t="shared" si="790"/>
        <v>0</v>
      </c>
      <c r="AX119" s="642">
        <f t="shared" si="791"/>
        <v>0</v>
      </c>
      <c r="AY119" s="642">
        <f t="shared" si="792"/>
        <v>0</v>
      </c>
      <c r="AZ119" s="643">
        <f t="shared" si="793"/>
        <v>0</v>
      </c>
      <c r="BA119" s="185"/>
      <c r="BB119" s="164" t="s">
        <v>2233</v>
      </c>
      <c r="BC119" s="641">
        <f>'4.06_Capitalised_Replacement'!AN67</f>
        <v>0</v>
      </c>
      <c r="BD119" s="642">
        <f>'4.06_Capitalised_Replacement'!AO67</f>
        <v>0</v>
      </c>
      <c r="BE119" s="642">
        <f>'4.06_Capitalised_Replacement'!AP67</f>
        <v>0</v>
      </c>
      <c r="BF119" s="642">
        <f>'4.06_Capitalised_Replacement'!AQ67</f>
        <v>0</v>
      </c>
      <c r="BG119" s="642">
        <f>'4.06_Capitalised_Replacement'!AR67</f>
        <v>0</v>
      </c>
      <c r="BH119" s="642">
        <f>'4.06_Capitalised_Replacement'!AS67</f>
        <v>0</v>
      </c>
      <c r="BI119" s="642">
        <f>'4.06_Capitalised_Replacement'!AT67</f>
        <v>0</v>
      </c>
      <c r="BJ119" s="643">
        <f>'4.06_Capitalised_Replacement'!AU67</f>
        <v>0</v>
      </c>
      <c r="BK119" s="641">
        <f>'4.06_Capitalised_Replacement'!AV67</f>
        <v>0</v>
      </c>
      <c r="BL119" s="642">
        <f>'4.06_Capitalised_Replacement'!AW67</f>
        <v>0</v>
      </c>
      <c r="BM119" s="642">
        <f>'4.06_Capitalised_Replacement'!AX67</f>
        <v>0</v>
      </c>
      <c r="BN119" s="642">
        <f>'4.06_Capitalised_Replacement'!AY67</f>
        <v>0</v>
      </c>
      <c r="BO119" s="643">
        <f>'4.06_Capitalised_Replacement'!AZ67</f>
        <v>0</v>
      </c>
      <c r="BP119" s="185"/>
      <c r="BQ119" s="164" t="s">
        <v>2415</v>
      </c>
      <c r="BR119" s="641">
        <f t="shared" si="807"/>
        <v>0</v>
      </c>
      <c r="BS119" s="642">
        <f t="shared" si="794"/>
        <v>0</v>
      </c>
      <c r="BT119" s="642">
        <f t="shared" si="795"/>
        <v>0</v>
      </c>
      <c r="BU119" s="642">
        <f t="shared" si="796"/>
        <v>0</v>
      </c>
      <c r="BV119" s="642">
        <f t="shared" si="797"/>
        <v>0</v>
      </c>
      <c r="BW119" s="642">
        <f t="shared" si="798"/>
        <v>0</v>
      </c>
      <c r="BX119" s="642">
        <f t="shared" si="799"/>
        <v>0</v>
      </c>
      <c r="BY119" s="643">
        <f t="shared" si="800"/>
        <v>0</v>
      </c>
      <c r="BZ119" s="641">
        <f t="shared" si="801"/>
        <v>0</v>
      </c>
      <c r="CA119" s="642">
        <f t="shared" si="802"/>
        <v>0</v>
      </c>
      <c r="CB119" s="642">
        <f t="shared" si="803"/>
        <v>0</v>
      </c>
      <c r="CC119" s="642">
        <f t="shared" si="804"/>
        <v>0</v>
      </c>
      <c r="CD119" s="643">
        <f t="shared" si="805"/>
        <v>0</v>
      </c>
    </row>
    <row r="120" spans="1:82" ht="14.25">
      <c r="B120" s="161"/>
      <c r="C120" s="185" t="s">
        <v>1710</v>
      </c>
      <c r="D120" s="185"/>
      <c r="E120" s="185"/>
      <c r="F120" s="162"/>
      <c r="G120" s="185"/>
      <c r="H120" s="185"/>
      <c r="I120" s="164" t="s">
        <v>498</v>
      </c>
      <c r="J120" s="697">
        <f t="shared" ref="J120" si="808">SUM(J117:J119)</f>
        <v>4.3858461061925595</v>
      </c>
      <c r="K120" s="698">
        <f t="shared" ref="K120:V120" si="809">SUM(K117:K119)</f>
        <v>2.4572764796198445</v>
      </c>
      <c r="L120" s="698">
        <f t="shared" si="809"/>
        <v>2.8240325203104959</v>
      </c>
      <c r="M120" s="698">
        <f t="shared" si="809"/>
        <v>1.4844448192909465</v>
      </c>
      <c r="N120" s="698">
        <f t="shared" si="809"/>
        <v>1.8356164502598964</v>
      </c>
      <c r="O120" s="698">
        <f t="shared" si="809"/>
        <v>4.6082664548605869</v>
      </c>
      <c r="P120" s="698">
        <f t="shared" si="809"/>
        <v>2.8209678647229701</v>
      </c>
      <c r="Q120" s="699">
        <f t="shared" si="809"/>
        <v>2.406930582500975</v>
      </c>
      <c r="R120" s="697">
        <f t="shared" si="809"/>
        <v>7.1840643134824695</v>
      </c>
      <c r="S120" s="698">
        <f t="shared" si="809"/>
        <v>7.1481439919150569</v>
      </c>
      <c r="T120" s="698">
        <f t="shared" si="809"/>
        <v>7.1124032719554817</v>
      </c>
      <c r="U120" s="698">
        <f t="shared" si="809"/>
        <v>7.0768412555957045</v>
      </c>
      <c r="V120" s="699">
        <f t="shared" si="809"/>
        <v>7.0414570493177262</v>
      </c>
      <c r="W120" s="185"/>
      <c r="X120" s="164" t="s">
        <v>498</v>
      </c>
      <c r="Y120" s="697">
        <f t="shared" ref="Y120:AK120" si="810">SUM(Y117:Y119)</f>
        <v>-0.43986345569506069</v>
      </c>
      <c r="Z120" s="698">
        <f t="shared" si="810"/>
        <v>-1.9971925095105827E-2</v>
      </c>
      <c r="AA120" s="698">
        <f t="shared" si="810"/>
        <v>-0.30881190017736804</v>
      </c>
      <c r="AB120" s="698">
        <f t="shared" si="810"/>
        <v>0</v>
      </c>
      <c r="AC120" s="698">
        <f t="shared" si="810"/>
        <v>0</v>
      </c>
      <c r="AD120" s="698">
        <f t="shared" si="810"/>
        <v>0</v>
      </c>
      <c r="AE120" s="698">
        <f t="shared" si="810"/>
        <v>-0.2372815841344281</v>
      </c>
      <c r="AF120" s="699">
        <f t="shared" si="810"/>
        <v>-0.20908969871722355</v>
      </c>
      <c r="AG120" s="697">
        <f t="shared" si="810"/>
        <v>-0.62028458849790769</v>
      </c>
      <c r="AH120" s="698">
        <f t="shared" si="810"/>
        <v>-0.61718316555541808</v>
      </c>
      <c r="AI120" s="698">
        <f t="shared" si="810"/>
        <v>-0.6140972497276409</v>
      </c>
      <c r="AJ120" s="698">
        <f t="shared" si="810"/>
        <v>-0.61102676347900275</v>
      </c>
      <c r="AK120" s="699">
        <f t="shared" si="810"/>
        <v>-0.60797162966160789</v>
      </c>
      <c r="AL120" s="185"/>
      <c r="AM120" s="164" t="s">
        <v>498</v>
      </c>
      <c r="AN120" s="697">
        <f t="shared" ref="AN120:AZ120" si="811">SUM(AN117:AN119)</f>
        <v>3.9459826504974984</v>
      </c>
      <c r="AO120" s="698">
        <f t="shared" si="811"/>
        <v>2.4373045545247387</v>
      </c>
      <c r="AP120" s="698">
        <f t="shared" si="811"/>
        <v>2.5152206201331277</v>
      </c>
      <c r="AQ120" s="698">
        <f t="shared" si="811"/>
        <v>1.4844448192909465</v>
      </c>
      <c r="AR120" s="698">
        <f t="shared" si="811"/>
        <v>1.8356164502598964</v>
      </c>
      <c r="AS120" s="698">
        <f t="shared" si="811"/>
        <v>4.6082664548605869</v>
      </c>
      <c r="AT120" s="698">
        <f t="shared" si="811"/>
        <v>2.5836862805885423</v>
      </c>
      <c r="AU120" s="699">
        <f t="shared" si="811"/>
        <v>2.1978408837837513</v>
      </c>
      <c r="AV120" s="697">
        <f t="shared" si="811"/>
        <v>6.5637797249845615</v>
      </c>
      <c r="AW120" s="698">
        <f t="shared" si="811"/>
        <v>6.5309608263596388</v>
      </c>
      <c r="AX120" s="698">
        <f t="shared" si="811"/>
        <v>6.4983060222278413</v>
      </c>
      <c r="AY120" s="698">
        <f t="shared" si="811"/>
        <v>6.465814492116702</v>
      </c>
      <c r="AZ120" s="699">
        <f t="shared" si="811"/>
        <v>6.433485419656118</v>
      </c>
      <c r="BA120" s="185"/>
      <c r="BB120" s="164" t="s">
        <v>2233</v>
      </c>
      <c r="BC120" s="697">
        <f t="shared" ref="BC120:BO120" si="812">SUM(BC117:BC119)</f>
        <v>7.394000000000001</v>
      </c>
      <c r="BD120" s="698">
        <f t="shared" si="812"/>
        <v>5.3594999999999997</v>
      </c>
      <c r="BE120" s="698">
        <f t="shared" si="812"/>
        <v>4.8464999999999989</v>
      </c>
      <c r="BF120" s="698">
        <f t="shared" si="812"/>
        <v>1.4939999999999998</v>
      </c>
      <c r="BG120" s="698">
        <f t="shared" si="812"/>
        <v>2.4299999999999997</v>
      </c>
      <c r="BH120" s="698">
        <f t="shared" si="812"/>
        <v>5.7700000000000005</v>
      </c>
      <c r="BI120" s="698">
        <f t="shared" si="812"/>
        <v>6.8000654794830711</v>
      </c>
      <c r="BJ120" s="699">
        <f t="shared" si="812"/>
        <v>5.0085236086747313</v>
      </c>
      <c r="BK120" s="697">
        <f t="shared" si="812"/>
        <v>10.597200921512412</v>
      </c>
      <c r="BL120" s="698">
        <f t="shared" si="812"/>
        <v>10.597200921512412</v>
      </c>
      <c r="BM120" s="698">
        <f t="shared" si="812"/>
        <v>10.597200921512412</v>
      </c>
      <c r="BN120" s="698">
        <f t="shared" si="812"/>
        <v>10.597200921512412</v>
      </c>
      <c r="BO120" s="699">
        <f t="shared" si="812"/>
        <v>10.597200921512412</v>
      </c>
      <c r="BP120" s="185"/>
      <c r="BQ120" s="117"/>
      <c r="BR120" s="713"/>
      <c r="BS120" s="714"/>
      <c r="BT120" s="714"/>
      <c r="BU120" s="714"/>
      <c r="BV120" s="714"/>
      <c r="BW120" s="714"/>
      <c r="BX120" s="714"/>
      <c r="BY120" s="715"/>
      <c r="BZ120" s="716"/>
      <c r="CA120" s="714"/>
      <c r="CB120" s="714"/>
      <c r="CC120" s="714"/>
      <c r="CD120" s="715"/>
    </row>
    <row r="121" spans="1:82" ht="14.25">
      <c r="B121" s="181"/>
      <c r="C121" s="185"/>
      <c r="D121" s="185"/>
      <c r="E121" s="182"/>
      <c r="F121" s="185"/>
      <c r="G121" s="184"/>
      <c r="H121" s="184"/>
      <c r="I121" s="117"/>
      <c r="J121" s="713"/>
      <c r="K121" s="714"/>
      <c r="L121" s="714"/>
      <c r="M121" s="714"/>
      <c r="N121" s="714"/>
      <c r="O121" s="714"/>
      <c r="P121" s="714"/>
      <c r="Q121" s="715"/>
      <c r="R121" s="716"/>
      <c r="S121" s="714"/>
      <c r="T121" s="714"/>
      <c r="U121" s="714"/>
      <c r="V121" s="715"/>
      <c r="W121" s="184"/>
      <c r="X121" s="117"/>
      <c r="Y121" s="713"/>
      <c r="Z121" s="714"/>
      <c r="AA121" s="714"/>
      <c r="AB121" s="714"/>
      <c r="AC121" s="714"/>
      <c r="AD121" s="714"/>
      <c r="AE121" s="714"/>
      <c r="AF121" s="715"/>
      <c r="AG121" s="716"/>
      <c r="AH121" s="714"/>
      <c r="AI121" s="714"/>
      <c r="AJ121" s="714"/>
      <c r="AK121" s="715"/>
      <c r="AL121" s="184"/>
      <c r="AM121" s="117"/>
      <c r="AN121" s="713"/>
      <c r="AO121" s="714"/>
      <c r="AP121" s="714"/>
      <c r="AQ121" s="714"/>
      <c r="AR121" s="714"/>
      <c r="AS121" s="714"/>
      <c r="AT121" s="714"/>
      <c r="AU121" s="715"/>
      <c r="AV121" s="716"/>
      <c r="AW121" s="714"/>
      <c r="AX121" s="714"/>
      <c r="AY121" s="714"/>
      <c r="AZ121" s="715"/>
      <c r="BA121" s="184"/>
      <c r="BB121" s="117"/>
      <c r="BC121" s="713"/>
      <c r="BD121" s="714"/>
      <c r="BE121" s="714"/>
      <c r="BF121" s="714"/>
      <c r="BG121" s="714"/>
      <c r="BH121" s="714"/>
      <c r="BI121" s="714"/>
      <c r="BJ121" s="715"/>
      <c r="BK121" s="716"/>
      <c r="BL121" s="714"/>
      <c r="BM121" s="714"/>
      <c r="BN121" s="714"/>
      <c r="BO121" s="715"/>
      <c r="BP121" s="184"/>
      <c r="BQ121" s="117"/>
      <c r="BR121" s="713"/>
      <c r="BS121" s="714"/>
      <c r="BT121" s="714"/>
      <c r="BU121" s="714"/>
      <c r="BV121" s="714"/>
      <c r="BW121" s="714"/>
      <c r="BX121" s="714"/>
      <c r="BY121" s="715"/>
      <c r="BZ121" s="716"/>
      <c r="CA121" s="714"/>
      <c r="CB121" s="714"/>
      <c r="CC121" s="714"/>
      <c r="CD121" s="715"/>
    </row>
    <row r="122" spans="1:82" ht="15.75">
      <c r="B122" s="161"/>
      <c r="C122" s="186" t="s">
        <v>2658</v>
      </c>
      <c r="D122" s="617"/>
      <c r="E122" s="180"/>
      <c r="F122" s="162"/>
      <c r="G122" s="163"/>
      <c r="H122" s="163"/>
      <c r="I122" s="117"/>
      <c r="J122" s="713"/>
      <c r="K122" s="714"/>
      <c r="L122" s="714"/>
      <c r="M122" s="714"/>
      <c r="N122" s="714"/>
      <c r="O122" s="714"/>
      <c r="P122" s="714"/>
      <c r="Q122" s="715"/>
      <c r="R122" s="716"/>
      <c r="S122" s="714"/>
      <c r="T122" s="714"/>
      <c r="U122" s="714"/>
      <c r="V122" s="715"/>
      <c r="W122" s="163"/>
      <c r="X122" s="117"/>
      <c r="Y122" s="713"/>
      <c r="Z122" s="714"/>
      <c r="AA122" s="714"/>
      <c r="AB122" s="714"/>
      <c r="AC122" s="714"/>
      <c r="AD122" s="714"/>
      <c r="AE122" s="714"/>
      <c r="AF122" s="715"/>
      <c r="AG122" s="716"/>
      <c r="AH122" s="714"/>
      <c r="AI122" s="714"/>
      <c r="AJ122" s="714"/>
      <c r="AK122" s="715"/>
      <c r="AL122" s="163"/>
      <c r="AM122" s="117"/>
      <c r="AN122" s="713"/>
      <c r="AO122" s="714"/>
      <c r="AP122" s="714"/>
      <c r="AQ122" s="714"/>
      <c r="AR122" s="714"/>
      <c r="AS122" s="714"/>
      <c r="AT122" s="714"/>
      <c r="AU122" s="715"/>
      <c r="AV122" s="716"/>
      <c r="AW122" s="714"/>
      <c r="AX122" s="714"/>
      <c r="AY122" s="714"/>
      <c r="AZ122" s="715"/>
      <c r="BA122" s="163"/>
      <c r="BB122" s="117"/>
      <c r="BC122" s="713"/>
      <c r="BD122" s="714"/>
      <c r="BE122" s="714"/>
      <c r="BF122" s="714"/>
      <c r="BG122" s="714"/>
      <c r="BH122" s="714"/>
      <c r="BI122" s="714"/>
      <c r="BJ122" s="715"/>
      <c r="BK122" s="716"/>
      <c r="BL122" s="714"/>
      <c r="BM122" s="714"/>
      <c r="BN122" s="714"/>
      <c r="BO122" s="715"/>
      <c r="BP122" s="163"/>
      <c r="BQ122" s="117"/>
      <c r="BR122" s="713"/>
      <c r="BS122" s="714"/>
      <c r="BT122" s="714"/>
      <c r="BU122" s="714"/>
      <c r="BV122" s="714"/>
      <c r="BW122" s="714"/>
      <c r="BX122" s="714"/>
      <c r="BY122" s="715"/>
      <c r="BZ122" s="716"/>
      <c r="CA122" s="714"/>
      <c r="CB122" s="714"/>
      <c r="CC122" s="714"/>
      <c r="CD122" s="715"/>
    </row>
    <row r="123" spans="1:82" ht="14.25">
      <c r="B123" s="161"/>
      <c r="C123" s="660"/>
      <c r="D123" s="162" t="s">
        <v>2659</v>
      </c>
      <c r="E123" s="660"/>
      <c r="F123" s="162"/>
      <c r="G123" s="185"/>
      <c r="H123" s="163"/>
      <c r="I123" s="164" t="s">
        <v>498</v>
      </c>
      <c r="J123" s="641">
        <f>SUM('4.07_Repex_Services'!J66,'4.07_Repex_Services'!J151,'4.07_Repex_Services'!J220,'4.07_Repex_Services'!J289)</f>
        <v>0.1177738402532999</v>
      </c>
      <c r="K123" s="642">
        <f>SUM('4.07_Repex_Services'!K66,'4.07_Repex_Services'!K151,'4.07_Repex_Services'!K220,'4.07_Repex_Services'!K289)</f>
        <v>0.12353086917051524</v>
      </c>
      <c r="L123" s="642">
        <f>SUM('4.07_Repex_Services'!L66,'4.07_Repex_Services'!L151,'4.07_Repex_Services'!L220,'4.07_Repex_Services'!L289)</f>
        <v>3.4606163242273419E-2</v>
      </c>
      <c r="M123" s="642">
        <f>SUM('4.07_Repex_Services'!M66,'4.07_Repex_Services'!M151,'4.07_Repex_Services'!M220,'4.07_Repex_Services'!M289)</f>
        <v>5.5554790792802539E-2</v>
      </c>
      <c r="N123" s="642">
        <f>SUM('4.07_Repex_Services'!N66,'4.07_Repex_Services'!N151,'4.07_Repex_Services'!N220,'4.07_Repex_Services'!N289)</f>
        <v>1.4102940036319638E-2</v>
      </c>
      <c r="O123" s="642">
        <f>SUM('4.07_Repex_Services'!O66,'4.07_Repex_Services'!O151,'4.07_Repex_Services'!O220,'4.07_Repex_Services'!O289)</f>
        <v>4.2738068440024181E-2</v>
      </c>
      <c r="P123" s="642">
        <f>SUM('4.07_Repex_Services'!P66,'4.07_Repex_Services'!P151,'4.07_Repex_Services'!P220,'4.07_Repex_Services'!P289)</f>
        <v>6.4942128419542652E-2</v>
      </c>
      <c r="Q123" s="643">
        <f>SUM('4.07_Repex_Services'!Q66,'4.07_Repex_Services'!Q151,'4.07_Repex_Services'!Q220,'4.07_Repex_Services'!Q289)</f>
        <v>5.1920748923555353E-2</v>
      </c>
      <c r="R123" s="641">
        <f>SUM('4.07_Repex_Services'!R66,'4.07_Repex_Services'!R151,'4.07_Repex_Services'!R220,'4.07_Repex_Services'!R289)</f>
        <v>5.0778163301463855E-2</v>
      </c>
      <c r="S123" s="642">
        <f>SUM('4.07_Repex_Services'!S66,'4.07_Repex_Services'!S151,'4.07_Repex_Services'!S220,'4.07_Repex_Services'!S289)</f>
        <v>5.0524272484956535E-2</v>
      </c>
      <c r="T123" s="642">
        <f>SUM('4.07_Repex_Services'!T66,'4.07_Repex_Services'!T151,'4.07_Repex_Services'!T220,'4.07_Repex_Services'!T289)</f>
        <v>5.0271651122531749E-2</v>
      </c>
      <c r="U123" s="642">
        <f>SUM('4.07_Repex_Services'!U66,'4.07_Repex_Services'!U151,'4.07_Repex_Services'!U220,'4.07_Repex_Services'!U289)</f>
        <v>5.0020292866919093E-2</v>
      </c>
      <c r="V123" s="643">
        <f>SUM('4.07_Repex_Services'!V66,'4.07_Repex_Services'!V151,'4.07_Repex_Services'!V220,'4.07_Repex_Services'!V289)</f>
        <v>4.9770191402584499E-2</v>
      </c>
      <c r="W123" s="163"/>
      <c r="X123" s="164" t="s">
        <v>498</v>
      </c>
      <c r="Y123" s="641">
        <f>SUM('4.07_Repex_Services'!Y66,'4.07_Repex_Services'!Y220,'4.07_Repex_Services'!Y289)</f>
        <v>0</v>
      </c>
      <c r="Z123" s="642">
        <f>SUM('4.07_Repex_Services'!Z66,'4.07_Repex_Services'!Z220,'4.07_Repex_Services'!Z289)</f>
        <v>0</v>
      </c>
      <c r="AA123" s="642">
        <f>SUM('4.07_Repex_Services'!AA66,'4.07_Repex_Services'!AA220,'4.07_Repex_Services'!AA289)</f>
        <v>0</v>
      </c>
      <c r="AB123" s="642">
        <f>SUM('4.07_Repex_Services'!AB66,'4.07_Repex_Services'!AB220,'4.07_Repex_Services'!AB289)</f>
        <v>0</v>
      </c>
      <c r="AC123" s="642">
        <f>SUM('4.07_Repex_Services'!AC66,'4.07_Repex_Services'!AC220,'4.07_Repex_Services'!AC289)</f>
        <v>0</v>
      </c>
      <c r="AD123" s="642">
        <f>SUM('4.07_Repex_Services'!AD66,'4.07_Repex_Services'!AD220,'4.07_Repex_Services'!AD289)</f>
        <v>0</v>
      </c>
      <c r="AE123" s="642">
        <f>SUM('4.07_Repex_Services'!AE66,'4.07_Repex_Services'!AE220,'4.07_Repex_Services'!AE289)</f>
        <v>0</v>
      </c>
      <c r="AF123" s="643">
        <f>SUM('4.07_Repex_Services'!AF66,'4.07_Repex_Services'!AF220,'4.07_Repex_Services'!AF289)</f>
        <v>0</v>
      </c>
      <c r="AG123" s="641">
        <f>SUM('4.07_Repex_Services'!AG66,'4.07_Repex_Services'!AG220,'4.07_Repex_Services'!AG289)</f>
        <v>0</v>
      </c>
      <c r="AH123" s="642">
        <f>SUM('4.07_Repex_Services'!AH66,'4.07_Repex_Services'!AH220,'4.07_Repex_Services'!AH289)</f>
        <v>0</v>
      </c>
      <c r="AI123" s="642">
        <f>SUM('4.07_Repex_Services'!AI66,'4.07_Repex_Services'!AI220,'4.07_Repex_Services'!AI289)</f>
        <v>0</v>
      </c>
      <c r="AJ123" s="642">
        <f>SUM('4.07_Repex_Services'!AJ66,'4.07_Repex_Services'!AJ220,'4.07_Repex_Services'!AJ289)</f>
        <v>0</v>
      </c>
      <c r="AK123" s="643">
        <f>SUM('4.07_Repex_Services'!AK66,'4.07_Repex_Services'!AK220,'4.07_Repex_Services'!AK289)</f>
        <v>0</v>
      </c>
      <c r="AL123" s="163"/>
      <c r="AM123" s="164" t="s">
        <v>498</v>
      </c>
      <c r="AN123" s="641">
        <f>J123+Y123</f>
        <v>0.1177738402532999</v>
      </c>
      <c r="AO123" s="642">
        <f t="shared" ref="AO123:AO124" si="813">K123+Z123</f>
        <v>0.12353086917051524</v>
      </c>
      <c r="AP123" s="642">
        <f t="shared" ref="AP123:AP124" si="814">L123+AA123</f>
        <v>3.4606163242273419E-2</v>
      </c>
      <c r="AQ123" s="642">
        <f t="shared" ref="AQ123:AQ124" si="815">M123+AB123</f>
        <v>5.5554790792802539E-2</v>
      </c>
      <c r="AR123" s="642">
        <f t="shared" ref="AR123:AR124" si="816">N123+AC123</f>
        <v>1.4102940036319638E-2</v>
      </c>
      <c r="AS123" s="642">
        <f t="shared" ref="AS123:AS124" si="817">O123+AD123</f>
        <v>4.2738068440024181E-2</v>
      </c>
      <c r="AT123" s="642">
        <f t="shared" ref="AT123:AT124" si="818">P123+AE123</f>
        <v>6.4942128419542652E-2</v>
      </c>
      <c r="AU123" s="643">
        <f t="shared" ref="AU123:AU124" si="819">Q123+AF123</f>
        <v>5.1920748923555353E-2</v>
      </c>
      <c r="AV123" s="641">
        <f t="shared" ref="AV123:AV124" si="820">R123+AG123</f>
        <v>5.0778163301463855E-2</v>
      </c>
      <c r="AW123" s="642">
        <f t="shared" ref="AW123:AW124" si="821">S123+AH123</f>
        <v>5.0524272484956535E-2</v>
      </c>
      <c r="AX123" s="642">
        <f t="shared" ref="AX123:AX124" si="822">T123+AI123</f>
        <v>5.0271651122531749E-2</v>
      </c>
      <c r="AY123" s="642">
        <f t="shared" ref="AY123:AY124" si="823">U123+AJ123</f>
        <v>5.0020292866919093E-2</v>
      </c>
      <c r="AZ123" s="643">
        <f t="shared" ref="AZ123:AZ124" si="824">V123+AK123</f>
        <v>4.9770191402584499E-2</v>
      </c>
      <c r="BA123" s="163"/>
      <c r="BB123" s="164" t="s">
        <v>1876</v>
      </c>
      <c r="BC123" s="641">
        <f>SUM('4.07_Repex_Services'!AN66,'4.07_Repex_Services'!AN151,'4.07_Repex_Services'!AN220,'4.07_Repex_Services'!AN289)</f>
        <v>0</v>
      </c>
      <c r="BD123" s="642">
        <f>SUM('4.07_Repex_Services'!AO66,'4.07_Repex_Services'!AO151,'4.07_Repex_Services'!AO220,'4.07_Repex_Services'!AO289)</f>
        <v>0</v>
      </c>
      <c r="BE123" s="642">
        <f>SUM('4.07_Repex_Services'!AP66,'4.07_Repex_Services'!AP151,'4.07_Repex_Services'!AP220,'4.07_Repex_Services'!AP289)</f>
        <v>0</v>
      </c>
      <c r="BF123" s="642">
        <f>SUM('4.07_Repex_Services'!AQ66,'4.07_Repex_Services'!AQ151,'4.07_Repex_Services'!AQ220,'4.07_Repex_Services'!AQ289)</f>
        <v>0</v>
      </c>
      <c r="BG123" s="642">
        <f>SUM('4.07_Repex_Services'!AR66,'4.07_Repex_Services'!AR151,'4.07_Repex_Services'!AR220,'4.07_Repex_Services'!AR289)</f>
        <v>0</v>
      </c>
      <c r="BH123" s="642">
        <f>SUM('4.07_Repex_Services'!AS66,'4.07_Repex_Services'!AS151,'4.07_Repex_Services'!AS220,'4.07_Repex_Services'!AS289)</f>
        <v>0</v>
      </c>
      <c r="BI123" s="642">
        <f>SUM('4.07_Repex_Services'!AT66,'4.07_Repex_Services'!AT151,'4.07_Repex_Services'!AT220,'4.07_Repex_Services'!AT289)</f>
        <v>0</v>
      </c>
      <c r="BJ123" s="643">
        <f>SUM('4.07_Repex_Services'!AU66,'4.07_Repex_Services'!AU151,'4.07_Repex_Services'!AU220,'4.07_Repex_Services'!AU289)</f>
        <v>0</v>
      </c>
      <c r="BK123" s="2540">
        <f>SUM('4.07_Repex_Services'!AV66,'4.07_Repex_Services'!AV151,'4.07_Repex_Services'!AV220,'4.07_Repex_Services'!AV289)</f>
        <v>167.46559156802724</v>
      </c>
      <c r="BL123" s="643">
        <f>SUM('4.07_Repex_Services'!AW66,'4.07_Repex_Services'!AW151,'4.07_Repex_Services'!AW220,'4.07_Repex_Services'!AW289)</f>
        <v>167.46559156802724</v>
      </c>
      <c r="BM123" s="643">
        <f>SUM('4.07_Repex_Services'!AX66,'4.07_Repex_Services'!AX151,'4.07_Repex_Services'!AX220,'4.07_Repex_Services'!AX289)</f>
        <v>167.46559156802724</v>
      </c>
      <c r="BN123" s="643">
        <f>SUM('4.07_Repex_Services'!AY66,'4.07_Repex_Services'!AY151,'4.07_Repex_Services'!AY220,'4.07_Repex_Services'!AY289)</f>
        <v>167.46559156802724</v>
      </c>
      <c r="BO123" s="643">
        <f>SUM('4.07_Repex_Services'!AZ66,'4.07_Repex_Services'!AZ151,'4.07_Repex_Services'!AZ220,'4.07_Repex_Services'!AZ289)</f>
        <v>167.46559156802724</v>
      </c>
      <c r="BP123" s="163"/>
      <c r="BQ123" s="164" t="s">
        <v>2648</v>
      </c>
      <c r="BR123" s="641">
        <f>IF(BC123,AN123/BC123,0)</f>
        <v>0</v>
      </c>
      <c r="BS123" s="642">
        <f t="shared" ref="BS123:BS124" si="825">IF(BD123,AO123/BD123,0)</f>
        <v>0</v>
      </c>
      <c r="BT123" s="642">
        <f t="shared" ref="BT123:BT124" si="826">IF(BE123,AP123/BE123,0)</f>
        <v>0</v>
      </c>
      <c r="BU123" s="642">
        <f t="shared" ref="BU123:BU124" si="827">IF(BF123,AQ123/BF123,0)</f>
        <v>0</v>
      </c>
      <c r="BV123" s="642">
        <f t="shared" ref="BV123:BV124" si="828">IF(BG123,AR123/BG123,0)</f>
        <v>0</v>
      </c>
      <c r="BW123" s="642">
        <f t="shared" ref="BW123:BW124" si="829">IF(BH123,AS123/BH123,0)</f>
        <v>0</v>
      </c>
      <c r="BX123" s="642">
        <f t="shared" ref="BX123:BX124" si="830">IF(BI123,AT123/BI123,0)</f>
        <v>0</v>
      </c>
      <c r="BY123" s="643">
        <f t="shared" ref="BY123:BY124" si="831">IF(BJ123,AU123/BJ123,0)</f>
        <v>0</v>
      </c>
      <c r="BZ123" s="641">
        <f t="shared" ref="BZ123:BZ124" si="832">IF(BK123,AV123/BK123,0)</f>
        <v>3.0321550132187568E-4</v>
      </c>
      <c r="CA123" s="642">
        <f t="shared" ref="CA123:CA124" si="833">IF(BL123,AW123/BL123,0)</f>
        <v>3.016994238152663E-4</v>
      </c>
      <c r="CB123" s="642">
        <f t="shared" ref="CB123:CB124" si="834">IF(BM123,AX123/BM123,0)</f>
        <v>3.0019092669618993E-4</v>
      </c>
      <c r="CC123" s="642">
        <f t="shared" ref="CC123:CC124" si="835">IF(BN123,AY123/BN123,0)</f>
        <v>2.9868997206270901E-4</v>
      </c>
      <c r="CD123" s="643">
        <f t="shared" ref="CD123:CD124" si="836">IF(BO123,AZ123/BO123,0)</f>
        <v>2.9719652220239548E-4</v>
      </c>
    </row>
    <row r="124" spans="1:82" ht="14.25">
      <c r="B124" s="161"/>
      <c r="C124" s="660"/>
      <c r="D124" s="162" t="s">
        <v>2660</v>
      </c>
      <c r="E124" s="660"/>
      <c r="F124" s="162"/>
      <c r="G124" s="185"/>
      <c r="H124" s="163"/>
      <c r="I124" s="164" t="s">
        <v>498</v>
      </c>
      <c r="J124" s="641">
        <f>SUM('4.07_Repex_Services'!J67,'4.07_Repex_Services'!J152,'4.07_Repex_Services'!J221,'4.07_Repex_Services'!J290)</f>
        <v>5.9869516596682937E-2</v>
      </c>
      <c r="K124" s="642">
        <f>SUM('4.07_Repex_Services'!K67,'4.07_Repex_Services'!K152,'4.07_Repex_Services'!K221,'4.07_Repex_Services'!K290)</f>
        <v>6.130754075463167E-2</v>
      </c>
      <c r="L124" s="642">
        <f>SUM('4.07_Repex_Services'!L67,'4.07_Repex_Services'!L152,'4.07_Repex_Services'!L221,'4.07_Repex_Services'!L290)</f>
        <v>2.2273323927020607E-2</v>
      </c>
      <c r="M124" s="642">
        <f>SUM('4.07_Repex_Services'!M67,'4.07_Repex_Services'!M152,'4.07_Repex_Services'!M221,'4.07_Repex_Services'!M290)</f>
        <v>6.5901693210520862E-2</v>
      </c>
      <c r="N124" s="642">
        <f>SUM('4.07_Repex_Services'!N67,'4.07_Repex_Services'!N152,'4.07_Repex_Services'!N221,'4.07_Repex_Services'!N290)</f>
        <v>1.4321791157395189E-2</v>
      </c>
      <c r="O124" s="642">
        <f>SUM('4.07_Repex_Services'!O67,'4.07_Repex_Services'!O152,'4.07_Repex_Services'!O221,'4.07_Repex_Services'!O290)</f>
        <v>1.9079563118815569E-2</v>
      </c>
      <c r="P124" s="642">
        <f>SUM('4.07_Repex_Services'!P67,'4.07_Repex_Services'!P152,'4.07_Repex_Services'!P221,'4.07_Repex_Services'!P290)</f>
        <v>3.9949734262095041E-2</v>
      </c>
      <c r="Q124" s="643">
        <f>SUM('4.07_Repex_Services'!Q67,'4.07_Repex_Services'!Q152,'4.07_Repex_Services'!Q221,'4.07_Repex_Services'!Q290)</f>
        <v>3.2033700215724027E-2</v>
      </c>
      <c r="R124" s="641">
        <f>SUM('4.07_Repex_Services'!R67,'4.07_Repex_Services'!R152,'4.07_Repex_Services'!R221,'4.07_Repex_Services'!R290)</f>
        <v>2.8000535799537835E-2</v>
      </c>
      <c r="S124" s="642">
        <f>SUM('4.07_Repex_Services'!S67,'4.07_Repex_Services'!S152,'4.07_Repex_Services'!S221,'4.07_Repex_Services'!S290)</f>
        <v>2.7860533120540147E-2</v>
      </c>
      <c r="T124" s="642">
        <f>SUM('4.07_Repex_Services'!T67,'4.07_Repex_Services'!T152,'4.07_Repex_Services'!T221,'4.07_Repex_Services'!T290)</f>
        <v>2.7721230454937445E-2</v>
      </c>
      <c r="U124" s="642">
        <f>SUM('4.07_Repex_Services'!U67,'4.07_Repex_Services'!U152,'4.07_Repex_Services'!U221,'4.07_Repex_Services'!U290)</f>
        <v>2.7582624302662756E-2</v>
      </c>
      <c r="V124" s="643">
        <f>SUM('4.07_Repex_Services'!V67,'4.07_Repex_Services'!V152,'4.07_Repex_Services'!V221,'4.07_Repex_Services'!V290)</f>
        <v>2.7444711181149443E-2</v>
      </c>
      <c r="W124" s="163"/>
      <c r="X124" s="164" t="s">
        <v>498</v>
      </c>
      <c r="Y124" s="641">
        <f>SUM('4.07_Repex_Services'!Y67,'4.07_Repex_Services'!Y221,'4.07_Repex_Services'!Y290)</f>
        <v>0</v>
      </c>
      <c r="Z124" s="642">
        <f>SUM('4.07_Repex_Services'!Z67,'4.07_Repex_Services'!Z221,'4.07_Repex_Services'!Z290)</f>
        <v>0</v>
      </c>
      <c r="AA124" s="642">
        <f>SUM('4.07_Repex_Services'!AA67,'4.07_Repex_Services'!AA221,'4.07_Repex_Services'!AA290)</f>
        <v>0</v>
      </c>
      <c r="AB124" s="642">
        <f>SUM('4.07_Repex_Services'!AB67,'4.07_Repex_Services'!AB221,'4.07_Repex_Services'!AB290)</f>
        <v>0</v>
      </c>
      <c r="AC124" s="642">
        <f>SUM('4.07_Repex_Services'!AC67,'4.07_Repex_Services'!AC221,'4.07_Repex_Services'!AC290)</f>
        <v>0</v>
      </c>
      <c r="AD124" s="642">
        <f>SUM('4.07_Repex_Services'!AD67,'4.07_Repex_Services'!AD221,'4.07_Repex_Services'!AD290)</f>
        <v>0</v>
      </c>
      <c r="AE124" s="642">
        <f>SUM('4.07_Repex_Services'!AE67,'4.07_Repex_Services'!AE221,'4.07_Repex_Services'!AE290)</f>
        <v>0</v>
      </c>
      <c r="AF124" s="643">
        <f>SUM('4.07_Repex_Services'!AF67,'4.07_Repex_Services'!AF221,'4.07_Repex_Services'!AF290)</f>
        <v>0</v>
      </c>
      <c r="AG124" s="641">
        <f>SUM('4.07_Repex_Services'!AG67,'4.07_Repex_Services'!AG221,'4.07_Repex_Services'!AG290)</f>
        <v>0</v>
      </c>
      <c r="AH124" s="642">
        <f>SUM('4.07_Repex_Services'!AH67,'4.07_Repex_Services'!AH221,'4.07_Repex_Services'!AH290)</f>
        <v>0</v>
      </c>
      <c r="AI124" s="642">
        <f>SUM('4.07_Repex_Services'!AI67,'4.07_Repex_Services'!AI221,'4.07_Repex_Services'!AI290)</f>
        <v>0</v>
      </c>
      <c r="AJ124" s="642">
        <f>SUM('4.07_Repex_Services'!AJ67,'4.07_Repex_Services'!AJ221,'4.07_Repex_Services'!AJ290)</f>
        <v>0</v>
      </c>
      <c r="AK124" s="643">
        <f>SUM('4.07_Repex_Services'!AK67,'4.07_Repex_Services'!AK221,'4.07_Repex_Services'!AK290)</f>
        <v>0</v>
      </c>
      <c r="AL124" s="163"/>
      <c r="AM124" s="164" t="s">
        <v>498</v>
      </c>
      <c r="AN124" s="641">
        <f t="shared" ref="AN124" si="837">J124+Y124</f>
        <v>5.9869516596682937E-2</v>
      </c>
      <c r="AO124" s="642">
        <f t="shared" si="813"/>
        <v>6.130754075463167E-2</v>
      </c>
      <c r="AP124" s="642">
        <f t="shared" si="814"/>
        <v>2.2273323927020607E-2</v>
      </c>
      <c r="AQ124" s="642">
        <f t="shared" si="815"/>
        <v>6.5901693210520862E-2</v>
      </c>
      <c r="AR124" s="642">
        <f t="shared" si="816"/>
        <v>1.4321791157395189E-2</v>
      </c>
      <c r="AS124" s="642">
        <f t="shared" si="817"/>
        <v>1.9079563118815569E-2</v>
      </c>
      <c r="AT124" s="642">
        <f t="shared" si="818"/>
        <v>3.9949734262095041E-2</v>
      </c>
      <c r="AU124" s="643">
        <f t="shared" si="819"/>
        <v>3.2033700215724027E-2</v>
      </c>
      <c r="AV124" s="641">
        <f t="shared" si="820"/>
        <v>2.8000535799537835E-2</v>
      </c>
      <c r="AW124" s="642">
        <f t="shared" si="821"/>
        <v>2.7860533120540147E-2</v>
      </c>
      <c r="AX124" s="642">
        <f t="shared" si="822"/>
        <v>2.7721230454937445E-2</v>
      </c>
      <c r="AY124" s="642">
        <f t="shared" si="823"/>
        <v>2.7582624302662756E-2</v>
      </c>
      <c r="AZ124" s="643">
        <f t="shared" si="824"/>
        <v>2.7444711181149443E-2</v>
      </c>
      <c r="BA124" s="163"/>
      <c r="BB124" s="164" t="s">
        <v>1876</v>
      </c>
      <c r="BC124" s="641">
        <f>SUM('4.07_Repex_Services'!AN67,'4.07_Repex_Services'!AN152,'4.07_Repex_Services'!AN221,'4.07_Repex_Services'!AN290)</f>
        <v>0</v>
      </c>
      <c r="BD124" s="642">
        <f>SUM('4.07_Repex_Services'!AO67,'4.07_Repex_Services'!AO152,'4.07_Repex_Services'!AO221,'4.07_Repex_Services'!AO290)</f>
        <v>0</v>
      </c>
      <c r="BE124" s="642">
        <f>SUM('4.07_Repex_Services'!AP67,'4.07_Repex_Services'!AP152,'4.07_Repex_Services'!AP221,'4.07_Repex_Services'!AP290)</f>
        <v>0</v>
      </c>
      <c r="BF124" s="642">
        <f>SUM('4.07_Repex_Services'!AQ67,'4.07_Repex_Services'!AQ152,'4.07_Repex_Services'!AQ221,'4.07_Repex_Services'!AQ290)</f>
        <v>0</v>
      </c>
      <c r="BG124" s="642">
        <f>SUM('4.07_Repex_Services'!AR67,'4.07_Repex_Services'!AR152,'4.07_Repex_Services'!AR221,'4.07_Repex_Services'!AR290)</f>
        <v>0</v>
      </c>
      <c r="BH124" s="642">
        <f>SUM('4.07_Repex_Services'!AS67,'4.07_Repex_Services'!AS152,'4.07_Repex_Services'!AS221,'4.07_Repex_Services'!AS290)</f>
        <v>0</v>
      </c>
      <c r="BI124" s="642">
        <f>SUM('4.07_Repex_Services'!AT67,'4.07_Repex_Services'!AT152,'4.07_Repex_Services'!AT221,'4.07_Repex_Services'!AT290)</f>
        <v>0</v>
      </c>
      <c r="BJ124" s="643">
        <f>SUM('4.07_Repex_Services'!AU67,'4.07_Repex_Services'!AU152,'4.07_Repex_Services'!AU221,'4.07_Repex_Services'!AU290)</f>
        <v>0</v>
      </c>
      <c r="BK124" s="2540">
        <f>SUM('4.07_Repex_Services'!AV67,'4.07_Repex_Services'!AV152,'4.07_Repex_Services'!AV221,'4.07_Repex_Services'!AV290)</f>
        <v>111.64372771201816</v>
      </c>
      <c r="BL124" s="643">
        <f>SUM('4.07_Repex_Services'!AW67,'4.07_Repex_Services'!AW152,'4.07_Repex_Services'!AW221,'4.07_Repex_Services'!AW290)</f>
        <v>111.64372771201816</v>
      </c>
      <c r="BM124" s="643">
        <f>SUM('4.07_Repex_Services'!AX67,'4.07_Repex_Services'!AX152,'4.07_Repex_Services'!AX221,'4.07_Repex_Services'!AX290)</f>
        <v>111.64372771201816</v>
      </c>
      <c r="BN124" s="643">
        <f>SUM('4.07_Repex_Services'!AY67,'4.07_Repex_Services'!AY152,'4.07_Repex_Services'!AY221,'4.07_Repex_Services'!AY290)</f>
        <v>111.64372771201816</v>
      </c>
      <c r="BO124" s="643">
        <f>SUM('4.07_Repex_Services'!AZ67,'4.07_Repex_Services'!AZ152,'4.07_Repex_Services'!AZ221,'4.07_Repex_Services'!AZ290)</f>
        <v>111.64372771201816</v>
      </c>
      <c r="BP124" s="163"/>
      <c r="BQ124" s="164" t="s">
        <v>2648</v>
      </c>
      <c r="BR124" s="641">
        <f t="shared" ref="BR124" si="838">IF(BC124,AN124/BC124,0)</f>
        <v>0</v>
      </c>
      <c r="BS124" s="642">
        <f t="shared" si="825"/>
        <v>0</v>
      </c>
      <c r="BT124" s="642">
        <f t="shared" si="826"/>
        <v>0</v>
      </c>
      <c r="BU124" s="642">
        <f t="shared" si="827"/>
        <v>0</v>
      </c>
      <c r="BV124" s="642">
        <f t="shared" si="828"/>
        <v>0</v>
      </c>
      <c r="BW124" s="642">
        <f t="shared" si="829"/>
        <v>0</v>
      </c>
      <c r="BX124" s="642">
        <f t="shared" si="830"/>
        <v>0</v>
      </c>
      <c r="BY124" s="643">
        <f t="shared" si="831"/>
        <v>0</v>
      </c>
      <c r="BZ124" s="641">
        <f t="shared" si="832"/>
        <v>2.5080258760048238E-4</v>
      </c>
      <c r="CA124" s="642">
        <f t="shared" si="833"/>
        <v>2.4954857466247997E-4</v>
      </c>
      <c r="CB124" s="642">
        <f t="shared" si="834"/>
        <v>2.4830083178916756E-4</v>
      </c>
      <c r="CC124" s="642">
        <f t="shared" si="835"/>
        <v>2.4705932763022167E-4</v>
      </c>
      <c r="CD124" s="643">
        <f t="shared" si="836"/>
        <v>2.4582403099207057E-4</v>
      </c>
    </row>
    <row r="125" spans="1:82" ht="14.25">
      <c r="B125" s="161"/>
      <c r="C125" s="185" t="s">
        <v>1710</v>
      </c>
      <c r="D125" s="660"/>
      <c r="E125" s="185"/>
      <c r="F125" s="162"/>
      <c r="G125" s="185"/>
      <c r="H125" s="185"/>
      <c r="I125" s="164" t="s">
        <v>498</v>
      </c>
      <c r="J125" s="697">
        <f>SUM(J123:J124)</f>
        <v>0.17764335684998284</v>
      </c>
      <c r="K125" s="698">
        <f t="shared" ref="K125:V125" si="839">SUM(K123:K124)</f>
        <v>0.18483840992514691</v>
      </c>
      <c r="L125" s="698">
        <f t="shared" si="839"/>
        <v>5.687948716929403E-2</v>
      </c>
      <c r="M125" s="698">
        <f t="shared" si="839"/>
        <v>0.1214564840033234</v>
      </c>
      <c r="N125" s="698">
        <f t="shared" si="839"/>
        <v>2.8424731193714827E-2</v>
      </c>
      <c r="O125" s="698">
        <f t="shared" si="839"/>
        <v>6.181763155883975E-2</v>
      </c>
      <c r="P125" s="698">
        <f t="shared" si="839"/>
        <v>0.10489186268163769</v>
      </c>
      <c r="Q125" s="699">
        <f t="shared" si="839"/>
        <v>8.395444913927938E-2</v>
      </c>
      <c r="R125" s="697">
        <f t="shared" si="839"/>
        <v>7.8778699101001687E-2</v>
      </c>
      <c r="S125" s="698">
        <f t="shared" si="839"/>
        <v>7.8384805605496682E-2</v>
      </c>
      <c r="T125" s="698">
        <f t="shared" si="839"/>
        <v>7.7992881577469197E-2</v>
      </c>
      <c r="U125" s="698">
        <f t="shared" si="839"/>
        <v>7.7602917169581842E-2</v>
      </c>
      <c r="V125" s="699">
        <f t="shared" si="839"/>
        <v>7.7214902583733938E-2</v>
      </c>
      <c r="W125" s="185"/>
      <c r="X125" s="164" t="s">
        <v>498</v>
      </c>
      <c r="Y125" s="697">
        <f>SUM(Y123:Y124)</f>
        <v>0</v>
      </c>
      <c r="Z125" s="698">
        <f t="shared" ref="Z125:AK125" si="840">SUM(Z123:Z124)</f>
        <v>0</v>
      </c>
      <c r="AA125" s="698">
        <f t="shared" si="840"/>
        <v>0</v>
      </c>
      <c r="AB125" s="698">
        <f t="shared" si="840"/>
        <v>0</v>
      </c>
      <c r="AC125" s="698">
        <f t="shared" si="840"/>
        <v>0</v>
      </c>
      <c r="AD125" s="698">
        <f t="shared" si="840"/>
        <v>0</v>
      </c>
      <c r="AE125" s="698">
        <f t="shared" si="840"/>
        <v>0</v>
      </c>
      <c r="AF125" s="699">
        <f t="shared" si="840"/>
        <v>0</v>
      </c>
      <c r="AG125" s="697">
        <f t="shared" si="840"/>
        <v>0</v>
      </c>
      <c r="AH125" s="698">
        <f t="shared" si="840"/>
        <v>0</v>
      </c>
      <c r="AI125" s="698">
        <f t="shared" si="840"/>
        <v>0</v>
      </c>
      <c r="AJ125" s="698">
        <f t="shared" si="840"/>
        <v>0</v>
      </c>
      <c r="AK125" s="699">
        <f t="shared" si="840"/>
        <v>0</v>
      </c>
      <c r="AL125" s="185"/>
      <c r="AM125" s="164" t="s">
        <v>498</v>
      </c>
      <c r="AN125" s="697">
        <f>SUM(AN123:AN124)</f>
        <v>0.17764335684998284</v>
      </c>
      <c r="AO125" s="698">
        <f t="shared" ref="AO125:AZ125" si="841">SUM(AO123:AO124)</f>
        <v>0.18483840992514691</v>
      </c>
      <c r="AP125" s="698">
        <f t="shared" si="841"/>
        <v>5.687948716929403E-2</v>
      </c>
      <c r="AQ125" s="698">
        <f t="shared" si="841"/>
        <v>0.1214564840033234</v>
      </c>
      <c r="AR125" s="698">
        <f t="shared" si="841"/>
        <v>2.8424731193714827E-2</v>
      </c>
      <c r="AS125" s="698">
        <f t="shared" si="841"/>
        <v>6.181763155883975E-2</v>
      </c>
      <c r="AT125" s="698">
        <f t="shared" si="841"/>
        <v>0.10489186268163769</v>
      </c>
      <c r="AU125" s="699">
        <f t="shared" si="841"/>
        <v>8.395444913927938E-2</v>
      </c>
      <c r="AV125" s="697">
        <f t="shared" si="841"/>
        <v>7.8778699101001687E-2</v>
      </c>
      <c r="AW125" s="698">
        <f t="shared" si="841"/>
        <v>7.8384805605496682E-2</v>
      </c>
      <c r="AX125" s="698">
        <f t="shared" si="841"/>
        <v>7.7992881577469197E-2</v>
      </c>
      <c r="AY125" s="698">
        <f t="shared" si="841"/>
        <v>7.7602917169581842E-2</v>
      </c>
      <c r="AZ125" s="699">
        <f t="shared" si="841"/>
        <v>7.7214902583733938E-2</v>
      </c>
      <c r="BA125" s="185"/>
      <c r="BB125" s="164" t="s">
        <v>1876</v>
      </c>
      <c r="BC125" s="697">
        <f>SUM(BC123:BC124)</f>
        <v>0</v>
      </c>
      <c r="BD125" s="698">
        <f t="shared" ref="BD125:BO125" si="842">SUM(BD123:BD124)</f>
        <v>0</v>
      </c>
      <c r="BE125" s="698">
        <f t="shared" si="842"/>
        <v>0</v>
      </c>
      <c r="BF125" s="698">
        <f t="shared" si="842"/>
        <v>0</v>
      </c>
      <c r="BG125" s="698">
        <f t="shared" si="842"/>
        <v>0</v>
      </c>
      <c r="BH125" s="698">
        <f t="shared" si="842"/>
        <v>0</v>
      </c>
      <c r="BI125" s="698">
        <f t="shared" si="842"/>
        <v>0</v>
      </c>
      <c r="BJ125" s="699">
        <f t="shared" si="842"/>
        <v>0</v>
      </c>
      <c r="BK125" s="697">
        <f t="shared" si="842"/>
        <v>279.10931928004538</v>
      </c>
      <c r="BL125" s="698">
        <f t="shared" si="842"/>
        <v>279.10931928004538</v>
      </c>
      <c r="BM125" s="698">
        <f t="shared" si="842"/>
        <v>279.10931928004538</v>
      </c>
      <c r="BN125" s="698">
        <f t="shared" si="842"/>
        <v>279.10931928004538</v>
      </c>
      <c r="BO125" s="699">
        <f t="shared" si="842"/>
        <v>279.10931928004538</v>
      </c>
      <c r="BP125" s="185"/>
      <c r="BQ125" s="117"/>
      <c r="BR125" s="713"/>
      <c r="BS125" s="714"/>
      <c r="BT125" s="714"/>
      <c r="BU125" s="714"/>
      <c r="BV125" s="714"/>
      <c r="BW125" s="714"/>
      <c r="BX125" s="714"/>
      <c r="BY125" s="715"/>
      <c r="BZ125" s="716"/>
      <c r="CA125" s="714"/>
      <c r="CB125" s="714"/>
      <c r="CC125" s="714"/>
      <c r="CD125" s="715"/>
    </row>
    <row r="126" spans="1:82" ht="14.25">
      <c r="B126" s="181"/>
      <c r="C126" s="185"/>
      <c r="D126" s="185"/>
      <c r="E126" s="182"/>
      <c r="F126" s="185"/>
      <c r="G126" s="184"/>
      <c r="H126" s="184"/>
      <c r="I126" s="117"/>
      <c r="J126" s="159"/>
      <c r="K126" s="117"/>
      <c r="L126" s="117"/>
      <c r="M126" s="117"/>
      <c r="N126" s="117"/>
      <c r="O126" s="117"/>
      <c r="P126" s="117"/>
      <c r="Q126" s="160"/>
      <c r="R126" s="159"/>
      <c r="S126" s="117"/>
      <c r="T126" s="117"/>
      <c r="U126" s="117"/>
      <c r="V126" s="160"/>
      <c r="W126" s="184"/>
      <c r="X126" s="117"/>
      <c r="Y126" s="713"/>
      <c r="Z126" s="714"/>
      <c r="AA126" s="714"/>
      <c r="AB126" s="714"/>
      <c r="AC126" s="714"/>
      <c r="AD126" s="714"/>
      <c r="AE126" s="714"/>
      <c r="AF126" s="715"/>
      <c r="AG126" s="716"/>
      <c r="AH126" s="714"/>
      <c r="AI126" s="714"/>
      <c r="AJ126" s="714"/>
      <c r="AK126" s="715"/>
      <c r="AL126" s="184"/>
      <c r="AM126" s="117"/>
      <c r="AN126" s="713"/>
      <c r="AO126" s="714"/>
      <c r="AP126" s="714"/>
      <c r="AQ126" s="714"/>
      <c r="AR126" s="714"/>
      <c r="AS126" s="714"/>
      <c r="AT126" s="714"/>
      <c r="AU126" s="715"/>
      <c r="AV126" s="716"/>
      <c r="AW126" s="714"/>
      <c r="AX126" s="714"/>
      <c r="AY126" s="714"/>
      <c r="AZ126" s="715"/>
      <c r="BA126" s="184"/>
      <c r="BB126" s="117"/>
      <c r="BC126" s="159"/>
      <c r="BD126" s="117"/>
      <c r="BE126" s="117"/>
      <c r="BF126" s="117"/>
      <c r="BG126" s="117"/>
      <c r="BH126" s="117"/>
      <c r="BI126" s="117"/>
      <c r="BJ126" s="160"/>
      <c r="BK126" s="159"/>
      <c r="BL126" s="117"/>
      <c r="BM126" s="117"/>
      <c r="BN126" s="117"/>
      <c r="BO126" s="160"/>
      <c r="BP126" s="184"/>
      <c r="BQ126" s="117"/>
      <c r="BR126" s="713"/>
      <c r="BS126" s="714"/>
      <c r="BT126" s="714"/>
      <c r="BU126" s="714"/>
      <c r="BV126" s="714"/>
      <c r="BW126" s="714"/>
      <c r="BX126" s="714"/>
      <c r="BY126" s="715"/>
      <c r="BZ126" s="716"/>
      <c r="CA126" s="714"/>
      <c r="CB126" s="714"/>
      <c r="CC126" s="714"/>
      <c r="CD126" s="715"/>
    </row>
    <row r="127" spans="1:82" ht="15.75">
      <c r="B127" s="161"/>
      <c r="C127" s="186" t="s">
        <v>2663</v>
      </c>
      <c r="D127" s="617"/>
      <c r="E127" s="180"/>
      <c r="F127" s="162"/>
      <c r="G127" s="163"/>
      <c r="H127" s="163"/>
      <c r="I127" s="117"/>
      <c r="J127" s="159"/>
      <c r="K127" s="117"/>
      <c r="L127" s="117"/>
      <c r="M127" s="117"/>
      <c r="N127" s="117"/>
      <c r="O127" s="117"/>
      <c r="P127" s="117"/>
      <c r="Q127" s="160"/>
      <c r="R127" s="159"/>
      <c r="S127" s="117"/>
      <c r="T127" s="117"/>
      <c r="U127" s="117"/>
      <c r="V127" s="160"/>
      <c r="W127" s="163"/>
      <c r="X127" s="117"/>
      <c r="Y127" s="713"/>
      <c r="Z127" s="714"/>
      <c r="AA127" s="714"/>
      <c r="AB127" s="714"/>
      <c r="AC127" s="714"/>
      <c r="AD127" s="714"/>
      <c r="AE127" s="714"/>
      <c r="AF127" s="715"/>
      <c r="AG127" s="716"/>
      <c r="AH127" s="714"/>
      <c r="AI127" s="714"/>
      <c r="AJ127" s="714"/>
      <c r="AK127" s="715"/>
      <c r="AL127" s="163"/>
      <c r="AM127" s="117"/>
      <c r="AN127" s="713"/>
      <c r="AO127" s="714"/>
      <c r="AP127" s="714"/>
      <c r="AQ127" s="714"/>
      <c r="AR127" s="714"/>
      <c r="AS127" s="714"/>
      <c r="AT127" s="714"/>
      <c r="AU127" s="715"/>
      <c r="AV127" s="716"/>
      <c r="AW127" s="714"/>
      <c r="AX127" s="714"/>
      <c r="AY127" s="714"/>
      <c r="AZ127" s="715"/>
      <c r="BA127" s="163"/>
      <c r="BB127" s="117"/>
      <c r="BC127" s="159"/>
      <c r="BD127" s="117"/>
      <c r="BE127" s="117"/>
      <c r="BF127" s="117"/>
      <c r="BG127" s="117"/>
      <c r="BH127" s="117"/>
      <c r="BI127" s="117"/>
      <c r="BJ127" s="160"/>
      <c r="BK127" s="159"/>
      <c r="BL127" s="117"/>
      <c r="BM127" s="117"/>
      <c r="BN127" s="117"/>
      <c r="BO127" s="160"/>
      <c r="BP127" s="163"/>
      <c r="BQ127" s="117"/>
      <c r="BR127" s="713"/>
      <c r="BS127" s="714"/>
      <c r="BT127" s="714"/>
      <c r="BU127" s="714"/>
      <c r="BV127" s="714"/>
      <c r="BW127" s="714"/>
      <c r="BX127" s="714"/>
      <c r="BY127" s="715"/>
      <c r="BZ127" s="716"/>
      <c r="CA127" s="714"/>
      <c r="CB127" s="714"/>
      <c r="CC127" s="714"/>
      <c r="CD127" s="715"/>
    </row>
    <row r="128" spans="1:82" ht="14.25">
      <c r="B128" s="161"/>
      <c r="C128" s="660"/>
      <c r="D128" s="162" t="s">
        <v>2659</v>
      </c>
      <c r="E128" s="660"/>
      <c r="F128" s="162"/>
      <c r="G128" s="185"/>
      <c r="H128" s="163"/>
      <c r="I128" s="164" t="s">
        <v>498</v>
      </c>
      <c r="J128" s="641">
        <f>SUM('4.07_Repex_Services'!J69,'4.07_Repex_Services'!J154,'4.07_Repex_Services'!J223,'4.07_Repex_Services'!J292)</f>
        <v>1.0537001846743768E-2</v>
      </c>
      <c r="K128" s="642">
        <f>SUM('4.07_Repex_Services'!K69,'4.07_Repex_Services'!K154,'4.07_Repex_Services'!K223,'4.07_Repex_Services'!K292)</f>
        <v>7.8906186164873406E-3</v>
      </c>
      <c r="L128" s="642">
        <f>SUM('4.07_Repex_Services'!L69,'4.07_Repex_Services'!L154,'4.07_Repex_Services'!L223,'4.07_Repex_Services'!L292)</f>
        <v>2.136311932535765E-2</v>
      </c>
      <c r="M128" s="642">
        <f>SUM('4.07_Repex_Services'!M69,'4.07_Repex_Services'!M154,'4.07_Repex_Services'!M223,'4.07_Repex_Services'!M292)</f>
        <v>1.0595813754076738E-2</v>
      </c>
      <c r="N128" s="642">
        <f>SUM('4.07_Repex_Services'!N69,'4.07_Repex_Services'!N154,'4.07_Repex_Services'!N223,'4.07_Repex_Services'!N292)</f>
        <v>2.9386303373737689E-2</v>
      </c>
      <c r="O128" s="642">
        <f>SUM('4.07_Repex_Services'!O69,'4.07_Repex_Services'!O154,'4.07_Repex_Services'!O223,'4.07_Repex_Services'!O292)</f>
        <v>1.4629906593619577E-2</v>
      </c>
      <c r="P128" s="642">
        <f>SUM('4.07_Repex_Services'!P69,'4.07_Repex_Services'!P154,'4.07_Repex_Services'!P223,'4.07_Repex_Services'!P292)</f>
        <v>0</v>
      </c>
      <c r="Q128" s="643">
        <f>SUM('4.07_Repex_Services'!Q69,'4.07_Repex_Services'!Q154,'4.07_Repex_Services'!Q223,'4.07_Repex_Services'!Q292)</f>
        <v>0</v>
      </c>
      <c r="R128" s="641">
        <f>SUM('4.07_Repex_Services'!R69,'4.07_Repex_Services'!R154,'4.07_Repex_Services'!R223,'4.07_Repex_Services'!R292)</f>
        <v>8.4725303294510366E-3</v>
      </c>
      <c r="S128" s="642">
        <f>SUM('4.07_Repex_Services'!S69,'4.07_Repex_Services'!S154,'4.07_Repex_Services'!S223,'4.07_Repex_Services'!S292)</f>
        <v>8.4301676778037807E-3</v>
      </c>
      <c r="T128" s="642">
        <f>SUM('4.07_Repex_Services'!T69,'4.07_Repex_Services'!T154,'4.07_Repex_Services'!T223,'4.07_Repex_Services'!T292)</f>
        <v>8.3880168394147615E-3</v>
      </c>
      <c r="U128" s="642">
        <f>SUM('4.07_Repex_Services'!U69,'4.07_Repex_Services'!U154,'4.07_Repex_Services'!U223,'4.07_Repex_Services'!U292)</f>
        <v>8.3460767552176879E-3</v>
      </c>
      <c r="V128" s="643">
        <f>SUM('4.07_Repex_Services'!V69,'4.07_Repex_Services'!V154,'4.07_Repex_Services'!V223,'4.07_Repex_Services'!V292)</f>
        <v>8.3043463714415986E-3</v>
      </c>
      <c r="W128" s="163"/>
      <c r="X128" s="164" t="s">
        <v>498</v>
      </c>
      <c r="Y128" s="641">
        <f>SUM('4.07_Repex_Services'!Y69,'4.07_Repex_Services'!Y223,'4.07_Repex_Services'!Y292)</f>
        <v>0</v>
      </c>
      <c r="Z128" s="642">
        <f>SUM('4.07_Repex_Services'!Z69,'4.07_Repex_Services'!Z223,'4.07_Repex_Services'!Z292)</f>
        <v>0</v>
      </c>
      <c r="AA128" s="642">
        <f>SUM('4.07_Repex_Services'!AA69,'4.07_Repex_Services'!AA223,'4.07_Repex_Services'!AA292)</f>
        <v>0</v>
      </c>
      <c r="AB128" s="642">
        <f>SUM('4.07_Repex_Services'!AB69,'4.07_Repex_Services'!AB223,'4.07_Repex_Services'!AB292)</f>
        <v>0</v>
      </c>
      <c r="AC128" s="642">
        <f>SUM('4.07_Repex_Services'!AC69,'4.07_Repex_Services'!AC223,'4.07_Repex_Services'!AC292)</f>
        <v>0</v>
      </c>
      <c r="AD128" s="642">
        <f>SUM('4.07_Repex_Services'!AD69,'4.07_Repex_Services'!AD223,'4.07_Repex_Services'!AD292)</f>
        <v>0</v>
      </c>
      <c r="AE128" s="642">
        <f>SUM('4.07_Repex_Services'!AE69,'4.07_Repex_Services'!AE223,'4.07_Repex_Services'!AE292)</f>
        <v>0</v>
      </c>
      <c r="AF128" s="643">
        <f>SUM('4.07_Repex_Services'!AF69,'4.07_Repex_Services'!AF223,'4.07_Repex_Services'!AF292)</f>
        <v>0</v>
      </c>
      <c r="AG128" s="641">
        <f>SUM('4.07_Repex_Services'!AG69,'4.07_Repex_Services'!AG223,'4.07_Repex_Services'!AG292)</f>
        <v>0</v>
      </c>
      <c r="AH128" s="642">
        <f>SUM('4.07_Repex_Services'!AH69,'4.07_Repex_Services'!AH223,'4.07_Repex_Services'!AH292)</f>
        <v>0</v>
      </c>
      <c r="AI128" s="642">
        <f>SUM('4.07_Repex_Services'!AI69,'4.07_Repex_Services'!AI223,'4.07_Repex_Services'!AI292)</f>
        <v>0</v>
      </c>
      <c r="AJ128" s="642">
        <f>SUM('4.07_Repex_Services'!AJ69,'4.07_Repex_Services'!AJ223,'4.07_Repex_Services'!AJ292)</f>
        <v>0</v>
      </c>
      <c r="AK128" s="643">
        <f>SUM('4.07_Repex_Services'!AK69,'4.07_Repex_Services'!AK223,'4.07_Repex_Services'!AK292)</f>
        <v>0</v>
      </c>
      <c r="AL128" s="163"/>
      <c r="AM128" s="164" t="s">
        <v>498</v>
      </c>
      <c r="AN128" s="641">
        <f>J128+Y128</f>
        <v>1.0537001846743768E-2</v>
      </c>
      <c r="AO128" s="642">
        <f t="shared" ref="AO128:AO129" si="843">K128+Z128</f>
        <v>7.8906186164873406E-3</v>
      </c>
      <c r="AP128" s="642">
        <f t="shared" ref="AP128:AP129" si="844">L128+AA128</f>
        <v>2.136311932535765E-2</v>
      </c>
      <c r="AQ128" s="642">
        <f t="shared" ref="AQ128:AQ129" si="845">M128+AB128</f>
        <v>1.0595813754076738E-2</v>
      </c>
      <c r="AR128" s="642">
        <f t="shared" ref="AR128:AR129" si="846">N128+AC128</f>
        <v>2.9386303373737689E-2</v>
      </c>
      <c r="AS128" s="642">
        <f t="shared" ref="AS128:AS129" si="847">O128+AD128</f>
        <v>1.4629906593619577E-2</v>
      </c>
      <c r="AT128" s="642">
        <f t="shared" ref="AT128:AT129" si="848">P128+AE128</f>
        <v>0</v>
      </c>
      <c r="AU128" s="643">
        <f t="shared" ref="AU128:AU129" si="849">Q128+AF128</f>
        <v>0</v>
      </c>
      <c r="AV128" s="641">
        <f t="shared" ref="AV128:AV129" si="850">R128+AG128</f>
        <v>8.4725303294510366E-3</v>
      </c>
      <c r="AW128" s="642">
        <f t="shared" ref="AW128:AW129" si="851">S128+AH128</f>
        <v>8.4301676778037807E-3</v>
      </c>
      <c r="AX128" s="642">
        <f t="shared" ref="AX128:AX129" si="852">T128+AI128</f>
        <v>8.3880168394147615E-3</v>
      </c>
      <c r="AY128" s="642">
        <f t="shared" ref="AY128:AY129" si="853">U128+AJ128</f>
        <v>8.3460767552176879E-3</v>
      </c>
      <c r="AZ128" s="643">
        <f t="shared" ref="AZ128:AZ129" si="854">V128+AK128</f>
        <v>8.3043463714415986E-3</v>
      </c>
      <c r="BA128" s="163"/>
      <c r="BB128" s="164" t="s">
        <v>1876</v>
      </c>
      <c r="BC128" s="641">
        <f>SUM('4.07_Repex_Services'!AN69,'4.07_Repex_Services'!AN154,'4.07_Repex_Services'!AN223,'4.07_Repex_Services'!AN292)</f>
        <v>0</v>
      </c>
      <c r="BD128" s="642">
        <f>SUM('4.07_Repex_Services'!AO69,'4.07_Repex_Services'!AO154,'4.07_Repex_Services'!AO223,'4.07_Repex_Services'!AO292)</f>
        <v>0</v>
      </c>
      <c r="BE128" s="642">
        <f>SUM('4.07_Repex_Services'!AP69,'4.07_Repex_Services'!AP154,'4.07_Repex_Services'!AP223,'4.07_Repex_Services'!AP292)</f>
        <v>0</v>
      </c>
      <c r="BF128" s="642">
        <f>SUM('4.07_Repex_Services'!AQ69,'4.07_Repex_Services'!AQ154,'4.07_Repex_Services'!AQ223,'4.07_Repex_Services'!AQ292)</f>
        <v>0</v>
      </c>
      <c r="BG128" s="642">
        <f>SUM('4.07_Repex_Services'!AR69,'4.07_Repex_Services'!AR154,'4.07_Repex_Services'!AR223,'4.07_Repex_Services'!AR292)</f>
        <v>0</v>
      </c>
      <c r="BH128" s="642">
        <f>SUM('4.07_Repex_Services'!AS69,'4.07_Repex_Services'!AS154,'4.07_Repex_Services'!AS223,'4.07_Repex_Services'!AS292)</f>
        <v>0</v>
      </c>
      <c r="BI128" s="642">
        <f>SUM('4.07_Repex_Services'!AT69,'4.07_Repex_Services'!AT154,'4.07_Repex_Services'!AT223,'4.07_Repex_Services'!AT292)</f>
        <v>0</v>
      </c>
      <c r="BJ128" s="643">
        <f>SUM('4.07_Repex_Services'!AU69,'4.07_Repex_Services'!AU154,'4.07_Repex_Services'!AU223,'4.07_Repex_Services'!AU292)</f>
        <v>0</v>
      </c>
      <c r="BK128" s="2540">
        <f>SUM('4.07_Repex_Services'!AV69,'4.07_Repex_Services'!AV154,'4.07_Repex_Services'!AV223,'4.07_Repex_Services'!AV292)</f>
        <v>0.82305201144689788</v>
      </c>
      <c r="BL128" s="643">
        <f>SUM('4.07_Repex_Services'!AW69,'4.07_Repex_Services'!AW154,'4.07_Repex_Services'!AW223,'4.07_Repex_Services'!AW292)</f>
        <v>0.82305201144689788</v>
      </c>
      <c r="BM128" s="643">
        <f>SUM('4.07_Repex_Services'!AX69,'4.07_Repex_Services'!AX154,'4.07_Repex_Services'!AX223,'4.07_Repex_Services'!AX292)</f>
        <v>0.82305201144689788</v>
      </c>
      <c r="BN128" s="643">
        <f>SUM('4.07_Repex_Services'!AY69,'4.07_Repex_Services'!AY154,'4.07_Repex_Services'!AY223,'4.07_Repex_Services'!AY292)</f>
        <v>0.82305201144689788</v>
      </c>
      <c r="BO128" s="643">
        <f>SUM('4.07_Repex_Services'!AZ69,'4.07_Repex_Services'!AZ154,'4.07_Repex_Services'!AZ223,'4.07_Repex_Services'!AZ292)</f>
        <v>0.82305201144689788</v>
      </c>
      <c r="BP128" s="163"/>
      <c r="BQ128" s="164" t="s">
        <v>2648</v>
      </c>
      <c r="BR128" s="641">
        <f>IF(BC128,AN128/BC128,0)</f>
        <v>0</v>
      </c>
      <c r="BS128" s="642">
        <f t="shared" ref="BS128:BS129" si="855">IF(BD128,AO128/BD128,0)</f>
        <v>0</v>
      </c>
      <c r="BT128" s="642">
        <f t="shared" ref="BT128:BT129" si="856">IF(BE128,AP128/BE128,0)</f>
        <v>0</v>
      </c>
      <c r="BU128" s="642">
        <f t="shared" ref="BU128:BU129" si="857">IF(BF128,AQ128/BF128,0)</f>
        <v>0</v>
      </c>
      <c r="BV128" s="642">
        <f t="shared" ref="BV128:BV129" si="858">IF(BG128,AR128/BG128,0)</f>
        <v>0</v>
      </c>
      <c r="BW128" s="642">
        <f t="shared" ref="BW128:BW129" si="859">IF(BH128,AS128/BH128,0)</f>
        <v>0</v>
      </c>
      <c r="BX128" s="642">
        <f t="shared" ref="BX128:BX129" si="860">IF(BI128,AT128/BI128,0)</f>
        <v>0</v>
      </c>
      <c r="BY128" s="643">
        <f t="shared" ref="BY128:BY129" si="861">IF(BJ128,AU128/BJ128,0)</f>
        <v>0</v>
      </c>
      <c r="BZ128" s="641">
        <f t="shared" ref="BZ128:BZ129" si="862">IF(BK128,AV128/BK128,0)</f>
        <v>1.0294040001866482E-2</v>
      </c>
      <c r="CA128" s="642">
        <f t="shared" ref="CA128:CA129" si="863">IF(BL128,AW128/BL128,0)</f>
        <v>1.0242569801857148E-2</v>
      </c>
      <c r="CB128" s="642">
        <f t="shared" ref="CB128:CB129" si="864">IF(BM128,AX128/BM128,0)</f>
        <v>1.0191356952847863E-2</v>
      </c>
      <c r="CC128" s="642">
        <f t="shared" ref="CC128:CC129" si="865">IF(BN128,AY128/BN128,0)</f>
        <v>1.0140400168083624E-2</v>
      </c>
      <c r="CD128" s="643">
        <f t="shared" ref="CD128:CD129" si="866">IF(BO128,AZ128/BO128,0)</f>
        <v>1.0089698167243205E-2</v>
      </c>
    </row>
    <row r="129" spans="1:82" ht="14.25">
      <c r="B129" s="161"/>
      <c r="C129" s="660"/>
      <c r="D129" s="162" t="s">
        <v>2660</v>
      </c>
      <c r="E129" s="660"/>
      <c r="F129" s="162"/>
      <c r="G129" s="185"/>
      <c r="H129" s="163"/>
      <c r="I129" s="164" t="s">
        <v>498</v>
      </c>
      <c r="J129" s="641">
        <f>SUM('4.07_Repex_Services'!J70,'4.07_Repex_Services'!J155,'4.07_Repex_Services'!J224,'4.07_Repex_Services'!J293)</f>
        <v>0</v>
      </c>
      <c r="K129" s="642">
        <f>SUM('4.07_Repex_Services'!K70,'4.07_Repex_Services'!K155,'4.07_Repex_Services'!K224,'4.07_Repex_Services'!K293)</f>
        <v>2.4817268229274693E-3</v>
      </c>
      <c r="L129" s="642">
        <f>SUM('4.07_Repex_Services'!L70,'4.07_Repex_Services'!L155,'4.07_Repex_Services'!L224,'4.07_Repex_Services'!L293)</f>
        <v>2.1212689454305337E-3</v>
      </c>
      <c r="M129" s="642">
        <f>SUM('4.07_Repex_Services'!M70,'4.07_Repex_Services'!M155,'4.07_Repex_Services'!M224,'4.07_Repex_Services'!M293)</f>
        <v>7.6629875826187061E-4</v>
      </c>
      <c r="N129" s="642">
        <f>SUM('4.07_Repex_Services'!N70,'4.07_Repex_Services'!N155,'4.07_Repex_Services'!N224,'4.07_Repex_Services'!N293)</f>
        <v>3.8707543668635647E-4</v>
      </c>
      <c r="O129" s="642">
        <f>SUM('4.07_Repex_Services'!O70,'4.07_Repex_Services'!O155,'4.07_Repex_Services'!O224,'4.07_Repex_Services'!O293)</f>
        <v>4.9772773353431922E-4</v>
      </c>
      <c r="P129" s="642">
        <f>SUM('4.07_Repex_Services'!P70,'4.07_Repex_Services'!P155,'4.07_Repex_Services'!P224,'4.07_Repex_Services'!P293)</f>
        <v>0</v>
      </c>
      <c r="Q129" s="643">
        <f>SUM('4.07_Repex_Services'!Q70,'4.07_Repex_Services'!Q155,'4.07_Repex_Services'!Q224,'4.07_Repex_Services'!Q293)</f>
        <v>0</v>
      </c>
      <c r="R129" s="641">
        <f>SUM('4.07_Repex_Services'!R70,'4.07_Repex_Services'!R155,'4.07_Repex_Services'!R224,'4.07_Repex_Services'!R293)</f>
        <v>1.3761571613377587E-4</v>
      </c>
      <c r="S129" s="642">
        <f>SUM('4.07_Repex_Services'!S70,'4.07_Repex_Services'!S155,'4.07_Repex_Services'!S224,'4.07_Repex_Services'!S293)</f>
        <v>1.36927637553107E-4</v>
      </c>
      <c r="T129" s="642">
        <f>SUM('4.07_Repex_Services'!T70,'4.07_Repex_Services'!T155,'4.07_Repex_Services'!T224,'4.07_Repex_Services'!T293)</f>
        <v>1.3624299936534147E-4</v>
      </c>
      <c r="U129" s="642">
        <f>SUM('4.07_Repex_Services'!U70,'4.07_Repex_Services'!U155,'4.07_Repex_Services'!U224,'4.07_Repex_Services'!U293)</f>
        <v>1.3556178436851477E-4</v>
      </c>
      <c r="V129" s="643">
        <f>SUM('4.07_Repex_Services'!V70,'4.07_Repex_Services'!V155,'4.07_Repex_Services'!V224,'4.07_Repex_Services'!V293)</f>
        <v>1.348839754466722E-4</v>
      </c>
      <c r="W129" s="163"/>
      <c r="X129" s="164" t="s">
        <v>498</v>
      </c>
      <c r="Y129" s="641">
        <f>SUM('4.07_Repex_Services'!Y70,'4.07_Repex_Services'!Y224,'4.07_Repex_Services'!Y293)</f>
        <v>0</v>
      </c>
      <c r="Z129" s="642">
        <f>SUM('4.07_Repex_Services'!Z70,'4.07_Repex_Services'!Z224,'4.07_Repex_Services'!Z293)</f>
        <v>0</v>
      </c>
      <c r="AA129" s="642">
        <f>SUM('4.07_Repex_Services'!AA70,'4.07_Repex_Services'!AA224,'4.07_Repex_Services'!AA293)</f>
        <v>0</v>
      </c>
      <c r="AB129" s="642">
        <f>SUM('4.07_Repex_Services'!AB70,'4.07_Repex_Services'!AB224,'4.07_Repex_Services'!AB293)</f>
        <v>0</v>
      </c>
      <c r="AC129" s="642">
        <f>SUM('4.07_Repex_Services'!AC70,'4.07_Repex_Services'!AC224,'4.07_Repex_Services'!AC293)</f>
        <v>0</v>
      </c>
      <c r="AD129" s="642">
        <f>SUM('4.07_Repex_Services'!AD70,'4.07_Repex_Services'!AD224,'4.07_Repex_Services'!AD293)</f>
        <v>0</v>
      </c>
      <c r="AE129" s="642">
        <f>SUM('4.07_Repex_Services'!AE70,'4.07_Repex_Services'!AE224,'4.07_Repex_Services'!AE293)</f>
        <v>0</v>
      </c>
      <c r="AF129" s="643">
        <f>SUM('4.07_Repex_Services'!AF70,'4.07_Repex_Services'!AF224,'4.07_Repex_Services'!AF293)</f>
        <v>0</v>
      </c>
      <c r="AG129" s="641">
        <f>SUM('4.07_Repex_Services'!AG70,'4.07_Repex_Services'!AG224,'4.07_Repex_Services'!AG293)</f>
        <v>0</v>
      </c>
      <c r="AH129" s="642">
        <f>SUM('4.07_Repex_Services'!AH70,'4.07_Repex_Services'!AH224,'4.07_Repex_Services'!AH293)</f>
        <v>0</v>
      </c>
      <c r="AI129" s="642">
        <f>SUM('4.07_Repex_Services'!AI70,'4.07_Repex_Services'!AI224,'4.07_Repex_Services'!AI293)</f>
        <v>0</v>
      </c>
      <c r="AJ129" s="642">
        <f>SUM('4.07_Repex_Services'!AJ70,'4.07_Repex_Services'!AJ224,'4.07_Repex_Services'!AJ293)</f>
        <v>0</v>
      </c>
      <c r="AK129" s="643">
        <f>SUM('4.07_Repex_Services'!AK70,'4.07_Repex_Services'!AK224,'4.07_Repex_Services'!AK293)</f>
        <v>0</v>
      </c>
      <c r="AL129" s="163"/>
      <c r="AM129" s="164" t="s">
        <v>498</v>
      </c>
      <c r="AN129" s="641">
        <f t="shared" ref="AN129" si="867">J129+Y129</f>
        <v>0</v>
      </c>
      <c r="AO129" s="642">
        <f t="shared" si="843"/>
        <v>2.4817268229274693E-3</v>
      </c>
      <c r="AP129" s="642">
        <f t="shared" si="844"/>
        <v>2.1212689454305337E-3</v>
      </c>
      <c r="AQ129" s="642">
        <f t="shared" si="845"/>
        <v>7.6629875826187061E-4</v>
      </c>
      <c r="AR129" s="642">
        <f t="shared" si="846"/>
        <v>3.8707543668635647E-4</v>
      </c>
      <c r="AS129" s="642">
        <f t="shared" si="847"/>
        <v>4.9772773353431922E-4</v>
      </c>
      <c r="AT129" s="642">
        <f t="shared" si="848"/>
        <v>0</v>
      </c>
      <c r="AU129" s="643">
        <f t="shared" si="849"/>
        <v>0</v>
      </c>
      <c r="AV129" s="641">
        <f t="shared" si="850"/>
        <v>1.3761571613377587E-4</v>
      </c>
      <c r="AW129" s="642">
        <f t="shared" si="851"/>
        <v>1.36927637553107E-4</v>
      </c>
      <c r="AX129" s="642">
        <f t="shared" si="852"/>
        <v>1.3624299936534147E-4</v>
      </c>
      <c r="AY129" s="642">
        <f t="shared" si="853"/>
        <v>1.3556178436851477E-4</v>
      </c>
      <c r="AZ129" s="643">
        <f t="shared" si="854"/>
        <v>1.348839754466722E-4</v>
      </c>
      <c r="BA129" s="163"/>
      <c r="BB129" s="164" t="s">
        <v>1876</v>
      </c>
      <c r="BC129" s="641">
        <f>SUM('4.07_Repex_Services'!AN70,'4.07_Repex_Services'!AN155,'4.07_Repex_Services'!AN224,'4.07_Repex_Services'!AN293)</f>
        <v>0</v>
      </c>
      <c r="BD129" s="642">
        <f>SUM('4.07_Repex_Services'!AO70,'4.07_Repex_Services'!AO155,'4.07_Repex_Services'!AO224,'4.07_Repex_Services'!AO293)</f>
        <v>0</v>
      </c>
      <c r="BE129" s="642">
        <f>SUM('4.07_Repex_Services'!AP70,'4.07_Repex_Services'!AP155,'4.07_Repex_Services'!AP224,'4.07_Repex_Services'!AP293)</f>
        <v>0</v>
      </c>
      <c r="BF129" s="642">
        <f>SUM('4.07_Repex_Services'!AQ70,'4.07_Repex_Services'!AQ155,'4.07_Repex_Services'!AQ224,'4.07_Repex_Services'!AQ293)</f>
        <v>0</v>
      </c>
      <c r="BG129" s="642">
        <f>SUM('4.07_Repex_Services'!AR70,'4.07_Repex_Services'!AR155,'4.07_Repex_Services'!AR224,'4.07_Repex_Services'!AR293)</f>
        <v>0</v>
      </c>
      <c r="BH129" s="642">
        <f>SUM('4.07_Repex_Services'!AS70,'4.07_Repex_Services'!AS155,'4.07_Repex_Services'!AS224,'4.07_Repex_Services'!AS293)</f>
        <v>0</v>
      </c>
      <c r="BI129" s="642">
        <f>SUM('4.07_Repex_Services'!AT70,'4.07_Repex_Services'!AT155,'4.07_Repex_Services'!AT224,'4.07_Repex_Services'!AT293)</f>
        <v>0</v>
      </c>
      <c r="BJ129" s="643">
        <f>SUM('4.07_Repex_Services'!AU70,'4.07_Repex_Services'!AU155,'4.07_Repex_Services'!AU224,'4.07_Repex_Services'!AU293)</f>
        <v>0</v>
      </c>
      <c r="BK129" s="2540">
        <f>SUM('4.07_Repex_Services'!AV70,'4.07_Repex_Services'!AV155,'4.07_Repex_Services'!AV224,'4.07_Repex_Services'!AV293)</f>
        <v>0.54870134096459866</v>
      </c>
      <c r="BL129" s="643">
        <f>SUM('4.07_Repex_Services'!AW70,'4.07_Repex_Services'!AW155,'4.07_Repex_Services'!AW224,'4.07_Repex_Services'!AW293)</f>
        <v>0.54870134096459866</v>
      </c>
      <c r="BM129" s="643">
        <f>SUM('4.07_Repex_Services'!AX70,'4.07_Repex_Services'!AX155,'4.07_Repex_Services'!AX224,'4.07_Repex_Services'!AX293)</f>
        <v>0.54870134096459866</v>
      </c>
      <c r="BN129" s="643">
        <f>SUM('4.07_Repex_Services'!AY70,'4.07_Repex_Services'!AY155,'4.07_Repex_Services'!AY224,'4.07_Repex_Services'!AY293)</f>
        <v>0.54870134096459866</v>
      </c>
      <c r="BO129" s="643">
        <f>SUM('4.07_Repex_Services'!AZ70,'4.07_Repex_Services'!AZ155,'4.07_Repex_Services'!AZ224,'4.07_Repex_Services'!AZ293)</f>
        <v>0.54870134096459866</v>
      </c>
      <c r="BP129" s="163"/>
      <c r="BQ129" s="164" t="s">
        <v>2648</v>
      </c>
      <c r="BR129" s="641">
        <f t="shared" ref="BR129" si="868">IF(BC129,AN129/BC129,0)</f>
        <v>0</v>
      </c>
      <c r="BS129" s="642">
        <f t="shared" si="855"/>
        <v>0</v>
      </c>
      <c r="BT129" s="642">
        <f t="shared" si="856"/>
        <v>0</v>
      </c>
      <c r="BU129" s="642">
        <f t="shared" si="857"/>
        <v>0</v>
      </c>
      <c r="BV129" s="642">
        <f t="shared" si="858"/>
        <v>0</v>
      </c>
      <c r="BW129" s="642">
        <f t="shared" si="859"/>
        <v>0</v>
      </c>
      <c r="BX129" s="642">
        <f t="shared" si="860"/>
        <v>0</v>
      </c>
      <c r="BY129" s="643">
        <f t="shared" si="861"/>
        <v>0</v>
      </c>
      <c r="BZ129" s="641">
        <f t="shared" si="862"/>
        <v>2.5080258760048232E-4</v>
      </c>
      <c r="CA129" s="642">
        <f t="shared" si="863"/>
        <v>2.4954857466247992E-4</v>
      </c>
      <c r="CB129" s="642">
        <f t="shared" si="864"/>
        <v>2.4830083178916751E-4</v>
      </c>
      <c r="CC129" s="642">
        <f t="shared" si="865"/>
        <v>2.4705932763022172E-4</v>
      </c>
      <c r="CD129" s="643">
        <f t="shared" si="866"/>
        <v>2.4582403099207057E-4</v>
      </c>
    </row>
    <row r="130" spans="1:82" ht="14.25">
      <c r="B130" s="161"/>
      <c r="C130" s="185" t="s">
        <v>1710</v>
      </c>
      <c r="D130" s="660"/>
      <c r="E130" s="185"/>
      <c r="F130" s="162"/>
      <c r="G130" s="185"/>
      <c r="H130" s="185"/>
      <c r="I130" s="164" t="s">
        <v>498</v>
      </c>
      <c r="J130" s="697">
        <f>SUM(J128:J129)</f>
        <v>1.0537001846743768E-2</v>
      </c>
      <c r="K130" s="698">
        <f t="shared" ref="K130:V130" si="869">SUM(K128:K129)</f>
        <v>1.037234543941481E-2</v>
      </c>
      <c r="L130" s="698">
        <f t="shared" si="869"/>
        <v>2.3484388270788185E-2</v>
      </c>
      <c r="M130" s="698">
        <f t="shared" si="869"/>
        <v>1.1362112512338608E-2</v>
      </c>
      <c r="N130" s="698">
        <f t="shared" si="869"/>
        <v>2.9773378810424047E-2</v>
      </c>
      <c r="O130" s="698">
        <f t="shared" si="869"/>
        <v>1.5127634327153897E-2</v>
      </c>
      <c r="P130" s="698">
        <f t="shared" si="869"/>
        <v>0</v>
      </c>
      <c r="Q130" s="699">
        <f t="shared" si="869"/>
        <v>0</v>
      </c>
      <c r="R130" s="697">
        <f t="shared" si="869"/>
        <v>8.6101460455848128E-3</v>
      </c>
      <c r="S130" s="698">
        <f t="shared" si="869"/>
        <v>8.5670953153568884E-3</v>
      </c>
      <c r="T130" s="698">
        <f t="shared" si="869"/>
        <v>8.5242598387801037E-3</v>
      </c>
      <c r="U130" s="698">
        <f t="shared" si="869"/>
        <v>8.4816385395862018E-3</v>
      </c>
      <c r="V130" s="699">
        <f t="shared" si="869"/>
        <v>8.4392303468882705E-3</v>
      </c>
      <c r="W130" s="185"/>
      <c r="X130" s="164" t="s">
        <v>498</v>
      </c>
      <c r="Y130" s="697">
        <f>SUM(Y128:Y129)</f>
        <v>0</v>
      </c>
      <c r="Z130" s="698">
        <f t="shared" ref="Z130" si="870">SUM(Z128:Z129)</f>
        <v>0</v>
      </c>
      <c r="AA130" s="698">
        <f t="shared" ref="AA130" si="871">SUM(AA128:AA129)</f>
        <v>0</v>
      </c>
      <c r="AB130" s="698">
        <f t="shared" ref="AB130" si="872">SUM(AB128:AB129)</f>
        <v>0</v>
      </c>
      <c r="AC130" s="698">
        <f t="shared" ref="AC130" si="873">SUM(AC128:AC129)</f>
        <v>0</v>
      </c>
      <c r="AD130" s="698">
        <f t="shared" ref="AD130" si="874">SUM(AD128:AD129)</f>
        <v>0</v>
      </c>
      <c r="AE130" s="698">
        <f t="shared" ref="AE130" si="875">SUM(AE128:AE129)</f>
        <v>0</v>
      </c>
      <c r="AF130" s="699">
        <f t="shared" ref="AF130" si="876">SUM(AF128:AF129)</f>
        <v>0</v>
      </c>
      <c r="AG130" s="697">
        <f t="shared" ref="AG130" si="877">SUM(AG128:AG129)</f>
        <v>0</v>
      </c>
      <c r="AH130" s="698">
        <f t="shared" ref="AH130" si="878">SUM(AH128:AH129)</f>
        <v>0</v>
      </c>
      <c r="AI130" s="698">
        <f t="shared" ref="AI130" si="879">SUM(AI128:AI129)</f>
        <v>0</v>
      </c>
      <c r="AJ130" s="698">
        <f t="shared" ref="AJ130" si="880">SUM(AJ128:AJ129)</f>
        <v>0</v>
      </c>
      <c r="AK130" s="699">
        <f t="shared" ref="AK130" si="881">SUM(AK128:AK129)</f>
        <v>0</v>
      </c>
      <c r="AL130" s="185"/>
      <c r="AM130" s="164" t="s">
        <v>498</v>
      </c>
      <c r="AN130" s="697">
        <f>SUM(AN128:AN129)</f>
        <v>1.0537001846743768E-2</v>
      </c>
      <c r="AO130" s="698">
        <f t="shared" ref="AO130:AZ130" si="882">SUM(AO128:AO129)</f>
        <v>1.037234543941481E-2</v>
      </c>
      <c r="AP130" s="698">
        <f t="shared" si="882"/>
        <v>2.3484388270788185E-2</v>
      </c>
      <c r="AQ130" s="698">
        <f t="shared" si="882"/>
        <v>1.1362112512338608E-2</v>
      </c>
      <c r="AR130" s="698">
        <f t="shared" si="882"/>
        <v>2.9773378810424047E-2</v>
      </c>
      <c r="AS130" s="698">
        <f t="shared" si="882"/>
        <v>1.5127634327153897E-2</v>
      </c>
      <c r="AT130" s="698">
        <f t="shared" si="882"/>
        <v>0</v>
      </c>
      <c r="AU130" s="699">
        <f t="shared" si="882"/>
        <v>0</v>
      </c>
      <c r="AV130" s="697">
        <f t="shared" si="882"/>
        <v>8.6101460455848128E-3</v>
      </c>
      <c r="AW130" s="698">
        <f t="shared" si="882"/>
        <v>8.5670953153568884E-3</v>
      </c>
      <c r="AX130" s="698">
        <f t="shared" si="882"/>
        <v>8.5242598387801037E-3</v>
      </c>
      <c r="AY130" s="698">
        <f t="shared" si="882"/>
        <v>8.4816385395862018E-3</v>
      </c>
      <c r="AZ130" s="699">
        <f t="shared" si="882"/>
        <v>8.4392303468882705E-3</v>
      </c>
      <c r="BA130" s="185"/>
      <c r="BB130" s="164" t="s">
        <v>1876</v>
      </c>
      <c r="BC130" s="697">
        <f>SUM(BC128:BC129)</f>
        <v>0</v>
      </c>
      <c r="BD130" s="698">
        <f t="shared" ref="BD130:BO130" si="883">SUM(BD128:BD129)</f>
        <v>0</v>
      </c>
      <c r="BE130" s="698">
        <f t="shared" si="883"/>
        <v>0</v>
      </c>
      <c r="BF130" s="698">
        <f t="shared" si="883"/>
        <v>0</v>
      </c>
      <c r="BG130" s="698">
        <f t="shared" si="883"/>
        <v>0</v>
      </c>
      <c r="BH130" s="698">
        <f t="shared" si="883"/>
        <v>0</v>
      </c>
      <c r="BI130" s="698">
        <f t="shared" si="883"/>
        <v>0</v>
      </c>
      <c r="BJ130" s="699">
        <f t="shared" si="883"/>
        <v>0</v>
      </c>
      <c r="BK130" s="697">
        <f t="shared" si="883"/>
        <v>1.3717533524114964</v>
      </c>
      <c r="BL130" s="698">
        <f t="shared" si="883"/>
        <v>1.3717533524114964</v>
      </c>
      <c r="BM130" s="698">
        <f t="shared" si="883"/>
        <v>1.3717533524114964</v>
      </c>
      <c r="BN130" s="698">
        <f t="shared" si="883"/>
        <v>1.3717533524114964</v>
      </c>
      <c r="BO130" s="699">
        <f t="shared" si="883"/>
        <v>1.3717533524114964</v>
      </c>
      <c r="BP130" s="185"/>
      <c r="BQ130" s="117"/>
      <c r="BR130" s="159"/>
      <c r="BS130" s="117"/>
      <c r="BT130" s="117"/>
      <c r="BU130" s="117"/>
      <c r="BV130" s="117"/>
      <c r="BW130" s="117"/>
      <c r="BX130" s="117"/>
      <c r="BY130" s="160"/>
      <c r="BZ130" s="159"/>
      <c r="CA130" s="117"/>
      <c r="CB130" s="117"/>
      <c r="CC130" s="117"/>
      <c r="CD130" s="160"/>
    </row>
    <row r="131" spans="1:82" ht="14.25">
      <c r="B131" s="181"/>
      <c r="C131" s="185"/>
      <c r="D131" s="185"/>
      <c r="E131" s="182"/>
      <c r="F131" s="185"/>
      <c r="G131" s="184"/>
      <c r="H131" s="184"/>
      <c r="I131" s="117"/>
      <c r="J131" s="159"/>
      <c r="K131" s="117"/>
      <c r="L131" s="117"/>
      <c r="M131" s="117"/>
      <c r="N131" s="117"/>
      <c r="O131" s="117"/>
      <c r="P131" s="117"/>
      <c r="Q131" s="160"/>
      <c r="R131" s="159"/>
      <c r="S131" s="117"/>
      <c r="T131" s="117"/>
      <c r="U131" s="117"/>
      <c r="V131" s="160"/>
      <c r="W131" s="184"/>
      <c r="X131" s="117"/>
      <c r="Y131" s="159"/>
      <c r="Z131" s="117"/>
      <c r="AA131" s="117"/>
      <c r="AB131" s="117"/>
      <c r="AC131" s="117"/>
      <c r="AD131" s="117"/>
      <c r="AE131" s="117"/>
      <c r="AF131" s="160"/>
      <c r="AG131" s="159"/>
      <c r="AH131" s="117"/>
      <c r="AI131" s="117"/>
      <c r="AJ131" s="117"/>
      <c r="AK131" s="160"/>
      <c r="AL131" s="184"/>
      <c r="AM131" s="117"/>
      <c r="AN131" s="713"/>
      <c r="AO131" s="714"/>
      <c r="AP131" s="714"/>
      <c r="AQ131" s="714"/>
      <c r="AR131" s="714"/>
      <c r="AS131" s="714"/>
      <c r="AT131" s="714"/>
      <c r="AU131" s="715"/>
      <c r="AV131" s="716"/>
      <c r="AW131" s="714"/>
      <c r="AX131" s="714"/>
      <c r="AY131" s="714"/>
      <c r="AZ131" s="715"/>
      <c r="BA131" s="184"/>
      <c r="BB131" s="117"/>
      <c r="BC131" s="159"/>
      <c r="BD131" s="117"/>
      <c r="BE131" s="117"/>
      <c r="BF131" s="117"/>
      <c r="BG131" s="117"/>
      <c r="BH131" s="117"/>
      <c r="BI131" s="117"/>
      <c r="BJ131" s="160"/>
      <c r="BK131" s="159"/>
      <c r="BL131" s="117"/>
      <c r="BM131" s="117"/>
      <c r="BN131" s="117"/>
      <c r="BO131" s="160"/>
      <c r="BP131" s="184"/>
      <c r="BQ131" s="117"/>
      <c r="BR131" s="159"/>
      <c r="BS131" s="117"/>
      <c r="BT131" s="117"/>
      <c r="BU131" s="117"/>
      <c r="BV131" s="117"/>
      <c r="BW131" s="117"/>
      <c r="BX131" s="117"/>
      <c r="BY131" s="160"/>
      <c r="BZ131" s="159"/>
      <c r="CA131" s="117"/>
      <c r="CB131" s="117"/>
      <c r="CC131" s="117"/>
      <c r="CD131" s="160"/>
    </row>
    <row r="132" spans="1:82" ht="15" thickBot="1">
      <c r="B132" s="191" t="s">
        <v>1701</v>
      </c>
      <c r="C132" s="192"/>
      <c r="D132" s="192"/>
      <c r="E132" s="193"/>
      <c r="F132" s="192"/>
      <c r="G132" s="192"/>
      <c r="H132" s="194"/>
      <c r="I132" s="195" t="s">
        <v>498</v>
      </c>
      <c r="J132" s="701">
        <f>SUM(J120,J125,J130)</f>
        <v>4.5740264648892861</v>
      </c>
      <c r="K132" s="702">
        <f t="shared" ref="K132:V132" si="884">SUM(K120,K125,K130)</f>
        <v>2.652487234984406</v>
      </c>
      <c r="L132" s="702">
        <f t="shared" si="884"/>
        <v>2.9043963957505783</v>
      </c>
      <c r="M132" s="702">
        <f t="shared" si="884"/>
        <v>1.6172634158066086</v>
      </c>
      <c r="N132" s="702">
        <f t="shared" si="884"/>
        <v>1.8938145602640353</v>
      </c>
      <c r="O132" s="702">
        <f t="shared" si="884"/>
        <v>4.6852117207465804</v>
      </c>
      <c r="P132" s="702">
        <f t="shared" si="884"/>
        <v>2.9258597274046076</v>
      </c>
      <c r="Q132" s="703">
        <f t="shared" si="884"/>
        <v>2.4908850316402544</v>
      </c>
      <c r="R132" s="701">
        <f t="shared" si="884"/>
        <v>7.2714531586290558</v>
      </c>
      <c r="S132" s="702">
        <f t="shared" si="884"/>
        <v>7.2350958928359104</v>
      </c>
      <c r="T132" s="702">
        <f t="shared" si="884"/>
        <v>7.1989204133717308</v>
      </c>
      <c r="U132" s="702">
        <f t="shared" si="884"/>
        <v>7.1629258113048726</v>
      </c>
      <c r="V132" s="703">
        <f t="shared" si="884"/>
        <v>7.1271111822483482</v>
      </c>
      <c r="W132" s="194"/>
      <c r="X132" s="195" t="s">
        <v>498</v>
      </c>
      <c r="Y132" s="701">
        <f>SUM(Y120,Y125,Y130)</f>
        <v>-0.43986345569506069</v>
      </c>
      <c r="Z132" s="702">
        <f t="shared" ref="Z132:AK132" si="885">SUM(Z120,Z125,Z130)</f>
        <v>-1.9971925095105827E-2</v>
      </c>
      <c r="AA132" s="702">
        <f t="shared" si="885"/>
        <v>-0.30881190017736804</v>
      </c>
      <c r="AB132" s="702">
        <f t="shared" si="885"/>
        <v>0</v>
      </c>
      <c r="AC132" s="702">
        <f t="shared" si="885"/>
        <v>0</v>
      </c>
      <c r="AD132" s="702">
        <f t="shared" si="885"/>
        <v>0</v>
      </c>
      <c r="AE132" s="702">
        <f t="shared" si="885"/>
        <v>-0.2372815841344281</v>
      </c>
      <c r="AF132" s="703">
        <f t="shared" si="885"/>
        <v>-0.20908969871722355</v>
      </c>
      <c r="AG132" s="701">
        <f t="shared" si="885"/>
        <v>-0.62028458849790769</v>
      </c>
      <c r="AH132" s="702">
        <f t="shared" si="885"/>
        <v>-0.61718316555541808</v>
      </c>
      <c r="AI132" s="702">
        <f t="shared" si="885"/>
        <v>-0.6140972497276409</v>
      </c>
      <c r="AJ132" s="702">
        <f t="shared" si="885"/>
        <v>-0.61102676347900275</v>
      </c>
      <c r="AK132" s="703">
        <f t="shared" si="885"/>
        <v>-0.60797162966160789</v>
      </c>
      <c r="AL132" s="194"/>
      <c r="AM132" s="195" t="s">
        <v>498</v>
      </c>
      <c r="AN132" s="701">
        <f>SUM(AN120,AN125,AN130)</f>
        <v>4.134163009194225</v>
      </c>
      <c r="AO132" s="702">
        <f t="shared" ref="AO132:AZ132" si="886">SUM(AO120,AO125,AO130)</f>
        <v>2.6325153098893002</v>
      </c>
      <c r="AP132" s="702">
        <f t="shared" si="886"/>
        <v>2.5955844955732101</v>
      </c>
      <c r="AQ132" s="702">
        <f t="shared" si="886"/>
        <v>1.6172634158066086</v>
      </c>
      <c r="AR132" s="702">
        <f t="shared" si="886"/>
        <v>1.8938145602640353</v>
      </c>
      <c r="AS132" s="702">
        <f t="shared" si="886"/>
        <v>4.6852117207465804</v>
      </c>
      <c r="AT132" s="702">
        <f t="shared" si="886"/>
        <v>2.6885781432701799</v>
      </c>
      <c r="AU132" s="703">
        <f t="shared" si="886"/>
        <v>2.2817953329230307</v>
      </c>
      <c r="AV132" s="701">
        <f t="shared" si="886"/>
        <v>6.6511685701311478</v>
      </c>
      <c r="AW132" s="702">
        <f t="shared" si="886"/>
        <v>6.6179127272804923</v>
      </c>
      <c r="AX132" s="702">
        <f t="shared" si="886"/>
        <v>6.5848231636440904</v>
      </c>
      <c r="AY132" s="702">
        <f t="shared" si="886"/>
        <v>6.5518990478258701</v>
      </c>
      <c r="AZ132" s="703">
        <f t="shared" si="886"/>
        <v>6.5191395525867399</v>
      </c>
      <c r="BA132" s="194"/>
      <c r="BB132" s="194"/>
      <c r="BC132" s="656"/>
      <c r="BD132" s="194"/>
      <c r="BE132" s="194"/>
      <c r="BF132" s="194"/>
      <c r="BG132" s="194"/>
      <c r="BH132" s="194"/>
      <c r="BI132" s="194"/>
      <c r="BJ132" s="972"/>
      <c r="BK132" s="656"/>
      <c r="BL132" s="194"/>
      <c r="BM132" s="194"/>
      <c r="BN132" s="194"/>
      <c r="BO132" s="972"/>
      <c r="BP132" s="194"/>
      <c r="BQ132" s="194"/>
      <c r="BR132" s="656"/>
      <c r="BS132" s="194"/>
      <c r="BT132" s="194"/>
      <c r="BU132" s="194"/>
      <c r="BV132" s="194"/>
      <c r="BW132" s="194"/>
      <c r="BX132" s="194"/>
      <c r="BY132" s="972"/>
      <c r="BZ132" s="656"/>
      <c r="CA132" s="194"/>
      <c r="CB132" s="194"/>
      <c r="CC132" s="194"/>
      <c r="CD132" s="972"/>
    </row>
    <row r="133" spans="1:82" ht="15" thickBot="1">
      <c r="B133" s="185"/>
      <c r="C133" s="185"/>
      <c r="D133" s="162"/>
      <c r="E133" s="162"/>
      <c r="F133" s="185"/>
      <c r="G133" s="185"/>
      <c r="H133" s="163"/>
      <c r="I133" s="185"/>
      <c r="J133" s="162"/>
      <c r="K133" s="162"/>
      <c r="L133" s="185"/>
      <c r="M133" s="185"/>
      <c r="N133" s="163"/>
      <c r="O133" s="185"/>
      <c r="P133" s="162"/>
      <c r="Q133" s="162"/>
      <c r="R133" s="185"/>
      <c r="S133" s="185"/>
      <c r="T133" s="163"/>
      <c r="U133" s="185"/>
      <c r="V133" s="162"/>
      <c r="AH133" s="173"/>
      <c r="AQ133" s="173"/>
    </row>
    <row r="134" spans="1:82" s="100" customFormat="1" ht="30" customHeight="1" thickBot="1">
      <c r="A134" s="89"/>
      <c r="B134" s="621" t="s">
        <v>2670</v>
      </c>
      <c r="C134" s="102"/>
      <c r="D134" s="102"/>
      <c r="E134" s="102"/>
      <c r="F134" s="102"/>
      <c r="G134" s="103"/>
      <c r="H134" s="103"/>
      <c r="I134" s="105" t="s">
        <v>1864</v>
      </c>
      <c r="J134" s="106"/>
      <c r="K134" s="106"/>
      <c r="L134" s="106"/>
      <c r="M134" s="106"/>
      <c r="N134" s="106"/>
      <c r="O134" s="106"/>
      <c r="P134" s="106"/>
      <c r="Q134" s="106"/>
      <c r="R134" s="105"/>
      <c r="S134" s="105"/>
      <c r="T134" s="105"/>
      <c r="U134" s="105"/>
      <c r="V134" s="187"/>
      <c r="W134" s="103"/>
      <c r="X134" s="105" t="s">
        <v>2202</v>
      </c>
      <c r="Y134" s="106"/>
      <c r="Z134" s="106"/>
      <c r="AA134" s="106"/>
      <c r="AB134" s="106"/>
      <c r="AC134" s="106"/>
      <c r="AD134" s="106"/>
      <c r="AE134" s="106"/>
      <c r="AF134" s="106"/>
      <c r="AG134" s="105"/>
      <c r="AH134" s="105"/>
      <c r="AI134" s="105"/>
      <c r="AJ134" s="105"/>
      <c r="AK134" s="187"/>
      <c r="AL134" s="103"/>
      <c r="AM134" s="105" t="s">
        <v>1704</v>
      </c>
      <c r="AN134" s="106"/>
      <c r="AO134" s="106"/>
      <c r="AP134" s="106"/>
      <c r="AQ134" s="106"/>
      <c r="AR134" s="106"/>
      <c r="AS134" s="106"/>
      <c r="AT134" s="106"/>
      <c r="AU134" s="106"/>
      <c r="AV134" s="105"/>
      <c r="AW134" s="105"/>
      <c r="AX134" s="105"/>
      <c r="AY134" s="105"/>
      <c r="AZ134" s="187"/>
      <c r="BA134" s="103"/>
      <c r="BB134" s="105" t="s">
        <v>2231</v>
      </c>
      <c r="BC134" s="106"/>
      <c r="BD134" s="106"/>
      <c r="BE134" s="106"/>
      <c r="BF134" s="106"/>
      <c r="BG134" s="106"/>
      <c r="BH134" s="106"/>
      <c r="BI134" s="106"/>
      <c r="BJ134" s="106"/>
      <c r="BK134" s="105"/>
      <c r="BL134" s="105"/>
      <c r="BM134" s="105"/>
      <c r="BN134" s="105"/>
      <c r="BO134" s="187"/>
      <c r="BP134" s="103"/>
      <c r="BQ134" s="105" t="s">
        <v>2414</v>
      </c>
      <c r="BR134" s="106"/>
      <c r="BS134" s="106"/>
      <c r="BT134" s="106"/>
      <c r="BU134" s="106"/>
      <c r="BV134" s="106"/>
      <c r="BW134" s="106"/>
      <c r="BX134" s="106"/>
      <c r="BY134" s="106"/>
      <c r="BZ134" s="105"/>
      <c r="CA134" s="105"/>
      <c r="CB134" s="105"/>
      <c r="CC134" s="105"/>
      <c r="CD134" s="187"/>
    </row>
    <row r="135" spans="1:82" s="157" customFormat="1" ht="30" customHeight="1">
      <c r="A135" s="99"/>
      <c r="B135" s="109"/>
      <c r="C135" s="110"/>
      <c r="D135" s="110"/>
      <c r="E135" s="110"/>
      <c r="F135" s="110"/>
      <c r="G135" s="111"/>
      <c r="H135" s="111"/>
      <c r="I135" s="117"/>
      <c r="J135" s="695" t="s">
        <v>1666</v>
      </c>
      <c r="K135" s="152"/>
      <c r="L135" s="152"/>
      <c r="M135" s="152"/>
      <c r="N135" s="152"/>
      <c r="O135" s="152"/>
      <c r="P135" s="152"/>
      <c r="Q135" s="153"/>
      <c r="R135" s="696" t="s">
        <v>2</v>
      </c>
      <c r="S135" s="155"/>
      <c r="T135" s="155"/>
      <c r="U135" s="155"/>
      <c r="V135" s="156"/>
      <c r="W135" s="111"/>
      <c r="X135" s="117"/>
      <c r="Y135" s="695" t="s">
        <v>1666</v>
      </c>
      <c r="Z135" s="152"/>
      <c r="AA135" s="152"/>
      <c r="AB135" s="152"/>
      <c r="AC135" s="152"/>
      <c r="AD135" s="152"/>
      <c r="AE135" s="152"/>
      <c r="AF135" s="153"/>
      <c r="AG135" s="696" t="s">
        <v>2</v>
      </c>
      <c r="AH135" s="155"/>
      <c r="AI135" s="155"/>
      <c r="AJ135" s="155"/>
      <c r="AK135" s="156"/>
      <c r="AL135" s="111"/>
      <c r="AM135" s="117"/>
      <c r="AN135" s="695" t="s">
        <v>1666</v>
      </c>
      <c r="AO135" s="152"/>
      <c r="AP135" s="152"/>
      <c r="AQ135" s="152"/>
      <c r="AR135" s="152"/>
      <c r="AS135" s="152"/>
      <c r="AT135" s="152"/>
      <c r="AU135" s="153"/>
      <c r="AV135" s="696" t="s">
        <v>2</v>
      </c>
      <c r="AW135" s="155"/>
      <c r="AX135" s="155"/>
      <c r="AY135" s="155"/>
      <c r="AZ135" s="156"/>
      <c r="BA135" s="111"/>
      <c r="BB135" s="117"/>
      <c r="BC135" s="695" t="s">
        <v>1666</v>
      </c>
      <c r="BD135" s="152"/>
      <c r="BE135" s="152"/>
      <c r="BF135" s="152"/>
      <c r="BG135" s="152"/>
      <c r="BH135" s="152"/>
      <c r="BI135" s="152"/>
      <c r="BJ135" s="153"/>
      <c r="BK135" s="696" t="s">
        <v>2</v>
      </c>
      <c r="BL135" s="155"/>
      <c r="BM135" s="155"/>
      <c r="BN135" s="155"/>
      <c r="BO135" s="156"/>
      <c r="BP135" s="111"/>
      <c r="BQ135" s="117"/>
      <c r="BR135" s="695" t="s">
        <v>1666</v>
      </c>
      <c r="BS135" s="152"/>
      <c r="BT135" s="152"/>
      <c r="BU135" s="152"/>
      <c r="BV135" s="152"/>
      <c r="BW135" s="152"/>
      <c r="BX135" s="152"/>
      <c r="BY135" s="153"/>
      <c r="BZ135" s="696" t="s">
        <v>2</v>
      </c>
      <c r="CA135" s="155"/>
      <c r="CB135" s="155"/>
      <c r="CC135" s="155"/>
      <c r="CD135" s="156"/>
    </row>
    <row r="136" spans="1:82" ht="15">
      <c r="B136" s="115"/>
      <c r="C136" s="185"/>
      <c r="D136" s="116"/>
      <c r="E136" s="116"/>
      <c r="F136" s="116"/>
      <c r="G136" s="117"/>
      <c r="H136" s="117"/>
      <c r="I136" s="119" t="s">
        <v>1667</v>
      </c>
      <c r="J136" s="158" t="s">
        <v>453</v>
      </c>
      <c r="K136" s="137" t="s">
        <v>455</v>
      </c>
      <c r="L136" s="137" t="s">
        <v>457</v>
      </c>
      <c r="M136" s="137" t="s">
        <v>459</v>
      </c>
      <c r="N136" s="137" t="s">
        <v>461</v>
      </c>
      <c r="O136" s="137" t="s">
        <v>463</v>
      </c>
      <c r="P136" s="137" t="s">
        <v>465</v>
      </c>
      <c r="Q136" s="138" t="s">
        <v>467</v>
      </c>
      <c r="R136" s="120" t="s">
        <v>469</v>
      </c>
      <c r="S136" s="121" t="s">
        <v>471</v>
      </c>
      <c r="T136" s="121" t="s">
        <v>473</v>
      </c>
      <c r="U136" s="121" t="s">
        <v>475</v>
      </c>
      <c r="V136" s="122" t="s">
        <v>477</v>
      </c>
      <c r="W136" s="117"/>
      <c r="X136" s="119" t="s">
        <v>1667</v>
      </c>
      <c r="Y136" s="158" t="s">
        <v>453</v>
      </c>
      <c r="Z136" s="137" t="s">
        <v>455</v>
      </c>
      <c r="AA136" s="137" t="s">
        <v>457</v>
      </c>
      <c r="AB136" s="137" t="s">
        <v>459</v>
      </c>
      <c r="AC136" s="137" t="s">
        <v>461</v>
      </c>
      <c r="AD136" s="137" t="s">
        <v>463</v>
      </c>
      <c r="AE136" s="137" t="s">
        <v>465</v>
      </c>
      <c r="AF136" s="138" t="s">
        <v>467</v>
      </c>
      <c r="AG136" s="120" t="s">
        <v>469</v>
      </c>
      <c r="AH136" s="121" t="s">
        <v>471</v>
      </c>
      <c r="AI136" s="121" t="s">
        <v>473</v>
      </c>
      <c r="AJ136" s="121" t="s">
        <v>475</v>
      </c>
      <c r="AK136" s="122" t="s">
        <v>477</v>
      </c>
      <c r="AL136" s="117"/>
      <c r="AM136" s="119" t="s">
        <v>1667</v>
      </c>
      <c r="AN136" s="158" t="s">
        <v>453</v>
      </c>
      <c r="AO136" s="137" t="s">
        <v>455</v>
      </c>
      <c r="AP136" s="137" t="s">
        <v>457</v>
      </c>
      <c r="AQ136" s="137" t="s">
        <v>459</v>
      </c>
      <c r="AR136" s="137" t="s">
        <v>461</v>
      </c>
      <c r="AS136" s="137" t="s">
        <v>463</v>
      </c>
      <c r="AT136" s="137" t="s">
        <v>465</v>
      </c>
      <c r="AU136" s="138" t="s">
        <v>467</v>
      </c>
      <c r="AV136" s="120" t="s">
        <v>469</v>
      </c>
      <c r="AW136" s="121" t="s">
        <v>471</v>
      </c>
      <c r="AX136" s="121" t="s">
        <v>473</v>
      </c>
      <c r="AY136" s="121" t="s">
        <v>475</v>
      </c>
      <c r="AZ136" s="122" t="s">
        <v>477</v>
      </c>
      <c r="BA136" s="117"/>
      <c r="BB136" s="119" t="s">
        <v>1667</v>
      </c>
      <c r="BC136" s="158" t="s">
        <v>453</v>
      </c>
      <c r="BD136" s="137" t="s">
        <v>455</v>
      </c>
      <c r="BE136" s="137" t="s">
        <v>457</v>
      </c>
      <c r="BF136" s="137" t="s">
        <v>459</v>
      </c>
      <c r="BG136" s="137" t="s">
        <v>461</v>
      </c>
      <c r="BH136" s="137" t="s">
        <v>463</v>
      </c>
      <c r="BI136" s="137" t="s">
        <v>465</v>
      </c>
      <c r="BJ136" s="138" t="s">
        <v>467</v>
      </c>
      <c r="BK136" s="120" t="s">
        <v>469</v>
      </c>
      <c r="BL136" s="121" t="s">
        <v>471</v>
      </c>
      <c r="BM136" s="121" t="s">
        <v>473</v>
      </c>
      <c r="BN136" s="121" t="s">
        <v>475</v>
      </c>
      <c r="BO136" s="122" t="s">
        <v>477</v>
      </c>
      <c r="BP136" s="117"/>
      <c r="BQ136" s="119" t="s">
        <v>1667</v>
      </c>
      <c r="BR136" s="158" t="s">
        <v>453</v>
      </c>
      <c r="BS136" s="137" t="s">
        <v>455</v>
      </c>
      <c r="BT136" s="137" t="s">
        <v>457</v>
      </c>
      <c r="BU136" s="137" t="s">
        <v>459</v>
      </c>
      <c r="BV136" s="137" t="s">
        <v>461</v>
      </c>
      <c r="BW136" s="137" t="s">
        <v>463</v>
      </c>
      <c r="BX136" s="137" t="s">
        <v>465</v>
      </c>
      <c r="BY136" s="138" t="s">
        <v>467</v>
      </c>
      <c r="BZ136" s="120" t="s">
        <v>469</v>
      </c>
      <c r="CA136" s="121" t="s">
        <v>471</v>
      </c>
      <c r="CB136" s="121" t="s">
        <v>473</v>
      </c>
      <c r="CC136" s="121" t="s">
        <v>475</v>
      </c>
      <c r="CD136" s="122" t="s">
        <v>477</v>
      </c>
    </row>
    <row r="137" spans="1:82" ht="15.75">
      <c r="B137" s="161"/>
      <c r="C137" s="616" t="s">
        <v>2652</v>
      </c>
      <c r="D137" s="186"/>
      <c r="E137" s="180"/>
      <c r="F137" s="180"/>
      <c r="G137" s="162"/>
      <c r="H137" s="163"/>
      <c r="I137" s="117"/>
      <c r="J137" s="159"/>
      <c r="K137" s="117"/>
      <c r="L137" s="117"/>
      <c r="M137" s="117"/>
      <c r="N137" s="117"/>
      <c r="O137" s="117"/>
      <c r="P137" s="117"/>
      <c r="Q137" s="160"/>
      <c r="R137" s="159"/>
      <c r="S137" s="117"/>
      <c r="T137" s="117"/>
      <c r="U137" s="117"/>
      <c r="V137" s="160"/>
      <c r="W137" s="163"/>
      <c r="X137" s="117"/>
      <c r="Y137" s="159"/>
      <c r="Z137" s="117"/>
      <c r="AA137" s="117"/>
      <c r="AB137" s="117"/>
      <c r="AC137" s="117"/>
      <c r="AD137" s="117"/>
      <c r="AE137" s="117"/>
      <c r="AF137" s="160"/>
      <c r="AG137" s="159"/>
      <c r="AH137" s="117"/>
      <c r="AI137" s="117"/>
      <c r="AJ137" s="117"/>
      <c r="AK137" s="160"/>
      <c r="AL137" s="163"/>
      <c r="AM137" s="117"/>
      <c r="AN137" s="159"/>
      <c r="AO137" s="117"/>
      <c r="AP137" s="117"/>
      <c r="AQ137" s="117"/>
      <c r="AR137" s="117"/>
      <c r="AS137" s="117"/>
      <c r="AT137" s="117"/>
      <c r="AU137" s="160"/>
      <c r="AV137" s="159"/>
      <c r="AW137" s="117"/>
      <c r="AX137" s="117"/>
      <c r="AY137" s="117"/>
      <c r="AZ137" s="160"/>
      <c r="BA137" s="163"/>
      <c r="BB137" s="117"/>
      <c r="BC137" s="159"/>
      <c r="BD137" s="117"/>
      <c r="BE137" s="117"/>
      <c r="BF137" s="117"/>
      <c r="BG137" s="117"/>
      <c r="BH137" s="117"/>
      <c r="BI137" s="117"/>
      <c r="BJ137" s="160"/>
      <c r="BK137" s="159"/>
      <c r="BL137" s="117"/>
      <c r="BM137" s="117"/>
      <c r="BN137" s="117"/>
      <c r="BO137" s="160"/>
      <c r="BP137" s="163"/>
      <c r="BQ137" s="117"/>
      <c r="BR137" s="159"/>
      <c r="BS137" s="117"/>
      <c r="BT137" s="117"/>
      <c r="BU137" s="117"/>
      <c r="BV137" s="117"/>
      <c r="BW137" s="117"/>
      <c r="BX137" s="117"/>
      <c r="BY137" s="160"/>
      <c r="BZ137" s="159"/>
      <c r="CA137" s="117"/>
      <c r="CB137" s="117"/>
      <c r="CC137" s="117"/>
      <c r="CD137" s="160"/>
    </row>
    <row r="138" spans="1:82" ht="15">
      <c r="B138" s="161"/>
      <c r="C138" s="185"/>
      <c r="D138" s="185" t="s">
        <v>2670</v>
      </c>
      <c r="E138" s="617"/>
      <c r="F138" s="162"/>
      <c r="G138" s="162"/>
      <c r="H138" s="185"/>
      <c r="I138" s="164" t="s">
        <v>498</v>
      </c>
      <c r="J138" s="641">
        <f>'4.04_Repex_Mains_Other'!J131+'4.04_Repex_Mains_Other'!J42+'4.04_Repex_Mains_Other'!J59</f>
        <v>2.4406600834770318</v>
      </c>
      <c r="K138" s="641">
        <f>'4.04_Repex_Mains_Other'!K131+'4.04_Repex_Mains_Other'!K42+'4.04_Repex_Mains_Other'!K59</f>
        <v>3.8516400291834332</v>
      </c>
      <c r="L138" s="641">
        <f>'4.04_Repex_Mains_Other'!L131+'4.04_Repex_Mains_Other'!L42+'4.04_Repex_Mains_Other'!L59</f>
        <v>5.1226898287718896</v>
      </c>
      <c r="M138" s="641">
        <f>'4.04_Repex_Mains_Other'!M131+'4.04_Repex_Mains_Other'!M42+'4.04_Repex_Mains_Other'!M59</f>
        <v>3.7854975264132493</v>
      </c>
      <c r="N138" s="641">
        <f>'4.04_Repex_Mains_Other'!N131+'4.04_Repex_Mains_Other'!N42+'4.04_Repex_Mains_Other'!N59</f>
        <v>6.3629771766297072</v>
      </c>
      <c r="O138" s="641">
        <f>'4.04_Repex_Mains_Other'!O131+'4.04_Repex_Mains_Other'!O42+'4.04_Repex_Mains_Other'!O59</f>
        <v>4.0446403580822832</v>
      </c>
      <c r="P138" s="641">
        <f>'4.04_Repex_Mains_Other'!P131+'4.04_Repex_Mains_Other'!P42+'4.04_Repex_Mains_Other'!P59</f>
        <v>3.3130316525695127</v>
      </c>
      <c r="Q138" s="2540">
        <f>'4.04_Repex_Mains_Other'!Q131+'4.04_Repex_Mains_Other'!Q42+'4.04_Repex_Mains_Other'!Q59</f>
        <v>3.0833023351138795</v>
      </c>
      <c r="R138" s="641">
        <f>'4.04_Repex_Mains_Other'!R131+'4.04_Repex_Mains_Other'!R42+'4.04_Repex_Mains_Other'!R59</f>
        <v>17.693859450868192</v>
      </c>
      <c r="S138" s="641">
        <f>'4.04_Repex_Mains_Other'!S131+'4.04_Repex_Mains_Other'!S42+'4.04_Repex_Mains_Other'!S59</f>
        <v>17.60539015361385</v>
      </c>
      <c r="T138" s="641">
        <f>'4.04_Repex_Mains_Other'!T131+'4.04_Repex_Mains_Other'!T42+'4.04_Repex_Mains_Other'!T59</f>
        <v>17.517363202845786</v>
      </c>
      <c r="U138" s="641">
        <f>'4.04_Repex_Mains_Other'!U131+'4.04_Repex_Mains_Other'!U42+'4.04_Repex_Mains_Other'!U59</f>
        <v>17.429776386831556</v>
      </c>
      <c r="V138" s="2540">
        <f>'4.04_Repex_Mains_Other'!V131+'4.04_Repex_Mains_Other'!V42+'4.04_Repex_Mains_Other'!V59</f>
        <v>17.342627504897393</v>
      </c>
      <c r="W138" s="185"/>
      <c r="X138" s="164" t="s">
        <v>498</v>
      </c>
      <c r="Y138" s="641">
        <f>'4.04_Repex_Mains_Other'!Y131+'4.04_Repex_Mains_Other'!Y42+'4.04_Repex_Mains_Other'!Y59</f>
        <v>0</v>
      </c>
      <c r="Z138" s="642">
        <f>'4.04_Repex_Mains_Other'!Z131+'4.04_Repex_Mains_Other'!Z42+'4.04_Repex_Mains_Other'!Z59</f>
        <v>0</v>
      </c>
      <c r="AA138" s="642">
        <f>'4.04_Repex_Mains_Other'!AA131+'4.04_Repex_Mains_Other'!AA42+'4.04_Repex_Mains_Other'!AA59</f>
        <v>0</v>
      </c>
      <c r="AB138" s="642">
        <f>'4.04_Repex_Mains_Other'!AB131+'4.04_Repex_Mains_Other'!AB42+'4.04_Repex_Mains_Other'!AB59</f>
        <v>0</v>
      </c>
      <c r="AC138" s="642">
        <f>'4.04_Repex_Mains_Other'!AC131+'4.04_Repex_Mains_Other'!AC42+'4.04_Repex_Mains_Other'!AC59</f>
        <v>0</v>
      </c>
      <c r="AD138" s="642">
        <f>'4.04_Repex_Mains_Other'!AD131+'4.04_Repex_Mains_Other'!AD42+'4.04_Repex_Mains_Other'!AD59</f>
        <v>0</v>
      </c>
      <c r="AE138" s="642">
        <f>'4.04_Repex_Mains_Other'!AE131+'4.04_Repex_Mains_Other'!AE42+'4.04_Repex_Mains_Other'!AE59</f>
        <v>0</v>
      </c>
      <c r="AF138" s="643">
        <f>'4.04_Repex_Mains_Other'!AF131+'4.04_Repex_Mains_Other'!AF42+'4.04_Repex_Mains_Other'!AF59</f>
        <v>0</v>
      </c>
      <c r="AG138" s="641">
        <f>'4.04_Repex_Mains_Other'!AG131+'4.04_Repex_Mains_Other'!AG42+'4.04_Repex_Mains_Other'!AG59</f>
        <v>0</v>
      </c>
      <c r="AH138" s="642">
        <f>'4.04_Repex_Mains_Other'!AH131+'4.04_Repex_Mains_Other'!AH42+'4.04_Repex_Mains_Other'!AH59</f>
        <v>0</v>
      </c>
      <c r="AI138" s="642">
        <f>'4.04_Repex_Mains_Other'!AI131+'4.04_Repex_Mains_Other'!AI42+'4.04_Repex_Mains_Other'!AI59</f>
        <v>0</v>
      </c>
      <c r="AJ138" s="642">
        <f>'4.04_Repex_Mains_Other'!AJ131+'4.04_Repex_Mains_Other'!AJ42+'4.04_Repex_Mains_Other'!AJ59</f>
        <v>0</v>
      </c>
      <c r="AK138" s="643">
        <f>'4.04_Repex_Mains_Other'!AK131+'4.04_Repex_Mains_Other'!AK42+'4.04_Repex_Mains_Other'!AK59</f>
        <v>0</v>
      </c>
      <c r="AL138" s="185"/>
      <c r="AM138" s="164" t="s">
        <v>498</v>
      </c>
      <c r="AN138" s="641">
        <f>J138+Y138</f>
        <v>2.4406600834770318</v>
      </c>
      <c r="AO138" s="642">
        <f t="shared" ref="AO138:AO140" si="887">K138+Z138</f>
        <v>3.8516400291834332</v>
      </c>
      <c r="AP138" s="642">
        <f t="shared" ref="AP138:AP140" si="888">L138+AA138</f>
        <v>5.1226898287718896</v>
      </c>
      <c r="AQ138" s="642">
        <f t="shared" ref="AQ138:AQ140" si="889">M138+AB138</f>
        <v>3.7854975264132493</v>
      </c>
      <c r="AR138" s="642">
        <f t="shared" ref="AR138:AR140" si="890">N138+AC138</f>
        <v>6.3629771766297072</v>
      </c>
      <c r="AS138" s="642">
        <f t="shared" ref="AS138:AS140" si="891">O138+AD138</f>
        <v>4.0446403580822832</v>
      </c>
      <c r="AT138" s="642">
        <f t="shared" ref="AT138:AT140" si="892">P138+AE138</f>
        <v>3.3130316525695127</v>
      </c>
      <c r="AU138" s="643">
        <f t="shared" ref="AU138:AU140" si="893">Q138+AF138</f>
        <v>3.0833023351138795</v>
      </c>
      <c r="AV138" s="641">
        <f t="shared" ref="AV138:AV140" si="894">R138+AG138</f>
        <v>17.693859450868192</v>
      </c>
      <c r="AW138" s="642">
        <f t="shared" ref="AW138:AW140" si="895">S138+AH138</f>
        <v>17.60539015361385</v>
      </c>
      <c r="AX138" s="642">
        <f t="shared" ref="AX138:AX140" si="896">T138+AI138</f>
        <v>17.517363202845786</v>
      </c>
      <c r="AY138" s="642">
        <f t="shared" ref="AY138:AY140" si="897">U138+AJ138</f>
        <v>17.429776386831556</v>
      </c>
      <c r="AZ138" s="643">
        <f t="shared" ref="AZ138:AZ140" si="898">V138+AK138</f>
        <v>17.342627504897393</v>
      </c>
      <c r="BA138" s="185"/>
      <c r="BB138" s="164" t="s">
        <v>2233</v>
      </c>
      <c r="BC138" s="641">
        <f>'4.04_Repex_Mains_Other'!AN131+'4.04_Repex_Mains_Other'!AN42+'4.04_Repex_Mains_Other'!AN59</f>
        <v>19.46171</v>
      </c>
      <c r="BD138" s="642">
        <f>'4.04_Repex_Mains_Other'!AO131+'4.04_Repex_Mains_Other'!AO42+'4.04_Repex_Mains_Other'!AO59</f>
        <v>25.111500000000007</v>
      </c>
      <c r="BE138" s="642">
        <f>'4.04_Repex_Mains_Other'!AP131+'4.04_Repex_Mains_Other'!AP42+'4.04_Repex_Mains_Other'!AP59</f>
        <v>12.223500000000001</v>
      </c>
      <c r="BF138" s="642">
        <f>'4.04_Repex_Mains_Other'!AQ131+'4.04_Repex_Mains_Other'!AQ42+'4.04_Repex_Mains_Other'!AQ59</f>
        <v>21.176999999999992</v>
      </c>
      <c r="BG138" s="642">
        <f>'4.04_Repex_Mains_Other'!AR131+'4.04_Repex_Mains_Other'!AR42+'4.04_Repex_Mains_Other'!AR59</f>
        <v>20.522999999999996</v>
      </c>
      <c r="BH138" s="642">
        <f>'4.04_Repex_Mains_Other'!AS131+'4.04_Repex_Mains_Other'!AS42+'4.04_Repex_Mains_Other'!AS59</f>
        <v>22.330999999999996</v>
      </c>
      <c r="BI138" s="642">
        <f>'4.04_Repex_Mains_Other'!AT131+'4.04_Repex_Mains_Other'!AT42+'4.04_Repex_Mains_Other'!AT59</f>
        <v>16.315931435278792</v>
      </c>
      <c r="BJ138" s="643">
        <f>'4.04_Repex_Mains_Other'!AU131+'4.04_Repex_Mains_Other'!AU42+'4.04_Repex_Mains_Other'!AU59</f>
        <v>17.071664735106026</v>
      </c>
      <c r="BK138" s="641">
        <f>'4.04_Repex_Mains_Other'!AV131+'4.04_Repex_Mains_Other'!AV42+'4.04_Repex_Mains_Other'!AV59</f>
        <v>41.823849999999993</v>
      </c>
      <c r="BL138" s="642">
        <f>'4.04_Repex_Mains_Other'!AW131+'4.04_Repex_Mains_Other'!AW42+'4.04_Repex_Mains_Other'!AW59</f>
        <v>41.823849999999993</v>
      </c>
      <c r="BM138" s="642">
        <f>'4.04_Repex_Mains_Other'!AX131+'4.04_Repex_Mains_Other'!AX42+'4.04_Repex_Mains_Other'!AX59</f>
        <v>41.823849999999993</v>
      </c>
      <c r="BN138" s="642">
        <f>'4.04_Repex_Mains_Other'!AY131+'4.04_Repex_Mains_Other'!AY42+'4.04_Repex_Mains_Other'!AY59</f>
        <v>41.823849999999993</v>
      </c>
      <c r="BO138" s="643">
        <f>'4.04_Repex_Mains_Other'!AZ131+'4.04_Repex_Mains_Other'!AZ42+'4.04_Repex_Mains_Other'!AZ59</f>
        <v>41.823849999999993</v>
      </c>
      <c r="BP138" s="185"/>
      <c r="BQ138" s="164" t="s">
        <v>2415</v>
      </c>
      <c r="BR138" s="641">
        <f>IF(BC138,AN138/BC138,0)</f>
        <v>0.1254083060263991</v>
      </c>
      <c r="BS138" s="642">
        <f t="shared" ref="BS138:BS140" si="899">IF(BD138,AO138/BD138,0)</f>
        <v>0.15338151958996604</v>
      </c>
      <c r="BT138" s="642">
        <f t="shared" ref="BT138:BT140" si="900">IF(BE138,AP138/BE138,0)</f>
        <v>0.41908535433974631</v>
      </c>
      <c r="BU138" s="642">
        <f t="shared" ref="BU138:BU140" si="901">IF(BF138,AQ138/BF138,0)</f>
        <v>0.17875513653554567</v>
      </c>
      <c r="BV138" s="642">
        <f t="shared" ref="BV138:BV140" si="902">IF(BG138,AR138/BG138,0)</f>
        <v>0.31004127937580805</v>
      </c>
      <c r="BW138" s="642">
        <f t="shared" ref="BW138:BW140" si="903">IF(BH138,AS138/BH138,0)</f>
        <v>0.18112222283293555</v>
      </c>
      <c r="BX138" s="642">
        <f t="shared" ref="BX138:BX140" si="904">IF(BI138,AT138/BI138,0)</f>
        <v>0.20305501195022047</v>
      </c>
      <c r="BY138" s="643">
        <f t="shared" ref="BY138:BY140" si="905">IF(BJ138,AU138/BJ138,0)</f>
        <v>0.18060935374236836</v>
      </c>
      <c r="BZ138" s="641">
        <f t="shared" ref="BZ138:BZ140" si="906">IF(BK138,AV138/BK138,0)</f>
        <v>0.42305668777188604</v>
      </c>
      <c r="CA138" s="642">
        <f t="shared" ref="CA138:CA140" si="907">IF(BL138,AW138/BL138,0)</f>
        <v>0.42094140433302657</v>
      </c>
      <c r="CB138" s="642">
        <f t="shared" ref="CB138:CB140" si="908">IF(BM138,AX138/BM138,0)</f>
        <v>0.41883669731136153</v>
      </c>
      <c r="CC138" s="642">
        <f t="shared" ref="CC138:CC140" si="909">IF(BN138,AY138/BN138,0)</f>
        <v>0.41674251382480471</v>
      </c>
      <c r="CD138" s="643">
        <f t="shared" ref="CD138:CD140" si="910">IF(BO138,AZ138/BO138,0)</f>
        <v>0.41465880125568061</v>
      </c>
    </row>
    <row r="139" spans="1:82" ht="14.25">
      <c r="B139" s="161"/>
      <c r="C139" s="185"/>
      <c r="D139" s="185" t="s">
        <v>2671</v>
      </c>
      <c r="E139" s="185"/>
      <c r="F139" s="162"/>
      <c r="G139" s="185"/>
      <c r="H139" s="185"/>
      <c r="I139" s="164" t="s">
        <v>498</v>
      </c>
      <c r="J139" s="641">
        <f>'4.05_Repex_Mains_Diversions'!J78+'4.05_Repex_Mains_Diversions'!J92+'4.05_Repex_Mains_Diversions'!J103+'4.05_Repex_Mains_Diversions'!J163+'4.05_Repex_Mains_Diversions'!J177+'4.05_Repex_Mains_Diversions'!J188</f>
        <v>2.5814035267402988</v>
      </c>
      <c r="K139" s="641">
        <f>'4.05_Repex_Mains_Diversions'!K78+'4.05_Repex_Mains_Diversions'!K92+'4.05_Repex_Mains_Diversions'!K103+'4.05_Repex_Mains_Diversions'!K163+'4.05_Repex_Mains_Diversions'!K177+'4.05_Repex_Mains_Diversions'!K188</f>
        <v>2.5506777628255035</v>
      </c>
      <c r="L139" s="641">
        <f>'4.05_Repex_Mains_Diversions'!L78+'4.05_Repex_Mains_Diversions'!L92+'4.05_Repex_Mains_Diversions'!L103+'4.05_Repex_Mains_Diversions'!L163+'4.05_Repex_Mains_Diversions'!L177+'4.05_Repex_Mains_Diversions'!L188</f>
        <v>2.5257028024337176</v>
      </c>
      <c r="M139" s="641">
        <f>'4.05_Repex_Mains_Diversions'!M78+'4.05_Repex_Mains_Diversions'!M92+'4.05_Repex_Mains_Diversions'!M103+'4.05_Repex_Mains_Diversions'!M163+'4.05_Repex_Mains_Diversions'!M177+'4.05_Repex_Mains_Diversions'!M188</f>
        <v>2.6487855039769626</v>
      </c>
      <c r="N139" s="641">
        <f>'4.05_Repex_Mains_Diversions'!N78+'4.05_Repex_Mains_Diversions'!N92+'4.05_Repex_Mains_Diversions'!N103+'4.05_Repex_Mains_Diversions'!N163+'4.05_Repex_Mains_Diversions'!N177+'4.05_Repex_Mains_Diversions'!N188</f>
        <v>3.6264643230886513</v>
      </c>
      <c r="O139" s="641">
        <f>'4.05_Repex_Mains_Diversions'!O78+'4.05_Repex_Mains_Diversions'!O92+'4.05_Repex_Mains_Diversions'!O103+'4.05_Repex_Mains_Diversions'!O163+'4.05_Repex_Mains_Diversions'!O177+'4.05_Repex_Mains_Diversions'!O188</f>
        <v>2.6361358700917599</v>
      </c>
      <c r="P139" s="641">
        <f>'4.05_Repex_Mains_Diversions'!P78+'4.05_Repex_Mains_Diversions'!P92+'4.05_Repex_Mains_Diversions'!P103+'4.05_Repex_Mains_Diversions'!P163+'4.05_Repex_Mains_Diversions'!P177+'4.05_Repex_Mains_Diversions'!P188</f>
        <v>0</v>
      </c>
      <c r="Q139" s="2540">
        <f>'4.05_Repex_Mains_Diversions'!Q78+'4.05_Repex_Mains_Diversions'!Q92+'4.05_Repex_Mains_Diversions'!Q103+'4.05_Repex_Mains_Diversions'!Q163+'4.05_Repex_Mains_Diversions'!Q177+'4.05_Repex_Mains_Diversions'!Q188</f>
        <v>0</v>
      </c>
      <c r="R139" s="641">
        <f>'4.05_Repex_Mains_Diversions'!R78+'4.05_Repex_Mains_Diversions'!R92+'4.05_Repex_Mains_Diversions'!R103+'4.05_Repex_Mains_Diversions'!R163+'4.05_Repex_Mains_Diversions'!R177+'4.05_Repex_Mains_Diversions'!R188</f>
        <v>0</v>
      </c>
      <c r="S139" s="641">
        <f>'4.05_Repex_Mains_Diversions'!S78+'4.05_Repex_Mains_Diversions'!S92+'4.05_Repex_Mains_Diversions'!S103+'4.05_Repex_Mains_Diversions'!S163+'4.05_Repex_Mains_Diversions'!S177+'4.05_Repex_Mains_Diversions'!S188</f>
        <v>0</v>
      </c>
      <c r="T139" s="641">
        <f>'4.05_Repex_Mains_Diversions'!T78+'4.05_Repex_Mains_Diversions'!T92+'4.05_Repex_Mains_Diversions'!T103+'4.05_Repex_Mains_Diversions'!T163+'4.05_Repex_Mains_Diversions'!T177+'4.05_Repex_Mains_Diversions'!T188</f>
        <v>0</v>
      </c>
      <c r="U139" s="641">
        <f>'4.05_Repex_Mains_Diversions'!U78+'4.05_Repex_Mains_Diversions'!U92+'4.05_Repex_Mains_Diversions'!U103+'4.05_Repex_Mains_Diversions'!U163+'4.05_Repex_Mains_Diversions'!U177+'4.05_Repex_Mains_Diversions'!U188</f>
        <v>0</v>
      </c>
      <c r="V139" s="2540">
        <f>'4.05_Repex_Mains_Diversions'!V78+'4.05_Repex_Mains_Diversions'!V92+'4.05_Repex_Mains_Diversions'!V103+'4.05_Repex_Mains_Diversions'!V163+'4.05_Repex_Mains_Diversions'!V177+'4.05_Repex_Mains_Diversions'!V188</f>
        <v>0</v>
      </c>
      <c r="W139" s="185"/>
      <c r="X139" s="185"/>
      <c r="Y139" s="641">
        <f>'4.05_Repex_Mains_Diversions'!Y78+'4.05_Repex_Mains_Diversions'!Y92+'4.05_Repex_Mains_Diversions'!Y103+'4.05_Repex_Mains_Diversions'!Y163+'4.05_Repex_Mains_Diversions'!Y177+'4.05_Repex_Mains_Diversions'!Y188</f>
        <v>-1.9821297957955564</v>
      </c>
      <c r="Z139" s="642">
        <f>'4.05_Repex_Mains_Diversions'!Z78+'4.05_Repex_Mains_Diversions'!Z92+'4.05_Repex_Mains_Diversions'!Z103+'4.05_Repex_Mains_Diversions'!Z163+'4.05_Repex_Mains_Diversions'!Z177+'4.05_Repex_Mains_Diversions'!Z188</f>
        <v>-2.3585800544822586</v>
      </c>
      <c r="AA139" s="642">
        <f>'4.05_Repex_Mains_Diversions'!AA78+'4.05_Repex_Mains_Diversions'!AA92+'4.05_Repex_Mains_Diversions'!AA103+'4.05_Repex_Mains_Diversions'!AA163+'4.05_Repex_Mains_Diversions'!AA177+'4.05_Repex_Mains_Diversions'!AA188</f>
        <v>-0.88554771181436898</v>
      </c>
      <c r="AB139" s="642">
        <f>'4.05_Repex_Mains_Diversions'!AB78+'4.05_Repex_Mains_Diversions'!AB92+'4.05_Repex_Mains_Diversions'!AB103+'4.05_Repex_Mains_Diversions'!AB163+'4.05_Repex_Mains_Diversions'!AB177+'4.05_Repex_Mains_Diversions'!AB188</f>
        <v>-2.4695536201072343</v>
      </c>
      <c r="AC139" s="642">
        <f>'4.05_Repex_Mains_Diversions'!AC78+'4.05_Repex_Mains_Diversions'!AC92+'4.05_Repex_Mains_Diversions'!AC103+'4.05_Repex_Mains_Diversions'!AC163+'4.05_Repex_Mains_Diversions'!AC177+'4.05_Repex_Mains_Diversions'!AC188</f>
        <v>-2.9563206045100929</v>
      </c>
      <c r="AD139" s="642">
        <f>'4.05_Repex_Mains_Diversions'!AD78+'4.05_Repex_Mains_Diversions'!AD92+'4.05_Repex_Mains_Diversions'!AD103+'4.05_Repex_Mains_Diversions'!AD163+'4.05_Repex_Mains_Diversions'!AD177+'4.05_Repex_Mains_Diversions'!AD188</f>
        <v>-1.1431039774168803</v>
      </c>
      <c r="AE139" s="642">
        <f>'4.05_Repex_Mains_Diversions'!AE78+'4.05_Repex_Mains_Diversions'!AE92+'4.05_Repex_Mains_Diversions'!AE103+'4.05_Repex_Mains_Diversions'!AE163+'4.05_Repex_Mains_Diversions'!AE177+'4.05_Repex_Mains_Diversions'!AE188</f>
        <v>0</v>
      </c>
      <c r="AF139" s="643">
        <f>'4.05_Repex_Mains_Diversions'!AF78+'4.05_Repex_Mains_Diversions'!AF92+'4.05_Repex_Mains_Diversions'!AF103+'4.05_Repex_Mains_Diversions'!AF163+'4.05_Repex_Mains_Diversions'!AF177+'4.05_Repex_Mains_Diversions'!AF188</f>
        <v>0</v>
      </c>
      <c r="AG139" s="641">
        <f>'4.05_Repex_Mains_Diversions'!AG78+'4.05_Repex_Mains_Diversions'!AG92+'4.05_Repex_Mains_Diversions'!AG103+'4.05_Repex_Mains_Diversions'!AG163+'4.05_Repex_Mains_Diversions'!AG177+'4.05_Repex_Mains_Diversions'!AG188</f>
        <v>0</v>
      </c>
      <c r="AH139" s="642">
        <f>'4.05_Repex_Mains_Diversions'!AH78+'4.05_Repex_Mains_Diversions'!AH92+'4.05_Repex_Mains_Diversions'!AH103+'4.05_Repex_Mains_Diversions'!AH163+'4.05_Repex_Mains_Diversions'!AH177+'4.05_Repex_Mains_Diversions'!AH188</f>
        <v>0</v>
      </c>
      <c r="AI139" s="642">
        <f>'4.05_Repex_Mains_Diversions'!AI78+'4.05_Repex_Mains_Diversions'!AI92+'4.05_Repex_Mains_Diversions'!AI103+'4.05_Repex_Mains_Diversions'!AI163+'4.05_Repex_Mains_Diversions'!AI177+'4.05_Repex_Mains_Diversions'!AI188</f>
        <v>0</v>
      </c>
      <c r="AJ139" s="642">
        <f>'4.05_Repex_Mains_Diversions'!AJ78+'4.05_Repex_Mains_Diversions'!AJ92+'4.05_Repex_Mains_Diversions'!AJ103+'4.05_Repex_Mains_Diversions'!AJ163+'4.05_Repex_Mains_Diversions'!AJ177+'4.05_Repex_Mains_Diversions'!AJ188</f>
        <v>0</v>
      </c>
      <c r="AK139" s="643">
        <f>'4.05_Repex_Mains_Diversions'!AK78+'4.05_Repex_Mains_Diversions'!AK92+'4.05_Repex_Mains_Diversions'!AK103+'4.05_Repex_Mains_Diversions'!AK163+'4.05_Repex_Mains_Diversions'!AK177+'4.05_Repex_Mains_Diversions'!AK188</f>
        <v>0</v>
      </c>
      <c r="AL139" s="185"/>
      <c r="AM139" s="164" t="s">
        <v>498</v>
      </c>
      <c r="AN139" s="641">
        <f t="shared" ref="AN139:AN140" si="911">J139+Y139</f>
        <v>0.59927373094474246</v>
      </c>
      <c r="AO139" s="642">
        <f t="shared" si="887"/>
        <v>0.19209770834324491</v>
      </c>
      <c r="AP139" s="642">
        <f t="shared" si="888"/>
        <v>1.6401550906193485</v>
      </c>
      <c r="AQ139" s="642">
        <f t="shared" si="889"/>
        <v>0.17923188386972821</v>
      </c>
      <c r="AR139" s="642">
        <f t="shared" si="890"/>
        <v>0.67014371857855837</v>
      </c>
      <c r="AS139" s="642">
        <f t="shared" si="891"/>
        <v>1.4930318926748796</v>
      </c>
      <c r="AT139" s="642">
        <f t="shared" si="892"/>
        <v>0</v>
      </c>
      <c r="AU139" s="643">
        <f t="shared" si="893"/>
        <v>0</v>
      </c>
      <c r="AV139" s="641">
        <f t="shared" si="894"/>
        <v>0</v>
      </c>
      <c r="AW139" s="642">
        <f t="shared" si="895"/>
        <v>0</v>
      </c>
      <c r="AX139" s="642">
        <f t="shared" si="896"/>
        <v>0</v>
      </c>
      <c r="AY139" s="642">
        <f t="shared" si="897"/>
        <v>0</v>
      </c>
      <c r="AZ139" s="643">
        <f t="shared" si="898"/>
        <v>0</v>
      </c>
      <c r="BA139" s="185"/>
      <c r="BB139" s="164" t="s">
        <v>2233</v>
      </c>
      <c r="BC139" s="641">
        <f>'4.05_Repex_Mains_Diversions'!AN78+'4.05_Repex_Mains_Diversions'!AN92+'4.05_Repex_Mains_Diversions'!AN103+'4.05_Repex_Mains_Diversions'!AN163+'4.05_Repex_Mains_Diversions'!AN177+'4.05_Repex_Mains_Diversions'!AN188</f>
        <v>5.4809000000000001</v>
      </c>
      <c r="BD139" s="642">
        <f>'4.05_Repex_Mains_Diversions'!AO78+'4.05_Repex_Mains_Diversions'!AO92+'4.05_Repex_Mains_Diversions'!AO103+'4.05_Repex_Mains_Diversions'!AO163+'4.05_Repex_Mains_Diversions'!AO177+'4.05_Repex_Mains_Diversions'!AO188</f>
        <v>5.9844999999999997</v>
      </c>
      <c r="BE139" s="642">
        <f>'4.05_Repex_Mains_Diversions'!AP78+'4.05_Repex_Mains_Diversions'!AP92+'4.05_Repex_Mains_Diversions'!AP103+'4.05_Repex_Mains_Diversions'!AP163+'4.05_Repex_Mains_Diversions'!AP177+'4.05_Repex_Mains_Diversions'!AP188</f>
        <v>7.9035999999999991</v>
      </c>
      <c r="BF139" s="642">
        <f>'4.05_Repex_Mains_Diversions'!AQ78+'4.05_Repex_Mains_Diversions'!AQ92+'4.05_Repex_Mains_Diversions'!AQ103+'4.05_Repex_Mains_Diversions'!AQ163+'4.05_Repex_Mains_Diversions'!AQ177+'4.05_Repex_Mains_Diversions'!AQ188</f>
        <v>8.3669999999999991</v>
      </c>
      <c r="BG139" s="642">
        <f>'4.05_Repex_Mains_Diversions'!AR78+'4.05_Repex_Mains_Diversions'!AR92+'4.05_Repex_Mains_Diversions'!AR103+'4.05_Repex_Mains_Diversions'!AR163+'4.05_Repex_Mains_Diversions'!AR177+'4.05_Repex_Mains_Diversions'!AR188</f>
        <v>6.4740000000000002</v>
      </c>
      <c r="BH139" s="642">
        <f>'4.05_Repex_Mains_Diversions'!AS78+'4.05_Repex_Mains_Diversions'!AS92+'4.05_Repex_Mains_Diversions'!AS103+'4.05_Repex_Mains_Diversions'!AS163+'4.05_Repex_Mains_Diversions'!AS177+'4.05_Repex_Mains_Diversions'!AS188</f>
        <v>4.4049999999999994</v>
      </c>
      <c r="BI139" s="642">
        <f>'4.05_Repex_Mains_Diversions'!AT78+'4.05_Repex_Mains_Diversions'!AT92+'4.05_Repex_Mains_Diversions'!AT103+'4.05_Repex_Mains_Diversions'!AT163+'4.05_Repex_Mains_Diversions'!AT177+'4.05_Repex_Mains_Diversions'!AT188</f>
        <v>0</v>
      </c>
      <c r="BJ139" s="643">
        <f>'4.05_Repex_Mains_Diversions'!AU78+'4.05_Repex_Mains_Diversions'!AU92+'4.05_Repex_Mains_Diversions'!AU103+'4.05_Repex_Mains_Diversions'!AU163+'4.05_Repex_Mains_Diversions'!AU177+'4.05_Repex_Mains_Diversions'!AU188</f>
        <v>0</v>
      </c>
      <c r="BK139" s="641">
        <f>'4.05_Repex_Mains_Diversions'!AV78+'4.05_Repex_Mains_Diversions'!AV92+'4.05_Repex_Mains_Diversions'!AV103+'4.05_Repex_Mains_Diversions'!AV163+'4.05_Repex_Mains_Diversions'!AV177+'4.05_Repex_Mains_Diversions'!AV188</f>
        <v>0</v>
      </c>
      <c r="BL139" s="642">
        <f>'4.05_Repex_Mains_Diversions'!AW78+'4.05_Repex_Mains_Diversions'!AW92+'4.05_Repex_Mains_Diversions'!AW103+'4.05_Repex_Mains_Diversions'!AW163+'4.05_Repex_Mains_Diversions'!AW177+'4.05_Repex_Mains_Diversions'!AW188</f>
        <v>0</v>
      </c>
      <c r="BM139" s="642">
        <f>'4.05_Repex_Mains_Diversions'!AX78+'4.05_Repex_Mains_Diversions'!AX92+'4.05_Repex_Mains_Diversions'!AX103+'4.05_Repex_Mains_Diversions'!AX163+'4.05_Repex_Mains_Diversions'!AX177+'4.05_Repex_Mains_Diversions'!AX188</f>
        <v>0</v>
      </c>
      <c r="BN139" s="642">
        <f>'4.05_Repex_Mains_Diversions'!AY78+'4.05_Repex_Mains_Diversions'!AY92+'4.05_Repex_Mains_Diversions'!AY103+'4.05_Repex_Mains_Diversions'!AY163+'4.05_Repex_Mains_Diversions'!AY177+'4.05_Repex_Mains_Diversions'!AY188</f>
        <v>0</v>
      </c>
      <c r="BO139" s="643">
        <f>'4.05_Repex_Mains_Diversions'!AZ78+'4.05_Repex_Mains_Diversions'!AZ92+'4.05_Repex_Mains_Diversions'!AZ103+'4.05_Repex_Mains_Diversions'!AZ163+'4.05_Repex_Mains_Diversions'!AZ177+'4.05_Repex_Mains_Diversions'!AZ188</f>
        <v>0</v>
      </c>
      <c r="BP139" s="185"/>
      <c r="BQ139" s="164" t="s">
        <v>2415</v>
      </c>
      <c r="BR139" s="641">
        <f t="shared" ref="BR139:BR140" si="912">IF(BC139,AN139/BC139,0)</f>
        <v>0.10933856318209463</v>
      </c>
      <c r="BS139" s="642">
        <f t="shared" si="899"/>
        <v>3.2099207677039839E-2</v>
      </c>
      <c r="BT139" s="642">
        <f t="shared" si="900"/>
        <v>0.20752000235580606</v>
      </c>
      <c r="BU139" s="642">
        <f t="shared" si="901"/>
        <v>2.1421284076697529E-2</v>
      </c>
      <c r="BV139" s="642">
        <f t="shared" si="902"/>
        <v>0.10351308597135594</v>
      </c>
      <c r="BW139" s="642">
        <f t="shared" si="903"/>
        <v>0.33894027075479677</v>
      </c>
      <c r="BX139" s="642">
        <f t="shared" si="904"/>
        <v>0</v>
      </c>
      <c r="BY139" s="643">
        <f t="shared" si="905"/>
        <v>0</v>
      </c>
      <c r="BZ139" s="641">
        <f t="shared" si="906"/>
        <v>0</v>
      </c>
      <c r="CA139" s="642">
        <f t="shared" si="907"/>
        <v>0</v>
      </c>
      <c r="CB139" s="642">
        <f t="shared" si="908"/>
        <v>0</v>
      </c>
      <c r="CC139" s="642">
        <f t="shared" si="909"/>
        <v>0</v>
      </c>
      <c r="CD139" s="643">
        <f t="shared" si="910"/>
        <v>0</v>
      </c>
    </row>
    <row r="140" spans="1:82" ht="14.25">
      <c r="B140" s="161"/>
      <c r="C140" s="185"/>
      <c r="D140" s="185" t="s">
        <v>2672</v>
      </c>
      <c r="E140" s="185"/>
      <c r="F140" s="162"/>
      <c r="G140" s="185"/>
      <c r="H140" s="185"/>
      <c r="I140" s="164" t="s">
        <v>498</v>
      </c>
      <c r="J140" s="641">
        <f>'4.06_Capitalised_Replacement'!J78+'4.06_Capitalised_Replacement'!J92+'4.06_Capitalised_Replacement'!J103</f>
        <v>0</v>
      </c>
      <c r="K140" s="641">
        <f>'4.06_Capitalised_Replacement'!K78+'4.06_Capitalised_Replacement'!K92+'4.06_Capitalised_Replacement'!K103</f>
        <v>0</v>
      </c>
      <c r="L140" s="641">
        <f>'4.06_Capitalised_Replacement'!L78+'4.06_Capitalised_Replacement'!L92+'4.06_Capitalised_Replacement'!L103</f>
        <v>0</v>
      </c>
      <c r="M140" s="641">
        <f>'4.06_Capitalised_Replacement'!M78+'4.06_Capitalised_Replacement'!M92+'4.06_Capitalised_Replacement'!M103</f>
        <v>0</v>
      </c>
      <c r="N140" s="641">
        <f>'4.06_Capitalised_Replacement'!N78+'4.06_Capitalised_Replacement'!N92+'4.06_Capitalised_Replacement'!N103</f>
        <v>0</v>
      </c>
      <c r="O140" s="641">
        <f>'4.06_Capitalised_Replacement'!O78+'4.06_Capitalised_Replacement'!O92+'4.06_Capitalised_Replacement'!O103</f>
        <v>0</v>
      </c>
      <c r="P140" s="641">
        <f>'4.06_Capitalised_Replacement'!P78+'4.06_Capitalised_Replacement'!P92+'4.06_Capitalised_Replacement'!P103</f>
        <v>0</v>
      </c>
      <c r="Q140" s="2540">
        <f>'4.06_Capitalised_Replacement'!Q78+'4.06_Capitalised_Replacement'!Q92+'4.06_Capitalised_Replacement'!Q103</f>
        <v>0</v>
      </c>
      <c r="R140" s="641">
        <f>'4.06_Capitalised_Replacement'!R78+'4.06_Capitalised_Replacement'!R92+'4.06_Capitalised_Replacement'!R103</f>
        <v>0</v>
      </c>
      <c r="S140" s="641">
        <f>'4.06_Capitalised_Replacement'!S78+'4.06_Capitalised_Replacement'!S92+'4.06_Capitalised_Replacement'!S103</f>
        <v>0</v>
      </c>
      <c r="T140" s="641">
        <f>'4.06_Capitalised_Replacement'!T78+'4.06_Capitalised_Replacement'!T92+'4.06_Capitalised_Replacement'!T103</f>
        <v>0</v>
      </c>
      <c r="U140" s="641">
        <f>'4.06_Capitalised_Replacement'!U78+'4.06_Capitalised_Replacement'!U92+'4.06_Capitalised_Replacement'!U103</f>
        <v>0</v>
      </c>
      <c r="V140" s="2540">
        <f>'4.06_Capitalised_Replacement'!V78+'4.06_Capitalised_Replacement'!V92+'4.06_Capitalised_Replacement'!V103</f>
        <v>0</v>
      </c>
      <c r="W140" s="185"/>
      <c r="X140" s="164" t="s">
        <v>498</v>
      </c>
      <c r="Y140" s="641">
        <f>'4.06_Capitalised_Replacement'!Y78+'4.06_Capitalised_Replacement'!Y92+'4.06_Capitalised_Replacement'!Y103</f>
        <v>0</v>
      </c>
      <c r="Z140" s="642">
        <f>'4.06_Capitalised_Replacement'!Z78+'4.06_Capitalised_Replacement'!Z92+'4.06_Capitalised_Replacement'!Z103</f>
        <v>0</v>
      </c>
      <c r="AA140" s="642">
        <f>'4.06_Capitalised_Replacement'!AA78+'4.06_Capitalised_Replacement'!AA92+'4.06_Capitalised_Replacement'!AA103</f>
        <v>0</v>
      </c>
      <c r="AB140" s="642">
        <f>'4.06_Capitalised_Replacement'!AB78+'4.06_Capitalised_Replacement'!AB92+'4.06_Capitalised_Replacement'!AB103</f>
        <v>0</v>
      </c>
      <c r="AC140" s="642">
        <f>'4.06_Capitalised_Replacement'!AC78+'4.06_Capitalised_Replacement'!AC92+'4.06_Capitalised_Replacement'!AC103</f>
        <v>0</v>
      </c>
      <c r="AD140" s="642">
        <f>'4.06_Capitalised_Replacement'!AD78+'4.06_Capitalised_Replacement'!AD92+'4.06_Capitalised_Replacement'!AD103</f>
        <v>0</v>
      </c>
      <c r="AE140" s="642">
        <f>'4.06_Capitalised_Replacement'!AE78+'4.06_Capitalised_Replacement'!AE92+'4.06_Capitalised_Replacement'!AE103</f>
        <v>0</v>
      </c>
      <c r="AF140" s="643">
        <f>'4.06_Capitalised_Replacement'!AF78+'4.06_Capitalised_Replacement'!AF92+'4.06_Capitalised_Replacement'!AF103</f>
        <v>0</v>
      </c>
      <c r="AG140" s="641">
        <f>'4.06_Capitalised_Replacement'!AG78+'4.06_Capitalised_Replacement'!AG92+'4.06_Capitalised_Replacement'!AG103</f>
        <v>0</v>
      </c>
      <c r="AH140" s="642">
        <f>'4.06_Capitalised_Replacement'!AH78+'4.06_Capitalised_Replacement'!AH92+'4.06_Capitalised_Replacement'!AH103</f>
        <v>0</v>
      </c>
      <c r="AI140" s="642">
        <f>'4.06_Capitalised_Replacement'!AI78+'4.06_Capitalised_Replacement'!AI92+'4.06_Capitalised_Replacement'!AI103</f>
        <v>0</v>
      </c>
      <c r="AJ140" s="642">
        <f>'4.06_Capitalised_Replacement'!AJ78+'4.06_Capitalised_Replacement'!AJ92+'4.06_Capitalised_Replacement'!AJ103</f>
        <v>0</v>
      </c>
      <c r="AK140" s="643">
        <f>'4.06_Capitalised_Replacement'!AK78+'4.06_Capitalised_Replacement'!AK92+'4.06_Capitalised_Replacement'!AK103</f>
        <v>0</v>
      </c>
      <c r="AL140" s="185"/>
      <c r="AM140" s="164" t="s">
        <v>498</v>
      </c>
      <c r="AN140" s="641">
        <f t="shared" si="911"/>
        <v>0</v>
      </c>
      <c r="AO140" s="642">
        <f t="shared" si="887"/>
        <v>0</v>
      </c>
      <c r="AP140" s="642">
        <f t="shared" si="888"/>
        <v>0</v>
      </c>
      <c r="AQ140" s="642">
        <f t="shared" si="889"/>
        <v>0</v>
      </c>
      <c r="AR140" s="642">
        <f t="shared" si="890"/>
        <v>0</v>
      </c>
      <c r="AS140" s="642">
        <f t="shared" si="891"/>
        <v>0</v>
      </c>
      <c r="AT140" s="642">
        <f t="shared" si="892"/>
        <v>0</v>
      </c>
      <c r="AU140" s="643">
        <f t="shared" si="893"/>
        <v>0</v>
      </c>
      <c r="AV140" s="641">
        <f t="shared" si="894"/>
        <v>0</v>
      </c>
      <c r="AW140" s="642">
        <f t="shared" si="895"/>
        <v>0</v>
      </c>
      <c r="AX140" s="642">
        <f t="shared" si="896"/>
        <v>0</v>
      </c>
      <c r="AY140" s="642">
        <f t="shared" si="897"/>
        <v>0</v>
      </c>
      <c r="AZ140" s="643">
        <f t="shared" si="898"/>
        <v>0</v>
      </c>
      <c r="BA140" s="185"/>
      <c r="BB140" s="164" t="s">
        <v>2233</v>
      </c>
      <c r="BC140" s="641">
        <f>'4.06_Capitalised_Replacement'!AN78+'4.06_Capitalised_Replacement'!AN92+'4.06_Capitalised_Replacement'!AN103</f>
        <v>0</v>
      </c>
      <c r="BD140" s="642">
        <f>'4.06_Capitalised_Replacement'!AO78+'4.06_Capitalised_Replacement'!AO92+'4.06_Capitalised_Replacement'!AO103</f>
        <v>0</v>
      </c>
      <c r="BE140" s="642">
        <f>'4.06_Capitalised_Replacement'!AP78+'4.06_Capitalised_Replacement'!AP92+'4.06_Capitalised_Replacement'!AP103</f>
        <v>0</v>
      </c>
      <c r="BF140" s="642">
        <f>'4.06_Capitalised_Replacement'!AQ78+'4.06_Capitalised_Replacement'!AQ92+'4.06_Capitalised_Replacement'!AQ103</f>
        <v>0</v>
      </c>
      <c r="BG140" s="642">
        <f>'4.06_Capitalised_Replacement'!AR78+'4.06_Capitalised_Replacement'!AR92+'4.06_Capitalised_Replacement'!AR103</f>
        <v>0</v>
      </c>
      <c r="BH140" s="642">
        <f>'4.06_Capitalised_Replacement'!AS78+'4.06_Capitalised_Replacement'!AS92+'4.06_Capitalised_Replacement'!AS103</f>
        <v>0</v>
      </c>
      <c r="BI140" s="642">
        <f>'4.06_Capitalised_Replacement'!AT78+'4.06_Capitalised_Replacement'!AT92+'4.06_Capitalised_Replacement'!AT103</f>
        <v>0</v>
      </c>
      <c r="BJ140" s="643">
        <f>'4.06_Capitalised_Replacement'!AU78+'4.06_Capitalised_Replacement'!AU92+'4.06_Capitalised_Replacement'!AU103</f>
        <v>0</v>
      </c>
      <c r="BK140" s="641">
        <f>'4.06_Capitalised_Replacement'!AV78+'4.06_Capitalised_Replacement'!AV92+'4.06_Capitalised_Replacement'!AV103</f>
        <v>0</v>
      </c>
      <c r="BL140" s="642">
        <f>'4.06_Capitalised_Replacement'!AW78+'4.06_Capitalised_Replacement'!AW92+'4.06_Capitalised_Replacement'!AW103</f>
        <v>0</v>
      </c>
      <c r="BM140" s="642">
        <f>'4.06_Capitalised_Replacement'!AX78+'4.06_Capitalised_Replacement'!AX92+'4.06_Capitalised_Replacement'!AX103</f>
        <v>0</v>
      </c>
      <c r="BN140" s="642">
        <f>'4.06_Capitalised_Replacement'!AY78+'4.06_Capitalised_Replacement'!AY92+'4.06_Capitalised_Replacement'!AY103</f>
        <v>0</v>
      </c>
      <c r="BO140" s="643">
        <f>'4.06_Capitalised_Replacement'!AZ78+'4.06_Capitalised_Replacement'!AZ92+'4.06_Capitalised_Replacement'!AZ103</f>
        <v>0</v>
      </c>
      <c r="BP140" s="185"/>
      <c r="BQ140" s="164" t="s">
        <v>2415</v>
      </c>
      <c r="BR140" s="641">
        <f t="shared" si="912"/>
        <v>0</v>
      </c>
      <c r="BS140" s="642">
        <f t="shared" si="899"/>
        <v>0</v>
      </c>
      <c r="BT140" s="642">
        <f t="shared" si="900"/>
        <v>0</v>
      </c>
      <c r="BU140" s="642">
        <f t="shared" si="901"/>
        <v>0</v>
      </c>
      <c r="BV140" s="642">
        <f t="shared" si="902"/>
        <v>0</v>
      </c>
      <c r="BW140" s="642">
        <f t="shared" si="903"/>
        <v>0</v>
      </c>
      <c r="BX140" s="642">
        <f t="shared" si="904"/>
        <v>0</v>
      </c>
      <c r="BY140" s="643">
        <f t="shared" si="905"/>
        <v>0</v>
      </c>
      <c r="BZ140" s="641">
        <f t="shared" si="906"/>
        <v>0</v>
      </c>
      <c r="CA140" s="642">
        <f t="shared" si="907"/>
        <v>0</v>
      </c>
      <c r="CB140" s="642">
        <f t="shared" si="908"/>
        <v>0</v>
      </c>
      <c r="CC140" s="642">
        <f t="shared" si="909"/>
        <v>0</v>
      </c>
      <c r="CD140" s="643">
        <f t="shared" si="910"/>
        <v>0</v>
      </c>
    </row>
    <row r="141" spans="1:82" ht="14.25">
      <c r="B141" s="161"/>
      <c r="C141" s="185" t="s">
        <v>1710</v>
      </c>
      <c r="D141" s="185"/>
      <c r="E141" s="185"/>
      <c r="F141" s="162"/>
      <c r="G141" s="185"/>
      <c r="H141" s="185"/>
      <c r="I141" s="164" t="s">
        <v>498</v>
      </c>
      <c r="J141" s="697">
        <f t="shared" ref="J141" si="913">SUM(J138:J140)</f>
        <v>5.0220636102173302</v>
      </c>
      <c r="K141" s="698">
        <f t="shared" ref="K141:V141" si="914">SUM(K138:K140)</f>
        <v>6.4023177920089367</v>
      </c>
      <c r="L141" s="698">
        <f t="shared" si="914"/>
        <v>7.6483926312056072</v>
      </c>
      <c r="M141" s="698">
        <f t="shared" si="914"/>
        <v>6.4342830303902119</v>
      </c>
      <c r="N141" s="698">
        <f t="shared" si="914"/>
        <v>9.9894414997183585</v>
      </c>
      <c r="O141" s="698">
        <f t="shared" si="914"/>
        <v>6.680776228174043</v>
      </c>
      <c r="P141" s="698">
        <f t="shared" si="914"/>
        <v>3.3130316525695127</v>
      </c>
      <c r="Q141" s="699">
        <f t="shared" si="914"/>
        <v>3.0833023351138795</v>
      </c>
      <c r="R141" s="697">
        <f t="shared" si="914"/>
        <v>17.693859450868192</v>
      </c>
      <c r="S141" s="698">
        <f t="shared" si="914"/>
        <v>17.60539015361385</v>
      </c>
      <c r="T141" s="698">
        <f t="shared" si="914"/>
        <v>17.517363202845786</v>
      </c>
      <c r="U141" s="698">
        <f t="shared" si="914"/>
        <v>17.429776386831556</v>
      </c>
      <c r="V141" s="699">
        <f t="shared" si="914"/>
        <v>17.342627504897393</v>
      </c>
      <c r="W141" s="185"/>
      <c r="X141" s="164" t="s">
        <v>498</v>
      </c>
      <c r="Y141" s="697">
        <f t="shared" ref="Y141:AK141" si="915">SUM(Y138:Y140)</f>
        <v>-1.9821297957955564</v>
      </c>
      <c r="Z141" s="698">
        <f t="shared" si="915"/>
        <v>-2.3585800544822586</v>
      </c>
      <c r="AA141" s="698">
        <f t="shared" si="915"/>
        <v>-0.88554771181436898</v>
      </c>
      <c r="AB141" s="698">
        <f t="shared" si="915"/>
        <v>-2.4695536201072343</v>
      </c>
      <c r="AC141" s="698">
        <f t="shared" si="915"/>
        <v>-2.9563206045100929</v>
      </c>
      <c r="AD141" s="698">
        <f t="shared" si="915"/>
        <v>-1.1431039774168803</v>
      </c>
      <c r="AE141" s="698">
        <f t="shared" si="915"/>
        <v>0</v>
      </c>
      <c r="AF141" s="699">
        <f t="shared" si="915"/>
        <v>0</v>
      </c>
      <c r="AG141" s="697">
        <f t="shared" si="915"/>
        <v>0</v>
      </c>
      <c r="AH141" s="698">
        <f t="shared" si="915"/>
        <v>0</v>
      </c>
      <c r="AI141" s="698">
        <f t="shared" si="915"/>
        <v>0</v>
      </c>
      <c r="AJ141" s="698">
        <f t="shared" si="915"/>
        <v>0</v>
      </c>
      <c r="AK141" s="699">
        <f t="shared" si="915"/>
        <v>0</v>
      </c>
      <c r="AL141" s="185"/>
      <c r="AM141" s="164" t="s">
        <v>498</v>
      </c>
      <c r="AN141" s="697">
        <f t="shared" ref="AN141:AZ141" si="916">SUM(AN138:AN140)</f>
        <v>3.039933814421774</v>
      </c>
      <c r="AO141" s="698">
        <f t="shared" si="916"/>
        <v>4.0437377375266781</v>
      </c>
      <c r="AP141" s="698">
        <f t="shared" si="916"/>
        <v>6.7628449193912381</v>
      </c>
      <c r="AQ141" s="698">
        <f t="shared" si="916"/>
        <v>3.9647294102829775</v>
      </c>
      <c r="AR141" s="698">
        <f t="shared" si="916"/>
        <v>7.0331208952082651</v>
      </c>
      <c r="AS141" s="698">
        <f t="shared" si="916"/>
        <v>5.5376722507571632</v>
      </c>
      <c r="AT141" s="698">
        <f t="shared" si="916"/>
        <v>3.3130316525695127</v>
      </c>
      <c r="AU141" s="699">
        <f t="shared" si="916"/>
        <v>3.0833023351138795</v>
      </c>
      <c r="AV141" s="697">
        <f t="shared" si="916"/>
        <v>17.693859450868192</v>
      </c>
      <c r="AW141" s="698">
        <f t="shared" si="916"/>
        <v>17.60539015361385</v>
      </c>
      <c r="AX141" s="698">
        <f t="shared" si="916"/>
        <v>17.517363202845786</v>
      </c>
      <c r="AY141" s="698">
        <f t="shared" si="916"/>
        <v>17.429776386831556</v>
      </c>
      <c r="AZ141" s="699">
        <f t="shared" si="916"/>
        <v>17.342627504897393</v>
      </c>
      <c r="BA141" s="185"/>
      <c r="BB141" s="164" t="s">
        <v>2233</v>
      </c>
      <c r="BC141" s="697">
        <f t="shared" ref="BC141" si="917">SUM(BC138:BC140)</f>
        <v>24.942610000000002</v>
      </c>
      <c r="BD141" s="698">
        <f t="shared" ref="BD141:BO141" si="918">SUM(BD138:BD140)</f>
        <v>31.096000000000007</v>
      </c>
      <c r="BE141" s="698">
        <f t="shared" si="918"/>
        <v>20.127099999999999</v>
      </c>
      <c r="BF141" s="698">
        <f t="shared" si="918"/>
        <v>29.54399999999999</v>
      </c>
      <c r="BG141" s="698">
        <f t="shared" si="918"/>
        <v>26.996999999999996</v>
      </c>
      <c r="BH141" s="698">
        <f t="shared" si="918"/>
        <v>26.735999999999997</v>
      </c>
      <c r="BI141" s="698">
        <f t="shared" si="918"/>
        <v>16.315931435278792</v>
      </c>
      <c r="BJ141" s="699">
        <f t="shared" si="918"/>
        <v>17.071664735106026</v>
      </c>
      <c r="BK141" s="697">
        <f t="shared" si="918"/>
        <v>41.823849999999993</v>
      </c>
      <c r="BL141" s="698">
        <f t="shared" si="918"/>
        <v>41.823849999999993</v>
      </c>
      <c r="BM141" s="698">
        <f t="shared" si="918"/>
        <v>41.823849999999993</v>
      </c>
      <c r="BN141" s="698">
        <f t="shared" si="918"/>
        <v>41.823849999999993</v>
      </c>
      <c r="BO141" s="699">
        <f t="shared" si="918"/>
        <v>41.823849999999993</v>
      </c>
      <c r="BP141" s="185"/>
      <c r="BQ141" s="117"/>
      <c r="BR141" s="713"/>
      <c r="BS141" s="714"/>
      <c r="BT141" s="714"/>
      <c r="BU141" s="714"/>
      <c r="BV141" s="714"/>
      <c r="BW141" s="714"/>
      <c r="BX141" s="714"/>
      <c r="BY141" s="715"/>
      <c r="BZ141" s="716"/>
      <c r="CA141" s="714"/>
      <c r="CB141" s="714"/>
      <c r="CC141" s="714"/>
      <c r="CD141" s="715"/>
    </row>
    <row r="142" spans="1:82" ht="14.25">
      <c r="B142" s="181"/>
      <c r="C142" s="185"/>
      <c r="D142" s="185"/>
      <c r="E142" s="182"/>
      <c r="F142" s="185"/>
      <c r="G142" s="184"/>
      <c r="H142" s="184"/>
      <c r="I142" s="117"/>
      <c r="J142" s="713"/>
      <c r="K142" s="714"/>
      <c r="L142" s="714"/>
      <c r="M142" s="714"/>
      <c r="N142" s="714"/>
      <c r="O142" s="714"/>
      <c r="P142" s="714"/>
      <c r="Q142" s="715"/>
      <c r="R142" s="716"/>
      <c r="S142" s="714"/>
      <c r="T142" s="714"/>
      <c r="U142" s="714"/>
      <c r="V142" s="715"/>
      <c r="W142" s="184"/>
      <c r="X142" s="117"/>
      <c r="Y142" s="713"/>
      <c r="Z142" s="714"/>
      <c r="AA142" s="714"/>
      <c r="AB142" s="714"/>
      <c r="AC142" s="714"/>
      <c r="AD142" s="714"/>
      <c r="AE142" s="714"/>
      <c r="AF142" s="715"/>
      <c r="AG142" s="716"/>
      <c r="AH142" s="714"/>
      <c r="AI142" s="714"/>
      <c r="AJ142" s="714"/>
      <c r="AK142" s="715"/>
      <c r="AL142" s="184"/>
      <c r="AM142" s="117"/>
      <c r="AN142" s="713"/>
      <c r="AO142" s="714"/>
      <c r="AP142" s="714"/>
      <c r="AQ142" s="714"/>
      <c r="AR142" s="714"/>
      <c r="AS142" s="714"/>
      <c r="AT142" s="714"/>
      <c r="AU142" s="715"/>
      <c r="AV142" s="716"/>
      <c r="AW142" s="714"/>
      <c r="AX142" s="714"/>
      <c r="AY142" s="714"/>
      <c r="AZ142" s="715"/>
      <c r="BA142" s="184"/>
      <c r="BB142" s="117"/>
      <c r="BC142" s="713"/>
      <c r="BD142" s="714"/>
      <c r="BE142" s="714"/>
      <c r="BF142" s="714"/>
      <c r="BG142" s="714"/>
      <c r="BH142" s="714"/>
      <c r="BI142" s="714"/>
      <c r="BJ142" s="715"/>
      <c r="BK142" s="716"/>
      <c r="BL142" s="714"/>
      <c r="BM142" s="714"/>
      <c r="BN142" s="714"/>
      <c r="BO142" s="715"/>
      <c r="BP142" s="184"/>
      <c r="BQ142" s="117"/>
      <c r="BR142" s="713"/>
      <c r="BS142" s="714"/>
      <c r="BT142" s="714"/>
      <c r="BU142" s="714"/>
      <c r="BV142" s="714"/>
      <c r="BW142" s="714"/>
      <c r="BX142" s="714"/>
      <c r="BY142" s="715"/>
      <c r="BZ142" s="716"/>
      <c r="CA142" s="714"/>
      <c r="CB142" s="714"/>
      <c r="CC142" s="714"/>
      <c r="CD142" s="715"/>
    </row>
    <row r="143" spans="1:82" ht="15.75">
      <c r="B143" s="161"/>
      <c r="C143" s="186" t="s">
        <v>2658</v>
      </c>
      <c r="D143" s="617"/>
      <c r="E143" s="180"/>
      <c r="F143" s="162"/>
      <c r="G143" s="163"/>
      <c r="H143" s="163"/>
      <c r="I143" s="117"/>
      <c r="J143" s="713"/>
      <c r="K143" s="714"/>
      <c r="L143" s="714"/>
      <c r="M143" s="714"/>
      <c r="N143" s="714"/>
      <c r="O143" s="714"/>
      <c r="P143" s="714"/>
      <c r="Q143" s="715"/>
      <c r="R143" s="716"/>
      <c r="S143" s="714"/>
      <c r="T143" s="714"/>
      <c r="U143" s="714"/>
      <c r="V143" s="715"/>
      <c r="W143" s="163"/>
      <c r="X143" s="117"/>
      <c r="Y143" s="713"/>
      <c r="Z143" s="714"/>
      <c r="AA143" s="714"/>
      <c r="AB143" s="714"/>
      <c r="AC143" s="714"/>
      <c r="AD143" s="714"/>
      <c r="AE143" s="714"/>
      <c r="AF143" s="715"/>
      <c r="AG143" s="716"/>
      <c r="AH143" s="714"/>
      <c r="AI143" s="714"/>
      <c r="AJ143" s="714"/>
      <c r="AK143" s="715"/>
      <c r="AL143" s="163"/>
      <c r="AM143" s="117"/>
      <c r="AN143" s="713"/>
      <c r="AO143" s="714"/>
      <c r="AP143" s="714"/>
      <c r="AQ143" s="714"/>
      <c r="AR143" s="714"/>
      <c r="AS143" s="714"/>
      <c r="AT143" s="714"/>
      <c r="AU143" s="715"/>
      <c r="AV143" s="716"/>
      <c r="AW143" s="714"/>
      <c r="AX143" s="714"/>
      <c r="AY143" s="714"/>
      <c r="AZ143" s="715"/>
      <c r="BA143" s="163"/>
      <c r="BB143" s="117"/>
      <c r="BC143" s="713"/>
      <c r="BD143" s="714"/>
      <c r="BE143" s="714"/>
      <c r="BF143" s="714"/>
      <c r="BG143" s="714"/>
      <c r="BH143" s="714"/>
      <c r="BI143" s="714"/>
      <c r="BJ143" s="715"/>
      <c r="BK143" s="716"/>
      <c r="BL143" s="714"/>
      <c r="BM143" s="714"/>
      <c r="BN143" s="714"/>
      <c r="BO143" s="715"/>
      <c r="BP143" s="163"/>
      <c r="BQ143" s="117"/>
      <c r="BR143" s="713"/>
      <c r="BS143" s="714"/>
      <c r="BT143" s="714"/>
      <c r="BU143" s="714"/>
      <c r="BV143" s="714"/>
      <c r="BW143" s="714"/>
      <c r="BX143" s="714"/>
      <c r="BY143" s="715"/>
      <c r="BZ143" s="716"/>
      <c r="CA143" s="714"/>
      <c r="CB143" s="714"/>
      <c r="CC143" s="714"/>
      <c r="CD143" s="715"/>
    </row>
    <row r="144" spans="1:82" ht="14.25">
      <c r="B144" s="161"/>
      <c r="C144" s="660"/>
      <c r="D144" s="162" t="s">
        <v>2659</v>
      </c>
      <c r="E144" s="660"/>
      <c r="F144" s="162"/>
      <c r="G144" s="185"/>
      <c r="H144" s="163"/>
      <c r="I144" s="164" t="s">
        <v>498</v>
      </c>
      <c r="J144" s="641">
        <f>SUM('4.07_Repex_Services'!J78,'4.07_Repex_Services'!J102,'4.07_Repex_Services'!J114,'4.07_Repex_Services'!J159,'4.07_Repex_Services'!J175,'4.07_Repex_Services'!J183,'4.07_Repex_Services'!J228,'4.07_Repex_Services'!J244,'4.07_Repex_Services'!J252,'4.07_Repex_Services'!J297,'4.07_Repex_Services'!J313,'4.07_Repex_Services'!J321)</f>
        <v>0</v>
      </c>
      <c r="K144" s="642">
        <f>SUM('4.07_Repex_Services'!K78,'4.07_Repex_Services'!K102,'4.07_Repex_Services'!K114,'4.07_Repex_Services'!K159,'4.07_Repex_Services'!K175,'4.07_Repex_Services'!K183,'4.07_Repex_Services'!K228,'4.07_Repex_Services'!K244,'4.07_Repex_Services'!K252,'4.07_Repex_Services'!K297,'4.07_Repex_Services'!K313,'4.07_Repex_Services'!K321)</f>
        <v>0</v>
      </c>
      <c r="L144" s="642">
        <f>SUM('4.07_Repex_Services'!L78,'4.07_Repex_Services'!L102,'4.07_Repex_Services'!L114,'4.07_Repex_Services'!L159,'4.07_Repex_Services'!L175,'4.07_Repex_Services'!L183,'4.07_Repex_Services'!L228,'4.07_Repex_Services'!L244,'4.07_Repex_Services'!L252,'4.07_Repex_Services'!L297,'4.07_Repex_Services'!L313,'4.07_Repex_Services'!L321)</f>
        <v>0</v>
      </c>
      <c r="M144" s="642">
        <f>SUM('4.07_Repex_Services'!M78,'4.07_Repex_Services'!M102,'4.07_Repex_Services'!M114,'4.07_Repex_Services'!M159,'4.07_Repex_Services'!M175,'4.07_Repex_Services'!M183,'4.07_Repex_Services'!M228,'4.07_Repex_Services'!M244,'4.07_Repex_Services'!M252,'4.07_Repex_Services'!M297,'4.07_Repex_Services'!M313,'4.07_Repex_Services'!M321)</f>
        <v>0</v>
      </c>
      <c r="N144" s="642">
        <f>SUM('4.07_Repex_Services'!N78,'4.07_Repex_Services'!N102,'4.07_Repex_Services'!N114,'4.07_Repex_Services'!N159,'4.07_Repex_Services'!N175,'4.07_Repex_Services'!N183,'4.07_Repex_Services'!N228,'4.07_Repex_Services'!N244,'4.07_Repex_Services'!N252,'4.07_Repex_Services'!N297,'4.07_Repex_Services'!N313,'4.07_Repex_Services'!N321)</f>
        <v>0</v>
      </c>
      <c r="O144" s="642">
        <f>SUM('4.07_Repex_Services'!O78,'4.07_Repex_Services'!O102,'4.07_Repex_Services'!O114,'4.07_Repex_Services'!O159,'4.07_Repex_Services'!O175,'4.07_Repex_Services'!O183,'4.07_Repex_Services'!O228,'4.07_Repex_Services'!O244,'4.07_Repex_Services'!O252,'4.07_Repex_Services'!O297,'4.07_Repex_Services'!O313,'4.07_Repex_Services'!O321)</f>
        <v>0</v>
      </c>
      <c r="P144" s="642">
        <f>SUM('4.07_Repex_Services'!P78,'4.07_Repex_Services'!P102,'4.07_Repex_Services'!P114,'4.07_Repex_Services'!P159,'4.07_Repex_Services'!P175,'4.07_Repex_Services'!P183,'4.07_Repex_Services'!P228,'4.07_Repex_Services'!P244,'4.07_Repex_Services'!P252,'4.07_Repex_Services'!P297,'4.07_Repex_Services'!P313,'4.07_Repex_Services'!P321)</f>
        <v>0</v>
      </c>
      <c r="Q144" s="643">
        <f>SUM('4.07_Repex_Services'!Q78,'4.07_Repex_Services'!Q102,'4.07_Repex_Services'!Q114,'4.07_Repex_Services'!Q159,'4.07_Repex_Services'!Q175,'4.07_Repex_Services'!Q183,'4.07_Repex_Services'!Q228,'4.07_Repex_Services'!Q244,'4.07_Repex_Services'!Q252,'4.07_Repex_Services'!Q297,'4.07_Repex_Services'!Q313,'4.07_Repex_Services'!Q321)</f>
        <v>0</v>
      </c>
      <c r="R144" s="641">
        <f>SUM('4.07_Repex_Services'!R78,'4.07_Repex_Services'!R102,'4.07_Repex_Services'!R114,'4.07_Repex_Services'!R159,'4.07_Repex_Services'!R175,'4.07_Repex_Services'!R183,'4.07_Repex_Services'!R228,'4.07_Repex_Services'!R244,'4.07_Repex_Services'!R252,'4.07_Repex_Services'!R297,'4.07_Repex_Services'!R313,'4.07_Repex_Services'!R321)</f>
        <v>0.42093337468235875</v>
      </c>
      <c r="S144" s="642">
        <f>SUM('4.07_Repex_Services'!S78,'4.07_Repex_Services'!S102,'4.07_Repex_Services'!S114,'4.07_Repex_Services'!S159,'4.07_Repex_Services'!S175,'4.07_Repex_Services'!S183,'4.07_Repex_Services'!S228,'4.07_Repex_Services'!S244,'4.07_Repex_Services'!S252,'4.07_Repex_Services'!S297,'4.07_Repex_Services'!S313,'4.07_Repex_Services'!S321)</f>
        <v>0.41882870780894693</v>
      </c>
      <c r="T144" s="642">
        <f>SUM('4.07_Repex_Services'!T78,'4.07_Repex_Services'!T102,'4.07_Repex_Services'!T114,'4.07_Repex_Services'!T159,'4.07_Repex_Services'!T175,'4.07_Repex_Services'!T183,'4.07_Repex_Services'!T228,'4.07_Repex_Services'!T244,'4.07_Repex_Services'!T252,'4.07_Repex_Services'!T297,'4.07_Repex_Services'!T313,'4.07_Repex_Services'!T321)</f>
        <v>0.41673456426990219</v>
      </c>
      <c r="U144" s="642">
        <f>SUM('4.07_Repex_Services'!U78,'4.07_Repex_Services'!U102,'4.07_Repex_Services'!U114,'4.07_Repex_Services'!U159,'4.07_Repex_Services'!U175,'4.07_Repex_Services'!U183,'4.07_Repex_Services'!U228,'4.07_Repex_Services'!U244,'4.07_Repex_Services'!U252,'4.07_Repex_Services'!U297,'4.07_Repex_Services'!U313,'4.07_Repex_Services'!U321)</f>
        <v>0.41465089144855272</v>
      </c>
      <c r="V144" s="643">
        <f>SUM('4.07_Repex_Services'!V78,'4.07_Repex_Services'!V102,'4.07_Repex_Services'!V114,'4.07_Repex_Services'!V159,'4.07_Repex_Services'!V175,'4.07_Repex_Services'!V183,'4.07_Repex_Services'!V228,'4.07_Repex_Services'!V244,'4.07_Repex_Services'!V252,'4.07_Repex_Services'!V297,'4.07_Repex_Services'!V313,'4.07_Repex_Services'!V321)</f>
        <v>0.41257763699130989</v>
      </c>
      <c r="W144" s="163"/>
      <c r="X144" s="164" t="s">
        <v>498</v>
      </c>
      <c r="Y144" s="641">
        <f>SUM('4.07_Repex_Services'!Y78,'4.07_Repex_Services'!Y102,'4.07_Repex_Services'!Y114,'4.07_Repex_Services'!Y159,'4.07_Repex_Services'!Y175,'4.07_Repex_Services'!Y183,'4.07_Repex_Services'!Y228,'4.07_Repex_Services'!Y244,'4.07_Repex_Services'!Y252,'4.07_Repex_Services'!Y297,'4.07_Repex_Services'!Y313,'4.07_Repex_Services'!Y321)</f>
        <v>0</v>
      </c>
      <c r="Z144" s="642">
        <f>SUM('4.07_Repex_Services'!Z78,'4.07_Repex_Services'!Z102,'4.07_Repex_Services'!Z114,'4.07_Repex_Services'!Z159,'4.07_Repex_Services'!Z175,'4.07_Repex_Services'!Z183,'4.07_Repex_Services'!Z228,'4.07_Repex_Services'!Z244,'4.07_Repex_Services'!Z252,'4.07_Repex_Services'!Z297,'4.07_Repex_Services'!Z313,'4.07_Repex_Services'!Z321)</f>
        <v>0</v>
      </c>
      <c r="AA144" s="642">
        <f>SUM('4.07_Repex_Services'!AA78,'4.07_Repex_Services'!AA102,'4.07_Repex_Services'!AA114,'4.07_Repex_Services'!AA159,'4.07_Repex_Services'!AA175,'4.07_Repex_Services'!AA183,'4.07_Repex_Services'!AA228,'4.07_Repex_Services'!AA244,'4.07_Repex_Services'!AA252,'4.07_Repex_Services'!AA297,'4.07_Repex_Services'!AA313,'4.07_Repex_Services'!AA321)</f>
        <v>0</v>
      </c>
      <c r="AB144" s="642">
        <f>SUM('4.07_Repex_Services'!AB78,'4.07_Repex_Services'!AB102,'4.07_Repex_Services'!AB114,'4.07_Repex_Services'!AB159,'4.07_Repex_Services'!AB175,'4.07_Repex_Services'!AB183,'4.07_Repex_Services'!AB228,'4.07_Repex_Services'!AB244,'4.07_Repex_Services'!AB252,'4.07_Repex_Services'!AB297,'4.07_Repex_Services'!AB313,'4.07_Repex_Services'!AB321)</f>
        <v>0</v>
      </c>
      <c r="AC144" s="642">
        <f>SUM('4.07_Repex_Services'!AC78,'4.07_Repex_Services'!AC102,'4.07_Repex_Services'!AC114,'4.07_Repex_Services'!AC159,'4.07_Repex_Services'!AC175,'4.07_Repex_Services'!AC183,'4.07_Repex_Services'!AC228,'4.07_Repex_Services'!AC244,'4.07_Repex_Services'!AC252,'4.07_Repex_Services'!AC297,'4.07_Repex_Services'!AC313,'4.07_Repex_Services'!AC321)</f>
        <v>0</v>
      </c>
      <c r="AD144" s="642">
        <f>SUM('4.07_Repex_Services'!AD78,'4.07_Repex_Services'!AD102,'4.07_Repex_Services'!AD114,'4.07_Repex_Services'!AD159,'4.07_Repex_Services'!AD175,'4.07_Repex_Services'!AD183,'4.07_Repex_Services'!AD228,'4.07_Repex_Services'!AD244,'4.07_Repex_Services'!AD252,'4.07_Repex_Services'!AD297,'4.07_Repex_Services'!AD313,'4.07_Repex_Services'!AD321)</f>
        <v>0</v>
      </c>
      <c r="AE144" s="642">
        <f>SUM('4.07_Repex_Services'!AE78,'4.07_Repex_Services'!AE102,'4.07_Repex_Services'!AE114,'4.07_Repex_Services'!AE159,'4.07_Repex_Services'!AE175,'4.07_Repex_Services'!AE183,'4.07_Repex_Services'!AE228,'4.07_Repex_Services'!AE244,'4.07_Repex_Services'!AE252,'4.07_Repex_Services'!AE297,'4.07_Repex_Services'!AE313,'4.07_Repex_Services'!AE321)</f>
        <v>0</v>
      </c>
      <c r="AF144" s="643">
        <f>SUM('4.07_Repex_Services'!AF78,'4.07_Repex_Services'!AF102,'4.07_Repex_Services'!AF114,'4.07_Repex_Services'!AF159,'4.07_Repex_Services'!AF175,'4.07_Repex_Services'!AF183,'4.07_Repex_Services'!AF228,'4.07_Repex_Services'!AF244,'4.07_Repex_Services'!AF252,'4.07_Repex_Services'!AF297,'4.07_Repex_Services'!AF313,'4.07_Repex_Services'!AF321)</f>
        <v>0</v>
      </c>
      <c r="AG144" s="641">
        <f>SUM('4.07_Repex_Services'!AG78,'4.07_Repex_Services'!AG102,'4.07_Repex_Services'!AG114,'4.07_Repex_Services'!AG159,'4.07_Repex_Services'!AG175,'4.07_Repex_Services'!AG183,'4.07_Repex_Services'!AG228,'4.07_Repex_Services'!AG244,'4.07_Repex_Services'!AG252,'4.07_Repex_Services'!AG297,'4.07_Repex_Services'!AG313,'4.07_Repex_Services'!AG321)</f>
        <v>0</v>
      </c>
      <c r="AH144" s="642">
        <f>SUM('4.07_Repex_Services'!AH78,'4.07_Repex_Services'!AH102,'4.07_Repex_Services'!AH114,'4.07_Repex_Services'!AH159,'4.07_Repex_Services'!AH175,'4.07_Repex_Services'!AH183,'4.07_Repex_Services'!AH228,'4.07_Repex_Services'!AH244,'4.07_Repex_Services'!AH252,'4.07_Repex_Services'!AH297,'4.07_Repex_Services'!AH313,'4.07_Repex_Services'!AH321)</f>
        <v>0</v>
      </c>
      <c r="AI144" s="642">
        <f>SUM('4.07_Repex_Services'!AI78,'4.07_Repex_Services'!AI102,'4.07_Repex_Services'!AI114,'4.07_Repex_Services'!AI159,'4.07_Repex_Services'!AI175,'4.07_Repex_Services'!AI183,'4.07_Repex_Services'!AI228,'4.07_Repex_Services'!AI244,'4.07_Repex_Services'!AI252,'4.07_Repex_Services'!AI297,'4.07_Repex_Services'!AI313,'4.07_Repex_Services'!AI321)</f>
        <v>0</v>
      </c>
      <c r="AJ144" s="642">
        <f>SUM('4.07_Repex_Services'!AJ78,'4.07_Repex_Services'!AJ102,'4.07_Repex_Services'!AJ114,'4.07_Repex_Services'!AJ159,'4.07_Repex_Services'!AJ175,'4.07_Repex_Services'!AJ183,'4.07_Repex_Services'!AJ228,'4.07_Repex_Services'!AJ244,'4.07_Repex_Services'!AJ252,'4.07_Repex_Services'!AJ297,'4.07_Repex_Services'!AJ313,'4.07_Repex_Services'!AJ321)</f>
        <v>0</v>
      </c>
      <c r="AK144" s="643">
        <f>SUM('4.07_Repex_Services'!AK78,'4.07_Repex_Services'!AK102,'4.07_Repex_Services'!AK114,'4.07_Repex_Services'!AK159,'4.07_Repex_Services'!AK175,'4.07_Repex_Services'!AK183,'4.07_Repex_Services'!AK228,'4.07_Repex_Services'!AK244,'4.07_Repex_Services'!AK252,'4.07_Repex_Services'!AK297,'4.07_Repex_Services'!AK313,'4.07_Repex_Services'!AK321)</f>
        <v>0</v>
      </c>
      <c r="AL144" s="163"/>
      <c r="AM144" s="164" t="s">
        <v>498</v>
      </c>
      <c r="AN144" s="641">
        <f>J144+Y144</f>
        <v>0</v>
      </c>
      <c r="AO144" s="642">
        <f t="shared" ref="AO144:AO145" si="919">K144+Z144</f>
        <v>0</v>
      </c>
      <c r="AP144" s="642">
        <f t="shared" ref="AP144:AP145" si="920">L144+AA144</f>
        <v>0</v>
      </c>
      <c r="AQ144" s="642">
        <f t="shared" ref="AQ144:AQ145" si="921">M144+AB144</f>
        <v>0</v>
      </c>
      <c r="AR144" s="642">
        <f t="shared" ref="AR144:AR145" si="922">N144+AC144</f>
        <v>0</v>
      </c>
      <c r="AS144" s="642">
        <f t="shared" ref="AS144:AS145" si="923">O144+AD144</f>
        <v>0</v>
      </c>
      <c r="AT144" s="642">
        <f t="shared" ref="AT144:AT145" si="924">P144+AE144</f>
        <v>0</v>
      </c>
      <c r="AU144" s="643">
        <f t="shared" ref="AU144:AU145" si="925">Q144+AF144</f>
        <v>0</v>
      </c>
      <c r="AV144" s="641">
        <f t="shared" ref="AV144:AV145" si="926">R144+AG144</f>
        <v>0.42093337468235875</v>
      </c>
      <c r="AW144" s="642">
        <f t="shared" ref="AW144:AW145" si="927">S144+AH144</f>
        <v>0.41882870780894693</v>
      </c>
      <c r="AX144" s="642">
        <f t="shared" ref="AX144:AX145" si="928">T144+AI144</f>
        <v>0.41673456426990219</v>
      </c>
      <c r="AY144" s="642">
        <f t="shared" ref="AY144:AY145" si="929">U144+AJ144</f>
        <v>0.41465089144855272</v>
      </c>
      <c r="AZ144" s="643">
        <f t="shared" ref="AZ144:AZ145" si="930">V144+AK144</f>
        <v>0.41257763699130989</v>
      </c>
      <c r="BA144" s="163"/>
      <c r="BB144" s="164" t="s">
        <v>1876</v>
      </c>
      <c r="BC144" s="641">
        <f>SUM('4.07_Repex_Services'!AN78,'4.07_Repex_Services'!AN102,'4.07_Repex_Services'!AN114,'4.07_Repex_Services'!AN159,'4.07_Repex_Services'!AN175,'4.07_Repex_Services'!AN183,'4.07_Repex_Services'!AN228,'4.07_Repex_Services'!AN244,'4.07_Repex_Services'!AN252,'4.07_Repex_Services'!AN297,'4.07_Repex_Services'!AN313,'4.07_Repex_Services'!AN321)</f>
        <v>0</v>
      </c>
      <c r="BD144" s="642">
        <f>SUM('4.07_Repex_Services'!AO78,'4.07_Repex_Services'!AO102,'4.07_Repex_Services'!AO114,'4.07_Repex_Services'!AO159,'4.07_Repex_Services'!AO175,'4.07_Repex_Services'!AO183,'4.07_Repex_Services'!AO228,'4.07_Repex_Services'!AO244,'4.07_Repex_Services'!AO252,'4.07_Repex_Services'!AO297,'4.07_Repex_Services'!AO313,'4.07_Repex_Services'!AO321)</f>
        <v>0</v>
      </c>
      <c r="BE144" s="642">
        <f>SUM('4.07_Repex_Services'!AP78,'4.07_Repex_Services'!AP102,'4.07_Repex_Services'!AP114,'4.07_Repex_Services'!AP159,'4.07_Repex_Services'!AP175,'4.07_Repex_Services'!AP183,'4.07_Repex_Services'!AP228,'4.07_Repex_Services'!AP244,'4.07_Repex_Services'!AP252,'4.07_Repex_Services'!AP297,'4.07_Repex_Services'!AP313,'4.07_Repex_Services'!AP321)</f>
        <v>0</v>
      </c>
      <c r="BF144" s="642">
        <f>SUM('4.07_Repex_Services'!AQ78,'4.07_Repex_Services'!AQ102,'4.07_Repex_Services'!AQ114,'4.07_Repex_Services'!AQ159,'4.07_Repex_Services'!AQ175,'4.07_Repex_Services'!AQ183,'4.07_Repex_Services'!AQ228,'4.07_Repex_Services'!AQ244,'4.07_Repex_Services'!AQ252,'4.07_Repex_Services'!AQ297,'4.07_Repex_Services'!AQ313,'4.07_Repex_Services'!AQ321)</f>
        <v>0</v>
      </c>
      <c r="BG144" s="642">
        <f>SUM('4.07_Repex_Services'!AR78,'4.07_Repex_Services'!AR102,'4.07_Repex_Services'!AR114,'4.07_Repex_Services'!AR159,'4.07_Repex_Services'!AR175,'4.07_Repex_Services'!AR183,'4.07_Repex_Services'!AR228,'4.07_Repex_Services'!AR244,'4.07_Repex_Services'!AR252,'4.07_Repex_Services'!AR297,'4.07_Repex_Services'!AR313,'4.07_Repex_Services'!AR321)</f>
        <v>0</v>
      </c>
      <c r="BH144" s="642">
        <f>SUM('4.07_Repex_Services'!AS78,'4.07_Repex_Services'!AS102,'4.07_Repex_Services'!AS114,'4.07_Repex_Services'!AS159,'4.07_Repex_Services'!AS175,'4.07_Repex_Services'!AS183,'4.07_Repex_Services'!AS228,'4.07_Repex_Services'!AS244,'4.07_Repex_Services'!AS252,'4.07_Repex_Services'!AS297,'4.07_Repex_Services'!AS313,'4.07_Repex_Services'!AS321)</f>
        <v>0</v>
      </c>
      <c r="BI144" s="642">
        <f>SUM('4.07_Repex_Services'!AT78,'4.07_Repex_Services'!AT102,'4.07_Repex_Services'!AT114,'4.07_Repex_Services'!AT159,'4.07_Repex_Services'!AT175,'4.07_Repex_Services'!AT183,'4.07_Repex_Services'!AT228,'4.07_Repex_Services'!AT244,'4.07_Repex_Services'!AT252,'4.07_Repex_Services'!AT297,'4.07_Repex_Services'!AT313,'4.07_Repex_Services'!AT321)</f>
        <v>0</v>
      </c>
      <c r="BJ144" s="643">
        <f>SUM('4.07_Repex_Services'!AU78,'4.07_Repex_Services'!AU102,'4.07_Repex_Services'!AU114,'4.07_Repex_Services'!AU159,'4.07_Repex_Services'!AU175,'4.07_Repex_Services'!AU183,'4.07_Repex_Services'!AU228,'4.07_Repex_Services'!AU244,'4.07_Repex_Services'!AU252,'4.07_Repex_Services'!AU297,'4.07_Repex_Services'!AU313,'4.07_Repex_Services'!AU321)</f>
        <v>0</v>
      </c>
      <c r="BK144" s="641">
        <f>SUM('4.07_Repex_Services'!AV78,'4.07_Repex_Services'!AV102,'4.07_Repex_Services'!AV114,'4.07_Repex_Services'!AV159,'4.07_Repex_Services'!AV175,'4.07_Repex_Services'!AV183,'4.07_Repex_Services'!AV228,'4.07_Repex_Services'!AV244,'4.07_Repex_Services'!AV252,'4.07_Repex_Services'!AV297,'4.07_Repex_Services'!AV313,'4.07_Repex_Services'!AV321)</f>
        <v>1347.1420738189809</v>
      </c>
      <c r="BL144" s="642">
        <f>SUM('4.07_Repex_Services'!AW78,'4.07_Repex_Services'!AW102,'4.07_Repex_Services'!AW114,'4.07_Repex_Services'!AW159,'4.07_Repex_Services'!AW175,'4.07_Repex_Services'!AW183,'4.07_Repex_Services'!AW228,'4.07_Repex_Services'!AW244,'4.07_Repex_Services'!AW252,'4.07_Repex_Services'!AW297,'4.07_Repex_Services'!AW313,'4.07_Repex_Services'!AW321)</f>
        <v>1347.1420738189809</v>
      </c>
      <c r="BM144" s="642">
        <f>SUM('4.07_Repex_Services'!AX78,'4.07_Repex_Services'!AX102,'4.07_Repex_Services'!AX114,'4.07_Repex_Services'!AX159,'4.07_Repex_Services'!AX175,'4.07_Repex_Services'!AX183,'4.07_Repex_Services'!AX228,'4.07_Repex_Services'!AX244,'4.07_Repex_Services'!AX252,'4.07_Repex_Services'!AX297,'4.07_Repex_Services'!AX313,'4.07_Repex_Services'!AX321)</f>
        <v>1347.1420738189809</v>
      </c>
      <c r="BN144" s="642">
        <f>SUM('4.07_Repex_Services'!AY78,'4.07_Repex_Services'!AY102,'4.07_Repex_Services'!AY114,'4.07_Repex_Services'!AY159,'4.07_Repex_Services'!AY175,'4.07_Repex_Services'!AY183,'4.07_Repex_Services'!AY228,'4.07_Repex_Services'!AY244,'4.07_Repex_Services'!AY252,'4.07_Repex_Services'!AY297,'4.07_Repex_Services'!AY313,'4.07_Repex_Services'!AY321)</f>
        <v>1347.1420738189809</v>
      </c>
      <c r="BO144" s="643">
        <f>SUM('4.07_Repex_Services'!AZ78,'4.07_Repex_Services'!AZ102,'4.07_Repex_Services'!AZ114,'4.07_Repex_Services'!AZ159,'4.07_Repex_Services'!AZ175,'4.07_Repex_Services'!AZ183,'4.07_Repex_Services'!AZ228,'4.07_Repex_Services'!AZ244,'4.07_Repex_Services'!AZ252,'4.07_Repex_Services'!AZ297,'4.07_Repex_Services'!AZ313,'4.07_Repex_Services'!AZ321)</f>
        <v>1347.1420738189809</v>
      </c>
      <c r="BP144" s="163"/>
      <c r="BQ144" s="164" t="s">
        <v>2648</v>
      </c>
      <c r="BR144" s="641">
        <f>IF(BC144,AN144/BC144,0)</f>
        <v>0</v>
      </c>
      <c r="BS144" s="642">
        <f t="shared" ref="BS144:BS145" si="931">IF(BD144,AO144/BD144,0)</f>
        <v>0</v>
      </c>
      <c r="BT144" s="642">
        <f t="shared" ref="BT144:BT145" si="932">IF(BE144,AP144/BE144,0)</f>
        <v>0</v>
      </c>
      <c r="BU144" s="642">
        <f t="shared" ref="BU144:BU145" si="933">IF(BF144,AQ144/BF144,0)</f>
        <v>0</v>
      </c>
      <c r="BV144" s="642">
        <f t="shared" ref="BV144:BV145" si="934">IF(BG144,AR144/BG144,0)</f>
        <v>0</v>
      </c>
      <c r="BW144" s="642">
        <f t="shared" ref="BW144:BW145" si="935">IF(BH144,AS144/BH144,0)</f>
        <v>0</v>
      </c>
      <c r="BX144" s="642">
        <f t="shared" ref="BX144:BX145" si="936">IF(BI144,AT144/BI144,0)</f>
        <v>0</v>
      </c>
      <c r="BY144" s="643">
        <f t="shared" ref="BY144:BY145" si="937">IF(BJ144,AU144/BJ144,0)</f>
        <v>0</v>
      </c>
      <c r="BZ144" s="641">
        <f t="shared" ref="BZ144:BZ145" si="938">IF(BK144,AV144/BK144,0)</f>
        <v>3.1246398049840785E-4</v>
      </c>
      <c r="CA144" s="642">
        <f t="shared" ref="CA144:CA145" si="939">IF(BL144,AW144/BL144,0)</f>
        <v>3.1090166059591579E-4</v>
      </c>
      <c r="CB144" s="642">
        <f t="shared" ref="CB144:CB145" si="940">IF(BM144,AX144/BM144,0)</f>
        <v>3.093471522929362E-4</v>
      </c>
      <c r="CC144" s="642">
        <f t="shared" ref="CC144:CC145" si="941">IF(BN144,AY144/BN144,0)</f>
        <v>3.0780041653147153E-4</v>
      </c>
      <c r="CD144" s="643">
        <f t="shared" ref="CD144:CD145" si="942">IF(BO144,AZ144/BO144,0)</f>
        <v>3.0626141444881414E-4</v>
      </c>
    </row>
    <row r="145" spans="1:82" ht="14.25">
      <c r="B145" s="161"/>
      <c r="C145" s="660"/>
      <c r="D145" s="162" t="s">
        <v>2660</v>
      </c>
      <c r="E145" s="660"/>
      <c r="F145" s="162"/>
      <c r="G145" s="185"/>
      <c r="H145" s="163"/>
      <c r="I145" s="164" t="s">
        <v>498</v>
      </c>
      <c r="J145" s="641">
        <f>SUM('4.07_Repex_Services'!J79,'4.07_Repex_Services'!J103,'4.07_Repex_Services'!J115,'4.07_Repex_Services'!J160,'4.07_Repex_Services'!J176,'4.07_Repex_Services'!J184,'4.07_Repex_Services'!J229,'4.07_Repex_Services'!J245,'4.07_Repex_Services'!J253,'4.07_Repex_Services'!J298,'4.07_Repex_Services'!J314,'4.07_Repex_Services'!J322)</f>
        <v>0</v>
      </c>
      <c r="K145" s="642">
        <f>SUM('4.07_Repex_Services'!K79,'4.07_Repex_Services'!K103,'4.07_Repex_Services'!K115,'4.07_Repex_Services'!K160,'4.07_Repex_Services'!K176,'4.07_Repex_Services'!K184,'4.07_Repex_Services'!K229,'4.07_Repex_Services'!K245,'4.07_Repex_Services'!K253,'4.07_Repex_Services'!K298,'4.07_Repex_Services'!K314,'4.07_Repex_Services'!K322)</f>
        <v>0</v>
      </c>
      <c r="L145" s="642">
        <f>SUM('4.07_Repex_Services'!L79,'4.07_Repex_Services'!L103,'4.07_Repex_Services'!L115,'4.07_Repex_Services'!L160,'4.07_Repex_Services'!L176,'4.07_Repex_Services'!L184,'4.07_Repex_Services'!L229,'4.07_Repex_Services'!L245,'4.07_Repex_Services'!L253,'4.07_Repex_Services'!L298,'4.07_Repex_Services'!L314,'4.07_Repex_Services'!L322)</f>
        <v>0</v>
      </c>
      <c r="M145" s="642">
        <f>SUM('4.07_Repex_Services'!M79,'4.07_Repex_Services'!M103,'4.07_Repex_Services'!M115,'4.07_Repex_Services'!M160,'4.07_Repex_Services'!M176,'4.07_Repex_Services'!M184,'4.07_Repex_Services'!M229,'4.07_Repex_Services'!M245,'4.07_Repex_Services'!M253,'4.07_Repex_Services'!M298,'4.07_Repex_Services'!M314,'4.07_Repex_Services'!M322)</f>
        <v>0</v>
      </c>
      <c r="N145" s="642">
        <f>SUM('4.07_Repex_Services'!N79,'4.07_Repex_Services'!N103,'4.07_Repex_Services'!N115,'4.07_Repex_Services'!N160,'4.07_Repex_Services'!N176,'4.07_Repex_Services'!N184,'4.07_Repex_Services'!N229,'4.07_Repex_Services'!N245,'4.07_Repex_Services'!N253,'4.07_Repex_Services'!N298,'4.07_Repex_Services'!N314,'4.07_Repex_Services'!N322)</f>
        <v>0</v>
      </c>
      <c r="O145" s="642">
        <f>SUM('4.07_Repex_Services'!O79,'4.07_Repex_Services'!O103,'4.07_Repex_Services'!O115,'4.07_Repex_Services'!O160,'4.07_Repex_Services'!O176,'4.07_Repex_Services'!O184,'4.07_Repex_Services'!O229,'4.07_Repex_Services'!O245,'4.07_Repex_Services'!O253,'4.07_Repex_Services'!O298,'4.07_Repex_Services'!O314,'4.07_Repex_Services'!O322)</f>
        <v>0</v>
      </c>
      <c r="P145" s="642">
        <f>SUM('4.07_Repex_Services'!P79,'4.07_Repex_Services'!P103,'4.07_Repex_Services'!P115,'4.07_Repex_Services'!P160,'4.07_Repex_Services'!P176,'4.07_Repex_Services'!P184,'4.07_Repex_Services'!P229,'4.07_Repex_Services'!P245,'4.07_Repex_Services'!P253,'4.07_Repex_Services'!P298,'4.07_Repex_Services'!P314,'4.07_Repex_Services'!P322)</f>
        <v>0</v>
      </c>
      <c r="Q145" s="643">
        <f>SUM('4.07_Repex_Services'!Q79,'4.07_Repex_Services'!Q103,'4.07_Repex_Services'!Q115,'4.07_Repex_Services'!Q160,'4.07_Repex_Services'!Q176,'4.07_Repex_Services'!Q184,'4.07_Repex_Services'!Q229,'4.07_Repex_Services'!Q245,'4.07_Repex_Services'!Q253,'4.07_Repex_Services'!Q298,'4.07_Repex_Services'!Q314,'4.07_Repex_Services'!Q322)</f>
        <v>0</v>
      </c>
      <c r="R145" s="641">
        <f>SUM('4.07_Repex_Services'!R79,'4.07_Repex_Services'!R103,'4.07_Repex_Services'!R115,'4.07_Repex_Services'!R160,'4.07_Repex_Services'!R176,'4.07_Repex_Services'!R184,'4.07_Repex_Services'!R229,'4.07_Repex_Services'!R245,'4.07_Repex_Services'!R253,'4.07_Repex_Services'!R298,'4.07_Repex_Services'!R314,'4.07_Repex_Services'!R322)</f>
        <v>0.2307185071774637</v>
      </c>
      <c r="S145" s="642">
        <f>SUM('4.07_Repex_Services'!S79,'4.07_Repex_Services'!S103,'4.07_Repex_Services'!S115,'4.07_Repex_Services'!S160,'4.07_Repex_Services'!S176,'4.07_Repex_Services'!S184,'4.07_Repex_Services'!S229,'4.07_Repex_Services'!S245,'4.07_Repex_Services'!S253,'4.07_Repex_Services'!S298,'4.07_Repex_Services'!S314,'4.07_Repex_Services'!S322)</f>
        <v>0.22956491464157638</v>
      </c>
      <c r="T145" s="642">
        <f>SUM('4.07_Repex_Services'!T79,'4.07_Repex_Services'!T103,'4.07_Repex_Services'!T115,'4.07_Repex_Services'!T160,'4.07_Repex_Services'!T176,'4.07_Repex_Services'!T184,'4.07_Repex_Services'!T229,'4.07_Repex_Services'!T245,'4.07_Repex_Services'!T253,'4.07_Repex_Services'!T298,'4.07_Repex_Services'!T314,'4.07_Repex_Services'!T322)</f>
        <v>0.22841709006836852</v>
      </c>
      <c r="U145" s="642">
        <f>SUM('4.07_Repex_Services'!U79,'4.07_Repex_Services'!U103,'4.07_Repex_Services'!U115,'4.07_Repex_Services'!U160,'4.07_Repex_Services'!U176,'4.07_Repex_Services'!U184,'4.07_Repex_Services'!U229,'4.07_Repex_Services'!U245,'4.07_Repex_Services'!U253,'4.07_Repex_Services'!U298,'4.07_Repex_Services'!U314,'4.07_Repex_Services'!U322)</f>
        <v>0.22727500461802669</v>
      </c>
      <c r="V145" s="643">
        <f>SUM('4.07_Repex_Services'!V79,'4.07_Repex_Services'!V103,'4.07_Repex_Services'!V115,'4.07_Repex_Services'!V160,'4.07_Repex_Services'!V176,'4.07_Repex_Services'!V184,'4.07_Repex_Services'!V229,'4.07_Repex_Services'!V245,'4.07_Repex_Services'!V253,'4.07_Repex_Services'!V298,'4.07_Repex_Services'!V314,'4.07_Repex_Services'!V322)</f>
        <v>0.22613862959493652</v>
      </c>
      <c r="W145" s="163"/>
      <c r="X145" s="164" t="s">
        <v>498</v>
      </c>
      <c r="Y145" s="641">
        <f>SUM('4.07_Repex_Services'!Y79,'4.07_Repex_Services'!Y103,'4.07_Repex_Services'!Y115,'4.07_Repex_Services'!Y160,'4.07_Repex_Services'!Y176,'4.07_Repex_Services'!Y184,'4.07_Repex_Services'!Y229,'4.07_Repex_Services'!Y245,'4.07_Repex_Services'!Y253,'4.07_Repex_Services'!Y298,'4.07_Repex_Services'!Y314,'4.07_Repex_Services'!Y322)</f>
        <v>0</v>
      </c>
      <c r="Z145" s="642">
        <f>SUM('4.07_Repex_Services'!Z79,'4.07_Repex_Services'!Z103,'4.07_Repex_Services'!Z115,'4.07_Repex_Services'!Z160,'4.07_Repex_Services'!Z176,'4.07_Repex_Services'!Z184,'4.07_Repex_Services'!Z229,'4.07_Repex_Services'!Z245,'4.07_Repex_Services'!Z253,'4.07_Repex_Services'!Z298,'4.07_Repex_Services'!Z314,'4.07_Repex_Services'!Z322)</f>
        <v>0</v>
      </c>
      <c r="AA145" s="642">
        <f>SUM('4.07_Repex_Services'!AA79,'4.07_Repex_Services'!AA103,'4.07_Repex_Services'!AA115,'4.07_Repex_Services'!AA160,'4.07_Repex_Services'!AA176,'4.07_Repex_Services'!AA184,'4.07_Repex_Services'!AA229,'4.07_Repex_Services'!AA245,'4.07_Repex_Services'!AA253,'4.07_Repex_Services'!AA298,'4.07_Repex_Services'!AA314,'4.07_Repex_Services'!AA322)</f>
        <v>0</v>
      </c>
      <c r="AB145" s="642">
        <f>SUM('4.07_Repex_Services'!AB79,'4.07_Repex_Services'!AB103,'4.07_Repex_Services'!AB115,'4.07_Repex_Services'!AB160,'4.07_Repex_Services'!AB176,'4.07_Repex_Services'!AB184,'4.07_Repex_Services'!AB229,'4.07_Repex_Services'!AB245,'4.07_Repex_Services'!AB253,'4.07_Repex_Services'!AB298,'4.07_Repex_Services'!AB314,'4.07_Repex_Services'!AB322)</f>
        <v>0</v>
      </c>
      <c r="AC145" s="642">
        <f>SUM('4.07_Repex_Services'!AC79,'4.07_Repex_Services'!AC103,'4.07_Repex_Services'!AC115,'4.07_Repex_Services'!AC160,'4.07_Repex_Services'!AC176,'4.07_Repex_Services'!AC184,'4.07_Repex_Services'!AC229,'4.07_Repex_Services'!AC245,'4.07_Repex_Services'!AC253,'4.07_Repex_Services'!AC298,'4.07_Repex_Services'!AC314,'4.07_Repex_Services'!AC322)</f>
        <v>0</v>
      </c>
      <c r="AD145" s="642">
        <f>SUM('4.07_Repex_Services'!AD79,'4.07_Repex_Services'!AD103,'4.07_Repex_Services'!AD115,'4.07_Repex_Services'!AD160,'4.07_Repex_Services'!AD176,'4.07_Repex_Services'!AD184,'4.07_Repex_Services'!AD229,'4.07_Repex_Services'!AD245,'4.07_Repex_Services'!AD253,'4.07_Repex_Services'!AD298,'4.07_Repex_Services'!AD314,'4.07_Repex_Services'!AD322)</f>
        <v>0</v>
      </c>
      <c r="AE145" s="642">
        <f>SUM('4.07_Repex_Services'!AE79,'4.07_Repex_Services'!AE103,'4.07_Repex_Services'!AE115,'4.07_Repex_Services'!AE160,'4.07_Repex_Services'!AE176,'4.07_Repex_Services'!AE184,'4.07_Repex_Services'!AE229,'4.07_Repex_Services'!AE245,'4.07_Repex_Services'!AE253,'4.07_Repex_Services'!AE298,'4.07_Repex_Services'!AE314,'4.07_Repex_Services'!AE322)</f>
        <v>0</v>
      </c>
      <c r="AF145" s="643">
        <f>SUM('4.07_Repex_Services'!AF79,'4.07_Repex_Services'!AF103,'4.07_Repex_Services'!AF115,'4.07_Repex_Services'!AF160,'4.07_Repex_Services'!AF176,'4.07_Repex_Services'!AF184,'4.07_Repex_Services'!AF229,'4.07_Repex_Services'!AF245,'4.07_Repex_Services'!AF253,'4.07_Repex_Services'!AF298,'4.07_Repex_Services'!AF314,'4.07_Repex_Services'!AF322)</f>
        <v>0</v>
      </c>
      <c r="AG145" s="641">
        <f>SUM('4.07_Repex_Services'!AG79,'4.07_Repex_Services'!AG103,'4.07_Repex_Services'!AG115,'4.07_Repex_Services'!AG160,'4.07_Repex_Services'!AG176,'4.07_Repex_Services'!AG184,'4.07_Repex_Services'!AG229,'4.07_Repex_Services'!AG245,'4.07_Repex_Services'!AG253,'4.07_Repex_Services'!AG298,'4.07_Repex_Services'!AG314,'4.07_Repex_Services'!AG322)</f>
        <v>0</v>
      </c>
      <c r="AH145" s="642">
        <f>SUM('4.07_Repex_Services'!AH79,'4.07_Repex_Services'!AH103,'4.07_Repex_Services'!AH115,'4.07_Repex_Services'!AH160,'4.07_Repex_Services'!AH176,'4.07_Repex_Services'!AH184,'4.07_Repex_Services'!AH229,'4.07_Repex_Services'!AH245,'4.07_Repex_Services'!AH253,'4.07_Repex_Services'!AH298,'4.07_Repex_Services'!AH314,'4.07_Repex_Services'!AH322)</f>
        <v>0</v>
      </c>
      <c r="AI145" s="642">
        <f>SUM('4.07_Repex_Services'!AI79,'4.07_Repex_Services'!AI103,'4.07_Repex_Services'!AI115,'4.07_Repex_Services'!AI160,'4.07_Repex_Services'!AI176,'4.07_Repex_Services'!AI184,'4.07_Repex_Services'!AI229,'4.07_Repex_Services'!AI245,'4.07_Repex_Services'!AI253,'4.07_Repex_Services'!AI298,'4.07_Repex_Services'!AI314,'4.07_Repex_Services'!AI322)</f>
        <v>0</v>
      </c>
      <c r="AJ145" s="642">
        <f>SUM('4.07_Repex_Services'!AJ79,'4.07_Repex_Services'!AJ103,'4.07_Repex_Services'!AJ115,'4.07_Repex_Services'!AJ160,'4.07_Repex_Services'!AJ176,'4.07_Repex_Services'!AJ184,'4.07_Repex_Services'!AJ229,'4.07_Repex_Services'!AJ245,'4.07_Repex_Services'!AJ253,'4.07_Repex_Services'!AJ298,'4.07_Repex_Services'!AJ314,'4.07_Repex_Services'!AJ322)</f>
        <v>0</v>
      </c>
      <c r="AK145" s="643">
        <f>SUM('4.07_Repex_Services'!AK79,'4.07_Repex_Services'!AK103,'4.07_Repex_Services'!AK115,'4.07_Repex_Services'!AK160,'4.07_Repex_Services'!AK176,'4.07_Repex_Services'!AK184,'4.07_Repex_Services'!AK229,'4.07_Repex_Services'!AK245,'4.07_Repex_Services'!AK253,'4.07_Repex_Services'!AK298,'4.07_Repex_Services'!AK314,'4.07_Repex_Services'!AK322)</f>
        <v>0</v>
      </c>
      <c r="AL145" s="163"/>
      <c r="AM145" s="164" t="s">
        <v>498</v>
      </c>
      <c r="AN145" s="641">
        <f t="shared" ref="AN145" si="943">J145+Y145</f>
        <v>0</v>
      </c>
      <c r="AO145" s="642">
        <f t="shared" si="919"/>
        <v>0</v>
      </c>
      <c r="AP145" s="642">
        <f t="shared" si="920"/>
        <v>0</v>
      </c>
      <c r="AQ145" s="642">
        <f t="shared" si="921"/>
        <v>0</v>
      </c>
      <c r="AR145" s="642">
        <f t="shared" si="922"/>
        <v>0</v>
      </c>
      <c r="AS145" s="642">
        <f t="shared" si="923"/>
        <v>0</v>
      </c>
      <c r="AT145" s="642">
        <f t="shared" si="924"/>
        <v>0</v>
      </c>
      <c r="AU145" s="643">
        <f t="shared" si="925"/>
        <v>0</v>
      </c>
      <c r="AV145" s="641">
        <f t="shared" si="926"/>
        <v>0.2307185071774637</v>
      </c>
      <c r="AW145" s="642">
        <f t="shared" si="927"/>
        <v>0.22956491464157638</v>
      </c>
      <c r="AX145" s="642">
        <f t="shared" si="928"/>
        <v>0.22841709006836852</v>
      </c>
      <c r="AY145" s="642">
        <f t="shared" si="929"/>
        <v>0.22727500461802669</v>
      </c>
      <c r="AZ145" s="643">
        <f t="shared" si="930"/>
        <v>0.22613862959493652</v>
      </c>
      <c r="BA145" s="163"/>
      <c r="BB145" s="164" t="s">
        <v>1876</v>
      </c>
      <c r="BC145" s="641">
        <f>SUM('4.07_Repex_Services'!AN79,'4.07_Repex_Services'!AN103,'4.07_Repex_Services'!AN115,'4.07_Repex_Services'!AN160,'4.07_Repex_Services'!AN176,'4.07_Repex_Services'!AN184,'4.07_Repex_Services'!AN229,'4.07_Repex_Services'!AN245,'4.07_Repex_Services'!AN253,'4.07_Repex_Services'!AN298,'4.07_Repex_Services'!AN314,'4.07_Repex_Services'!AN322)</f>
        <v>0</v>
      </c>
      <c r="BD145" s="642">
        <f>SUM('4.07_Repex_Services'!AO79,'4.07_Repex_Services'!AO103,'4.07_Repex_Services'!AO115,'4.07_Repex_Services'!AO160,'4.07_Repex_Services'!AO176,'4.07_Repex_Services'!AO184,'4.07_Repex_Services'!AO229,'4.07_Repex_Services'!AO245,'4.07_Repex_Services'!AO253,'4.07_Repex_Services'!AO298,'4.07_Repex_Services'!AO314,'4.07_Repex_Services'!AO322)</f>
        <v>0</v>
      </c>
      <c r="BE145" s="642">
        <f>SUM('4.07_Repex_Services'!AP79,'4.07_Repex_Services'!AP103,'4.07_Repex_Services'!AP115,'4.07_Repex_Services'!AP160,'4.07_Repex_Services'!AP176,'4.07_Repex_Services'!AP184,'4.07_Repex_Services'!AP229,'4.07_Repex_Services'!AP245,'4.07_Repex_Services'!AP253,'4.07_Repex_Services'!AP298,'4.07_Repex_Services'!AP314,'4.07_Repex_Services'!AP322)</f>
        <v>0</v>
      </c>
      <c r="BF145" s="642">
        <f>SUM('4.07_Repex_Services'!AQ79,'4.07_Repex_Services'!AQ103,'4.07_Repex_Services'!AQ115,'4.07_Repex_Services'!AQ160,'4.07_Repex_Services'!AQ176,'4.07_Repex_Services'!AQ184,'4.07_Repex_Services'!AQ229,'4.07_Repex_Services'!AQ245,'4.07_Repex_Services'!AQ253,'4.07_Repex_Services'!AQ298,'4.07_Repex_Services'!AQ314,'4.07_Repex_Services'!AQ322)</f>
        <v>0</v>
      </c>
      <c r="BG145" s="642">
        <f>SUM('4.07_Repex_Services'!AR79,'4.07_Repex_Services'!AR103,'4.07_Repex_Services'!AR115,'4.07_Repex_Services'!AR160,'4.07_Repex_Services'!AR176,'4.07_Repex_Services'!AR184,'4.07_Repex_Services'!AR229,'4.07_Repex_Services'!AR245,'4.07_Repex_Services'!AR253,'4.07_Repex_Services'!AR298,'4.07_Repex_Services'!AR314,'4.07_Repex_Services'!AR322)</f>
        <v>0</v>
      </c>
      <c r="BH145" s="642">
        <f>SUM('4.07_Repex_Services'!AS79,'4.07_Repex_Services'!AS103,'4.07_Repex_Services'!AS115,'4.07_Repex_Services'!AS160,'4.07_Repex_Services'!AS176,'4.07_Repex_Services'!AS184,'4.07_Repex_Services'!AS229,'4.07_Repex_Services'!AS245,'4.07_Repex_Services'!AS253,'4.07_Repex_Services'!AS298,'4.07_Repex_Services'!AS314,'4.07_Repex_Services'!AS322)</f>
        <v>0</v>
      </c>
      <c r="BI145" s="642">
        <f>SUM('4.07_Repex_Services'!AT79,'4.07_Repex_Services'!AT103,'4.07_Repex_Services'!AT115,'4.07_Repex_Services'!AT160,'4.07_Repex_Services'!AT176,'4.07_Repex_Services'!AT184,'4.07_Repex_Services'!AT229,'4.07_Repex_Services'!AT245,'4.07_Repex_Services'!AT253,'4.07_Repex_Services'!AT298,'4.07_Repex_Services'!AT314,'4.07_Repex_Services'!AT322)</f>
        <v>0</v>
      </c>
      <c r="BJ145" s="643">
        <f>SUM('4.07_Repex_Services'!AU79,'4.07_Repex_Services'!AU103,'4.07_Repex_Services'!AU115,'4.07_Repex_Services'!AU160,'4.07_Repex_Services'!AU176,'4.07_Repex_Services'!AU184,'4.07_Repex_Services'!AU229,'4.07_Repex_Services'!AU245,'4.07_Repex_Services'!AU253,'4.07_Repex_Services'!AU298,'4.07_Repex_Services'!AU314,'4.07_Repex_Services'!AU322)</f>
        <v>0</v>
      </c>
      <c r="BK145" s="641">
        <f>SUM('4.07_Repex_Services'!AV79,'4.07_Repex_Services'!AV103,'4.07_Repex_Services'!AV115,'4.07_Repex_Services'!AV160,'4.07_Repex_Services'!AV176,'4.07_Repex_Services'!AV184,'4.07_Repex_Services'!AV229,'4.07_Repex_Services'!AV245,'4.07_Repex_Services'!AV253,'4.07_Repex_Services'!AV298,'4.07_Repex_Services'!AV314,'4.07_Repex_Services'!AV322)</f>
        <v>898.09471587932057</v>
      </c>
      <c r="BL145" s="642">
        <f>SUM('4.07_Repex_Services'!AW79,'4.07_Repex_Services'!AW103,'4.07_Repex_Services'!AW115,'4.07_Repex_Services'!AW160,'4.07_Repex_Services'!AW176,'4.07_Repex_Services'!AW184,'4.07_Repex_Services'!AW229,'4.07_Repex_Services'!AW245,'4.07_Repex_Services'!AW253,'4.07_Repex_Services'!AW298,'4.07_Repex_Services'!AW314,'4.07_Repex_Services'!AW322)</f>
        <v>898.09471587932057</v>
      </c>
      <c r="BM145" s="642">
        <f>SUM('4.07_Repex_Services'!AX79,'4.07_Repex_Services'!AX103,'4.07_Repex_Services'!AX115,'4.07_Repex_Services'!AX160,'4.07_Repex_Services'!AX176,'4.07_Repex_Services'!AX184,'4.07_Repex_Services'!AX229,'4.07_Repex_Services'!AX245,'4.07_Repex_Services'!AX253,'4.07_Repex_Services'!AX298,'4.07_Repex_Services'!AX314,'4.07_Repex_Services'!AX322)</f>
        <v>898.09471587932057</v>
      </c>
      <c r="BN145" s="642">
        <f>SUM('4.07_Repex_Services'!AY79,'4.07_Repex_Services'!AY103,'4.07_Repex_Services'!AY115,'4.07_Repex_Services'!AY160,'4.07_Repex_Services'!AY176,'4.07_Repex_Services'!AY184,'4.07_Repex_Services'!AY229,'4.07_Repex_Services'!AY245,'4.07_Repex_Services'!AY253,'4.07_Repex_Services'!AY298,'4.07_Repex_Services'!AY314,'4.07_Repex_Services'!AY322)</f>
        <v>898.09471587932057</v>
      </c>
      <c r="BO145" s="643">
        <f>SUM('4.07_Repex_Services'!AZ79,'4.07_Repex_Services'!AZ103,'4.07_Repex_Services'!AZ115,'4.07_Repex_Services'!AZ160,'4.07_Repex_Services'!AZ176,'4.07_Repex_Services'!AZ184,'4.07_Repex_Services'!AZ229,'4.07_Repex_Services'!AZ245,'4.07_Repex_Services'!AZ253,'4.07_Repex_Services'!AZ298,'4.07_Repex_Services'!AZ314,'4.07_Repex_Services'!AZ322)</f>
        <v>898.09471587932057</v>
      </c>
      <c r="BP145" s="163"/>
      <c r="BQ145" s="164" t="s">
        <v>2648</v>
      </c>
      <c r="BR145" s="641">
        <f t="shared" ref="BR145" si="944">IF(BC145,AN145/BC145,0)</f>
        <v>0</v>
      </c>
      <c r="BS145" s="642">
        <f t="shared" si="931"/>
        <v>0</v>
      </c>
      <c r="BT145" s="642">
        <f t="shared" si="932"/>
        <v>0</v>
      </c>
      <c r="BU145" s="642">
        <f t="shared" si="933"/>
        <v>0</v>
      </c>
      <c r="BV145" s="642">
        <f t="shared" si="934"/>
        <v>0</v>
      </c>
      <c r="BW145" s="642">
        <f t="shared" si="935"/>
        <v>0</v>
      </c>
      <c r="BX145" s="642">
        <f t="shared" si="936"/>
        <v>0</v>
      </c>
      <c r="BY145" s="643">
        <f t="shared" si="937"/>
        <v>0</v>
      </c>
      <c r="BZ145" s="641">
        <f t="shared" si="938"/>
        <v>2.5689774485708694E-4</v>
      </c>
      <c r="CA145" s="642">
        <f t="shared" si="939"/>
        <v>2.5561325613280151E-4</v>
      </c>
      <c r="CB145" s="642">
        <f t="shared" si="940"/>
        <v>2.5433518985213755E-4</v>
      </c>
      <c r="CC145" s="642">
        <f t="shared" si="941"/>
        <v>2.5306351390287684E-4</v>
      </c>
      <c r="CD145" s="643">
        <f t="shared" si="942"/>
        <v>2.5179819633336245E-4</v>
      </c>
    </row>
    <row r="146" spans="1:82" ht="14.25">
      <c r="B146" s="161"/>
      <c r="C146" s="185" t="s">
        <v>1710</v>
      </c>
      <c r="D146" s="660"/>
      <c r="E146" s="185"/>
      <c r="F146" s="162"/>
      <c r="G146" s="185"/>
      <c r="H146" s="185"/>
      <c r="I146" s="164" t="s">
        <v>498</v>
      </c>
      <c r="J146" s="697">
        <f>SUM(J144:J145)</f>
        <v>0</v>
      </c>
      <c r="K146" s="698">
        <f t="shared" ref="K146:V146" si="945">SUM(K144:K145)</f>
        <v>0</v>
      </c>
      <c r="L146" s="698">
        <f t="shared" si="945"/>
        <v>0</v>
      </c>
      <c r="M146" s="698">
        <f t="shared" si="945"/>
        <v>0</v>
      </c>
      <c r="N146" s="698">
        <f t="shared" si="945"/>
        <v>0</v>
      </c>
      <c r="O146" s="698">
        <f t="shared" si="945"/>
        <v>0</v>
      </c>
      <c r="P146" s="698">
        <f t="shared" si="945"/>
        <v>0</v>
      </c>
      <c r="Q146" s="699">
        <f t="shared" si="945"/>
        <v>0</v>
      </c>
      <c r="R146" s="697">
        <f t="shared" si="945"/>
        <v>0.65165188185982248</v>
      </c>
      <c r="S146" s="698">
        <f t="shared" si="945"/>
        <v>0.64839362245052334</v>
      </c>
      <c r="T146" s="698">
        <f t="shared" si="945"/>
        <v>0.64515165433827071</v>
      </c>
      <c r="U146" s="698">
        <f t="shared" si="945"/>
        <v>0.64192589606657946</v>
      </c>
      <c r="V146" s="699">
        <f t="shared" si="945"/>
        <v>0.63871626658624647</v>
      </c>
      <c r="W146" s="185"/>
      <c r="X146" s="164" t="s">
        <v>498</v>
      </c>
      <c r="Y146" s="697">
        <f t="shared" ref="Y146" si="946">SUM(Y144:Y145)</f>
        <v>0</v>
      </c>
      <c r="Z146" s="698">
        <f t="shared" ref="Z146" si="947">SUM(Z144:Z145)</f>
        <v>0</v>
      </c>
      <c r="AA146" s="698">
        <f t="shared" ref="AA146" si="948">SUM(AA144:AA145)</f>
        <v>0</v>
      </c>
      <c r="AB146" s="698">
        <f t="shared" ref="AB146" si="949">SUM(AB144:AB145)</f>
        <v>0</v>
      </c>
      <c r="AC146" s="698">
        <f t="shared" ref="AC146" si="950">SUM(AC144:AC145)</f>
        <v>0</v>
      </c>
      <c r="AD146" s="698">
        <f t="shared" ref="AD146" si="951">SUM(AD144:AD145)</f>
        <v>0</v>
      </c>
      <c r="AE146" s="698">
        <f t="shared" ref="AE146" si="952">SUM(AE144:AE145)</f>
        <v>0</v>
      </c>
      <c r="AF146" s="699">
        <f t="shared" ref="AF146" si="953">SUM(AF144:AF145)</f>
        <v>0</v>
      </c>
      <c r="AG146" s="697">
        <f t="shared" ref="AG146" si="954">SUM(AG144:AG145)</f>
        <v>0</v>
      </c>
      <c r="AH146" s="698">
        <f t="shared" ref="AH146" si="955">SUM(AH144:AH145)</f>
        <v>0</v>
      </c>
      <c r="AI146" s="698">
        <f t="shared" ref="AI146" si="956">SUM(AI144:AI145)</f>
        <v>0</v>
      </c>
      <c r="AJ146" s="698">
        <f t="shared" ref="AJ146" si="957">SUM(AJ144:AJ145)</f>
        <v>0</v>
      </c>
      <c r="AK146" s="699">
        <f t="shared" ref="AK146" si="958">SUM(AK144:AK145)</f>
        <v>0</v>
      </c>
      <c r="AL146" s="185"/>
      <c r="AM146" s="164" t="s">
        <v>498</v>
      </c>
      <c r="AN146" s="697">
        <f>SUM(AN144:AN145)</f>
        <v>0</v>
      </c>
      <c r="AO146" s="698">
        <f t="shared" ref="AO146:AZ146" si="959">SUM(AO144:AO145)</f>
        <v>0</v>
      </c>
      <c r="AP146" s="698">
        <f t="shared" si="959"/>
        <v>0</v>
      </c>
      <c r="AQ146" s="698">
        <f t="shared" si="959"/>
        <v>0</v>
      </c>
      <c r="AR146" s="698">
        <f t="shared" si="959"/>
        <v>0</v>
      </c>
      <c r="AS146" s="698">
        <f t="shared" si="959"/>
        <v>0</v>
      </c>
      <c r="AT146" s="698">
        <f t="shared" si="959"/>
        <v>0</v>
      </c>
      <c r="AU146" s="699">
        <f t="shared" si="959"/>
        <v>0</v>
      </c>
      <c r="AV146" s="697">
        <f t="shared" si="959"/>
        <v>0.65165188185982248</v>
      </c>
      <c r="AW146" s="698">
        <f t="shared" si="959"/>
        <v>0.64839362245052334</v>
      </c>
      <c r="AX146" s="698">
        <f t="shared" si="959"/>
        <v>0.64515165433827071</v>
      </c>
      <c r="AY146" s="698">
        <f t="shared" si="959"/>
        <v>0.64192589606657946</v>
      </c>
      <c r="AZ146" s="699">
        <f t="shared" si="959"/>
        <v>0.63871626658624647</v>
      </c>
      <c r="BA146" s="185"/>
      <c r="BB146" s="164" t="s">
        <v>1876</v>
      </c>
      <c r="BC146" s="697">
        <f>SUM(BC144:BC145)</f>
        <v>0</v>
      </c>
      <c r="BD146" s="698">
        <f t="shared" ref="BD146:BO146" si="960">SUM(BD144:BD145)</f>
        <v>0</v>
      </c>
      <c r="BE146" s="698">
        <f t="shared" si="960"/>
        <v>0</v>
      </c>
      <c r="BF146" s="698">
        <f t="shared" si="960"/>
        <v>0</v>
      </c>
      <c r="BG146" s="698">
        <f t="shared" si="960"/>
        <v>0</v>
      </c>
      <c r="BH146" s="698">
        <f t="shared" si="960"/>
        <v>0</v>
      </c>
      <c r="BI146" s="698">
        <f t="shared" si="960"/>
        <v>0</v>
      </c>
      <c r="BJ146" s="699">
        <f t="shared" si="960"/>
        <v>0</v>
      </c>
      <c r="BK146" s="697">
        <f t="shared" si="960"/>
        <v>2245.2367896983014</v>
      </c>
      <c r="BL146" s="698">
        <f t="shared" si="960"/>
        <v>2245.2367896983014</v>
      </c>
      <c r="BM146" s="698">
        <f t="shared" si="960"/>
        <v>2245.2367896983014</v>
      </c>
      <c r="BN146" s="698">
        <f t="shared" si="960"/>
        <v>2245.2367896983014</v>
      </c>
      <c r="BO146" s="699">
        <f t="shared" si="960"/>
        <v>2245.2367896983014</v>
      </c>
      <c r="BP146" s="185"/>
      <c r="BQ146" s="117"/>
      <c r="BR146" s="713"/>
      <c r="BS146" s="714"/>
      <c r="BT146" s="714"/>
      <c r="BU146" s="714"/>
      <c r="BV146" s="714"/>
      <c r="BW146" s="714"/>
      <c r="BX146" s="714"/>
      <c r="BY146" s="715"/>
      <c r="BZ146" s="716"/>
      <c r="CA146" s="714"/>
      <c r="CB146" s="714"/>
      <c r="CC146" s="714"/>
      <c r="CD146" s="715"/>
    </row>
    <row r="147" spans="1:82" ht="14.25">
      <c r="B147" s="181"/>
      <c r="C147" s="185"/>
      <c r="D147" s="185"/>
      <c r="E147" s="182"/>
      <c r="F147" s="185"/>
      <c r="G147" s="184"/>
      <c r="H147" s="184"/>
      <c r="I147" s="117"/>
      <c r="J147" s="159"/>
      <c r="K147" s="117"/>
      <c r="L147" s="117"/>
      <c r="M147" s="117"/>
      <c r="N147" s="117"/>
      <c r="O147" s="117"/>
      <c r="P147" s="117"/>
      <c r="Q147" s="160"/>
      <c r="R147" s="159"/>
      <c r="S147" s="117"/>
      <c r="T147" s="117"/>
      <c r="U147" s="117"/>
      <c r="V147" s="160"/>
      <c r="W147" s="184"/>
      <c r="X147" s="117"/>
      <c r="Y147" s="159"/>
      <c r="Z147" s="117"/>
      <c r="AA147" s="117"/>
      <c r="AB147" s="117"/>
      <c r="AC147" s="117"/>
      <c r="AD147" s="117"/>
      <c r="AE147" s="117"/>
      <c r="AF147" s="160"/>
      <c r="AG147" s="159"/>
      <c r="AH147" s="117"/>
      <c r="AI147" s="117"/>
      <c r="AJ147" s="117"/>
      <c r="AK147" s="160"/>
      <c r="AL147" s="184"/>
      <c r="AM147" s="117"/>
      <c r="AN147" s="713"/>
      <c r="AO147" s="714"/>
      <c r="AP147" s="714"/>
      <c r="AQ147" s="714"/>
      <c r="AR147" s="714"/>
      <c r="AS147" s="714"/>
      <c r="AT147" s="714"/>
      <c r="AU147" s="715"/>
      <c r="AV147" s="716"/>
      <c r="AW147" s="714"/>
      <c r="AX147" s="714"/>
      <c r="AY147" s="714"/>
      <c r="AZ147" s="715"/>
      <c r="BA147" s="184"/>
      <c r="BB147" s="117"/>
      <c r="BC147" s="159"/>
      <c r="BD147" s="117"/>
      <c r="BE147" s="117"/>
      <c r="BF147" s="117"/>
      <c r="BG147" s="117"/>
      <c r="BH147" s="117"/>
      <c r="BI147" s="117"/>
      <c r="BJ147" s="160"/>
      <c r="BK147" s="159"/>
      <c r="BL147" s="117"/>
      <c r="BM147" s="117"/>
      <c r="BN147" s="117"/>
      <c r="BO147" s="160"/>
      <c r="BP147" s="184"/>
      <c r="BQ147" s="117"/>
      <c r="BR147" s="713"/>
      <c r="BS147" s="714"/>
      <c r="BT147" s="714"/>
      <c r="BU147" s="714"/>
      <c r="BV147" s="714"/>
      <c r="BW147" s="714"/>
      <c r="BX147" s="714"/>
      <c r="BY147" s="715"/>
      <c r="BZ147" s="716"/>
      <c r="CA147" s="714"/>
      <c r="CB147" s="714"/>
      <c r="CC147" s="714"/>
      <c r="CD147" s="715"/>
    </row>
    <row r="148" spans="1:82" ht="15.75">
      <c r="B148" s="161"/>
      <c r="C148" s="186" t="s">
        <v>2663</v>
      </c>
      <c r="D148" s="617"/>
      <c r="E148" s="180"/>
      <c r="F148" s="162"/>
      <c r="G148" s="163"/>
      <c r="H148" s="163"/>
      <c r="I148" s="117"/>
      <c r="J148" s="159"/>
      <c r="K148" s="117"/>
      <c r="L148" s="117"/>
      <c r="M148" s="117"/>
      <c r="N148" s="117"/>
      <c r="O148" s="117"/>
      <c r="P148" s="117"/>
      <c r="Q148" s="160"/>
      <c r="R148" s="159"/>
      <c r="S148" s="117"/>
      <c r="T148" s="117"/>
      <c r="U148" s="117"/>
      <c r="V148" s="160"/>
      <c r="W148" s="163"/>
      <c r="X148" s="117"/>
      <c r="Y148" s="159"/>
      <c r="Z148" s="117"/>
      <c r="AA148" s="117"/>
      <c r="AB148" s="117"/>
      <c r="AC148" s="117"/>
      <c r="AD148" s="117"/>
      <c r="AE148" s="117"/>
      <c r="AF148" s="160"/>
      <c r="AG148" s="159"/>
      <c r="AH148" s="117"/>
      <c r="AI148" s="117"/>
      <c r="AJ148" s="117"/>
      <c r="AK148" s="160"/>
      <c r="AL148" s="163"/>
      <c r="AM148" s="117"/>
      <c r="AN148" s="713"/>
      <c r="AO148" s="714"/>
      <c r="AP148" s="714"/>
      <c r="AQ148" s="714"/>
      <c r="AR148" s="714"/>
      <c r="AS148" s="714"/>
      <c r="AT148" s="714"/>
      <c r="AU148" s="715"/>
      <c r="AV148" s="716"/>
      <c r="AW148" s="714"/>
      <c r="AX148" s="714"/>
      <c r="AY148" s="714"/>
      <c r="AZ148" s="715"/>
      <c r="BA148" s="163"/>
      <c r="BB148" s="117"/>
      <c r="BC148" s="159"/>
      <c r="BD148" s="117"/>
      <c r="BE148" s="117"/>
      <c r="BF148" s="117"/>
      <c r="BG148" s="117"/>
      <c r="BH148" s="117"/>
      <c r="BI148" s="117"/>
      <c r="BJ148" s="160"/>
      <c r="BK148" s="159"/>
      <c r="BL148" s="117"/>
      <c r="BM148" s="117"/>
      <c r="BN148" s="117"/>
      <c r="BO148" s="160"/>
      <c r="BP148" s="163"/>
      <c r="BQ148" s="117"/>
      <c r="BR148" s="713"/>
      <c r="BS148" s="714"/>
      <c r="BT148" s="714"/>
      <c r="BU148" s="714"/>
      <c r="BV148" s="714"/>
      <c r="BW148" s="714"/>
      <c r="BX148" s="714"/>
      <c r="BY148" s="715"/>
      <c r="BZ148" s="716"/>
      <c r="CA148" s="714"/>
      <c r="CB148" s="714"/>
      <c r="CC148" s="714"/>
      <c r="CD148" s="715"/>
    </row>
    <row r="149" spans="1:82" ht="14.25">
      <c r="B149" s="161"/>
      <c r="C149" s="660"/>
      <c r="D149" s="162" t="s">
        <v>2659</v>
      </c>
      <c r="E149" s="660"/>
      <c r="F149" s="162"/>
      <c r="G149" s="185"/>
      <c r="H149" s="163"/>
      <c r="I149" s="164" t="s">
        <v>498</v>
      </c>
      <c r="J149" s="641">
        <f>SUM('4.07_Repex_Services'!J81,'4.07_Repex_Services'!J105,'4.07_Repex_Services'!J117,'4.07_Repex_Services'!J162,'4.07_Repex_Services'!J178,'4.07_Repex_Services'!J186,'4.07_Repex_Services'!J231,'4.07_Repex_Services'!J247,'4.07_Repex_Services'!J255,'4.07_Repex_Services'!J300,'4.07_Repex_Services'!J316,'4.07_Repex_Services'!J324)</f>
        <v>0</v>
      </c>
      <c r="K149" s="642">
        <f>SUM('4.07_Repex_Services'!K81,'4.07_Repex_Services'!K105,'4.07_Repex_Services'!K117,'4.07_Repex_Services'!K162,'4.07_Repex_Services'!K178,'4.07_Repex_Services'!K186,'4.07_Repex_Services'!K231,'4.07_Repex_Services'!K247,'4.07_Repex_Services'!K255,'4.07_Repex_Services'!K300,'4.07_Repex_Services'!K316,'4.07_Repex_Services'!K324)</f>
        <v>0</v>
      </c>
      <c r="L149" s="642">
        <f>SUM('4.07_Repex_Services'!L81,'4.07_Repex_Services'!L105,'4.07_Repex_Services'!L117,'4.07_Repex_Services'!L162,'4.07_Repex_Services'!L178,'4.07_Repex_Services'!L186,'4.07_Repex_Services'!L231,'4.07_Repex_Services'!L247,'4.07_Repex_Services'!L255,'4.07_Repex_Services'!L300,'4.07_Repex_Services'!L316,'4.07_Repex_Services'!L324)</f>
        <v>0</v>
      </c>
      <c r="M149" s="642">
        <f>SUM('4.07_Repex_Services'!M81,'4.07_Repex_Services'!M105,'4.07_Repex_Services'!M117,'4.07_Repex_Services'!M162,'4.07_Repex_Services'!M178,'4.07_Repex_Services'!M186,'4.07_Repex_Services'!M231,'4.07_Repex_Services'!M247,'4.07_Repex_Services'!M255,'4.07_Repex_Services'!M300,'4.07_Repex_Services'!M316,'4.07_Repex_Services'!M324)</f>
        <v>0</v>
      </c>
      <c r="N149" s="642">
        <f>SUM('4.07_Repex_Services'!N81,'4.07_Repex_Services'!N105,'4.07_Repex_Services'!N117,'4.07_Repex_Services'!N162,'4.07_Repex_Services'!N178,'4.07_Repex_Services'!N186,'4.07_Repex_Services'!N231,'4.07_Repex_Services'!N247,'4.07_Repex_Services'!N255,'4.07_Repex_Services'!N300,'4.07_Repex_Services'!N316,'4.07_Repex_Services'!N324)</f>
        <v>0</v>
      </c>
      <c r="O149" s="642">
        <f>SUM('4.07_Repex_Services'!O81,'4.07_Repex_Services'!O105,'4.07_Repex_Services'!O117,'4.07_Repex_Services'!O162,'4.07_Repex_Services'!O178,'4.07_Repex_Services'!O186,'4.07_Repex_Services'!O231,'4.07_Repex_Services'!O247,'4.07_Repex_Services'!O255,'4.07_Repex_Services'!O300,'4.07_Repex_Services'!O316,'4.07_Repex_Services'!O324)</f>
        <v>0</v>
      </c>
      <c r="P149" s="642">
        <f>SUM('4.07_Repex_Services'!P81,'4.07_Repex_Services'!P105,'4.07_Repex_Services'!P117,'4.07_Repex_Services'!P162,'4.07_Repex_Services'!P178,'4.07_Repex_Services'!P186,'4.07_Repex_Services'!P231,'4.07_Repex_Services'!P247,'4.07_Repex_Services'!P255,'4.07_Repex_Services'!P300,'4.07_Repex_Services'!P316,'4.07_Repex_Services'!P324)</f>
        <v>0</v>
      </c>
      <c r="Q149" s="643">
        <f>SUM('4.07_Repex_Services'!Q81,'4.07_Repex_Services'!Q105,'4.07_Repex_Services'!Q117,'4.07_Repex_Services'!Q162,'4.07_Repex_Services'!Q178,'4.07_Repex_Services'!Q186,'4.07_Repex_Services'!Q231,'4.07_Repex_Services'!Q247,'4.07_Repex_Services'!Q255,'4.07_Repex_Services'!Q300,'4.07_Repex_Services'!Q316,'4.07_Repex_Services'!Q324)</f>
        <v>0</v>
      </c>
      <c r="R149" s="641">
        <f>SUM('4.07_Repex_Services'!R81,'4.07_Repex_Services'!R105,'4.07_Repex_Services'!R117,'4.07_Repex_Services'!R162,'4.07_Repex_Services'!R178,'4.07_Repex_Services'!R186,'4.07_Repex_Services'!R231,'4.07_Repex_Services'!R247,'4.07_Repex_Services'!R255,'4.07_Repex_Services'!R300,'4.07_Repex_Services'!R316,'4.07_Repex_Services'!R324)</f>
        <v>7.0234339956357722E-2</v>
      </c>
      <c r="S149" s="642">
        <f>SUM('4.07_Repex_Services'!S81,'4.07_Repex_Services'!S105,'4.07_Repex_Services'!S117,'4.07_Repex_Services'!S162,'4.07_Repex_Services'!S178,'4.07_Repex_Services'!S186,'4.07_Repex_Services'!S231,'4.07_Repex_Services'!S247,'4.07_Repex_Services'!S255,'4.07_Repex_Services'!S300,'4.07_Repex_Services'!S316,'4.07_Repex_Services'!S324)</f>
        <v>6.9883168256575937E-2</v>
      </c>
      <c r="T149" s="642">
        <f>SUM('4.07_Repex_Services'!T81,'4.07_Repex_Services'!T105,'4.07_Repex_Services'!T117,'4.07_Repex_Services'!T162,'4.07_Repex_Services'!T178,'4.07_Repex_Services'!T186,'4.07_Repex_Services'!T231,'4.07_Repex_Services'!T247,'4.07_Repex_Services'!T255,'4.07_Repex_Services'!T300,'4.07_Repex_Services'!T316,'4.07_Repex_Services'!T324)</f>
        <v>6.9533752415293054E-2</v>
      </c>
      <c r="U149" s="642">
        <f>SUM('4.07_Repex_Services'!U81,'4.07_Repex_Services'!U105,'4.07_Repex_Services'!U117,'4.07_Repex_Services'!U162,'4.07_Repex_Services'!U178,'4.07_Repex_Services'!U186,'4.07_Repex_Services'!U231,'4.07_Repex_Services'!U247,'4.07_Repex_Services'!U255,'4.07_Repex_Services'!U300,'4.07_Repex_Services'!U316,'4.07_Repex_Services'!U324)</f>
        <v>6.9186083653216587E-2</v>
      </c>
      <c r="V149" s="643">
        <f>SUM('4.07_Repex_Services'!V81,'4.07_Repex_Services'!V105,'4.07_Repex_Services'!V117,'4.07_Repex_Services'!V162,'4.07_Repex_Services'!V178,'4.07_Repex_Services'!V186,'4.07_Repex_Services'!V231,'4.07_Repex_Services'!V247,'4.07_Repex_Services'!V255,'4.07_Repex_Services'!V300,'4.07_Repex_Services'!V316,'4.07_Repex_Services'!V324)</f>
        <v>6.8840153234950505E-2</v>
      </c>
      <c r="W149" s="163"/>
      <c r="X149" s="164" t="s">
        <v>498</v>
      </c>
      <c r="Y149" s="641">
        <f>SUM('4.07_Repex_Services'!Y81,'4.07_Repex_Services'!Y105,'4.07_Repex_Services'!Y117,'4.07_Repex_Services'!Y162,'4.07_Repex_Services'!Y178,'4.07_Repex_Services'!Y186,'4.07_Repex_Services'!Y231,'4.07_Repex_Services'!Y247,'4.07_Repex_Services'!Y255,'4.07_Repex_Services'!Y300,'4.07_Repex_Services'!Y316,'4.07_Repex_Services'!Y324)</f>
        <v>0</v>
      </c>
      <c r="Z149" s="642">
        <f>SUM('4.07_Repex_Services'!Z81,'4.07_Repex_Services'!Z105,'4.07_Repex_Services'!Z117,'4.07_Repex_Services'!Z162,'4.07_Repex_Services'!Z178,'4.07_Repex_Services'!Z186,'4.07_Repex_Services'!Z231,'4.07_Repex_Services'!Z247,'4.07_Repex_Services'!Z255,'4.07_Repex_Services'!Z300,'4.07_Repex_Services'!Z316,'4.07_Repex_Services'!Z324)</f>
        <v>0</v>
      </c>
      <c r="AA149" s="642">
        <f>SUM('4.07_Repex_Services'!AA81,'4.07_Repex_Services'!AA105,'4.07_Repex_Services'!AA117,'4.07_Repex_Services'!AA162,'4.07_Repex_Services'!AA178,'4.07_Repex_Services'!AA186,'4.07_Repex_Services'!AA231,'4.07_Repex_Services'!AA247,'4.07_Repex_Services'!AA255,'4.07_Repex_Services'!AA300,'4.07_Repex_Services'!AA316,'4.07_Repex_Services'!AA324)</f>
        <v>0</v>
      </c>
      <c r="AB149" s="642">
        <f>SUM('4.07_Repex_Services'!AB81,'4.07_Repex_Services'!AB105,'4.07_Repex_Services'!AB117,'4.07_Repex_Services'!AB162,'4.07_Repex_Services'!AB178,'4.07_Repex_Services'!AB186,'4.07_Repex_Services'!AB231,'4.07_Repex_Services'!AB247,'4.07_Repex_Services'!AB255,'4.07_Repex_Services'!AB300,'4.07_Repex_Services'!AB316,'4.07_Repex_Services'!AB324)</f>
        <v>0</v>
      </c>
      <c r="AC149" s="642">
        <f>SUM('4.07_Repex_Services'!AC81,'4.07_Repex_Services'!AC105,'4.07_Repex_Services'!AC117,'4.07_Repex_Services'!AC162,'4.07_Repex_Services'!AC178,'4.07_Repex_Services'!AC186,'4.07_Repex_Services'!AC231,'4.07_Repex_Services'!AC247,'4.07_Repex_Services'!AC255,'4.07_Repex_Services'!AC300,'4.07_Repex_Services'!AC316,'4.07_Repex_Services'!AC324)</f>
        <v>0</v>
      </c>
      <c r="AD149" s="642">
        <f>SUM('4.07_Repex_Services'!AD81,'4.07_Repex_Services'!AD105,'4.07_Repex_Services'!AD117,'4.07_Repex_Services'!AD162,'4.07_Repex_Services'!AD178,'4.07_Repex_Services'!AD186,'4.07_Repex_Services'!AD231,'4.07_Repex_Services'!AD247,'4.07_Repex_Services'!AD255,'4.07_Repex_Services'!AD300,'4.07_Repex_Services'!AD316,'4.07_Repex_Services'!AD324)</f>
        <v>0</v>
      </c>
      <c r="AE149" s="642">
        <f>SUM('4.07_Repex_Services'!AE81,'4.07_Repex_Services'!AE105,'4.07_Repex_Services'!AE117,'4.07_Repex_Services'!AE162,'4.07_Repex_Services'!AE178,'4.07_Repex_Services'!AE186,'4.07_Repex_Services'!AE231,'4.07_Repex_Services'!AE247,'4.07_Repex_Services'!AE255,'4.07_Repex_Services'!AE300,'4.07_Repex_Services'!AE316,'4.07_Repex_Services'!AE324)</f>
        <v>0</v>
      </c>
      <c r="AF149" s="643">
        <f>SUM('4.07_Repex_Services'!AF81,'4.07_Repex_Services'!AF105,'4.07_Repex_Services'!AF117,'4.07_Repex_Services'!AF162,'4.07_Repex_Services'!AF178,'4.07_Repex_Services'!AF186,'4.07_Repex_Services'!AF231,'4.07_Repex_Services'!AF247,'4.07_Repex_Services'!AF255,'4.07_Repex_Services'!AF300,'4.07_Repex_Services'!AF316,'4.07_Repex_Services'!AF324)</f>
        <v>0</v>
      </c>
      <c r="AG149" s="641">
        <f>SUM('4.07_Repex_Services'!AG81,'4.07_Repex_Services'!AG105,'4.07_Repex_Services'!AG117,'4.07_Repex_Services'!AG162,'4.07_Repex_Services'!AG178,'4.07_Repex_Services'!AG186,'4.07_Repex_Services'!AG231,'4.07_Repex_Services'!AG247,'4.07_Repex_Services'!AG255,'4.07_Repex_Services'!AG300,'4.07_Repex_Services'!AG316,'4.07_Repex_Services'!AG324)</f>
        <v>0</v>
      </c>
      <c r="AH149" s="642">
        <f>SUM('4.07_Repex_Services'!AH81,'4.07_Repex_Services'!AH105,'4.07_Repex_Services'!AH117,'4.07_Repex_Services'!AH162,'4.07_Repex_Services'!AH178,'4.07_Repex_Services'!AH186,'4.07_Repex_Services'!AH231,'4.07_Repex_Services'!AH247,'4.07_Repex_Services'!AH255,'4.07_Repex_Services'!AH300,'4.07_Repex_Services'!AH316,'4.07_Repex_Services'!AH324)</f>
        <v>0</v>
      </c>
      <c r="AI149" s="642">
        <f>SUM('4.07_Repex_Services'!AI81,'4.07_Repex_Services'!AI105,'4.07_Repex_Services'!AI117,'4.07_Repex_Services'!AI162,'4.07_Repex_Services'!AI178,'4.07_Repex_Services'!AI186,'4.07_Repex_Services'!AI231,'4.07_Repex_Services'!AI247,'4.07_Repex_Services'!AI255,'4.07_Repex_Services'!AI300,'4.07_Repex_Services'!AI316,'4.07_Repex_Services'!AI324)</f>
        <v>0</v>
      </c>
      <c r="AJ149" s="642">
        <f>SUM('4.07_Repex_Services'!AJ81,'4.07_Repex_Services'!AJ105,'4.07_Repex_Services'!AJ117,'4.07_Repex_Services'!AJ162,'4.07_Repex_Services'!AJ178,'4.07_Repex_Services'!AJ186,'4.07_Repex_Services'!AJ231,'4.07_Repex_Services'!AJ247,'4.07_Repex_Services'!AJ255,'4.07_Repex_Services'!AJ300,'4.07_Repex_Services'!AJ316,'4.07_Repex_Services'!AJ324)</f>
        <v>0</v>
      </c>
      <c r="AK149" s="643">
        <f>SUM('4.07_Repex_Services'!AK81,'4.07_Repex_Services'!AK105,'4.07_Repex_Services'!AK117,'4.07_Repex_Services'!AK162,'4.07_Repex_Services'!AK178,'4.07_Repex_Services'!AK186,'4.07_Repex_Services'!AK231,'4.07_Repex_Services'!AK247,'4.07_Repex_Services'!AK255,'4.07_Repex_Services'!AK300,'4.07_Repex_Services'!AK316,'4.07_Repex_Services'!AK324)</f>
        <v>0</v>
      </c>
      <c r="AL149" s="163"/>
      <c r="AM149" s="164" t="s">
        <v>498</v>
      </c>
      <c r="AN149" s="641">
        <f>J149+Y149</f>
        <v>0</v>
      </c>
      <c r="AO149" s="642">
        <f t="shared" ref="AO149:AO150" si="961">K149+Z149</f>
        <v>0</v>
      </c>
      <c r="AP149" s="642">
        <f t="shared" ref="AP149:AP150" si="962">L149+AA149</f>
        <v>0</v>
      </c>
      <c r="AQ149" s="642">
        <f t="shared" ref="AQ149:AQ150" si="963">M149+AB149</f>
        <v>0</v>
      </c>
      <c r="AR149" s="642">
        <f t="shared" ref="AR149:AR150" si="964">N149+AC149</f>
        <v>0</v>
      </c>
      <c r="AS149" s="642">
        <f t="shared" ref="AS149:AS150" si="965">O149+AD149</f>
        <v>0</v>
      </c>
      <c r="AT149" s="642">
        <f t="shared" ref="AT149:AT150" si="966">P149+AE149</f>
        <v>0</v>
      </c>
      <c r="AU149" s="643">
        <f t="shared" ref="AU149:AU150" si="967">Q149+AF149</f>
        <v>0</v>
      </c>
      <c r="AV149" s="641">
        <f t="shared" ref="AV149:AV150" si="968">R149+AG149</f>
        <v>7.0234339956357722E-2</v>
      </c>
      <c r="AW149" s="642">
        <f t="shared" ref="AW149:AW150" si="969">S149+AH149</f>
        <v>6.9883168256575937E-2</v>
      </c>
      <c r="AX149" s="642">
        <f t="shared" ref="AX149:AX150" si="970">T149+AI149</f>
        <v>6.9533752415293054E-2</v>
      </c>
      <c r="AY149" s="642">
        <f t="shared" ref="AY149:AY150" si="971">U149+AJ149</f>
        <v>6.9186083653216587E-2</v>
      </c>
      <c r="AZ149" s="643">
        <f t="shared" ref="AZ149:AZ150" si="972">V149+AK149</f>
        <v>6.8840153234950505E-2</v>
      </c>
      <c r="BA149" s="163"/>
      <c r="BB149" s="164" t="s">
        <v>1876</v>
      </c>
      <c r="BC149" s="641">
        <f>SUM('4.07_Repex_Services'!AN81,'4.07_Repex_Services'!AN105,'4.07_Repex_Services'!AN117,'4.07_Repex_Services'!AN162,'4.07_Repex_Services'!AN178,'4.07_Repex_Services'!AN186,'4.07_Repex_Services'!AN231,'4.07_Repex_Services'!AN247,'4.07_Repex_Services'!AN255,'4.07_Repex_Services'!AN300,'4.07_Repex_Services'!AN316,'4.07_Repex_Services'!AN324)</f>
        <v>0</v>
      </c>
      <c r="BD149" s="642">
        <f>SUM('4.07_Repex_Services'!AO81,'4.07_Repex_Services'!AO105,'4.07_Repex_Services'!AO117,'4.07_Repex_Services'!AO162,'4.07_Repex_Services'!AO178,'4.07_Repex_Services'!AO186,'4.07_Repex_Services'!AO231,'4.07_Repex_Services'!AO247,'4.07_Repex_Services'!AO255,'4.07_Repex_Services'!AO300,'4.07_Repex_Services'!AO316,'4.07_Repex_Services'!AO324)</f>
        <v>0</v>
      </c>
      <c r="BE149" s="642">
        <f>SUM('4.07_Repex_Services'!AP81,'4.07_Repex_Services'!AP105,'4.07_Repex_Services'!AP117,'4.07_Repex_Services'!AP162,'4.07_Repex_Services'!AP178,'4.07_Repex_Services'!AP186,'4.07_Repex_Services'!AP231,'4.07_Repex_Services'!AP247,'4.07_Repex_Services'!AP255,'4.07_Repex_Services'!AP300,'4.07_Repex_Services'!AP316,'4.07_Repex_Services'!AP324)</f>
        <v>0</v>
      </c>
      <c r="BF149" s="642">
        <f>SUM('4.07_Repex_Services'!AQ81,'4.07_Repex_Services'!AQ105,'4.07_Repex_Services'!AQ117,'4.07_Repex_Services'!AQ162,'4.07_Repex_Services'!AQ178,'4.07_Repex_Services'!AQ186,'4.07_Repex_Services'!AQ231,'4.07_Repex_Services'!AQ247,'4.07_Repex_Services'!AQ255,'4.07_Repex_Services'!AQ300,'4.07_Repex_Services'!AQ316,'4.07_Repex_Services'!AQ324)</f>
        <v>0</v>
      </c>
      <c r="BG149" s="642">
        <f>SUM('4.07_Repex_Services'!AR81,'4.07_Repex_Services'!AR105,'4.07_Repex_Services'!AR117,'4.07_Repex_Services'!AR162,'4.07_Repex_Services'!AR178,'4.07_Repex_Services'!AR186,'4.07_Repex_Services'!AR231,'4.07_Repex_Services'!AR247,'4.07_Repex_Services'!AR255,'4.07_Repex_Services'!AR300,'4.07_Repex_Services'!AR316,'4.07_Repex_Services'!AR324)</f>
        <v>0</v>
      </c>
      <c r="BH149" s="642">
        <f>SUM('4.07_Repex_Services'!AS81,'4.07_Repex_Services'!AS105,'4.07_Repex_Services'!AS117,'4.07_Repex_Services'!AS162,'4.07_Repex_Services'!AS178,'4.07_Repex_Services'!AS186,'4.07_Repex_Services'!AS231,'4.07_Repex_Services'!AS247,'4.07_Repex_Services'!AS255,'4.07_Repex_Services'!AS300,'4.07_Repex_Services'!AS316,'4.07_Repex_Services'!AS324)</f>
        <v>0</v>
      </c>
      <c r="BI149" s="642">
        <f>SUM('4.07_Repex_Services'!AT81,'4.07_Repex_Services'!AT105,'4.07_Repex_Services'!AT117,'4.07_Repex_Services'!AT162,'4.07_Repex_Services'!AT178,'4.07_Repex_Services'!AT186,'4.07_Repex_Services'!AT231,'4.07_Repex_Services'!AT247,'4.07_Repex_Services'!AT255,'4.07_Repex_Services'!AT300,'4.07_Repex_Services'!AT316,'4.07_Repex_Services'!AT324)</f>
        <v>0</v>
      </c>
      <c r="BJ149" s="643">
        <f>SUM('4.07_Repex_Services'!AU81,'4.07_Repex_Services'!AU105,'4.07_Repex_Services'!AU117,'4.07_Repex_Services'!AU162,'4.07_Repex_Services'!AU178,'4.07_Repex_Services'!AU186,'4.07_Repex_Services'!AU231,'4.07_Repex_Services'!AU247,'4.07_Repex_Services'!AU255,'4.07_Repex_Services'!AU300,'4.07_Repex_Services'!AU316,'4.07_Repex_Services'!AU324)</f>
        <v>0</v>
      </c>
      <c r="BK149" s="641">
        <f>SUM('4.07_Repex_Services'!AV81,'4.07_Repex_Services'!AV105,'4.07_Repex_Services'!AV117,'4.07_Repex_Services'!AV162,'4.07_Repex_Services'!AV178,'4.07_Repex_Services'!AV186,'4.07_Repex_Services'!AV231,'4.07_Repex_Services'!AV247,'4.07_Repex_Services'!AV255,'4.07_Repex_Services'!AV300,'4.07_Repex_Services'!AV316,'4.07_Repex_Services'!AV324)</f>
        <v>6.6208704915424859</v>
      </c>
      <c r="BL149" s="642">
        <f>SUM('4.07_Repex_Services'!AW81,'4.07_Repex_Services'!AW105,'4.07_Repex_Services'!AW117,'4.07_Repex_Services'!AW162,'4.07_Repex_Services'!AW178,'4.07_Repex_Services'!AW186,'4.07_Repex_Services'!AW231,'4.07_Repex_Services'!AW247,'4.07_Repex_Services'!AW255,'4.07_Repex_Services'!AW300,'4.07_Repex_Services'!AW316,'4.07_Repex_Services'!AW324)</f>
        <v>6.6208704915424859</v>
      </c>
      <c r="BM149" s="642">
        <f>SUM('4.07_Repex_Services'!AX81,'4.07_Repex_Services'!AX105,'4.07_Repex_Services'!AX117,'4.07_Repex_Services'!AX162,'4.07_Repex_Services'!AX178,'4.07_Repex_Services'!AX186,'4.07_Repex_Services'!AX231,'4.07_Repex_Services'!AX247,'4.07_Repex_Services'!AX255,'4.07_Repex_Services'!AX300,'4.07_Repex_Services'!AX316,'4.07_Repex_Services'!AX324)</f>
        <v>6.6208704915424859</v>
      </c>
      <c r="BN149" s="642">
        <f>SUM('4.07_Repex_Services'!AY81,'4.07_Repex_Services'!AY105,'4.07_Repex_Services'!AY117,'4.07_Repex_Services'!AY162,'4.07_Repex_Services'!AY178,'4.07_Repex_Services'!AY186,'4.07_Repex_Services'!AY231,'4.07_Repex_Services'!AY247,'4.07_Repex_Services'!AY255,'4.07_Repex_Services'!AY300,'4.07_Repex_Services'!AY316,'4.07_Repex_Services'!AY324)</f>
        <v>6.6208704915424859</v>
      </c>
      <c r="BO149" s="643">
        <f>SUM('4.07_Repex_Services'!AZ81,'4.07_Repex_Services'!AZ105,'4.07_Repex_Services'!AZ117,'4.07_Repex_Services'!AZ162,'4.07_Repex_Services'!AZ178,'4.07_Repex_Services'!AZ186,'4.07_Repex_Services'!AZ231,'4.07_Repex_Services'!AZ247,'4.07_Repex_Services'!AZ255,'4.07_Repex_Services'!AZ300,'4.07_Repex_Services'!AZ316,'4.07_Repex_Services'!AZ324)</f>
        <v>6.6208704915424859</v>
      </c>
      <c r="BP149" s="163"/>
      <c r="BQ149" s="164" t="s">
        <v>2648</v>
      </c>
      <c r="BR149" s="641">
        <f>IF(BC149,AN149/BC149,0)</f>
        <v>0</v>
      </c>
      <c r="BS149" s="642">
        <f t="shared" ref="BS149:BS150" si="973">IF(BD149,AO149/BD149,0)</f>
        <v>0</v>
      </c>
      <c r="BT149" s="642">
        <f t="shared" ref="BT149:BT150" si="974">IF(BE149,AP149/BE149,0)</f>
        <v>0</v>
      </c>
      <c r="BU149" s="642">
        <f t="shared" ref="BU149:BU150" si="975">IF(BF149,AQ149/BF149,0)</f>
        <v>0</v>
      </c>
      <c r="BV149" s="642">
        <f t="shared" ref="BV149:BV150" si="976">IF(BG149,AR149/BG149,0)</f>
        <v>0</v>
      </c>
      <c r="BW149" s="642">
        <f t="shared" ref="BW149:BW150" si="977">IF(BH149,AS149/BH149,0)</f>
        <v>0</v>
      </c>
      <c r="BX149" s="642">
        <f t="shared" ref="BX149:BX150" si="978">IF(BI149,AT149/BI149,0)</f>
        <v>0</v>
      </c>
      <c r="BY149" s="643">
        <f t="shared" ref="BY149:BY150" si="979">IF(BJ149,AU149/BJ149,0)</f>
        <v>0</v>
      </c>
      <c r="BZ149" s="641">
        <f t="shared" ref="BZ149:BZ150" si="980">IF(BK149,AV149/BK149,0)</f>
        <v>1.0608022018566171E-2</v>
      </c>
      <c r="CA149" s="642">
        <f t="shared" ref="CA149:CA150" si="981">IF(BL149,AW149/BL149,0)</f>
        <v>1.0554981908473341E-2</v>
      </c>
      <c r="CB149" s="642">
        <f t="shared" ref="CB149:CB150" si="982">IF(BM149,AX149/BM149,0)</f>
        <v>1.0502206998930974E-2</v>
      </c>
      <c r="CC149" s="642">
        <f t="shared" ref="CC149:CC150" si="983">IF(BN149,AY149/BN149,0)</f>
        <v>1.044969596393632E-2</v>
      </c>
      <c r="CD149" s="643">
        <f t="shared" ref="CD149:CD150" si="984">IF(BO149,AZ149/BO149,0)</f>
        <v>1.0397447484116638E-2</v>
      </c>
    </row>
    <row r="150" spans="1:82" ht="14.25">
      <c r="B150" s="161"/>
      <c r="C150" s="660"/>
      <c r="D150" s="162" t="s">
        <v>2660</v>
      </c>
      <c r="E150" s="660"/>
      <c r="F150" s="162"/>
      <c r="G150" s="185"/>
      <c r="H150" s="163"/>
      <c r="I150" s="164" t="s">
        <v>498</v>
      </c>
      <c r="J150" s="641">
        <f>SUM('4.07_Repex_Services'!J82,'4.07_Repex_Services'!J106,'4.07_Repex_Services'!J118,'4.07_Repex_Services'!J163,'4.07_Repex_Services'!J179,'4.07_Repex_Services'!J187,'4.07_Repex_Services'!J232,'4.07_Repex_Services'!J248,'4.07_Repex_Services'!J256,'4.07_Repex_Services'!J301,'4.07_Repex_Services'!J317,'4.07_Repex_Services'!J325)</f>
        <v>0</v>
      </c>
      <c r="K150" s="642">
        <f>SUM('4.07_Repex_Services'!K82,'4.07_Repex_Services'!K106,'4.07_Repex_Services'!K118,'4.07_Repex_Services'!K163,'4.07_Repex_Services'!K179,'4.07_Repex_Services'!K187,'4.07_Repex_Services'!K232,'4.07_Repex_Services'!K248,'4.07_Repex_Services'!K256,'4.07_Repex_Services'!K301,'4.07_Repex_Services'!K317,'4.07_Repex_Services'!K325)</f>
        <v>0</v>
      </c>
      <c r="L150" s="642">
        <f>SUM('4.07_Repex_Services'!L82,'4.07_Repex_Services'!L106,'4.07_Repex_Services'!L118,'4.07_Repex_Services'!L163,'4.07_Repex_Services'!L179,'4.07_Repex_Services'!L187,'4.07_Repex_Services'!L232,'4.07_Repex_Services'!L248,'4.07_Repex_Services'!L256,'4.07_Repex_Services'!L301,'4.07_Repex_Services'!L317,'4.07_Repex_Services'!L325)</f>
        <v>0</v>
      </c>
      <c r="M150" s="642">
        <f>SUM('4.07_Repex_Services'!M82,'4.07_Repex_Services'!M106,'4.07_Repex_Services'!M118,'4.07_Repex_Services'!M163,'4.07_Repex_Services'!M179,'4.07_Repex_Services'!M187,'4.07_Repex_Services'!M232,'4.07_Repex_Services'!M248,'4.07_Repex_Services'!M256,'4.07_Repex_Services'!M301,'4.07_Repex_Services'!M317,'4.07_Repex_Services'!M325)</f>
        <v>0</v>
      </c>
      <c r="N150" s="642">
        <f>SUM('4.07_Repex_Services'!N82,'4.07_Repex_Services'!N106,'4.07_Repex_Services'!N118,'4.07_Repex_Services'!N163,'4.07_Repex_Services'!N179,'4.07_Repex_Services'!N187,'4.07_Repex_Services'!N232,'4.07_Repex_Services'!N248,'4.07_Repex_Services'!N256,'4.07_Repex_Services'!N301,'4.07_Repex_Services'!N317,'4.07_Repex_Services'!N325)</f>
        <v>0</v>
      </c>
      <c r="O150" s="642">
        <f>SUM('4.07_Repex_Services'!O82,'4.07_Repex_Services'!O106,'4.07_Repex_Services'!O118,'4.07_Repex_Services'!O163,'4.07_Repex_Services'!O179,'4.07_Repex_Services'!O187,'4.07_Repex_Services'!O232,'4.07_Repex_Services'!O248,'4.07_Repex_Services'!O256,'4.07_Repex_Services'!O301,'4.07_Repex_Services'!O317,'4.07_Repex_Services'!O325)</f>
        <v>0</v>
      </c>
      <c r="P150" s="642">
        <f>SUM('4.07_Repex_Services'!P82,'4.07_Repex_Services'!P106,'4.07_Repex_Services'!P118,'4.07_Repex_Services'!P163,'4.07_Repex_Services'!P179,'4.07_Repex_Services'!P187,'4.07_Repex_Services'!P232,'4.07_Repex_Services'!P248,'4.07_Repex_Services'!P256,'4.07_Repex_Services'!P301,'4.07_Repex_Services'!P317,'4.07_Repex_Services'!P325)</f>
        <v>0</v>
      </c>
      <c r="Q150" s="643">
        <f>SUM('4.07_Repex_Services'!Q82,'4.07_Repex_Services'!Q106,'4.07_Repex_Services'!Q118,'4.07_Repex_Services'!Q163,'4.07_Repex_Services'!Q179,'4.07_Repex_Services'!Q187,'4.07_Repex_Services'!Q232,'4.07_Repex_Services'!Q248,'4.07_Repex_Services'!Q256,'4.07_Repex_Services'!Q301,'4.07_Repex_Services'!Q317,'4.07_Repex_Services'!Q325)</f>
        <v>0</v>
      </c>
      <c r="R150" s="641">
        <f>SUM('4.07_Repex_Services'!R82,'4.07_Repex_Services'!R106,'4.07_Repex_Services'!R118,'4.07_Repex_Services'!R163,'4.07_Repex_Services'!R179,'4.07_Repex_Services'!R187,'4.07_Repex_Services'!R232,'4.07_Repex_Services'!R248,'4.07_Repex_Services'!R256,'4.07_Repex_Services'!R301,'4.07_Repex_Services'!R317,'4.07_Repex_Services'!R325)</f>
        <v>1.1339244655120648E-3</v>
      </c>
      <c r="S150" s="642">
        <f>SUM('4.07_Repex_Services'!S82,'4.07_Repex_Services'!S106,'4.07_Repex_Services'!S118,'4.07_Repex_Services'!S163,'4.07_Repex_Services'!S179,'4.07_Repex_Services'!S187,'4.07_Repex_Services'!S232,'4.07_Repex_Services'!S248,'4.07_Repex_Services'!S256,'4.07_Repex_Services'!S301,'4.07_Repex_Services'!S317,'4.07_Repex_Services'!S325)</f>
        <v>1.1282548431845044E-3</v>
      </c>
      <c r="T150" s="642">
        <f>SUM('4.07_Repex_Services'!T82,'4.07_Repex_Services'!T106,'4.07_Repex_Services'!T118,'4.07_Repex_Services'!T163,'4.07_Repex_Services'!T179,'4.07_Repex_Services'!T187,'4.07_Repex_Services'!T232,'4.07_Repex_Services'!T248,'4.07_Repex_Services'!T256,'4.07_Repex_Services'!T301,'4.07_Repex_Services'!T317,'4.07_Repex_Services'!T325)</f>
        <v>1.1226135689685818E-3</v>
      </c>
      <c r="U150" s="642">
        <f>SUM('4.07_Repex_Services'!U82,'4.07_Repex_Services'!U106,'4.07_Repex_Services'!U118,'4.07_Repex_Services'!U163,'4.07_Repex_Services'!U179,'4.07_Repex_Services'!U187,'4.07_Repex_Services'!U232,'4.07_Repex_Services'!U248,'4.07_Repex_Services'!U256,'4.07_Repex_Services'!U301,'4.07_Repex_Services'!U317,'4.07_Repex_Services'!U325)</f>
        <v>1.1170005011237388E-3</v>
      </c>
      <c r="V150" s="643">
        <f>SUM('4.07_Repex_Services'!V82,'4.07_Repex_Services'!V106,'4.07_Repex_Services'!V118,'4.07_Repex_Services'!V163,'4.07_Repex_Services'!V179,'4.07_Repex_Services'!V187,'4.07_Repex_Services'!V232,'4.07_Repex_Services'!V248,'4.07_Repex_Services'!V256,'4.07_Repex_Services'!V301,'4.07_Repex_Services'!V317,'4.07_Repex_Services'!V325)</f>
        <v>1.1114154986181202E-3</v>
      </c>
      <c r="W150" s="163"/>
      <c r="X150" s="164" t="s">
        <v>498</v>
      </c>
      <c r="Y150" s="641">
        <f>SUM('4.07_Repex_Services'!Y82,'4.07_Repex_Services'!Y106,'4.07_Repex_Services'!Y118,'4.07_Repex_Services'!Y163,'4.07_Repex_Services'!Y179,'4.07_Repex_Services'!Y187,'4.07_Repex_Services'!Y232,'4.07_Repex_Services'!Y248,'4.07_Repex_Services'!Y256,'4.07_Repex_Services'!Y301,'4.07_Repex_Services'!Y317,'4.07_Repex_Services'!Y325)</f>
        <v>0</v>
      </c>
      <c r="Z150" s="642">
        <f>SUM('4.07_Repex_Services'!Z82,'4.07_Repex_Services'!Z106,'4.07_Repex_Services'!Z118,'4.07_Repex_Services'!Z163,'4.07_Repex_Services'!Z179,'4.07_Repex_Services'!Z187,'4.07_Repex_Services'!Z232,'4.07_Repex_Services'!Z248,'4.07_Repex_Services'!Z256,'4.07_Repex_Services'!Z301,'4.07_Repex_Services'!Z317,'4.07_Repex_Services'!Z325)</f>
        <v>0</v>
      </c>
      <c r="AA150" s="642">
        <f>SUM('4.07_Repex_Services'!AA82,'4.07_Repex_Services'!AA106,'4.07_Repex_Services'!AA118,'4.07_Repex_Services'!AA163,'4.07_Repex_Services'!AA179,'4.07_Repex_Services'!AA187,'4.07_Repex_Services'!AA232,'4.07_Repex_Services'!AA248,'4.07_Repex_Services'!AA256,'4.07_Repex_Services'!AA301,'4.07_Repex_Services'!AA317,'4.07_Repex_Services'!AA325)</f>
        <v>0</v>
      </c>
      <c r="AB150" s="642">
        <f>SUM('4.07_Repex_Services'!AB82,'4.07_Repex_Services'!AB106,'4.07_Repex_Services'!AB118,'4.07_Repex_Services'!AB163,'4.07_Repex_Services'!AB179,'4.07_Repex_Services'!AB187,'4.07_Repex_Services'!AB232,'4.07_Repex_Services'!AB248,'4.07_Repex_Services'!AB256,'4.07_Repex_Services'!AB301,'4.07_Repex_Services'!AB317,'4.07_Repex_Services'!AB325)</f>
        <v>0</v>
      </c>
      <c r="AC150" s="642">
        <f>SUM('4.07_Repex_Services'!AC82,'4.07_Repex_Services'!AC106,'4.07_Repex_Services'!AC118,'4.07_Repex_Services'!AC163,'4.07_Repex_Services'!AC179,'4.07_Repex_Services'!AC187,'4.07_Repex_Services'!AC232,'4.07_Repex_Services'!AC248,'4.07_Repex_Services'!AC256,'4.07_Repex_Services'!AC301,'4.07_Repex_Services'!AC317,'4.07_Repex_Services'!AC325)</f>
        <v>0</v>
      </c>
      <c r="AD150" s="642">
        <f>SUM('4.07_Repex_Services'!AD82,'4.07_Repex_Services'!AD106,'4.07_Repex_Services'!AD118,'4.07_Repex_Services'!AD163,'4.07_Repex_Services'!AD179,'4.07_Repex_Services'!AD187,'4.07_Repex_Services'!AD232,'4.07_Repex_Services'!AD248,'4.07_Repex_Services'!AD256,'4.07_Repex_Services'!AD301,'4.07_Repex_Services'!AD317,'4.07_Repex_Services'!AD325)</f>
        <v>0</v>
      </c>
      <c r="AE150" s="642">
        <f>SUM('4.07_Repex_Services'!AE82,'4.07_Repex_Services'!AE106,'4.07_Repex_Services'!AE118,'4.07_Repex_Services'!AE163,'4.07_Repex_Services'!AE179,'4.07_Repex_Services'!AE187,'4.07_Repex_Services'!AE232,'4.07_Repex_Services'!AE248,'4.07_Repex_Services'!AE256,'4.07_Repex_Services'!AE301,'4.07_Repex_Services'!AE317,'4.07_Repex_Services'!AE325)</f>
        <v>0</v>
      </c>
      <c r="AF150" s="643">
        <f>SUM('4.07_Repex_Services'!AF82,'4.07_Repex_Services'!AF106,'4.07_Repex_Services'!AF118,'4.07_Repex_Services'!AF163,'4.07_Repex_Services'!AF179,'4.07_Repex_Services'!AF187,'4.07_Repex_Services'!AF232,'4.07_Repex_Services'!AF248,'4.07_Repex_Services'!AF256,'4.07_Repex_Services'!AF301,'4.07_Repex_Services'!AF317,'4.07_Repex_Services'!AF325)</f>
        <v>0</v>
      </c>
      <c r="AG150" s="641">
        <f>SUM('4.07_Repex_Services'!AG82,'4.07_Repex_Services'!AG106,'4.07_Repex_Services'!AG118,'4.07_Repex_Services'!AG163,'4.07_Repex_Services'!AG179,'4.07_Repex_Services'!AG187,'4.07_Repex_Services'!AG232,'4.07_Repex_Services'!AG248,'4.07_Repex_Services'!AG256,'4.07_Repex_Services'!AG301,'4.07_Repex_Services'!AG317,'4.07_Repex_Services'!AG325)</f>
        <v>0</v>
      </c>
      <c r="AH150" s="642">
        <f>SUM('4.07_Repex_Services'!AH82,'4.07_Repex_Services'!AH106,'4.07_Repex_Services'!AH118,'4.07_Repex_Services'!AH163,'4.07_Repex_Services'!AH179,'4.07_Repex_Services'!AH187,'4.07_Repex_Services'!AH232,'4.07_Repex_Services'!AH248,'4.07_Repex_Services'!AH256,'4.07_Repex_Services'!AH301,'4.07_Repex_Services'!AH317,'4.07_Repex_Services'!AH325)</f>
        <v>0</v>
      </c>
      <c r="AI150" s="642">
        <f>SUM('4.07_Repex_Services'!AI82,'4.07_Repex_Services'!AI106,'4.07_Repex_Services'!AI118,'4.07_Repex_Services'!AI163,'4.07_Repex_Services'!AI179,'4.07_Repex_Services'!AI187,'4.07_Repex_Services'!AI232,'4.07_Repex_Services'!AI248,'4.07_Repex_Services'!AI256,'4.07_Repex_Services'!AI301,'4.07_Repex_Services'!AI317,'4.07_Repex_Services'!AI325)</f>
        <v>0</v>
      </c>
      <c r="AJ150" s="642">
        <f>SUM('4.07_Repex_Services'!AJ82,'4.07_Repex_Services'!AJ106,'4.07_Repex_Services'!AJ118,'4.07_Repex_Services'!AJ163,'4.07_Repex_Services'!AJ179,'4.07_Repex_Services'!AJ187,'4.07_Repex_Services'!AJ232,'4.07_Repex_Services'!AJ248,'4.07_Repex_Services'!AJ256,'4.07_Repex_Services'!AJ301,'4.07_Repex_Services'!AJ317,'4.07_Repex_Services'!AJ325)</f>
        <v>0</v>
      </c>
      <c r="AK150" s="643">
        <f>SUM('4.07_Repex_Services'!AK82,'4.07_Repex_Services'!AK106,'4.07_Repex_Services'!AK118,'4.07_Repex_Services'!AK163,'4.07_Repex_Services'!AK179,'4.07_Repex_Services'!AK187,'4.07_Repex_Services'!AK232,'4.07_Repex_Services'!AK248,'4.07_Repex_Services'!AK256,'4.07_Repex_Services'!AK301,'4.07_Repex_Services'!AK317,'4.07_Repex_Services'!AK325)</f>
        <v>0</v>
      </c>
      <c r="AL150" s="163"/>
      <c r="AM150" s="164" t="s">
        <v>498</v>
      </c>
      <c r="AN150" s="641">
        <f t="shared" ref="AN150" si="985">J150+Y150</f>
        <v>0</v>
      </c>
      <c r="AO150" s="642">
        <f t="shared" si="961"/>
        <v>0</v>
      </c>
      <c r="AP150" s="642">
        <f t="shared" si="962"/>
        <v>0</v>
      </c>
      <c r="AQ150" s="642">
        <f t="shared" si="963"/>
        <v>0</v>
      </c>
      <c r="AR150" s="642">
        <f t="shared" si="964"/>
        <v>0</v>
      </c>
      <c r="AS150" s="642">
        <f t="shared" si="965"/>
        <v>0</v>
      </c>
      <c r="AT150" s="642">
        <f t="shared" si="966"/>
        <v>0</v>
      </c>
      <c r="AU150" s="643">
        <f t="shared" si="967"/>
        <v>0</v>
      </c>
      <c r="AV150" s="641">
        <f t="shared" si="968"/>
        <v>1.1339244655120648E-3</v>
      </c>
      <c r="AW150" s="642">
        <f t="shared" si="969"/>
        <v>1.1282548431845044E-3</v>
      </c>
      <c r="AX150" s="642">
        <f t="shared" si="970"/>
        <v>1.1226135689685818E-3</v>
      </c>
      <c r="AY150" s="642">
        <f t="shared" si="971"/>
        <v>1.1170005011237388E-3</v>
      </c>
      <c r="AZ150" s="643">
        <f t="shared" si="972"/>
        <v>1.1114154986181202E-3</v>
      </c>
      <c r="BA150" s="163"/>
      <c r="BB150" s="164" t="s">
        <v>1876</v>
      </c>
      <c r="BC150" s="641">
        <f>SUM('4.07_Repex_Services'!AN82,'4.07_Repex_Services'!AN106,'4.07_Repex_Services'!AN118,'4.07_Repex_Services'!AN163,'4.07_Repex_Services'!AN179,'4.07_Repex_Services'!AN187,'4.07_Repex_Services'!AN232,'4.07_Repex_Services'!AN248,'4.07_Repex_Services'!AN256,'4.07_Repex_Services'!AN301,'4.07_Repex_Services'!AN317,'4.07_Repex_Services'!AN325)</f>
        <v>0</v>
      </c>
      <c r="BD150" s="642">
        <f>SUM('4.07_Repex_Services'!AO82,'4.07_Repex_Services'!AO106,'4.07_Repex_Services'!AO118,'4.07_Repex_Services'!AO163,'4.07_Repex_Services'!AO179,'4.07_Repex_Services'!AO187,'4.07_Repex_Services'!AO232,'4.07_Repex_Services'!AO248,'4.07_Repex_Services'!AO256,'4.07_Repex_Services'!AO301,'4.07_Repex_Services'!AO317,'4.07_Repex_Services'!AO325)</f>
        <v>0</v>
      </c>
      <c r="BE150" s="642">
        <f>SUM('4.07_Repex_Services'!AP82,'4.07_Repex_Services'!AP106,'4.07_Repex_Services'!AP118,'4.07_Repex_Services'!AP163,'4.07_Repex_Services'!AP179,'4.07_Repex_Services'!AP187,'4.07_Repex_Services'!AP232,'4.07_Repex_Services'!AP248,'4.07_Repex_Services'!AP256,'4.07_Repex_Services'!AP301,'4.07_Repex_Services'!AP317,'4.07_Repex_Services'!AP325)</f>
        <v>0</v>
      </c>
      <c r="BF150" s="642">
        <f>SUM('4.07_Repex_Services'!AQ82,'4.07_Repex_Services'!AQ106,'4.07_Repex_Services'!AQ118,'4.07_Repex_Services'!AQ163,'4.07_Repex_Services'!AQ179,'4.07_Repex_Services'!AQ187,'4.07_Repex_Services'!AQ232,'4.07_Repex_Services'!AQ248,'4.07_Repex_Services'!AQ256,'4.07_Repex_Services'!AQ301,'4.07_Repex_Services'!AQ317,'4.07_Repex_Services'!AQ325)</f>
        <v>0</v>
      </c>
      <c r="BG150" s="642">
        <f>SUM('4.07_Repex_Services'!AR82,'4.07_Repex_Services'!AR106,'4.07_Repex_Services'!AR118,'4.07_Repex_Services'!AR163,'4.07_Repex_Services'!AR179,'4.07_Repex_Services'!AR187,'4.07_Repex_Services'!AR232,'4.07_Repex_Services'!AR248,'4.07_Repex_Services'!AR256,'4.07_Repex_Services'!AR301,'4.07_Repex_Services'!AR317,'4.07_Repex_Services'!AR325)</f>
        <v>0</v>
      </c>
      <c r="BH150" s="642">
        <f>SUM('4.07_Repex_Services'!AS82,'4.07_Repex_Services'!AS106,'4.07_Repex_Services'!AS118,'4.07_Repex_Services'!AS163,'4.07_Repex_Services'!AS179,'4.07_Repex_Services'!AS187,'4.07_Repex_Services'!AS232,'4.07_Repex_Services'!AS248,'4.07_Repex_Services'!AS256,'4.07_Repex_Services'!AS301,'4.07_Repex_Services'!AS317,'4.07_Repex_Services'!AS325)</f>
        <v>0</v>
      </c>
      <c r="BI150" s="642">
        <f>SUM('4.07_Repex_Services'!AT82,'4.07_Repex_Services'!AT106,'4.07_Repex_Services'!AT118,'4.07_Repex_Services'!AT163,'4.07_Repex_Services'!AT179,'4.07_Repex_Services'!AT187,'4.07_Repex_Services'!AT232,'4.07_Repex_Services'!AT248,'4.07_Repex_Services'!AT256,'4.07_Repex_Services'!AT301,'4.07_Repex_Services'!AT317,'4.07_Repex_Services'!AT325)</f>
        <v>0</v>
      </c>
      <c r="BJ150" s="643">
        <f>SUM('4.07_Repex_Services'!AU82,'4.07_Repex_Services'!AU106,'4.07_Repex_Services'!AU118,'4.07_Repex_Services'!AU163,'4.07_Repex_Services'!AU179,'4.07_Repex_Services'!AU187,'4.07_Repex_Services'!AU232,'4.07_Repex_Services'!AU248,'4.07_Repex_Services'!AU256,'4.07_Repex_Services'!AU301,'4.07_Repex_Services'!AU317,'4.07_Repex_Services'!AU325)</f>
        <v>0</v>
      </c>
      <c r="BK150" s="641">
        <f>SUM('4.07_Repex_Services'!AV82,'4.07_Repex_Services'!AV106,'4.07_Repex_Services'!AV118,'4.07_Repex_Services'!AV163,'4.07_Repex_Services'!AV179,'4.07_Repex_Services'!AV187,'4.07_Repex_Services'!AV232,'4.07_Repex_Services'!AV248,'4.07_Repex_Services'!AV256,'4.07_Repex_Services'!AV301,'4.07_Repex_Services'!AV317,'4.07_Repex_Services'!AV325)</f>
        <v>4.4139136610283236</v>
      </c>
      <c r="BL150" s="642">
        <f>SUM('4.07_Repex_Services'!AW82,'4.07_Repex_Services'!AW106,'4.07_Repex_Services'!AW118,'4.07_Repex_Services'!AW163,'4.07_Repex_Services'!AW179,'4.07_Repex_Services'!AW187,'4.07_Repex_Services'!AW232,'4.07_Repex_Services'!AW248,'4.07_Repex_Services'!AW256,'4.07_Repex_Services'!AW301,'4.07_Repex_Services'!AW317,'4.07_Repex_Services'!AW325)</f>
        <v>4.4139136610283236</v>
      </c>
      <c r="BM150" s="642">
        <f>SUM('4.07_Repex_Services'!AX82,'4.07_Repex_Services'!AX106,'4.07_Repex_Services'!AX118,'4.07_Repex_Services'!AX163,'4.07_Repex_Services'!AX179,'4.07_Repex_Services'!AX187,'4.07_Repex_Services'!AX232,'4.07_Repex_Services'!AX248,'4.07_Repex_Services'!AX256,'4.07_Repex_Services'!AX301,'4.07_Repex_Services'!AX317,'4.07_Repex_Services'!AX325)</f>
        <v>4.4139136610283236</v>
      </c>
      <c r="BN150" s="642">
        <f>SUM('4.07_Repex_Services'!AY82,'4.07_Repex_Services'!AY106,'4.07_Repex_Services'!AY118,'4.07_Repex_Services'!AY163,'4.07_Repex_Services'!AY179,'4.07_Repex_Services'!AY187,'4.07_Repex_Services'!AY232,'4.07_Repex_Services'!AY248,'4.07_Repex_Services'!AY256,'4.07_Repex_Services'!AY301,'4.07_Repex_Services'!AY317,'4.07_Repex_Services'!AY325)</f>
        <v>4.4139136610283236</v>
      </c>
      <c r="BO150" s="643">
        <f>SUM('4.07_Repex_Services'!AZ82,'4.07_Repex_Services'!AZ106,'4.07_Repex_Services'!AZ118,'4.07_Repex_Services'!AZ163,'4.07_Repex_Services'!AZ179,'4.07_Repex_Services'!AZ187,'4.07_Repex_Services'!AZ232,'4.07_Repex_Services'!AZ248,'4.07_Repex_Services'!AZ256,'4.07_Repex_Services'!AZ301,'4.07_Repex_Services'!AZ317,'4.07_Repex_Services'!AZ325)</f>
        <v>4.4139136610283236</v>
      </c>
      <c r="BP150" s="163"/>
      <c r="BQ150" s="164" t="s">
        <v>2648</v>
      </c>
      <c r="BR150" s="641">
        <f t="shared" ref="BR150" si="986">IF(BC150,AN150/BC150,0)</f>
        <v>0</v>
      </c>
      <c r="BS150" s="642">
        <f t="shared" si="973"/>
        <v>0</v>
      </c>
      <c r="BT150" s="642">
        <f t="shared" si="974"/>
        <v>0</v>
      </c>
      <c r="BU150" s="642">
        <f t="shared" si="975"/>
        <v>0</v>
      </c>
      <c r="BV150" s="642">
        <f t="shared" si="976"/>
        <v>0</v>
      </c>
      <c r="BW150" s="642">
        <f t="shared" si="977"/>
        <v>0</v>
      </c>
      <c r="BX150" s="642">
        <f t="shared" si="978"/>
        <v>0</v>
      </c>
      <c r="BY150" s="643">
        <f t="shared" si="979"/>
        <v>0</v>
      </c>
      <c r="BZ150" s="641">
        <f t="shared" si="980"/>
        <v>2.5689774485708694E-4</v>
      </c>
      <c r="CA150" s="642">
        <f t="shared" si="981"/>
        <v>2.5561325613280151E-4</v>
      </c>
      <c r="CB150" s="642">
        <f t="shared" si="982"/>
        <v>2.5433518985213749E-4</v>
      </c>
      <c r="CC150" s="642">
        <f t="shared" si="983"/>
        <v>2.5306351390287673E-4</v>
      </c>
      <c r="CD150" s="643">
        <f t="shared" si="984"/>
        <v>2.517981963333624E-4</v>
      </c>
    </row>
    <row r="151" spans="1:82" ht="14.25">
      <c r="B151" s="161"/>
      <c r="C151" s="185" t="s">
        <v>1710</v>
      </c>
      <c r="D151" s="660"/>
      <c r="E151" s="185"/>
      <c r="F151" s="162"/>
      <c r="G151" s="185"/>
      <c r="H151" s="185"/>
      <c r="I151" s="164" t="s">
        <v>498</v>
      </c>
      <c r="J151" s="697">
        <f>SUM(J149:J150)</f>
        <v>0</v>
      </c>
      <c r="K151" s="698">
        <f t="shared" ref="K151:V151" si="987">SUM(K149:K150)</f>
        <v>0</v>
      </c>
      <c r="L151" s="698">
        <f t="shared" si="987"/>
        <v>0</v>
      </c>
      <c r="M151" s="698">
        <f t="shared" si="987"/>
        <v>0</v>
      </c>
      <c r="N151" s="698">
        <f t="shared" si="987"/>
        <v>0</v>
      </c>
      <c r="O151" s="698">
        <f t="shared" si="987"/>
        <v>0</v>
      </c>
      <c r="P151" s="698">
        <f t="shared" si="987"/>
        <v>0</v>
      </c>
      <c r="Q151" s="699">
        <f t="shared" si="987"/>
        <v>0</v>
      </c>
      <c r="R151" s="697">
        <f t="shared" si="987"/>
        <v>7.136826442186979E-2</v>
      </c>
      <c r="S151" s="698">
        <f t="shared" si="987"/>
        <v>7.101142309976044E-2</v>
      </c>
      <c r="T151" s="698">
        <f t="shared" si="987"/>
        <v>7.0656365984261629E-2</v>
      </c>
      <c r="U151" s="698">
        <f t="shared" si="987"/>
        <v>7.030308415434032E-2</v>
      </c>
      <c r="V151" s="699">
        <f t="shared" si="987"/>
        <v>6.9951568733568628E-2</v>
      </c>
      <c r="W151" s="185"/>
      <c r="X151" s="164" t="s">
        <v>498</v>
      </c>
      <c r="Y151" s="697">
        <f t="shared" ref="Y151" si="988">SUM(Y149:Y150)</f>
        <v>0</v>
      </c>
      <c r="Z151" s="698">
        <f t="shared" ref="Z151" si="989">SUM(Z149:Z150)</f>
        <v>0</v>
      </c>
      <c r="AA151" s="698">
        <f t="shared" ref="AA151" si="990">SUM(AA149:AA150)</f>
        <v>0</v>
      </c>
      <c r="AB151" s="698">
        <f t="shared" ref="AB151" si="991">SUM(AB149:AB150)</f>
        <v>0</v>
      </c>
      <c r="AC151" s="698">
        <f t="shared" ref="AC151" si="992">SUM(AC149:AC150)</f>
        <v>0</v>
      </c>
      <c r="AD151" s="698">
        <f t="shared" ref="AD151" si="993">SUM(AD149:AD150)</f>
        <v>0</v>
      </c>
      <c r="AE151" s="698">
        <f t="shared" ref="AE151" si="994">SUM(AE149:AE150)</f>
        <v>0</v>
      </c>
      <c r="AF151" s="699">
        <f t="shared" ref="AF151" si="995">SUM(AF149:AF150)</f>
        <v>0</v>
      </c>
      <c r="AG151" s="697">
        <f t="shared" ref="AG151" si="996">SUM(AG149:AG150)</f>
        <v>0</v>
      </c>
      <c r="AH151" s="698">
        <f t="shared" ref="AH151" si="997">SUM(AH149:AH150)</f>
        <v>0</v>
      </c>
      <c r="AI151" s="698">
        <f t="shared" ref="AI151" si="998">SUM(AI149:AI150)</f>
        <v>0</v>
      </c>
      <c r="AJ151" s="698">
        <f t="shared" ref="AJ151" si="999">SUM(AJ149:AJ150)</f>
        <v>0</v>
      </c>
      <c r="AK151" s="699">
        <f t="shared" ref="AK151" si="1000">SUM(AK149:AK150)</f>
        <v>0</v>
      </c>
      <c r="AL151" s="185"/>
      <c r="AM151" s="164" t="s">
        <v>498</v>
      </c>
      <c r="AN151" s="697">
        <f>SUM(AN149:AN150)</f>
        <v>0</v>
      </c>
      <c r="AO151" s="698">
        <f t="shared" ref="AO151:AZ151" si="1001">SUM(AO149:AO150)</f>
        <v>0</v>
      </c>
      <c r="AP151" s="698">
        <f t="shared" si="1001"/>
        <v>0</v>
      </c>
      <c r="AQ151" s="698">
        <f t="shared" si="1001"/>
        <v>0</v>
      </c>
      <c r="AR151" s="698">
        <f t="shared" si="1001"/>
        <v>0</v>
      </c>
      <c r="AS151" s="698">
        <f t="shared" si="1001"/>
        <v>0</v>
      </c>
      <c r="AT151" s="698">
        <f t="shared" si="1001"/>
        <v>0</v>
      </c>
      <c r="AU151" s="699">
        <f t="shared" si="1001"/>
        <v>0</v>
      </c>
      <c r="AV151" s="697">
        <f t="shared" si="1001"/>
        <v>7.136826442186979E-2</v>
      </c>
      <c r="AW151" s="698">
        <f t="shared" si="1001"/>
        <v>7.101142309976044E-2</v>
      </c>
      <c r="AX151" s="698">
        <f t="shared" si="1001"/>
        <v>7.0656365984261629E-2</v>
      </c>
      <c r="AY151" s="698">
        <f t="shared" si="1001"/>
        <v>7.030308415434032E-2</v>
      </c>
      <c r="AZ151" s="699">
        <f t="shared" si="1001"/>
        <v>6.9951568733568628E-2</v>
      </c>
      <c r="BA151" s="185"/>
      <c r="BB151" s="164" t="s">
        <v>1876</v>
      </c>
      <c r="BC151" s="697">
        <f>SUM(BC149:BC150)</f>
        <v>0</v>
      </c>
      <c r="BD151" s="698">
        <f t="shared" ref="BD151:BO151" si="1002">SUM(BD149:BD150)</f>
        <v>0</v>
      </c>
      <c r="BE151" s="698">
        <f t="shared" si="1002"/>
        <v>0</v>
      </c>
      <c r="BF151" s="698">
        <f t="shared" si="1002"/>
        <v>0</v>
      </c>
      <c r="BG151" s="698">
        <f t="shared" si="1002"/>
        <v>0</v>
      </c>
      <c r="BH151" s="698">
        <f t="shared" si="1002"/>
        <v>0</v>
      </c>
      <c r="BI151" s="698">
        <f t="shared" si="1002"/>
        <v>0</v>
      </c>
      <c r="BJ151" s="699">
        <f t="shared" si="1002"/>
        <v>0</v>
      </c>
      <c r="BK151" s="697">
        <f t="shared" si="1002"/>
        <v>11.034784152570809</v>
      </c>
      <c r="BL151" s="698">
        <f t="shared" si="1002"/>
        <v>11.034784152570809</v>
      </c>
      <c r="BM151" s="698">
        <f t="shared" si="1002"/>
        <v>11.034784152570809</v>
      </c>
      <c r="BN151" s="698">
        <f t="shared" si="1002"/>
        <v>11.034784152570809</v>
      </c>
      <c r="BO151" s="699">
        <f t="shared" si="1002"/>
        <v>11.034784152570809</v>
      </c>
      <c r="BP151" s="185"/>
      <c r="BQ151" s="117"/>
      <c r="BR151" s="159"/>
      <c r="BS151" s="117"/>
      <c r="BT151" s="117"/>
      <c r="BU151" s="117"/>
      <c r="BV151" s="117"/>
      <c r="BW151" s="117"/>
      <c r="BX151" s="117"/>
      <c r="BY151" s="160"/>
      <c r="BZ151" s="159"/>
      <c r="CA151" s="117"/>
      <c r="CB151" s="117"/>
      <c r="CC151" s="117"/>
      <c r="CD151" s="160"/>
    </row>
    <row r="152" spans="1:82" ht="14.25">
      <c r="B152" s="181"/>
      <c r="C152" s="185"/>
      <c r="D152" s="185"/>
      <c r="E152" s="182"/>
      <c r="F152" s="185"/>
      <c r="G152" s="184"/>
      <c r="H152" s="184"/>
      <c r="I152" s="117"/>
      <c r="J152" s="159"/>
      <c r="K152" s="117"/>
      <c r="L152" s="117"/>
      <c r="M152" s="117"/>
      <c r="N152" s="117"/>
      <c r="O152" s="117"/>
      <c r="P152" s="117"/>
      <c r="Q152" s="160"/>
      <c r="R152" s="159"/>
      <c r="S152" s="117"/>
      <c r="T152" s="117"/>
      <c r="U152" s="117"/>
      <c r="V152" s="160"/>
      <c r="W152" s="184"/>
      <c r="X152" s="117"/>
      <c r="Y152" s="159"/>
      <c r="Z152" s="117"/>
      <c r="AA152" s="117"/>
      <c r="AB152" s="117"/>
      <c r="AC152" s="117"/>
      <c r="AD152" s="117"/>
      <c r="AE152" s="117"/>
      <c r="AF152" s="160"/>
      <c r="AG152" s="159"/>
      <c r="AH152" s="117"/>
      <c r="AI152" s="117"/>
      <c r="AJ152" s="117"/>
      <c r="AK152" s="160"/>
      <c r="AL152" s="184"/>
      <c r="AM152" s="117"/>
      <c r="AN152" s="713"/>
      <c r="AO152" s="714"/>
      <c r="AP152" s="714"/>
      <c r="AQ152" s="714"/>
      <c r="AR152" s="714"/>
      <c r="AS152" s="714"/>
      <c r="AT152" s="714"/>
      <c r="AU152" s="715"/>
      <c r="AV152" s="716"/>
      <c r="AW152" s="714"/>
      <c r="AX152" s="714"/>
      <c r="AY152" s="714"/>
      <c r="AZ152" s="715"/>
      <c r="BA152" s="184"/>
      <c r="BB152" s="117"/>
      <c r="BC152" s="159"/>
      <c r="BD152" s="117"/>
      <c r="BE152" s="117"/>
      <c r="BF152" s="117"/>
      <c r="BG152" s="117"/>
      <c r="BH152" s="117"/>
      <c r="BI152" s="117"/>
      <c r="BJ152" s="160"/>
      <c r="BK152" s="159"/>
      <c r="BL152" s="117"/>
      <c r="BM152" s="117"/>
      <c r="BN152" s="117"/>
      <c r="BO152" s="160"/>
      <c r="BP152" s="184"/>
      <c r="BQ152" s="117"/>
      <c r="BR152" s="159"/>
      <c r="BS152" s="117"/>
      <c r="BT152" s="117"/>
      <c r="BU152" s="117"/>
      <c r="BV152" s="117"/>
      <c r="BW152" s="117"/>
      <c r="BX152" s="117"/>
      <c r="BY152" s="160"/>
      <c r="BZ152" s="159"/>
      <c r="CA152" s="117"/>
      <c r="CB152" s="117"/>
      <c r="CC152" s="117"/>
      <c r="CD152" s="160"/>
    </row>
    <row r="153" spans="1:82" ht="15" thickBot="1">
      <c r="B153" s="191" t="s">
        <v>1701</v>
      </c>
      <c r="C153" s="192"/>
      <c r="D153" s="192"/>
      <c r="E153" s="193"/>
      <c r="F153" s="192"/>
      <c r="G153" s="192"/>
      <c r="H153" s="194"/>
      <c r="I153" s="195" t="s">
        <v>498</v>
      </c>
      <c r="J153" s="701">
        <f>SUM(J141,J146,J151)</f>
        <v>5.0220636102173302</v>
      </c>
      <c r="K153" s="702">
        <f t="shared" ref="K153:V153" si="1003">SUM(K141,K146,K151)</f>
        <v>6.4023177920089367</v>
      </c>
      <c r="L153" s="702">
        <f t="shared" si="1003"/>
        <v>7.6483926312056072</v>
      </c>
      <c r="M153" s="702">
        <f t="shared" si="1003"/>
        <v>6.4342830303902119</v>
      </c>
      <c r="N153" s="702">
        <f t="shared" si="1003"/>
        <v>9.9894414997183585</v>
      </c>
      <c r="O153" s="702">
        <f t="shared" si="1003"/>
        <v>6.680776228174043</v>
      </c>
      <c r="P153" s="702">
        <f t="shared" si="1003"/>
        <v>3.3130316525695127</v>
      </c>
      <c r="Q153" s="703">
        <f t="shared" si="1003"/>
        <v>3.0833023351138795</v>
      </c>
      <c r="R153" s="701">
        <f t="shared" si="1003"/>
        <v>18.416879597149887</v>
      </c>
      <c r="S153" s="702">
        <f t="shared" si="1003"/>
        <v>18.324795199164136</v>
      </c>
      <c r="T153" s="702">
        <f t="shared" si="1003"/>
        <v>18.23317122316832</v>
      </c>
      <c r="U153" s="702">
        <f t="shared" si="1003"/>
        <v>18.142005367052473</v>
      </c>
      <c r="V153" s="703">
        <f t="shared" si="1003"/>
        <v>18.051295340217209</v>
      </c>
      <c r="W153" s="194"/>
      <c r="X153" s="195" t="s">
        <v>498</v>
      </c>
      <c r="Y153" s="701">
        <f>SUM(Y141,Y146,Y151)</f>
        <v>-1.9821297957955564</v>
      </c>
      <c r="Z153" s="702">
        <f t="shared" ref="Z153:AK153" si="1004">SUM(Z141,Z146,Z151)</f>
        <v>-2.3585800544822586</v>
      </c>
      <c r="AA153" s="702">
        <f t="shared" si="1004"/>
        <v>-0.88554771181436898</v>
      </c>
      <c r="AB153" s="702">
        <f t="shared" si="1004"/>
        <v>-2.4695536201072343</v>
      </c>
      <c r="AC153" s="702">
        <f t="shared" si="1004"/>
        <v>-2.9563206045100929</v>
      </c>
      <c r="AD153" s="702">
        <f t="shared" si="1004"/>
        <v>-1.1431039774168803</v>
      </c>
      <c r="AE153" s="702">
        <f t="shared" si="1004"/>
        <v>0</v>
      </c>
      <c r="AF153" s="703">
        <f t="shared" si="1004"/>
        <v>0</v>
      </c>
      <c r="AG153" s="701">
        <f t="shared" si="1004"/>
        <v>0</v>
      </c>
      <c r="AH153" s="702">
        <f t="shared" si="1004"/>
        <v>0</v>
      </c>
      <c r="AI153" s="702">
        <f t="shared" si="1004"/>
        <v>0</v>
      </c>
      <c r="AJ153" s="702">
        <f t="shared" si="1004"/>
        <v>0</v>
      </c>
      <c r="AK153" s="703">
        <f t="shared" si="1004"/>
        <v>0</v>
      </c>
      <c r="AL153" s="194"/>
      <c r="AM153" s="195" t="s">
        <v>498</v>
      </c>
      <c r="AN153" s="701">
        <f>SUM(AN141,AN146,AN151)</f>
        <v>3.039933814421774</v>
      </c>
      <c r="AO153" s="702">
        <f t="shared" ref="AO153:AZ153" si="1005">SUM(AO141,AO146,AO151)</f>
        <v>4.0437377375266781</v>
      </c>
      <c r="AP153" s="702">
        <f t="shared" si="1005"/>
        <v>6.7628449193912381</v>
      </c>
      <c r="AQ153" s="702">
        <f t="shared" si="1005"/>
        <v>3.9647294102829775</v>
      </c>
      <c r="AR153" s="702">
        <f t="shared" si="1005"/>
        <v>7.0331208952082651</v>
      </c>
      <c r="AS153" s="702">
        <f t="shared" si="1005"/>
        <v>5.5376722507571632</v>
      </c>
      <c r="AT153" s="702">
        <f t="shared" si="1005"/>
        <v>3.3130316525695127</v>
      </c>
      <c r="AU153" s="703">
        <f t="shared" si="1005"/>
        <v>3.0833023351138795</v>
      </c>
      <c r="AV153" s="701">
        <f t="shared" si="1005"/>
        <v>18.416879597149887</v>
      </c>
      <c r="AW153" s="702">
        <f t="shared" si="1005"/>
        <v>18.324795199164136</v>
      </c>
      <c r="AX153" s="702">
        <f t="shared" si="1005"/>
        <v>18.23317122316832</v>
      </c>
      <c r="AY153" s="702">
        <f t="shared" si="1005"/>
        <v>18.142005367052473</v>
      </c>
      <c r="AZ153" s="703">
        <f t="shared" si="1005"/>
        <v>18.051295340217209</v>
      </c>
      <c r="BA153" s="194"/>
      <c r="BB153" s="194"/>
      <c r="BC153" s="656"/>
      <c r="BD153" s="194"/>
      <c r="BE153" s="194"/>
      <c r="BF153" s="194"/>
      <c r="BG153" s="194"/>
      <c r="BH153" s="194"/>
      <c r="BI153" s="194"/>
      <c r="BJ153" s="972"/>
      <c r="BK153" s="656"/>
      <c r="BL153" s="194"/>
      <c r="BM153" s="194"/>
      <c r="BN153" s="194"/>
      <c r="BO153" s="972"/>
      <c r="BP153" s="194"/>
      <c r="BQ153" s="194"/>
      <c r="BR153" s="656"/>
      <c r="BS153" s="194"/>
      <c r="BT153" s="194"/>
      <c r="BU153" s="194"/>
      <c r="BV153" s="194"/>
      <c r="BW153" s="194"/>
      <c r="BX153" s="194"/>
      <c r="BY153" s="972"/>
      <c r="BZ153" s="656"/>
      <c r="CA153" s="194"/>
      <c r="CB153" s="194"/>
      <c r="CC153" s="194"/>
      <c r="CD153" s="972"/>
    </row>
    <row r="154" spans="1:82" ht="15" thickBot="1">
      <c r="B154" s="185"/>
      <c r="C154" s="185"/>
      <c r="D154" s="162"/>
      <c r="E154" s="162"/>
      <c r="F154" s="185"/>
      <c r="G154" s="185"/>
      <c r="H154" s="163"/>
      <c r="I154" s="185"/>
      <c r="J154" s="162"/>
      <c r="K154" s="162"/>
      <c r="L154" s="185"/>
      <c r="M154" s="185"/>
      <c r="N154" s="163"/>
      <c r="O154" s="185"/>
      <c r="P154" s="162"/>
      <c r="Q154" s="162"/>
      <c r="R154" s="185"/>
      <c r="S154" s="185"/>
      <c r="T154" s="163"/>
      <c r="U154" s="185"/>
      <c r="V154" s="162"/>
      <c r="AH154" s="173"/>
      <c r="AQ154" s="173"/>
    </row>
    <row r="155" spans="1:82" s="100" customFormat="1" ht="30" customHeight="1" thickBot="1">
      <c r="A155" s="89"/>
      <c r="B155" s="621" t="s">
        <v>2673</v>
      </c>
      <c r="C155" s="102"/>
      <c r="D155" s="102"/>
      <c r="E155" s="102"/>
      <c r="F155" s="102"/>
      <c r="G155" s="103"/>
      <c r="H155" s="103"/>
      <c r="I155" s="105" t="s">
        <v>1864</v>
      </c>
      <c r="J155" s="106"/>
      <c r="K155" s="106"/>
      <c r="L155" s="106"/>
      <c r="M155" s="106"/>
      <c r="N155" s="106"/>
      <c r="O155" s="106"/>
      <c r="P155" s="106"/>
      <c r="Q155" s="106"/>
      <c r="R155" s="105"/>
      <c r="S155" s="105"/>
      <c r="T155" s="105"/>
      <c r="U155" s="105"/>
      <c r="V155" s="187"/>
      <c r="W155" s="103"/>
      <c r="X155" s="105" t="s">
        <v>2202</v>
      </c>
      <c r="Y155" s="106"/>
      <c r="Z155" s="106"/>
      <c r="AA155" s="106"/>
      <c r="AB155" s="106"/>
      <c r="AC155" s="106"/>
      <c r="AD155" s="106"/>
      <c r="AE155" s="106"/>
      <c r="AF155" s="106"/>
      <c r="AG155" s="105"/>
      <c r="AH155" s="105"/>
      <c r="AI155" s="105"/>
      <c r="AJ155" s="105"/>
      <c r="AK155" s="187"/>
      <c r="AL155" s="103"/>
      <c r="AM155" s="105" t="s">
        <v>1704</v>
      </c>
      <c r="AN155" s="106"/>
      <c r="AO155" s="106"/>
      <c r="AP155" s="106"/>
      <c r="AQ155" s="106"/>
      <c r="AR155" s="106"/>
      <c r="AS155" s="106"/>
      <c r="AT155" s="106"/>
      <c r="AU155" s="106"/>
      <c r="AV155" s="105"/>
      <c r="AW155" s="105"/>
      <c r="AX155" s="105"/>
      <c r="AY155" s="105"/>
      <c r="AZ155" s="187"/>
      <c r="BA155" s="103"/>
      <c r="BB155" s="105" t="s">
        <v>2674</v>
      </c>
      <c r="BC155" s="106"/>
      <c r="BD155" s="106"/>
      <c r="BE155" s="106"/>
      <c r="BF155" s="106"/>
      <c r="BG155" s="106"/>
      <c r="BH155" s="106"/>
      <c r="BI155" s="106"/>
      <c r="BJ155" s="106"/>
      <c r="BK155" s="105"/>
      <c r="BL155" s="105"/>
      <c r="BM155" s="105"/>
      <c r="BN155" s="105"/>
      <c r="BO155" s="187"/>
      <c r="BP155" s="103"/>
      <c r="BQ155" s="105" t="s">
        <v>2414</v>
      </c>
      <c r="BR155" s="106"/>
      <c r="BS155" s="106"/>
      <c r="BT155" s="106"/>
      <c r="BU155" s="106"/>
      <c r="BV155" s="106"/>
      <c r="BW155" s="106"/>
      <c r="BX155" s="106"/>
      <c r="BY155" s="106"/>
      <c r="BZ155" s="105"/>
      <c r="CA155" s="105"/>
      <c r="CB155" s="105"/>
      <c r="CC155" s="105"/>
      <c r="CD155" s="187"/>
    </row>
    <row r="156" spans="1:82" s="157" customFormat="1" ht="30" customHeight="1">
      <c r="A156" s="99"/>
      <c r="B156" s="109"/>
      <c r="C156" s="110"/>
      <c r="D156" s="110"/>
      <c r="E156" s="110"/>
      <c r="F156" s="110"/>
      <c r="G156" s="111"/>
      <c r="H156" s="111"/>
      <c r="I156" s="117"/>
      <c r="J156" s="695" t="s">
        <v>1666</v>
      </c>
      <c r="K156" s="152"/>
      <c r="L156" s="152"/>
      <c r="M156" s="152"/>
      <c r="N156" s="152"/>
      <c r="O156" s="152"/>
      <c r="P156" s="152"/>
      <c r="Q156" s="153"/>
      <c r="R156" s="696" t="s">
        <v>2</v>
      </c>
      <c r="S156" s="155"/>
      <c r="T156" s="155"/>
      <c r="U156" s="155"/>
      <c r="V156" s="156"/>
      <c r="W156" s="111"/>
      <c r="X156" s="117"/>
      <c r="Y156" s="695" t="s">
        <v>1666</v>
      </c>
      <c r="Z156" s="152"/>
      <c r="AA156" s="152"/>
      <c r="AB156" s="152"/>
      <c r="AC156" s="152"/>
      <c r="AD156" s="152"/>
      <c r="AE156" s="152"/>
      <c r="AF156" s="153"/>
      <c r="AG156" s="696" t="s">
        <v>2</v>
      </c>
      <c r="AH156" s="155"/>
      <c r="AI156" s="155"/>
      <c r="AJ156" s="155"/>
      <c r="AK156" s="156"/>
      <c r="AL156" s="111"/>
      <c r="AM156" s="117"/>
      <c r="AN156" s="695" t="s">
        <v>1666</v>
      </c>
      <c r="AO156" s="152"/>
      <c r="AP156" s="152"/>
      <c r="AQ156" s="152"/>
      <c r="AR156" s="152"/>
      <c r="AS156" s="152"/>
      <c r="AT156" s="152"/>
      <c r="AU156" s="153"/>
      <c r="AV156" s="696" t="s">
        <v>2</v>
      </c>
      <c r="AW156" s="155"/>
      <c r="AX156" s="155"/>
      <c r="AY156" s="155"/>
      <c r="AZ156" s="156"/>
      <c r="BA156" s="111"/>
      <c r="BB156" s="117"/>
      <c r="BC156" s="695" t="s">
        <v>1666</v>
      </c>
      <c r="BD156" s="152"/>
      <c r="BE156" s="152"/>
      <c r="BF156" s="152"/>
      <c r="BG156" s="152"/>
      <c r="BH156" s="152"/>
      <c r="BI156" s="152"/>
      <c r="BJ156" s="153"/>
      <c r="BK156" s="696" t="s">
        <v>2</v>
      </c>
      <c r="BL156" s="155"/>
      <c r="BM156" s="155"/>
      <c r="BN156" s="155"/>
      <c r="BO156" s="156"/>
      <c r="BP156" s="111"/>
      <c r="BQ156" s="117"/>
      <c r="BR156" s="695" t="s">
        <v>1666</v>
      </c>
      <c r="BS156" s="152"/>
      <c r="BT156" s="152"/>
      <c r="BU156" s="152"/>
      <c r="BV156" s="152"/>
      <c r="BW156" s="152"/>
      <c r="BX156" s="152"/>
      <c r="BY156" s="153"/>
      <c r="BZ156" s="696" t="s">
        <v>2</v>
      </c>
      <c r="CA156" s="155"/>
      <c r="CB156" s="155"/>
      <c r="CC156" s="155"/>
      <c r="CD156" s="156"/>
    </row>
    <row r="157" spans="1:82" ht="15">
      <c r="B157" s="115"/>
      <c r="C157" s="185"/>
      <c r="D157" s="116"/>
      <c r="E157" s="116"/>
      <c r="F157" s="116"/>
      <c r="G157" s="117"/>
      <c r="H157" s="117"/>
      <c r="I157" s="119" t="s">
        <v>1667</v>
      </c>
      <c r="J157" s="158" t="s">
        <v>453</v>
      </c>
      <c r="K157" s="137" t="s">
        <v>455</v>
      </c>
      <c r="L157" s="137" t="s">
        <v>457</v>
      </c>
      <c r="M157" s="137" t="s">
        <v>459</v>
      </c>
      <c r="N157" s="137" t="s">
        <v>461</v>
      </c>
      <c r="O157" s="137" t="s">
        <v>463</v>
      </c>
      <c r="P157" s="137" t="s">
        <v>465</v>
      </c>
      <c r="Q157" s="138" t="s">
        <v>467</v>
      </c>
      <c r="R157" s="120" t="s">
        <v>469</v>
      </c>
      <c r="S157" s="121" t="s">
        <v>471</v>
      </c>
      <c r="T157" s="121" t="s">
        <v>473</v>
      </c>
      <c r="U157" s="121" t="s">
        <v>475</v>
      </c>
      <c r="V157" s="122" t="s">
        <v>477</v>
      </c>
      <c r="W157" s="117"/>
      <c r="X157" s="119" t="s">
        <v>1667</v>
      </c>
      <c r="Y157" s="158" t="s">
        <v>453</v>
      </c>
      <c r="Z157" s="137" t="s">
        <v>455</v>
      </c>
      <c r="AA157" s="137" t="s">
        <v>457</v>
      </c>
      <c r="AB157" s="137" t="s">
        <v>459</v>
      </c>
      <c r="AC157" s="137" t="s">
        <v>461</v>
      </c>
      <c r="AD157" s="137" t="s">
        <v>463</v>
      </c>
      <c r="AE157" s="137" t="s">
        <v>465</v>
      </c>
      <c r="AF157" s="138" t="s">
        <v>467</v>
      </c>
      <c r="AG157" s="120" t="s">
        <v>469</v>
      </c>
      <c r="AH157" s="121" t="s">
        <v>471</v>
      </c>
      <c r="AI157" s="121" t="s">
        <v>473</v>
      </c>
      <c r="AJ157" s="121" t="s">
        <v>475</v>
      </c>
      <c r="AK157" s="122" t="s">
        <v>477</v>
      </c>
      <c r="AL157" s="117"/>
      <c r="AM157" s="119" t="s">
        <v>1667</v>
      </c>
      <c r="AN157" s="158" t="s">
        <v>453</v>
      </c>
      <c r="AO157" s="137" t="s">
        <v>455</v>
      </c>
      <c r="AP157" s="137" t="s">
        <v>457</v>
      </c>
      <c r="AQ157" s="137" t="s">
        <v>459</v>
      </c>
      <c r="AR157" s="137" t="s">
        <v>461</v>
      </c>
      <c r="AS157" s="137" t="s">
        <v>463</v>
      </c>
      <c r="AT157" s="137" t="s">
        <v>465</v>
      </c>
      <c r="AU157" s="138" t="s">
        <v>467</v>
      </c>
      <c r="AV157" s="120" t="s">
        <v>469</v>
      </c>
      <c r="AW157" s="121" t="s">
        <v>471</v>
      </c>
      <c r="AX157" s="121" t="s">
        <v>473</v>
      </c>
      <c r="AY157" s="121" t="s">
        <v>475</v>
      </c>
      <c r="AZ157" s="122" t="s">
        <v>477</v>
      </c>
      <c r="BA157" s="117"/>
      <c r="BB157" s="119" t="s">
        <v>1667</v>
      </c>
      <c r="BC157" s="158" t="s">
        <v>453</v>
      </c>
      <c r="BD157" s="137" t="s">
        <v>455</v>
      </c>
      <c r="BE157" s="137" t="s">
        <v>457</v>
      </c>
      <c r="BF157" s="137" t="s">
        <v>459</v>
      </c>
      <c r="BG157" s="137" t="s">
        <v>461</v>
      </c>
      <c r="BH157" s="137" t="s">
        <v>463</v>
      </c>
      <c r="BI157" s="137" t="s">
        <v>465</v>
      </c>
      <c r="BJ157" s="138" t="s">
        <v>467</v>
      </c>
      <c r="BK157" s="120" t="s">
        <v>469</v>
      </c>
      <c r="BL157" s="121" t="s">
        <v>471</v>
      </c>
      <c r="BM157" s="121" t="s">
        <v>473</v>
      </c>
      <c r="BN157" s="121" t="s">
        <v>475</v>
      </c>
      <c r="BO157" s="122" t="s">
        <v>477</v>
      </c>
      <c r="BP157" s="117"/>
      <c r="BQ157" s="119" t="s">
        <v>1667</v>
      </c>
      <c r="BR157" s="158" t="s">
        <v>453</v>
      </c>
      <c r="BS157" s="137" t="s">
        <v>455</v>
      </c>
      <c r="BT157" s="137" t="s">
        <v>457</v>
      </c>
      <c r="BU157" s="137" t="s">
        <v>459</v>
      </c>
      <c r="BV157" s="137" t="s">
        <v>461</v>
      </c>
      <c r="BW157" s="137" t="s">
        <v>463</v>
      </c>
      <c r="BX157" s="137" t="s">
        <v>465</v>
      </c>
      <c r="BY157" s="138" t="s">
        <v>467</v>
      </c>
      <c r="BZ157" s="120" t="s">
        <v>469</v>
      </c>
      <c r="CA157" s="121" t="s">
        <v>471</v>
      </c>
      <c r="CB157" s="121" t="s">
        <v>473</v>
      </c>
      <c r="CC157" s="121" t="s">
        <v>475</v>
      </c>
      <c r="CD157" s="122" t="s">
        <v>477</v>
      </c>
    </row>
    <row r="158" spans="1:82" ht="15.75">
      <c r="B158" s="161"/>
      <c r="C158" s="616" t="s">
        <v>2675</v>
      </c>
      <c r="D158" s="186"/>
      <c r="E158" s="180"/>
      <c r="F158" s="180"/>
      <c r="G158" s="162"/>
      <c r="H158" s="163"/>
      <c r="I158" s="117"/>
      <c r="J158" s="159"/>
      <c r="K158" s="117"/>
      <c r="L158" s="117"/>
      <c r="M158" s="117"/>
      <c r="N158" s="117"/>
      <c r="O158" s="117"/>
      <c r="P158" s="117"/>
      <c r="Q158" s="160"/>
      <c r="R158" s="159"/>
      <c r="S158" s="117"/>
      <c r="T158" s="117"/>
      <c r="U158" s="117"/>
      <c r="V158" s="160"/>
      <c r="W158" s="163"/>
      <c r="X158" s="117"/>
      <c r="Y158" s="159"/>
      <c r="Z158" s="117"/>
      <c r="AA158" s="117"/>
      <c r="AB158" s="117"/>
      <c r="AC158" s="117"/>
      <c r="AD158" s="117"/>
      <c r="AE158" s="117"/>
      <c r="AF158" s="160"/>
      <c r="AG158" s="159"/>
      <c r="AH158" s="117"/>
      <c r="AI158" s="117"/>
      <c r="AJ158" s="117"/>
      <c r="AK158" s="160"/>
      <c r="AL158" s="163"/>
      <c r="AM158" s="117"/>
      <c r="AN158" s="159"/>
      <c r="AO158" s="117"/>
      <c r="AP158" s="117"/>
      <c r="AQ158" s="117"/>
      <c r="AR158" s="117"/>
      <c r="AS158" s="117"/>
      <c r="AT158" s="117"/>
      <c r="AU158" s="160"/>
      <c r="AV158" s="159"/>
      <c r="AW158" s="117"/>
      <c r="AX158" s="117"/>
      <c r="AY158" s="117"/>
      <c r="AZ158" s="160"/>
      <c r="BA158" s="163"/>
      <c r="BB158" s="117"/>
      <c r="BC158" s="159"/>
      <c r="BD158" s="117"/>
      <c r="BE158" s="117"/>
      <c r="BF158" s="117"/>
      <c r="BG158" s="117"/>
      <c r="BH158" s="117"/>
      <c r="BI158" s="117"/>
      <c r="BJ158" s="160"/>
      <c r="BK158" s="159"/>
      <c r="BL158" s="117"/>
      <c r="BM158" s="117"/>
      <c r="BN158" s="117"/>
      <c r="BO158" s="160"/>
      <c r="BP158" s="163"/>
      <c r="BQ158" s="117"/>
      <c r="BR158" s="159"/>
      <c r="BS158" s="117"/>
      <c r="BT158" s="117"/>
      <c r="BU158" s="117"/>
      <c r="BV158" s="117"/>
      <c r="BW158" s="117"/>
      <c r="BX158" s="117"/>
      <c r="BY158" s="160"/>
      <c r="BZ158" s="159"/>
      <c r="CA158" s="117"/>
      <c r="CB158" s="117"/>
      <c r="CC158" s="117"/>
      <c r="CD158" s="160"/>
    </row>
    <row r="159" spans="1:82" ht="15">
      <c r="B159" s="161"/>
      <c r="C159" s="185"/>
      <c r="D159" s="185" t="s">
        <v>2676</v>
      </c>
      <c r="E159" s="617"/>
      <c r="F159" s="162"/>
      <c r="G159" s="162"/>
      <c r="H159" s="185"/>
      <c r="I159" s="164" t="s">
        <v>498</v>
      </c>
      <c r="J159" s="641">
        <f>SUM('4.08_Repex_MOB'!J24,'4.08_Repex_MOB'!J30,'4.08_Repex_MOB'!J36,'4.08_Repex_MOB'!J42,'4.08_Repex_MOB'!J48,'4.08_Repex_MOB'!J54)</f>
        <v>3.0399988755300089E-2</v>
      </c>
      <c r="K159" s="642">
        <f>SUM('4.08_Repex_MOB'!K24,'4.08_Repex_MOB'!K30,'4.08_Repex_MOB'!K36,'4.08_Repex_MOB'!K42,'4.08_Repex_MOB'!K48,'4.08_Repex_MOB'!K54)</f>
        <v>3.3089690972366264E-3</v>
      </c>
      <c r="L159" s="642">
        <f>SUM('4.08_Repex_MOB'!L24,'4.08_Repex_MOB'!L30,'4.08_Repex_MOB'!L36,'4.08_Repex_MOB'!L42,'4.08_Repex_MOB'!L48,'4.08_Repex_MOB'!L54)</f>
        <v>5.0764753009703454E-3</v>
      </c>
      <c r="M159" s="642">
        <f>SUM('4.08_Repex_MOB'!M24,'4.08_Repex_MOB'!M30,'4.08_Repex_MOB'!M36,'4.08_Repex_MOB'!M42,'4.08_Repex_MOB'!M48,'4.08_Repex_MOB'!M54)</f>
        <v>0</v>
      </c>
      <c r="N159" s="642">
        <f>SUM('4.08_Repex_MOB'!N24,'4.08_Repex_MOB'!N30,'4.08_Repex_MOB'!N36,'4.08_Repex_MOB'!N42,'4.08_Repex_MOB'!N48,'4.08_Repex_MOB'!N54)</f>
        <v>6.1537460940653085E-2</v>
      </c>
      <c r="O159" s="642">
        <f>SUM('4.08_Repex_MOB'!O24,'4.08_Repex_MOB'!O30,'4.08_Repex_MOB'!O36,'4.08_Repex_MOB'!O42,'4.08_Repex_MOB'!O48,'4.08_Repex_MOB'!O54)</f>
        <v>4.3526351139300621E-3</v>
      </c>
      <c r="P159" s="642">
        <f>SUM('4.08_Repex_MOB'!P24,'4.08_Repex_MOB'!P30,'4.08_Repex_MOB'!P36,'4.08_Repex_MOB'!P42,'4.08_Repex_MOB'!P48,'4.08_Repex_MOB'!P54)</f>
        <v>3.7050287917343827E-2</v>
      </c>
      <c r="Q159" s="643">
        <f>SUM('4.08_Repex_MOB'!Q24,'4.08_Repex_MOB'!Q30,'4.08_Repex_MOB'!Q36,'4.08_Repex_MOB'!Q42,'4.08_Repex_MOB'!Q48,'4.08_Repex_MOB'!Q54)</f>
        <v>3.7050287917343827E-2</v>
      </c>
      <c r="R159" s="641">
        <f>SUM('4.08_Repex_MOB'!R24,'4.08_Repex_MOB'!R30,'4.08_Repex_MOB'!R36,'4.08_Repex_MOB'!R42,'4.08_Repex_MOB'!R48,'4.08_Repex_MOB'!R54)</f>
        <v>0</v>
      </c>
      <c r="S159" s="642">
        <f>SUM('4.08_Repex_MOB'!S24,'4.08_Repex_MOB'!S30,'4.08_Repex_MOB'!S36,'4.08_Repex_MOB'!S42,'4.08_Repex_MOB'!S48,'4.08_Repex_MOB'!S54)</f>
        <v>0</v>
      </c>
      <c r="T159" s="642">
        <f>SUM('4.08_Repex_MOB'!T24,'4.08_Repex_MOB'!T30,'4.08_Repex_MOB'!T36,'4.08_Repex_MOB'!T42,'4.08_Repex_MOB'!T48,'4.08_Repex_MOB'!T54)</f>
        <v>0</v>
      </c>
      <c r="U159" s="642">
        <f>SUM('4.08_Repex_MOB'!U24,'4.08_Repex_MOB'!U30,'4.08_Repex_MOB'!U36,'4.08_Repex_MOB'!U42,'4.08_Repex_MOB'!U48,'4.08_Repex_MOB'!U54)</f>
        <v>0</v>
      </c>
      <c r="V159" s="643">
        <f>SUM('4.08_Repex_MOB'!V24,'4.08_Repex_MOB'!V30,'4.08_Repex_MOB'!V36,'4.08_Repex_MOB'!V42,'4.08_Repex_MOB'!V48,'4.08_Repex_MOB'!V54)</f>
        <v>0</v>
      </c>
      <c r="W159" s="185"/>
      <c r="X159" s="164" t="s">
        <v>498</v>
      </c>
      <c r="Y159" s="641">
        <f>SUM('4.08_Repex_MOB'!Y24,'4.08_Repex_MOB'!Y30,'4.08_Repex_MOB'!Y36,'4.08_Repex_MOB'!Y42,'4.08_Repex_MOB'!Y48,'4.08_Repex_MOB'!Y54)</f>
        <v>0</v>
      </c>
      <c r="Z159" s="642">
        <f>SUM('4.08_Repex_MOB'!Z24,'4.08_Repex_MOB'!Z30,'4.08_Repex_MOB'!Z36,'4.08_Repex_MOB'!Z42,'4.08_Repex_MOB'!Z48,'4.08_Repex_MOB'!Z54)</f>
        <v>0</v>
      </c>
      <c r="AA159" s="642">
        <f>SUM('4.08_Repex_MOB'!AA24,'4.08_Repex_MOB'!AA30,'4.08_Repex_MOB'!AA36,'4.08_Repex_MOB'!AA42,'4.08_Repex_MOB'!AA48,'4.08_Repex_MOB'!AA54)</f>
        <v>0</v>
      </c>
      <c r="AB159" s="642">
        <f>SUM('4.08_Repex_MOB'!AB24,'4.08_Repex_MOB'!AB30,'4.08_Repex_MOB'!AB36,'4.08_Repex_MOB'!AB42,'4.08_Repex_MOB'!AB48,'4.08_Repex_MOB'!AB54)</f>
        <v>0</v>
      </c>
      <c r="AC159" s="642">
        <f>SUM('4.08_Repex_MOB'!AC24,'4.08_Repex_MOB'!AC30,'4.08_Repex_MOB'!AC36,'4.08_Repex_MOB'!AC42,'4.08_Repex_MOB'!AC48,'4.08_Repex_MOB'!AC54)</f>
        <v>0</v>
      </c>
      <c r="AD159" s="642">
        <f>SUM('4.08_Repex_MOB'!AD24,'4.08_Repex_MOB'!AD30,'4.08_Repex_MOB'!AD36,'4.08_Repex_MOB'!AD42,'4.08_Repex_MOB'!AD48,'4.08_Repex_MOB'!AD54)</f>
        <v>0</v>
      </c>
      <c r="AE159" s="642">
        <f>SUM('4.08_Repex_MOB'!AE24,'4.08_Repex_MOB'!AE30,'4.08_Repex_MOB'!AE36,'4.08_Repex_MOB'!AE42,'4.08_Repex_MOB'!AE48,'4.08_Repex_MOB'!AE54)</f>
        <v>0</v>
      </c>
      <c r="AF159" s="643">
        <f>SUM('4.08_Repex_MOB'!AF24,'4.08_Repex_MOB'!AF30,'4.08_Repex_MOB'!AF36,'4.08_Repex_MOB'!AF42,'4.08_Repex_MOB'!AF48,'4.08_Repex_MOB'!AF54)</f>
        <v>0</v>
      </c>
      <c r="AG159" s="641">
        <f>SUM('4.08_Repex_MOB'!AG24,'4.08_Repex_MOB'!AG30,'4.08_Repex_MOB'!AG36,'4.08_Repex_MOB'!AG42,'4.08_Repex_MOB'!AG48,'4.08_Repex_MOB'!AG54)</f>
        <v>0</v>
      </c>
      <c r="AH159" s="642">
        <f>SUM('4.08_Repex_MOB'!AH24,'4.08_Repex_MOB'!AH30,'4.08_Repex_MOB'!AH36,'4.08_Repex_MOB'!AH42,'4.08_Repex_MOB'!AH48,'4.08_Repex_MOB'!AH54)</f>
        <v>0</v>
      </c>
      <c r="AI159" s="642">
        <f>SUM('4.08_Repex_MOB'!AI24,'4.08_Repex_MOB'!AI30,'4.08_Repex_MOB'!AI36,'4.08_Repex_MOB'!AI42,'4.08_Repex_MOB'!AI48,'4.08_Repex_MOB'!AI54)</f>
        <v>0</v>
      </c>
      <c r="AJ159" s="642">
        <f>SUM('4.08_Repex_MOB'!AJ24,'4.08_Repex_MOB'!AJ30,'4.08_Repex_MOB'!AJ36,'4.08_Repex_MOB'!AJ42,'4.08_Repex_MOB'!AJ48,'4.08_Repex_MOB'!AJ54)</f>
        <v>0</v>
      </c>
      <c r="AK159" s="643">
        <f>SUM('4.08_Repex_MOB'!AK24,'4.08_Repex_MOB'!AK30,'4.08_Repex_MOB'!AK36,'4.08_Repex_MOB'!AK42,'4.08_Repex_MOB'!AK48,'4.08_Repex_MOB'!AK54)</f>
        <v>0</v>
      </c>
      <c r="AL159" s="185"/>
      <c r="AM159" s="164" t="s">
        <v>498</v>
      </c>
      <c r="AN159" s="641">
        <f>J159+Y159</f>
        <v>3.0399988755300089E-2</v>
      </c>
      <c r="AO159" s="642">
        <f t="shared" ref="AO159:AO161" si="1006">K159+Z159</f>
        <v>3.3089690972366264E-3</v>
      </c>
      <c r="AP159" s="642">
        <f t="shared" ref="AP159:AP161" si="1007">L159+AA159</f>
        <v>5.0764753009703454E-3</v>
      </c>
      <c r="AQ159" s="642">
        <f t="shared" ref="AQ159:AQ161" si="1008">M159+AB159</f>
        <v>0</v>
      </c>
      <c r="AR159" s="642">
        <f t="shared" ref="AR159:AR161" si="1009">N159+AC159</f>
        <v>6.1537460940653085E-2</v>
      </c>
      <c r="AS159" s="642">
        <f t="shared" ref="AS159:AS161" si="1010">O159+AD159</f>
        <v>4.3526351139300621E-3</v>
      </c>
      <c r="AT159" s="642">
        <f t="shared" ref="AT159:AT161" si="1011">P159+AE159</f>
        <v>3.7050287917343827E-2</v>
      </c>
      <c r="AU159" s="643">
        <f t="shared" ref="AU159:AU161" si="1012">Q159+AF159</f>
        <v>3.7050287917343827E-2</v>
      </c>
      <c r="AV159" s="641">
        <f t="shared" ref="AV159:AV161" si="1013">R159+AG159</f>
        <v>0</v>
      </c>
      <c r="AW159" s="642">
        <f t="shared" ref="AW159:AW161" si="1014">S159+AH159</f>
        <v>0</v>
      </c>
      <c r="AX159" s="642">
        <f t="shared" ref="AX159:AX161" si="1015">T159+AI159</f>
        <v>0</v>
      </c>
      <c r="AY159" s="642">
        <f t="shared" ref="AY159:AY161" si="1016">U159+AJ159</f>
        <v>0</v>
      </c>
      <c r="AZ159" s="643">
        <f t="shared" ref="AZ159:AZ161" si="1017">V159+AK159</f>
        <v>0</v>
      </c>
      <c r="BA159" s="185"/>
      <c r="BB159" s="164" t="s">
        <v>2233</v>
      </c>
      <c r="BC159" s="641">
        <f>SUM('4.08_Repex_MOB'!AN24,'4.08_Repex_MOB'!AN30,'4.08_Repex_MOB'!AN36,'4.08_Repex_MOB'!AN42,'4.08_Repex_MOB'!AN48,'4.08_Repex_MOB'!AN54)</f>
        <v>0</v>
      </c>
      <c r="BD159" s="642">
        <f>SUM('4.08_Repex_MOB'!AO24,'4.08_Repex_MOB'!AO30,'4.08_Repex_MOB'!AO36,'4.08_Repex_MOB'!AO42,'4.08_Repex_MOB'!AO48,'4.08_Repex_MOB'!AO54)</f>
        <v>0</v>
      </c>
      <c r="BE159" s="642">
        <f>SUM('4.08_Repex_MOB'!AP24,'4.08_Repex_MOB'!AP30,'4.08_Repex_MOB'!AP36,'4.08_Repex_MOB'!AP42,'4.08_Repex_MOB'!AP48,'4.08_Repex_MOB'!AP54)</f>
        <v>0</v>
      </c>
      <c r="BF159" s="642">
        <f>SUM('4.08_Repex_MOB'!AQ24,'4.08_Repex_MOB'!AQ30,'4.08_Repex_MOB'!AQ36,'4.08_Repex_MOB'!AQ42,'4.08_Repex_MOB'!AQ48,'4.08_Repex_MOB'!AQ54)</f>
        <v>0</v>
      </c>
      <c r="BG159" s="642">
        <f>SUM('4.08_Repex_MOB'!AR24,'4.08_Repex_MOB'!AR30,'4.08_Repex_MOB'!AR36,'4.08_Repex_MOB'!AR42,'4.08_Repex_MOB'!AR48,'4.08_Repex_MOB'!AR54)</f>
        <v>0</v>
      </c>
      <c r="BH159" s="642">
        <f>SUM('4.08_Repex_MOB'!AS24,'4.08_Repex_MOB'!AS30,'4.08_Repex_MOB'!AS36,'4.08_Repex_MOB'!AS42,'4.08_Repex_MOB'!AS48,'4.08_Repex_MOB'!AS54)</f>
        <v>0</v>
      </c>
      <c r="BI159" s="642">
        <f>SUM('4.08_Repex_MOB'!AT24,'4.08_Repex_MOB'!AT30,'4.08_Repex_MOB'!AT36,'4.08_Repex_MOB'!AT42,'4.08_Repex_MOB'!AT48,'4.08_Repex_MOB'!AT54)</f>
        <v>0</v>
      </c>
      <c r="BJ159" s="643">
        <f>SUM('4.08_Repex_MOB'!AU24,'4.08_Repex_MOB'!AU30,'4.08_Repex_MOB'!AU36,'4.08_Repex_MOB'!AU42,'4.08_Repex_MOB'!AU48,'4.08_Repex_MOB'!AU54)</f>
        <v>0</v>
      </c>
      <c r="BK159" s="641">
        <f>SUM('4.08_Repex_MOB'!AV24,'4.08_Repex_MOB'!AV30,'4.08_Repex_MOB'!AV36,'4.08_Repex_MOB'!AV42,'4.08_Repex_MOB'!AV48,'4.08_Repex_MOB'!AV54)</f>
        <v>0</v>
      </c>
      <c r="BL159" s="642">
        <f>SUM('4.08_Repex_MOB'!AW24,'4.08_Repex_MOB'!AW30,'4.08_Repex_MOB'!AW36,'4.08_Repex_MOB'!AW42,'4.08_Repex_MOB'!AW48,'4.08_Repex_MOB'!AW54)</f>
        <v>0</v>
      </c>
      <c r="BM159" s="642">
        <f>SUM('4.08_Repex_MOB'!AX24,'4.08_Repex_MOB'!AX30,'4.08_Repex_MOB'!AX36,'4.08_Repex_MOB'!AX42,'4.08_Repex_MOB'!AX48,'4.08_Repex_MOB'!AX54)</f>
        <v>0</v>
      </c>
      <c r="BN159" s="642">
        <f>SUM('4.08_Repex_MOB'!AY24,'4.08_Repex_MOB'!AY30,'4.08_Repex_MOB'!AY36,'4.08_Repex_MOB'!AY42,'4.08_Repex_MOB'!AY48,'4.08_Repex_MOB'!AY54)</f>
        <v>0</v>
      </c>
      <c r="BO159" s="643">
        <f>SUM('4.08_Repex_MOB'!AZ24,'4.08_Repex_MOB'!AZ30,'4.08_Repex_MOB'!AZ36,'4.08_Repex_MOB'!AZ42,'4.08_Repex_MOB'!AZ48,'4.08_Repex_MOB'!AZ54)</f>
        <v>0</v>
      </c>
      <c r="BP159" s="185"/>
      <c r="BQ159" s="164" t="s">
        <v>2415</v>
      </c>
      <c r="BR159" s="641">
        <f>IF(BC159,AN159/BC159,0)</f>
        <v>0</v>
      </c>
      <c r="BS159" s="642">
        <f t="shared" ref="BS159:BS161" si="1018">IF(BD159,AO159/BD159,0)</f>
        <v>0</v>
      </c>
      <c r="BT159" s="642">
        <f t="shared" ref="BT159:BT161" si="1019">IF(BE159,AP159/BE159,0)</f>
        <v>0</v>
      </c>
      <c r="BU159" s="642">
        <f t="shared" ref="BU159:BU161" si="1020">IF(BF159,AQ159/BF159,0)</f>
        <v>0</v>
      </c>
      <c r="BV159" s="642">
        <f t="shared" ref="BV159:BV161" si="1021">IF(BG159,AR159/BG159,0)</f>
        <v>0</v>
      </c>
      <c r="BW159" s="642">
        <f t="shared" ref="BW159:BW161" si="1022">IF(BH159,AS159/BH159,0)</f>
        <v>0</v>
      </c>
      <c r="BX159" s="642">
        <f t="shared" ref="BX159:BX161" si="1023">IF(BI159,AT159/BI159,0)</f>
        <v>0</v>
      </c>
      <c r="BY159" s="643">
        <f t="shared" ref="BY159:BY161" si="1024">IF(BJ159,AU159/BJ159,0)</f>
        <v>0</v>
      </c>
      <c r="BZ159" s="641">
        <f t="shared" ref="BZ159:BZ161" si="1025">IF(BK159,AV159/BK159,0)</f>
        <v>0</v>
      </c>
      <c r="CA159" s="642">
        <f t="shared" ref="CA159:CA161" si="1026">IF(BL159,AW159/BL159,0)</f>
        <v>0</v>
      </c>
      <c r="CB159" s="642">
        <f t="shared" ref="CB159:CB161" si="1027">IF(BM159,AX159/BM159,0)</f>
        <v>0</v>
      </c>
      <c r="CC159" s="642">
        <f t="shared" ref="CC159:CC161" si="1028">IF(BN159,AY159/BN159,0)</f>
        <v>0</v>
      </c>
      <c r="CD159" s="643">
        <f t="shared" ref="CD159:CD161" si="1029">IF(BO159,AZ159/BO159,0)</f>
        <v>0</v>
      </c>
    </row>
    <row r="160" spans="1:82" ht="14.25">
      <c r="B160" s="161"/>
      <c r="C160" s="185"/>
      <c r="D160" s="185" t="s">
        <v>2677</v>
      </c>
      <c r="E160" s="185"/>
      <c r="F160" s="162"/>
      <c r="G160" s="185"/>
      <c r="H160" s="185"/>
      <c r="I160" s="164" t="s">
        <v>498</v>
      </c>
      <c r="J160" s="641">
        <f>SUM('4.08_Repex_MOB'!J25,'4.08_Repex_MOB'!J31,'4.08_Repex_MOB'!J37,'4.08_Repex_MOB'!J43,'4.08_Repex_MOB'!J49,'4.08_Repex_MOB'!J55)</f>
        <v>0</v>
      </c>
      <c r="K160" s="642">
        <f>SUM('4.08_Repex_MOB'!K25,'4.08_Repex_MOB'!K31,'4.08_Repex_MOB'!K37,'4.08_Repex_MOB'!K43,'4.08_Repex_MOB'!K49,'4.08_Repex_MOB'!K55)</f>
        <v>0</v>
      </c>
      <c r="L160" s="642">
        <f>SUM('4.08_Repex_MOB'!L25,'4.08_Repex_MOB'!L31,'4.08_Repex_MOB'!L37,'4.08_Repex_MOB'!L43,'4.08_Repex_MOB'!L49,'4.08_Repex_MOB'!L55)</f>
        <v>6.7686337346271278E-3</v>
      </c>
      <c r="M160" s="642">
        <f>SUM('4.08_Repex_MOB'!M25,'4.08_Repex_MOB'!M31,'4.08_Repex_MOB'!M37,'4.08_Repex_MOB'!M43,'4.08_Repex_MOB'!M49,'4.08_Repex_MOB'!M55)</f>
        <v>0</v>
      </c>
      <c r="N160" s="642">
        <f>SUM('4.08_Repex_MOB'!N25,'4.08_Repex_MOB'!N31,'4.08_Repex_MOB'!N37,'4.08_Repex_MOB'!N43,'4.08_Repex_MOB'!N49,'4.08_Repex_MOB'!N55)</f>
        <v>8.0252461948377485E-2</v>
      </c>
      <c r="O160" s="642">
        <f>SUM('4.08_Repex_MOB'!O25,'4.08_Repex_MOB'!O31,'4.08_Repex_MOB'!O37,'4.08_Repex_MOB'!O43,'4.08_Repex_MOB'!O49,'4.08_Repex_MOB'!O55)</f>
        <v>3.4045553225006139E-4</v>
      </c>
      <c r="P160" s="642">
        <f>SUM('4.08_Repex_MOB'!P25,'4.08_Repex_MOB'!P31,'4.08_Repex_MOB'!P37,'4.08_Repex_MOB'!P43,'4.08_Repex_MOB'!P49,'4.08_Repex_MOB'!P55)</f>
        <v>4.2949712082656175E-2</v>
      </c>
      <c r="Q160" s="643">
        <f>SUM('4.08_Repex_MOB'!Q25,'4.08_Repex_MOB'!Q31,'4.08_Repex_MOB'!Q37,'4.08_Repex_MOB'!Q43,'4.08_Repex_MOB'!Q49,'4.08_Repex_MOB'!Q55)</f>
        <v>4.2949712082656175E-2</v>
      </c>
      <c r="R160" s="641">
        <f>SUM('4.08_Repex_MOB'!R25,'4.08_Repex_MOB'!R31,'4.08_Repex_MOB'!R37,'4.08_Repex_MOB'!R43,'4.08_Repex_MOB'!R49,'4.08_Repex_MOB'!R55)</f>
        <v>0.56815875689320938</v>
      </c>
      <c r="S160" s="642">
        <f>SUM('4.08_Repex_MOB'!S25,'4.08_Repex_MOB'!S31,'4.08_Repex_MOB'!S37,'4.08_Repex_MOB'!S43,'4.08_Repex_MOB'!S49,'4.08_Repex_MOB'!S55)</f>
        <v>0.56531796310874327</v>
      </c>
      <c r="T160" s="642">
        <f>SUM('4.08_Repex_MOB'!T25,'4.08_Repex_MOB'!T31,'4.08_Repex_MOB'!T37,'4.08_Repex_MOB'!T43,'4.08_Repex_MOB'!T49,'4.08_Repex_MOB'!T55)</f>
        <v>0.56249137329319954</v>
      </c>
      <c r="U160" s="642">
        <f>SUM('4.08_Repex_MOB'!U25,'4.08_Repex_MOB'!U31,'4.08_Repex_MOB'!U37,'4.08_Repex_MOB'!U43,'4.08_Repex_MOB'!U49,'4.08_Repex_MOB'!U55)</f>
        <v>0.55967891642673362</v>
      </c>
      <c r="V160" s="643">
        <f>SUM('4.08_Repex_MOB'!V25,'4.08_Repex_MOB'!V31,'4.08_Repex_MOB'!V37,'4.08_Repex_MOB'!V43,'4.08_Repex_MOB'!V49,'4.08_Repex_MOB'!V55)</f>
        <v>0.55688052184459991</v>
      </c>
      <c r="W160" s="185"/>
      <c r="X160" s="164" t="s">
        <v>498</v>
      </c>
      <c r="Y160" s="641">
        <f>SUM('4.08_Repex_MOB'!Y25,'4.08_Repex_MOB'!Y31,'4.08_Repex_MOB'!Y37,'4.08_Repex_MOB'!Y43,'4.08_Repex_MOB'!Y49,'4.08_Repex_MOB'!Y55)</f>
        <v>0</v>
      </c>
      <c r="Z160" s="642">
        <f>SUM('4.08_Repex_MOB'!Z25,'4.08_Repex_MOB'!Z31,'4.08_Repex_MOB'!Z37,'4.08_Repex_MOB'!Z43,'4.08_Repex_MOB'!Z49,'4.08_Repex_MOB'!Z55)</f>
        <v>0</v>
      </c>
      <c r="AA160" s="642">
        <f>SUM('4.08_Repex_MOB'!AA25,'4.08_Repex_MOB'!AA31,'4.08_Repex_MOB'!AA37,'4.08_Repex_MOB'!AA43,'4.08_Repex_MOB'!AA49,'4.08_Repex_MOB'!AA55)</f>
        <v>0</v>
      </c>
      <c r="AB160" s="642">
        <f>SUM('4.08_Repex_MOB'!AB25,'4.08_Repex_MOB'!AB31,'4.08_Repex_MOB'!AB37,'4.08_Repex_MOB'!AB43,'4.08_Repex_MOB'!AB49,'4.08_Repex_MOB'!AB55)</f>
        <v>0</v>
      </c>
      <c r="AC160" s="642">
        <f>SUM('4.08_Repex_MOB'!AC25,'4.08_Repex_MOB'!AC31,'4.08_Repex_MOB'!AC37,'4.08_Repex_MOB'!AC43,'4.08_Repex_MOB'!AC49,'4.08_Repex_MOB'!AC55)</f>
        <v>0</v>
      </c>
      <c r="AD160" s="642">
        <f>SUM('4.08_Repex_MOB'!AD25,'4.08_Repex_MOB'!AD31,'4.08_Repex_MOB'!AD37,'4.08_Repex_MOB'!AD43,'4.08_Repex_MOB'!AD49,'4.08_Repex_MOB'!AD55)</f>
        <v>0</v>
      </c>
      <c r="AE160" s="642">
        <f>SUM('4.08_Repex_MOB'!AE25,'4.08_Repex_MOB'!AE31,'4.08_Repex_MOB'!AE37,'4.08_Repex_MOB'!AE43,'4.08_Repex_MOB'!AE49,'4.08_Repex_MOB'!AE55)</f>
        <v>0</v>
      </c>
      <c r="AF160" s="643">
        <f>SUM('4.08_Repex_MOB'!AF25,'4.08_Repex_MOB'!AF31,'4.08_Repex_MOB'!AF37,'4.08_Repex_MOB'!AF43,'4.08_Repex_MOB'!AF49,'4.08_Repex_MOB'!AF55)</f>
        <v>0</v>
      </c>
      <c r="AG160" s="641">
        <f>SUM('4.08_Repex_MOB'!AG25,'4.08_Repex_MOB'!AG31,'4.08_Repex_MOB'!AG37,'4.08_Repex_MOB'!AG43,'4.08_Repex_MOB'!AG49,'4.08_Repex_MOB'!AG55)</f>
        <v>0</v>
      </c>
      <c r="AH160" s="642">
        <f>SUM('4.08_Repex_MOB'!AH25,'4.08_Repex_MOB'!AH31,'4.08_Repex_MOB'!AH37,'4.08_Repex_MOB'!AH43,'4.08_Repex_MOB'!AH49,'4.08_Repex_MOB'!AH55)</f>
        <v>0</v>
      </c>
      <c r="AI160" s="642">
        <f>SUM('4.08_Repex_MOB'!AI25,'4.08_Repex_MOB'!AI31,'4.08_Repex_MOB'!AI37,'4.08_Repex_MOB'!AI43,'4.08_Repex_MOB'!AI49,'4.08_Repex_MOB'!AI55)</f>
        <v>0</v>
      </c>
      <c r="AJ160" s="642">
        <f>SUM('4.08_Repex_MOB'!AJ25,'4.08_Repex_MOB'!AJ31,'4.08_Repex_MOB'!AJ37,'4.08_Repex_MOB'!AJ43,'4.08_Repex_MOB'!AJ49,'4.08_Repex_MOB'!AJ55)</f>
        <v>0</v>
      </c>
      <c r="AK160" s="643">
        <f>SUM('4.08_Repex_MOB'!AK25,'4.08_Repex_MOB'!AK31,'4.08_Repex_MOB'!AK37,'4.08_Repex_MOB'!AK43,'4.08_Repex_MOB'!AK49,'4.08_Repex_MOB'!AK55)</f>
        <v>0</v>
      </c>
      <c r="AL160" s="185"/>
      <c r="AM160" s="164" t="s">
        <v>498</v>
      </c>
      <c r="AN160" s="641">
        <f t="shared" ref="AN160:AN161" si="1030">J160+Y160</f>
        <v>0</v>
      </c>
      <c r="AO160" s="642">
        <f t="shared" si="1006"/>
        <v>0</v>
      </c>
      <c r="AP160" s="642">
        <f t="shared" si="1007"/>
        <v>6.7686337346271278E-3</v>
      </c>
      <c r="AQ160" s="642">
        <f t="shared" si="1008"/>
        <v>0</v>
      </c>
      <c r="AR160" s="642">
        <f t="shared" si="1009"/>
        <v>8.0252461948377485E-2</v>
      </c>
      <c r="AS160" s="642">
        <f t="shared" si="1010"/>
        <v>3.4045553225006139E-4</v>
      </c>
      <c r="AT160" s="642">
        <f t="shared" si="1011"/>
        <v>4.2949712082656175E-2</v>
      </c>
      <c r="AU160" s="643">
        <f t="shared" si="1012"/>
        <v>4.2949712082656175E-2</v>
      </c>
      <c r="AV160" s="641">
        <f t="shared" si="1013"/>
        <v>0.56815875689320938</v>
      </c>
      <c r="AW160" s="642">
        <f t="shared" si="1014"/>
        <v>0.56531796310874327</v>
      </c>
      <c r="AX160" s="642">
        <f t="shared" si="1015"/>
        <v>0.56249137329319954</v>
      </c>
      <c r="AY160" s="642">
        <f t="shared" si="1016"/>
        <v>0.55967891642673362</v>
      </c>
      <c r="AZ160" s="643">
        <f t="shared" si="1017"/>
        <v>0.55688052184459991</v>
      </c>
      <c r="BA160" s="185"/>
      <c r="BB160" s="164" t="s">
        <v>2233</v>
      </c>
      <c r="BC160" s="641">
        <f>SUM('4.08_Repex_MOB'!AN25,'4.08_Repex_MOB'!AN31,'4.08_Repex_MOB'!AN37,'4.08_Repex_MOB'!AN43,'4.08_Repex_MOB'!AN49,'4.08_Repex_MOB'!AN55)</f>
        <v>0</v>
      </c>
      <c r="BD160" s="642">
        <f>SUM('4.08_Repex_MOB'!AO25,'4.08_Repex_MOB'!AO31,'4.08_Repex_MOB'!AO37,'4.08_Repex_MOB'!AO43,'4.08_Repex_MOB'!AO49,'4.08_Repex_MOB'!AO55)</f>
        <v>0</v>
      </c>
      <c r="BE160" s="642">
        <f>SUM('4.08_Repex_MOB'!AP25,'4.08_Repex_MOB'!AP31,'4.08_Repex_MOB'!AP37,'4.08_Repex_MOB'!AP43,'4.08_Repex_MOB'!AP49,'4.08_Repex_MOB'!AP55)</f>
        <v>0</v>
      </c>
      <c r="BF160" s="642">
        <f>SUM('4.08_Repex_MOB'!AQ25,'4.08_Repex_MOB'!AQ31,'4.08_Repex_MOB'!AQ37,'4.08_Repex_MOB'!AQ43,'4.08_Repex_MOB'!AQ49,'4.08_Repex_MOB'!AQ55)</f>
        <v>0</v>
      </c>
      <c r="BG160" s="642">
        <f>SUM('4.08_Repex_MOB'!AR25,'4.08_Repex_MOB'!AR31,'4.08_Repex_MOB'!AR37,'4.08_Repex_MOB'!AR43,'4.08_Repex_MOB'!AR49,'4.08_Repex_MOB'!AR55)</f>
        <v>0</v>
      </c>
      <c r="BH160" s="642">
        <f>SUM('4.08_Repex_MOB'!AS25,'4.08_Repex_MOB'!AS31,'4.08_Repex_MOB'!AS37,'4.08_Repex_MOB'!AS43,'4.08_Repex_MOB'!AS49,'4.08_Repex_MOB'!AS55)</f>
        <v>0</v>
      </c>
      <c r="BI160" s="642">
        <f>SUM('4.08_Repex_MOB'!AT25,'4.08_Repex_MOB'!AT31,'4.08_Repex_MOB'!AT37,'4.08_Repex_MOB'!AT43,'4.08_Repex_MOB'!AT49,'4.08_Repex_MOB'!AT55)</f>
        <v>0</v>
      </c>
      <c r="BJ160" s="643">
        <f>SUM('4.08_Repex_MOB'!AU25,'4.08_Repex_MOB'!AU31,'4.08_Repex_MOB'!AU37,'4.08_Repex_MOB'!AU43,'4.08_Repex_MOB'!AU49,'4.08_Repex_MOB'!AU55)</f>
        <v>0</v>
      </c>
      <c r="BK160" s="641">
        <f>SUM('4.08_Repex_MOB'!AV25,'4.08_Repex_MOB'!AV31,'4.08_Repex_MOB'!AV37,'4.08_Repex_MOB'!AV43,'4.08_Repex_MOB'!AV49,'4.08_Repex_MOB'!AV55)</f>
        <v>0</v>
      </c>
      <c r="BL160" s="642">
        <f>SUM('4.08_Repex_MOB'!AW25,'4.08_Repex_MOB'!AW31,'4.08_Repex_MOB'!AW37,'4.08_Repex_MOB'!AW43,'4.08_Repex_MOB'!AW49,'4.08_Repex_MOB'!AW55)</f>
        <v>0</v>
      </c>
      <c r="BM160" s="642">
        <f>SUM('4.08_Repex_MOB'!AX25,'4.08_Repex_MOB'!AX31,'4.08_Repex_MOB'!AX37,'4.08_Repex_MOB'!AX43,'4.08_Repex_MOB'!AX49,'4.08_Repex_MOB'!AX55)</f>
        <v>0</v>
      </c>
      <c r="BN160" s="642">
        <f>SUM('4.08_Repex_MOB'!AY25,'4.08_Repex_MOB'!AY31,'4.08_Repex_MOB'!AY37,'4.08_Repex_MOB'!AY43,'4.08_Repex_MOB'!AY49,'4.08_Repex_MOB'!AY55)</f>
        <v>0</v>
      </c>
      <c r="BO160" s="643">
        <f>SUM('4.08_Repex_MOB'!AZ25,'4.08_Repex_MOB'!AZ31,'4.08_Repex_MOB'!AZ37,'4.08_Repex_MOB'!AZ43,'4.08_Repex_MOB'!AZ49,'4.08_Repex_MOB'!AZ55)</f>
        <v>0</v>
      </c>
      <c r="BP160" s="185"/>
      <c r="BQ160" s="164" t="s">
        <v>2415</v>
      </c>
      <c r="BR160" s="641">
        <f t="shared" ref="BR160:BR161" si="1031">IF(BC160,AN160/BC160,0)</f>
        <v>0</v>
      </c>
      <c r="BS160" s="642">
        <f t="shared" si="1018"/>
        <v>0</v>
      </c>
      <c r="BT160" s="642">
        <f t="shared" si="1019"/>
        <v>0</v>
      </c>
      <c r="BU160" s="642">
        <f t="shared" si="1020"/>
        <v>0</v>
      </c>
      <c r="BV160" s="642">
        <f t="shared" si="1021"/>
        <v>0</v>
      </c>
      <c r="BW160" s="642">
        <f t="shared" si="1022"/>
        <v>0</v>
      </c>
      <c r="BX160" s="642">
        <f t="shared" si="1023"/>
        <v>0</v>
      </c>
      <c r="BY160" s="643">
        <f t="shared" si="1024"/>
        <v>0</v>
      </c>
      <c r="BZ160" s="641">
        <f t="shared" si="1025"/>
        <v>0</v>
      </c>
      <c r="CA160" s="642">
        <f t="shared" si="1026"/>
        <v>0</v>
      </c>
      <c r="CB160" s="642">
        <f t="shared" si="1027"/>
        <v>0</v>
      </c>
      <c r="CC160" s="642">
        <f t="shared" si="1028"/>
        <v>0</v>
      </c>
      <c r="CD160" s="643">
        <f t="shared" si="1029"/>
        <v>0</v>
      </c>
    </row>
    <row r="161" spans="1:82" ht="14.25">
      <c r="B161" s="161"/>
      <c r="C161" s="185"/>
      <c r="D161" s="185" t="s">
        <v>2678</v>
      </c>
      <c r="E161" s="185"/>
      <c r="F161" s="162"/>
      <c r="G161" s="185"/>
      <c r="H161" s="185"/>
      <c r="I161" s="164" t="s">
        <v>498</v>
      </c>
      <c r="J161" s="641">
        <f>SUM('4.08_Repex_MOB'!J26,'4.08_Repex_MOB'!J32,'4.08_Repex_MOB'!J38,'4.08_Repex_MOB'!J44,'4.08_Repex_MOB'!J50,'4.08_Repex_MOB'!J56)</f>
        <v>7.3542410163434935E-2</v>
      </c>
      <c r="K161" s="642">
        <f>SUM('4.08_Repex_MOB'!K26,'4.08_Repex_MOB'!K32,'4.08_Repex_MOB'!K38,'4.08_Repex_MOB'!K44,'4.08_Repex_MOB'!K50,'4.08_Repex_MOB'!K56)</f>
        <v>3.1986701273287392E-2</v>
      </c>
      <c r="L161" s="642">
        <f>SUM('4.08_Repex_MOB'!L26,'4.08_Repex_MOB'!L32,'4.08_Repex_MOB'!L38,'4.08_Repex_MOB'!L44,'4.08_Repex_MOB'!L50,'4.08_Repex_MOB'!L56)</f>
        <v>0</v>
      </c>
      <c r="M161" s="642">
        <f>SUM('4.08_Repex_MOB'!M26,'4.08_Repex_MOB'!M32,'4.08_Repex_MOB'!M38,'4.08_Repex_MOB'!M44,'4.08_Repex_MOB'!M50,'4.08_Repex_MOB'!M56)</f>
        <v>0</v>
      </c>
      <c r="N161" s="642">
        <f>SUM('4.08_Repex_MOB'!N26,'4.08_Repex_MOB'!N32,'4.08_Repex_MOB'!N38,'4.08_Repex_MOB'!N44,'4.08_Repex_MOB'!N50,'4.08_Repex_MOB'!N56)</f>
        <v>0</v>
      </c>
      <c r="O161" s="642">
        <f>SUM('4.08_Repex_MOB'!O26,'4.08_Repex_MOB'!O32,'4.08_Repex_MOB'!O38,'4.08_Repex_MOB'!O44,'4.08_Repex_MOB'!O50,'4.08_Repex_MOB'!O56)</f>
        <v>2.0353193540010731E-3</v>
      </c>
      <c r="P161" s="642">
        <f>SUM('4.08_Repex_MOB'!P26,'4.08_Repex_MOB'!P32,'4.08_Repex_MOB'!P38,'4.08_Repex_MOB'!P44,'4.08_Repex_MOB'!P50,'4.08_Repex_MOB'!P56)</f>
        <v>0</v>
      </c>
      <c r="Q161" s="643">
        <f>SUM('4.08_Repex_MOB'!Q26,'4.08_Repex_MOB'!Q32,'4.08_Repex_MOB'!Q38,'4.08_Repex_MOB'!Q44,'4.08_Repex_MOB'!Q50,'4.08_Repex_MOB'!Q56)</f>
        <v>0</v>
      </c>
      <c r="R161" s="641">
        <f>SUM('4.08_Repex_MOB'!R26,'4.08_Repex_MOB'!R32,'4.08_Repex_MOB'!R38,'4.08_Repex_MOB'!R44,'4.08_Repex_MOB'!R50,'4.08_Repex_MOB'!R56)</f>
        <v>0</v>
      </c>
      <c r="S161" s="642">
        <f>SUM('4.08_Repex_MOB'!S26,'4.08_Repex_MOB'!S32,'4.08_Repex_MOB'!S38,'4.08_Repex_MOB'!S44,'4.08_Repex_MOB'!S50,'4.08_Repex_MOB'!S56)</f>
        <v>0</v>
      </c>
      <c r="T161" s="642">
        <f>SUM('4.08_Repex_MOB'!T26,'4.08_Repex_MOB'!T32,'4.08_Repex_MOB'!T38,'4.08_Repex_MOB'!T44,'4.08_Repex_MOB'!T50,'4.08_Repex_MOB'!T56)</f>
        <v>0</v>
      </c>
      <c r="U161" s="642">
        <f>SUM('4.08_Repex_MOB'!U26,'4.08_Repex_MOB'!U32,'4.08_Repex_MOB'!U38,'4.08_Repex_MOB'!U44,'4.08_Repex_MOB'!U50,'4.08_Repex_MOB'!U56)</f>
        <v>0</v>
      </c>
      <c r="V161" s="643">
        <f>SUM('4.08_Repex_MOB'!V26,'4.08_Repex_MOB'!V32,'4.08_Repex_MOB'!V38,'4.08_Repex_MOB'!V44,'4.08_Repex_MOB'!V50,'4.08_Repex_MOB'!V56)</f>
        <v>0</v>
      </c>
      <c r="W161" s="185"/>
      <c r="X161" s="164" t="s">
        <v>498</v>
      </c>
      <c r="Y161" s="641">
        <f>SUM('4.08_Repex_MOB'!Y26,'4.08_Repex_MOB'!Y32,'4.08_Repex_MOB'!Y38,'4.08_Repex_MOB'!Y44,'4.08_Repex_MOB'!Y50,'4.08_Repex_MOB'!Y56)</f>
        <v>0</v>
      </c>
      <c r="Z161" s="642">
        <f>SUM('4.08_Repex_MOB'!Z26,'4.08_Repex_MOB'!Z32,'4.08_Repex_MOB'!Z38,'4.08_Repex_MOB'!Z44,'4.08_Repex_MOB'!Z50,'4.08_Repex_MOB'!Z56)</f>
        <v>0</v>
      </c>
      <c r="AA161" s="642">
        <f>SUM('4.08_Repex_MOB'!AA26,'4.08_Repex_MOB'!AA32,'4.08_Repex_MOB'!AA38,'4.08_Repex_MOB'!AA44,'4.08_Repex_MOB'!AA50,'4.08_Repex_MOB'!AA56)</f>
        <v>0</v>
      </c>
      <c r="AB161" s="642">
        <f>SUM('4.08_Repex_MOB'!AB26,'4.08_Repex_MOB'!AB32,'4.08_Repex_MOB'!AB38,'4.08_Repex_MOB'!AB44,'4.08_Repex_MOB'!AB50,'4.08_Repex_MOB'!AB56)</f>
        <v>0</v>
      </c>
      <c r="AC161" s="642">
        <f>SUM('4.08_Repex_MOB'!AC26,'4.08_Repex_MOB'!AC32,'4.08_Repex_MOB'!AC38,'4.08_Repex_MOB'!AC44,'4.08_Repex_MOB'!AC50,'4.08_Repex_MOB'!AC56)</f>
        <v>0</v>
      </c>
      <c r="AD161" s="642">
        <f>SUM('4.08_Repex_MOB'!AD26,'4.08_Repex_MOB'!AD32,'4.08_Repex_MOB'!AD38,'4.08_Repex_MOB'!AD44,'4.08_Repex_MOB'!AD50,'4.08_Repex_MOB'!AD56)</f>
        <v>0</v>
      </c>
      <c r="AE161" s="642">
        <f>SUM('4.08_Repex_MOB'!AE26,'4.08_Repex_MOB'!AE32,'4.08_Repex_MOB'!AE38,'4.08_Repex_MOB'!AE44,'4.08_Repex_MOB'!AE50,'4.08_Repex_MOB'!AE56)</f>
        <v>0</v>
      </c>
      <c r="AF161" s="643">
        <f>SUM('4.08_Repex_MOB'!AF26,'4.08_Repex_MOB'!AF32,'4.08_Repex_MOB'!AF38,'4.08_Repex_MOB'!AF44,'4.08_Repex_MOB'!AF50,'4.08_Repex_MOB'!AF56)</f>
        <v>0</v>
      </c>
      <c r="AG161" s="641">
        <f>SUM('4.08_Repex_MOB'!AG26,'4.08_Repex_MOB'!AG32,'4.08_Repex_MOB'!AG38,'4.08_Repex_MOB'!AG44,'4.08_Repex_MOB'!AG50,'4.08_Repex_MOB'!AG56)</f>
        <v>0</v>
      </c>
      <c r="AH161" s="642">
        <f>SUM('4.08_Repex_MOB'!AH26,'4.08_Repex_MOB'!AH32,'4.08_Repex_MOB'!AH38,'4.08_Repex_MOB'!AH44,'4.08_Repex_MOB'!AH50,'4.08_Repex_MOB'!AH56)</f>
        <v>0</v>
      </c>
      <c r="AI161" s="642">
        <f>SUM('4.08_Repex_MOB'!AI26,'4.08_Repex_MOB'!AI32,'4.08_Repex_MOB'!AI38,'4.08_Repex_MOB'!AI44,'4.08_Repex_MOB'!AI50,'4.08_Repex_MOB'!AI56)</f>
        <v>0</v>
      </c>
      <c r="AJ161" s="642">
        <f>SUM('4.08_Repex_MOB'!AJ26,'4.08_Repex_MOB'!AJ32,'4.08_Repex_MOB'!AJ38,'4.08_Repex_MOB'!AJ44,'4.08_Repex_MOB'!AJ50,'4.08_Repex_MOB'!AJ56)</f>
        <v>0</v>
      </c>
      <c r="AK161" s="643">
        <f>SUM('4.08_Repex_MOB'!AK26,'4.08_Repex_MOB'!AK32,'4.08_Repex_MOB'!AK38,'4.08_Repex_MOB'!AK44,'4.08_Repex_MOB'!AK50,'4.08_Repex_MOB'!AK56)</f>
        <v>0</v>
      </c>
      <c r="AL161" s="185"/>
      <c r="AM161" s="164" t="s">
        <v>498</v>
      </c>
      <c r="AN161" s="641">
        <f t="shared" si="1030"/>
        <v>7.3542410163434935E-2</v>
      </c>
      <c r="AO161" s="642">
        <f t="shared" si="1006"/>
        <v>3.1986701273287392E-2</v>
      </c>
      <c r="AP161" s="642">
        <f t="shared" si="1007"/>
        <v>0</v>
      </c>
      <c r="AQ161" s="642">
        <f t="shared" si="1008"/>
        <v>0</v>
      </c>
      <c r="AR161" s="642">
        <f t="shared" si="1009"/>
        <v>0</v>
      </c>
      <c r="AS161" s="642">
        <f t="shared" si="1010"/>
        <v>2.0353193540010731E-3</v>
      </c>
      <c r="AT161" s="642">
        <f t="shared" si="1011"/>
        <v>0</v>
      </c>
      <c r="AU161" s="643">
        <f t="shared" si="1012"/>
        <v>0</v>
      </c>
      <c r="AV161" s="641">
        <f t="shared" si="1013"/>
        <v>0</v>
      </c>
      <c r="AW161" s="642">
        <f t="shared" si="1014"/>
        <v>0</v>
      </c>
      <c r="AX161" s="642">
        <f t="shared" si="1015"/>
        <v>0</v>
      </c>
      <c r="AY161" s="642">
        <f t="shared" si="1016"/>
        <v>0</v>
      </c>
      <c r="AZ161" s="643">
        <f t="shared" si="1017"/>
        <v>0</v>
      </c>
      <c r="BA161" s="185"/>
      <c r="BB161" s="164" t="s">
        <v>2233</v>
      </c>
      <c r="BC161" s="641">
        <f>SUM('4.08_Repex_MOB'!AN26,'4.08_Repex_MOB'!AN32,'4.08_Repex_MOB'!AN38,'4.08_Repex_MOB'!AN44,'4.08_Repex_MOB'!AN50,'4.08_Repex_MOB'!AN56)</f>
        <v>0</v>
      </c>
      <c r="BD161" s="642">
        <f>SUM('4.08_Repex_MOB'!AO26,'4.08_Repex_MOB'!AO32,'4.08_Repex_MOB'!AO38,'4.08_Repex_MOB'!AO44,'4.08_Repex_MOB'!AO50,'4.08_Repex_MOB'!AO56)</f>
        <v>0</v>
      </c>
      <c r="BE161" s="642">
        <f>SUM('4.08_Repex_MOB'!AP26,'4.08_Repex_MOB'!AP32,'4.08_Repex_MOB'!AP38,'4.08_Repex_MOB'!AP44,'4.08_Repex_MOB'!AP50,'4.08_Repex_MOB'!AP56)</f>
        <v>0</v>
      </c>
      <c r="BF161" s="642">
        <f>SUM('4.08_Repex_MOB'!AQ26,'4.08_Repex_MOB'!AQ32,'4.08_Repex_MOB'!AQ38,'4.08_Repex_MOB'!AQ44,'4.08_Repex_MOB'!AQ50,'4.08_Repex_MOB'!AQ56)</f>
        <v>0</v>
      </c>
      <c r="BG161" s="642">
        <f>SUM('4.08_Repex_MOB'!AR26,'4.08_Repex_MOB'!AR32,'4.08_Repex_MOB'!AR38,'4.08_Repex_MOB'!AR44,'4.08_Repex_MOB'!AR50,'4.08_Repex_MOB'!AR56)</f>
        <v>0</v>
      </c>
      <c r="BH161" s="642">
        <f>SUM('4.08_Repex_MOB'!AS26,'4.08_Repex_MOB'!AS32,'4.08_Repex_MOB'!AS38,'4.08_Repex_MOB'!AS44,'4.08_Repex_MOB'!AS50,'4.08_Repex_MOB'!AS56)</f>
        <v>0</v>
      </c>
      <c r="BI161" s="642">
        <f>SUM('4.08_Repex_MOB'!AT26,'4.08_Repex_MOB'!AT32,'4.08_Repex_MOB'!AT38,'4.08_Repex_MOB'!AT44,'4.08_Repex_MOB'!AT50,'4.08_Repex_MOB'!AT56)</f>
        <v>0</v>
      </c>
      <c r="BJ161" s="643">
        <f>SUM('4.08_Repex_MOB'!AU26,'4.08_Repex_MOB'!AU32,'4.08_Repex_MOB'!AU38,'4.08_Repex_MOB'!AU44,'4.08_Repex_MOB'!AU50,'4.08_Repex_MOB'!AU56)</f>
        <v>0</v>
      </c>
      <c r="BK161" s="641">
        <f>SUM('4.08_Repex_MOB'!AV26,'4.08_Repex_MOB'!AV32,'4.08_Repex_MOB'!AV38,'4.08_Repex_MOB'!AV44,'4.08_Repex_MOB'!AV50,'4.08_Repex_MOB'!AV56)</f>
        <v>0</v>
      </c>
      <c r="BL161" s="642">
        <f>SUM('4.08_Repex_MOB'!AW26,'4.08_Repex_MOB'!AW32,'4.08_Repex_MOB'!AW38,'4.08_Repex_MOB'!AW44,'4.08_Repex_MOB'!AW50,'4.08_Repex_MOB'!AW56)</f>
        <v>0</v>
      </c>
      <c r="BM161" s="642">
        <f>SUM('4.08_Repex_MOB'!AX26,'4.08_Repex_MOB'!AX32,'4.08_Repex_MOB'!AX38,'4.08_Repex_MOB'!AX44,'4.08_Repex_MOB'!AX50,'4.08_Repex_MOB'!AX56)</f>
        <v>0</v>
      </c>
      <c r="BN161" s="642">
        <f>SUM('4.08_Repex_MOB'!AY26,'4.08_Repex_MOB'!AY32,'4.08_Repex_MOB'!AY38,'4.08_Repex_MOB'!AY44,'4.08_Repex_MOB'!AY50,'4.08_Repex_MOB'!AY56)</f>
        <v>0</v>
      </c>
      <c r="BO161" s="643">
        <f>SUM('4.08_Repex_MOB'!AZ26,'4.08_Repex_MOB'!AZ32,'4.08_Repex_MOB'!AZ38,'4.08_Repex_MOB'!AZ44,'4.08_Repex_MOB'!AZ50,'4.08_Repex_MOB'!AZ56)</f>
        <v>0</v>
      </c>
      <c r="BP161" s="185"/>
      <c r="BQ161" s="164" t="s">
        <v>2415</v>
      </c>
      <c r="BR161" s="641">
        <f t="shared" si="1031"/>
        <v>0</v>
      </c>
      <c r="BS161" s="642">
        <f t="shared" si="1018"/>
        <v>0</v>
      </c>
      <c r="BT161" s="642">
        <f t="shared" si="1019"/>
        <v>0</v>
      </c>
      <c r="BU161" s="642">
        <f t="shared" si="1020"/>
        <v>0</v>
      </c>
      <c r="BV161" s="642">
        <f t="shared" si="1021"/>
        <v>0</v>
      </c>
      <c r="BW161" s="642">
        <f t="shared" si="1022"/>
        <v>0</v>
      </c>
      <c r="BX161" s="642">
        <f t="shared" si="1023"/>
        <v>0</v>
      </c>
      <c r="BY161" s="643">
        <f t="shared" si="1024"/>
        <v>0</v>
      </c>
      <c r="BZ161" s="641">
        <f t="shared" si="1025"/>
        <v>0</v>
      </c>
      <c r="CA161" s="642">
        <f t="shared" si="1026"/>
        <v>0</v>
      </c>
      <c r="CB161" s="642">
        <f t="shared" si="1027"/>
        <v>0</v>
      </c>
      <c r="CC161" s="642">
        <f t="shared" si="1028"/>
        <v>0</v>
      </c>
      <c r="CD161" s="643">
        <f t="shared" si="1029"/>
        <v>0</v>
      </c>
    </row>
    <row r="162" spans="1:82" ht="15" thickBot="1">
      <c r="B162" s="191" t="s">
        <v>1701</v>
      </c>
      <c r="C162" s="192"/>
      <c r="D162" s="192"/>
      <c r="E162" s="193"/>
      <c r="F162" s="192"/>
      <c r="G162" s="192"/>
      <c r="H162" s="194"/>
      <c r="I162" s="195" t="s">
        <v>498</v>
      </c>
      <c r="J162" s="701">
        <f>SUM(J159:J161)</f>
        <v>0.10394239891873502</v>
      </c>
      <c r="K162" s="702">
        <f t="shared" ref="K162:V162" si="1032">SUM(K159:K161)</f>
        <v>3.5295670370524015E-2</v>
      </c>
      <c r="L162" s="702">
        <f t="shared" si="1032"/>
        <v>1.1845109035597472E-2</v>
      </c>
      <c r="M162" s="702">
        <f t="shared" si="1032"/>
        <v>0</v>
      </c>
      <c r="N162" s="702">
        <f t="shared" si="1032"/>
        <v>0.14178992288903058</v>
      </c>
      <c r="O162" s="702">
        <f t="shared" si="1032"/>
        <v>6.7284100001811968E-3</v>
      </c>
      <c r="P162" s="702">
        <f t="shared" si="1032"/>
        <v>0.08</v>
      </c>
      <c r="Q162" s="703">
        <f t="shared" si="1032"/>
        <v>0.08</v>
      </c>
      <c r="R162" s="701">
        <f t="shared" si="1032"/>
        <v>0.56815875689320938</v>
      </c>
      <c r="S162" s="702">
        <f t="shared" si="1032"/>
        <v>0.56531796310874327</v>
      </c>
      <c r="T162" s="702">
        <f t="shared" si="1032"/>
        <v>0.56249137329319954</v>
      </c>
      <c r="U162" s="702">
        <f t="shared" si="1032"/>
        <v>0.55967891642673362</v>
      </c>
      <c r="V162" s="703">
        <f t="shared" si="1032"/>
        <v>0.55688052184459991</v>
      </c>
      <c r="W162" s="194"/>
      <c r="X162" s="195" t="s">
        <v>498</v>
      </c>
      <c r="Y162" s="701">
        <f>SUM(Y159:Y161)</f>
        <v>0</v>
      </c>
      <c r="Z162" s="702">
        <f t="shared" ref="Z162" si="1033">SUM(Z159:Z161)</f>
        <v>0</v>
      </c>
      <c r="AA162" s="702">
        <f t="shared" ref="AA162" si="1034">SUM(AA159:AA161)</f>
        <v>0</v>
      </c>
      <c r="AB162" s="702">
        <f t="shared" ref="AB162" si="1035">SUM(AB159:AB161)</f>
        <v>0</v>
      </c>
      <c r="AC162" s="702">
        <f t="shared" ref="AC162" si="1036">SUM(AC159:AC161)</f>
        <v>0</v>
      </c>
      <c r="AD162" s="702">
        <f t="shared" ref="AD162" si="1037">SUM(AD159:AD161)</f>
        <v>0</v>
      </c>
      <c r="AE162" s="702">
        <f t="shared" ref="AE162" si="1038">SUM(AE159:AE161)</f>
        <v>0</v>
      </c>
      <c r="AF162" s="703">
        <f t="shared" ref="AF162" si="1039">SUM(AF159:AF161)</f>
        <v>0</v>
      </c>
      <c r="AG162" s="701">
        <f t="shared" ref="AG162" si="1040">SUM(AG159:AG161)</f>
        <v>0</v>
      </c>
      <c r="AH162" s="702">
        <f t="shared" ref="AH162" si="1041">SUM(AH159:AH161)</f>
        <v>0</v>
      </c>
      <c r="AI162" s="702">
        <f t="shared" ref="AI162" si="1042">SUM(AI159:AI161)</f>
        <v>0</v>
      </c>
      <c r="AJ162" s="702">
        <f t="shared" ref="AJ162" si="1043">SUM(AJ159:AJ161)</f>
        <v>0</v>
      </c>
      <c r="AK162" s="703">
        <f t="shared" ref="AK162" si="1044">SUM(AK159:AK161)</f>
        <v>0</v>
      </c>
      <c r="AL162" s="194"/>
      <c r="AM162" s="195" t="s">
        <v>498</v>
      </c>
      <c r="AN162" s="701">
        <f t="shared" ref="AN162:AZ162" si="1045">SUM(AN159:AN161)</f>
        <v>0.10394239891873502</v>
      </c>
      <c r="AO162" s="702">
        <f t="shared" si="1045"/>
        <v>3.5295670370524015E-2</v>
      </c>
      <c r="AP162" s="702">
        <f t="shared" si="1045"/>
        <v>1.1845109035597472E-2</v>
      </c>
      <c r="AQ162" s="702">
        <f t="shared" si="1045"/>
        <v>0</v>
      </c>
      <c r="AR162" s="702">
        <f t="shared" si="1045"/>
        <v>0.14178992288903058</v>
      </c>
      <c r="AS162" s="702">
        <f t="shared" si="1045"/>
        <v>6.7284100001811968E-3</v>
      </c>
      <c r="AT162" s="702">
        <f t="shared" si="1045"/>
        <v>0.08</v>
      </c>
      <c r="AU162" s="703">
        <f t="shared" si="1045"/>
        <v>0.08</v>
      </c>
      <c r="AV162" s="701">
        <f t="shared" si="1045"/>
        <v>0.56815875689320938</v>
      </c>
      <c r="AW162" s="702">
        <f t="shared" si="1045"/>
        <v>0.56531796310874327</v>
      </c>
      <c r="AX162" s="702">
        <f t="shared" si="1045"/>
        <v>0.56249137329319954</v>
      </c>
      <c r="AY162" s="702">
        <f t="shared" si="1045"/>
        <v>0.55967891642673362</v>
      </c>
      <c r="AZ162" s="703">
        <f t="shared" si="1045"/>
        <v>0.55688052184459991</v>
      </c>
      <c r="BA162" s="194"/>
      <c r="BB162" s="194"/>
      <c r="BC162" s="656"/>
      <c r="BD162" s="194"/>
      <c r="BE162" s="194"/>
      <c r="BF162" s="194"/>
      <c r="BG162" s="194"/>
      <c r="BH162" s="194"/>
      <c r="BI162" s="194"/>
      <c r="BJ162" s="972"/>
      <c r="BK162" s="656"/>
      <c r="BL162" s="194"/>
      <c r="BM162" s="194"/>
      <c r="BN162" s="194"/>
      <c r="BO162" s="972"/>
      <c r="BP162" s="194"/>
      <c r="BQ162" s="194"/>
      <c r="BR162" s="656"/>
      <c r="BS162" s="194"/>
      <c r="BT162" s="194"/>
      <c r="BU162" s="194"/>
      <c r="BV162" s="194"/>
      <c r="BW162" s="194"/>
      <c r="BX162" s="194"/>
      <c r="BY162" s="972"/>
      <c r="BZ162" s="656"/>
      <c r="CA162" s="194"/>
      <c r="CB162" s="194"/>
      <c r="CC162" s="194"/>
      <c r="CD162" s="972"/>
    </row>
    <row r="163" spans="1:82" ht="13.5" thickBot="1"/>
    <row r="164" spans="1:82" ht="30" customHeight="1" thickBot="1">
      <c r="B164" s="621" t="s">
        <v>1688</v>
      </c>
      <c r="C164" s="101"/>
      <c r="D164" s="102"/>
      <c r="E164" s="102"/>
      <c r="F164" s="102"/>
      <c r="G164" s="103"/>
      <c r="H164" s="103"/>
      <c r="I164" s="105" t="s">
        <v>1864</v>
      </c>
      <c r="J164" s="106"/>
      <c r="K164" s="106"/>
      <c r="L164" s="106"/>
      <c r="M164" s="106"/>
      <c r="N164" s="106"/>
      <c r="O164" s="106"/>
      <c r="P164" s="106"/>
      <c r="Q164" s="106"/>
      <c r="R164" s="105"/>
      <c r="S164" s="105"/>
      <c r="T164" s="105"/>
      <c r="U164" s="105"/>
      <c r="V164" s="105"/>
      <c r="W164" s="103"/>
      <c r="X164" s="105" t="s">
        <v>2202</v>
      </c>
      <c r="Y164" s="106"/>
      <c r="Z164" s="106"/>
      <c r="AA164" s="106"/>
      <c r="AB164" s="106"/>
      <c r="AC164" s="106"/>
      <c r="AD164" s="106"/>
      <c r="AE164" s="106"/>
      <c r="AF164" s="106"/>
      <c r="AG164" s="105"/>
      <c r="AH164" s="105"/>
      <c r="AI164" s="105"/>
      <c r="AJ164" s="105"/>
      <c r="AK164" s="105"/>
      <c r="AL164" s="103"/>
      <c r="AM164" s="105" t="s">
        <v>1704</v>
      </c>
      <c r="AN164" s="106"/>
      <c r="AO164" s="106"/>
      <c r="AP164" s="106"/>
      <c r="AQ164" s="106"/>
      <c r="AR164" s="106"/>
      <c r="AS164" s="106"/>
      <c r="AT164" s="106"/>
      <c r="AU164" s="106"/>
      <c r="AV164" s="105"/>
      <c r="AW164" s="105"/>
      <c r="AX164" s="105"/>
      <c r="AY164" s="105"/>
      <c r="AZ164" s="187"/>
      <c r="BA164" s="103"/>
      <c r="BB164" s="105" t="s">
        <v>2231</v>
      </c>
      <c r="BC164" s="106"/>
      <c r="BD164" s="106"/>
      <c r="BE164" s="106"/>
      <c r="BF164" s="106"/>
      <c r="BG164" s="106"/>
      <c r="BH164" s="106"/>
      <c r="BI164" s="106"/>
      <c r="BJ164" s="106"/>
      <c r="BK164" s="105"/>
      <c r="BL164" s="105"/>
      <c r="BM164" s="105"/>
      <c r="BN164" s="105"/>
      <c r="BO164" s="105"/>
      <c r="BP164" s="103"/>
      <c r="BQ164" s="105" t="s">
        <v>2414</v>
      </c>
      <c r="BR164" s="106"/>
      <c r="BS164" s="106"/>
      <c r="BT164" s="106"/>
      <c r="BU164" s="106"/>
      <c r="BV164" s="106"/>
      <c r="BW164" s="106"/>
      <c r="BX164" s="106"/>
      <c r="BY164" s="106"/>
      <c r="BZ164" s="105"/>
      <c r="CA164" s="105"/>
      <c r="CB164" s="105"/>
      <c r="CC164" s="105"/>
      <c r="CD164" s="187"/>
    </row>
    <row r="165" spans="1:82" ht="30" customHeight="1">
      <c r="B165" s="109"/>
      <c r="C165" s="110"/>
      <c r="D165" s="110"/>
      <c r="E165" s="110"/>
      <c r="F165" s="110"/>
      <c r="G165" s="111"/>
      <c r="H165" s="111"/>
      <c r="I165" s="117"/>
      <c r="J165" s="695" t="s">
        <v>1666</v>
      </c>
      <c r="K165" s="152"/>
      <c r="L165" s="152"/>
      <c r="M165" s="152"/>
      <c r="N165" s="152"/>
      <c r="O165" s="152"/>
      <c r="P165" s="152"/>
      <c r="Q165" s="153"/>
      <c r="R165" s="696" t="s">
        <v>2</v>
      </c>
      <c r="S165" s="155"/>
      <c r="T165" s="155"/>
      <c r="U165" s="155"/>
      <c r="V165" s="156"/>
      <c r="W165" s="222"/>
      <c r="X165" s="117"/>
      <c r="Y165" s="695" t="s">
        <v>1666</v>
      </c>
      <c r="Z165" s="152"/>
      <c r="AA165" s="152"/>
      <c r="AB165" s="152"/>
      <c r="AC165" s="152"/>
      <c r="AD165" s="152"/>
      <c r="AE165" s="152"/>
      <c r="AF165" s="153"/>
      <c r="AG165" s="696" t="s">
        <v>2</v>
      </c>
      <c r="AH165" s="155"/>
      <c r="AI165" s="155"/>
      <c r="AJ165" s="155"/>
      <c r="AK165" s="156"/>
      <c r="AL165" s="222"/>
      <c r="AM165" s="117"/>
      <c r="AN165" s="695" t="s">
        <v>1666</v>
      </c>
      <c r="AO165" s="152"/>
      <c r="AP165" s="152"/>
      <c r="AQ165" s="152"/>
      <c r="AR165" s="152"/>
      <c r="AS165" s="152"/>
      <c r="AT165" s="152"/>
      <c r="AU165" s="153"/>
      <c r="AV165" s="696" t="s">
        <v>2</v>
      </c>
      <c r="AW165" s="155"/>
      <c r="AX165" s="155"/>
      <c r="AY165" s="155"/>
      <c r="AZ165" s="156"/>
      <c r="BA165" s="111"/>
      <c r="BB165" s="117"/>
      <c r="BC165" s="695" t="s">
        <v>1666</v>
      </c>
      <c r="BD165" s="152"/>
      <c r="BE165" s="152"/>
      <c r="BF165" s="152"/>
      <c r="BG165" s="152"/>
      <c r="BH165" s="152"/>
      <c r="BI165" s="152"/>
      <c r="BJ165" s="153"/>
      <c r="BK165" s="696" t="s">
        <v>2</v>
      </c>
      <c r="BL165" s="155"/>
      <c r="BM165" s="155"/>
      <c r="BN165" s="155"/>
      <c r="BO165" s="156"/>
      <c r="BP165" s="111"/>
      <c r="BQ165" s="117"/>
      <c r="BR165" s="695" t="s">
        <v>1666</v>
      </c>
      <c r="BS165" s="152"/>
      <c r="BT165" s="152"/>
      <c r="BU165" s="152"/>
      <c r="BV165" s="152"/>
      <c r="BW165" s="152"/>
      <c r="BX165" s="152"/>
      <c r="BY165" s="153"/>
      <c r="BZ165" s="696" t="s">
        <v>2</v>
      </c>
      <c r="CA165" s="155"/>
      <c r="CB165" s="155"/>
      <c r="CC165" s="155"/>
      <c r="CD165" s="156"/>
    </row>
    <row r="166" spans="1:82" ht="15">
      <c r="B166" s="115"/>
      <c r="C166" s="116"/>
      <c r="D166" s="116"/>
      <c r="E166" s="116"/>
      <c r="F166" s="116"/>
      <c r="G166" s="117"/>
      <c r="H166" s="117"/>
      <c r="I166" s="119" t="s">
        <v>1667</v>
      </c>
      <c r="J166" s="158" t="s">
        <v>453</v>
      </c>
      <c r="K166" s="137" t="s">
        <v>455</v>
      </c>
      <c r="L166" s="137" t="s">
        <v>457</v>
      </c>
      <c r="M166" s="137" t="s">
        <v>459</v>
      </c>
      <c r="N166" s="137" t="s">
        <v>461</v>
      </c>
      <c r="O166" s="137" t="s">
        <v>463</v>
      </c>
      <c r="P166" s="137" t="s">
        <v>465</v>
      </c>
      <c r="Q166" s="138" t="s">
        <v>467</v>
      </c>
      <c r="R166" s="120" t="s">
        <v>469</v>
      </c>
      <c r="S166" s="121" t="s">
        <v>471</v>
      </c>
      <c r="T166" s="121" t="s">
        <v>473</v>
      </c>
      <c r="U166" s="121" t="s">
        <v>475</v>
      </c>
      <c r="V166" s="122" t="s">
        <v>477</v>
      </c>
      <c r="W166" s="185"/>
      <c r="X166" s="119" t="s">
        <v>1667</v>
      </c>
      <c r="Y166" s="158" t="s">
        <v>453</v>
      </c>
      <c r="Z166" s="137" t="s">
        <v>455</v>
      </c>
      <c r="AA166" s="137" t="s">
        <v>457</v>
      </c>
      <c r="AB166" s="137" t="s">
        <v>459</v>
      </c>
      <c r="AC166" s="137" t="s">
        <v>461</v>
      </c>
      <c r="AD166" s="137" t="s">
        <v>463</v>
      </c>
      <c r="AE166" s="137" t="s">
        <v>465</v>
      </c>
      <c r="AF166" s="138" t="s">
        <v>467</v>
      </c>
      <c r="AG166" s="120" t="s">
        <v>469</v>
      </c>
      <c r="AH166" s="121" t="s">
        <v>471</v>
      </c>
      <c r="AI166" s="121" t="s">
        <v>473</v>
      </c>
      <c r="AJ166" s="121" t="s">
        <v>475</v>
      </c>
      <c r="AK166" s="122" t="s">
        <v>477</v>
      </c>
      <c r="AL166" s="185"/>
      <c r="AM166" s="119" t="s">
        <v>1667</v>
      </c>
      <c r="AN166" s="158" t="s">
        <v>453</v>
      </c>
      <c r="AO166" s="137" t="s">
        <v>455</v>
      </c>
      <c r="AP166" s="137" t="s">
        <v>457</v>
      </c>
      <c r="AQ166" s="137" t="s">
        <v>459</v>
      </c>
      <c r="AR166" s="137" t="s">
        <v>461</v>
      </c>
      <c r="AS166" s="137" t="s">
        <v>463</v>
      </c>
      <c r="AT166" s="137" t="s">
        <v>465</v>
      </c>
      <c r="AU166" s="138" t="s">
        <v>467</v>
      </c>
      <c r="AV166" s="120" t="s">
        <v>469</v>
      </c>
      <c r="AW166" s="121" t="s">
        <v>471</v>
      </c>
      <c r="AX166" s="121" t="s">
        <v>473</v>
      </c>
      <c r="AY166" s="121" t="s">
        <v>475</v>
      </c>
      <c r="AZ166" s="122" t="s">
        <v>477</v>
      </c>
      <c r="BA166" s="117"/>
      <c r="BB166" s="119" t="s">
        <v>1667</v>
      </c>
      <c r="BC166" s="158" t="s">
        <v>453</v>
      </c>
      <c r="BD166" s="137" t="s">
        <v>455</v>
      </c>
      <c r="BE166" s="137" t="s">
        <v>457</v>
      </c>
      <c r="BF166" s="137" t="s">
        <v>459</v>
      </c>
      <c r="BG166" s="137" t="s">
        <v>461</v>
      </c>
      <c r="BH166" s="137" t="s">
        <v>463</v>
      </c>
      <c r="BI166" s="137" t="s">
        <v>465</v>
      </c>
      <c r="BJ166" s="138" t="s">
        <v>467</v>
      </c>
      <c r="BK166" s="120" t="s">
        <v>469</v>
      </c>
      <c r="BL166" s="121" t="s">
        <v>471</v>
      </c>
      <c r="BM166" s="121" t="s">
        <v>473</v>
      </c>
      <c r="BN166" s="121" t="s">
        <v>475</v>
      </c>
      <c r="BO166" s="122" t="s">
        <v>477</v>
      </c>
      <c r="BQ166" s="119" t="s">
        <v>1667</v>
      </c>
      <c r="BR166" s="158" t="s">
        <v>453</v>
      </c>
      <c r="BS166" s="137" t="s">
        <v>455</v>
      </c>
      <c r="BT166" s="137" t="s">
        <v>457</v>
      </c>
      <c r="BU166" s="137" t="s">
        <v>459</v>
      </c>
      <c r="BV166" s="137" t="s">
        <v>461</v>
      </c>
      <c r="BW166" s="137" t="s">
        <v>463</v>
      </c>
      <c r="BX166" s="137" t="s">
        <v>465</v>
      </c>
      <c r="BY166" s="138" t="s">
        <v>467</v>
      </c>
      <c r="BZ166" s="120" t="s">
        <v>469</v>
      </c>
      <c r="CA166" s="121" t="s">
        <v>471</v>
      </c>
      <c r="CB166" s="121" t="s">
        <v>473</v>
      </c>
      <c r="CC166" s="121" t="s">
        <v>475</v>
      </c>
      <c r="CD166" s="122" t="s">
        <v>477</v>
      </c>
    </row>
    <row r="167" spans="1:82" ht="15">
      <c r="B167" s="161"/>
      <c r="C167" s="116" t="s">
        <v>1688</v>
      </c>
      <c r="D167" s="116"/>
      <c r="E167" s="116"/>
      <c r="F167" s="116"/>
      <c r="G167" s="117"/>
      <c r="H167" s="117"/>
      <c r="I167" s="117"/>
      <c r="J167" s="159"/>
      <c r="K167" s="117"/>
      <c r="L167" s="117"/>
      <c r="M167" s="117"/>
      <c r="N167" s="117"/>
      <c r="O167" s="117"/>
      <c r="P167" s="117"/>
      <c r="Q167" s="160"/>
      <c r="R167" s="159"/>
      <c r="S167" s="117"/>
      <c r="T167" s="117"/>
      <c r="U167" s="117"/>
      <c r="V167" s="160"/>
      <c r="W167" s="185"/>
      <c r="X167" s="117"/>
      <c r="Y167" s="159"/>
      <c r="Z167" s="117"/>
      <c r="AA167" s="117"/>
      <c r="AB167" s="117"/>
      <c r="AC167" s="117"/>
      <c r="AD167" s="117"/>
      <c r="AE167" s="117"/>
      <c r="AF167" s="160"/>
      <c r="AG167" s="159"/>
      <c r="AH167" s="117"/>
      <c r="AI167" s="117"/>
      <c r="AJ167" s="117"/>
      <c r="AK167" s="160"/>
      <c r="AL167" s="185"/>
      <c r="AM167" s="117"/>
      <c r="AN167" s="159"/>
      <c r="AO167" s="117"/>
      <c r="AP167" s="117"/>
      <c r="AQ167" s="117"/>
      <c r="AR167" s="117"/>
      <c r="AS167" s="117"/>
      <c r="AT167" s="117"/>
      <c r="AU167" s="160"/>
      <c r="AV167" s="159"/>
      <c r="AW167" s="117"/>
      <c r="AX167" s="117"/>
      <c r="AY167" s="117"/>
      <c r="AZ167" s="160"/>
      <c r="BA167" s="163"/>
      <c r="BB167" s="117"/>
      <c r="BC167" s="159"/>
      <c r="BD167" s="117"/>
      <c r="BE167" s="117"/>
      <c r="BF167" s="117"/>
      <c r="BG167" s="117"/>
      <c r="BH167" s="117"/>
      <c r="BI167" s="117"/>
      <c r="BJ167" s="160"/>
      <c r="BK167" s="159"/>
      <c r="BL167" s="117"/>
      <c r="BM167" s="117"/>
      <c r="BN167" s="117"/>
      <c r="BO167" s="160"/>
      <c r="BQ167" s="117"/>
      <c r="BR167" s="159"/>
      <c r="BS167" s="117"/>
      <c r="BT167" s="117"/>
      <c r="BU167" s="117"/>
      <c r="BV167" s="117"/>
      <c r="BW167" s="117"/>
      <c r="BX167" s="117"/>
      <c r="BY167" s="160"/>
      <c r="BZ167" s="159"/>
      <c r="CA167" s="117"/>
      <c r="CB167" s="117"/>
      <c r="CC167" s="117"/>
      <c r="CD167" s="160"/>
    </row>
    <row r="168" spans="1:82" ht="14.25">
      <c r="B168" s="161"/>
      <c r="C168" s="162"/>
      <c r="D168" s="1124" t="s">
        <v>2521</v>
      </c>
      <c r="E168" s="1124"/>
      <c r="F168" s="1124"/>
      <c r="G168" s="163"/>
      <c r="H168" s="163"/>
      <c r="I168" s="164" t="s">
        <v>498</v>
      </c>
      <c r="J168" s="641">
        <f>SUM('4.07_Repex_Services'!J333:J339)</f>
        <v>10.885845918529037</v>
      </c>
      <c r="K168" s="642">
        <f>SUM('4.07_Repex_Services'!K333:K339)</f>
        <v>10.993498330719149</v>
      </c>
      <c r="L168" s="642">
        <f>SUM('4.07_Repex_Services'!L333:L339)</f>
        <v>8.8067840331650995</v>
      </c>
      <c r="M168" s="642">
        <f>SUM('4.07_Repex_Services'!M333:M339)</f>
        <v>8.5344436726403874</v>
      </c>
      <c r="N168" s="642">
        <f>SUM('4.07_Repex_Services'!N333:N339)</f>
        <v>7.3649135786647832</v>
      </c>
      <c r="O168" s="642">
        <f>SUM('4.07_Repex_Services'!O333:O339)</f>
        <v>6.7681723054505865</v>
      </c>
      <c r="P168" s="642">
        <f>SUM('4.07_Repex_Services'!P333:P339)</f>
        <v>9.2503228194613634</v>
      </c>
      <c r="Q168" s="643">
        <f>SUM('4.07_Repex_Services'!Q333:Q339)</f>
        <v>7.5977865646002716</v>
      </c>
      <c r="R168" s="641">
        <f>SUM('4.07_Repex_Services'!R333:R339)</f>
        <v>8.6960979367741427</v>
      </c>
      <c r="S168" s="642">
        <f>SUM('4.07_Repex_Services'!S333:S339)</f>
        <v>8.5348357070692025</v>
      </c>
      <c r="T168" s="642">
        <f>SUM('4.07_Repex_Services'!T333:T339)</f>
        <v>8.3773125538393103</v>
      </c>
      <c r="U168" s="642">
        <f>SUM('4.07_Repex_Services'!U333:U339)</f>
        <v>8.2234367558454604</v>
      </c>
      <c r="V168" s="643">
        <f>SUM('4.07_Repex_Services'!V333:V339)</f>
        <v>8.0731188687986748</v>
      </c>
      <c r="W168" s="185"/>
      <c r="X168" s="164" t="s">
        <v>498</v>
      </c>
      <c r="Y168" s="641">
        <f>SUM('4.07_Repex_Services'!Y333:Y339)</f>
        <v>0</v>
      </c>
      <c r="Z168" s="642">
        <f>SUM('4.07_Repex_Services'!Z333:Z339)</f>
        <v>0</v>
      </c>
      <c r="AA168" s="642">
        <f>SUM('4.07_Repex_Services'!AA333:AA339)</f>
        <v>0</v>
      </c>
      <c r="AB168" s="642">
        <f>SUM('4.07_Repex_Services'!AB333:AB339)</f>
        <v>0</v>
      </c>
      <c r="AC168" s="642">
        <f>SUM('4.07_Repex_Services'!AC333:AC339)</f>
        <v>0</v>
      </c>
      <c r="AD168" s="642">
        <f>SUM('4.07_Repex_Services'!AD333:AD339)</f>
        <v>0</v>
      </c>
      <c r="AE168" s="642">
        <f>SUM('4.07_Repex_Services'!AE333:AE339)</f>
        <v>0</v>
      </c>
      <c r="AF168" s="643">
        <f>SUM('4.07_Repex_Services'!AF333:AF339)</f>
        <v>0</v>
      </c>
      <c r="AG168" s="641">
        <f>SUM('4.07_Repex_Services'!AG333:AG339)</f>
        <v>0</v>
      </c>
      <c r="AH168" s="642">
        <f>SUM('4.07_Repex_Services'!AH333:AH339)</f>
        <v>0</v>
      </c>
      <c r="AI168" s="642">
        <f>SUM('4.07_Repex_Services'!AI333:AI339)</f>
        <v>0</v>
      </c>
      <c r="AJ168" s="642">
        <f>SUM('4.07_Repex_Services'!AJ333:AJ339)</f>
        <v>0</v>
      </c>
      <c r="AK168" s="643">
        <f>SUM('4.07_Repex_Services'!AK333:AK339)</f>
        <v>0</v>
      </c>
      <c r="AL168" s="185"/>
      <c r="AM168" s="164" t="s">
        <v>498</v>
      </c>
      <c r="AN168" s="641">
        <f>J168+Y168</f>
        <v>10.885845918529037</v>
      </c>
      <c r="AO168" s="642">
        <f t="shared" ref="AO168:AO169" si="1046">K168+Z168</f>
        <v>10.993498330719149</v>
      </c>
      <c r="AP168" s="642">
        <f t="shared" ref="AP168:AP169" si="1047">L168+AA168</f>
        <v>8.8067840331650995</v>
      </c>
      <c r="AQ168" s="642">
        <f t="shared" ref="AQ168:AQ169" si="1048">M168+AB168</f>
        <v>8.5344436726403874</v>
      </c>
      <c r="AR168" s="642">
        <f t="shared" ref="AR168:AR169" si="1049">N168+AC168</f>
        <v>7.3649135786647832</v>
      </c>
      <c r="AS168" s="642">
        <f t="shared" ref="AS168:AS169" si="1050">O168+AD168</f>
        <v>6.7681723054505865</v>
      </c>
      <c r="AT168" s="642">
        <f t="shared" ref="AT168:AT169" si="1051">P168+AE168</f>
        <v>9.2503228194613634</v>
      </c>
      <c r="AU168" s="643">
        <f t="shared" ref="AU168:AU169" si="1052">Q168+AF168</f>
        <v>7.5977865646002716</v>
      </c>
      <c r="AV168" s="641">
        <f t="shared" ref="AV168:AV169" si="1053">R168+AG168</f>
        <v>8.6960979367741427</v>
      </c>
      <c r="AW168" s="642">
        <f t="shared" ref="AW168:AW169" si="1054">S168+AH168</f>
        <v>8.5348357070692025</v>
      </c>
      <c r="AX168" s="642">
        <f t="shared" ref="AX168:AX169" si="1055">T168+AI168</f>
        <v>8.3773125538393103</v>
      </c>
      <c r="AY168" s="642">
        <f t="shared" ref="AY168:AY169" si="1056">U168+AJ168</f>
        <v>8.2234367558454604</v>
      </c>
      <c r="AZ168" s="643">
        <f t="shared" ref="AZ168:AZ169" si="1057">V168+AK168</f>
        <v>8.0731188687986748</v>
      </c>
      <c r="BA168" s="185"/>
      <c r="BB168" s="164" t="s">
        <v>1876</v>
      </c>
      <c r="BC168" s="641">
        <f>SUM('4.07_Repex_Services'!AN333:AN339)</f>
        <v>7367</v>
      </c>
      <c r="BD168" s="642">
        <f>SUM('4.07_Repex_Services'!AO333:AO339)</f>
        <v>6103</v>
      </c>
      <c r="BE168" s="642">
        <f>SUM('4.07_Repex_Services'!AP333:AP339)</f>
        <v>6445</v>
      </c>
      <c r="BF168" s="642">
        <f>SUM('4.07_Repex_Services'!AQ333:AQ339)</f>
        <v>6249</v>
      </c>
      <c r="BG168" s="642">
        <f>SUM('4.07_Repex_Services'!AR333:AR339)</f>
        <v>5869</v>
      </c>
      <c r="BH168" s="642">
        <f>SUM('4.07_Repex_Services'!AS333:AS339)</f>
        <v>6635</v>
      </c>
      <c r="BI168" s="642">
        <f>SUM('4.07_Repex_Services'!AT333:AT339)</f>
        <v>6601.2324346547221</v>
      </c>
      <c r="BJ168" s="643">
        <f>SUM('4.07_Repex_Services'!AU333:AU339)</f>
        <v>6144.1334653076628</v>
      </c>
      <c r="BK168" s="641">
        <f>SUM('4.07_Repex_Services'!AV333:AV339)</f>
        <v>6494.7761903157898</v>
      </c>
      <c r="BL168" s="642">
        <f>SUM('4.07_Repex_Services'!AW333:AW339)</f>
        <v>6411.8046665094735</v>
      </c>
      <c r="BM168" s="642">
        <f>SUM('4.07_Repex_Services'!AX333:AX339)</f>
        <v>6330.4925731792846</v>
      </c>
      <c r="BN168" s="642">
        <f>SUM('4.07_Repex_Services'!AY333:AY339)</f>
        <v>6250.8067217156986</v>
      </c>
      <c r="BO168" s="643">
        <f>SUM('4.07_Repex_Services'!AZ333:AZ339)</f>
        <v>6172.7145872813853</v>
      </c>
      <c r="BQ168" s="164" t="s">
        <v>2648</v>
      </c>
      <c r="BR168" s="641">
        <f>IF(BC168,AN168/BC168,0)</f>
        <v>1.4776497785433742E-3</v>
      </c>
      <c r="BS168" s="642">
        <f t="shared" ref="BS168:BS169" si="1058">IF(BD168,AO168/BD168,0)</f>
        <v>1.8013269426051365E-3</v>
      </c>
      <c r="BT168" s="642">
        <f t="shared" ref="BT168:BT169" si="1059">IF(BE168,AP168/BE168,0)</f>
        <v>1.3664521385826375E-3</v>
      </c>
      <c r="BU168" s="642">
        <f t="shared" ref="BU168:BU169" si="1060">IF(BF168,AQ168/BF168,0)</f>
        <v>1.3657295043431569E-3</v>
      </c>
      <c r="BV168" s="642">
        <f t="shared" ref="BV168:BV169" si="1061">IF(BG168,AR168/BG168,0)</f>
        <v>1.2548838948142414E-3</v>
      </c>
      <c r="BW168" s="642">
        <f t="shared" ref="BW168:BW169" si="1062">IF(BH168,AS168/BH168,0)</f>
        <v>1.0200711839413092E-3</v>
      </c>
      <c r="BX168" s="642">
        <f t="shared" ref="BX168:BX169" si="1063">IF(BI168,AT168/BI168,0)</f>
        <v>1.4013023948224604E-3</v>
      </c>
      <c r="BY168" s="643">
        <f t="shared" ref="BY168:BY169" si="1064">IF(BJ168,AU168/BJ168,0)</f>
        <v>1.2365920446716432E-3</v>
      </c>
      <c r="BZ168" s="641">
        <f t="shared" ref="BZ168:BZ169" si="1065">IF(BK168,AV168/BK168,0)</f>
        <v>1.3389372754277033E-3</v>
      </c>
      <c r="CA168" s="642">
        <f t="shared" ref="CA168:CA169" si="1066">IF(BL168,AW168/BL168,0)</f>
        <v>1.3311128693063395E-3</v>
      </c>
      <c r="CB168" s="642">
        <f t="shared" ref="CB168:CB169" si="1067">IF(BM168,AX168/BM168,0)</f>
        <v>1.3233271277075485E-3</v>
      </c>
      <c r="CC168" s="642">
        <f t="shared" ref="CC168:CC169" si="1068">IF(BN168,AY168/BN168,0)</f>
        <v>1.3155800718132461E-3</v>
      </c>
      <c r="CD168" s="643">
        <f t="shared" ref="CD168:CD169" si="1069">IF(BO168,AZ168/BO168,0)</f>
        <v>1.3078717239629045E-3</v>
      </c>
    </row>
    <row r="169" spans="1:82" ht="14.25">
      <c r="B169" s="161"/>
      <c r="C169" s="162"/>
      <c r="D169" s="1124" t="s">
        <v>2427</v>
      </c>
      <c r="E169" s="1124"/>
      <c r="F169" s="1124"/>
      <c r="G169" s="163"/>
      <c r="H169" s="163"/>
      <c r="I169" s="164" t="s">
        <v>498</v>
      </c>
      <c r="J169" s="641">
        <f>SUM('4.07_Repex_Services'!J341:J345)</f>
        <v>8.8131830438346367E-2</v>
      </c>
      <c r="K169" s="642">
        <f>SUM('4.07_Repex_Services'!K341:K345)</f>
        <v>0.11360793900512416</v>
      </c>
      <c r="L169" s="642">
        <f>SUM('4.07_Repex_Services'!L341:L345)</f>
        <v>0.14704564955445662</v>
      </c>
      <c r="M169" s="642">
        <f>SUM('4.07_Repex_Services'!M341:M345)</f>
        <v>0.27128753582045134</v>
      </c>
      <c r="N169" s="642">
        <f>SUM('4.07_Repex_Services'!N341:N345)</f>
        <v>1.2113067709972388E-2</v>
      </c>
      <c r="O169" s="642">
        <f>SUM('4.07_Repex_Services'!O341:O345)</f>
        <v>0.27304626549448263</v>
      </c>
      <c r="P169" s="642">
        <f>SUM('4.07_Repex_Services'!P341:P345)</f>
        <v>0.15310449849682944</v>
      </c>
      <c r="Q169" s="643">
        <f>SUM('4.07_Repex_Services'!Q341:Q345)</f>
        <v>0.13252216820780865</v>
      </c>
      <c r="R169" s="641">
        <f>SUM('4.07_Repex_Services'!R341:R345)</f>
        <v>0</v>
      </c>
      <c r="S169" s="642">
        <f>SUM('4.07_Repex_Services'!S341:S345)</f>
        <v>0</v>
      </c>
      <c r="T169" s="642">
        <f>SUM('4.07_Repex_Services'!T341:T345)</f>
        <v>0</v>
      </c>
      <c r="U169" s="642">
        <f>SUM('4.07_Repex_Services'!U341:U345)</f>
        <v>0</v>
      </c>
      <c r="V169" s="643">
        <f>SUM('4.07_Repex_Services'!V341:V345)</f>
        <v>0</v>
      </c>
      <c r="W169" s="185"/>
      <c r="X169" s="164" t="s">
        <v>498</v>
      </c>
      <c r="Y169" s="641">
        <f>SUM('4.07_Repex_Services'!Y341:Y345)</f>
        <v>0</v>
      </c>
      <c r="Z169" s="642">
        <f>SUM('4.07_Repex_Services'!Z341:Z345)</f>
        <v>0</v>
      </c>
      <c r="AA169" s="642">
        <f>SUM('4.07_Repex_Services'!AA341:AA345)</f>
        <v>0</v>
      </c>
      <c r="AB169" s="642">
        <f>SUM('4.07_Repex_Services'!AB341:AB345)</f>
        <v>0</v>
      </c>
      <c r="AC169" s="642">
        <f>SUM('4.07_Repex_Services'!AC341:AC345)</f>
        <v>0</v>
      </c>
      <c r="AD169" s="642">
        <f>SUM('4.07_Repex_Services'!AD341:AD345)</f>
        <v>0</v>
      </c>
      <c r="AE169" s="642">
        <f>SUM('4.07_Repex_Services'!AE341:AE345)</f>
        <v>0</v>
      </c>
      <c r="AF169" s="643">
        <f>SUM('4.07_Repex_Services'!AF341:AF345)</f>
        <v>0</v>
      </c>
      <c r="AG169" s="641">
        <f>SUM('4.07_Repex_Services'!AG341:AG345)</f>
        <v>0</v>
      </c>
      <c r="AH169" s="642">
        <f>SUM('4.07_Repex_Services'!AH341:AH345)</f>
        <v>0</v>
      </c>
      <c r="AI169" s="642">
        <f>SUM('4.07_Repex_Services'!AI341:AI345)</f>
        <v>0</v>
      </c>
      <c r="AJ169" s="642">
        <f>SUM('4.07_Repex_Services'!AJ341:AJ345)</f>
        <v>0</v>
      </c>
      <c r="AK169" s="643">
        <f>SUM('4.07_Repex_Services'!AK341:AK345)</f>
        <v>0</v>
      </c>
      <c r="AL169" s="185"/>
      <c r="AM169" s="164" t="s">
        <v>498</v>
      </c>
      <c r="AN169" s="641">
        <f t="shared" ref="AN169" si="1070">J169+Y169</f>
        <v>8.8131830438346367E-2</v>
      </c>
      <c r="AO169" s="642">
        <f t="shared" si="1046"/>
        <v>0.11360793900512416</v>
      </c>
      <c r="AP169" s="642">
        <f t="shared" si="1047"/>
        <v>0.14704564955445662</v>
      </c>
      <c r="AQ169" s="642">
        <f t="shared" si="1048"/>
        <v>0.27128753582045134</v>
      </c>
      <c r="AR169" s="642">
        <f t="shared" si="1049"/>
        <v>1.2113067709972388E-2</v>
      </c>
      <c r="AS169" s="642">
        <f t="shared" si="1050"/>
        <v>0.27304626549448263</v>
      </c>
      <c r="AT169" s="642">
        <f t="shared" si="1051"/>
        <v>0.15310449849682944</v>
      </c>
      <c r="AU169" s="643">
        <f t="shared" si="1052"/>
        <v>0.13252216820780865</v>
      </c>
      <c r="AV169" s="641">
        <f t="shared" si="1053"/>
        <v>0</v>
      </c>
      <c r="AW169" s="642">
        <f t="shared" si="1054"/>
        <v>0</v>
      </c>
      <c r="AX169" s="642">
        <f t="shared" si="1055"/>
        <v>0</v>
      </c>
      <c r="AY169" s="642">
        <f t="shared" si="1056"/>
        <v>0</v>
      </c>
      <c r="AZ169" s="643">
        <f t="shared" si="1057"/>
        <v>0</v>
      </c>
      <c r="BA169" s="185"/>
      <c r="BB169" s="164" t="s">
        <v>1876</v>
      </c>
      <c r="BC169" s="641">
        <f>SUM('4.07_Repex_Services'!AN341:AN345)</f>
        <v>184</v>
      </c>
      <c r="BD169" s="642">
        <f>SUM('4.07_Repex_Services'!AO341:AO345)</f>
        <v>64</v>
      </c>
      <c r="BE169" s="642">
        <f>SUM('4.07_Repex_Services'!AP341:AP345)</f>
        <v>68</v>
      </c>
      <c r="BF169" s="642">
        <f>SUM('4.07_Repex_Services'!AQ341:AQ345)</f>
        <v>58</v>
      </c>
      <c r="BG169" s="642">
        <f>SUM('4.07_Repex_Services'!AR341:AR345)</f>
        <v>71</v>
      </c>
      <c r="BH169" s="642">
        <f>SUM('4.07_Repex_Services'!AS341:AS345)</f>
        <v>101</v>
      </c>
      <c r="BI169" s="642">
        <f>SUM('4.07_Repex_Services'!AT341:AT345)</f>
        <v>90.70832342984464</v>
      </c>
      <c r="BJ169" s="643">
        <f>SUM('4.07_Repex_Services'!AU341:AU345)</f>
        <v>80.516107590677038</v>
      </c>
      <c r="BK169" s="641">
        <f>SUM('4.07_Repex_Services'!AV341:AV345)</f>
        <v>0</v>
      </c>
      <c r="BL169" s="642">
        <f>SUM('4.07_Repex_Services'!AW341:AW345)</f>
        <v>0</v>
      </c>
      <c r="BM169" s="642">
        <f>SUM('4.07_Repex_Services'!AX341:AX345)</f>
        <v>0</v>
      </c>
      <c r="BN169" s="642">
        <f>SUM('4.07_Repex_Services'!AY341:AY345)</f>
        <v>0</v>
      </c>
      <c r="BO169" s="643">
        <f>SUM('4.07_Repex_Services'!AZ341:AZ345)</f>
        <v>0</v>
      </c>
      <c r="BQ169" s="164" t="s">
        <v>2648</v>
      </c>
      <c r="BR169" s="641">
        <f t="shared" ref="BR169" si="1071">IF(BC169,AN169/BC169,0)</f>
        <v>4.7897733933883893E-4</v>
      </c>
      <c r="BS169" s="642">
        <f t="shared" si="1058"/>
        <v>1.7751240469550649E-3</v>
      </c>
      <c r="BT169" s="642">
        <f t="shared" si="1059"/>
        <v>2.1624360228596562E-3</v>
      </c>
      <c r="BU169" s="642">
        <f t="shared" si="1060"/>
        <v>4.6773713072491615E-3</v>
      </c>
      <c r="BV169" s="642">
        <f t="shared" si="1061"/>
        <v>1.7060658746439984E-4</v>
      </c>
      <c r="BW169" s="642">
        <f t="shared" si="1062"/>
        <v>2.7034283712325012E-3</v>
      </c>
      <c r="BX169" s="642">
        <f t="shared" si="1063"/>
        <v>1.6878770625194397E-3</v>
      </c>
      <c r="BY169" s="643">
        <f t="shared" si="1064"/>
        <v>1.6459087774277031E-3</v>
      </c>
      <c r="BZ169" s="641">
        <f t="shared" si="1065"/>
        <v>0</v>
      </c>
      <c r="CA169" s="642">
        <f t="shared" si="1066"/>
        <v>0</v>
      </c>
      <c r="CB169" s="642">
        <f t="shared" si="1067"/>
        <v>0</v>
      </c>
      <c r="CC169" s="642">
        <f t="shared" si="1068"/>
        <v>0</v>
      </c>
      <c r="CD169" s="643">
        <f t="shared" si="1069"/>
        <v>0</v>
      </c>
    </row>
    <row r="170" spans="1:82" ht="15">
      <c r="B170" s="161"/>
      <c r="C170" s="116"/>
      <c r="D170" s="116"/>
      <c r="E170" s="116"/>
      <c r="F170" s="116"/>
      <c r="G170" s="117"/>
      <c r="H170" s="117"/>
      <c r="I170" s="117"/>
      <c r="J170" s="159"/>
      <c r="K170" s="117"/>
      <c r="L170" s="117"/>
      <c r="M170" s="117"/>
      <c r="N170" s="117"/>
      <c r="O170" s="117"/>
      <c r="P170" s="117"/>
      <c r="Q170" s="160"/>
      <c r="R170" s="159"/>
      <c r="S170" s="117"/>
      <c r="T170" s="117"/>
      <c r="U170" s="117"/>
      <c r="V170" s="160"/>
      <c r="W170" s="185"/>
      <c r="X170" s="117"/>
      <c r="Y170" s="159"/>
      <c r="Z170" s="117"/>
      <c r="AA170" s="117"/>
      <c r="AB170" s="117"/>
      <c r="AC170" s="117"/>
      <c r="AD170" s="117"/>
      <c r="AE170" s="117"/>
      <c r="AF170" s="160"/>
      <c r="AG170" s="159"/>
      <c r="AH170" s="117"/>
      <c r="AI170" s="117"/>
      <c r="AJ170" s="117"/>
      <c r="AK170" s="160"/>
      <c r="AL170" s="185"/>
      <c r="AM170" s="117"/>
      <c r="AN170" s="159"/>
      <c r="AO170" s="117"/>
      <c r="AP170" s="117"/>
      <c r="AQ170" s="117"/>
      <c r="AR170" s="117"/>
      <c r="AS170" s="117"/>
      <c r="AT170" s="117"/>
      <c r="AU170" s="160"/>
      <c r="AV170" s="159"/>
      <c r="AW170" s="117"/>
      <c r="AX170" s="117"/>
      <c r="AY170" s="117"/>
      <c r="AZ170" s="160"/>
      <c r="BA170" s="185"/>
      <c r="BB170" s="117"/>
      <c r="BC170" s="159"/>
      <c r="BD170" s="117"/>
      <c r="BE170" s="117"/>
      <c r="BF170" s="117"/>
      <c r="BG170" s="117"/>
      <c r="BH170" s="117"/>
      <c r="BI170" s="117"/>
      <c r="BJ170" s="160"/>
      <c r="BK170" s="159"/>
      <c r="BL170" s="117"/>
      <c r="BM170" s="117"/>
      <c r="BN170" s="117"/>
      <c r="BO170" s="160"/>
      <c r="BQ170" s="117"/>
      <c r="BR170" s="159"/>
      <c r="BS170" s="117"/>
      <c r="BT170" s="117"/>
      <c r="BU170" s="117"/>
      <c r="BV170" s="117"/>
      <c r="BW170" s="117"/>
      <c r="BX170" s="117"/>
      <c r="BY170" s="160"/>
      <c r="BZ170" s="159"/>
      <c r="CA170" s="117"/>
      <c r="CB170" s="117"/>
      <c r="CC170" s="117"/>
      <c r="CD170" s="160"/>
    </row>
    <row r="171" spans="1:82" ht="15" thickBot="1">
      <c r="B171" s="131" t="s">
        <v>1701</v>
      </c>
      <c r="C171" s="132"/>
      <c r="D171" s="132"/>
      <c r="E171" s="132"/>
      <c r="F171" s="132"/>
      <c r="G171" s="145"/>
      <c r="H171" s="133"/>
      <c r="I171" s="146" t="s">
        <v>498</v>
      </c>
      <c r="J171" s="701">
        <f t="shared" ref="J171:V171" si="1072">SUM(J168,J169)</f>
        <v>10.973977748967384</v>
      </c>
      <c r="K171" s="702">
        <f t="shared" si="1072"/>
        <v>11.107106269724273</v>
      </c>
      <c r="L171" s="702">
        <f t="shared" si="1072"/>
        <v>8.9538296827195563</v>
      </c>
      <c r="M171" s="702">
        <f t="shared" si="1072"/>
        <v>8.8057312084608395</v>
      </c>
      <c r="N171" s="702">
        <f t="shared" si="1072"/>
        <v>7.3770266463747554</v>
      </c>
      <c r="O171" s="702">
        <f t="shared" si="1072"/>
        <v>7.0412185709450688</v>
      </c>
      <c r="P171" s="702">
        <f t="shared" si="1072"/>
        <v>9.403427317958192</v>
      </c>
      <c r="Q171" s="703">
        <f t="shared" si="1072"/>
        <v>7.73030873280808</v>
      </c>
      <c r="R171" s="701">
        <f t="shared" si="1072"/>
        <v>8.6960979367741427</v>
      </c>
      <c r="S171" s="702">
        <f t="shared" si="1072"/>
        <v>8.5348357070692025</v>
      </c>
      <c r="T171" s="702">
        <f t="shared" si="1072"/>
        <v>8.3773125538393103</v>
      </c>
      <c r="U171" s="702">
        <f t="shared" si="1072"/>
        <v>8.2234367558454604</v>
      </c>
      <c r="V171" s="703">
        <f t="shared" si="1072"/>
        <v>8.0731188687986748</v>
      </c>
      <c r="W171" s="192"/>
      <c r="X171" s="146" t="s">
        <v>498</v>
      </c>
      <c r="Y171" s="717">
        <f t="shared" ref="Y171:AK171" si="1073">SUM(Y168:Y169)</f>
        <v>0</v>
      </c>
      <c r="Z171" s="718">
        <f t="shared" si="1073"/>
        <v>0</v>
      </c>
      <c r="AA171" s="718">
        <f t="shared" si="1073"/>
        <v>0</v>
      </c>
      <c r="AB171" s="718">
        <f t="shared" si="1073"/>
        <v>0</v>
      </c>
      <c r="AC171" s="718">
        <f t="shared" si="1073"/>
        <v>0</v>
      </c>
      <c r="AD171" s="718">
        <f t="shared" si="1073"/>
        <v>0</v>
      </c>
      <c r="AE171" s="718">
        <f t="shared" si="1073"/>
        <v>0</v>
      </c>
      <c r="AF171" s="719">
        <f t="shared" si="1073"/>
        <v>0</v>
      </c>
      <c r="AG171" s="717">
        <f t="shared" si="1073"/>
        <v>0</v>
      </c>
      <c r="AH171" s="718">
        <f t="shared" si="1073"/>
        <v>0</v>
      </c>
      <c r="AI171" s="718">
        <f t="shared" si="1073"/>
        <v>0</v>
      </c>
      <c r="AJ171" s="718">
        <f t="shared" si="1073"/>
        <v>0</v>
      </c>
      <c r="AK171" s="719">
        <f t="shared" si="1073"/>
        <v>0</v>
      </c>
      <c r="AL171" s="192"/>
      <c r="AM171" s="195" t="s">
        <v>498</v>
      </c>
      <c r="AN171" s="701">
        <f t="shared" ref="AN171:AZ171" si="1074">SUM(AN168:AN170)</f>
        <v>10.973977748967384</v>
      </c>
      <c r="AO171" s="702">
        <f t="shared" si="1074"/>
        <v>11.107106269724273</v>
      </c>
      <c r="AP171" s="702">
        <f t="shared" si="1074"/>
        <v>8.9538296827195563</v>
      </c>
      <c r="AQ171" s="702">
        <f t="shared" si="1074"/>
        <v>8.8057312084608395</v>
      </c>
      <c r="AR171" s="702">
        <f t="shared" si="1074"/>
        <v>7.3770266463747554</v>
      </c>
      <c r="AS171" s="702">
        <f t="shared" si="1074"/>
        <v>7.0412185709450688</v>
      </c>
      <c r="AT171" s="702">
        <f t="shared" si="1074"/>
        <v>9.403427317958192</v>
      </c>
      <c r="AU171" s="703">
        <f t="shared" si="1074"/>
        <v>7.73030873280808</v>
      </c>
      <c r="AV171" s="701">
        <f t="shared" si="1074"/>
        <v>8.6960979367741427</v>
      </c>
      <c r="AW171" s="702">
        <f t="shared" si="1074"/>
        <v>8.5348357070692025</v>
      </c>
      <c r="AX171" s="702">
        <f t="shared" si="1074"/>
        <v>8.3773125538393103</v>
      </c>
      <c r="AY171" s="702">
        <f t="shared" si="1074"/>
        <v>8.2234367558454604</v>
      </c>
      <c r="AZ171" s="703">
        <f t="shared" si="1074"/>
        <v>8.0731188687986748</v>
      </c>
      <c r="BA171" s="194"/>
      <c r="BB171" s="195" t="s">
        <v>1876</v>
      </c>
      <c r="BC171" s="717">
        <f t="shared" ref="BC171:BO171" si="1075">SUM(BC168:BC169)</f>
        <v>7551</v>
      </c>
      <c r="BD171" s="718">
        <f t="shared" si="1075"/>
        <v>6167</v>
      </c>
      <c r="BE171" s="718">
        <f t="shared" si="1075"/>
        <v>6513</v>
      </c>
      <c r="BF171" s="718">
        <f t="shared" si="1075"/>
        <v>6307</v>
      </c>
      <c r="BG171" s="718">
        <f t="shared" si="1075"/>
        <v>5940</v>
      </c>
      <c r="BH171" s="718">
        <f t="shared" si="1075"/>
        <v>6736</v>
      </c>
      <c r="BI171" s="718">
        <f t="shared" si="1075"/>
        <v>6691.9407580845664</v>
      </c>
      <c r="BJ171" s="719">
        <f t="shared" si="1075"/>
        <v>6224.64957289834</v>
      </c>
      <c r="BK171" s="717">
        <f t="shared" si="1075"/>
        <v>6494.7761903157898</v>
      </c>
      <c r="BL171" s="718">
        <f t="shared" si="1075"/>
        <v>6411.8046665094735</v>
      </c>
      <c r="BM171" s="718">
        <f t="shared" si="1075"/>
        <v>6330.4925731792846</v>
      </c>
      <c r="BN171" s="718">
        <f t="shared" si="1075"/>
        <v>6250.8067217156986</v>
      </c>
      <c r="BO171" s="719">
        <f t="shared" si="1075"/>
        <v>6172.7145872813853</v>
      </c>
      <c r="BP171" s="194"/>
      <c r="BQ171" s="194"/>
      <c r="BR171" s="656"/>
      <c r="BS171" s="194"/>
      <c r="BT171" s="194"/>
      <c r="BU171" s="194"/>
      <c r="BV171" s="194"/>
      <c r="BW171" s="194"/>
      <c r="BX171" s="194"/>
      <c r="BY171" s="972"/>
      <c r="BZ171" s="656"/>
      <c r="CA171" s="194"/>
      <c r="CB171" s="194"/>
      <c r="CC171" s="194"/>
      <c r="CD171" s="972"/>
    </row>
    <row r="172" spans="1:82" ht="13.5" thickBot="1"/>
    <row r="173" spans="1:82" s="100" customFormat="1" ht="30" customHeight="1" thickBot="1">
      <c r="A173" s="89"/>
      <c r="B173" s="621" t="s">
        <v>2679</v>
      </c>
      <c r="C173" s="102"/>
      <c r="D173" s="102"/>
      <c r="E173" s="102"/>
      <c r="F173" s="102"/>
      <c r="G173" s="103"/>
      <c r="H173" s="103"/>
      <c r="I173" s="1689"/>
      <c r="J173" s="1689"/>
      <c r="K173" s="1689"/>
      <c r="L173" s="1689"/>
      <c r="M173" s="1689"/>
      <c r="N173" s="1689"/>
      <c r="O173" s="1689"/>
      <c r="P173" s="1689"/>
      <c r="Q173" s="1689"/>
      <c r="R173" s="1689"/>
      <c r="S173" s="1689"/>
      <c r="T173" s="1689"/>
      <c r="U173" s="1689"/>
      <c r="V173" s="1689"/>
      <c r="W173" s="103"/>
      <c r="X173" s="1689"/>
      <c r="Y173" s="1689"/>
      <c r="Z173" s="1689"/>
      <c r="AA173" s="1689"/>
      <c r="AB173" s="1689"/>
      <c r="AC173" s="1689"/>
      <c r="AD173" s="1689"/>
      <c r="AE173" s="1689"/>
      <c r="AF173" s="1689"/>
      <c r="AG173" s="1689"/>
      <c r="AH173" s="1689"/>
      <c r="AI173" s="1689"/>
      <c r="AJ173" s="1689"/>
      <c r="AK173" s="1689"/>
      <c r="AL173" s="103"/>
      <c r="AM173" s="1689"/>
      <c r="AN173" s="1689"/>
      <c r="AO173" s="1689"/>
      <c r="AP173" s="1689"/>
      <c r="AQ173" s="1689"/>
      <c r="AR173" s="1689"/>
      <c r="AS173" s="1689"/>
      <c r="AT173" s="1689"/>
      <c r="AU173" s="1689"/>
      <c r="AV173" s="1689"/>
      <c r="AW173" s="1689"/>
      <c r="AX173" s="1689"/>
      <c r="AY173" s="1689"/>
      <c r="AZ173" s="1689"/>
      <c r="BA173" s="1354"/>
      <c r="BB173" s="105" t="s">
        <v>2231</v>
      </c>
      <c r="BC173" s="106"/>
      <c r="BD173" s="106"/>
      <c r="BE173" s="106"/>
      <c r="BF173" s="106"/>
      <c r="BG173" s="106"/>
      <c r="BH173" s="106"/>
      <c r="BI173" s="106"/>
      <c r="BJ173" s="106"/>
      <c r="BK173" s="105"/>
      <c r="BL173" s="105"/>
      <c r="BM173" s="105"/>
      <c r="BN173" s="105"/>
      <c r="BO173" s="187"/>
    </row>
    <row r="174" spans="1:82" s="157" customFormat="1" ht="30" customHeight="1">
      <c r="A174" s="99"/>
      <c r="B174" s="109"/>
      <c r="C174" s="110"/>
      <c r="D174" s="110"/>
      <c r="E174" s="110"/>
      <c r="F174" s="110"/>
      <c r="G174" s="111"/>
      <c r="H174" s="111"/>
      <c r="I174" s="2502"/>
      <c r="J174" s="2502"/>
      <c r="K174" s="2502"/>
      <c r="L174" s="2502"/>
      <c r="M174" s="2502"/>
      <c r="N174" s="2502"/>
      <c r="O174" s="2502"/>
      <c r="P174" s="2502"/>
      <c r="Q174" s="2502"/>
      <c r="R174" s="2502"/>
      <c r="S174" s="2502"/>
      <c r="T174" s="2502"/>
      <c r="U174" s="2502"/>
      <c r="V174" s="2502"/>
      <c r="X174" s="2502"/>
      <c r="Y174" s="2502"/>
      <c r="Z174" s="2502"/>
      <c r="AA174" s="2502"/>
      <c r="AB174" s="2502"/>
      <c r="AC174" s="2502"/>
      <c r="AD174" s="2502"/>
      <c r="AE174" s="2502"/>
      <c r="AF174" s="2502"/>
      <c r="AG174" s="2502"/>
      <c r="AH174" s="2502"/>
      <c r="AI174" s="2502"/>
      <c r="AJ174" s="2502"/>
      <c r="AK174" s="2502"/>
      <c r="AM174" s="2502"/>
      <c r="AN174" s="2502"/>
      <c r="AO174" s="2502"/>
      <c r="AP174" s="2502"/>
      <c r="AQ174" s="2502"/>
      <c r="AR174" s="2502"/>
      <c r="AS174" s="2502"/>
      <c r="AT174" s="2502"/>
      <c r="AU174" s="2502"/>
      <c r="AV174" s="2502"/>
      <c r="AW174" s="2502"/>
      <c r="AX174" s="2502"/>
      <c r="AY174" s="2502"/>
      <c r="AZ174" s="2502"/>
      <c r="BB174" s="117"/>
      <c r="BC174" s="695" t="s">
        <v>1666</v>
      </c>
      <c r="BD174" s="152"/>
      <c r="BE174" s="152"/>
      <c r="BF174" s="152"/>
      <c r="BG174" s="152"/>
      <c r="BH174" s="152"/>
      <c r="BI174" s="152"/>
      <c r="BJ174" s="153"/>
      <c r="BK174" s="696" t="s">
        <v>2</v>
      </c>
      <c r="BL174" s="155"/>
      <c r="BM174" s="155"/>
      <c r="BN174" s="155"/>
      <c r="BO174" s="156"/>
    </row>
    <row r="175" spans="1:82" ht="15">
      <c r="B175" s="115"/>
      <c r="C175" s="185"/>
      <c r="D175" s="116"/>
      <c r="E175" s="116"/>
      <c r="F175" s="116"/>
      <c r="G175" s="117"/>
      <c r="H175" s="117"/>
      <c r="I175" s="2512"/>
      <c r="J175" s="2513"/>
      <c r="K175" s="2513"/>
      <c r="L175" s="2513"/>
      <c r="M175" s="2513"/>
      <c r="N175" s="2513"/>
      <c r="O175" s="2513"/>
      <c r="P175" s="2513"/>
      <c r="Q175" s="2513"/>
      <c r="R175" s="2513"/>
      <c r="S175" s="2513"/>
      <c r="T175" s="2513"/>
      <c r="U175" s="2513"/>
      <c r="V175" s="2513"/>
      <c r="X175" s="2513"/>
      <c r="Y175" s="2513"/>
      <c r="Z175" s="2513"/>
      <c r="AA175" s="2513"/>
      <c r="AB175" s="2513"/>
      <c r="AC175" s="2513"/>
      <c r="AD175" s="2513"/>
      <c r="AE175" s="2513"/>
      <c r="AF175" s="2513"/>
      <c r="AG175" s="2513"/>
      <c r="AH175" s="2513"/>
      <c r="AI175" s="2513"/>
      <c r="AJ175" s="2513"/>
      <c r="AK175" s="2513"/>
      <c r="AM175" s="2513"/>
      <c r="AN175" s="2513"/>
      <c r="AO175" s="2513"/>
      <c r="AP175" s="2513"/>
      <c r="AQ175" s="2513"/>
      <c r="AR175" s="2513"/>
      <c r="AS175" s="2513"/>
      <c r="AT175" s="2513"/>
      <c r="AU175" s="2513"/>
      <c r="AV175" s="2513"/>
      <c r="AW175" s="2513"/>
      <c r="AX175" s="2513"/>
      <c r="AY175" s="2513"/>
      <c r="AZ175" s="2513"/>
      <c r="BB175" s="119" t="s">
        <v>1667</v>
      </c>
      <c r="BC175" s="158" t="s">
        <v>453</v>
      </c>
      <c r="BD175" s="137" t="s">
        <v>455</v>
      </c>
      <c r="BE175" s="137" t="s">
        <v>457</v>
      </c>
      <c r="BF175" s="137" t="s">
        <v>459</v>
      </c>
      <c r="BG175" s="137" t="s">
        <v>461</v>
      </c>
      <c r="BH175" s="137" t="s">
        <v>463</v>
      </c>
      <c r="BI175" s="137" t="s">
        <v>465</v>
      </c>
      <c r="BJ175" s="138" t="s">
        <v>467</v>
      </c>
      <c r="BK175" s="120" t="s">
        <v>469</v>
      </c>
      <c r="BL175" s="121" t="s">
        <v>471</v>
      </c>
      <c r="BM175" s="121" t="s">
        <v>473</v>
      </c>
      <c r="BN175" s="121" t="s">
        <v>475</v>
      </c>
      <c r="BO175" s="122" t="s">
        <v>477</v>
      </c>
    </row>
    <row r="176" spans="1:82" ht="15.75">
      <c r="B176" s="161"/>
      <c r="C176" s="616" t="s">
        <v>1897</v>
      </c>
      <c r="D176" s="186"/>
      <c r="E176" s="180"/>
      <c r="F176" s="180"/>
      <c r="G176" s="162"/>
      <c r="H176" s="163"/>
      <c r="I176" s="2512"/>
      <c r="J176" s="2513"/>
      <c r="K176" s="2513"/>
      <c r="L176" s="2513"/>
      <c r="M176" s="2513"/>
      <c r="N176" s="2513"/>
      <c r="O176" s="2513"/>
      <c r="P176" s="2513"/>
      <c r="Q176" s="2513"/>
      <c r="R176" s="2513"/>
      <c r="S176" s="2513"/>
      <c r="T176" s="2513"/>
      <c r="U176" s="2513"/>
      <c r="V176" s="2513"/>
      <c r="X176" s="2513"/>
      <c r="Y176" s="2513"/>
      <c r="Z176" s="2513"/>
      <c r="AA176" s="2513"/>
      <c r="AB176" s="2513"/>
      <c r="AC176" s="2513"/>
      <c r="AD176" s="2513"/>
      <c r="AE176" s="2513"/>
      <c r="AF176" s="2513"/>
      <c r="AG176" s="2513"/>
      <c r="AH176" s="2513"/>
      <c r="AI176" s="2513"/>
      <c r="AJ176" s="2513"/>
      <c r="AK176" s="2513"/>
      <c r="AM176" s="2513"/>
      <c r="AN176" s="2513"/>
      <c r="AO176" s="2513"/>
      <c r="AP176" s="2513"/>
      <c r="AQ176" s="2513"/>
      <c r="AR176" s="2513"/>
      <c r="AS176" s="2513"/>
      <c r="AT176" s="2513"/>
      <c r="AU176" s="2513"/>
      <c r="AV176" s="2513"/>
      <c r="AW176" s="2513"/>
      <c r="AX176" s="2513"/>
      <c r="AY176" s="2513"/>
      <c r="AZ176" s="2513"/>
      <c r="BB176" s="117"/>
      <c r="BC176" s="159"/>
      <c r="BD176" s="117"/>
      <c r="BE176" s="117"/>
      <c r="BF176" s="117"/>
      <c r="BG176" s="117"/>
      <c r="BH176" s="117"/>
      <c r="BI176" s="117"/>
      <c r="BJ176" s="160"/>
      <c r="BK176" s="159"/>
      <c r="BL176" s="117"/>
      <c r="BM176" s="117"/>
      <c r="BN176" s="117"/>
      <c r="BO176" s="160"/>
    </row>
    <row r="177" spans="2:76" ht="15">
      <c r="B177" s="161"/>
      <c r="C177" s="185"/>
      <c r="D177" s="185" t="s">
        <v>2680</v>
      </c>
      <c r="E177" s="617"/>
      <c r="F177" s="162"/>
      <c r="G177" s="162"/>
      <c r="H177" s="185"/>
      <c r="I177" s="2512"/>
      <c r="J177" s="2513"/>
      <c r="K177" s="2513"/>
      <c r="L177" s="2513"/>
      <c r="M177" s="2513"/>
      <c r="N177" s="2513"/>
      <c r="O177" s="2513"/>
      <c r="P177" s="2513"/>
      <c r="Q177" s="2513"/>
      <c r="R177" s="2513"/>
      <c r="S177" s="2513"/>
      <c r="T177" s="2513"/>
      <c r="U177" s="2513"/>
      <c r="V177" s="2513"/>
      <c r="X177" s="2513"/>
      <c r="Y177" s="2513"/>
      <c r="Z177" s="2513"/>
      <c r="AA177" s="2513"/>
      <c r="AB177" s="2513"/>
      <c r="AC177" s="2513"/>
      <c r="AD177" s="2513"/>
      <c r="AE177" s="2513"/>
      <c r="AF177" s="2513"/>
      <c r="AG177" s="2513"/>
      <c r="AH177" s="2513"/>
      <c r="AI177" s="2513"/>
      <c r="AJ177" s="2513"/>
      <c r="AK177" s="2513"/>
      <c r="AM177" s="2513"/>
      <c r="AN177" s="2513"/>
      <c r="AO177" s="2513"/>
      <c r="AP177" s="2513"/>
      <c r="AQ177" s="2513"/>
      <c r="AR177" s="2513"/>
      <c r="AS177" s="2513"/>
      <c r="AT177" s="2513"/>
      <c r="AU177" s="2513"/>
      <c r="AV177" s="2513"/>
      <c r="AW177" s="2513"/>
      <c r="AX177" s="2513"/>
      <c r="AY177" s="2513"/>
      <c r="AZ177" s="2513"/>
      <c r="BB177" s="164" t="s">
        <v>2233</v>
      </c>
      <c r="BC177" s="641">
        <f>SUM('4.01_Repex_Mains_Tier-1'!AN63,'4.01_Repex_Mains_Tier-1'!AN70,'4.01_Repex_Mains_Tier-1'!AN77,'4.05_Repex_Mains_Diversions'!AN200,'4.05_Repex_Mains_Diversions'!AN268,'4.06_Capitalised_Replacement'!AN115)</f>
        <v>-447.18171000000001</v>
      </c>
      <c r="BD177" s="642">
        <f>SUM('4.01_Repex_Mains_Tier-1'!AO63,'4.01_Repex_Mains_Tier-1'!AO70,'4.01_Repex_Mains_Tier-1'!AO77,'4.05_Repex_Mains_Diversions'!AO200,'4.05_Repex_Mains_Diversions'!AO268,'4.06_Capitalised_Replacement'!AO115)</f>
        <v>-489.84261999999939</v>
      </c>
      <c r="BE177" s="642">
        <f>SUM('4.01_Repex_Mains_Tier-1'!AP63,'4.01_Repex_Mains_Tier-1'!AP70,'4.01_Repex_Mains_Tier-1'!AP77,'4.05_Repex_Mains_Diversions'!AP200,'4.05_Repex_Mains_Diversions'!AP268,'4.06_Capitalised_Replacement'!AP115)</f>
        <v>-442.73330000000033</v>
      </c>
      <c r="BF177" s="642">
        <f>SUM('4.01_Repex_Mains_Tier-1'!AQ63,'4.01_Repex_Mains_Tier-1'!AQ70,'4.01_Repex_Mains_Tier-1'!AQ77,'4.05_Repex_Mains_Diversions'!AQ200,'4.05_Repex_Mains_Diversions'!AQ268,'4.06_Capitalised_Replacement'!AQ115)</f>
        <v>-454.7989999999964</v>
      </c>
      <c r="BG177" s="642">
        <f>SUM('4.01_Repex_Mains_Tier-1'!AR63,'4.01_Repex_Mains_Tier-1'!AR70,'4.01_Repex_Mains_Tier-1'!AR77,'4.05_Repex_Mains_Diversions'!AR200,'4.05_Repex_Mains_Diversions'!AR268,'4.06_Capitalised_Replacement'!AR115)</f>
        <v>-481.37899999999661</v>
      </c>
      <c r="BH177" s="642">
        <f>SUM('4.01_Repex_Mains_Tier-1'!AS63,'4.01_Repex_Mains_Tier-1'!AS70,'4.01_Repex_Mains_Tier-1'!AS77,'4.05_Repex_Mains_Diversions'!AS200,'4.05_Repex_Mains_Diversions'!AS268,'4.06_Capitalised_Replacement'!AS115)</f>
        <v>-493.87099999999998</v>
      </c>
      <c r="BI177" s="642">
        <f>SUM('4.01_Repex_Mains_Tier-1'!AT63,'4.01_Repex_Mains_Tier-1'!AT70,'4.01_Repex_Mains_Tier-1'!AT77,'4.05_Repex_Mains_Diversions'!AT200,'4.05_Repex_Mains_Diversions'!AT268,'4.06_Capitalised_Replacement'!AT115)</f>
        <v>-461.85506399999997</v>
      </c>
      <c r="BJ177" s="643">
        <f>SUM('4.01_Repex_Mains_Tier-1'!AU63,'4.01_Repex_Mains_Tier-1'!AU70,'4.01_Repex_Mains_Tier-1'!AU77,'4.05_Repex_Mains_Diversions'!AU200,'4.05_Repex_Mains_Diversions'!AU268,'4.06_Capitalised_Replacement'!AU115)</f>
        <v>-435.28876600000001</v>
      </c>
      <c r="BK177" s="641">
        <f>SUM('4.01_Repex_Mains_Tier-1'!AV63,'4.01_Repex_Mains_Tier-1'!AV70,'4.01_Repex_Mains_Tier-1'!AV77,'4.05_Repex_Mains_Diversions'!AV200,'4.05_Repex_Mains_Diversions'!AV268,'4.06_Capitalised_Replacement'!AV115)</f>
        <v>-439.52644614646186</v>
      </c>
      <c r="BL177" s="642">
        <f>SUM('4.01_Repex_Mains_Tier-1'!AW63,'4.01_Repex_Mains_Tier-1'!AW70,'4.01_Repex_Mains_Tier-1'!AW77,'4.05_Repex_Mains_Diversions'!AW200,'4.05_Repex_Mains_Diversions'!AW268,'4.06_Capitalised_Replacement'!AW115)</f>
        <v>-439.52644614646186</v>
      </c>
      <c r="BM177" s="642">
        <f>SUM('4.01_Repex_Mains_Tier-1'!AX63,'4.01_Repex_Mains_Tier-1'!AX70,'4.01_Repex_Mains_Tier-1'!AX77,'4.05_Repex_Mains_Diversions'!AX200,'4.05_Repex_Mains_Diversions'!AX268,'4.06_Capitalised_Replacement'!AX115)</f>
        <v>-439.52644614646186</v>
      </c>
      <c r="BN177" s="642">
        <f>SUM('4.01_Repex_Mains_Tier-1'!AY63,'4.01_Repex_Mains_Tier-1'!AY70,'4.01_Repex_Mains_Tier-1'!AY77,'4.05_Repex_Mains_Diversions'!AY200,'4.05_Repex_Mains_Diversions'!AY268,'4.06_Capitalised_Replacement'!AY115)</f>
        <v>-439.52644614646186</v>
      </c>
      <c r="BO177" s="643">
        <f>SUM('4.01_Repex_Mains_Tier-1'!AZ63,'4.01_Repex_Mains_Tier-1'!AZ70,'4.01_Repex_Mains_Tier-1'!AZ77,'4.05_Repex_Mains_Diversions'!AZ200,'4.05_Repex_Mains_Diversions'!AZ268,'4.06_Capitalised_Replacement'!AZ115)</f>
        <v>-439.52644614646186</v>
      </c>
    </row>
    <row r="178" spans="2:76" ht="14.25">
      <c r="B178" s="161"/>
      <c r="C178" s="185"/>
      <c r="D178" s="185" t="s">
        <v>2681</v>
      </c>
      <c r="E178" s="185"/>
      <c r="F178" s="162"/>
      <c r="G178" s="185"/>
      <c r="H178" s="185"/>
      <c r="I178" s="2512"/>
      <c r="J178" s="2513"/>
      <c r="K178" s="2513"/>
      <c r="L178" s="2513"/>
      <c r="M178" s="2513"/>
      <c r="N178" s="2513"/>
      <c r="O178" s="2513"/>
      <c r="P178" s="2513"/>
      <c r="Q178" s="2513"/>
      <c r="R178" s="2513"/>
      <c r="S178" s="2513"/>
      <c r="T178" s="2513"/>
      <c r="U178" s="2513"/>
      <c r="V178" s="2513"/>
      <c r="X178" s="2513"/>
      <c r="Y178" s="2513"/>
      <c r="Z178" s="2513"/>
      <c r="AA178" s="2513"/>
      <c r="AB178" s="2513"/>
      <c r="AC178" s="2513"/>
      <c r="AD178" s="2513"/>
      <c r="AE178" s="2513"/>
      <c r="AF178" s="2513"/>
      <c r="AG178" s="2513"/>
      <c r="AH178" s="2513"/>
      <c r="AI178" s="2513"/>
      <c r="AJ178" s="2513"/>
      <c r="AK178" s="2513"/>
      <c r="AM178" s="2513"/>
      <c r="AN178" s="2513"/>
      <c r="AO178" s="2513"/>
      <c r="AP178" s="2513"/>
      <c r="AQ178" s="2513"/>
      <c r="AR178" s="2513"/>
      <c r="AS178" s="2513"/>
      <c r="AT178" s="2513"/>
      <c r="AU178" s="2513"/>
      <c r="AV178" s="2513"/>
      <c r="AW178" s="2513"/>
      <c r="AX178" s="2513"/>
      <c r="AY178" s="2513"/>
      <c r="AZ178" s="2513"/>
      <c r="BB178" s="164" t="s">
        <v>2233</v>
      </c>
      <c r="BC178" s="641">
        <f>SUM('4.02_Repex_Mains_Tier-2A'!AN76,'4.05_Repex_Mains_Diversions'!AN206,'4.05_Repex_Mains_Diversions'!AN274,'4.06_Capitalised_Replacement'!AN121)</f>
        <v>-8.7584</v>
      </c>
      <c r="BD178" s="642">
        <f>SUM('4.02_Repex_Mains_Tier-2A'!AO76,'4.05_Repex_Mains_Diversions'!AO206,'4.05_Repex_Mains_Diversions'!AO274,'4.06_Capitalised_Replacement'!AO121)</f>
        <v>-7.6125000000000007</v>
      </c>
      <c r="BE178" s="642">
        <f>SUM('4.02_Repex_Mains_Tier-2A'!AP76,'4.05_Repex_Mains_Diversions'!AP206,'4.05_Repex_Mains_Diversions'!AP274,'4.06_Capitalised_Replacement'!AP121)</f>
        <v>-5.3055000000000003</v>
      </c>
      <c r="BF178" s="642">
        <f>SUM('4.02_Repex_Mains_Tier-2A'!AQ76,'4.05_Repex_Mains_Diversions'!AQ206,'4.05_Repex_Mains_Diversions'!AQ274,'4.06_Capitalised_Replacement'!AQ121)</f>
        <v>-4.0869999999999997</v>
      </c>
      <c r="BG178" s="642">
        <f>SUM('4.02_Repex_Mains_Tier-2A'!AR76,'4.05_Repex_Mains_Diversions'!AR206,'4.05_Repex_Mains_Diversions'!AR274,'4.06_Capitalised_Replacement'!AR121)</f>
        <v>-7.9029999999999996</v>
      </c>
      <c r="BH178" s="642">
        <f>SUM('4.02_Repex_Mains_Tier-2A'!AS76,'4.05_Repex_Mains_Diversions'!AS206,'4.05_Repex_Mains_Diversions'!AS274,'4.06_Capitalised_Replacement'!AS121)</f>
        <v>-3.8319999999999999</v>
      </c>
      <c r="BI178" s="642">
        <f>SUM('4.02_Repex_Mains_Tier-2A'!AT76,'4.05_Repex_Mains_Diversions'!AT206,'4.05_Repex_Mains_Diversions'!AT274,'4.06_Capitalised_Replacement'!AT121)</f>
        <v>-15.000000000000002</v>
      </c>
      <c r="BJ178" s="643">
        <f>SUM('4.02_Repex_Mains_Tier-2A'!AU76,'4.05_Repex_Mains_Diversions'!AU206,'4.05_Repex_Mains_Diversions'!AU274,'4.06_Capitalised_Replacement'!AU121)</f>
        <v>-15.000000000000002</v>
      </c>
      <c r="BK178" s="641">
        <f>SUM('4.02_Repex_Mains_Tier-2A'!AV76,'4.05_Repex_Mains_Diversions'!AV206,'4.05_Repex_Mains_Diversions'!AV274,'4.06_Capitalised_Replacement'!AV121)</f>
        <v>-2.0250000000000004</v>
      </c>
      <c r="BL178" s="642">
        <f>SUM('4.02_Repex_Mains_Tier-2A'!AW76,'4.05_Repex_Mains_Diversions'!AW206,'4.05_Repex_Mains_Diversions'!AW274,'4.06_Capitalised_Replacement'!AW121)</f>
        <v>-2.0250000000000004</v>
      </c>
      <c r="BM178" s="642">
        <f>SUM('4.02_Repex_Mains_Tier-2A'!AX76,'4.05_Repex_Mains_Diversions'!AX206,'4.05_Repex_Mains_Diversions'!AX274,'4.06_Capitalised_Replacement'!AX121)</f>
        <v>-2.0250000000000004</v>
      </c>
      <c r="BN178" s="642">
        <f>SUM('4.02_Repex_Mains_Tier-2A'!AY76,'4.05_Repex_Mains_Diversions'!AY206,'4.05_Repex_Mains_Diversions'!AY274,'4.06_Capitalised_Replacement'!AY121)</f>
        <v>-2.0250000000000004</v>
      </c>
      <c r="BO178" s="643">
        <f>SUM('4.02_Repex_Mains_Tier-2A'!AZ76,'4.05_Repex_Mains_Diversions'!AZ206,'4.05_Repex_Mains_Diversions'!AZ274,'4.06_Capitalised_Replacement'!AZ121)</f>
        <v>-2.0250000000000004</v>
      </c>
    </row>
    <row r="179" spans="2:76" ht="14.25">
      <c r="B179" s="161"/>
      <c r="C179" s="185"/>
      <c r="D179" s="185" t="s">
        <v>2682</v>
      </c>
      <c r="E179" s="185"/>
      <c r="F179" s="162"/>
      <c r="G179" s="185"/>
      <c r="H179" s="185"/>
      <c r="I179" s="2512"/>
      <c r="J179" s="2513"/>
      <c r="K179" s="2513"/>
      <c r="L179" s="2513"/>
      <c r="M179" s="2513"/>
      <c r="N179" s="2513"/>
      <c r="O179" s="2513"/>
      <c r="P179" s="2513"/>
      <c r="Q179" s="2513"/>
      <c r="R179" s="2513"/>
      <c r="S179" s="2513"/>
      <c r="T179" s="2513"/>
      <c r="U179" s="2513"/>
      <c r="V179" s="2513"/>
      <c r="X179" s="2513"/>
      <c r="Y179" s="2513"/>
      <c r="Z179" s="2513"/>
      <c r="AA179" s="2513"/>
      <c r="AB179" s="2513"/>
      <c r="AC179" s="2513"/>
      <c r="AD179" s="2513"/>
      <c r="AE179" s="2513"/>
      <c r="AF179" s="2513"/>
      <c r="AG179" s="2513"/>
      <c r="AH179" s="2513"/>
      <c r="AI179" s="2513"/>
      <c r="AJ179" s="2513"/>
      <c r="AK179" s="2513"/>
      <c r="AM179" s="2513"/>
      <c r="AN179" s="2513"/>
      <c r="AO179" s="2513"/>
      <c r="AP179" s="2513"/>
      <c r="AQ179" s="2513"/>
      <c r="AR179" s="2513"/>
      <c r="AS179" s="2513"/>
      <c r="AT179" s="2513"/>
      <c r="AU179" s="2513"/>
      <c r="AV179" s="2513"/>
      <c r="AW179" s="2513"/>
      <c r="AX179" s="2513"/>
      <c r="AY179" s="2513"/>
      <c r="AZ179" s="2513"/>
      <c r="BB179" s="164" t="s">
        <v>2233</v>
      </c>
      <c r="BC179" s="641">
        <f>SUM('4.03_Repex_Mains_Tier-2B_&amp;_3'!AN122,'4.05_Repex_Mains_Diversions'!AN212,'4.05_Repex_Mains_Diversions'!AN280,'4.06_Capitalised_Replacement'!AN127)</f>
        <v>-24.245999999999999</v>
      </c>
      <c r="BD179" s="642">
        <f>SUM('4.03_Repex_Mains_Tier-2B_&amp;_3'!AO122,'4.05_Repex_Mains_Diversions'!AO212,'4.05_Repex_Mains_Diversions'!AO280,'4.06_Capitalised_Replacement'!AO127)</f>
        <v>-18.882199999999987</v>
      </c>
      <c r="BE179" s="642">
        <f>SUM('4.03_Repex_Mains_Tier-2B_&amp;_3'!AP122,'4.05_Repex_Mains_Diversions'!AP212,'4.05_Repex_Mains_Diversions'!AP280,'4.06_Capitalised_Replacement'!AP127)</f>
        <v>-12.859499999999997</v>
      </c>
      <c r="BF179" s="642">
        <f>SUM('4.03_Repex_Mains_Tier-2B_&amp;_3'!AQ122,'4.05_Repex_Mains_Diversions'!AQ212,'4.05_Repex_Mains_Diversions'!AQ280,'4.06_Capitalised_Replacement'!AQ127)</f>
        <v>-12.712000000000002</v>
      </c>
      <c r="BG179" s="642">
        <f>SUM('4.03_Repex_Mains_Tier-2B_&amp;_3'!AR122,'4.05_Repex_Mains_Diversions'!AR212,'4.05_Repex_Mains_Diversions'!AR280,'4.06_Capitalised_Replacement'!AR127)</f>
        <v>-24.953000000000003</v>
      </c>
      <c r="BH179" s="642">
        <f>SUM('4.03_Repex_Mains_Tier-2B_&amp;_3'!AS122,'4.05_Repex_Mains_Diversions'!AS212,'4.05_Repex_Mains_Diversions'!AS280,'4.06_Capitalised_Replacement'!AS127)</f>
        <v>-26.504000000000001</v>
      </c>
      <c r="BI179" s="642">
        <f>SUM('4.03_Repex_Mains_Tier-2B_&amp;_3'!AT122,'4.05_Repex_Mains_Diversions'!AT212,'4.05_Repex_Mains_Diversions'!AT280,'4.06_Capitalised_Replacement'!AT127)</f>
        <v>-26.129999999999992</v>
      </c>
      <c r="BJ179" s="643">
        <f>SUM('4.03_Repex_Mains_Tier-2B_&amp;_3'!AU122,'4.05_Repex_Mains_Diversions'!AU212,'4.05_Repex_Mains_Diversions'!AU280,'4.06_Capitalised_Replacement'!AU127)</f>
        <v>-20.200000000000003</v>
      </c>
      <c r="BK179" s="641">
        <f>SUM('4.03_Repex_Mains_Tier-2B_&amp;_3'!AV122,'4.05_Repex_Mains_Diversions'!AV212,'4.05_Repex_Mains_Diversions'!AV280,'4.06_Capitalised_Replacement'!AV127)</f>
        <v>-22.699801037643507</v>
      </c>
      <c r="BL179" s="642">
        <f>SUM('4.03_Repex_Mains_Tier-2B_&amp;_3'!AW122,'4.05_Repex_Mains_Diversions'!AW212,'4.05_Repex_Mains_Diversions'!AW280,'4.06_Capitalised_Replacement'!AW127)</f>
        <v>-22.699801037643507</v>
      </c>
      <c r="BM179" s="642">
        <f>SUM('4.03_Repex_Mains_Tier-2B_&amp;_3'!AX122,'4.05_Repex_Mains_Diversions'!AX212,'4.05_Repex_Mains_Diversions'!AX280,'4.06_Capitalised_Replacement'!AX127)</f>
        <v>-22.699801037643507</v>
      </c>
      <c r="BN179" s="642">
        <f>SUM('4.03_Repex_Mains_Tier-2B_&amp;_3'!AY122,'4.05_Repex_Mains_Diversions'!AY212,'4.05_Repex_Mains_Diversions'!AY280,'4.06_Capitalised_Replacement'!AY127)</f>
        <v>-22.699801037643507</v>
      </c>
      <c r="BO179" s="643">
        <f>SUM('4.03_Repex_Mains_Tier-2B_&amp;_3'!AZ122,'4.05_Repex_Mains_Diversions'!AZ212,'4.05_Repex_Mains_Diversions'!AZ280,'4.06_Capitalised_Replacement'!AZ127)</f>
        <v>-22.699801037643507</v>
      </c>
    </row>
    <row r="180" spans="2:76" ht="14.25">
      <c r="B180" s="161"/>
      <c r="C180" s="185"/>
      <c r="D180" s="185" t="s">
        <v>2683</v>
      </c>
      <c r="E180" s="185"/>
      <c r="F180" s="162"/>
      <c r="G180" s="185"/>
      <c r="H180" s="185"/>
      <c r="I180" s="2512"/>
      <c r="J180" s="2513"/>
      <c r="K180" s="2513"/>
      <c r="L180" s="2513"/>
      <c r="M180" s="2513"/>
      <c r="N180" s="2513"/>
      <c r="O180" s="2513"/>
      <c r="P180" s="2513"/>
      <c r="Q180" s="2513"/>
      <c r="R180" s="2513"/>
      <c r="S180" s="2513"/>
      <c r="T180" s="2513"/>
      <c r="U180" s="2513"/>
      <c r="V180" s="2513"/>
      <c r="X180" s="2513"/>
      <c r="Y180" s="2513"/>
      <c r="Z180" s="2513"/>
      <c r="AA180" s="2513"/>
      <c r="AB180" s="2513"/>
      <c r="AC180" s="2513"/>
      <c r="AD180" s="2513"/>
      <c r="AE180" s="2513"/>
      <c r="AF180" s="2513"/>
      <c r="AG180" s="2513"/>
      <c r="AH180" s="2513"/>
      <c r="AI180" s="2513"/>
      <c r="AJ180" s="2513"/>
      <c r="AK180" s="2513"/>
      <c r="AM180" s="2513"/>
      <c r="AN180" s="2513"/>
      <c r="AO180" s="2513"/>
      <c r="AP180" s="2513"/>
      <c r="AQ180" s="2513"/>
      <c r="AR180" s="2513"/>
      <c r="AS180" s="2513"/>
      <c r="AT180" s="2513"/>
      <c r="AU180" s="2513"/>
      <c r="AV180" s="2513"/>
      <c r="AW180" s="2513"/>
      <c r="AX180" s="2513"/>
      <c r="AY180" s="2513"/>
      <c r="AZ180" s="2513"/>
      <c r="BB180" s="164" t="s">
        <v>2233</v>
      </c>
      <c r="BC180" s="641">
        <f>SUM('4.03_Repex_Mains_Tier-2B_&amp;_3'!AN142,'4.05_Repex_Mains_Diversions'!AN217,'4.05_Repex_Mains_Diversions'!AN285,'4.06_Capitalised_Replacement'!AN132)</f>
        <v>-7.6729999999999992</v>
      </c>
      <c r="BD180" s="642">
        <f>SUM('4.03_Repex_Mains_Tier-2B_&amp;_3'!AO142,'4.05_Repex_Mains_Diversions'!AO217,'4.05_Repex_Mains_Diversions'!AO285,'4.06_Capitalised_Replacement'!AO132)</f>
        <v>-5.7879999999999985</v>
      </c>
      <c r="BE180" s="642">
        <f>SUM('4.03_Repex_Mains_Tier-2B_&amp;_3'!AP142,'4.05_Repex_Mains_Diversions'!AP217,'4.05_Repex_Mains_Diversions'!AP285,'4.06_Capitalised_Replacement'!AP132)</f>
        <v>-4.2565</v>
      </c>
      <c r="BF180" s="642">
        <f>SUM('4.03_Repex_Mains_Tier-2B_&amp;_3'!AQ142,'4.05_Repex_Mains_Diversions'!AQ217,'4.05_Repex_Mains_Diversions'!AQ285,'4.06_Capitalised_Replacement'!AQ132)</f>
        <v>-4.282999999999995</v>
      </c>
      <c r="BG180" s="642">
        <f>SUM('4.03_Repex_Mains_Tier-2B_&amp;_3'!AR142,'4.05_Repex_Mains_Diversions'!AR217,'4.05_Repex_Mains_Diversions'!AR285,'4.06_Capitalised_Replacement'!AR132)</f>
        <v>-2.2720000000000002</v>
      </c>
      <c r="BH180" s="642">
        <f>SUM('4.03_Repex_Mains_Tier-2B_&amp;_3'!AS142,'4.05_Repex_Mains_Diversions'!AS217,'4.05_Repex_Mains_Diversions'!AS285,'4.06_Capitalised_Replacement'!AS132)</f>
        <v>-4.4930000000000003</v>
      </c>
      <c r="BI180" s="642">
        <f>SUM('4.03_Repex_Mains_Tier-2B_&amp;_3'!AT142,'4.05_Repex_Mains_Diversions'!AT217,'4.05_Repex_Mains_Diversions'!AT285,'4.06_Capitalised_Replacement'!AT132)</f>
        <v>-6.7999999999999989</v>
      </c>
      <c r="BJ180" s="643">
        <f>SUM('4.03_Repex_Mains_Tier-2B_&amp;_3'!AU142,'4.05_Repex_Mains_Diversions'!AU217,'4.05_Repex_Mains_Diversions'!AU285,'4.06_Capitalised_Replacement'!AU132)</f>
        <v>-4.9999999999999991</v>
      </c>
      <c r="BK180" s="641">
        <f>SUM('4.03_Repex_Mains_Tier-2B_&amp;_3'!AV142,'4.05_Repex_Mains_Diversions'!AV217,'4.05_Repex_Mains_Diversions'!AV285,'4.06_Capitalised_Replacement'!AV132)</f>
        <v>-10.525936984952885</v>
      </c>
      <c r="BL180" s="642">
        <f>SUM('4.03_Repex_Mains_Tier-2B_&amp;_3'!AW142,'4.05_Repex_Mains_Diversions'!AW217,'4.05_Repex_Mains_Diversions'!AW285,'4.06_Capitalised_Replacement'!AW132)</f>
        <v>-10.525936984952885</v>
      </c>
      <c r="BM180" s="642">
        <f>SUM('4.03_Repex_Mains_Tier-2B_&amp;_3'!AX142,'4.05_Repex_Mains_Diversions'!AX217,'4.05_Repex_Mains_Diversions'!AX285,'4.06_Capitalised_Replacement'!AX132)</f>
        <v>-10.525936984952885</v>
      </c>
      <c r="BN180" s="642">
        <f>SUM('4.03_Repex_Mains_Tier-2B_&amp;_3'!AY142,'4.05_Repex_Mains_Diversions'!AY217,'4.05_Repex_Mains_Diversions'!AY285,'4.06_Capitalised_Replacement'!AY132)</f>
        <v>-10.525936984952885</v>
      </c>
      <c r="BO180" s="643">
        <f>SUM('4.03_Repex_Mains_Tier-2B_&amp;_3'!AZ142,'4.05_Repex_Mains_Diversions'!AZ217,'4.05_Repex_Mains_Diversions'!AZ285,'4.06_Capitalised_Replacement'!AZ132)</f>
        <v>-10.525936984952885</v>
      </c>
    </row>
    <row r="181" spans="2:76" ht="14.25">
      <c r="B181" s="161"/>
      <c r="C181" s="185"/>
      <c r="D181" s="185" t="s">
        <v>2684</v>
      </c>
      <c r="E181" s="185"/>
      <c r="F181" s="162"/>
      <c r="G181" s="185"/>
      <c r="H181" s="185"/>
      <c r="I181" s="2512"/>
      <c r="J181" s="2513"/>
      <c r="K181" s="2513"/>
      <c r="L181" s="2513"/>
      <c r="M181" s="2513"/>
      <c r="N181" s="2513"/>
      <c r="O181" s="2513"/>
      <c r="P181" s="2513"/>
      <c r="Q181" s="2513"/>
      <c r="R181" s="2513"/>
      <c r="S181" s="2513"/>
      <c r="T181" s="2513"/>
      <c r="U181" s="2513"/>
      <c r="V181" s="2513"/>
      <c r="X181" s="2513"/>
      <c r="Y181" s="2513"/>
      <c r="Z181" s="2513"/>
      <c r="AA181" s="2513"/>
      <c r="AB181" s="2513"/>
      <c r="AC181" s="2513"/>
      <c r="AD181" s="2513"/>
      <c r="AE181" s="2513"/>
      <c r="AF181" s="2513"/>
      <c r="AG181" s="2513"/>
      <c r="AH181" s="2513"/>
      <c r="AI181" s="2513"/>
      <c r="AJ181" s="2513"/>
      <c r="AK181" s="2513"/>
      <c r="AM181" s="2513"/>
      <c r="AN181" s="2513"/>
      <c r="AO181" s="2513"/>
      <c r="AP181" s="2513"/>
      <c r="AQ181" s="2513"/>
      <c r="AR181" s="2513"/>
      <c r="AS181" s="2513"/>
      <c r="AT181" s="2513"/>
      <c r="AU181" s="2513"/>
      <c r="AV181" s="2513"/>
      <c r="AW181" s="2513"/>
      <c r="AX181" s="2513"/>
      <c r="AY181" s="2513"/>
      <c r="AZ181" s="2513"/>
      <c r="BB181" s="164" t="s">
        <v>2233</v>
      </c>
      <c r="BC181" s="641">
        <f>SUM('4.04_Repex_Mains_Other'!AN160,'4.04_Repex_Mains_Other'!AN177,'4.04_Repex_Mains_Other'!AN231,'4.05_Repex_Mains_Diversions'!AN229,'4.05_Repex_Mains_Diversions'!AN244,'4.05_Repex_Mains_Diversions'!AN256,'4.05_Repex_Mains_Diversions'!AN297,'4.05_Repex_Mains_Diversions'!AN312,'4.05_Repex_Mains_Diversions'!AN324,'4.06_Capitalised_Replacement'!AN144,'4.06_Capitalised_Replacement'!AN159,'4.06_Capitalised_Replacement'!AN171)</f>
        <v>-34.554950000000005</v>
      </c>
      <c r="BD181" s="642">
        <f>SUM('4.04_Repex_Mains_Other'!AO160,'4.04_Repex_Mains_Other'!AO177,'4.04_Repex_Mains_Other'!AO231,'4.05_Repex_Mains_Diversions'!AO229,'4.05_Repex_Mains_Diversions'!AO244,'4.05_Repex_Mains_Diversions'!AO256,'4.05_Repex_Mains_Diversions'!AO297,'4.05_Repex_Mains_Diversions'!AO312,'4.05_Repex_Mains_Diversions'!AO324,'4.06_Capitalised_Replacement'!AO144,'4.06_Capitalised_Replacement'!AO159,'4.06_Capitalised_Replacement'!AO171)</f>
        <v>-40.398900000000005</v>
      </c>
      <c r="BE181" s="642">
        <f>SUM('4.04_Repex_Mains_Other'!AP160,'4.04_Repex_Mains_Other'!AP177,'4.04_Repex_Mains_Other'!AP231,'4.05_Repex_Mains_Diversions'!AP229,'4.05_Repex_Mains_Diversions'!AP244,'4.05_Repex_Mains_Diversions'!AP256,'4.05_Repex_Mains_Diversions'!AP297,'4.05_Repex_Mains_Diversions'!AP312,'4.05_Repex_Mains_Diversions'!AP324,'4.06_Capitalised_Replacement'!AP144,'4.06_Capitalised_Replacement'!AP159,'4.06_Capitalised_Replacement'!AP171)</f>
        <v>-29.377899999999993</v>
      </c>
      <c r="BF181" s="642">
        <f>SUM('4.04_Repex_Mains_Other'!AQ160,'4.04_Repex_Mains_Other'!AQ177,'4.04_Repex_Mains_Other'!AQ231,'4.05_Repex_Mains_Diversions'!AQ229,'4.05_Repex_Mains_Diversions'!AQ244,'4.05_Repex_Mains_Diversions'!AQ256,'4.05_Repex_Mains_Diversions'!AQ297,'4.05_Repex_Mains_Diversions'!AQ312,'4.05_Repex_Mains_Diversions'!AQ324,'4.06_Capitalised_Replacement'!AQ144,'4.06_Capitalised_Replacement'!AQ159,'4.06_Capitalised_Replacement'!AQ171)</f>
        <v>-37.397999999999996</v>
      </c>
      <c r="BG181" s="642">
        <f>SUM('4.04_Repex_Mains_Other'!AR160,'4.04_Repex_Mains_Other'!AR177,'4.04_Repex_Mains_Other'!AR231,'4.05_Repex_Mains_Diversions'!AR229,'4.05_Repex_Mains_Diversions'!AR244,'4.05_Repex_Mains_Diversions'!AR256,'4.05_Repex_Mains_Diversions'!AR297,'4.05_Repex_Mains_Diversions'!AR312,'4.05_Repex_Mains_Diversions'!AR324,'4.06_Capitalised_Replacement'!AR144,'4.06_Capitalised_Replacement'!AR159,'4.06_Capitalised_Replacement'!AR171)</f>
        <v>-33.382999999999974</v>
      </c>
      <c r="BH181" s="642">
        <f>SUM('4.04_Repex_Mains_Other'!AS160,'4.04_Repex_Mains_Other'!AS177,'4.04_Repex_Mains_Other'!AS231,'4.05_Repex_Mains_Diversions'!AS229,'4.05_Repex_Mains_Diversions'!AS244,'4.05_Repex_Mains_Diversions'!AS256,'4.05_Repex_Mains_Diversions'!AS297,'4.05_Repex_Mains_Diversions'!AS312,'4.05_Repex_Mains_Diversions'!AS324,'4.06_Capitalised_Replacement'!AS144,'4.06_Capitalised_Replacement'!AS159,'4.06_Capitalised_Replacement'!AS171)</f>
        <v>-31.618999999999993</v>
      </c>
      <c r="BI181" s="642">
        <f>SUM('4.04_Repex_Mains_Other'!AT160,'4.04_Repex_Mains_Other'!AT177,'4.04_Repex_Mains_Other'!AT231,'4.05_Repex_Mains_Diversions'!AT229,'4.05_Repex_Mains_Diversions'!AT244,'4.05_Repex_Mains_Diversions'!AT256,'4.05_Repex_Mains_Diversions'!AT297,'4.05_Repex_Mains_Diversions'!AT312,'4.05_Repex_Mains_Diversions'!AT324,'4.06_Capitalised_Replacement'!AT144,'4.06_Capitalised_Replacement'!AT159,'4.06_Capitalised_Replacement'!AT171)</f>
        <v>-22.598275234901003</v>
      </c>
      <c r="BJ181" s="643">
        <f>SUM('4.04_Repex_Mains_Other'!AU160,'4.04_Repex_Mains_Other'!AU177,'4.04_Repex_Mains_Other'!AU231,'4.05_Repex_Mains_Diversions'!AU229,'4.05_Repex_Mains_Diversions'!AU244,'4.05_Repex_Mains_Diversions'!AU256,'4.05_Repex_Mains_Diversions'!AU297,'4.05_Repex_Mains_Diversions'!AU312,'4.05_Repex_Mains_Diversions'!AU324,'4.06_Capitalised_Replacement'!AU144,'4.06_Capitalised_Replacement'!AU159,'4.06_Capitalised_Replacement'!AU171)</f>
        <v>-22.59827523490101</v>
      </c>
      <c r="BK181" s="641">
        <f>SUM('4.04_Repex_Mains_Other'!AV160,'4.04_Repex_Mains_Other'!AV177,'4.04_Repex_Mains_Other'!AV231,'4.05_Repex_Mains_Diversions'!AV229,'4.05_Repex_Mains_Diversions'!AV244,'4.05_Repex_Mains_Diversions'!AV256,'4.05_Repex_Mains_Diversions'!AV297,'4.05_Repex_Mains_Diversions'!AV312,'4.05_Repex_Mains_Diversions'!AV324,'4.06_Capitalised_Replacement'!AV144,'4.06_Capitalised_Replacement'!AV159,'4.06_Capitalised_Replacement'!AV171)</f>
        <v>-44.51585</v>
      </c>
      <c r="BL181" s="642">
        <f>SUM('4.04_Repex_Mains_Other'!AW160,'4.04_Repex_Mains_Other'!AW177,'4.04_Repex_Mains_Other'!AW231,'4.05_Repex_Mains_Diversions'!AW229,'4.05_Repex_Mains_Diversions'!AW244,'4.05_Repex_Mains_Diversions'!AW256,'4.05_Repex_Mains_Diversions'!AW297,'4.05_Repex_Mains_Diversions'!AW312,'4.05_Repex_Mains_Diversions'!AW324,'4.06_Capitalised_Replacement'!AW144,'4.06_Capitalised_Replacement'!AW159,'4.06_Capitalised_Replacement'!AW171)</f>
        <v>-44.51585</v>
      </c>
      <c r="BM181" s="642">
        <f>SUM('4.04_Repex_Mains_Other'!AX160,'4.04_Repex_Mains_Other'!AX177,'4.04_Repex_Mains_Other'!AX231,'4.05_Repex_Mains_Diversions'!AX229,'4.05_Repex_Mains_Diversions'!AX244,'4.05_Repex_Mains_Diversions'!AX256,'4.05_Repex_Mains_Diversions'!AX297,'4.05_Repex_Mains_Diversions'!AX312,'4.05_Repex_Mains_Diversions'!AX324,'4.06_Capitalised_Replacement'!AX144,'4.06_Capitalised_Replacement'!AX159,'4.06_Capitalised_Replacement'!AX171)</f>
        <v>-44.51585</v>
      </c>
      <c r="BN181" s="642">
        <f>SUM('4.04_Repex_Mains_Other'!AY160,'4.04_Repex_Mains_Other'!AY177,'4.04_Repex_Mains_Other'!AY231,'4.05_Repex_Mains_Diversions'!AY229,'4.05_Repex_Mains_Diversions'!AY244,'4.05_Repex_Mains_Diversions'!AY256,'4.05_Repex_Mains_Diversions'!AY297,'4.05_Repex_Mains_Diversions'!AY312,'4.05_Repex_Mains_Diversions'!AY324,'4.06_Capitalised_Replacement'!AY144,'4.06_Capitalised_Replacement'!AY159,'4.06_Capitalised_Replacement'!AY171)</f>
        <v>-44.51585</v>
      </c>
      <c r="BO181" s="643">
        <f>SUM('4.04_Repex_Mains_Other'!AZ160,'4.04_Repex_Mains_Other'!AZ177,'4.04_Repex_Mains_Other'!AZ231,'4.05_Repex_Mains_Diversions'!AZ229,'4.05_Repex_Mains_Diversions'!AZ244,'4.05_Repex_Mains_Diversions'!AZ256,'4.05_Repex_Mains_Diversions'!AZ297,'4.05_Repex_Mains_Diversions'!AZ312,'4.05_Repex_Mains_Diversions'!AZ324,'4.06_Capitalised_Replacement'!AZ144,'4.06_Capitalised_Replacement'!AZ159,'4.06_Capitalised_Replacement'!AZ171)</f>
        <v>-44.51585</v>
      </c>
    </row>
    <row r="182" spans="2:76" ht="14.25">
      <c r="B182" s="161"/>
      <c r="C182" s="185"/>
      <c r="D182" s="185" t="s">
        <v>2685</v>
      </c>
      <c r="E182" s="185"/>
      <c r="F182" s="162"/>
      <c r="G182" s="185"/>
      <c r="H182" s="185"/>
      <c r="I182" s="2512"/>
      <c r="J182" s="2513"/>
      <c r="K182" s="2513"/>
      <c r="L182" s="2513"/>
      <c r="M182" s="2513"/>
      <c r="N182" s="2513"/>
      <c r="O182" s="2513"/>
      <c r="P182" s="2513"/>
      <c r="Q182" s="2513"/>
      <c r="R182" s="2513"/>
      <c r="S182" s="2513"/>
      <c r="T182" s="2513"/>
      <c r="U182" s="2513"/>
      <c r="V182" s="2513"/>
      <c r="X182" s="2513"/>
      <c r="Y182" s="2513"/>
      <c r="Z182" s="2513"/>
      <c r="AA182" s="2513"/>
      <c r="AB182" s="2513"/>
      <c r="AC182" s="2513"/>
      <c r="AD182" s="2513"/>
      <c r="AE182" s="2513"/>
      <c r="AF182" s="2513"/>
      <c r="AG182" s="2513"/>
      <c r="AH182" s="2513"/>
      <c r="AI182" s="2513"/>
      <c r="AJ182" s="2513"/>
      <c r="AK182" s="2513"/>
      <c r="AM182" s="2513"/>
      <c r="AN182" s="2513"/>
      <c r="AO182" s="2513"/>
      <c r="AP182" s="2513"/>
      <c r="AQ182" s="2513"/>
      <c r="AR182" s="2513"/>
      <c r="AS182" s="2513"/>
      <c r="AT182" s="2513"/>
      <c r="AU182" s="2513"/>
      <c r="AV182" s="2513"/>
      <c r="AW182" s="2513"/>
      <c r="AX182" s="2513"/>
      <c r="AY182" s="2513"/>
      <c r="AZ182" s="2513"/>
      <c r="BB182" s="164" t="s">
        <v>2233</v>
      </c>
      <c r="BC182" s="1371">
        <f>'4.01_Repex_Mains_Tier-1'!AN81+'4.05_Repex_Mains_Diversions'!AN300+'4.05_Repex_Mains_Diversions'!AN232+'4.06_Capitalised_Replacement'!AN147</f>
        <v>-42.092899999999993</v>
      </c>
      <c r="BD182" s="1371">
        <f>'4.01_Repex_Mains_Tier-1'!AO81+'4.05_Repex_Mains_Diversions'!AO300+'4.05_Repex_Mains_Diversions'!AO232+'4.06_Capitalised_Replacement'!AO147</f>
        <v>-55.88834000000012</v>
      </c>
      <c r="BE182" s="1371">
        <f>'4.01_Repex_Mains_Tier-1'!AP81+'4.05_Repex_Mains_Diversions'!AP300+'4.05_Repex_Mains_Diversions'!AP232+'4.06_Capitalised_Replacement'!AP147</f>
        <v>-39.865500000000054</v>
      </c>
      <c r="BF182" s="1371">
        <f>'4.01_Repex_Mains_Tier-1'!AQ81+'4.05_Repex_Mains_Diversions'!AQ300+'4.05_Repex_Mains_Diversions'!AQ232+'4.06_Capitalised_Replacement'!AQ147</f>
        <v>-43.465000000000082</v>
      </c>
      <c r="BG182" s="1371">
        <f>'4.01_Repex_Mains_Tier-1'!AR81+'4.05_Repex_Mains_Diversions'!AR300+'4.05_Repex_Mains_Diversions'!AR232+'4.06_Capitalised_Replacement'!AR147</f>
        <v>-42.60799999999994</v>
      </c>
      <c r="BH182" s="1371">
        <f>'4.01_Repex_Mains_Tier-1'!AS81+'4.05_Repex_Mains_Diversions'!AS300+'4.05_Repex_Mains_Diversions'!AS232+'4.06_Capitalised_Replacement'!AS147</f>
        <v>-42.667000000000087</v>
      </c>
      <c r="BI182" s="1371">
        <f>'4.01_Repex_Mains_Tier-1'!AT81+'4.05_Repex_Mains_Diversions'!AT300+'4.05_Repex_Mains_Diversions'!AT232+'4.06_Capitalised_Replacement'!AT147</f>
        <v>-44.813181431765699</v>
      </c>
      <c r="BJ182" s="1371">
        <f>'4.01_Repex_Mains_Tier-1'!AU81+'4.05_Repex_Mains_Diversions'!AU300+'4.05_Repex_Mains_Diversions'!AU232+'4.06_Capitalised_Replacement'!AU147</f>
        <v>-44.813181431765699</v>
      </c>
      <c r="BK182" s="1371">
        <f>'4.01_Repex_Mains_Tier-1'!AV81+'4.05_Repex_Mains_Diversions'!AV300+'4.05_Repex_Mains_Diversions'!AV232+'4.06_Capitalised_Replacement'!AV147</f>
        <v>-43.772500000000001</v>
      </c>
      <c r="BL182" s="1371">
        <f>'4.01_Repex_Mains_Tier-1'!AW81+'4.05_Repex_Mains_Diversions'!AW300+'4.05_Repex_Mains_Diversions'!AW232+'4.06_Capitalised_Replacement'!AW147</f>
        <v>-43.772500000000001</v>
      </c>
      <c r="BM182" s="1371">
        <f>'4.01_Repex_Mains_Tier-1'!AX81+'4.05_Repex_Mains_Diversions'!AX300+'4.05_Repex_Mains_Diversions'!AX232+'4.06_Capitalised_Replacement'!AX147</f>
        <v>-43.772500000000001</v>
      </c>
      <c r="BN182" s="1371">
        <f>'4.01_Repex_Mains_Tier-1'!AY81+'4.05_Repex_Mains_Diversions'!AY300+'4.05_Repex_Mains_Diversions'!AY232+'4.06_Capitalised_Replacement'!AY147</f>
        <v>-43.772500000000001</v>
      </c>
      <c r="BO182" s="1371">
        <f>'4.01_Repex_Mains_Tier-1'!AZ81+'4.05_Repex_Mains_Diversions'!AZ300+'4.05_Repex_Mains_Diversions'!AZ232+'4.06_Capitalised_Replacement'!AZ147</f>
        <v>-43.772500000000001</v>
      </c>
    </row>
    <row r="183" spans="2:76" ht="15" thickBot="1">
      <c r="B183" s="191" t="s">
        <v>1701</v>
      </c>
      <c r="C183" s="192"/>
      <c r="D183" s="192"/>
      <c r="E183" s="193"/>
      <c r="F183" s="192"/>
      <c r="G183" s="192"/>
      <c r="H183" s="194"/>
      <c r="I183" s="2515"/>
      <c r="J183" s="2516"/>
      <c r="K183" s="2516"/>
      <c r="L183" s="2516"/>
      <c r="M183" s="2516"/>
      <c r="N183" s="2516"/>
      <c r="O183" s="2516"/>
      <c r="P183" s="2516"/>
      <c r="Q183" s="2516"/>
      <c r="R183" s="2516"/>
      <c r="S183" s="2516"/>
      <c r="T183" s="2516"/>
      <c r="U183" s="2516"/>
      <c r="V183" s="2516"/>
      <c r="W183" s="657"/>
      <c r="X183" s="2516"/>
      <c r="Y183" s="2516"/>
      <c r="Z183" s="2516"/>
      <c r="AA183" s="2516"/>
      <c r="AB183" s="2516"/>
      <c r="AC183" s="2516"/>
      <c r="AD183" s="2516"/>
      <c r="AE183" s="2516"/>
      <c r="AF183" s="2516"/>
      <c r="AG183" s="2516"/>
      <c r="AH183" s="2516"/>
      <c r="AI183" s="2516"/>
      <c r="AJ183" s="2516"/>
      <c r="AK183" s="2516"/>
      <c r="AL183" s="657"/>
      <c r="AM183" s="2516"/>
      <c r="AN183" s="2516"/>
      <c r="AO183" s="2516"/>
      <c r="AP183" s="2516"/>
      <c r="AQ183" s="2516"/>
      <c r="AR183" s="2516"/>
      <c r="AS183" s="2516"/>
      <c r="AT183" s="2516"/>
      <c r="AU183" s="2516"/>
      <c r="AV183" s="2516"/>
      <c r="AW183" s="2516"/>
      <c r="AX183" s="2516"/>
      <c r="AY183" s="2516"/>
      <c r="AZ183" s="2516"/>
      <c r="BA183" s="1355"/>
      <c r="BB183" s="195" t="s">
        <v>2233</v>
      </c>
      <c r="BC183" s="701">
        <f>SUM(BC177:BC182)</f>
        <v>-564.50695999999994</v>
      </c>
      <c r="BD183" s="702">
        <f t="shared" ref="BD183:BO183" si="1076">SUM(BD177:BD182)</f>
        <v>-618.41255999999953</v>
      </c>
      <c r="BE183" s="702">
        <f t="shared" si="1076"/>
        <v>-534.39820000000032</v>
      </c>
      <c r="BF183" s="702">
        <f t="shared" si="1076"/>
        <v>-556.74399999999639</v>
      </c>
      <c r="BG183" s="702">
        <f t="shared" si="1076"/>
        <v>-592.49799999999652</v>
      </c>
      <c r="BH183" s="702">
        <f t="shared" si="1076"/>
        <v>-602.9860000000001</v>
      </c>
      <c r="BI183" s="702">
        <f t="shared" si="1076"/>
        <v>-577.19652066666663</v>
      </c>
      <c r="BJ183" s="703">
        <f t="shared" si="1076"/>
        <v>-542.90022266666665</v>
      </c>
      <c r="BK183" s="701">
        <f t="shared" si="1076"/>
        <v>-563.06553416905831</v>
      </c>
      <c r="BL183" s="702">
        <f t="shared" si="1076"/>
        <v>-563.06553416905831</v>
      </c>
      <c r="BM183" s="702">
        <f t="shared" si="1076"/>
        <v>-563.06553416905831</v>
      </c>
      <c r="BN183" s="702">
        <f t="shared" si="1076"/>
        <v>-563.06553416905831</v>
      </c>
      <c r="BO183" s="703">
        <f t="shared" si="1076"/>
        <v>-563.06553416905831</v>
      </c>
    </row>
    <row r="185" spans="2:76">
      <c r="B185" s="173"/>
      <c r="C185" s="173"/>
      <c r="D185" s="173"/>
      <c r="E185" s="173"/>
      <c r="F185" s="173"/>
      <c r="I185" s="173"/>
      <c r="AH185" s="173"/>
      <c r="AQ185" s="173"/>
    </row>
    <row r="186" spans="2:76">
      <c r="B186" s="173"/>
      <c r="C186" s="173"/>
      <c r="D186" s="173"/>
      <c r="E186" s="173"/>
      <c r="F186" s="173"/>
      <c r="I186" s="173"/>
      <c r="AH186" s="173"/>
      <c r="AQ186" s="173"/>
    </row>
    <row r="187" spans="2:76">
      <c r="B187" s="173"/>
      <c r="C187" s="173"/>
      <c r="D187" s="173"/>
      <c r="E187" s="173"/>
      <c r="F187" s="173"/>
      <c r="I187" s="173"/>
      <c r="AH187" s="173"/>
      <c r="AQ187" s="173"/>
    </row>
    <row r="188" spans="2:76">
      <c r="B188" s="173"/>
      <c r="C188" s="173"/>
      <c r="D188" s="173"/>
      <c r="E188" s="173"/>
      <c r="F188" s="173"/>
      <c r="I188" s="173"/>
      <c r="AH188" s="173"/>
      <c r="AQ188" s="173"/>
    </row>
    <row r="189" spans="2:76">
      <c r="B189" s="173"/>
      <c r="C189" s="173"/>
      <c r="D189" s="173"/>
      <c r="E189" s="173"/>
      <c r="F189" s="173"/>
      <c r="I189" s="173"/>
      <c r="AH189" s="173"/>
      <c r="AQ189" s="173"/>
    </row>
    <row r="190" spans="2:76" ht="14.25">
      <c r="B190" s="173"/>
      <c r="C190" s="173"/>
      <c r="D190" s="173"/>
      <c r="E190" s="173"/>
      <c r="F190" s="173"/>
      <c r="I190" s="173"/>
      <c r="AH190" s="173"/>
      <c r="AQ190" s="173"/>
      <c r="BA190" s="163"/>
      <c r="BB190" s="117"/>
      <c r="BD190" s="117"/>
      <c r="BE190" s="117"/>
      <c r="BF190" s="117"/>
      <c r="BG190" s="117"/>
      <c r="BH190" s="117"/>
      <c r="BI190" s="117"/>
      <c r="BU190" s="117"/>
      <c r="BV190" s="117"/>
      <c r="BW190" s="117"/>
      <c r="BX190" s="117"/>
    </row>
    <row r="191" spans="2:76">
      <c r="B191" s="173"/>
      <c r="C191" s="173"/>
      <c r="D191" s="173"/>
      <c r="E191" s="173"/>
      <c r="F191" s="173"/>
      <c r="I191" s="173"/>
      <c r="AH191" s="173"/>
      <c r="AQ191" s="173"/>
    </row>
    <row r="192" spans="2:76">
      <c r="B192" s="173"/>
      <c r="C192" s="173"/>
      <c r="D192" s="173"/>
      <c r="E192" s="173"/>
      <c r="F192" s="173"/>
      <c r="I192" s="173"/>
      <c r="AH192" s="173"/>
      <c r="AQ192" s="173"/>
    </row>
    <row r="193" spans="2:43">
      <c r="B193" s="173"/>
      <c r="C193" s="173"/>
      <c r="D193" s="173"/>
      <c r="E193" s="173"/>
      <c r="F193" s="173"/>
      <c r="I193" s="173"/>
      <c r="AH193" s="173"/>
      <c r="AQ193" s="173"/>
    </row>
    <row r="194" spans="2:43">
      <c r="B194" s="173"/>
      <c r="C194" s="173"/>
      <c r="D194" s="173"/>
      <c r="E194" s="173"/>
      <c r="F194" s="173"/>
      <c r="I194" s="173"/>
      <c r="AH194" s="173"/>
      <c r="AQ194" s="173"/>
    </row>
  </sheetData>
  <pageMargins left="0.7" right="0.7" top="0.75" bottom="0.75" header="0.3" footer="0.3"/>
  <pageSetup paperSize="8" scale="5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FF6600"/>
  </sheetPr>
  <dimension ref="A1:CJ102"/>
  <sheetViews>
    <sheetView showGridLines="0" topLeftCell="A48" zoomScale="60" zoomScaleNormal="60" workbookViewId="0">
      <pane xSplit="7" topLeftCell="AR1" activePane="topRight" state="frozen"/>
      <selection activeCell="G14" sqref="G14"/>
      <selection pane="topRight" activeCell="AV59" sqref="AV59:AV62"/>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8" width="15.625" style="173" customWidth="1"/>
    <col min="59" max="59" width="5.625" style="173" customWidth="1"/>
    <col min="60" max="73" width="13.625" style="173" customWidth="1"/>
    <col min="74" max="74" width="5.625" style="173" customWidth="1"/>
    <col min="75"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2686</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row>
    <row r="9" spans="1:59"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row>
    <row r="10" spans="1:59"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4"/>
    </row>
    <row r="11" spans="1:59"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4"/>
    </row>
    <row r="12" spans="1:59" s="89" customFormat="1" ht="15" customHeight="1">
      <c r="B12" s="123"/>
      <c r="C12" s="127"/>
      <c r="D12" s="127" t="s">
        <v>2687</v>
      </c>
      <c r="E12" s="127"/>
      <c r="F12" s="127"/>
      <c r="G12" s="117"/>
      <c r="H12" s="118"/>
      <c r="I12" s="119" t="s">
        <v>498</v>
      </c>
      <c r="J12" s="128">
        <f>J29</f>
        <v>38.163266425433378</v>
      </c>
      <c r="K12" s="129">
        <f t="shared" ref="K12:V12" si="0">K29</f>
        <v>41.875648472622821</v>
      </c>
      <c r="L12" s="129">
        <f t="shared" si="0"/>
        <v>41.216738959554753</v>
      </c>
      <c r="M12" s="129">
        <f t="shared" si="0"/>
        <v>38.667575885962982</v>
      </c>
      <c r="N12" s="129">
        <f t="shared" si="0"/>
        <v>39.403830339563761</v>
      </c>
      <c r="O12" s="129">
        <f t="shared" si="0"/>
        <v>39.824510528030558</v>
      </c>
      <c r="P12" s="129">
        <f t="shared" si="0"/>
        <v>37.971739619409938</v>
      </c>
      <c r="Q12" s="130">
        <f t="shared" si="0"/>
        <v>34.643209346700459</v>
      </c>
      <c r="R12" s="128">
        <f t="shared" si="0"/>
        <v>34.489047095620073</v>
      </c>
      <c r="S12" s="129">
        <f t="shared" si="0"/>
        <v>34.316601860141958</v>
      </c>
      <c r="T12" s="129">
        <f t="shared" si="0"/>
        <v>34.145018850841254</v>
      </c>
      <c r="U12" s="129">
        <f t="shared" si="0"/>
        <v>33.974293756587045</v>
      </c>
      <c r="V12" s="130">
        <f t="shared" si="0"/>
        <v>33.804422287804115</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4"/>
    </row>
    <row r="13" spans="1:59" s="89" customFormat="1" ht="15" customHeight="1">
      <c r="B13" s="123"/>
      <c r="C13" s="127"/>
      <c r="D13" s="127" t="s">
        <v>2688</v>
      </c>
      <c r="E13" s="127"/>
      <c r="F13" s="127"/>
      <c r="G13" s="117"/>
      <c r="H13" s="118"/>
      <c r="I13" s="119" t="s">
        <v>498</v>
      </c>
      <c r="J13" s="128">
        <f>J40</f>
        <v>10.042425135968191</v>
      </c>
      <c r="K13" s="129">
        <f t="shared" ref="K13:V13" si="1">K40</f>
        <v>8.9909274797976781</v>
      </c>
      <c r="L13" s="129">
        <f t="shared" si="1"/>
        <v>6.8187613116367514</v>
      </c>
      <c r="M13" s="129">
        <f t="shared" si="1"/>
        <v>12.001412990343885</v>
      </c>
      <c r="N13" s="129">
        <f t="shared" si="1"/>
        <v>11.450662732071315</v>
      </c>
      <c r="O13" s="129">
        <f t="shared" si="1"/>
        <v>13.46968306990251</v>
      </c>
      <c r="P13" s="129">
        <f t="shared" si="1"/>
        <v>9.5937233996483826</v>
      </c>
      <c r="Q13" s="130">
        <f t="shared" si="1"/>
        <v>8.9540045735846707</v>
      </c>
      <c r="R13" s="128">
        <f t="shared" si="1"/>
        <v>14.570164361601277</v>
      </c>
      <c r="S13" s="129">
        <f t="shared" si="1"/>
        <v>14.49731353979327</v>
      </c>
      <c r="T13" s="129">
        <f t="shared" si="1"/>
        <v>14.424826972094305</v>
      </c>
      <c r="U13" s="129">
        <f t="shared" si="1"/>
        <v>14.352702837233831</v>
      </c>
      <c r="V13" s="130">
        <f t="shared" si="1"/>
        <v>14.280939323047663</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4"/>
    </row>
    <row r="14" spans="1:59" s="89" customFormat="1" ht="15" customHeight="1">
      <c r="B14" s="123"/>
      <c r="C14" s="127"/>
      <c r="D14" s="127" t="s">
        <v>2689</v>
      </c>
      <c r="E14" s="127"/>
      <c r="F14" s="127"/>
      <c r="G14" s="117"/>
      <c r="H14" s="118"/>
      <c r="I14" s="119" t="s">
        <v>498</v>
      </c>
      <c r="J14" s="128">
        <f>J50</f>
        <v>3.417614086127442</v>
      </c>
      <c r="K14" s="129">
        <f t="shared" ref="K14:V14" si="2">K50</f>
        <v>6.55065582282944</v>
      </c>
      <c r="L14" s="129">
        <f t="shared" si="2"/>
        <v>5.6032751717368887</v>
      </c>
      <c r="M14" s="129">
        <f t="shared" si="2"/>
        <v>5.8235512095882314</v>
      </c>
      <c r="N14" s="129">
        <f t="shared" si="2"/>
        <v>3.9015681751707878</v>
      </c>
      <c r="O14" s="129">
        <f t="shared" si="2"/>
        <v>3.845139749332072</v>
      </c>
      <c r="P14" s="129">
        <f t="shared" si="2"/>
        <v>4.9175247401111406</v>
      </c>
      <c r="Q14" s="130">
        <f t="shared" si="2"/>
        <v>4.7956092198817029</v>
      </c>
      <c r="R14" s="128">
        <f t="shared" si="2"/>
        <v>3.620923645421871</v>
      </c>
      <c r="S14" s="129">
        <f t="shared" si="2"/>
        <v>3.6028190271947618</v>
      </c>
      <c r="T14" s="129">
        <f t="shared" si="2"/>
        <v>3.584804932058788</v>
      </c>
      <c r="U14" s="129">
        <f t="shared" si="2"/>
        <v>3.5668809073984944</v>
      </c>
      <c r="V14" s="130">
        <f t="shared" si="2"/>
        <v>3.5490465028615019</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4"/>
    </row>
    <row r="15" spans="1:59" s="89" customFormat="1" ht="15" customHeight="1" thickBot="1">
      <c r="B15" s="176" t="s">
        <v>1701</v>
      </c>
      <c r="C15" s="132"/>
      <c r="D15" s="132"/>
      <c r="E15" s="132"/>
      <c r="F15" s="132"/>
      <c r="G15" s="145"/>
      <c r="H15" s="133"/>
      <c r="I15" s="146" t="s">
        <v>498</v>
      </c>
      <c r="J15" s="148">
        <f>SUM(J12:J14)</f>
        <v>51.623305647529008</v>
      </c>
      <c r="K15" s="147">
        <f t="shared" ref="K15:V15" si="3">SUM(K12:K14)</f>
        <v>57.417231775249938</v>
      </c>
      <c r="L15" s="147">
        <f t="shared" si="3"/>
        <v>53.638775442928392</v>
      </c>
      <c r="M15" s="147">
        <f t="shared" si="3"/>
        <v>56.492540085895101</v>
      </c>
      <c r="N15" s="147">
        <f t="shared" si="3"/>
        <v>54.756061246805864</v>
      </c>
      <c r="O15" s="147">
        <f t="shared" si="3"/>
        <v>57.139333347265136</v>
      </c>
      <c r="P15" s="147">
        <f t="shared" si="3"/>
        <v>52.482987759169461</v>
      </c>
      <c r="Q15" s="149">
        <f t="shared" si="3"/>
        <v>48.392823140166833</v>
      </c>
      <c r="R15" s="148">
        <f t="shared" si="3"/>
        <v>52.68013510264322</v>
      </c>
      <c r="S15" s="147">
        <f t="shared" si="3"/>
        <v>52.416734427129988</v>
      </c>
      <c r="T15" s="147">
        <f t="shared" si="3"/>
        <v>52.15465075499435</v>
      </c>
      <c r="U15" s="147">
        <f t="shared" si="3"/>
        <v>51.893877501219372</v>
      </c>
      <c r="V15" s="149">
        <f t="shared" si="3"/>
        <v>51.634408113713278</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4"/>
    </row>
    <row r="16" spans="1:59" s="89" customFormat="1" ht="15" customHeight="1" thickBot="1">
      <c r="B16" s="134"/>
      <c r="C16" s="134"/>
      <c r="D16" s="134"/>
      <c r="E16" s="134"/>
      <c r="F16" s="134"/>
      <c r="H16" s="114"/>
      <c r="I16" s="93"/>
      <c r="J16" s="92"/>
      <c r="P16" s="92"/>
      <c r="Q16" s="92"/>
      <c r="R16" s="92"/>
      <c r="S16" s="92"/>
      <c r="T16" s="92"/>
      <c r="U16" s="92"/>
      <c r="V16" s="92"/>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4"/>
    </row>
    <row r="17" spans="1:88" s="100" customFormat="1" ht="30" customHeight="1" thickBot="1">
      <c r="A17" s="89"/>
      <c r="B17" s="621" t="s">
        <v>2652</v>
      </c>
      <c r="C17" s="101"/>
      <c r="D17" s="102"/>
      <c r="E17" s="102"/>
      <c r="F17" s="102"/>
      <c r="G17" s="103"/>
      <c r="H17" s="103"/>
      <c r="I17" s="105" t="s">
        <v>1864</v>
      </c>
      <c r="J17" s="106"/>
      <c r="K17" s="106"/>
      <c r="L17" s="106"/>
      <c r="M17" s="106"/>
      <c r="N17" s="106"/>
      <c r="O17" s="106"/>
      <c r="P17" s="106"/>
      <c r="Q17" s="106"/>
      <c r="R17" s="105"/>
      <c r="S17" s="105"/>
      <c r="T17" s="105"/>
      <c r="U17" s="105"/>
      <c r="V17" s="105"/>
      <c r="W17" s="103"/>
      <c r="X17" s="105" t="s">
        <v>2202</v>
      </c>
      <c r="Y17" s="106"/>
      <c r="Z17" s="106"/>
      <c r="AA17" s="106"/>
      <c r="AB17" s="106"/>
      <c r="AC17" s="106"/>
      <c r="AD17" s="106"/>
      <c r="AE17" s="106"/>
      <c r="AF17" s="106"/>
      <c r="AG17" s="105"/>
      <c r="AH17" s="105"/>
      <c r="AI17" s="105"/>
      <c r="AJ17" s="105"/>
      <c r="AK17" s="105"/>
      <c r="AL17" s="103"/>
      <c r="AM17" s="105" t="s">
        <v>2231</v>
      </c>
      <c r="AN17" s="106"/>
      <c r="AO17" s="106"/>
      <c r="AP17" s="106"/>
      <c r="AQ17" s="106"/>
      <c r="AR17" s="106"/>
      <c r="AS17" s="106"/>
      <c r="AT17" s="106"/>
      <c r="AU17" s="106"/>
      <c r="AV17" s="105"/>
      <c r="AW17" s="105"/>
      <c r="AX17" s="105"/>
      <c r="AY17" s="105"/>
      <c r="AZ17" s="105"/>
      <c r="BA17" s="106"/>
      <c r="BB17" s="106"/>
      <c r="BC17" s="106"/>
      <c r="BD17" s="106"/>
      <c r="BE17" s="106"/>
      <c r="BF17" s="106"/>
      <c r="BG17" s="103"/>
      <c r="BH17" s="105" t="s">
        <v>2690</v>
      </c>
      <c r="BI17" s="105"/>
      <c r="BJ17" s="105"/>
      <c r="BK17" s="105"/>
      <c r="BL17" s="105"/>
      <c r="BM17" s="105"/>
      <c r="BN17" s="105"/>
      <c r="BO17" s="105"/>
      <c r="BP17" s="105"/>
      <c r="BQ17" s="105"/>
      <c r="BR17" s="105"/>
      <c r="BS17" s="105"/>
      <c r="BT17" s="105"/>
      <c r="BU17" s="105"/>
      <c r="BV17" s="103"/>
      <c r="BW17" s="105" t="s">
        <v>2691</v>
      </c>
      <c r="BX17" s="105"/>
      <c r="BY17" s="105"/>
      <c r="BZ17" s="105"/>
      <c r="CA17" s="105"/>
      <c r="CB17" s="105"/>
      <c r="CC17" s="105"/>
      <c r="CD17" s="105"/>
      <c r="CE17" s="105"/>
      <c r="CF17" s="105"/>
      <c r="CG17" s="105"/>
      <c r="CH17" s="105"/>
      <c r="CI17" s="105"/>
      <c r="CJ17" s="187"/>
    </row>
    <row r="18" spans="1:88" s="157" customFormat="1" ht="30" customHeight="1">
      <c r="A18" s="99"/>
      <c r="B18" s="109"/>
      <c r="C18" s="110"/>
      <c r="D18" s="110"/>
      <c r="E18" s="110"/>
      <c r="F18" s="110"/>
      <c r="G18" s="111"/>
      <c r="H18" s="111"/>
      <c r="I18" s="117"/>
      <c r="J18" s="695" t="s">
        <v>1666</v>
      </c>
      <c r="K18" s="152"/>
      <c r="L18" s="152"/>
      <c r="M18" s="152"/>
      <c r="N18" s="152"/>
      <c r="O18" s="152"/>
      <c r="P18" s="152"/>
      <c r="Q18" s="153"/>
      <c r="R18" s="696" t="s">
        <v>2</v>
      </c>
      <c r="S18" s="155"/>
      <c r="T18" s="155"/>
      <c r="U18" s="155"/>
      <c r="V18" s="156"/>
      <c r="W18" s="222"/>
      <c r="X18" s="117"/>
      <c r="Y18" s="695" t="s">
        <v>1666</v>
      </c>
      <c r="Z18" s="152"/>
      <c r="AA18" s="152"/>
      <c r="AB18" s="152"/>
      <c r="AC18" s="152"/>
      <c r="AD18" s="152"/>
      <c r="AE18" s="152"/>
      <c r="AF18" s="153"/>
      <c r="AG18" s="696" t="s">
        <v>2</v>
      </c>
      <c r="AH18" s="155"/>
      <c r="AI18" s="155"/>
      <c r="AJ18" s="155"/>
      <c r="AK18" s="156"/>
      <c r="AL18" s="222"/>
      <c r="AM18" s="117"/>
      <c r="AN18" s="695" t="s">
        <v>1666</v>
      </c>
      <c r="AO18" s="152"/>
      <c r="AP18" s="152"/>
      <c r="AQ18" s="152"/>
      <c r="AR18" s="152"/>
      <c r="AS18" s="152"/>
      <c r="AT18" s="152"/>
      <c r="AU18" s="153"/>
      <c r="AV18" s="696" t="s">
        <v>2</v>
      </c>
      <c r="AW18" s="155"/>
      <c r="AX18" s="155"/>
      <c r="AY18" s="155"/>
      <c r="AZ18" s="156"/>
      <c r="BA18" s="695" t="s">
        <v>2692</v>
      </c>
      <c r="BB18" s="152"/>
      <c r="BC18" s="152"/>
      <c r="BD18" s="152"/>
      <c r="BE18" s="152"/>
      <c r="BF18" s="153"/>
      <c r="BG18" s="222"/>
      <c r="BH18" s="527" t="s">
        <v>2693</v>
      </c>
      <c r="BI18" s="527"/>
      <c r="BJ18" s="527" t="s">
        <v>2694</v>
      </c>
      <c r="BK18" s="527"/>
      <c r="BL18" s="527" t="s">
        <v>2695</v>
      </c>
      <c r="BM18" s="527"/>
      <c r="BN18" s="527" t="s">
        <v>2696</v>
      </c>
      <c r="BO18" s="527"/>
      <c r="BP18" s="527" t="s">
        <v>2697</v>
      </c>
      <c r="BQ18" s="527"/>
      <c r="BR18" s="527" t="s">
        <v>2698</v>
      </c>
      <c r="BS18" s="527"/>
      <c r="BT18" s="527" t="s">
        <v>2699</v>
      </c>
      <c r="BU18" s="527"/>
      <c r="BV18" s="222"/>
      <c r="BW18" s="527" t="s">
        <v>2693</v>
      </c>
      <c r="BX18" s="527"/>
      <c r="BY18" s="527" t="s">
        <v>2694</v>
      </c>
      <c r="BZ18" s="527"/>
      <c r="CA18" s="527" t="s">
        <v>2695</v>
      </c>
      <c r="CB18" s="527"/>
      <c r="CC18" s="527" t="s">
        <v>2696</v>
      </c>
      <c r="CD18" s="527"/>
      <c r="CE18" s="527" t="s">
        <v>2697</v>
      </c>
      <c r="CF18" s="527"/>
      <c r="CG18" s="527" t="s">
        <v>2698</v>
      </c>
      <c r="CH18" s="527"/>
      <c r="CI18" s="527" t="s">
        <v>2699</v>
      </c>
      <c r="CJ18" s="605"/>
    </row>
    <row r="19" spans="1:88" s="98" customFormat="1" ht="15" customHeight="1">
      <c r="A19" s="99"/>
      <c r="B19" s="115"/>
      <c r="C19" s="116"/>
      <c r="D19" s="116"/>
      <c r="E19" s="116"/>
      <c r="F19" s="116"/>
      <c r="G19" s="117"/>
      <c r="H19" s="117"/>
      <c r="I19" s="119" t="s">
        <v>1667</v>
      </c>
      <c r="J19" s="158" t="s">
        <v>453</v>
      </c>
      <c r="K19" s="137" t="s">
        <v>455</v>
      </c>
      <c r="L19" s="137" t="s">
        <v>457</v>
      </c>
      <c r="M19" s="137" t="s">
        <v>459</v>
      </c>
      <c r="N19" s="137" t="s">
        <v>461</v>
      </c>
      <c r="O19" s="137" t="s">
        <v>463</v>
      </c>
      <c r="P19" s="137" t="s">
        <v>465</v>
      </c>
      <c r="Q19" s="138" t="s">
        <v>467</v>
      </c>
      <c r="R19" s="120" t="s">
        <v>469</v>
      </c>
      <c r="S19" s="121" t="s">
        <v>471</v>
      </c>
      <c r="T19" s="121" t="s">
        <v>473</v>
      </c>
      <c r="U19" s="121" t="s">
        <v>475</v>
      </c>
      <c r="V19" s="122" t="s">
        <v>477</v>
      </c>
      <c r="W19" s="185"/>
      <c r="X19" s="119" t="s">
        <v>1667</v>
      </c>
      <c r="Y19" s="158" t="s">
        <v>453</v>
      </c>
      <c r="Z19" s="137" t="s">
        <v>455</v>
      </c>
      <c r="AA19" s="137" t="s">
        <v>457</v>
      </c>
      <c r="AB19" s="137" t="s">
        <v>459</v>
      </c>
      <c r="AC19" s="137" t="s">
        <v>461</v>
      </c>
      <c r="AD19" s="137" t="s">
        <v>463</v>
      </c>
      <c r="AE19" s="137" t="s">
        <v>465</v>
      </c>
      <c r="AF19" s="138" t="s">
        <v>467</v>
      </c>
      <c r="AG19" s="120" t="s">
        <v>469</v>
      </c>
      <c r="AH19" s="121" t="s">
        <v>471</v>
      </c>
      <c r="AI19" s="121" t="s">
        <v>473</v>
      </c>
      <c r="AJ19" s="121" t="s">
        <v>475</v>
      </c>
      <c r="AK19" s="122" t="s">
        <v>477</v>
      </c>
      <c r="AL19" s="185"/>
      <c r="AM19" s="119" t="s">
        <v>1667</v>
      </c>
      <c r="AN19" s="158" t="s">
        <v>453</v>
      </c>
      <c r="AO19" s="137" t="s">
        <v>455</v>
      </c>
      <c r="AP19" s="137" t="s">
        <v>457</v>
      </c>
      <c r="AQ19" s="137" t="s">
        <v>459</v>
      </c>
      <c r="AR19" s="137" t="s">
        <v>461</v>
      </c>
      <c r="AS19" s="137" t="s">
        <v>463</v>
      </c>
      <c r="AT19" s="137" t="s">
        <v>465</v>
      </c>
      <c r="AU19" s="138" t="s">
        <v>467</v>
      </c>
      <c r="AV19" s="120" t="s">
        <v>469</v>
      </c>
      <c r="AW19" s="121" t="s">
        <v>471</v>
      </c>
      <c r="AX19" s="121" t="s">
        <v>473</v>
      </c>
      <c r="AY19" s="121" t="s">
        <v>475</v>
      </c>
      <c r="AZ19" s="122" t="s">
        <v>477</v>
      </c>
      <c r="BA19" s="158" t="s">
        <v>2170</v>
      </c>
      <c r="BB19" s="137" t="s">
        <v>2171</v>
      </c>
      <c r="BC19" s="137" t="s">
        <v>2172</v>
      </c>
      <c r="BD19" s="137" t="s">
        <v>2173</v>
      </c>
      <c r="BE19" s="137" t="s">
        <v>2174</v>
      </c>
      <c r="BF19" s="138" t="s">
        <v>2175</v>
      </c>
      <c r="BG19" s="185"/>
      <c r="BH19" s="531" t="s">
        <v>1667</v>
      </c>
      <c r="BI19" s="531" t="s">
        <v>2142</v>
      </c>
      <c r="BJ19" s="531" t="s">
        <v>1667</v>
      </c>
      <c r="BK19" s="531" t="s">
        <v>2142</v>
      </c>
      <c r="BL19" s="531" t="s">
        <v>1667</v>
      </c>
      <c r="BM19" s="531" t="s">
        <v>2142</v>
      </c>
      <c r="BN19" s="531" t="s">
        <v>1667</v>
      </c>
      <c r="BO19" s="531" t="s">
        <v>2142</v>
      </c>
      <c r="BP19" s="531" t="s">
        <v>1667</v>
      </c>
      <c r="BQ19" s="531" t="s">
        <v>2142</v>
      </c>
      <c r="BR19" s="531" t="s">
        <v>1667</v>
      </c>
      <c r="BS19" s="531" t="s">
        <v>2142</v>
      </c>
      <c r="BT19" s="531" t="s">
        <v>1667</v>
      </c>
      <c r="BU19" s="531" t="s">
        <v>2142</v>
      </c>
      <c r="BV19" s="185"/>
      <c r="BW19" s="531" t="s">
        <v>1667</v>
      </c>
      <c r="BX19" s="531" t="s">
        <v>2142</v>
      </c>
      <c r="BY19" s="531" t="s">
        <v>1667</v>
      </c>
      <c r="BZ19" s="531" t="s">
        <v>2142</v>
      </c>
      <c r="CA19" s="531" t="s">
        <v>1667</v>
      </c>
      <c r="CB19" s="531" t="s">
        <v>2142</v>
      </c>
      <c r="CC19" s="531" t="s">
        <v>1667</v>
      </c>
      <c r="CD19" s="531" t="s">
        <v>2142</v>
      </c>
      <c r="CE19" s="531" t="s">
        <v>1667</v>
      </c>
      <c r="CF19" s="531" t="s">
        <v>2142</v>
      </c>
      <c r="CG19" s="531" t="s">
        <v>1667</v>
      </c>
      <c r="CH19" s="531" t="s">
        <v>2142</v>
      </c>
      <c r="CI19" s="531" t="s">
        <v>1667</v>
      </c>
      <c r="CJ19" s="532" t="s">
        <v>2142</v>
      </c>
    </row>
    <row r="20" spans="1:88" s="98" customFormat="1" ht="15" customHeight="1">
      <c r="A20" s="99"/>
      <c r="B20" s="161"/>
      <c r="C20" s="116" t="s">
        <v>2700</v>
      </c>
      <c r="D20" s="116"/>
      <c r="E20" s="116"/>
      <c r="F20" s="116"/>
      <c r="G20" s="117"/>
      <c r="H20" s="117"/>
      <c r="I20" s="117"/>
      <c r="J20" s="159"/>
      <c r="K20" s="117"/>
      <c r="L20" s="117"/>
      <c r="M20" s="117"/>
      <c r="N20" s="117"/>
      <c r="O20" s="117"/>
      <c r="P20" s="117"/>
      <c r="Q20" s="160"/>
      <c r="R20" s="159"/>
      <c r="S20" s="117"/>
      <c r="T20" s="117"/>
      <c r="U20" s="117"/>
      <c r="V20" s="160"/>
      <c r="W20" s="185"/>
      <c r="X20" s="117"/>
      <c r="Y20" s="159"/>
      <c r="Z20" s="117"/>
      <c r="AA20" s="117"/>
      <c r="AB20" s="117"/>
      <c r="AC20" s="117"/>
      <c r="AD20" s="117"/>
      <c r="AE20" s="117"/>
      <c r="AF20" s="160"/>
      <c r="AG20" s="159"/>
      <c r="AH20" s="117"/>
      <c r="AI20" s="117"/>
      <c r="AJ20" s="117"/>
      <c r="AK20" s="160"/>
      <c r="AL20" s="185"/>
      <c r="AM20" s="117"/>
      <c r="AN20" s="159"/>
      <c r="AO20" s="117"/>
      <c r="AP20" s="117"/>
      <c r="AQ20" s="117"/>
      <c r="AR20" s="117"/>
      <c r="AS20" s="117"/>
      <c r="AT20" s="117"/>
      <c r="AU20" s="160"/>
      <c r="AV20" s="159"/>
      <c r="AW20" s="117"/>
      <c r="AX20" s="117"/>
      <c r="AY20" s="117"/>
      <c r="AZ20" s="160"/>
      <c r="BA20" s="159"/>
      <c r="BB20" s="117"/>
      <c r="BC20" s="117"/>
      <c r="BD20" s="117"/>
      <c r="BE20" s="117"/>
      <c r="BF20" s="160"/>
      <c r="BG20" s="185"/>
      <c r="BH20" s="530"/>
      <c r="BI20" s="530"/>
      <c r="BJ20" s="530"/>
      <c r="BK20" s="530"/>
      <c r="BL20" s="530"/>
      <c r="BM20" s="530"/>
      <c r="BN20" s="530"/>
      <c r="BO20" s="530"/>
      <c r="BP20" s="530"/>
      <c r="BQ20" s="530"/>
      <c r="BR20" s="530"/>
      <c r="BS20" s="530"/>
      <c r="BT20" s="530"/>
      <c r="BU20" s="530"/>
      <c r="BV20" s="185"/>
      <c r="BW20" s="530"/>
      <c r="BX20" s="530"/>
      <c r="BY20" s="530"/>
      <c r="BZ20" s="530"/>
      <c r="CA20" s="530"/>
      <c r="CB20" s="530"/>
      <c r="CC20" s="530"/>
      <c r="CD20" s="530"/>
      <c r="CE20" s="530"/>
      <c r="CF20" s="530"/>
      <c r="CG20" s="530"/>
      <c r="CH20" s="530"/>
      <c r="CI20" s="530"/>
      <c r="CJ20" s="544"/>
    </row>
    <row r="21" spans="1:88" s="98" customFormat="1" ht="15" customHeight="1">
      <c r="A21" s="99"/>
      <c r="B21" s="161"/>
      <c r="C21" s="162"/>
      <c r="D21" s="162" t="s">
        <v>2701</v>
      </c>
      <c r="E21" s="162"/>
      <c r="F21" s="162"/>
      <c r="G21" s="163"/>
      <c r="H21" s="163"/>
      <c r="I21" s="164" t="s">
        <v>498</v>
      </c>
      <c r="J21" s="143">
        <v>8.8554453606441275</v>
      </c>
      <c r="K21" s="141">
        <v>8.8584986874234026</v>
      </c>
      <c r="L21" s="141">
        <v>10.765454154280887</v>
      </c>
      <c r="M21" s="141">
        <v>12.400477500365982</v>
      </c>
      <c r="N21" s="141">
        <v>10.404902577306496</v>
      </c>
      <c r="O21" s="141">
        <v>6.5876829912624277</v>
      </c>
      <c r="P21" s="141">
        <v>9.2380446684567019</v>
      </c>
      <c r="Q21" s="144">
        <v>8.2938233439906206</v>
      </c>
      <c r="R21" s="143">
        <v>7.5692279835249519</v>
      </c>
      <c r="S21" s="141">
        <v>7.5313818436073268</v>
      </c>
      <c r="T21" s="141">
        <v>7.4937249343892907</v>
      </c>
      <c r="U21" s="141">
        <v>7.456256309717344</v>
      </c>
      <c r="V21" s="144">
        <v>7.4189750281687568</v>
      </c>
      <c r="W21" s="185"/>
      <c r="X21" s="164" t="s">
        <v>498</v>
      </c>
      <c r="Y21" s="143">
        <v>0</v>
      </c>
      <c r="Z21" s="141">
        <v>0</v>
      </c>
      <c r="AA21" s="141">
        <v>0</v>
      </c>
      <c r="AB21" s="141">
        <v>0</v>
      </c>
      <c r="AC21" s="141">
        <v>0</v>
      </c>
      <c r="AD21" s="141">
        <v>0</v>
      </c>
      <c r="AE21" s="141">
        <v>0</v>
      </c>
      <c r="AF21" s="144">
        <v>0</v>
      </c>
      <c r="AG21" s="143">
        <v>0</v>
      </c>
      <c r="AH21" s="141">
        <v>0</v>
      </c>
      <c r="AI21" s="141">
        <v>0</v>
      </c>
      <c r="AJ21" s="141">
        <v>0</v>
      </c>
      <c r="AK21" s="144">
        <v>0</v>
      </c>
      <c r="AL21" s="185"/>
      <c r="AM21" s="164" t="s">
        <v>2233</v>
      </c>
      <c r="AN21" s="143">
        <v>99.883266224781181</v>
      </c>
      <c r="AO21" s="141">
        <v>106.15680023999323</v>
      </c>
      <c r="AP21" s="141">
        <v>99.2819217805568</v>
      </c>
      <c r="AQ21" s="141">
        <v>119.85821084498671</v>
      </c>
      <c r="AR21" s="141">
        <v>104.54252484721212</v>
      </c>
      <c r="AS21" s="141">
        <v>68.651122430722666</v>
      </c>
      <c r="AT21" s="141">
        <v>99.36101518049071</v>
      </c>
      <c r="AU21" s="144">
        <v>91.335980509026911</v>
      </c>
      <c r="AV21" s="143">
        <v>80.438160276567189</v>
      </c>
      <c r="AW21" s="141">
        <v>80.438160276567189</v>
      </c>
      <c r="AX21" s="141">
        <v>80.438160276567189</v>
      </c>
      <c r="AY21" s="141">
        <v>80.438160276567189</v>
      </c>
      <c r="AZ21" s="144">
        <v>80.438160276567189</v>
      </c>
      <c r="BA21" s="143">
        <v>68.055526263208947</v>
      </c>
      <c r="BB21" s="141">
        <v>68.055526263208947</v>
      </c>
      <c r="BC21" s="141">
        <v>68.055526263208947</v>
      </c>
      <c r="BD21" s="141">
        <v>68.055526263208947</v>
      </c>
      <c r="BE21" s="141">
        <v>68.055526263208947</v>
      </c>
      <c r="BF21" s="144">
        <v>68.055526263208947</v>
      </c>
      <c r="BG21" s="185"/>
      <c r="BH21" s="545" t="s">
        <v>627</v>
      </c>
      <c r="BI21" s="868">
        <v>0</v>
      </c>
      <c r="BJ21" s="545" t="s">
        <v>627</v>
      </c>
      <c r="BK21" s="868">
        <v>0</v>
      </c>
      <c r="BL21" s="545" t="s">
        <v>2233</v>
      </c>
      <c r="BM21" s="141">
        <v>683.33534922202932</v>
      </c>
      <c r="BN21" s="545" t="s">
        <v>2233</v>
      </c>
      <c r="BO21" s="141">
        <v>11.046991788808789</v>
      </c>
      <c r="BP21" s="545" t="s">
        <v>2233</v>
      </c>
      <c r="BQ21" s="141">
        <v>49.073164512158215</v>
      </c>
      <c r="BR21" s="545" t="s">
        <v>2233</v>
      </c>
      <c r="BS21" s="141">
        <v>32.005330037058911</v>
      </c>
      <c r="BT21" s="545" t="s">
        <v>2233</v>
      </c>
      <c r="BU21" s="141">
        <v>13.610006497714926</v>
      </c>
      <c r="BV21" s="185"/>
      <c r="BW21" s="545" t="s">
        <v>627</v>
      </c>
      <c r="BX21" s="868">
        <v>0</v>
      </c>
      <c r="BY21" s="545" t="s">
        <v>627</v>
      </c>
      <c r="BZ21" s="868">
        <v>0</v>
      </c>
      <c r="CA21" s="545" t="s">
        <v>2233</v>
      </c>
      <c r="CB21" s="141">
        <v>348.29723399753595</v>
      </c>
      <c r="CC21" s="545" t="s">
        <v>2233</v>
      </c>
      <c r="CD21" s="141">
        <v>5.6306712193597042</v>
      </c>
      <c r="CE21" s="545" t="s">
        <v>2233</v>
      </c>
      <c r="CF21" s="141">
        <v>25.012678595582504</v>
      </c>
      <c r="CG21" s="545" t="s">
        <v>2233</v>
      </c>
      <c r="CH21" s="141">
        <v>16.313173228601514</v>
      </c>
      <c r="CI21" s="545" t="s">
        <v>2233</v>
      </c>
      <c r="CJ21" s="144">
        <v>6.9370443417560912</v>
      </c>
    </row>
    <row r="22" spans="1:88" s="98" customFormat="1" ht="15" customHeight="1">
      <c r="A22" s="99"/>
      <c r="B22" s="161"/>
      <c r="C22" s="162"/>
      <c r="D22" s="162" t="s">
        <v>2702</v>
      </c>
      <c r="E22" s="162"/>
      <c r="F22" s="162"/>
      <c r="G22" s="163"/>
      <c r="H22" s="163"/>
      <c r="I22" s="164" t="s">
        <v>498</v>
      </c>
      <c r="J22" s="143">
        <v>20.170377892631457</v>
      </c>
      <c r="K22" s="141">
        <v>22.163353003733178</v>
      </c>
      <c r="L22" s="141">
        <v>24.961385781227342</v>
      </c>
      <c r="M22" s="141">
        <v>20.007064924089608</v>
      </c>
      <c r="N22" s="141">
        <v>23.212889439997657</v>
      </c>
      <c r="O22" s="141">
        <v>24.358915259630304</v>
      </c>
      <c r="P22" s="141">
        <v>21.434852214102161</v>
      </c>
      <c r="Q22" s="144">
        <v>19.993425155910149</v>
      </c>
      <c r="R22" s="143">
        <v>15.958052928980974</v>
      </c>
      <c r="S22" s="141">
        <v>15.878262664336068</v>
      </c>
      <c r="T22" s="141">
        <v>15.798871351014387</v>
      </c>
      <c r="U22" s="141">
        <v>15.719876994259316</v>
      </c>
      <c r="V22" s="144">
        <v>15.64127760928802</v>
      </c>
      <c r="W22" s="185"/>
      <c r="X22" s="164" t="s">
        <v>498</v>
      </c>
      <c r="Y22" s="143">
        <v>0</v>
      </c>
      <c r="Z22" s="141">
        <v>0</v>
      </c>
      <c r="AA22" s="141">
        <v>0</v>
      </c>
      <c r="AB22" s="141">
        <v>0</v>
      </c>
      <c r="AC22" s="141">
        <v>0</v>
      </c>
      <c r="AD22" s="141">
        <v>0</v>
      </c>
      <c r="AE22" s="141">
        <v>0</v>
      </c>
      <c r="AF22" s="144">
        <v>0</v>
      </c>
      <c r="AG22" s="143">
        <v>0</v>
      </c>
      <c r="AH22" s="141">
        <v>0</v>
      </c>
      <c r="AI22" s="141">
        <v>0</v>
      </c>
      <c r="AJ22" s="141">
        <v>0</v>
      </c>
      <c r="AK22" s="144">
        <v>0</v>
      </c>
      <c r="AL22" s="185"/>
      <c r="AM22" s="164" t="s">
        <v>2233</v>
      </c>
      <c r="AN22" s="143">
        <v>200.34998861043999</v>
      </c>
      <c r="AO22" s="141">
        <v>228.48133568171426</v>
      </c>
      <c r="AP22" s="141">
        <v>226.2090524190385</v>
      </c>
      <c r="AQ22" s="141">
        <v>194.4357231309111</v>
      </c>
      <c r="AR22" s="141">
        <v>237.99175067179846</v>
      </c>
      <c r="AS22" s="141">
        <v>256.7436597460906</v>
      </c>
      <c r="AT22" s="141">
        <v>222.21792943463868</v>
      </c>
      <c r="AU22" s="144">
        <v>212.22135267789884</v>
      </c>
      <c r="AV22" s="143">
        <v>161.98520074005671</v>
      </c>
      <c r="AW22" s="141">
        <v>161.98520074005671</v>
      </c>
      <c r="AX22" s="141">
        <v>161.98520074005671</v>
      </c>
      <c r="AY22" s="141">
        <v>161.98520074005671</v>
      </c>
      <c r="AZ22" s="144">
        <v>161.98520074005671</v>
      </c>
      <c r="BA22" s="143">
        <v>137.04923192316662</v>
      </c>
      <c r="BB22" s="141">
        <v>137.04923192316662</v>
      </c>
      <c r="BC22" s="141">
        <v>137.04923192316662</v>
      </c>
      <c r="BD22" s="141">
        <v>137.04923192316662</v>
      </c>
      <c r="BE22" s="141">
        <v>137.04923192316662</v>
      </c>
      <c r="BF22" s="144">
        <v>137.04923192316662</v>
      </c>
      <c r="BG22" s="185"/>
      <c r="BH22" s="545" t="s">
        <v>627</v>
      </c>
      <c r="BI22" s="868">
        <v>0</v>
      </c>
      <c r="BJ22" s="545" t="s">
        <v>627</v>
      </c>
      <c r="BK22" s="868">
        <v>0</v>
      </c>
      <c r="BL22" s="545" t="s">
        <v>2233</v>
      </c>
      <c r="BM22" s="141">
        <v>1540.3115861946112</v>
      </c>
      <c r="BN22" s="545" t="s">
        <v>2233</v>
      </c>
      <c r="BO22" s="141">
        <v>24.901111093215427</v>
      </c>
      <c r="BP22" s="545" t="s">
        <v>2233</v>
      </c>
      <c r="BQ22" s="141">
        <v>110.61620616490521</v>
      </c>
      <c r="BR22" s="545" t="s">
        <v>2233</v>
      </c>
      <c r="BS22" s="141">
        <v>72.1434662090725</v>
      </c>
      <c r="BT22" s="545" t="s">
        <v>2233</v>
      </c>
      <c r="BU22" s="141">
        <v>30.678422710724902</v>
      </c>
      <c r="BV22" s="185"/>
      <c r="BW22" s="545" t="s">
        <v>627</v>
      </c>
      <c r="BX22" s="868">
        <v>0</v>
      </c>
      <c r="BY22" s="545" t="s">
        <v>627</v>
      </c>
      <c r="BZ22" s="868">
        <v>0</v>
      </c>
      <c r="CA22" s="545" t="s">
        <v>2233</v>
      </c>
      <c r="CB22" s="141">
        <v>701.39591920444559</v>
      </c>
      <c r="CC22" s="545" t="s">
        <v>2233</v>
      </c>
      <c r="CD22" s="141">
        <v>11.338964051803972</v>
      </c>
      <c r="CE22" s="545" t="s">
        <v>2233</v>
      </c>
      <c r="CF22" s="141">
        <v>50.370169449689222</v>
      </c>
      <c r="CG22" s="545" t="s">
        <v>2233</v>
      </c>
      <c r="CH22" s="141">
        <v>32.851231692231167</v>
      </c>
      <c r="CI22" s="545" t="s">
        <v>2233</v>
      </c>
      <c r="CJ22" s="144">
        <v>13.96971930211318</v>
      </c>
    </row>
    <row r="23" spans="1:88" s="98" customFormat="1" ht="15" customHeight="1">
      <c r="A23" s="99"/>
      <c r="B23" s="161"/>
      <c r="C23" s="162"/>
      <c r="D23" s="162" t="s">
        <v>2703</v>
      </c>
      <c r="E23" s="162"/>
      <c r="F23" s="162"/>
      <c r="G23" s="163"/>
      <c r="H23" s="163"/>
      <c r="I23" s="164" t="s">
        <v>498</v>
      </c>
      <c r="J23" s="143">
        <v>7.9665805631161133</v>
      </c>
      <c r="K23" s="141">
        <v>9.4553639704022281</v>
      </c>
      <c r="L23" s="141">
        <v>5.0991058415547146</v>
      </c>
      <c r="M23" s="141">
        <v>5.3772517553269603</v>
      </c>
      <c r="N23" s="141">
        <v>5.579424143135844</v>
      </c>
      <c r="O23" s="141">
        <v>7.440522508384138</v>
      </c>
      <c r="P23" s="141">
        <v>6.4699878263071273</v>
      </c>
      <c r="Q23" s="144">
        <v>5.6720361199599303</v>
      </c>
      <c r="R23" s="143">
        <v>8.4753299380464426</v>
      </c>
      <c r="S23" s="141">
        <v>8.4329532883562095</v>
      </c>
      <c r="T23" s="141">
        <v>8.3907885219144269</v>
      </c>
      <c r="U23" s="141">
        <v>8.3488345793048566</v>
      </c>
      <c r="V23" s="144">
        <v>8.3070904064083315</v>
      </c>
      <c r="W23" s="185"/>
      <c r="X23" s="164" t="s">
        <v>498</v>
      </c>
      <c r="Y23" s="143">
        <v>0</v>
      </c>
      <c r="Z23" s="141">
        <v>0</v>
      </c>
      <c r="AA23" s="141">
        <v>0</v>
      </c>
      <c r="AB23" s="141">
        <v>0</v>
      </c>
      <c r="AC23" s="141">
        <v>0</v>
      </c>
      <c r="AD23" s="141">
        <v>0</v>
      </c>
      <c r="AE23" s="141">
        <v>0</v>
      </c>
      <c r="AF23" s="144">
        <v>0</v>
      </c>
      <c r="AG23" s="143">
        <v>0</v>
      </c>
      <c r="AH23" s="141">
        <v>0</v>
      </c>
      <c r="AI23" s="141">
        <v>0</v>
      </c>
      <c r="AJ23" s="141">
        <v>0</v>
      </c>
      <c r="AK23" s="144">
        <v>0</v>
      </c>
      <c r="AL23" s="185"/>
      <c r="AM23" s="164" t="s">
        <v>2233</v>
      </c>
      <c r="AN23" s="143">
        <v>49.068361941797882</v>
      </c>
      <c r="AO23" s="141">
        <v>57.853171014828753</v>
      </c>
      <c r="AP23" s="141">
        <v>44.820956830251326</v>
      </c>
      <c r="AQ23" s="141">
        <v>34.406000888078708</v>
      </c>
      <c r="AR23" s="141">
        <v>31.088105738114628</v>
      </c>
      <c r="AS23" s="141">
        <v>42.087621520945973</v>
      </c>
      <c r="AT23" s="141">
        <v>42.651783074938578</v>
      </c>
      <c r="AU23" s="144">
        <v>38.281208618519841</v>
      </c>
      <c r="AV23" s="143">
        <v>56.180633520008882</v>
      </c>
      <c r="AW23" s="141">
        <v>56.180633520008882</v>
      </c>
      <c r="AX23" s="141">
        <v>56.180633520008882</v>
      </c>
      <c r="AY23" s="141">
        <v>56.180633520008882</v>
      </c>
      <c r="AZ23" s="144">
        <v>56.180633520008882</v>
      </c>
      <c r="BA23" s="143">
        <v>47.532198235996887</v>
      </c>
      <c r="BB23" s="141">
        <v>47.532198235996887</v>
      </c>
      <c r="BC23" s="141">
        <v>47.532198235996887</v>
      </c>
      <c r="BD23" s="141">
        <v>47.532198235996887</v>
      </c>
      <c r="BE23" s="141">
        <v>47.532198235996887</v>
      </c>
      <c r="BF23" s="144">
        <v>47.532198235996887</v>
      </c>
      <c r="BG23" s="185"/>
      <c r="BH23" s="545" t="s">
        <v>627</v>
      </c>
      <c r="BI23" s="868">
        <v>0</v>
      </c>
      <c r="BJ23" s="545" t="s">
        <v>627</v>
      </c>
      <c r="BK23" s="868">
        <v>0</v>
      </c>
      <c r="BL23" s="545" t="s">
        <v>2233</v>
      </c>
      <c r="BM23" s="141">
        <v>294.66274353739391</v>
      </c>
      <c r="BN23" s="545" t="s">
        <v>2233</v>
      </c>
      <c r="BO23" s="141">
        <v>4.7636009347846597</v>
      </c>
      <c r="BP23" s="545" t="s">
        <v>2233</v>
      </c>
      <c r="BQ23" s="141">
        <v>21.160961899127599</v>
      </c>
      <c r="BR23" s="545" t="s">
        <v>2233</v>
      </c>
      <c r="BS23" s="141">
        <v>13.801098343992287</v>
      </c>
      <c r="BT23" s="545" t="s">
        <v>2233</v>
      </c>
      <c r="BU23" s="141">
        <v>5.8688049121770094</v>
      </c>
      <c r="BV23" s="185"/>
      <c r="BW23" s="545" t="s">
        <v>627</v>
      </c>
      <c r="BX23" s="868">
        <v>0</v>
      </c>
      <c r="BY23" s="545" t="s">
        <v>627</v>
      </c>
      <c r="BZ23" s="868">
        <v>0</v>
      </c>
      <c r="CA23" s="545" t="s">
        <v>2233</v>
      </c>
      <c r="CB23" s="141">
        <v>243.26214314163846</v>
      </c>
      <c r="CC23" s="545" t="s">
        <v>2233</v>
      </c>
      <c r="CD23" s="141">
        <v>3.9326443464006222</v>
      </c>
      <c r="CE23" s="545" t="s">
        <v>2233</v>
      </c>
      <c r="CF23" s="141">
        <v>17.469670175208545</v>
      </c>
      <c r="CG23" s="545" t="s">
        <v>2233</v>
      </c>
      <c r="CH23" s="141">
        <v>11.393652012345523</v>
      </c>
      <c r="CI23" s="545" t="s">
        <v>2233</v>
      </c>
      <c r="CJ23" s="144">
        <v>4.8450579244511065</v>
      </c>
    </row>
    <row r="24" spans="1:88" s="98" customFormat="1" ht="15" customHeight="1">
      <c r="A24" s="99"/>
      <c r="B24" s="161"/>
      <c r="C24" s="162"/>
      <c r="D24" s="162" t="s">
        <v>2704</v>
      </c>
      <c r="E24" s="162"/>
      <c r="F24" s="162"/>
      <c r="G24" s="163"/>
      <c r="H24" s="163"/>
      <c r="I24" s="164" t="s">
        <v>498</v>
      </c>
      <c r="J24" s="143">
        <v>1.1411838666558871</v>
      </c>
      <c r="K24" s="141">
        <v>1.3083979590056702</v>
      </c>
      <c r="L24" s="141">
        <v>0.348095547278785</v>
      </c>
      <c r="M24" s="141">
        <v>0.87563474298510302</v>
      </c>
      <c r="N24" s="141">
        <v>0.19157099411450249</v>
      </c>
      <c r="O24" s="141">
        <v>1.2071800996536612</v>
      </c>
      <c r="P24" s="141">
        <v>0.76715121201546088</v>
      </c>
      <c r="Q24" s="144">
        <v>0.62321291844167481</v>
      </c>
      <c r="R24" s="143">
        <v>2.1790080715898239</v>
      </c>
      <c r="S24" s="141">
        <v>2.1681130312318748</v>
      </c>
      <c r="T24" s="141">
        <v>2.1572724660757157</v>
      </c>
      <c r="U24" s="141">
        <v>2.1464861037453371</v>
      </c>
      <c r="V24" s="144">
        <v>2.1357536732266102</v>
      </c>
      <c r="W24" s="185"/>
      <c r="X24" s="164" t="s">
        <v>498</v>
      </c>
      <c r="Y24" s="143">
        <v>0</v>
      </c>
      <c r="Z24" s="141">
        <v>0</v>
      </c>
      <c r="AA24" s="141">
        <v>0</v>
      </c>
      <c r="AB24" s="141">
        <v>0</v>
      </c>
      <c r="AC24" s="141">
        <v>0</v>
      </c>
      <c r="AD24" s="141">
        <v>0</v>
      </c>
      <c r="AE24" s="141">
        <v>0</v>
      </c>
      <c r="AF24" s="144">
        <v>0</v>
      </c>
      <c r="AG24" s="143">
        <v>0</v>
      </c>
      <c r="AH24" s="141">
        <v>0</v>
      </c>
      <c r="AI24" s="141">
        <v>0</v>
      </c>
      <c r="AJ24" s="141">
        <v>0</v>
      </c>
      <c r="AK24" s="144">
        <v>0</v>
      </c>
      <c r="AL24" s="185"/>
      <c r="AM24" s="164" t="s">
        <v>2233</v>
      </c>
      <c r="AN24" s="143">
        <v>4.2890373783922175</v>
      </c>
      <c r="AO24" s="141">
        <v>5.0710542007385913</v>
      </c>
      <c r="AP24" s="141">
        <v>3.5590123785945535</v>
      </c>
      <c r="AQ24" s="141">
        <v>0.9784604677060128</v>
      </c>
      <c r="AR24" s="141">
        <v>0.60705478331970564</v>
      </c>
      <c r="AS24" s="141">
        <v>3.8271829107981228</v>
      </c>
      <c r="AT24" s="141">
        <v>2.8956706647412496</v>
      </c>
      <c r="AU24" s="144">
        <v>2.4049838588872539</v>
      </c>
      <c r="AV24" s="143">
        <v>7.6250440896161455</v>
      </c>
      <c r="AW24" s="141">
        <v>7.6250440896161455</v>
      </c>
      <c r="AX24" s="141">
        <v>7.6250440896161455</v>
      </c>
      <c r="AY24" s="141">
        <v>7.6250440896161455</v>
      </c>
      <c r="AZ24" s="144">
        <v>7.6250440896161455</v>
      </c>
      <c r="BA24" s="143">
        <v>6.4512463551477905</v>
      </c>
      <c r="BB24" s="141">
        <v>6.4512463551477905</v>
      </c>
      <c r="BC24" s="141">
        <v>6.4512463551477905</v>
      </c>
      <c r="BD24" s="141">
        <v>6.4512463551477905</v>
      </c>
      <c r="BE24" s="141">
        <v>6.4512463551477905</v>
      </c>
      <c r="BF24" s="144">
        <v>6.4512463551477905</v>
      </c>
      <c r="BG24" s="185"/>
      <c r="BH24" s="545" t="s">
        <v>627</v>
      </c>
      <c r="BI24" s="868">
        <v>0</v>
      </c>
      <c r="BJ24" s="545" t="s">
        <v>627</v>
      </c>
      <c r="BK24" s="868">
        <v>0</v>
      </c>
      <c r="BL24" s="545" t="s">
        <v>2233</v>
      </c>
      <c r="BM24" s="141">
        <v>20.465707452991893</v>
      </c>
      <c r="BN24" s="545" t="s">
        <v>2233</v>
      </c>
      <c r="BO24" s="141">
        <v>0.33085439300448782</v>
      </c>
      <c r="BP24" s="545" t="s">
        <v>2233</v>
      </c>
      <c r="BQ24" s="141">
        <v>1.4697279013031868</v>
      </c>
      <c r="BR24" s="545" t="s">
        <v>2233</v>
      </c>
      <c r="BS24" s="141">
        <v>0.95855091094091105</v>
      </c>
      <c r="BT24" s="545" t="s">
        <v>2233</v>
      </c>
      <c r="BU24" s="141">
        <v>0.40761598493721374</v>
      </c>
      <c r="BV24" s="185"/>
      <c r="BW24" s="545" t="s">
        <v>627</v>
      </c>
      <c r="BX24" s="868">
        <v>0</v>
      </c>
      <c r="BY24" s="545" t="s">
        <v>627</v>
      </c>
      <c r="BZ24" s="868">
        <v>0</v>
      </c>
      <c r="CA24" s="545" t="s">
        <v>2233</v>
      </c>
      <c r="CB24" s="141">
        <v>33.0164409080379</v>
      </c>
      <c r="CC24" s="545" t="s">
        <v>2233</v>
      </c>
      <c r="CD24" s="141">
        <v>0.53375308627313001</v>
      </c>
      <c r="CE24" s="545" t="s">
        <v>2233</v>
      </c>
      <c r="CF24" s="141">
        <v>2.3710484729506534</v>
      </c>
      <c r="CG24" s="545" t="s">
        <v>2233</v>
      </c>
      <c r="CH24" s="141">
        <v>1.5463887374096057</v>
      </c>
      <c r="CI24" s="545" t="s">
        <v>2233</v>
      </c>
      <c r="CJ24" s="144">
        <v>0.65758924340940628</v>
      </c>
    </row>
    <row r="25" spans="1:88" s="98" customFormat="1" ht="15" customHeight="1">
      <c r="A25" s="99"/>
      <c r="B25" s="161"/>
      <c r="C25" s="162"/>
      <c r="D25" s="162" t="s">
        <v>2705</v>
      </c>
      <c r="E25" s="162"/>
      <c r="F25" s="162"/>
      <c r="G25" s="163"/>
      <c r="H25" s="163"/>
      <c r="I25" s="164" t="s">
        <v>498</v>
      </c>
      <c r="J25" s="143">
        <v>2.9678742385795209E-2</v>
      </c>
      <c r="K25" s="141">
        <v>9.0034852058346659E-2</v>
      </c>
      <c r="L25" s="141">
        <v>4.2697635213019662E-2</v>
      </c>
      <c r="M25" s="141">
        <v>7.1469631953281409E-3</v>
      </c>
      <c r="N25" s="141">
        <v>1.5043185009264886E-2</v>
      </c>
      <c r="O25" s="141">
        <v>0.23020966910003035</v>
      </c>
      <c r="P25" s="141">
        <v>6.1703698528481517E-2</v>
      </c>
      <c r="Q25" s="144">
        <v>6.0711808398086306E-2</v>
      </c>
      <c r="R25" s="143">
        <v>0.30742817347787016</v>
      </c>
      <c r="S25" s="141">
        <v>0.30589103261048078</v>
      </c>
      <c r="T25" s="141">
        <v>0.30436157744742837</v>
      </c>
      <c r="U25" s="141">
        <v>0.30283976956019121</v>
      </c>
      <c r="V25" s="144">
        <v>0.30132557071239024</v>
      </c>
      <c r="W25" s="185"/>
      <c r="X25" s="164" t="s">
        <v>498</v>
      </c>
      <c r="Y25" s="143">
        <v>0</v>
      </c>
      <c r="Z25" s="141">
        <v>0</v>
      </c>
      <c r="AA25" s="141">
        <v>0</v>
      </c>
      <c r="AB25" s="141">
        <v>0</v>
      </c>
      <c r="AC25" s="141">
        <v>0</v>
      </c>
      <c r="AD25" s="141">
        <v>0</v>
      </c>
      <c r="AE25" s="141">
        <v>0</v>
      </c>
      <c r="AF25" s="144">
        <v>0</v>
      </c>
      <c r="AG25" s="143">
        <v>0</v>
      </c>
      <c r="AH25" s="141">
        <v>0</v>
      </c>
      <c r="AI25" s="141">
        <v>0</v>
      </c>
      <c r="AJ25" s="141">
        <v>0</v>
      </c>
      <c r="AK25" s="144">
        <v>0</v>
      </c>
      <c r="AL25" s="185"/>
      <c r="AM25" s="164" t="s">
        <v>2233</v>
      </c>
      <c r="AN25" s="143">
        <v>9.5999999999999988E-2</v>
      </c>
      <c r="AO25" s="141">
        <v>0.26013953488372094</v>
      </c>
      <c r="AP25" s="141">
        <v>0.30649999999999999</v>
      </c>
      <c r="AQ25" s="141">
        <v>2.1000000000000001E-2</v>
      </c>
      <c r="AR25" s="141">
        <v>3.1E-2</v>
      </c>
      <c r="AS25" s="141">
        <v>0.52671411625148279</v>
      </c>
      <c r="AT25" s="141">
        <v>0.19662481639788354</v>
      </c>
      <c r="AU25" s="144">
        <v>0.19808183619649755</v>
      </c>
      <c r="AV25" s="143">
        <v>0.68979982086991221</v>
      </c>
      <c r="AW25" s="141">
        <v>0.68979982086991221</v>
      </c>
      <c r="AX25" s="141">
        <v>0.68979982086991221</v>
      </c>
      <c r="AY25" s="141">
        <v>0.68979982086991221</v>
      </c>
      <c r="AZ25" s="144">
        <v>0.68979982086991221</v>
      </c>
      <c r="BA25" s="143">
        <v>0.58361217690908351</v>
      </c>
      <c r="BB25" s="141">
        <v>0.58361217690908351</v>
      </c>
      <c r="BC25" s="141">
        <v>0.58361217690908351</v>
      </c>
      <c r="BD25" s="141">
        <v>0.58361217690908351</v>
      </c>
      <c r="BE25" s="141">
        <v>0.58361217690908351</v>
      </c>
      <c r="BF25" s="144">
        <v>0.58361217690908351</v>
      </c>
      <c r="BG25" s="185"/>
      <c r="BH25" s="545" t="s">
        <v>627</v>
      </c>
      <c r="BI25" s="868">
        <v>0</v>
      </c>
      <c r="BJ25" s="545" t="s">
        <v>627</v>
      </c>
      <c r="BK25" s="868">
        <v>0</v>
      </c>
      <c r="BL25" s="545" t="s">
        <v>2233</v>
      </c>
      <c r="BM25" s="141">
        <v>1.4168282230298201</v>
      </c>
      <c r="BN25" s="545" t="s">
        <v>2233</v>
      </c>
      <c r="BO25" s="141">
        <v>2.2904844252214184E-2</v>
      </c>
      <c r="BP25" s="545" t="s">
        <v>2233</v>
      </c>
      <c r="BQ25" s="141">
        <v>0.10174835028418824</v>
      </c>
      <c r="BR25" s="545" t="s">
        <v>2233</v>
      </c>
      <c r="BS25" s="141">
        <v>6.6359884550850692E-2</v>
      </c>
      <c r="BT25" s="545" t="s">
        <v>2233</v>
      </c>
      <c r="BU25" s="141">
        <v>2.821900161251031E-2</v>
      </c>
      <c r="BV25" s="185"/>
      <c r="BW25" s="545" t="s">
        <v>627</v>
      </c>
      <c r="BX25" s="868">
        <v>0</v>
      </c>
      <c r="BY25" s="545" t="s">
        <v>627</v>
      </c>
      <c r="BZ25" s="868">
        <v>0</v>
      </c>
      <c r="CA25" s="545" t="s">
        <v>2233</v>
      </c>
      <c r="CB25" s="141">
        <v>2.9868332243667197</v>
      </c>
      <c r="CC25" s="545" t="s">
        <v>2233</v>
      </c>
      <c r="CD25" s="141">
        <v>4.8285987460893853E-2</v>
      </c>
      <c r="CE25" s="545" t="s">
        <v>2233</v>
      </c>
      <c r="CF25" s="141">
        <v>0.21449696456739775</v>
      </c>
      <c r="CG25" s="545" t="s">
        <v>2233</v>
      </c>
      <c r="CH25" s="141">
        <v>0.13989409917157541</v>
      </c>
      <c r="CI25" s="545" t="s">
        <v>2233</v>
      </c>
      <c r="CJ25" s="144">
        <v>5.9488828782972285E-2</v>
      </c>
    </row>
    <row r="26" spans="1:88" s="98" customFormat="1" ht="15" customHeight="1">
      <c r="A26" s="99"/>
      <c r="B26" s="161"/>
      <c r="C26" s="162"/>
      <c r="D26" s="162" t="s">
        <v>2706</v>
      </c>
      <c r="E26" s="162"/>
      <c r="F26" s="162"/>
      <c r="G26" s="163"/>
      <c r="H26" s="163"/>
      <c r="I26" s="164" t="s">
        <v>498</v>
      </c>
      <c r="J26" s="143">
        <v>0</v>
      </c>
      <c r="K26" s="141">
        <v>0</v>
      </c>
      <c r="L26" s="141">
        <v>0</v>
      </c>
      <c r="M26" s="141">
        <v>0</v>
      </c>
      <c r="N26" s="141">
        <v>0</v>
      </c>
      <c r="O26" s="141">
        <v>0</v>
      </c>
      <c r="P26" s="141">
        <v>0</v>
      </c>
      <c r="Q26" s="144">
        <v>0</v>
      </c>
      <c r="R26" s="143">
        <v>0</v>
      </c>
      <c r="S26" s="141">
        <v>0</v>
      </c>
      <c r="T26" s="141">
        <v>0</v>
      </c>
      <c r="U26" s="141">
        <v>0</v>
      </c>
      <c r="V26" s="144">
        <v>0</v>
      </c>
      <c r="W26" s="185"/>
      <c r="X26" s="164" t="s">
        <v>498</v>
      </c>
      <c r="Y26" s="143">
        <v>0</v>
      </c>
      <c r="Z26" s="141">
        <v>0</v>
      </c>
      <c r="AA26" s="141">
        <v>0</v>
      </c>
      <c r="AB26" s="141">
        <v>0</v>
      </c>
      <c r="AC26" s="141">
        <v>0</v>
      </c>
      <c r="AD26" s="141">
        <v>0</v>
      </c>
      <c r="AE26" s="141">
        <v>0</v>
      </c>
      <c r="AF26" s="144">
        <v>0</v>
      </c>
      <c r="AG26" s="143">
        <v>0</v>
      </c>
      <c r="AH26" s="141">
        <v>0</v>
      </c>
      <c r="AI26" s="141">
        <v>0</v>
      </c>
      <c r="AJ26" s="141">
        <v>0</v>
      </c>
      <c r="AK26" s="144">
        <v>0</v>
      </c>
      <c r="AL26" s="185"/>
      <c r="AM26" s="164" t="s">
        <v>2233</v>
      </c>
      <c r="AN26" s="143">
        <v>0</v>
      </c>
      <c r="AO26" s="141">
        <v>0</v>
      </c>
      <c r="AP26" s="141">
        <v>0</v>
      </c>
      <c r="AQ26" s="141">
        <v>0</v>
      </c>
      <c r="AR26" s="141">
        <v>0</v>
      </c>
      <c r="AS26" s="141">
        <v>0</v>
      </c>
      <c r="AT26" s="141">
        <v>0</v>
      </c>
      <c r="AU26" s="144">
        <v>0</v>
      </c>
      <c r="AV26" s="143">
        <v>0</v>
      </c>
      <c r="AW26" s="141">
        <v>0</v>
      </c>
      <c r="AX26" s="141">
        <v>0</v>
      </c>
      <c r="AY26" s="141">
        <v>0</v>
      </c>
      <c r="AZ26" s="144">
        <v>0</v>
      </c>
      <c r="BA26" s="143">
        <v>0</v>
      </c>
      <c r="BB26" s="141">
        <v>0</v>
      </c>
      <c r="BC26" s="141">
        <v>0</v>
      </c>
      <c r="BD26" s="141">
        <v>0</v>
      </c>
      <c r="BE26" s="141">
        <v>0</v>
      </c>
      <c r="BF26" s="144">
        <v>0</v>
      </c>
      <c r="BG26" s="185"/>
      <c r="BH26" s="545" t="s">
        <v>627</v>
      </c>
      <c r="BI26" s="868">
        <v>0</v>
      </c>
      <c r="BJ26" s="545" t="s">
        <v>627</v>
      </c>
      <c r="BK26" s="868">
        <v>0</v>
      </c>
      <c r="BL26" s="545" t="s">
        <v>2233</v>
      </c>
      <c r="BM26" s="141">
        <v>0</v>
      </c>
      <c r="BN26" s="545" t="s">
        <v>2233</v>
      </c>
      <c r="BO26" s="141">
        <v>0</v>
      </c>
      <c r="BP26" s="545" t="s">
        <v>2233</v>
      </c>
      <c r="BQ26" s="141">
        <v>0</v>
      </c>
      <c r="BR26" s="545" t="s">
        <v>2233</v>
      </c>
      <c r="BS26" s="141">
        <v>0</v>
      </c>
      <c r="BT26" s="545" t="s">
        <v>2233</v>
      </c>
      <c r="BU26" s="141">
        <v>0</v>
      </c>
      <c r="BV26" s="185"/>
      <c r="BW26" s="545" t="s">
        <v>627</v>
      </c>
      <c r="BX26" s="868">
        <v>0</v>
      </c>
      <c r="BY26" s="545" t="s">
        <v>627</v>
      </c>
      <c r="BZ26" s="868">
        <v>0</v>
      </c>
      <c r="CA26" s="545" t="s">
        <v>2233</v>
      </c>
      <c r="CB26" s="141">
        <v>0</v>
      </c>
      <c r="CC26" s="545" t="s">
        <v>2233</v>
      </c>
      <c r="CD26" s="141">
        <v>0</v>
      </c>
      <c r="CE26" s="545" t="s">
        <v>2233</v>
      </c>
      <c r="CF26" s="141">
        <v>0</v>
      </c>
      <c r="CG26" s="545" t="s">
        <v>2233</v>
      </c>
      <c r="CH26" s="141">
        <v>0</v>
      </c>
      <c r="CI26" s="545" t="s">
        <v>2233</v>
      </c>
      <c r="CJ26" s="144">
        <v>0</v>
      </c>
    </row>
    <row r="27" spans="1:88" s="98" customFormat="1" ht="15" customHeight="1">
      <c r="A27" s="99"/>
      <c r="B27" s="161"/>
      <c r="C27" s="162"/>
      <c r="D27" s="162" t="s">
        <v>2707</v>
      </c>
      <c r="E27" s="162"/>
      <c r="F27" s="162"/>
      <c r="G27" s="163"/>
      <c r="H27" s="163"/>
      <c r="I27" s="164" t="s">
        <v>498</v>
      </c>
      <c r="J27" s="143">
        <v>0</v>
      </c>
      <c r="K27" s="141">
        <v>0</v>
      </c>
      <c r="L27" s="141">
        <v>0</v>
      </c>
      <c r="M27" s="141">
        <v>0</v>
      </c>
      <c r="N27" s="141">
        <v>0</v>
      </c>
      <c r="O27" s="141">
        <v>0</v>
      </c>
      <c r="P27" s="141">
        <v>0</v>
      </c>
      <c r="Q27" s="144">
        <v>0</v>
      </c>
      <c r="R27" s="143">
        <v>0</v>
      </c>
      <c r="S27" s="141">
        <v>0</v>
      </c>
      <c r="T27" s="141">
        <v>0</v>
      </c>
      <c r="U27" s="141">
        <v>0</v>
      </c>
      <c r="V27" s="144">
        <v>0</v>
      </c>
      <c r="W27" s="185"/>
      <c r="X27" s="164" t="s">
        <v>498</v>
      </c>
      <c r="Y27" s="143">
        <v>0</v>
      </c>
      <c r="Z27" s="141">
        <v>0</v>
      </c>
      <c r="AA27" s="141">
        <v>0</v>
      </c>
      <c r="AB27" s="141">
        <v>0</v>
      </c>
      <c r="AC27" s="141">
        <v>0</v>
      </c>
      <c r="AD27" s="141">
        <v>0</v>
      </c>
      <c r="AE27" s="141">
        <v>0</v>
      </c>
      <c r="AF27" s="144">
        <v>0</v>
      </c>
      <c r="AG27" s="143">
        <v>0</v>
      </c>
      <c r="AH27" s="141">
        <v>0</v>
      </c>
      <c r="AI27" s="141">
        <v>0</v>
      </c>
      <c r="AJ27" s="141">
        <v>0</v>
      </c>
      <c r="AK27" s="144">
        <v>0</v>
      </c>
      <c r="AL27" s="185"/>
      <c r="AM27" s="164" t="s">
        <v>2233</v>
      </c>
      <c r="AN27" s="143">
        <v>0</v>
      </c>
      <c r="AO27" s="141">
        <v>0</v>
      </c>
      <c r="AP27" s="141">
        <v>0</v>
      </c>
      <c r="AQ27" s="141">
        <v>0</v>
      </c>
      <c r="AR27" s="141">
        <v>0</v>
      </c>
      <c r="AS27" s="141">
        <v>0</v>
      </c>
      <c r="AT27" s="141">
        <v>0</v>
      </c>
      <c r="AU27" s="144">
        <v>0</v>
      </c>
      <c r="AV27" s="143">
        <v>0</v>
      </c>
      <c r="AW27" s="141">
        <v>0</v>
      </c>
      <c r="AX27" s="141">
        <v>0</v>
      </c>
      <c r="AY27" s="141">
        <v>0</v>
      </c>
      <c r="AZ27" s="144">
        <v>0</v>
      </c>
      <c r="BA27" s="143">
        <v>0</v>
      </c>
      <c r="BB27" s="141">
        <v>0</v>
      </c>
      <c r="BC27" s="141">
        <v>0</v>
      </c>
      <c r="BD27" s="141">
        <v>0</v>
      </c>
      <c r="BE27" s="141">
        <v>0</v>
      </c>
      <c r="BF27" s="144">
        <v>0</v>
      </c>
      <c r="BG27" s="185"/>
      <c r="BH27" s="545" t="s">
        <v>627</v>
      </c>
      <c r="BI27" s="868">
        <v>0</v>
      </c>
      <c r="BJ27" s="545" t="s">
        <v>627</v>
      </c>
      <c r="BK27" s="868">
        <v>0</v>
      </c>
      <c r="BL27" s="545" t="s">
        <v>2233</v>
      </c>
      <c r="BM27" s="141">
        <v>0</v>
      </c>
      <c r="BN27" s="545" t="s">
        <v>2233</v>
      </c>
      <c r="BO27" s="141">
        <v>0</v>
      </c>
      <c r="BP27" s="545" t="s">
        <v>2233</v>
      </c>
      <c r="BQ27" s="141">
        <v>0</v>
      </c>
      <c r="BR27" s="545" t="s">
        <v>2233</v>
      </c>
      <c r="BS27" s="141">
        <v>0</v>
      </c>
      <c r="BT27" s="545" t="s">
        <v>2233</v>
      </c>
      <c r="BU27" s="141">
        <v>0</v>
      </c>
      <c r="BV27" s="185"/>
      <c r="BW27" s="545" t="s">
        <v>627</v>
      </c>
      <c r="BX27" s="868">
        <v>0</v>
      </c>
      <c r="BY27" s="545" t="s">
        <v>627</v>
      </c>
      <c r="BZ27" s="868">
        <v>0</v>
      </c>
      <c r="CA27" s="545" t="s">
        <v>2233</v>
      </c>
      <c r="CB27" s="141">
        <v>0</v>
      </c>
      <c r="CC27" s="545" t="s">
        <v>2233</v>
      </c>
      <c r="CD27" s="141">
        <v>0</v>
      </c>
      <c r="CE27" s="545" t="s">
        <v>2233</v>
      </c>
      <c r="CF27" s="141">
        <v>0</v>
      </c>
      <c r="CG27" s="545" t="s">
        <v>2233</v>
      </c>
      <c r="CH27" s="141">
        <v>0</v>
      </c>
      <c r="CI27" s="545" t="s">
        <v>2233</v>
      </c>
      <c r="CJ27" s="144">
        <v>0</v>
      </c>
    </row>
    <row r="28" spans="1:88" s="98" customFormat="1" ht="15" customHeight="1">
      <c r="A28" s="99"/>
      <c r="B28" s="161"/>
      <c r="C28" s="162"/>
      <c r="D28" s="162" t="s">
        <v>2708</v>
      </c>
      <c r="E28" s="162"/>
      <c r="F28" s="162"/>
      <c r="G28" s="163"/>
      <c r="H28" s="163"/>
      <c r="I28" s="164" t="s">
        <v>498</v>
      </c>
      <c r="J28" s="143">
        <v>0</v>
      </c>
      <c r="K28" s="141">
        <v>0</v>
      </c>
      <c r="L28" s="141">
        <v>0</v>
      </c>
      <c r="M28" s="141">
        <v>0</v>
      </c>
      <c r="N28" s="141">
        <v>0</v>
      </c>
      <c r="O28" s="141">
        <v>0</v>
      </c>
      <c r="P28" s="141">
        <v>0</v>
      </c>
      <c r="Q28" s="144">
        <v>0</v>
      </c>
      <c r="R28" s="143">
        <v>0</v>
      </c>
      <c r="S28" s="141">
        <v>0</v>
      </c>
      <c r="T28" s="141">
        <v>0</v>
      </c>
      <c r="U28" s="141">
        <v>0</v>
      </c>
      <c r="V28" s="144">
        <v>0</v>
      </c>
      <c r="W28" s="185"/>
      <c r="X28" s="164" t="s">
        <v>498</v>
      </c>
      <c r="Y28" s="143">
        <v>0</v>
      </c>
      <c r="Z28" s="141">
        <v>0</v>
      </c>
      <c r="AA28" s="141">
        <v>0</v>
      </c>
      <c r="AB28" s="141">
        <v>0</v>
      </c>
      <c r="AC28" s="141">
        <v>0</v>
      </c>
      <c r="AD28" s="141">
        <v>0</v>
      </c>
      <c r="AE28" s="141">
        <v>0</v>
      </c>
      <c r="AF28" s="144">
        <v>0</v>
      </c>
      <c r="AG28" s="143">
        <v>0</v>
      </c>
      <c r="AH28" s="141">
        <v>0</v>
      </c>
      <c r="AI28" s="141">
        <v>0</v>
      </c>
      <c r="AJ28" s="141">
        <v>0</v>
      </c>
      <c r="AK28" s="144">
        <v>0</v>
      </c>
      <c r="AL28" s="185"/>
      <c r="AM28" s="164" t="s">
        <v>2233</v>
      </c>
      <c r="AN28" s="143">
        <v>0</v>
      </c>
      <c r="AO28" s="141">
        <v>0</v>
      </c>
      <c r="AP28" s="141">
        <v>0</v>
      </c>
      <c r="AQ28" s="141">
        <v>0</v>
      </c>
      <c r="AR28" s="141">
        <v>0</v>
      </c>
      <c r="AS28" s="141">
        <v>0</v>
      </c>
      <c r="AT28" s="141">
        <v>0</v>
      </c>
      <c r="AU28" s="144">
        <v>0</v>
      </c>
      <c r="AV28" s="143">
        <v>0</v>
      </c>
      <c r="AW28" s="141">
        <v>0</v>
      </c>
      <c r="AX28" s="141">
        <v>0</v>
      </c>
      <c r="AY28" s="141">
        <v>0</v>
      </c>
      <c r="AZ28" s="144">
        <v>0</v>
      </c>
      <c r="BA28" s="143">
        <v>0</v>
      </c>
      <c r="BB28" s="141">
        <v>0</v>
      </c>
      <c r="BC28" s="141">
        <v>0</v>
      </c>
      <c r="BD28" s="141">
        <v>0</v>
      </c>
      <c r="BE28" s="141">
        <v>0</v>
      </c>
      <c r="BF28" s="144">
        <v>0</v>
      </c>
      <c r="BG28" s="185"/>
      <c r="BH28" s="545" t="s">
        <v>627</v>
      </c>
      <c r="BI28" s="868">
        <v>0</v>
      </c>
      <c r="BJ28" s="545" t="s">
        <v>627</v>
      </c>
      <c r="BK28" s="868">
        <v>0</v>
      </c>
      <c r="BL28" s="545" t="s">
        <v>2233</v>
      </c>
      <c r="BM28" s="141">
        <v>0</v>
      </c>
      <c r="BN28" s="545" t="s">
        <v>2233</v>
      </c>
      <c r="BO28" s="141">
        <v>0</v>
      </c>
      <c r="BP28" s="545" t="s">
        <v>2233</v>
      </c>
      <c r="BQ28" s="141">
        <v>0</v>
      </c>
      <c r="BR28" s="545" t="s">
        <v>2233</v>
      </c>
      <c r="BS28" s="141">
        <v>0</v>
      </c>
      <c r="BT28" s="545" t="s">
        <v>2233</v>
      </c>
      <c r="BU28" s="141">
        <v>0</v>
      </c>
      <c r="BV28" s="185"/>
      <c r="BW28" s="545" t="s">
        <v>627</v>
      </c>
      <c r="BX28" s="868">
        <v>0</v>
      </c>
      <c r="BY28" s="545" t="s">
        <v>627</v>
      </c>
      <c r="BZ28" s="868">
        <v>0</v>
      </c>
      <c r="CA28" s="545" t="s">
        <v>2233</v>
      </c>
      <c r="CB28" s="141">
        <v>0</v>
      </c>
      <c r="CC28" s="545" t="s">
        <v>2233</v>
      </c>
      <c r="CD28" s="141">
        <v>0</v>
      </c>
      <c r="CE28" s="545" t="s">
        <v>2233</v>
      </c>
      <c r="CF28" s="141">
        <v>0</v>
      </c>
      <c r="CG28" s="545" t="s">
        <v>2233</v>
      </c>
      <c r="CH28" s="141">
        <v>0</v>
      </c>
      <c r="CI28" s="545" t="s">
        <v>2233</v>
      </c>
      <c r="CJ28" s="144">
        <v>0</v>
      </c>
    </row>
    <row r="29" spans="1:88" s="98" customFormat="1" ht="15" customHeight="1">
      <c r="A29" s="99"/>
      <c r="B29" s="161"/>
      <c r="C29" s="162" t="s">
        <v>1710</v>
      </c>
      <c r="D29" s="162"/>
      <c r="E29" s="162"/>
      <c r="F29" s="162"/>
      <c r="G29" s="163"/>
      <c r="H29" s="163"/>
      <c r="I29" s="164" t="s">
        <v>498</v>
      </c>
      <c r="J29" s="641">
        <f>SUM(J21:J28)</f>
        <v>38.163266425433378</v>
      </c>
      <c r="K29" s="642">
        <f t="shared" ref="K29:V29" si="4">SUM(K21:K28)</f>
        <v>41.875648472622821</v>
      </c>
      <c r="L29" s="642">
        <f t="shared" si="4"/>
        <v>41.216738959554753</v>
      </c>
      <c r="M29" s="642">
        <f t="shared" si="4"/>
        <v>38.667575885962982</v>
      </c>
      <c r="N29" s="642">
        <f t="shared" si="4"/>
        <v>39.403830339563761</v>
      </c>
      <c r="O29" s="642">
        <f t="shared" si="4"/>
        <v>39.824510528030558</v>
      </c>
      <c r="P29" s="642">
        <f t="shared" si="4"/>
        <v>37.971739619409938</v>
      </c>
      <c r="Q29" s="643">
        <f t="shared" si="4"/>
        <v>34.643209346700459</v>
      </c>
      <c r="R29" s="641">
        <f t="shared" si="4"/>
        <v>34.489047095620073</v>
      </c>
      <c r="S29" s="642">
        <f t="shared" si="4"/>
        <v>34.316601860141958</v>
      </c>
      <c r="T29" s="642">
        <f t="shared" si="4"/>
        <v>34.145018850841254</v>
      </c>
      <c r="U29" s="642">
        <f t="shared" si="4"/>
        <v>33.974293756587045</v>
      </c>
      <c r="V29" s="643">
        <f t="shared" si="4"/>
        <v>33.804422287804115</v>
      </c>
      <c r="W29" s="185"/>
      <c r="X29" s="164" t="s">
        <v>498</v>
      </c>
      <c r="Y29" s="641">
        <f>SUM(Y21:Y28)</f>
        <v>0</v>
      </c>
      <c r="Z29" s="642">
        <f t="shared" ref="Z29" si="5">SUM(Z21:Z28)</f>
        <v>0</v>
      </c>
      <c r="AA29" s="642">
        <f t="shared" ref="AA29" si="6">SUM(AA21:AA28)</f>
        <v>0</v>
      </c>
      <c r="AB29" s="642">
        <f t="shared" ref="AB29" si="7">SUM(AB21:AB28)</f>
        <v>0</v>
      </c>
      <c r="AC29" s="642">
        <f t="shared" ref="AC29" si="8">SUM(AC21:AC28)</f>
        <v>0</v>
      </c>
      <c r="AD29" s="642">
        <f t="shared" ref="AD29" si="9">SUM(AD21:AD28)</f>
        <v>0</v>
      </c>
      <c r="AE29" s="642">
        <f t="shared" ref="AE29" si="10">SUM(AE21:AE28)</f>
        <v>0</v>
      </c>
      <c r="AF29" s="643">
        <f t="shared" ref="AF29" si="11">SUM(AF21:AF28)</f>
        <v>0</v>
      </c>
      <c r="AG29" s="641">
        <f t="shared" ref="AG29" si="12">SUM(AG21:AG28)</f>
        <v>0</v>
      </c>
      <c r="AH29" s="642">
        <f t="shared" ref="AH29" si="13">SUM(AH21:AH28)</f>
        <v>0</v>
      </c>
      <c r="AI29" s="642">
        <f t="shared" ref="AI29" si="14">SUM(AI21:AI28)</f>
        <v>0</v>
      </c>
      <c r="AJ29" s="642">
        <f t="shared" ref="AJ29" si="15">SUM(AJ21:AJ28)</f>
        <v>0</v>
      </c>
      <c r="AK29" s="643">
        <f t="shared" ref="AK29" si="16">SUM(AK21:AK28)</f>
        <v>0</v>
      </c>
      <c r="AL29" s="185"/>
      <c r="AM29" s="164" t="s">
        <v>2233</v>
      </c>
      <c r="AN29" s="641">
        <f>SUM(AN21:AN28)</f>
        <v>353.68665415541125</v>
      </c>
      <c r="AO29" s="642">
        <f t="shared" ref="AO29" si="17">SUM(AO21:AO28)</f>
        <v>397.82250067215858</v>
      </c>
      <c r="AP29" s="642">
        <f t="shared" ref="AP29" si="18">SUM(AP21:AP28)</f>
        <v>374.17744340844121</v>
      </c>
      <c r="AQ29" s="642">
        <f t="shared" ref="AQ29" si="19">SUM(AQ21:AQ28)</f>
        <v>349.69939533168252</v>
      </c>
      <c r="AR29" s="642">
        <f t="shared" ref="AR29" si="20">SUM(AR21:AR28)</f>
        <v>374.26043604044492</v>
      </c>
      <c r="AS29" s="642">
        <f t="shared" ref="AS29" si="21">SUM(AS21:AS28)</f>
        <v>371.83630072480878</v>
      </c>
      <c r="AT29" s="642">
        <f t="shared" ref="AT29" si="22">SUM(AT21:AT28)</f>
        <v>367.32302317120713</v>
      </c>
      <c r="AU29" s="643">
        <f t="shared" ref="AU29" si="23">SUM(AU21:AU28)</f>
        <v>344.4416075005293</v>
      </c>
      <c r="AV29" s="641">
        <f t="shared" ref="AV29" si="24">SUM(AV21:AV28)</f>
        <v>306.91883844711884</v>
      </c>
      <c r="AW29" s="642">
        <f t="shared" ref="AW29" si="25">SUM(AW21:AW28)</f>
        <v>306.91883844711884</v>
      </c>
      <c r="AX29" s="642">
        <f t="shared" ref="AX29" si="26">SUM(AX21:AX28)</f>
        <v>306.91883844711884</v>
      </c>
      <c r="AY29" s="642">
        <f t="shared" ref="AY29" si="27">SUM(AY21:AY28)</f>
        <v>306.91883844711884</v>
      </c>
      <c r="AZ29" s="643">
        <f t="shared" ref="AZ29" si="28">SUM(AZ21:AZ28)</f>
        <v>306.91883844711884</v>
      </c>
      <c r="BA29" s="641">
        <f>SUM(BA21:BA28)</f>
        <v>259.67181495442935</v>
      </c>
      <c r="BB29" s="642">
        <f t="shared" ref="BB29" si="29">SUM(BB21:BB28)</f>
        <v>259.67181495442935</v>
      </c>
      <c r="BC29" s="642">
        <f t="shared" ref="BC29" si="30">SUM(BC21:BC28)</f>
        <v>259.67181495442935</v>
      </c>
      <c r="BD29" s="642">
        <f t="shared" ref="BD29" si="31">SUM(BD21:BD28)</f>
        <v>259.67181495442935</v>
      </c>
      <c r="BE29" s="642">
        <f t="shared" ref="BE29" si="32">SUM(BE21:BE28)</f>
        <v>259.67181495442935</v>
      </c>
      <c r="BF29" s="642">
        <f t="shared" ref="BF29" si="33">SUM(BF21:BF28)</f>
        <v>259.67181495442935</v>
      </c>
      <c r="BG29" s="185"/>
      <c r="BH29" s="530"/>
      <c r="BI29" s="530"/>
      <c r="BJ29" s="530"/>
      <c r="BK29" s="530"/>
      <c r="BL29" s="545" t="s">
        <v>2233</v>
      </c>
      <c r="BM29" s="642">
        <f>SUM(BM21:BM28)</f>
        <v>2540.1922146300562</v>
      </c>
      <c r="BN29" s="545" t="s">
        <v>2233</v>
      </c>
      <c r="BO29" s="642">
        <f>SUM(BO21:BO28)</f>
        <v>41.065463054065582</v>
      </c>
      <c r="BP29" s="545" t="s">
        <v>2233</v>
      </c>
      <c r="BQ29" s="642">
        <f>SUM(BQ21:BQ28)</f>
        <v>182.42180882777839</v>
      </c>
      <c r="BR29" s="545" t="s">
        <v>2233</v>
      </c>
      <c r="BS29" s="642">
        <f>SUM(BS21:BS28)</f>
        <v>118.97480538561547</v>
      </c>
      <c r="BT29" s="545" t="s">
        <v>2233</v>
      </c>
      <c r="BU29" s="642">
        <f>SUM(BU21:BU28)</f>
        <v>50.593069107166571</v>
      </c>
      <c r="BV29" s="185"/>
      <c r="BW29" s="530"/>
      <c r="BX29" s="530"/>
      <c r="BY29" s="530"/>
      <c r="BZ29" s="530"/>
      <c r="CA29" s="545" t="s">
        <v>2233</v>
      </c>
      <c r="CB29" s="642">
        <f>SUM(CB21:CB28)</f>
        <v>1328.9585704760248</v>
      </c>
      <c r="CC29" s="545" t="s">
        <v>2233</v>
      </c>
      <c r="CD29" s="642">
        <f>SUM(CD21:CD28)</f>
        <v>21.48431869129832</v>
      </c>
      <c r="CE29" s="545" t="s">
        <v>2233</v>
      </c>
      <c r="CF29" s="642">
        <f>SUM(CF21:CF28)</f>
        <v>95.438063657998327</v>
      </c>
      <c r="CG29" s="545" t="s">
        <v>2233</v>
      </c>
      <c r="CH29" s="642">
        <f>SUM(CH21:CH28)</f>
        <v>62.244339769759392</v>
      </c>
      <c r="CI29" s="545" t="s">
        <v>2233</v>
      </c>
      <c r="CJ29" s="643">
        <f>SUM(CJ21:CJ28)</f>
        <v>26.46889964051276</v>
      </c>
    </row>
    <row r="30" spans="1:88" s="98" customFormat="1" ht="15" customHeight="1">
      <c r="A30" s="99"/>
      <c r="B30" s="123"/>
      <c r="C30" s="127"/>
      <c r="D30" s="127"/>
      <c r="E30" s="127"/>
      <c r="F30" s="127"/>
      <c r="G30" s="117"/>
      <c r="H30" s="117"/>
      <c r="I30" s="117"/>
      <c r="J30" s="159"/>
      <c r="K30" s="117"/>
      <c r="L30" s="117"/>
      <c r="M30" s="117"/>
      <c r="N30" s="117"/>
      <c r="O30" s="117"/>
      <c r="P30" s="117"/>
      <c r="Q30" s="160"/>
      <c r="R30" s="159"/>
      <c r="S30" s="117"/>
      <c r="T30" s="117"/>
      <c r="U30" s="117"/>
      <c r="V30" s="160"/>
      <c r="W30" s="185"/>
      <c r="X30" s="117"/>
      <c r="Y30" s="159"/>
      <c r="Z30" s="117"/>
      <c r="AA30" s="117"/>
      <c r="AB30" s="117"/>
      <c r="AC30" s="117"/>
      <c r="AD30" s="117"/>
      <c r="AE30" s="117"/>
      <c r="AF30" s="160"/>
      <c r="AG30" s="159"/>
      <c r="AH30" s="117"/>
      <c r="AI30" s="117"/>
      <c r="AJ30" s="117"/>
      <c r="AK30" s="160"/>
      <c r="AL30" s="185"/>
      <c r="AM30" s="117"/>
      <c r="AN30" s="713"/>
      <c r="AO30" s="721"/>
      <c r="AP30" s="721"/>
      <c r="AQ30" s="721"/>
      <c r="AR30" s="721"/>
      <c r="AS30" s="721"/>
      <c r="AT30" s="721"/>
      <c r="AU30" s="715"/>
      <c r="AV30" s="713"/>
      <c r="AW30" s="721"/>
      <c r="AX30" s="721"/>
      <c r="AY30" s="721"/>
      <c r="AZ30" s="715"/>
      <c r="BA30" s="713"/>
      <c r="BB30" s="721"/>
      <c r="BC30" s="721"/>
      <c r="BD30" s="721"/>
      <c r="BE30" s="721"/>
      <c r="BF30" s="721"/>
      <c r="BG30" s="185"/>
      <c r="BH30" s="530"/>
      <c r="BI30" s="530"/>
      <c r="BJ30" s="530"/>
      <c r="BK30" s="530"/>
      <c r="BL30" s="530"/>
      <c r="BM30" s="530"/>
      <c r="BN30" s="530"/>
      <c r="BO30" s="530"/>
      <c r="BP30" s="530"/>
      <c r="BQ30" s="530"/>
      <c r="BR30" s="530"/>
      <c r="BS30" s="530"/>
      <c r="BT30" s="530"/>
      <c r="BU30" s="530"/>
      <c r="BV30" s="185"/>
      <c r="BW30" s="530"/>
      <c r="BX30" s="530"/>
      <c r="BY30" s="530"/>
      <c r="BZ30" s="530"/>
      <c r="CA30" s="530"/>
      <c r="CB30" s="530"/>
      <c r="CC30" s="530"/>
      <c r="CD30" s="530"/>
      <c r="CE30" s="530"/>
      <c r="CF30" s="530"/>
      <c r="CG30" s="530"/>
      <c r="CH30" s="530"/>
      <c r="CI30" s="530"/>
      <c r="CJ30" s="544"/>
    </row>
    <row r="31" spans="1:88" s="98" customFormat="1" ht="15" customHeight="1">
      <c r="A31" s="99"/>
      <c r="B31" s="161"/>
      <c r="C31" s="116" t="s">
        <v>2709</v>
      </c>
      <c r="D31" s="116"/>
      <c r="E31" s="116"/>
      <c r="F31" s="116"/>
      <c r="G31" s="117"/>
      <c r="H31" s="117"/>
      <c r="I31" s="117"/>
      <c r="J31" s="159"/>
      <c r="K31" s="117"/>
      <c r="L31" s="117"/>
      <c r="M31" s="117"/>
      <c r="N31" s="117"/>
      <c r="O31" s="117"/>
      <c r="P31" s="117"/>
      <c r="Q31" s="160"/>
      <c r="R31" s="159"/>
      <c r="S31" s="117"/>
      <c r="T31" s="117"/>
      <c r="U31" s="117"/>
      <c r="V31" s="160"/>
      <c r="W31" s="185"/>
      <c r="X31" s="117"/>
      <c r="Y31" s="159"/>
      <c r="Z31" s="117"/>
      <c r="AA31" s="117"/>
      <c r="AB31" s="117"/>
      <c r="AC31" s="117"/>
      <c r="AD31" s="117"/>
      <c r="AE31" s="117"/>
      <c r="AF31" s="160"/>
      <c r="AG31" s="159"/>
      <c r="AH31" s="117"/>
      <c r="AI31" s="117"/>
      <c r="AJ31" s="117"/>
      <c r="AK31" s="160"/>
      <c r="AL31" s="185"/>
      <c r="AM31" s="117"/>
      <c r="AN31" s="713"/>
      <c r="AO31" s="721"/>
      <c r="AP31" s="721"/>
      <c r="AQ31" s="721"/>
      <c r="AR31" s="721"/>
      <c r="AS31" s="721"/>
      <c r="AT31" s="721"/>
      <c r="AU31" s="715"/>
      <c r="AV31" s="713"/>
      <c r="AW31" s="721"/>
      <c r="AX31" s="721"/>
      <c r="AY31" s="721"/>
      <c r="AZ31" s="715"/>
      <c r="BA31" s="713"/>
      <c r="BB31" s="721"/>
      <c r="BC31" s="721"/>
      <c r="BD31" s="721"/>
      <c r="BE31" s="721"/>
      <c r="BF31" s="721"/>
      <c r="BG31" s="185"/>
      <c r="BH31" s="530"/>
      <c r="BI31" s="530"/>
      <c r="BJ31" s="530"/>
      <c r="BK31" s="530"/>
      <c r="BL31" s="530"/>
      <c r="BM31" s="530"/>
      <c r="BN31" s="530"/>
      <c r="BO31" s="530"/>
      <c r="BP31" s="530"/>
      <c r="BQ31" s="530"/>
      <c r="BR31" s="530"/>
      <c r="BS31" s="530"/>
      <c r="BT31" s="530"/>
      <c r="BU31" s="530"/>
      <c r="BV31" s="185"/>
      <c r="BW31" s="530"/>
      <c r="BX31" s="530"/>
      <c r="BY31" s="530"/>
      <c r="BZ31" s="530"/>
      <c r="CA31" s="530"/>
      <c r="CB31" s="530"/>
      <c r="CC31" s="530"/>
      <c r="CD31" s="530"/>
      <c r="CE31" s="530"/>
      <c r="CF31" s="530"/>
      <c r="CG31" s="530"/>
      <c r="CH31" s="530"/>
      <c r="CI31" s="530"/>
      <c r="CJ31" s="544"/>
    </row>
    <row r="32" spans="1:88" s="98" customFormat="1" ht="15" customHeight="1">
      <c r="A32" s="99"/>
      <c r="B32" s="161"/>
      <c r="C32" s="162"/>
      <c r="D32" s="162" t="s">
        <v>2701</v>
      </c>
      <c r="E32" s="162"/>
      <c r="F32" s="162"/>
      <c r="G32" s="163"/>
      <c r="H32" s="163"/>
      <c r="I32" s="164" t="s">
        <v>498</v>
      </c>
      <c r="J32" s="143">
        <v>2.5532143016744882</v>
      </c>
      <c r="K32" s="141">
        <v>2.3864812946857361</v>
      </c>
      <c r="L32" s="141">
        <v>2.0590591894721193</v>
      </c>
      <c r="M32" s="141">
        <v>3.7980721337800558</v>
      </c>
      <c r="N32" s="141">
        <v>3.5526903378258146</v>
      </c>
      <c r="O32" s="141">
        <v>2.5313505146874031</v>
      </c>
      <c r="P32" s="141">
        <v>2.6198084832532471</v>
      </c>
      <c r="Q32" s="144">
        <v>2.3997685414148253</v>
      </c>
      <c r="R32" s="143">
        <v>3.1976788313294966</v>
      </c>
      <c r="S32" s="141">
        <v>3.1816904371728492</v>
      </c>
      <c r="T32" s="141">
        <v>3.1657819849869848</v>
      </c>
      <c r="U32" s="141">
        <v>3.1499530750620499</v>
      </c>
      <c r="V32" s="144">
        <v>3.1342033096867397</v>
      </c>
      <c r="W32" s="185"/>
      <c r="X32" s="164" t="s">
        <v>498</v>
      </c>
      <c r="Y32" s="143">
        <v>0</v>
      </c>
      <c r="Z32" s="141">
        <v>0</v>
      </c>
      <c r="AA32" s="141">
        <v>0</v>
      </c>
      <c r="AB32" s="141">
        <v>0</v>
      </c>
      <c r="AC32" s="141">
        <v>0</v>
      </c>
      <c r="AD32" s="141">
        <v>0</v>
      </c>
      <c r="AE32" s="141">
        <v>0</v>
      </c>
      <c r="AF32" s="144">
        <v>0</v>
      </c>
      <c r="AG32" s="143">
        <v>0</v>
      </c>
      <c r="AH32" s="141">
        <v>0</v>
      </c>
      <c r="AI32" s="141">
        <v>0</v>
      </c>
      <c r="AJ32" s="141">
        <v>0</v>
      </c>
      <c r="AK32" s="144">
        <v>0</v>
      </c>
      <c r="AL32" s="185"/>
      <c r="AM32" s="164" t="s">
        <v>2233</v>
      </c>
      <c r="AN32" s="143">
        <v>26.132923775218828</v>
      </c>
      <c r="AO32" s="141">
        <v>25.951599760006751</v>
      </c>
      <c r="AP32" s="141">
        <v>17.231578219443204</v>
      </c>
      <c r="AQ32" s="141">
        <v>33.312789155013299</v>
      </c>
      <c r="AR32" s="141">
        <v>32.391475152788182</v>
      </c>
      <c r="AS32" s="141">
        <v>23.937877569277596</v>
      </c>
      <c r="AT32" s="141">
        <v>25.661330485368619</v>
      </c>
      <c r="AU32" s="144">
        <v>24.067076144711386</v>
      </c>
      <c r="AV32" s="143">
        <v>30.836408499117827</v>
      </c>
      <c r="AW32" s="141">
        <v>30.836408499117827</v>
      </c>
      <c r="AX32" s="141">
        <v>30.836408499117827</v>
      </c>
      <c r="AY32" s="141">
        <v>30.836408499117827</v>
      </c>
      <c r="AZ32" s="144">
        <v>30.836408499117827</v>
      </c>
      <c r="BA32" s="143">
        <v>43.219042512476058</v>
      </c>
      <c r="BB32" s="141">
        <v>43.219042512476058</v>
      </c>
      <c r="BC32" s="141">
        <v>43.219042512476058</v>
      </c>
      <c r="BD32" s="141">
        <v>43.219042512476058</v>
      </c>
      <c r="BE32" s="141">
        <v>43.219042512476058</v>
      </c>
      <c r="BF32" s="141">
        <v>43.219042512476058</v>
      </c>
      <c r="BG32" s="185"/>
      <c r="BH32" s="545" t="s">
        <v>627</v>
      </c>
      <c r="BI32" s="868">
        <v>0</v>
      </c>
      <c r="BJ32" s="545" t="s">
        <v>627</v>
      </c>
      <c r="BK32" s="868">
        <v>0</v>
      </c>
      <c r="BL32" s="545" t="s">
        <v>2233</v>
      </c>
      <c r="BM32" s="141">
        <v>180.72263912674291</v>
      </c>
      <c r="BN32" s="545" t="s">
        <v>2233</v>
      </c>
      <c r="BO32" s="141">
        <v>2.9216131036655901</v>
      </c>
      <c r="BP32" s="545" t="s">
        <v>2233</v>
      </c>
      <c r="BQ32" s="141">
        <v>14.118412424391188</v>
      </c>
      <c r="BR32" s="545" t="s">
        <v>2233</v>
      </c>
      <c r="BS32" s="141">
        <v>7.6947052064182948</v>
      </c>
      <c r="BT32" s="545" t="s">
        <v>2233</v>
      </c>
      <c r="BU32" s="141">
        <v>3.2292804006098446</v>
      </c>
      <c r="BV32" s="185"/>
      <c r="BW32" s="545" t="s">
        <v>627</v>
      </c>
      <c r="BX32" s="868">
        <v>0</v>
      </c>
      <c r="BY32" s="545" t="s">
        <v>627</v>
      </c>
      <c r="BZ32" s="868">
        <v>0</v>
      </c>
      <c r="CA32" s="545" t="s">
        <v>2233</v>
      </c>
      <c r="CB32" s="141">
        <v>133.52164880118019</v>
      </c>
      <c r="CC32" s="545" t="s">
        <v>2233</v>
      </c>
      <c r="CD32" s="141">
        <v>2.1585485949382481</v>
      </c>
      <c r="CE32" s="545" t="s">
        <v>2233</v>
      </c>
      <c r="CF32" s="141">
        <v>10.430977073313581</v>
      </c>
      <c r="CG32" s="545" t="s">
        <v>2233</v>
      </c>
      <c r="CH32" s="141">
        <v>5.6850084259751306</v>
      </c>
      <c r="CI32" s="545" t="s">
        <v>2233</v>
      </c>
      <c r="CJ32" s="144">
        <v>2.3858596001819747</v>
      </c>
    </row>
    <row r="33" spans="1:88" s="98" customFormat="1" ht="15" customHeight="1">
      <c r="A33" s="99"/>
      <c r="B33" s="161"/>
      <c r="C33" s="162"/>
      <c r="D33" s="162" t="s">
        <v>2702</v>
      </c>
      <c r="E33" s="162"/>
      <c r="F33" s="162"/>
      <c r="G33" s="163"/>
      <c r="H33" s="163"/>
      <c r="I33" s="164" t="s">
        <v>498</v>
      </c>
      <c r="J33" s="143">
        <v>5.0653771834443901</v>
      </c>
      <c r="K33" s="141">
        <v>4.4617153423318001</v>
      </c>
      <c r="L33" s="141">
        <v>3.9521168984107478</v>
      </c>
      <c r="M33" s="141">
        <v>6.4199289654290084</v>
      </c>
      <c r="N33" s="141">
        <v>6.4889116825252806</v>
      </c>
      <c r="O33" s="141">
        <v>8.6951475919455987</v>
      </c>
      <c r="P33" s="141">
        <v>5.2727430911479924</v>
      </c>
      <c r="Q33" s="144">
        <v>5.0744818006856676</v>
      </c>
      <c r="R33" s="143">
        <v>6.7416027303321258</v>
      </c>
      <c r="S33" s="141">
        <v>6.7078947166804648</v>
      </c>
      <c r="T33" s="141">
        <v>6.6743552430970627</v>
      </c>
      <c r="U33" s="141">
        <v>6.6409834668815773</v>
      </c>
      <c r="V33" s="144">
        <v>6.6077785495471693</v>
      </c>
      <c r="W33" s="185"/>
      <c r="X33" s="164" t="s">
        <v>498</v>
      </c>
      <c r="Y33" s="143">
        <v>0</v>
      </c>
      <c r="Z33" s="141">
        <v>0</v>
      </c>
      <c r="AA33" s="141">
        <v>0</v>
      </c>
      <c r="AB33" s="141">
        <v>0</v>
      </c>
      <c r="AC33" s="141">
        <v>0</v>
      </c>
      <c r="AD33" s="141">
        <v>0</v>
      </c>
      <c r="AE33" s="141">
        <v>0</v>
      </c>
      <c r="AF33" s="144">
        <v>0</v>
      </c>
      <c r="AG33" s="143">
        <v>0</v>
      </c>
      <c r="AH33" s="141">
        <v>0</v>
      </c>
      <c r="AI33" s="141">
        <v>0</v>
      </c>
      <c r="AJ33" s="141">
        <v>0</v>
      </c>
      <c r="AK33" s="144">
        <v>0</v>
      </c>
      <c r="AL33" s="185"/>
      <c r="AM33" s="164" t="s">
        <v>2233</v>
      </c>
      <c r="AN33" s="143">
        <v>45.656801389560108</v>
      </c>
      <c r="AO33" s="141">
        <v>41.738374318285771</v>
      </c>
      <c r="AP33" s="141">
        <v>32.500457580961537</v>
      </c>
      <c r="AQ33" s="141">
        <v>56.616276869089234</v>
      </c>
      <c r="AR33" s="141">
        <v>60.37024932819908</v>
      </c>
      <c r="AS33" s="141">
        <v>83.164340253907127</v>
      </c>
      <c r="AT33" s="141">
        <v>50.034764622106984</v>
      </c>
      <c r="AU33" s="144">
        <v>49.302767651024304</v>
      </c>
      <c r="AV33" s="143">
        <v>62.097912280163392</v>
      </c>
      <c r="AW33" s="141">
        <v>62.097912280163392</v>
      </c>
      <c r="AX33" s="141">
        <v>62.097912280163392</v>
      </c>
      <c r="AY33" s="141">
        <v>62.097912280163392</v>
      </c>
      <c r="AZ33" s="144">
        <v>62.097912280163392</v>
      </c>
      <c r="BA33" s="143">
        <v>87.033881097053495</v>
      </c>
      <c r="BB33" s="141">
        <v>87.033881097053495</v>
      </c>
      <c r="BC33" s="141">
        <v>87.033881097053495</v>
      </c>
      <c r="BD33" s="141">
        <v>87.033881097053495</v>
      </c>
      <c r="BE33" s="141">
        <v>87.033881097053495</v>
      </c>
      <c r="BF33" s="141">
        <v>87.033881097053495</v>
      </c>
      <c r="BG33" s="185"/>
      <c r="BH33" s="545" t="s">
        <v>627</v>
      </c>
      <c r="BI33" s="868">
        <v>0</v>
      </c>
      <c r="BJ33" s="545" t="s">
        <v>627</v>
      </c>
      <c r="BK33" s="868">
        <v>0</v>
      </c>
      <c r="BL33" s="545" t="s">
        <v>2233</v>
      </c>
      <c r="BM33" s="141">
        <v>363.18657172337413</v>
      </c>
      <c r="BN33" s="545" t="s">
        <v>2233</v>
      </c>
      <c r="BO33" s="141">
        <v>5.8713764481838782</v>
      </c>
      <c r="BP33" s="545" t="s">
        <v>2233</v>
      </c>
      <c r="BQ33" s="141">
        <v>28.372858161922196</v>
      </c>
      <c r="BR33" s="545" t="s">
        <v>2233</v>
      </c>
      <c r="BS33" s="141">
        <v>15.463550210669306</v>
      </c>
      <c r="BT33" s="545" t="s">
        <v>2233</v>
      </c>
      <c r="BU33" s="141">
        <v>6.489675468984565</v>
      </c>
      <c r="BV33" s="185"/>
      <c r="BW33" s="545" t="s">
        <v>627</v>
      </c>
      <c r="BX33" s="868">
        <v>0</v>
      </c>
      <c r="BY33" s="545" t="s">
        <v>627</v>
      </c>
      <c r="BZ33" s="868">
        <v>0</v>
      </c>
      <c r="CA33" s="545" t="s">
        <v>2233</v>
      </c>
      <c r="CB33" s="141">
        <v>268.88396017310748</v>
      </c>
      <c r="CC33" s="545" t="s">
        <v>2233</v>
      </c>
      <c r="CD33" s="141">
        <v>4.3468538596114374</v>
      </c>
      <c r="CE33" s="545" t="s">
        <v>2233</v>
      </c>
      <c r="CF33" s="141">
        <v>21.005750371790313</v>
      </c>
      <c r="CG33" s="545" t="s">
        <v>2233</v>
      </c>
      <c r="CH33" s="141">
        <v>11.448387530548276</v>
      </c>
      <c r="CI33" s="545" t="s">
        <v>2233</v>
      </c>
      <c r="CJ33" s="144">
        <v>4.8046094657594276</v>
      </c>
    </row>
    <row r="34" spans="1:88" s="98" customFormat="1" ht="15" customHeight="1">
      <c r="A34" s="99"/>
      <c r="B34" s="161"/>
      <c r="C34" s="162"/>
      <c r="D34" s="162" t="s">
        <v>2703</v>
      </c>
      <c r="E34" s="162"/>
      <c r="F34" s="162"/>
      <c r="G34" s="163"/>
      <c r="H34" s="163"/>
      <c r="I34" s="164" t="s">
        <v>498</v>
      </c>
      <c r="J34" s="143">
        <v>1.8158262930340812</v>
      </c>
      <c r="K34" s="141">
        <v>1.7929249808041423</v>
      </c>
      <c r="L34" s="141">
        <v>0.55608516343451397</v>
      </c>
      <c r="M34" s="141">
        <v>1.4367390887363771</v>
      </c>
      <c r="N34" s="141">
        <v>1.2532099472929645</v>
      </c>
      <c r="O34" s="141">
        <v>1.9246876940299953</v>
      </c>
      <c r="P34" s="141">
        <v>1.352880784316236</v>
      </c>
      <c r="Q34" s="144">
        <v>1.196160974477452</v>
      </c>
      <c r="R34" s="143">
        <v>3.5804686013438412</v>
      </c>
      <c r="S34" s="141">
        <v>3.5625662583371218</v>
      </c>
      <c r="T34" s="141">
        <v>3.5447534270454364</v>
      </c>
      <c r="U34" s="141">
        <v>3.5270296599102093</v>
      </c>
      <c r="V34" s="144">
        <v>3.5093945116106582</v>
      </c>
      <c r="W34" s="185"/>
      <c r="X34" s="164" t="s">
        <v>498</v>
      </c>
      <c r="Y34" s="143">
        <v>0</v>
      </c>
      <c r="Z34" s="141">
        <v>0</v>
      </c>
      <c r="AA34" s="141">
        <v>0</v>
      </c>
      <c r="AB34" s="141">
        <v>0</v>
      </c>
      <c r="AC34" s="141">
        <v>0</v>
      </c>
      <c r="AD34" s="141">
        <v>0</v>
      </c>
      <c r="AE34" s="141">
        <v>0</v>
      </c>
      <c r="AF34" s="144">
        <v>0</v>
      </c>
      <c r="AG34" s="143">
        <v>0</v>
      </c>
      <c r="AH34" s="141">
        <v>0</v>
      </c>
      <c r="AI34" s="141">
        <v>0</v>
      </c>
      <c r="AJ34" s="141">
        <v>0</v>
      </c>
      <c r="AK34" s="144">
        <v>0</v>
      </c>
      <c r="AL34" s="185"/>
      <c r="AM34" s="164" t="s">
        <v>2233</v>
      </c>
      <c r="AN34" s="143">
        <v>10.148978058202129</v>
      </c>
      <c r="AO34" s="141">
        <v>9.9547289851712382</v>
      </c>
      <c r="AP34" s="141">
        <v>4.4355431697486729</v>
      </c>
      <c r="AQ34" s="141">
        <v>8.3419991119212877</v>
      </c>
      <c r="AR34" s="141">
        <v>6.2708942618853367</v>
      </c>
      <c r="AS34" s="141">
        <v>9.8793784790540435</v>
      </c>
      <c r="AT34" s="141">
        <v>7.8593709246041383</v>
      </c>
      <c r="AU34" s="144">
        <v>7.1147924760052845</v>
      </c>
      <c r="AV34" s="143">
        <v>21.537153000587733</v>
      </c>
      <c r="AW34" s="141">
        <v>21.537153000587733</v>
      </c>
      <c r="AX34" s="141">
        <v>21.537153000587733</v>
      </c>
      <c r="AY34" s="141">
        <v>21.537153000587733</v>
      </c>
      <c r="AZ34" s="144">
        <v>21.537153000587733</v>
      </c>
      <c r="BA34" s="143">
        <v>30.185588284599728</v>
      </c>
      <c r="BB34" s="141">
        <v>30.185588284599728</v>
      </c>
      <c r="BC34" s="141">
        <v>30.185588284599728</v>
      </c>
      <c r="BD34" s="141">
        <v>30.185588284599728</v>
      </c>
      <c r="BE34" s="141">
        <v>30.185588284599728</v>
      </c>
      <c r="BF34" s="141">
        <v>30.185588284599728</v>
      </c>
      <c r="BG34" s="185"/>
      <c r="BH34" s="545" t="s">
        <v>627</v>
      </c>
      <c r="BI34" s="868">
        <v>0</v>
      </c>
      <c r="BJ34" s="545" t="s">
        <v>627</v>
      </c>
      <c r="BK34" s="868">
        <v>0</v>
      </c>
      <c r="BL34" s="545" t="s">
        <v>2233</v>
      </c>
      <c r="BM34" s="141">
        <v>55.428923614068779</v>
      </c>
      <c r="BN34" s="545" t="s">
        <v>2233</v>
      </c>
      <c r="BO34" s="141">
        <v>0.89607959653228997</v>
      </c>
      <c r="BP34" s="545" t="s">
        <v>2233</v>
      </c>
      <c r="BQ34" s="141">
        <v>4.3302178830770313</v>
      </c>
      <c r="BR34" s="545" t="s">
        <v>2233</v>
      </c>
      <c r="BS34" s="141">
        <v>2.3600210199465996</v>
      </c>
      <c r="BT34" s="545" t="s">
        <v>2233</v>
      </c>
      <c r="BU34" s="141">
        <v>0.99044335296742125</v>
      </c>
      <c r="BV34" s="185"/>
      <c r="BW34" s="545" t="s">
        <v>627</v>
      </c>
      <c r="BX34" s="868">
        <v>0</v>
      </c>
      <c r="BY34" s="545" t="s">
        <v>627</v>
      </c>
      <c r="BZ34" s="868">
        <v>0</v>
      </c>
      <c r="CA34" s="545" t="s">
        <v>2233</v>
      </c>
      <c r="CB34" s="141">
        <v>93.255872492544881</v>
      </c>
      <c r="CC34" s="545" t="s">
        <v>2233</v>
      </c>
      <c r="CD34" s="141">
        <v>1.5076007100411417</v>
      </c>
      <c r="CE34" s="545" t="s">
        <v>2233</v>
      </c>
      <c r="CF34" s="141">
        <v>7.2853344506706863</v>
      </c>
      <c r="CG34" s="545" t="s">
        <v>2233</v>
      </c>
      <c r="CH34" s="141">
        <v>3.970595222960533</v>
      </c>
      <c r="CI34" s="545" t="s">
        <v>2233</v>
      </c>
      <c r="CJ34" s="144">
        <v>1.6663621267214139</v>
      </c>
    </row>
    <row r="35" spans="1:88" s="98" customFormat="1" ht="15" customHeight="1">
      <c r="A35" s="99"/>
      <c r="B35" s="161"/>
      <c r="C35" s="162"/>
      <c r="D35" s="162" t="s">
        <v>2704</v>
      </c>
      <c r="E35" s="162"/>
      <c r="F35" s="162"/>
      <c r="G35" s="163"/>
      <c r="H35" s="163"/>
      <c r="I35" s="164" t="s">
        <v>498</v>
      </c>
      <c r="J35" s="143">
        <v>0.46355256529419653</v>
      </c>
      <c r="K35" s="141">
        <v>0.30637896044580348</v>
      </c>
      <c r="L35" s="141">
        <v>9.1075362978550775E-2</v>
      </c>
      <c r="M35" s="141">
        <v>0.31216862541772078</v>
      </c>
      <c r="N35" s="141">
        <v>0.13873841358316827</v>
      </c>
      <c r="O35" s="141">
        <v>0.21336020435526137</v>
      </c>
      <c r="P35" s="141">
        <v>0.24671200128391332</v>
      </c>
      <c r="Q35" s="144">
        <v>0.19849535933234211</v>
      </c>
      <c r="R35" s="143">
        <v>0.92053879193291699</v>
      </c>
      <c r="S35" s="141">
        <v>0.91593609797325237</v>
      </c>
      <c r="T35" s="141">
        <v>0.91135641748338614</v>
      </c>
      <c r="U35" s="141">
        <v>0.90679963539596919</v>
      </c>
      <c r="V35" s="144">
        <v>0.90226563721898934</v>
      </c>
      <c r="W35" s="185"/>
      <c r="X35" s="164" t="s">
        <v>498</v>
      </c>
      <c r="Y35" s="143">
        <v>0</v>
      </c>
      <c r="Z35" s="141">
        <v>0</v>
      </c>
      <c r="AA35" s="141">
        <v>0</v>
      </c>
      <c r="AB35" s="141">
        <v>0</v>
      </c>
      <c r="AC35" s="141">
        <v>0</v>
      </c>
      <c r="AD35" s="141">
        <v>0</v>
      </c>
      <c r="AE35" s="141">
        <v>0</v>
      </c>
      <c r="AF35" s="144">
        <v>0</v>
      </c>
      <c r="AG35" s="143">
        <v>0</v>
      </c>
      <c r="AH35" s="141">
        <v>0</v>
      </c>
      <c r="AI35" s="141">
        <v>0</v>
      </c>
      <c r="AJ35" s="141">
        <v>0</v>
      </c>
      <c r="AK35" s="144">
        <v>0</v>
      </c>
      <c r="AL35" s="185"/>
      <c r="AM35" s="164" t="s">
        <v>2233</v>
      </c>
      <c r="AN35" s="143">
        <v>1.580962621607783</v>
      </c>
      <c r="AO35" s="141">
        <v>1.0775457992614086</v>
      </c>
      <c r="AP35" s="141">
        <v>0.84498762140544659</v>
      </c>
      <c r="AQ35" s="141">
        <v>0.31653953229398646</v>
      </c>
      <c r="AR35" s="141">
        <v>0.39894521668029437</v>
      </c>
      <c r="AS35" s="141">
        <v>0.61381708920187805</v>
      </c>
      <c r="AT35" s="141">
        <v>0.81313441390540153</v>
      </c>
      <c r="AU35" s="144">
        <v>0.66983336109650937</v>
      </c>
      <c r="AV35" s="143">
        <v>2.9231023380290311</v>
      </c>
      <c r="AW35" s="141">
        <v>2.9231023380290311</v>
      </c>
      <c r="AX35" s="141">
        <v>2.9231023380290311</v>
      </c>
      <c r="AY35" s="141">
        <v>2.9231023380290311</v>
      </c>
      <c r="AZ35" s="144">
        <v>2.9231023380290311</v>
      </c>
      <c r="BA35" s="143">
        <v>4.0969000724973874</v>
      </c>
      <c r="BB35" s="141">
        <v>4.0969000724973874</v>
      </c>
      <c r="BC35" s="141">
        <v>4.0969000724973874</v>
      </c>
      <c r="BD35" s="141">
        <v>4.0969000724973874</v>
      </c>
      <c r="BE35" s="141">
        <v>4.0969000724973874</v>
      </c>
      <c r="BF35" s="141">
        <v>4.0969000724973874</v>
      </c>
      <c r="BG35" s="185"/>
      <c r="BH35" s="545" t="s">
        <v>627</v>
      </c>
      <c r="BI35" s="868">
        <v>0</v>
      </c>
      <c r="BJ35" s="545" t="s">
        <v>627</v>
      </c>
      <c r="BK35" s="868">
        <v>0</v>
      </c>
      <c r="BL35" s="545" t="s">
        <v>2233</v>
      </c>
      <c r="BM35" s="141">
        <v>5.4694530576220455</v>
      </c>
      <c r="BN35" s="545" t="s">
        <v>2233</v>
      </c>
      <c r="BO35" s="141">
        <v>8.8420719176337897E-2</v>
      </c>
      <c r="BP35" s="545" t="s">
        <v>2233</v>
      </c>
      <c r="BQ35" s="141">
        <v>0.42728456366332812</v>
      </c>
      <c r="BR35" s="545" t="s">
        <v>2233</v>
      </c>
      <c r="BS35" s="141">
        <v>0.2328752453046545</v>
      </c>
      <c r="BT35" s="545" t="s">
        <v>2233</v>
      </c>
      <c r="BU35" s="141">
        <v>9.7732069686341891E-2</v>
      </c>
      <c r="BV35" s="185"/>
      <c r="BW35" s="545" t="s">
        <v>627</v>
      </c>
      <c r="BX35" s="868">
        <v>0</v>
      </c>
      <c r="BY35" s="545" t="s">
        <v>627</v>
      </c>
      <c r="BZ35" s="868">
        <v>0</v>
      </c>
      <c r="CA35" s="545" t="s">
        <v>2233</v>
      </c>
      <c r="CB35" s="141">
        <v>12.657033123665704</v>
      </c>
      <c r="CC35" s="545" t="s">
        <v>2233</v>
      </c>
      <c r="CD35" s="141">
        <v>0.20461716366203214</v>
      </c>
      <c r="CE35" s="545" t="s">
        <v>2233</v>
      </c>
      <c r="CF35" s="141">
        <v>0.98879263036752252</v>
      </c>
      <c r="CG35" s="545" t="s">
        <v>2233</v>
      </c>
      <c r="CH35" s="141">
        <v>0.53890392009037136</v>
      </c>
      <c r="CI35" s="545" t="s">
        <v>2233</v>
      </c>
      <c r="CJ35" s="144">
        <v>0.22616485235952349</v>
      </c>
    </row>
    <row r="36" spans="1:88" s="98" customFormat="1" ht="15" customHeight="1">
      <c r="A36" s="99"/>
      <c r="B36" s="161"/>
      <c r="C36" s="162"/>
      <c r="D36" s="162" t="s">
        <v>2705</v>
      </c>
      <c r="E36" s="162"/>
      <c r="F36" s="162"/>
      <c r="G36" s="163"/>
      <c r="H36" s="163"/>
      <c r="I36" s="164" t="s">
        <v>498</v>
      </c>
      <c r="J36" s="143">
        <v>0.14445479252103266</v>
      </c>
      <c r="K36" s="141">
        <v>4.3426901530197307E-2</v>
      </c>
      <c r="L36" s="141">
        <v>0.16042469734081993</v>
      </c>
      <c r="M36" s="141">
        <v>3.4504176980721349E-2</v>
      </c>
      <c r="N36" s="141">
        <v>1.7112350844087642E-2</v>
      </c>
      <c r="O36" s="141">
        <v>0.10513706488425111</v>
      </c>
      <c r="P36" s="141">
        <v>0.101579039646993</v>
      </c>
      <c r="Q36" s="144">
        <v>8.5097897674383013E-2</v>
      </c>
      <c r="R36" s="143">
        <v>0.12987540666289629</v>
      </c>
      <c r="S36" s="141">
        <v>0.12922602962958182</v>
      </c>
      <c r="T36" s="141">
        <v>0.12857989948143392</v>
      </c>
      <c r="U36" s="141">
        <v>0.12793699998402674</v>
      </c>
      <c r="V36" s="144">
        <v>0.1272973149841066</v>
      </c>
      <c r="W36" s="185"/>
      <c r="X36" s="164" t="s">
        <v>498</v>
      </c>
      <c r="Y36" s="143">
        <v>0</v>
      </c>
      <c r="Z36" s="141">
        <v>0</v>
      </c>
      <c r="AA36" s="141">
        <v>0</v>
      </c>
      <c r="AB36" s="141">
        <v>0</v>
      </c>
      <c r="AC36" s="141">
        <v>0</v>
      </c>
      <c r="AD36" s="141">
        <v>0</v>
      </c>
      <c r="AE36" s="141">
        <v>0</v>
      </c>
      <c r="AF36" s="144">
        <v>0</v>
      </c>
      <c r="AG36" s="143">
        <v>0</v>
      </c>
      <c r="AH36" s="141">
        <v>0</v>
      </c>
      <c r="AI36" s="141">
        <v>0</v>
      </c>
      <c r="AJ36" s="141">
        <v>0</v>
      </c>
      <c r="AK36" s="144">
        <v>0</v>
      </c>
      <c r="AL36" s="185"/>
      <c r="AM36" s="164" t="s">
        <v>2233</v>
      </c>
      <c r="AN36" s="143">
        <v>0.42401</v>
      </c>
      <c r="AO36" s="141">
        <v>0.11386046511627908</v>
      </c>
      <c r="AP36" s="141">
        <v>1.0449999999999999</v>
      </c>
      <c r="AQ36" s="141">
        <v>9.2000000000000012E-2</v>
      </c>
      <c r="AR36" s="141">
        <v>3.2000000000000001E-2</v>
      </c>
      <c r="AS36" s="141">
        <v>0.21828588374851718</v>
      </c>
      <c r="AT36" s="141">
        <v>0.40276199749440789</v>
      </c>
      <c r="AU36" s="144">
        <v>0.34546779252299936</v>
      </c>
      <c r="AV36" s="143">
        <v>0.26443853248045324</v>
      </c>
      <c r="AW36" s="141">
        <v>0.26443853248045324</v>
      </c>
      <c r="AX36" s="141">
        <v>0.26443853248045324</v>
      </c>
      <c r="AY36" s="141">
        <v>0.26443853248045324</v>
      </c>
      <c r="AZ36" s="144">
        <v>0.26443853248045324</v>
      </c>
      <c r="BA36" s="143">
        <v>0.37062617644128198</v>
      </c>
      <c r="BB36" s="141">
        <v>0.37062617644128198</v>
      </c>
      <c r="BC36" s="141">
        <v>0.37062617644128198</v>
      </c>
      <c r="BD36" s="141">
        <v>0.37062617644128198</v>
      </c>
      <c r="BE36" s="141">
        <v>0.37062617644128198</v>
      </c>
      <c r="BF36" s="141">
        <v>0.37062617644128198</v>
      </c>
      <c r="BG36" s="185"/>
      <c r="BH36" s="545" t="s">
        <v>627</v>
      </c>
      <c r="BI36" s="868">
        <v>0</v>
      </c>
      <c r="BJ36" s="545" t="s">
        <v>627</v>
      </c>
      <c r="BK36" s="868">
        <v>0</v>
      </c>
      <c r="BL36" s="545" t="s">
        <v>2233</v>
      </c>
      <c r="BM36" s="141">
        <v>2.3151523962719884</v>
      </c>
      <c r="BN36" s="545" t="s">
        <v>2233</v>
      </c>
      <c r="BO36" s="141">
        <v>3.7427405944350851E-2</v>
      </c>
      <c r="BP36" s="545" t="s">
        <v>2233</v>
      </c>
      <c r="BQ36" s="141">
        <v>0.18086431513963336</v>
      </c>
      <c r="BR36" s="545" t="s">
        <v>2233</v>
      </c>
      <c r="BS36" s="141">
        <v>9.8573235115011759E-2</v>
      </c>
      <c r="BT36" s="545" t="s">
        <v>2233</v>
      </c>
      <c r="BU36" s="141">
        <v>4.136878641121905E-2</v>
      </c>
      <c r="BV36" s="185"/>
      <c r="BW36" s="545" t="s">
        <v>627</v>
      </c>
      <c r="BX36" s="868">
        <v>0</v>
      </c>
      <c r="BY36" s="545" t="s">
        <v>627</v>
      </c>
      <c r="BZ36" s="868">
        <v>0</v>
      </c>
      <c r="CA36" s="545" t="s">
        <v>2233</v>
      </c>
      <c r="CB36" s="141">
        <v>1.1450188456403627</v>
      </c>
      <c r="CC36" s="545" t="s">
        <v>2233</v>
      </c>
      <c r="CD36" s="141">
        <v>1.8510697273631728E-2</v>
      </c>
      <c r="CE36" s="545" t="s">
        <v>2233</v>
      </c>
      <c r="CF36" s="141">
        <v>8.9451152188595742E-2</v>
      </c>
      <c r="CG36" s="545" t="s">
        <v>2233</v>
      </c>
      <c r="CH36" s="141">
        <v>4.8751957782206777E-2</v>
      </c>
      <c r="CI36" s="545" t="s">
        <v>2233</v>
      </c>
      <c r="CJ36" s="144">
        <v>2.0460009517469308E-2</v>
      </c>
    </row>
    <row r="37" spans="1:88" s="98" customFormat="1" ht="15" customHeight="1">
      <c r="A37" s="99"/>
      <c r="B37" s="161"/>
      <c r="C37" s="162"/>
      <c r="D37" s="162" t="s">
        <v>2706</v>
      </c>
      <c r="E37" s="162"/>
      <c r="F37" s="162"/>
      <c r="G37" s="163"/>
      <c r="H37" s="163"/>
      <c r="I37" s="164" t="s">
        <v>498</v>
      </c>
      <c r="J37" s="143">
        <v>0</v>
      </c>
      <c r="K37" s="141">
        <v>0</v>
      </c>
      <c r="L37" s="141">
        <v>0</v>
      </c>
      <c r="M37" s="141">
        <v>0</v>
      </c>
      <c r="N37" s="141">
        <v>0</v>
      </c>
      <c r="O37" s="141">
        <v>0</v>
      </c>
      <c r="P37" s="141">
        <v>0</v>
      </c>
      <c r="Q37" s="144">
        <v>0</v>
      </c>
      <c r="R37" s="143">
        <v>0</v>
      </c>
      <c r="S37" s="141">
        <v>0</v>
      </c>
      <c r="T37" s="141">
        <v>0</v>
      </c>
      <c r="U37" s="141">
        <v>0</v>
      </c>
      <c r="V37" s="144">
        <v>0</v>
      </c>
      <c r="W37" s="185"/>
      <c r="X37" s="164" t="s">
        <v>498</v>
      </c>
      <c r="Y37" s="143">
        <v>0</v>
      </c>
      <c r="Z37" s="141">
        <v>0</v>
      </c>
      <c r="AA37" s="141">
        <v>0</v>
      </c>
      <c r="AB37" s="141">
        <v>0</v>
      </c>
      <c r="AC37" s="141">
        <v>0</v>
      </c>
      <c r="AD37" s="141">
        <v>0</v>
      </c>
      <c r="AE37" s="141">
        <v>0</v>
      </c>
      <c r="AF37" s="144">
        <v>0</v>
      </c>
      <c r="AG37" s="143">
        <v>0</v>
      </c>
      <c r="AH37" s="141">
        <v>0</v>
      </c>
      <c r="AI37" s="141">
        <v>0</v>
      </c>
      <c r="AJ37" s="141">
        <v>0</v>
      </c>
      <c r="AK37" s="144">
        <v>0</v>
      </c>
      <c r="AL37" s="185"/>
      <c r="AM37" s="164" t="s">
        <v>2233</v>
      </c>
      <c r="AN37" s="143">
        <v>0</v>
      </c>
      <c r="AO37" s="141">
        <v>0</v>
      </c>
      <c r="AP37" s="141">
        <v>0</v>
      </c>
      <c r="AQ37" s="141">
        <v>0</v>
      </c>
      <c r="AR37" s="141">
        <v>0</v>
      </c>
      <c r="AS37" s="141">
        <v>0</v>
      </c>
      <c r="AT37" s="141">
        <v>0</v>
      </c>
      <c r="AU37" s="144">
        <v>0</v>
      </c>
      <c r="AV37" s="143">
        <v>0</v>
      </c>
      <c r="AW37" s="141">
        <v>0</v>
      </c>
      <c r="AX37" s="141">
        <v>0</v>
      </c>
      <c r="AY37" s="141">
        <v>0</v>
      </c>
      <c r="AZ37" s="144">
        <v>0</v>
      </c>
      <c r="BA37" s="143">
        <v>0</v>
      </c>
      <c r="BB37" s="141">
        <v>0</v>
      </c>
      <c r="BC37" s="141">
        <v>0</v>
      </c>
      <c r="BD37" s="141">
        <v>0</v>
      </c>
      <c r="BE37" s="141">
        <v>0</v>
      </c>
      <c r="BF37" s="141">
        <v>0</v>
      </c>
      <c r="BG37" s="185"/>
      <c r="BH37" s="545" t="s">
        <v>627</v>
      </c>
      <c r="BI37" s="868">
        <v>0</v>
      </c>
      <c r="BJ37" s="545" t="s">
        <v>627</v>
      </c>
      <c r="BK37" s="868">
        <v>0</v>
      </c>
      <c r="BL37" s="545" t="s">
        <v>2233</v>
      </c>
      <c r="BM37" s="141">
        <v>0</v>
      </c>
      <c r="BN37" s="545" t="s">
        <v>2233</v>
      </c>
      <c r="BO37" s="141">
        <v>0</v>
      </c>
      <c r="BP37" s="545" t="s">
        <v>2233</v>
      </c>
      <c r="BQ37" s="141">
        <v>0</v>
      </c>
      <c r="BR37" s="545" t="s">
        <v>2233</v>
      </c>
      <c r="BS37" s="141">
        <v>0</v>
      </c>
      <c r="BT37" s="545" t="s">
        <v>2233</v>
      </c>
      <c r="BU37" s="141">
        <v>0</v>
      </c>
      <c r="BV37" s="185"/>
      <c r="BW37" s="545" t="s">
        <v>627</v>
      </c>
      <c r="BX37" s="868">
        <v>0</v>
      </c>
      <c r="BY37" s="545" t="s">
        <v>627</v>
      </c>
      <c r="BZ37" s="868">
        <v>0</v>
      </c>
      <c r="CA37" s="545" t="s">
        <v>2233</v>
      </c>
      <c r="CB37" s="141">
        <v>0</v>
      </c>
      <c r="CC37" s="545" t="s">
        <v>2233</v>
      </c>
      <c r="CD37" s="141">
        <v>0</v>
      </c>
      <c r="CE37" s="545" t="s">
        <v>2233</v>
      </c>
      <c r="CF37" s="141">
        <v>0</v>
      </c>
      <c r="CG37" s="545" t="s">
        <v>2233</v>
      </c>
      <c r="CH37" s="141">
        <v>0</v>
      </c>
      <c r="CI37" s="545" t="s">
        <v>2233</v>
      </c>
      <c r="CJ37" s="144">
        <v>0</v>
      </c>
    </row>
    <row r="38" spans="1:88" s="98" customFormat="1" ht="15" customHeight="1">
      <c r="A38" s="99"/>
      <c r="B38" s="161"/>
      <c r="C38" s="162"/>
      <c r="D38" s="162" t="s">
        <v>2707</v>
      </c>
      <c r="E38" s="162"/>
      <c r="F38" s="162"/>
      <c r="G38" s="163"/>
      <c r="H38" s="163"/>
      <c r="I38" s="164" t="s">
        <v>498</v>
      </c>
      <c r="J38" s="143">
        <v>0</v>
      </c>
      <c r="K38" s="141">
        <v>0</v>
      </c>
      <c r="L38" s="141">
        <v>0</v>
      </c>
      <c r="M38" s="141">
        <v>0</v>
      </c>
      <c r="N38" s="141">
        <v>0</v>
      </c>
      <c r="O38" s="141">
        <v>0</v>
      </c>
      <c r="P38" s="141">
        <v>0</v>
      </c>
      <c r="Q38" s="144">
        <v>0</v>
      </c>
      <c r="R38" s="143">
        <v>0</v>
      </c>
      <c r="S38" s="141">
        <v>0</v>
      </c>
      <c r="T38" s="141">
        <v>0</v>
      </c>
      <c r="U38" s="141">
        <v>0</v>
      </c>
      <c r="V38" s="144">
        <v>0</v>
      </c>
      <c r="W38" s="185"/>
      <c r="X38" s="164" t="s">
        <v>498</v>
      </c>
      <c r="Y38" s="143">
        <v>0</v>
      </c>
      <c r="Z38" s="141">
        <v>0</v>
      </c>
      <c r="AA38" s="141">
        <v>0</v>
      </c>
      <c r="AB38" s="141">
        <v>0</v>
      </c>
      <c r="AC38" s="141">
        <v>0</v>
      </c>
      <c r="AD38" s="141">
        <v>0</v>
      </c>
      <c r="AE38" s="141">
        <v>0</v>
      </c>
      <c r="AF38" s="144">
        <v>0</v>
      </c>
      <c r="AG38" s="143">
        <v>0</v>
      </c>
      <c r="AH38" s="141">
        <v>0</v>
      </c>
      <c r="AI38" s="141">
        <v>0</v>
      </c>
      <c r="AJ38" s="141">
        <v>0</v>
      </c>
      <c r="AK38" s="144">
        <v>0</v>
      </c>
      <c r="AL38" s="185"/>
      <c r="AM38" s="164" t="s">
        <v>2233</v>
      </c>
      <c r="AN38" s="143">
        <v>0</v>
      </c>
      <c r="AO38" s="141">
        <v>0</v>
      </c>
      <c r="AP38" s="141">
        <v>0</v>
      </c>
      <c r="AQ38" s="141">
        <v>0</v>
      </c>
      <c r="AR38" s="141">
        <v>0</v>
      </c>
      <c r="AS38" s="141">
        <v>0</v>
      </c>
      <c r="AT38" s="141">
        <v>0</v>
      </c>
      <c r="AU38" s="144">
        <v>0</v>
      </c>
      <c r="AV38" s="143">
        <v>0</v>
      </c>
      <c r="AW38" s="141">
        <v>0</v>
      </c>
      <c r="AX38" s="141">
        <v>0</v>
      </c>
      <c r="AY38" s="141">
        <v>0</v>
      </c>
      <c r="AZ38" s="144">
        <v>0</v>
      </c>
      <c r="BA38" s="143">
        <v>0</v>
      </c>
      <c r="BB38" s="141">
        <v>0</v>
      </c>
      <c r="BC38" s="141">
        <v>0</v>
      </c>
      <c r="BD38" s="141">
        <v>0</v>
      </c>
      <c r="BE38" s="141">
        <v>0</v>
      </c>
      <c r="BF38" s="141">
        <v>0</v>
      </c>
      <c r="BG38" s="185"/>
      <c r="BH38" s="545" t="s">
        <v>627</v>
      </c>
      <c r="BI38" s="868">
        <v>0</v>
      </c>
      <c r="BJ38" s="545" t="s">
        <v>627</v>
      </c>
      <c r="BK38" s="868">
        <v>0</v>
      </c>
      <c r="BL38" s="545" t="s">
        <v>2233</v>
      </c>
      <c r="BM38" s="141">
        <v>0</v>
      </c>
      <c r="BN38" s="545" t="s">
        <v>2233</v>
      </c>
      <c r="BO38" s="141">
        <v>0</v>
      </c>
      <c r="BP38" s="545" t="s">
        <v>2233</v>
      </c>
      <c r="BQ38" s="141">
        <v>0</v>
      </c>
      <c r="BR38" s="545" t="s">
        <v>2233</v>
      </c>
      <c r="BS38" s="141">
        <v>0</v>
      </c>
      <c r="BT38" s="545" t="s">
        <v>2233</v>
      </c>
      <c r="BU38" s="141">
        <v>0</v>
      </c>
      <c r="BV38" s="185"/>
      <c r="BW38" s="545" t="s">
        <v>627</v>
      </c>
      <c r="BX38" s="868">
        <v>0</v>
      </c>
      <c r="BY38" s="545" t="s">
        <v>627</v>
      </c>
      <c r="BZ38" s="868">
        <v>0</v>
      </c>
      <c r="CA38" s="545" t="s">
        <v>2233</v>
      </c>
      <c r="CB38" s="141">
        <v>0</v>
      </c>
      <c r="CC38" s="545" t="s">
        <v>2233</v>
      </c>
      <c r="CD38" s="141">
        <v>0</v>
      </c>
      <c r="CE38" s="545" t="s">
        <v>2233</v>
      </c>
      <c r="CF38" s="141">
        <v>0</v>
      </c>
      <c r="CG38" s="545" t="s">
        <v>2233</v>
      </c>
      <c r="CH38" s="141">
        <v>0</v>
      </c>
      <c r="CI38" s="545" t="s">
        <v>2233</v>
      </c>
      <c r="CJ38" s="144">
        <v>0</v>
      </c>
    </row>
    <row r="39" spans="1:88" s="98" customFormat="1" ht="15" customHeight="1">
      <c r="A39" s="99"/>
      <c r="B39" s="161"/>
      <c r="C39" s="162"/>
      <c r="D39" s="162" t="s">
        <v>2708</v>
      </c>
      <c r="E39" s="162"/>
      <c r="F39" s="162"/>
      <c r="G39" s="163"/>
      <c r="H39" s="163"/>
      <c r="I39" s="164" t="s">
        <v>498</v>
      </c>
      <c r="J39" s="143">
        <v>0</v>
      </c>
      <c r="K39" s="141">
        <v>0</v>
      </c>
      <c r="L39" s="141">
        <v>0</v>
      </c>
      <c r="M39" s="141">
        <v>0</v>
      </c>
      <c r="N39" s="141">
        <v>0</v>
      </c>
      <c r="O39" s="141">
        <v>0</v>
      </c>
      <c r="P39" s="141">
        <v>0</v>
      </c>
      <c r="Q39" s="144">
        <v>0</v>
      </c>
      <c r="R39" s="143">
        <v>0</v>
      </c>
      <c r="S39" s="141">
        <v>0</v>
      </c>
      <c r="T39" s="141">
        <v>0</v>
      </c>
      <c r="U39" s="141">
        <v>0</v>
      </c>
      <c r="V39" s="144">
        <v>0</v>
      </c>
      <c r="W39" s="185"/>
      <c r="X39" s="164" t="s">
        <v>498</v>
      </c>
      <c r="Y39" s="143">
        <v>0</v>
      </c>
      <c r="Z39" s="141">
        <v>0</v>
      </c>
      <c r="AA39" s="141">
        <v>0</v>
      </c>
      <c r="AB39" s="141">
        <v>0</v>
      </c>
      <c r="AC39" s="141">
        <v>0</v>
      </c>
      <c r="AD39" s="141">
        <v>0</v>
      </c>
      <c r="AE39" s="141">
        <v>0</v>
      </c>
      <c r="AF39" s="144">
        <v>0</v>
      </c>
      <c r="AG39" s="143">
        <v>0</v>
      </c>
      <c r="AH39" s="141">
        <v>0</v>
      </c>
      <c r="AI39" s="141">
        <v>0</v>
      </c>
      <c r="AJ39" s="141">
        <v>0</v>
      </c>
      <c r="AK39" s="144">
        <v>0</v>
      </c>
      <c r="AL39" s="185"/>
      <c r="AM39" s="164" t="s">
        <v>2233</v>
      </c>
      <c r="AN39" s="143">
        <v>0</v>
      </c>
      <c r="AO39" s="141">
        <v>0</v>
      </c>
      <c r="AP39" s="141">
        <v>0</v>
      </c>
      <c r="AQ39" s="141">
        <v>0</v>
      </c>
      <c r="AR39" s="141">
        <v>0</v>
      </c>
      <c r="AS39" s="141">
        <v>0</v>
      </c>
      <c r="AT39" s="141">
        <v>0</v>
      </c>
      <c r="AU39" s="144">
        <v>0</v>
      </c>
      <c r="AV39" s="143">
        <v>0</v>
      </c>
      <c r="AW39" s="141">
        <v>0</v>
      </c>
      <c r="AX39" s="141">
        <v>0</v>
      </c>
      <c r="AY39" s="141">
        <v>0</v>
      </c>
      <c r="AZ39" s="144">
        <v>0</v>
      </c>
      <c r="BA39" s="143">
        <v>0</v>
      </c>
      <c r="BB39" s="141">
        <v>0</v>
      </c>
      <c r="BC39" s="141">
        <v>0</v>
      </c>
      <c r="BD39" s="141">
        <v>0</v>
      </c>
      <c r="BE39" s="141">
        <v>0</v>
      </c>
      <c r="BF39" s="141">
        <v>0</v>
      </c>
      <c r="BG39" s="185"/>
      <c r="BH39" s="545" t="s">
        <v>627</v>
      </c>
      <c r="BI39" s="868">
        <v>0</v>
      </c>
      <c r="BJ39" s="545" t="s">
        <v>627</v>
      </c>
      <c r="BK39" s="868">
        <v>0</v>
      </c>
      <c r="BL39" s="545" t="s">
        <v>2233</v>
      </c>
      <c r="BM39" s="141">
        <v>0</v>
      </c>
      <c r="BN39" s="545" t="s">
        <v>2233</v>
      </c>
      <c r="BO39" s="141">
        <v>0</v>
      </c>
      <c r="BP39" s="545" t="s">
        <v>2233</v>
      </c>
      <c r="BQ39" s="141">
        <v>0</v>
      </c>
      <c r="BR39" s="545" t="s">
        <v>2233</v>
      </c>
      <c r="BS39" s="141">
        <v>0</v>
      </c>
      <c r="BT39" s="545" t="s">
        <v>2233</v>
      </c>
      <c r="BU39" s="141">
        <v>0</v>
      </c>
      <c r="BV39" s="185"/>
      <c r="BW39" s="545" t="s">
        <v>627</v>
      </c>
      <c r="BX39" s="868">
        <v>0</v>
      </c>
      <c r="BY39" s="545" t="s">
        <v>627</v>
      </c>
      <c r="BZ39" s="868">
        <v>0</v>
      </c>
      <c r="CA39" s="545" t="s">
        <v>2233</v>
      </c>
      <c r="CB39" s="141">
        <v>0</v>
      </c>
      <c r="CC39" s="545" t="s">
        <v>2233</v>
      </c>
      <c r="CD39" s="141">
        <v>0</v>
      </c>
      <c r="CE39" s="545" t="s">
        <v>2233</v>
      </c>
      <c r="CF39" s="141">
        <v>0</v>
      </c>
      <c r="CG39" s="545" t="s">
        <v>2233</v>
      </c>
      <c r="CH39" s="141">
        <v>0</v>
      </c>
      <c r="CI39" s="545" t="s">
        <v>2233</v>
      </c>
      <c r="CJ39" s="144">
        <v>0</v>
      </c>
    </row>
    <row r="40" spans="1:88" s="98" customFormat="1" ht="15" customHeight="1">
      <c r="A40" s="99"/>
      <c r="B40" s="161"/>
      <c r="C40" s="162" t="s">
        <v>1710</v>
      </c>
      <c r="D40" s="162"/>
      <c r="E40" s="162"/>
      <c r="F40" s="162"/>
      <c r="G40" s="163"/>
      <c r="H40" s="163"/>
      <c r="I40" s="164" t="s">
        <v>498</v>
      </c>
      <c r="J40" s="641">
        <f>SUM(J32:J39)</f>
        <v>10.042425135968191</v>
      </c>
      <c r="K40" s="642">
        <f t="shared" ref="K40" si="34">SUM(K32:K39)</f>
        <v>8.9909274797976781</v>
      </c>
      <c r="L40" s="642">
        <f t="shared" ref="L40" si="35">SUM(L32:L39)</f>
        <v>6.8187613116367514</v>
      </c>
      <c r="M40" s="642">
        <f t="shared" ref="M40" si="36">SUM(M32:M39)</f>
        <v>12.001412990343885</v>
      </c>
      <c r="N40" s="642">
        <f t="shared" ref="N40" si="37">SUM(N32:N39)</f>
        <v>11.450662732071315</v>
      </c>
      <c r="O40" s="642">
        <f t="shared" ref="O40" si="38">SUM(O32:O39)</f>
        <v>13.46968306990251</v>
      </c>
      <c r="P40" s="642">
        <f t="shared" ref="P40" si="39">SUM(P32:P39)</f>
        <v>9.5937233996483826</v>
      </c>
      <c r="Q40" s="643">
        <f t="shared" ref="Q40" si="40">SUM(Q32:Q39)</f>
        <v>8.9540045735846707</v>
      </c>
      <c r="R40" s="641">
        <f t="shared" ref="R40" si="41">SUM(R32:R39)</f>
        <v>14.570164361601277</v>
      </c>
      <c r="S40" s="642">
        <f t="shared" ref="S40" si="42">SUM(S32:S39)</f>
        <v>14.49731353979327</v>
      </c>
      <c r="T40" s="642">
        <f t="shared" ref="T40" si="43">SUM(T32:T39)</f>
        <v>14.424826972094305</v>
      </c>
      <c r="U40" s="642">
        <f t="shared" ref="U40" si="44">SUM(U32:U39)</f>
        <v>14.352702837233831</v>
      </c>
      <c r="V40" s="643">
        <f t="shared" ref="V40" si="45">SUM(V32:V39)</f>
        <v>14.280939323047663</v>
      </c>
      <c r="W40" s="185"/>
      <c r="X40" s="164" t="s">
        <v>498</v>
      </c>
      <c r="Y40" s="641">
        <f>SUM(Y32:Y39)</f>
        <v>0</v>
      </c>
      <c r="Z40" s="642">
        <f t="shared" ref="Z40" si="46">SUM(Z32:Z39)</f>
        <v>0</v>
      </c>
      <c r="AA40" s="642">
        <f t="shared" ref="AA40" si="47">SUM(AA32:AA39)</f>
        <v>0</v>
      </c>
      <c r="AB40" s="642">
        <f t="shared" ref="AB40" si="48">SUM(AB32:AB39)</f>
        <v>0</v>
      </c>
      <c r="AC40" s="642">
        <f t="shared" ref="AC40" si="49">SUM(AC32:AC39)</f>
        <v>0</v>
      </c>
      <c r="AD40" s="642">
        <f t="shared" ref="AD40" si="50">SUM(AD32:AD39)</f>
        <v>0</v>
      </c>
      <c r="AE40" s="642">
        <f t="shared" ref="AE40" si="51">SUM(AE32:AE39)</f>
        <v>0</v>
      </c>
      <c r="AF40" s="643">
        <f t="shared" ref="AF40" si="52">SUM(AF32:AF39)</f>
        <v>0</v>
      </c>
      <c r="AG40" s="641">
        <f t="shared" ref="AG40" si="53">SUM(AG32:AG39)</f>
        <v>0</v>
      </c>
      <c r="AH40" s="642">
        <f t="shared" ref="AH40" si="54">SUM(AH32:AH39)</f>
        <v>0</v>
      </c>
      <c r="AI40" s="642">
        <f t="shared" ref="AI40" si="55">SUM(AI32:AI39)</f>
        <v>0</v>
      </c>
      <c r="AJ40" s="642">
        <f t="shared" ref="AJ40" si="56">SUM(AJ32:AJ39)</f>
        <v>0</v>
      </c>
      <c r="AK40" s="643">
        <f t="shared" ref="AK40" si="57">SUM(AK32:AK39)</f>
        <v>0</v>
      </c>
      <c r="AL40" s="185"/>
      <c r="AM40" s="164" t="s">
        <v>2233</v>
      </c>
      <c r="AN40" s="641">
        <f>SUM(AN32:AN39)</f>
        <v>83.943675844588839</v>
      </c>
      <c r="AO40" s="642">
        <f t="shared" ref="AO40" si="58">SUM(AO32:AO39)</f>
        <v>78.836109327841456</v>
      </c>
      <c r="AP40" s="642">
        <f t="shared" ref="AP40" si="59">SUM(AP32:AP39)</f>
        <v>56.05756659155886</v>
      </c>
      <c r="AQ40" s="642">
        <f t="shared" ref="AQ40" si="60">SUM(AQ32:AQ39)</f>
        <v>98.679604668317793</v>
      </c>
      <c r="AR40" s="642">
        <f t="shared" ref="AR40" si="61">SUM(AR32:AR39)</f>
        <v>99.463563959552872</v>
      </c>
      <c r="AS40" s="642">
        <f t="shared" ref="AS40" si="62">SUM(AS32:AS39)</f>
        <v>117.81369927518917</v>
      </c>
      <c r="AT40" s="642">
        <f t="shared" ref="AT40" si="63">SUM(AT32:AT39)</f>
        <v>84.771362443479546</v>
      </c>
      <c r="AU40" s="643">
        <f t="shared" ref="AU40" si="64">SUM(AU32:AU39)</f>
        <v>81.499937425360486</v>
      </c>
      <c r="AV40" s="641">
        <f t="shared" ref="AV40" si="65">SUM(AV32:AV39)</f>
        <v>117.65901465037844</v>
      </c>
      <c r="AW40" s="642">
        <f t="shared" ref="AW40" si="66">SUM(AW32:AW39)</f>
        <v>117.65901465037844</v>
      </c>
      <c r="AX40" s="642">
        <f t="shared" ref="AX40" si="67">SUM(AX32:AX39)</f>
        <v>117.65901465037844</v>
      </c>
      <c r="AY40" s="642">
        <f t="shared" ref="AY40" si="68">SUM(AY32:AY39)</f>
        <v>117.65901465037844</v>
      </c>
      <c r="AZ40" s="643">
        <f t="shared" ref="AZ40" si="69">SUM(AZ32:AZ39)</f>
        <v>117.65901465037844</v>
      </c>
      <c r="BA40" s="641">
        <f>SUM(BA32:BA39)</f>
        <v>164.90603814306795</v>
      </c>
      <c r="BB40" s="642">
        <f t="shared" ref="BB40" si="70">SUM(BB32:BB39)</f>
        <v>164.90603814306795</v>
      </c>
      <c r="BC40" s="642">
        <f t="shared" ref="BC40" si="71">SUM(BC32:BC39)</f>
        <v>164.90603814306795</v>
      </c>
      <c r="BD40" s="642">
        <f t="shared" ref="BD40" si="72">SUM(BD32:BD39)</f>
        <v>164.90603814306795</v>
      </c>
      <c r="BE40" s="642">
        <f t="shared" ref="BE40" si="73">SUM(BE32:BE39)</f>
        <v>164.90603814306795</v>
      </c>
      <c r="BF40" s="642">
        <f t="shared" ref="BF40" si="74">SUM(BF32:BF39)</f>
        <v>164.90603814306795</v>
      </c>
      <c r="BG40" s="185"/>
      <c r="BH40" s="530"/>
      <c r="BI40" s="530"/>
      <c r="BJ40" s="530"/>
      <c r="BK40" s="530"/>
      <c r="BL40" s="545" t="s">
        <v>2233</v>
      </c>
      <c r="BM40" s="642">
        <f>SUM(BM32:BM39)</f>
        <v>607.12273991807979</v>
      </c>
      <c r="BN40" s="545" t="s">
        <v>2233</v>
      </c>
      <c r="BO40" s="642">
        <f>SUM(BO32:BO39)</f>
        <v>9.8149172735024468</v>
      </c>
      <c r="BP40" s="545" t="s">
        <v>2233</v>
      </c>
      <c r="BQ40" s="642">
        <f>SUM(BQ32:BQ39)</f>
        <v>47.429637348193381</v>
      </c>
      <c r="BR40" s="545" t="s">
        <v>2233</v>
      </c>
      <c r="BS40" s="642">
        <f>SUM(BS32:BS39)</f>
        <v>25.849724917453869</v>
      </c>
      <c r="BT40" s="545" t="s">
        <v>2233</v>
      </c>
      <c r="BU40" s="642">
        <f>SUM(BU32:BU39)</f>
        <v>10.848500078659393</v>
      </c>
      <c r="BV40" s="185"/>
      <c r="BW40" s="530"/>
      <c r="BX40" s="530"/>
      <c r="BY40" s="530"/>
      <c r="BZ40" s="530"/>
      <c r="CA40" s="545" t="s">
        <v>2233</v>
      </c>
      <c r="CB40" s="642">
        <f>SUM(CB32:CB39)</f>
        <v>509.46353343613868</v>
      </c>
      <c r="CC40" s="545" t="s">
        <v>2233</v>
      </c>
      <c r="CD40" s="642">
        <f>SUM(CD32:CD39)</f>
        <v>8.2361310255264915</v>
      </c>
      <c r="CE40" s="545" t="s">
        <v>2233</v>
      </c>
      <c r="CF40" s="642">
        <f>SUM(CF32:CF39)</f>
        <v>39.800305678330695</v>
      </c>
      <c r="CG40" s="545" t="s">
        <v>2233</v>
      </c>
      <c r="CH40" s="642">
        <f>SUM(CH32:CH39)</f>
        <v>21.691647057356519</v>
      </c>
      <c r="CI40" s="545" t="s">
        <v>2233</v>
      </c>
      <c r="CJ40" s="643">
        <f>SUM(CJ32:CJ39)</f>
        <v>9.1034560545398087</v>
      </c>
    </row>
    <row r="41" spans="1:88" s="98" customFormat="1" ht="15" customHeight="1">
      <c r="A41" s="99"/>
      <c r="B41" s="161"/>
      <c r="C41" s="162"/>
      <c r="D41" s="162"/>
      <c r="E41" s="162"/>
      <c r="F41" s="162"/>
      <c r="G41" s="163"/>
      <c r="H41" s="163"/>
      <c r="I41" s="117"/>
      <c r="J41" s="159"/>
      <c r="K41" s="117"/>
      <c r="L41" s="117"/>
      <c r="M41" s="117"/>
      <c r="N41" s="117"/>
      <c r="O41" s="117"/>
      <c r="P41" s="117"/>
      <c r="Q41" s="160"/>
      <c r="R41" s="159"/>
      <c r="S41" s="117"/>
      <c r="T41" s="117"/>
      <c r="U41" s="117"/>
      <c r="V41" s="160"/>
      <c r="W41" s="185"/>
      <c r="X41" s="117"/>
      <c r="Y41" s="159"/>
      <c r="Z41" s="117"/>
      <c r="AA41" s="117"/>
      <c r="AB41" s="117"/>
      <c r="AC41" s="117"/>
      <c r="AD41" s="117"/>
      <c r="AE41" s="117"/>
      <c r="AF41" s="160"/>
      <c r="AG41" s="159"/>
      <c r="AH41" s="117"/>
      <c r="AI41" s="117"/>
      <c r="AJ41" s="117"/>
      <c r="AK41" s="160"/>
      <c r="AL41" s="185"/>
      <c r="AM41" s="117"/>
      <c r="AN41" s="713"/>
      <c r="AO41" s="721"/>
      <c r="AP41" s="721"/>
      <c r="AQ41" s="721"/>
      <c r="AR41" s="721"/>
      <c r="AS41" s="721"/>
      <c r="AT41" s="721"/>
      <c r="AU41" s="715"/>
      <c r="AV41" s="713"/>
      <c r="AW41" s="721"/>
      <c r="AX41" s="721"/>
      <c r="AY41" s="721"/>
      <c r="AZ41" s="715"/>
      <c r="BA41" s="713"/>
      <c r="BB41" s="721"/>
      <c r="BC41" s="721"/>
      <c r="BD41" s="721"/>
      <c r="BE41" s="721"/>
      <c r="BF41" s="721"/>
      <c r="BG41" s="185"/>
      <c r="BH41" s="530"/>
      <c r="BI41" s="530"/>
      <c r="BJ41" s="530"/>
      <c r="BK41" s="530"/>
      <c r="BL41" s="530"/>
      <c r="BM41" s="530"/>
      <c r="BN41" s="530"/>
      <c r="BO41" s="530"/>
      <c r="BP41" s="530"/>
      <c r="BQ41" s="530"/>
      <c r="BR41" s="530"/>
      <c r="BS41" s="530"/>
      <c r="BT41" s="530"/>
      <c r="BU41" s="530"/>
      <c r="BV41" s="185"/>
      <c r="BW41" s="530"/>
      <c r="BX41" s="530"/>
      <c r="BY41" s="530"/>
      <c r="BZ41" s="530"/>
      <c r="CA41" s="530"/>
      <c r="CB41" s="530"/>
      <c r="CC41" s="530"/>
      <c r="CD41" s="530"/>
      <c r="CE41" s="530"/>
      <c r="CF41" s="530"/>
      <c r="CG41" s="530"/>
      <c r="CH41" s="530"/>
      <c r="CI41" s="530"/>
      <c r="CJ41" s="544"/>
    </row>
    <row r="42" spans="1:88" s="98" customFormat="1" ht="15" customHeight="1">
      <c r="A42" s="99"/>
      <c r="B42" s="161"/>
      <c r="C42" s="116" t="s">
        <v>2710</v>
      </c>
      <c r="D42" s="116"/>
      <c r="E42" s="116"/>
      <c r="F42" s="162"/>
      <c r="G42" s="163"/>
      <c r="H42" s="163"/>
      <c r="I42" s="164" t="s">
        <v>498</v>
      </c>
      <c r="J42" s="143">
        <v>3.368540345392443</v>
      </c>
      <c r="K42" s="141">
        <v>6.3763834503749779</v>
      </c>
      <c r="L42" s="141">
        <v>5.516688483595944</v>
      </c>
      <c r="M42" s="141">
        <v>5.5092021384702816</v>
      </c>
      <c r="N42" s="141">
        <v>3.8682699429381917</v>
      </c>
      <c r="O42" s="141">
        <v>3.749055278801106</v>
      </c>
      <c r="P42" s="141">
        <v>4.7922256000480754</v>
      </c>
      <c r="Q42" s="144">
        <v>4.6722935519375</v>
      </c>
      <c r="R42" s="143">
        <v>3.5895654930620138</v>
      </c>
      <c r="S42" s="141">
        <v>3.5716176655967038</v>
      </c>
      <c r="T42" s="141">
        <v>3.5537595772687203</v>
      </c>
      <c r="U42" s="141">
        <v>3.5359907793823768</v>
      </c>
      <c r="V42" s="144">
        <v>3.5183108254854649</v>
      </c>
      <c r="W42" s="185"/>
      <c r="X42" s="164" t="s">
        <v>498</v>
      </c>
      <c r="Y42" s="143">
        <v>0</v>
      </c>
      <c r="Z42" s="141">
        <v>0</v>
      </c>
      <c r="AA42" s="141">
        <v>0</v>
      </c>
      <c r="AB42" s="141">
        <v>0</v>
      </c>
      <c r="AC42" s="141">
        <v>0</v>
      </c>
      <c r="AD42" s="141">
        <v>0</v>
      </c>
      <c r="AE42" s="141">
        <v>0</v>
      </c>
      <c r="AF42" s="144">
        <v>0</v>
      </c>
      <c r="AG42" s="143">
        <v>0</v>
      </c>
      <c r="AH42" s="141">
        <v>0</v>
      </c>
      <c r="AI42" s="141">
        <v>0</v>
      </c>
      <c r="AJ42" s="141">
        <v>0</v>
      </c>
      <c r="AK42" s="144">
        <v>0</v>
      </c>
      <c r="AL42" s="185"/>
      <c r="AM42" s="164" t="s">
        <v>2233</v>
      </c>
      <c r="AN42" s="143">
        <v>34.161509999999993</v>
      </c>
      <c r="AO42" s="141">
        <v>48.764199999999995</v>
      </c>
      <c r="AP42" s="141">
        <v>33.249499999999998</v>
      </c>
      <c r="AQ42" s="141">
        <v>35.668000000000092</v>
      </c>
      <c r="AR42" s="141">
        <v>38.520999999999987</v>
      </c>
      <c r="AS42" s="141">
        <v>37.224000000000011</v>
      </c>
      <c r="AT42" s="141">
        <v>39.964227299110796</v>
      </c>
      <c r="AU42" s="144">
        <v>39.894096776590267</v>
      </c>
      <c r="AV42" s="143">
        <v>36.881935774940935</v>
      </c>
      <c r="AW42" s="141">
        <v>36.881935774940935</v>
      </c>
      <c r="AX42" s="141">
        <v>36.881935774940935</v>
      </c>
      <c r="AY42" s="141">
        <v>36.881935774940935</v>
      </c>
      <c r="AZ42" s="144">
        <v>36.881935774940935</v>
      </c>
      <c r="BA42" s="143">
        <v>36.881935774940935</v>
      </c>
      <c r="BB42" s="141">
        <v>36.881935774940935</v>
      </c>
      <c r="BC42" s="141">
        <v>36.881935774940935</v>
      </c>
      <c r="BD42" s="141">
        <v>36.881935774940935</v>
      </c>
      <c r="BE42" s="141">
        <v>36.881935774940935</v>
      </c>
      <c r="BF42" s="141">
        <v>36.881935774940935</v>
      </c>
      <c r="BG42" s="185"/>
      <c r="BH42" s="545" t="s">
        <v>627</v>
      </c>
      <c r="BI42" s="868">
        <v>0</v>
      </c>
      <c r="BJ42" s="545" t="s">
        <v>627</v>
      </c>
      <c r="BK42" s="868">
        <v>0</v>
      </c>
      <c r="BL42" s="545" t="s">
        <v>2233</v>
      </c>
      <c r="BM42" s="141">
        <v>235.37741544774914</v>
      </c>
      <c r="BN42" s="545" t="s">
        <v>2233</v>
      </c>
      <c r="BO42" s="141">
        <v>0</v>
      </c>
      <c r="BP42" s="545" t="s">
        <v>2233</v>
      </c>
      <c r="BQ42" s="141">
        <v>26.233699706061675</v>
      </c>
      <c r="BR42" s="545" t="s">
        <v>2233</v>
      </c>
      <c r="BS42" s="141">
        <v>21.513183951633476</v>
      </c>
      <c r="BT42" s="545" t="s">
        <v>2233</v>
      </c>
      <c r="BU42" s="141">
        <v>24.322234970256801</v>
      </c>
      <c r="BV42" s="185"/>
      <c r="BW42" s="545" t="s">
        <v>627</v>
      </c>
      <c r="BX42" s="868">
        <v>0</v>
      </c>
      <c r="BY42" s="545" t="s">
        <v>627</v>
      </c>
      <c r="BZ42" s="868">
        <v>0</v>
      </c>
      <c r="CA42" s="545" t="s">
        <v>2233</v>
      </c>
      <c r="CB42" s="141">
        <v>141.18186021374936</v>
      </c>
      <c r="CC42" s="545" t="s">
        <v>2233</v>
      </c>
      <c r="CD42" s="141">
        <v>0</v>
      </c>
      <c r="CE42" s="545" t="s">
        <v>2233</v>
      </c>
      <c r="CF42" s="141">
        <v>15.735250205484805</v>
      </c>
      <c r="CG42" s="545" t="s">
        <v>2233</v>
      </c>
      <c r="CH42" s="141">
        <v>12.903834990432333</v>
      </c>
      <c r="CI42" s="545" t="s">
        <v>2233</v>
      </c>
      <c r="CJ42" s="144">
        <v>14.588733465038136</v>
      </c>
    </row>
    <row r="43" spans="1:88" s="98" customFormat="1" ht="15" customHeight="1">
      <c r="A43" s="99"/>
      <c r="B43" s="161"/>
      <c r="C43" s="162"/>
      <c r="D43" s="162" t="s">
        <v>2701</v>
      </c>
      <c r="E43" s="162"/>
      <c r="F43" s="162"/>
      <c r="G43" s="163"/>
      <c r="H43" s="163"/>
      <c r="I43" s="164" t="s">
        <v>498</v>
      </c>
      <c r="J43" s="143">
        <v>4.9073740734998927E-2</v>
      </c>
      <c r="K43" s="141">
        <v>0.15772752696827916</v>
      </c>
      <c r="L43" s="141">
        <v>8.6586688140944487E-2</v>
      </c>
      <c r="M43" s="141">
        <v>0.3159792936208386</v>
      </c>
      <c r="N43" s="141">
        <v>2.1365018225767269E-2</v>
      </c>
      <c r="O43" s="141">
        <v>9.6084470530966221E-2</v>
      </c>
      <c r="P43" s="141">
        <v>0.12128681903743775</v>
      </c>
      <c r="Q43" s="144">
        <v>0.11929998938062979</v>
      </c>
      <c r="R43" s="143">
        <v>3.1358152359857373E-2</v>
      </c>
      <c r="S43" s="141">
        <v>3.1201361598058086E-2</v>
      </c>
      <c r="T43" s="141">
        <v>3.1045354790067797E-2</v>
      </c>
      <c r="U43" s="141">
        <v>3.0890128016117457E-2</v>
      </c>
      <c r="V43" s="144">
        <v>3.0735677376036871E-2</v>
      </c>
      <c r="W43" s="185"/>
      <c r="X43" s="164" t="s">
        <v>498</v>
      </c>
      <c r="Y43" s="143">
        <v>0</v>
      </c>
      <c r="Z43" s="141">
        <v>0</v>
      </c>
      <c r="AA43" s="141">
        <v>0</v>
      </c>
      <c r="AB43" s="141">
        <v>0</v>
      </c>
      <c r="AC43" s="141">
        <v>0</v>
      </c>
      <c r="AD43" s="141">
        <v>0</v>
      </c>
      <c r="AE43" s="141">
        <v>0</v>
      </c>
      <c r="AF43" s="144">
        <v>0</v>
      </c>
      <c r="AG43" s="143">
        <v>0</v>
      </c>
      <c r="AH43" s="141">
        <v>0</v>
      </c>
      <c r="AI43" s="141">
        <v>0</v>
      </c>
      <c r="AJ43" s="141">
        <v>0</v>
      </c>
      <c r="AK43" s="144">
        <v>0</v>
      </c>
      <c r="AL43" s="185"/>
      <c r="AM43" s="164" t="s">
        <v>2233</v>
      </c>
      <c r="AN43" s="143">
        <v>0.35399999999999998</v>
      </c>
      <c r="AO43" s="141">
        <v>1.615</v>
      </c>
      <c r="AP43" s="141">
        <v>1.1875</v>
      </c>
      <c r="AQ43" s="141">
        <v>1.8949999999999998</v>
      </c>
      <c r="AR43" s="141">
        <v>0.19800000000000001</v>
      </c>
      <c r="AS43" s="141">
        <v>1.0090000000000003</v>
      </c>
      <c r="AT43" s="141">
        <v>1.0863762949578195</v>
      </c>
      <c r="AU43" s="144">
        <v>1.0940859222654673</v>
      </c>
      <c r="AV43" s="143">
        <v>0.32468922505907066</v>
      </c>
      <c r="AW43" s="141">
        <v>0.32468922505907066</v>
      </c>
      <c r="AX43" s="141">
        <v>0.32468922505907066</v>
      </c>
      <c r="AY43" s="141">
        <v>0.32468922505907066</v>
      </c>
      <c r="AZ43" s="144">
        <v>0.32468922505907066</v>
      </c>
      <c r="BA43" s="143">
        <v>0.32468922505907066</v>
      </c>
      <c r="BB43" s="141">
        <v>0.32468922505907066</v>
      </c>
      <c r="BC43" s="141">
        <v>0.32468922505907066</v>
      </c>
      <c r="BD43" s="141">
        <v>0.32468922505907066</v>
      </c>
      <c r="BE43" s="141">
        <v>0.32468922505907066</v>
      </c>
      <c r="BF43" s="141">
        <v>0.32468922505907066</v>
      </c>
      <c r="BG43" s="185"/>
      <c r="BH43" s="545" t="s">
        <v>627</v>
      </c>
      <c r="BI43" s="868">
        <v>0</v>
      </c>
      <c r="BJ43" s="545" t="s">
        <v>627</v>
      </c>
      <c r="BK43" s="868">
        <v>0</v>
      </c>
      <c r="BL43" s="545" t="s">
        <v>2233</v>
      </c>
      <c r="BM43" s="141">
        <v>6.4607692577277085</v>
      </c>
      <c r="BN43" s="545" t="s">
        <v>2233</v>
      </c>
      <c r="BO43" s="141">
        <v>0</v>
      </c>
      <c r="BP43" s="545" t="s">
        <v>2233</v>
      </c>
      <c r="BQ43" s="141">
        <v>0.7200770738984017</v>
      </c>
      <c r="BR43" s="545" t="s">
        <v>2233</v>
      </c>
      <c r="BS43" s="141">
        <v>0.59050575114080595</v>
      </c>
      <c r="BT43" s="545" t="s">
        <v>2233</v>
      </c>
      <c r="BU43" s="141">
        <v>0.66761013445637107</v>
      </c>
      <c r="BV43" s="185"/>
      <c r="BW43" s="545" t="s">
        <v>627</v>
      </c>
      <c r="BX43" s="868">
        <v>0</v>
      </c>
      <c r="BY43" s="545" t="s">
        <v>627</v>
      </c>
      <c r="BZ43" s="868">
        <v>0</v>
      </c>
      <c r="CA43" s="545" t="s">
        <v>2233</v>
      </c>
      <c r="CB43" s="141">
        <v>1.2428910745066155</v>
      </c>
      <c r="CC43" s="545" t="s">
        <v>2233</v>
      </c>
      <c r="CD43" s="141">
        <v>0</v>
      </c>
      <c r="CE43" s="545" t="s">
        <v>2233</v>
      </c>
      <c r="CF43" s="141">
        <v>0.13852489268745888</v>
      </c>
      <c r="CG43" s="545" t="s">
        <v>2233</v>
      </c>
      <c r="CH43" s="141">
        <v>0.1135985976685169</v>
      </c>
      <c r="CI43" s="545" t="s">
        <v>2233</v>
      </c>
      <c r="CJ43" s="144">
        <v>0.12843156043276172</v>
      </c>
    </row>
    <row r="44" spans="1:88" s="98" customFormat="1" ht="15" customHeight="1">
      <c r="A44" s="99"/>
      <c r="B44" s="161"/>
      <c r="C44" s="162"/>
      <c r="D44" s="162" t="s">
        <v>2702</v>
      </c>
      <c r="E44" s="162"/>
      <c r="F44" s="162"/>
      <c r="G44" s="163"/>
      <c r="H44" s="163"/>
      <c r="I44" s="164" t="s">
        <v>498</v>
      </c>
      <c r="J44" s="143">
        <v>0</v>
      </c>
      <c r="K44" s="141">
        <v>1.6544845486183131E-2</v>
      </c>
      <c r="L44" s="141">
        <v>0</v>
      </c>
      <c r="M44" s="141">
        <v>-1.6302225028885233E-3</v>
      </c>
      <c r="N44" s="141">
        <v>1.193321400682875E-2</v>
      </c>
      <c r="O44" s="141">
        <v>0</v>
      </c>
      <c r="P44" s="141">
        <v>4.0123210256279643E-3</v>
      </c>
      <c r="Q44" s="144">
        <v>4.0156785635736426E-3</v>
      </c>
      <c r="R44" s="143">
        <v>0</v>
      </c>
      <c r="S44" s="141">
        <v>0</v>
      </c>
      <c r="T44" s="141">
        <v>0</v>
      </c>
      <c r="U44" s="141">
        <v>0</v>
      </c>
      <c r="V44" s="144">
        <v>0</v>
      </c>
      <c r="W44" s="185"/>
      <c r="X44" s="164" t="s">
        <v>498</v>
      </c>
      <c r="Y44" s="143">
        <v>0</v>
      </c>
      <c r="Z44" s="141">
        <v>0</v>
      </c>
      <c r="AA44" s="141">
        <v>0</v>
      </c>
      <c r="AB44" s="141">
        <v>0</v>
      </c>
      <c r="AC44" s="141">
        <v>0</v>
      </c>
      <c r="AD44" s="141">
        <v>0</v>
      </c>
      <c r="AE44" s="141">
        <v>0</v>
      </c>
      <c r="AF44" s="144">
        <v>0</v>
      </c>
      <c r="AG44" s="143">
        <v>0</v>
      </c>
      <c r="AH44" s="141">
        <v>0</v>
      </c>
      <c r="AI44" s="141">
        <v>0</v>
      </c>
      <c r="AJ44" s="141">
        <v>0</v>
      </c>
      <c r="AK44" s="144">
        <v>0</v>
      </c>
      <c r="AL44" s="185"/>
      <c r="AM44" s="164" t="s">
        <v>2233</v>
      </c>
      <c r="AN44" s="143">
        <v>0</v>
      </c>
      <c r="AO44" s="141">
        <v>8.8999999999999996E-2</v>
      </c>
      <c r="AP44" s="141">
        <v>0</v>
      </c>
      <c r="AQ44" s="141">
        <v>0</v>
      </c>
      <c r="AR44" s="141">
        <v>8.4000000000000005E-2</v>
      </c>
      <c r="AS44" s="141"/>
      <c r="AT44" s="141">
        <v>2.6893901677137587E-2</v>
      </c>
      <c r="AU44" s="144">
        <v>2.7558871627794013E-2</v>
      </c>
      <c r="AV44" s="143">
        <v>0</v>
      </c>
      <c r="AW44" s="141">
        <v>0</v>
      </c>
      <c r="AX44" s="141">
        <v>0</v>
      </c>
      <c r="AY44" s="141">
        <v>0</v>
      </c>
      <c r="AZ44" s="144">
        <v>0</v>
      </c>
      <c r="BA44" s="143">
        <v>0</v>
      </c>
      <c r="BB44" s="141">
        <v>0</v>
      </c>
      <c r="BC44" s="141">
        <v>0</v>
      </c>
      <c r="BD44" s="141">
        <v>0</v>
      </c>
      <c r="BE44" s="141">
        <v>0</v>
      </c>
      <c r="BF44" s="141">
        <v>0</v>
      </c>
      <c r="BG44" s="185"/>
      <c r="BH44" s="545" t="s">
        <v>627</v>
      </c>
      <c r="BI44" s="868">
        <v>0</v>
      </c>
      <c r="BJ44" s="545" t="s">
        <v>627</v>
      </c>
      <c r="BK44" s="868">
        <v>0</v>
      </c>
      <c r="BL44" s="545" t="s">
        <v>2233</v>
      </c>
      <c r="BM44" s="141">
        <v>0.17413514215696235</v>
      </c>
      <c r="BN44" s="545" t="s">
        <v>2233</v>
      </c>
      <c r="BO44" s="141">
        <v>0</v>
      </c>
      <c r="BP44" s="545" t="s">
        <v>2233</v>
      </c>
      <c r="BQ44" s="141">
        <v>1.9408017625345182E-2</v>
      </c>
      <c r="BR44" s="545" t="s">
        <v>2233</v>
      </c>
      <c r="BS44" s="141">
        <v>1.5915721304613384E-2</v>
      </c>
      <c r="BT44" s="545" t="s">
        <v>2233</v>
      </c>
      <c r="BU44" s="141">
        <v>1.7993892218010631E-2</v>
      </c>
      <c r="BV44" s="185"/>
      <c r="BW44" s="545" t="s">
        <v>627</v>
      </c>
      <c r="BX44" s="868">
        <v>0</v>
      </c>
      <c r="BY44" s="545" t="s">
        <v>627</v>
      </c>
      <c r="BZ44" s="868">
        <v>0</v>
      </c>
      <c r="CA44" s="545" t="s">
        <v>2233</v>
      </c>
      <c r="CB44" s="141">
        <v>0</v>
      </c>
      <c r="CC44" s="545" t="s">
        <v>2233</v>
      </c>
      <c r="CD44" s="141">
        <v>0</v>
      </c>
      <c r="CE44" s="545" t="s">
        <v>2233</v>
      </c>
      <c r="CF44" s="141">
        <v>0</v>
      </c>
      <c r="CG44" s="545" t="s">
        <v>2233</v>
      </c>
      <c r="CH44" s="141">
        <v>0</v>
      </c>
      <c r="CI44" s="545" t="s">
        <v>2233</v>
      </c>
      <c r="CJ44" s="144">
        <v>0</v>
      </c>
    </row>
    <row r="45" spans="1:88" s="98" customFormat="1" ht="15" customHeight="1">
      <c r="A45" s="99"/>
      <c r="B45" s="161"/>
      <c r="C45" s="162"/>
      <c r="D45" s="162" t="s">
        <v>2703</v>
      </c>
      <c r="E45" s="162"/>
      <c r="F45" s="162"/>
      <c r="G45" s="163"/>
      <c r="H45" s="163"/>
      <c r="I45" s="164" t="s">
        <v>498</v>
      </c>
      <c r="J45" s="143">
        <v>0</v>
      </c>
      <c r="K45" s="141"/>
      <c r="L45" s="141"/>
      <c r="M45" s="141"/>
      <c r="N45" s="141"/>
      <c r="O45" s="141">
        <v>0</v>
      </c>
      <c r="P45" s="141">
        <v>0</v>
      </c>
      <c r="Q45" s="144">
        <v>0</v>
      </c>
      <c r="R45" s="143">
        <v>0</v>
      </c>
      <c r="S45" s="141">
        <v>0</v>
      </c>
      <c r="T45" s="141">
        <v>0</v>
      </c>
      <c r="U45" s="141">
        <v>0</v>
      </c>
      <c r="V45" s="144">
        <v>0</v>
      </c>
      <c r="W45" s="185"/>
      <c r="X45" s="164" t="s">
        <v>498</v>
      </c>
      <c r="Y45" s="143">
        <v>0</v>
      </c>
      <c r="Z45" s="141">
        <v>0</v>
      </c>
      <c r="AA45" s="141">
        <v>0</v>
      </c>
      <c r="AB45" s="141">
        <v>0</v>
      </c>
      <c r="AC45" s="141">
        <v>0</v>
      </c>
      <c r="AD45" s="141">
        <v>0</v>
      </c>
      <c r="AE45" s="141">
        <v>0</v>
      </c>
      <c r="AF45" s="144">
        <v>0</v>
      </c>
      <c r="AG45" s="143">
        <v>0</v>
      </c>
      <c r="AH45" s="141">
        <v>0</v>
      </c>
      <c r="AI45" s="141">
        <v>0</v>
      </c>
      <c r="AJ45" s="141">
        <v>0</v>
      </c>
      <c r="AK45" s="144">
        <v>0</v>
      </c>
      <c r="AL45" s="185"/>
      <c r="AM45" s="164" t="s">
        <v>2233</v>
      </c>
      <c r="AN45" s="143">
        <v>0</v>
      </c>
      <c r="AO45" s="141">
        <v>0</v>
      </c>
      <c r="AP45" s="141">
        <v>0</v>
      </c>
      <c r="AQ45" s="141">
        <v>0</v>
      </c>
      <c r="AR45" s="141">
        <v>0</v>
      </c>
      <c r="AS45" s="141"/>
      <c r="AT45" s="141">
        <v>0</v>
      </c>
      <c r="AU45" s="144">
        <v>0</v>
      </c>
      <c r="AV45" s="143">
        <v>0</v>
      </c>
      <c r="AW45" s="141">
        <v>0</v>
      </c>
      <c r="AX45" s="141">
        <v>0</v>
      </c>
      <c r="AY45" s="141">
        <v>0</v>
      </c>
      <c r="AZ45" s="144">
        <v>0</v>
      </c>
      <c r="BA45" s="143">
        <v>0</v>
      </c>
      <c r="BB45" s="141">
        <v>0</v>
      </c>
      <c r="BC45" s="141">
        <v>0</v>
      </c>
      <c r="BD45" s="141">
        <v>0</v>
      </c>
      <c r="BE45" s="141">
        <v>0</v>
      </c>
      <c r="BF45" s="141">
        <v>0</v>
      </c>
      <c r="BG45" s="185"/>
      <c r="BH45" s="545" t="s">
        <v>627</v>
      </c>
      <c r="BI45" s="868">
        <v>0</v>
      </c>
      <c r="BJ45" s="545" t="s">
        <v>627</v>
      </c>
      <c r="BK45" s="868">
        <v>0</v>
      </c>
      <c r="BL45" s="545" t="s">
        <v>2233</v>
      </c>
      <c r="BM45" s="141">
        <v>0</v>
      </c>
      <c r="BN45" s="545" t="s">
        <v>2233</v>
      </c>
      <c r="BO45" s="141">
        <v>0</v>
      </c>
      <c r="BP45" s="545" t="s">
        <v>2233</v>
      </c>
      <c r="BQ45" s="141">
        <v>0</v>
      </c>
      <c r="BR45" s="545" t="s">
        <v>2233</v>
      </c>
      <c r="BS45" s="141">
        <v>0</v>
      </c>
      <c r="BT45" s="545" t="s">
        <v>2233</v>
      </c>
      <c r="BU45" s="141">
        <v>0</v>
      </c>
      <c r="BV45" s="185"/>
      <c r="BW45" s="545" t="s">
        <v>627</v>
      </c>
      <c r="BX45" s="868">
        <v>0</v>
      </c>
      <c r="BY45" s="545" t="s">
        <v>627</v>
      </c>
      <c r="BZ45" s="868">
        <v>0</v>
      </c>
      <c r="CA45" s="545" t="s">
        <v>2233</v>
      </c>
      <c r="CB45" s="141">
        <v>0</v>
      </c>
      <c r="CC45" s="545" t="s">
        <v>2233</v>
      </c>
      <c r="CD45" s="141">
        <v>0</v>
      </c>
      <c r="CE45" s="545" t="s">
        <v>2233</v>
      </c>
      <c r="CF45" s="141">
        <v>0</v>
      </c>
      <c r="CG45" s="545" t="s">
        <v>2233</v>
      </c>
      <c r="CH45" s="141">
        <v>0</v>
      </c>
      <c r="CI45" s="545" t="s">
        <v>2233</v>
      </c>
      <c r="CJ45" s="144">
        <v>0</v>
      </c>
    </row>
    <row r="46" spans="1:88" s="98" customFormat="1" ht="15" customHeight="1">
      <c r="A46" s="99"/>
      <c r="B46" s="161"/>
      <c r="C46" s="162"/>
      <c r="D46" s="162" t="s">
        <v>2704</v>
      </c>
      <c r="E46" s="162"/>
      <c r="F46" s="162"/>
      <c r="G46" s="163"/>
      <c r="H46" s="163"/>
      <c r="I46" s="164" t="s">
        <v>498</v>
      </c>
      <c r="J46" s="143">
        <v>0</v>
      </c>
      <c r="K46" s="141"/>
      <c r="L46" s="141"/>
      <c r="M46" s="141"/>
      <c r="N46" s="141"/>
      <c r="O46" s="141">
        <v>0</v>
      </c>
      <c r="P46" s="141">
        <v>0</v>
      </c>
      <c r="Q46" s="144">
        <v>0</v>
      </c>
      <c r="R46" s="143">
        <v>0</v>
      </c>
      <c r="S46" s="141">
        <v>0</v>
      </c>
      <c r="T46" s="141">
        <v>0</v>
      </c>
      <c r="U46" s="141">
        <v>0</v>
      </c>
      <c r="V46" s="144">
        <v>0</v>
      </c>
      <c r="W46" s="185"/>
      <c r="X46" s="164" t="s">
        <v>498</v>
      </c>
      <c r="Y46" s="143">
        <v>0</v>
      </c>
      <c r="Z46" s="141">
        <v>0</v>
      </c>
      <c r="AA46" s="141">
        <v>0</v>
      </c>
      <c r="AB46" s="141">
        <v>0</v>
      </c>
      <c r="AC46" s="141">
        <v>0</v>
      </c>
      <c r="AD46" s="141">
        <v>0</v>
      </c>
      <c r="AE46" s="141">
        <v>0</v>
      </c>
      <c r="AF46" s="144">
        <v>0</v>
      </c>
      <c r="AG46" s="143">
        <v>0</v>
      </c>
      <c r="AH46" s="141">
        <v>0</v>
      </c>
      <c r="AI46" s="141">
        <v>0</v>
      </c>
      <c r="AJ46" s="141">
        <v>0</v>
      </c>
      <c r="AK46" s="144">
        <v>0</v>
      </c>
      <c r="AL46" s="185"/>
      <c r="AM46" s="164" t="s">
        <v>2233</v>
      </c>
      <c r="AN46" s="143">
        <v>0</v>
      </c>
      <c r="AO46" s="141">
        <v>0</v>
      </c>
      <c r="AP46" s="141">
        <v>0</v>
      </c>
      <c r="AQ46" s="141">
        <v>0</v>
      </c>
      <c r="AR46" s="141">
        <v>0</v>
      </c>
      <c r="AS46" s="141"/>
      <c r="AT46" s="141">
        <v>0</v>
      </c>
      <c r="AU46" s="144">
        <v>0</v>
      </c>
      <c r="AV46" s="143">
        <v>0</v>
      </c>
      <c r="AW46" s="141">
        <v>0</v>
      </c>
      <c r="AX46" s="141">
        <v>0</v>
      </c>
      <c r="AY46" s="141">
        <v>0</v>
      </c>
      <c r="AZ46" s="144">
        <v>0</v>
      </c>
      <c r="BA46" s="143">
        <v>0</v>
      </c>
      <c r="BB46" s="141">
        <v>0</v>
      </c>
      <c r="BC46" s="141">
        <v>0</v>
      </c>
      <c r="BD46" s="141">
        <v>0</v>
      </c>
      <c r="BE46" s="141">
        <v>0</v>
      </c>
      <c r="BF46" s="141">
        <v>0</v>
      </c>
      <c r="BG46" s="185"/>
      <c r="BH46" s="545" t="s">
        <v>627</v>
      </c>
      <c r="BI46" s="868">
        <v>0</v>
      </c>
      <c r="BJ46" s="545" t="s">
        <v>627</v>
      </c>
      <c r="BK46" s="868">
        <v>0</v>
      </c>
      <c r="BL46" s="545" t="s">
        <v>2233</v>
      </c>
      <c r="BM46" s="141">
        <v>0</v>
      </c>
      <c r="BN46" s="545" t="s">
        <v>2233</v>
      </c>
      <c r="BO46" s="141">
        <v>0</v>
      </c>
      <c r="BP46" s="545" t="s">
        <v>2233</v>
      </c>
      <c r="BQ46" s="141">
        <v>0</v>
      </c>
      <c r="BR46" s="545" t="s">
        <v>2233</v>
      </c>
      <c r="BS46" s="141">
        <v>0</v>
      </c>
      <c r="BT46" s="545" t="s">
        <v>2233</v>
      </c>
      <c r="BU46" s="141">
        <v>0</v>
      </c>
      <c r="BV46" s="185"/>
      <c r="BW46" s="545" t="s">
        <v>627</v>
      </c>
      <c r="BX46" s="868">
        <v>0</v>
      </c>
      <c r="BY46" s="545" t="s">
        <v>627</v>
      </c>
      <c r="BZ46" s="868">
        <v>0</v>
      </c>
      <c r="CA46" s="545" t="s">
        <v>2233</v>
      </c>
      <c r="CB46" s="141">
        <v>0</v>
      </c>
      <c r="CC46" s="545" t="s">
        <v>2233</v>
      </c>
      <c r="CD46" s="141">
        <v>0</v>
      </c>
      <c r="CE46" s="545" t="s">
        <v>2233</v>
      </c>
      <c r="CF46" s="141">
        <v>0</v>
      </c>
      <c r="CG46" s="545" t="s">
        <v>2233</v>
      </c>
      <c r="CH46" s="141">
        <v>0</v>
      </c>
      <c r="CI46" s="545" t="s">
        <v>2233</v>
      </c>
      <c r="CJ46" s="144">
        <v>0</v>
      </c>
    </row>
    <row r="47" spans="1:88" s="98" customFormat="1" ht="15" customHeight="1">
      <c r="A47" s="99"/>
      <c r="B47" s="161"/>
      <c r="C47" s="162"/>
      <c r="D47" s="162" t="s">
        <v>2705</v>
      </c>
      <c r="E47" s="162"/>
      <c r="F47" s="162"/>
      <c r="G47" s="163"/>
      <c r="H47" s="163"/>
      <c r="I47" s="164" t="s">
        <v>498</v>
      </c>
      <c r="J47" s="143">
        <v>0</v>
      </c>
      <c r="K47" s="141"/>
      <c r="L47" s="141"/>
      <c r="M47" s="141"/>
      <c r="N47" s="141"/>
      <c r="O47" s="141">
        <v>0</v>
      </c>
      <c r="P47" s="141">
        <v>0</v>
      </c>
      <c r="Q47" s="144">
        <v>0</v>
      </c>
      <c r="R47" s="143">
        <v>0</v>
      </c>
      <c r="S47" s="141">
        <v>0</v>
      </c>
      <c r="T47" s="141">
        <v>0</v>
      </c>
      <c r="U47" s="141">
        <v>0</v>
      </c>
      <c r="V47" s="144">
        <v>0</v>
      </c>
      <c r="W47" s="185"/>
      <c r="X47" s="164" t="s">
        <v>498</v>
      </c>
      <c r="Y47" s="143">
        <v>0</v>
      </c>
      <c r="Z47" s="141">
        <v>0</v>
      </c>
      <c r="AA47" s="141">
        <v>0</v>
      </c>
      <c r="AB47" s="141">
        <v>0</v>
      </c>
      <c r="AC47" s="141">
        <v>0</v>
      </c>
      <c r="AD47" s="141">
        <v>0</v>
      </c>
      <c r="AE47" s="141">
        <v>0</v>
      </c>
      <c r="AF47" s="144">
        <v>0</v>
      </c>
      <c r="AG47" s="143">
        <v>0</v>
      </c>
      <c r="AH47" s="141">
        <v>0</v>
      </c>
      <c r="AI47" s="141">
        <v>0</v>
      </c>
      <c r="AJ47" s="141">
        <v>0</v>
      </c>
      <c r="AK47" s="144">
        <v>0</v>
      </c>
      <c r="AL47" s="185"/>
      <c r="AM47" s="164" t="s">
        <v>2233</v>
      </c>
      <c r="AN47" s="143">
        <v>0</v>
      </c>
      <c r="AO47" s="141">
        <v>0</v>
      </c>
      <c r="AP47" s="141">
        <v>0</v>
      </c>
      <c r="AQ47" s="141">
        <v>0</v>
      </c>
      <c r="AR47" s="141">
        <v>0</v>
      </c>
      <c r="AS47" s="141"/>
      <c r="AT47" s="141">
        <v>0</v>
      </c>
      <c r="AU47" s="144">
        <v>0</v>
      </c>
      <c r="AV47" s="143">
        <v>0</v>
      </c>
      <c r="AW47" s="141">
        <v>0</v>
      </c>
      <c r="AX47" s="141">
        <v>0</v>
      </c>
      <c r="AY47" s="141">
        <v>0</v>
      </c>
      <c r="AZ47" s="144">
        <v>0</v>
      </c>
      <c r="BA47" s="143">
        <v>0</v>
      </c>
      <c r="BB47" s="141">
        <v>0</v>
      </c>
      <c r="BC47" s="141">
        <v>0</v>
      </c>
      <c r="BD47" s="141">
        <v>0</v>
      </c>
      <c r="BE47" s="141">
        <v>0</v>
      </c>
      <c r="BF47" s="141">
        <v>0</v>
      </c>
      <c r="BG47" s="185"/>
      <c r="BH47" s="545" t="s">
        <v>627</v>
      </c>
      <c r="BI47" s="868">
        <v>0</v>
      </c>
      <c r="BJ47" s="545" t="s">
        <v>627</v>
      </c>
      <c r="BK47" s="868">
        <v>0</v>
      </c>
      <c r="BL47" s="545" t="s">
        <v>2233</v>
      </c>
      <c r="BM47" s="141">
        <v>0</v>
      </c>
      <c r="BN47" s="545" t="s">
        <v>2233</v>
      </c>
      <c r="BO47" s="141">
        <v>0</v>
      </c>
      <c r="BP47" s="545" t="s">
        <v>2233</v>
      </c>
      <c r="BQ47" s="141">
        <v>0</v>
      </c>
      <c r="BR47" s="545" t="s">
        <v>2233</v>
      </c>
      <c r="BS47" s="141">
        <v>0</v>
      </c>
      <c r="BT47" s="545" t="s">
        <v>2233</v>
      </c>
      <c r="BU47" s="141">
        <v>0</v>
      </c>
      <c r="BV47" s="185"/>
      <c r="BW47" s="545" t="s">
        <v>627</v>
      </c>
      <c r="BX47" s="868">
        <v>0</v>
      </c>
      <c r="BY47" s="545" t="s">
        <v>627</v>
      </c>
      <c r="BZ47" s="868">
        <v>0</v>
      </c>
      <c r="CA47" s="545" t="s">
        <v>2233</v>
      </c>
      <c r="CB47" s="141">
        <v>0</v>
      </c>
      <c r="CC47" s="545" t="s">
        <v>2233</v>
      </c>
      <c r="CD47" s="141">
        <v>0</v>
      </c>
      <c r="CE47" s="545" t="s">
        <v>2233</v>
      </c>
      <c r="CF47" s="141">
        <v>0</v>
      </c>
      <c r="CG47" s="545" t="s">
        <v>2233</v>
      </c>
      <c r="CH47" s="141">
        <v>0</v>
      </c>
      <c r="CI47" s="545" t="s">
        <v>2233</v>
      </c>
      <c r="CJ47" s="144">
        <v>0</v>
      </c>
    </row>
    <row r="48" spans="1:88" s="98" customFormat="1" ht="15" customHeight="1">
      <c r="A48" s="99"/>
      <c r="B48" s="161"/>
      <c r="C48" s="162"/>
      <c r="D48" s="162" t="s">
        <v>2706</v>
      </c>
      <c r="E48" s="162"/>
      <c r="F48" s="162"/>
      <c r="G48" s="163"/>
      <c r="H48" s="163"/>
      <c r="I48" s="164" t="s">
        <v>498</v>
      </c>
      <c r="J48" s="143">
        <v>0</v>
      </c>
      <c r="K48" s="141"/>
      <c r="L48" s="141"/>
      <c r="M48" s="141"/>
      <c r="N48" s="141"/>
      <c r="O48" s="141">
        <v>0</v>
      </c>
      <c r="P48" s="141">
        <v>0</v>
      </c>
      <c r="Q48" s="144">
        <v>0</v>
      </c>
      <c r="R48" s="143">
        <v>0</v>
      </c>
      <c r="S48" s="141">
        <v>0</v>
      </c>
      <c r="T48" s="141">
        <v>0</v>
      </c>
      <c r="U48" s="141">
        <v>0</v>
      </c>
      <c r="V48" s="144">
        <v>0</v>
      </c>
      <c r="W48" s="185"/>
      <c r="X48" s="164" t="s">
        <v>498</v>
      </c>
      <c r="Y48" s="143">
        <v>0</v>
      </c>
      <c r="Z48" s="141">
        <v>0</v>
      </c>
      <c r="AA48" s="141">
        <v>0</v>
      </c>
      <c r="AB48" s="141">
        <v>0</v>
      </c>
      <c r="AC48" s="141">
        <v>0</v>
      </c>
      <c r="AD48" s="141">
        <v>0</v>
      </c>
      <c r="AE48" s="141">
        <v>0</v>
      </c>
      <c r="AF48" s="144">
        <v>0</v>
      </c>
      <c r="AG48" s="143">
        <v>0</v>
      </c>
      <c r="AH48" s="141">
        <v>0</v>
      </c>
      <c r="AI48" s="141">
        <v>0</v>
      </c>
      <c r="AJ48" s="141">
        <v>0</v>
      </c>
      <c r="AK48" s="144">
        <v>0</v>
      </c>
      <c r="AL48" s="185"/>
      <c r="AM48" s="164" t="s">
        <v>2233</v>
      </c>
      <c r="AN48" s="143">
        <v>0</v>
      </c>
      <c r="AO48" s="141">
        <v>0</v>
      </c>
      <c r="AP48" s="141">
        <v>0</v>
      </c>
      <c r="AQ48" s="141">
        <v>0</v>
      </c>
      <c r="AR48" s="141">
        <v>0</v>
      </c>
      <c r="AS48" s="141"/>
      <c r="AT48" s="141">
        <v>0</v>
      </c>
      <c r="AU48" s="144">
        <v>0</v>
      </c>
      <c r="AV48" s="143">
        <v>0</v>
      </c>
      <c r="AW48" s="141">
        <v>0</v>
      </c>
      <c r="AX48" s="141">
        <v>0</v>
      </c>
      <c r="AY48" s="141">
        <v>0</v>
      </c>
      <c r="AZ48" s="144">
        <v>0</v>
      </c>
      <c r="BA48" s="143">
        <v>0</v>
      </c>
      <c r="BB48" s="141">
        <v>0</v>
      </c>
      <c r="BC48" s="141">
        <v>0</v>
      </c>
      <c r="BD48" s="141">
        <v>0</v>
      </c>
      <c r="BE48" s="141">
        <v>0</v>
      </c>
      <c r="BF48" s="141">
        <v>0</v>
      </c>
      <c r="BG48" s="185"/>
      <c r="BH48" s="545" t="s">
        <v>627</v>
      </c>
      <c r="BI48" s="868">
        <v>0</v>
      </c>
      <c r="BJ48" s="545" t="s">
        <v>627</v>
      </c>
      <c r="BK48" s="868">
        <v>0</v>
      </c>
      <c r="BL48" s="545" t="s">
        <v>2233</v>
      </c>
      <c r="BM48" s="141">
        <v>0</v>
      </c>
      <c r="BN48" s="545" t="s">
        <v>2233</v>
      </c>
      <c r="BO48" s="141">
        <v>0</v>
      </c>
      <c r="BP48" s="545" t="s">
        <v>2233</v>
      </c>
      <c r="BQ48" s="141">
        <v>0</v>
      </c>
      <c r="BR48" s="545" t="s">
        <v>2233</v>
      </c>
      <c r="BS48" s="141">
        <v>0</v>
      </c>
      <c r="BT48" s="545" t="s">
        <v>2233</v>
      </c>
      <c r="BU48" s="141">
        <v>0</v>
      </c>
      <c r="BV48" s="185"/>
      <c r="BW48" s="545" t="s">
        <v>627</v>
      </c>
      <c r="BX48" s="868">
        <v>0</v>
      </c>
      <c r="BY48" s="545" t="s">
        <v>627</v>
      </c>
      <c r="BZ48" s="868">
        <v>0</v>
      </c>
      <c r="CA48" s="545" t="s">
        <v>2233</v>
      </c>
      <c r="CB48" s="141">
        <v>0</v>
      </c>
      <c r="CC48" s="545" t="s">
        <v>2233</v>
      </c>
      <c r="CD48" s="141">
        <v>0</v>
      </c>
      <c r="CE48" s="545" t="s">
        <v>2233</v>
      </c>
      <c r="CF48" s="141">
        <v>0</v>
      </c>
      <c r="CG48" s="545" t="s">
        <v>2233</v>
      </c>
      <c r="CH48" s="141">
        <v>0</v>
      </c>
      <c r="CI48" s="545" t="s">
        <v>2233</v>
      </c>
      <c r="CJ48" s="144">
        <v>0</v>
      </c>
    </row>
    <row r="49" spans="1:88" s="98" customFormat="1" ht="15" customHeight="1">
      <c r="A49" s="99"/>
      <c r="B49" s="161"/>
      <c r="C49" s="162"/>
      <c r="D49" s="162" t="s">
        <v>2707</v>
      </c>
      <c r="E49" s="162"/>
      <c r="F49" s="162"/>
      <c r="G49" s="163"/>
      <c r="H49" s="163"/>
      <c r="I49" s="164" t="s">
        <v>498</v>
      </c>
      <c r="J49" s="143">
        <v>0</v>
      </c>
      <c r="K49" s="141"/>
      <c r="L49" s="141"/>
      <c r="M49" s="141"/>
      <c r="N49" s="141"/>
      <c r="O49" s="141">
        <v>0</v>
      </c>
      <c r="P49" s="141">
        <v>0</v>
      </c>
      <c r="Q49" s="144">
        <v>0</v>
      </c>
      <c r="R49" s="143">
        <v>0</v>
      </c>
      <c r="S49" s="141">
        <v>0</v>
      </c>
      <c r="T49" s="141">
        <v>0</v>
      </c>
      <c r="U49" s="141">
        <v>0</v>
      </c>
      <c r="V49" s="144">
        <v>0</v>
      </c>
      <c r="W49" s="185"/>
      <c r="X49" s="164" t="s">
        <v>498</v>
      </c>
      <c r="Y49" s="143">
        <v>0</v>
      </c>
      <c r="Z49" s="141">
        <v>0</v>
      </c>
      <c r="AA49" s="141">
        <v>0</v>
      </c>
      <c r="AB49" s="141">
        <v>0</v>
      </c>
      <c r="AC49" s="141">
        <v>0</v>
      </c>
      <c r="AD49" s="141">
        <v>0</v>
      </c>
      <c r="AE49" s="141">
        <v>0</v>
      </c>
      <c r="AF49" s="144">
        <v>0</v>
      </c>
      <c r="AG49" s="143">
        <v>0</v>
      </c>
      <c r="AH49" s="141">
        <v>0</v>
      </c>
      <c r="AI49" s="141">
        <v>0</v>
      </c>
      <c r="AJ49" s="141">
        <v>0</v>
      </c>
      <c r="AK49" s="144">
        <v>0</v>
      </c>
      <c r="AL49" s="185"/>
      <c r="AM49" s="164" t="s">
        <v>2233</v>
      </c>
      <c r="AN49" s="143">
        <v>0</v>
      </c>
      <c r="AO49" s="141">
        <v>0</v>
      </c>
      <c r="AP49" s="141">
        <v>0</v>
      </c>
      <c r="AQ49" s="141">
        <v>0</v>
      </c>
      <c r="AR49" s="141">
        <v>0</v>
      </c>
      <c r="AS49" s="141"/>
      <c r="AT49" s="141">
        <v>0</v>
      </c>
      <c r="AU49" s="144">
        <v>0</v>
      </c>
      <c r="AV49" s="143">
        <v>0</v>
      </c>
      <c r="AW49" s="141">
        <v>0</v>
      </c>
      <c r="AX49" s="141">
        <v>0</v>
      </c>
      <c r="AY49" s="141">
        <v>0</v>
      </c>
      <c r="AZ49" s="144">
        <v>0</v>
      </c>
      <c r="BA49" s="143">
        <v>0</v>
      </c>
      <c r="BB49" s="141">
        <v>0</v>
      </c>
      <c r="BC49" s="141">
        <v>0</v>
      </c>
      <c r="BD49" s="141">
        <v>0</v>
      </c>
      <c r="BE49" s="141">
        <v>0</v>
      </c>
      <c r="BF49" s="141">
        <v>0</v>
      </c>
      <c r="BG49" s="185"/>
      <c r="BH49" s="545" t="s">
        <v>627</v>
      </c>
      <c r="BI49" s="868">
        <v>0</v>
      </c>
      <c r="BJ49" s="545" t="s">
        <v>627</v>
      </c>
      <c r="BK49" s="868">
        <v>0</v>
      </c>
      <c r="BL49" s="545" t="s">
        <v>2233</v>
      </c>
      <c r="BM49" s="141">
        <v>0</v>
      </c>
      <c r="BN49" s="545" t="s">
        <v>2233</v>
      </c>
      <c r="BO49" s="141">
        <v>0</v>
      </c>
      <c r="BP49" s="545" t="s">
        <v>2233</v>
      </c>
      <c r="BQ49" s="141">
        <v>0</v>
      </c>
      <c r="BR49" s="545" t="s">
        <v>2233</v>
      </c>
      <c r="BS49" s="141">
        <v>0</v>
      </c>
      <c r="BT49" s="545" t="s">
        <v>2233</v>
      </c>
      <c r="BU49" s="141">
        <v>0</v>
      </c>
      <c r="BV49" s="185"/>
      <c r="BW49" s="545" t="s">
        <v>627</v>
      </c>
      <c r="BX49" s="868">
        <v>0</v>
      </c>
      <c r="BY49" s="545" t="s">
        <v>627</v>
      </c>
      <c r="BZ49" s="868">
        <v>0</v>
      </c>
      <c r="CA49" s="545" t="s">
        <v>2233</v>
      </c>
      <c r="CB49" s="141">
        <v>0</v>
      </c>
      <c r="CC49" s="545" t="s">
        <v>2233</v>
      </c>
      <c r="CD49" s="141">
        <v>0</v>
      </c>
      <c r="CE49" s="545" t="s">
        <v>2233</v>
      </c>
      <c r="CF49" s="141">
        <v>0</v>
      </c>
      <c r="CG49" s="545" t="s">
        <v>2233</v>
      </c>
      <c r="CH49" s="141">
        <v>0</v>
      </c>
      <c r="CI49" s="545" t="s">
        <v>2233</v>
      </c>
      <c r="CJ49" s="144">
        <v>0</v>
      </c>
    </row>
    <row r="50" spans="1:88" s="98" customFormat="1" ht="15" customHeight="1">
      <c r="A50" s="99"/>
      <c r="B50" s="161"/>
      <c r="C50" s="162"/>
      <c r="D50" s="162" t="s">
        <v>2708</v>
      </c>
      <c r="E50" s="162"/>
      <c r="F50" s="162"/>
      <c r="G50" s="163"/>
      <c r="H50" s="163"/>
      <c r="I50" s="164" t="s">
        <v>498</v>
      </c>
      <c r="J50" s="641">
        <f>SUM(J42:J49)</f>
        <v>3.417614086127442</v>
      </c>
      <c r="K50" s="642">
        <f t="shared" ref="K50:V50" si="75">SUM(K42:K49)</f>
        <v>6.55065582282944</v>
      </c>
      <c r="L50" s="642">
        <f t="shared" si="75"/>
        <v>5.6032751717368887</v>
      </c>
      <c r="M50" s="642">
        <f t="shared" si="75"/>
        <v>5.8235512095882314</v>
      </c>
      <c r="N50" s="642">
        <f t="shared" si="75"/>
        <v>3.9015681751707878</v>
      </c>
      <c r="O50" s="642">
        <f t="shared" si="75"/>
        <v>3.845139749332072</v>
      </c>
      <c r="P50" s="642">
        <f t="shared" si="75"/>
        <v>4.9175247401111406</v>
      </c>
      <c r="Q50" s="643">
        <f t="shared" si="75"/>
        <v>4.7956092198817029</v>
      </c>
      <c r="R50" s="641">
        <f t="shared" si="75"/>
        <v>3.620923645421871</v>
      </c>
      <c r="S50" s="642">
        <f t="shared" si="75"/>
        <v>3.6028190271947618</v>
      </c>
      <c r="T50" s="642">
        <f t="shared" si="75"/>
        <v>3.584804932058788</v>
      </c>
      <c r="U50" s="642">
        <f t="shared" si="75"/>
        <v>3.5668809073984944</v>
      </c>
      <c r="V50" s="643">
        <f t="shared" si="75"/>
        <v>3.5490465028615019</v>
      </c>
      <c r="W50" s="185"/>
      <c r="X50" s="164" t="s">
        <v>498</v>
      </c>
      <c r="Y50" s="641">
        <f>SUM(Y42:Y49)</f>
        <v>0</v>
      </c>
      <c r="Z50" s="642">
        <f t="shared" ref="Z50:AK50" si="76">SUM(Z42:Z49)</f>
        <v>0</v>
      </c>
      <c r="AA50" s="642">
        <f t="shared" si="76"/>
        <v>0</v>
      </c>
      <c r="AB50" s="642">
        <f t="shared" si="76"/>
        <v>0</v>
      </c>
      <c r="AC50" s="642">
        <f t="shared" si="76"/>
        <v>0</v>
      </c>
      <c r="AD50" s="642">
        <f t="shared" si="76"/>
        <v>0</v>
      </c>
      <c r="AE50" s="642">
        <f t="shared" si="76"/>
        <v>0</v>
      </c>
      <c r="AF50" s="643">
        <f t="shared" si="76"/>
        <v>0</v>
      </c>
      <c r="AG50" s="641">
        <f t="shared" si="76"/>
        <v>0</v>
      </c>
      <c r="AH50" s="642">
        <f t="shared" si="76"/>
        <v>0</v>
      </c>
      <c r="AI50" s="642">
        <f t="shared" si="76"/>
        <v>0</v>
      </c>
      <c r="AJ50" s="642">
        <f t="shared" si="76"/>
        <v>0</v>
      </c>
      <c r="AK50" s="643">
        <f t="shared" si="76"/>
        <v>0</v>
      </c>
      <c r="AL50" s="185"/>
      <c r="AM50" s="164" t="s">
        <v>2233</v>
      </c>
      <c r="AN50" s="641">
        <f>SUM(AN42:AN49)</f>
        <v>34.515509999999992</v>
      </c>
      <c r="AO50" s="642">
        <f t="shared" ref="AO50:AZ50" si="77">SUM(AO42:AO49)</f>
        <v>50.468199999999996</v>
      </c>
      <c r="AP50" s="642">
        <f t="shared" si="77"/>
        <v>34.436999999999998</v>
      </c>
      <c r="AQ50" s="642">
        <f t="shared" si="77"/>
        <v>37.563000000000095</v>
      </c>
      <c r="AR50" s="642">
        <f t="shared" si="77"/>
        <v>38.80299999999999</v>
      </c>
      <c r="AS50" s="642">
        <f t="shared" si="77"/>
        <v>38.233000000000011</v>
      </c>
      <c r="AT50" s="642">
        <f t="shared" si="77"/>
        <v>41.077497495745753</v>
      </c>
      <c r="AU50" s="643">
        <f t="shared" si="77"/>
        <v>41.015741570483534</v>
      </c>
      <c r="AV50" s="641">
        <f t="shared" si="77"/>
        <v>37.206625000000003</v>
      </c>
      <c r="AW50" s="642">
        <f t="shared" si="77"/>
        <v>37.206625000000003</v>
      </c>
      <c r="AX50" s="642">
        <f t="shared" si="77"/>
        <v>37.206625000000003</v>
      </c>
      <c r="AY50" s="642">
        <f t="shared" si="77"/>
        <v>37.206625000000003</v>
      </c>
      <c r="AZ50" s="643">
        <f t="shared" si="77"/>
        <v>37.206625000000003</v>
      </c>
      <c r="BA50" s="641">
        <f>SUM(BA42:BA49)</f>
        <v>37.206625000000003</v>
      </c>
      <c r="BB50" s="642">
        <f t="shared" ref="BB50:BF50" si="78">SUM(BB42:BB49)</f>
        <v>37.206625000000003</v>
      </c>
      <c r="BC50" s="642">
        <f t="shared" si="78"/>
        <v>37.206625000000003</v>
      </c>
      <c r="BD50" s="642">
        <f t="shared" si="78"/>
        <v>37.206625000000003</v>
      </c>
      <c r="BE50" s="642">
        <f t="shared" si="78"/>
        <v>37.206625000000003</v>
      </c>
      <c r="BF50" s="642">
        <f t="shared" si="78"/>
        <v>37.206625000000003</v>
      </c>
      <c r="BG50" s="185"/>
      <c r="BH50" s="530"/>
      <c r="BI50" s="530"/>
      <c r="BJ50" s="530"/>
      <c r="BK50" s="530"/>
      <c r="BL50" s="545" t="s">
        <v>2233</v>
      </c>
      <c r="BM50" s="642">
        <f>SUM(BM42:BM49)</f>
        <v>242.01231984763382</v>
      </c>
      <c r="BN50" s="545" t="s">
        <v>2233</v>
      </c>
      <c r="BO50" s="642">
        <f>SUM(BO42:BO49)</f>
        <v>0</v>
      </c>
      <c r="BP50" s="545" t="s">
        <v>2233</v>
      </c>
      <c r="BQ50" s="642">
        <f>SUM(BQ42:BQ49)</f>
        <v>26.973184797585422</v>
      </c>
      <c r="BR50" s="545" t="s">
        <v>2233</v>
      </c>
      <c r="BS50" s="642">
        <f>SUM(BS42:BS49)</f>
        <v>22.119605424078895</v>
      </c>
      <c r="BT50" s="545" t="s">
        <v>2233</v>
      </c>
      <c r="BU50" s="642">
        <f>SUM(BU42:BU49)</f>
        <v>25.007838996931184</v>
      </c>
      <c r="BV50" s="185"/>
      <c r="BW50" s="530"/>
      <c r="BX50" s="530"/>
      <c r="BY50" s="530"/>
      <c r="BZ50" s="530"/>
      <c r="CA50" s="545" t="s">
        <v>2233</v>
      </c>
      <c r="CB50" s="642">
        <f>SUM(CB42:CB49)</f>
        <v>142.42475128825598</v>
      </c>
      <c r="CC50" s="545" t="s">
        <v>2233</v>
      </c>
      <c r="CD50" s="642">
        <f>SUM(CD42:CD49)</f>
        <v>0</v>
      </c>
      <c r="CE50" s="545" t="s">
        <v>2233</v>
      </c>
      <c r="CF50" s="642">
        <f>SUM(CF42:CF49)</f>
        <v>15.873775098172263</v>
      </c>
      <c r="CG50" s="545" t="s">
        <v>2233</v>
      </c>
      <c r="CH50" s="642">
        <f>SUM(CH42:CH49)</f>
        <v>13.01743358810085</v>
      </c>
      <c r="CI50" s="545" t="s">
        <v>2233</v>
      </c>
      <c r="CJ50" s="643">
        <f>SUM(CJ42:CJ49)</f>
        <v>14.717165025470898</v>
      </c>
    </row>
    <row r="51" spans="1:88" s="98" customFormat="1" ht="15" customHeight="1">
      <c r="A51" s="99"/>
      <c r="B51" s="123"/>
      <c r="C51" s="162" t="s">
        <v>1710</v>
      </c>
      <c r="D51" s="162"/>
      <c r="E51" s="162"/>
      <c r="F51" s="127"/>
      <c r="G51" s="117"/>
      <c r="H51" s="117"/>
      <c r="I51" s="117"/>
      <c r="J51" s="159"/>
      <c r="K51" s="117"/>
      <c r="L51" s="117"/>
      <c r="M51" s="117"/>
      <c r="N51" s="117"/>
      <c r="O51" s="117"/>
      <c r="P51" s="117"/>
      <c r="Q51" s="160"/>
      <c r="R51" s="159"/>
      <c r="S51" s="117"/>
      <c r="T51" s="117"/>
      <c r="U51" s="117"/>
      <c r="V51" s="160"/>
      <c r="W51" s="185"/>
      <c r="X51" s="117"/>
      <c r="Y51" s="159"/>
      <c r="Z51" s="117"/>
      <c r="AA51" s="117"/>
      <c r="AB51" s="117"/>
      <c r="AC51" s="117"/>
      <c r="AD51" s="117"/>
      <c r="AE51" s="117"/>
      <c r="AF51" s="160"/>
      <c r="AG51" s="159"/>
      <c r="AH51" s="117"/>
      <c r="AI51" s="117"/>
      <c r="AJ51" s="117"/>
      <c r="AK51" s="160"/>
      <c r="AL51" s="185"/>
      <c r="AM51" s="117"/>
      <c r="AN51" s="713"/>
      <c r="AO51" s="721"/>
      <c r="AP51" s="721"/>
      <c r="AQ51" s="721"/>
      <c r="AR51" s="721"/>
      <c r="AS51" s="721"/>
      <c r="AT51" s="721"/>
      <c r="AU51" s="715"/>
      <c r="AV51" s="713"/>
      <c r="AW51" s="721"/>
      <c r="AX51" s="721"/>
      <c r="AY51" s="721"/>
      <c r="AZ51" s="715"/>
      <c r="BA51" s="713"/>
      <c r="BB51" s="721"/>
      <c r="BC51" s="721"/>
      <c r="BD51" s="721"/>
      <c r="BE51" s="721"/>
      <c r="BF51" s="721"/>
      <c r="BG51" s="185"/>
      <c r="BH51" s="530"/>
      <c r="BI51" s="530"/>
      <c r="BJ51" s="530"/>
      <c r="BK51" s="530"/>
      <c r="BL51" s="530"/>
      <c r="BM51" s="530"/>
      <c r="BN51" s="530"/>
      <c r="BO51" s="530"/>
      <c r="BP51" s="530"/>
      <c r="BQ51" s="530"/>
      <c r="BR51" s="530"/>
      <c r="BS51" s="530"/>
      <c r="BT51" s="530"/>
      <c r="BU51" s="530"/>
      <c r="BV51" s="185"/>
      <c r="BW51" s="530"/>
      <c r="BX51" s="530"/>
      <c r="BY51" s="530"/>
      <c r="BZ51" s="530"/>
      <c r="CA51" s="530"/>
      <c r="CB51" s="530"/>
      <c r="CC51" s="530"/>
      <c r="CD51" s="530"/>
      <c r="CE51" s="530"/>
      <c r="CF51" s="530"/>
      <c r="CG51" s="530"/>
      <c r="CH51" s="530"/>
      <c r="CI51" s="530"/>
      <c r="CJ51" s="544"/>
    </row>
    <row r="52" spans="1:88" s="98" customFormat="1" ht="15" customHeight="1">
      <c r="A52" s="99"/>
      <c r="B52" s="123"/>
      <c r="C52" s="162"/>
      <c r="D52" s="162"/>
      <c r="E52" s="162"/>
      <c r="F52" s="127"/>
      <c r="G52" s="117"/>
      <c r="H52" s="117"/>
      <c r="I52" s="117"/>
      <c r="J52" s="159"/>
      <c r="K52" s="117"/>
      <c r="L52" s="117"/>
      <c r="M52" s="117"/>
      <c r="N52" s="117"/>
      <c r="O52" s="117"/>
      <c r="P52" s="117"/>
      <c r="Q52" s="160"/>
      <c r="R52" s="159"/>
      <c r="S52" s="117"/>
      <c r="T52" s="117"/>
      <c r="U52" s="117"/>
      <c r="V52" s="160"/>
      <c r="W52" s="185"/>
      <c r="X52" s="117"/>
      <c r="Y52" s="159"/>
      <c r="Z52" s="117"/>
      <c r="AA52" s="117"/>
      <c r="AB52" s="117"/>
      <c r="AC52" s="117"/>
      <c r="AD52" s="117"/>
      <c r="AE52" s="117"/>
      <c r="AF52" s="160"/>
      <c r="AG52" s="159"/>
      <c r="AH52" s="117"/>
      <c r="AI52" s="117"/>
      <c r="AJ52" s="117"/>
      <c r="AK52" s="160"/>
      <c r="AL52" s="185"/>
      <c r="AM52" s="117"/>
      <c r="AN52" s="713"/>
      <c r="AO52" s="721"/>
      <c r="AP52" s="721"/>
      <c r="AQ52" s="721"/>
      <c r="AR52" s="721"/>
      <c r="AS52" s="721"/>
      <c r="AT52" s="721"/>
      <c r="AU52" s="715"/>
      <c r="AV52" s="713"/>
      <c r="AW52" s="721"/>
      <c r="AX52" s="721"/>
      <c r="AY52" s="721"/>
      <c r="AZ52" s="715"/>
      <c r="BA52" s="713"/>
      <c r="BB52" s="721"/>
      <c r="BC52" s="721"/>
      <c r="BD52" s="721"/>
      <c r="BE52" s="721"/>
      <c r="BF52" s="721"/>
      <c r="BG52" s="185"/>
      <c r="BH52" s="530"/>
      <c r="BI52" s="530"/>
      <c r="BJ52" s="530"/>
      <c r="BK52" s="530"/>
      <c r="BL52" s="530"/>
      <c r="BM52" s="530"/>
      <c r="BN52" s="530"/>
      <c r="BO52" s="530"/>
      <c r="BP52" s="530"/>
      <c r="BQ52" s="530"/>
      <c r="BR52" s="530"/>
      <c r="BS52" s="530"/>
      <c r="BT52" s="530"/>
      <c r="BU52" s="530"/>
      <c r="BV52" s="185"/>
      <c r="BW52" s="530"/>
      <c r="BX52" s="530"/>
      <c r="BY52" s="530"/>
      <c r="BZ52" s="530"/>
      <c r="CA52" s="530"/>
      <c r="CB52" s="530"/>
      <c r="CC52" s="530"/>
      <c r="CD52" s="530"/>
      <c r="CE52" s="530"/>
      <c r="CF52" s="530"/>
      <c r="CG52" s="530"/>
      <c r="CH52" s="530"/>
      <c r="CI52" s="530"/>
      <c r="CJ52" s="544"/>
    </row>
    <row r="53" spans="1:88" s="98" customFormat="1" ht="15" customHeight="1" thickBot="1">
      <c r="A53" s="99"/>
      <c r="B53" s="191" t="s">
        <v>1701</v>
      </c>
      <c r="C53" s="193"/>
      <c r="D53" s="193"/>
      <c r="E53" s="193"/>
      <c r="F53" s="193"/>
      <c r="G53" s="194"/>
      <c r="H53" s="194"/>
      <c r="I53" s="195" t="s">
        <v>498</v>
      </c>
      <c r="J53" s="717">
        <f>SUM(J29,J40,J50)</f>
        <v>51.623305647529008</v>
      </c>
      <c r="K53" s="717">
        <f t="shared" ref="K53:V53" si="79">SUM(K29,K40,K50)</f>
        <v>57.417231775249938</v>
      </c>
      <c r="L53" s="717">
        <f t="shared" si="79"/>
        <v>53.638775442928392</v>
      </c>
      <c r="M53" s="717">
        <f t="shared" si="79"/>
        <v>56.492540085895101</v>
      </c>
      <c r="N53" s="717">
        <f t="shared" si="79"/>
        <v>54.756061246805864</v>
      </c>
      <c r="O53" s="717">
        <f t="shared" si="79"/>
        <v>57.139333347265136</v>
      </c>
      <c r="P53" s="717">
        <f t="shared" si="79"/>
        <v>52.482987759169461</v>
      </c>
      <c r="Q53" s="717">
        <f t="shared" si="79"/>
        <v>48.392823140166833</v>
      </c>
      <c r="R53" s="717">
        <f t="shared" si="79"/>
        <v>52.68013510264322</v>
      </c>
      <c r="S53" s="717">
        <f t="shared" si="79"/>
        <v>52.416734427129988</v>
      </c>
      <c r="T53" s="717">
        <f t="shared" si="79"/>
        <v>52.15465075499435</v>
      </c>
      <c r="U53" s="717">
        <f t="shared" si="79"/>
        <v>51.893877501219372</v>
      </c>
      <c r="V53" s="717">
        <f t="shared" si="79"/>
        <v>51.634408113713278</v>
      </c>
      <c r="W53" s="192"/>
      <c r="X53" s="195" t="s">
        <v>498</v>
      </c>
      <c r="Y53" s="717">
        <f>SUM(Y29,Y40,Y50)</f>
        <v>0</v>
      </c>
      <c r="Z53" s="717">
        <f t="shared" ref="Z53:AK53" si="80">SUM(Z29,Z40,Z50)</f>
        <v>0</v>
      </c>
      <c r="AA53" s="717">
        <f t="shared" si="80"/>
        <v>0</v>
      </c>
      <c r="AB53" s="717">
        <f t="shared" si="80"/>
        <v>0</v>
      </c>
      <c r="AC53" s="717">
        <f t="shared" si="80"/>
        <v>0</v>
      </c>
      <c r="AD53" s="717">
        <f t="shared" si="80"/>
        <v>0</v>
      </c>
      <c r="AE53" s="717">
        <f t="shared" si="80"/>
        <v>0</v>
      </c>
      <c r="AF53" s="717">
        <f t="shared" si="80"/>
        <v>0</v>
      </c>
      <c r="AG53" s="717">
        <f t="shared" si="80"/>
        <v>0</v>
      </c>
      <c r="AH53" s="717">
        <f t="shared" si="80"/>
        <v>0</v>
      </c>
      <c r="AI53" s="717">
        <f t="shared" si="80"/>
        <v>0</v>
      </c>
      <c r="AJ53" s="717">
        <f t="shared" si="80"/>
        <v>0</v>
      </c>
      <c r="AK53" s="717">
        <f t="shared" si="80"/>
        <v>0</v>
      </c>
      <c r="AL53" s="192"/>
      <c r="AM53" s="195" t="s">
        <v>2233</v>
      </c>
      <c r="AN53" s="717">
        <f>SUM(AN29,AN40,AN50)</f>
        <v>472.14584000000008</v>
      </c>
      <c r="AO53" s="717">
        <f t="shared" ref="AO53:BF53" si="81">SUM(AO29,AO40,AO50)</f>
        <v>527.12681000000009</v>
      </c>
      <c r="AP53" s="717">
        <f t="shared" si="81"/>
        <v>464.67201000000006</v>
      </c>
      <c r="AQ53" s="717">
        <f t="shared" si="81"/>
        <v>485.94200000000041</v>
      </c>
      <c r="AR53" s="717">
        <f t="shared" si="81"/>
        <v>512.52699999999777</v>
      </c>
      <c r="AS53" s="717">
        <f t="shared" si="81"/>
        <v>527.88299999999799</v>
      </c>
      <c r="AT53" s="717">
        <f t="shared" si="81"/>
        <v>493.17188311043242</v>
      </c>
      <c r="AU53" s="717">
        <f t="shared" si="81"/>
        <v>466.95728649637334</v>
      </c>
      <c r="AV53" s="717">
        <f t="shared" si="81"/>
        <v>461.7844780974973</v>
      </c>
      <c r="AW53" s="717">
        <f t="shared" si="81"/>
        <v>461.7844780974973</v>
      </c>
      <c r="AX53" s="717">
        <f t="shared" si="81"/>
        <v>461.7844780974973</v>
      </c>
      <c r="AY53" s="717">
        <f t="shared" si="81"/>
        <v>461.7844780974973</v>
      </c>
      <c r="AZ53" s="717">
        <f t="shared" si="81"/>
        <v>461.7844780974973</v>
      </c>
      <c r="BA53" s="717">
        <f t="shared" si="81"/>
        <v>461.7844780974973</v>
      </c>
      <c r="BB53" s="717">
        <f t="shared" si="81"/>
        <v>461.7844780974973</v>
      </c>
      <c r="BC53" s="717">
        <f t="shared" si="81"/>
        <v>461.7844780974973</v>
      </c>
      <c r="BD53" s="717">
        <f t="shared" si="81"/>
        <v>461.7844780974973</v>
      </c>
      <c r="BE53" s="717">
        <f t="shared" si="81"/>
        <v>461.7844780974973</v>
      </c>
      <c r="BF53" s="717">
        <f t="shared" si="81"/>
        <v>461.7844780974973</v>
      </c>
      <c r="BG53" s="192"/>
      <c r="BH53" s="548"/>
      <c r="BI53" s="548"/>
      <c r="BJ53" s="548"/>
      <c r="BK53" s="1537"/>
      <c r="BL53" s="1081" t="s">
        <v>2233</v>
      </c>
      <c r="BM53" s="717">
        <f t="shared" ref="BM53" si="82">SUM(BM29,BM40,BM50)</f>
        <v>3389.32727439577</v>
      </c>
      <c r="BN53" s="1081" t="s">
        <v>2233</v>
      </c>
      <c r="BO53" s="717">
        <f t="shared" ref="BO53" si="83">SUM(BO29,BO40,BO50)</f>
        <v>50.880380327568027</v>
      </c>
      <c r="BP53" s="1081" t="s">
        <v>2233</v>
      </c>
      <c r="BQ53" s="717">
        <f t="shared" ref="BQ53" si="84">SUM(BQ29,BQ40,BQ50)</f>
        <v>256.82463097355719</v>
      </c>
      <c r="BR53" s="1081" t="s">
        <v>2233</v>
      </c>
      <c r="BS53" s="717">
        <f t="shared" ref="BS53" si="85">SUM(BS29,BS40,BS50)</f>
        <v>166.94413572714822</v>
      </c>
      <c r="BT53" s="1081" t="s">
        <v>2233</v>
      </c>
      <c r="BU53" s="717">
        <f t="shared" ref="BU53" si="86">SUM(BU29,BU40,BU50)</f>
        <v>86.449408182757139</v>
      </c>
      <c r="BV53" s="192"/>
      <c r="BW53" s="548"/>
      <c r="BX53" s="548"/>
      <c r="BY53" s="548"/>
      <c r="BZ53" s="1537"/>
      <c r="CA53" s="1081" t="s">
        <v>2233</v>
      </c>
      <c r="CB53" s="1082">
        <f>SUM(CB29,CB40,CB50)</f>
        <v>1980.8468552004194</v>
      </c>
      <c r="CC53" s="1081" t="s">
        <v>2233</v>
      </c>
      <c r="CD53" s="1082">
        <f>SUM(CD29,CD40,CD50)</f>
        <v>29.72044971682481</v>
      </c>
      <c r="CE53" s="1081" t="s">
        <v>2233</v>
      </c>
      <c r="CF53" s="1082">
        <f>SUM(CF29,CF40,CF50)</f>
        <v>151.11214443450129</v>
      </c>
      <c r="CG53" s="1081" t="s">
        <v>2233</v>
      </c>
      <c r="CH53" s="1082">
        <f>SUM(CH29,CH40,CH50)</f>
        <v>96.953420415216755</v>
      </c>
      <c r="CI53" s="1081" t="s">
        <v>2233</v>
      </c>
      <c r="CJ53" s="1336">
        <f>SUM(CJ29,CJ40,CJ50)</f>
        <v>50.289520720523463</v>
      </c>
    </row>
    <row r="54" spans="1:88" s="99" customFormat="1" ht="15" customHeight="1" thickBot="1">
      <c r="B54" s="150"/>
      <c r="C54" s="150"/>
      <c r="D54" s="150"/>
      <c r="E54" s="150"/>
      <c r="F54" s="150"/>
      <c r="G54" s="97"/>
      <c r="H54" s="97"/>
      <c r="I54" s="98"/>
      <c r="J54" s="98"/>
      <c r="K54" s="98"/>
      <c r="L54" s="98"/>
      <c r="M54" s="98"/>
      <c r="N54" s="98"/>
      <c r="O54" s="98"/>
      <c r="P54" s="98"/>
      <c r="Q54" s="98"/>
      <c r="R54" s="98"/>
      <c r="S54" s="98"/>
      <c r="T54" s="98"/>
      <c r="U54" s="98"/>
      <c r="V54" s="98"/>
      <c r="W54" s="98"/>
      <c r="X54" s="98"/>
      <c r="AS54" s="96"/>
      <c r="AT54" s="97"/>
      <c r="AU54" s="97"/>
      <c r="AV54" s="97"/>
      <c r="AW54" s="97"/>
      <c r="AX54" s="97"/>
      <c r="AY54" s="97"/>
      <c r="AZ54" s="97"/>
      <c r="BA54" s="97"/>
      <c r="BB54" s="97"/>
      <c r="BD54" s="97"/>
      <c r="BE54" s="97"/>
      <c r="BF54" s="97"/>
      <c r="BH54" s="97"/>
    </row>
    <row r="55" spans="1:88" s="100" customFormat="1" ht="30" customHeight="1" thickBot="1">
      <c r="A55" s="89"/>
      <c r="B55" s="621" t="s">
        <v>2679</v>
      </c>
      <c r="C55" s="101"/>
      <c r="D55" s="102"/>
      <c r="E55" s="102"/>
      <c r="F55" s="102"/>
      <c r="G55" s="103"/>
      <c r="H55" s="103"/>
      <c r="I55" s="1689"/>
      <c r="J55" s="1689"/>
      <c r="K55" s="1689"/>
      <c r="L55" s="1689"/>
      <c r="M55" s="1689"/>
      <c r="N55" s="1689"/>
      <c r="O55" s="1689"/>
      <c r="P55" s="1689"/>
      <c r="Q55" s="1689"/>
      <c r="R55" s="1689"/>
      <c r="S55" s="1689"/>
      <c r="T55" s="1689"/>
      <c r="U55" s="1689"/>
      <c r="V55" s="1689"/>
      <c r="W55" s="103"/>
      <c r="X55" s="1689"/>
      <c r="Y55" s="1689"/>
      <c r="Z55" s="1689"/>
      <c r="AA55" s="1689"/>
      <c r="AB55" s="1689"/>
      <c r="AC55" s="1689"/>
      <c r="AD55" s="1689"/>
      <c r="AE55" s="1689"/>
      <c r="AF55" s="1689"/>
      <c r="AG55" s="1689"/>
      <c r="AH55" s="1689"/>
      <c r="AI55" s="1689"/>
      <c r="AJ55" s="1689"/>
      <c r="AK55" s="1689"/>
      <c r="AL55" s="1354"/>
      <c r="AM55" s="105" t="s">
        <v>2231</v>
      </c>
      <c r="AN55" s="106"/>
      <c r="AO55" s="106"/>
      <c r="AP55" s="106"/>
      <c r="AQ55" s="106"/>
      <c r="AR55" s="106"/>
      <c r="AS55" s="106"/>
      <c r="AT55" s="106"/>
      <c r="AU55" s="106"/>
      <c r="AV55" s="105"/>
      <c r="AW55" s="105"/>
      <c r="AX55" s="105"/>
      <c r="AY55" s="105"/>
      <c r="AZ55" s="105"/>
      <c r="BA55" s="106"/>
      <c r="BB55" s="106"/>
      <c r="BC55" s="106"/>
      <c r="BD55" s="106"/>
      <c r="BE55" s="106"/>
      <c r="BF55" s="106"/>
      <c r="BG55" s="103"/>
      <c r="BH55" s="105" t="s">
        <v>2690</v>
      </c>
      <c r="BI55" s="105"/>
      <c r="BJ55" s="105"/>
      <c r="BK55" s="105"/>
      <c r="BL55" s="105"/>
      <c r="BM55" s="105"/>
      <c r="BN55" s="603"/>
      <c r="BO55" s="105"/>
      <c r="BP55" s="1358"/>
      <c r="BQ55" s="103"/>
      <c r="BR55" s="103"/>
      <c r="BS55" s="103"/>
      <c r="BT55" s="103"/>
      <c r="BU55" s="103"/>
      <c r="BV55" s="103"/>
      <c r="BW55" s="105" t="s">
        <v>2691</v>
      </c>
      <c r="BX55" s="105"/>
      <c r="BY55" s="105"/>
      <c r="BZ55" s="105"/>
      <c r="CA55" s="105"/>
      <c r="CB55" s="105"/>
      <c r="CC55" s="105"/>
      <c r="CD55" s="187"/>
    </row>
    <row r="56" spans="1:88" s="157" customFormat="1" ht="30" customHeight="1">
      <c r="A56" s="99"/>
      <c r="B56" s="109"/>
      <c r="C56" s="110"/>
      <c r="D56" s="110"/>
      <c r="E56" s="110"/>
      <c r="F56" s="110"/>
      <c r="G56" s="111"/>
      <c r="H56" s="111"/>
      <c r="I56" s="2502"/>
      <c r="J56" s="2502"/>
      <c r="K56" s="2502"/>
      <c r="L56" s="2502"/>
      <c r="M56" s="2502"/>
      <c r="N56" s="2502"/>
      <c r="O56" s="2502"/>
      <c r="P56" s="2502"/>
      <c r="Q56" s="2502"/>
      <c r="R56" s="2502"/>
      <c r="S56" s="2502"/>
      <c r="T56" s="2502"/>
      <c r="U56" s="2502"/>
      <c r="V56" s="2502"/>
      <c r="X56" s="2502"/>
      <c r="Y56" s="2502"/>
      <c r="Z56" s="2502"/>
      <c r="AA56" s="2502"/>
      <c r="AB56" s="2502"/>
      <c r="AC56" s="2502"/>
      <c r="AD56" s="2502"/>
      <c r="AE56" s="2502"/>
      <c r="AF56" s="2502"/>
      <c r="AG56" s="2502"/>
      <c r="AH56" s="2502"/>
      <c r="AI56" s="2502"/>
      <c r="AJ56" s="2502"/>
      <c r="AK56" s="2502"/>
      <c r="AM56" s="117"/>
      <c r="AN56" s="695" t="s">
        <v>1666</v>
      </c>
      <c r="AO56" s="152"/>
      <c r="AP56" s="152"/>
      <c r="AQ56" s="152"/>
      <c r="AR56" s="152"/>
      <c r="AS56" s="152"/>
      <c r="AT56" s="152"/>
      <c r="AU56" s="153"/>
      <c r="AV56" s="696" t="s">
        <v>2</v>
      </c>
      <c r="AW56" s="155"/>
      <c r="AX56" s="155"/>
      <c r="AY56" s="155"/>
      <c r="AZ56" s="156"/>
      <c r="BA56" s="695" t="s">
        <v>2692</v>
      </c>
      <c r="BB56" s="152"/>
      <c r="BC56" s="152"/>
      <c r="BD56" s="152"/>
      <c r="BE56" s="152"/>
      <c r="BF56" s="153"/>
      <c r="BG56" s="111"/>
      <c r="BH56" s="527" t="s">
        <v>2711</v>
      </c>
      <c r="BI56" s="527"/>
      <c r="BJ56" s="527" t="s">
        <v>2712</v>
      </c>
      <c r="BK56" s="527"/>
      <c r="BL56" s="527" t="s">
        <v>2713</v>
      </c>
      <c r="BM56" s="527"/>
      <c r="BN56" s="527" t="s">
        <v>2714</v>
      </c>
      <c r="BO56" s="604"/>
      <c r="BV56" s="222"/>
      <c r="BW56" s="527" t="s">
        <v>2711</v>
      </c>
      <c r="BX56" s="527"/>
      <c r="BY56" s="527" t="s">
        <v>2712</v>
      </c>
      <c r="BZ56" s="527"/>
      <c r="CA56" s="527" t="s">
        <v>2713</v>
      </c>
      <c r="CB56" s="527"/>
      <c r="CC56" s="527" t="s">
        <v>2714</v>
      </c>
      <c r="CD56" s="605"/>
    </row>
    <row r="57" spans="1:88" s="98" customFormat="1" ht="15" customHeight="1">
      <c r="A57" s="99"/>
      <c r="B57" s="115"/>
      <c r="C57" s="116"/>
      <c r="D57" s="116"/>
      <c r="E57" s="116"/>
      <c r="F57" s="116"/>
      <c r="G57" s="117"/>
      <c r="H57" s="117"/>
      <c r="I57" s="2503"/>
      <c r="J57" s="2503"/>
      <c r="K57" s="2503"/>
      <c r="L57" s="2503"/>
      <c r="M57" s="2503"/>
      <c r="N57" s="2503"/>
      <c r="O57" s="2503"/>
      <c r="P57" s="2503"/>
      <c r="Q57" s="2503"/>
      <c r="R57" s="2503"/>
      <c r="S57" s="2503"/>
      <c r="T57" s="2503"/>
      <c r="U57" s="2503"/>
      <c r="V57" s="2503"/>
      <c r="X57" s="2503"/>
      <c r="Y57" s="2503"/>
      <c r="Z57" s="2503"/>
      <c r="AA57" s="2503"/>
      <c r="AB57" s="2503"/>
      <c r="AC57" s="2503"/>
      <c r="AD57" s="2503"/>
      <c r="AE57" s="2503"/>
      <c r="AF57" s="2503"/>
      <c r="AG57" s="2503"/>
      <c r="AH57" s="2503"/>
      <c r="AI57" s="2503"/>
      <c r="AJ57" s="2503"/>
      <c r="AK57" s="2503"/>
      <c r="AM57" s="119" t="s">
        <v>1667</v>
      </c>
      <c r="AN57" s="158" t="s">
        <v>453</v>
      </c>
      <c r="AO57" s="137" t="s">
        <v>455</v>
      </c>
      <c r="AP57" s="137" t="s">
        <v>457</v>
      </c>
      <c r="AQ57" s="137" t="s">
        <v>459</v>
      </c>
      <c r="AR57" s="137" t="s">
        <v>461</v>
      </c>
      <c r="AS57" s="137" t="s">
        <v>463</v>
      </c>
      <c r="AT57" s="137" t="s">
        <v>465</v>
      </c>
      <c r="AU57" s="138" t="s">
        <v>467</v>
      </c>
      <c r="AV57" s="120" t="s">
        <v>469</v>
      </c>
      <c r="AW57" s="121" t="s">
        <v>471</v>
      </c>
      <c r="AX57" s="121" t="s">
        <v>473</v>
      </c>
      <c r="AY57" s="121" t="s">
        <v>475</v>
      </c>
      <c r="AZ57" s="122" t="s">
        <v>477</v>
      </c>
      <c r="BA57" s="158" t="s">
        <v>2170</v>
      </c>
      <c r="BB57" s="137" t="s">
        <v>2171</v>
      </c>
      <c r="BC57" s="137" t="s">
        <v>2172</v>
      </c>
      <c r="BD57" s="137" t="s">
        <v>2173</v>
      </c>
      <c r="BE57" s="137" t="s">
        <v>2174</v>
      </c>
      <c r="BF57" s="138" t="s">
        <v>2175</v>
      </c>
      <c r="BG57" s="117"/>
      <c r="BH57" s="531" t="s">
        <v>1667</v>
      </c>
      <c r="BI57" s="531" t="s">
        <v>2142</v>
      </c>
      <c r="BJ57" s="531" t="s">
        <v>1667</v>
      </c>
      <c r="BK57" s="531" t="s">
        <v>2142</v>
      </c>
      <c r="BL57" s="531" t="s">
        <v>1667</v>
      </c>
      <c r="BM57" s="531" t="s">
        <v>2142</v>
      </c>
      <c r="BN57" s="606" t="s">
        <v>1667</v>
      </c>
      <c r="BO57" s="531" t="s">
        <v>2142</v>
      </c>
      <c r="BV57" s="185"/>
      <c r="BW57" s="531" t="s">
        <v>1667</v>
      </c>
      <c r="BX57" s="531" t="s">
        <v>2142</v>
      </c>
      <c r="BY57" s="531" t="s">
        <v>1667</v>
      </c>
      <c r="BZ57" s="531" t="s">
        <v>2142</v>
      </c>
      <c r="CA57" s="531" t="s">
        <v>1667</v>
      </c>
      <c r="CB57" s="531" t="s">
        <v>2142</v>
      </c>
      <c r="CC57" s="531" t="s">
        <v>1667</v>
      </c>
      <c r="CD57" s="532" t="s">
        <v>2142</v>
      </c>
    </row>
    <row r="58" spans="1:88" s="98" customFormat="1" ht="15" customHeight="1">
      <c r="A58" s="99"/>
      <c r="B58" s="161"/>
      <c r="C58" s="116" t="s">
        <v>2715</v>
      </c>
      <c r="D58" s="116"/>
      <c r="E58" s="116"/>
      <c r="F58" s="116"/>
      <c r="G58" s="117"/>
      <c r="H58" s="117"/>
      <c r="I58" s="2503"/>
      <c r="J58" s="2503"/>
      <c r="K58" s="2503"/>
      <c r="L58" s="2503"/>
      <c r="M58" s="2503"/>
      <c r="N58" s="2503"/>
      <c r="O58" s="2503"/>
      <c r="P58" s="2503"/>
      <c r="Q58" s="2503"/>
      <c r="R58" s="2503"/>
      <c r="S58" s="2503"/>
      <c r="T58" s="2503"/>
      <c r="U58" s="2503"/>
      <c r="V58" s="2503"/>
      <c r="X58" s="2503"/>
      <c r="Y58" s="2503"/>
      <c r="Z58" s="2503"/>
      <c r="AA58" s="2503"/>
      <c r="AB58" s="2503"/>
      <c r="AC58" s="2503"/>
      <c r="AD58" s="2503"/>
      <c r="AE58" s="2503"/>
      <c r="AF58" s="2503"/>
      <c r="AG58" s="2503"/>
      <c r="AH58" s="2503"/>
      <c r="AI58" s="2503"/>
      <c r="AJ58" s="2503"/>
      <c r="AK58" s="2503"/>
      <c r="AM58" s="117"/>
      <c r="AN58" s="159"/>
      <c r="AO58" s="117"/>
      <c r="AP58" s="117"/>
      <c r="AQ58" s="117"/>
      <c r="AR58" s="117"/>
      <c r="AS58" s="117"/>
      <c r="AT58" s="117"/>
      <c r="AU58" s="160"/>
      <c r="AV58" s="159"/>
      <c r="AW58" s="117"/>
      <c r="AX58" s="117"/>
      <c r="AY58" s="117"/>
      <c r="AZ58" s="160"/>
      <c r="BA58" s="159"/>
      <c r="BB58" s="117"/>
      <c r="BC58" s="117"/>
      <c r="BD58" s="117"/>
      <c r="BE58" s="117"/>
      <c r="BF58" s="160"/>
      <c r="BG58" s="117"/>
      <c r="BH58" s="530"/>
      <c r="BI58" s="530"/>
      <c r="BJ58" s="530"/>
      <c r="BK58" s="530"/>
      <c r="BL58" s="530"/>
      <c r="BM58" s="530"/>
      <c r="BN58" s="530"/>
      <c r="BO58" s="530"/>
      <c r="BV58" s="185"/>
      <c r="BW58" s="530"/>
      <c r="BX58" s="530"/>
      <c r="BY58" s="530"/>
      <c r="BZ58" s="530"/>
      <c r="CA58" s="530"/>
      <c r="CB58" s="530"/>
      <c r="CC58" s="530"/>
      <c r="CD58" s="544"/>
    </row>
    <row r="59" spans="1:88" s="98" customFormat="1" ht="15" customHeight="1">
      <c r="A59" s="99"/>
      <c r="B59" s="161"/>
      <c r="C59" s="162"/>
      <c r="D59" s="162" t="s">
        <v>2716</v>
      </c>
      <c r="E59" s="162"/>
      <c r="F59" s="162"/>
      <c r="G59" s="163"/>
      <c r="H59" s="163"/>
      <c r="I59" s="2503"/>
      <c r="J59" s="2503"/>
      <c r="K59" s="2503"/>
      <c r="L59" s="2503"/>
      <c r="M59" s="2503"/>
      <c r="N59" s="2503"/>
      <c r="O59" s="2503"/>
      <c r="P59" s="2503"/>
      <c r="Q59" s="2503"/>
      <c r="R59" s="2503"/>
      <c r="S59" s="2503"/>
      <c r="T59" s="2503"/>
      <c r="U59" s="2503"/>
      <c r="V59" s="2503"/>
      <c r="X59" s="2503"/>
      <c r="Y59" s="2503"/>
      <c r="Z59" s="2503"/>
      <c r="AA59" s="2503"/>
      <c r="AB59" s="2503"/>
      <c r="AC59" s="2503"/>
      <c r="AD59" s="2503"/>
      <c r="AE59" s="2503"/>
      <c r="AF59" s="2503"/>
      <c r="AG59" s="2503"/>
      <c r="AH59" s="2503"/>
      <c r="AI59" s="2503"/>
      <c r="AJ59" s="2503"/>
      <c r="AK59" s="2503"/>
      <c r="AM59" s="164" t="s">
        <v>2233</v>
      </c>
      <c r="AN59" s="143">
        <v>-38.791552081324028</v>
      </c>
      <c r="AO59" s="141">
        <v>-34.096685480665514</v>
      </c>
      <c r="AP59" s="141">
        <v>-28.432204337671017</v>
      </c>
      <c r="AQ59" s="141">
        <v>-25.003043776413371</v>
      </c>
      <c r="AR59" s="141">
        <v>-29.165000000000017</v>
      </c>
      <c r="AS59" s="141">
        <v>-22.43</v>
      </c>
      <c r="AT59" s="141">
        <v>-29.507792806095143</v>
      </c>
      <c r="AU59" s="144">
        <v>-26.308497484866027</v>
      </c>
      <c r="AV59" s="143">
        <v>-11.607814110399479</v>
      </c>
      <c r="AW59" s="141">
        <v>-11.607814110399479</v>
      </c>
      <c r="AX59" s="141">
        <v>-11.607814110399479</v>
      </c>
      <c r="AY59" s="141">
        <v>-11.607814110399479</v>
      </c>
      <c r="AZ59" s="144">
        <v>-11.607814110399479</v>
      </c>
      <c r="BA59" s="143">
        <v>-9.7920863199369936</v>
      </c>
      <c r="BB59" s="141">
        <v>-9.7920863199369936</v>
      </c>
      <c r="BC59" s="141">
        <v>-9.7920863199369936</v>
      </c>
      <c r="BD59" s="141">
        <v>-9.7920863199369936</v>
      </c>
      <c r="BE59" s="141">
        <v>-9.7920863199369936</v>
      </c>
      <c r="BF59" s="144">
        <v>-9.7920863199369936</v>
      </c>
      <c r="BG59" s="163"/>
      <c r="BH59" s="522" t="s">
        <v>2233</v>
      </c>
      <c r="BI59" s="141">
        <v>41.604554391672146</v>
      </c>
      <c r="BJ59" s="522" t="s">
        <v>2233</v>
      </c>
      <c r="BK59" s="141">
        <v>161.8876740077126</v>
      </c>
      <c r="BL59" s="522" t="s">
        <v>2233</v>
      </c>
      <c r="BM59" s="141">
        <v>30.242547567651197</v>
      </c>
      <c r="BN59" s="607" t="s">
        <v>627</v>
      </c>
      <c r="BO59" s="868">
        <v>0.98871247813202157</v>
      </c>
      <c r="BV59" s="185"/>
      <c r="BW59" s="522" t="s">
        <v>2233</v>
      </c>
      <c r="BX59" s="141">
        <v>10.330896023633342</v>
      </c>
      <c r="BY59" s="522" t="s">
        <v>2233</v>
      </c>
      <c r="BZ59" s="141">
        <v>40.198597296268524</v>
      </c>
      <c r="CA59" s="522" t="s">
        <v>2233</v>
      </c>
      <c r="CB59" s="141">
        <v>7.5095772320957384</v>
      </c>
      <c r="CC59" s="607" t="s">
        <v>627</v>
      </c>
      <c r="CD59" s="872">
        <v>0.98999999999999988</v>
      </c>
    </row>
    <row r="60" spans="1:88" s="98" customFormat="1" ht="15" customHeight="1">
      <c r="A60" s="99"/>
      <c r="B60" s="161"/>
      <c r="C60" s="162"/>
      <c r="D60" s="162" t="s">
        <v>2717</v>
      </c>
      <c r="E60" s="162"/>
      <c r="F60" s="162"/>
      <c r="G60" s="163"/>
      <c r="H60" s="163"/>
      <c r="I60" s="2503"/>
      <c r="J60" s="2503"/>
      <c r="K60" s="2503"/>
      <c r="L60" s="2503"/>
      <c r="M60" s="2503"/>
      <c r="N60" s="2503"/>
      <c r="O60" s="2503"/>
      <c r="P60" s="2503"/>
      <c r="Q60" s="2503"/>
      <c r="R60" s="2503"/>
      <c r="S60" s="2503"/>
      <c r="T60" s="2503"/>
      <c r="U60" s="2503"/>
      <c r="V60" s="2503"/>
      <c r="X60" s="2503"/>
      <c r="Y60" s="2503"/>
      <c r="Z60" s="2503"/>
      <c r="AA60" s="2503"/>
      <c r="AB60" s="2503"/>
      <c r="AC60" s="2503"/>
      <c r="AD60" s="2503"/>
      <c r="AE60" s="2503"/>
      <c r="AF60" s="2503"/>
      <c r="AG60" s="2503"/>
      <c r="AH60" s="2503"/>
      <c r="AI60" s="2503"/>
      <c r="AJ60" s="2503"/>
      <c r="AK60" s="2503"/>
      <c r="AM60" s="164" t="s">
        <v>2233</v>
      </c>
      <c r="AN60" s="143">
        <v>-197.1037954508044</v>
      </c>
      <c r="AO60" s="141">
        <v>-225.19651629196693</v>
      </c>
      <c r="AP60" s="141">
        <v>-226.20808974363646</v>
      </c>
      <c r="AQ60" s="141">
        <v>-215.97016518548685</v>
      </c>
      <c r="AR60" s="141">
        <v>-222.03685936054285</v>
      </c>
      <c r="AS60" s="141">
        <v>-197.88499999999999</v>
      </c>
      <c r="AT60" s="141">
        <v>-213.1264310198591</v>
      </c>
      <c r="AU60" s="144">
        <v>-199.86997602890236</v>
      </c>
      <c r="AV60" s="143">
        <v>-159.64132239777078</v>
      </c>
      <c r="AW60" s="141">
        <v>-159.64132239777078</v>
      </c>
      <c r="AX60" s="141">
        <v>-159.64132239777078</v>
      </c>
      <c r="AY60" s="141">
        <v>-159.64132239777078</v>
      </c>
      <c r="AZ60" s="144">
        <v>-159.64132239777078</v>
      </c>
      <c r="BA60" s="143">
        <v>-134.66976592495283</v>
      </c>
      <c r="BB60" s="141">
        <v>-134.66976592495283</v>
      </c>
      <c r="BC60" s="141">
        <v>-134.66976592495283</v>
      </c>
      <c r="BD60" s="141">
        <v>-134.66976592495283</v>
      </c>
      <c r="BE60" s="141">
        <v>-134.66976592495283</v>
      </c>
      <c r="BF60" s="144">
        <v>-134.66976592495283</v>
      </c>
      <c r="BG60" s="163"/>
      <c r="BH60" s="522" t="s">
        <v>2233</v>
      </c>
      <c r="BI60" s="141">
        <v>302.13492439883504</v>
      </c>
      <c r="BJ60" s="522" t="s">
        <v>2233</v>
      </c>
      <c r="BK60" s="141">
        <v>1175.638601653045</v>
      </c>
      <c r="BL60" s="522" t="s">
        <v>2233</v>
      </c>
      <c r="BM60" s="141">
        <v>219.62330702932505</v>
      </c>
      <c r="BN60" s="607" t="s">
        <v>627</v>
      </c>
      <c r="BO60" s="868">
        <v>0.98871247813202157</v>
      </c>
      <c r="BV60" s="185"/>
      <c r="BW60" s="522" t="s">
        <v>2233</v>
      </c>
      <c r="BX60" s="141">
        <v>142.0799719121226</v>
      </c>
      <c r="BY60" s="522" t="s">
        <v>2233</v>
      </c>
      <c r="BZ60" s="141">
        <v>552.84803580395283</v>
      </c>
      <c r="CA60" s="522" t="s">
        <v>2233</v>
      </c>
      <c r="CB60" s="141">
        <v>103.27860427278131</v>
      </c>
      <c r="CC60" s="607" t="s">
        <v>627</v>
      </c>
      <c r="CD60" s="872">
        <v>0.98999999999999988</v>
      </c>
    </row>
    <row r="61" spans="1:88" s="98" customFormat="1" ht="15" customHeight="1">
      <c r="A61" s="99"/>
      <c r="B61" s="161"/>
      <c r="C61" s="162"/>
      <c r="D61" s="162" t="s">
        <v>2718</v>
      </c>
      <c r="E61" s="162"/>
      <c r="F61" s="162"/>
      <c r="G61" s="163"/>
      <c r="H61" s="163"/>
      <c r="I61" s="2503"/>
      <c r="J61" s="2503"/>
      <c r="K61" s="2503"/>
      <c r="L61" s="2503"/>
      <c r="M61" s="2503"/>
      <c r="N61" s="2503"/>
      <c r="O61" s="2503"/>
      <c r="P61" s="2503"/>
      <c r="Q61" s="2503"/>
      <c r="R61" s="2503"/>
      <c r="S61" s="2503"/>
      <c r="T61" s="2503"/>
      <c r="U61" s="2503"/>
      <c r="V61" s="2503"/>
      <c r="X61" s="2503"/>
      <c r="Y61" s="2503"/>
      <c r="Z61" s="2503"/>
      <c r="AA61" s="2503"/>
      <c r="AB61" s="2503"/>
      <c r="AC61" s="2503"/>
      <c r="AD61" s="2503"/>
      <c r="AE61" s="2503"/>
      <c r="AF61" s="2503"/>
      <c r="AG61" s="2503"/>
      <c r="AH61" s="2503"/>
      <c r="AI61" s="2503"/>
      <c r="AJ61" s="2503"/>
      <c r="AK61" s="2503"/>
      <c r="AM61" s="164" t="s">
        <v>2233</v>
      </c>
      <c r="AN61" s="143">
        <v>-81.256101222840854</v>
      </c>
      <c r="AO61" s="141">
        <v>-100.86839617491808</v>
      </c>
      <c r="AP61" s="141">
        <v>-84.287171716190443</v>
      </c>
      <c r="AQ61" s="141">
        <v>-80.937694290130722</v>
      </c>
      <c r="AR61" s="141">
        <v>-92.643502038636299</v>
      </c>
      <c r="AS61" s="141">
        <v>-109.35899999999999</v>
      </c>
      <c r="AT61" s="141">
        <v>-91.010238551033012</v>
      </c>
      <c r="AU61" s="144">
        <v>-86.963913122019648</v>
      </c>
      <c r="AV61" s="143">
        <v>-87.538864084884267</v>
      </c>
      <c r="AW61" s="141">
        <v>-87.538864084884267</v>
      </c>
      <c r="AX61" s="141">
        <v>-87.538864084884267</v>
      </c>
      <c r="AY61" s="141">
        <v>-87.538864084884267</v>
      </c>
      <c r="AZ61" s="144">
        <v>-87.538864084884267</v>
      </c>
      <c r="BA61" s="143">
        <v>-73.845782273551521</v>
      </c>
      <c r="BB61" s="141">
        <v>-73.845782273551521</v>
      </c>
      <c r="BC61" s="141">
        <v>-73.845782273551521</v>
      </c>
      <c r="BD61" s="141">
        <v>-73.845782273551521</v>
      </c>
      <c r="BE61" s="141">
        <v>-73.845782273551521</v>
      </c>
      <c r="BF61" s="144">
        <v>-73.845782273551521</v>
      </c>
      <c r="BG61" s="163"/>
      <c r="BH61" s="522" t="s">
        <v>2233</v>
      </c>
      <c r="BI61" s="141">
        <v>129.46329751050408</v>
      </c>
      <c r="BJ61" s="522" t="s">
        <v>2233</v>
      </c>
      <c r="BK61" s="141">
        <v>503.75523568975399</v>
      </c>
      <c r="BL61" s="522" t="s">
        <v>2233</v>
      </c>
      <c r="BM61" s="141">
        <v>94.107483915513612</v>
      </c>
      <c r="BN61" s="607" t="s">
        <v>627</v>
      </c>
      <c r="BO61" s="868">
        <v>0.98871247813202157</v>
      </c>
      <c r="BV61" s="185"/>
      <c r="BW61" s="522" t="s">
        <v>2233</v>
      </c>
      <c r="BX61" s="141">
        <v>77.909147604086442</v>
      </c>
      <c r="BY61" s="522" t="s">
        <v>2233</v>
      </c>
      <c r="BZ61" s="141">
        <v>303.15264455935909</v>
      </c>
      <c r="CA61" s="522" t="s">
        <v>2233</v>
      </c>
      <c r="CB61" s="141">
        <v>56.632528260977352</v>
      </c>
      <c r="CC61" s="607" t="s">
        <v>627</v>
      </c>
      <c r="CD61" s="872">
        <v>0.98999999999999988</v>
      </c>
    </row>
    <row r="62" spans="1:88" s="98" customFormat="1" ht="15" customHeight="1">
      <c r="A62" s="99"/>
      <c r="B62" s="161"/>
      <c r="C62" s="162"/>
      <c r="D62" s="162" t="s">
        <v>2719</v>
      </c>
      <c r="E62" s="162"/>
      <c r="F62" s="162"/>
      <c r="G62" s="163"/>
      <c r="H62" s="163"/>
      <c r="I62" s="2503"/>
      <c r="J62" s="2503"/>
      <c r="K62" s="2503"/>
      <c r="L62" s="2503"/>
      <c r="M62" s="2503"/>
      <c r="N62" s="2503"/>
      <c r="O62" s="2503"/>
      <c r="P62" s="2503"/>
      <c r="Q62" s="2503"/>
      <c r="R62" s="2503"/>
      <c r="S62" s="2503"/>
      <c r="T62" s="2503"/>
      <c r="U62" s="2503"/>
      <c r="V62" s="2503"/>
      <c r="X62" s="2503"/>
      <c r="Y62" s="2503"/>
      <c r="Z62" s="2503"/>
      <c r="AA62" s="2503"/>
      <c r="AB62" s="2503"/>
      <c r="AC62" s="2503"/>
      <c r="AD62" s="2503"/>
      <c r="AE62" s="2503"/>
      <c r="AF62" s="2503"/>
      <c r="AG62" s="2503"/>
      <c r="AH62" s="2503"/>
      <c r="AI62" s="2503"/>
      <c r="AJ62" s="2503"/>
      <c r="AK62" s="2503"/>
      <c r="AM62" s="164" t="s">
        <v>2233</v>
      </c>
      <c r="AN62" s="143">
        <v>-33.283299961052265</v>
      </c>
      <c r="AO62" s="141">
        <v>-38.813087746930535</v>
      </c>
      <c r="AP62" s="141">
        <v>-34.384956875369767</v>
      </c>
      <c r="AQ62" s="141">
        <v>-28.731402525528146</v>
      </c>
      <c r="AR62" s="141">
        <v>-34.541082950266826</v>
      </c>
      <c r="AS62" s="141">
        <v>-39.338999999999999</v>
      </c>
      <c r="AT62" s="141">
        <v>-34.601140159391157</v>
      </c>
      <c r="AU62" s="144">
        <v>-32.626834376941858</v>
      </c>
      <c r="AV62" s="143">
        <v>-46.309719992281281</v>
      </c>
      <c r="AW62" s="141">
        <v>-46.309719992281281</v>
      </c>
      <c r="AX62" s="141">
        <v>-46.309719992281281</v>
      </c>
      <c r="AY62" s="141">
        <v>-46.309719992281281</v>
      </c>
      <c r="AZ62" s="144">
        <v>-46.309719992281281</v>
      </c>
      <c r="BA62" s="143">
        <v>-39.065819912662633</v>
      </c>
      <c r="BB62" s="141">
        <v>-39.065819912662633</v>
      </c>
      <c r="BC62" s="141">
        <v>-39.065819912662633</v>
      </c>
      <c r="BD62" s="141">
        <v>-39.065819912662633</v>
      </c>
      <c r="BE62" s="141">
        <v>-39.065819912662633</v>
      </c>
      <c r="BF62" s="144">
        <v>-39.065819912662633</v>
      </c>
      <c r="BG62" s="163"/>
      <c r="BH62" s="522" t="s">
        <v>2233</v>
      </c>
      <c r="BI62" s="141">
        <v>49.184824537896972</v>
      </c>
      <c r="BJ62" s="522" t="s">
        <v>2233</v>
      </c>
      <c r="BK62" s="141">
        <v>191.38329823120088</v>
      </c>
      <c r="BL62" s="522" t="s">
        <v>2233</v>
      </c>
      <c r="BM62" s="141">
        <v>35.75268182638365</v>
      </c>
      <c r="BN62" s="607" t="s">
        <v>627</v>
      </c>
      <c r="BO62" s="868">
        <v>0.98871247813202157</v>
      </c>
      <c r="BV62" s="185"/>
      <c r="BW62" s="522" t="s">
        <v>2233</v>
      </c>
      <c r="BX62" s="141">
        <v>41.215417267512343</v>
      </c>
      <c r="BY62" s="522" t="s">
        <v>2233</v>
      </c>
      <c r="BZ62" s="141">
        <v>160.37350074419865</v>
      </c>
      <c r="CA62" s="522" t="s">
        <v>2233</v>
      </c>
      <c r="CB62" s="141">
        <v>29.959681949696218</v>
      </c>
      <c r="CC62" s="607" t="s">
        <v>627</v>
      </c>
      <c r="CD62" s="872">
        <v>0.98999999999999988</v>
      </c>
    </row>
    <row r="63" spans="1:88" s="98" customFormat="1" ht="15" customHeight="1">
      <c r="A63" s="99"/>
      <c r="B63" s="161"/>
      <c r="C63" s="162" t="s">
        <v>1710</v>
      </c>
      <c r="D63" s="162"/>
      <c r="E63" s="162"/>
      <c r="F63" s="162"/>
      <c r="G63" s="163"/>
      <c r="H63" s="163"/>
      <c r="I63" s="2503"/>
      <c r="J63" s="2503"/>
      <c r="K63" s="2503"/>
      <c r="L63" s="2503"/>
      <c r="M63" s="2503"/>
      <c r="N63" s="2503"/>
      <c r="O63" s="2503"/>
      <c r="P63" s="2503"/>
      <c r="Q63" s="2503"/>
      <c r="R63" s="2503"/>
      <c r="S63" s="2503"/>
      <c r="T63" s="2503"/>
      <c r="U63" s="2503"/>
      <c r="V63" s="2503"/>
      <c r="X63" s="2503"/>
      <c r="Y63" s="2503"/>
      <c r="Z63" s="2503"/>
      <c r="AA63" s="2503"/>
      <c r="AB63" s="2503"/>
      <c r="AC63" s="2503"/>
      <c r="AD63" s="2503"/>
      <c r="AE63" s="2503"/>
      <c r="AF63" s="2503"/>
      <c r="AG63" s="2503"/>
      <c r="AH63" s="2503"/>
      <c r="AI63" s="2503"/>
      <c r="AJ63" s="2503"/>
      <c r="AK63" s="2503"/>
      <c r="AM63" s="164" t="s">
        <v>2233</v>
      </c>
      <c r="AN63" s="641">
        <f>SUM(AN59:AN62)</f>
        <v>-350.43474871602155</v>
      </c>
      <c r="AO63" s="642">
        <f t="shared" ref="AO63:BF63" si="87">SUM(AO59:AO62)</f>
        <v>-398.97468569448102</v>
      </c>
      <c r="AP63" s="642">
        <f t="shared" si="87"/>
        <v>-373.31242267286768</v>
      </c>
      <c r="AQ63" s="642">
        <f t="shared" si="87"/>
        <v>-350.6423057775591</v>
      </c>
      <c r="AR63" s="642">
        <f t="shared" si="87"/>
        <v>-378.38644434944604</v>
      </c>
      <c r="AS63" s="642">
        <f t="shared" si="87"/>
        <v>-369.01299999999998</v>
      </c>
      <c r="AT63" s="642">
        <f t="shared" si="87"/>
        <v>-368.24560253637839</v>
      </c>
      <c r="AU63" s="643">
        <f t="shared" si="87"/>
        <v>-345.76922101272993</v>
      </c>
      <c r="AV63" s="641">
        <f t="shared" si="87"/>
        <v>-305.09772058533582</v>
      </c>
      <c r="AW63" s="642">
        <f t="shared" si="87"/>
        <v>-305.09772058533582</v>
      </c>
      <c r="AX63" s="642">
        <f t="shared" si="87"/>
        <v>-305.09772058533582</v>
      </c>
      <c r="AY63" s="642">
        <f t="shared" si="87"/>
        <v>-305.09772058533582</v>
      </c>
      <c r="AZ63" s="643">
        <f t="shared" si="87"/>
        <v>-305.09772058533582</v>
      </c>
      <c r="BA63" s="641">
        <f t="shared" si="87"/>
        <v>-257.37345443110399</v>
      </c>
      <c r="BB63" s="642">
        <f t="shared" si="87"/>
        <v>-257.37345443110399</v>
      </c>
      <c r="BC63" s="642">
        <f t="shared" si="87"/>
        <v>-257.37345443110399</v>
      </c>
      <c r="BD63" s="642">
        <f t="shared" si="87"/>
        <v>-257.37345443110399</v>
      </c>
      <c r="BE63" s="642">
        <f t="shared" si="87"/>
        <v>-257.37345443110399</v>
      </c>
      <c r="BF63" s="643">
        <f t="shared" si="87"/>
        <v>-257.37345443110399</v>
      </c>
      <c r="BG63" s="163"/>
      <c r="BH63" s="522" t="s">
        <v>2233</v>
      </c>
      <c r="BI63" s="642">
        <f>SUM(BI59:BI62)</f>
        <v>522.38760083890816</v>
      </c>
      <c r="BJ63" s="522" t="s">
        <v>2233</v>
      </c>
      <c r="BK63" s="642">
        <f>SUM(BK59:BK62)</f>
        <v>2032.6648095817125</v>
      </c>
      <c r="BL63" s="522" t="s">
        <v>2233</v>
      </c>
      <c r="BM63" s="642">
        <f>SUM(BM59:BM62)</f>
        <v>379.72602033887352</v>
      </c>
      <c r="BN63" s="607" t="s">
        <v>627</v>
      </c>
      <c r="BO63" s="868"/>
      <c r="BV63" s="185"/>
      <c r="BW63" s="522" t="s">
        <v>2233</v>
      </c>
      <c r="BX63" s="642">
        <f>SUM(BX59:BX62)</f>
        <v>271.53543280735471</v>
      </c>
      <c r="BY63" s="522" t="s">
        <v>2233</v>
      </c>
      <c r="BZ63" s="642">
        <f>SUM(BZ59:BZ62)</f>
        <v>1056.5727784037792</v>
      </c>
      <c r="CA63" s="522" t="s">
        <v>2233</v>
      </c>
      <c r="CB63" s="642">
        <f>SUM(CB59:CB62)</f>
        <v>197.38039171555062</v>
      </c>
      <c r="CC63" s="607" t="s">
        <v>627</v>
      </c>
      <c r="CD63" s="872">
        <v>0</v>
      </c>
    </row>
    <row r="64" spans="1:88" s="98" customFormat="1" ht="15" customHeight="1">
      <c r="A64" s="99"/>
      <c r="B64" s="123"/>
      <c r="C64" s="127"/>
      <c r="D64" s="127"/>
      <c r="E64" s="127"/>
      <c r="F64" s="127"/>
      <c r="G64" s="117"/>
      <c r="H64" s="117"/>
      <c r="I64" s="2503"/>
      <c r="J64" s="2503"/>
      <c r="K64" s="2503"/>
      <c r="L64" s="2503"/>
      <c r="M64" s="2503"/>
      <c r="N64" s="2503"/>
      <c r="O64" s="2503"/>
      <c r="P64" s="2503"/>
      <c r="Q64" s="2503"/>
      <c r="R64" s="2503"/>
      <c r="S64" s="2503"/>
      <c r="T64" s="2503"/>
      <c r="U64" s="2503"/>
      <c r="V64" s="2503"/>
      <c r="X64" s="2503"/>
      <c r="Y64" s="2503"/>
      <c r="Z64" s="2503"/>
      <c r="AA64" s="2503"/>
      <c r="AB64" s="2503"/>
      <c r="AC64" s="2503"/>
      <c r="AD64" s="2503"/>
      <c r="AE64" s="2503"/>
      <c r="AF64" s="2503"/>
      <c r="AG64" s="2503"/>
      <c r="AH64" s="2503"/>
      <c r="AI64" s="2503"/>
      <c r="AJ64" s="2503"/>
      <c r="AK64" s="2503"/>
      <c r="AM64" s="117"/>
      <c r="AN64" s="713"/>
      <c r="AO64" s="721"/>
      <c r="AP64" s="721"/>
      <c r="AQ64" s="721"/>
      <c r="AR64" s="721"/>
      <c r="AS64" s="721"/>
      <c r="AT64" s="721"/>
      <c r="AU64" s="715"/>
      <c r="AV64" s="713"/>
      <c r="AW64" s="721"/>
      <c r="AX64" s="721"/>
      <c r="AY64" s="721"/>
      <c r="AZ64" s="715"/>
      <c r="BA64" s="713"/>
      <c r="BB64" s="721"/>
      <c r="BC64" s="721"/>
      <c r="BD64" s="721"/>
      <c r="BE64" s="721"/>
      <c r="BF64" s="715"/>
      <c r="BG64" s="117"/>
      <c r="BH64" s="530"/>
      <c r="BI64" s="700"/>
      <c r="BJ64" s="530"/>
      <c r="BK64" s="700"/>
      <c r="BL64" s="530"/>
      <c r="BM64" s="700"/>
      <c r="BN64" s="530"/>
      <c r="BO64" s="530"/>
      <c r="BV64" s="530"/>
      <c r="BW64" s="530"/>
      <c r="BX64" s="700"/>
      <c r="BY64" s="530"/>
      <c r="BZ64" s="700"/>
      <c r="CA64" s="530"/>
      <c r="CB64" s="700"/>
      <c r="CC64" s="530"/>
      <c r="CD64" s="544"/>
    </row>
    <row r="65" spans="1:82" s="98" customFormat="1" ht="15" customHeight="1">
      <c r="A65" s="99"/>
      <c r="B65" s="161"/>
      <c r="C65" s="116" t="s">
        <v>2720</v>
      </c>
      <c r="D65" s="116"/>
      <c r="E65" s="116"/>
      <c r="F65" s="116"/>
      <c r="G65" s="117"/>
      <c r="H65" s="117"/>
      <c r="I65" s="2503"/>
      <c r="J65" s="2503"/>
      <c r="K65" s="2503"/>
      <c r="L65" s="2503"/>
      <c r="M65" s="2503"/>
      <c r="N65" s="2503"/>
      <c r="O65" s="2503"/>
      <c r="P65" s="2503"/>
      <c r="Q65" s="2503"/>
      <c r="R65" s="2503"/>
      <c r="S65" s="2503"/>
      <c r="T65" s="2503"/>
      <c r="U65" s="2503"/>
      <c r="V65" s="2503"/>
      <c r="X65" s="2503"/>
      <c r="Y65" s="2503"/>
      <c r="Z65" s="2503"/>
      <c r="AA65" s="2503"/>
      <c r="AB65" s="2503"/>
      <c r="AC65" s="2503"/>
      <c r="AD65" s="2503"/>
      <c r="AE65" s="2503"/>
      <c r="AF65" s="2503"/>
      <c r="AG65" s="2503"/>
      <c r="AH65" s="2503"/>
      <c r="AI65" s="2503"/>
      <c r="AJ65" s="2503"/>
      <c r="AK65" s="2503"/>
      <c r="AM65" s="117"/>
      <c r="AN65" s="713"/>
      <c r="AO65" s="721"/>
      <c r="AP65" s="721"/>
      <c r="AQ65" s="721"/>
      <c r="AR65" s="721"/>
      <c r="AS65" s="721"/>
      <c r="AT65" s="721"/>
      <c r="AU65" s="715"/>
      <c r="AV65" s="713"/>
      <c r="AW65" s="721"/>
      <c r="AX65" s="721"/>
      <c r="AY65" s="721"/>
      <c r="AZ65" s="715"/>
      <c r="BA65" s="713"/>
      <c r="BB65" s="721"/>
      <c r="BC65" s="721"/>
      <c r="BD65" s="721"/>
      <c r="BE65" s="721"/>
      <c r="BF65" s="715"/>
      <c r="BG65" s="117"/>
      <c r="BH65" s="530"/>
      <c r="BI65" s="700"/>
      <c r="BJ65" s="530"/>
      <c r="BK65" s="700"/>
      <c r="BL65" s="530"/>
      <c r="BM65" s="700"/>
      <c r="BN65" s="530"/>
      <c r="BO65" s="530"/>
      <c r="BV65" s="530"/>
      <c r="BW65" s="530"/>
      <c r="BX65" s="700"/>
      <c r="BY65" s="530"/>
      <c r="BZ65" s="700"/>
      <c r="CA65" s="530"/>
      <c r="CB65" s="700"/>
      <c r="CC65" s="530"/>
      <c r="CD65" s="544"/>
    </row>
    <row r="66" spans="1:82" s="98" customFormat="1" ht="15" customHeight="1">
      <c r="A66" s="99"/>
      <c r="B66" s="161"/>
      <c r="C66" s="162"/>
      <c r="D66" s="162" t="s">
        <v>2716</v>
      </c>
      <c r="E66" s="162"/>
      <c r="F66" s="162"/>
      <c r="G66" s="163"/>
      <c r="H66" s="163"/>
      <c r="I66" s="2503"/>
      <c r="J66" s="2503"/>
      <c r="K66" s="2503"/>
      <c r="L66" s="2503"/>
      <c r="M66" s="2503"/>
      <c r="N66" s="2503"/>
      <c r="O66" s="2503"/>
      <c r="P66" s="2503"/>
      <c r="Q66" s="2503"/>
      <c r="R66" s="2503"/>
      <c r="S66" s="2503"/>
      <c r="T66" s="2503"/>
      <c r="U66" s="2503"/>
      <c r="V66" s="2503"/>
      <c r="X66" s="2503"/>
      <c r="Y66" s="2503"/>
      <c r="Z66" s="2503"/>
      <c r="AA66" s="2503"/>
      <c r="AB66" s="2503"/>
      <c r="AC66" s="2503"/>
      <c r="AD66" s="2503"/>
      <c r="AE66" s="2503"/>
      <c r="AF66" s="2503"/>
      <c r="AG66" s="2503"/>
      <c r="AH66" s="2503"/>
      <c r="AI66" s="2503"/>
      <c r="AJ66" s="2503"/>
      <c r="AK66" s="2503"/>
      <c r="AM66" s="164" t="s">
        <v>2233</v>
      </c>
      <c r="AN66" s="143">
        <v>0</v>
      </c>
      <c r="AO66" s="141">
        <v>-1.6E-2</v>
      </c>
      <c r="AP66" s="141">
        <v>0</v>
      </c>
      <c r="AQ66" s="141">
        <v>0</v>
      </c>
      <c r="AR66" s="141">
        <v>0</v>
      </c>
      <c r="AS66" s="141">
        <v>0</v>
      </c>
      <c r="AT66" s="141">
        <v>-1.6026034520664955E-3</v>
      </c>
      <c r="AU66" s="144">
        <v>-1.1089642714424699E-3</v>
      </c>
      <c r="AV66" s="143">
        <v>-0.18723715819794354</v>
      </c>
      <c r="AW66" s="141">
        <v>-0.18723715819794354</v>
      </c>
      <c r="AX66" s="141">
        <v>-0.18723715819794354</v>
      </c>
      <c r="AY66" s="141">
        <v>-0.18723715819794354</v>
      </c>
      <c r="AZ66" s="144">
        <v>-0.18723715819794354</v>
      </c>
      <c r="BA66" s="143">
        <v>-0.18723715819794354</v>
      </c>
      <c r="BB66" s="141">
        <v>-0.18723715819794354</v>
      </c>
      <c r="BC66" s="141">
        <v>-0.18723715819794354</v>
      </c>
      <c r="BD66" s="141">
        <v>-0.18723715819794354</v>
      </c>
      <c r="BE66" s="141">
        <v>-0.18723715819794354</v>
      </c>
      <c r="BF66" s="144">
        <v>-0.18723715819794354</v>
      </c>
      <c r="BG66" s="163"/>
      <c r="BH66" s="522" t="s">
        <v>2233</v>
      </c>
      <c r="BI66" s="141">
        <v>5.1820689257951295E-3</v>
      </c>
      <c r="BJ66" s="522" t="s">
        <v>2233</v>
      </c>
      <c r="BK66" s="141">
        <v>1.0191429363449809E-2</v>
      </c>
      <c r="BL66" s="522" t="s">
        <v>2233</v>
      </c>
      <c r="BM66" s="141">
        <v>3.3380694342640331E-3</v>
      </c>
      <c r="BN66" s="607" t="s">
        <v>627</v>
      </c>
      <c r="BO66" s="868">
        <v>0.98871247813202157</v>
      </c>
      <c r="BV66" s="185"/>
      <c r="BW66" s="522" t="s">
        <v>2233</v>
      </c>
      <c r="BX66" s="141">
        <v>0.25927166381486794</v>
      </c>
      <c r="BY66" s="522" t="s">
        <v>2233</v>
      </c>
      <c r="BZ66" s="141">
        <v>0.50990229685296862</v>
      </c>
      <c r="CA66" s="522" t="s">
        <v>2233</v>
      </c>
      <c r="CB66" s="141">
        <v>0.16701183032188147</v>
      </c>
      <c r="CC66" s="607" t="s">
        <v>627</v>
      </c>
      <c r="CD66" s="872">
        <v>0.98999999999999988</v>
      </c>
    </row>
    <row r="67" spans="1:82" s="98" customFormat="1" ht="15" customHeight="1">
      <c r="A67" s="99"/>
      <c r="B67" s="161"/>
      <c r="C67" s="162"/>
      <c r="D67" s="162" t="s">
        <v>2717</v>
      </c>
      <c r="E67" s="162"/>
      <c r="F67" s="162"/>
      <c r="G67" s="163"/>
      <c r="H67" s="163"/>
      <c r="I67" s="2503"/>
      <c r="J67" s="2503"/>
      <c r="K67" s="2503"/>
      <c r="L67" s="2503"/>
      <c r="M67" s="2503"/>
      <c r="N67" s="2503"/>
      <c r="O67" s="2503"/>
      <c r="P67" s="2503"/>
      <c r="Q67" s="2503"/>
      <c r="R67" s="2503"/>
      <c r="S67" s="2503"/>
      <c r="T67" s="2503"/>
      <c r="U67" s="2503"/>
      <c r="V67" s="2503"/>
      <c r="X67" s="2503"/>
      <c r="Y67" s="2503"/>
      <c r="Z67" s="2503"/>
      <c r="AA67" s="2503"/>
      <c r="AB67" s="2503"/>
      <c r="AC67" s="2503"/>
      <c r="AD67" s="2503"/>
      <c r="AE67" s="2503"/>
      <c r="AF67" s="2503"/>
      <c r="AG67" s="2503"/>
      <c r="AH67" s="2503"/>
      <c r="AI67" s="2503"/>
      <c r="AJ67" s="2503"/>
      <c r="AK67" s="2503"/>
      <c r="AM67" s="164" t="s">
        <v>2233</v>
      </c>
      <c r="AN67" s="143">
        <v>-3.0000000000000001E-3</v>
      </c>
      <c r="AO67" s="141">
        <v>-4.4999999999999998E-2</v>
      </c>
      <c r="AP67" s="141">
        <v>0</v>
      </c>
      <c r="AQ67" s="141">
        <v>0</v>
      </c>
      <c r="AR67" s="141">
        <v>0</v>
      </c>
      <c r="AS67" s="141">
        <v>0</v>
      </c>
      <c r="AT67" s="141">
        <v>-4.8005671028275541E-3</v>
      </c>
      <c r="AU67" s="144">
        <v>-3.3218806516566507E-3</v>
      </c>
      <c r="AV67" s="143">
        <v>-2.5750573925835925</v>
      </c>
      <c r="AW67" s="141">
        <v>-2.5750573925835925</v>
      </c>
      <c r="AX67" s="141">
        <v>-2.5750573925835925</v>
      </c>
      <c r="AY67" s="141">
        <v>-2.5750573925835925</v>
      </c>
      <c r="AZ67" s="144">
        <v>-2.5750573925835925</v>
      </c>
      <c r="BA67" s="143">
        <v>-2.5750573925835925</v>
      </c>
      <c r="BB67" s="141">
        <v>-2.5750573925835925</v>
      </c>
      <c r="BC67" s="141">
        <v>-2.5750573925835925</v>
      </c>
      <c r="BD67" s="141">
        <v>-2.5750573925835925</v>
      </c>
      <c r="BE67" s="141">
        <v>-2.5750573925835925</v>
      </c>
      <c r="BF67" s="144">
        <v>-2.5750573925835925</v>
      </c>
      <c r="BG67" s="163"/>
      <c r="BH67" s="522" t="s">
        <v>2233</v>
      </c>
      <c r="BI67" s="141">
        <v>1.5542812705248521E-2</v>
      </c>
      <c r="BJ67" s="522" t="s">
        <v>2233</v>
      </c>
      <c r="BK67" s="141">
        <v>3.0567613064036062E-2</v>
      </c>
      <c r="BL67" s="522" t="s">
        <v>2233</v>
      </c>
      <c r="BM67" s="141">
        <v>1.0012021985199647E-2</v>
      </c>
      <c r="BN67" s="607" t="s">
        <v>627</v>
      </c>
      <c r="BO67" s="868">
        <v>0.98871247813202157</v>
      </c>
      <c r="BV67" s="185"/>
      <c r="BW67" s="522" t="s">
        <v>2233</v>
      </c>
      <c r="BX67" s="141">
        <v>3.5657420835671298</v>
      </c>
      <c r="BY67" s="522" t="s">
        <v>2233</v>
      </c>
      <c r="BZ67" s="141">
        <v>7.0126447743801075</v>
      </c>
      <c r="CA67" s="522" t="s">
        <v>2233</v>
      </c>
      <c r="CB67" s="141">
        <v>2.2969001049707285</v>
      </c>
      <c r="CC67" s="607" t="s">
        <v>627</v>
      </c>
      <c r="CD67" s="872">
        <v>0.98999999999999988</v>
      </c>
    </row>
    <row r="68" spans="1:82" s="98" customFormat="1" ht="15" customHeight="1">
      <c r="A68" s="99"/>
      <c r="B68" s="161"/>
      <c r="C68" s="162"/>
      <c r="D68" s="162" t="s">
        <v>2718</v>
      </c>
      <c r="E68" s="162"/>
      <c r="F68" s="162"/>
      <c r="G68" s="163"/>
      <c r="H68" s="163"/>
      <c r="I68" s="2503"/>
      <c r="J68" s="2503"/>
      <c r="K68" s="2503"/>
      <c r="L68" s="2503"/>
      <c r="M68" s="2503"/>
      <c r="N68" s="2503"/>
      <c r="O68" s="2503"/>
      <c r="P68" s="2503"/>
      <c r="Q68" s="2503"/>
      <c r="R68" s="2503"/>
      <c r="S68" s="2503"/>
      <c r="T68" s="2503"/>
      <c r="U68" s="2503"/>
      <c r="V68" s="2503"/>
      <c r="X68" s="2503"/>
      <c r="Y68" s="2503"/>
      <c r="Z68" s="2503"/>
      <c r="AA68" s="2503"/>
      <c r="AB68" s="2503"/>
      <c r="AC68" s="2503"/>
      <c r="AD68" s="2503"/>
      <c r="AE68" s="2503"/>
      <c r="AF68" s="2503"/>
      <c r="AG68" s="2503"/>
      <c r="AH68" s="2503"/>
      <c r="AI68" s="2503"/>
      <c r="AJ68" s="2503"/>
      <c r="AK68" s="2503"/>
      <c r="AM68" s="164" t="s">
        <v>2233</v>
      </c>
      <c r="AN68" s="143">
        <v>-6.1509999999999998</v>
      </c>
      <c r="AO68" s="141">
        <v>-2.6779999999999999</v>
      </c>
      <c r="AP68" s="141">
        <v>-1.827</v>
      </c>
      <c r="AQ68" s="141">
        <v>-1.0189999999999999</v>
      </c>
      <c r="AR68" s="141">
        <v>-0.79</v>
      </c>
      <c r="AS68" s="141">
        <v>-2.3359999999999999</v>
      </c>
      <c r="AT68" s="141">
        <v>-2.1609532397462052</v>
      </c>
      <c r="AU68" s="144">
        <v>-1.7031476494542541</v>
      </c>
      <c r="AV68" s="143">
        <v>-1.4120253811133507</v>
      </c>
      <c r="AW68" s="141">
        <v>-1.4120253811133507</v>
      </c>
      <c r="AX68" s="141">
        <v>-1.4120253811133507</v>
      </c>
      <c r="AY68" s="141">
        <v>-1.4120253811133507</v>
      </c>
      <c r="AZ68" s="144">
        <v>-1.4120253811133507</v>
      </c>
      <c r="BA68" s="143">
        <v>-1.4120253811133507</v>
      </c>
      <c r="BB68" s="141">
        <v>-1.4120253811133507</v>
      </c>
      <c r="BC68" s="141">
        <v>-1.4120253811133507</v>
      </c>
      <c r="BD68" s="141">
        <v>-1.4120253811133507</v>
      </c>
      <c r="BE68" s="141">
        <v>-1.4120253811133507</v>
      </c>
      <c r="BF68" s="144">
        <v>-1.4120253811133507</v>
      </c>
      <c r="BG68" s="163"/>
      <c r="BH68" s="522" t="s">
        <v>2233</v>
      </c>
      <c r="BI68" s="141">
        <v>5.1692001837576758</v>
      </c>
      <c r="BJ68" s="522" t="s">
        <v>2233</v>
      </c>
      <c r="BK68" s="141">
        <v>10.166120770038724</v>
      </c>
      <c r="BL68" s="522" t="s">
        <v>2233</v>
      </c>
      <c r="BM68" s="141">
        <v>3.3297799354040656</v>
      </c>
      <c r="BN68" s="607" t="s">
        <v>627</v>
      </c>
      <c r="BO68" s="868">
        <v>0.98871247813202157</v>
      </c>
      <c r="BV68" s="185"/>
      <c r="BW68" s="522" t="s">
        <v>2233</v>
      </c>
      <c r="BX68" s="141">
        <v>1.9552645075025623</v>
      </c>
      <c r="BY68" s="522" t="s">
        <v>2233</v>
      </c>
      <c r="BZ68" s="141">
        <v>3.8453637727358636</v>
      </c>
      <c r="CA68" s="522" t="s">
        <v>2233</v>
      </c>
      <c r="CB68" s="141">
        <v>1.25949862532833</v>
      </c>
      <c r="CC68" s="607" t="s">
        <v>627</v>
      </c>
      <c r="CD68" s="872">
        <v>0.98999999999999988</v>
      </c>
    </row>
    <row r="69" spans="1:82" s="98" customFormat="1" ht="15" customHeight="1">
      <c r="A69" s="99"/>
      <c r="B69" s="161"/>
      <c r="C69" s="162"/>
      <c r="D69" s="162" t="s">
        <v>2719</v>
      </c>
      <c r="E69" s="162"/>
      <c r="F69" s="162"/>
      <c r="G69" s="163"/>
      <c r="H69" s="163"/>
      <c r="I69" s="2503"/>
      <c r="J69" s="2503"/>
      <c r="K69" s="2503"/>
      <c r="L69" s="2503"/>
      <c r="M69" s="2503"/>
      <c r="N69" s="2503"/>
      <c r="O69" s="2503"/>
      <c r="P69" s="2503"/>
      <c r="Q69" s="2503"/>
      <c r="R69" s="2503"/>
      <c r="S69" s="2503"/>
      <c r="T69" s="2503"/>
      <c r="U69" s="2503"/>
      <c r="V69" s="2503"/>
      <c r="X69" s="2503"/>
      <c r="Y69" s="2503"/>
      <c r="Z69" s="2503"/>
      <c r="AA69" s="2503"/>
      <c r="AB69" s="2503"/>
      <c r="AC69" s="2503"/>
      <c r="AD69" s="2503"/>
      <c r="AE69" s="2503"/>
      <c r="AF69" s="2503"/>
      <c r="AG69" s="2503"/>
      <c r="AH69" s="2503"/>
      <c r="AI69" s="2503"/>
      <c r="AJ69" s="2503"/>
      <c r="AK69" s="2503"/>
      <c r="AM69" s="164" t="s">
        <v>2233</v>
      </c>
      <c r="AN69" s="143">
        <v>-0.17249999999999999</v>
      </c>
      <c r="AO69" s="141">
        <v>-3.4350000000000001</v>
      </c>
      <c r="AP69" s="141">
        <v>-2.95</v>
      </c>
      <c r="AQ69" s="141">
        <v>-1.9179999999999999</v>
      </c>
      <c r="AR69" s="141">
        <v>-0.22</v>
      </c>
      <c r="AS69" s="141">
        <v>-1.6890000000000001</v>
      </c>
      <c r="AT69" s="141">
        <v>-1.5430712320958542</v>
      </c>
      <c r="AU69" s="144">
        <v>-1.2885039863734131</v>
      </c>
      <c r="AV69" s="143">
        <v>-0.74698821723281661</v>
      </c>
      <c r="AW69" s="141">
        <v>-0.74698821723281661</v>
      </c>
      <c r="AX69" s="141">
        <v>-0.74698821723281661</v>
      </c>
      <c r="AY69" s="141">
        <v>-0.74698821723281661</v>
      </c>
      <c r="AZ69" s="144">
        <v>-0.74698821723281661</v>
      </c>
      <c r="BA69" s="143">
        <v>-0.74698821723281661</v>
      </c>
      <c r="BB69" s="141">
        <v>-0.74698821723281661</v>
      </c>
      <c r="BC69" s="141">
        <v>-0.74698821723281661</v>
      </c>
      <c r="BD69" s="141">
        <v>-0.74698821723281661</v>
      </c>
      <c r="BE69" s="141">
        <v>-0.74698821723281661</v>
      </c>
      <c r="BF69" s="144">
        <v>-0.74698821723281661</v>
      </c>
      <c r="BG69" s="163"/>
      <c r="BH69" s="522" t="s">
        <v>2233</v>
      </c>
      <c r="BI69" s="141">
        <v>3.6601215741295161</v>
      </c>
      <c r="BJ69" s="522" t="s">
        <v>2233</v>
      </c>
      <c r="BK69" s="141">
        <v>7.1982582668284634</v>
      </c>
      <c r="BL69" s="522" t="s">
        <v>2233</v>
      </c>
      <c r="BM69" s="141">
        <v>2.3576953775112943</v>
      </c>
      <c r="BN69" s="607" t="s">
        <v>627</v>
      </c>
      <c r="BO69" s="868">
        <v>0.98871247813202157</v>
      </c>
      <c r="BV69" s="185"/>
      <c r="BW69" s="522" t="s">
        <v>2233</v>
      </c>
      <c r="BX69" s="141">
        <v>1.0343720220711057</v>
      </c>
      <c r="BY69" s="522" t="s">
        <v>2233</v>
      </c>
      <c r="BZ69" s="141">
        <v>2.034270394589341</v>
      </c>
      <c r="CA69" s="522" t="s">
        <v>2233</v>
      </c>
      <c r="CB69" s="141">
        <v>0.6662986695036377</v>
      </c>
      <c r="CC69" s="607" t="s">
        <v>627</v>
      </c>
      <c r="CD69" s="872">
        <v>0.98999999999999988</v>
      </c>
    </row>
    <row r="70" spans="1:82" s="98" customFormat="1" ht="15" customHeight="1">
      <c r="A70" s="99"/>
      <c r="B70" s="161"/>
      <c r="C70" s="162" t="s">
        <v>1710</v>
      </c>
      <c r="D70" s="162"/>
      <c r="E70" s="162"/>
      <c r="F70" s="162"/>
      <c r="G70" s="163"/>
      <c r="H70" s="163"/>
      <c r="I70" s="2503"/>
      <c r="J70" s="2503"/>
      <c r="K70" s="2503"/>
      <c r="L70" s="2503"/>
      <c r="M70" s="2503"/>
      <c r="N70" s="2503"/>
      <c r="O70" s="2503"/>
      <c r="P70" s="2503"/>
      <c r="Q70" s="2503"/>
      <c r="R70" s="2503"/>
      <c r="S70" s="2503"/>
      <c r="T70" s="2503"/>
      <c r="U70" s="2503"/>
      <c r="V70" s="2503"/>
      <c r="X70" s="2503"/>
      <c r="Y70" s="2503"/>
      <c r="Z70" s="2503"/>
      <c r="AA70" s="2503"/>
      <c r="AB70" s="2503"/>
      <c r="AC70" s="2503"/>
      <c r="AD70" s="2503"/>
      <c r="AE70" s="2503"/>
      <c r="AF70" s="2503"/>
      <c r="AG70" s="2503"/>
      <c r="AH70" s="2503"/>
      <c r="AI70" s="2503"/>
      <c r="AJ70" s="2503"/>
      <c r="AK70" s="2503"/>
      <c r="AM70" s="164" t="s">
        <v>2233</v>
      </c>
      <c r="AN70" s="641">
        <f>SUM(AN66:AN69)</f>
        <v>-6.3265000000000002</v>
      </c>
      <c r="AO70" s="642">
        <f t="shared" ref="AO70" si="88">SUM(AO66:AO69)</f>
        <v>-6.1739999999999995</v>
      </c>
      <c r="AP70" s="642">
        <f t="shared" ref="AP70" si="89">SUM(AP66:AP69)</f>
        <v>-4.7770000000000001</v>
      </c>
      <c r="AQ70" s="642">
        <f t="shared" ref="AQ70" si="90">SUM(AQ66:AQ69)</f>
        <v>-2.9369999999999998</v>
      </c>
      <c r="AR70" s="642">
        <f t="shared" ref="AR70" si="91">SUM(AR66:AR69)</f>
        <v>-1.01</v>
      </c>
      <c r="AS70" s="642">
        <f t="shared" ref="AS70" si="92">SUM(AS66:AS69)</f>
        <v>-4.0250000000000004</v>
      </c>
      <c r="AT70" s="642">
        <f t="shared" ref="AT70" si="93">SUM(AT66:AT69)</f>
        <v>-3.7104276423969536</v>
      </c>
      <c r="AU70" s="643">
        <f t="shared" ref="AU70" si="94">SUM(AU66:AU69)</f>
        <v>-2.9960824807507667</v>
      </c>
      <c r="AV70" s="641">
        <f t="shared" ref="AV70" si="95">SUM(AV66:AV69)</f>
        <v>-4.9213081491277038</v>
      </c>
      <c r="AW70" s="642">
        <f t="shared" ref="AW70" si="96">SUM(AW66:AW69)</f>
        <v>-4.9213081491277038</v>
      </c>
      <c r="AX70" s="642">
        <f t="shared" ref="AX70" si="97">SUM(AX66:AX69)</f>
        <v>-4.9213081491277038</v>
      </c>
      <c r="AY70" s="642">
        <f t="shared" ref="AY70" si="98">SUM(AY66:AY69)</f>
        <v>-4.9213081491277038</v>
      </c>
      <c r="AZ70" s="643">
        <f t="shared" ref="AZ70" si="99">SUM(AZ66:AZ69)</f>
        <v>-4.9213081491277038</v>
      </c>
      <c r="BA70" s="641">
        <f t="shared" ref="BA70" si="100">SUM(BA66:BA69)</f>
        <v>-4.9213081491277038</v>
      </c>
      <c r="BB70" s="642">
        <f t="shared" ref="BB70" si="101">SUM(BB66:BB69)</f>
        <v>-4.9213081491277038</v>
      </c>
      <c r="BC70" s="642">
        <f t="shared" ref="BC70" si="102">SUM(BC66:BC69)</f>
        <v>-4.9213081491277038</v>
      </c>
      <c r="BD70" s="642">
        <f t="shared" ref="BD70" si="103">SUM(BD66:BD69)</f>
        <v>-4.9213081491277038</v>
      </c>
      <c r="BE70" s="642">
        <f t="shared" ref="BE70" si="104">SUM(BE66:BE69)</f>
        <v>-4.9213081491277038</v>
      </c>
      <c r="BF70" s="643">
        <f t="shared" ref="BF70" si="105">SUM(BF66:BF69)</f>
        <v>-4.9213081491277038</v>
      </c>
      <c r="BG70" s="163"/>
      <c r="BH70" s="522" t="s">
        <v>2233</v>
      </c>
      <c r="BI70" s="642">
        <f>SUM(BI66:BI69)</f>
        <v>8.8500466395182347</v>
      </c>
      <c r="BJ70" s="522" t="s">
        <v>2233</v>
      </c>
      <c r="BK70" s="642">
        <f>SUM(BK66:BK69)</f>
        <v>17.405138079294673</v>
      </c>
      <c r="BL70" s="522" t="s">
        <v>2233</v>
      </c>
      <c r="BM70" s="642">
        <f>SUM(BM66:BM69)</f>
        <v>5.7008254043348234</v>
      </c>
      <c r="BN70" s="607" t="s">
        <v>627</v>
      </c>
      <c r="BO70" s="868"/>
      <c r="BV70" s="185"/>
      <c r="BW70" s="522" t="s">
        <v>2233</v>
      </c>
      <c r="BX70" s="642">
        <f>SUM(BX66:BX69)</f>
        <v>6.8146502769556658</v>
      </c>
      <c r="BY70" s="522" t="s">
        <v>2233</v>
      </c>
      <c r="BZ70" s="642">
        <f>SUM(BZ66:BZ69)</f>
        <v>13.402181238558281</v>
      </c>
      <c r="CA70" s="522" t="s">
        <v>2233</v>
      </c>
      <c r="CB70" s="642">
        <f>SUM(CB66:CB69)</f>
        <v>4.3897092301245779</v>
      </c>
      <c r="CC70" s="607" t="s">
        <v>627</v>
      </c>
      <c r="CD70" s="872">
        <v>0</v>
      </c>
    </row>
    <row r="71" spans="1:82" s="98" customFormat="1" ht="15" customHeight="1">
      <c r="A71" s="99"/>
      <c r="B71" s="123"/>
      <c r="C71" s="127"/>
      <c r="D71" s="127"/>
      <c r="E71" s="127"/>
      <c r="F71" s="127"/>
      <c r="G71" s="117"/>
      <c r="H71" s="117"/>
      <c r="I71" s="2503"/>
      <c r="J71" s="2503"/>
      <c r="K71" s="2503"/>
      <c r="L71" s="2503"/>
      <c r="M71" s="2503"/>
      <c r="N71" s="2503"/>
      <c r="O71" s="2503"/>
      <c r="P71" s="2503"/>
      <c r="Q71" s="2503"/>
      <c r="R71" s="2503"/>
      <c r="S71" s="2503"/>
      <c r="T71" s="2503"/>
      <c r="U71" s="2503"/>
      <c r="V71" s="2503"/>
      <c r="X71" s="2503"/>
      <c r="Y71" s="2503"/>
      <c r="Z71" s="2503"/>
      <c r="AA71" s="2503"/>
      <c r="AB71" s="2503"/>
      <c r="AC71" s="2503"/>
      <c r="AD71" s="2503"/>
      <c r="AE71" s="2503"/>
      <c r="AF71" s="2503"/>
      <c r="AG71" s="2503"/>
      <c r="AH71" s="2503"/>
      <c r="AI71" s="2503"/>
      <c r="AJ71" s="2503"/>
      <c r="AK71" s="2503"/>
      <c r="AM71" s="117"/>
      <c r="AN71" s="713"/>
      <c r="AO71" s="721"/>
      <c r="AP71" s="721"/>
      <c r="AQ71" s="721"/>
      <c r="AR71" s="721"/>
      <c r="AS71" s="721"/>
      <c r="AT71" s="721"/>
      <c r="AU71" s="715"/>
      <c r="AV71" s="713"/>
      <c r="AW71" s="721"/>
      <c r="AX71" s="721"/>
      <c r="AY71" s="721"/>
      <c r="AZ71" s="715"/>
      <c r="BA71" s="713"/>
      <c r="BB71" s="721"/>
      <c r="BC71" s="721"/>
      <c r="BD71" s="721"/>
      <c r="BE71" s="721"/>
      <c r="BF71" s="715"/>
      <c r="BG71" s="117"/>
      <c r="BH71" s="530"/>
      <c r="BI71" s="700"/>
      <c r="BJ71" s="530"/>
      <c r="BK71" s="700"/>
      <c r="BL71" s="530"/>
      <c r="BM71" s="700"/>
      <c r="BN71" s="530"/>
      <c r="BO71" s="530"/>
      <c r="BV71" s="530"/>
      <c r="BW71" s="530"/>
      <c r="BX71" s="700"/>
      <c r="BY71" s="530"/>
      <c r="BZ71" s="700"/>
      <c r="CA71" s="530"/>
      <c r="CB71" s="700"/>
      <c r="CC71" s="530"/>
      <c r="CD71" s="544"/>
    </row>
    <row r="72" spans="1:82" s="98" customFormat="1" ht="15" customHeight="1">
      <c r="A72" s="99"/>
      <c r="B72" s="123"/>
      <c r="C72" s="116" t="s">
        <v>2721</v>
      </c>
      <c r="D72" s="116"/>
      <c r="E72" s="127"/>
      <c r="F72" s="127"/>
      <c r="G72" s="117"/>
      <c r="H72" s="117"/>
      <c r="I72" s="2503"/>
      <c r="J72" s="2503"/>
      <c r="K72" s="2503"/>
      <c r="L72" s="2503"/>
      <c r="M72" s="2503"/>
      <c r="N72" s="2503"/>
      <c r="O72" s="2503"/>
      <c r="P72" s="2503"/>
      <c r="Q72" s="2503"/>
      <c r="R72" s="2503"/>
      <c r="S72" s="2503"/>
      <c r="T72" s="2503"/>
      <c r="U72" s="2503"/>
      <c r="V72" s="2503"/>
      <c r="X72" s="2503"/>
      <c r="Y72" s="2503"/>
      <c r="Z72" s="2503"/>
      <c r="AA72" s="2503"/>
      <c r="AB72" s="2503"/>
      <c r="AC72" s="2503"/>
      <c r="AD72" s="2503"/>
      <c r="AE72" s="2503"/>
      <c r="AF72" s="2503"/>
      <c r="AG72" s="2503"/>
      <c r="AH72" s="2503"/>
      <c r="AI72" s="2503"/>
      <c r="AJ72" s="2503"/>
      <c r="AK72" s="2503"/>
      <c r="AM72" s="117"/>
      <c r="AN72" s="713"/>
      <c r="AO72" s="721"/>
      <c r="AP72" s="721"/>
      <c r="AQ72" s="721"/>
      <c r="AR72" s="721"/>
      <c r="AS72" s="721"/>
      <c r="AT72" s="721"/>
      <c r="AU72" s="715"/>
      <c r="AV72" s="713"/>
      <c r="AW72" s="721"/>
      <c r="AX72" s="721"/>
      <c r="AY72" s="721"/>
      <c r="AZ72" s="715"/>
      <c r="BA72" s="713"/>
      <c r="BB72" s="721"/>
      <c r="BC72" s="721"/>
      <c r="BD72" s="721"/>
      <c r="BE72" s="721"/>
      <c r="BF72" s="715"/>
      <c r="BG72" s="117"/>
      <c r="BH72" s="530"/>
      <c r="BI72" s="700"/>
      <c r="BJ72" s="530"/>
      <c r="BK72" s="700"/>
      <c r="BL72" s="530"/>
      <c r="BM72" s="700"/>
      <c r="BN72" s="530"/>
      <c r="BO72" s="530"/>
      <c r="BV72" s="530"/>
      <c r="BW72" s="530"/>
      <c r="BX72" s="700"/>
      <c r="BY72" s="530"/>
      <c r="BZ72" s="700"/>
      <c r="CA72" s="530"/>
      <c r="CB72" s="700"/>
      <c r="CC72" s="530"/>
      <c r="CD72" s="544"/>
    </row>
    <row r="73" spans="1:82" s="98" customFormat="1" ht="15" customHeight="1">
      <c r="A73" s="99"/>
      <c r="B73" s="161"/>
      <c r="C73" s="162"/>
      <c r="D73" s="162" t="s">
        <v>2716</v>
      </c>
      <c r="E73" s="162"/>
      <c r="F73" s="162"/>
      <c r="G73" s="163"/>
      <c r="H73" s="163"/>
      <c r="I73" s="2503"/>
      <c r="J73" s="2503"/>
      <c r="K73" s="2503"/>
      <c r="L73" s="2503"/>
      <c r="M73" s="2503"/>
      <c r="N73" s="2503"/>
      <c r="O73" s="2503"/>
      <c r="P73" s="2503"/>
      <c r="Q73" s="2503"/>
      <c r="R73" s="2503"/>
      <c r="S73" s="2503"/>
      <c r="T73" s="2503"/>
      <c r="U73" s="2503"/>
      <c r="V73" s="2503"/>
      <c r="X73" s="2503"/>
      <c r="Y73" s="2503"/>
      <c r="Z73" s="2503"/>
      <c r="AA73" s="2503"/>
      <c r="AB73" s="2503"/>
      <c r="AC73" s="2503"/>
      <c r="AD73" s="2503"/>
      <c r="AE73" s="2503"/>
      <c r="AF73" s="2503"/>
      <c r="AG73" s="2503"/>
      <c r="AH73" s="2503"/>
      <c r="AI73" s="2503"/>
      <c r="AJ73" s="2503"/>
      <c r="AK73" s="2503"/>
      <c r="AM73" s="164" t="s">
        <v>2233</v>
      </c>
      <c r="AN73" s="143">
        <v>-4.4947918675977007E-2</v>
      </c>
      <c r="AO73" s="141">
        <v>-0.46931451933450713</v>
      </c>
      <c r="AP73" s="141">
        <v>-0.17099566232899574</v>
      </c>
      <c r="AQ73" s="141">
        <v>-6.0956223586635855E-2</v>
      </c>
      <c r="AR73" s="141">
        <v>0</v>
      </c>
      <c r="AS73" s="141">
        <v>-0.11</v>
      </c>
      <c r="AT73" s="141">
        <v>-0.15498005248683616</v>
      </c>
      <c r="AU73" s="144">
        <v>-0.12826557223236001</v>
      </c>
      <c r="AV73" s="143">
        <v>-4.5216973876075102</v>
      </c>
      <c r="AW73" s="141">
        <v>-4.5216973876075102</v>
      </c>
      <c r="AX73" s="141">
        <v>-4.5216973876075102</v>
      </c>
      <c r="AY73" s="141">
        <v>-4.5216973876075102</v>
      </c>
      <c r="AZ73" s="144">
        <v>-4.5216973876075102</v>
      </c>
      <c r="BA73" s="143">
        <v>-6.3374251780699966</v>
      </c>
      <c r="BB73" s="141">
        <v>-6.3374251780699966</v>
      </c>
      <c r="BC73" s="141">
        <v>-6.3374251780699966</v>
      </c>
      <c r="BD73" s="141">
        <v>-6.3374251780699966</v>
      </c>
      <c r="BE73" s="141">
        <v>-6.3374251780699966</v>
      </c>
      <c r="BF73" s="144">
        <v>-6.3374251780699966</v>
      </c>
      <c r="BG73" s="163"/>
      <c r="BH73" s="522" t="s">
        <v>2233</v>
      </c>
      <c r="BI73" s="141">
        <v>0.26765956910620742</v>
      </c>
      <c r="BJ73" s="522" t="s">
        <v>2233</v>
      </c>
      <c r="BK73" s="141">
        <v>0.75900883497369565</v>
      </c>
      <c r="BL73" s="522" t="s">
        <v>2233</v>
      </c>
      <c r="BM73" s="141">
        <v>0.11279154456541317</v>
      </c>
      <c r="BN73" s="607" t="s">
        <v>627</v>
      </c>
      <c r="BO73" s="868">
        <v>0.9814698196160363</v>
      </c>
      <c r="BV73" s="185"/>
      <c r="BW73" s="522" t="s">
        <v>2233</v>
      </c>
      <c r="BX73" s="141">
        <v>5.3107420573867898</v>
      </c>
      <c r="BY73" s="522" t="s">
        <v>2233</v>
      </c>
      <c r="BZ73" s="141">
        <v>15.05980210340805</v>
      </c>
      <c r="CA73" s="522" t="s">
        <v>2233</v>
      </c>
      <c r="CB73" s="141">
        <v>2.2379427772427967</v>
      </c>
      <c r="CC73" s="607" t="s">
        <v>627</v>
      </c>
      <c r="CD73" s="872">
        <v>0.98999999999999988</v>
      </c>
    </row>
    <row r="74" spans="1:82" s="98" customFormat="1" ht="15" customHeight="1">
      <c r="A74" s="99"/>
      <c r="B74" s="161"/>
      <c r="C74" s="162"/>
      <c r="D74" s="162" t="s">
        <v>2717</v>
      </c>
      <c r="E74" s="162"/>
      <c r="F74" s="162"/>
      <c r="G74" s="163"/>
      <c r="H74" s="163"/>
      <c r="I74" s="2503"/>
      <c r="J74" s="2503"/>
      <c r="K74" s="2503"/>
      <c r="L74" s="2503"/>
      <c r="M74" s="2503"/>
      <c r="N74" s="2503"/>
      <c r="O74" s="2503"/>
      <c r="P74" s="2503"/>
      <c r="Q74" s="2503"/>
      <c r="R74" s="2503"/>
      <c r="S74" s="2503"/>
      <c r="T74" s="2503"/>
      <c r="U74" s="2503"/>
      <c r="V74" s="2503"/>
      <c r="X74" s="2503"/>
      <c r="Y74" s="2503"/>
      <c r="Z74" s="2503"/>
      <c r="AA74" s="2503"/>
      <c r="AB74" s="2503"/>
      <c r="AC74" s="2503"/>
      <c r="AD74" s="2503"/>
      <c r="AE74" s="2503"/>
      <c r="AF74" s="2503"/>
      <c r="AG74" s="2503"/>
      <c r="AH74" s="2503"/>
      <c r="AI74" s="2503"/>
      <c r="AJ74" s="2503"/>
      <c r="AK74" s="2503"/>
      <c r="AM74" s="164" t="s">
        <v>2233</v>
      </c>
      <c r="AN74" s="143">
        <v>-57.584704549195578</v>
      </c>
      <c r="AO74" s="141">
        <v>-53.402303708032193</v>
      </c>
      <c r="AP74" s="141">
        <v>-40.556510256363687</v>
      </c>
      <c r="AQ74" s="141">
        <v>-68.170834814509362</v>
      </c>
      <c r="AR74" s="141">
        <v>-73.486140639453495</v>
      </c>
      <c r="AS74" s="141">
        <v>-79.805999999999997</v>
      </c>
      <c r="AT74" s="141">
        <v>-59.435560419313269</v>
      </c>
      <c r="AU74" s="144">
        <v>-57.532571420570655</v>
      </c>
      <c r="AV74" s="143">
        <v>-62.186536032955672</v>
      </c>
      <c r="AW74" s="141">
        <v>-62.186536032955672</v>
      </c>
      <c r="AX74" s="141">
        <v>-62.186536032955672</v>
      </c>
      <c r="AY74" s="141">
        <v>-62.186536032955672</v>
      </c>
      <c r="AZ74" s="144">
        <v>-62.186536032955672</v>
      </c>
      <c r="BA74" s="143">
        <v>-87.158092505773624</v>
      </c>
      <c r="BB74" s="141">
        <v>-87.158092505773624</v>
      </c>
      <c r="BC74" s="141">
        <v>-87.158092505773624</v>
      </c>
      <c r="BD74" s="141">
        <v>-87.158092505773624</v>
      </c>
      <c r="BE74" s="141">
        <v>-87.158092505773624</v>
      </c>
      <c r="BF74" s="144">
        <v>-87.158092505773624</v>
      </c>
      <c r="BG74" s="163"/>
      <c r="BH74" s="522" t="s">
        <v>2233</v>
      </c>
      <c r="BI74" s="141">
        <v>115.09522328758661</v>
      </c>
      <c r="BJ74" s="522" t="s">
        <v>2233</v>
      </c>
      <c r="BK74" s="141">
        <v>326.37836050570894</v>
      </c>
      <c r="BL74" s="522" t="s">
        <v>2233</v>
      </c>
      <c r="BM74" s="141">
        <v>48.501042014144595</v>
      </c>
      <c r="BN74" s="607" t="s">
        <v>627</v>
      </c>
      <c r="BO74" s="868">
        <v>0.9814698196160363</v>
      </c>
      <c r="BV74" s="185"/>
      <c r="BW74" s="522" t="s">
        <v>2233</v>
      </c>
      <c r="BX74" s="141">
        <v>73.038203135517634</v>
      </c>
      <c r="BY74" s="522" t="s">
        <v>2233</v>
      </c>
      <c r="BZ74" s="141">
        <v>207.11623221833736</v>
      </c>
      <c r="CA74" s="522" t="s">
        <v>2233</v>
      </c>
      <c r="CB74" s="141">
        <v>30.77824481092458</v>
      </c>
      <c r="CC74" s="607" t="s">
        <v>627</v>
      </c>
      <c r="CD74" s="872">
        <v>0.98999999999999988</v>
      </c>
    </row>
    <row r="75" spans="1:82" s="98" customFormat="1" ht="15" customHeight="1">
      <c r="A75" s="99"/>
      <c r="B75" s="161"/>
      <c r="C75" s="162"/>
      <c r="D75" s="162" t="s">
        <v>2718</v>
      </c>
      <c r="E75" s="162"/>
      <c r="F75" s="162"/>
      <c r="G75" s="163"/>
      <c r="H75" s="163"/>
      <c r="I75" s="2503"/>
      <c r="J75" s="2503"/>
      <c r="K75" s="2503"/>
      <c r="L75" s="2503"/>
      <c r="M75" s="2503"/>
      <c r="N75" s="2503"/>
      <c r="O75" s="2503"/>
      <c r="P75" s="2503"/>
      <c r="Q75" s="2503"/>
      <c r="R75" s="2503"/>
      <c r="S75" s="2503"/>
      <c r="T75" s="2503"/>
      <c r="U75" s="2503"/>
      <c r="V75" s="2503"/>
      <c r="X75" s="2503"/>
      <c r="Y75" s="2503"/>
      <c r="Z75" s="2503"/>
      <c r="AA75" s="2503"/>
      <c r="AB75" s="2503"/>
      <c r="AC75" s="2503"/>
      <c r="AD75" s="2503"/>
      <c r="AE75" s="2503"/>
      <c r="AF75" s="2503"/>
      <c r="AG75" s="2503"/>
      <c r="AH75" s="2503"/>
      <c r="AI75" s="2503"/>
      <c r="AJ75" s="2503"/>
      <c r="AK75" s="2503"/>
      <c r="AM75" s="164" t="s">
        <v>2233</v>
      </c>
      <c r="AN75" s="143">
        <v>-23.698698777159159</v>
      </c>
      <c r="AO75" s="141">
        <v>-18.014403825082226</v>
      </c>
      <c r="AP75" s="141">
        <v>-12.541328283809651</v>
      </c>
      <c r="AQ75" s="141">
        <v>-24.397305709869329</v>
      </c>
      <c r="AR75" s="141">
        <v>-18.512497961363866</v>
      </c>
      <c r="AS75" s="141">
        <v>-29.087</v>
      </c>
      <c r="AT75" s="141">
        <v>-19.956367560468642</v>
      </c>
      <c r="AU75" s="144">
        <v>-18.915008889998195</v>
      </c>
      <c r="AV75" s="143">
        <v>-34.099809773153581</v>
      </c>
      <c r="AW75" s="141">
        <v>-34.099809773153581</v>
      </c>
      <c r="AX75" s="141">
        <v>-34.099809773153581</v>
      </c>
      <c r="AY75" s="141">
        <v>-34.099809773153581</v>
      </c>
      <c r="AZ75" s="144">
        <v>-34.099809773153581</v>
      </c>
      <c r="BA75" s="143">
        <v>-47.792891584486327</v>
      </c>
      <c r="BB75" s="141">
        <v>-47.792891584486327</v>
      </c>
      <c r="BC75" s="141">
        <v>-47.792891584486327</v>
      </c>
      <c r="BD75" s="141">
        <v>-47.792891584486327</v>
      </c>
      <c r="BE75" s="141">
        <v>-47.792891584486327</v>
      </c>
      <c r="BF75" s="144">
        <v>-47.792891584486327</v>
      </c>
      <c r="BG75" s="163"/>
      <c r="BH75" s="522" t="s">
        <v>2233</v>
      </c>
      <c r="BI75" s="141">
        <v>38.787363228142716</v>
      </c>
      <c r="BJ75" s="522" t="s">
        <v>2233</v>
      </c>
      <c r="BK75" s="141">
        <v>109.99028158717681</v>
      </c>
      <c r="BL75" s="522" t="s">
        <v>2233</v>
      </c>
      <c r="BM75" s="141">
        <v>16.344966192432189</v>
      </c>
      <c r="BN75" s="607" t="s">
        <v>627</v>
      </c>
      <c r="BO75" s="868">
        <v>0.9814698196160363</v>
      </c>
      <c r="BV75" s="185"/>
      <c r="BW75" s="522" t="s">
        <v>2233</v>
      </c>
      <c r="BX75" s="141">
        <v>40.050290496550836</v>
      </c>
      <c r="BY75" s="522" t="s">
        <v>2233</v>
      </c>
      <c r="BZ75" s="141">
        <v>113.57159555944358</v>
      </c>
      <c r="CA75" s="522" t="s">
        <v>2233</v>
      </c>
      <c r="CB75" s="141">
        <v>16.877162809774148</v>
      </c>
      <c r="CC75" s="607" t="s">
        <v>627</v>
      </c>
      <c r="CD75" s="872">
        <v>0.98999999999999988</v>
      </c>
    </row>
    <row r="76" spans="1:82" s="98" customFormat="1" ht="15" customHeight="1">
      <c r="A76" s="99"/>
      <c r="B76" s="161"/>
      <c r="C76" s="162"/>
      <c r="D76" s="162" t="s">
        <v>2719</v>
      </c>
      <c r="E76" s="162"/>
      <c r="F76" s="162"/>
      <c r="G76" s="163"/>
      <c r="H76" s="163"/>
      <c r="I76" s="2503"/>
      <c r="J76" s="2503"/>
      <c r="K76" s="2503"/>
      <c r="L76" s="2503"/>
      <c r="M76" s="2503"/>
      <c r="N76" s="2503"/>
      <c r="O76" s="2503"/>
      <c r="P76" s="2503"/>
      <c r="Q76" s="2503"/>
      <c r="R76" s="2503"/>
      <c r="S76" s="2503"/>
      <c r="T76" s="2503"/>
      <c r="U76" s="2503"/>
      <c r="V76" s="2503"/>
      <c r="X76" s="2503"/>
      <c r="Y76" s="2503"/>
      <c r="Z76" s="2503"/>
      <c r="AA76" s="2503"/>
      <c r="AB76" s="2503"/>
      <c r="AC76" s="2503"/>
      <c r="AD76" s="2503"/>
      <c r="AE76" s="2503"/>
      <c r="AF76" s="2503"/>
      <c r="AG76" s="2503"/>
      <c r="AH76" s="2503"/>
      <c r="AI76" s="2503"/>
      <c r="AJ76" s="2503"/>
      <c r="AK76" s="2503"/>
      <c r="AM76" s="164" t="s">
        <v>2233</v>
      </c>
      <c r="AN76" s="143">
        <v>-5.4921000389477408</v>
      </c>
      <c r="AO76" s="141">
        <v>-9.9719122530694282</v>
      </c>
      <c r="AP76" s="141">
        <v>-5.3560431246303049</v>
      </c>
      <c r="AQ76" s="141">
        <v>-6.6455974744719093</v>
      </c>
      <c r="AR76" s="141">
        <v>-7.885917049733207</v>
      </c>
      <c r="AS76" s="141">
        <v>-8.8140000000000001</v>
      </c>
      <c r="AT76" s="141">
        <v>-7.1521257889558232</v>
      </c>
      <c r="AU76" s="144">
        <v>-6.7472656155742046</v>
      </c>
      <c r="AV76" s="143">
        <v>-18.039446352120056</v>
      </c>
      <c r="AW76" s="141">
        <v>-18.039446352120056</v>
      </c>
      <c r="AX76" s="141">
        <v>-18.039446352120056</v>
      </c>
      <c r="AY76" s="141">
        <v>-18.039446352120056</v>
      </c>
      <c r="AZ76" s="144">
        <v>-18.039446352120056</v>
      </c>
      <c r="BA76" s="143">
        <v>-25.283346431738707</v>
      </c>
      <c r="BB76" s="141">
        <v>-25.283346431738707</v>
      </c>
      <c r="BC76" s="141">
        <v>-25.283346431738707</v>
      </c>
      <c r="BD76" s="141">
        <v>-25.283346431738707</v>
      </c>
      <c r="BE76" s="141">
        <v>-25.283346431738707</v>
      </c>
      <c r="BF76" s="144">
        <v>-25.283346431738707</v>
      </c>
      <c r="BG76" s="163"/>
      <c r="BH76" s="522" t="s">
        <v>2233</v>
      </c>
      <c r="BI76" s="141">
        <v>13.639481187865307</v>
      </c>
      <c r="BJ76" s="522" t="s">
        <v>2233</v>
      </c>
      <c r="BK76" s="141">
        <v>38.677812867356948</v>
      </c>
      <c r="BL76" s="522" t="s">
        <v>2233</v>
      </c>
      <c r="BM76" s="141">
        <v>5.7476672901605825</v>
      </c>
      <c r="BN76" s="607" t="s">
        <v>627</v>
      </c>
      <c r="BO76" s="868">
        <v>0.9814698196160363</v>
      </c>
      <c r="BV76" s="185"/>
      <c r="BW76" s="522" t="s">
        <v>2233</v>
      </c>
      <c r="BX76" s="141">
        <v>21.187363554390188</v>
      </c>
      <c r="BY76" s="522" t="s">
        <v>2233</v>
      </c>
      <c r="BZ76" s="141">
        <v>60.081528866246998</v>
      </c>
      <c r="CA76" s="522" t="s">
        <v>2233</v>
      </c>
      <c r="CB76" s="141">
        <v>8.9283393399634274</v>
      </c>
      <c r="CC76" s="607" t="s">
        <v>627</v>
      </c>
      <c r="CD76" s="872">
        <v>0.98999999999999988</v>
      </c>
    </row>
    <row r="77" spans="1:82" s="98" customFormat="1" ht="15" customHeight="1">
      <c r="A77" s="99"/>
      <c r="B77" s="123"/>
      <c r="C77" s="162" t="s">
        <v>1710</v>
      </c>
      <c r="D77" s="162"/>
      <c r="E77" s="127"/>
      <c r="F77" s="127"/>
      <c r="G77" s="117"/>
      <c r="H77" s="117"/>
      <c r="I77" s="2503"/>
      <c r="J77" s="2503"/>
      <c r="K77" s="2503"/>
      <c r="L77" s="2503"/>
      <c r="M77" s="2503"/>
      <c r="N77" s="2503"/>
      <c r="O77" s="2503"/>
      <c r="P77" s="2503"/>
      <c r="Q77" s="2503"/>
      <c r="R77" s="2503"/>
      <c r="S77" s="2503"/>
      <c r="T77" s="2503"/>
      <c r="U77" s="2503"/>
      <c r="V77" s="2503"/>
      <c r="X77" s="2503"/>
      <c r="Y77" s="2503"/>
      <c r="Z77" s="2503"/>
      <c r="AA77" s="2503"/>
      <c r="AB77" s="2503"/>
      <c r="AC77" s="2503"/>
      <c r="AD77" s="2503"/>
      <c r="AE77" s="2503"/>
      <c r="AF77" s="2503"/>
      <c r="AG77" s="2503"/>
      <c r="AH77" s="2503"/>
      <c r="AI77" s="2503"/>
      <c r="AJ77" s="2503"/>
      <c r="AK77" s="2503"/>
      <c r="AM77" s="164" t="s">
        <v>2233</v>
      </c>
      <c r="AN77" s="641">
        <f>SUM(AN73:AN76)</f>
        <v>-86.820451283978457</v>
      </c>
      <c r="AO77" s="641">
        <f t="shared" ref="AO77:BF77" si="106">SUM(AO73:AO76)</f>
        <v>-81.85793430551837</v>
      </c>
      <c r="AP77" s="641">
        <f t="shared" si="106"/>
        <v>-58.624877327132637</v>
      </c>
      <c r="AQ77" s="641">
        <f t="shared" si="106"/>
        <v>-99.274694222437233</v>
      </c>
      <c r="AR77" s="641">
        <f t="shared" si="106"/>
        <v>-99.884555650550567</v>
      </c>
      <c r="AS77" s="641">
        <f t="shared" si="106"/>
        <v>-117.81700000000001</v>
      </c>
      <c r="AT77" s="641">
        <f t="shared" si="106"/>
        <v>-86.699033821224575</v>
      </c>
      <c r="AU77" s="641">
        <f t="shared" si="106"/>
        <v>-83.323111498375411</v>
      </c>
      <c r="AV77" s="641">
        <f t="shared" si="106"/>
        <v>-118.84748954583681</v>
      </c>
      <c r="AW77" s="641">
        <f t="shared" si="106"/>
        <v>-118.84748954583681</v>
      </c>
      <c r="AX77" s="641">
        <f t="shared" si="106"/>
        <v>-118.84748954583681</v>
      </c>
      <c r="AY77" s="641">
        <f t="shared" si="106"/>
        <v>-118.84748954583681</v>
      </c>
      <c r="AZ77" s="641">
        <f t="shared" si="106"/>
        <v>-118.84748954583681</v>
      </c>
      <c r="BA77" s="641">
        <f t="shared" si="106"/>
        <v>-166.57175570006865</v>
      </c>
      <c r="BB77" s="641">
        <f t="shared" si="106"/>
        <v>-166.57175570006865</v>
      </c>
      <c r="BC77" s="641">
        <f t="shared" si="106"/>
        <v>-166.57175570006865</v>
      </c>
      <c r="BD77" s="641">
        <f t="shared" si="106"/>
        <v>-166.57175570006865</v>
      </c>
      <c r="BE77" s="641">
        <f t="shared" si="106"/>
        <v>-166.57175570006865</v>
      </c>
      <c r="BF77" s="641">
        <f t="shared" si="106"/>
        <v>-166.57175570006865</v>
      </c>
      <c r="BG77" s="117"/>
      <c r="BH77" s="522" t="s">
        <v>2233</v>
      </c>
      <c r="BI77" s="642">
        <f>SUM(BI73:BI76)</f>
        <v>167.78972727270082</v>
      </c>
      <c r="BJ77" s="522" t="s">
        <v>2233</v>
      </c>
      <c r="BK77" s="642">
        <f>SUM(BK73:BK76)</f>
        <v>475.80546379521638</v>
      </c>
      <c r="BL77" s="522" t="s">
        <v>2233</v>
      </c>
      <c r="BM77" s="642">
        <f>SUM(BM73:BM76)</f>
        <v>70.706467041302773</v>
      </c>
      <c r="BN77" s="607" t="s">
        <v>627</v>
      </c>
      <c r="BO77" s="642">
        <f>SUM(BO73:BO76)</f>
        <v>3.9258792784641452</v>
      </c>
      <c r="BV77" s="185"/>
      <c r="BW77" s="522" t="s">
        <v>2233</v>
      </c>
      <c r="BX77" s="642">
        <f>SUM(BX73:BX76)</f>
        <v>139.58659924384546</v>
      </c>
      <c r="BY77" s="522" t="s">
        <v>2233</v>
      </c>
      <c r="BZ77" s="642">
        <f>SUM(BZ73:BZ76)</f>
        <v>395.82915874743605</v>
      </c>
      <c r="CA77" s="522" t="s">
        <v>2233</v>
      </c>
      <c r="CB77" s="642">
        <f>SUM(CB73:CB76)</f>
        <v>58.821689737904954</v>
      </c>
      <c r="CC77" s="607" t="s">
        <v>627</v>
      </c>
      <c r="CD77" s="950">
        <f>SUM(CD73:CD76)</f>
        <v>3.9599999999999995</v>
      </c>
    </row>
    <row r="78" spans="1:82" s="98" customFormat="1" ht="15" customHeight="1">
      <c r="A78" s="99"/>
      <c r="B78" s="123"/>
      <c r="C78" s="162"/>
      <c r="D78" s="162"/>
      <c r="E78" s="127"/>
      <c r="F78" s="127"/>
      <c r="G78" s="117"/>
      <c r="H78" s="117"/>
      <c r="I78" s="2503"/>
      <c r="J78" s="2503"/>
      <c r="K78" s="2503"/>
      <c r="L78" s="2503"/>
      <c r="M78" s="2503"/>
      <c r="N78" s="2503"/>
      <c r="O78" s="2503"/>
      <c r="P78" s="2503"/>
      <c r="Q78" s="2503"/>
      <c r="R78" s="2503"/>
      <c r="S78" s="2503"/>
      <c r="T78" s="2503"/>
      <c r="U78" s="2503"/>
      <c r="V78" s="2503"/>
      <c r="X78" s="2503"/>
      <c r="Y78" s="2503"/>
      <c r="Z78" s="2503"/>
      <c r="AA78" s="2503"/>
      <c r="AB78" s="2503"/>
      <c r="AC78" s="2503"/>
      <c r="AD78" s="2503"/>
      <c r="AE78" s="2503"/>
      <c r="AF78" s="2503"/>
      <c r="AG78" s="2503"/>
      <c r="AH78" s="2503"/>
      <c r="AI78" s="2503"/>
      <c r="AJ78" s="2503"/>
      <c r="AK78" s="2503"/>
      <c r="AM78" s="96"/>
      <c r="AN78" s="713"/>
      <c r="AO78" s="721"/>
      <c r="AP78" s="721"/>
      <c r="AQ78" s="721"/>
      <c r="AR78" s="721"/>
      <c r="AS78" s="721"/>
      <c r="AT78" s="721"/>
      <c r="AU78" s="715"/>
      <c r="AV78" s="713"/>
      <c r="AW78" s="721"/>
      <c r="AX78" s="721"/>
      <c r="AY78" s="721"/>
      <c r="AZ78" s="715"/>
      <c r="BA78" s="713"/>
      <c r="BB78" s="721"/>
      <c r="BC78" s="721"/>
      <c r="BD78" s="721"/>
      <c r="BE78" s="721"/>
      <c r="BF78" s="715"/>
      <c r="BG78" s="117"/>
      <c r="BH78" s="530"/>
      <c r="BI78" s="700"/>
      <c r="BJ78" s="530"/>
      <c r="BK78" s="700"/>
      <c r="BL78" s="530"/>
      <c r="BM78" s="700"/>
      <c r="BN78" s="530"/>
      <c r="BO78" s="530"/>
      <c r="BV78" s="530"/>
      <c r="BW78" s="530"/>
      <c r="BX78" s="700"/>
      <c r="BY78" s="530"/>
      <c r="BZ78" s="700"/>
      <c r="CA78" s="530"/>
      <c r="CB78" s="700"/>
      <c r="CC78" s="530"/>
      <c r="CD78" s="544"/>
    </row>
    <row r="79" spans="1:82" s="98" customFormat="1" ht="15" customHeight="1">
      <c r="A79" s="99"/>
      <c r="B79" s="123"/>
      <c r="C79" s="186" t="s">
        <v>2722</v>
      </c>
      <c r="D79" s="162"/>
      <c r="E79" s="127"/>
      <c r="F79" s="127"/>
      <c r="G79" s="117"/>
      <c r="H79" s="117"/>
      <c r="I79" s="2503"/>
      <c r="J79" s="2503"/>
      <c r="K79" s="2503"/>
      <c r="L79" s="2503"/>
      <c r="M79" s="2503"/>
      <c r="N79" s="2503"/>
      <c r="O79" s="2503"/>
      <c r="P79" s="2503"/>
      <c r="Q79" s="2503"/>
      <c r="R79" s="2503"/>
      <c r="S79" s="2503"/>
      <c r="T79" s="2503"/>
      <c r="U79" s="2503"/>
      <c r="V79" s="2503"/>
      <c r="X79" s="2503"/>
      <c r="Y79" s="2503"/>
      <c r="Z79" s="2503"/>
      <c r="AA79" s="2503"/>
      <c r="AB79" s="2503"/>
      <c r="AC79" s="2503"/>
      <c r="AD79" s="2503"/>
      <c r="AE79" s="2503"/>
      <c r="AF79" s="2503"/>
      <c r="AG79" s="2503"/>
      <c r="AH79" s="2503"/>
      <c r="AI79" s="2503"/>
      <c r="AJ79" s="2503"/>
      <c r="AK79" s="2503"/>
      <c r="AM79" s="96"/>
      <c r="AN79" s="713"/>
      <c r="AO79" s="721"/>
      <c r="AP79" s="721"/>
      <c r="AQ79" s="721"/>
      <c r="AR79" s="721"/>
      <c r="AS79" s="721"/>
      <c r="AT79" s="721"/>
      <c r="AU79" s="715"/>
      <c r="AV79" s="713"/>
      <c r="AW79" s="721"/>
      <c r="AX79" s="721"/>
      <c r="AY79" s="721"/>
      <c r="AZ79" s="715"/>
      <c r="BA79" s="713"/>
      <c r="BB79" s="721"/>
      <c r="BC79" s="721"/>
      <c r="BD79" s="721"/>
      <c r="BE79" s="721"/>
      <c r="BF79" s="715"/>
      <c r="BG79" s="117"/>
      <c r="BH79" s="530"/>
      <c r="BI79" s="700"/>
      <c r="BJ79" s="530"/>
      <c r="BK79" s="700"/>
      <c r="BL79" s="530"/>
      <c r="BM79" s="700"/>
      <c r="BN79" s="530"/>
      <c r="BO79" s="530"/>
      <c r="BV79" s="530"/>
      <c r="BW79" s="530"/>
      <c r="BX79" s="700"/>
      <c r="BY79" s="530"/>
      <c r="BZ79" s="700"/>
      <c r="CA79" s="530"/>
      <c r="CB79" s="700"/>
      <c r="CC79" s="530"/>
      <c r="CD79" s="544"/>
    </row>
    <row r="80" spans="1:82" s="98" customFormat="1" ht="15" customHeight="1">
      <c r="A80" s="99"/>
      <c r="B80" s="123"/>
      <c r="C80" s="162"/>
      <c r="D80" s="162" t="s">
        <v>2723</v>
      </c>
      <c r="E80" s="127"/>
      <c r="F80" s="127"/>
      <c r="G80" s="117"/>
      <c r="H80" s="117"/>
      <c r="I80" s="2503"/>
      <c r="J80" s="2503"/>
      <c r="K80" s="2503"/>
      <c r="L80" s="2503"/>
      <c r="M80" s="2503"/>
      <c r="N80" s="2503"/>
      <c r="O80" s="2503"/>
      <c r="P80" s="2503"/>
      <c r="Q80" s="2503"/>
      <c r="R80" s="2503"/>
      <c r="S80" s="2503"/>
      <c r="T80" s="2503"/>
      <c r="U80" s="2503"/>
      <c r="V80" s="2503"/>
      <c r="X80" s="2503"/>
      <c r="Y80" s="2503"/>
      <c r="Z80" s="2503"/>
      <c r="AA80" s="2503"/>
      <c r="AB80" s="2503"/>
      <c r="AC80" s="2503"/>
      <c r="AD80" s="2503"/>
      <c r="AE80" s="2503"/>
      <c r="AF80" s="2503"/>
      <c r="AG80" s="2503"/>
      <c r="AH80" s="2503"/>
      <c r="AI80" s="2503"/>
      <c r="AJ80" s="2503"/>
      <c r="AK80" s="2503"/>
      <c r="AM80" s="164" t="s">
        <v>2233</v>
      </c>
      <c r="AN80" s="143">
        <v>-40.693899999999992</v>
      </c>
      <c r="AO80" s="141">
        <v>-54.856340000000117</v>
      </c>
      <c r="AP80" s="141">
        <v>-38.169000000000054</v>
      </c>
      <c r="AQ80" s="141">
        <v>-42.633000000000081</v>
      </c>
      <c r="AR80" s="141">
        <v>-41.971999999999944</v>
      </c>
      <c r="AS80" s="141">
        <v>-42.415000000000092</v>
      </c>
      <c r="AT80" s="141">
        <v>-44.813181431765699</v>
      </c>
      <c r="AU80" s="144">
        <v>-44.813181431765699</v>
      </c>
      <c r="AV80" s="143">
        <v>-43.772500000000001</v>
      </c>
      <c r="AW80" s="141">
        <v>-43.772500000000001</v>
      </c>
      <c r="AX80" s="141">
        <v>-43.772500000000001</v>
      </c>
      <c r="AY80" s="141">
        <v>-43.772500000000001</v>
      </c>
      <c r="AZ80" s="144">
        <v>-43.772500000000001</v>
      </c>
      <c r="BA80" s="143">
        <v>-43.772500000000001</v>
      </c>
      <c r="BB80" s="141">
        <v>-43.772500000000001</v>
      </c>
      <c r="BC80" s="141">
        <v>-43.772500000000001</v>
      </c>
      <c r="BD80" s="141">
        <v>-43.772500000000001</v>
      </c>
      <c r="BE80" s="141">
        <v>-43.772500000000001</v>
      </c>
      <c r="BF80" s="144">
        <v>-43.772500000000001</v>
      </c>
      <c r="BG80" s="117"/>
      <c r="BH80" s="522" t="s">
        <v>2233</v>
      </c>
      <c r="BI80" s="141">
        <v>82.301011460369182</v>
      </c>
      <c r="BJ80" s="522" t="s">
        <v>2233</v>
      </c>
      <c r="BK80" s="141">
        <v>233.38300601128364</v>
      </c>
      <c r="BL80" s="522" t="s">
        <v>2233</v>
      </c>
      <c r="BM80" s="141">
        <v>34.681585391880269</v>
      </c>
      <c r="BN80" s="607" t="s">
        <v>627</v>
      </c>
      <c r="BO80" s="868">
        <v>0.90223739568794414</v>
      </c>
      <c r="BV80" s="185"/>
      <c r="BW80" s="522" t="s">
        <v>2233</v>
      </c>
      <c r="BX80" s="141">
        <v>51.410883298840851</v>
      </c>
      <c r="BY80" s="522" t="s">
        <v>2233</v>
      </c>
      <c r="BZ80" s="141">
        <v>145.78710848233544</v>
      </c>
      <c r="CA80" s="522" t="s">
        <v>2233</v>
      </c>
      <c r="CB80" s="141">
        <v>21.664508218824533</v>
      </c>
      <c r="CC80" s="607" t="s">
        <v>627</v>
      </c>
      <c r="CD80" s="872">
        <v>0.85</v>
      </c>
    </row>
    <row r="81" spans="1:82" s="98" customFormat="1" ht="15" customHeight="1">
      <c r="A81" s="99"/>
      <c r="B81" s="123"/>
      <c r="C81" s="162" t="s">
        <v>1710</v>
      </c>
      <c r="D81" s="162"/>
      <c r="E81" s="127"/>
      <c r="F81" s="127"/>
      <c r="G81" s="117"/>
      <c r="H81" s="117"/>
      <c r="I81" s="2503"/>
      <c r="J81" s="2503"/>
      <c r="K81" s="2503"/>
      <c r="L81" s="2503"/>
      <c r="M81" s="2503"/>
      <c r="N81" s="2503"/>
      <c r="O81" s="2503"/>
      <c r="P81" s="2503"/>
      <c r="Q81" s="2503"/>
      <c r="R81" s="2503"/>
      <c r="S81" s="2503"/>
      <c r="T81" s="2503"/>
      <c r="U81" s="2503"/>
      <c r="V81" s="2503"/>
      <c r="X81" s="2503"/>
      <c r="Y81" s="2503"/>
      <c r="Z81" s="2503"/>
      <c r="AA81" s="2503"/>
      <c r="AB81" s="2503"/>
      <c r="AC81" s="2503"/>
      <c r="AD81" s="2503"/>
      <c r="AE81" s="2503"/>
      <c r="AF81" s="2503"/>
      <c r="AG81" s="2503"/>
      <c r="AH81" s="2503"/>
      <c r="AI81" s="2503"/>
      <c r="AJ81" s="2503"/>
      <c r="AK81" s="2503"/>
      <c r="AM81" s="164" t="s">
        <v>2233</v>
      </c>
      <c r="AN81" s="641">
        <f>SUM(AN80)</f>
        <v>-40.693899999999992</v>
      </c>
      <c r="AO81" s="641">
        <f t="shared" ref="AO81:BF81" si="107">SUM(AO80)</f>
        <v>-54.856340000000117</v>
      </c>
      <c r="AP81" s="641">
        <f t="shared" si="107"/>
        <v>-38.169000000000054</v>
      </c>
      <c r="AQ81" s="641">
        <f t="shared" si="107"/>
        <v>-42.633000000000081</v>
      </c>
      <c r="AR81" s="641">
        <f t="shared" si="107"/>
        <v>-41.971999999999944</v>
      </c>
      <c r="AS81" s="641">
        <f t="shared" si="107"/>
        <v>-42.415000000000092</v>
      </c>
      <c r="AT81" s="641">
        <f t="shared" si="107"/>
        <v>-44.813181431765699</v>
      </c>
      <c r="AU81" s="641">
        <f t="shared" si="107"/>
        <v>-44.813181431765699</v>
      </c>
      <c r="AV81" s="641">
        <f t="shared" si="107"/>
        <v>-43.772500000000001</v>
      </c>
      <c r="AW81" s="641">
        <f t="shared" si="107"/>
        <v>-43.772500000000001</v>
      </c>
      <c r="AX81" s="641">
        <f t="shared" si="107"/>
        <v>-43.772500000000001</v>
      </c>
      <c r="AY81" s="641">
        <f t="shared" si="107"/>
        <v>-43.772500000000001</v>
      </c>
      <c r="AZ81" s="641">
        <f t="shared" si="107"/>
        <v>-43.772500000000001</v>
      </c>
      <c r="BA81" s="641">
        <f t="shared" si="107"/>
        <v>-43.772500000000001</v>
      </c>
      <c r="BB81" s="641">
        <f t="shared" si="107"/>
        <v>-43.772500000000001</v>
      </c>
      <c r="BC81" s="641">
        <f t="shared" si="107"/>
        <v>-43.772500000000001</v>
      </c>
      <c r="BD81" s="641">
        <f t="shared" si="107"/>
        <v>-43.772500000000001</v>
      </c>
      <c r="BE81" s="641">
        <f t="shared" si="107"/>
        <v>-43.772500000000001</v>
      </c>
      <c r="BF81" s="641">
        <f t="shared" si="107"/>
        <v>-43.772500000000001</v>
      </c>
      <c r="BG81" s="117"/>
      <c r="BH81" s="522" t="s">
        <v>2233</v>
      </c>
      <c r="BI81" s="642">
        <f>SUM(BI80)</f>
        <v>82.301011460369182</v>
      </c>
      <c r="BJ81" s="522" t="s">
        <v>2233</v>
      </c>
      <c r="BK81" s="642">
        <f>SUM(BK80)</f>
        <v>233.38300601128364</v>
      </c>
      <c r="BL81" s="522" t="s">
        <v>2233</v>
      </c>
      <c r="BM81" s="642">
        <f>SUM(BM80)</f>
        <v>34.681585391880269</v>
      </c>
      <c r="BN81" s="607" t="s">
        <v>627</v>
      </c>
      <c r="BO81" s="950">
        <f>BO80</f>
        <v>0.90223739568794414</v>
      </c>
      <c r="BV81" s="185"/>
      <c r="BW81" s="522" t="s">
        <v>2233</v>
      </c>
      <c r="BX81" s="642">
        <f>SUM(BX80)</f>
        <v>51.410883298840851</v>
      </c>
      <c r="BY81" s="522" t="s">
        <v>2233</v>
      </c>
      <c r="BZ81" s="642">
        <f>SUM(BZ80)</f>
        <v>145.78710848233544</v>
      </c>
      <c r="CA81" s="522" t="s">
        <v>2233</v>
      </c>
      <c r="CB81" s="642">
        <f>SUM(CB80)</f>
        <v>21.664508218824533</v>
      </c>
      <c r="CC81" s="607" t="s">
        <v>627</v>
      </c>
      <c r="CD81" s="950">
        <f>SUM(CD80)</f>
        <v>0.85</v>
      </c>
    </row>
    <row r="82" spans="1:82" s="98" customFormat="1" ht="15" customHeight="1">
      <c r="A82" s="99"/>
      <c r="B82" s="123"/>
      <c r="C82" s="162"/>
      <c r="D82" s="162"/>
      <c r="E82" s="127"/>
      <c r="F82" s="127"/>
      <c r="G82" s="117"/>
      <c r="H82" s="117"/>
      <c r="I82" s="2503"/>
      <c r="J82" s="2503"/>
      <c r="K82" s="2503"/>
      <c r="L82" s="2503"/>
      <c r="M82" s="2503"/>
      <c r="N82" s="2503"/>
      <c r="O82" s="2503"/>
      <c r="P82" s="2503"/>
      <c r="Q82" s="2503"/>
      <c r="R82" s="2503"/>
      <c r="S82" s="2503"/>
      <c r="T82" s="2503"/>
      <c r="U82" s="2503"/>
      <c r="V82" s="2503"/>
      <c r="X82" s="2503"/>
      <c r="Y82" s="2503"/>
      <c r="Z82" s="2503"/>
      <c r="AA82" s="2503"/>
      <c r="AB82" s="2503"/>
      <c r="AC82" s="2503"/>
      <c r="AD82" s="2503"/>
      <c r="AE82" s="2503"/>
      <c r="AF82" s="2503"/>
      <c r="AG82" s="2503"/>
      <c r="AH82" s="2503"/>
      <c r="AI82" s="2503"/>
      <c r="AJ82" s="2503"/>
      <c r="AK82" s="2503"/>
      <c r="AM82" s="96"/>
      <c r="AN82" s="713"/>
      <c r="AO82" s="721"/>
      <c r="AP82" s="721"/>
      <c r="AQ82" s="721"/>
      <c r="AR82" s="721"/>
      <c r="AS82" s="721"/>
      <c r="AT82" s="721"/>
      <c r="AU82" s="715"/>
      <c r="AV82" s="713"/>
      <c r="AW82" s="721"/>
      <c r="AX82" s="721"/>
      <c r="AY82" s="721"/>
      <c r="AZ82" s="715"/>
      <c r="BA82" s="713"/>
      <c r="BB82" s="721"/>
      <c r="BC82" s="721"/>
      <c r="BD82" s="721"/>
      <c r="BE82" s="721"/>
      <c r="BF82" s="715"/>
      <c r="BG82" s="117"/>
      <c r="BH82" s="530"/>
      <c r="BI82" s="700"/>
      <c r="BJ82" s="530"/>
      <c r="BK82" s="700"/>
      <c r="BL82" s="530"/>
      <c r="BM82" s="700"/>
      <c r="BN82" s="530"/>
      <c r="BO82" s="530"/>
      <c r="BV82" s="530"/>
      <c r="BW82" s="530"/>
      <c r="BX82" s="700"/>
      <c r="BY82" s="530"/>
      <c r="BZ82" s="700"/>
      <c r="CA82" s="530"/>
      <c r="CB82" s="700"/>
      <c r="CC82" s="530"/>
      <c r="CD82" s="544"/>
    </row>
    <row r="83" spans="1:82" s="98" customFormat="1" ht="15" customHeight="1">
      <c r="A83" s="99"/>
      <c r="B83" s="123"/>
      <c r="C83" s="127"/>
      <c r="D83" s="127"/>
      <c r="E83" s="127"/>
      <c r="F83" s="127"/>
      <c r="G83" s="117"/>
      <c r="H83" s="117"/>
      <c r="I83" s="2503"/>
      <c r="J83" s="2503"/>
      <c r="K83" s="2503"/>
      <c r="L83" s="2503"/>
      <c r="M83" s="2503"/>
      <c r="N83" s="2503"/>
      <c r="O83" s="2503"/>
      <c r="P83" s="2503"/>
      <c r="Q83" s="2503"/>
      <c r="R83" s="2503"/>
      <c r="S83" s="2503"/>
      <c r="T83" s="2503"/>
      <c r="U83" s="2503"/>
      <c r="V83" s="2503"/>
      <c r="X83" s="2503"/>
      <c r="Y83" s="2503"/>
      <c r="Z83" s="2503"/>
      <c r="AA83" s="2503"/>
      <c r="AB83" s="2503"/>
      <c r="AC83" s="2503"/>
      <c r="AD83" s="2503"/>
      <c r="AE83" s="2503"/>
      <c r="AF83" s="2503"/>
      <c r="AG83" s="2503"/>
      <c r="AH83" s="2503"/>
      <c r="AI83" s="2503"/>
      <c r="AJ83" s="2503"/>
      <c r="AK83" s="2503"/>
      <c r="AM83" s="117"/>
      <c r="AN83" s="713"/>
      <c r="AO83" s="721"/>
      <c r="AP83" s="721"/>
      <c r="AQ83" s="721"/>
      <c r="AR83" s="721"/>
      <c r="AS83" s="721"/>
      <c r="AT83" s="721"/>
      <c r="AU83" s="715"/>
      <c r="AV83" s="713"/>
      <c r="AW83" s="721"/>
      <c r="AX83" s="721"/>
      <c r="AY83" s="721"/>
      <c r="AZ83" s="715"/>
      <c r="BA83" s="713"/>
      <c r="BB83" s="721"/>
      <c r="BC83" s="721"/>
      <c r="BD83" s="721"/>
      <c r="BE83" s="721"/>
      <c r="BF83" s="715"/>
      <c r="BG83" s="117"/>
      <c r="BH83" s="530"/>
      <c r="BI83" s="700"/>
      <c r="BJ83" s="530"/>
      <c r="BK83" s="700"/>
      <c r="BL83" s="530"/>
      <c r="BM83" s="700"/>
      <c r="BN83" s="530"/>
      <c r="BO83" s="530"/>
      <c r="BV83" s="530"/>
      <c r="BW83" s="530"/>
      <c r="BX83" s="700"/>
      <c r="BY83" s="530"/>
      <c r="BZ83" s="700"/>
      <c r="CA83" s="530"/>
      <c r="CB83" s="700"/>
      <c r="CC83" s="530"/>
      <c r="CD83" s="544"/>
    </row>
    <row r="84" spans="1:82" s="98" customFormat="1" ht="15" customHeight="1" thickBot="1">
      <c r="A84" s="99"/>
      <c r="B84" s="191" t="s">
        <v>1701</v>
      </c>
      <c r="C84" s="193"/>
      <c r="D84" s="193"/>
      <c r="E84" s="193"/>
      <c r="F84" s="193"/>
      <c r="G84" s="194"/>
      <c r="H84" s="194"/>
      <c r="I84" s="1692"/>
      <c r="J84" s="1692"/>
      <c r="K84" s="1692"/>
      <c r="L84" s="1692"/>
      <c r="M84" s="1692"/>
      <c r="N84" s="1692"/>
      <c r="O84" s="1692"/>
      <c r="P84" s="1692"/>
      <c r="Q84" s="1692"/>
      <c r="R84" s="1692"/>
      <c r="S84" s="1692"/>
      <c r="T84" s="1692"/>
      <c r="U84" s="1692"/>
      <c r="V84" s="1692"/>
      <c r="W84" s="192"/>
      <c r="X84" s="1692"/>
      <c r="Y84" s="1692"/>
      <c r="Z84" s="1692"/>
      <c r="AA84" s="1692"/>
      <c r="AB84" s="1692"/>
      <c r="AC84" s="1692"/>
      <c r="AD84" s="1692"/>
      <c r="AE84" s="1692"/>
      <c r="AF84" s="1692"/>
      <c r="AG84" s="1692"/>
      <c r="AH84" s="1692"/>
      <c r="AI84" s="1692"/>
      <c r="AJ84" s="1692"/>
      <c r="AK84" s="1692"/>
      <c r="AL84" s="1356"/>
      <c r="AM84" s="195" t="s">
        <v>2233</v>
      </c>
      <c r="AN84" s="701">
        <f>SUM(AN63,AN70,AN77,AN81)</f>
        <v>-484.2756</v>
      </c>
      <c r="AO84" s="701">
        <f t="shared" ref="AO84:BF84" si="108">SUM(AO63,AO70,AO77,AO81)</f>
        <v>-541.86295999999948</v>
      </c>
      <c r="AP84" s="701">
        <f t="shared" si="108"/>
        <v>-474.88330000000036</v>
      </c>
      <c r="AQ84" s="701">
        <f t="shared" si="108"/>
        <v>-495.48699999999644</v>
      </c>
      <c r="AR84" s="701">
        <f t="shared" si="108"/>
        <v>-521.25299999999652</v>
      </c>
      <c r="AS84" s="701">
        <f t="shared" si="108"/>
        <v>-533.2700000000001</v>
      </c>
      <c r="AT84" s="701">
        <f t="shared" si="108"/>
        <v>-503.46824543176564</v>
      </c>
      <c r="AU84" s="701">
        <f t="shared" si="108"/>
        <v>-476.90159642362181</v>
      </c>
      <c r="AV84" s="701">
        <f t="shared" si="108"/>
        <v>-472.63901828030032</v>
      </c>
      <c r="AW84" s="701">
        <f t="shared" si="108"/>
        <v>-472.63901828030032</v>
      </c>
      <c r="AX84" s="701">
        <f t="shared" si="108"/>
        <v>-472.63901828030032</v>
      </c>
      <c r="AY84" s="701">
        <f t="shared" si="108"/>
        <v>-472.63901828030032</v>
      </c>
      <c r="AZ84" s="701">
        <f t="shared" si="108"/>
        <v>-472.63901828030032</v>
      </c>
      <c r="BA84" s="701">
        <f t="shared" si="108"/>
        <v>-472.63901828030032</v>
      </c>
      <c r="BB84" s="701">
        <f t="shared" si="108"/>
        <v>-472.63901828030032</v>
      </c>
      <c r="BC84" s="701">
        <f t="shared" si="108"/>
        <v>-472.63901828030032</v>
      </c>
      <c r="BD84" s="701">
        <f t="shared" si="108"/>
        <v>-472.63901828030032</v>
      </c>
      <c r="BE84" s="701">
        <f t="shared" si="108"/>
        <v>-472.63901828030032</v>
      </c>
      <c r="BF84" s="701">
        <f t="shared" si="108"/>
        <v>-472.63901828030032</v>
      </c>
      <c r="BG84" s="194"/>
      <c r="BH84" s="608" t="s">
        <v>2233</v>
      </c>
      <c r="BI84" s="701">
        <f>SUM(BI63,BI70,BI77,BI81)</f>
        <v>781.32838621149642</v>
      </c>
      <c r="BJ84" s="608" t="s">
        <v>2233</v>
      </c>
      <c r="BK84" s="701">
        <f>SUM(BK63,BK70,BK77,BK81)</f>
        <v>2759.2584174675071</v>
      </c>
      <c r="BL84" s="608" t="s">
        <v>2233</v>
      </c>
      <c r="BM84" s="701">
        <f>SUM(BM63,BM70,BM77,BM81)</f>
        <v>490.81489817639135</v>
      </c>
      <c r="BN84" s="1083" t="s">
        <v>627</v>
      </c>
      <c r="BO84" s="1535">
        <v>0.97991371779911918</v>
      </c>
      <c r="BP84" s="1357"/>
      <c r="BQ84" s="192"/>
      <c r="BR84" s="192"/>
      <c r="BS84" s="192"/>
      <c r="BT84" s="192"/>
      <c r="BU84" s="192"/>
      <c r="BV84" s="192"/>
      <c r="BW84" s="608" t="s">
        <v>2233</v>
      </c>
      <c r="BX84" s="702">
        <f>SUM(BX63,BX70,BX77,BX81)</f>
        <v>469.3475656269967</v>
      </c>
      <c r="BY84" s="608" t="s">
        <v>2233</v>
      </c>
      <c r="BZ84" s="702">
        <f>SUM(BZ63,BZ70,BZ77,BZ81)</f>
        <v>1611.591226872109</v>
      </c>
      <c r="CA84" s="608" t="s">
        <v>2233</v>
      </c>
      <c r="CB84" s="702">
        <f>SUM(CB63,CB70,CB77,CB81)</f>
        <v>282.25629890240469</v>
      </c>
      <c r="CC84" s="1083" t="s">
        <v>627</v>
      </c>
      <c r="CD84" s="1536">
        <v>0.97703418515403684</v>
      </c>
    </row>
    <row r="85" spans="1:82" s="99" customFormat="1" ht="15" customHeight="1">
      <c r="B85" s="150"/>
      <c r="C85" s="150"/>
      <c r="D85" s="150"/>
      <c r="E85" s="150"/>
      <c r="F85" s="150"/>
      <c r="G85" s="97"/>
      <c r="H85" s="97"/>
      <c r="I85" s="98"/>
      <c r="J85" s="98"/>
      <c r="K85" s="98"/>
      <c r="L85" s="98"/>
      <c r="M85" s="98"/>
      <c r="N85" s="98"/>
      <c r="O85" s="98"/>
      <c r="P85" s="98"/>
      <c r="Q85" s="98"/>
      <c r="R85" s="98"/>
      <c r="S85" s="98"/>
      <c r="T85" s="98"/>
      <c r="U85" s="98"/>
      <c r="V85" s="98"/>
      <c r="W85" s="98"/>
      <c r="X85" s="98"/>
      <c r="AS85" s="96"/>
      <c r="AT85" s="97"/>
      <c r="AU85" s="100"/>
      <c r="AV85" s="100"/>
      <c r="AW85" s="100"/>
      <c r="AX85" s="100"/>
      <c r="AY85" s="100"/>
      <c r="AZ85" s="100"/>
      <c r="BA85" s="100"/>
      <c r="BB85" s="100"/>
      <c r="BC85" s="100"/>
      <c r="BD85" s="100"/>
      <c r="BE85" s="100"/>
      <c r="BF85" s="100"/>
      <c r="BG85" s="100"/>
      <c r="BH85" s="100"/>
      <c r="BI85" s="100"/>
      <c r="BJ85" s="100"/>
    </row>
    <row r="86" spans="1:82">
      <c r="AC86" s="173"/>
    </row>
    <row r="87" spans="1:82">
      <c r="AC87" s="173"/>
    </row>
    <row r="88" spans="1:82">
      <c r="AC88" s="173"/>
    </row>
    <row r="89" spans="1:82">
      <c r="AC89" s="173"/>
    </row>
    <row r="90" spans="1:82">
      <c r="AC90" s="173"/>
      <c r="BB90" s="175"/>
    </row>
    <row r="91" spans="1:82">
      <c r="B91" s="173"/>
    </row>
    <row r="92" spans="1:82">
      <c r="B92" s="173"/>
    </row>
    <row r="93" spans="1:82">
      <c r="B93" s="173"/>
    </row>
    <row r="94" spans="1:82">
      <c r="B94" s="173"/>
    </row>
    <row r="95" spans="1:82">
      <c r="B95" s="173"/>
    </row>
    <row r="96" spans="1:82" s="174" customFormat="1">
      <c r="A96" s="173"/>
      <c r="B96" s="173"/>
      <c r="G96" s="173"/>
      <c r="H96" s="173"/>
      <c r="I96" s="175"/>
      <c r="J96" s="173"/>
      <c r="K96" s="173"/>
      <c r="L96" s="173"/>
      <c r="M96" s="173"/>
      <c r="N96" s="173"/>
      <c r="O96" s="173"/>
      <c r="P96" s="173"/>
      <c r="Q96" s="173"/>
      <c r="R96" s="173"/>
      <c r="S96" s="173"/>
      <c r="T96" s="173"/>
      <c r="U96" s="173"/>
      <c r="V96" s="173"/>
      <c r="W96" s="173"/>
      <c r="X96" s="173"/>
      <c r="Y96" s="173"/>
      <c r="Z96" s="173"/>
      <c r="AA96" s="173"/>
      <c r="AB96" s="173"/>
      <c r="AC96" s="175"/>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3"/>
      <c r="BF96" s="173"/>
      <c r="BG96" s="173"/>
    </row>
    <row r="97" spans="1:59" s="174" customFormat="1">
      <c r="A97" s="173"/>
      <c r="B97" s="173"/>
      <c r="G97" s="173"/>
      <c r="H97" s="173"/>
      <c r="I97" s="175"/>
      <c r="J97" s="173"/>
      <c r="K97" s="173"/>
      <c r="L97" s="173"/>
      <c r="M97" s="173"/>
      <c r="N97" s="173"/>
      <c r="O97" s="173"/>
      <c r="P97" s="173"/>
      <c r="Q97" s="173"/>
      <c r="R97" s="173"/>
      <c r="S97" s="173"/>
      <c r="T97" s="173"/>
      <c r="U97" s="173"/>
      <c r="V97" s="173"/>
      <c r="W97" s="173"/>
      <c r="X97" s="173"/>
      <c r="Y97" s="173"/>
      <c r="Z97" s="173"/>
      <c r="AA97" s="173"/>
      <c r="AB97" s="173"/>
      <c r="AC97" s="175"/>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row>
    <row r="98" spans="1:59" s="174" customFormat="1">
      <c r="A98" s="173"/>
      <c r="B98" s="173"/>
      <c r="G98" s="173"/>
      <c r="H98" s="173"/>
      <c r="I98" s="175"/>
      <c r="J98" s="173"/>
      <c r="K98" s="173"/>
      <c r="L98" s="173"/>
      <c r="M98" s="173"/>
      <c r="N98" s="173"/>
      <c r="O98" s="173"/>
      <c r="P98" s="173"/>
      <c r="Q98" s="173"/>
      <c r="R98" s="173"/>
      <c r="S98" s="173"/>
      <c r="T98" s="173"/>
      <c r="U98" s="173"/>
      <c r="V98" s="173"/>
      <c r="W98" s="173"/>
      <c r="X98" s="173"/>
      <c r="Y98" s="173"/>
      <c r="Z98" s="173"/>
      <c r="AA98" s="173"/>
      <c r="AB98" s="173"/>
      <c r="AC98" s="175"/>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3"/>
      <c r="BA98" s="173"/>
      <c r="BB98" s="173"/>
      <c r="BC98" s="173"/>
      <c r="BD98" s="173"/>
      <c r="BE98" s="173"/>
      <c r="BF98" s="173"/>
      <c r="BG98" s="173"/>
    </row>
    <row r="99" spans="1:59" s="174" customFormat="1">
      <c r="A99" s="173"/>
      <c r="B99" s="173"/>
      <c r="G99" s="173"/>
      <c r="H99" s="173"/>
      <c r="I99" s="175"/>
      <c r="J99" s="173"/>
      <c r="K99" s="173"/>
      <c r="L99" s="173"/>
      <c r="M99" s="173"/>
      <c r="N99" s="173"/>
      <c r="O99" s="173"/>
      <c r="P99" s="173"/>
      <c r="Q99" s="173"/>
      <c r="R99" s="173"/>
      <c r="S99" s="173"/>
      <c r="T99" s="173"/>
      <c r="U99" s="173"/>
      <c r="V99" s="173"/>
      <c r="W99" s="173"/>
      <c r="X99" s="173"/>
      <c r="Y99" s="173"/>
      <c r="Z99" s="173"/>
      <c r="AA99" s="173"/>
      <c r="AB99" s="173"/>
      <c r="AC99" s="175"/>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row>
    <row r="100" spans="1:59" s="174" customFormat="1">
      <c r="A100" s="173"/>
      <c r="B100" s="173"/>
      <c r="G100" s="173"/>
      <c r="H100" s="173"/>
      <c r="I100" s="175"/>
      <c r="J100" s="173"/>
      <c r="K100" s="173"/>
      <c r="L100" s="173"/>
      <c r="M100" s="173"/>
      <c r="N100" s="173"/>
      <c r="O100" s="173"/>
      <c r="P100" s="173"/>
      <c r="Q100" s="173"/>
      <c r="R100" s="173"/>
      <c r="S100" s="173"/>
      <c r="T100" s="173"/>
      <c r="U100" s="173"/>
      <c r="V100" s="173"/>
      <c r="W100" s="173"/>
      <c r="X100" s="173"/>
      <c r="Y100" s="173"/>
      <c r="Z100" s="173"/>
      <c r="AA100" s="173"/>
      <c r="AB100" s="173"/>
      <c r="AC100" s="175"/>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row>
    <row r="101" spans="1:59" s="174" customFormat="1">
      <c r="A101" s="173"/>
      <c r="B101" s="173"/>
      <c r="G101" s="173"/>
      <c r="H101" s="173"/>
      <c r="I101" s="175"/>
      <c r="J101" s="173"/>
      <c r="K101" s="173"/>
      <c r="L101" s="173"/>
      <c r="M101" s="173"/>
      <c r="N101" s="173"/>
      <c r="O101" s="173"/>
      <c r="P101" s="173"/>
      <c r="Q101" s="173"/>
      <c r="R101" s="173"/>
      <c r="S101" s="173"/>
      <c r="T101" s="173"/>
      <c r="U101" s="173"/>
      <c r="V101" s="173"/>
      <c r="W101" s="173"/>
      <c r="X101" s="173"/>
      <c r="Y101" s="173"/>
      <c r="Z101" s="173"/>
      <c r="AA101" s="173"/>
      <c r="AB101" s="173"/>
      <c r="AC101" s="175"/>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3"/>
      <c r="BA101" s="173"/>
      <c r="BB101" s="173"/>
      <c r="BC101" s="173"/>
      <c r="BD101" s="173"/>
      <c r="BE101" s="173"/>
      <c r="BF101" s="173"/>
      <c r="BG101" s="173"/>
    </row>
    <row r="102" spans="1:59" s="174" customFormat="1">
      <c r="A102" s="173"/>
      <c r="B102" s="173"/>
      <c r="G102" s="173"/>
      <c r="H102" s="173"/>
      <c r="I102" s="175"/>
      <c r="J102" s="173"/>
      <c r="K102" s="173"/>
      <c r="L102" s="173"/>
      <c r="M102" s="173"/>
      <c r="N102" s="173"/>
      <c r="O102" s="173"/>
      <c r="P102" s="173"/>
      <c r="Q102" s="173"/>
      <c r="R102" s="173"/>
      <c r="S102" s="173"/>
      <c r="T102" s="173"/>
      <c r="U102" s="173"/>
      <c r="V102" s="173"/>
      <c r="W102" s="173"/>
      <c r="X102" s="173"/>
      <c r="Y102" s="173"/>
      <c r="Z102" s="173"/>
      <c r="AA102" s="173"/>
      <c r="AB102" s="173"/>
      <c r="AC102" s="175"/>
      <c r="AD102" s="173"/>
      <c r="AE102" s="173"/>
      <c r="AF102" s="173"/>
      <c r="AG102" s="173"/>
      <c r="AH102" s="173"/>
      <c r="AI102" s="173"/>
      <c r="AJ102" s="173"/>
      <c r="AK102" s="173"/>
      <c r="AL102" s="173"/>
      <c r="AM102" s="173"/>
      <c r="AN102" s="173"/>
      <c r="AO102" s="173"/>
      <c r="AP102" s="173"/>
      <c r="AQ102" s="173"/>
      <c r="AR102" s="173"/>
      <c r="AS102" s="173"/>
      <c r="AT102" s="173"/>
      <c r="AU102" s="173"/>
      <c r="AV102" s="173"/>
      <c r="AW102" s="173"/>
      <c r="AX102" s="173"/>
      <c r="AY102" s="173"/>
      <c r="AZ102" s="173"/>
      <c r="BA102" s="173"/>
      <c r="BB102" s="173"/>
      <c r="BC102" s="173"/>
      <c r="BD102" s="173"/>
      <c r="BE102" s="173"/>
      <c r="BF102" s="173"/>
      <c r="BG102" s="173"/>
    </row>
  </sheetData>
  <mergeCells count="2">
    <mergeCell ref="J9:Q9"/>
    <mergeCell ref="R9:V9"/>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FF6600"/>
  </sheetPr>
  <dimension ref="A1:CD77"/>
  <sheetViews>
    <sheetView showGridLines="0" topLeftCell="A53" zoomScale="70" zoomScaleNormal="70" workbookViewId="0">
      <pane xSplit="7" topLeftCell="AQ1" activePane="topRight" state="frozen"/>
      <selection activeCell="G14" sqref="G14"/>
      <selection pane="topRight" activeCell="AN76" sqref="AN76:AZ76"/>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5.625" style="173" customWidth="1"/>
    <col min="54" max="58" width="15.625" style="173" customWidth="1"/>
    <col min="59" max="59" width="11.875" style="173"/>
    <col min="60" max="67" width="13.625" style="173" customWidth="1"/>
    <col min="68" max="68" width="5.625" style="173" customWidth="1"/>
    <col min="69"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2724</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row>
    <row r="9" spans="1:59"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row>
    <row r="10" spans="1:59"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4"/>
    </row>
    <row r="11" spans="1:59"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4"/>
    </row>
    <row r="12" spans="1:59" s="89" customFormat="1" ht="15" customHeight="1">
      <c r="B12" s="123"/>
      <c r="C12" s="127"/>
      <c r="D12" s="127" t="s">
        <v>2687</v>
      </c>
      <c r="E12" s="127"/>
      <c r="F12" s="127"/>
      <c r="G12" s="117"/>
      <c r="H12" s="118"/>
      <c r="I12" s="119" t="s">
        <v>498</v>
      </c>
      <c r="J12" s="128">
        <f>J29</f>
        <v>1.6618473689932451</v>
      </c>
      <c r="K12" s="129">
        <f t="shared" ref="K12:V12" si="0">K29</f>
        <v>1.8036709541031337</v>
      </c>
      <c r="L12" s="129">
        <f t="shared" si="0"/>
        <v>1.297112618732013</v>
      </c>
      <c r="M12" s="129">
        <f t="shared" si="0"/>
        <v>1.0305423633180757</v>
      </c>
      <c r="N12" s="129">
        <f t="shared" si="0"/>
        <v>1.7793576553781785</v>
      </c>
      <c r="O12" s="129">
        <f t="shared" si="0"/>
        <v>1.3197356953760766</v>
      </c>
      <c r="P12" s="129">
        <f t="shared" si="0"/>
        <v>3.1756414691849866</v>
      </c>
      <c r="Q12" s="130">
        <f t="shared" si="0"/>
        <v>3.4297762512655647</v>
      </c>
      <c r="R12" s="128">
        <f t="shared" si="0"/>
        <v>0.5474884739201028</v>
      </c>
      <c r="S12" s="129">
        <f t="shared" si="0"/>
        <v>0.54475103155050231</v>
      </c>
      <c r="T12" s="129">
        <f t="shared" si="0"/>
        <v>0.54202727639274972</v>
      </c>
      <c r="U12" s="129">
        <f t="shared" si="0"/>
        <v>0.53931714001078601</v>
      </c>
      <c r="V12" s="130">
        <f t="shared" si="0"/>
        <v>0.53662055431073208</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4"/>
    </row>
    <row r="13" spans="1:59" s="89" customFormat="1" ht="15" customHeight="1">
      <c r="B13" s="123"/>
      <c r="C13" s="127"/>
      <c r="D13" s="127" t="s">
        <v>2725</v>
      </c>
      <c r="E13" s="127"/>
      <c r="F13" s="127"/>
      <c r="G13" s="117"/>
      <c r="H13" s="118"/>
      <c r="I13" s="119" t="s">
        <v>498</v>
      </c>
      <c r="J13" s="128">
        <f>J40</f>
        <v>0.53716151129550438</v>
      </c>
      <c r="K13" s="129">
        <f t="shared" ref="K13:V13" si="1">K40</f>
        <v>0.45731375547581277</v>
      </c>
      <c r="L13" s="129">
        <f t="shared" si="1"/>
        <v>0.26033108300330698</v>
      </c>
      <c r="M13" s="129">
        <f t="shared" si="1"/>
        <v>0.58559487262007903</v>
      </c>
      <c r="N13" s="129">
        <f t="shared" si="1"/>
        <v>0.52435649343865509</v>
      </c>
      <c r="O13" s="129">
        <f t="shared" si="1"/>
        <v>0.11921445960881899</v>
      </c>
      <c r="P13" s="129">
        <f t="shared" si="1"/>
        <v>1.1247452056037961</v>
      </c>
      <c r="Q13" s="130">
        <f t="shared" si="1"/>
        <v>0.70951103750713518</v>
      </c>
      <c r="R13" s="128">
        <f t="shared" si="1"/>
        <v>0.12330686615484081</v>
      </c>
      <c r="S13" s="129">
        <f t="shared" si="1"/>
        <v>0.12269033182406661</v>
      </c>
      <c r="T13" s="129">
        <f t="shared" si="1"/>
        <v>0.12207688016494628</v>
      </c>
      <c r="U13" s="129">
        <f t="shared" si="1"/>
        <v>0.12146649576412155</v>
      </c>
      <c r="V13" s="130">
        <f t="shared" si="1"/>
        <v>0.12085916328530094</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4"/>
    </row>
    <row r="14" spans="1:59" s="89" customFormat="1" ht="15" customHeight="1">
      <c r="B14" s="123"/>
      <c r="C14" s="127"/>
      <c r="D14" s="127" t="s">
        <v>2688</v>
      </c>
      <c r="E14" s="127"/>
      <c r="F14" s="127"/>
      <c r="G14" s="117"/>
      <c r="H14" s="118"/>
      <c r="I14" s="119" t="s">
        <v>498</v>
      </c>
      <c r="J14" s="128">
        <f>J51</f>
        <v>0.32032234373059854</v>
      </c>
      <c r="K14" s="129">
        <f t="shared" ref="K14:V14" si="2">K51</f>
        <v>0.36589293373220777</v>
      </c>
      <c r="L14" s="129">
        <f t="shared" si="2"/>
        <v>0.30596871732218489</v>
      </c>
      <c r="M14" s="129">
        <f t="shared" si="2"/>
        <v>4.0846275655564292E-2</v>
      </c>
      <c r="N14" s="129">
        <f t="shared" si="2"/>
        <v>0.22781283068921807</v>
      </c>
      <c r="O14" s="129">
        <f t="shared" si="2"/>
        <v>3.7812461256935506E-2</v>
      </c>
      <c r="P14" s="129">
        <f t="shared" si="2"/>
        <v>0.52180030124852061</v>
      </c>
      <c r="Q14" s="130">
        <f t="shared" si="2"/>
        <v>0.50510519893914574</v>
      </c>
      <c r="R14" s="128">
        <f t="shared" si="2"/>
        <v>8.5621872620235545E-2</v>
      </c>
      <c r="S14" s="129">
        <f t="shared" si="2"/>
        <v>8.5193763257134361E-2</v>
      </c>
      <c r="T14" s="129">
        <f t="shared" si="2"/>
        <v>8.4767794440848698E-2</v>
      </c>
      <c r="U14" s="129">
        <f t="shared" si="2"/>
        <v>8.4343955468644441E-2</v>
      </c>
      <c r="V14" s="130">
        <f t="shared" si="2"/>
        <v>8.3922235691301222E-2</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4"/>
    </row>
    <row r="15" spans="1:59" s="89" customFormat="1" ht="15" customHeight="1" thickBot="1">
      <c r="B15" s="176" t="s">
        <v>1701</v>
      </c>
      <c r="C15" s="132"/>
      <c r="D15" s="132"/>
      <c r="E15" s="132"/>
      <c r="F15" s="132"/>
      <c r="G15" s="145"/>
      <c r="H15" s="133"/>
      <c r="I15" s="146" t="s">
        <v>498</v>
      </c>
      <c r="J15" s="148">
        <f>SUM(J12:J14)</f>
        <v>2.5193312240193482</v>
      </c>
      <c r="K15" s="147">
        <f t="shared" ref="K15:V15" si="3">SUM(K12:K14)</f>
        <v>2.626877643311154</v>
      </c>
      <c r="L15" s="147">
        <f t="shared" si="3"/>
        <v>1.863412419057505</v>
      </c>
      <c r="M15" s="147">
        <f t="shared" si="3"/>
        <v>1.656983511593719</v>
      </c>
      <c r="N15" s="147">
        <f t="shared" si="3"/>
        <v>2.5315269795060518</v>
      </c>
      <c r="O15" s="147">
        <f t="shared" si="3"/>
        <v>1.476762616241831</v>
      </c>
      <c r="P15" s="147">
        <f t="shared" si="3"/>
        <v>4.8221869760373028</v>
      </c>
      <c r="Q15" s="149">
        <f t="shared" si="3"/>
        <v>4.644392487711845</v>
      </c>
      <c r="R15" s="148">
        <f t="shared" si="3"/>
        <v>0.75641721269517914</v>
      </c>
      <c r="S15" s="147">
        <f t="shared" si="3"/>
        <v>0.75263512663170329</v>
      </c>
      <c r="T15" s="147">
        <f t="shared" si="3"/>
        <v>0.74887195099854464</v>
      </c>
      <c r="U15" s="147">
        <f t="shared" si="3"/>
        <v>0.74512759124355199</v>
      </c>
      <c r="V15" s="149">
        <f t="shared" si="3"/>
        <v>0.74140195328733416</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4"/>
    </row>
    <row r="16" spans="1:59" s="89" customFormat="1" ht="15" customHeight="1" thickBot="1">
      <c r="B16" s="134"/>
      <c r="C16" s="134"/>
      <c r="D16" s="134"/>
      <c r="E16" s="134"/>
      <c r="F16" s="134"/>
      <c r="H16" s="114"/>
      <c r="I16" s="93"/>
      <c r="J16" s="92"/>
      <c r="P16" s="92"/>
      <c r="Q16" s="92"/>
      <c r="R16" s="92"/>
      <c r="S16" s="92"/>
      <c r="T16" s="92"/>
      <c r="U16" s="92"/>
      <c r="V16" s="92"/>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4"/>
    </row>
    <row r="17" spans="1:82" s="100" customFormat="1" ht="30" customHeight="1" thickBot="1">
      <c r="A17" s="89"/>
      <c r="B17" s="621" t="s">
        <v>2652</v>
      </c>
      <c r="C17" s="101"/>
      <c r="D17" s="102"/>
      <c r="E17" s="102"/>
      <c r="F17" s="102"/>
      <c r="G17" s="103"/>
      <c r="H17" s="103"/>
      <c r="I17" s="105" t="s">
        <v>1864</v>
      </c>
      <c r="J17" s="106"/>
      <c r="K17" s="106"/>
      <c r="L17" s="106"/>
      <c r="M17" s="106"/>
      <c r="N17" s="106"/>
      <c r="O17" s="106"/>
      <c r="P17" s="106"/>
      <c r="Q17" s="106"/>
      <c r="R17" s="105"/>
      <c r="S17" s="105"/>
      <c r="T17" s="105"/>
      <c r="U17" s="105"/>
      <c r="V17" s="105"/>
      <c r="W17" s="103"/>
      <c r="X17" s="105" t="s">
        <v>2202</v>
      </c>
      <c r="Y17" s="106"/>
      <c r="Z17" s="106"/>
      <c r="AA17" s="106"/>
      <c r="AB17" s="106"/>
      <c r="AC17" s="106"/>
      <c r="AD17" s="106"/>
      <c r="AE17" s="106"/>
      <c r="AF17" s="106"/>
      <c r="AG17" s="105"/>
      <c r="AH17" s="105"/>
      <c r="AI17" s="105"/>
      <c r="AJ17" s="105"/>
      <c r="AK17" s="105"/>
      <c r="AL17" s="103"/>
      <c r="AM17" s="105" t="s">
        <v>2231</v>
      </c>
      <c r="AN17" s="106"/>
      <c r="AO17" s="106"/>
      <c r="AP17" s="106"/>
      <c r="AQ17" s="106"/>
      <c r="AR17" s="106"/>
      <c r="AS17" s="106"/>
      <c r="AT17" s="106"/>
      <c r="AU17" s="106"/>
      <c r="AV17" s="105"/>
      <c r="AW17" s="105"/>
      <c r="AX17" s="105"/>
      <c r="AY17" s="105"/>
      <c r="AZ17" s="105"/>
      <c r="BA17" s="103"/>
      <c r="BB17" s="105" t="s">
        <v>2690</v>
      </c>
      <c r="BC17" s="105"/>
      <c r="BD17" s="105"/>
      <c r="BE17" s="105"/>
      <c r="BF17" s="105"/>
      <c r="BG17" s="105"/>
      <c r="BH17" s="105"/>
      <c r="BI17" s="105"/>
      <c r="BJ17" s="105"/>
      <c r="BK17" s="105"/>
      <c r="BL17" s="105"/>
      <c r="BM17" s="105"/>
      <c r="BN17" s="105"/>
      <c r="BO17" s="105"/>
      <c r="BP17" s="103"/>
      <c r="BQ17" s="105" t="s">
        <v>2691</v>
      </c>
      <c r="BR17" s="105"/>
      <c r="BS17" s="105"/>
      <c r="BT17" s="105"/>
      <c r="BU17" s="105"/>
      <c r="BV17" s="105"/>
      <c r="BW17" s="105"/>
      <c r="BX17" s="105"/>
      <c r="BY17" s="105"/>
      <c r="BZ17" s="105"/>
      <c r="CA17" s="105"/>
      <c r="CB17" s="105"/>
      <c r="CC17" s="105"/>
      <c r="CD17" s="187"/>
    </row>
    <row r="18" spans="1:82" s="157" customFormat="1" ht="30" customHeight="1">
      <c r="A18" s="99"/>
      <c r="B18" s="109"/>
      <c r="C18" s="110"/>
      <c r="D18" s="110"/>
      <c r="E18" s="110"/>
      <c r="F18" s="110"/>
      <c r="G18" s="111"/>
      <c r="H18" s="111"/>
      <c r="I18" s="117"/>
      <c r="J18" s="695" t="s">
        <v>1666</v>
      </c>
      <c r="K18" s="152"/>
      <c r="L18" s="152"/>
      <c r="M18" s="152"/>
      <c r="N18" s="152"/>
      <c r="O18" s="152"/>
      <c r="P18" s="152"/>
      <c r="Q18" s="153"/>
      <c r="R18" s="696" t="s">
        <v>2</v>
      </c>
      <c r="S18" s="155"/>
      <c r="T18" s="155"/>
      <c r="U18" s="155"/>
      <c r="V18" s="156"/>
      <c r="W18" s="222"/>
      <c r="X18" s="117"/>
      <c r="Y18" s="695" t="s">
        <v>1666</v>
      </c>
      <c r="Z18" s="152"/>
      <c r="AA18" s="152"/>
      <c r="AB18" s="152"/>
      <c r="AC18" s="152"/>
      <c r="AD18" s="152"/>
      <c r="AE18" s="152"/>
      <c r="AF18" s="153"/>
      <c r="AG18" s="696" t="s">
        <v>2</v>
      </c>
      <c r="AH18" s="155"/>
      <c r="AI18" s="155"/>
      <c r="AJ18" s="155"/>
      <c r="AK18" s="156"/>
      <c r="AL18" s="222"/>
      <c r="AM18" s="117"/>
      <c r="AN18" s="695" t="s">
        <v>1666</v>
      </c>
      <c r="AO18" s="152"/>
      <c r="AP18" s="152"/>
      <c r="AQ18" s="152"/>
      <c r="AR18" s="152"/>
      <c r="AS18" s="152"/>
      <c r="AT18" s="152"/>
      <c r="AU18" s="153"/>
      <c r="AV18" s="696" t="s">
        <v>2</v>
      </c>
      <c r="AW18" s="155"/>
      <c r="AX18" s="155"/>
      <c r="AY18" s="155"/>
      <c r="AZ18" s="156"/>
      <c r="BA18" s="222"/>
      <c r="BB18" s="527" t="s">
        <v>2693</v>
      </c>
      <c r="BC18" s="527"/>
      <c r="BD18" s="527" t="s">
        <v>2694</v>
      </c>
      <c r="BE18" s="527"/>
      <c r="BF18" s="527" t="s">
        <v>2695</v>
      </c>
      <c r="BG18" s="527"/>
      <c r="BH18" s="527" t="s">
        <v>2696</v>
      </c>
      <c r="BI18" s="527"/>
      <c r="BJ18" s="527" t="s">
        <v>2697</v>
      </c>
      <c r="BK18" s="527"/>
      <c r="BL18" s="527" t="s">
        <v>2698</v>
      </c>
      <c r="BM18" s="527"/>
      <c r="BN18" s="527" t="s">
        <v>2699</v>
      </c>
      <c r="BO18" s="527"/>
      <c r="BP18" s="222"/>
      <c r="BQ18" s="527" t="s">
        <v>2693</v>
      </c>
      <c r="BR18" s="527"/>
      <c r="BS18" s="527" t="s">
        <v>2694</v>
      </c>
      <c r="BT18" s="527"/>
      <c r="BU18" s="527" t="s">
        <v>2695</v>
      </c>
      <c r="BV18" s="527"/>
      <c r="BW18" s="527" t="s">
        <v>2696</v>
      </c>
      <c r="BX18" s="527"/>
      <c r="BY18" s="527" t="s">
        <v>2697</v>
      </c>
      <c r="BZ18" s="527"/>
      <c r="CA18" s="527" t="s">
        <v>2698</v>
      </c>
      <c r="CB18" s="527"/>
      <c r="CC18" s="527" t="s">
        <v>2699</v>
      </c>
      <c r="CD18" s="605"/>
    </row>
    <row r="19" spans="1:82" s="98" customFormat="1" ht="15" customHeight="1">
      <c r="A19" s="99"/>
      <c r="B19" s="115"/>
      <c r="C19" s="116"/>
      <c r="D19" s="116"/>
      <c r="E19" s="116"/>
      <c r="F19" s="116"/>
      <c r="G19" s="117"/>
      <c r="H19" s="117"/>
      <c r="I19" s="119" t="s">
        <v>1667</v>
      </c>
      <c r="J19" s="158" t="s">
        <v>453</v>
      </c>
      <c r="K19" s="137" t="s">
        <v>455</v>
      </c>
      <c r="L19" s="137" t="s">
        <v>457</v>
      </c>
      <c r="M19" s="137" t="s">
        <v>459</v>
      </c>
      <c r="N19" s="137" t="s">
        <v>461</v>
      </c>
      <c r="O19" s="137" t="s">
        <v>463</v>
      </c>
      <c r="P19" s="137" t="s">
        <v>465</v>
      </c>
      <c r="Q19" s="138" t="s">
        <v>467</v>
      </c>
      <c r="R19" s="120" t="s">
        <v>469</v>
      </c>
      <c r="S19" s="121" t="s">
        <v>471</v>
      </c>
      <c r="T19" s="121" t="s">
        <v>473</v>
      </c>
      <c r="U19" s="121" t="s">
        <v>475</v>
      </c>
      <c r="V19" s="122" t="s">
        <v>477</v>
      </c>
      <c r="W19" s="185"/>
      <c r="X19" s="119" t="s">
        <v>1667</v>
      </c>
      <c r="Y19" s="158" t="s">
        <v>453</v>
      </c>
      <c r="Z19" s="137" t="s">
        <v>455</v>
      </c>
      <c r="AA19" s="137" t="s">
        <v>457</v>
      </c>
      <c r="AB19" s="137" t="s">
        <v>459</v>
      </c>
      <c r="AC19" s="137" t="s">
        <v>461</v>
      </c>
      <c r="AD19" s="137" t="s">
        <v>463</v>
      </c>
      <c r="AE19" s="137" t="s">
        <v>465</v>
      </c>
      <c r="AF19" s="138" t="s">
        <v>467</v>
      </c>
      <c r="AG19" s="120" t="s">
        <v>469</v>
      </c>
      <c r="AH19" s="121" t="s">
        <v>471</v>
      </c>
      <c r="AI19" s="121" t="s">
        <v>473</v>
      </c>
      <c r="AJ19" s="121" t="s">
        <v>475</v>
      </c>
      <c r="AK19" s="122" t="s">
        <v>477</v>
      </c>
      <c r="AL19" s="185"/>
      <c r="AM19" s="119" t="s">
        <v>1667</v>
      </c>
      <c r="AN19" s="158" t="s">
        <v>453</v>
      </c>
      <c r="AO19" s="137" t="s">
        <v>455</v>
      </c>
      <c r="AP19" s="137" t="s">
        <v>457</v>
      </c>
      <c r="AQ19" s="137" t="s">
        <v>459</v>
      </c>
      <c r="AR19" s="137" t="s">
        <v>461</v>
      </c>
      <c r="AS19" s="137" t="s">
        <v>463</v>
      </c>
      <c r="AT19" s="137" t="s">
        <v>465</v>
      </c>
      <c r="AU19" s="138" t="s">
        <v>467</v>
      </c>
      <c r="AV19" s="120" t="s">
        <v>469</v>
      </c>
      <c r="AW19" s="121" t="s">
        <v>471</v>
      </c>
      <c r="AX19" s="121" t="s">
        <v>473</v>
      </c>
      <c r="AY19" s="121" t="s">
        <v>475</v>
      </c>
      <c r="AZ19" s="122" t="s">
        <v>477</v>
      </c>
      <c r="BA19" s="185"/>
      <c r="BB19" s="531" t="s">
        <v>1667</v>
      </c>
      <c r="BC19" s="531" t="s">
        <v>2142</v>
      </c>
      <c r="BD19" s="531" t="s">
        <v>1667</v>
      </c>
      <c r="BE19" s="531" t="s">
        <v>2142</v>
      </c>
      <c r="BF19" s="531" t="s">
        <v>1667</v>
      </c>
      <c r="BG19" s="531" t="s">
        <v>2142</v>
      </c>
      <c r="BH19" s="531" t="s">
        <v>1667</v>
      </c>
      <c r="BI19" s="531" t="s">
        <v>2142</v>
      </c>
      <c r="BJ19" s="531" t="s">
        <v>1667</v>
      </c>
      <c r="BK19" s="531" t="s">
        <v>2142</v>
      </c>
      <c r="BL19" s="531" t="s">
        <v>1667</v>
      </c>
      <c r="BM19" s="531" t="s">
        <v>2142</v>
      </c>
      <c r="BN19" s="531" t="s">
        <v>1667</v>
      </c>
      <c r="BO19" s="531" t="s">
        <v>2142</v>
      </c>
      <c r="BP19" s="185"/>
      <c r="BQ19" s="531" t="s">
        <v>1667</v>
      </c>
      <c r="BR19" s="531" t="s">
        <v>2142</v>
      </c>
      <c r="BS19" s="531" t="s">
        <v>1667</v>
      </c>
      <c r="BT19" s="531" t="s">
        <v>2142</v>
      </c>
      <c r="BU19" s="531" t="s">
        <v>1667</v>
      </c>
      <c r="BV19" s="531" t="s">
        <v>2142</v>
      </c>
      <c r="BW19" s="531" t="s">
        <v>1667</v>
      </c>
      <c r="BX19" s="531" t="s">
        <v>2142</v>
      </c>
      <c r="BY19" s="531" t="s">
        <v>1667</v>
      </c>
      <c r="BZ19" s="531" t="s">
        <v>2142</v>
      </c>
      <c r="CA19" s="531" t="s">
        <v>1667</v>
      </c>
      <c r="CB19" s="531" t="s">
        <v>2142</v>
      </c>
      <c r="CC19" s="531" t="s">
        <v>1667</v>
      </c>
      <c r="CD19" s="532" t="s">
        <v>2142</v>
      </c>
    </row>
    <row r="20" spans="1:82" s="98" customFormat="1" ht="15" customHeight="1">
      <c r="A20" s="99"/>
      <c r="B20" s="161"/>
      <c r="C20" s="116" t="s">
        <v>2687</v>
      </c>
      <c r="D20" s="116"/>
      <c r="E20" s="116"/>
      <c r="F20" s="116"/>
      <c r="G20" s="117"/>
      <c r="H20" s="117"/>
      <c r="I20" s="117"/>
      <c r="J20" s="159"/>
      <c r="K20" s="117"/>
      <c r="L20" s="117"/>
      <c r="M20" s="117"/>
      <c r="N20" s="117"/>
      <c r="O20" s="117"/>
      <c r="P20" s="117"/>
      <c r="Q20" s="160"/>
      <c r="R20" s="159"/>
      <c r="S20" s="117"/>
      <c r="T20" s="117"/>
      <c r="U20" s="117"/>
      <c r="V20" s="160"/>
      <c r="W20" s="185"/>
      <c r="X20" s="117"/>
      <c r="Y20" s="159"/>
      <c r="Z20" s="117"/>
      <c r="AA20" s="117"/>
      <c r="AB20" s="117"/>
      <c r="AC20" s="117"/>
      <c r="AD20" s="117"/>
      <c r="AE20" s="117"/>
      <c r="AF20" s="160"/>
      <c r="AG20" s="159"/>
      <c r="AH20" s="117"/>
      <c r="AI20" s="117"/>
      <c r="AJ20" s="117"/>
      <c r="AK20" s="160"/>
      <c r="AL20" s="185"/>
      <c r="AM20" s="117"/>
      <c r="AN20" s="159"/>
      <c r="AO20" s="117"/>
      <c r="AP20" s="117"/>
      <c r="AQ20" s="117"/>
      <c r="AR20" s="117"/>
      <c r="AS20" s="117"/>
      <c r="AT20" s="117"/>
      <c r="AU20" s="160"/>
      <c r="AV20" s="159"/>
      <c r="AW20" s="117"/>
      <c r="AX20" s="117"/>
      <c r="AY20" s="117"/>
      <c r="AZ20" s="160"/>
      <c r="BA20" s="185"/>
      <c r="BB20" s="530"/>
      <c r="BC20" s="530"/>
      <c r="BD20" s="530"/>
      <c r="BE20" s="530"/>
      <c r="BF20" s="530"/>
      <c r="BG20" s="530"/>
      <c r="BH20" s="530"/>
      <c r="BI20" s="530"/>
      <c r="BJ20" s="530"/>
      <c r="BK20" s="530"/>
      <c r="BL20" s="530"/>
      <c r="BM20" s="530"/>
      <c r="BN20" s="530"/>
      <c r="BO20" s="530"/>
      <c r="BP20" s="185"/>
      <c r="BQ20" s="530"/>
      <c r="BR20" s="530"/>
      <c r="BS20" s="530"/>
      <c r="BT20" s="530"/>
      <c r="BU20" s="530"/>
      <c r="BV20" s="530"/>
      <c r="BW20" s="530"/>
      <c r="BX20" s="530"/>
      <c r="BY20" s="530"/>
      <c r="BZ20" s="530"/>
      <c r="CA20" s="530"/>
      <c r="CB20" s="530"/>
      <c r="CC20" s="530"/>
      <c r="CD20" s="544"/>
    </row>
    <row r="21" spans="1:82" s="98" customFormat="1" ht="15" customHeight="1">
      <c r="A21" s="99"/>
      <c r="B21" s="161"/>
      <c r="C21" s="162"/>
      <c r="D21" s="162" t="s">
        <v>2701</v>
      </c>
      <c r="E21" s="162"/>
      <c r="F21" s="162"/>
      <c r="G21" s="163"/>
      <c r="H21" s="163"/>
      <c r="I21" s="164" t="s">
        <v>498</v>
      </c>
      <c r="J21" s="143">
        <v>2.8469516931958663E-2</v>
      </c>
      <c r="K21" s="141">
        <v>4.4112224255569099E-2</v>
      </c>
      <c r="L21" s="141">
        <v>1.0730565216719661E-2</v>
      </c>
      <c r="M21" s="141">
        <v>6.4949707015750178E-3</v>
      </c>
      <c r="N21" s="141">
        <v>1.9579114229435441E-2</v>
      </c>
      <c r="O21" s="141">
        <v>5.1610821647690187E-3</v>
      </c>
      <c r="P21" s="141">
        <v>3.7872563255480073E-2</v>
      </c>
      <c r="Q21" s="144">
        <v>3.3418841269064914E-2</v>
      </c>
      <c r="R21" s="143">
        <v>2.1351291517495525E-3</v>
      </c>
      <c r="S21" s="141">
        <v>2.1244535059908049E-3</v>
      </c>
      <c r="T21" s="141">
        <v>2.1138312384608509E-3</v>
      </c>
      <c r="U21" s="141">
        <v>2.1032620822685468E-3</v>
      </c>
      <c r="V21" s="144">
        <v>2.092745771857204E-3</v>
      </c>
      <c r="W21" s="185"/>
      <c r="X21" s="164" t="s">
        <v>498</v>
      </c>
      <c r="Y21" s="143">
        <v>0</v>
      </c>
      <c r="Z21" s="141">
        <v>0</v>
      </c>
      <c r="AA21" s="141">
        <v>0</v>
      </c>
      <c r="AB21" s="141">
        <v>0</v>
      </c>
      <c r="AC21" s="141">
        <v>0</v>
      </c>
      <c r="AD21" s="141">
        <v>0</v>
      </c>
      <c r="AE21" s="141">
        <v>0</v>
      </c>
      <c r="AF21" s="144">
        <v>0</v>
      </c>
      <c r="AG21" s="143">
        <v>0</v>
      </c>
      <c r="AH21" s="141">
        <v>0</v>
      </c>
      <c r="AI21" s="141">
        <v>0</v>
      </c>
      <c r="AJ21" s="141">
        <v>0</v>
      </c>
      <c r="AK21" s="144">
        <v>0</v>
      </c>
      <c r="AL21" s="185"/>
      <c r="AM21" s="164" t="s">
        <v>2233</v>
      </c>
      <c r="AN21" s="143">
        <v>0.224</v>
      </c>
      <c r="AO21" s="141">
        <v>0.40899999999999997</v>
      </c>
      <c r="AP21" s="141">
        <v>4.4999999999999998E-2</v>
      </c>
      <c r="AQ21" s="141">
        <v>1.7999999999999999E-2</v>
      </c>
      <c r="AR21" s="141">
        <v>0.19500000000000001</v>
      </c>
      <c r="AS21" s="141">
        <v>6.0999999999999999E-2</v>
      </c>
      <c r="AT21" s="141">
        <v>0.3232750410507092</v>
      </c>
      <c r="AU21" s="144">
        <v>0.29206748692364048</v>
      </c>
      <c r="AV21" s="143">
        <v>1.527544414352414E-2</v>
      </c>
      <c r="AW21" s="141">
        <v>1.527544414352414E-2</v>
      </c>
      <c r="AX21" s="141">
        <v>1.527544414352414E-2</v>
      </c>
      <c r="AY21" s="141">
        <v>1.527544414352414E-2</v>
      </c>
      <c r="AZ21" s="144">
        <v>1.527544414352414E-2</v>
      </c>
      <c r="BA21" s="185"/>
      <c r="BB21" s="545" t="s">
        <v>627</v>
      </c>
      <c r="BC21" s="868">
        <v>0</v>
      </c>
      <c r="BD21" s="545" t="s">
        <v>627</v>
      </c>
      <c r="BE21" s="868">
        <v>0</v>
      </c>
      <c r="BF21" s="545" t="s">
        <v>2233</v>
      </c>
      <c r="BG21" s="141">
        <v>0.92179596766677774</v>
      </c>
      <c r="BH21" s="545" t="s">
        <v>2233</v>
      </c>
      <c r="BI21" s="141">
        <v>0</v>
      </c>
      <c r="BJ21" s="545" t="s">
        <v>2233</v>
      </c>
      <c r="BK21" s="141">
        <v>0.54352052347735225</v>
      </c>
      <c r="BL21" s="545" t="s">
        <v>2233</v>
      </c>
      <c r="BM21" s="141">
        <v>6.915510278237437E-2</v>
      </c>
      <c r="BN21" s="545" t="s">
        <v>2233</v>
      </c>
      <c r="BO21" s="141">
        <v>3.2870934047845329E-2</v>
      </c>
      <c r="BP21" s="185"/>
      <c r="BQ21" s="545" t="s">
        <v>627</v>
      </c>
      <c r="BR21" s="868">
        <v>0</v>
      </c>
      <c r="BS21" s="545" t="s">
        <v>627</v>
      </c>
      <c r="BT21" s="868">
        <v>0</v>
      </c>
      <c r="BU21" s="545" t="s">
        <v>2233</v>
      </c>
      <c r="BV21" s="141">
        <v>4.4919481748568003E-2</v>
      </c>
      <c r="BW21" s="545" t="s">
        <v>2233</v>
      </c>
      <c r="BX21" s="141">
        <v>0</v>
      </c>
      <c r="BY21" s="545" t="s">
        <v>2233</v>
      </c>
      <c r="BZ21" s="141">
        <v>2.6485969879116205E-2</v>
      </c>
      <c r="CA21" s="545" t="s">
        <v>2233</v>
      </c>
      <c r="CB21" s="141">
        <v>3.3699554849605877E-3</v>
      </c>
      <c r="CC21" s="545" t="s">
        <v>2233</v>
      </c>
      <c r="CD21" s="144">
        <v>1.6018136049759015E-3</v>
      </c>
    </row>
    <row r="22" spans="1:82" s="98" customFormat="1" ht="15" customHeight="1">
      <c r="A22" s="99"/>
      <c r="B22" s="161"/>
      <c r="C22" s="162"/>
      <c r="D22" s="162" t="s">
        <v>2702</v>
      </c>
      <c r="E22" s="162"/>
      <c r="F22" s="162"/>
      <c r="G22" s="163"/>
      <c r="H22" s="163"/>
      <c r="I22" s="164" t="s">
        <v>498</v>
      </c>
      <c r="J22" s="143">
        <v>3.9861750739621837E-2</v>
      </c>
      <c r="K22" s="141">
        <v>2.7769621879151329E-2</v>
      </c>
      <c r="L22" s="141">
        <v>0.10909400586574847</v>
      </c>
      <c r="M22" s="141">
        <v>0.17017935220331759</v>
      </c>
      <c r="N22" s="141">
        <v>1.2698685937704624E-3</v>
      </c>
      <c r="O22" s="141">
        <v>1.3373067996931704E-2</v>
      </c>
      <c r="P22" s="141">
        <v>0.12157913812363351</v>
      </c>
      <c r="Q22" s="144">
        <v>0.11446184784333044</v>
      </c>
      <c r="R22" s="143">
        <v>2.1986452810801554E-2</v>
      </c>
      <c r="S22" s="141">
        <v>2.1876520546747547E-2</v>
      </c>
      <c r="T22" s="141">
        <v>2.1767137944013807E-2</v>
      </c>
      <c r="U22" s="141">
        <v>2.1658302254293736E-2</v>
      </c>
      <c r="V22" s="144">
        <v>2.1550010743022267E-2</v>
      </c>
      <c r="W22" s="185"/>
      <c r="X22" s="164" t="s">
        <v>498</v>
      </c>
      <c r="Y22" s="143">
        <v>0</v>
      </c>
      <c r="Z22" s="141">
        <v>0</v>
      </c>
      <c r="AA22" s="141">
        <v>0</v>
      </c>
      <c r="AB22" s="141">
        <v>0</v>
      </c>
      <c r="AC22" s="141">
        <v>0</v>
      </c>
      <c r="AD22" s="141">
        <v>0</v>
      </c>
      <c r="AE22" s="141">
        <v>0</v>
      </c>
      <c r="AF22" s="144">
        <v>0</v>
      </c>
      <c r="AG22" s="143">
        <v>0</v>
      </c>
      <c r="AH22" s="141">
        <v>0</v>
      </c>
      <c r="AI22" s="141">
        <v>0</v>
      </c>
      <c r="AJ22" s="141">
        <v>0</v>
      </c>
      <c r="AK22" s="144">
        <v>0</v>
      </c>
      <c r="AL22" s="185"/>
      <c r="AM22" s="164" t="s">
        <v>2233</v>
      </c>
      <c r="AN22" s="143">
        <v>0.30499999999999999</v>
      </c>
      <c r="AO22" s="141">
        <v>0.191</v>
      </c>
      <c r="AP22" s="141">
        <v>0.16350000000000001</v>
      </c>
      <c r="AQ22" s="141">
        <v>0.17899999999999999</v>
      </c>
      <c r="AR22" s="141">
        <v>1.9E-2</v>
      </c>
      <c r="AS22" s="141">
        <v>8.4000000000000005E-2</v>
      </c>
      <c r="AT22" s="141">
        <v>0.39255114506280681</v>
      </c>
      <c r="AU22" s="144">
        <v>0.37839230094911308</v>
      </c>
      <c r="AV22" s="143">
        <v>0.13946073435845588</v>
      </c>
      <c r="AW22" s="141">
        <v>0.13946073435845588</v>
      </c>
      <c r="AX22" s="141">
        <v>0.13946073435845588</v>
      </c>
      <c r="AY22" s="141">
        <v>0.13946073435845588</v>
      </c>
      <c r="AZ22" s="144">
        <v>0.13946073435845588</v>
      </c>
      <c r="BA22" s="185"/>
      <c r="BB22" s="545" t="s">
        <v>627</v>
      </c>
      <c r="BC22" s="868">
        <v>0</v>
      </c>
      <c r="BD22" s="545" t="s">
        <v>627</v>
      </c>
      <c r="BE22" s="868">
        <v>0</v>
      </c>
      <c r="BF22" s="545" t="s">
        <v>2233</v>
      </c>
      <c r="BG22" s="141">
        <v>1.0071336898076069</v>
      </c>
      <c r="BH22" s="545" t="s">
        <v>2233</v>
      </c>
      <c r="BI22" s="141">
        <v>0</v>
      </c>
      <c r="BJ22" s="545" t="s">
        <v>2233</v>
      </c>
      <c r="BK22" s="141">
        <v>0.59383838668926348</v>
      </c>
      <c r="BL22" s="545" t="s">
        <v>2233</v>
      </c>
      <c r="BM22" s="141">
        <v>7.555732100947353E-2</v>
      </c>
      <c r="BN22" s="545" t="s">
        <v>2233</v>
      </c>
      <c r="BO22" s="141">
        <v>3.5914048505575932E-2</v>
      </c>
      <c r="BP22" s="185"/>
      <c r="BQ22" s="545" t="s">
        <v>627</v>
      </c>
      <c r="BR22" s="868">
        <v>0</v>
      </c>
      <c r="BS22" s="545" t="s">
        <v>627</v>
      </c>
      <c r="BT22" s="868">
        <v>0</v>
      </c>
      <c r="BU22" s="545" t="s">
        <v>2233</v>
      </c>
      <c r="BV22" s="141">
        <v>0.41010289801048555</v>
      </c>
      <c r="BW22" s="545" t="s">
        <v>2233</v>
      </c>
      <c r="BX22" s="141">
        <v>0</v>
      </c>
      <c r="BY22" s="545" t="s">
        <v>2233</v>
      </c>
      <c r="BZ22" s="141">
        <v>0.24180984689099305</v>
      </c>
      <c r="CA22" s="545" t="s">
        <v>2233</v>
      </c>
      <c r="CB22" s="141">
        <v>3.0766795536164581E-2</v>
      </c>
      <c r="CC22" s="545" t="s">
        <v>2233</v>
      </c>
      <c r="CD22" s="144">
        <v>1.4624131354636168E-2</v>
      </c>
    </row>
    <row r="23" spans="1:82" s="98" customFormat="1" ht="15" customHeight="1">
      <c r="A23" s="99"/>
      <c r="B23" s="161"/>
      <c r="C23" s="162"/>
      <c r="D23" s="162" t="s">
        <v>2703</v>
      </c>
      <c r="E23" s="162"/>
      <c r="F23" s="162"/>
      <c r="G23" s="163"/>
      <c r="H23" s="163"/>
      <c r="I23" s="164" t="s">
        <v>498</v>
      </c>
      <c r="J23" s="143">
        <v>9.9096076406783973E-2</v>
      </c>
      <c r="K23" s="141">
        <v>6.1861299379044984E-2</v>
      </c>
      <c r="L23" s="141">
        <v>0.15633803547670191</v>
      </c>
      <c r="M23" s="141">
        <v>0.1415143578684247</v>
      </c>
      <c r="N23" s="141">
        <v>0.40162239095048752</v>
      </c>
      <c r="O23" s="141">
        <v>7.5604810929922397E-2</v>
      </c>
      <c r="P23" s="141">
        <v>0.37497156316036673</v>
      </c>
      <c r="Q23" s="144">
        <v>0.40054821540808044</v>
      </c>
      <c r="R23" s="143">
        <v>4.7892244283213627E-2</v>
      </c>
      <c r="S23" s="141">
        <v>4.7652783061797557E-2</v>
      </c>
      <c r="T23" s="141">
        <v>4.7414519146488567E-2</v>
      </c>
      <c r="U23" s="141">
        <v>4.7177446550756126E-2</v>
      </c>
      <c r="V23" s="144">
        <v>4.6941559318002347E-2</v>
      </c>
      <c r="W23" s="185"/>
      <c r="X23" s="164" t="s">
        <v>498</v>
      </c>
      <c r="Y23" s="143">
        <v>0</v>
      </c>
      <c r="Z23" s="141">
        <v>0</v>
      </c>
      <c r="AA23" s="141">
        <v>0</v>
      </c>
      <c r="AB23" s="141">
        <v>0</v>
      </c>
      <c r="AC23" s="141">
        <v>0</v>
      </c>
      <c r="AD23" s="141">
        <v>0</v>
      </c>
      <c r="AE23" s="141">
        <v>0</v>
      </c>
      <c r="AF23" s="144">
        <v>0</v>
      </c>
      <c r="AG23" s="143">
        <v>0</v>
      </c>
      <c r="AH23" s="141">
        <v>0</v>
      </c>
      <c r="AI23" s="141">
        <v>0</v>
      </c>
      <c r="AJ23" s="141">
        <v>0</v>
      </c>
      <c r="AK23" s="144">
        <v>0</v>
      </c>
      <c r="AL23" s="185"/>
      <c r="AM23" s="164" t="s">
        <v>2233</v>
      </c>
      <c r="AN23" s="143">
        <v>0.64600000000000002</v>
      </c>
      <c r="AO23" s="141">
        <v>0.28699999999999998</v>
      </c>
      <c r="AP23" s="141">
        <v>1.0245</v>
      </c>
      <c r="AQ23" s="141">
        <v>0.85499999999999998</v>
      </c>
      <c r="AR23" s="141">
        <v>2.5920000000000001</v>
      </c>
      <c r="AS23" s="141">
        <v>0.66400000000000003</v>
      </c>
      <c r="AT23" s="141">
        <v>2.5030654490615336</v>
      </c>
      <c r="AU23" s="144">
        <v>2.7376191097730285</v>
      </c>
      <c r="AV23" s="143">
        <v>0.23052103319648884</v>
      </c>
      <c r="AW23" s="141">
        <v>0.23052103319648884</v>
      </c>
      <c r="AX23" s="141">
        <v>0.23052103319648884</v>
      </c>
      <c r="AY23" s="141">
        <v>0.23052103319648884</v>
      </c>
      <c r="AZ23" s="144">
        <v>0.23052103319648884</v>
      </c>
      <c r="BA23" s="185"/>
      <c r="BB23" s="545" t="s">
        <v>627</v>
      </c>
      <c r="BC23" s="868">
        <v>0</v>
      </c>
      <c r="BD23" s="545" t="s">
        <v>627</v>
      </c>
      <c r="BE23" s="868">
        <v>0</v>
      </c>
      <c r="BF23" s="545" t="s">
        <v>2233</v>
      </c>
      <c r="BG23" s="141">
        <v>6.6512332421721236</v>
      </c>
      <c r="BH23" s="545" t="s">
        <v>2233</v>
      </c>
      <c r="BI23" s="141">
        <v>0</v>
      </c>
      <c r="BJ23" s="545" t="s">
        <v>2233</v>
      </c>
      <c r="BK23" s="141">
        <v>3.9217808499485476</v>
      </c>
      <c r="BL23" s="545" t="s">
        <v>2233</v>
      </c>
      <c r="BM23" s="141">
        <v>0.49898972725625212</v>
      </c>
      <c r="BN23" s="545" t="s">
        <v>2233</v>
      </c>
      <c r="BO23" s="141">
        <v>0.23718073945763912</v>
      </c>
      <c r="BP23" s="185"/>
      <c r="BQ23" s="545" t="s">
        <v>627</v>
      </c>
      <c r="BR23" s="868">
        <v>0</v>
      </c>
      <c r="BS23" s="545" t="s">
        <v>627</v>
      </c>
      <c r="BT23" s="868">
        <v>0</v>
      </c>
      <c r="BU23" s="545" t="s">
        <v>2233</v>
      </c>
      <c r="BV23" s="141">
        <v>0.67787785716990501</v>
      </c>
      <c r="BW23" s="545" t="s">
        <v>2233</v>
      </c>
      <c r="BX23" s="141">
        <v>0</v>
      </c>
      <c r="BY23" s="545" t="s">
        <v>2233</v>
      </c>
      <c r="BZ23" s="141">
        <v>0.39969856747722404</v>
      </c>
      <c r="CA23" s="545" t="s">
        <v>2233</v>
      </c>
      <c r="CB23" s="141">
        <v>5.0855845036009942E-2</v>
      </c>
      <c r="CC23" s="545" t="s">
        <v>2233</v>
      </c>
      <c r="CD23" s="144">
        <v>2.4172896299305153E-2</v>
      </c>
    </row>
    <row r="24" spans="1:82" s="98" customFormat="1" ht="15" customHeight="1">
      <c r="A24" s="99"/>
      <c r="B24" s="161"/>
      <c r="C24" s="162"/>
      <c r="D24" s="162" t="s">
        <v>2704</v>
      </c>
      <c r="E24" s="162"/>
      <c r="F24" s="162"/>
      <c r="G24" s="163"/>
      <c r="H24" s="163"/>
      <c r="I24" s="164" t="s">
        <v>498</v>
      </c>
      <c r="J24" s="143">
        <v>0.54416351457984857</v>
      </c>
      <c r="K24" s="141">
        <v>0.4539281934547279</v>
      </c>
      <c r="L24" s="141">
        <v>0.38476850664019752</v>
      </c>
      <c r="M24" s="141">
        <v>7.841561700943192E-2</v>
      </c>
      <c r="N24" s="141">
        <v>0.40641135841620685</v>
      </c>
      <c r="O24" s="141">
        <v>0.46267368176793772</v>
      </c>
      <c r="P24" s="141">
        <v>0.88509120911052086</v>
      </c>
      <c r="Q24" s="144">
        <v>0.89125634832742096</v>
      </c>
      <c r="R24" s="143">
        <v>0.16276700774794406</v>
      </c>
      <c r="S24" s="141">
        <v>0.16195317270920434</v>
      </c>
      <c r="T24" s="141">
        <v>0.16114340684565831</v>
      </c>
      <c r="U24" s="141">
        <v>0.16033768981143001</v>
      </c>
      <c r="V24" s="144">
        <v>0.15953600136237286</v>
      </c>
      <c r="W24" s="185"/>
      <c r="X24" s="164" t="s">
        <v>498</v>
      </c>
      <c r="Y24" s="143">
        <v>0</v>
      </c>
      <c r="Z24" s="141">
        <v>0</v>
      </c>
      <c r="AA24" s="141">
        <v>0</v>
      </c>
      <c r="AB24" s="141">
        <v>0</v>
      </c>
      <c r="AC24" s="141">
        <v>0</v>
      </c>
      <c r="AD24" s="141">
        <v>0</v>
      </c>
      <c r="AE24" s="141">
        <v>0</v>
      </c>
      <c r="AF24" s="144">
        <v>0</v>
      </c>
      <c r="AG24" s="143">
        <v>0</v>
      </c>
      <c r="AH24" s="141">
        <v>0</v>
      </c>
      <c r="AI24" s="141">
        <v>0</v>
      </c>
      <c r="AJ24" s="141">
        <v>0</v>
      </c>
      <c r="AK24" s="144">
        <v>0</v>
      </c>
      <c r="AL24" s="185"/>
      <c r="AM24" s="164" t="s">
        <v>2233</v>
      </c>
      <c r="AN24" s="143">
        <v>2.0710000000000002</v>
      </c>
      <c r="AO24" s="141">
        <v>1.798</v>
      </c>
      <c r="AP24" s="141">
        <v>1.1425000000000001</v>
      </c>
      <c r="AQ24" s="141">
        <v>0.377</v>
      </c>
      <c r="AR24" s="141">
        <v>1.302</v>
      </c>
      <c r="AS24" s="141">
        <v>1.37</v>
      </c>
      <c r="AT24" s="141">
        <v>3.1821276892410242</v>
      </c>
      <c r="AU24" s="144">
        <v>3.2807758695552911</v>
      </c>
      <c r="AV24" s="143">
        <v>0.49210327764628331</v>
      </c>
      <c r="AW24" s="141">
        <v>0.49210327764628331</v>
      </c>
      <c r="AX24" s="141">
        <v>0.49210327764628331</v>
      </c>
      <c r="AY24" s="141">
        <v>0.49210327764628331</v>
      </c>
      <c r="AZ24" s="144">
        <v>0.49210327764628331</v>
      </c>
      <c r="BA24" s="185"/>
      <c r="BB24" s="545" t="s">
        <v>627</v>
      </c>
      <c r="BC24" s="868">
        <v>0</v>
      </c>
      <c r="BD24" s="545" t="s">
        <v>627</v>
      </c>
      <c r="BE24" s="868">
        <v>0</v>
      </c>
      <c r="BF24" s="545" t="s">
        <v>2233</v>
      </c>
      <c r="BG24" s="141">
        <v>8.5416012124663467</v>
      </c>
      <c r="BH24" s="545" t="s">
        <v>2233</v>
      </c>
      <c r="BI24" s="141">
        <v>0</v>
      </c>
      <c r="BJ24" s="545" t="s">
        <v>2233</v>
      </c>
      <c r="BK24" s="141">
        <v>5.0364025502146017</v>
      </c>
      <c r="BL24" s="545" t="s">
        <v>2233</v>
      </c>
      <c r="BM24" s="141">
        <v>0.6408091708941992</v>
      </c>
      <c r="BN24" s="545" t="s">
        <v>2233</v>
      </c>
      <c r="BO24" s="141">
        <v>0.30459062522116975</v>
      </c>
      <c r="BP24" s="185"/>
      <c r="BQ24" s="545" t="s">
        <v>627</v>
      </c>
      <c r="BR24" s="868">
        <v>0</v>
      </c>
      <c r="BS24" s="545" t="s">
        <v>627</v>
      </c>
      <c r="BT24" s="868">
        <v>0</v>
      </c>
      <c r="BU24" s="545" t="s">
        <v>2233</v>
      </c>
      <c r="BV24" s="141">
        <v>1.4470953506130231</v>
      </c>
      <c r="BW24" s="545" t="s">
        <v>2233</v>
      </c>
      <c r="BX24" s="141">
        <v>0</v>
      </c>
      <c r="BY24" s="545" t="s">
        <v>2233</v>
      </c>
      <c r="BZ24" s="141">
        <v>0.85325391960399211</v>
      </c>
      <c r="CA24" s="545" t="s">
        <v>2233</v>
      </c>
      <c r="CB24" s="141">
        <v>0.10856418471957963</v>
      </c>
      <c r="CC24" s="545" t="s">
        <v>2233</v>
      </c>
      <c r="CD24" s="144">
        <v>5.1602933294821643E-2</v>
      </c>
    </row>
    <row r="25" spans="1:82" s="98" customFormat="1" ht="15" customHeight="1">
      <c r="A25" s="99"/>
      <c r="B25" s="161"/>
      <c r="C25" s="162"/>
      <c r="D25" s="162" t="s">
        <v>2705</v>
      </c>
      <c r="E25" s="162"/>
      <c r="F25" s="162"/>
      <c r="G25" s="163"/>
      <c r="H25" s="163"/>
      <c r="I25" s="164" t="s">
        <v>498</v>
      </c>
      <c r="J25" s="143">
        <v>0.950256510335032</v>
      </c>
      <c r="K25" s="141">
        <v>1.2159996151346404</v>
      </c>
      <c r="L25" s="141">
        <v>0.63618150553264552</v>
      </c>
      <c r="M25" s="141">
        <v>0.18649242093274798</v>
      </c>
      <c r="N25" s="141">
        <v>0.65492706898857667</v>
      </c>
      <c r="O25" s="141">
        <v>0.51294345467095814</v>
      </c>
      <c r="P25" s="141">
        <v>1.5685433586617785</v>
      </c>
      <c r="Q25" s="144">
        <v>1.4615231518234142</v>
      </c>
      <c r="R25" s="143">
        <v>0.21238938145980868</v>
      </c>
      <c r="S25" s="141">
        <v>0.21132743455250963</v>
      </c>
      <c r="T25" s="141">
        <v>0.21027079737974708</v>
      </c>
      <c r="U25" s="141">
        <v>0.20921944339284834</v>
      </c>
      <c r="V25" s="144">
        <v>0.20817334617588409</v>
      </c>
      <c r="W25" s="185"/>
      <c r="X25" s="164" t="s">
        <v>498</v>
      </c>
      <c r="Y25" s="143">
        <v>0</v>
      </c>
      <c r="Z25" s="141">
        <v>0</v>
      </c>
      <c r="AA25" s="141">
        <v>0</v>
      </c>
      <c r="AB25" s="141">
        <v>0</v>
      </c>
      <c r="AC25" s="141">
        <v>0</v>
      </c>
      <c r="AD25" s="141">
        <v>0</v>
      </c>
      <c r="AE25" s="141">
        <v>0</v>
      </c>
      <c r="AF25" s="144">
        <v>0</v>
      </c>
      <c r="AG25" s="143">
        <v>0</v>
      </c>
      <c r="AH25" s="141">
        <v>0</v>
      </c>
      <c r="AI25" s="141">
        <v>0</v>
      </c>
      <c r="AJ25" s="141">
        <v>0</v>
      </c>
      <c r="AK25" s="144">
        <v>0</v>
      </c>
      <c r="AL25" s="185"/>
      <c r="AM25" s="164" t="s">
        <v>2233</v>
      </c>
      <c r="AN25" s="143">
        <v>2.5939999999999999</v>
      </c>
      <c r="AO25" s="141">
        <v>3.194</v>
      </c>
      <c r="AP25" s="141">
        <v>1.542</v>
      </c>
      <c r="AQ25" s="141">
        <v>0.495</v>
      </c>
      <c r="AR25" s="141">
        <v>1.3460000000000001</v>
      </c>
      <c r="AS25" s="141">
        <v>1.1379999999999999</v>
      </c>
      <c r="AT25" s="141">
        <v>4.051591799161943</v>
      </c>
      <c r="AU25" s="144">
        <v>3.8652643831546087</v>
      </c>
      <c r="AV25" s="143">
        <v>0.46963308519927038</v>
      </c>
      <c r="AW25" s="141">
        <v>0.46963308519927038</v>
      </c>
      <c r="AX25" s="141">
        <v>0.46963308519927038</v>
      </c>
      <c r="AY25" s="141">
        <v>0.46963308519927038</v>
      </c>
      <c r="AZ25" s="144">
        <v>0.46963308519927038</v>
      </c>
      <c r="BA25" s="185"/>
      <c r="BB25" s="545" t="s">
        <v>627</v>
      </c>
      <c r="BC25" s="868">
        <v>0</v>
      </c>
      <c r="BD25" s="545" t="s">
        <v>627</v>
      </c>
      <c r="BE25" s="868">
        <v>0</v>
      </c>
      <c r="BF25" s="545" t="s">
        <v>2233</v>
      </c>
      <c r="BG25" s="141">
        <v>10.71911240604642</v>
      </c>
      <c r="BH25" s="545" t="s">
        <v>2233</v>
      </c>
      <c r="BI25" s="141">
        <v>0</v>
      </c>
      <c r="BJ25" s="545" t="s">
        <v>2233</v>
      </c>
      <c r="BK25" s="141">
        <v>6.3203331219745653</v>
      </c>
      <c r="BL25" s="545" t="s">
        <v>2233</v>
      </c>
      <c r="BM25" s="141">
        <v>0.80417071258434059</v>
      </c>
      <c r="BN25" s="545" t="s">
        <v>2233</v>
      </c>
      <c r="BO25" s="141">
        <v>0.38223994171122627</v>
      </c>
      <c r="BP25" s="185"/>
      <c r="BQ25" s="545" t="s">
        <v>627</v>
      </c>
      <c r="BR25" s="868">
        <v>0</v>
      </c>
      <c r="BS25" s="545" t="s">
        <v>627</v>
      </c>
      <c r="BT25" s="868">
        <v>0</v>
      </c>
      <c r="BU25" s="545" t="s">
        <v>2233</v>
      </c>
      <c r="BV25" s="141">
        <v>1.3810187514629872</v>
      </c>
      <c r="BW25" s="545" t="s">
        <v>2233</v>
      </c>
      <c r="BX25" s="141">
        <v>0</v>
      </c>
      <c r="BY25" s="545" t="s">
        <v>2233</v>
      </c>
      <c r="BZ25" s="141">
        <v>0.81429303344332138</v>
      </c>
      <c r="CA25" s="545" t="s">
        <v>2233</v>
      </c>
      <c r="CB25" s="141">
        <v>0.10360697708794206</v>
      </c>
      <c r="CC25" s="545" t="s">
        <v>2233</v>
      </c>
      <c r="CD25" s="144">
        <v>4.9246664002101211E-2</v>
      </c>
    </row>
    <row r="26" spans="1:82" s="98" customFormat="1" ht="15" customHeight="1">
      <c r="A26" s="99"/>
      <c r="B26" s="161"/>
      <c r="C26" s="162"/>
      <c r="D26" s="162" t="s">
        <v>2706</v>
      </c>
      <c r="E26" s="162"/>
      <c r="F26" s="162"/>
      <c r="G26" s="163"/>
      <c r="H26" s="163"/>
      <c r="I26" s="164" t="s">
        <v>498</v>
      </c>
      <c r="J26" s="143">
        <v>0</v>
      </c>
      <c r="K26" s="141">
        <v>0</v>
      </c>
      <c r="L26" s="141">
        <v>0</v>
      </c>
      <c r="M26" s="141">
        <v>0.44744564460257852</v>
      </c>
      <c r="N26" s="141">
        <v>0.29554785419970153</v>
      </c>
      <c r="O26" s="141">
        <v>0.24997959784555765</v>
      </c>
      <c r="P26" s="141">
        <v>0.18758363687320689</v>
      </c>
      <c r="Q26" s="144">
        <v>0.5285678465942536</v>
      </c>
      <c r="R26" s="143">
        <v>0.10031825846658535</v>
      </c>
      <c r="S26" s="141">
        <v>9.9816667174252416E-2</v>
      </c>
      <c r="T26" s="141">
        <v>9.9317583838381157E-2</v>
      </c>
      <c r="U26" s="141">
        <v>9.8820995919189247E-2</v>
      </c>
      <c r="V26" s="144">
        <v>9.8326890939593306E-2</v>
      </c>
      <c r="W26" s="185"/>
      <c r="X26" s="164" t="s">
        <v>498</v>
      </c>
      <c r="Y26" s="143">
        <v>0</v>
      </c>
      <c r="Z26" s="141">
        <v>0</v>
      </c>
      <c r="AA26" s="141">
        <v>0</v>
      </c>
      <c r="AB26" s="141">
        <v>0</v>
      </c>
      <c r="AC26" s="141">
        <v>0</v>
      </c>
      <c r="AD26" s="141">
        <v>0</v>
      </c>
      <c r="AE26" s="141">
        <v>0</v>
      </c>
      <c r="AF26" s="144">
        <v>0</v>
      </c>
      <c r="AG26" s="143">
        <v>0</v>
      </c>
      <c r="AH26" s="141">
        <v>0</v>
      </c>
      <c r="AI26" s="141">
        <v>0</v>
      </c>
      <c r="AJ26" s="141">
        <v>0</v>
      </c>
      <c r="AK26" s="144">
        <v>0</v>
      </c>
      <c r="AL26" s="185"/>
      <c r="AM26" s="164" t="s">
        <v>2233</v>
      </c>
      <c r="AN26" s="143">
        <v>0</v>
      </c>
      <c r="AO26" s="141"/>
      <c r="AP26" s="141"/>
      <c r="AQ26" s="141">
        <v>6.0999999999999999E-2</v>
      </c>
      <c r="AR26" s="141">
        <v>0.379</v>
      </c>
      <c r="AS26" s="141">
        <v>0.19400000000000001</v>
      </c>
      <c r="AT26" s="141">
        <v>0.25133557584372457</v>
      </c>
      <c r="AU26" s="144">
        <v>0.24272437358564306</v>
      </c>
      <c r="AV26" s="143">
        <v>0.13420322318601466</v>
      </c>
      <c r="AW26" s="141">
        <v>0.13420322318601466</v>
      </c>
      <c r="AX26" s="141">
        <v>0.13420322318601466</v>
      </c>
      <c r="AY26" s="141">
        <v>0.13420322318601466</v>
      </c>
      <c r="AZ26" s="144">
        <v>0.13420322318601466</v>
      </c>
      <c r="BA26" s="185"/>
      <c r="BB26" s="545" t="s">
        <v>627</v>
      </c>
      <c r="BC26" s="868">
        <v>0</v>
      </c>
      <c r="BD26" s="545" t="s">
        <v>627</v>
      </c>
      <c r="BE26" s="868">
        <v>0</v>
      </c>
      <c r="BF26" s="545" t="s">
        <v>2233</v>
      </c>
      <c r="BG26" s="141">
        <v>0.66344216028788694</v>
      </c>
      <c r="BH26" s="545" t="s">
        <v>2233</v>
      </c>
      <c r="BI26" s="141">
        <v>0</v>
      </c>
      <c r="BJ26" s="545" t="s">
        <v>2233</v>
      </c>
      <c r="BK26" s="141">
        <v>0.39118681671969507</v>
      </c>
      <c r="BL26" s="545" t="s">
        <v>2233</v>
      </c>
      <c r="BM26" s="141">
        <v>4.9772848216075881E-2</v>
      </c>
      <c r="BN26" s="545" t="s">
        <v>2233</v>
      </c>
      <c r="BO26" s="141">
        <v>2.3658124205709886E-2</v>
      </c>
      <c r="BP26" s="185"/>
      <c r="BQ26" s="545" t="s">
        <v>627</v>
      </c>
      <c r="BR26" s="868">
        <v>0</v>
      </c>
      <c r="BS26" s="545" t="s">
        <v>627</v>
      </c>
      <c r="BT26" s="868">
        <v>0</v>
      </c>
      <c r="BU26" s="545" t="s">
        <v>2233</v>
      </c>
      <c r="BV26" s="141">
        <v>0.39464248488374287</v>
      </c>
      <c r="BW26" s="545" t="s">
        <v>2233</v>
      </c>
      <c r="BX26" s="141">
        <v>0</v>
      </c>
      <c r="BY26" s="545" t="s">
        <v>2233</v>
      </c>
      <c r="BZ26" s="141">
        <v>0.23269389050739889</v>
      </c>
      <c r="CA26" s="545" t="s">
        <v>2233</v>
      </c>
      <c r="CB26" s="141">
        <v>2.9606922314388502E-2</v>
      </c>
      <c r="CC26" s="545" t="s">
        <v>2233</v>
      </c>
      <c r="CD26" s="144">
        <v>1.4072818224543031E-2</v>
      </c>
    </row>
    <row r="27" spans="1:82" s="98" customFormat="1" ht="15" customHeight="1">
      <c r="A27" s="99"/>
      <c r="B27" s="161"/>
      <c r="C27" s="162"/>
      <c r="D27" s="162" t="s">
        <v>2707</v>
      </c>
      <c r="E27" s="162"/>
      <c r="F27" s="162"/>
      <c r="G27" s="163"/>
      <c r="H27" s="163"/>
      <c r="I27" s="164" t="s">
        <v>498</v>
      </c>
      <c r="J27" s="143">
        <v>0</v>
      </c>
      <c r="K27" s="141">
        <v>0</v>
      </c>
      <c r="L27" s="141">
        <v>0</v>
      </c>
      <c r="M27" s="141">
        <v>0</v>
      </c>
      <c r="N27" s="141">
        <v>0</v>
      </c>
      <c r="O27" s="141">
        <v>0</v>
      </c>
      <c r="P27" s="141">
        <v>0</v>
      </c>
      <c r="Q27" s="144">
        <v>0</v>
      </c>
      <c r="R27" s="143">
        <v>0</v>
      </c>
      <c r="S27" s="141">
        <v>0</v>
      </c>
      <c r="T27" s="141">
        <v>0</v>
      </c>
      <c r="U27" s="141">
        <v>0</v>
      </c>
      <c r="V27" s="144">
        <v>0</v>
      </c>
      <c r="W27" s="185"/>
      <c r="X27" s="164" t="s">
        <v>498</v>
      </c>
      <c r="Y27" s="143">
        <v>0</v>
      </c>
      <c r="Z27" s="141">
        <v>0</v>
      </c>
      <c r="AA27" s="141">
        <v>0</v>
      </c>
      <c r="AB27" s="141">
        <v>0</v>
      </c>
      <c r="AC27" s="141">
        <v>0</v>
      </c>
      <c r="AD27" s="141">
        <v>0</v>
      </c>
      <c r="AE27" s="141">
        <v>0</v>
      </c>
      <c r="AF27" s="144">
        <v>0</v>
      </c>
      <c r="AG27" s="143">
        <v>0</v>
      </c>
      <c r="AH27" s="141">
        <v>0</v>
      </c>
      <c r="AI27" s="141">
        <v>0</v>
      </c>
      <c r="AJ27" s="141">
        <v>0</v>
      </c>
      <c r="AK27" s="144">
        <v>0</v>
      </c>
      <c r="AL27" s="185"/>
      <c r="AM27" s="164" t="s">
        <v>2233</v>
      </c>
      <c r="AN27" s="143">
        <v>0</v>
      </c>
      <c r="AO27" s="141"/>
      <c r="AP27" s="141"/>
      <c r="AQ27" s="141"/>
      <c r="AR27" s="141"/>
      <c r="AS27" s="141"/>
      <c r="AT27" s="141">
        <v>0</v>
      </c>
      <c r="AU27" s="144">
        <v>0</v>
      </c>
      <c r="AV27" s="143">
        <v>0</v>
      </c>
      <c r="AW27" s="141">
        <v>0</v>
      </c>
      <c r="AX27" s="141">
        <v>0</v>
      </c>
      <c r="AY27" s="141">
        <v>0</v>
      </c>
      <c r="AZ27" s="144">
        <v>0</v>
      </c>
      <c r="BA27" s="185"/>
      <c r="BB27" s="545" t="s">
        <v>627</v>
      </c>
      <c r="BC27" s="868">
        <v>0</v>
      </c>
      <c r="BD27" s="545" t="s">
        <v>627</v>
      </c>
      <c r="BE27" s="868">
        <v>0</v>
      </c>
      <c r="BF27" s="545" t="s">
        <v>2233</v>
      </c>
      <c r="BG27" s="141">
        <v>0</v>
      </c>
      <c r="BH27" s="545" t="s">
        <v>2233</v>
      </c>
      <c r="BI27" s="141">
        <v>0</v>
      </c>
      <c r="BJ27" s="545" t="s">
        <v>2233</v>
      </c>
      <c r="BK27" s="141">
        <v>0</v>
      </c>
      <c r="BL27" s="545" t="s">
        <v>2233</v>
      </c>
      <c r="BM27" s="141">
        <v>0</v>
      </c>
      <c r="BN27" s="545" t="s">
        <v>2233</v>
      </c>
      <c r="BO27" s="141">
        <v>0</v>
      </c>
      <c r="BP27" s="185"/>
      <c r="BQ27" s="545" t="s">
        <v>627</v>
      </c>
      <c r="BR27" s="868">
        <v>0</v>
      </c>
      <c r="BS27" s="545" t="s">
        <v>627</v>
      </c>
      <c r="BT27" s="868">
        <v>0</v>
      </c>
      <c r="BU27" s="545" t="s">
        <v>2233</v>
      </c>
      <c r="BV27" s="141">
        <v>0</v>
      </c>
      <c r="BW27" s="545" t="s">
        <v>2233</v>
      </c>
      <c r="BX27" s="141">
        <v>0</v>
      </c>
      <c r="BY27" s="545" t="s">
        <v>2233</v>
      </c>
      <c r="BZ27" s="141">
        <v>0</v>
      </c>
      <c r="CA27" s="545" t="s">
        <v>2233</v>
      </c>
      <c r="CB27" s="141">
        <v>0</v>
      </c>
      <c r="CC27" s="545" t="s">
        <v>2233</v>
      </c>
      <c r="CD27" s="144">
        <v>0</v>
      </c>
    </row>
    <row r="28" spans="1:82" s="98" customFormat="1" ht="15" customHeight="1">
      <c r="A28" s="99"/>
      <c r="B28" s="161"/>
      <c r="C28" s="162"/>
      <c r="D28" s="162" t="s">
        <v>2708</v>
      </c>
      <c r="E28" s="162"/>
      <c r="F28" s="162"/>
      <c r="G28" s="163"/>
      <c r="H28" s="163"/>
      <c r="I28" s="164" t="s">
        <v>498</v>
      </c>
      <c r="J28" s="143">
        <v>0</v>
      </c>
      <c r="K28" s="141">
        <v>0</v>
      </c>
      <c r="L28" s="141">
        <v>0</v>
      </c>
      <c r="M28" s="141">
        <v>0</v>
      </c>
      <c r="N28" s="141">
        <v>0</v>
      </c>
      <c r="O28" s="141">
        <v>0</v>
      </c>
      <c r="P28" s="141">
        <v>0</v>
      </c>
      <c r="Q28" s="144">
        <v>0</v>
      </c>
      <c r="R28" s="143">
        <v>0</v>
      </c>
      <c r="S28" s="141">
        <v>0</v>
      </c>
      <c r="T28" s="141">
        <v>0</v>
      </c>
      <c r="U28" s="141">
        <v>0</v>
      </c>
      <c r="V28" s="144">
        <v>0</v>
      </c>
      <c r="W28" s="185"/>
      <c r="X28" s="164" t="s">
        <v>498</v>
      </c>
      <c r="Y28" s="143">
        <v>0</v>
      </c>
      <c r="Z28" s="141">
        <v>0</v>
      </c>
      <c r="AA28" s="141">
        <v>0</v>
      </c>
      <c r="AB28" s="141">
        <v>0</v>
      </c>
      <c r="AC28" s="141">
        <v>0</v>
      </c>
      <c r="AD28" s="141">
        <v>0</v>
      </c>
      <c r="AE28" s="141">
        <v>0</v>
      </c>
      <c r="AF28" s="144">
        <v>0</v>
      </c>
      <c r="AG28" s="143">
        <v>0</v>
      </c>
      <c r="AH28" s="141">
        <v>0</v>
      </c>
      <c r="AI28" s="141">
        <v>0</v>
      </c>
      <c r="AJ28" s="141">
        <v>0</v>
      </c>
      <c r="AK28" s="144">
        <v>0</v>
      </c>
      <c r="AL28" s="185"/>
      <c r="AM28" s="164" t="s">
        <v>2233</v>
      </c>
      <c r="AN28" s="143">
        <v>0</v>
      </c>
      <c r="AO28" s="141"/>
      <c r="AP28" s="141"/>
      <c r="AQ28" s="141"/>
      <c r="AR28" s="141"/>
      <c r="AS28" s="141"/>
      <c r="AT28" s="141">
        <v>0</v>
      </c>
      <c r="AU28" s="144">
        <v>0</v>
      </c>
      <c r="AV28" s="143">
        <v>0</v>
      </c>
      <c r="AW28" s="141">
        <v>0</v>
      </c>
      <c r="AX28" s="141">
        <v>0</v>
      </c>
      <c r="AY28" s="141">
        <v>0</v>
      </c>
      <c r="AZ28" s="144">
        <v>0</v>
      </c>
      <c r="BA28" s="185"/>
      <c r="BB28" s="545" t="s">
        <v>627</v>
      </c>
      <c r="BC28" s="868">
        <v>0</v>
      </c>
      <c r="BD28" s="545" t="s">
        <v>627</v>
      </c>
      <c r="BE28" s="868">
        <v>0</v>
      </c>
      <c r="BF28" s="545" t="s">
        <v>2233</v>
      </c>
      <c r="BG28" s="141">
        <v>0</v>
      </c>
      <c r="BH28" s="545" t="s">
        <v>2233</v>
      </c>
      <c r="BI28" s="141">
        <v>0</v>
      </c>
      <c r="BJ28" s="545" t="s">
        <v>2233</v>
      </c>
      <c r="BK28" s="141">
        <v>0</v>
      </c>
      <c r="BL28" s="545" t="s">
        <v>2233</v>
      </c>
      <c r="BM28" s="141">
        <v>0</v>
      </c>
      <c r="BN28" s="545" t="s">
        <v>2233</v>
      </c>
      <c r="BO28" s="141">
        <v>0</v>
      </c>
      <c r="BP28" s="185"/>
      <c r="BQ28" s="545" t="s">
        <v>627</v>
      </c>
      <c r="BR28" s="868">
        <v>0</v>
      </c>
      <c r="BS28" s="545" t="s">
        <v>627</v>
      </c>
      <c r="BT28" s="868">
        <v>0</v>
      </c>
      <c r="BU28" s="545" t="s">
        <v>2233</v>
      </c>
      <c r="BV28" s="141">
        <v>0</v>
      </c>
      <c r="BW28" s="545" t="s">
        <v>2233</v>
      </c>
      <c r="BX28" s="141">
        <v>0</v>
      </c>
      <c r="BY28" s="545" t="s">
        <v>2233</v>
      </c>
      <c r="BZ28" s="141">
        <v>0</v>
      </c>
      <c r="CA28" s="545" t="s">
        <v>2233</v>
      </c>
      <c r="CB28" s="141">
        <v>0</v>
      </c>
      <c r="CC28" s="545" t="s">
        <v>2233</v>
      </c>
      <c r="CD28" s="144">
        <v>0</v>
      </c>
    </row>
    <row r="29" spans="1:82" s="98" customFormat="1" ht="15" customHeight="1">
      <c r="A29" s="99"/>
      <c r="B29" s="161"/>
      <c r="C29" s="162" t="s">
        <v>1710</v>
      </c>
      <c r="D29" s="162"/>
      <c r="E29" s="162"/>
      <c r="F29" s="162"/>
      <c r="G29" s="163"/>
      <c r="H29" s="163"/>
      <c r="I29" s="164" t="s">
        <v>498</v>
      </c>
      <c r="J29" s="641">
        <f>SUM(J21:J28)</f>
        <v>1.6618473689932451</v>
      </c>
      <c r="K29" s="642">
        <f t="shared" ref="K29:V29" si="4">SUM(K21:K28)</f>
        <v>1.8036709541031337</v>
      </c>
      <c r="L29" s="642">
        <f t="shared" si="4"/>
        <v>1.297112618732013</v>
      </c>
      <c r="M29" s="642">
        <f t="shared" si="4"/>
        <v>1.0305423633180757</v>
      </c>
      <c r="N29" s="642">
        <f t="shared" si="4"/>
        <v>1.7793576553781785</v>
      </c>
      <c r="O29" s="642">
        <f t="shared" si="4"/>
        <v>1.3197356953760766</v>
      </c>
      <c r="P29" s="642">
        <f t="shared" si="4"/>
        <v>3.1756414691849866</v>
      </c>
      <c r="Q29" s="643">
        <f t="shared" si="4"/>
        <v>3.4297762512655647</v>
      </c>
      <c r="R29" s="641">
        <f t="shared" si="4"/>
        <v>0.5474884739201028</v>
      </c>
      <c r="S29" s="642">
        <f t="shared" si="4"/>
        <v>0.54475103155050231</v>
      </c>
      <c r="T29" s="642">
        <f t="shared" si="4"/>
        <v>0.54202727639274972</v>
      </c>
      <c r="U29" s="642">
        <f t="shared" si="4"/>
        <v>0.53931714001078601</v>
      </c>
      <c r="V29" s="643">
        <f t="shared" si="4"/>
        <v>0.53662055431073208</v>
      </c>
      <c r="W29" s="185"/>
      <c r="X29" s="164" t="s">
        <v>498</v>
      </c>
      <c r="Y29" s="641">
        <f>SUM(Y21:Y28)</f>
        <v>0</v>
      </c>
      <c r="Z29" s="642">
        <f t="shared" ref="Z29" si="5">SUM(Z21:Z28)</f>
        <v>0</v>
      </c>
      <c r="AA29" s="642">
        <f t="shared" ref="AA29" si="6">SUM(AA21:AA28)</f>
        <v>0</v>
      </c>
      <c r="AB29" s="642">
        <f t="shared" ref="AB29" si="7">SUM(AB21:AB28)</f>
        <v>0</v>
      </c>
      <c r="AC29" s="642">
        <f t="shared" ref="AC29" si="8">SUM(AC21:AC28)</f>
        <v>0</v>
      </c>
      <c r="AD29" s="642">
        <f t="shared" ref="AD29" si="9">SUM(AD21:AD28)</f>
        <v>0</v>
      </c>
      <c r="AE29" s="642">
        <f t="shared" ref="AE29" si="10">SUM(AE21:AE28)</f>
        <v>0</v>
      </c>
      <c r="AF29" s="643">
        <f t="shared" ref="AF29" si="11">SUM(AF21:AF28)</f>
        <v>0</v>
      </c>
      <c r="AG29" s="641">
        <f t="shared" ref="AG29" si="12">SUM(AG21:AG28)</f>
        <v>0</v>
      </c>
      <c r="AH29" s="642">
        <f t="shared" ref="AH29" si="13">SUM(AH21:AH28)</f>
        <v>0</v>
      </c>
      <c r="AI29" s="642">
        <f t="shared" ref="AI29" si="14">SUM(AI21:AI28)</f>
        <v>0</v>
      </c>
      <c r="AJ29" s="642">
        <f t="shared" ref="AJ29" si="15">SUM(AJ21:AJ28)</f>
        <v>0</v>
      </c>
      <c r="AK29" s="643">
        <f t="shared" ref="AK29" si="16">SUM(AK21:AK28)</f>
        <v>0</v>
      </c>
      <c r="AL29" s="185"/>
      <c r="AM29" s="164" t="s">
        <v>2233</v>
      </c>
      <c r="AN29" s="641">
        <f>SUM(AN21:AN28)</f>
        <v>5.84</v>
      </c>
      <c r="AO29" s="642">
        <f t="shared" ref="AO29" si="17">SUM(AO21:AO28)</f>
        <v>5.8789999999999996</v>
      </c>
      <c r="AP29" s="642">
        <f t="shared" ref="AP29" si="18">SUM(AP21:AP28)</f>
        <v>3.9175000000000004</v>
      </c>
      <c r="AQ29" s="642">
        <f t="shared" ref="AQ29" si="19">SUM(AQ21:AQ28)</f>
        <v>1.9849999999999999</v>
      </c>
      <c r="AR29" s="642">
        <f t="shared" ref="AR29" si="20">SUM(AR21:AR28)</f>
        <v>5.8330000000000002</v>
      </c>
      <c r="AS29" s="642">
        <f t="shared" ref="AS29" si="21">SUM(AS21:AS28)</f>
        <v>3.5110000000000001</v>
      </c>
      <c r="AT29" s="642">
        <f t="shared" ref="AT29" si="22">SUM(AT21:AT28)</f>
        <v>10.70394669942174</v>
      </c>
      <c r="AU29" s="643">
        <f t="shared" ref="AU29" si="23">SUM(AU21:AU28)</f>
        <v>10.796843523941325</v>
      </c>
      <c r="AV29" s="641">
        <f t="shared" ref="AV29" si="24">SUM(AV21:AV28)</f>
        <v>1.4811967977300371</v>
      </c>
      <c r="AW29" s="642">
        <f t="shared" ref="AW29" si="25">SUM(AW21:AW28)</f>
        <v>1.4811967977300371</v>
      </c>
      <c r="AX29" s="642">
        <f t="shared" ref="AX29" si="26">SUM(AX21:AX28)</f>
        <v>1.4811967977300371</v>
      </c>
      <c r="AY29" s="642">
        <f t="shared" ref="AY29" si="27">SUM(AY21:AY28)</f>
        <v>1.4811967977300371</v>
      </c>
      <c r="AZ29" s="643">
        <f t="shared" ref="AZ29" si="28">SUM(AZ21:AZ28)</f>
        <v>1.4811967977300371</v>
      </c>
      <c r="BA29" s="185"/>
      <c r="BB29" s="530"/>
      <c r="BC29" s="530"/>
      <c r="BD29" s="530"/>
      <c r="BE29" s="530"/>
      <c r="BF29" s="545" t="s">
        <v>2233</v>
      </c>
      <c r="BG29" s="642">
        <f>SUM(BG21:BG28)</f>
        <v>28.504318678447163</v>
      </c>
      <c r="BH29" s="545" t="s">
        <v>2233</v>
      </c>
      <c r="BI29" s="642">
        <f>SUM(BI21:BI28)</f>
        <v>0</v>
      </c>
      <c r="BJ29" s="545" t="s">
        <v>2233</v>
      </c>
      <c r="BK29" s="642">
        <f>SUM(BK21:BK28)</f>
        <v>16.807062249024028</v>
      </c>
      <c r="BL29" s="545" t="s">
        <v>2233</v>
      </c>
      <c r="BM29" s="642">
        <f>SUM(BM21:BM28)</f>
        <v>2.1384548827427157</v>
      </c>
      <c r="BN29" s="545" t="s">
        <v>2233</v>
      </c>
      <c r="BO29" s="642">
        <f>SUM(BO21:BO28)</f>
        <v>1.0164544131491664</v>
      </c>
      <c r="BP29" s="185"/>
      <c r="BQ29" s="530"/>
      <c r="BR29" s="530"/>
      <c r="BS29" s="530"/>
      <c r="BT29" s="530"/>
      <c r="BU29" s="545" t="s">
        <v>2233</v>
      </c>
      <c r="BV29" s="642">
        <f>SUM(BV21:BV28)</f>
        <v>4.3556568238887117</v>
      </c>
      <c r="BW29" s="545" t="s">
        <v>2233</v>
      </c>
      <c r="BX29" s="642">
        <f>SUM(BX21:BX28)</f>
        <v>0</v>
      </c>
      <c r="BY29" s="545" t="s">
        <v>2233</v>
      </c>
      <c r="BZ29" s="642">
        <f>SUM(BZ21:BZ28)</f>
        <v>2.5682352278020453</v>
      </c>
      <c r="CA29" s="545" t="s">
        <v>2233</v>
      </c>
      <c r="CB29" s="642">
        <f>SUM(CB21:CB28)</f>
        <v>0.32677068017904526</v>
      </c>
      <c r="CC29" s="545" t="s">
        <v>2233</v>
      </c>
      <c r="CD29" s="643">
        <f>SUM(CD21:CD28)</f>
        <v>0.15532125678038311</v>
      </c>
    </row>
    <row r="30" spans="1:82" s="98" customFormat="1" ht="15" customHeight="1">
      <c r="A30" s="99"/>
      <c r="B30" s="123"/>
      <c r="C30" s="127"/>
      <c r="D30" s="127"/>
      <c r="E30" s="127"/>
      <c r="F30" s="127"/>
      <c r="G30" s="117"/>
      <c r="H30" s="117"/>
      <c r="I30" s="117"/>
      <c r="J30" s="159"/>
      <c r="K30" s="117"/>
      <c r="L30" s="117"/>
      <c r="M30" s="117"/>
      <c r="N30" s="117"/>
      <c r="O30" s="117"/>
      <c r="P30" s="117"/>
      <c r="Q30" s="160"/>
      <c r="R30" s="159"/>
      <c r="S30" s="117"/>
      <c r="T30" s="117"/>
      <c r="U30" s="117"/>
      <c r="V30" s="160"/>
      <c r="W30" s="185"/>
      <c r="X30" s="117"/>
      <c r="Y30" s="159"/>
      <c r="Z30" s="117"/>
      <c r="AA30" s="117"/>
      <c r="AB30" s="117"/>
      <c r="AC30" s="117"/>
      <c r="AD30" s="117"/>
      <c r="AE30" s="117"/>
      <c r="AF30" s="160"/>
      <c r="AG30" s="159"/>
      <c r="AH30" s="117"/>
      <c r="AI30" s="117"/>
      <c r="AJ30" s="117"/>
      <c r="AK30" s="160"/>
      <c r="AL30" s="185"/>
      <c r="AM30" s="117"/>
      <c r="AN30" s="159"/>
      <c r="AO30" s="117"/>
      <c r="AP30" s="117"/>
      <c r="AQ30" s="117"/>
      <c r="AR30" s="117"/>
      <c r="AS30" s="117"/>
      <c r="AT30" s="117"/>
      <c r="AU30" s="160"/>
      <c r="AV30" s="159"/>
      <c r="AW30" s="117"/>
      <c r="AX30" s="117"/>
      <c r="AY30" s="117"/>
      <c r="AZ30" s="160"/>
      <c r="BA30" s="185"/>
      <c r="BB30" s="530"/>
      <c r="BC30" s="530"/>
      <c r="BD30" s="530"/>
      <c r="BE30" s="530"/>
      <c r="BF30" s="530"/>
      <c r="BG30" s="530"/>
      <c r="BH30" s="530"/>
      <c r="BI30" s="530"/>
      <c r="BJ30" s="530"/>
      <c r="BK30" s="530"/>
      <c r="BL30" s="530"/>
      <c r="BM30" s="530"/>
      <c r="BN30" s="530"/>
      <c r="BO30" s="530"/>
      <c r="BP30" s="185"/>
      <c r="BQ30" s="530"/>
      <c r="BR30" s="530"/>
      <c r="BS30" s="530"/>
      <c r="BT30" s="530"/>
      <c r="BU30" s="530"/>
      <c r="BV30" s="530"/>
      <c r="BW30" s="530"/>
      <c r="BX30" s="530"/>
      <c r="BY30" s="530"/>
      <c r="BZ30" s="530"/>
      <c r="CA30" s="530"/>
      <c r="CB30" s="530"/>
      <c r="CC30" s="530"/>
      <c r="CD30" s="544"/>
    </row>
    <row r="31" spans="1:82" s="98" customFormat="1" ht="15" customHeight="1">
      <c r="A31" s="99"/>
      <c r="B31" s="161"/>
      <c r="C31" s="116" t="s">
        <v>2725</v>
      </c>
      <c r="D31" s="116"/>
      <c r="E31" s="116"/>
      <c r="F31" s="116"/>
      <c r="G31" s="117"/>
      <c r="H31" s="117"/>
      <c r="I31" s="117"/>
      <c r="J31" s="159"/>
      <c r="K31" s="117"/>
      <c r="L31" s="117"/>
      <c r="M31" s="117"/>
      <c r="N31" s="117"/>
      <c r="O31" s="117"/>
      <c r="P31" s="117"/>
      <c r="Q31" s="160"/>
      <c r="R31" s="159"/>
      <c r="S31" s="117"/>
      <c r="T31" s="117"/>
      <c r="U31" s="117"/>
      <c r="V31" s="160"/>
      <c r="W31" s="185"/>
      <c r="X31" s="117"/>
      <c r="Y31" s="159"/>
      <c r="Z31" s="117"/>
      <c r="AA31" s="117"/>
      <c r="AB31" s="117"/>
      <c r="AC31" s="117"/>
      <c r="AD31" s="117"/>
      <c r="AE31" s="117"/>
      <c r="AF31" s="160"/>
      <c r="AG31" s="159"/>
      <c r="AH31" s="117"/>
      <c r="AI31" s="117"/>
      <c r="AJ31" s="117"/>
      <c r="AK31" s="160"/>
      <c r="AL31" s="185"/>
      <c r="AM31" s="117"/>
      <c r="AN31" s="159"/>
      <c r="AO31" s="117"/>
      <c r="AP31" s="117"/>
      <c r="AQ31" s="117"/>
      <c r="AR31" s="117"/>
      <c r="AS31" s="117"/>
      <c r="AT31" s="117"/>
      <c r="AU31" s="160"/>
      <c r="AV31" s="159"/>
      <c r="AW31" s="117"/>
      <c r="AX31" s="117"/>
      <c r="AY31" s="117"/>
      <c r="AZ31" s="160"/>
      <c r="BA31" s="185"/>
      <c r="BB31" s="530"/>
      <c r="BC31" s="530"/>
      <c r="BD31" s="530"/>
      <c r="BE31" s="530"/>
      <c r="BF31" s="530"/>
      <c r="BG31" s="530"/>
      <c r="BH31" s="530"/>
      <c r="BI31" s="530"/>
      <c r="BJ31" s="530"/>
      <c r="BK31" s="530"/>
      <c r="BL31" s="530"/>
      <c r="BM31" s="530"/>
      <c r="BN31" s="530"/>
      <c r="BO31" s="530"/>
      <c r="BP31" s="185"/>
      <c r="BQ31" s="530"/>
      <c r="BR31" s="530"/>
      <c r="BS31" s="530"/>
      <c r="BT31" s="530"/>
      <c r="BU31" s="530"/>
      <c r="BV31" s="530"/>
      <c r="BW31" s="530"/>
      <c r="BX31" s="530"/>
      <c r="BY31" s="530"/>
      <c r="BZ31" s="530"/>
      <c r="CA31" s="530"/>
      <c r="CB31" s="530"/>
      <c r="CC31" s="530"/>
      <c r="CD31" s="544"/>
    </row>
    <row r="32" spans="1:82" s="98" customFormat="1" ht="15" customHeight="1">
      <c r="A32" s="99"/>
      <c r="B32" s="161"/>
      <c r="C32" s="162"/>
      <c r="D32" s="162" t="s">
        <v>2701</v>
      </c>
      <c r="E32" s="162"/>
      <c r="F32" s="162"/>
      <c r="G32" s="163"/>
      <c r="H32" s="163"/>
      <c r="I32" s="164" t="s">
        <v>498</v>
      </c>
      <c r="J32" s="143">
        <v>0</v>
      </c>
      <c r="K32" s="141">
        <v>0</v>
      </c>
      <c r="L32" s="141">
        <v>0</v>
      </c>
      <c r="M32" s="141">
        <v>0</v>
      </c>
      <c r="N32" s="141">
        <v>0</v>
      </c>
      <c r="O32" s="141">
        <v>0</v>
      </c>
      <c r="P32" s="141">
        <v>0</v>
      </c>
      <c r="Q32" s="144">
        <v>0</v>
      </c>
      <c r="R32" s="143">
        <v>4.8087968437578795E-4</v>
      </c>
      <c r="S32" s="141">
        <v>4.78475285953909E-4</v>
      </c>
      <c r="T32" s="141">
        <v>4.7608290952413945E-4</v>
      </c>
      <c r="U32" s="141">
        <v>4.7370249497651876E-4</v>
      </c>
      <c r="V32" s="144">
        <v>4.7133398250163614E-4</v>
      </c>
      <c r="W32" s="185"/>
      <c r="X32" s="164" t="s">
        <v>498</v>
      </c>
      <c r="Y32" s="143">
        <v>0</v>
      </c>
      <c r="Z32" s="141">
        <v>0</v>
      </c>
      <c r="AA32" s="141">
        <v>0</v>
      </c>
      <c r="AB32" s="141">
        <v>0</v>
      </c>
      <c r="AC32" s="141">
        <v>0</v>
      </c>
      <c r="AD32" s="141">
        <v>0</v>
      </c>
      <c r="AE32" s="141">
        <v>0</v>
      </c>
      <c r="AF32" s="144">
        <v>0</v>
      </c>
      <c r="AG32" s="143">
        <v>0</v>
      </c>
      <c r="AH32" s="141">
        <v>0</v>
      </c>
      <c r="AI32" s="141">
        <v>0</v>
      </c>
      <c r="AJ32" s="141">
        <v>0</v>
      </c>
      <c r="AK32" s="144">
        <v>0</v>
      </c>
      <c r="AL32" s="185"/>
      <c r="AM32" s="164" t="s">
        <v>2233</v>
      </c>
      <c r="AN32" s="143">
        <v>0</v>
      </c>
      <c r="AO32" s="141">
        <v>0</v>
      </c>
      <c r="AP32" s="141">
        <v>0</v>
      </c>
      <c r="AQ32" s="141">
        <v>0</v>
      </c>
      <c r="AR32" s="141">
        <v>0</v>
      </c>
      <c r="AS32" s="141">
        <v>0</v>
      </c>
      <c r="AT32" s="141">
        <v>0</v>
      </c>
      <c r="AU32" s="144">
        <v>0</v>
      </c>
      <c r="AV32" s="143">
        <v>3.4403777178625204E-3</v>
      </c>
      <c r="AW32" s="141">
        <v>3.4403777178625204E-3</v>
      </c>
      <c r="AX32" s="141">
        <v>3.4403777178625204E-3</v>
      </c>
      <c r="AY32" s="141">
        <v>3.4403777178625204E-3</v>
      </c>
      <c r="AZ32" s="144">
        <v>3.4403777178625204E-3</v>
      </c>
      <c r="BA32" s="185"/>
      <c r="BB32" s="545" t="s">
        <v>627</v>
      </c>
      <c r="BC32" s="868">
        <v>0</v>
      </c>
      <c r="BD32" s="545" t="s">
        <v>627</v>
      </c>
      <c r="BE32" s="868">
        <v>0</v>
      </c>
      <c r="BF32" s="545" t="s">
        <v>2233</v>
      </c>
      <c r="BG32" s="141">
        <v>0</v>
      </c>
      <c r="BH32" s="545" t="s">
        <v>2233</v>
      </c>
      <c r="BI32" s="141">
        <v>0</v>
      </c>
      <c r="BJ32" s="545" t="s">
        <v>2233</v>
      </c>
      <c r="BK32" s="141">
        <v>0</v>
      </c>
      <c r="BL32" s="545" t="s">
        <v>2233</v>
      </c>
      <c r="BM32" s="141">
        <v>0</v>
      </c>
      <c r="BN32" s="545" t="s">
        <v>2233</v>
      </c>
      <c r="BO32" s="141">
        <v>0</v>
      </c>
      <c r="BP32" s="185"/>
      <c r="BQ32" s="545" t="s">
        <v>627</v>
      </c>
      <c r="BR32" s="868">
        <v>0</v>
      </c>
      <c r="BS32" s="545" t="s">
        <v>627</v>
      </c>
      <c r="BT32" s="868">
        <v>0</v>
      </c>
      <c r="BU32" s="545" t="s">
        <v>2233</v>
      </c>
      <c r="BV32" s="141">
        <v>1.0116889738438216E-2</v>
      </c>
      <c r="BW32" s="545" t="s">
        <v>2233</v>
      </c>
      <c r="BX32" s="141">
        <v>0</v>
      </c>
      <c r="BY32" s="545" t="s">
        <v>2233</v>
      </c>
      <c r="BZ32" s="141">
        <v>5.9652432853626288E-3</v>
      </c>
      <c r="CA32" s="545" t="s">
        <v>2233</v>
      </c>
      <c r="CB32" s="141">
        <v>7.5899068149596857E-4</v>
      </c>
      <c r="CC32" s="545" t="s">
        <v>2233</v>
      </c>
      <c r="CD32" s="144">
        <v>3.6076488401578762E-4</v>
      </c>
    </row>
    <row r="33" spans="1:82" s="98" customFormat="1" ht="15" customHeight="1">
      <c r="A33" s="99"/>
      <c r="B33" s="161"/>
      <c r="C33" s="162"/>
      <c r="D33" s="162" t="s">
        <v>2702</v>
      </c>
      <c r="E33" s="162"/>
      <c r="F33" s="162"/>
      <c r="G33" s="163"/>
      <c r="H33" s="163"/>
      <c r="I33" s="164" t="s">
        <v>498</v>
      </c>
      <c r="J33" s="143">
        <v>0</v>
      </c>
      <c r="K33" s="141">
        <v>0</v>
      </c>
      <c r="L33" s="141">
        <v>0</v>
      </c>
      <c r="M33" s="141">
        <v>0</v>
      </c>
      <c r="N33" s="141">
        <v>0</v>
      </c>
      <c r="O33" s="141">
        <v>0</v>
      </c>
      <c r="P33" s="141">
        <v>0</v>
      </c>
      <c r="Q33" s="144">
        <v>0</v>
      </c>
      <c r="R33" s="143">
        <v>4.9518496244303932E-3</v>
      </c>
      <c r="S33" s="141">
        <v>4.9270903763082409E-3</v>
      </c>
      <c r="T33" s="141">
        <v>4.9024549244266998E-3</v>
      </c>
      <c r="U33" s="141">
        <v>4.8779426498045666E-3</v>
      </c>
      <c r="V33" s="144">
        <v>4.8535529365555437E-3</v>
      </c>
      <c r="W33" s="185"/>
      <c r="X33" s="164" t="s">
        <v>498</v>
      </c>
      <c r="Y33" s="143">
        <v>0</v>
      </c>
      <c r="Z33" s="141">
        <v>0</v>
      </c>
      <c r="AA33" s="141">
        <v>0</v>
      </c>
      <c r="AB33" s="141">
        <v>0</v>
      </c>
      <c r="AC33" s="141">
        <v>0</v>
      </c>
      <c r="AD33" s="141">
        <v>0</v>
      </c>
      <c r="AE33" s="141">
        <v>0</v>
      </c>
      <c r="AF33" s="144">
        <v>0</v>
      </c>
      <c r="AG33" s="143">
        <v>0</v>
      </c>
      <c r="AH33" s="141">
        <v>0</v>
      </c>
      <c r="AI33" s="141">
        <v>0</v>
      </c>
      <c r="AJ33" s="141">
        <v>0</v>
      </c>
      <c r="AK33" s="144">
        <v>0</v>
      </c>
      <c r="AL33" s="185"/>
      <c r="AM33" s="164" t="s">
        <v>2233</v>
      </c>
      <c r="AN33" s="143">
        <v>0</v>
      </c>
      <c r="AO33" s="141">
        <v>0</v>
      </c>
      <c r="AP33" s="141">
        <v>0</v>
      </c>
      <c r="AQ33" s="141">
        <v>0</v>
      </c>
      <c r="AR33" s="141">
        <v>0</v>
      </c>
      <c r="AS33" s="141">
        <v>0</v>
      </c>
      <c r="AT33" s="141">
        <v>0</v>
      </c>
      <c r="AU33" s="144">
        <v>0</v>
      </c>
      <c r="AV33" s="143">
        <v>3.1409731756112683E-2</v>
      </c>
      <c r="AW33" s="141">
        <v>3.1409731756112683E-2</v>
      </c>
      <c r="AX33" s="141">
        <v>3.1409731756112683E-2</v>
      </c>
      <c r="AY33" s="141">
        <v>3.1409731756112683E-2</v>
      </c>
      <c r="AZ33" s="144">
        <v>3.1409731756112683E-2</v>
      </c>
      <c r="BA33" s="185"/>
      <c r="BB33" s="545" t="s">
        <v>627</v>
      </c>
      <c r="BC33" s="868">
        <v>0</v>
      </c>
      <c r="BD33" s="545" t="s">
        <v>627</v>
      </c>
      <c r="BE33" s="868">
        <v>0</v>
      </c>
      <c r="BF33" s="545" t="s">
        <v>2233</v>
      </c>
      <c r="BG33" s="141">
        <v>0</v>
      </c>
      <c r="BH33" s="545" t="s">
        <v>2233</v>
      </c>
      <c r="BI33" s="141">
        <v>0</v>
      </c>
      <c r="BJ33" s="545" t="s">
        <v>2233</v>
      </c>
      <c r="BK33" s="141">
        <v>0</v>
      </c>
      <c r="BL33" s="545" t="s">
        <v>2233</v>
      </c>
      <c r="BM33" s="141">
        <v>0</v>
      </c>
      <c r="BN33" s="545" t="s">
        <v>2233</v>
      </c>
      <c r="BO33" s="141">
        <v>0</v>
      </c>
      <c r="BP33" s="185"/>
      <c r="BQ33" s="545" t="s">
        <v>627</v>
      </c>
      <c r="BR33" s="868">
        <v>0</v>
      </c>
      <c r="BS33" s="545" t="s">
        <v>627</v>
      </c>
      <c r="BT33" s="868">
        <v>0</v>
      </c>
      <c r="BU33" s="545" t="s">
        <v>2233</v>
      </c>
      <c r="BV33" s="141">
        <v>9.2364507315766661E-2</v>
      </c>
      <c r="BW33" s="545" t="s">
        <v>2233</v>
      </c>
      <c r="BX33" s="141">
        <v>0</v>
      </c>
      <c r="BY33" s="545" t="s">
        <v>2233</v>
      </c>
      <c r="BZ33" s="141">
        <v>5.4461081549383464E-2</v>
      </c>
      <c r="CA33" s="545" t="s">
        <v>2233</v>
      </c>
      <c r="CB33" s="141">
        <v>6.9293826626655826E-3</v>
      </c>
      <c r="CC33" s="545" t="s">
        <v>2233</v>
      </c>
      <c r="CD33" s="144">
        <v>3.293687252747696E-3</v>
      </c>
    </row>
    <row r="34" spans="1:82" s="98" customFormat="1" ht="15" customHeight="1">
      <c r="A34" s="99"/>
      <c r="B34" s="161"/>
      <c r="C34" s="162"/>
      <c r="D34" s="162" t="s">
        <v>2703</v>
      </c>
      <c r="E34" s="162"/>
      <c r="F34" s="162"/>
      <c r="G34" s="163"/>
      <c r="H34" s="163"/>
      <c r="I34" s="164" t="s">
        <v>498</v>
      </c>
      <c r="J34" s="143">
        <v>0</v>
      </c>
      <c r="K34" s="141">
        <v>8.621783885581182E-4</v>
      </c>
      <c r="L34" s="141">
        <v>0</v>
      </c>
      <c r="M34" s="141">
        <v>0</v>
      </c>
      <c r="N34" s="141">
        <v>1.8593629210670723E-3</v>
      </c>
      <c r="O34" s="141">
        <v>0</v>
      </c>
      <c r="P34" s="141">
        <v>9.886372267555192E-4</v>
      </c>
      <c r="Q34" s="144">
        <v>1.0560717552161633E-3</v>
      </c>
      <c r="R34" s="143">
        <v>1.0786423526693217E-2</v>
      </c>
      <c r="S34" s="141">
        <v>1.073249140905975E-2</v>
      </c>
      <c r="T34" s="141">
        <v>1.0678828952014451E-2</v>
      </c>
      <c r="U34" s="141">
        <v>1.0625434807254379E-2</v>
      </c>
      <c r="V34" s="144">
        <v>1.0572307633218108E-2</v>
      </c>
      <c r="W34" s="185"/>
      <c r="X34" s="164" t="s">
        <v>498</v>
      </c>
      <c r="Y34" s="143">
        <v>0</v>
      </c>
      <c r="Z34" s="141">
        <v>0</v>
      </c>
      <c r="AA34" s="141">
        <v>0</v>
      </c>
      <c r="AB34" s="141">
        <v>0</v>
      </c>
      <c r="AC34" s="141">
        <v>0</v>
      </c>
      <c r="AD34" s="141">
        <v>0</v>
      </c>
      <c r="AE34" s="141">
        <v>0</v>
      </c>
      <c r="AF34" s="144">
        <v>0</v>
      </c>
      <c r="AG34" s="143">
        <v>0</v>
      </c>
      <c r="AH34" s="141">
        <v>0</v>
      </c>
      <c r="AI34" s="141">
        <v>0</v>
      </c>
      <c r="AJ34" s="141">
        <v>0</v>
      </c>
      <c r="AK34" s="144">
        <v>0</v>
      </c>
      <c r="AL34" s="185"/>
      <c r="AM34" s="164" t="s">
        <v>2233</v>
      </c>
      <c r="AN34" s="143">
        <v>0</v>
      </c>
      <c r="AO34" s="141">
        <v>4.0000000000000001E-3</v>
      </c>
      <c r="AP34" s="141">
        <v>0</v>
      </c>
      <c r="AQ34" s="141">
        <v>0</v>
      </c>
      <c r="AR34" s="141">
        <v>1.2E-2</v>
      </c>
      <c r="AS34" s="141">
        <v>0</v>
      </c>
      <c r="AT34" s="141">
        <v>6.5994969407571127E-3</v>
      </c>
      <c r="AU34" s="144">
        <v>7.217913117964647E-3</v>
      </c>
      <c r="AV34" s="143">
        <v>5.1918583751560783E-2</v>
      </c>
      <c r="AW34" s="141">
        <v>5.1918583751560783E-2</v>
      </c>
      <c r="AX34" s="141">
        <v>5.1918583751560783E-2</v>
      </c>
      <c r="AY34" s="141">
        <v>5.1918583751560783E-2</v>
      </c>
      <c r="AZ34" s="144">
        <v>5.1918583751560783E-2</v>
      </c>
      <c r="BA34" s="185"/>
      <c r="BB34" s="545" t="s">
        <v>627</v>
      </c>
      <c r="BC34" s="868">
        <v>0</v>
      </c>
      <c r="BD34" s="545" t="s">
        <v>627</v>
      </c>
      <c r="BE34" s="868">
        <v>0</v>
      </c>
      <c r="BF34" s="545" t="s">
        <v>2233</v>
      </c>
      <c r="BG34" s="141">
        <v>1.7536414579344812E-2</v>
      </c>
      <c r="BH34" s="545" t="s">
        <v>2233</v>
      </c>
      <c r="BI34" s="141">
        <v>0</v>
      </c>
      <c r="BJ34" s="545" t="s">
        <v>2233</v>
      </c>
      <c r="BK34" s="141">
        <v>1.0340033550165077E-2</v>
      </c>
      <c r="BL34" s="545" t="s">
        <v>2233</v>
      </c>
      <c r="BM34" s="141">
        <v>1.3156192858367033E-3</v>
      </c>
      <c r="BN34" s="545" t="s">
        <v>2233</v>
      </c>
      <c r="BO34" s="141">
        <v>6.2534264337517115E-4</v>
      </c>
      <c r="BP34" s="185"/>
      <c r="BQ34" s="545" t="s">
        <v>627</v>
      </c>
      <c r="BR34" s="868">
        <v>0</v>
      </c>
      <c r="BS34" s="545" t="s">
        <v>627</v>
      </c>
      <c r="BT34" s="868">
        <v>0</v>
      </c>
      <c r="BU34" s="545" t="s">
        <v>2233</v>
      </c>
      <c r="BV34" s="141">
        <v>0.15267352316092403</v>
      </c>
      <c r="BW34" s="545" t="s">
        <v>2233</v>
      </c>
      <c r="BX34" s="141">
        <v>0</v>
      </c>
      <c r="BY34" s="545" t="s">
        <v>2233</v>
      </c>
      <c r="BZ34" s="141">
        <v>9.002121525829257E-2</v>
      </c>
      <c r="CA34" s="545" t="s">
        <v>2233</v>
      </c>
      <c r="CB34" s="141">
        <v>1.1453893873137021E-2</v>
      </c>
      <c r="CC34" s="545" t="s">
        <v>2233</v>
      </c>
      <c r="CD34" s="144">
        <v>5.444286465450322E-3</v>
      </c>
    </row>
    <row r="35" spans="1:82" s="98" customFormat="1" ht="15" customHeight="1">
      <c r="A35" s="99"/>
      <c r="B35" s="161"/>
      <c r="C35" s="162"/>
      <c r="D35" s="162" t="s">
        <v>2704</v>
      </c>
      <c r="E35" s="162"/>
      <c r="F35" s="162"/>
      <c r="G35" s="163"/>
      <c r="H35" s="163"/>
      <c r="I35" s="164" t="s">
        <v>498</v>
      </c>
      <c r="J35" s="143">
        <v>0</v>
      </c>
      <c r="K35" s="141">
        <v>9.9722823367417987E-2</v>
      </c>
      <c r="L35" s="141">
        <v>0</v>
      </c>
      <c r="M35" s="141">
        <v>2.7247866918396771E-2</v>
      </c>
      <c r="N35" s="141">
        <v>5.5873758184716626E-2</v>
      </c>
      <c r="O35" s="141">
        <v>0.11921445960881899</v>
      </c>
      <c r="P35" s="141">
        <v>0.11617474092660889</v>
      </c>
      <c r="Q35" s="144">
        <v>0.11698396086228044</v>
      </c>
      <c r="R35" s="143">
        <v>3.6658835016367138E-2</v>
      </c>
      <c r="S35" s="141">
        <v>3.6475540841285299E-2</v>
      </c>
      <c r="T35" s="141">
        <v>3.6293163137078872E-2</v>
      </c>
      <c r="U35" s="141">
        <v>3.6111697321393479E-2</v>
      </c>
      <c r="V35" s="144">
        <v>3.5931138834786512E-2</v>
      </c>
      <c r="W35" s="185"/>
      <c r="X35" s="164" t="s">
        <v>498</v>
      </c>
      <c r="Y35" s="143">
        <v>0</v>
      </c>
      <c r="Z35" s="141">
        <v>0</v>
      </c>
      <c r="AA35" s="141">
        <v>0</v>
      </c>
      <c r="AB35" s="141">
        <v>0</v>
      </c>
      <c r="AC35" s="141">
        <v>0</v>
      </c>
      <c r="AD35" s="141">
        <v>0</v>
      </c>
      <c r="AE35" s="141">
        <v>0</v>
      </c>
      <c r="AF35" s="144">
        <v>0</v>
      </c>
      <c r="AG35" s="143">
        <v>0</v>
      </c>
      <c r="AH35" s="141">
        <v>0</v>
      </c>
      <c r="AI35" s="141">
        <v>0</v>
      </c>
      <c r="AJ35" s="141">
        <v>0</v>
      </c>
      <c r="AK35" s="144">
        <v>0</v>
      </c>
      <c r="AL35" s="185"/>
      <c r="AM35" s="164" t="s">
        <v>2233</v>
      </c>
      <c r="AN35" s="143">
        <v>0</v>
      </c>
      <c r="AO35" s="141">
        <v>0.39500000000000002</v>
      </c>
      <c r="AP35" s="141">
        <v>0</v>
      </c>
      <c r="AQ35" s="141">
        <v>0.13100000000000001</v>
      </c>
      <c r="AR35" s="141">
        <v>0.17899999999999999</v>
      </c>
      <c r="AS35" s="141">
        <v>0.35299999999999998</v>
      </c>
      <c r="AT35" s="141">
        <v>0.41767769930116039</v>
      </c>
      <c r="AU35" s="144">
        <v>0.43062599962651171</v>
      </c>
      <c r="AV35" s="143">
        <v>0.11083285928672161</v>
      </c>
      <c r="AW35" s="141">
        <v>0.11083285928672161</v>
      </c>
      <c r="AX35" s="141">
        <v>0.11083285928672161</v>
      </c>
      <c r="AY35" s="141">
        <v>0.11083285928672161</v>
      </c>
      <c r="AZ35" s="144">
        <v>0.11083285928672161</v>
      </c>
      <c r="BA35" s="185"/>
      <c r="BB35" s="545" t="s">
        <v>627</v>
      </c>
      <c r="BC35" s="868">
        <v>0</v>
      </c>
      <c r="BD35" s="545" t="s">
        <v>627</v>
      </c>
      <c r="BE35" s="868">
        <v>0</v>
      </c>
      <c r="BF35" s="545" t="s">
        <v>2233</v>
      </c>
      <c r="BG35" s="141">
        <v>1.1211480780087331</v>
      </c>
      <c r="BH35" s="545" t="s">
        <v>2233</v>
      </c>
      <c r="BI35" s="141">
        <v>0</v>
      </c>
      <c r="BJ35" s="545" t="s">
        <v>2233</v>
      </c>
      <c r="BK35" s="141">
        <v>0.66106493370473884</v>
      </c>
      <c r="BL35" s="545" t="s">
        <v>2233</v>
      </c>
      <c r="BM35" s="141">
        <v>8.411092398809783E-2</v>
      </c>
      <c r="BN35" s="545" t="s">
        <v>2233</v>
      </c>
      <c r="BO35" s="141">
        <v>3.9979763226102291E-2</v>
      </c>
      <c r="BP35" s="185"/>
      <c r="BQ35" s="545" t="s">
        <v>627</v>
      </c>
      <c r="BR35" s="868">
        <v>0</v>
      </c>
      <c r="BS35" s="545" t="s">
        <v>627</v>
      </c>
      <c r="BT35" s="868">
        <v>0</v>
      </c>
      <c r="BU35" s="545" t="s">
        <v>2233</v>
      </c>
      <c r="BV35" s="141">
        <v>0.32591881146592405</v>
      </c>
      <c r="BW35" s="545" t="s">
        <v>2233</v>
      </c>
      <c r="BX35" s="141">
        <v>0</v>
      </c>
      <c r="BY35" s="545" t="s">
        <v>2233</v>
      </c>
      <c r="BZ35" s="141">
        <v>0.19217220429750412</v>
      </c>
      <c r="CA35" s="545" t="s">
        <v>2233</v>
      </c>
      <c r="CB35" s="141">
        <v>2.445112551607834E-2</v>
      </c>
      <c r="CC35" s="545" t="s">
        <v>2233</v>
      </c>
      <c r="CD35" s="144">
        <v>1.1622155154101614E-2</v>
      </c>
    </row>
    <row r="36" spans="1:82" s="98" customFormat="1" ht="15" customHeight="1">
      <c r="A36" s="99"/>
      <c r="B36" s="161"/>
      <c r="C36" s="162"/>
      <c r="D36" s="162" t="s">
        <v>2705</v>
      </c>
      <c r="E36" s="162"/>
      <c r="F36" s="162"/>
      <c r="G36" s="163"/>
      <c r="H36" s="163"/>
      <c r="I36" s="164" t="s">
        <v>498</v>
      </c>
      <c r="J36" s="143">
        <v>5.9711569462070242E-2</v>
      </c>
      <c r="K36" s="141">
        <v>0.35672875371983664</v>
      </c>
      <c r="L36" s="141">
        <v>0.26033108300330698</v>
      </c>
      <c r="M36" s="141">
        <v>0.55834700570168228</v>
      </c>
      <c r="N36" s="141">
        <v>0.46662337233287143</v>
      </c>
      <c r="O36" s="141">
        <v>0</v>
      </c>
      <c r="P36" s="141">
        <v>0.63478153965825379</v>
      </c>
      <c r="Q36" s="144">
        <v>0.59147100488963855</v>
      </c>
      <c r="R36" s="143">
        <v>4.7834923071268055E-2</v>
      </c>
      <c r="S36" s="141">
        <v>4.7595748455911718E-2</v>
      </c>
      <c r="T36" s="141">
        <v>4.7357769713632161E-2</v>
      </c>
      <c r="U36" s="141">
        <v>4.7120980865063999E-2</v>
      </c>
      <c r="V36" s="144">
        <v>4.6885375960738676E-2</v>
      </c>
      <c r="W36" s="185"/>
      <c r="X36" s="164" t="s">
        <v>498</v>
      </c>
      <c r="Y36" s="143">
        <v>0</v>
      </c>
      <c r="Z36" s="141">
        <v>0</v>
      </c>
      <c r="AA36" s="141">
        <v>0</v>
      </c>
      <c r="AB36" s="141">
        <v>0</v>
      </c>
      <c r="AC36" s="141">
        <v>0</v>
      </c>
      <c r="AD36" s="141">
        <v>0</v>
      </c>
      <c r="AE36" s="141">
        <v>0</v>
      </c>
      <c r="AF36" s="144">
        <v>0</v>
      </c>
      <c r="AG36" s="143">
        <v>0</v>
      </c>
      <c r="AH36" s="141">
        <v>0</v>
      </c>
      <c r="AI36" s="141">
        <v>0</v>
      </c>
      <c r="AJ36" s="141">
        <v>0</v>
      </c>
      <c r="AK36" s="144">
        <v>0</v>
      </c>
      <c r="AL36" s="185"/>
      <c r="AM36" s="164" t="s">
        <v>2233</v>
      </c>
      <c r="AN36" s="143">
        <v>0.16300000000000001</v>
      </c>
      <c r="AO36" s="141">
        <v>0.93700000000000006</v>
      </c>
      <c r="AP36" s="141">
        <v>0.63100000000000001</v>
      </c>
      <c r="AQ36" s="141">
        <v>1.482</v>
      </c>
      <c r="AR36" s="141">
        <v>0.95899999999999996</v>
      </c>
      <c r="AS36" s="141">
        <v>0</v>
      </c>
      <c r="AT36" s="141">
        <v>1.6396586464355052</v>
      </c>
      <c r="AU36" s="144">
        <v>1.5642528864604739</v>
      </c>
      <c r="AV36" s="143">
        <v>0.10577206048542723</v>
      </c>
      <c r="AW36" s="141">
        <v>0.10577206048542723</v>
      </c>
      <c r="AX36" s="141">
        <v>0.10577206048542723</v>
      </c>
      <c r="AY36" s="141">
        <v>0.10577206048542723</v>
      </c>
      <c r="AZ36" s="144">
        <v>0.10577206048542723</v>
      </c>
      <c r="BA36" s="185"/>
      <c r="BB36" s="545" t="s">
        <v>627</v>
      </c>
      <c r="BC36" s="868">
        <v>0</v>
      </c>
      <c r="BD36" s="545" t="s">
        <v>627</v>
      </c>
      <c r="BE36" s="868">
        <v>0</v>
      </c>
      <c r="BF36" s="545" t="s">
        <v>2233</v>
      </c>
      <c r="BG36" s="141">
        <v>4.3379704101295617</v>
      </c>
      <c r="BH36" s="545" t="s">
        <v>2233</v>
      </c>
      <c r="BI36" s="141">
        <v>0</v>
      </c>
      <c r="BJ36" s="545" t="s">
        <v>2233</v>
      </c>
      <c r="BK36" s="141">
        <v>2.5578067499154025</v>
      </c>
      <c r="BL36" s="545" t="s">
        <v>2233</v>
      </c>
      <c r="BM36" s="141">
        <v>0.32544380763428737</v>
      </c>
      <c r="BN36" s="545" t="s">
        <v>2233</v>
      </c>
      <c r="BO36" s="141">
        <v>0.15469056521672672</v>
      </c>
      <c r="BP36" s="185"/>
      <c r="BQ36" s="545" t="s">
        <v>627</v>
      </c>
      <c r="BR36" s="868">
        <v>0</v>
      </c>
      <c r="BS36" s="545" t="s">
        <v>627</v>
      </c>
      <c r="BT36" s="868">
        <v>0</v>
      </c>
      <c r="BU36" s="545" t="s">
        <v>2233</v>
      </c>
      <c r="BV36" s="141">
        <v>0.31103685731441139</v>
      </c>
      <c r="BW36" s="545" t="s">
        <v>2233</v>
      </c>
      <c r="BX36" s="141">
        <v>0</v>
      </c>
      <c r="BY36" s="545" t="s">
        <v>2233</v>
      </c>
      <c r="BZ36" s="141">
        <v>0.18339732591387456</v>
      </c>
      <c r="CA36" s="545" t="s">
        <v>2233</v>
      </c>
      <c r="CB36" s="141">
        <v>2.3334649522420627E-2</v>
      </c>
      <c r="CC36" s="545" t="s">
        <v>2233</v>
      </c>
      <c r="CD36" s="144">
        <v>1.1091469676429546E-2</v>
      </c>
    </row>
    <row r="37" spans="1:82" s="98" customFormat="1" ht="15" customHeight="1">
      <c r="A37" s="99"/>
      <c r="B37" s="161"/>
      <c r="C37" s="162"/>
      <c r="D37" s="162" t="s">
        <v>2706</v>
      </c>
      <c r="E37" s="162"/>
      <c r="F37" s="162"/>
      <c r="G37" s="163"/>
      <c r="H37" s="163"/>
      <c r="I37" s="164" t="s">
        <v>498</v>
      </c>
      <c r="J37" s="143">
        <v>0.47744994183343409</v>
      </c>
      <c r="K37" s="141">
        <v>0</v>
      </c>
      <c r="L37" s="141">
        <v>0</v>
      </c>
      <c r="M37" s="141">
        <v>0</v>
      </c>
      <c r="N37" s="141">
        <v>0</v>
      </c>
      <c r="O37" s="141">
        <v>0</v>
      </c>
      <c r="P37" s="141">
        <v>0.372800287792178</v>
      </c>
      <c r="Q37" s="144">
        <v>0</v>
      </c>
      <c r="R37" s="143">
        <v>2.2593955231706223E-2</v>
      </c>
      <c r="S37" s="141">
        <v>2.2480985455547692E-2</v>
      </c>
      <c r="T37" s="141">
        <v>2.2368580528269955E-2</v>
      </c>
      <c r="U37" s="141">
        <v>2.2256737625628603E-2</v>
      </c>
      <c r="V37" s="144">
        <v>2.2145453937500462E-2</v>
      </c>
      <c r="W37" s="185"/>
      <c r="X37" s="164" t="s">
        <v>498</v>
      </c>
      <c r="Y37" s="143">
        <v>0</v>
      </c>
      <c r="Z37" s="141">
        <v>0</v>
      </c>
      <c r="AA37" s="141">
        <v>0</v>
      </c>
      <c r="AB37" s="141">
        <v>0</v>
      </c>
      <c r="AC37" s="141">
        <v>0</v>
      </c>
      <c r="AD37" s="141">
        <v>0</v>
      </c>
      <c r="AE37" s="141">
        <v>0</v>
      </c>
      <c r="AF37" s="144">
        <v>0</v>
      </c>
      <c r="AG37" s="143">
        <v>0</v>
      </c>
      <c r="AH37" s="141">
        <v>0</v>
      </c>
      <c r="AI37" s="141">
        <v>0</v>
      </c>
      <c r="AJ37" s="141">
        <v>0</v>
      </c>
      <c r="AK37" s="144">
        <v>0</v>
      </c>
      <c r="AL37" s="185"/>
      <c r="AM37" s="164" t="s">
        <v>2233</v>
      </c>
      <c r="AN37" s="143">
        <v>0.97</v>
      </c>
      <c r="AO37" s="141">
        <v>0</v>
      </c>
      <c r="AP37" s="141"/>
      <c r="AQ37" s="141">
        <v>0.28999999999999998</v>
      </c>
      <c r="AR37" s="141">
        <v>0</v>
      </c>
      <c r="AS37" s="141">
        <v>0</v>
      </c>
      <c r="AT37" s="141">
        <v>0.49949972486292255</v>
      </c>
      <c r="AU37" s="144">
        <v>0.48238597905033159</v>
      </c>
      <c r="AV37" s="143">
        <v>3.0225620569614177E-2</v>
      </c>
      <c r="AW37" s="141">
        <v>3.0225620569614177E-2</v>
      </c>
      <c r="AX37" s="141">
        <v>3.0225620569614177E-2</v>
      </c>
      <c r="AY37" s="141">
        <v>3.0225620569614177E-2</v>
      </c>
      <c r="AZ37" s="144">
        <v>3.0225620569614177E-2</v>
      </c>
      <c r="BA37" s="185"/>
      <c r="BB37" s="545" t="s">
        <v>627</v>
      </c>
      <c r="BC37" s="868">
        <v>0</v>
      </c>
      <c r="BD37" s="545" t="s">
        <v>627</v>
      </c>
      <c r="BE37" s="868">
        <v>0</v>
      </c>
      <c r="BF37" s="545" t="s">
        <v>2233</v>
      </c>
      <c r="BG37" s="141">
        <v>1.3185128106667783</v>
      </c>
      <c r="BH37" s="545" t="s">
        <v>2233</v>
      </c>
      <c r="BI37" s="141">
        <v>0</v>
      </c>
      <c r="BJ37" s="545" t="s">
        <v>2233</v>
      </c>
      <c r="BK37" s="141">
        <v>0.77743752218740647</v>
      </c>
      <c r="BL37" s="545" t="s">
        <v>2233</v>
      </c>
      <c r="BM37" s="141">
        <v>9.8917647874220194E-2</v>
      </c>
      <c r="BN37" s="545" t="s">
        <v>2233</v>
      </c>
      <c r="BO37" s="141">
        <v>4.7017723184849293E-2</v>
      </c>
      <c r="BP37" s="185"/>
      <c r="BQ37" s="545" t="s">
        <v>627</v>
      </c>
      <c r="BR37" s="868">
        <v>0</v>
      </c>
      <c r="BS37" s="545" t="s">
        <v>627</v>
      </c>
      <c r="BT37" s="868">
        <v>0</v>
      </c>
      <c r="BU37" s="545" t="s">
        <v>2233</v>
      </c>
      <c r="BV37" s="141">
        <v>8.8882470372654662E-2</v>
      </c>
      <c r="BW37" s="545" t="s">
        <v>2233</v>
      </c>
      <c r="BX37" s="141">
        <v>0</v>
      </c>
      <c r="BY37" s="545" t="s">
        <v>2233</v>
      </c>
      <c r="BZ37" s="141">
        <v>5.2407960676140661E-2</v>
      </c>
      <c r="CA37" s="545" t="s">
        <v>2233</v>
      </c>
      <c r="CB37" s="141">
        <v>6.6681528123089555E-3</v>
      </c>
      <c r="CC37" s="545" t="s">
        <v>2233</v>
      </c>
      <c r="CD37" s="144">
        <v>3.1695189869665958E-3</v>
      </c>
    </row>
    <row r="38" spans="1:82" s="98" customFormat="1" ht="15" customHeight="1">
      <c r="A38" s="99"/>
      <c r="B38" s="161"/>
      <c r="C38" s="162"/>
      <c r="D38" s="162" t="s">
        <v>2707</v>
      </c>
      <c r="E38" s="162"/>
      <c r="F38" s="162"/>
      <c r="G38" s="163"/>
      <c r="H38" s="163"/>
      <c r="I38" s="164" t="s">
        <v>498</v>
      </c>
      <c r="J38" s="143">
        <v>0</v>
      </c>
      <c r="K38" s="141">
        <v>0</v>
      </c>
      <c r="L38" s="141">
        <v>0</v>
      </c>
      <c r="M38" s="141">
        <v>0</v>
      </c>
      <c r="N38" s="141">
        <v>0</v>
      </c>
      <c r="O38" s="141">
        <v>0</v>
      </c>
      <c r="P38" s="141">
        <v>0</v>
      </c>
      <c r="Q38" s="144">
        <v>0</v>
      </c>
      <c r="R38" s="143">
        <v>0</v>
      </c>
      <c r="S38" s="141">
        <v>0</v>
      </c>
      <c r="T38" s="141">
        <v>0</v>
      </c>
      <c r="U38" s="141">
        <v>0</v>
      </c>
      <c r="V38" s="144">
        <v>0</v>
      </c>
      <c r="W38" s="185"/>
      <c r="X38" s="164" t="s">
        <v>498</v>
      </c>
      <c r="Y38" s="143">
        <v>0</v>
      </c>
      <c r="Z38" s="141">
        <v>0</v>
      </c>
      <c r="AA38" s="141">
        <v>0</v>
      </c>
      <c r="AB38" s="141">
        <v>0</v>
      </c>
      <c r="AC38" s="141">
        <v>0</v>
      </c>
      <c r="AD38" s="141">
        <v>0</v>
      </c>
      <c r="AE38" s="141">
        <v>0</v>
      </c>
      <c r="AF38" s="144">
        <v>0</v>
      </c>
      <c r="AG38" s="143">
        <v>0</v>
      </c>
      <c r="AH38" s="141">
        <v>0</v>
      </c>
      <c r="AI38" s="141">
        <v>0</v>
      </c>
      <c r="AJ38" s="141">
        <v>0</v>
      </c>
      <c r="AK38" s="144">
        <v>0</v>
      </c>
      <c r="AL38" s="185"/>
      <c r="AM38" s="164" t="s">
        <v>2233</v>
      </c>
      <c r="AN38" s="143">
        <v>0</v>
      </c>
      <c r="AO38" s="141">
        <v>0</v>
      </c>
      <c r="AP38" s="141"/>
      <c r="AQ38" s="141"/>
      <c r="AR38" s="141"/>
      <c r="AS38" s="141">
        <v>0</v>
      </c>
      <c r="AT38" s="141">
        <v>0</v>
      </c>
      <c r="AU38" s="144">
        <v>0</v>
      </c>
      <c r="AV38" s="143">
        <v>0</v>
      </c>
      <c r="AW38" s="141">
        <v>0</v>
      </c>
      <c r="AX38" s="141">
        <v>0</v>
      </c>
      <c r="AY38" s="141">
        <v>0</v>
      </c>
      <c r="AZ38" s="144">
        <v>0</v>
      </c>
      <c r="BA38" s="185"/>
      <c r="BB38" s="545" t="s">
        <v>627</v>
      </c>
      <c r="BC38" s="868">
        <v>0</v>
      </c>
      <c r="BD38" s="545" t="s">
        <v>627</v>
      </c>
      <c r="BE38" s="868">
        <v>0</v>
      </c>
      <c r="BF38" s="545" t="s">
        <v>2233</v>
      </c>
      <c r="BG38" s="141">
        <v>0</v>
      </c>
      <c r="BH38" s="545" t="s">
        <v>2233</v>
      </c>
      <c r="BI38" s="141">
        <v>0</v>
      </c>
      <c r="BJ38" s="545" t="s">
        <v>2233</v>
      </c>
      <c r="BK38" s="141">
        <v>0</v>
      </c>
      <c r="BL38" s="545" t="s">
        <v>2233</v>
      </c>
      <c r="BM38" s="141">
        <v>0</v>
      </c>
      <c r="BN38" s="545" t="s">
        <v>2233</v>
      </c>
      <c r="BO38" s="141">
        <v>0</v>
      </c>
      <c r="BP38" s="185"/>
      <c r="BQ38" s="545" t="s">
        <v>627</v>
      </c>
      <c r="BR38" s="868">
        <v>0</v>
      </c>
      <c r="BS38" s="545" t="s">
        <v>627</v>
      </c>
      <c r="BT38" s="868">
        <v>0</v>
      </c>
      <c r="BU38" s="545" t="s">
        <v>2233</v>
      </c>
      <c r="BV38" s="141">
        <v>0</v>
      </c>
      <c r="BW38" s="545" t="s">
        <v>2233</v>
      </c>
      <c r="BX38" s="141">
        <v>0</v>
      </c>
      <c r="BY38" s="545" t="s">
        <v>2233</v>
      </c>
      <c r="BZ38" s="141">
        <v>0</v>
      </c>
      <c r="CA38" s="545" t="s">
        <v>2233</v>
      </c>
      <c r="CB38" s="141">
        <v>0</v>
      </c>
      <c r="CC38" s="545" t="s">
        <v>2233</v>
      </c>
      <c r="CD38" s="144">
        <v>0</v>
      </c>
    </row>
    <row r="39" spans="1:82" s="98" customFormat="1" ht="15" customHeight="1">
      <c r="A39" s="99"/>
      <c r="B39" s="161"/>
      <c r="C39" s="162"/>
      <c r="D39" s="162" t="s">
        <v>2708</v>
      </c>
      <c r="E39" s="162"/>
      <c r="F39" s="162"/>
      <c r="G39" s="163"/>
      <c r="H39" s="163"/>
      <c r="I39" s="164" t="s">
        <v>498</v>
      </c>
      <c r="J39" s="143">
        <v>0</v>
      </c>
      <c r="K39" s="141">
        <v>0</v>
      </c>
      <c r="L39" s="141">
        <v>0</v>
      </c>
      <c r="M39" s="141">
        <v>0</v>
      </c>
      <c r="N39" s="141">
        <v>0</v>
      </c>
      <c r="O39" s="141">
        <v>0</v>
      </c>
      <c r="P39" s="141">
        <v>0</v>
      </c>
      <c r="Q39" s="144">
        <v>0</v>
      </c>
      <c r="R39" s="143">
        <v>0</v>
      </c>
      <c r="S39" s="141">
        <v>0</v>
      </c>
      <c r="T39" s="141">
        <v>0</v>
      </c>
      <c r="U39" s="141">
        <v>0</v>
      </c>
      <c r="V39" s="144">
        <v>0</v>
      </c>
      <c r="W39" s="185"/>
      <c r="X39" s="164" t="s">
        <v>498</v>
      </c>
      <c r="Y39" s="143">
        <v>0</v>
      </c>
      <c r="Z39" s="141">
        <v>0</v>
      </c>
      <c r="AA39" s="141">
        <v>0</v>
      </c>
      <c r="AB39" s="141">
        <v>0</v>
      </c>
      <c r="AC39" s="141">
        <v>0</v>
      </c>
      <c r="AD39" s="141">
        <v>0</v>
      </c>
      <c r="AE39" s="141">
        <v>0</v>
      </c>
      <c r="AF39" s="144">
        <v>0</v>
      </c>
      <c r="AG39" s="143">
        <v>0</v>
      </c>
      <c r="AH39" s="141">
        <v>0</v>
      </c>
      <c r="AI39" s="141">
        <v>0</v>
      </c>
      <c r="AJ39" s="141">
        <v>0</v>
      </c>
      <c r="AK39" s="144">
        <v>0</v>
      </c>
      <c r="AL39" s="185"/>
      <c r="AM39" s="164" t="s">
        <v>2233</v>
      </c>
      <c r="AN39" s="143">
        <v>0</v>
      </c>
      <c r="AO39" s="141">
        <v>0</v>
      </c>
      <c r="AP39" s="141"/>
      <c r="AQ39" s="141"/>
      <c r="AR39" s="141"/>
      <c r="AS39" s="141"/>
      <c r="AT39" s="141">
        <v>0</v>
      </c>
      <c r="AU39" s="144">
        <v>0</v>
      </c>
      <c r="AV39" s="143">
        <v>0</v>
      </c>
      <c r="AW39" s="141">
        <v>0</v>
      </c>
      <c r="AX39" s="141">
        <v>0</v>
      </c>
      <c r="AY39" s="141">
        <v>0</v>
      </c>
      <c r="AZ39" s="144">
        <v>0</v>
      </c>
      <c r="BA39" s="185"/>
      <c r="BB39" s="545" t="s">
        <v>627</v>
      </c>
      <c r="BC39" s="868">
        <v>0</v>
      </c>
      <c r="BD39" s="545" t="s">
        <v>627</v>
      </c>
      <c r="BE39" s="868">
        <v>0</v>
      </c>
      <c r="BF39" s="545" t="s">
        <v>2233</v>
      </c>
      <c r="BG39" s="141">
        <v>0</v>
      </c>
      <c r="BH39" s="545" t="s">
        <v>2233</v>
      </c>
      <c r="BI39" s="141">
        <v>0</v>
      </c>
      <c r="BJ39" s="545" t="s">
        <v>2233</v>
      </c>
      <c r="BK39" s="141">
        <v>0</v>
      </c>
      <c r="BL39" s="545" t="s">
        <v>2233</v>
      </c>
      <c r="BM39" s="141">
        <v>0</v>
      </c>
      <c r="BN39" s="545" t="s">
        <v>2233</v>
      </c>
      <c r="BO39" s="141">
        <v>0</v>
      </c>
      <c r="BP39" s="185"/>
      <c r="BQ39" s="545" t="s">
        <v>627</v>
      </c>
      <c r="BR39" s="868">
        <v>0</v>
      </c>
      <c r="BS39" s="545" t="s">
        <v>627</v>
      </c>
      <c r="BT39" s="868">
        <v>0</v>
      </c>
      <c r="BU39" s="545" t="s">
        <v>2233</v>
      </c>
      <c r="BV39" s="141">
        <v>0</v>
      </c>
      <c r="BW39" s="545" t="s">
        <v>2233</v>
      </c>
      <c r="BX39" s="141">
        <v>0</v>
      </c>
      <c r="BY39" s="545" t="s">
        <v>2233</v>
      </c>
      <c r="BZ39" s="141">
        <v>0</v>
      </c>
      <c r="CA39" s="545" t="s">
        <v>2233</v>
      </c>
      <c r="CB39" s="141">
        <v>0</v>
      </c>
      <c r="CC39" s="545" t="s">
        <v>2233</v>
      </c>
      <c r="CD39" s="144">
        <v>0</v>
      </c>
    </row>
    <row r="40" spans="1:82" s="98" customFormat="1" ht="15" customHeight="1">
      <c r="A40" s="99"/>
      <c r="B40" s="161"/>
      <c r="C40" s="162" t="s">
        <v>1710</v>
      </c>
      <c r="D40" s="162"/>
      <c r="E40" s="162"/>
      <c r="F40" s="162"/>
      <c r="G40" s="163"/>
      <c r="H40" s="163"/>
      <c r="I40" s="164" t="s">
        <v>498</v>
      </c>
      <c r="J40" s="641">
        <f>SUM(J32:J39)</f>
        <v>0.53716151129550438</v>
      </c>
      <c r="K40" s="642">
        <f t="shared" ref="K40" si="29">SUM(K32:K39)</f>
        <v>0.45731375547581277</v>
      </c>
      <c r="L40" s="642">
        <f t="shared" ref="L40" si="30">SUM(L32:L39)</f>
        <v>0.26033108300330698</v>
      </c>
      <c r="M40" s="642">
        <f t="shared" ref="M40" si="31">SUM(M32:M39)</f>
        <v>0.58559487262007903</v>
      </c>
      <c r="N40" s="642">
        <f t="shared" ref="N40" si="32">SUM(N32:N39)</f>
        <v>0.52435649343865509</v>
      </c>
      <c r="O40" s="642">
        <f t="shared" ref="O40" si="33">SUM(O32:O39)</f>
        <v>0.11921445960881899</v>
      </c>
      <c r="P40" s="642">
        <f t="shared" ref="P40" si="34">SUM(P32:P39)</f>
        <v>1.1247452056037961</v>
      </c>
      <c r="Q40" s="643">
        <f t="shared" ref="Q40" si="35">SUM(Q32:Q39)</f>
        <v>0.70951103750713518</v>
      </c>
      <c r="R40" s="641">
        <f t="shared" ref="R40" si="36">SUM(R32:R39)</f>
        <v>0.12330686615484081</v>
      </c>
      <c r="S40" s="642">
        <f t="shared" ref="S40" si="37">SUM(S32:S39)</f>
        <v>0.12269033182406661</v>
      </c>
      <c r="T40" s="642">
        <f t="shared" ref="T40" si="38">SUM(T32:T39)</f>
        <v>0.12207688016494628</v>
      </c>
      <c r="U40" s="642">
        <f t="shared" ref="U40" si="39">SUM(U32:U39)</f>
        <v>0.12146649576412155</v>
      </c>
      <c r="V40" s="643">
        <f t="shared" ref="V40" si="40">SUM(V32:V39)</f>
        <v>0.12085916328530094</v>
      </c>
      <c r="W40" s="185"/>
      <c r="X40" s="164" t="s">
        <v>498</v>
      </c>
      <c r="Y40" s="641">
        <f>SUM(Y32:Y39)</f>
        <v>0</v>
      </c>
      <c r="Z40" s="642">
        <f t="shared" ref="Z40" si="41">SUM(Z32:Z39)</f>
        <v>0</v>
      </c>
      <c r="AA40" s="642">
        <f t="shared" ref="AA40" si="42">SUM(AA32:AA39)</f>
        <v>0</v>
      </c>
      <c r="AB40" s="642">
        <f t="shared" ref="AB40" si="43">SUM(AB32:AB39)</f>
        <v>0</v>
      </c>
      <c r="AC40" s="642">
        <f t="shared" ref="AC40" si="44">SUM(AC32:AC39)</f>
        <v>0</v>
      </c>
      <c r="AD40" s="642">
        <f t="shared" ref="AD40" si="45">SUM(AD32:AD39)</f>
        <v>0</v>
      </c>
      <c r="AE40" s="642">
        <f t="shared" ref="AE40" si="46">SUM(AE32:AE39)</f>
        <v>0</v>
      </c>
      <c r="AF40" s="643">
        <f t="shared" ref="AF40" si="47">SUM(AF32:AF39)</f>
        <v>0</v>
      </c>
      <c r="AG40" s="641">
        <f t="shared" ref="AG40" si="48">SUM(AG32:AG39)</f>
        <v>0</v>
      </c>
      <c r="AH40" s="642">
        <f t="shared" ref="AH40" si="49">SUM(AH32:AH39)</f>
        <v>0</v>
      </c>
      <c r="AI40" s="642">
        <f t="shared" ref="AI40" si="50">SUM(AI32:AI39)</f>
        <v>0</v>
      </c>
      <c r="AJ40" s="642">
        <f t="shared" ref="AJ40" si="51">SUM(AJ32:AJ39)</f>
        <v>0</v>
      </c>
      <c r="AK40" s="643">
        <f t="shared" ref="AK40" si="52">SUM(AK32:AK39)</f>
        <v>0</v>
      </c>
      <c r="AL40" s="185"/>
      <c r="AM40" s="164" t="s">
        <v>2233</v>
      </c>
      <c r="AN40" s="641">
        <f>SUM(AN32:AN39)</f>
        <v>1.133</v>
      </c>
      <c r="AO40" s="642">
        <f t="shared" ref="AO40" si="53">SUM(AO32:AO39)</f>
        <v>1.3360000000000001</v>
      </c>
      <c r="AP40" s="642">
        <f t="shared" ref="AP40" si="54">SUM(AP32:AP39)</f>
        <v>0.63100000000000001</v>
      </c>
      <c r="AQ40" s="642">
        <f t="shared" ref="AQ40" si="55">SUM(AQ32:AQ39)</f>
        <v>1.903</v>
      </c>
      <c r="AR40" s="642">
        <f t="shared" ref="AR40" si="56">SUM(AR32:AR39)</f>
        <v>1.1499999999999999</v>
      </c>
      <c r="AS40" s="642">
        <f t="shared" ref="AS40" si="57">SUM(AS32:AS39)</f>
        <v>0.35299999999999998</v>
      </c>
      <c r="AT40" s="642">
        <f t="shared" ref="AT40" si="58">SUM(AT32:AT39)</f>
        <v>2.5634355675403455</v>
      </c>
      <c r="AU40" s="643">
        <f t="shared" ref="AU40" si="59">SUM(AU32:AU39)</f>
        <v>2.4844827782552819</v>
      </c>
      <c r="AV40" s="641">
        <f t="shared" ref="AV40" si="60">SUM(AV32:AV39)</f>
        <v>0.33359923356729904</v>
      </c>
      <c r="AW40" s="642">
        <f t="shared" ref="AW40" si="61">SUM(AW32:AW39)</f>
        <v>0.33359923356729904</v>
      </c>
      <c r="AX40" s="642">
        <f t="shared" ref="AX40" si="62">SUM(AX32:AX39)</f>
        <v>0.33359923356729904</v>
      </c>
      <c r="AY40" s="642">
        <f t="shared" ref="AY40" si="63">SUM(AY32:AY39)</f>
        <v>0.33359923356729904</v>
      </c>
      <c r="AZ40" s="643">
        <f t="shared" ref="AZ40" si="64">SUM(AZ32:AZ39)</f>
        <v>0.33359923356729904</v>
      </c>
      <c r="BA40" s="185"/>
      <c r="BB40" s="530"/>
      <c r="BC40" s="530"/>
      <c r="BD40" s="530"/>
      <c r="BE40" s="530"/>
      <c r="BF40" s="545" t="s">
        <v>2233</v>
      </c>
      <c r="BG40" s="642">
        <f>SUM(BG32:BG39)</f>
        <v>6.7951677133844175</v>
      </c>
      <c r="BH40" s="545" t="s">
        <v>2233</v>
      </c>
      <c r="BI40" s="642">
        <f>SUM(BI32:BI39)</f>
        <v>0</v>
      </c>
      <c r="BJ40" s="545" t="s">
        <v>2233</v>
      </c>
      <c r="BK40" s="642">
        <f>SUM(BK32:BK39)</f>
        <v>4.0066492393577127</v>
      </c>
      <c r="BL40" s="545" t="s">
        <v>2233</v>
      </c>
      <c r="BM40" s="642">
        <f>SUM(BM32:BM39)</f>
        <v>0.50978799878244208</v>
      </c>
      <c r="BN40" s="545" t="s">
        <v>2233</v>
      </c>
      <c r="BO40" s="642">
        <f>SUM(BO32:BO39)</f>
        <v>0.24231339427105347</v>
      </c>
      <c r="BP40" s="185"/>
      <c r="BQ40" s="530"/>
      <c r="BR40" s="530"/>
      <c r="BS40" s="530"/>
      <c r="BT40" s="530"/>
      <c r="BU40" s="545" t="s">
        <v>2233</v>
      </c>
      <c r="BV40" s="642">
        <f>SUM(BV32:BV39)</f>
        <v>0.98099305936811898</v>
      </c>
      <c r="BW40" s="545" t="s">
        <v>2233</v>
      </c>
      <c r="BX40" s="642">
        <f>SUM(BX32:BX39)</f>
        <v>0</v>
      </c>
      <c r="BY40" s="545" t="s">
        <v>2233</v>
      </c>
      <c r="BZ40" s="642">
        <f>SUM(BZ32:BZ39)</f>
        <v>0.57842503098055797</v>
      </c>
      <c r="CA40" s="545" t="s">
        <v>2233</v>
      </c>
      <c r="CB40" s="642">
        <f>SUM(CB32:CB39)</f>
        <v>7.3596195068106496E-2</v>
      </c>
      <c r="CC40" s="545" t="s">
        <v>2233</v>
      </c>
      <c r="CD40" s="643">
        <f>SUM(CD32:CD39)</f>
        <v>3.4981882419711556E-2</v>
      </c>
    </row>
    <row r="41" spans="1:82" s="98" customFormat="1" ht="15" customHeight="1">
      <c r="A41" s="99"/>
      <c r="B41" s="123"/>
      <c r="C41" s="127"/>
      <c r="D41" s="127"/>
      <c r="E41" s="127"/>
      <c r="F41" s="127"/>
      <c r="G41" s="117"/>
      <c r="H41" s="117"/>
      <c r="I41" s="117"/>
      <c r="J41" s="159"/>
      <c r="K41" s="117"/>
      <c r="L41" s="117"/>
      <c r="M41" s="117"/>
      <c r="N41" s="117"/>
      <c r="O41" s="117"/>
      <c r="P41" s="117"/>
      <c r="Q41" s="160"/>
      <c r="R41" s="159"/>
      <c r="S41" s="117"/>
      <c r="T41" s="117"/>
      <c r="U41" s="117"/>
      <c r="V41" s="160"/>
      <c r="W41" s="185"/>
      <c r="X41" s="117"/>
      <c r="Y41" s="159"/>
      <c r="Z41" s="117"/>
      <c r="AA41" s="117"/>
      <c r="AB41" s="117"/>
      <c r="AC41" s="117"/>
      <c r="AD41" s="117"/>
      <c r="AE41" s="117"/>
      <c r="AF41" s="160"/>
      <c r="AG41" s="159"/>
      <c r="AH41" s="117"/>
      <c r="AI41" s="117"/>
      <c r="AJ41" s="117"/>
      <c r="AK41" s="160"/>
      <c r="AL41" s="185"/>
      <c r="AM41" s="117"/>
      <c r="AN41" s="159"/>
      <c r="AO41" s="117"/>
      <c r="AP41" s="117"/>
      <c r="AQ41" s="117"/>
      <c r="AR41" s="117"/>
      <c r="AS41" s="117"/>
      <c r="AT41" s="117"/>
      <c r="AU41" s="160"/>
      <c r="AV41" s="159"/>
      <c r="AW41" s="117"/>
      <c r="AX41" s="117"/>
      <c r="AY41" s="117"/>
      <c r="AZ41" s="160"/>
      <c r="BA41" s="185"/>
      <c r="BB41" s="530"/>
      <c r="BC41" s="530"/>
      <c r="BD41" s="530"/>
      <c r="BE41" s="530"/>
      <c r="BF41" s="530"/>
      <c r="BG41" s="530"/>
      <c r="BH41" s="530"/>
      <c r="BI41" s="530"/>
      <c r="BJ41" s="530"/>
      <c r="BK41" s="530"/>
      <c r="BL41" s="530"/>
      <c r="BM41" s="530"/>
      <c r="BN41" s="530"/>
      <c r="BO41" s="530"/>
      <c r="BP41" s="185"/>
      <c r="BQ41" s="530"/>
      <c r="BR41" s="530"/>
      <c r="BS41" s="530"/>
      <c r="BT41" s="530"/>
      <c r="BU41" s="530"/>
      <c r="BV41" s="530"/>
      <c r="BW41" s="530"/>
      <c r="BX41" s="530"/>
      <c r="BY41" s="530"/>
      <c r="BZ41" s="530"/>
      <c r="CA41" s="530"/>
      <c r="CB41" s="530"/>
      <c r="CC41" s="530"/>
      <c r="CD41" s="544"/>
    </row>
    <row r="42" spans="1:82" s="98" customFormat="1" ht="15" customHeight="1">
      <c r="A42" s="99"/>
      <c r="B42" s="161"/>
      <c r="C42" s="116" t="s">
        <v>2709</v>
      </c>
      <c r="D42" s="116"/>
      <c r="E42" s="116"/>
      <c r="F42" s="116"/>
      <c r="G42" s="117"/>
      <c r="H42" s="117"/>
      <c r="I42" s="117"/>
      <c r="J42" s="159"/>
      <c r="K42" s="117"/>
      <c r="L42" s="117"/>
      <c r="M42" s="117"/>
      <c r="N42" s="117"/>
      <c r="O42" s="117"/>
      <c r="P42" s="117"/>
      <c r="Q42" s="160"/>
      <c r="R42" s="159"/>
      <c r="S42" s="117"/>
      <c r="T42" s="117"/>
      <c r="U42" s="117"/>
      <c r="V42" s="160"/>
      <c r="W42" s="185"/>
      <c r="X42" s="117"/>
      <c r="Y42" s="159"/>
      <c r="Z42" s="117"/>
      <c r="AA42" s="117"/>
      <c r="AB42" s="117"/>
      <c r="AC42" s="117"/>
      <c r="AD42" s="117"/>
      <c r="AE42" s="117"/>
      <c r="AF42" s="160"/>
      <c r="AG42" s="159"/>
      <c r="AH42" s="117"/>
      <c r="AI42" s="117"/>
      <c r="AJ42" s="117"/>
      <c r="AK42" s="160"/>
      <c r="AL42" s="185"/>
      <c r="AM42" s="117"/>
      <c r="AN42" s="159"/>
      <c r="AO42" s="117"/>
      <c r="AP42" s="117"/>
      <c r="AQ42" s="117"/>
      <c r="AR42" s="117"/>
      <c r="AS42" s="117"/>
      <c r="AT42" s="117"/>
      <c r="AU42" s="160"/>
      <c r="AV42" s="159"/>
      <c r="AW42" s="117"/>
      <c r="AX42" s="117"/>
      <c r="AY42" s="117"/>
      <c r="AZ42" s="160"/>
      <c r="BA42" s="185"/>
      <c r="BB42" s="530"/>
      <c r="BC42" s="530"/>
      <c r="BD42" s="530"/>
      <c r="BE42" s="530"/>
      <c r="BF42" s="530"/>
      <c r="BG42" s="530"/>
      <c r="BH42" s="530"/>
      <c r="BI42" s="530"/>
      <c r="BJ42" s="530"/>
      <c r="BK42" s="530"/>
      <c r="BL42" s="530"/>
      <c r="BM42" s="530"/>
      <c r="BN42" s="530"/>
      <c r="BO42" s="530"/>
      <c r="BP42" s="185"/>
      <c r="BQ42" s="530"/>
      <c r="BR42" s="530"/>
      <c r="BS42" s="530"/>
      <c r="BT42" s="530"/>
      <c r="BU42" s="530"/>
      <c r="BV42" s="530"/>
      <c r="BW42" s="530"/>
      <c r="BX42" s="530"/>
      <c r="BY42" s="530"/>
      <c r="BZ42" s="530"/>
      <c r="CA42" s="530"/>
      <c r="CB42" s="530"/>
      <c r="CC42" s="530"/>
      <c r="CD42" s="544"/>
    </row>
    <row r="43" spans="1:82" s="98" customFormat="1" ht="15" customHeight="1">
      <c r="A43" s="99"/>
      <c r="B43" s="161"/>
      <c r="C43" s="162"/>
      <c r="D43" s="162" t="s">
        <v>2701</v>
      </c>
      <c r="E43" s="162"/>
      <c r="F43" s="162"/>
      <c r="G43" s="163"/>
      <c r="H43" s="163"/>
      <c r="I43" s="164" t="s">
        <v>498</v>
      </c>
      <c r="J43" s="143">
        <v>3.6415562461360696E-3</v>
      </c>
      <c r="K43" s="141">
        <v>0</v>
      </c>
      <c r="L43" s="141">
        <v>0</v>
      </c>
      <c r="M43" s="141">
        <v>1.9881826980932414E-3</v>
      </c>
      <c r="N43" s="141">
        <v>0</v>
      </c>
      <c r="O43" s="141">
        <v>0</v>
      </c>
      <c r="P43" s="141">
        <v>1.3590362457286873E-3</v>
      </c>
      <c r="Q43" s="144">
        <v>1.1992168649514656E-3</v>
      </c>
      <c r="R43" s="143">
        <v>3.3391343373838849E-4</v>
      </c>
      <c r="S43" s="141">
        <v>3.3224386656969656E-4</v>
      </c>
      <c r="T43" s="141">
        <v>3.3058264723684805E-4</v>
      </c>
      <c r="U43" s="141">
        <v>3.2892973400066379E-4</v>
      </c>
      <c r="V43" s="144">
        <v>3.2728508533066047E-4</v>
      </c>
      <c r="W43" s="185"/>
      <c r="X43" s="164" t="s">
        <v>498</v>
      </c>
      <c r="Y43" s="143">
        <v>0</v>
      </c>
      <c r="Z43" s="141">
        <v>0</v>
      </c>
      <c r="AA43" s="141">
        <v>0</v>
      </c>
      <c r="AB43" s="141">
        <v>0</v>
      </c>
      <c r="AC43" s="141">
        <v>0</v>
      </c>
      <c r="AD43" s="141">
        <v>0</v>
      </c>
      <c r="AE43" s="141">
        <v>0</v>
      </c>
      <c r="AF43" s="144">
        <v>0</v>
      </c>
      <c r="AG43" s="143">
        <v>0</v>
      </c>
      <c r="AH43" s="141">
        <v>0</v>
      </c>
      <c r="AI43" s="141">
        <v>0</v>
      </c>
      <c r="AJ43" s="141">
        <v>0</v>
      </c>
      <c r="AK43" s="144">
        <v>0</v>
      </c>
      <c r="AL43" s="185"/>
      <c r="AM43" s="164" t="s">
        <v>2233</v>
      </c>
      <c r="AN43" s="143">
        <v>2.5999999999999999E-2</v>
      </c>
      <c r="AO43" s="141">
        <v>0</v>
      </c>
      <c r="AP43" s="141">
        <v>0</v>
      </c>
      <c r="AQ43" s="141">
        <v>5.0000000000000001E-3</v>
      </c>
      <c r="AR43" s="141">
        <v>0</v>
      </c>
      <c r="AS43" s="141">
        <v>0</v>
      </c>
      <c r="AT43" s="141">
        <v>1.0526813311525194E-2</v>
      </c>
      <c r="AU43" s="144">
        <v>9.5106009397403924E-3</v>
      </c>
      <c r="AV43" s="143">
        <v>2.1678138837361166E-3</v>
      </c>
      <c r="AW43" s="141">
        <v>2.1678138837361166E-3</v>
      </c>
      <c r="AX43" s="141">
        <v>2.1678138837361166E-3</v>
      </c>
      <c r="AY43" s="141">
        <v>2.1678138837361166E-3</v>
      </c>
      <c r="AZ43" s="144">
        <v>2.1678138837361166E-3</v>
      </c>
      <c r="BA43" s="185"/>
      <c r="BB43" s="545" t="s">
        <v>627</v>
      </c>
      <c r="BC43" s="868">
        <v>0</v>
      </c>
      <c r="BD43" s="545" t="s">
        <v>627</v>
      </c>
      <c r="BE43" s="868">
        <v>0</v>
      </c>
      <c r="BF43" s="545" t="s">
        <v>2233</v>
      </c>
      <c r="BG43" s="141">
        <v>3.0016465333687087E-2</v>
      </c>
      <c r="BH43" s="545" t="s">
        <v>2233</v>
      </c>
      <c r="BI43" s="141">
        <v>0</v>
      </c>
      <c r="BJ43" s="545" t="s">
        <v>2233</v>
      </c>
      <c r="BK43" s="141">
        <v>1.7698672508191089E-2</v>
      </c>
      <c r="BL43" s="545" t="s">
        <v>2233</v>
      </c>
      <c r="BM43" s="141">
        <v>2.2518993553084089E-3</v>
      </c>
      <c r="BN43" s="545" t="s">
        <v>2233</v>
      </c>
      <c r="BO43" s="141">
        <v>1.0703770540789969E-3</v>
      </c>
      <c r="BP43" s="185"/>
      <c r="BQ43" s="545" t="s">
        <v>627</v>
      </c>
      <c r="BR43" s="868">
        <v>0</v>
      </c>
      <c r="BS43" s="545" t="s">
        <v>627</v>
      </c>
      <c r="BT43" s="868">
        <v>0</v>
      </c>
      <c r="BU43" s="545" t="s">
        <v>2233</v>
      </c>
      <c r="BV43" s="141">
        <v>6.3747459824962781E-3</v>
      </c>
      <c r="BW43" s="545" t="s">
        <v>2233</v>
      </c>
      <c r="BX43" s="141">
        <v>0</v>
      </c>
      <c r="BY43" s="545" t="s">
        <v>2233</v>
      </c>
      <c r="BZ43" s="141">
        <v>3.7587550770172454E-3</v>
      </c>
      <c r="CA43" s="545" t="s">
        <v>2233</v>
      </c>
      <c r="CB43" s="141">
        <v>4.7824706235905428E-4</v>
      </c>
      <c r="CC43" s="545" t="s">
        <v>2233</v>
      </c>
      <c r="CD43" s="144">
        <v>2.2732129680800542E-4</v>
      </c>
    </row>
    <row r="44" spans="1:82" s="98" customFormat="1" ht="15" customHeight="1">
      <c r="A44" s="99"/>
      <c r="B44" s="161"/>
      <c r="C44" s="162"/>
      <c r="D44" s="162" t="s">
        <v>2702</v>
      </c>
      <c r="E44" s="162"/>
      <c r="F44" s="162"/>
      <c r="G44" s="163"/>
      <c r="H44" s="163"/>
      <c r="I44" s="164" t="s">
        <v>498</v>
      </c>
      <c r="J44" s="143">
        <v>1.2818232095215185E-2</v>
      </c>
      <c r="K44" s="141">
        <v>1.6342495171225793E-2</v>
      </c>
      <c r="L44" s="141">
        <v>0</v>
      </c>
      <c r="M44" s="141">
        <v>0</v>
      </c>
      <c r="N44" s="141">
        <v>0</v>
      </c>
      <c r="O44" s="141">
        <v>1.9123168829231457E-2</v>
      </c>
      <c r="P44" s="141">
        <v>4.269151679625411E-2</v>
      </c>
      <c r="Q44" s="144">
        <v>4.0192338711635738E-2</v>
      </c>
      <c r="R44" s="143">
        <v>3.4384673862777864E-3</v>
      </c>
      <c r="S44" s="141">
        <v>3.4212750493463973E-3</v>
      </c>
      <c r="T44" s="141">
        <v>3.4041686740996654E-3</v>
      </c>
      <c r="U44" s="141">
        <v>3.387147830729167E-3</v>
      </c>
      <c r="V44" s="144">
        <v>3.3702120915755211E-3</v>
      </c>
      <c r="W44" s="185"/>
      <c r="X44" s="164" t="s">
        <v>498</v>
      </c>
      <c r="Y44" s="143">
        <v>0</v>
      </c>
      <c r="Z44" s="141">
        <v>0</v>
      </c>
      <c r="AA44" s="141">
        <v>0</v>
      </c>
      <c r="AB44" s="141">
        <v>0</v>
      </c>
      <c r="AC44" s="141">
        <v>0</v>
      </c>
      <c r="AD44" s="141">
        <v>0</v>
      </c>
      <c r="AE44" s="141">
        <v>0</v>
      </c>
      <c r="AF44" s="144">
        <v>0</v>
      </c>
      <c r="AG44" s="143">
        <v>0</v>
      </c>
      <c r="AH44" s="141">
        <v>0</v>
      </c>
      <c r="AI44" s="141">
        <v>0</v>
      </c>
      <c r="AJ44" s="141">
        <v>0</v>
      </c>
      <c r="AK44" s="144">
        <v>0</v>
      </c>
      <c r="AL44" s="185"/>
      <c r="AM44" s="164" t="s">
        <v>2233</v>
      </c>
      <c r="AN44" s="143">
        <v>8.8999999999999996E-2</v>
      </c>
      <c r="AO44" s="141">
        <v>0.10199999999999999</v>
      </c>
      <c r="AP44" s="141">
        <v>0</v>
      </c>
      <c r="AQ44" s="141">
        <v>0</v>
      </c>
      <c r="AR44" s="141">
        <v>0</v>
      </c>
      <c r="AS44" s="141">
        <v>0.109</v>
      </c>
      <c r="AT44" s="141">
        <v>0.12508268031741057</v>
      </c>
      <c r="AU44" s="144">
        <v>0.12057109961203816</v>
      </c>
      <c r="AV44" s="143">
        <v>1.9791563069310986E-2</v>
      </c>
      <c r="AW44" s="141">
        <v>1.9791563069310986E-2</v>
      </c>
      <c r="AX44" s="141">
        <v>1.9791563069310986E-2</v>
      </c>
      <c r="AY44" s="141">
        <v>1.9791563069310986E-2</v>
      </c>
      <c r="AZ44" s="144">
        <v>1.9791563069310986E-2</v>
      </c>
      <c r="BA44" s="185"/>
      <c r="BB44" s="545" t="s">
        <v>627</v>
      </c>
      <c r="BC44" s="868">
        <v>0</v>
      </c>
      <c r="BD44" s="545" t="s">
        <v>627</v>
      </c>
      <c r="BE44" s="868">
        <v>0</v>
      </c>
      <c r="BF44" s="545" t="s">
        <v>2233</v>
      </c>
      <c r="BG44" s="141">
        <v>0.32091354959350193</v>
      </c>
      <c r="BH44" s="545" t="s">
        <v>2233</v>
      </c>
      <c r="BI44" s="141">
        <v>0</v>
      </c>
      <c r="BJ44" s="545" t="s">
        <v>2233</v>
      </c>
      <c r="BK44" s="141">
        <v>0.18922094105871382</v>
      </c>
      <c r="BL44" s="545" t="s">
        <v>2233</v>
      </c>
      <c r="BM44" s="141">
        <v>2.4075620077368094E-2</v>
      </c>
      <c r="BN44" s="545" t="s">
        <v>2233</v>
      </c>
      <c r="BO44" s="141">
        <v>1.1443669199864876E-2</v>
      </c>
      <c r="BP44" s="185"/>
      <c r="BQ44" s="545" t="s">
        <v>627</v>
      </c>
      <c r="BR44" s="868">
        <v>0</v>
      </c>
      <c r="BS44" s="545" t="s">
        <v>627</v>
      </c>
      <c r="BT44" s="868">
        <v>0</v>
      </c>
      <c r="BU44" s="545" t="s">
        <v>2233</v>
      </c>
      <c r="BV44" s="141">
        <v>5.819973204801647E-2</v>
      </c>
      <c r="BW44" s="545" t="s">
        <v>2233</v>
      </c>
      <c r="BX44" s="141">
        <v>0</v>
      </c>
      <c r="BY44" s="545" t="s">
        <v>2233</v>
      </c>
      <c r="BZ44" s="141">
        <v>3.4316432202505083E-2</v>
      </c>
      <c r="CA44" s="545" t="s">
        <v>2233</v>
      </c>
      <c r="CB44" s="141">
        <v>4.3662682338204417E-3</v>
      </c>
      <c r="CC44" s="545" t="s">
        <v>2233</v>
      </c>
      <c r="CD44" s="144">
        <v>2.0753828622129353E-3</v>
      </c>
    </row>
    <row r="45" spans="1:82" s="98" customFormat="1" ht="15" customHeight="1">
      <c r="A45" s="99"/>
      <c r="B45" s="161"/>
      <c r="C45" s="162"/>
      <c r="D45" s="162" t="s">
        <v>2703</v>
      </c>
      <c r="E45" s="162"/>
      <c r="F45" s="162"/>
      <c r="G45" s="163"/>
      <c r="H45" s="163"/>
      <c r="I45" s="164" t="s">
        <v>498</v>
      </c>
      <c r="J45" s="143">
        <v>5.0206735652448847E-2</v>
      </c>
      <c r="K45" s="141">
        <v>4.2042835850453798E-2</v>
      </c>
      <c r="L45" s="141">
        <v>2.6906317633237763E-3</v>
      </c>
      <c r="M45" s="141">
        <v>2.1887554016983023E-2</v>
      </c>
      <c r="N45" s="141">
        <v>1.041584118999756E-2</v>
      </c>
      <c r="O45" s="141">
        <v>7.1521695689038345E-3</v>
      </c>
      <c r="P45" s="141">
        <v>4.9571259186748498E-2</v>
      </c>
      <c r="Q45" s="144">
        <v>5.2952493878293649E-2</v>
      </c>
      <c r="R45" s="143">
        <v>7.4898812209751482E-3</v>
      </c>
      <c r="S45" s="141">
        <v>7.4524318148702726E-3</v>
      </c>
      <c r="T45" s="141">
        <v>7.4151696557959211E-3</v>
      </c>
      <c r="U45" s="141">
        <v>7.3780938075169418E-3</v>
      </c>
      <c r="V45" s="144">
        <v>7.3412033384793567E-3</v>
      </c>
      <c r="W45" s="185"/>
      <c r="X45" s="164" t="s">
        <v>498</v>
      </c>
      <c r="Y45" s="143">
        <v>0</v>
      </c>
      <c r="Z45" s="141">
        <v>0</v>
      </c>
      <c r="AA45" s="141">
        <v>0</v>
      </c>
      <c r="AB45" s="141">
        <v>0</v>
      </c>
      <c r="AC45" s="141">
        <v>0</v>
      </c>
      <c r="AD45" s="141">
        <v>0</v>
      </c>
      <c r="AE45" s="141">
        <v>0</v>
      </c>
      <c r="AF45" s="144">
        <v>0</v>
      </c>
      <c r="AG45" s="143">
        <v>0</v>
      </c>
      <c r="AH45" s="141">
        <v>0</v>
      </c>
      <c r="AI45" s="141">
        <v>0</v>
      </c>
      <c r="AJ45" s="141">
        <v>0</v>
      </c>
      <c r="AK45" s="144">
        <v>0</v>
      </c>
      <c r="AL45" s="185"/>
      <c r="AM45" s="164" t="s">
        <v>2233</v>
      </c>
      <c r="AN45" s="143">
        <v>0.29699999999999999</v>
      </c>
      <c r="AO45" s="141">
        <v>0.17699999999999999</v>
      </c>
      <c r="AP45" s="141">
        <v>1.6E-2</v>
      </c>
      <c r="AQ45" s="141">
        <v>0.12</v>
      </c>
      <c r="AR45" s="141">
        <v>6.0999999999999999E-2</v>
      </c>
      <c r="AS45" s="141">
        <v>5.7000000000000002E-2</v>
      </c>
      <c r="AT45" s="141">
        <v>0.30027711080444863</v>
      </c>
      <c r="AU45" s="144">
        <v>0.32841504686739142</v>
      </c>
      <c r="AV45" s="143">
        <v>3.2714380777490948E-2</v>
      </c>
      <c r="AW45" s="141">
        <v>3.2714380777490948E-2</v>
      </c>
      <c r="AX45" s="141">
        <v>3.2714380777490948E-2</v>
      </c>
      <c r="AY45" s="141">
        <v>3.2714380777490948E-2</v>
      </c>
      <c r="AZ45" s="144">
        <v>3.2714380777490948E-2</v>
      </c>
      <c r="BA45" s="185"/>
      <c r="BB45" s="545" t="s">
        <v>627</v>
      </c>
      <c r="BC45" s="868">
        <v>0</v>
      </c>
      <c r="BD45" s="545" t="s">
        <v>627</v>
      </c>
      <c r="BE45" s="868">
        <v>0</v>
      </c>
      <c r="BF45" s="545" t="s">
        <v>2233</v>
      </c>
      <c r="BG45" s="141">
        <v>0.79790686336018901</v>
      </c>
      <c r="BH45" s="545" t="s">
        <v>2233</v>
      </c>
      <c r="BI45" s="141">
        <v>0</v>
      </c>
      <c r="BJ45" s="545" t="s">
        <v>2233</v>
      </c>
      <c r="BK45" s="141">
        <v>0.47047152653251101</v>
      </c>
      <c r="BL45" s="545" t="s">
        <v>2233</v>
      </c>
      <c r="BM45" s="141">
        <v>5.9860677505570004E-2</v>
      </c>
      <c r="BN45" s="545" t="s">
        <v>2233</v>
      </c>
      <c r="BO45" s="141">
        <v>2.8453090273570288E-2</v>
      </c>
      <c r="BP45" s="185"/>
      <c r="BQ45" s="545" t="s">
        <v>627</v>
      </c>
      <c r="BR45" s="868">
        <v>0</v>
      </c>
      <c r="BS45" s="545" t="s">
        <v>627</v>
      </c>
      <c r="BT45" s="868">
        <v>0</v>
      </c>
      <c r="BU45" s="545" t="s">
        <v>2233</v>
      </c>
      <c r="BV45" s="141">
        <v>9.6201001846037512E-2</v>
      </c>
      <c r="BW45" s="545" t="s">
        <v>2233</v>
      </c>
      <c r="BX45" s="141">
        <v>0</v>
      </c>
      <c r="BY45" s="545" t="s">
        <v>2233</v>
      </c>
      <c r="BZ45" s="141">
        <v>5.6723202006135773E-2</v>
      </c>
      <c r="CA45" s="545" t="s">
        <v>2233</v>
      </c>
      <c r="CB45" s="141">
        <v>7.2172046784598695E-3</v>
      </c>
      <c r="CC45" s="545" t="s">
        <v>2233</v>
      </c>
      <c r="CD45" s="144">
        <v>3.4304953568215901E-3</v>
      </c>
    </row>
    <row r="46" spans="1:82" s="98" customFormat="1" ht="15" customHeight="1">
      <c r="A46" s="99"/>
      <c r="B46" s="161"/>
      <c r="C46" s="162"/>
      <c r="D46" s="162" t="s">
        <v>2704</v>
      </c>
      <c r="E46" s="162"/>
      <c r="F46" s="162"/>
      <c r="G46" s="163"/>
      <c r="H46" s="163"/>
      <c r="I46" s="164" t="s">
        <v>498</v>
      </c>
      <c r="J46" s="143">
        <v>7.4415608700249755E-2</v>
      </c>
      <c r="K46" s="141">
        <v>5.6199238918685356E-2</v>
      </c>
      <c r="L46" s="141">
        <v>5.1401367932580669E-2</v>
      </c>
      <c r="M46" s="141">
        <v>8.2517356976079138E-3</v>
      </c>
      <c r="N46" s="141">
        <v>0.21739698949922051</v>
      </c>
      <c r="O46" s="141">
        <v>1.1537122858800212E-2</v>
      </c>
      <c r="P46" s="141">
        <v>0.15688454430596027</v>
      </c>
      <c r="Q46" s="144">
        <v>0.15797733005128267</v>
      </c>
      <c r="R46" s="143">
        <v>2.5455176991004844E-2</v>
      </c>
      <c r="S46" s="141">
        <v>2.5327901106049818E-2</v>
      </c>
      <c r="T46" s="141">
        <v>2.5201261600519567E-2</v>
      </c>
      <c r="U46" s="141">
        <v>2.507525529251697E-2</v>
      </c>
      <c r="V46" s="144">
        <v>2.4949879016054385E-2</v>
      </c>
      <c r="W46" s="185"/>
      <c r="X46" s="164" t="s">
        <v>498</v>
      </c>
      <c r="Y46" s="143">
        <v>0</v>
      </c>
      <c r="Z46" s="141">
        <v>0</v>
      </c>
      <c r="AA46" s="141">
        <v>0</v>
      </c>
      <c r="AB46" s="141">
        <v>0</v>
      </c>
      <c r="AC46" s="141">
        <v>0</v>
      </c>
      <c r="AD46" s="141">
        <v>0</v>
      </c>
      <c r="AE46" s="141">
        <v>0</v>
      </c>
      <c r="AF46" s="144">
        <v>0</v>
      </c>
      <c r="AG46" s="143">
        <v>0</v>
      </c>
      <c r="AH46" s="141">
        <v>0</v>
      </c>
      <c r="AI46" s="141">
        <v>0</v>
      </c>
      <c r="AJ46" s="141">
        <v>0</v>
      </c>
      <c r="AK46" s="144">
        <v>0</v>
      </c>
      <c r="AL46" s="185"/>
      <c r="AM46" s="164" t="s">
        <v>2233</v>
      </c>
      <c r="AN46" s="143">
        <v>0.25700000000000001</v>
      </c>
      <c r="AO46" s="141">
        <v>0.20200000000000001</v>
      </c>
      <c r="AP46" s="141">
        <v>0.13850000000000001</v>
      </c>
      <c r="AQ46" s="141">
        <v>3.5999999999999997E-2</v>
      </c>
      <c r="AR46" s="141">
        <v>0.63200000000000001</v>
      </c>
      <c r="AS46" s="141">
        <v>3.1E-2</v>
      </c>
      <c r="AT46" s="141">
        <v>0.51183283283927639</v>
      </c>
      <c r="AU46" s="144">
        <v>0.52770000804893413</v>
      </c>
      <c r="AV46" s="143">
        <v>6.9836811780423128E-2</v>
      </c>
      <c r="AW46" s="141">
        <v>6.9836811780423128E-2</v>
      </c>
      <c r="AX46" s="141">
        <v>6.9836811780423128E-2</v>
      </c>
      <c r="AY46" s="141">
        <v>6.9836811780423128E-2</v>
      </c>
      <c r="AZ46" s="144">
        <v>6.9836811780423128E-2</v>
      </c>
      <c r="BA46" s="185"/>
      <c r="BB46" s="545" t="s">
        <v>627</v>
      </c>
      <c r="BC46" s="868">
        <v>0</v>
      </c>
      <c r="BD46" s="545" t="s">
        <v>627</v>
      </c>
      <c r="BE46" s="868">
        <v>0</v>
      </c>
      <c r="BF46" s="545" t="s">
        <v>2233</v>
      </c>
      <c r="BG46" s="141">
        <v>1.3738832543840478</v>
      </c>
      <c r="BH46" s="545" t="s">
        <v>2233</v>
      </c>
      <c r="BI46" s="141">
        <v>0</v>
      </c>
      <c r="BJ46" s="545" t="s">
        <v>2233</v>
      </c>
      <c r="BK46" s="141">
        <v>0.81008571507390725</v>
      </c>
      <c r="BL46" s="545" t="s">
        <v>2233</v>
      </c>
      <c r="BM46" s="141">
        <v>0.10307165685308964</v>
      </c>
      <c r="BN46" s="545" t="s">
        <v>2233</v>
      </c>
      <c r="BO46" s="141">
        <v>4.8992214577165995E-2</v>
      </c>
      <c r="BP46" s="185"/>
      <c r="BQ46" s="545" t="s">
        <v>627</v>
      </c>
      <c r="BR46" s="868">
        <v>0</v>
      </c>
      <c r="BS46" s="545" t="s">
        <v>627</v>
      </c>
      <c r="BT46" s="868">
        <v>0</v>
      </c>
      <c r="BU46" s="545" t="s">
        <v>2233</v>
      </c>
      <c r="BV46" s="141">
        <v>0.20536446355825322</v>
      </c>
      <c r="BW46" s="545" t="s">
        <v>2233</v>
      </c>
      <c r="BX46" s="141">
        <v>0</v>
      </c>
      <c r="BY46" s="545" t="s">
        <v>2233</v>
      </c>
      <c r="BZ46" s="141">
        <v>0.12108948688434394</v>
      </c>
      <c r="CA46" s="545" t="s">
        <v>2233</v>
      </c>
      <c r="CB46" s="141">
        <v>1.5406880788560895E-2</v>
      </c>
      <c r="CC46" s="545" t="s">
        <v>2233</v>
      </c>
      <c r="CD46" s="144">
        <v>7.3232276709575923E-3</v>
      </c>
    </row>
    <row r="47" spans="1:82" s="98" customFormat="1" ht="15" customHeight="1">
      <c r="A47" s="99"/>
      <c r="B47" s="161"/>
      <c r="C47" s="162"/>
      <c r="D47" s="162" t="s">
        <v>2705</v>
      </c>
      <c r="E47" s="162"/>
      <c r="F47" s="162"/>
      <c r="G47" s="163"/>
      <c r="H47" s="163"/>
      <c r="I47" s="164" t="s">
        <v>498</v>
      </c>
      <c r="J47" s="143">
        <v>0.17924021103654866</v>
      </c>
      <c r="K47" s="141">
        <v>0.25130836379184285</v>
      </c>
      <c r="L47" s="141">
        <v>0.25187671762628044</v>
      </c>
      <c r="M47" s="141">
        <v>8.7188032428801177E-3</v>
      </c>
      <c r="N47" s="141">
        <v>0</v>
      </c>
      <c r="O47" s="141">
        <v>0</v>
      </c>
      <c r="P47" s="141">
        <v>0.271293944713829</v>
      </c>
      <c r="Q47" s="144">
        <v>0.25278381943298217</v>
      </c>
      <c r="R47" s="143">
        <v>3.3215633627925824E-2</v>
      </c>
      <c r="S47" s="141">
        <v>3.3049555459786197E-2</v>
      </c>
      <c r="T47" s="141">
        <v>3.2884307682487263E-2</v>
      </c>
      <c r="U47" s="141">
        <v>3.2719886144074825E-2</v>
      </c>
      <c r="V47" s="144">
        <v>3.2556286713354449E-2</v>
      </c>
      <c r="W47" s="185"/>
      <c r="X47" s="164" t="s">
        <v>498</v>
      </c>
      <c r="Y47" s="143">
        <v>0</v>
      </c>
      <c r="Z47" s="141">
        <v>0</v>
      </c>
      <c r="AA47" s="141">
        <v>0</v>
      </c>
      <c r="AB47" s="141">
        <v>0</v>
      </c>
      <c r="AC47" s="141">
        <v>0</v>
      </c>
      <c r="AD47" s="141">
        <v>0</v>
      </c>
      <c r="AE47" s="141">
        <v>0</v>
      </c>
      <c r="AF47" s="144">
        <v>0</v>
      </c>
      <c r="AG47" s="143">
        <v>0</v>
      </c>
      <c r="AH47" s="141">
        <v>0</v>
      </c>
      <c r="AI47" s="141">
        <v>0</v>
      </c>
      <c r="AJ47" s="141">
        <v>0</v>
      </c>
      <c r="AK47" s="144">
        <v>0</v>
      </c>
      <c r="AL47" s="185"/>
      <c r="AM47" s="164" t="s">
        <v>2233</v>
      </c>
      <c r="AN47" s="143">
        <v>0.44400000000000001</v>
      </c>
      <c r="AO47" s="141">
        <v>0.59899999999999998</v>
      </c>
      <c r="AP47" s="141">
        <v>0.55400000000000005</v>
      </c>
      <c r="AQ47" s="141">
        <v>2.1000000000000001E-2</v>
      </c>
      <c r="AR47" s="141">
        <v>0</v>
      </c>
      <c r="AS47" s="141">
        <v>0</v>
      </c>
      <c r="AT47" s="141">
        <v>0.63589829576525592</v>
      </c>
      <c r="AU47" s="144">
        <v>0.60665416354099877</v>
      </c>
      <c r="AV47" s="143">
        <v>6.6647955554759289E-2</v>
      </c>
      <c r="AW47" s="141">
        <v>6.6647955554759289E-2</v>
      </c>
      <c r="AX47" s="141">
        <v>6.6647955554759289E-2</v>
      </c>
      <c r="AY47" s="141">
        <v>6.6647955554759289E-2</v>
      </c>
      <c r="AZ47" s="144">
        <v>6.6647955554759289E-2</v>
      </c>
      <c r="BA47" s="185"/>
      <c r="BB47" s="545" t="s">
        <v>627</v>
      </c>
      <c r="BC47" s="868">
        <v>0</v>
      </c>
      <c r="BD47" s="545" t="s">
        <v>627</v>
      </c>
      <c r="BE47" s="868">
        <v>0</v>
      </c>
      <c r="BF47" s="545" t="s">
        <v>2233</v>
      </c>
      <c r="BG47" s="141">
        <v>1.6823672395948304</v>
      </c>
      <c r="BH47" s="545" t="s">
        <v>2233</v>
      </c>
      <c r="BI47" s="141">
        <v>0</v>
      </c>
      <c r="BJ47" s="545" t="s">
        <v>2233</v>
      </c>
      <c r="BK47" s="141">
        <v>0.99197778556163019</v>
      </c>
      <c r="BL47" s="545" t="s">
        <v>2233</v>
      </c>
      <c r="BM47" s="141">
        <v>0.12621478445644224</v>
      </c>
      <c r="BN47" s="545" t="s">
        <v>2233</v>
      </c>
      <c r="BO47" s="141">
        <v>5.9992649693351836E-2</v>
      </c>
      <c r="BP47" s="185"/>
      <c r="BQ47" s="545" t="s">
        <v>627</v>
      </c>
      <c r="BR47" s="868">
        <v>0</v>
      </c>
      <c r="BS47" s="545" t="s">
        <v>627</v>
      </c>
      <c r="BT47" s="868">
        <v>0</v>
      </c>
      <c r="BU47" s="545" t="s">
        <v>2233</v>
      </c>
      <c r="BV47" s="141">
        <v>0.19598720632882985</v>
      </c>
      <c r="BW47" s="545" t="s">
        <v>2233</v>
      </c>
      <c r="BX47" s="141">
        <v>0</v>
      </c>
      <c r="BY47" s="545" t="s">
        <v>2233</v>
      </c>
      <c r="BZ47" s="141">
        <v>0.11556035469360691</v>
      </c>
      <c r="CA47" s="545" t="s">
        <v>2233</v>
      </c>
      <c r="CB47" s="141">
        <v>1.4703378918012513E-2</v>
      </c>
      <c r="CC47" s="545" t="s">
        <v>2233</v>
      </c>
      <c r="CD47" s="144">
        <v>6.9888378333471486E-3</v>
      </c>
    </row>
    <row r="48" spans="1:82" s="98" customFormat="1" ht="15" customHeight="1">
      <c r="A48" s="99"/>
      <c r="B48" s="161"/>
      <c r="C48" s="162"/>
      <c r="D48" s="162" t="s">
        <v>2706</v>
      </c>
      <c r="E48" s="162"/>
      <c r="F48" s="162"/>
      <c r="G48" s="163"/>
      <c r="H48" s="163"/>
      <c r="I48" s="164" t="s">
        <v>498</v>
      </c>
      <c r="J48" s="143">
        <v>0</v>
      </c>
      <c r="K48" s="141">
        <v>0</v>
      </c>
      <c r="L48" s="141">
        <v>0</v>
      </c>
      <c r="M48" s="141">
        <v>0</v>
      </c>
      <c r="N48" s="141">
        <v>0</v>
      </c>
      <c r="O48" s="141">
        <v>0</v>
      </c>
      <c r="P48" s="141">
        <v>0</v>
      </c>
      <c r="Q48" s="144">
        <v>0</v>
      </c>
      <c r="R48" s="143">
        <v>1.5688799960313554E-2</v>
      </c>
      <c r="S48" s="141">
        <v>1.5610355960511987E-2</v>
      </c>
      <c r="T48" s="141">
        <v>1.5532304180709427E-2</v>
      </c>
      <c r="U48" s="141">
        <v>1.5454642659805879E-2</v>
      </c>
      <c r="V48" s="144">
        <v>1.5377369446506851E-2</v>
      </c>
      <c r="W48" s="185"/>
      <c r="X48" s="164" t="s">
        <v>498</v>
      </c>
      <c r="Y48" s="143">
        <v>0</v>
      </c>
      <c r="Z48" s="141">
        <v>0</v>
      </c>
      <c r="AA48" s="141">
        <v>0</v>
      </c>
      <c r="AB48" s="141">
        <v>0</v>
      </c>
      <c r="AC48" s="141">
        <v>0</v>
      </c>
      <c r="AD48" s="141">
        <v>0</v>
      </c>
      <c r="AE48" s="141">
        <v>0</v>
      </c>
      <c r="AF48" s="144">
        <v>0</v>
      </c>
      <c r="AG48" s="143">
        <v>0</v>
      </c>
      <c r="AH48" s="141">
        <v>0</v>
      </c>
      <c r="AI48" s="141">
        <v>0</v>
      </c>
      <c r="AJ48" s="141">
        <v>0</v>
      </c>
      <c r="AK48" s="144">
        <v>0</v>
      </c>
      <c r="AL48" s="185"/>
      <c r="AM48" s="164" t="s">
        <v>2233</v>
      </c>
      <c r="AN48" s="143">
        <v>0</v>
      </c>
      <c r="AO48" s="141"/>
      <c r="AP48" s="141"/>
      <c r="AQ48" s="141"/>
      <c r="AR48" s="141">
        <v>0</v>
      </c>
      <c r="AS48" s="141">
        <v>0</v>
      </c>
      <c r="AT48" s="141">
        <v>0</v>
      </c>
      <c r="AU48" s="144">
        <v>0</v>
      </c>
      <c r="AV48" s="143">
        <v>1.9045443636944263E-2</v>
      </c>
      <c r="AW48" s="141">
        <v>1.9045443636944263E-2</v>
      </c>
      <c r="AX48" s="141">
        <v>1.9045443636944263E-2</v>
      </c>
      <c r="AY48" s="141">
        <v>1.9045443636944263E-2</v>
      </c>
      <c r="AZ48" s="144">
        <v>1.9045443636944263E-2</v>
      </c>
      <c r="BA48" s="185"/>
      <c r="BB48" s="545" t="s">
        <v>627</v>
      </c>
      <c r="BC48" s="868">
        <v>0</v>
      </c>
      <c r="BD48" s="545" t="s">
        <v>627</v>
      </c>
      <c r="BE48" s="868">
        <v>0</v>
      </c>
      <c r="BF48" s="545" t="s">
        <v>2233</v>
      </c>
      <c r="BG48" s="141">
        <v>0</v>
      </c>
      <c r="BH48" s="545" t="s">
        <v>2233</v>
      </c>
      <c r="BI48" s="141">
        <v>0</v>
      </c>
      <c r="BJ48" s="545" t="s">
        <v>2233</v>
      </c>
      <c r="BK48" s="141">
        <v>0</v>
      </c>
      <c r="BL48" s="545" t="s">
        <v>2233</v>
      </c>
      <c r="BM48" s="141">
        <v>0</v>
      </c>
      <c r="BN48" s="545" t="s">
        <v>2233</v>
      </c>
      <c r="BO48" s="141">
        <v>0</v>
      </c>
      <c r="BP48" s="185"/>
      <c r="BQ48" s="545" t="s">
        <v>627</v>
      </c>
      <c r="BR48" s="868">
        <v>0</v>
      </c>
      <c r="BS48" s="545" t="s">
        <v>627</v>
      </c>
      <c r="BT48" s="868">
        <v>0</v>
      </c>
      <c r="BU48" s="545" t="s">
        <v>2233</v>
      </c>
      <c r="BV48" s="141">
        <v>5.6005668300373672E-2</v>
      </c>
      <c r="BW48" s="545" t="s">
        <v>2233</v>
      </c>
      <c r="BX48" s="141">
        <v>0</v>
      </c>
      <c r="BY48" s="545" t="s">
        <v>2233</v>
      </c>
      <c r="BZ48" s="141">
        <v>3.3022741712970871E-2</v>
      </c>
      <c r="CA48" s="545" t="s">
        <v>2233</v>
      </c>
      <c r="CB48" s="141">
        <v>4.2016648841623006E-3</v>
      </c>
      <c r="CC48" s="545" t="s">
        <v>2233</v>
      </c>
      <c r="CD48" s="144">
        <v>1.9971432872144842E-3</v>
      </c>
    </row>
    <row r="49" spans="1:82" s="98" customFormat="1" ht="15" customHeight="1">
      <c r="A49" s="99"/>
      <c r="B49" s="161"/>
      <c r="C49" s="162"/>
      <c r="D49" s="162" t="s">
        <v>2707</v>
      </c>
      <c r="E49" s="162"/>
      <c r="F49" s="162"/>
      <c r="G49" s="163"/>
      <c r="H49" s="163"/>
      <c r="I49" s="164" t="s">
        <v>498</v>
      </c>
      <c r="J49" s="143">
        <v>0</v>
      </c>
      <c r="K49" s="141">
        <v>0</v>
      </c>
      <c r="L49" s="141">
        <v>0</v>
      </c>
      <c r="M49" s="141">
        <v>0</v>
      </c>
      <c r="N49" s="141">
        <v>0</v>
      </c>
      <c r="O49" s="141">
        <v>0</v>
      </c>
      <c r="P49" s="141">
        <v>0</v>
      </c>
      <c r="Q49" s="144">
        <v>0</v>
      </c>
      <c r="R49" s="143">
        <v>0</v>
      </c>
      <c r="S49" s="141">
        <v>0</v>
      </c>
      <c r="T49" s="141">
        <v>0</v>
      </c>
      <c r="U49" s="141">
        <v>0</v>
      </c>
      <c r="V49" s="144">
        <v>0</v>
      </c>
      <c r="W49" s="185"/>
      <c r="X49" s="164" t="s">
        <v>498</v>
      </c>
      <c r="Y49" s="143">
        <v>0</v>
      </c>
      <c r="Z49" s="141">
        <v>0</v>
      </c>
      <c r="AA49" s="141">
        <v>0</v>
      </c>
      <c r="AB49" s="141">
        <v>0</v>
      </c>
      <c r="AC49" s="141">
        <v>0</v>
      </c>
      <c r="AD49" s="141">
        <v>0</v>
      </c>
      <c r="AE49" s="141">
        <v>0</v>
      </c>
      <c r="AF49" s="144">
        <v>0</v>
      </c>
      <c r="AG49" s="143">
        <v>0</v>
      </c>
      <c r="AH49" s="141">
        <v>0</v>
      </c>
      <c r="AI49" s="141">
        <v>0</v>
      </c>
      <c r="AJ49" s="141">
        <v>0</v>
      </c>
      <c r="AK49" s="144">
        <v>0</v>
      </c>
      <c r="AL49" s="185"/>
      <c r="AM49" s="164" t="s">
        <v>2233</v>
      </c>
      <c r="AN49" s="143">
        <v>0</v>
      </c>
      <c r="AO49" s="141"/>
      <c r="AP49" s="141"/>
      <c r="AQ49" s="141"/>
      <c r="AR49" s="141"/>
      <c r="AS49" s="141">
        <v>0</v>
      </c>
      <c r="AT49" s="141">
        <v>0</v>
      </c>
      <c r="AU49" s="144">
        <v>0</v>
      </c>
      <c r="AV49" s="143">
        <v>0</v>
      </c>
      <c r="AW49" s="141">
        <v>0</v>
      </c>
      <c r="AX49" s="141">
        <v>0</v>
      </c>
      <c r="AY49" s="141">
        <v>0</v>
      </c>
      <c r="AZ49" s="144">
        <v>0</v>
      </c>
      <c r="BA49" s="185"/>
      <c r="BB49" s="545" t="s">
        <v>627</v>
      </c>
      <c r="BC49" s="868">
        <v>0</v>
      </c>
      <c r="BD49" s="545" t="s">
        <v>627</v>
      </c>
      <c r="BE49" s="868">
        <v>0</v>
      </c>
      <c r="BF49" s="545" t="s">
        <v>2233</v>
      </c>
      <c r="BG49" s="141">
        <v>0</v>
      </c>
      <c r="BH49" s="545" t="s">
        <v>2233</v>
      </c>
      <c r="BI49" s="141">
        <v>0</v>
      </c>
      <c r="BJ49" s="545" t="s">
        <v>2233</v>
      </c>
      <c r="BK49" s="141">
        <v>0</v>
      </c>
      <c r="BL49" s="545" t="s">
        <v>2233</v>
      </c>
      <c r="BM49" s="141">
        <v>0</v>
      </c>
      <c r="BN49" s="545" t="s">
        <v>2233</v>
      </c>
      <c r="BO49" s="141">
        <v>0</v>
      </c>
      <c r="BP49" s="185"/>
      <c r="BQ49" s="545" t="s">
        <v>627</v>
      </c>
      <c r="BR49" s="868">
        <v>0</v>
      </c>
      <c r="BS49" s="545" t="s">
        <v>627</v>
      </c>
      <c r="BT49" s="868">
        <v>0</v>
      </c>
      <c r="BU49" s="545" t="s">
        <v>2233</v>
      </c>
      <c r="BV49" s="141">
        <v>0</v>
      </c>
      <c r="BW49" s="545" t="s">
        <v>2233</v>
      </c>
      <c r="BX49" s="141">
        <v>0</v>
      </c>
      <c r="BY49" s="545" t="s">
        <v>2233</v>
      </c>
      <c r="BZ49" s="141">
        <v>0</v>
      </c>
      <c r="CA49" s="545" t="s">
        <v>2233</v>
      </c>
      <c r="CB49" s="141">
        <v>0</v>
      </c>
      <c r="CC49" s="545" t="s">
        <v>2233</v>
      </c>
      <c r="CD49" s="144">
        <v>0</v>
      </c>
    </row>
    <row r="50" spans="1:82" s="98" customFormat="1" ht="15" customHeight="1">
      <c r="A50" s="99"/>
      <c r="B50" s="161"/>
      <c r="C50" s="162"/>
      <c r="D50" s="162" t="s">
        <v>2708</v>
      </c>
      <c r="E50" s="162"/>
      <c r="F50" s="162"/>
      <c r="G50" s="163"/>
      <c r="H50" s="163"/>
      <c r="I50" s="164" t="s">
        <v>498</v>
      </c>
      <c r="J50" s="143">
        <v>0</v>
      </c>
      <c r="K50" s="141">
        <v>0</v>
      </c>
      <c r="L50" s="141">
        <v>0</v>
      </c>
      <c r="M50" s="141">
        <v>0</v>
      </c>
      <c r="N50" s="141">
        <v>0</v>
      </c>
      <c r="O50" s="141">
        <v>0</v>
      </c>
      <c r="P50" s="141">
        <v>0</v>
      </c>
      <c r="Q50" s="144">
        <v>0</v>
      </c>
      <c r="R50" s="143">
        <v>0</v>
      </c>
      <c r="S50" s="141">
        <v>0</v>
      </c>
      <c r="T50" s="141">
        <v>0</v>
      </c>
      <c r="U50" s="141">
        <v>0</v>
      </c>
      <c r="V50" s="144">
        <v>0</v>
      </c>
      <c r="W50" s="185"/>
      <c r="X50" s="164" t="s">
        <v>498</v>
      </c>
      <c r="Y50" s="143">
        <v>0</v>
      </c>
      <c r="Z50" s="141">
        <v>0</v>
      </c>
      <c r="AA50" s="141">
        <v>0</v>
      </c>
      <c r="AB50" s="141">
        <v>0</v>
      </c>
      <c r="AC50" s="141">
        <v>0</v>
      </c>
      <c r="AD50" s="141">
        <v>0</v>
      </c>
      <c r="AE50" s="141">
        <v>0</v>
      </c>
      <c r="AF50" s="144">
        <v>0</v>
      </c>
      <c r="AG50" s="143">
        <v>0</v>
      </c>
      <c r="AH50" s="141">
        <v>0</v>
      </c>
      <c r="AI50" s="141">
        <v>0</v>
      </c>
      <c r="AJ50" s="141">
        <v>0</v>
      </c>
      <c r="AK50" s="144">
        <v>0</v>
      </c>
      <c r="AL50" s="185"/>
      <c r="AM50" s="164" t="s">
        <v>2233</v>
      </c>
      <c r="AN50" s="143">
        <v>0</v>
      </c>
      <c r="AO50" s="141"/>
      <c r="AP50" s="141"/>
      <c r="AQ50" s="141"/>
      <c r="AR50" s="141"/>
      <c r="AS50" s="141"/>
      <c r="AT50" s="141">
        <v>0</v>
      </c>
      <c r="AU50" s="144">
        <v>0</v>
      </c>
      <c r="AV50" s="143">
        <v>0</v>
      </c>
      <c r="AW50" s="141">
        <v>0</v>
      </c>
      <c r="AX50" s="141">
        <v>0</v>
      </c>
      <c r="AY50" s="141">
        <v>0</v>
      </c>
      <c r="AZ50" s="144">
        <v>0</v>
      </c>
      <c r="BA50" s="185"/>
      <c r="BB50" s="545" t="s">
        <v>627</v>
      </c>
      <c r="BC50" s="868">
        <v>0</v>
      </c>
      <c r="BD50" s="545" t="s">
        <v>627</v>
      </c>
      <c r="BE50" s="868">
        <v>0</v>
      </c>
      <c r="BF50" s="545" t="s">
        <v>2233</v>
      </c>
      <c r="BG50" s="141">
        <v>0</v>
      </c>
      <c r="BH50" s="545" t="s">
        <v>2233</v>
      </c>
      <c r="BI50" s="141">
        <v>0</v>
      </c>
      <c r="BJ50" s="545" t="s">
        <v>2233</v>
      </c>
      <c r="BK50" s="141">
        <v>0</v>
      </c>
      <c r="BL50" s="545" t="s">
        <v>2233</v>
      </c>
      <c r="BM50" s="141">
        <v>0</v>
      </c>
      <c r="BN50" s="545" t="s">
        <v>2233</v>
      </c>
      <c r="BO50" s="141">
        <v>0</v>
      </c>
      <c r="BP50" s="185"/>
      <c r="BQ50" s="545" t="s">
        <v>627</v>
      </c>
      <c r="BR50" s="868">
        <v>0</v>
      </c>
      <c r="BS50" s="545" t="s">
        <v>627</v>
      </c>
      <c r="BT50" s="868">
        <v>0</v>
      </c>
      <c r="BU50" s="545" t="s">
        <v>2233</v>
      </c>
      <c r="BV50" s="141">
        <v>0</v>
      </c>
      <c r="BW50" s="545" t="s">
        <v>2233</v>
      </c>
      <c r="BX50" s="141">
        <v>0</v>
      </c>
      <c r="BY50" s="545" t="s">
        <v>2233</v>
      </c>
      <c r="BZ50" s="141">
        <v>0</v>
      </c>
      <c r="CA50" s="545" t="s">
        <v>2233</v>
      </c>
      <c r="CB50" s="141">
        <v>0</v>
      </c>
      <c r="CC50" s="545" t="s">
        <v>2233</v>
      </c>
      <c r="CD50" s="144">
        <v>0</v>
      </c>
    </row>
    <row r="51" spans="1:82" s="98" customFormat="1" ht="15" customHeight="1">
      <c r="A51" s="99"/>
      <c r="B51" s="161"/>
      <c r="C51" s="162" t="s">
        <v>1710</v>
      </c>
      <c r="D51" s="162"/>
      <c r="E51" s="162"/>
      <c r="F51" s="162"/>
      <c r="G51" s="163"/>
      <c r="H51" s="163"/>
      <c r="I51" s="164" t="s">
        <v>498</v>
      </c>
      <c r="J51" s="641">
        <f>SUM(J43:J50)</f>
        <v>0.32032234373059854</v>
      </c>
      <c r="K51" s="642">
        <f t="shared" ref="K51" si="65">SUM(K43:K50)</f>
        <v>0.36589293373220777</v>
      </c>
      <c r="L51" s="642">
        <f t="shared" ref="L51" si="66">SUM(L43:L50)</f>
        <v>0.30596871732218489</v>
      </c>
      <c r="M51" s="642">
        <f t="shared" ref="M51" si="67">SUM(M43:M50)</f>
        <v>4.0846275655564292E-2</v>
      </c>
      <c r="N51" s="642">
        <f t="shared" ref="N51" si="68">SUM(N43:N50)</f>
        <v>0.22781283068921807</v>
      </c>
      <c r="O51" s="642">
        <f t="shared" ref="O51" si="69">SUM(O43:O50)</f>
        <v>3.7812461256935506E-2</v>
      </c>
      <c r="P51" s="642">
        <f t="shared" ref="P51" si="70">SUM(P43:P50)</f>
        <v>0.52180030124852061</v>
      </c>
      <c r="Q51" s="643">
        <f t="shared" ref="Q51" si="71">SUM(Q43:Q50)</f>
        <v>0.50510519893914574</v>
      </c>
      <c r="R51" s="641">
        <f t="shared" ref="R51" si="72">SUM(R43:R50)</f>
        <v>8.5621872620235545E-2</v>
      </c>
      <c r="S51" s="642">
        <f t="shared" ref="S51" si="73">SUM(S43:S50)</f>
        <v>8.5193763257134361E-2</v>
      </c>
      <c r="T51" s="642">
        <f t="shared" ref="T51" si="74">SUM(T43:T50)</f>
        <v>8.4767794440848698E-2</v>
      </c>
      <c r="U51" s="642">
        <f t="shared" ref="U51" si="75">SUM(U43:U50)</f>
        <v>8.4343955468644441E-2</v>
      </c>
      <c r="V51" s="643">
        <f t="shared" ref="V51" si="76">SUM(V43:V50)</f>
        <v>8.3922235691301222E-2</v>
      </c>
      <c r="W51" s="185"/>
      <c r="X51" s="164" t="s">
        <v>498</v>
      </c>
      <c r="Y51" s="641">
        <f>SUM(Y43:Y50)</f>
        <v>0</v>
      </c>
      <c r="Z51" s="642">
        <f t="shared" ref="Z51" si="77">SUM(Z43:Z50)</f>
        <v>0</v>
      </c>
      <c r="AA51" s="642">
        <f t="shared" ref="AA51" si="78">SUM(AA43:AA50)</f>
        <v>0</v>
      </c>
      <c r="AB51" s="642">
        <f t="shared" ref="AB51" si="79">SUM(AB43:AB50)</f>
        <v>0</v>
      </c>
      <c r="AC51" s="642">
        <f t="shared" ref="AC51" si="80">SUM(AC43:AC50)</f>
        <v>0</v>
      </c>
      <c r="AD51" s="642">
        <f t="shared" ref="AD51" si="81">SUM(AD43:AD50)</f>
        <v>0</v>
      </c>
      <c r="AE51" s="642">
        <f t="shared" ref="AE51" si="82">SUM(AE43:AE50)</f>
        <v>0</v>
      </c>
      <c r="AF51" s="643">
        <f t="shared" ref="AF51" si="83">SUM(AF43:AF50)</f>
        <v>0</v>
      </c>
      <c r="AG51" s="641">
        <f t="shared" ref="AG51" si="84">SUM(AG43:AG50)</f>
        <v>0</v>
      </c>
      <c r="AH51" s="642">
        <f t="shared" ref="AH51" si="85">SUM(AH43:AH50)</f>
        <v>0</v>
      </c>
      <c r="AI51" s="642">
        <f t="shared" ref="AI51" si="86">SUM(AI43:AI50)</f>
        <v>0</v>
      </c>
      <c r="AJ51" s="642">
        <f t="shared" ref="AJ51" si="87">SUM(AJ43:AJ50)</f>
        <v>0</v>
      </c>
      <c r="AK51" s="643">
        <f t="shared" ref="AK51" si="88">SUM(AK43:AK50)</f>
        <v>0</v>
      </c>
      <c r="AL51" s="185"/>
      <c r="AM51" s="164" t="s">
        <v>2233</v>
      </c>
      <c r="AN51" s="641">
        <f>SUM(AN43:AN50)</f>
        <v>1.113</v>
      </c>
      <c r="AO51" s="642">
        <f t="shared" ref="AO51" si="89">SUM(AO43:AO50)</f>
        <v>1.08</v>
      </c>
      <c r="AP51" s="642">
        <f t="shared" ref="AP51" si="90">SUM(AP43:AP50)</f>
        <v>0.70850000000000013</v>
      </c>
      <c r="AQ51" s="642">
        <f t="shared" ref="AQ51" si="91">SUM(AQ43:AQ50)</f>
        <v>0.182</v>
      </c>
      <c r="AR51" s="642">
        <f t="shared" ref="AR51" si="92">SUM(AR43:AR50)</f>
        <v>0.69300000000000006</v>
      </c>
      <c r="AS51" s="642">
        <f t="shared" ref="AS51" si="93">SUM(AS43:AS50)</f>
        <v>0.19700000000000001</v>
      </c>
      <c r="AT51" s="642">
        <f t="shared" ref="AT51" si="94">SUM(AT43:AT50)</f>
        <v>1.5836177330379166</v>
      </c>
      <c r="AU51" s="643">
        <f t="shared" ref="AU51" si="95">SUM(AU43:AU50)</f>
        <v>1.5928509190091029</v>
      </c>
      <c r="AV51" s="641">
        <f t="shared" ref="AV51" si="96">SUM(AV43:AV50)</f>
        <v>0.21020396870266472</v>
      </c>
      <c r="AW51" s="642">
        <f t="shared" ref="AW51" si="97">SUM(AW43:AW50)</f>
        <v>0.21020396870266472</v>
      </c>
      <c r="AX51" s="642">
        <f t="shared" ref="AX51" si="98">SUM(AX43:AX50)</f>
        <v>0.21020396870266472</v>
      </c>
      <c r="AY51" s="642">
        <f t="shared" ref="AY51" si="99">SUM(AY43:AY50)</f>
        <v>0.21020396870266472</v>
      </c>
      <c r="AZ51" s="643">
        <f t="shared" ref="AZ51" si="100">SUM(AZ43:AZ50)</f>
        <v>0.21020396870266472</v>
      </c>
      <c r="BA51" s="185"/>
      <c r="BB51" s="530"/>
      <c r="BC51" s="530"/>
      <c r="BD51" s="530"/>
      <c r="BE51" s="530"/>
      <c r="BF51" s="545" t="s">
        <v>2233</v>
      </c>
      <c r="BG51" s="642">
        <f>SUM(BG43:BG50)</f>
        <v>4.2050873722662558</v>
      </c>
      <c r="BH51" s="545" t="s">
        <v>2233</v>
      </c>
      <c r="BI51" s="642">
        <f>SUM(BI43:BI50)</f>
        <v>0</v>
      </c>
      <c r="BJ51" s="545" t="s">
        <v>2233</v>
      </c>
      <c r="BK51" s="642">
        <f>SUM(BK43:BK50)</f>
        <v>2.4794546407349536</v>
      </c>
      <c r="BL51" s="545" t="s">
        <v>2233</v>
      </c>
      <c r="BM51" s="642">
        <f>SUM(BM43:BM50)</f>
        <v>0.31547463824777838</v>
      </c>
      <c r="BN51" s="545" t="s">
        <v>2233</v>
      </c>
      <c r="BO51" s="642">
        <f>SUM(BO43:BO50)</f>
        <v>0.14995200079803198</v>
      </c>
      <c r="BP51" s="185"/>
      <c r="BQ51" s="530"/>
      <c r="BR51" s="530"/>
      <c r="BS51" s="530"/>
      <c r="BT51" s="530"/>
      <c r="BU51" s="545" t="s">
        <v>2233</v>
      </c>
      <c r="BV51" s="642">
        <f>SUM(BV43:BV50)</f>
        <v>0.61813281806400699</v>
      </c>
      <c r="BW51" s="545" t="s">
        <v>2233</v>
      </c>
      <c r="BX51" s="642">
        <f>SUM(BX43:BX50)</f>
        <v>0</v>
      </c>
      <c r="BY51" s="545" t="s">
        <v>2233</v>
      </c>
      <c r="BZ51" s="642">
        <f>SUM(BZ43:BZ50)</f>
        <v>0.36447097257657984</v>
      </c>
      <c r="CA51" s="545" t="s">
        <v>2233</v>
      </c>
      <c r="CB51" s="642">
        <f>SUM(CB43:CB50)</f>
        <v>4.6373644565375072E-2</v>
      </c>
      <c r="CC51" s="545" t="s">
        <v>2233</v>
      </c>
      <c r="CD51" s="643">
        <f>SUM(CD43:CD50)</f>
        <v>2.2042408307361757E-2</v>
      </c>
    </row>
    <row r="52" spans="1:82" s="98" customFormat="1" ht="15" customHeight="1">
      <c r="A52" s="99"/>
      <c r="B52" s="123"/>
      <c r="C52" s="127"/>
      <c r="D52" s="127"/>
      <c r="E52" s="127"/>
      <c r="F52" s="127"/>
      <c r="G52" s="117"/>
      <c r="H52" s="117"/>
      <c r="I52" s="117"/>
      <c r="J52" s="159"/>
      <c r="K52" s="117"/>
      <c r="L52" s="117"/>
      <c r="M52" s="117"/>
      <c r="N52" s="117"/>
      <c r="O52" s="117"/>
      <c r="P52" s="117"/>
      <c r="Q52" s="160"/>
      <c r="R52" s="159"/>
      <c r="S52" s="117"/>
      <c r="T52" s="117"/>
      <c r="U52" s="117"/>
      <c r="V52" s="160"/>
      <c r="W52" s="185"/>
      <c r="X52" s="117"/>
      <c r="Y52" s="159"/>
      <c r="Z52" s="117"/>
      <c r="AA52" s="117"/>
      <c r="AB52" s="117"/>
      <c r="AC52" s="117"/>
      <c r="AD52" s="117"/>
      <c r="AE52" s="117"/>
      <c r="AF52" s="160"/>
      <c r="AG52" s="159"/>
      <c r="AH52" s="117"/>
      <c r="AI52" s="117"/>
      <c r="AJ52" s="117"/>
      <c r="AK52" s="160"/>
      <c r="AL52" s="185"/>
      <c r="AM52" s="117"/>
      <c r="AN52" s="159"/>
      <c r="AO52" s="117"/>
      <c r="AP52" s="117"/>
      <c r="AQ52" s="117"/>
      <c r="AR52" s="117"/>
      <c r="AS52" s="117"/>
      <c r="AT52" s="117"/>
      <c r="AU52" s="160"/>
      <c r="AV52" s="159"/>
      <c r="AW52" s="117"/>
      <c r="AX52" s="117"/>
      <c r="AY52" s="117"/>
      <c r="AZ52" s="160"/>
      <c r="BA52" s="185"/>
      <c r="BB52" s="530"/>
      <c r="BC52" s="530"/>
      <c r="BD52" s="530"/>
      <c r="BE52" s="530"/>
      <c r="BF52" s="530"/>
      <c r="BG52" s="530"/>
      <c r="BH52" s="530"/>
      <c r="BI52" s="530"/>
      <c r="BJ52" s="530"/>
      <c r="BK52" s="530"/>
      <c r="BL52" s="530"/>
      <c r="BM52" s="530"/>
      <c r="BN52" s="530"/>
      <c r="BO52" s="530"/>
      <c r="BP52" s="185"/>
      <c r="BQ52" s="530"/>
      <c r="BR52" s="530"/>
      <c r="BS52" s="530"/>
      <c r="BT52" s="530"/>
      <c r="BU52" s="530"/>
      <c r="BV52" s="530"/>
      <c r="BW52" s="530"/>
      <c r="BX52" s="530"/>
      <c r="BY52" s="530"/>
      <c r="BZ52" s="530"/>
      <c r="CA52" s="530"/>
      <c r="CB52" s="530"/>
      <c r="CC52" s="530"/>
      <c r="CD52" s="544"/>
    </row>
    <row r="53" spans="1:82" s="98" customFormat="1" ht="15" customHeight="1" thickBot="1">
      <c r="A53" s="99"/>
      <c r="B53" s="191" t="s">
        <v>1701</v>
      </c>
      <c r="C53" s="193"/>
      <c r="D53" s="193"/>
      <c r="E53" s="193"/>
      <c r="F53" s="193"/>
      <c r="G53" s="194"/>
      <c r="H53" s="194"/>
      <c r="I53" s="195" t="s">
        <v>498</v>
      </c>
      <c r="J53" s="717">
        <f>SUM(J29,J40,J51)</f>
        <v>2.5193312240193482</v>
      </c>
      <c r="K53" s="718">
        <f t="shared" ref="K53:V53" si="101">SUM(K29,K40,K51)</f>
        <v>2.626877643311154</v>
      </c>
      <c r="L53" s="718">
        <f t="shared" si="101"/>
        <v>1.863412419057505</v>
      </c>
      <c r="M53" s="718">
        <f t="shared" si="101"/>
        <v>1.656983511593719</v>
      </c>
      <c r="N53" s="718">
        <f t="shared" si="101"/>
        <v>2.5315269795060518</v>
      </c>
      <c r="O53" s="718">
        <f t="shared" si="101"/>
        <v>1.476762616241831</v>
      </c>
      <c r="P53" s="718">
        <f t="shared" si="101"/>
        <v>4.8221869760373028</v>
      </c>
      <c r="Q53" s="719">
        <f t="shared" si="101"/>
        <v>4.644392487711845</v>
      </c>
      <c r="R53" s="717">
        <f t="shared" si="101"/>
        <v>0.75641721269517914</v>
      </c>
      <c r="S53" s="718">
        <f t="shared" si="101"/>
        <v>0.75263512663170329</v>
      </c>
      <c r="T53" s="718">
        <f t="shared" si="101"/>
        <v>0.74887195099854464</v>
      </c>
      <c r="U53" s="718">
        <f t="shared" si="101"/>
        <v>0.74512759124355199</v>
      </c>
      <c r="V53" s="719">
        <f t="shared" si="101"/>
        <v>0.74140195328733416</v>
      </c>
      <c r="W53" s="192"/>
      <c r="X53" s="195" t="s">
        <v>498</v>
      </c>
      <c r="Y53" s="717">
        <f>SUM(Y29,Y40,Y51)</f>
        <v>0</v>
      </c>
      <c r="Z53" s="718">
        <f t="shared" ref="Z53:AK53" si="102">SUM(Z29,Z40,Z51)</f>
        <v>0</v>
      </c>
      <c r="AA53" s="718">
        <f t="shared" si="102"/>
        <v>0</v>
      </c>
      <c r="AB53" s="718">
        <f t="shared" si="102"/>
        <v>0</v>
      </c>
      <c r="AC53" s="718">
        <f t="shared" si="102"/>
        <v>0</v>
      </c>
      <c r="AD53" s="718">
        <f t="shared" si="102"/>
        <v>0</v>
      </c>
      <c r="AE53" s="718">
        <f t="shared" si="102"/>
        <v>0</v>
      </c>
      <c r="AF53" s="719">
        <f t="shared" si="102"/>
        <v>0</v>
      </c>
      <c r="AG53" s="717">
        <f t="shared" si="102"/>
        <v>0</v>
      </c>
      <c r="AH53" s="718">
        <f t="shared" si="102"/>
        <v>0</v>
      </c>
      <c r="AI53" s="718">
        <f t="shared" si="102"/>
        <v>0</v>
      </c>
      <c r="AJ53" s="718">
        <f t="shared" si="102"/>
        <v>0</v>
      </c>
      <c r="AK53" s="719">
        <f t="shared" si="102"/>
        <v>0</v>
      </c>
      <c r="AL53" s="192"/>
      <c r="AM53" s="195" t="s">
        <v>2233</v>
      </c>
      <c r="AN53" s="717">
        <f>SUM(AN29,AN40,AN51)</f>
        <v>8.0860000000000003</v>
      </c>
      <c r="AO53" s="718">
        <f t="shared" ref="AO53:AZ53" si="103">SUM(AO29,AO40,AO51)</f>
        <v>8.2949999999999999</v>
      </c>
      <c r="AP53" s="718">
        <f t="shared" si="103"/>
        <v>5.2570000000000006</v>
      </c>
      <c r="AQ53" s="718">
        <f t="shared" si="103"/>
        <v>4.07</v>
      </c>
      <c r="AR53" s="718">
        <f t="shared" si="103"/>
        <v>7.6760000000000002</v>
      </c>
      <c r="AS53" s="718">
        <f t="shared" si="103"/>
        <v>4.0609999999999999</v>
      </c>
      <c r="AT53" s="718">
        <f t="shared" si="103"/>
        <v>14.851000000000003</v>
      </c>
      <c r="AU53" s="719">
        <f t="shared" si="103"/>
        <v>14.874177221205709</v>
      </c>
      <c r="AV53" s="717">
        <f t="shared" si="103"/>
        <v>2.0250000000000008</v>
      </c>
      <c r="AW53" s="718">
        <f t="shared" si="103"/>
        <v>2.0250000000000008</v>
      </c>
      <c r="AX53" s="718">
        <f t="shared" si="103"/>
        <v>2.0250000000000008</v>
      </c>
      <c r="AY53" s="718">
        <f t="shared" si="103"/>
        <v>2.0250000000000008</v>
      </c>
      <c r="AZ53" s="719">
        <f t="shared" si="103"/>
        <v>2.0250000000000008</v>
      </c>
      <c r="BA53" s="192"/>
      <c r="BB53" s="548"/>
      <c r="BC53" s="548"/>
      <c r="BD53" s="548"/>
      <c r="BE53" s="1537"/>
      <c r="BF53" s="1081" t="s">
        <v>2233</v>
      </c>
      <c r="BG53" s="1082">
        <f>SUM(BG29,BG40,BG51)</f>
        <v>39.504573764097834</v>
      </c>
      <c r="BH53" s="1081" t="s">
        <v>2233</v>
      </c>
      <c r="BI53" s="1082">
        <f>SUM(BI29,BI40,BI51)</f>
        <v>0</v>
      </c>
      <c r="BJ53" s="1081" t="s">
        <v>2233</v>
      </c>
      <c r="BK53" s="1082">
        <f>SUM(BK29,BK40,BK51)</f>
        <v>23.293166129116695</v>
      </c>
      <c r="BL53" s="1081" t="s">
        <v>2233</v>
      </c>
      <c r="BM53" s="1082">
        <f>SUM(BM29,BM40,BM51)</f>
        <v>2.9637175197729357</v>
      </c>
      <c r="BN53" s="1081" t="s">
        <v>2233</v>
      </c>
      <c r="BO53" s="1082">
        <f>SUM(BO29,BO40,BO51)</f>
        <v>1.4087198082182517</v>
      </c>
      <c r="BP53" s="192"/>
      <c r="BQ53" s="548"/>
      <c r="BR53" s="548"/>
      <c r="BS53" s="548"/>
      <c r="BT53" s="1537"/>
      <c r="BU53" s="1081" t="s">
        <v>2233</v>
      </c>
      <c r="BV53" s="1082">
        <f>SUM(BV29,BV40,BV51)</f>
        <v>5.9547827013208376</v>
      </c>
      <c r="BW53" s="1081" t="s">
        <v>2233</v>
      </c>
      <c r="BX53" s="1082">
        <f>SUM(BX29,BX40,BX51)</f>
        <v>0</v>
      </c>
      <c r="BY53" s="1081" t="s">
        <v>2233</v>
      </c>
      <c r="BZ53" s="1082">
        <f>SUM(BZ29,BZ40,BZ51)</f>
        <v>3.5111312313591831</v>
      </c>
      <c r="CA53" s="1081" t="s">
        <v>2233</v>
      </c>
      <c r="CB53" s="1082">
        <f>SUM(CB29,CB40,CB51)</f>
        <v>0.44674051981252683</v>
      </c>
      <c r="CC53" s="1081" t="s">
        <v>2233</v>
      </c>
      <c r="CD53" s="1336">
        <f>SUM(CD29,CD40,CD51)</f>
        <v>0.21234554750745643</v>
      </c>
    </row>
    <row r="54" spans="1:82" s="99" customFormat="1" ht="15" customHeight="1" thickBot="1">
      <c r="B54" s="150"/>
      <c r="C54" s="150"/>
      <c r="D54" s="150"/>
      <c r="E54" s="150"/>
      <c r="F54" s="150"/>
      <c r="G54" s="97"/>
      <c r="H54" s="97"/>
      <c r="I54" s="98"/>
      <c r="J54" s="98"/>
      <c r="K54" s="98"/>
      <c r="L54" s="98"/>
      <c r="M54" s="98"/>
      <c r="N54" s="98"/>
      <c r="O54" s="98"/>
      <c r="P54" s="98"/>
      <c r="Q54" s="98"/>
      <c r="R54" s="98"/>
      <c r="S54" s="98"/>
      <c r="T54" s="98"/>
      <c r="U54" s="98"/>
      <c r="V54" s="98"/>
      <c r="W54" s="98"/>
      <c r="X54" s="98"/>
      <c r="AS54" s="96"/>
      <c r="AT54" s="97"/>
      <c r="AU54" s="97"/>
      <c r="AV54" s="97"/>
      <c r="AW54" s="97"/>
      <c r="AX54" s="97"/>
      <c r="AY54" s="97"/>
      <c r="AZ54" s="97"/>
      <c r="BA54" s="97"/>
      <c r="BB54" s="97"/>
      <c r="BD54" s="97"/>
      <c r="BE54" s="97"/>
      <c r="BF54" s="97"/>
      <c r="BH54" s="97"/>
    </row>
    <row r="55" spans="1:82" s="100" customFormat="1" ht="30" customHeight="1" thickBot="1">
      <c r="A55" s="89"/>
      <c r="B55" s="621" t="s">
        <v>2679</v>
      </c>
      <c r="C55" s="101"/>
      <c r="D55" s="102"/>
      <c r="E55" s="102"/>
      <c r="F55" s="102"/>
      <c r="G55" s="103"/>
      <c r="H55" s="103"/>
      <c r="I55" s="1689"/>
      <c r="J55" s="1689"/>
      <c r="K55" s="1689"/>
      <c r="L55" s="1689"/>
      <c r="M55" s="1689"/>
      <c r="N55" s="1689"/>
      <c r="O55" s="1689"/>
      <c r="P55" s="1689"/>
      <c r="Q55" s="1689"/>
      <c r="R55" s="1689"/>
      <c r="S55" s="1689"/>
      <c r="T55" s="1689"/>
      <c r="U55" s="1689"/>
      <c r="V55" s="1689"/>
      <c r="W55" s="103"/>
      <c r="X55" s="1689"/>
      <c r="Y55" s="1689"/>
      <c r="Z55" s="1689"/>
      <c r="AA55" s="1689"/>
      <c r="AB55" s="1689"/>
      <c r="AC55" s="1689"/>
      <c r="AD55" s="1689"/>
      <c r="AE55" s="1689"/>
      <c r="AF55" s="1689"/>
      <c r="AG55" s="1689"/>
      <c r="AH55" s="1689"/>
      <c r="AI55" s="1689"/>
      <c r="AJ55" s="1689"/>
      <c r="AK55" s="1689"/>
      <c r="AL55" s="1354"/>
      <c r="AM55" s="105" t="s">
        <v>2231</v>
      </c>
      <c r="AN55" s="106"/>
      <c r="AO55" s="106"/>
      <c r="AP55" s="106"/>
      <c r="AQ55" s="106"/>
      <c r="AR55" s="106"/>
      <c r="AS55" s="106"/>
      <c r="AT55" s="106"/>
      <c r="AU55" s="106"/>
      <c r="AV55" s="105"/>
      <c r="AW55" s="105"/>
      <c r="AX55" s="105"/>
      <c r="AY55" s="105"/>
      <c r="AZ55" s="105"/>
      <c r="BA55" s="103"/>
      <c r="BB55" s="105" t="s">
        <v>2690</v>
      </c>
      <c r="BC55" s="105"/>
      <c r="BD55" s="105"/>
      <c r="BE55" s="105"/>
      <c r="BF55" s="105"/>
      <c r="BG55" s="105"/>
      <c r="BH55" s="603"/>
      <c r="BI55" s="105"/>
      <c r="BJ55" s="103"/>
      <c r="BK55" s="103"/>
      <c r="BL55" s="103"/>
      <c r="BM55" s="103"/>
      <c r="BN55" s="103"/>
      <c r="BO55" s="103"/>
      <c r="BP55" s="1354"/>
      <c r="BQ55" s="105" t="s">
        <v>2691</v>
      </c>
      <c r="BR55" s="105"/>
      <c r="BS55" s="105"/>
      <c r="BT55" s="105"/>
      <c r="BU55" s="105"/>
      <c r="BV55" s="105"/>
      <c r="BW55" s="105"/>
      <c r="BX55" s="187"/>
    </row>
    <row r="56" spans="1:82" s="157" customFormat="1" ht="30" customHeight="1">
      <c r="A56" s="99"/>
      <c r="B56" s="109"/>
      <c r="C56" s="110"/>
      <c r="D56" s="110"/>
      <c r="E56" s="110"/>
      <c r="F56" s="110"/>
      <c r="G56" s="111"/>
      <c r="H56" s="111"/>
      <c r="I56" s="2502"/>
      <c r="J56" s="2502"/>
      <c r="K56" s="2502"/>
      <c r="L56" s="2502"/>
      <c r="M56" s="2502"/>
      <c r="N56" s="2502"/>
      <c r="O56" s="2502"/>
      <c r="P56" s="2502"/>
      <c r="Q56" s="2502"/>
      <c r="R56" s="2502"/>
      <c r="S56" s="2502"/>
      <c r="T56" s="2502"/>
      <c r="U56" s="2502"/>
      <c r="V56" s="2502"/>
      <c r="W56" s="111"/>
      <c r="X56" s="2502"/>
      <c r="Y56" s="2502"/>
      <c r="Z56" s="2502"/>
      <c r="AA56" s="2502"/>
      <c r="AB56" s="2502"/>
      <c r="AC56" s="2502"/>
      <c r="AD56" s="2502"/>
      <c r="AE56" s="2502"/>
      <c r="AF56" s="2502"/>
      <c r="AG56" s="2502"/>
      <c r="AH56" s="2502"/>
      <c r="AI56" s="2502"/>
      <c r="AJ56" s="2502"/>
      <c r="AK56" s="2502"/>
      <c r="AM56" s="117"/>
      <c r="AN56" s="695" t="s">
        <v>1666</v>
      </c>
      <c r="AO56" s="152"/>
      <c r="AP56" s="152"/>
      <c r="AQ56" s="152"/>
      <c r="AR56" s="152"/>
      <c r="AS56" s="152"/>
      <c r="AT56" s="152"/>
      <c r="AU56" s="153"/>
      <c r="AV56" s="696" t="s">
        <v>2</v>
      </c>
      <c r="AW56" s="155"/>
      <c r="AX56" s="155"/>
      <c r="AY56" s="155"/>
      <c r="AZ56" s="156"/>
      <c r="BA56" s="222"/>
      <c r="BB56" s="527" t="s">
        <v>2711</v>
      </c>
      <c r="BC56" s="527"/>
      <c r="BD56" s="527" t="s">
        <v>2712</v>
      </c>
      <c r="BE56" s="527"/>
      <c r="BF56" s="527" t="s">
        <v>2713</v>
      </c>
      <c r="BG56" s="527"/>
      <c r="BH56" s="527" t="s">
        <v>2714</v>
      </c>
      <c r="BI56" s="604"/>
      <c r="BJ56" s="222"/>
      <c r="BQ56" s="527" t="s">
        <v>2711</v>
      </c>
      <c r="BR56" s="527"/>
      <c r="BS56" s="527" t="s">
        <v>2712</v>
      </c>
      <c r="BT56" s="527"/>
      <c r="BU56" s="527" t="s">
        <v>2713</v>
      </c>
      <c r="BV56" s="527"/>
      <c r="BW56" s="527" t="s">
        <v>2714</v>
      </c>
      <c r="BX56" s="605"/>
    </row>
    <row r="57" spans="1:82" s="98" customFormat="1" ht="15" customHeight="1">
      <c r="A57" s="99"/>
      <c r="B57" s="115"/>
      <c r="C57" s="116"/>
      <c r="D57" s="116"/>
      <c r="E57" s="116"/>
      <c r="F57" s="116"/>
      <c r="G57" s="117"/>
      <c r="H57" s="117"/>
      <c r="I57" s="2503"/>
      <c r="J57" s="2503"/>
      <c r="K57" s="2503"/>
      <c r="L57" s="2503"/>
      <c r="M57" s="2503"/>
      <c r="N57" s="2503"/>
      <c r="O57" s="2503"/>
      <c r="P57" s="2503"/>
      <c r="Q57" s="2503"/>
      <c r="R57" s="2503"/>
      <c r="S57" s="2503"/>
      <c r="T57" s="2503"/>
      <c r="U57" s="2503"/>
      <c r="V57" s="2503"/>
      <c r="W57" s="117"/>
      <c r="X57" s="2503"/>
      <c r="Y57" s="2503"/>
      <c r="Z57" s="2503"/>
      <c r="AA57" s="2503"/>
      <c r="AB57" s="2503"/>
      <c r="AC57" s="2503"/>
      <c r="AD57" s="2503"/>
      <c r="AE57" s="2503"/>
      <c r="AF57" s="2503"/>
      <c r="AG57" s="2503"/>
      <c r="AH57" s="2503"/>
      <c r="AI57" s="2503"/>
      <c r="AJ57" s="2503"/>
      <c r="AK57" s="2503"/>
      <c r="AM57" s="119" t="s">
        <v>1667</v>
      </c>
      <c r="AN57" s="158" t="s">
        <v>453</v>
      </c>
      <c r="AO57" s="137" t="s">
        <v>455</v>
      </c>
      <c r="AP57" s="137" t="s">
        <v>457</v>
      </c>
      <c r="AQ57" s="137" t="s">
        <v>459</v>
      </c>
      <c r="AR57" s="137" t="s">
        <v>461</v>
      </c>
      <c r="AS57" s="137" t="s">
        <v>463</v>
      </c>
      <c r="AT57" s="137" t="s">
        <v>465</v>
      </c>
      <c r="AU57" s="138" t="s">
        <v>467</v>
      </c>
      <c r="AV57" s="120" t="s">
        <v>469</v>
      </c>
      <c r="AW57" s="121" t="s">
        <v>471</v>
      </c>
      <c r="AX57" s="121" t="s">
        <v>473</v>
      </c>
      <c r="AY57" s="121" t="s">
        <v>475</v>
      </c>
      <c r="AZ57" s="122" t="s">
        <v>477</v>
      </c>
      <c r="BA57" s="185"/>
      <c r="BB57" s="531" t="s">
        <v>1667</v>
      </c>
      <c r="BC57" s="531" t="s">
        <v>2142</v>
      </c>
      <c r="BD57" s="531" t="s">
        <v>1667</v>
      </c>
      <c r="BE57" s="531" t="s">
        <v>2142</v>
      </c>
      <c r="BF57" s="531" t="s">
        <v>1667</v>
      </c>
      <c r="BG57" s="531" t="s">
        <v>2142</v>
      </c>
      <c r="BH57" s="606" t="s">
        <v>1667</v>
      </c>
      <c r="BI57" s="531" t="s">
        <v>2142</v>
      </c>
      <c r="BJ57" s="185"/>
      <c r="BQ57" s="531" t="s">
        <v>1667</v>
      </c>
      <c r="BR57" s="531" t="s">
        <v>2142</v>
      </c>
      <c r="BS57" s="531" t="s">
        <v>1667</v>
      </c>
      <c r="BT57" s="531" t="s">
        <v>2142</v>
      </c>
      <c r="BU57" s="531" t="s">
        <v>1667</v>
      </c>
      <c r="BV57" s="531" t="s">
        <v>2142</v>
      </c>
      <c r="BW57" s="531" t="s">
        <v>1667</v>
      </c>
      <c r="BX57" s="532" t="s">
        <v>2142</v>
      </c>
    </row>
    <row r="58" spans="1:82" s="98" customFormat="1" ht="15" customHeight="1">
      <c r="A58" s="99"/>
      <c r="B58" s="161"/>
      <c r="C58" s="116" t="s">
        <v>2715</v>
      </c>
      <c r="D58" s="116"/>
      <c r="E58" s="116"/>
      <c r="F58" s="116"/>
      <c r="G58" s="117"/>
      <c r="H58" s="117"/>
      <c r="I58" s="2503"/>
      <c r="J58" s="2503"/>
      <c r="K58" s="2503"/>
      <c r="L58" s="2503"/>
      <c r="M58" s="2503"/>
      <c r="N58" s="2503"/>
      <c r="O58" s="2503"/>
      <c r="P58" s="2503"/>
      <c r="Q58" s="2503"/>
      <c r="R58" s="2503"/>
      <c r="S58" s="2503"/>
      <c r="T58" s="2503"/>
      <c r="U58" s="2503"/>
      <c r="V58" s="2503"/>
      <c r="W58" s="117"/>
      <c r="X58" s="2503"/>
      <c r="Y58" s="2503"/>
      <c r="Z58" s="2503"/>
      <c r="AA58" s="2503"/>
      <c r="AB58" s="2503"/>
      <c r="AC58" s="2503"/>
      <c r="AD58" s="2503"/>
      <c r="AE58" s="2503"/>
      <c r="AF58" s="2503"/>
      <c r="AG58" s="2503"/>
      <c r="AH58" s="2503"/>
      <c r="AI58" s="2503"/>
      <c r="AJ58" s="2503"/>
      <c r="AK58" s="2503"/>
      <c r="AM58" s="117"/>
      <c r="AN58" s="159"/>
      <c r="AO58" s="117"/>
      <c r="AP58" s="117"/>
      <c r="AQ58" s="117"/>
      <c r="AR58" s="117"/>
      <c r="AS58" s="117"/>
      <c r="AT58" s="117"/>
      <c r="AU58" s="160"/>
      <c r="AV58" s="159"/>
      <c r="AW58" s="117"/>
      <c r="AX58" s="117"/>
      <c r="AY58" s="117"/>
      <c r="AZ58" s="160"/>
      <c r="BA58" s="185"/>
      <c r="BB58" s="530"/>
      <c r="BC58" s="530"/>
      <c r="BD58" s="530"/>
      <c r="BE58" s="530"/>
      <c r="BF58" s="530"/>
      <c r="BG58" s="530"/>
      <c r="BH58" s="530"/>
      <c r="BI58" s="530"/>
      <c r="BJ58" s="185"/>
      <c r="BQ58" s="530"/>
      <c r="BR58" s="530"/>
      <c r="BS58" s="530"/>
      <c r="BT58" s="530"/>
      <c r="BU58" s="530"/>
      <c r="BV58" s="530"/>
      <c r="BW58" s="530"/>
      <c r="BX58" s="1359"/>
    </row>
    <row r="59" spans="1:82" s="98" customFormat="1" ht="15" customHeight="1">
      <c r="A59" s="99"/>
      <c r="B59" s="161"/>
      <c r="C59" s="162"/>
      <c r="D59" s="162" t="s">
        <v>2726</v>
      </c>
      <c r="E59" s="162"/>
      <c r="F59" s="162"/>
      <c r="G59" s="163"/>
      <c r="H59" s="163"/>
      <c r="I59" s="2503"/>
      <c r="J59" s="2503"/>
      <c r="K59" s="2503"/>
      <c r="L59" s="2503"/>
      <c r="M59" s="2503"/>
      <c r="N59" s="2503"/>
      <c r="O59" s="2503"/>
      <c r="P59" s="2503"/>
      <c r="Q59" s="2503"/>
      <c r="R59" s="2503"/>
      <c r="S59" s="2503"/>
      <c r="T59" s="2503"/>
      <c r="U59" s="2503"/>
      <c r="V59" s="2503"/>
      <c r="W59" s="163"/>
      <c r="X59" s="2503"/>
      <c r="Y59" s="2503"/>
      <c r="Z59" s="2503"/>
      <c r="AA59" s="2503"/>
      <c r="AB59" s="2503"/>
      <c r="AC59" s="2503"/>
      <c r="AD59" s="2503"/>
      <c r="AE59" s="2503"/>
      <c r="AF59" s="2503"/>
      <c r="AG59" s="2503"/>
      <c r="AH59" s="2503"/>
      <c r="AI59" s="2503"/>
      <c r="AJ59" s="2503"/>
      <c r="AK59" s="2503"/>
      <c r="AM59" s="164" t="s">
        <v>2233</v>
      </c>
      <c r="AN59" s="143">
        <v>-0.35299999999999998</v>
      </c>
      <c r="AO59" s="141">
        <v>-0.245</v>
      </c>
      <c r="AP59" s="141">
        <v>-0.26100000000000001</v>
      </c>
      <c r="AQ59" s="141">
        <v>-0.51</v>
      </c>
      <c r="AR59" s="141">
        <v>-0.67100000000000004</v>
      </c>
      <c r="AS59" s="141">
        <v>0</v>
      </c>
      <c r="AT59" s="141">
        <v>-0.82843169695443797</v>
      </c>
      <c r="AU59" s="144">
        <v>-0.82843169695443797</v>
      </c>
      <c r="AV59" s="143">
        <v>-8.372489056796617E-2</v>
      </c>
      <c r="AW59" s="141">
        <v>-8.372489056796617E-2</v>
      </c>
      <c r="AX59" s="141">
        <v>-8.372489056796617E-2</v>
      </c>
      <c r="AY59" s="141">
        <v>-8.372489056796617E-2</v>
      </c>
      <c r="AZ59" s="144">
        <v>-8.372489056796617E-2</v>
      </c>
      <c r="BA59" s="185"/>
      <c r="BB59" s="522" t="s">
        <v>2233</v>
      </c>
      <c r="BC59" s="141">
        <v>2.9075785091082209</v>
      </c>
      <c r="BD59" s="522" t="s">
        <v>2233</v>
      </c>
      <c r="BE59" s="141">
        <v>0.64052831005995481</v>
      </c>
      <c r="BF59" s="522" t="s">
        <v>2233</v>
      </c>
      <c r="BG59" s="141">
        <v>0.14875657474069989</v>
      </c>
      <c r="BH59" s="607" t="s">
        <v>627</v>
      </c>
      <c r="BI59" s="868">
        <v>0.98009999999999997</v>
      </c>
      <c r="BJ59" s="185"/>
      <c r="BQ59" s="522" t="s">
        <v>2233</v>
      </c>
      <c r="BR59" s="141">
        <v>0.32924761690404042</v>
      </c>
      <c r="BS59" s="522" t="s">
        <v>2233</v>
      </c>
      <c r="BT59" s="141">
        <v>7.2531977721727939E-2</v>
      </c>
      <c r="BU59" s="522" t="s">
        <v>2233</v>
      </c>
      <c r="BV59" s="141">
        <v>1.6844858214062501E-2</v>
      </c>
      <c r="BW59" s="607" t="s">
        <v>627</v>
      </c>
      <c r="BX59" s="872">
        <v>1</v>
      </c>
    </row>
    <row r="60" spans="1:82" s="98" customFormat="1" ht="15" customHeight="1">
      <c r="A60" s="99"/>
      <c r="B60" s="161"/>
      <c r="C60" s="162"/>
      <c r="D60" s="162" t="s">
        <v>2727</v>
      </c>
      <c r="E60" s="162"/>
      <c r="F60" s="162"/>
      <c r="G60" s="163"/>
      <c r="H60" s="163"/>
      <c r="I60" s="2503"/>
      <c r="J60" s="2503"/>
      <c r="K60" s="2503"/>
      <c r="L60" s="2503"/>
      <c r="M60" s="2503"/>
      <c r="N60" s="2503"/>
      <c r="O60" s="2503"/>
      <c r="P60" s="2503"/>
      <c r="Q60" s="2503"/>
      <c r="R60" s="2503"/>
      <c r="S60" s="2503"/>
      <c r="T60" s="2503"/>
      <c r="U60" s="2503"/>
      <c r="V60" s="2503"/>
      <c r="W60" s="163"/>
      <c r="X60" s="2503"/>
      <c r="Y60" s="2503"/>
      <c r="Z60" s="2503"/>
      <c r="AA60" s="2503"/>
      <c r="AB60" s="2503"/>
      <c r="AC60" s="2503"/>
      <c r="AD60" s="2503"/>
      <c r="AE60" s="2503"/>
      <c r="AF60" s="2503"/>
      <c r="AG60" s="2503"/>
      <c r="AH60" s="2503"/>
      <c r="AI60" s="2503"/>
      <c r="AJ60" s="2503"/>
      <c r="AK60" s="2503"/>
      <c r="AM60" s="164" t="s">
        <v>2233</v>
      </c>
      <c r="AN60" s="143">
        <v>-3.8334000000000001</v>
      </c>
      <c r="AO60" s="141">
        <v>-2.9359999999999999</v>
      </c>
      <c r="AP60" s="141">
        <v>-2.5739999999999998</v>
      </c>
      <c r="AQ60" s="141">
        <v>-1.105</v>
      </c>
      <c r="AR60" s="141">
        <v>-3.5259999999999998</v>
      </c>
      <c r="AS60" s="141">
        <v>-2.6560000000000001</v>
      </c>
      <c r="AT60" s="141">
        <v>-6.8131044429244749</v>
      </c>
      <c r="AU60" s="144">
        <v>-6.8131044429244749</v>
      </c>
      <c r="AV60" s="143">
        <v>-1.1787847215563518</v>
      </c>
      <c r="AW60" s="141">
        <v>-1.1787847215563518</v>
      </c>
      <c r="AX60" s="141">
        <v>-1.1787847215563518</v>
      </c>
      <c r="AY60" s="141">
        <v>-1.1787847215563518</v>
      </c>
      <c r="AZ60" s="144">
        <v>-1.1787847215563518</v>
      </c>
      <c r="BA60" s="185"/>
      <c r="BB60" s="522" t="s">
        <v>2233</v>
      </c>
      <c r="BC60" s="141">
        <v>23.79678564805408</v>
      </c>
      <c r="BD60" s="522" t="s">
        <v>2233</v>
      </c>
      <c r="BE60" s="141">
        <v>5.2423399224676741</v>
      </c>
      <c r="BF60" s="522" t="s">
        <v>2233</v>
      </c>
      <c r="BG60" s="141">
        <v>1.2174833153271922</v>
      </c>
      <c r="BH60" s="607" t="s">
        <v>627</v>
      </c>
      <c r="BI60" s="868">
        <v>0.98009999999999997</v>
      </c>
      <c r="BJ60" s="185"/>
      <c r="BQ60" s="522" t="s">
        <v>2233</v>
      </c>
      <c r="BR60" s="141">
        <v>4.6355636631171251</v>
      </c>
      <c r="BS60" s="522" t="s">
        <v>2233</v>
      </c>
      <c r="BT60" s="141">
        <v>1.0211967621890381</v>
      </c>
      <c r="BU60" s="522" t="s">
        <v>2233</v>
      </c>
      <c r="BV60" s="141">
        <v>0.23716318247559628</v>
      </c>
      <c r="BW60" s="607" t="s">
        <v>627</v>
      </c>
      <c r="BX60" s="872">
        <v>1</v>
      </c>
    </row>
    <row r="61" spans="1:82" s="98" customFormat="1" ht="15" customHeight="1">
      <c r="A61" s="99"/>
      <c r="B61" s="161"/>
      <c r="C61" s="162"/>
      <c r="D61" s="162" t="s">
        <v>2728</v>
      </c>
      <c r="E61" s="162"/>
      <c r="F61" s="162"/>
      <c r="G61" s="163"/>
      <c r="H61" s="163"/>
      <c r="I61" s="2503"/>
      <c r="J61" s="2503"/>
      <c r="K61" s="2503"/>
      <c r="L61" s="2503"/>
      <c r="M61" s="2503"/>
      <c r="N61" s="2503"/>
      <c r="O61" s="2503"/>
      <c r="P61" s="2503"/>
      <c r="Q61" s="2503"/>
      <c r="R61" s="2503"/>
      <c r="S61" s="2503"/>
      <c r="T61" s="2503"/>
      <c r="U61" s="2503"/>
      <c r="V61" s="2503"/>
      <c r="W61" s="163"/>
      <c r="X61" s="2503"/>
      <c r="Y61" s="2503"/>
      <c r="Z61" s="2503"/>
      <c r="AA61" s="2503"/>
      <c r="AB61" s="2503"/>
      <c r="AC61" s="2503"/>
      <c r="AD61" s="2503"/>
      <c r="AE61" s="2503"/>
      <c r="AF61" s="2503"/>
      <c r="AG61" s="2503"/>
      <c r="AH61" s="2503"/>
      <c r="AI61" s="2503"/>
      <c r="AJ61" s="2503"/>
      <c r="AK61" s="2503"/>
      <c r="AM61" s="164" t="s">
        <v>2233</v>
      </c>
      <c r="AN61" s="143">
        <v>-2.4049999999999998</v>
      </c>
      <c r="AO61" s="141">
        <v>-2.286</v>
      </c>
      <c r="AP61" s="141">
        <v>-1.38</v>
      </c>
      <c r="AQ61" s="141">
        <v>-0.45100000000000001</v>
      </c>
      <c r="AR61" s="141">
        <v>-1.619</v>
      </c>
      <c r="AS61" s="141">
        <v>-0.61699999999999999</v>
      </c>
      <c r="AT61" s="141">
        <v>-3.3681259881909105</v>
      </c>
      <c r="AU61" s="144">
        <v>-3.3681259881909105</v>
      </c>
      <c r="AV61" s="143">
        <v>-0.21868718560571893</v>
      </c>
      <c r="AW61" s="141">
        <v>-0.21868718560571893</v>
      </c>
      <c r="AX61" s="141">
        <v>-0.21868718560571893</v>
      </c>
      <c r="AY61" s="141">
        <v>-0.21868718560571893</v>
      </c>
      <c r="AZ61" s="144">
        <v>-0.21868718560571893</v>
      </c>
      <c r="BA61" s="185"/>
      <c r="BB61" s="522" t="s">
        <v>2233</v>
      </c>
      <c r="BC61" s="141">
        <v>12.186210108672958</v>
      </c>
      <c r="BD61" s="522" t="s">
        <v>2233</v>
      </c>
      <c r="BE61" s="141">
        <v>2.6845749968546424</v>
      </c>
      <c r="BF61" s="522" t="s">
        <v>2233</v>
      </c>
      <c r="BG61" s="141">
        <v>0.62346687085422026</v>
      </c>
      <c r="BH61" s="607" t="s">
        <v>627</v>
      </c>
      <c r="BI61" s="868">
        <v>0.98009999999999997</v>
      </c>
      <c r="BJ61" s="185"/>
      <c r="BQ61" s="522" t="s">
        <v>2233</v>
      </c>
      <c r="BR61" s="141">
        <v>0.85998601156348553</v>
      </c>
      <c r="BS61" s="522" t="s">
        <v>2233</v>
      </c>
      <c r="BT61" s="141">
        <v>0.18945159518011059</v>
      </c>
      <c r="BU61" s="522" t="s">
        <v>2233</v>
      </c>
      <c r="BV61" s="141">
        <v>4.3998321284998365E-2</v>
      </c>
      <c r="BW61" s="607" t="s">
        <v>627</v>
      </c>
      <c r="BX61" s="872">
        <v>1</v>
      </c>
    </row>
    <row r="62" spans="1:82" s="98" customFormat="1" ht="15" customHeight="1">
      <c r="A62" s="99"/>
      <c r="B62" s="161"/>
      <c r="C62" s="162" t="s">
        <v>1710</v>
      </c>
      <c r="D62" s="162"/>
      <c r="E62" s="162"/>
      <c r="F62" s="162"/>
      <c r="G62" s="163"/>
      <c r="H62" s="163"/>
      <c r="I62" s="2503"/>
      <c r="J62" s="2503"/>
      <c r="K62" s="2503"/>
      <c r="L62" s="2503"/>
      <c r="M62" s="2503"/>
      <c r="N62" s="2503"/>
      <c r="O62" s="2503"/>
      <c r="P62" s="2503"/>
      <c r="Q62" s="2503"/>
      <c r="R62" s="2503"/>
      <c r="S62" s="2503"/>
      <c r="T62" s="2503"/>
      <c r="U62" s="2503"/>
      <c r="V62" s="2503"/>
      <c r="W62" s="163"/>
      <c r="X62" s="2503"/>
      <c r="Y62" s="2503"/>
      <c r="Z62" s="2503"/>
      <c r="AA62" s="2503"/>
      <c r="AB62" s="2503"/>
      <c r="AC62" s="2503"/>
      <c r="AD62" s="2503"/>
      <c r="AE62" s="2503"/>
      <c r="AF62" s="2503"/>
      <c r="AG62" s="2503"/>
      <c r="AH62" s="2503"/>
      <c r="AI62" s="2503"/>
      <c r="AJ62" s="2503"/>
      <c r="AK62" s="2503"/>
      <c r="AM62" s="164" t="s">
        <v>2233</v>
      </c>
      <c r="AN62" s="641">
        <f>SUM(AN59:AN61)</f>
        <v>-6.5914000000000001</v>
      </c>
      <c r="AO62" s="642">
        <f t="shared" ref="AO62:AZ62" si="104">SUM(AO59:AO61)</f>
        <v>-5.4670000000000005</v>
      </c>
      <c r="AP62" s="642">
        <f t="shared" si="104"/>
        <v>-4.2149999999999999</v>
      </c>
      <c r="AQ62" s="642">
        <f t="shared" si="104"/>
        <v>-2.0659999999999998</v>
      </c>
      <c r="AR62" s="642">
        <f t="shared" si="104"/>
        <v>-5.8159999999999998</v>
      </c>
      <c r="AS62" s="642">
        <f t="shared" si="104"/>
        <v>-3.2730000000000001</v>
      </c>
      <c r="AT62" s="642">
        <f t="shared" si="104"/>
        <v>-11.009662128069824</v>
      </c>
      <c r="AU62" s="643">
        <f t="shared" si="104"/>
        <v>-11.009662128069824</v>
      </c>
      <c r="AV62" s="641">
        <f t="shared" si="104"/>
        <v>-1.4811967977300369</v>
      </c>
      <c r="AW62" s="642">
        <f t="shared" si="104"/>
        <v>-1.4811967977300369</v>
      </c>
      <c r="AX62" s="642">
        <f t="shared" si="104"/>
        <v>-1.4811967977300369</v>
      </c>
      <c r="AY62" s="642">
        <f t="shared" si="104"/>
        <v>-1.4811967977300369</v>
      </c>
      <c r="AZ62" s="643">
        <f t="shared" si="104"/>
        <v>-1.4811967977300369</v>
      </c>
      <c r="BA62" s="185"/>
      <c r="BB62" s="522" t="s">
        <v>2233</v>
      </c>
      <c r="BC62" s="642">
        <f>SUM(BC59:BC61)</f>
        <v>38.890574265835255</v>
      </c>
      <c r="BD62" s="522" t="s">
        <v>2233</v>
      </c>
      <c r="BE62" s="642">
        <f>SUM(BE59:BE61)</f>
        <v>8.5674432293822722</v>
      </c>
      <c r="BF62" s="522" t="s">
        <v>2233</v>
      </c>
      <c r="BG62" s="642">
        <f>SUM(BG59:BG61)</f>
        <v>1.9897067609221124</v>
      </c>
      <c r="BH62" s="607" t="s">
        <v>627</v>
      </c>
      <c r="BI62" s="868">
        <v>0</v>
      </c>
      <c r="BJ62" s="185"/>
      <c r="BQ62" s="522" t="s">
        <v>2233</v>
      </c>
      <c r="BR62" s="642">
        <f>SUM(BR59:BR61)</f>
        <v>5.8247972915846509</v>
      </c>
      <c r="BS62" s="522" t="s">
        <v>2233</v>
      </c>
      <c r="BT62" s="642">
        <f>SUM(BT59:BT61)</f>
        <v>1.2831803350908766</v>
      </c>
      <c r="BU62" s="522" t="s">
        <v>2233</v>
      </c>
      <c r="BV62" s="642">
        <f>SUM(BV59:BV61)</f>
        <v>0.29800636197465713</v>
      </c>
      <c r="BW62" s="607" t="s">
        <v>627</v>
      </c>
      <c r="BX62" s="872">
        <v>0</v>
      </c>
    </row>
    <row r="63" spans="1:82" s="98" customFormat="1" ht="15" customHeight="1">
      <c r="A63" s="99"/>
      <c r="B63" s="123"/>
      <c r="C63" s="127"/>
      <c r="D63" s="127"/>
      <c r="E63" s="127"/>
      <c r="F63" s="127"/>
      <c r="G63" s="117"/>
      <c r="H63" s="117"/>
      <c r="I63" s="2503"/>
      <c r="J63" s="2503"/>
      <c r="K63" s="2503"/>
      <c r="L63" s="2503"/>
      <c r="M63" s="2503"/>
      <c r="N63" s="2503"/>
      <c r="O63" s="2503"/>
      <c r="P63" s="2503"/>
      <c r="Q63" s="2503"/>
      <c r="R63" s="2503"/>
      <c r="S63" s="2503"/>
      <c r="T63" s="2503"/>
      <c r="U63" s="2503"/>
      <c r="V63" s="2503"/>
      <c r="W63" s="117"/>
      <c r="X63" s="2503"/>
      <c r="Y63" s="2503"/>
      <c r="Z63" s="2503"/>
      <c r="AA63" s="2503"/>
      <c r="AB63" s="2503"/>
      <c r="AC63" s="2503"/>
      <c r="AD63" s="2503"/>
      <c r="AE63" s="2503"/>
      <c r="AF63" s="2503"/>
      <c r="AG63" s="2503"/>
      <c r="AH63" s="2503"/>
      <c r="AI63" s="2503"/>
      <c r="AJ63" s="2503"/>
      <c r="AK63" s="2503"/>
      <c r="AM63" s="117"/>
      <c r="AN63" s="159"/>
      <c r="AO63" s="117"/>
      <c r="AP63" s="117"/>
      <c r="AQ63" s="117"/>
      <c r="AR63" s="117"/>
      <c r="AS63" s="117"/>
      <c r="AT63" s="117"/>
      <c r="AU63" s="160"/>
      <c r="AV63" s="159"/>
      <c r="AW63" s="117"/>
      <c r="AX63" s="117"/>
      <c r="AY63" s="117"/>
      <c r="AZ63" s="160"/>
      <c r="BA63" s="185"/>
      <c r="BB63" s="530"/>
      <c r="BC63" s="530"/>
      <c r="BD63" s="530"/>
      <c r="BE63" s="530"/>
      <c r="BF63" s="530"/>
      <c r="BG63" s="530"/>
      <c r="BH63" s="530"/>
      <c r="BI63" s="530"/>
      <c r="BJ63" s="530"/>
      <c r="BQ63" s="530"/>
      <c r="BR63" s="530"/>
      <c r="BS63" s="530"/>
      <c r="BT63" s="530"/>
      <c r="BU63" s="530"/>
      <c r="BV63" s="530"/>
      <c r="BW63" s="530"/>
      <c r="BX63" s="544"/>
    </row>
    <row r="64" spans="1:82" s="98" customFormat="1" ht="15" customHeight="1">
      <c r="A64" s="99"/>
      <c r="B64" s="161"/>
      <c r="C64" s="116" t="s">
        <v>2720</v>
      </c>
      <c r="D64" s="116"/>
      <c r="E64" s="116"/>
      <c r="F64" s="116"/>
      <c r="G64" s="117"/>
      <c r="H64" s="117"/>
      <c r="I64" s="2503"/>
      <c r="J64" s="2503"/>
      <c r="K64" s="2503"/>
      <c r="L64" s="2503"/>
      <c r="M64" s="2503"/>
      <c r="N64" s="2503"/>
      <c r="O64" s="2503"/>
      <c r="P64" s="2503"/>
      <c r="Q64" s="2503"/>
      <c r="R64" s="2503"/>
      <c r="S64" s="2503"/>
      <c r="T64" s="2503"/>
      <c r="U64" s="2503"/>
      <c r="V64" s="2503"/>
      <c r="W64" s="117"/>
      <c r="X64" s="2503"/>
      <c r="Y64" s="2503"/>
      <c r="Z64" s="2503"/>
      <c r="AA64" s="2503"/>
      <c r="AB64" s="2503"/>
      <c r="AC64" s="2503"/>
      <c r="AD64" s="2503"/>
      <c r="AE64" s="2503"/>
      <c r="AF64" s="2503"/>
      <c r="AG64" s="2503"/>
      <c r="AH64" s="2503"/>
      <c r="AI64" s="2503"/>
      <c r="AJ64" s="2503"/>
      <c r="AK64" s="2503"/>
      <c r="AM64" s="117"/>
      <c r="AN64" s="159"/>
      <c r="AO64" s="117"/>
      <c r="AP64" s="117"/>
      <c r="AQ64" s="117"/>
      <c r="AR64" s="117"/>
      <c r="AS64" s="117"/>
      <c r="AT64" s="117"/>
      <c r="AU64" s="160"/>
      <c r="AV64" s="159"/>
      <c r="AW64" s="117"/>
      <c r="AX64" s="117"/>
      <c r="AY64" s="117"/>
      <c r="AZ64" s="160"/>
      <c r="BA64" s="185"/>
      <c r="BB64" s="530"/>
      <c r="BC64" s="530"/>
      <c r="BD64" s="530"/>
      <c r="BE64" s="530"/>
      <c r="BF64" s="530"/>
      <c r="BG64" s="530"/>
      <c r="BH64" s="530"/>
      <c r="BI64" s="530"/>
      <c r="BJ64" s="530"/>
      <c r="BQ64" s="530"/>
      <c r="BR64" s="530"/>
      <c r="BS64" s="530"/>
      <c r="BT64" s="530"/>
      <c r="BU64" s="530"/>
      <c r="BV64" s="530"/>
      <c r="BW64" s="530"/>
      <c r="BX64" s="544"/>
    </row>
    <row r="65" spans="1:76" s="98" customFormat="1" ht="15" customHeight="1">
      <c r="A65" s="99"/>
      <c r="B65" s="161"/>
      <c r="C65" s="162"/>
      <c r="D65" s="162" t="s">
        <v>2726</v>
      </c>
      <c r="E65" s="162"/>
      <c r="F65" s="162"/>
      <c r="G65" s="163"/>
      <c r="H65" s="163"/>
      <c r="I65" s="2503"/>
      <c r="J65" s="2503"/>
      <c r="K65" s="2503"/>
      <c r="L65" s="2503"/>
      <c r="M65" s="2503"/>
      <c r="N65" s="2503"/>
      <c r="O65" s="2503"/>
      <c r="P65" s="2503"/>
      <c r="Q65" s="2503"/>
      <c r="R65" s="2503"/>
      <c r="S65" s="2503"/>
      <c r="T65" s="2503"/>
      <c r="U65" s="2503"/>
      <c r="V65" s="2503"/>
      <c r="W65" s="163"/>
      <c r="X65" s="2503"/>
      <c r="Y65" s="2503"/>
      <c r="Z65" s="2503"/>
      <c r="AA65" s="2503"/>
      <c r="AB65" s="2503"/>
      <c r="AC65" s="2503"/>
      <c r="AD65" s="2503"/>
      <c r="AE65" s="2503"/>
      <c r="AF65" s="2503"/>
      <c r="AG65" s="2503"/>
      <c r="AH65" s="2503"/>
      <c r="AI65" s="2503"/>
      <c r="AJ65" s="2503"/>
      <c r="AK65" s="2503"/>
      <c r="AM65" s="164" t="s">
        <v>2233</v>
      </c>
      <c r="AN65" s="143">
        <v>0</v>
      </c>
      <c r="AO65" s="141">
        <v>0</v>
      </c>
      <c r="AP65" s="141">
        <v>0</v>
      </c>
      <c r="AQ65" s="141">
        <v>0</v>
      </c>
      <c r="AR65" s="141">
        <v>0</v>
      </c>
      <c r="AS65" s="141">
        <v>0</v>
      </c>
      <c r="AT65" s="141">
        <v>0</v>
      </c>
      <c r="AU65" s="144">
        <v>0</v>
      </c>
      <c r="AV65" s="143">
        <v>-1.8856751085867603E-2</v>
      </c>
      <c r="AW65" s="141">
        <v>-1.8856751085867603E-2</v>
      </c>
      <c r="AX65" s="141">
        <v>-1.8856751085867603E-2</v>
      </c>
      <c r="AY65" s="141">
        <v>-1.8856751085867603E-2</v>
      </c>
      <c r="AZ65" s="144">
        <v>-1.8856751085867603E-2</v>
      </c>
      <c r="BA65" s="185"/>
      <c r="BB65" s="522" t="s">
        <v>2233</v>
      </c>
      <c r="BC65" s="141">
        <v>0</v>
      </c>
      <c r="BD65" s="522" t="s">
        <v>2233</v>
      </c>
      <c r="BE65" s="141">
        <v>0</v>
      </c>
      <c r="BF65" s="522" t="s">
        <v>2233</v>
      </c>
      <c r="BG65" s="141">
        <v>0</v>
      </c>
      <c r="BH65" s="607" t="s">
        <v>627</v>
      </c>
      <c r="BI65" s="868">
        <v>1.0503</v>
      </c>
      <c r="BJ65" s="185"/>
      <c r="BQ65" s="522" t="s">
        <v>2233</v>
      </c>
      <c r="BR65" s="141">
        <v>7.4154057598135842E-2</v>
      </c>
      <c r="BS65" s="522" t="s">
        <v>2233</v>
      </c>
      <c r="BT65" s="141">
        <v>1.6335852341951198E-2</v>
      </c>
      <c r="BU65" s="522" t="s">
        <v>2233</v>
      </c>
      <c r="BV65" s="141">
        <v>3.7938454892509615E-3</v>
      </c>
      <c r="BW65" s="607" t="s">
        <v>627</v>
      </c>
      <c r="BX65" s="872">
        <v>1</v>
      </c>
    </row>
    <row r="66" spans="1:76" s="98" customFormat="1" ht="15" customHeight="1">
      <c r="A66" s="99"/>
      <c r="B66" s="161"/>
      <c r="C66" s="162"/>
      <c r="D66" s="162" t="s">
        <v>2727</v>
      </c>
      <c r="E66" s="162"/>
      <c r="F66" s="162"/>
      <c r="G66" s="163"/>
      <c r="H66" s="163"/>
      <c r="I66" s="2503"/>
      <c r="J66" s="2503"/>
      <c r="K66" s="2503"/>
      <c r="L66" s="2503"/>
      <c r="M66" s="2503"/>
      <c r="N66" s="2503"/>
      <c r="O66" s="2503"/>
      <c r="P66" s="2503"/>
      <c r="Q66" s="2503"/>
      <c r="R66" s="2503"/>
      <c r="S66" s="2503"/>
      <c r="T66" s="2503"/>
      <c r="U66" s="2503"/>
      <c r="V66" s="2503"/>
      <c r="W66" s="163"/>
      <c r="X66" s="2503"/>
      <c r="Y66" s="2503"/>
      <c r="Z66" s="2503"/>
      <c r="AA66" s="2503"/>
      <c r="AB66" s="2503"/>
      <c r="AC66" s="2503"/>
      <c r="AD66" s="2503"/>
      <c r="AE66" s="2503"/>
      <c r="AF66" s="2503"/>
      <c r="AG66" s="2503"/>
      <c r="AH66" s="2503"/>
      <c r="AI66" s="2503"/>
      <c r="AJ66" s="2503"/>
      <c r="AK66" s="2503"/>
      <c r="AM66" s="164" t="s">
        <v>2233</v>
      </c>
      <c r="AN66" s="143">
        <v>0</v>
      </c>
      <c r="AO66" s="141">
        <v>-3.95E-2</v>
      </c>
      <c r="AP66" s="141">
        <v>-0.20399999999999999</v>
      </c>
      <c r="AQ66" s="141">
        <v>-0.25600000000000001</v>
      </c>
      <c r="AR66" s="141">
        <v>-0.56999999999999995</v>
      </c>
      <c r="AS66" s="141">
        <v>-0.35599999999999998</v>
      </c>
      <c r="AT66" s="141">
        <v>-0.58399559742332352</v>
      </c>
      <c r="AU66" s="144">
        <v>-0.58399559742332352</v>
      </c>
      <c r="AV66" s="143">
        <v>-0.26548915056708966</v>
      </c>
      <c r="AW66" s="141">
        <v>-0.26548915056708966</v>
      </c>
      <c r="AX66" s="141">
        <v>-0.26548915056708966</v>
      </c>
      <c r="AY66" s="141">
        <v>-0.26548915056708966</v>
      </c>
      <c r="AZ66" s="144">
        <v>-0.26548915056708966</v>
      </c>
      <c r="BA66" s="185"/>
      <c r="BB66" s="522" t="s">
        <v>2233</v>
      </c>
      <c r="BC66" s="141">
        <v>2.0397776326066177</v>
      </c>
      <c r="BD66" s="522" t="s">
        <v>2233</v>
      </c>
      <c r="BE66" s="141">
        <v>0.44935513033226321</v>
      </c>
      <c r="BF66" s="522" t="s">
        <v>2233</v>
      </c>
      <c r="BG66" s="141">
        <v>0.10435843190776606</v>
      </c>
      <c r="BH66" s="607" t="s">
        <v>627</v>
      </c>
      <c r="BI66" s="868">
        <v>1.0503</v>
      </c>
      <c r="BJ66" s="185"/>
      <c r="BQ66" s="522" t="s">
        <v>2233</v>
      </c>
      <c r="BR66" s="141">
        <v>1.0440344507483494</v>
      </c>
      <c r="BS66" s="522" t="s">
        <v>2233</v>
      </c>
      <c r="BT66" s="141">
        <v>0.22999675513055012</v>
      </c>
      <c r="BU66" s="522" t="s">
        <v>2233</v>
      </c>
      <c r="BV66" s="141">
        <v>5.3414546956548528E-2</v>
      </c>
      <c r="BW66" s="607" t="s">
        <v>627</v>
      </c>
      <c r="BX66" s="872">
        <v>1</v>
      </c>
    </row>
    <row r="67" spans="1:76" s="98" customFormat="1" ht="15" customHeight="1">
      <c r="A67" s="99"/>
      <c r="B67" s="161"/>
      <c r="C67" s="162"/>
      <c r="D67" s="162" t="s">
        <v>2728</v>
      </c>
      <c r="E67" s="162"/>
      <c r="F67" s="162"/>
      <c r="G67" s="163"/>
      <c r="H67" s="163"/>
      <c r="I67" s="2503"/>
      <c r="J67" s="2503"/>
      <c r="K67" s="2503"/>
      <c r="L67" s="2503"/>
      <c r="M67" s="2503"/>
      <c r="N67" s="2503"/>
      <c r="O67" s="2503"/>
      <c r="P67" s="2503"/>
      <c r="Q67" s="2503"/>
      <c r="R67" s="2503"/>
      <c r="S67" s="2503"/>
      <c r="T67" s="2503"/>
      <c r="U67" s="2503"/>
      <c r="V67" s="2503"/>
      <c r="W67" s="163"/>
      <c r="X67" s="2503"/>
      <c r="Y67" s="2503"/>
      <c r="Z67" s="2503"/>
      <c r="AA67" s="2503"/>
      <c r="AB67" s="2503"/>
      <c r="AC67" s="2503"/>
      <c r="AD67" s="2503"/>
      <c r="AE67" s="2503"/>
      <c r="AF67" s="2503"/>
      <c r="AG67" s="2503"/>
      <c r="AH67" s="2503"/>
      <c r="AI67" s="2503"/>
      <c r="AJ67" s="2503"/>
      <c r="AK67" s="2503"/>
      <c r="AM67" s="164" t="s">
        <v>2233</v>
      </c>
      <c r="AN67" s="143">
        <v>-1.0880000000000001</v>
      </c>
      <c r="AO67" s="141">
        <v>-1.2270000000000001</v>
      </c>
      <c r="AP67" s="141">
        <v>-0.22</v>
      </c>
      <c r="AQ67" s="141">
        <v>-1.3879999999999999</v>
      </c>
      <c r="AR67" s="141">
        <v>-0.82899999999999996</v>
      </c>
      <c r="AS67" s="141">
        <v>0</v>
      </c>
      <c r="AT67" s="141">
        <v>-1.8275102415943376</v>
      </c>
      <c r="AU67" s="144">
        <v>-1.8275102415943376</v>
      </c>
      <c r="AV67" s="143">
        <v>-4.9253331914341655E-2</v>
      </c>
      <c r="AW67" s="141">
        <v>-4.9253331914341655E-2</v>
      </c>
      <c r="AX67" s="141">
        <v>-4.9253331914341655E-2</v>
      </c>
      <c r="AY67" s="141">
        <v>-4.9253331914341655E-2</v>
      </c>
      <c r="AZ67" s="144">
        <v>-4.9253331914341655E-2</v>
      </c>
      <c r="BA67" s="185"/>
      <c r="BB67" s="522" t="s">
        <v>2233</v>
      </c>
      <c r="BC67" s="141">
        <v>6.6121112624359331</v>
      </c>
      <c r="BD67" s="522" t="s">
        <v>2233</v>
      </c>
      <c r="BE67" s="141">
        <v>1.4566225605221812</v>
      </c>
      <c r="BF67" s="522" t="s">
        <v>2233</v>
      </c>
      <c r="BG67" s="141">
        <v>0.3382866602305612</v>
      </c>
      <c r="BH67" s="607" t="s">
        <v>627</v>
      </c>
      <c r="BI67" s="868">
        <v>1.0503</v>
      </c>
      <c r="BJ67" s="185"/>
      <c r="BQ67" s="522" t="s">
        <v>2233</v>
      </c>
      <c r="BR67" s="141">
        <v>0.1936884246413729</v>
      </c>
      <c r="BS67" s="522" t="s">
        <v>2233</v>
      </c>
      <c r="BT67" s="141">
        <v>4.2668811495571501E-2</v>
      </c>
      <c r="BU67" s="522" t="s">
        <v>2233</v>
      </c>
      <c r="BV67" s="141">
        <v>9.909423434763873E-3</v>
      </c>
      <c r="BW67" s="607" t="s">
        <v>627</v>
      </c>
      <c r="BX67" s="872">
        <v>1</v>
      </c>
    </row>
    <row r="68" spans="1:76" s="98" customFormat="1" ht="15" customHeight="1">
      <c r="A68" s="99"/>
      <c r="B68" s="161"/>
      <c r="C68" s="162" t="s">
        <v>1710</v>
      </c>
      <c r="D68" s="162"/>
      <c r="E68" s="162"/>
      <c r="F68" s="162"/>
      <c r="G68" s="163"/>
      <c r="H68" s="163"/>
      <c r="I68" s="2503"/>
      <c r="J68" s="2503"/>
      <c r="K68" s="2503"/>
      <c r="L68" s="2503"/>
      <c r="M68" s="2503"/>
      <c r="N68" s="2503"/>
      <c r="O68" s="2503"/>
      <c r="P68" s="2503"/>
      <c r="Q68" s="2503"/>
      <c r="R68" s="2503"/>
      <c r="S68" s="2503"/>
      <c r="T68" s="2503"/>
      <c r="U68" s="2503"/>
      <c r="V68" s="2503"/>
      <c r="W68" s="163"/>
      <c r="X68" s="2503"/>
      <c r="Y68" s="2503"/>
      <c r="Z68" s="2503"/>
      <c r="AA68" s="2503"/>
      <c r="AB68" s="2503"/>
      <c r="AC68" s="2503"/>
      <c r="AD68" s="2503"/>
      <c r="AE68" s="2503"/>
      <c r="AF68" s="2503"/>
      <c r="AG68" s="2503"/>
      <c r="AH68" s="2503"/>
      <c r="AI68" s="2503"/>
      <c r="AJ68" s="2503"/>
      <c r="AK68" s="2503"/>
      <c r="AM68" s="164" t="s">
        <v>2233</v>
      </c>
      <c r="AN68" s="641">
        <f>SUM(AN65:AN67)</f>
        <v>-1.0880000000000001</v>
      </c>
      <c r="AO68" s="642">
        <f t="shared" ref="AO68" si="105">SUM(AO65:AO67)</f>
        <v>-1.2665000000000002</v>
      </c>
      <c r="AP68" s="642">
        <f t="shared" ref="AP68" si="106">SUM(AP65:AP67)</f>
        <v>-0.42399999999999999</v>
      </c>
      <c r="AQ68" s="642">
        <f t="shared" ref="AQ68" si="107">SUM(AQ65:AQ67)</f>
        <v>-1.6439999999999999</v>
      </c>
      <c r="AR68" s="642">
        <f t="shared" ref="AR68" si="108">SUM(AR65:AR67)</f>
        <v>-1.399</v>
      </c>
      <c r="AS68" s="642">
        <f t="shared" ref="AS68" si="109">SUM(AS65:AS67)</f>
        <v>-0.35599999999999998</v>
      </c>
      <c r="AT68" s="642">
        <f t="shared" ref="AT68" si="110">SUM(AT65:AT67)</f>
        <v>-2.4115058390176611</v>
      </c>
      <c r="AU68" s="643">
        <f t="shared" ref="AU68" si="111">SUM(AU65:AU67)</f>
        <v>-2.4115058390176611</v>
      </c>
      <c r="AV68" s="641">
        <f t="shared" ref="AV68" si="112">SUM(AV65:AV67)</f>
        <v>-0.33359923356729893</v>
      </c>
      <c r="AW68" s="642">
        <f t="shared" ref="AW68" si="113">SUM(AW65:AW67)</f>
        <v>-0.33359923356729893</v>
      </c>
      <c r="AX68" s="642">
        <f t="shared" ref="AX68" si="114">SUM(AX65:AX67)</f>
        <v>-0.33359923356729893</v>
      </c>
      <c r="AY68" s="642">
        <f t="shared" ref="AY68" si="115">SUM(AY65:AY67)</f>
        <v>-0.33359923356729893</v>
      </c>
      <c r="AZ68" s="643">
        <f t="shared" ref="AZ68" si="116">SUM(AZ65:AZ67)</f>
        <v>-0.33359923356729893</v>
      </c>
      <c r="BA68" s="185"/>
      <c r="BB68" s="522" t="s">
        <v>2233</v>
      </c>
      <c r="BC68" s="642">
        <f>SUM(BC65:BC67)</f>
        <v>8.6518888950425499</v>
      </c>
      <c r="BD68" s="522" t="s">
        <v>2233</v>
      </c>
      <c r="BE68" s="642">
        <f>SUM(BE65:BE67)</f>
        <v>1.9059776908544444</v>
      </c>
      <c r="BF68" s="522" t="s">
        <v>2233</v>
      </c>
      <c r="BG68" s="642">
        <f>SUM(BG65:BG67)</f>
        <v>0.44264509213832726</v>
      </c>
      <c r="BH68" s="607" t="s">
        <v>627</v>
      </c>
      <c r="BI68" s="868">
        <v>0</v>
      </c>
      <c r="BJ68" s="185"/>
      <c r="BQ68" s="522" t="s">
        <v>2233</v>
      </c>
      <c r="BR68" s="642">
        <f>SUM(BR65:BR67)</f>
        <v>1.3118769329878581</v>
      </c>
      <c r="BS68" s="522" t="s">
        <v>2233</v>
      </c>
      <c r="BT68" s="642">
        <f>SUM(BT65:BT67)</f>
        <v>0.28900141896807285</v>
      </c>
      <c r="BU68" s="522" t="s">
        <v>2233</v>
      </c>
      <c r="BV68" s="642">
        <f>SUM(BV65:BV67)</f>
        <v>6.711781588056337E-2</v>
      </c>
      <c r="BW68" s="607" t="s">
        <v>627</v>
      </c>
      <c r="BX68" s="872">
        <v>0</v>
      </c>
    </row>
    <row r="69" spans="1:76" s="98" customFormat="1" ht="15" customHeight="1">
      <c r="A69" s="99"/>
      <c r="B69" s="123"/>
      <c r="C69" s="127"/>
      <c r="D69" s="127"/>
      <c r="E69" s="127"/>
      <c r="F69" s="127"/>
      <c r="G69" s="117"/>
      <c r="H69" s="117"/>
      <c r="I69" s="2503"/>
      <c r="J69" s="2503"/>
      <c r="K69" s="2503"/>
      <c r="L69" s="2503"/>
      <c r="M69" s="2503"/>
      <c r="N69" s="2503"/>
      <c r="O69" s="2503"/>
      <c r="P69" s="2503"/>
      <c r="Q69" s="2503"/>
      <c r="R69" s="2503"/>
      <c r="S69" s="2503"/>
      <c r="T69" s="2503"/>
      <c r="U69" s="2503"/>
      <c r="V69" s="2503"/>
      <c r="W69" s="117"/>
      <c r="X69" s="2503"/>
      <c r="Y69" s="2503"/>
      <c r="Z69" s="2503"/>
      <c r="AA69" s="2503"/>
      <c r="AB69" s="2503"/>
      <c r="AC69" s="2503"/>
      <c r="AD69" s="2503"/>
      <c r="AE69" s="2503"/>
      <c r="AF69" s="2503"/>
      <c r="AG69" s="2503"/>
      <c r="AH69" s="2503"/>
      <c r="AI69" s="2503"/>
      <c r="AJ69" s="2503"/>
      <c r="AK69" s="2503"/>
      <c r="AM69" s="117"/>
      <c r="AN69" s="159"/>
      <c r="AO69" s="117"/>
      <c r="AP69" s="117"/>
      <c r="AQ69" s="117"/>
      <c r="AR69" s="117"/>
      <c r="AS69" s="117"/>
      <c r="AT69" s="117"/>
      <c r="AU69" s="160"/>
      <c r="AV69" s="159"/>
      <c r="AW69" s="117"/>
      <c r="AX69" s="117"/>
      <c r="AY69" s="117"/>
      <c r="AZ69" s="160"/>
      <c r="BA69" s="185"/>
      <c r="BB69" s="530"/>
      <c r="BC69" s="530"/>
      <c r="BD69" s="530"/>
      <c r="BE69" s="530"/>
      <c r="BF69" s="530"/>
      <c r="BG69" s="530"/>
      <c r="BH69" s="530"/>
      <c r="BI69" s="530"/>
      <c r="BJ69" s="530"/>
      <c r="BQ69" s="530"/>
      <c r="BR69" s="530"/>
      <c r="BS69" s="530"/>
      <c r="BT69" s="530"/>
      <c r="BU69" s="530"/>
      <c r="BV69" s="530"/>
      <c r="BW69" s="530"/>
      <c r="BX69" s="544"/>
    </row>
    <row r="70" spans="1:76" s="98" customFormat="1" ht="15" customHeight="1">
      <c r="A70" s="99"/>
      <c r="B70" s="161"/>
      <c r="C70" s="116" t="s">
        <v>2721</v>
      </c>
      <c r="D70" s="116"/>
      <c r="E70" s="116"/>
      <c r="F70" s="116"/>
      <c r="G70" s="117"/>
      <c r="H70" s="117"/>
      <c r="I70" s="2503"/>
      <c r="J70" s="2503"/>
      <c r="K70" s="2503"/>
      <c r="L70" s="2503"/>
      <c r="M70" s="2503"/>
      <c r="N70" s="2503"/>
      <c r="O70" s="2503"/>
      <c r="P70" s="2503"/>
      <c r="Q70" s="2503"/>
      <c r="R70" s="2503"/>
      <c r="S70" s="2503"/>
      <c r="T70" s="2503"/>
      <c r="U70" s="2503"/>
      <c r="V70" s="2503"/>
      <c r="W70" s="117"/>
      <c r="X70" s="2503"/>
      <c r="Y70" s="2503"/>
      <c r="Z70" s="2503"/>
      <c r="AA70" s="2503"/>
      <c r="AB70" s="2503"/>
      <c r="AC70" s="2503"/>
      <c r="AD70" s="2503"/>
      <c r="AE70" s="2503"/>
      <c r="AF70" s="2503"/>
      <c r="AG70" s="2503"/>
      <c r="AH70" s="2503"/>
      <c r="AI70" s="2503"/>
      <c r="AJ70" s="2503"/>
      <c r="AK70" s="2503"/>
      <c r="AM70" s="117"/>
      <c r="AN70" s="159"/>
      <c r="AO70" s="117"/>
      <c r="AP70" s="117"/>
      <c r="AQ70" s="117"/>
      <c r="AR70" s="117"/>
      <c r="AS70" s="117"/>
      <c r="AT70" s="117"/>
      <c r="AU70" s="160"/>
      <c r="AV70" s="159"/>
      <c r="AW70" s="117"/>
      <c r="AX70" s="117"/>
      <c r="AY70" s="117"/>
      <c r="AZ70" s="160"/>
      <c r="BA70" s="185"/>
      <c r="BB70" s="530"/>
      <c r="BC70" s="530"/>
      <c r="BD70" s="530"/>
      <c r="BE70" s="530"/>
      <c r="BF70" s="530"/>
      <c r="BG70" s="530"/>
      <c r="BH70" s="530"/>
      <c r="BI70" s="530"/>
      <c r="BJ70" s="530"/>
      <c r="BQ70" s="530"/>
      <c r="BR70" s="530"/>
      <c r="BS70" s="530"/>
      <c r="BT70" s="530"/>
      <c r="BU70" s="530"/>
      <c r="BV70" s="530"/>
      <c r="BW70" s="530"/>
      <c r="BX70" s="544"/>
    </row>
    <row r="71" spans="1:76" s="98" customFormat="1" ht="15" customHeight="1">
      <c r="A71" s="99"/>
      <c r="B71" s="161"/>
      <c r="C71" s="162"/>
      <c r="D71" s="162" t="s">
        <v>2726</v>
      </c>
      <c r="E71" s="162"/>
      <c r="F71" s="162"/>
      <c r="G71" s="163"/>
      <c r="H71" s="163"/>
      <c r="I71" s="2503"/>
      <c r="J71" s="2503"/>
      <c r="K71" s="2503"/>
      <c r="L71" s="2503"/>
      <c r="M71" s="2503"/>
      <c r="N71" s="2503"/>
      <c r="O71" s="2503"/>
      <c r="P71" s="2503"/>
      <c r="Q71" s="2503"/>
      <c r="R71" s="2503"/>
      <c r="S71" s="2503"/>
      <c r="T71" s="2503"/>
      <c r="U71" s="2503"/>
      <c r="V71" s="2503"/>
      <c r="W71" s="163"/>
      <c r="X71" s="2503"/>
      <c r="Y71" s="2503"/>
      <c r="Z71" s="2503"/>
      <c r="AA71" s="2503"/>
      <c r="AB71" s="2503"/>
      <c r="AC71" s="2503"/>
      <c r="AD71" s="2503"/>
      <c r="AE71" s="2503"/>
      <c r="AF71" s="2503"/>
      <c r="AG71" s="2503"/>
      <c r="AH71" s="2503"/>
      <c r="AI71" s="2503"/>
      <c r="AJ71" s="2503"/>
      <c r="AK71" s="2503"/>
      <c r="AM71" s="164" t="s">
        <v>2233</v>
      </c>
      <c r="AN71" s="143">
        <v>0</v>
      </c>
      <c r="AO71" s="141">
        <v>0</v>
      </c>
      <c r="AP71" s="141">
        <v>0</v>
      </c>
      <c r="AQ71" s="141">
        <v>0</v>
      </c>
      <c r="AR71" s="141">
        <v>0</v>
      </c>
      <c r="AS71" s="141">
        <v>0</v>
      </c>
      <c r="AT71" s="141">
        <v>0</v>
      </c>
      <c r="AU71" s="144">
        <v>0</v>
      </c>
      <c r="AV71" s="143">
        <v>-1.18818136142031E-2</v>
      </c>
      <c r="AW71" s="141">
        <v>-1.18818136142031E-2</v>
      </c>
      <c r="AX71" s="141">
        <v>-1.18818136142031E-2</v>
      </c>
      <c r="AY71" s="141">
        <v>-1.18818136142031E-2</v>
      </c>
      <c r="AZ71" s="144">
        <v>-1.18818136142031E-2</v>
      </c>
      <c r="BA71" s="185"/>
      <c r="BB71" s="522" t="s">
        <v>2233</v>
      </c>
      <c r="BC71" s="141">
        <v>0</v>
      </c>
      <c r="BD71" s="522" t="s">
        <v>2233</v>
      </c>
      <c r="BE71" s="141">
        <v>0</v>
      </c>
      <c r="BF71" s="522" t="s">
        <v>2233</v>
      </c>
      <c r="BG71" s="141">
        <v>0</v>
      </c>
      <c r="BH71" s="607" t="s">
        <v>627</v>
      </c>
      <c r="BI71" s="868">
        <v>1.0142</v>
      </c>
      <c r="BJ71" s="185"/>
      <c r="BQ71" s="522" t="s">
        <v>2233</v>
      </c>
      <c r="BR71" s="141">
        <v>4.6725158915539265E-2</v>
      </c>
      <c r="BS71" s="522" t="s">
        <v>2233</v>
      </c>
      <c r="BT71" s="141">
        <v>1.0293371953224613E-2</v>
      </c>
      <c r="BU71" s="522" t="s">
        <v>2233</v>
      </c>
      <c r="BV71" s="141">
        <v>2.3905372022516177E-3</v>
      </c>
      <c r="BW71" s="607" t="s">
        <v>627</v>
      </c>
      <c r="BX71" s="872">
        <v>1</v>
      </c>
    </row>
    <row r="72" spans="1:76" s="98" customFormat="1" ht="15" customHeight="1">
      <c r="A72" s="99"/>
      <c r="B72" s="161"/>
      <c r="C72" s="162"/>
      <c r="D72" s="162" t="s">
        <v>2727</v>
      </c>
      <c r="E72" s="162"/>
      <c r="F72" s="162"/>
      <c r="G72" s="163"/>
      <c r="H72" s="163"/>
      <c r="I72" s="2503"/>
      <c r="J72" s="2503"/>
      <c r="K72" s="2503"/>
      <c r="L72" s="2503"/>
      <c r="M72" s="2503"/>
      <c r="N72" s="2503"/>
      <c r="O72" s="2503"/>
      <c r="P72" s="2503"/>
      <c r="Q72" s="2503"/>
      <c r="R72" s="2503"/>
      <c r="S72" s="2503"/>
      <c r="T72" s="2503"/>
      <c r="U72" s="2503"/>
      <c r="V72" s="2503"/>
      <c r="W72" s="163"/>
      <c r="X72" s="2503"/>
      <c r="Y72" s="2503"/>
      <c r="Z72" s="2503"/>
      <c r="AA72" s="2503"/>
      <c r="AB72" s="2503"/>
      <c r="AC72" s="2503"/>
      <c r="AD72" s="2503"/>
      <c r="AE72" s="2503"/>
      <c r="AF72" s="2503"/>
      <c r="AG72" s="2503"/>
      <c r="AH72" s="2503"/>
      <c r="AI72" s="2503"/>
      <c r="AJ72" s="2503"/>
      <c r="AK72" s="2503"/>
      <c r="AM72" s="164" t="s">
        <v>2233</v>
      </c>
      <c r="AN72" s="143">
        <v>-0.98299999999999998</v>
      </c>
      <c r="AO72" s="141">
        <v>-0.54500000000000004</v>
      </c>
      <c r="AP72" s="141">
        <v>-0.46550000000000002</v>
      </c>
      <c r="AQ72" s="141">
        <v>-0.377</v>
      </c>
      <c r="AR72" s="141">
        <v>-0.68799999999999994</v>
      </c>
      <c r="AS72" s="141">
        <v>-0.20300000000000001</v>
      </c>
      <c r="AT72" s="141">
        <v>-1.3361639010846504</v>
      </c>
      <c r="AU72" s="144">
        <v>-1.3361639010846504</v>
      </c>
      <c r="AV72" s="143">
        <v>-0.16728717419383191</v>
      </c>
      <c r="AW72" s="141">
        <v>-0.16728717419383191</v>
      </c>
      <c r="AX72" s="141">
        <v>-0.16728717419383191</v>
      </c>
      <c r="AY72" s="141">
        <v>-0.16728717419383191</v>
      </c>
      <c r="AZ72" s="144">
        <v>-0.16728717419383191</v>
      </c>
      <c r="BA72" s="185"/>
      <c r="BB72" s="522" t="s">
        <v>2233</v>
      </c>
      <c r="BC72" s="141">
        <v>4.6669482628877459</v>
      </c>
      <c r="BD72" s="522" t="s">
        <v>2233</v>
      </c>
      <c r="BE72" s="141">
        <v>1.0281106682417931</v>
      </c>
      <c r="BF72" s="522" t="s">
        <v>2233</v>
      </c>
      <c r="BG72" s="141">
        <v>0.23876887103976072</v>
      </c>
      <c r="BH72" s="607" t="s">
        <v>627</v>
      </c>
      <c r="BI72" s="868">
        <v>1.0142</v>
      </c>
      <c r="BJ72" s="185"/>
      <c r="BQ72" s="522" t="s">
        <v>2233</v>
      </c>
      <c r="BR72" s="141">
        <v>0.65785578300897629</v>
      </c>
      <c r="BS72" s="522" t="s">
        <v>2233</v>
      </c>
      <c r="BT72" s="141">
        <v>0.1449230869033859</v>
      </c>
      <c r="BU72" s="522" t="s">
        <v>2233</v>
      </c>
      <c r="BV72" s="141">
        <v>3.3657001056797274E-2</v>
      </c>
      <c r="BW72" s="607" t="s">
        <v>627</v>
      </c>
      <c r="BX72" s="872">
        <v>1</v>
      </c>
    </row>
    <row r="73" spans="1:76" s="98" customFormat="1" ht="15" customHeight="1">
      <c r="A73" s="99"/>
      <c r="B73" s="161"/>
      <c r="C73" s="162"/>
      <c r="D73" s="162" t="s">
        <v>2728</v>
      </c>
      <c r="E73" s="162"/>
      <c r="F73" s="162"/>
      <c r="G73" s="163"/>
      <c r="H73" s="163"/>
      <c r="I73" s="2503"/>
      <c r="J73" s="2503"/>
      <c r="K73" s="2503"/>
      <c r="L73" s="2503"/>
      <c r="M73" s="2503"/>
      <c r="N73" s="2503"/>
      <c r="O73" s="2503"/>
      <c r="P73" s="2503"/>
      <c r="Q73" s="2503"/>
      <c r="R73" s="2503"/>
      <c r="S73" s="2503"/>
      <c r="T73" s="2503"/>
      <c r="U73" s="2503"/>
      <c r="V73" s="2503"/>
      <c r="W73" s="163"/>
      <c r="X73" s="2503"/>
      <c r="Y73" s="2503"/>
      <c r="Z73" s="2503"/>
      <c r="AA73" s="2503"/>
      <c r="AB73" s="2503"/>
      <c r="AC73" s="2503"/>
      <c r="AD73" s="2503"/>
      <c r="AE73" s="2503"/>
      <c r="AF73" s="2503"/>
      <c r="AG73" s="2503"/>
      <c r="AH73" s="2503"/>
      <c r="AI73" s="2503"/>
      <c r="AJ73" s="2503"/>
      <c r="AK73" s="2503"/>
      <c r="AM73" s="164" t="s">
        <v>2233</v>
      </c>
      <c r="AN73" s="143">
        <v>-9.6000000000000002E-2</v>
      </c>
      <c r="AO73" s="141">
        <v>-0.33400000000000002</v>
      </c>
      <c r="AP73" s="141">
        <v>-0.20100000000000001</v>
      </c>
      <c r="AQ73" s="141">
        <v>0</v>
      </c>
      <c r="AR73" s="141">
        <v>0</v>
      </c>
      <c r="AS73" s="141">
        <v>0</v>
      </c>
      <c r="AT73" s="141">
        <v>-0.24266813182786762</v>
      </c>
      <c r="AU73" s="144">
        <v>-0.24266813182786762</v>
      </c>
      <c r="AV73" s="143">
        <v>-3.1034980894629687E-2</v>
      </c>
      <c r="AW73" s="141">
        <v>-3.1034980894629687E-2</v>
      </c>
      <c r="AX73" s="141">
        <v>-3.1034980894629687E-2</v>
      </c>
      <c r="AY73" s="141">
        <v>-3.1034980894629687E-2</v>
      </c>
      <c r="AZ73" s="144">
        <v>-3.1034980894629687E-2</v>
      </c>
      <c r="BA73" s="185"/>
      <c r="BB73" s="522" t="s">
        <v>2233</v>
      </c>
      <c r="BC73" s="141">
        <v>0.87799709734786902</v>
      </c>
      <c r="BD73" s="522" t="s">
        <v>2233</v>
      </c>
      <c r="BE73" s="141">
        <v>0.19341936777977614</v>
      </c>
      <c r="BF73" s="522" t="s">
        <v>2233</v>
      </c>
      <c r="BG73" s="141">
        <v>4.4919798528090089E-2</v>
      </c>
      <c r="BH73" s="607" t="s">
        <v>627</v>
      </c>
      <c r="BI73" s="868">
        <v>1.0142</v>
      </c>
      <c r="BJ73" s="185"/>
      <c r="BQ73" s="522" t="s">
        <v>2233</v>
      </c>
      <c r="BR73" s="141">
        <v>0.12204487137459231</v>
      </c>
      <c r="BS73" s="522" t="s">
        <v>2233</v>
      </c>
      <c r="BT73" s="141">
        <v>2.6886013556699645E-2</v>
      </c>
      <c r="BU73" s="522" t="s">
        <v>2233</v>
      </c>
      <c r="BV73" s="141">
        <v>6.2440195418564754E-3</v>
      </c>
      <c r="BW73" s="607" t="s">
        <v>627</v>
      </c>
      <c r="BX73" s="872">
        <v>1</v>
      </c>
    </row>
    <row r="74" spans="1:76" s="98" customFormat="1" ht="15" customHeight="1">
      <c r="A74" s="99"/>
      <c r="B74" s="161"/>
      <c r="C74" s="162" t="s">
        <v>1710</v>
      </c>
      <c r="D74" s="162"/>
      <c r="E74" s="162"/>
      <c r="F74" s="162"/>
      <c r="G74" s="163"/>
      <c r="H74" s="163"/>
      <c r="I74" s="2503"/>
      <c r="J74" s="2503"/>
      <c r="K74" s="2503"/>
      <c r="L74" s="2503"/>
      <c r="M74" s="2503"/>
      <c r="N74" s="2503"/>
      <c r="O74" s="2503"/>
      <c r="P74" s="2503"/>
      <c r="Q74" s="2503"/>
      <c r="R74" s="2503"/>
      <c r="S74" s="2503"/>
      <c r="T74" s="2503"/>
      <c r="U74" s="2503"/>
      <c r="V74" s="2503"/>
      <c r="W74" s="163"/>
      <c r="X74" s="2503"/>
      <c r="Y74" s="2503"/>
      <c r="Z74" s="2503"/>
      <c r="AA74" s="2503"/>
      <c r="AB74" s="2503"/>
      <c r="AC74" s="2503"/>
      <c r="AD74" s="2503"/>
      <c r="AE74" s="2503"/>
      <c r="AF74" s="2503"/>
      <c r="AG74" s="2503"/>
      <c r="AH74" s="2503"/>
      <c r="AI74" s="2503"/>
      <c r="AJ74" s="2503"/>
      <c r="AK74" s="2503"/>
      <c r="AM74" s="164" t="s">
        <v>2233</v>
      </c>
      <c r="AN74" s="641">
        <f>SUM(AN71:AN73)</f>
        <v>-1.079</v>
      </c>
      <c r="AO74" s="642">
        <f t="shared" ref="AO74:AZ74" si="117">SUM(AO71:AO73)</f>
        <v>-0.879</v>
      </c>
      <c r="AP74" s="642">
        <f t="shared" si="117"/>
        <v>-0.66650000000000009</v>
      </c>
      <c r="AQ74" s="642">
        <f t="shared" si="117"/>
        <v>-0.377</v>
      </c>
      <c r="AR74" s="642">
        <f t="shared" si="117"/>
        <v>-0.68799999999999994</v>
      </c>
      <c r="AS74" s="642">
        <f t="shared" si="117"/>
        <v>-0.20300000000000001</v>
      </c>
      <c r="AT74" s="642">
        <f t="shared" si="117"/>
        <v>-1.5788320329125181</v>
      </c>
      <c r="AU74" s="643">
        <f t="shared" si="117"/>
        <v>-1.5788320329125181</v>
      </c>
      <c r="AV74" s="641">
        <f t="shared" si="117"/>
        <v>-0.2102039687026647</v>
      </c>
      <c r="AW74" s="642">
        <f t="shared" si="117"/>
        <v>-0.2102039687026647</v>
      </c>
      <c r="AX74" s="642">
        <f t="shared" si="117"/>
        <v>-0.2102039687026647</v>
      </c>
      <c r="AY74" s="642">
        <f t="shared" si="117"/>
        <v>-0.2102039687026647</v>
      </c>
      <c r="AZ74" s="643">
        <f t="shared" si="117"/>
        <v>-0.2102039687026647</v>
      </c>
      <c r="BA74" s="185"/>
      <c r="BB74" s="522" t="s">
        <v>2233</v>
      </c>
      <c r="BC74" s="642">
        <v>5.5449453602356149</v>
      </c>
      <c r="BD74" s="522" t="s">
        <v>2233</v>
      </c>
      <c r="BE74" s="642">
        <v>1.2215300360215693</v>
      </c>
      <c r="BF74" s="522" t="s">
        <v>2233</v>
      </c>
      <c r="BG74" s="642">
        <v>0.28368866956785083</v>
      </c>
      <c r="BH74" s="607" t="s">
        <v>627</v>
      </c>
      <c r="BI74" s="868">
        <v>0</v>
      </c>
      <c r="BJ74" s="185"/>
      <c r="BQ74" s="522" t="s">
        <v>2233</v>
      </c>
      <c r="BR74" s="642">
        <v>0.82662581329910789</v>
      </c>
      <c r="BS74" s="522" t="s">
        <v>2233</v>
      </c>
      <c r="BT74" s="642">
        <v>0.18210247241331015</v>
      </c>
      <c r="BU74" s="522" t="s">
        <v>2233</v>
      </c>
      <c r="BV74" s="642">
        <v>4.2291557800905363E-2</v>
      </c>
      <c r="BW74" s="607" t="s">
        <v>627</v>
      </c>
      <c r="BX74" s="872">
        <v>0</v>
      </c>
    </row>
    <row r="75" spans="1:76" s="98" customFormat="1" ht="15" customHeight="1">
      <c r="A75" s="99"/>
      <c r="B75" s="123"/>
      <c r="C75" s="127"/>
      <c r="D75" s="127"/>
      <c r="E75" s="127"/>
      <c r="F75" s="127"/>
      <c r="G75" s="117"/>
      <c r="H75" s="117"/>
      <c r="I75" s="2503"/>
      <c r="J75" s="2503"/>
      <c r="K75" s="2503"/>
      <c r="L75" s="2503"/>
      <c r="M75" s="2503"/>
      <c r="N75" s="2503"/>
      <c r="O75" s="2503"/>
      <c r="P75" s="2503"/>
      <c r="Q75" s="2503"/>
      <c r="R75" s="2503"/>
      <c r="S75" s="2503"/>
      <c r="T75" s="2503"/>
      <c r="U75" s="2503"/>
      <c r="V75" s="2503"/>
      <c r="W75" s="117"/>
      <c r="X75" s="2503"/>
      <c r="Y75" s="2503"/>
      <c r="Z75" s="2503"/>
      <c r="AA75" s="2503"/>
      <c r="AB75" s="2503"/>
      <c r="AC75" s="2503"/>
      <c r="AD75" s="2503"/>
      <c r="AE75" s="2503"/>
      <c r="AF75" s="2503"/>
      <c r="AG75" s="2503"/>
      <c r="AH75" s="2503"/>
      <c r="AI75" s="2503"/>
      <c r="AJ75" s="2503"/>
      <c r="AK75" s="2503"/>
      <c r="AM75" s="117"/>
      <c r="AN75" s="159"/>
      <c r="AO75" s="117"/>
      <c r="AP75" s="117"/>
      <c r="AQ75" s="117"/>
      <c r="AR75" s="117"/>
      <c r="AS75" s="117"/>
      <c r="AT75" s="117"/>
      <c r="AU75" s="160"/>
      <c r="AV75" s="159"/>
      <c r="AW75" s="117"/>
      <c r="AX75" s="117"/>
      <c r="AY75" s="117"/>
      <c r="AZ75" s="160"/>
      <c r="BA75" s="185"/>
      <c r="BB75" s="530"/>
      <c r="BC75" s="530"/>
      <c r="BD75" s="530"/>
      <c r="BE75" s="530"/>
      <c r="BF75" s="530"/>
      <c r="BG75" s="530"/>
      <c r="BH75" s="530"/>
      <c r="BI75" s="530"/>
      <c r="BJ75" s="530"/>
      <c r="BQ75" s="530"/>
      <c r="BR75" s="530"/>
      <c r="BS75" s="530"/>
      <c r="BT75" s="530"/>
      <c r="BU75" s="530"/>
      <c r="BV75" s="530"/>
      <c r="BW75" s="530"/>
      <c r="BX75" s="544"/>
    </row>
    <row r="76" spans="1:76" s="98" customFormat="1" ht="15" customHeight="1" thickBot="1">
      <c r="A76" s="99"/>
      <c r="B76" s="191" t="s">
        <v>1701</v>
      </c>
      <c r="C76" s="193"/>
      <c r="D76" s="193"/>
      <c r="E76" s="193"/>
      <c r="F76" s="193"/>
      <c r="G76" s="194"/>
      <c r="H76" s="194"/>
      <c r="I76" s="1692"/>
      <c r="J76" s="1692"/>
      <c r="K76" s="1692"/>
      <c r="L76" s="1692"/>
      <c r="M76" s="1692"/>
      <c r="N76" s="1692"/>
      <c r="O76" s="1692"/>
      <c r="P76" s="1692"/>
      <c r="Q76" s="1692"/>
      <c r="R76" s="1692"/>
      <c r="S76" s="1692"/>
      <c r="T76" s="1692"/>
      <c r="U76" s="1692"/>
      <c r="V76" s="1692"/>
      <c r="W76" s="194"/>
      <c r="X76" s="1692"/>
      <c r="Y76" s="1692"/>
      <c r="Z76" s="1692"/>
      <c r="AA76" s="1692"/>
      <c r="AB76" s="1692"/>
      <c r="AC76" s="1692"/>
      <c r="AD76" s="1692"/>
      <c r="AE76" s="1692"/>
      <c r="AF76" s="1692"/>
      <c r="AG76" s="1692"/>
      <c r="AH76" s="1692"/>
      <c r="AI76" s="1692"/>
      <c r="AJ76" s="1692"/>
      <c r="AK76" s="1692"/>
      <c r="AL76" s="1356"/>
      <c r="AM76" s="195" t="s">
        <v>2233</v>
      </c>
      <c r="AN76" s="701">
        <f>SUM(AN62,AN68,AN74)</f>
        <v>-8.7584</v>
      </c>
      <c r="AO76" s="702">
        <f t="shared" ref="AO76:AZ76" si="118">SUM(AO62,AO68,AO74)</f>
        <v>-7.6125000000000007</v>
      </c>
      <c r="AP76" s="702">
        <f t="shared" si="118"/>
        <v>-5.3055000000000003</v>
      </c>
      <c r="AQ76" s="702">
        <f t="shared" si="118"/>
        <v>-4.0869999999999997</v>
      </c>
      <c r="AR76" s="702">
        <f t="shared" si="118"/>
        <v>-7.9029999999999996</v>
      </c>
      <c r="AS76" s="702">
        <f t="shared" si="118"/>
        <v>-3.8319999999999999</v>
      </c>
      <c r="AT76" s="702">
        <f t="shared" si="118"/>
        <v>-15.000000000000002</v>
      </c>
      <c r="AU76" s="703">
        <f t="shared" si="118"/>
        <v>-15.000000000000002</v>
      </c>
      <c r="AV76" s="701">
        <f t="shared" si="118"/>
        <v>-2.0250000000000004</v>
      </c>
      <c r="AW76" s="702">
        <f t="shared" si="118"/>
        <v>-2.0250000000000004</v>
      </c>
      <c r="AX76" s="702">
        <f t="shared" si="118"/>
        <v>-2.0250000000000004</v>
      </c>
      <c r="AY76" s="702">
        <f t="shared" si="118"/>
        <v>-2.0250000000000004</v>
      </c>
      <c r="AZ76" s="703">
        <f t="shared" si="118"/>
        <v>-2.0250000000000004</v>
      </c>
      <c r="BA76" s="192"/>
      <c r="BB76" s="608" t="s">
        <v>2233</v>
      </c>
      <c r="BC76" s="702">
        <f>SUM(BC62,BC68,BC74)</f>
        <v>53.087408521113417</v>
      </c>
      <c r="BD76" s="608" t="s">
        <v>2233</v>
      </c>
      <c r="BE76" s="702">
        <f>SUM(BE62,BE68,BE74)</f>
        <v>11.694950956258285</v>
      </c>
      <c r="BF76" s="608" t="s">
        <v>2233</v>
      </c>
      <c r="BG76" s="702">
        <f>SUM(BG62,BG68,BG74)</f>
        <v>2.7160405226282904</v>
      </c>
      <c r="BH76" s="1083" t="s">
        <v>627</v>
      </c>
      <c r="BI76" s="868">
        <v>0.99509999999999998</v>
      </c>
      <c r="BJ76" s="192"/>
      <c r="BK76" s="192"/>
      <c r="BL76" s="192"/>
      <c r="BM76" s="192"/>
      <c r="BN76" s="192"/>
      <c r="BO76" s="192"/>
      <c r="BP76" s="1356"/>
      <c r="BQ76" s="608" t="s">
        <v>2233</v>
      </c>
      <c r="BR76" s="702">
        <f>SUM(BR62,BR68,BR74)</f>
        <v>7.9633000378716172</v>
      </c>
      <c r="BS76" s="608" t="s">
        <v>2233</v>
      </c>
      <c r="BT76" s="702">
        <f>SUM(BT62,BT68,BT74)</f>
        <v>1.7542842264722598</v>
      </c>
      <c r="BU76" s="608" t="s">
        <v>2233</v>
      </c>
      <c r="BV76" s="702">
        <f>SUM(BV62,BV68,BV74)</f>
        <v>0.40741573565612588</v>
      </c>
      <c r="BW76" s="1083" t="s">
        <v>627</v>
      </c>
      <c r="BX76" s="1536">
        <v>1</v>
      </c>
    </row>
    <row r="77" spans="1:76" s="99" customFormat="1" ht="15" customHeight="1">
      <c r="B77" s="150"/>
      <c r="C77" s="150"/>
      <c r="D77" s="150"/>
      <c r="E77" s="150"/>
      <c r="F77" s="150"/>
      <c r="G77" s="97"/>
      <c r="H77" s="97"/>
      <c r="I77" s="98"/>
      <c r="J77" s="98"/>
      <c r="K77" s="98"/>
      <c r="L77" s="98"/>
      <c r="M77" s="98"/>
      <c r="N77" s="98"/>
      <c r="O77" s="98"/>
      <c r="P77" s="98"/>
      <c r="Q77" s="98"/>
      <c r="R77" s="98"/>
      <c r="S77" s="98"/>
      <c r="T77" s="98"/>
      <c r="U77" s="98"/>
      <c r="V77" s="98"/>
      <c r="W77" s="98"/>
      <c r="X77" s="98"/>
      <c r="AS77" s="96"/>
      <c r="AT77" s="97"/>
      <c r="AU77" s="100"/>
      <c r="AV77" s="100"/>
      <c r="AW77" s="100"/>
      <c r="AX77" s="100"/>
      <c r="AY77" s="100"/>
      <c r="AZ77" s="100"/>
      <c r="BA77" s="100"/>
      <c r="BB77" s="100"/>
      <c r="BC77" s="100"/>
      <c r="BD77" s="100"/>
      <c r="BE77" s="100"/>
      <c r="BF77" s="100"/>
      <c r="BG77" s="100"/>
      <c r="BH77" s="100"/>
      <c r="BI77" s="100"/>
      <c r="BJ77" s="100"/>
    </row>
  </sheetData>
  <mergeCells count="2">
    <mergeCell ref="J9:Q9"/>
    <mergeCell ref="R9:V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Q177"/>
  <sheetViews>
    <sheetView topLeftCell="E5" zoomScale="80" zoomScaleNormal="80" workbookViewId="0">
      <selection activeCell="F15" sqref="F15"/>
    </sheetView>
  </sheetViews>
  <sheetFormatPr defaultColWidth="0" defaultRowHeight="12.75" zeroHeight="1"/>
  <cols>
    <col min="1" max="1" width="16.75" hidden="1" customWidth="1"/>
    <col min="2" max="2" width="23.375" hidden="1" customWidth="1"/>
    <col min="3" max="3" width="12" hidden="1" customWidth="1"/>
    <col min="4" max="4" width="34.375" hidden="1" customWidth="1"/>
    <col min="5" max="5" width="19.25" customWidth="1"/>
    <col min="6" max="6" width="52.375" bestFit="1" customWidth="1"/>
    <col min="7" max="7" width="29" customWidth="1"/>
    <col min="8" max="8" width="21.25" customWidth="1"/>
    <col min="9" max="9" width="2.875" customWidth="1"/>
    <col min="10" max="10" width="29" customWidth="1"/>
    <col min="11" max="11" width="11.875" customWidth="1"/>
    <col min="12" max="12" width="2.875" customWidth="1"/>
    <col min="13" max="13" width="29" customWidth="1"/>
    <col min="14" max="14" width="15.5" customWidth="1"/>
    <col min="15" max="15" width="2.875" customWidth="1"/>
    <col min="16" max="16" width="10.375" bestFit="1" customWidth="1"/>
    <col min="17" max="17" width="2.875" customWidth="1"/>
    <col min="18" max="16384" width="9" hidden="1"/>
  </cols>
  <sheetData>
    <row r="1" spans="1:17" hidden="1">
      <c r="A1" s="1155" t="s">
        <v>362</v>
      </c>
      <c r="B1" s="1155" t="s">
        <v>363</v>
      </c>
      <c r="C1" s="1155" t="s">
        <v>364</v>
      </c>
      <c r="D1" s="1155" t="s">
        <v>365</v>
      </c>
    </row>
    <row r="2" spans="1:17" ht="24.4" customHeight="1">
      <c r="A2" s="1156" t="s">
        <v>366</v>
      </c>
      <c r="B2" s="1156"/>
      <c r="C2" s="1156" t="s">
        <v>367</v>
      </c>
      <c r="D2" s="1156"/>
      <c r="E2" s="1" t="s">
        <v>0</v>
      </c>
      <c r="F2" s="1157"/>
      <c r="G2" s="1157"/>
      <c r="H2" s="1157"/>
      <c r="I2" s="1157"/>
      <c r="J2" s="1157"/>
      <c r="K2" s="1157"/>
      <c r="L2" s="1157"/>
      <c r="M2" s="1157"/>
      <c r="N2" s="1157"/>
      <c r="O2" s="1157"/>
      <c r="P2" s="1157"/>
      <c r="Q2" s="1157"/>
    </row>
    <row r="3" spans="1:17" ht="26.25">
      <c r="A3" s="1156" t="s">
        <v>366</v>
      </c>
      <c r="B3" s="1156"/>
      <c r="C3" s="1156" t="s">
        <v>367</v>
      </c>
      <c r="D3" s="1156"/>
      <c r="E3" s="5" t="s">
        <v>6</v>
      </c>
      <c r="F3" s="1157"/>
      <c r="G3" s="1157"/>
      <c r="H3" s="1157"/>
      <c r="I3" s="1157"/>
      <c r="J3" s="1157"/>
      <c r="K3" s="1157"/>
      <c r="L3" s="1157"/>
      <c r="M3" s="1157"/>
      <c r="N3" s="1157"/>
      <c r="O3" s="1157"/>
      <c r="P3" s="1157"/>
      <c r="Q3" s="1157"/>
    </row>
    <row r="4" spans="1:17" s="1314" customFormat="1" ht="27" thickBot="1">
      <c r="A4" s="1156" t="s">
        <v>366</v>
      </c>
      <c r="B4" s="1311"/>
      <c r="C4" s="1311" t="s">
        <v>367</v>
      </c>
      <c r="D4" s="1311"/>
      <c r="E4" s="1312" t="s">
        <v>2</v>
      </c>
      <c r="F4" s="1313"/>
      <c r="G4" s="1313"/>
      <c r="H4" s="1313"/>
      <c r="I4" s="1313"/>
      <c r="J4" s="1313"/>
      <c r="K4" s="1313"/>
      <c r="L4" s="1313"/>
      <c r="M4" s="1313"/>
      <c r="N4" s="1313"/>
      <c r="O4" s="1313"/>
      <c r="P4" s="1313"/>
      <c r="Q4" s="1313"/>
    </row>
    <row r="5" spans="1:17" ht="13.5" thickTop="1">
      <c r="A5" s="1156" t="s">
        <v>366</v>
      </c>
      <c r="B5" s="1310"/>
      <c r="C5" s="1310" t="s">
        <v>367</v>
      </c>
      <c r="D5" s="1310"/>
      <c r="G5" s="1158"/>
      <c r="H5" s="1158"/>
      <c r="I5" s="1158"/>
      <c r="J5" s="1158"/>
      <c r="K5" s="1158"/>
      <c r="L5" s="1158"/>
      <c r="M5" s="1158"/>
      <c r="N5" s="1158"/>
      <c r="O5" s="1158"/>
      <c r="P5" s="1158"/>
    </row>
    <row r="6" spans="1:17" ht="20.25">
      <c r="A6" s="1156" t="s">
        <v>366</v>
      </c>
      <c r="B6" s="1156"/>
      <c r="C6" s="1156" t="s">
        <v>367</v>
      </c>
      <c r="D6" s="1156"/>
      <c r="E6" s="1159" t="s">
        <v>23</v>
      </c>
      <c r="F6" s="1158"/>
      <c r="G6" s="1158"/>
      <c r="H6" s="1158"/>
      <c r="I6" s="1158"/>
      <c r="J6" s="1158"/>
      <c r="K6" s="1158"/>
      <c r="L6" s="1158"/>
      <c r="M6" s="1158"/>
      <c r="N6" s="1158"/>
      <c r="O6" s="1158"/>
      <c r="P6" s="1158"/>
    </row>
    <row r="7" spans="1:17">
      <c r="A7" s="1156" t="s">
        <v>366</v>
      </c>
      <c r="B7" s="1156"/>
      <c r="C7" s="1156" t="s">
        <v>367</v>
      </c>
      <c r="D7" s="1156"/>
      <c r="E7" s="1158"/>
      <c r="F7" s="1158"/>
      <c r="G7" s="1158"/>
      <c r="H7" s="1158"/>
      <c r="I7" s="1158"/>
      <c r="J7" s="1158"/>
      <c r="K7" s="1158"/>
      <c r="L7" s="1158"/>
      <c r="M7" s="1158"/>
      <c r="N7" s="1158"/>
      <c r="O7" s="1158"/>
      <c r="P7" s="1158"/>
    </row>
    <row r="8" spans="1:17">
      <c r="A8" s="1156" t="s">
        <v>366</v>
      </c>
      <c r="B8" s="1156" t="s">
        <v>368</v>
      </c>
      <c r="C8" s="1156" t="s">
        <v>369</v>
      </c>
      <c r="D8" s="1156"/>
      <c r="E8" s="1158"/>
      <c r="F8" s="1158"/>
      <c r="G8" s="1158"/>
      <c r="H8" s="1158"/>
      <c r="I8" s="1158"/>
      <c r="J8" s="1158"/>
      <c r="K8" s="1158"/>
      <c r="L8" s="1158"/>
      <c r="M8" s="1158"/>
      <c r="N8" s="1158"/>
      <c r="O8" s="1158"/>
      <c r="P8" s="1158"/>
    </row>
    <row r="9" spans="1:17" s="1160" customFormat="1" hidden="1">
      <c r="A9" s="1156" t="s">
        <v>366</v>
      </c>
      <c r="B9" s="1156" t="s">
        <v>368</v>
      </c>
      <c r="C9" s="1156" t="s">
        <v>370</v>
      </c>
      <c r="D9" s="1156"/>
      <c r="E9" s="1156" t="s">
        <v>367</v>
      </c>
      <c r="F9" s="1156" t="s">
        <v>367</v>
      </c>
      <c r="G9" s="1156" t="s">
        <v>371</v>
      </c>
      <c r="H9" s="1156" t="s">
        <v>367</v>
      </c>
      <c r="I9" s="1156" t="s">
        <v>367</v>
      </c>
      <c r="J9" s="1156" t="s">
        <v>367</v>
      </c>
      <c r="K9" s="1156" t="s">
        <v>367</v>
      </c>
      <c r="L9" s="1156" t="s">
        <v>367</v>
      </c>
      <c r="M9" s="1156" t="s">
        <v>367</v>
      </c>
      <c r="N9" s="1156" t="s">
        <v>367</v>
      </c>
      <c r="O9" s="1156" t="s">
        <v>367</v>
      </c>
      <c r="P9" s="1156" t="s">
        <v>367</v>
      </c>
      <c r="Q9" s="1156" t="s">
        <v>367</v>
      </c>
    </row>
    <row r="10" spans="1:17">
      <c r="A10" s="1156" t="s">
        <v>366</v>
      </c>
      <c r="B10" s="1156" t="s">
        <v>368</v>
      </c>
      <c r="C10" s="1156"/>
      <c r="D10" s="1156" t="s">
        <v>372</v>
      </c>
      <c r="E10" s="1158"/>
      <c r="F10" s="1161" t="s">
        <v>373</v>
      </c>
      <c r="G10" s="1162"/>
      <c r="H10" s="1158"/>
      <c r="I10" s="1158"/>
      <c r="J10" s="1158"/>
      <c r="K10" s="1158"/>
      <c r="L10" s="1158"/>
      <c r="M10" s="1158"/>
      <c r="N10" s="1158"/>
      <c r="O10" s="1158"/>
      <c r="P10" s="1158"/>
    </row>
    <row r="11" spans="1:17">
      <c r="A11" s="1156" t="s">
        <v>366</v>
      </c>
      <c r="B11" s="1156" t="s">
        <v>368</v>
      </c>
      <c r="C11" s="1156"/>
      <c r="D11" s="1156" t="s">
        <v>374</v>
      </c>
      <c r="E11" s="1158"/>
      <c r="F11" s="1161" t="s">
        <v>375</v>
      </c>
      <c r="G11" s="1162"/>
      <c r="H11" s="1158"/>
      <c r="I11" s="1158"/>
      <c r="J11" s="1158"/>
      <c r="K11" s="1158"/>
      <c r="L11" s="1158"/>
      <c r="M11" s="1158"/>
      <c r="N11" s="1158"/>
      <c r="O11" s="1158"/>
      <c r="P11" s="1158"/>
    </row>
    <row r="12" spans="1:17">
      <c r="A12" s="1156" t="s">
        <v>366</v>
      </c>
      <c r="B12" s="1156" t="s">
        <v>368</v>
      </c>
      <c r="C12" s="1156"/>
      <c r="D12" s="1156" t="s">
        <v>376</v>
      </c>
      <c r="E12" s="1158"/>
      <c r="F12" s="1161" t="s">
        <v>377</v>
      </c>
      <c r="G12" s="1162">
        <v>2019</v>
      </c>
      <c r="H12" s="1158"/>
      <c r="I12" s="1158"/>
      <c r="J12" s="1158"/>
      <c r="K12" s="1158"/>
      <c r="L12" s="1158"/>
      <c r="M12" s="1158"/>
      <c r="N12" s="1158"/>
      <c r="O12" s="1158"/>
      <c r="P12" s="1158"/>
    </row>
    <row r="13" spans="1:17">
      <c r="A13" s="1156" t="s">
        <v>366</v>
      </c>
      <c r="B13" s="1156" t="s">
        <v>368</v>
      </c>
      <c r="C13" s="1156"/>
      <c r="D13" s="1156" t="s">
        <v>378</v>
      </c>
      <c r="E13" s="1158"/>
      <c r="F13" s="1161" t="s">
        <v>379</v>
      </c>
      <c r="G13" s="1163">
        <v>1</v>
      </c>
      <c r="H13" s="1158"/>
      <c r="I13" s="1158"/>
      <c r="J13" s="1158"/>
      <c r="K13" s="1158"/>
      <c r="L13" s="1158"/>
      <c r="M13" s="1158"/>
      <c r="N13" s="1158"/>
      <c r="O13" s="1158"/>
      <c r="P13" s="1158"/>
    </row>
    <row r="14" spans="1:17">
      <c r="A14" s="1156" t="s">
        <v>366</v>
      </c>
      <c r="B14" s="1156" t="s">
        <v>368</v>
      </c>
      <c r="C14" s="1156"/>
      <c r="D14" s="1156" t="s">
        <v>380</v>
      </c>
      <c r="E14" s="1158"/>
      <c r="F14" s="1161" t="s">
        <v>381</v>
      </c>
      <c r="G14" s="1164"/>
      <c r="H14" s="1158"/>
      <c r="I14" s="1158"/>
      <c r="J14" s="1158"/>
      <c r="K14" s="1158"/>
      <c r="L14" s="1158"/>
      <c r="M14" s="1158"/>
      <c r="N14" s="1158"/>
      <c r="O14" s="1158"/>
      <c r="P14" s="1158"/>
    </row>
    <row r="15" spans="1:17">
      <c r="A15" s="1156" t="s">
        <v>366</v>
      </c>
      <c r="B15" s="1156" t="s">
        <v>368</v>
      </c>
      <c r="C15" s="1156" t="s">
        <v>367</v>
      </c>
      <c r="D15" s="1156"/>
      <c r="E15" s="1158"/>
      <c r="F15" s="1161" t="s">
        <v>382</v>
      </c>
      <c r="G15" s="1164"/>
      <c r="H15" s="1158"/>
      <c r="I15" s="1158"/>
      <c r="J15" s="1158"/>
      <c r="K15" s="1158"/>
      <c r="L15" s="1158"/>
      <c r="M15" s="1158"/>
      <c r="N15" s="1158"/>
      <c r="O15" s="1158"/>
      <c r="P15" s="1158"/>
    </row>
    <row r="16" spans="1:17">
      <c r="A16" s="1156" t="s">
        <v>366</v>
      </c>
      <c r="B16" s="1156" t="s">
        <v>368</v>
      </c>
      <c r="C16" s="1156" t="s">
        <v>367</v>
      </c>
      <c r="D16" s="1156"/>
      <c r="E16" s="1158"/>
      <c r="F16" s="1161"/>
      <c r="G16" s="1161"/>
      <c r="H16" s="1158"/>
      <c r="I16" s="1158"/>
      <c r="J16" s="1158"/>
      <c r="K16" s="1158"/>
      <c r="L16" s="1158"/>
      <c r="M16" s="1158"/>
      <c r="N16" s="1158"/>
      <c r="O16" s="1158"/>
      <c r="P16" s="1158"/>
    </row>
    <row r="17" spans="1:17">
      <c r="A17" s="1156" t="s">
        <v>366</v>
      </c>
      <c r="B17" s="1156" t="s">
        <v>368</v>
      </c>
      <c r="C17" s="1156"/>
      <c r="D17" s="1156" t="s">
        <v>383</v>
      </c>
      <c r="E17" s="1158"/>
      <c r="F17" s="1161" t="s">
        <v>384</v>
      </c>
      <c r="G17" s="1165" t="str">
        <f>$G$12-7&amp;"/"&amp;RIGHT($G$12-6,2)</f>
        <v>2012/13</v>
      </c>
      <c r="H17" s="1158"/>
      <c r="I17" s="1158"/>
      <c r="J17" s="1158"/>
      <c r="K17" s="1158"/>
      <c r="L17" s="1158"/>
      <c r="M17" s="1158"/>
      <c r="N17" s="1158"/>
      <c r="O17" s="1158"/>
      <c r="P17" s="1158"/>
    </row>
    <row r="18" spans="1:17">
      <c r="A18" s="1156" t="s">
        <v>366</v>
      </c>
      <c r="B18" s="1156" t="s">
        <v>368</v>
      </c>
      <c r="C18" s="1156"/>
      <c r="D18" s="1156" t="s">
        <v>385</v>
      </c>
      <c r="E18" s="1158"/>
      <c r="F18" s="1161" t="s">
        <v>386</v>
      </c>
      <c r="G18" s="1165" t="str">
        <f>$G$12-6&amp;"/"&amp;RIGHT($G$12-5,2)</f>
        <v>2013/14</v>
      </c>
      <c r="H18" s="1158"/>
      <c r="I18" s="1158"/>
      <c r="J18" s="1158"/>
      <c r="K18" s="1158"/>
      <c r="L18" s="1158"/>
      <c r="M18" s="1158"/>
      <c r="N18" s="1158"/>
      <c r="O18" s="1158"/>
      <c r="P18" s="1158"/>
    </row>
    <row r="19" spans="1:17">
      <c r="A19" s="1156" t="s">
        <v>366</v>
      </c>
      <c r="B19" s="1156" t="s">
        <v>368</v>
      </c>
      <c r="C19" s="1156"/>
      <c r="D19" s="1156" t="s">
        <v>387</v>
      </c>
      <c r="E19" s="1158"/>
      <c r="F19" s="1161" t="s">
        <v>388</v>
      </c>
      <c r="G19" s="1165" t="str">
        <f>$G$12-5&amp;"/"&amp;RIGHT($G$12-4,2)</f>
        <v>2014/15</v>
      </c>
      <c r="H19" s="1158"/>
      <c r="I19" s="1158"/>
      <c r="J19" s="1158"/>
      <c r="K19" s="1158"/>
      <c r="L19" s="1158"/>
      <c r="M19" s="1158"/>
      <c r="N19" s="1158"/>
      <c r="O19" s="1158"/>
      <c r="P19" s="1158"/>
    </row>
    <row r="20" spans="1:17">
      <c r="A20" s="1156" t="s">
        <v>366</v>
      </c>
      <c r="B20" s="1156" t="s">
        <v>368</v>
      </c>
      <c r="C20" s="1156"/>
      <c r="D20" s="1156" t="s">
        <v>389</v>
      </c>
      <c r="E20" s="1158"/>
      <c r="F20" s="1161" t="s">
        <v>390</v>
      </c>
      <c r="G20" s="1165" t="str">
        <f>$G$12-4&amp;"/"&amp;RIGHT($G$12-3,2)</f>
        <v>2015/16</v>
      </c>
      <c r="H20" s="1158"/>
      <c r="I20" s="1158"/>
      <c r="J20" s="1158"/>
      <c r="K20" s="1158"/>
      <c r="L20" s="1158"/>
      <c r="M20" s="1158"/>
      <c r="N20" s="1158"/>
      <c r="O20" s="1158"/>
      <c r="P20" s="1158"/>
    </row>
    <row r="21" spans="1:17">
      <c r="A21" s="1156" t="s">
        <v>366</v>
      </c>
      <c r="B21" s="1156" t="s">
        <v>368</v>
      </c>
      <c r="C21" s="1156"/>
      <c r="D21" s="1156" t="s">
        <v>391</v>
      </c>
      <c r="E21" s="1158"/>
      <c r="F21" s="1161" t="s">
        <v>392</v>
      </c>
      <c r="G21" s="1165" t="str">
        <f>$G$12-3&amp;"/"&amp;RIGHT($G$12-2,2)</f>
        <v>2016/17</v>
      </c>
      <c r="H21" s="1158"/>
      <c r="I21" s="1158"/>
      <c r="J21" s="1158"/>
      <c r="K21" s="1158"/>
      <c r="L21" s="1158"/>
      <c r="M21" s="1158"/>
      <c r="N21" s="1158"/>
      <c r="O21" s="1158"/>
      <c r="P21" s="1158"/>
    </row>
    <row r="22" spans="1:17">
      <c r="A22" s="1156" t="s">
        <v>366</v>
      </c>
      <c r="B22" s="1156" t="s">
        <v>368</v>
      </c>
      <c r="C22" s="1156"/>
      <c r="D22" s="1156" t="s">
        <v>393</v>
      </c>
      <c r="E22" s="1158"/>
      <c r="F22" s="1161" t="s">
        <v>394</v>
      </c>
      <c r="G22" s="1165" t="str">
        <f>$G$12-2&amp;"/"&amp;RIGHT($G$12-1,2)</f>
        <v>2017/18</v>
      </c>
      <c r="H22" s="1158"/>
      <c r="I22" s="1158"/>
      <c r="J22" s="1158"/>
      <c r="K22" s="1158"/>
      <c r="L22" s="1158"/>
      <c r="M22" s="1158"/>
      <c r="N22" s="1158"/>
      <c r="O22" s="1158"/>
      <c r="P22" s="1158"/>
    </row>
    <row r="23" spans="1:17">
      <c r="A23" s="1156" t="s">
        <v>366</v>
      </c>
      <c r="B23" s="1156" t="s">
        <v>368</v>
      </c>
      <c r="C23" s="1156" t="s">
        <v>367</v>
      </c>
      <c r="D23" s="1156" t="s">
        <v>376</v>
      </c>
      <c r="E23" s="1158"/>
      <c r="F23" s="1166" t="s">
        <v>395</v>
      </c>
      <c r="G23" s="1165" t="str">
        <f>$G$12-1&amp;"/"&amp;RIGHT($G$12-0,2)</f>
        <v>2018/19</v>
      </c>
      <c r="H23" s="1158"/>
      <c r="I23" s="1158"/>
      <c r="J23" s="1158"/>
      <c r="K23" s="1158"/>
      <c r="L23" s="1158"/>
      <c r="M23" s="1158"/>
      <c r="N23" s="1158"/>
      <c r="O23" s="1158"/>
      <c r="P23" s="1158"/>
    </row>
    <row r="24" spans="1:17">
      <c r="A24" s="1156" t="s">
        <v>366</v>
      </c>
      <c r="B24" s="1156" t="s">
        <v>368</v>
      </c>
      <c r="C24" s="1156"/>
      <c r="D24" s="1156" t="s">
        <v>396</v>
      </c>
      <c r="E24" s="1158"/>
      <c r="F24" s="1161" t="s">
        <v>397</v>
      </c>
      <c r="G24" s="1165" t="str">
        <f>$G$12&amp;"/"&amp;RIGHT($G$12+1,2)</f>
        <v>2019/20</v>
      </c>
      <c r="H24" s="1158"/>
      <c r="I24" s="1158"/>
      <c r="J24" s="1158"/>
      <c r="K24" s="1158"/>
      <c r="L24" s="1158"/>
      <c r="M24" s="1158"/>
      <c r="N24" s="1158"/>
      <c r="O24" s="1158"/>
      <c r="P24" s="1158"/>
    </row>
    <row r="25" spans="1:17">
      <c r="A25" s="1156" t="s">
        <v>366</v>
      </c>
      <c r="B25" s="1156" t="s">
        <v>368</v>
      </c>
      <c r="C25" s="1156"/>
      <c r="D25" s="1156" t="s">
        <v>398</v>
      </c>
      <c r="E25" s="1158"/>
      <c r="F25" s="1161" t="s">
        <v>399</v>
      </c>
      <c r="G25" s="1165" t="str">
        <f>$G$12+1&amp;"/"&amp;RIGHT($G$12+2,2)</f>
        <v>2020/21</v>
      </c>
      <c r="H25" s="1158"/>
      <c r="I25" s="1158"/>
      <c r="J25" s="1158"/>
      <c r="K25" s="1158"/>
      <c r="L25" s="1158"/>
      <c r="M25" s="1158"/>
      <c r="N25" s="1158"/>
      <c r="O25" s="1158"/>
      <c r="P25" s="1158"/>
    </row>
    <row r="26" spans="1:17">
      <c r="A26" s="1156" t="s">
        <v>366</v>
      </c>
      <c r="B26" s="1156" t="s">
        <v>368</v>
      </c>
      <c r="C26" s="1156"/>
      <c r="D26" s="1156" t="s">
        <v>400</v>
      </c>
      <c r="E26" s="1158"/>
      <c r="F26" s="1161" t="s">
        <v>401</v>
      </c>
      <c r="G26" s="1165" t="str">
        <f>$G$12+2&amp;"/"&amp;RIGHT($G$12+3,2)</f>
        <v>2021/22</v>
      </c>
      <c r="H26" s="1158"/>
      <c r="I26" s="1158"/>
      <c r="J26" s="1158"/>
      <c r="K26" s="1158"/>
      <c r="L26" s="1158"/>
      <c r="M26" s="1158"/>
      <c r="N26" s="1158"/>
      <c r="O26" s="1158"/>
      <c r="P26" s="1158"/>
    </row>
    <row r="27" spans="1:17">
      <c r="A27" s="1156" t="s">
        <v>366</v>
      </c>
      <c r="B27" s="1156" t="s">
        <v>368</v>
      </c>
      <c r="C27" s="1156"/>
      <c r="D27" s="1156" t="s">
        <v>402</v>
      </c>
      <c r="E27" s="1158"/>
      <c r="F27" s="1161" t="s">
        <v>403</v>
      </c>
      <c r="G27" s="1165" t="str">
        <f>$G$12+3&amp;"/"&amp;RIGHT($G$12+4,2)</f>
        <v>2022/23</v>
      </c>
      <c r="H27" s="1158"/>
      <c r="I27" s="1158"/>
      <c r="J27" s="1158"/>
      <c r="K27" s="1158"/>
      <c r="L27" s="1158"/>
      <c r="M27" s="1158"/>
      <c r="N27" s="1158"/>
      <c r="O27" s="1158"/>
      <c r="P27" s="1158"/>
    </row>
    <row r="28" spans="1:17">
      <c r="A28" s="1156" t="s">
        <v>366</v>
      </c>
      <c r="B28" s="1156" t="s">
        <v>368</v>
      </c>
      <c r="C28" s="1156"/>
      <c r="D28" s="1156" t="s">
        <v>404</v>
      </c>
      <c r="E28" s="1158"/>
      <c r="F28" s="1161" t="s">
        <v>405</v>
      </c>
      <c r="G28" s="1165" t="str">
        <f>$G$12+4&amp;"/"&amp;RIGHT($G$12+5,2)</f>
        <v>2023/24</v>
      </c>
      <c r="H28" s="1158"/>
      <c r="I28" s="1158"/>
      <c r="J28" s="1158"/>
      <c r="K28" s="1158"/>
      <c r="L28" s="1158"/>
      <c r="M28" s="1158"/>
      <c r="N28" s="1158"/>
      <c r="O28" s="1158"/>
      <c r="P28" s="1158"/>
    </row>
    <row r="29" spans="1:17">
      <c r="A29" s="1156" t="s">
        <v>366</v>
      </c>
      <c r="B29" s="1156" t="s">
        <v>368</v>
      </c>
      <c r="C29" s="1156"/>
      <c r="D29" s="1156" t="s">
        <v>406</v>
      </c>
      <c r="E29" s="1158"/>
      <c r="F29" s="1161" t="s">
        <v>407</v>
      </c>
      <c r="G29" s="1165" t="str">
        <f>$G$12+5&amp;"/"&amp;RIGHT($G$12+6,2)</f>
        <v>2024/25</v>
      </c>
      <c r="H29" s="1158"/>
      <c r="I29" s="1158"/>
      <c r="J29" s="1158"/>
      <c r="K29" s="1158"/>
      <c r="L29" s="1158"/>
      <c r="M29" s="1158"/>
      <c r="N29" s="1158"/>
      <c r="O29" s="1158"/>
      <c r="P29" s="1158"/>
    </row>
    <row r="30" spans="1:17">
      <c r="A30" s="1156" t="s">
        <v>366</v>
      </c>
      <c r="B30" s="1156" t="s">
        <v>368</v>
      </c>
      <c r="C30" s="1156"/>
      <c r="D30" s="1156" t="s">
        <v>408</v>
      </c>
      <c r="E30" s="1158"/>
      <c r="F30" s="1161" t="s">
        <v>409</v>
      </c>
      <c r="G30" s="1165" t="str">
        <f>$G$12+6&amp;"/"&amp;RIGHT($G$12+7,2)</f>
        <v>2025/26</v>
      </c>
      <c r="H30" s="1158"/>
      <c r="I30" s="1158"/>
      <c r="J30" s="1158"/>
      <c r="K30" s="1158"/>
      <c r="L30" s="1158"/>
      <c r="M30" s="1158"/>
      <c r="N30" s="1158"/>
      <c r="O30" s="1158"/>
      <c r="P30" s="1158"/>
    </row>
    <row r="31" spans="1:17">
      <c r="A31" s="1156" t="s">
        <v>366</v>
      </c>
      <c r="B31" s="1156"/>
      <c r="C31" s="1156" t="s">
        <v>367</v>
      </c>
      <c r="D31" s="1156"/>
      <c r="E31" s="1158"/>
      <c r="F31" s="1797"/>
      <c r="G31" s="1170"/>
      <c r="H31" s="1158"/>
      <c r="I31" s="1158"/>
      <c r="J31" s="1158"/>
      <c r="K31" s="1158"/>
      <c r="L31" s="1158"/>
      <c r="M31" s="1158"/>
      <c r="N31" s="1158"/>
      <c r="O31" s="1158"/>
      <c r="P31" s="1158"/>
    </row>
    <row r="32" spans="1:17" s="1160" customFormat="1" hidden="1">
      <c r="A32" s="1156" t="s">
        <v>366</v>
      </c>
      <c r="B32" s="1156" t="s">
        <v>410</v>
      </c>
      <c r="C32" s="1156" t="s">
        <v>411</v>
      </c>
      <c r="D32" s="1156"/>
      <c r="E32" s="1156" t="s">
        <v>367</v>
      </c>
      <c r="F32" s="1156" t="s">
        <v>412</v>
      </c>
      <c r="G32" s="1156" t="s">
        <v>412</v>
      </c>
      <c r="H32" s="1156" t="s">
        <v>413</v>
      </c>
      <c r="I32" s="1156" t="s">
        <v>367</v>
      </c>
      <c r="J32" s="1156" t="s">
        <v>367</v>
      </c>
      <c r="K32" s="1156" t="s">
        <v>367</v>
      </c>
      <c r="L32" s="1156" t="s">
        <v>367</v>
      </c>
      <c r="M32" s="1156" t="s">
        <v>367</v>
      </c>
      <c r="N32" s="1156" t="s">
        <v>367</v>
      </c>
      <c r="O32" s="1156" t="s">
        <v>367</v>
      </c>
      <c r="P32" s="1156" t="s">
        <v>367</v>
      </c>
      <c r="Q32" s="1156" t="s">
        <v>367</v>
      </c>
    </row>
    <row r="33" spans="1:17" s="1160" customFormat="1" hidden="1">
      <c r="A33" s="1156" t="s">
        <v>366</v>
      </c>
      <c r="B33" s="1156" t="s">
        <v>410</v>
      </c>
      <c r="C33" s="1156" t="s">
        <v>370</v>
      </c>
      <c r="D33" s="1156"/>
      <c r="E33" s="1156" t="s">
        <v>367</v>
      </c>
      <c r="F33" s="1156" t="s">
        <v>371</v>
      </c>
      <c r="G33" s="1156" t="s">
        <v>371</v>
      </c>
      <c r="H33" s="1156" t="s">
        <v>371</v>
      </c>
      <c r="I33" s="1156" t="s">
        <v>367</v>
      </c>
      <c r="J33" s="1156" t="s">
        <v>367</v>
      </c>
      <c r="K33" s="1156" t="s">
        <v>367</v>
      </c>
      <c r="L33" s="1156" t="s">
        <v>367</v>
      </c>
      <c r="M33" s="1156" t="s">
        <v>367</v>
      </c>
      <c r="N33" s="1156" t="s">
        <v>367</v>
      </c>
      <c r="O33" s="1156" t="s">
        <v>367</v>
      </c>
      <c r="P33" s="1156" t="s">
        <v>367</v>
      </c>
      <c r="Q33" s="1156" t="s">
        <v>367</v>
      </c>
    </row>
    <row r="34" spans="1:17">
      <c r="A34" s="1156" t="s">
        <v>366</v>
      </c>
      <c r="B34" s="1156" t="s">
        <v>410</v>
      </c>
      <c r="C34" s="1156" t="s">
        <v>367</v>
      </c>
      <c r="D34" s="1156"/>
      <c r="E34" s="1158"/>
      <c r="F34" s="1798" t="s">
        <v>414</v>
      </c>
      <c r="G34" s="1170"/>
      <c r="H34" s="1158"/>
      <c r="I34" s="1158"/>
      <c r="J34" s="1158"/>
      <c r="K34" s="1158"/>
      <c r="L34" s="1158"/>
      <c r="M34" s="1158"/>
      <c r="N34" s="1158"/>
      <c r="O34" s="1158"/>
      <c r="P34" s="1158"/>
    </row>
    <row r="35" spans="1:17">
      <c r="A35" s="1156" t="s">
        <v>366</v>
      </c>
      <c r="B35" s="1156" t="s">
        <v>410</v>
      </c>
      <c r="C35" s="1156" t="s">
        <v>415</v>
      </c>
      <c r="D35" s="1156"/>
      <c r="E35" s="1158"/>
      <c r="F35" s="1797" t="s">
        <v>416</v>
      </c>
      <c r="G35" s="1799"/>
      <c r="H35" s="1158"/>
      <c r="I35" s="1158"/>
      <c r="J35" s="1800"/>
      <c r="K35" s="1801"/>
      <c r="L35" s="1158"/>
      <c r="M35" s="1158"/>
      <c r="N35" s="1158"/>
      <c r="O35" s="1158"/>
      <c r="P35" s="1158"/>
    </row>
    <row r="36" spans="1:17">
      <c r="A36" s="1156" t="s">
        <v>366</v>
      </c>
      <c r="B36" s="1156" t="s">
        <v>410</v>
      </c>
      <c r="C36" s="1156"/>
      <c r="D36" s="1156"/>
      <c r="E36" s="1158"/>
      <c r="F36" s="1161" t="s">
        <v>417</v>
      </c>
      <c r="G36" s="1168" t="s">
        <v>418</v>
      </c>
      <c r="H36" s="1802" t="s">
        <v>419</v>
      </c>
      <c r="I36" s="1158"/>
      <c r="J36" s="1800"/>
      <c r="K36" s="1800"/>
      <c r="L36" s="1158"/>
      <c r="M36" s="1158"/>
      <c r="N36" s="1158"/>
      <c r="O36" s="1158"/>
      <c r="P36" s="1158"/>
    </row>
    <row r="37" spans="1:17">
      <c r="A37" s="1156" t="s">
        <v>366</v>
      </c>
      <c r="B37" s="1156" t="s">
        <v>410</v>
      </c>
      <c r="C37" s="1156"/>
      <c r="D37" s="1156" t="s">
        <v>420</v>
      </c>
      <c r="E37" s="1158"/>
      <c r="F37" s="1161">
        <v>2019</v>
      </c>
      <c r="G37" s="1803">
        <v>2.9468021612745643E-2</v>
      </c>
      <c r="H37" s="1804">
        <v>2.0535388867007232E-2</v>
      </c>
      <c r="I37" s="1158"/>
      <c r="J37" s="1805"/>
      <c r="K37" s="1805"/>
      <c r="L37" s="1158"/>
      <c r="M37" s="1158"/>
      <c r="N37" s="1158"/>
      <c r="O37" s="1158"/>
      <c r="P37" s="1158"/>
    </row>
    <row r="38" spans="1:17">
      <c r="A38" s="1156" t="s">
        <v>366</v>
      </c>
      <c r="B38" s="1156" t="s">
        <v>410</v>
      </c>
      <c r="C38" s="1156"/>
      <c r="D38" s="1156" t="s">
        <v>420</v>
      </c>
      <c r="E38" s="1158"/>
      <c r="F38" s="1161">
        <v>2020</v>
      </c>
      <c r="G38" s="1803">
        <v>2.7703497210823214E-2</v>
      </c>
      <c r="H38" s="1804">
        <v>1.8635304846784218E-2</v>
      </c>
      <c r="I38" s="1158"/>
      <c r="J38" s="1805"/>
      <c r="K38" s="1805"/>
      <c r="L38" s="1158"/>
      <c r="M38" s="1158"/>
      <c r="N38" s="1158"/>
      <c r="O38" s="1158"/>
      <c r="P38" s="1158"/>
    </row>
    <row r="39" spans="1:17">
      <c r="A39" s="1156" t="s">
        <v>366</v>
      </c>
      <c r="B39" s="1156" t="s">
        <v>410</v>
      </c>
      <c r="C39" s="1156"/>
      <c r="D39" s="1156" t="s">
        <v>420</v>
      </c>
      <c r="E39" s="1158"/>
      <c r="F39" s="1161">
        <v>2021</v>
      </c>
      <c r="G39" s="1803">
        <v>3.0218384584692615E-2</v>
      </c>
      <c r="H39" s="1804">
        <v>1.9848033792205788E-2</v>
      </c>
      <c r="I39" s="1158"/>
      <c r="J39" s="1805"/>
      <c r="K39" s="1805"/>
      <c r="L39" s="1158"/>
      <c r="M39" s="1158"/>
      <c r="N39" s="1158"/>
      <c r="O39" s="1158"/>
      <c r="P39" s="1158"/>
    </row>
    <row r="40" spans="1:17">
      <c r="A40" s="1156" t="s">
        <v>366</v>
      </c>
      <c r="B40" s="1156" t="s">
        <v>410</v>
      </c>
      <c r="C40" s="1156"/>
      <c r="D40" s="1156" t="s">
        <v>420</v>
      </c>
      <c r="E40" s="1158"/>
      <c r="F40" s="1161">
        <v>2022</v>
      </c>
      <c r="G40" s="1803">
        <v>3.0691602889266978E-2</v>
      </c>
      <c r="H40" s="1804">
        <v>1.9995893433744083E-2</v>
      </c>
      <c r="I40" s="1158"/>
      <c r="J40" s="1805"/>
      <c r="K40" s="1805"/>
      <c r="L40" s="1158"/>
      <c r="M40" s="1158"/>
      <c r="N40" s="1158"/>
      <c r="O40" s="1158"/>
      <c r="P40" s="1158"/>
    </row>
    <row r="41" spans="1:17">
      <c r="A41" s="1156" t="s">
        <v>366</v>
      </c>
      <c r="B41" s="1156" t="s">
        <v>410</v>
      </c>
      <c r="C41" s="1156"/>
      <c r="D41" s="1156" t="s">
        <v>420</v>
      </c>
      <c r="E41" s="1158"/>
      <c r="F41" s="1161">
        <v>2023</v>
      </c>
      <c r="G41" s="1803">
        <v>3.0657983137263534E-2</v>
      </c>
      <c r="H41" s="1804">
        <v>1.9999998035663102E-2</v>
      </c>
      <c r="I41" s="1158"/>
      <c r="J41" s="1158"/>
      <c r="K41" s="1158"/>
      <c r="L41" s="1158"/>
      <c r="M41" s="1158"/>
      <c r="N41" s="1158"/>
      <c r="O41" s="1158"/>
      <c r="P41" s="1158"/>
    </row>
    <row r="42" spans="1:17" ht="14.25">
      <c r="A42" s="1156" t="s">
        <v>366</v>
      </c>
      <c r="B42" s="1156" t="s">
        <v>410</v>
      </c>
      <c r="C42" s="1156" t="s">
        <v>367</v>
      </c>
      <c r="D42" s="1156"/>
      <c r="E42" s="20"/>
      <c r="F42" s="20"/>
      <c r="G42" s="20"/>
      <c r="H42" s="20"/>
      <c r="I42" s="20"/>
      <c r="J42" s="20"/>
      <c r="K42" s="20"/>
      <c r="L42" s="20"/>
      <c r="M42" s="20"/>
      <c r="N42" s="20"/>
      <c r="O42" s="20"/>
      <c r="P42" s="20"/>
    </row>
    <row r="43" spans="1:17">
      <c r="A43" s="1156" t="s">
        <v>366</v>
      </c>
      <c r="B43" s="1156" t="s">
        <v>421</v>
      </c>
      <c r="C43" s="1156" t="s">
        <v>367</v>
      </c>
      <c r="D43" s="1156"/>
      <c r="E43" s="1158"/>
      <c r="F43" s="1161"/>
      <c r="G43" s="1161"/>
      <c r="H43" s="1158"/>
      <c r="I43" s="1158"/>
      <c r="J43" s="1158"/>
      <c r="K43" s="1158"/>
      <c r="L43" s="1158"/>
      <c r="M43" s="1158"/>
      <c r="N43" s="1158"/>
      <c r="O43" s="1158"/>
      <c r="P43" s="1158"/>
    </row>
    <row r="44" spans="1:17" s="1160" customFormat="1" hidden="1">
      <c r="A44" s="1156" t="s">
        <v>366</v>
      </c>
      <c r="B44" s="1156" t="s">
        <v>421</v>
      </c>
      <c r="C44" s="1156" t="s">
        <v>411</v>
      </c>
      <c r="D44" s="1156"/>
      <c r="E44" s="1156" t="s">
        <v>367</v>
      </c>
      <c r="F44" s="1156" t="s">
        <v>412</v>
      </c>
      <c r="G44" s="1156" t="s">
        <v>412</v>
      </c>
      <c r="H44" s="1156" t="s">
        <v>412</v>
      </c>
      <c r="I44" s="1156" t="s">
        <v>367</v>
      </c>
      <c r="J44" s="1156" t="s">
        <v>413</v>
      </c>
      <c r="K44" s="1156" t="s">
        <v>413</v>
      </c>
      <c r="L44" s="1156" t="s">
        <v>367</v>
      </c>
      <c r="M44" s="1156" t="s">
        <v>422</v>
      </c>
      <c r="N44" s="1156" t="s">
        <v>422</v>
      </c>
      <c r="O44" s="1156" t="s">
        <v>367</v>
      </c>
      <c r="P44" s="1156" t="s">
        <v>423</v>
      </c>
      <c r="Q44" s="1156" t="s">
        <v>371</v>
      </c>
    </row>
    <row r="45" spans="1:17" s="1160" customFormat="1" hidden="1">
      <c r="A45" s="1156" t="s">
        <v>366</v>
      </c>
      <c r="B45" s="1156" t="s">
        <v>421</v>
      </c>
      <c r="C45" s="1156" t="s">
        <v>370</v>
      </c>
      <c r="D45" s="1156"/>
      <c r="E45" s="1156" t="s">
        <v>367</v>
      </c>
      <c r="F45" s="1156" t="s">
        <v>367</v>
      </c>
      <c r="G45" s="1156" t="s">
        <v>371</v>
      </c>
      <c r="H45" s="1156" t="s">
        <v>371</v>
      </c>
      <c r="I45" s="1156" t="s">
        <v>367</v>
      </c>
      <c r="J45" s="1156" t="s">
        <v>371</v>
      </c>
      <c r="K45" s="1156" t="s">
        <v>371</v>
      </c>
      <c r="L45" s="1156" t="s">
        <v>367</v>
      </c>
      <c r="M45" s="1156" t="s">
        <v>371</v>
      </c>
      <c r="N45" s="1156" t="s">
        <v>371</v>
      </c>
      <c r="O45" s="1156" t="s">
        <v>367</v>
      </c>
      <c r="P45" s="1156" t="s">
        <v>371</v>
      </c>
      <c r="Q45" s="1156" t="s">
        <v>371</v>
      </c>
    </row>
    <row r="46" spans="1:17">
      <c r="A46" s="1156" t="s">
        <v>366</v>
      </c>
      <c r="B46" s="1156" t="s">
        <v>421</v>
      </c>
      <c r="C46" s="1156" t="s">
        <v>415</v>
      </c>
      <c r="D46" s="1156"/>
      <c r="E46" s="1158"/>
      <c r="F46" s="1167" t="s">
        <v>424</v>
      </c>
      <c r="G46" s="1168" t="s">
        <v>425</v>
      </c>
      <c r="H46" s="1169" t="s">
        <v>426</v>
      </c>
      <c r="I46" s="1170"/>
      <c r="J46" s="1168" t="s">
        <v>427</v>
      </c>
      <c r="K46" s="1168" t="s">
        <v>428</v>
      </c>
      <c r="L46" s="1171"/>
      <c r="M46" s="1168" t="s">
        <v>429</v>
      </c>
      <c r="N46" s="1172" t="s">
        <v>430</v>
      </c>
      <c r="O46" s="1158"/>
      <c r="P46" s="1172" t="s">
        <v>431</v>
      </c>
    </row>
    <row r="47" spans="1:17">
      <c r="A47" s="1156" t="s">
        <v>366</v>
      </c>
      <c r="B47" s="1156" t="s">
        <v>421</v>
      </c>
      <c r="C47" s="1156"/>
      <c r="D47" s="1156" t="s">
        <v>432</v>
      </c>
      <c r="E47" s="1158"/>
      <c r="F47" s="1161" t="s">
        <v>433</v>
      </c>
      <c r="G47" s="1173">
        <v>182.47499999999999</v>
      </c>
      <c r="H47" s="1174">
        <v>0</v>
      </c>
      <c r="I47" s="1175"/>
      <c r="J47" s="1173">
        <v>182.47499999999999</v>
      </c>
      <c r="K47" s="1176">
        <v>0</v>
      </c>
      <c r="L47" s="1177"/>
      <c r="M47" s="1173"/>
      <c r="N47" s="1173"/>
      <c r="O47" s="1158"/>
      <c r="P47" s="1172" t="b">
        <f>IF(VALUE(RIGHT($F47,2))&gt;=22,TRUE,FALSE)</f>
        <v>0</v>
      </c>
    </row>
    <row r="48" spans="1:17">
      <c r="A48" s="1156" t="s">
        <v>366</v>
      </c>
      <c r="B48" s="1156" t="s">
        <v>421</v>
      </c>
      <c r="C48" s="1156"/>
      <c r="D48" s="1156" t="s">
        <v>434</v>
      </c>
      <c r="E48" s="1158"/>
      <c r="F48" s="1161" t="s">
        <v>435</v>
      </c>
      <c r="G48" s="1178">
        <f>G47*(1+H48)</f>
        <v>188.15</v>
      </c>
      <c r="H48" s="1179">
        <f t="shared" ref="H48:H69" si="0">IF(P48=TRUE,N48,K48)</f>
        <v>3.1100150705576146E-2</v>
      </c>
      <c r="I48" s="1175"/>
      <c r="J48" s="1173">
        <v>188.15</v>
      </c>
      <c r="K48" s="1176">
        <f>J48/J47-1</f>
        <v>3.1100150705576146E-2</v>
      </c>
      <c r="L48" s="1177"/>
      <c r="M48" s="1173"/>
      <c r="N48" s="1180"/>
      <c r="O48" s="1158"/>
      <c r="P48" s="1172" t="b">
        <f t="shared" ref="P48:P69" si="1">IF(VALUE(RIGHT($F48,2))&gt;=22,TRUE,FALSE)</f>
        <v>0</v>
      </c>
    </row>
    <row r="49" spans="1:16">
      <c r="A49" s="1156" t="s">
        <v>366</v>
      </c>
      <c r="B49" s="1156" t="s">
        <v>421</v>
      </c>
      <c r="C49" s="1156"/>
      <c r="D49" s="1156" t="s">
        <v>436</v>
      </c>
      <c r="E49" s="1158"/>
      <c r="F49" s="1161" t="s">
        <v>437</v>
      </c>
      <c r="G49" s="1178">
        <f t="shared" ref="G49:G69" si="2">G48*(1+H49)</f>
        <v>193.10830000000001</v>
      </c>
      <c r="H49" s="1179">
        <f t="shared" si="0"/>
        <v>2.6352909912304101E-2</v>
      </c>
      <c r="I49" s="1175"/>
      <c r="J49" s="1173">
        <v>193.10830000000001</v>
      </c>
      <c r="K49" s="1176">
        <f t="shared" ref="K49:K60" si="3">J49/J48-1</f>
        <v>2.6352909912304101E-2</v>
      </c>
      <c r="L49" s="1177"/>
      <c r="M49" s="1173">
        <v>79.825000000000003</v>
      </c>
      <c r="N49" s="1176">
        <v>0</v>
      </c>
      <c r="O49" s="1158"/>
      <c r="P49" s="1172" t="b">
        <f t="shared" si="1"/>
        <v>0</v>
      </c>
    </row>
    <row r="50" spans="1:16">
      <c r="A50" s="1156" t="s">
        <v>366</v>
      </c>
      <c r="B50" s="1156" t="s">
        <v>421</v>
      </c>
      <c r="C50" s="1156"/>
      <c r="D50" s="1156" t="s">
        <v>438</v>
      </c>
      <c r="E50" s="1158"/>
      <c r="F50" s="1161" t="s">
        <v>439</v>
      </c>
      <c r="G50" s="1178">
        <f t="shared" si="2"/>
        <v>200.3167</v>
      </c>
      <c r="H50" s="1179">
        <f t="shared" si="0"/>
        <v>3.7328276412769368E-2</v>
      </c>
      <c r="I50" s="1175"/>
      <c r="J50" s="1173">
        <v>200.3167</v>
      </c>
      <c r="K50" s="1176">
        <f t="shared" si="3"/>
        <v>3.7328276412769368E-2</v>
      </c>
      <c r="L50" s="1177"/>
      <c r="M50" s="1173">
        <v>81.916666666666671</v>
      </c>
      <c r="N50" s="1176">
        <f t="shared" ref="N50:N62" si="4">M50/M49-1</f>
        <v>2.6203152729930013E-2</v>
      </c>
      <c r="O50" s="1158"/>
      <c r="P50" s="1172" t="b">
        <f t="shared" si="1"/>
        <v>0</v>
      </c>
    </row>
    <row r="51" spans="1:16">
      <c r="A51" s="1156" t="s">
        <v>366</v>
      </c>
      <c r="B51" s="1156" t="s">
        <v>421</v>
      </c>
      <c r="C51" s="1156"/>
      <c r="D51" s="1156" t="s">
        <v>440</v>
      </c>
      <c r="E51" s="1158"/>
      <c r="F51" s="1161" t="s">
        <v>441</v>
      </c>
      <c r="G51" s="1178">
        <f t="shared" si="2"/>
        <v>208.59170000000003</v>
      </c>
      <c r="H51" s="1179">
        <f t="shared" si="0"/>
        <v>4.1309586270141363E-2</v>
      </c>
      <c r="I51" s="1175"/>
      <c r="J51" s="1173">
        <v>208.5917</v>
      </c>
      <c r="K51" s="1176">
        <f t="shared" si="3"/>
        <v>4.1309586270141363E-2</v>
      </c>
      <c r="L51" s="1177"/>
      <c r="M51" s="1173">
        <v>83.825000000000003</v>
      </c>
      <c r="N51" s="1176">
        <f t="shared" si="4"/>
        <v>2.3296032553407953E-2</v>
      </c>
      <c r="O51" s="1158"/>
      <c r="P51" s="1172" t="b">
        <f t="shared" si="1"/>
        <v>0</v>
      </c>
    </row>
    <row r="52" spans="1:16">
      <c r="A52" s="1156" t="s">
        <v>366</v>
      </c>
      <c r="B52" s="1156" t="s">
        <v>421</v>
      </c>
      <c r="C52" s="1156"/>
      <c r="D52" s="1156" t="s">
        <v>442</v>
      </c>
      <c r="E52" s="1158"/>
      <c r="F52" s="1161" t="s">
        <v>443</v>
      </c>
      <c r="G52" s="1178">
        <f t="shared" si="2"/>
        <v>214.78330000000003</v>
      </c>
      <c r="H52" s="1179">
        <f t="shared" si="0"/>
        <v>2.9682868493808634E-2</v>
      </c>
      <c r="I52" s="1175"/>
      <c r="J52" s="1173">
        <v>214.7833</v>
      </c>
      <c r="K52" s="1176">
        <f t="shared" si="3"/>
        <v>2.9682868493808634E-2</v>
      </c>
      <c r="L52" s="1177"/>
      <c r="M52" s="1173">
        <v>86.858333333333334</v>
      </c>
      <c r="N52" s="1176">
        <f t="shared" si="4"/>
        <v>3.6186499652052895E-2</v>
      </c>
      <c r="O52" s="1158"/>
      <c r="P52" s="1172" t="b">
        <f t="shared" si="1"/>
        <v>0</v>
      </c>
    </row>
    <row r="53" spans="1:16">
      <c r="A53" s="1156" t="s">
        <v>366</v>
      </c>
      <c r="B53" s="1156" t="s">
        <v>421</v>
      </c>
      <c r="C53" s="1156"/>
      <c r="D53" s="1156" t="s">
        <v>444</v>
      </c>
      <c r="E53" s="1158"/>
      <c r="F53" s="1161" t="s">
        <v>445</v>
      </c>
      <c r="G53" s="1178">
        <f t="shared" si="2"/>
        <v>215.76670000000001</v>
      </c>
      <c r="H53" s="1179">
        <f t="shared" si="0"/>
        <v>4.5785682592640597E-3</v>
      </c>
      <c r="I53" s="1175"/>
      <c r="J53" s="1173">
        <v>215.76669999999999</v>
      </c>
      <c r="K53" s="1176">
        <f t="shared" si="3"/>
        <v>4.5785682592640597E-3</v>
      </c>
      <c r="L53" s="1177"/>
      <c r="M53" s="1173">
        <v>88.433333333333337</v>
      </c>
      <c r="N53" s="1176">
        <f t="shared" si="4"/>
        <v>1.8132975151108122E-2</v>
      </c>
      <c r="O53" s="1158"/>
      <c r="P53" s="1172" t="b">
        <f t="shared" si="1"/>
        <v>0</v>
      </c>
    </row>
    <row r="54" spans="1:16">
      <c r="A54" s="1156" t="s">
        <v>366</v>
      </c>
      <c r="B54" s="1156" t="s">
        <v>421</v>
      </c>
      <c r="C54" s="1156"/>
      <c r="D54" s="1156" t="s">
        <v>446</v>
      </c>
      <c r="E54" s="1158"/>
      <c r="F54" s="1161" t="s">
        <v>447</v>
      </c>
      <c r="G54" s="1178">
        <f t="shared" si="2"/>
        <v>226.47499999999999</v>
      </c>
      <c r="H54" s="1179">
        <f t="shared" si="0"/>
        <v>4.9629066950553469E-2</v>
      </c>
      <c r="I54" s="1175"/>
      <c r="J54" s="1173">
        <v>226.47499999999999</v>
      </c>
      <c r="K54" s="1176">
        <f t="shared" si="3"/>
        <v>4.9629066950553469E-2</v>
      </c>
      <c r="L54" s="1177"/>
      <c r="M54" s="1173">
        <v>90.908333333333317</v>
      </c>
      <c r="N54" s="1176">
        <f t="shared" si="4"/>
        <v>2.7987184319637981E-2</v>
      </c>
      <c r="O54" s="1158"/>
      <c r="P54" s="1172" t="b">
        <f t="shared" si="1"/>
        <v>0</v>
      </c>
    </row>
    <row r="55" spans="1:16">
      <c r="A55" s="1156" t="s">
        <v>366</v>
      </c>
      <c r="B55" s="1156" t="s">
        <v>421</v>
      </c>
      <c r="C55" s="1156"/>
      <c r="D55" s="1156" t="s">
        <v>448</v>
      </c>
      <c r="E55" s="1158"/>
      <c r="F55" s="1161" t="s">
        <v>449</v>
      </c>
      <c r="G55" s="1178">
        <f t="shared" si="2"/>
        <v>237.3417</v>
      </c>
      <c r="H55" s="1179">
        <f t="shared" si="0"/>
        <v>4.7981896456562589E-2</v>
      </c>
      <c r="I55" s="1175"/>
      <c r="J55" s="1173">
        <v>237.3417</v>
      </c>
      <c r="K55" s="1176">
        <f t="shared" si="3"/>
        <v>4.7981896456562589E-2</v>
      </c>
      <c r="L55" s="1177"/>
      <c r="M55" s="1173">
        <v>94.308333333333351</v>
      </c>
      <c r="N55" s="1176">
        <f t="shared" si="4"/>
        <v>3.7400311669264275E-2</v>
      </c>
      <c r="O55" s="1158"/>
      <c r="P55" s="1172" t="b">
        <f t="shared" si="1"/>
        <v>0</v>
      </c>
    </row>
    <row r="56" spans="1:16">
      <c r="A56" s="1156" t="s">
        <v>366</v>
      </c>
      <c r="B56" s="1156" t="s">
        <v>421</v>
      </c>
      <c r="C56" s="1156"/>
      <c r="D56" s="1156" t="s">
        <v>450</v>
      </c>
      <c r="E56" s="1158"/>
      <c r="F56" s="1161" t="s">
        <v>451</v>
      </c>
      <c r="G56" s="1178">
        <f t="shared" si="2"/>
        <v>244.67499999999998</v>
      </c>
      <c r="H56" s="1179">
        <f t="shared" si="0"/>
        <v>3.0897646726217864E-2</v>
      </c>
      <c r="I56" s="1175"/>
      <c r="J56" s="1173">
        <v>244.67500000000001</v>
      </c>
      <c r="K56" s="1176">
        <f t="shared" si="3"/>
        <v>3.0897646726217864E-2</v>
      </c>
      <c r="L56" s="1177"/>
      <c r="M56" s="1173">
        <v>96.583333333333314</v>
      </c>
      <c r="N56" s="1176">
        <f t="shared" si="4"/>
        <v>2.4123000795263305E-2</v>
      </c>
      <c r="O56" s="1158"/>
      <c r="P56" s="1172" t="b">
        <f t="shared" si="1"/>
        <v>0</v>
      </c>
    </row>
    <row r="57" spans="1:16">
      <c r="A57" s="1156" t="s">
        <v>366</v>
      </c>
      <c r="B57" s="1156" t="s">
        <v>421</v>
      </c>
      <c r="C57" s="1156"/>
      <c r="D57" s="1156" t="s">
        <v>452</v>
      </c>
      <c r="E57" s="1158"/>
      <c r="F57" s="1161" t="s">
        <v>453</v>
      </c>
      <c r="G57" s="1178">
        <f t="shared" si="2"/>
        <v>251.73299999999998</v>
      </c>
      <c r="H57" s="1179">
        <f t="shared" si="0"/>
        <v>2.8846428936344148E-2</v>
      </c>
      <c r="I57" s="1175"/>
      <c r="J57" s="1173">
        <v>251.733</v>
      </c>
      <c r="K57" s="1176">
        <f t="shared" si="3"/>
        <v>2.8846428936344148E-2</v>
      </c>
      <c r="L57" s="1177"/>
      <c r="M57" s="1173">
        <v>98.600000000000009</v>
      </c>
      <c r="N57" s="1176">
        <f t="shared" si="4"/>
        <v>2.088006902502193E-2</v>
      </c>
      <c r="O57" s="1158"/>
      <c r="P57" s="1172" t="b">
        <f t="shared" si="1"/>
        <v>0</v>
      </c>
    </row>
    <row r="58" spans="1:16">
      <c r="A58" s="1156" t="s">
        <v>366</v>
      </c>
      <c r="B58" s="1156" t="s">
        <v>421</v>
      </c>
      <c r="C58" s="1156"/>
      <c r="D58" s="1156" t="s">
        <v>454</v>
      </c>
      <c r="E58" s="1158"/>
      <c r="F58" s="1161" t="s">
        <v>455</v>
      </c>
      <c r="G58" s="1178">
        <f t="shared" si="2"/>
        <v>256.66666666666663</v>
      </c>
      <c r="H58" s="1179">
        <f t="shared" si="0"/>
        <v>1.9598807731472156E-2</v>
      </c>
      <c r="I58" s="1175"/>
      <c r="J58" s="1173">
        <v>256.66666666666669</v>
      </c>
      <c r="K58" s="1176">
        <f t="shared" si="3"/>
        <v>1.9598807731472156E-2</v>
      </c>
      <c r="L58" s="1177"/>
      <c r="M58" s="1173">
        <v>99.72499999999998</v>
      </c>
      <c r="N58" s="1176">
        <f t="shared" si="4"/>
        <v>1.1409736308316099E-2</v>
      </c>
      <c r="O58" s="1158"/>
      <c r="P58" s="1172" t="b">
        <f t="shared" si="1"/>
        <v>0</v>
      </c>
    </row>
    <row r="59" spans="1:16" ht="14.25" customHeight="1">
      <c r="A59" s="1156" t="s">
        <v>366</v>
      </c>
      <c r="B59" s="1156" t="s">
        <v>421</v>
      </c>
      <c r="C59" s="1156"/>
      <c r="D59" s="1156" t="s">
        <v>456</v>
      </c>
      <c r="E59" s="1158"/>
      <c r="F59" s="1161" t="s">
        <v>457</v>
      </c>
      <c r="G59" s="1178">
        <f t="shared" si="2"/>
        <v>259.43333333333328</v>
      </c>
      <c r="H59" s="1179">
        <f t="shared" si="0"/>
        <v>1.0779220779220777E-2</v>
      </c>
      <c r="I59" s="1175"/>
      <c r="J59" s="1173">
        <v>259.43333333333334</v>
      </c>
      <c r="K59" s="1176">
        <f t="shared" si="3"/>
        <v>1.0779220779220777E-2</v>
      </c>
      <c r="L59" s="1177"/>
      <c r="M59" s="1173">
        <v>100.16666666666667</v>
      </c>
      <c r="N59" s="1176">
        <f t="shared" si="4"/>
        <v>4.4288459931480784E-3</v>
      </c>
      <c r="O59" s="1158"/>
      <c r="P59" s="1172" t="b">
        <f t="shared" si="1"/>
        <v>0</v>
      </c>
    </row>
    <row r="60" spans="1:16" ht="12" customHeight="1">
      <c r="A60" s="1156" t="s">
        <v>366</v>
      </c>
      <c r="B60" s="1156" t="s">
        <v>421</v>
      </c>
      <c r="C60" s="1156"/>
      <c r="D60" s="1156" t="s">
        <v>458</v>
      </c>
      <c r="E60" s="1158"/>
      <c r="F60" s="1161" t="s">
        <v>459</v>
      </c>
      <c r="G60" s="1178">
        <f t="shared" si="2"/>
        <v>264.99199999999996</v>
      </c>
      <c r="H60" s="1179">
        <f t="shared" si="0"/>
        <v>2.1426185275600806E-2</v>
      </c>
      <c r="I60" s="1175"/>
      <c r="J60" s="1181">
        <v>264.99200000000002</v>
      </c>
      <c r="K60" s="1176">
        <f t="shared" si="3"/>
        <v>2.1426185275600806E-2</v>
      </c>
      <c r="L60" s="1182"/>
      <c r="M60" s="1181">
        <v>101.54166666666667</v>
      </c>
      <c r="N60" s="1176">
        <f t="shared" si="4"/>
        <v>1.3727121464226277E-2</v>
      </c>
      <c r="O60" s="1158"/>
      <c r="P60" s="1172" t="b">
        <f t="shared" si="1"/>
        <v>0</v>
      </c>
    </row>
    <row r="61" spans="1:16">
      <c r="A61" s="1156" t="s">
        <v>366</v>
      </c>
      <c r="B61" s="1156" t="s">
        <v>421</v>
      </c>
      <c r="C61" s="1156"/>
      <c r="D61" s="1156" t="s">
        <v>460</v>
      </c>
      <c r="E61" s="1158"/>
      <c r="F61" s="1161" t="s">
        <v>461</v>
      </c>
      <c r="G61" s="1178">
        <f t="shared" si="2"/>
        <v>274.90799999999996</v>
      </c>
      <c r="H61" s="1179">
        <f t="shared" si="0"/>
        <v>3.7419997584832831E-2</v>
      </c>
      <c r="I61" s="1175"/>
      <c r="J61" s="1173">
        <v>274.90800000000002</v>
      </c>
      <c r="K61" s="1176">
        <f>J61/J60-1</f>
        <v>3.7419997584832831E-2</v>
      </c>
      <c r="L61" s="1177"/>
      <c r="M61" s="1181">
        <v>104.21666666666665</v>
      </c>
      <c r="N61" s="1176">
        <f t="shared" si="4"/>
        <v>2.6343865408288814E-2</v>
      </c>
      <c r="O61" s="1158"/>
      <c r="P61" s="1172" t="b">
        <f t="shared" si="1"/>
        <v>0</v>
      </c>
    </row>
    <row r="62" spans="1:16">
      <c r="A62" s="1156" t="s">
        <v>366</v>
      </c>
      <c r="B62" s="1156" t="s">
        <v>421</v>
      </c>
      <c r="C62" s="1156"/>
      <c r="D62" s="1156" t="s">
        <v>462</v>
      </c>
      <c r="E62" s="1158"/>
      <c r="F62" s="1161" t="s">
        <v>463</v>
      </c>
      <c r="G62" s="1178">
        <f t="shared" si="2"/>
        <v>283.30799999999988</v>
      </c>
      <c r="H62" s="1179">
        <f t="shared" si="0"/>
        <v>3.0555676808241117E-2</v>
      </c>
      <c r="I62" s="1175"/>
      <c r="J62" s="1173">
        <v>283.30799999999999</v>
      </c>
      <c r="K62" s="1176">
        <f>J62/J61-1</f>
        <v>3.0555676808241117E-2</v>
      </c>
      <c r="L62" s="1177"/>
      <c r="M62" s="1806">
        <v>106.43300000000001</v>
      </c>
      <c r="N62" s="1176">
        <f t="shared" si="4"/>
        <v>2.126659203582304E-2</v>
      </c>
      <c r="O62" s="1158"/>
      <c r="P62" s="1172" t="b">
        <f t="shared" si="1"/>
        <v>0</v>
      </c>
    </row>
    <row r="63" spans="1:16">
      <c r="A63" s="1156" t="s">
        <v>366</v>
      </c>
      <c r="B63" s="1156" t="s">
        <v>421</v>
      </c>
      <c r="C63" s="1156"/>
      <c r="D63" s="1156" t="s">
        <v>464</v>
      </c>
      <c r="E63" s="1158"/>
      <c r="F63" s="1161" t="s">
        <v>465</v>
      </c>
      <c r="G63" s="1178">
        <f t="shared" si="2"/>
        <v>291.53155029724866</v>
      </c>
      <c r="H63" s="1179">
        <f t="shared" si="0"/>
        <v>2.9026890512265036E-2</v>
      </c>
      <c r="I63" s="1175"/>
      <c r="J63" s="1178">
        <f t="shared" ref="J63:J69" si="5">J62*(1+K63)</f>
        <v>291.53155029724877</v>
      </c>
      <c r="K63" s="1183">
        <f>(G37*0.75)+(G38*0.25)</f>
        <v>2.9026890512265036E-2</v>
      </c>
      <c r="L63" s="1177"/>
      <c r="M63" s="1178">
        <f t="shared" ref="M63:M69" si="6">M62*(1+N63)</f>
        <v>108.56808513265109</v>
      </c>
      <c r="N63" s="1184">
        <f>(H37*0.75)+(H38*0.25)</f>
        <v>2.0060367861951478E-2</v>
      </c>
      <c r="O63" s="1158"/>
      <c r="P63" s="1172" t="b">
        <f t="shared" si="1"/>
        <v>0</v>
      </c>
    </row>
    <row r="64" spans="1:16">
      <c r="A64" s="1156" t="s">
        <v>366</v>
      </c>
      <c r="B64" s="1156" t="s">
        <v>421</v>
      </c>
      <c r="C64" s="1156"/>
      <c r="D64" s="1156" t="s">
        <v>466</v>
      </c>
      <c r="E64" s="1158"/>
      <c r="F64" s="1161" t="s">
        <v>467</v>
      </c>
      <c r="G64" s="1178">
        <f t="shared" si="2"/>
        <v>299.79128604150719</v>
      </c>
      <c r="H64" s="1179">
        <f t="shared" si="0"/>
        <v>2.8332219054290564E-2</v>
      </c>
      <c r="I64" s="1175"/>
      <c r="J64" s="1178">
        <f t="shared" si="5"/>
        <v>299.79128604150736</v>
      </c>
      <c r="K64" s="1183">
        <f t="shared" ref="K64:K66" si="7">(G38*0.75)+(G39*0.25)</f>
        <v>2.8332219054290564E-2</v>
      </c>
      <c r="L64" s="1177"/>
      <c r="M64" s="1178">
        <f t="shared" si="6"/>
        <v>110.62420041057699</v>
      </c>
      <c r="N64" s="1184">
        <f t="shared" ref="N64:N66" si="8">(H38*0.75)+(H39*0.25)</f>
        <v>1.893848708313961E-2</v>
      </c>
      <c r="O64" s="1158"/>
      <c r="P64" s="1172" t="b">
        <f t="shared" si="1"/>
        <v>0</v>
      </c>
    </row>
    <row r="65" spans="1:17">
      <c r="A65" s="1156" t="s">
        <v>366</v>
      </c>
      <c r="B65" s="1156" t="s">
        <v>421</v>
      </c>
      <c r="C65" s="1156"/>
      <c r="D65" s="1156" t="s">
        <v>468</v>
      </c>
      <c r="E65" s="1158"/>
      <c r="F65" s="1161" t="s">
        <v>469</v>
      </c>
      <c r="G65" s="1178">
        <f t="shared" si="2"/>
        <v>305.75263537549046</v>
      </c>
      <c r="H65" s="1179">
        <f t="shared" si="0"/>
        <v>1.9884998702590362E-2</v>
      </c>
      <c r="I65" s="1175"/>
      <c r="J65" s="1178">
        <f t="shared" si="5"/>
        <v>308.88596109927585</v>
      </c>
      <c r="K65" s="1183">
        <f t="shared" si="7"/>
        <v>3.0336689160836205E-2</v>
      </c>
      <c r="L65" s="1177"/>
      <c r="M65" s="1178">
        <f t="shared" si="6"/>
        <v>112.82396249221641</v>
      </c>
      <c r="N65" s="1184">
        <f t="shared" si="8"/>
        <v>1.9884998702590362E-2</v>
      </c>
      <c r="O65" s="1158"/>
      <c r="P65" s="1172" t="b">
        <f t="shared" si="1"/>
        <v>1</v>
      </c>
    </row>
    <row r="66" spans="1:17">
      <c r="A66" s="1156" t="s">
        <v>366</v>
      </c>
      <c r="B66" s="1156" t="s">
        <v>421</v>
      </c>
      <c r="C66" s="1156"/>
      <c r="D66" s="1156" t="s">
        <v>470</v>
      </c>
      <c r="E66" s="1158"/>
      <c r="F66" s="1161" t="s">
        <v>471</v>
      </c>
      <c r="G66" s="1178">
        <f t="shared" si="2"/>
        <v>311.86674623775866</v>
      </c>
      <c r="H66" s="1179">
        <f t="shared" si="0"/>
        <v>1.9996919584223838E-2</v>
      </c>
      <c r="I66" s="1175"/>
      <c r="J66" s="1178">
        <f t="shared" si="5"/>
        <v>318.36357018805199</v>
      </c>
      <c r="K66" s="1183">
        <f t="shared" si="7"/>
        <v>3.0683197951266117E-2</v>
      </c>
      <c r="L66" s="1177"/>
      <c r="M66" s="1178">
        <f t="shared" si="6"/>
        <v>115.08009419734674</v>
      </c>
      <c r="N66" s="1184">
        <f t="shared" si="8"/>
        <v>1.9996919584223838E-2</v>
      </c>
      <c r="O66" s="1158"/>
      <c r="P66" s="1172" t="b">
        <f t="shared" si="1"/>
        <v>1</v>
      </c>
    </row>
    <row r="67" spans="1:17">
      <c r="A67" s="1156" t="s">
        <v>366</v>
      </c>
      <c r="B67" s="1156" t="s">
        <v>421</v>
      </c>
      <c r="C67" s="1156"/>
      <c r="D67" s="1156" t="s">
        <v>472</v>
      </c>
      <c r="E67" s="1158"/>
      <c r="F67" s="1185" t="s">
        <v>473</v>
      </c>
      <c r="G67" s="1178">
        <f t="shared" si="2"/>
        <v>318.10312048326864</v>
      </c>
      <c r="H67" s="1179">
        <f t="shared" si="0"/>
        <v>1.9996919584223838E-2</v>
      </c>
      <c r="I67" s="1175"/>
      <c r="J67" s="1178">
        <f t="shared" si="5"/>
        <v>328.13198263260381</v>
      </c>
      <c r="K67" s="1183">
        <f>K66</f>
        <v>3.0683197951266117E-2</v>
      </c>
      <c r="L67" s="1177"/>
      <c r="M67" s="1178">
        <f t="shared" si="6"/>
        <v>117.38134158675598</v>
      </c>
      <c r="N67" s="1184">
        <f>N66</f>
        <v>1.9996919584223838E-2</v>
      </c>
      <c r="O67" s="1158"/>
      <c r="P67" s="1172" t="b">
        <f t="shared" si="1"/>
        <v>1</v>
      </c>
    </row>
    <row r="68" spans="1:17">
      <c r="A68" s="1156" t="s">
        <v>366</v>
      </c>
      <c r="B68" s="1156" t="s">
        <v>421</v>
      </c>
      <c r="C68" s="1156"/>
      <c r="D68" s="1156" t="s">
        <v>474</v>
      </c>
      <c r="E68" s="1158"/>
      <c r="F68" s="1185" t="s">
        <v>475</v>
      </c>
      <c r="G68" s="1178">
        <f t="shared" si="2"/>
        <v>324.46420300306323</v>
      </c>
      <c r="H68" s="1179">
        <f t="shared" si="0"/>
        <v>1.9996919584223838E-2</v>
      </c>
      <c r="I68" s="1175"/>
      <c r="J68" s="1178">
        <f t="shared" si="5"/>
        <v>338.20012120986138</v>
      </c>
      <c r="K68" s="1183">
        <f t="shared" ref="K68:K69" si="9">K67</f>
        <v>3.0683197951266117E-2</v>
      </c>
      <c r="L68" s="1186"/>
      <c r="M68" s="1178">
        <f t="shared" si="6"/>
        <v>119.72860683515464</v>
      </c>
      <c r="N68" s="1184">
        <f t="shared" ref="N68:N69" si="10">N67</f>
        <v>1.9996919584223838E-2</v>
      </c>
      <c r="O68" s="1158"/>
      <c r="P68" s="1172" t="b">
        <f t="shared" si="1"/>
        <v>1</v>
      </c>
    </row>
    <row r="69" spans="1:17">
      <c r="A69" s="1156" t="s">
        <v>366</v>
      </c>
      <c r="B69" s="1156" t="s">
        <v>421</v>
      </c>
      <c r="C69" s="1156"/>
      <c r="D69" s="1156" t="s">
        <v>476</v>
      </c>
      <c r="E69" s="1158"/>
      <c r="F69" s="1185" t="s">
        <v>477</v>
      </c>
      <c r="G69" s="1178">
        <f t="shared" si="2"/>
        <v>330.95248757847475</v>
      </c>
      <c r="H69" s="1179">
        <f t="shared" si="0"/>
        <v>1.9996919584223838E-2</v>
      </c>
      <c r="I69" s="1175"/>
      <c r="J69" s="1178">
        <f t="shared" si="5"/>
        <v>348.57718247608574</v>
      </c>
      <c r="K69" s="1183">
        <f t="shared" si="9"/>
        <v>3.0683197951266117E-2</v>
      </c>
      <c r="L69" s="1186"/>
      <c r="M69" s="1178">
        <f t="shared" si="6"/>
        <v>122.12281015796837</v>
      </c>
      <c r="N69" s="1184">
        <f t="shared" si="10"/>
        <v>1.9996919584223838E-2</v>
      </c>
      <c r="O69" s="1158"/>
      <c r="P69" s="1172" t="b">
        <f t="shared" si="1"/>
        <v>1</v>
      </c>
    </row>
    <row r="70" spans="1:17" ht="14.25">
      <c r="A70" s="1156" t="s">
        <v>366</v>
      </c>
      <c r="B70" s="1156"/>
      <c r="C70" s="1156" t="s">
        <v>367</v>
      </c>
      <c r="D70" s="1156"/>
      <c r="E70" s="1158"/>
      <c r="F70" s="1187"/>
      <c r="G70" s="1187"/>
      <c r="H70" s="1158"/>
      <c r="I70" s="1158"/>
      <c r="J70" s="1158"/>
      <c r="K70" s="1158"/>
      <c r="L70" s="1188"/>
      <c r="M70" s="1158"/>
      <c r="N70" s="1158"/>
      <c r="O70" s="1158"/>
      <c r="P70" s="1158"/>
    </row>
    <row r="71" spans="1:17">
      <c r="A71" s="1156" t="s">
        <v>366</v>
      </c>
      <c r="B71" s="1156" t="s">
        <v>478</v>
      </c>
      <c r="C71" s="1156" t="s">
        <v>369</v>
      </c>
      <c r="D71" s="1156"/>
      <c r="E71" s="1158"/>
      <c r="F71" s="1158"/>
      <c r="G71" s="1158"/>
      <c r="H71" s="1158"/>
      <c r="I71" s="1158"/>
      <c r="J71" s="1158"/>
      <c r="K71" s="1158"/>
      <c r="L71" s="1158"/>
      <c r="M71" s="1158"/>
      <c r="N71" s="1158"/>
      <c r="O71" s="1158"/>
      <c r="P71" s="1158"/>
    </row>
    <row r="72" spans="1:17" s="1160" customFormat="1" hidden="1">
      <c r="A72" s="1156" t="s">
        <v>366</v>
      </c>
      <c r="B72" s="1156" t="s">
        <v>478</v>
      </c>
      <c r="C72" s="1156" t="s">
        <v>370</v>
      </c>
      <c r="D72" s="1156"/>
      <c r="E72" s="1156" t="s">
        <v>367</v>
      </c>
      <c r="F72" s="1156" t="s">
        <v>367</v>
      </c>
      <c r="G72" s="1156" t="s">
        <v>371</v>
      </c>
      <c r="H72" s="1156" t="s">
        <v>367</v>
      </c>
      <c r="I72" s="1156" t="s">
        <v>367</v>
      </c>
      <c r="J72" s="1156" t="s">
        <v>367</v>
      </c>
      <c r="K72" s="1156" t="s">
        <v>367</v>
      </c>
      <c r="L72" s="1156" t="s">
        <v>367</v>
      </c>
      <c r="M72" s="1156" t="s">
        <v>367</v>
      </c>
      <c r="N72" s="1156" t="s">
        <v>367</v>
      </c>
      <c r="O72" s="1156" t="s">
        <v>367</v>
      </c>
      <c r="P72" s="1156" t="s">
        <v>367</v>
      </c>
      <c r="Q72" s="1156" t="s">
        <v>367</v>
      </c>
    </row>
    <row r="73" spans="1:17">
      <c r="A73" s="1156" t="s">
        <v>366</v>
      </c>
      <c r="B73" s="1156" t="s">
        <v>478</v>
      </c>
      <c r="C73" s="1156"/>
      <c r="D73" s="1156" t="s">
        <v>479</v>
      </c>
      <c r="E73" s="1158"/>
      <c r="F73" s="1189" t="str">
        <f>"Convert 2009/10 prices to "&amp;$G$23</f>
        <v>Convert 2009/10 prices to 2018/19</v>
      </c>
      <c r="G73" s="1190">
        <f>VLOOKUP($G$23,$F$47:$G$69,2,FALSE)/$G$53</f>
        <v>1.3130293043365815</v>
      </c>
    </row>
    <row r="74" spans="1:17">
      <c r="A74" s="1156" t="s">
        <v>366</v>
      </c>
      <c r="B74" s="1156" t="s">
        <v>478</v>
      </c>
      <c r="C74" s="1156"/>
      <c r="D74" s="1156" t="s">
        <v>480</v>
      </c>
      <c r="E74" s="1158"/>
      <c r="F74" s="1189" t="str">
        <f>"Convert "&amp;$G$23&amp;" to 2009/10"</f>
        <v>Convert 2018/19 to 2009/10</v>
      </c>
      <c r="G74" s="1190">
        <f>1/G73</f>
        <v>0.76159762519942997</v>
      </c>
      <c r="H74" s="1158"/>
      <c r="I74" s="1158"/>
      <c r="J74" s="1158"/>
      <c r="K74" s="1158"/>
      <c r="L74" s="1158"/>
      <c r="M74" s="1158"/>
      <c r="N74" s="1158"/>
      <c r="O74" s="1158"/>
      <c r="P74" s="1158"/>
    </row>
    <row r="75" spans="1:17" ht="14.25">
      <c r="A75" s="1156" t="s">
        <v>366</v>
      </c>
      <c r="B75" s="1156" t="s">
        <v>478</v>
      </c>
      <c r="C75" s="1156" t="s">
        <v>367</v>
      </c>
      <c r="D75" s="1156"/>
      <c r="E75" s="1158"/>
      <c r="F75" s="1191"/>
      <c r="G75" s="1191"/>
      <c r="H75" s="1158"/>
      <c r="I75" s="1158"/>
      <c r="J75" s="1158"/>
      <c r="K75" s="1158"/>
      <c r="L75" s="1158"/>
      <c r="M75" s="1158"/>
      <c r="N75" s="1158"/>
      <c r="O75" s="1158"/>
      <c r="P75" s="1158"/>
    </row>
    <row r="76" spans="1:17">
      <c r="A76" s="1156" t="s">
        <v>366</v>
      </c>
      <c r="B76" s="1156" t="s">
        <v>478</v>
      </c>
      <c r="C76" s="1156"/>
      <c r="D76" s="1156" t="s">
        <v>481</v>
      </c>
      <c r="E76" s="1158"/>
      <c r="F76" s="1189" t="str">
        <f>"Convert from previous year price base (" &amp; $G$22 &amp; " to " &amp; $G$23 &amp; ")"</f>
        <v>Convert from previous year price base (2017/18 to 2018/19)</v>
      </c>
      <c r="G76" s="1190">
        <f>VLOOKUP($G$23,$F$47:$G$70,2,FALSE)/VLOOKUP($G$22,$F$47:$G$70,2,FALSE)</f>
        <v>1.0305556768082411</v>
      </c>
      <c r="H76" s="1158"/>
      <c r="I76" s="1158"/>
      <c r="J76" s="1158"/>
      <c r="K76" s="1158"/>
      <c r="L76" s="1158"/>
      <c r="M76" s="1158"/>
      <c r="N76" s="1158"/>
      <c r="O76" s="1158"/>
      <c r="P76" s="1158"/>
    </row>
    <row r="77" spans="1:17">
      <c r="A77" s="1156" t="s">
        <v>366</v>
      </c>
      <c r="B77" s="1156"/>
      <c r="C77" s="1156" t="s">
        <v>367</v>
      </c>
      <c r="D77" s="1156"/>
      <c r="I77" s="1158"/>
      <c r="J77" s="1158"/>
      <c r="K77" s="1158"/>
      <c r="L77" s="1158"/>
      <c r="M77" s="1158"/>
      <c r="N77" s="1158"/>
      <c r="O77" s="1158"/>
      <c r="P77" s="1158"/>
    </row>
    <row r="78" spans="1:17" hidden="1">
      <c r="A78" s="1156" t="s">
        <v>366</v>
      </c>
      <c r="B78" s="1156" t="s">
        <v>482</v>
      </c>
      <c r="C78" s="1156" t="s">
        <v>411</v>
      </c>
      <c r="D78" s="1156"/>
      <c r="E78" s="1156" t="s">
        <v>367</v>
      </c>
      <c r="F78" s="1156" t="s">
        <v>412</v>
      </c>
      <c r="G78" s="1156" t="s">
        <v>413</v>
      </c>
      <c r="H78" s="1156" t="s">
        <v>367</v>
      </c>
      <c r="I78" s="1156" t="s">
        <v>367</v>
      </c>
      <c r="J78" s="1156" t="s">
        <v>422</v>
      </c>
      <c r="K78" s="1156" t="s">
        <v>423</v>
      </c>
      <c r="L78" s="1156" t="s">
        <v>367</v>
      </c>
      <c r="M78" s="1156" t="s">
        <v>367</v>
      </c>
      <c r="N78" s="1156" t="s">
        <v>367</v>
      </c>
      <c r="O78" s="1156" t="s">
        <v>367</v>
      </c>
      <c r="P78" s="1156" t="s">
        <v>367</v>
      </c>
      <c r="Q78" s="1156" t="s">
        <v>367</v>
      </c>
    </row>
    <row r="79" spans="1:17" hidden="1">
      <c r="A79" s="1156" t="s">
        <v>366</v>
      </c>
      <c r="B79" s="1156" t="s">
        <v>482</v>
      </c>
      <c r="C79" s="1156" t="s">
        <v>370</v>
      </c>
      <c r="D79" s="1156"/>
      <c r="E79" s="1156" t="s">
        <v>367</v>
      </c>
      <c r="F79" s="1156" t="s">
        <v>371</v>
      </c>
      <c r="G79" s="1156" t="s">
        <v>371</v>
      </c>
      <c r="H79" s="1156" t="s">
        <v>367</v>
      </c>
      <c r="I79" s="1156" t="s">
        <v>367</v>
      </c>
      <c r="J79" s="1156" t="s">
        <v>371</v>
      </c>
      <c r="K79" s="1156" t="s">
        <v>371</v>
      </c>
      <c r="L79" s="1156" t="s">
        <v>367</v>
      </c>
      <c r="M79" s="1156" t="s">
        <v>367</v>
      </c>
      <c r="N79" s="1156" t="s">
        <v>367</v>
      </c>
      <c r="O79" s="1156" t="s">
        <v>367</v>
      </c>
      <c r="P79" s="1156" t="s">
        <v>367</v>
      </c>
      <c r="Q79" s="1156" t="s">
        <v>367</v>
      </c>
    </row>
    <row r="80" spans="1:17">
      <c r="A80" s="1156" t="s">
        <v>366</v>
      </c>
      <c r="B80" s="1156" t="s">
        <v>482</v>
      </c>
      <c r="C80" s="1156" t="s">
        <v>415</v>
      </c>
      <c r="E80" s="1158"/>
      <c r="F80" s="1807" t="s">
        <v>483</v>
      </c>
      <c r="G80" s="1808" t="s">
        <v>484</v>
      </c>
      <c r="H80" s="1808"/>
      <c r="I80" s="1809"/>
      <c r="J80" s="1189" t="s">
        <v>418</v>
      </c>
      <c r="K80" s="1802" t="s">
        <v>485</v>
      </c>
      <c r="L80" s="1158"/>
      <c r="M80" s="1158"/>
      <c r="N80" s="1158"/>
      <c r="O80" s="1158"/>
      <c r="P80" s="1158"/>
    </row>
    <row r="81" spans="1:16">
      <c r="A81" s="1156" t="s">
        <v>366</v>
      </c>
      <c r="B81" s="1156" t="s">
        <v>482</v>
      </c>
      <c r="C81" s="1156"/>
      <c r="D81" s="1156" t="s">
        <v>486</v>
      </c>
      <c r="E81" s="1158"/>
      <c r="F81" s="1810">
        <v>43343</v>
      </c>
      <c r="G81" s="1808" t="str">
        <f>IF(MONTH(F81)&gt;3,YEAR(F81),YEAR(F81)-1) &amp; "/" &amp; IF(MONTH(F81)&gt;3,YEAR(F81)+1,YEAR(F81))-2000</f>
        <v>2018/19</v>
      </c>
      <c r="H81" s="1808"/>
      <c r="I81" s="1809"/>
      <c r="J81" s="1811">
        <v>284.2</v>
      </c>
      <c r="K81" s="1811">
        <v>106.5</v>
      </c>
      <c r="L81" s="1158"/>
      <c r="M81" s="1158"/>
      <c r="N81" s="1158"/>
      <c r="O81" s="1158"/>
      <c r="P81" s="1158"/>
    </row>
    <row r="82" spans="1:16">
      <c r="A82" s="1156" t="s">
        <v>366</v>
      </c>
      <c r="B82" s="1156" t="s">
        <v>482</v>
      </c>
      <c r="C82" s="1156"/>
      <c r="D82" s="1156" t="s">
        <v>486</v>
      </c>
      <c r="E82" s="1158"/>
      <c r="F82" s="1810">
        <f>EOMONTH(F81,1)</f>
        <v>43373</v>
      </c>
      <c r="G82" s="1808" t="str">
        <f t="shared" ref="G82:G145" si="11">IF(MONTH(F82)&gt;3,YEAR(F82),YEAR(F82)-1) &amp; "/" &amp; IF(MONTH(F82)&gt;3,YEAR(F82)+1,YEAR(F82))-2000</f>
        <v>2018/19</v>
      </c>
      <c r="H82" s="1808"/>
      <c r="I82" s="1809"/>
      <c r="J82" s="1811">
        <v>284.10000000000002</v>
      </c>
      <c r="K82" s="1811">
        <v>106.6</v>
      </c>
      <c r="L82" s="1158"/>
      <c r="M82" s="1158"/>
      <c r="N82" s="1158"/>
      <c r="O82" s="1158"/>
      <c r="P82" s="1158"/>
    </row>
    <row r="83" spans="1:16">
      <c r="A83" s="1156" t="s">
        <v>366</v>
      </c>
      <c r="B83" s="1156" t="s">
        <v>482</v>
      </c>
      <c r="C83" s="1156"/>
      <c r="D83" s="1156" t="s">
        <v>486</v>
      </c>
      <c r="E83" s="1158"/>
      <c r="F83" s="1810">
        <f t="shared" ref="F83:F146" si="12">EOMONTH(F82,1)</f>
        <v>43404</v>
      </c>
      <c r="G83" s="1808" t="str">
        <f t="shared" si="11"/>
        <v>2018/19</v>
      </c>
      <c r="H83" s="1808"/>
      <c r="I83" s="1809"/>
      <c r="J83" s="1811">
        <v>284.5</v>
      </c>
      <c r="K83" s="1812">
        <v>106.7</v>
      </c>
      <c r="L83" s="1158"/>
      <c r="M83" s="1158"/>
      <c r="N83" s="1158"/>
      <c r="O83" s="1158"/>
      <c r="P83" s="1158"/>
    </row>
    <row r="84" spans="1:16">
      <c r="A84" s="1156" t="s">
        <v>366</v>
      </c>
      <c r="B84" s="1156" t="s">
        <v>482</v>
      </c>
      <c r="C84" s="1156"/>
      <c r="D84" s="1156" t="s">
        <v>486</v>
      </c>
      <c r="E84" s="1158"/>
      <c r="F84" s="1810">
        <f t="shared" si="12"/>
        <v>43434</v>
      </c>
      <c r="G84" s="1808" t="str">
        <f t="shared" si="11"/>
        <v>2018/19</v>
      </c>
      <c r="H84" s="1808"/>
      <c r="I84" s="1809"/>
      <c r="J84" s="1811">
        <v>284.60000000000002</v>
      </c>
      <c r="K84" s="1812">
        <v>106.9</v>
      </c>
      <c r="L84" s="1158"/>
      <c r="M84" s="1158"/>
      <c r="N84" s="1158"/>
      <c r="O84" s="1158"/>
      <c r="P84" s="1158"/>
    </row>
    <row r="85" spans="1:16">
      <c r="A85" s="1156" t="s">
        <v>366</v>
      </c>
      <c r="B85" s="1156" t="s">
        <v>482</v>
      </c>
      <c r="C85" s="1156"/>
      <c r="D85" s="1156" t="s">
        <v>486</v>
      </c>
      <c r="E85" s="1158"/>
      <c r="F85" s="1810">
        <f t="shared" si="12"/>
        <v>43465</v>
      </c>
      <c r="G85" s="1808" t="str">
        <f t="shared" si="11"/>
        <v>2018/19</v>
      </c>
      <c r="H85" s="1808"/>
      <c r="I85" s="1809"/>
      <c r="J85" s="1811">
        <v>285.60000000000002</v>
      </c>
      <c r="K85" s="1812">
        <v>107.1</v>
      </c>
      <c r="L85" s="1158"/>
      <c r="M85" s="1158"/>
      <c r="N85" s="1158"/>
      <c r="O85" s="1158"/>
      <c r="P85" s="1158"/>
    </row>
    <row r="86" spans="1:16">
      <c r="A86" s="1156" t="s">
        <v>366</v>
      </c>
      <c r="B86" s="1156" t="s">
        <v>482</v>
      </c>
      <c r="C86" s="1156"/>
      <c r="D86" s="1156" t="s">
        <v>486</v>
      </c>
      <c r="E86" s="1158"/>
      <c r="F86" s="1810">
        <f t="shared" si="12"/>
        <v>43496</v>
      </c>
      <c r="G86" s="1808" t="str">
        <f t="shared" si="11"/>
        <v>2018/19</v>
      </c>
      <c r="H86" s="1808"/>
      <c r="I86" s="1809"/>
      <c r="J86" s="1811">
        <v>283</v>
      </c>
      <c r="K86" s="1811">
        <v>106.4</v>
      </c>
      <c r="L86" s="1158"/>
      <c r="M86" s="1158"/>
      <c r="N86" s="1158"/>
      <c r="O86" s="1158"/>
      <c r="P86" s="1158"/>
    </row>
    <row r="87" spans="1:16">
      <c r="A87" s="1156" t="s">
        <v>366</v>
      </c>
      <c r="B87" s="1156" t="s">
        <v>482</v>
      </c>
      <c r="C87" s="1156"/>
      <c r="D87" s="1156" t="s">
        <v>486</v>
      </c>
      <c r="E87" s="1158"/>
      <c r="F87" s="1810">
        <f t="shared" si="12"/>
        <v>43524</v>
      </c>
      <c r="G87" s="1808" t="str">
        <f t="shared" si="11"/>
        <v>2018/19</v>
      </c>
      <c r="H87" s="1808"/>
      <c r="I87" s="1809"/>
      <c r="J87" s="1811">
        <v>285</v>
      </c>
      <c r="K87" s="1812">
        <v>106.8</v>
      </c>
      <c r="L87" s="1158"/>
      <c r="M87" s="1158"/>
      <c r="O87" s="1158"/>
      <c r="P87" s="1813"/>
    </row>
    <row r="88" spans="1:16">
      <c r="A88" s="1156" t="s">
        <v>366</v>
      </c>
      <c r="B88" s="1156" t="s">
        <v>482</v>
      </c>
      <c r="C88" s="1156"/>
      <c r="D88" s="1156" t="s">
        <v>486</v>
      </c>
      <c r="E88" s="1158"/>
      <c r="F88" s="1810">
        <f t="shared" si="12"/>
        <v>43555</v>
      </c>
      <c r="G88" s="1808" t="str">
        <f t="shared" si="11"/>
        <v>2018/19</v>
      </c>
      <c r="H88" s="1808"/>
      <c r="I88" s="1809"/>
      <c r="J88" s="1811">
        <v>285.10000000000002</v>
      </c>
      <c r="K88" s="1812">
        <v>107</v>
      </c>
      <c r="L88" s="1158"/>
      <c r="M88" s="1158"/>
      <c r="N88" s="1158"/>
      <c r="O88" s="1158"/>
      <c r="P88" s="1158"/>
    </row>
    <row r="89" spans="1:16">
      <c r="A89" s="1156" t="s">
        <v>366</v>
      </c>
      <c r="B89" s="1156" t="s">
        <v>482</v>
      </c>
      <c r="C89" s="1156"/>
      <c r="D89" s="1156" t="s">
        <v>486</v>
      </c>
      <c r="E89" s="1158"/>
      <c r="F89" s="1810">
        <f t="shared" si="12"/>
        <v>43585</v>
      </c>
      <c r="G89" s="1808" t="str">
        <f t="shared" si="11"/>
        <v>2019/20</v>
      </c>
      <c r="H89" s="1808"/>
      <c r="I89" s="1809"/>
      <c r="J89" s="1814">
        <f>J88*((1+(INDEX($F$63:$N$69,MATCH(G89,$F$63:$F$69,0),6)))^(1/12))</f>
        <v>285.78062232732907</v>
      </c>
      <c r="K89" s="1814">
        <f>ROUND(K88*((1+(INDEX($F$63:$N$69,MATCH(G89,$F$63:$F$69,0),9)))^(1/12)),1)</f>
        <v>107.2</v>
      </c>
      <c r="L89" s="1158"/>
      <c r="M89" s="1158"/>
      <c r="N89" s="1158"/>
      <c r="O89" s="1158"/>
      <c r="P89" s="1158"/>
    </row>
    <row r="90" spans="1:16">
      <c r="A90" s="1156" t="s">
        <v>366</v>
      </c>
      <c r="B90" s="1156" t="s">
        <v>482</v>
      </c>
      <c r="C90" s="1156"/>
      <c r="D90" s="1156" t="s">
        <v>486</v>
      </c>
      <c r="E90" s="1158"/>
      <c r="F90" s="1810">
        <f t="shared" si="12"/>
        <v>43616</v>
      </c>
      <c r="G90" s="1808" t="str">
        <f t="shared" si="11"/>
        <v>2019/20</v>
      </c>
      <c r="H90" s="1804"/>
      <c r="I90" s="1809"/>
      <c r="J90" s="1814">
        <f t="shared" ref="J90:J153" si="13">J89*((1+(INDEX($F$63:$N$69,MATCH(G90,$F$63:$F$69,0),6)))^(1/12))</f>
        <v>286.46286951173443</v>
      </c>
      <c r="K90" s="1814">
        <f t="shared" ref="K90:K153" si="14">ROUND(K89*((1+(INDEX($F$63:$N$69,MATCH(G90,$F$63:$F$69,0),9)))^(1/12)),1)</f>
        <v>107.4</v>
      </c>
      <c r="L90" s="1158"/>
      <c r="M90" s="1158"/>
      <c r="N90" s="1158"/>
      <c r="O90" s="1158"/>
      <c r="P90" s="1158"/>
    </row>
    <row r="91" spans="1:16">
      <c r="A91" s="1156" t="s">
        <v>366</v>
      </c>
      <c r="B91" s="1156" t="s">
        <v>482</v>
      </c>
      <c r="C91" s="1156"/>
      <c r="D91" s="1156" t="s">
        <v>486</v>
      </c>
      <c r="E91" s="1158"/>
      <c r="F91" s="1810">
        <f t="shared" si="12"/>
        <v>43646</v>
      </c>
      <c r="G91" s="1808" t="str">
        <f t="shared" si="11"/>
        <v>2019/20</v>
      </c>
      <c r="H91" s="1809"/>
      <c r="I91" s="1809"/>
      <c r="J91" s="1814">
        <f t="shared" si="13"/>
        <v>287.1467454322551</v>
      </c>
      <c r="K91" s="1814">
        <f t="shared" si="14"/>
        <v>107.6</v>
      </c>
      <c r="L91" s="1158"/>
      <c r="M91" s="1158"/>
      <c r="N91" s="1158"/>
      <c r="O91" s="1158"/>
      <c r="P91" s="1158"/>
    </row>
    <row r="92" spans="1:16">
      <c r="A92" s="1156" t="s">
        <v>366</v>
      </c>
      <c r="B92" s="1156" t="s">
        <v>482</v>
      </c>
      <c r="C92" s="1156"/>
      <c r="D92" s="1156" t="s">
        <v>486</v>
      </c>
      <c r="E92" s="1158"/>
      <c r="F92" s="1810">
        <f t="shared" si="12"/>
        <v>43677</v>
      </c>
      <c r="G92" s="1808" t="str">
        <f t="shared" si="11"/>
        <v>2019/20</v>
      </c>
      <c r="H92" s="1809"/>
      <c r="I92" s="1809"/>
      <c r="J92" s="1814">
        <f t="shared" si="13"/>
        <v>287.83225397719048</v>
      </c>
      <c r="K92" s="1814">
        <f t="shared" si="14"/>
        <v>107.8</v>
      </c>
      <c r="L92" s="1158"/>
      <c r="M92" s="1158"/>
      <c r="N92" s="1158"/>
      <c r="O92" s="1158"/>
      <c r="P92" s="1158"/>
    </row>
    <row r="93" spans="1:16">
      <c r="A93" s="1156" t="s">
        <v>366</v>
      </c>
      <c r="B93" s="1156" t="s">
        <v>482</v>
      </c>
      <c r="C93" s="1156"/>
      <c r="D93" s="1156" t="s">
        <v>486</v>
      </c>
      <c r="E93" s="1158"/>
      <c r="F93" s="1810">
        <f t="shared" si="12"/>
        <v>43708</v>
      </c>
      <c r="G93" s="1808" t="str">
        <f t="shared" si="11"/>
        <v>2019/20</v>
      </c>
      <c r="H93" s="1809"/>
      <c r="I93" s="1809"/>
      <c r="J93" s="1814">
        <f t="shared" si="13"/>
        <v>288.51939904412251</v>
      </c>
      <c r="K93" s="1814">
        <f t="shared" si="14"/>
        <v>108</v>
      </c>
      <c r="L93" s="1158"/>
      <c r="M93" s="1158"/>
      <c r="N93" s="1158"/>
      <c r="O93" s="1158"/>
      <c r="P93" s="1158"/>
    </row>
    <row r="94" spans="1:16">
      <c r="A94" s="1156" t="s">
        <v>366</v>
      </c>
      <c r="B94" s="1156" t="s">
        <v>482</v>
      </c>
      <c r="C94" s="1156"/>
      <c r="D94" s="1156" t="s">
        <v>486</v>
      </c>
      <c r="E94" s="1158"/>
      <c r="F94" s="1810">
        <f t="shared" si="12"/>
        <v>43738</v>
      </c>
      <c r="G94" s="1808" t="str">
        <f t="shared" si="11"/>
        <v>2019/20</v>
      </c>
      <c r="H94" s="1809"/>
      <c r="I94" s="1809"/>
      <c r="J94" s="1814">
        <f t="shared" si="13"/>
        <v>289.20818453993797</v>
      </c>
      <c r="K94" s="1814">
        <f t="shared" si="14"/>
        <v>108.2</v>
      </c>
      <c r="L94" s="1158"/>
      <c r="M94" s="1158"/>
      <c r="N94" s="1158"/>
      <c r="O94" s="1158"/>
      <c r="P94" s="1158"/>
    </row>
    <row r="95" spans="1:16">
      <c r="A95" s="1156" t="s">
        <v>366</v>
      </c>
      <c r="B95" s="1156" t="s">
        <v>482</v>
      </c>
      <c r="C95" s="1156"/>
      <c r="D95" s="1156" t="s">
        <v>486</v>
      </c>
      <c r="E95" s="1158"/>
      <c r="F95" s="1810">
        <f t="shared" si="12"/>
        <v>43769</v>
      </c>
      <c r="G95" s="1808" t="str">
        <f t="shared" si="11"/>
        <v>2019/20</v>
      </c>
      <c r="H95" s="1809"/>
      <c r="I95" s="1809"/>
      <c r="J95" s="1814">
        <f t="shared" si="13"/>
        <v>289.89861438085057</v>
      </c>
      <c r="K95" s="1814">
        <f t="shared" si="14"/>
        <v>108.4</v>
      </c>
      <c r="L95" s="1158"/>
      <c r="M95" s="1158"/>
      <c r="N95" s="1158"/>
      <c r="O95" s="1158"/>
      <c r="P95" s="1158"/>
    </row>
    <row r="96" spans="1:16">
      <c r="A96" s="1156" t="s">
        <v>366</v>
      </c>
      <c r="B96" s="1156" t="s">
        <v>482</v>
      </c>
      <c r="C96" s="1156"/>
      <c r="D96" s="1156" t="s">
        <v>486</v>
      </c>
      <c r="E96" s="1158"/>
      <c r="F96" s="1810">
        <f t="shared" si="12"/>
        <v>43799</v>
      </c>
      <c r="G96" s="1808" t="str">
        <f t="shared" si="11"/>
        <v>2019/20</v>
      </c>
      <c r="H96" s="1809"/>
      <c r="I96" s="1809"/>
      <c r="J96" s="1814">
        <f t="shared" si="13"/>
        <v>290.59069249242322</v>
      </c>
      <c r="K96" s="1814">
        <f t="shared" si="14"/>
        <v>108.6</v>
      </c>
      <c r="L96" s="1158"/>
      <c r="M96" s="1158"/>
      <c r="N96" s="1158"/>
      <c r="O96" s="1158"/>
      <c r="P96" s="1158"/>
    </row>
    <row r="97" spans="1:16">
      <c r="A97" s="1156" t="s">
        <v>366</v>
      </c>
      <c r="B97" s="1156" t="s">
        <v>482</v>
      </c>
      <c r="C97" s="1156"/>
      <c r="D97" s="1156" t="s">
        <v>486</v>
      </c>
      <c r="E97" s="1158"/>
      <c r="F97" s="1810">
        <f t="shared" si="12"/>
        <v>43830</v>
      </c>
      <c r="G97" s="1808" t="str">
        <f t="shared" si="11"/>
        <v>2019/20</v>
      </c>
      <c r="H97" s="1809"/>
      <c r="I97" s="1809"/>
      <c r="J97" s="1814">
        <f t="shared" si="13"/>
        <v>291.28442280959035</v>
      </c>
      <c r="K97" s="1814">
        <f t="shared" si="14"/>
        <v>108.8</v>
      </c>
      <c r="L97" s="1158"/>
      <c r="M97" s="1158"/>
      <c r="N97" s="1158"/>
      <c r="O97" s="1158"/>
      <c r="P97" s="1158"/>
    </row>
    <row r="98" spans="1:16">
      <c r="A98" s="1156" t="s">
        <v>366</v>
      </c>
      <c r="B98" s="1156" t="s">
        <v>482</v>
      </c>
      <c r="C98" s="1156"/>
      <c r="D98" s="1156" t="s">
        <v>486</v>
      </c>
      <c r="E98" s="1158"/>
      <c r="F98" s="1810">
        <f t="shared" si="12"/>
        <v>43861</v>
      </c>
      <c r="G98" s="1808" t="str">
        <f t="shared" si="11"/>
        <v>2019/20</v>
      </c>
      <c r="H98" s="1809"/>
      <c r="I98" s="1809"/>
      <c r="J98" s="1814">
        <f t="shared" si="13"/>
        <v>291.97980927668038</v>
      </c>
      <c r="K98" s="1814">
        <f t="shared" si="14"/>
        <v>109</v>
      </c>
      <c r="L98" s="1158"/>
      <c r="M98" s="1158"/>
      <c r="N98" s="1158"/>
      <c r="O98" s="1158"/>
      <c r="P98" s="1158"/>
    </row>
    <row r="99" spans="1:16">
      <c r="A99" s="1156" t="s">
        <v>366</v>
      </c>
      <c r="B99" s="1156" t="s">
        <v>482</v>
      </c>
      <c r="C99" s="1156"/>
      <c r="D99" s="1156" t="s">
        <v>486</v>
      </c>
      <c r="E99" s="1158"/>
      <c r="F99" s="1810">
        <f t="shared" si="12"/>
        <v>43890</v>
      </c>
      <c r="G99" s="1808" t="str">
        <f t="shared" si="11"/>
        <v>2019/20</v>
      </c>
      <c r="H99" s="1809"/>
      <c r="I99" s="1809"/>
      <c r="J99" s="1814">
        <f t="shared" si="13"/>
        <v>292.67685584743799</v>
      </c>
      <c r="K99" s="1814">
        <f t="shared" si="14"/>
        <v>109.2</v>
      </c>
      <c r="L99" s="1158"/>
      <c r="M99" s="1158"/>
      <c r="N99" s="1158"/>
      <c r="O99" s="1158"/>
      <c r="P99" s="1158"/>
    </row>
    <row r="100" spans="1:16">
      <c r="A100" s="1156" t="s">
        <v>366</v>
      </c>
      <c r="B100" s="1156" t="s">
        <v>482</v>
      </c>
      <c r="C100" s="1156"/>
      <c r="D100" s="1156" t="s">
        <v>486</v>
      </c>
      <c r="E100" s="1158"/>
      <c r="F100" s="1810">
        <f t="shared" si="12"/>
        <v>43921</v>
      </c>
      <c r="G100" s="1808" t="str">
        <f t="shared" si="11"/>
        <v>2019/20</v>
      </c>
      <c r="H100" s="1809"/>
      <c r="I100" s="1809"/>
      <c r="J100" s="1814">
        <f t="shared" si="13"/>
        <v>293.37556648504665</v>
      </c>
      <c r="K100" s="1814">
        <f t="shared" si="14"/>
        <v>109.4</v>
      </c>
      <c r="L100" s="1158"/>
      <c r="M100" s="1158"/>
      <c r="N100" s="1158"/>
      <c r="O100" s="1158"/>
      <c r="P100" s="1158"/>
    </row>
    <row r="101" spans="1:16">
      <c r="A101" s="1156" t="s">
        <v>366</v>
      </c>
      <c r="B101" s="1156" t="s">
        <v>482</v>
      </c>
      <c r="C101" s="1156"/>
      <c r="D101" s="1156" t="s">
        <v>486</v>
      </c>
      <c r="E101" s="1158"/>
      <c r="F101" s="1810">
        <f t="shared" si="12"/>
        <v>43951</v>
      </c>
      <c r="G101" s="1808" t="str">
        <f t="shared" si="11"/>
        <v>2020/21</v>
      </c>
      <c r="H101" s="1809"/>
      <c r="I101" s="1809"/>
      <c r="J101" s="1814">
        <f t="shared" si="13"/>
        <v>294.0593964043801</v>
      </c>
      <c r="K101" s="1814">
        <f t="shared" si="14"/>
        <v>109.6</v>
      </c>
      <c r="L101" s="1158"/>
      <c r="M101" s="1158"/>
      <c r="N101" s="1158"/>
      <c r="O101" s="1158"/>
    </row>
    <row r="102" spans="1:16">
      <c r="A102" s="1156" t="s">
        <v>366</v>
      </c>
      <c r="B102" s="1156" t="s">
        <v>482</v>
      </c>
      <c r="C102" s="1156"/>
      <c r="D102" s="1156" t="s">
        <v>486</v>
      </c>
      <c r="E102" s="1158"/>
      <c r="F102" s="1810">
        <f t="shared" si="12"/>
        <v>43982</v>
      </c>
      <c r="G102" s="1808" t="str">
        <f t="shared" si="11"/>
        <v>2020/21</v>
      </c>
      <c r="H102" s="1809"/>
      <c r="I102" s="1809"/>
      <c r="J102" s="1814">
        <f t="shared" si="13"/>
        <v>294.74482026476386</v>
      </c>
      <c r="K102" s="1814">
        <f t="shared" si="14"/>
        <v>109.8</v>
      </c>
      <c r="L102" s="1158"/>
      <c r="M102" s="1158"/>
      <c r="N102" s="1158"/>
      <c r="O102" s="1158"/>
      <c r="P102" s="1158"/>
    </row>
    <row r="103" spans="1:16">
      <c r="A103" s="1156" t="s">
        <v>366</v>
      </c>
      <c r="B103" s="1156" t="s">
        <v>482</v>
      </c>
      <c r="C103" s="1156"/>
      <c r="D103" s="1156" t="s">
        <v>486</v>
      </c>
      <c r="E103" s="1158"/>
      <c r="F103" s="1810">
        <f t="shared" si="12"/>
        <v>44012</v>
      </c>
      <c r="G103" s="1808" t="str">
        <f t="shared" si="11"/>
        <v>2020/21</v>
      </c>
      <c r="H103" s="1809"/>
      <c r="I103" s="1809"/>
      <c r="J103" s="1814">
        <f t="shared" si="13"/>
        <v>295.43184178151955</v>
      </c>
      <c r="K103" s="1814">
        <f t="shared" si="14"/>
        <v>110</v>
      </c>
      <c r="L103" s="1158"/>
      <c r="M103" s="1158"/>
      <c r="N103" s="1158"/>
      <c r="O103" s="1158"/>
      <c r="P103" s="1158"/>
    </row>
    <row r="104" spans="1:16">
      <c r="A104" s="1156" t="s">
        <v>366</v>
      </c>
      <c r="B104" s="1156" t="s">
        <v>482</v>
      </c>
      <c r="C104" s="1156"/>
      <c r="D104" s="1156" t="s">
        <v>486</v>
      </c>
      <c r="E104" s="1158"/>
      <c r="F104" s="1810">
        <f t="shared" si="12"/>
        <v>44043</v>
      </c>
      <c r="G104" s="1808" t="str">
        <f t="shared" si="11"/>
        <v>2020/21</v>
      </c>
      <c r="H104" s="1809"/>
      <c r="I104" s="1809"/>
      <c r="J104" s="1814">
        <f t="shared" si="13"/>
        <v>296.12046467862876</v>
      </c>
      <c r="K104" s="1814">
        <f t="shared" si="14"/>
        <v>110.2</v>
      </c>
      <c r="L104" s="1158"/>
      <c r="M104" s="1158"/>
      <c r="N104" s="1158"/>
      <c r="O104" s="1158"/>
      <c r="P104" s="1158"/>
    </row>
    <row r="105" spans="1:16">
      <c r="A105" s="1156" t="s">
        <v>366</v>
      </c>
      <c r="B105" s="1156" t="s">
        <v>482</v>
      </c>
      <c r="C105" s="1156"/>
      <c r="D105" s="1156" t="s">
        <v>486</v>
      </c>
      <c r="E105" s="1158"/>
      <c r="F105" s="1810">
        <f t="shared" si="12"/>
        <v>44074</v>
      </c>
      <c r="G105" s="1808" t="str">
        <f t="shared" si="11"/>
        <v>2020/21</v>
      </c>
      <c r="H105" s="1809"/>
      <c r="I105" s="1809"/>
      <c r="J105" s="1814">
        <f t="shared" si="13"/>
        <v>296.81069268875342</v>
      </c>
      <c r="K105" s="1814">
        <f t="shared" si="14"/>
        <v>110.4</v>
      </c>
      <c r="L105" s="1158"/>
      <c r="M105" s="1158"/>
      <c r="N105" s="1158"/>
      <c r="O105" s="1158"/>
      <c r="P105" s="1158"/>
    </row>
    <row r="106" spans="1:16">
      <c r="A106" s="1156" t="s">
        <v>366</v>
      </c>
      <c r="B106" s="1156" t="s">
        <v>482</v>
      </c>
      <c r="C106" s="1156"/>
      <c r="D106" s="1156" t="s">
        <v>486</v>
      </c>
      <c r="E106" s="1158"/>
      <c r="F106" s="1810">
        <f t="shared" si="12"/>
        <v>44104</v>
      </c>
      <c r="G106" s="1808" t="str">
        <f t="shared" si="11"/>
        <v>2020/21</v>
      </c>
      <c r="H106" s="1809"/>
      <c r="I106" s="1809"/>
      <c r="J106" s="1814">
        <f t="shared" si="13"/>
        <v>297.5025295532559</v>
      </c>
      <c r="K106" s="1814">
        <f t="shared" si="14"/>
        <v>110.6</v>
      </c>
      <c r="L106" s="1158"/>
      <c r="M106" s="1158"/>
      <c r="N106" s="1158"/>
      <c r="O106" s="1158"/>
      <c r="P106" s="1158"/>
    </row>
    <row r="107" spans="1:16">
      <c r="A107" s="1156" t="s">
        <v>366</v>
      </c>
      <c r="B107" s="1156" t="s">
        <v>482</v>
      </c>
      <c r="C107" s="1156"/>
      <c r="D107" s="1156" t="s">
        <v>486</v>
      </c>
      <c r="E107" s="1158"/>
      <c r="F107" s="1810">
        <f t="shared" si="12"/>
        <v>44135</v>
      </c>
      <c r="G107" s="1808" t="str">
        <f t="shared" si="11"/>
        <v>2020/21</v>
      </c>
      <c r="H107" s="1809"/>
      <c r="I107" s="1809"/>
      <c r="J107" s="1814">
        <f t="shared" si="13"/>
        <v>298.19597902221932</v>
      </c>
      <c r="K107" s="1814">
        <f t="shared" si="14"/>
        <v>110.8</v>
      </c>
      <c r="L107" s="1158"/>
      <c r="M107" s="1158"/>
      <c r="N107" s="1158"/>
      <c r="O107" s="1158"/>
      <c r="P107" s="1158"/>
    </row>
    <row r="108" spans="1:16">
      <c r="A108" s="1156" t="s">
        <v>366</v>
      </c>
      <c r="B108" s="1156" t="s">
        <v>482</v>
      </c>
      <c r="C108" s="1156"/>
      <c r="D108" s="1156" t="s">
        <v>486</v>
      </c>
      <c r="E108" s="1158"/>
      <c r="F108" s="1810">
        <f t="shared" si="12"/>
        <v>44165</v>
      </c>
      <c r="G108" s="1808" t="str">
        <f t="shared" si="11"/>
        <v>2020/21</v>
      </c>
      <c r="H108" s="1809"/>
      <c r="I108" s="1809"/>
      <c r="J108" s="1814">
        <f t="shared" si="13"/>
        <v>298.89104485446791</v>
      </c>
      <c r="K108" s="1814">
        <f t="shared" si="14"/>
        <v>111</v>
      </c>
      <c r="L108" s="1158"/>
      <c r="M108" s="1158"/>
      <c r="N108" s="1158"/>
      <c r="O108" s="1158"/>
      <c r="P108" s="1158"/>
    </row>
    <row r="109" spans="1:16">
      <c r="A109" s="1156" t="s">
        <v>366</v>
      </c>
      <c r="B109" s="1156" t="s">
        <v>482</v>
      </c>
      <c r="C109" s="1156"/>
      <c r="D109" s="1156" t="s">
        <v>486</v>
      </c>
      <c r="E109" s="1158"/>
      <c r="F109" s="1810">
        <f t="shared" si="12"/>
        <v>44196</v>
      </c>
      <c r="G109" s="1808" t="str">
        <f t="shared" si="11"/>
        <v>2020/21</v>
      </c>
      <c r="H109" s="1809"/>
      <c r="I109" s="1809"/>
      <c r="J109" s="1814">
        <f t="shared" si="13"/>
        <v>299.58773081758727</v>
      </c>
      <c r="K109" s="1814">
        <f t="shared" si="14"/>
        <v>111.2</v>
      </c>
      <c r="L109" s="1158"/>
      <c r="M109" s="1158"/>
      <c r="N109" s="1158"/>
      <c r="O109" s="1158"/>
      <c r="P109" s="1158"/>
    </row>
    <row r="110" spans="1:16">
      <c r="A110" s="1156" t="s">
        <v>366</v>
      </c>
      <c r="B110" s="1156" t="s">
        <v>482</v>
      </c>
      <c r="C110" s="1156"/>
      <c r="D110" s="1156" t="s">
        <v>486</v>
      </c>
      <c r="E110" s="1158"/>
      <c r="F110" s="1810">
        <f t="shared" si="12"/>
        <v>44227</v>
      </c>
      <c r="G110" s="1808" t="str">
        <f t="shared" si="11"/>
        <v>2020/21</v>
      </c>
      <c r="H110" s="1809"/>
      <c r="I110" s="1809"/>
      <c r="J110" s="1814">
        <f t="shared" si="13"/>
        <v>300.28604068794493</v>
      </c>
      <c r="K110" s="1814">
        <f t="shared" si="14"/>
        <v>111.4</v>
      </c>
      <c r="L110" s="1158"/>
      <c r="M110" s="1158"/>
      <c r="N110" s="1158"/>
      <c r="O110" s="1158"/>
      <c r="P110" s="1158"/>
    </row>
    <row r="111" spans="1:16">
      <c r="A111" s="1156" t="s">
        <v>366</v>
      </c>
      <c r="B111" s="1156" t="s">
        <v>482</v>
      </c>
      <c r="C111" s="1156"/>
      <c r="D111" s="1156" t="s">
        <v>486</v>
      </c>
      <c r="E111" s="1158"/>
      <c r="F111" s="1810">
        <f t="shared" si="12"/>
        <v>44255</v>
      </c>
      <c r="G111" s="1808" t="str">
        <f t="shared" si="11"/>
        <v>2020/21</v>
      </c>
      <c r="H111" s="1809"/>
      <c r="I111" s="1809"/>
      <c r="J111" s="1814">
        <f t="shared" si="13"/>
        <v>300.98597825071079</v>
      </c>
      <c r="K111" s="1814">
        <f t="shared" si="14"/>
        <v>111.6</v>
      </c>
      <c r="L111" s="1158"/>
      <c r="M111" s="1158"/>
      <c r="N111" s="1158"/>
      <c r="O111" s="1158"/>
      <c r="P111" s="1158"/>
    </row>
    <row r="112" spans="1:16">
      <c r="A112" s="1156" t="s">
        <v>366</v>
      </c>
      <c r="B112" s="1156" t="s">
        <v>482</v>
      </c>
      <c r="C112" s="1156"/>
      <c r="D112" s="1156" t="s">
        <v>486</v>
      </c>
      <c r="E112" s="1158"/>
      <c r="F112" s="1810">
        <f t="shared" si="12"/>
        <v>44286</v>
      </c>
      <c r="G112" s="1808" t="str">
        <f t="shared" si="11"/>
        <v>2020/21</v>
      </c>
      <c r="H112" s="1809"/>
      <c r="I112" s="1809"/>
      <c r="J112" s="1814">
        <f t="shared" si="13"/>
        <v>301.68754729987756</v>
      </c>
      <c r="K112" s="1814">
        <f t="shared" si="14"/>
        <v>111.8</v>
      </c>
      <c r="L112" s="1158"/>
      <c r="M112" s="1158"/>
      <c r="N112" s="1158"/>
      <c r="O112" s="1158"/>
      <c r="P112" s="1158"/>
    </row>
    <row r="113" spans="1:16">
      <c r="A113" s="1156" t="s">
        <v>366</v>
      </c>
      <c r="B113" s="1156" t="s">
        <v>482</v>
      </c>
      <c r="C113" s="1156"/>
      <c r="D113" s="1156" t="s">
        <v>486</v>
      </c>
      <c r="E113" s="1158"/>
      <c r="F113" s="1810">
        <f t="shared" si="12"/>
        <v>44316</v>
      </c>
      <c r="G113" s="1808" t="str">
        <f t="shared" si="11"/>
        <v>2021/22</v>
      </c>
      <c r="H113" s="1809"/>
      <c r="I113" s="1809"/>
      <c r="J113" s="1814">
        <f t="shared" si="13"/>
        <v>302.43982724851872</v>
      </c>
      <c r="K113" s="1814">
        <f t="shared" si="14"/>
        <v>112</v>
      </c>
      <c r="L113" s="1158"/>
      <c r="M113" s="1158"/>
      <c r="N113" s="1158"/>
      <c r="O113" s="1158"/>
      <c r="P113" s="1158"/>
    </row>
    <row r="114" spans="1:16">
      <c r="A114" s="1156" t="s">
        <v>366</v>
      </c>
      <c r="B114" s="1156" t="s">
        <v>482</v>
      </c>
      <c r="C114" s="1156"/>
      <c r="D114" s="1156" t="s">
        <v>486</v>
      </c>
      <c r="E114" s="1158"/>
      <c r="F114" s="1810">
        <f t="shared" si="12"/>
        <v>44347</v>
      </c>
      <c r="G114" s="1808" t="str">
        <f t="shared" si="11"/>
        <v>2021/22</v>
      </c>
      <c r="H114" s="1809"/>
      <c r="I114" s="1809"/>
      <c r="J114" s="1814">
        <f t="shared" si="13"/>
        <v>303.19398306219375</v>
      </c>
      <c r="K114" s="1814">
        <f t="shared" si="14"/>
        <v>112.2</v>
      </c>
      <c r="L114" s="1158"/>
      <c r="M114" s="1158"/>
      <c r="N114" s="1158"/>
      <c r="O114" s="1158"/>
    </row>
    <row r="115" spans="1:16">
      <c r="A115" s="1156" t="s">
        <v>366</v>
      </c>
      <c r="B115" s="1156" t="s">
        <v>482</v>
      </c>
      <c r="C115" s="1156"/>
      <c r="D115" s="1156" t="s">
        <v>486</v>
      </c>
      <c r="E115" s="1158"/>
      <c r="F115" s="1810">
        <f t="shared" si="12"/>
        <v>44377</v>
      </c>
      <c r="G115" s="1808" t="str">
        <f t="shared" si="11"/>
        <v>2021/22</v>
      </c>
      <c r="H115" s="1809"/>
      <c r="I115" s="1809"/>
      <c r="J115" s="1814">
        <f t="shared" si="13"/>
        <v>303.95001941850921</v>
      </c>
      <c r="K115" s="1814">
        <f t="shared" si="14"/>
        <v>112.4</v>
      </c>
      <c r="L115" s="1158"/>
      <c r="M115" s="1158"/>
      <c r="N115" s="1158"/>
      <c r="O115" s="1158"/>
      <c r="P115" s="1158"/>
    </row>
    <row r="116" spans="1:16">
      <c r="A116" s="1156" t="s">
        <v>366</v>
      </c>
      <c r="B116" s="1156" t="s">
        <v>482</v>
      </c>
      <c r="C116" s="1156"/>
      <c r="D116" s="1156" t="s">
        <v>486</v>
      </c>
      <c r="E116" s="1158"/>
      <c r="F116" s="1810">
        <f t="shared" si="12"/>
        <v>44408</v>
      </c>
      <c r="G116" s="1808" t="str">
        <f t="shared" si="11"/>
        <v>2021/22</v>
      </c>
      <c r="H116" s="1809"/>
      <c r="I116" s="1809"/>
      <c r="J116" s="1814">
        <f t="shared" si="13"/>
        <v>304.70794100673561</v>
      </c>
      <c r="K116" s="1814">
        <f t="shared" si="14"/>
        <v>112.6</v>
      </c>
      <c r="L116" s="1158"/>
      <c r="M116" s="1158"/>
      <c r="N116" s="1158"/>
      <c r="O116" s="1158"/>
      <c r="P116" s="1158"/>
    </row>
    <row r="117" spans="1:16">
      <c r="A117" s="1156" t="s">
        <v>366</v>
      </c>
      <c r="B117" s="1156" t="s">
        <v>482</v>
      </c>
      <c r="C117" s="1156"/>
      <c r="D117" s="1156" t="s">
        <v>486</v>
      </c>
      <c r="E117" s="1158"/>
      <c r="F117" s="1810">
        <f t="shared" si="12"/>
        <v>44439</v>
      </c>
      <c r="G117" s="1808" t="str">
        <f t="shared" si="11"/>
        <v>2021/22</v>
      </c>
      <c r="H117" s="1809"/>
      <c r="I117" s="1809"/>
      <c r="J117" s="1814">
        <f t="shared" si="13"/>
        <v>305.46775252783647</v>
      </c>
      <c r="K117" s="1814">
        <f t="shared" si="14"/>
        <v>112.8</v>
      </c>
      <c r="L117" s="1158"/>
      <c r="M117" s="1158"/>
      <c r="N117" s="1158"/>
      <c r="O117" s="1158"/>
      <c r="P117" s="1158"/>
    </row>
    <row r="118" spans="1:16">
      <c r="A118" s="1156" t="s">
        <v>366</v>
      </c>
      <c r="B118" s="1156" t="s">
        <v>482</v>
      </c>
      <c r="C118" s="1156"/>
      <c r="D118" s="1156" t="s">
        <v>486</v>
      </c>
      <c r="E118" s="1158"/>
      <c r="F118" s="1810">
        <f t="shared" si="12"/>
        <v>44469</v>
      </c>
      <c r="G118" s="1808" t="str">
        <f t="shared" si="11"/>
        <v>2021/22</v>
      </c>
      <c r="H118" s="1809"/>
      <c r="I118" s="1809"/>
      <c r="J118" s="1814">
        <f t="shared" si="13"/>
        <v>306.22945869449757</v>
      </c>
      <c r="K118" s="1814">
        <f t="shared" si="14"/>
        <v>113</v>
      </c>
      <c r="L118" s="1158"/>
      <c r="M118" s="1158"/>
      <c r="N118" s="1158"/>
      <c r="O118" s="1158"/>
      <c r="P118" s="1158"/>
    </row>
    <row r="119" spans="1:16">
      <c r="A119" s="1156" t="s">
        <v>366</v>
      </c>
      <c r="B119" s="1156" t="s">
        <v>482</v>
      </c>
      <c r="C119" s="1156"/>
      <c r="D119" s="1156" t="s">
        <v>486</v>
      </c>
      <c r="E119" s="1158"/>
      <c r="F119" s="1810">
        <f t="shared" si="12"/>
        <v>44500</v>
      </c>
      <c r="G119" s="1808" t="str">
        <f t="shared" si="11"/>
        <v>2021/22</v>
      </c>
      <c r="H119" s="1809"/>
      <c r="I119" s="1809"/>
      <c r="J119" s="1814">
        <f t="shared" si="13"/>
        <v>306.9930642311561</v>
      </c>
      <c r="K119" s="1814">
        <f t="shared" si="14"/>
        <v>113.2</v>
      </c>
      <c r="L119" s="1158"/>
      <c r="M119" s="1158"/>
      <c r="N119" s="1158"/>
      <c r="O119" s="1158"/>
      <c r="P119" s="1158"/>
    </row>
    <row r="120" spans="1:16">
      <c r="A120" s="1156" t="s">
        <v>366</v>
      </c>
      <c r="B120" s="1156" t="s">
        <v>482</v>
      </c>
      <c r="C120" s="1156"/>
      <c r="D120" s="1156" t="s">
        <v>486</v>
      </c>
      <c r="E120" s="1158"/>
      <c r="F120" s="1810">
        <f t="shared" si="12"/>
        <v>44530</v>
      </c>
      <c r="G120" s="1808" t="str">
        <f t="shared" si="11"/>
        <v>2021/22</v>
      </c>
      <c r="H120" s="1809"/>
      <c r="I120" s="1809"/>
      <c r="J120" s="1814">
        <f t="shared" si="13"/>
        <v>307.75857387402993</v>
      </c>
      <c r="K120" s="1814">
        <f t="shared" si="14"/>
        <v>113.4</v>
      </c>
      <c r="L120" s="1158"/>
      <c r="M120" s="1158"/>
      <c r="N120" s="1158"/>
      <c r="O120" s="1158"/>
      <c r="P120" s="1158"/>
    </row>
    <row r="121" spans="1:16">
      <c r="A121" s="1156" t="s">
        <v>366</v>
      </c>
      <c r="B121" s="1156" t="s">
        <v>482</v>
      </c>
      <c r="C121" s="1156"/>
      <c r="D121" s="1156" t="s">
        <v>486</v>
      </c>
      <c r="E121" s="1158"/>
      <c r="F121" s="1810">
        <f t="shared" si="12"/>
        <v>44561</v>
      </c>
      <c r="G121" s="1808" t="str">
        <f t="shared" si="11"/>
        <v>2021/22</v>
      </c>
      <c r="H121" s="1809"/>
      <c r="I121" s="1809"/>
      <c r="J121" s="1814">
        <f t="shared" si="13"/>
        <v>308.52599237114708</v>
      </c>
      <c r="K121" s="1814">
        <f t="shared" si="14"/>
        <v>113.6</v>
      </c>
      <c r="L121" s="1158"/>
      <c r="M121" s="1158"/>
      <c r="N121" s="1158"/>
      <c r="O121" s="1158"/>
      <c r="P121" s="1158"/>
    </row>
    <row r="122" spans="1:16">
      <c r="A122" s="1156" t="s">
        <v>366</v>
      </c>
      <c r="B122" s="1156" t="s">
        <v>482</v>
      </c>
      <c r="C122" s="1156"/>
      <c r="D122" s="1156" t="s">
        <v>486</v>
      </c>
      <c r="E122" s="1158"/>
      <c r="F122" s="1810">
        <f t="shared" si="12"/>
        <v>44592</v>
      </c>
      <c r="G122" s="1808" t="str">
        <f t="shared" si="11"/>
        <v>2021/22</v>
      </c>
      <c r="H122" s="1809"/>
      <c r="I122" s="1809"/>
      <c r="J122" s="1814">
        <f t="shared" si="13"/>
        <v>309.29532448237518</v>
      </c>
      <c r="K122" s="1814">
        <f t="shared" si="14"/>
        <v>113.8</v>
      </c>
      <c r="L122" s="1158"/>
      <c r="M122" s="1158"/>
      <c r="N122" s="1158"/>
      <c r="O122" s="1158"/>
      <c r="P122" s="1158"/>
    </row>
    <row r="123" spans="1:16">
      <c r="A123" s="1156" t="s">
        <v>366</v>
      </c>
      <c r="B123" s="1156" t="s">
        <v>482</v>
      </c>
      <c r="C123" s="1156"/>
      <c r="D123" s="1156" t="s">
        <v>486</v>
      </c>
      <c r="E123" s="1158"/>
      <c r="F123" s="1810">
        <f t="shared" si="12"/>
        <v>44620</v>
      </c>
      <c r="G123" s="1808" t="str">
        <f t="shared" si="11"/>
        <v>2021/22</v>
      </c>
      <c r="H123" s="1809"/>
      <c r="I123" s="1809"/>
      <c r="J123" s="1814">
        <f t="shared" si="13"/>
        <v>310.06657497945082</v>
      </c>
      <c r="K123" s="1814">
        <f t="shared" si="14"/>
        <v>114</v>
      </c>
      <c r="L123" s="1158"/>
      <c r="M123" s="1158"/>
      <c r="N123" s="1158"/>
      <c r="O123" s="1158"/>
      <c r="P123" s="1158"/>
    </row>
    <row r="124" spans="1:16">
      <c r="A124" s="1156" t="s">
        <v>366</v>
      </c>
      <c r="B124" s="1156" t="s">
        <v>482</v>
      </c>
      <c r="C124" s="1156"/>
      <c r="D124" s="1156" t="s">
        <v>486</v>
      </c>
      <c r="E124" s="1158"/>
      <c r="F124" s="1810">
        <f t="shared" si="12"/>
        <v>44651</v>
      </c>
      <c r="G124" s="1808" t="str">
        <f t="shared" si="11"/>
        <v>2021/22</v>
      </c>
      <c r="H124" s="1809"/>
      <c r="I124" s="1809"/>
      <c r="J124" s="1814">
        <f t="shared" si="13"/>
        <v>310.8397486460093</v>
      </c>
      <c r="K124" s="1814">
        <f t="shared" si="14"/>
        <v>114.2</v>
      </c>
      <c r="L124" s="1158"/>
      <c r="M124" s="1158"/>
      <c r="N124" s="1158"/>
      <c r="O124" s="1158"/>
      <c r="P124" s="1158"/>
    </row>
    <row r="125" spans="1:16">
      <c r="A125" s="1156" t="s">
        <v>366</v>
      </c>
      <c r="B125" s="1156" t="s">
        <v>482</v>
      </c>
      <c r="C125" s="1156"/>
      <c r="D125" s="1156" t="s">
        <v>486</v>
      </c>
      <c r="E125" s="1158"/>
      <c r="F125" s="1810">
        <f t="shared" si="12"/>
        <v>44681</v>
      </c>
      <c r="G125" s="1808" t="str">
        <f t="shared" si="11"/>
        <v>2022/23</v>
      </c>
      <c r="H125" s="1809"/>
      <c r="I125" s="1809"/>
      <c r="J125" s="1814">
        <f t="shared" si="13"/>
        <v>311.62358210332854</v>
      </c>
      <c r="K125" s="1814">
        <f t="shared" si="14"/>
        <v>114.4</v>
      </c>
      <c r="L125" s="1158"/>
      <c r="M125" s="1158"/>
      <c r="N125" s="1158"/>
      <c r="O125" s="1158"/>
      <c r="P125" s="1158"/>
    </row>
    <row r="126" spans="1:16">
      <c r="A126" s="1156" t="s">
        <v>366</v>
      </c>
      <c r="B126" s="1156" t="s">
        <v>482</v>
      </c>
      <c r="C126" s="1156"/>
      <c r="D126" s="1156" t="s">
        <v>486</v>
      </c>
      <c r="E126" s="1158"/>
      <c r="F126" s="1810">
        <f t="shared" si="12"/>
        <v>44712</v>
      </c>
      <c r="G126" s="1808" t="str">
        <f t="shared" si="11"/>
        <v>2022/23</v>
      </c>
      <c r="H126" s="1809"/>
      <c r="I126" s="1809"/>
      <c r="J126" s="1814">
        <f t="shared" si="13"/>
        <v>312.40939212539377</v>
      </c>
      <c r="K126" s="1814">
        <f t="shared" si="14"/>
        <v>114.6</v>
      </c>
      <c r="L126" s="1158"/>
      <c r="M126" s="1158"/>
      <c r="N126" s="1158"/>
      <c r="O126" s="1158"/>
      <c r="P126" s="1158"/>
    </row>
    <row r="127" spans="1:16">
      <c r="A127" s="1156" t="s">
        <v>366</v>
      </c>
      <c r="B127" s="1156" t="s">
        <v>482</v>
      </c>
      <c r="C127" s="1156"/>
      <c r="D127" s="1156" t="s">
        <v>486</v>
      </c>
      <c r="E127" s="1158"/>
      <c r="F127" s="1810">
        <f t="shared" si="12"/>
        <v>44742</v>
      </c>
      <c r="G127" s="1808" t="str">
        <f t="shared" si="11"/>
        <v>2022/23</v>
      </c>
      <c r="H127" s="1809"/>
      <c r="I127" s="1809"/>
      <c r="J127" s="1814">
        <f t="shared" si="13"/>
        <v>313.19718369643743</v>
      </c>
      <c r="K127" s="1814">
        <f t="shared" si="14"/>
        <v>114.8</v>
      </c>
      <c r="L127" s="1158"/>
      <c r="M127" s="1158"/>
      <c r="N127" s="1158"/>
      <c r="O127" s="1158"/>
      <c r="P127" s="1158"/>
    </row>
    <row r="128" spans="1:16">
      <c r="A128" s="1156" t="s">
        <v>366</v>
      </c>
      <c r="B128" s="1156" t="s">
        <v>482</v>
      </c>
      <c r="C128" s="1156"/>
      <c r="D128" s="1156" t="s">
        <v>486</v>
      </c>
      <c r="E128" s="1158"/>
      <c r="F128" s="1810">
        <f t="shared" si="12"/>
        <v>44773</v>
      </c>
      <c r="G128" s="1808" t="str">
        <f t="shared" si="11"/>
        <v>2022/23</v>
      </c>
      <c r="H128" s="1809"/>
      <c r="I128" s="1809"/>
      <c r="J128" s="1814">
        <f t="shared" si="13"/>
        <v>313.98696181326062</v>
      </c>
      <c r="K128" s="1814">
        <f t="shared" si="14"/>
        <v>115</v>
      </c>
      <c r="L128" s="1158"/>
      <c r="M128" s="1158"/>
      <c r="N128" s="1158"/>
      <c r="O128" s="1158"/>
      <c r="P128" s="1158"/>
    </row>
    <row r="129" spans="1:16">
      <c r="A129" s="1156" t="s">
        <v>366</v>
      </c>
      <c r="B129" s="1156" t="s">
        <v>482</v>
      </c>
      <c r="C129" s="1156"/>
      <c r="D129" s="1156" t="s">
        <v>486</v>
      </c>
      <c r="E129" s="1158"/>
      <c r="F129" s="1810">
        <f t="shared" si="12"/>
        <v>44804</v>
      </c>
      <c r="G129" s="1808" t="str">
        <f t="shared" si="11"/>
        <v>2022/23</v>
      </c>
      <c r="H129" s="1809"/>
      <c r="I129" s="1809"/>
      <c r="J129" s="1814">
        <f t="shared" si="13"/>
        <v>314.77873148526464</v>
      </c>
      <c r="K129" s="1814">
        <f t="shared" si="14"/>
        <v>115.2</v>
      </c>
      <c r="L129" s="1158"/>
      <c r="M129" s="1158"/>
      <c r="N129" s="1158"/>
      <c r="O129" s="1158"/>
      <c r="P129" s="1158"/>
    </row>
    <row r="130" spans="1:16">
      <c r="A130" s="1156" t="s">
        <v>366</v>
      </c>
      <c r="B130" s="1156" t="s">
        <v>482</v>
      </c>
      <c r="C130" s="1156"/>
      <c r="D130" s="1156" t="s">
        <v>486</v>
      </c>
      <c r="E130" s="1158"/>
      <c r="F130" s="1810">
        <f t="shared" si="12"/>
        <v>44834</v>
      </c>
      <c r="G130" s="1808" t="str">
        <f t="shared" si="11"/>
        <v>2022/23</v>
      </c>
      <c r="H130" s="1809"/>
      <c r="I130" s="1809"/>
      <c r="J130" s="1814">
        <f t="shared" si="13"/>
        <v>315.57249773448285</v>
      </c>
      <c r="K130" s="1814">
        <f t="shared" si="14"/>
        <v>115.4</v>
      </c>
      <c r="L130" s="1158"/>
      <c r="M130" s="1158"/>
      <c r="N130" s="1158"/>
      <c r="O130" s="1158"/>
      <c r="P130" s="1158"/>
    </row>
    <row r="131" spans="1:16">
      <c r="A131" s="1156" t="s">
        <v>366</v>
      </c>
      <c r="B131" s="1156" t="s">
        <v>482</v>
      </c>
      <c r="C131" s="1156"/>
      <c r="D131" s="1156" t="s">
        <v>486</v>
      </c>
      <c r="E131" s="1158"/>
      <c r="F131" s="1810">
        <f t="shared" si="12"/>
        <v>44865</v>
      </c>
      <c r="G131" s="1808" t="str">
        <f t="shared" si="11"/>
        <v>2022/23</v>
      </c>
      <c r="H131" s="1809"/>
      <c r="I131" s="1809"/>
      <c r="J131" s="1814">
        <f t="shared" si="13"/>
        <v>316.36826559561246</v>
      </c>
      <c r="K131" s="1814">
        <f t="shared" si="14"/>
        <v>115.6</v>
      </c>
      <c r="L131" s="1158"/>
      <c r="M131" s="1158"/>
      <c r="N131" s="1158"/>
      <c r="O131" s="1158"/>
      <c r="P131" s="1158"/>
    </row>
    <row r="132" spans="1:16">
      <c r="A132" s="1156" t="s">
        <v>366</v>
      </c>
      <c r="B132" s="1156" t="s">
        <v>482</v>
      </c>
      <c r="C132" s="1156"/>
      <c r="D132" s="1156" t="s">
        <v>486</v>
      </c>
      <c r="E132" s="1158"/>
      <c r="F132" s="1810">
        <f t="shared" si="12"/>
        <v>44895</v>
      </c>
      <c r="G132" s="1808" t="str">
        <f t="shared" si="11"/>
        <v>2022/23</v>
      </c>
      <c r="H132" s="1809"/>
      <c r="I132" s="1809"/>
      <c r="J132" s="1814">
        <f t="shared" si="13"/>
        <v>317.16604011604647</v>
      </c>
      <c r="K132" s="1814">
        <f t="shared" si="14"/>
        <v>115.8</v>
      </c>
      <c r="L132" s="1158"/>
      <c r="M132" s="1158"/>
      <c r="N132" s="1158"/>
      <c r="O132" s="1158"/>
      <c r="P132" s="1158"/>
    </row>
    <row r="133" spans="1:16">
      <c r="A133" s="1156" t="s">
        <v>366</v>
      </c>
      <c r="B133" s="1156" t="s">
        <v>482</v>
      </c>
      <c r="C133" s="1156"/>
      <c r="D133" s="1156" t="s">
        <v>486</v>
      </c>
      <c r="E133" s="1158"/>
      <c r="F133" s="1810">
        <f t="shared" si="12"/>
        <v>44926</v>
      </c>
      <c r="G133" s="1808" t="str">
        <f t="shared" si="11"/>
        <v>2022/23</v>
      </c>
      <c r="H133" s="1809"/>
      <c r="I133" s="1809"/>
      <c r="J133" s="1814">
        <f t="shared" si="13"/>
        <v>317.96582635590585</v>
      </c>
      <c r="K133" s="1814">
        <f t="shared" si="14"/>
        <v>116</v>
      </c>
      <c r="L133" s="1158"/>
      <c r="M133" s="1158"/>
      <c r="N133" s="1158"/>
      <c r="O133" s="1158"/>
      <c r="P133" s="1158"/>
    </row>
    <row r="134" spans="1:16">
      <c r="A134" s="1156" t="s">
        <v>366</v>
      </c>
      <c r="B134" s="1156" t="s">
        <v>482</v>
      </c>
      <c r="C134" s="1156"/>
      <c r="D134" s="1156" t="s">
        <v>486</v>
      </c>
      <c r="E134" s="1158"/>
      <c r="F134" s="1810">
        <f t="shared" si="12"/>
        <v>44957</v>
      </c>
      <c r="G134" s="1808" t="str">
        <f t="shared" si="11"/>
        <v>2022/23</v>
      </c>
      <c r="H134" s="1809"/>
      <c r="I134" s="1809"/>
      <c r="J134" s="1814">
        <f t="shared" si="13"/>
        <v>318.76762938807133</v>
      </c>
      <c r="K134" s="1814">
        <f t="shared" si="14"/>
        <v>116.2</v>
      </c>
      <c r="L134" s="1158"/>
      <c r="M134" s="1158"/>
      <c r="N134" s="1158"/>
      <c r="O134" s="1158"/>
      <c r="P134" s="1158"/>
    </row>
    <row r="135" spans="1:16">
      <c r="A135" s="1156" t="s">
        <v>366</v>
      </c>
      <c r="B135" s="1156" t="s">
        <v>482</v>
      </c>
      <c r="C135" s="1156"/>
      <c r="D135" s="1156" t="s">
        <v>486</v>
      </c>
      <c r="E135" s="1158"/>
      <c r="F135" s="1810">
        <f t="shared" si="12"/>
        <v>44985</v>
      </c>
      <c r="G135" s="1808" t="str">
        <f t="shared" si="11"/>
        <v>2022/23</v>
      </c>
      <c r="H135" s="1809"/>
      <c r="I135" s="1809"/>
      <c r="J135" s="1814">
        <f t="shared" si="13"/>
        <v>319.57145429821583</v>
      </c>
      <c r="K135" s="1814">
        <f t="shared" si="14"/>
        <v>116.4</v>
      </c>
      <c r="L135" s="1158"/>
      <c r="M135" s="1158"/>
      <c r="N135" s="1158"/>
      <c r="O135" s="1158"/>
      <c r="P135" s="1158"/>
    </row>
    <row r="136" spans="1:16">
      <c r="A136" s="1156" t="s">
        <v>366</v>
      </c>
      <c r="B136" s="1156" t="s">
        <v>482</v>
      </c>
      <c r="C136" s="1156"/>
      <c r="D136" s="1156" t="s">
        <v>486</v>
      </c>
      <c r="E136" s="1158"/>
      <c r="F136" s="1810">
        <f t="shared" si="12"/>
        <v>45016</v>
      </c>
      <c r="G136" s="1808" t="str">
        <f t="shared" si="11"/>
        <v>2022/23</v>
      </c>
      <c r="H136" s="1809"/>
      <c r="I136" s="1809"/>
      <c r="J136" s="1814">
        <f t="shared" si="13"/>
        <v>320.37730618483658</v>
      </c>
      <c r="K136" s="1814">
        <f t="shared" si="14"/>
        <v>116.6</v>
      </c>
      <c r="L136" s="1158"/>
      <c r="M136" s="1158"/>
      <c r="N136" s="1158"/>
      <c r="O136" s="1158"/>
      <c r="P136" s="1158"/>
    </row>
    <row r="137" spans="1:16">
      <c r="A137" s="1156" t="s">
        <v>366</v>
      </c>
      <c r="B137" s="1156" t="s">
        <v>482</v>
      </c>
      <c r="C137" s="1156"/>
      <c r="D137" s="1156" t="s">
        <v>486</v>
      </c>
      <c r="E137" s="1158"/>
      <c r="F137" s="1810">
        <f t="shared" si="12"/>
        <v>45046</v>
      </c>
      <c r="G137" s="1808" t="str">
        <f t="shared" si="11"/>
        <v>2023/24</v>
      </c>
      <c r="H137" s="1809"/>
      <c r="I137" s="1809"/>
      <c r="J137" s="1814">
        <f t="shared" si="13"/>
        <v>321.18519015928757</v>
      </c>
      <c r="K137" s="1814">
        <f t="shared" si="14"/>
        <v>116.8</v>
      </c>
      <c r="L137" s="1158"/>
      <c r="M137" s="1158"/>
      <c r="N137" s="1158"/>
      <c r="O137" s="1158"/>
      <c r="P137" s="1158"/>
    </row>
    <row r="138" spans="1:16">
      <c r="A138" s="1156" t="s">
        <v>366</v>
      </c>
      <c r="B138" s="1156" t="s">
        <v>482</v>
      </c>
      <c r="C138" s="1156"/>
      <c r="D138" s="1156" t="s">
        <v>486</v>
      </c>
      <c r="E138" s="1158"/>
      <c r="F138" s="1810">
        <f t="shared" si="12"/>
        <v>45077</v>
      </c>
      <c r="G138" s="1808" t="str">
        <f t="shared" si="11"/>
        <v>2023/24</v>
      </c>
      <c r="H138" s="1809"/>
      <c r="I138" s="1809"/>
      <c r="J138" s="1814">
        <f t="shared" si="13"/>
        <v>321.99511134581189</v>
      </c>
      <c r="K138" s="1814">
        <f t="shared" si="14"/>
        <v>117</v>
      </c>
      <c r="L138" s="1158"/>
      <c r="M138" s="1158"/>
      <c r="N138" s="1158"/>
      <c r="O138" s="1158"/>
      <c r="P138" s="1158"/>
    </row>
    <row r="139" spans="1:16">
      <c r="A139" s="1156" t="s">
        <v>366</v>
      </c>
      <c r="B139" s="1156" t="s">
        <v>482</v>
      </c>
      <c r="C139" s="1156"/>
      <c r="D139" s="1156" t="s">
        <v>486</v>
      </c>
      <c r="E139" s="1158"/>
      <c r="F139" s="1810">
        <f t="shared" si="12"/>
        <v>45107</v>
      </c>
      <c r="G139" s="1808" t="str">
        <f t="shared" si="11"/>
        <v>2023/24</v>
      </c>
      <c r="H139" s="1809"/>
      <c r="I139" s="1809"/>
      <c r="J139" s="1814">
        <f t="shared" si="13"/>
        <v>322.80707488157424</v>
      </c>
      <c r="K139" s="1814">
        <f t="shared" si="14"/>
        <v>117.2</v>
      </c>
      <c r="L139" s="1158"/>
      <c r="M139" s="1158"/>
      <c r="N139" s="1158"/>
      <c r="O139" s="1158"/>
      <c r="P139" s="1158"/>
    </row>
    <row r="140" spans="1:16">
      <c r="A140" s="1156" t="s">
        <v>366</v>
      </c>
      <c r="B140" s="1156" t="s">
        <v>482</v>
      </c>
      <c r="C140" s="1156"/>
      <c r="D140" s="1156" t="s">
        <v>486</v>
      </c>
      <c r="E140" s="1158"/>
      <c r="F140" s="1810">
        <f t="shared" si="12"/>
        <v>45138</v>
      </c>
      <c r="G140" s="1808" t="str">
        <f t="shared" si="11"/>
        <v>2023/24</v>
      </c>
      <c r="H140" s="1809"/>
      <c r="I140" s="1809"/>
      <c r="J140" s="1814">
        <f t="shared" si="13"/>
        <v>323.62108591669346</v>
      </c>
      <c r="K140" s="1814">
        <f t="shared" si="14"/>
        <v>117.4</v>
      </c>
      <c r="L140" s="1158"/>
      <c r="M140" s="1158"/>
      <c r="N140" s="1158"/>
      <c r="O140" s="1158"/>
      <c r="P140" s="1158"/>
    </row>
    <row r="141" spans="1:16">
      <c r="A141" s="1156" t="s">
        <v>366</v>
      </c>
      <c r="B141" s="1156" t="s">
        <v>482</v>
      </c>
      <c r="C141" s="1156"/>
      <c r="D141" s="1156" t="s">
        <v>486</v>
      </c>
      <c r="E141" s="1158"/>
      <c r="F141" s="1810">
        <f t="shared" si="12"/>
        <v>45169</v>
      </c>
      <c r="G141" s="1808" t="str">
        <f t="shared" si="11"/>
        <v>2023/24</v>
      </c>
      <c r="H141" s="1809"/>
      <c r="I141" s="1809"/>
      <c r="J141" s="1814">
        <f t="shared" si="13"/>
        <v>324.43714961427537</v>
      </c>
      <c r="K141" s="1814">
        <f t="shared" si="14"/>
        <v>117.6</v>
      </c>
      <c r="L141" s="1158"/>
      <c r="M141" s="1158"/>
      <c r="N141" s="1158"/>
      <c r="O141" s="1158"/>
      <c r="P141" s="1158"/>
    </row>
    <row r="142" spans="1:16">
      <c r="A142" s="1156" t="s">
        <v>366</v>
      </c>
      <c r="B142" s="1156" t="s">
        <v>482</v>
      </c>
      <c r="C142" s="1156"/>
      <c r="D142" s="1156" t="s">
        <v>486</v>
      </c>
      <c r="E142" s="1158"/>
      <c r="F142" s="1810">
        <f t="shared" si="12"/>
        <v>45199</v>
      </c>
      <c r="G142" s="1808" t="str">
        <f t="shared" si="11"/>
        <v>2023/24</v>
      </c>
      <c r="H142" s="1809"/>
      <c r="I142" s="1809"/>
      <c r="J142" s="1814">
        <f t="shared" si="13"/>
        <v>325.25527115044537</v>
      </c>
      <c r="K142" s="1814">
        <f t="shared" si="14"/>
        <v>117.8</v>
      </c>
      <c r="L142" s="1158"/>
      <c r="M142" s="1158"/>
      <c r="N142" s="1158"/>
      <c r="O142" s="1158"/>
      <c r="P142" s="1158"/>
    </row>
    <row r="143" spans="1:16">
      <c r="A143" s="1156" t="s">
        <v>366</v>
      </c>
      <c r="B143" s="1156" t="s">
        <v>482</v>
      </c>
      <c r="C143" s="1156"/>
      <c r="D143" s="1156" t="s">
        <v>486</v>
      </c>
      <c r="E143" s="1158"/>
      <c r="F143" s="1810">
        <f t="shared" si="12"/>
        <v>45230</v>
      </c>
      <c r="G143" s="1808" t="str">
        <f t="shared" si="11"/>
        <v>2023/24</v>
      </c>
      <c r="H143" s="1809"/>
      <c r="I143" s="1809"/>
      <c r="J143" s="1814">
        <f t="shared" si="13"/>
        <v>326.07545571438123</v>
      </c>
      <c r="K143" s="1814">
        <f t="shared" si="14"/>
        <v>118</v>
      </c>
      <c r="L143" s="1158"/>
      <c r="M143" s="1158"/>
      <c r="N143" s="1158"/>
      <c r="O143" s="1158"/>
      <c r="P143" s="1158"/>
    </row>
    <row r="144" spans="1:16">
      <c r="A144" s="1156" t="s">
        <v>366</v>
      </c>
      <c r="B144" s="1156" t="s">
        <v>482</v>
      </c>
      <c r="C144" s="1156"/>
      <c r="D144" s="1156" t="s">
        <v>486</v>
      </c>
      <c r="E144" s="1158"/>
      <c r="F144" s="1810">
        <f t="shared" si="12"/>
        <v>45260</v>
      </c>
      <c r="G144" s="1808" t="str">
        <f t="shared" si="11"/>
        <v>2023/24</v>
      </c>
      <c r="H144" s="1809"/>
      <c r="I144" s="1809"/>
      <c r="J144" s="1814">
        <f t="shared" si="13"/>
        <v>326.89770850834623</v>
      </c>
      <c r="K144" s="1814">
        <f t="shared" si="14"/>
        <v>118.2</v>
      </c>
      <c r="L144" s="1158"/>
      <c r="M144" s="1158"/>
      <c r="N144" s="1158"/>
      <c r="O144" s="1158"/>
      <c r="P144" s="1158"/>
    </row>
    <row r="145" spans="1:16">
      <c r="A145" s="1156" t="s">
        <v>366</v>
      </c>
      <c r="B145" s="1156" t="s">
        <v>482</v>
      </c>
      <c r="C145" s="1156"/>
      <c r="D145" s="1156" t="s">
        <v>486</v>
      </c>
      <c r="E145" s="1158"/>
      <c r="F145" s="1810">
        <f t="shared" si="12"/>
        <v>45291</v>
      </c>
      <c r="G145" s="1808" t="str">
        <f t="shared" si="11"/>
        <v>2023/24</v>
      </c>
      <c r="H145" s="1809"/>
      <c r="I145" s="1809"/>
      <c r="J145" s="1814">
        <f t="shared" si="13"/>
        <v>327.72203474772186</v>
      </c>
      <c r="K145" s="1814">
        <f t="shared" si="14"/>
        <v>118.4</v>
      </c>
      <c r="L145" s="1158"/>
      <c r="M145" s="1158"/>
      <c r="N145" s="1158"/>
      <c r="O145" s="1158"/>
      <c r="P145" s="1158"/>
    </row>
    <row r="146" spans="1:16">
      <c r="A146" s="1156" t="s">
        <v>366</v>
      </c>
      <c r="B146" s="1156" t="s">
        <v>482</v>
      </c>
      <c r="C146" s="1156"/>
      <c r="D146" s="1156" t="s">
        <v>486</v>
      </c>
      <c r="E146" s="1158"/>
      <c r="F146" s="1810">
        <f t="shared" si="12"/>
        <v>45322</v>
      </c>
      <c r="G146" s="1808" t="str">
        <f t="shared" ref="G146:G172" si="15">IF(MONTH(F146)&gt;3,YEAR(F146),YEAR(F146)-1) &amp; "/" &amp; IF(MONTH(F146)&gt;3,YEAR(F146)+1,YEAR(F146))-2000</f>
        <v>2023/24</v>
      </c>
      <c r="H146" s="1809"/>
      <c r="I146" s="1809"/>
      <c r="J146" s="1814">
        <f t="shared" si="13"/>
        <v>328.54843966104119</v>
      </c>
      <c r="K146" s="1814">
        <f t="shared" si="14"/>
        <v>118.6</v>
      </c>
      <c r="L146" s="1158"/>
      <c r="M146" s="1158"/>
      <c r="N146" s="1158"/>
      <c r="O146" s="1158"/>
      <c r="P146" s="1158"/>
    </row>
    <row r="147" spans="1:16">
      <c r="A147" s="1156" t="s">
        <v>366</v>
      </c>
      <c r="B147" s="1156" t="s">
        <v>482</v>
      </c>
      <c r="C147" s="1156"/>
      <c r="D147" s="1156" t="s">
        <v>486</v>
      </c>
      <c r="E147" s="1158"/>
      <c r="F147" s="1810">
        <f t="shared" ref="F147:F172" si="16">EOMONTH(F146,1)</f>
        <v>45351</v>
      </c>
      <c r="G147" s="1808" t="str">
        <f t="shared" si="15"/>
        <v>2023/24</v>
      </c>
      <c r="H147" s="1809"/>
      <c r="I147" s="1809"/>
      <c r="J147" s="1814">
        <f t="shared" si="13"/>
        <v>329.37692849002178</v>
      </c>
      <c r="K147" s="1814">
        <f t="shared" si="14"/>
        <v>118.8</v>
      </c>
      <c r="L147" s="1158"/>
      <c r="M147" s="1158"/>
      <c r="N147" s="1158"/>
      <c r="O147" s="1158"/>
      <c r="P147" s="1158"/>
    </row>
    <row r="148" spans="1:16">
      <c r="A148" s="1156" t="s">
        <v>366</v>
      </c>
      <c r="B148" s="1156" t="s">
        <v>482</v>
      </c>
      <c r="C148" s="1156"/>
      <c r="D148" s="1156" t="s">
        <v>486</v>
      </c>
      <c r="E148" s="1158"/>
      <c r="F148" s="1810">
        <f t="shared" si="16"/>
        <v>45382</v>
      </c>
      <c r="G148" s="1808" t="str">
        <f t="shared" si="15"/>
        <v>2023/24</v>
      </c>
      <c r="H148" s="1809"/>
      <c r="I148" s="1809"/>
      <c r="J148" s="1814">
        <f t="shared" si="13"/>
        <v>330.20750648959915</v>
      </c>
      <c r="K148" s="1814">
        <f t="shared" si="14"/>
        <v>119</v>
      </c>
      <c r="L148" s="1158"/>
      <c r="M148" s="1158"/>
      <c r="N148" s="1158"/>
      <c r="O148" s="1158"/>
      <c r="P148" s="1158"/>
    </row>
    <row r="149" spans="1:16">
      <c r="A149" s="1156" t="s">
        <v>366</v>
      </c>
      <c r="B149" s="1156" t="s">
        <v>482</v>
      </c>
      <c r="C149" s="1156"/>
      <c r="D149" s="1156" t="s">
        <v>486</v>
      </c>
      <c r="E149" s="1158"/>
      <c r="F149" s="1810">
        <f t="shared" si="16"/>
        <v>45412</v>
      </c>
      <c r="G149" s="1808" t="str">
        <f t="shared" si="15"/>
        <v>2024/25</v>
      </c>
      <c r="H149" s="1809"/>
      <c r="I149" s="1809"/>
      <c r="J149" s="1814">
        <f t="shared" si="13"/>
        <v>331.04017892795991</v>
      </c>
      <c r="K149" s="1814">
        <f t="shared" si="14"/>
        <v>119.2</v>
      </c>
      <c r="L149" s="1158"/>
      <c r="M149" s="1158"/>
      <c r="N149" s="1158"/>
      <c r="O149" s="1158"/>
      <c r="P149" s="1158"/>
    </row>
    <row r="150" spans="1:16">
      <c r="A150" s="1156" t="s">
        <v>366</v>
      </c>
      <c r="B150" s="1156" t="s">
        <v>482</v>
      </c>
      <c r="C150" s="1156"/>
      <c r="D150" s="1156" t="s">
        <v>486</v>
      </c>
      <c r="E150" s="1158"/>
      <c r="F150" s="1810">
        <f t="shared" si="16"/>
        <v>45443</v>
      </c>
      <c r="G150" s="1808" t="str">
        <f t="shared" si="15"/>
        <v>2024/25</v>
      </c>
      <c r="H150" s="1809"/>
      <c r="I150" s="1809"/>
      <c r="J150" s="1814">
        <f t="shared" si="13"/>
        <v>331.87495108657527</v>
      </c>
      <c r="K150" s="1814">
        <f t="shared" si="14"/>
        <v>119.4</v>
      </c>
      <c r="L150" s="1158"/>
      <c r="M150" s="1158"/>
      <c r="N150" s="1158"/>
      <c r="O150" s="1158"/>
      <c r="P150" s="1158"/>
    </row>
    <row r="151" spans="1:16">
      <c r="A151" s="1156" t="s">
        <v>366</v>
      </c>
      <c r="B151" s="1156" t="s">
        <v>482</v>
      </c>
      <c r="C151" s="1156"/>
      <c r="D151" s="1156" t="s">
        <v>486</v>
      </c>
      <c r="E151" s="1158"/>
      <c r="F151" s="1810">
        <f t="shared" si="16"/>
        <v>45473</v>
      </c>
      <c r="G151" s="1808" t="str">
        <f t="shared" si="15"/>
        <v>2024/25</v>
      </c>
      <c r="H151" s="1809"/>
      <c r="I151" s="1809"/>
      <c r="J151" s="1814">
        <f t="shared" si="13"/>
        <v>332.7118282602346</v>
      </c>
      <c r="K151" s="1814">
        <f t="shared" si="14"/>
        <v>119.6</v>
      </c>
      <c r="L151" s="1158"/>
      <c r="M151" s="1158"/>
      <c r="N151" s="1158"/>
      <c r="O151" s="1158"/>
      <c r="P151" s="1158"/>
    </row>
    <row r="152" spans="1:16">
      <c r="A152" s="1156" t="s">
        <v>366</v>
      </c>
      <c r="B152" s="1156" t="s">
        <v>482</v>
      </c>
      <c r="C152" s="1156"/>
      <c r="D152" s="1156" t="s">
        <v>486</v>
      </c>
      <c r="E152" s="1158"/>
      <c r="F152" s="1810">
        <f t="shared" si="16"/>
        <v>45504</v>
      </c>
      <c r="G152" s="1808" t="str">
        <f t="shared" si="15"/>
        <v>2024/25</v>
      </c>
      <c r="H152" s="1809"/>
      <c r="I152" s="1809"/>
      <c r="J152" s="1814">
        <f t="shared" si="13"/>
        <v>333.55081575707891</v>
      </c>
      <c r="K152" s="1814">
        <f t="shared" si="14"/>
        <v>119.8</v>
      </c>
      <c r="L152" s="1158"/>
      <c r="M152" s="1158"/>
      <c r="N152" s="1158"/>
      <c r="O152" s="1158"/>
      <c r="P152" s="1158"/>
    </row>
    <row r="153" spans="1:16">
      <c r="A153" s="1156" t="s">
        <v>366</v>
      </c>
      <c r="B153" s="1156" t="s">
        <v>482</v>
      </c>
      <c r="C153" s="1156"/>
      <c r="D153" s="1156" t="s">
        <v>486</v>
      </c>
      <c r="E153" s="1158"/>
      <c r="F153" s="1810">
        <f t="shared" si="16"/>
        <v>45535</v>
      </c>
      <c r="G153" s="1808" t="str">
        <f t="shared" si="15"/>
        <v>2024/25</v>
      </c>
      <c r="H153" s="1809"/>
      <c r="I153" s="1809"/>
      <c r="J153" s="1814">
        <f t="shared" si="13"/>
        <v>334.39191889863457</v>
      </c>
      <c r="K153" s="1814">
        <f t="shared" si="14"/>
        <v>120</v>
      </c>
      <c r="L153" s="1158"/>
      <c r="M153" s="1158"/>
      <c r="N153" s="1158"/>
      <c r="O153" s="1158"/>
      <c r="P153" s="1158"/>
    </row>
    <row r="154" spans="1:16">
      <c r="A154" s="1156" t="s">
        <v>366</v>
      </c>
      <c r="B154" s="1156" t="s">
        <v>482</v>
      </c>
      <c r="C154" s="1156"/>
      <c r="D154" s="1156" t="s">
        <v>486</v>
      </c>
      <c r="E154" s="1158"/>
      <c r="F154" s="1810">
        <f t="shared" si="16"/>
        <v>45565</v>
      </c>
      <c r="G154" s="1808" t="str">
        <f t="shared" si="15"/>
        <v>2024/25</v>
      </c>
      <c r="H154" s="1809"/>
      <c r="I154" s="1809"/>
      <c r="J154" s="1814">
        <f t="shared" ref="J154:J172" si="17">J153*((1+(INDEX($F$63:$N$69,MATCH(G154,$F$63:$F$69,0),6)))^(1/12))</f>
        <v>335.23514301984704</v>
      </c>
      <c r="K154" s="1814">
        <f t="shared" ref="K154:K172" si="18">ROUND(K153*((1+(INDEX($F$63:$N$69,MATCH(G154,$F$63:$F$69,0),9)))^(1/12)),1)</f>
        <v>120.2</v>
      </c>
      <c r="L154" s="1158"/>
      <c r="M154" s="1158"/>
      <c r="N154" s="1158"/>
      <c r="O154" s="1158"/>
      <c r="P154" s="1158"/>
    </row>
    <row r="155" spans="1:16">
      <c r="A155" s="1156" t="s">
        <v>366</v>
      </c>
      <c r="B155" s="1156" t="s">
        <v>482</v>
      </c>
      <c r="C155" s="1156"/>
      <c r="D155" s="1156" t="s">
        <v>486</v>
      </c>
      <c r="E155" s="1158"/>
      <c r="F155" s="1810">
        <f t="shared" si="16"/>
        <v>45596</v>
      </c>
      <c r="G155" s="1808" t="str">
        <f t="shared" si="15"/>
        <v>2024/25</v>
      </c>
      <c r="H155" s="1809"/>
      <c r="I155" s="1809"/>
      <c r="J155" s="1814">
        <f t="shared" si="17"/>
        <v>336.08049346911474</v>
      </c>
      <c r="K155" s="1814">
        <f t="shared" si="18"/>
        <v>120.4</v>
      </c>
      <c r="L155" s="1158"/>
      <c r="M155" s="1158"/>
      <c r="N155" s="1158"/>
      <c r="O155" s="1158"/>
      <c r="P155" s="1158"/>
    </row>
    <row r="156" spans="1:16">
      <c r="A156" s="1156" t="s">
        <v>366</v>
      </c>
      <c r="B156" s="1156" t="s">
        <v>482</v>
      </c>
      <c r="C156" s="1156"/>
      <c r="D156" s="1156" t="s">
        <v>486</v>
      </c>
      <c r="E156" s="1158"/>
      <c r="F156" s="1810">
        <f t="shared" si="16"/>
        <v>45626</v>
      </c>
      <c r="G156" s="1808" t="str">
        <f t="shared" si="15"/>
        <v>2024/25</v>
      </c>
      <c r="H156" s="1809"/>
      <c r="I156" s="1809"/>
      <c r="J156" s="1814">
        <f t="shared" si="17"/>
        <v>336.92797560832292</v>
      </c>
      <c r="K156" s="1814">
        <f t="shared" si="18"/>
        <v>120.6</v>
      </c>
      <c r="L156" s="1158"/>
      <c r="M156" s="1158"/>
      <c r="N156" s="1158"/>
      <c r="O156" s="1158"/>
      <c r="P156" s="1158"/>
    </row>
    <row r="157" spans="1:16">
      <c r="A157" s="1156" t="s">
        <v>366</v>
      </c>
      <c r="B157" s="1156" t="s">
        <v>482</v>
      </c>
      <c r="C157" s="1156"/>
      <c r="D157" s="1156" t="s">
        <v>486</v>
      </c>
      <c r="E157" s="1158"/>
      <c r="F157" s="1810">
        <f t="shared" si="16"/>
        <v>45657</v>
      </c>
      <c r="G157" s="1808" t="str">
        <f t="shared" si="15"/>
        <v>2024/25</v>
      </c>
      <c r="H157" s="1809"/>
      <c r="I157" s="1809"/>
      <c r="J157" s="1814">
        <f t="shared" si="17"/>
        <v>337.77759481287779</v>
      </c>
      <c r="K157" s="1814">
        <f t="shared" si="18"/>
        <v>120.8</v>
      </c>
      <c r="L157" s="1158"/>
      <c r="M157" s="1158"/>
      <c r="N157" s="1158"/>
      <c r="O157" s="1158"/>
      <c r="P157" s="1158"/>
    </row>
    <row r="158" spans="1:16">
      <c r="A158" s="1156" t="s">
        <v>366</v>
      </c>
      <c r="B158" s="1156" t="s">
        <v>482</v>
      </c>
      <c r="C158" s="1156"/>
      <c r="D158" s="1156" t="s">
        <v>486</v>
      </c>
      <c r="E158" s="1158"/>
      <c r="F158" s="1810">
        <f t="shared" si="16"/>
        <v>45688</v>
      </c>
      <c r="G158" s="1808" t="str">
        <f t="shared" si="15"/>
        <v>2024/25</v>
      </c>
      <c r="H158" s="1809"/>
      <c r="I158" s="1809"/>
      <c r="J158" s="1814">
        <f t="shared" si="17"/>
        <v>338.62935647174038</v>
      </c>
      <c r="K158" s="1814">
        <f t="shared" si="18"/>
        <v>121</v>
      </c>
      <c r="L158" s="1158"/>
      <c r="M158" s="1158"/>
      <c r="N158" s="1158"/>
      <c r="O158" s="1158"/>
      <c r="P158" s="1158"/>
    </row>
    <row r="159" spans="1:16">
      <c r="A159" s="1156" t="s">
        <v>366</v>
      </c>
      <c r="B159" s="1156" t="s">
        <v>482</v>
      </c>
      <c r="C159" s="1156"/>
      <c r="D159" s="1156" t="s">
        <v>486</v>
      </c>
      <c r="E159" s="1158"/>
      <c r="F159" s="1810">
        <f t="shared" si="16"/>
        <v>45716</v>
      </c>
      <c r="G159" s="1808" t="str">
        <f t="shared" si="15"/>
        <v>2024/25</v>
      </c>
      <c r="H159" s="1809"/>
      <c r="I159" s="1809"/>
      <c r="J159" s="1814">
        <f t="shared" si="17"/>
        <v>339.48326598746104</v>
      </c>
      <c r="K159" s="1814">
        <f t="shared" si="18"/>
        <v>121.2</v>
      </c>
      <c r="L159" s="1158"/>
      <c r="M159" s="1158"/>
      <c r="N159" s="1158"/>
      <c r="O159" s="1158"/>
      <c r="P159" s="1158"/>
    </row>
    <row r="160" spans="1:16">
      <c r="A160" s="1156" t="s">
        <v>366</v>
      </c>
      <c r="B160" s="1156" t="s">
        <v>482</v>
      </c>
      <c r="C160" s="1156"/>
      <c r="D160" s="1156" t="s">
        <v>486</v>
      </c>
      <c r="E160" s="1158"/>
      <c r="F160" s="1810">
        <f t="shared" si="16"/>
        <v>45747</v>
      </c>
      <c r="G160" s="1808" t="str">
        <f t="shared" si="15"/>
        <v>2024/25</v>
      </c>
      <c r="H160" s="1809"/>
      <c r="I160" s="1809"/>
      <c r="J160" s="1814">
        <f t="shared" si="17"/>
        <v>340.33932877621339</v>
      </c>
      <c r="K160" s="1814">
        <f t="shared" si="18"/>
        <v>121.4</v>
      </c>
      <c r="L160" s="1158"/>
      <c r="M160" s="1158"/>
      <c r="N160" s="1158"/>
      <c r="O160" s="1158"/>
      <c r="P160" s="1158"/>
    </row>
    <row r="161" spans="1:16">
      <c r="A161" s="1156" t="s">
        <v>366</v>
      </c>
      <c r="B161" s="1156" t="s">
        <v>482</v>
      </c>
      <c r="C161" s="1156"/>
      <c r="D161" s="1156" t="s">
        <v>486</v>
      </c>
      <c r="E161" s="1158"/>
      <c r="F161" s="1810">
        <f t="shared" si="16"/>
        <v>45777</v>
      </c>
      <c r="G161" s="1808" t="str">
        <f t="shared" si="15"/>
        <v>2025/26</v>
      </c>
      <c r="H161" s="1809"/>
      <c r="I161" s="1809"/>
      <c r="J161" s="1814">
        <f t="shared" si="17"/>
        <v>341.19755026782894</v>
      </c>
      <c r="K161" s="1814">
        <f t="shared" si="18"/>
        <v>121.6</v>
      </c>
      <c r="L161" s="1158"/>
      <c r="M161" s="1158"/>
      <c r="N161" s="1158"/>
      <c r="O161" s="1158"/>
      <c r="P161" s="1158"/>
    </row>
    <row r="162" spans="1:16">
      <c r="A162" s="1156" t="s">
        <v>366</v>
      </c>
      <c r="B162" s="1156" t="s">
        <v>482</v>
      </c>
      <c r="C162" s="1156"/>
      <c r="D162" s="1156" t="s">
        <v>486</v>
      </c>
      <c r="E162" s="1158"/>
      <c r="F162" s="1810">
        <f t="shared" si="16"/>
        <v>45808</v>
      </c>
      <c r="G162" s="1808" t="str">
        <f t="shared" si="15"/>
        <v>2025/26</v>
      </c>
      <c r="H162" s="1809"/>
      <c r="I162" s="1809"/>
      <c r="J162" s="1814">
        <f t="shared" si="17"/>
        <v>342.0579359058313</v>
      </c>
      <c r="K162" s="1814">
        <f t="shared" si="18"/>
        <v>121.8</v>
      </c>
      <c r="L162" s="1158"/>
      <c r="M162" s="1158"/>
      <c r="N162" s="1158"/>
      <c r="O162" s="1158"/>
      <c r="P162" s="1158"/>
    </row>
    <row r="163" spans="1:16">
      <c r="A163" s="1156" t="s">
        <v>366</v>
      </c>
      <c r="B163" s="1156" t="s">
        <v>482</v>
      </c>
      <c r="C163" s="1156"/>
      <c r="D163" s="1156" t="s">
        <v>486</v>
      </c>
      <c r="E163" s="1158"/>
      <c r="F163" s="1810">
        <f t="shared" si="16"/>
        <v>45838</v>
      </c>
      <c r="G163" s="1808" t="str">
        <f t="shared" si="15"/>
        <v>2025/26</v>
      </c>
      <c r="H163" s="1809"/>
      <c r="I163" s="1809"/>
      <c r="J163" s="1814">
        <f t="shared" si="17"/>
        <v>342.9204911474709</v>
      </c>
      <c r="K163" s="1814">
        <f t="shared" si="18"/>
        <v>122</v>
      </c>
      <c r="L163" s="1158"/>
      <c r="M163" s="1158"/>
      <c r="N163" s="1158"/>
      <c r="O163" s="1158"/>
      <c r="P163" s="1158"/>
    </row>
    <row r="164" spans="1:16">
      <c r="A164" s="1156" t="s">
        <v>366</v>
      </c>
      <c r="B164" s="1156" t="s">
        <v>482</v>
      </c>
      <c r="C164" s="1156"/>
      <c r="D164" s="1156" t="s">
        <v>486</v>
      </c>
      <c r="E164" s="1158"/>
      <c r="F164" s="1810">
        <f t="shared" si="16"/>
        <v>45869</v>
      </c>
      <c r="G164" s="1808" t="str">
        <f t="shared" si="15"/>
        <v>2025/26</v>
      </c>
      <c r="H164" s="1809"/>
      <c r="I164" s="1809"/>
      <c r="J164" s="1814">
        <f t="shared" si="17"/>
        <v>343.78522146375951</v>
      </c>
      <c r="K164" s="1814">
        <f t="shared" si="18"/>
        <v>122.2</v>
      </c>
      <c r="L164" s="1158"/>
      <c r="M164" s="1158"/>
      <c r="N164" s="1158"/>
      <c r="O164" s="1158"/>
      <c r="P164" s="1158"/>
    </row>
    <row r="165" spans="1:16">
      <c r="A165" s="1156" t="s">
        <v>366</v>
      </c>
      <c r="B165" s="1156" t="s">
        <v>482</v>
      </c>
      <c r="C165" s="1156"/>
      <c r="D165" s="1156" t="s">
        <v>486</v>
      </c>
      <c r="E165" s="1158"/>
      <c r="F165" s="1810">
        <f t="shared" si="16"/>
        <v>45900</v>
      </c>
      <c r="G165" s="1808" t="str">
        <f t="shared" si="15"/>
        <v>2025/26</v>
      </c>
      <c r="H165" s="1809"/>
      <c r="I165" s="1809"/>
      <c r="J165" s="1814">
        <f t="shared" si="17"/>
        <v>344.65213233950493</v>
      </c>
      <c r="K165" s="1814">
        <f t="shared" si="18"/>
        <v>122.4</v>
      </c>
      <c r="L165" s="1158"/>
      <c r="M165" s="1158"/>
      <c r="N165" s="1158"/>
      <c r="O165" s="1158"/>
      <c r="P165" s="1158"/>
    </row>
    <row r="166" spans="1:16">
      <c r="A166" s="1156" t="s">
        <v>366</v>
      </c>
      <c r="B166" s="1156" t="s">
        <v>482</v>
      </c>
      <c r="C166" s="1156"/>
      <c r="D166" s="1156" t="s">
        <v>486</v>
      </c>
      <c r="E166" s="1158"/>
      <c r="F166" s="1810">
        <f t="shared" si="16"/>
        <v>45930</v>
      </c>
      <c r="G166" s="1808" t="str">
        <f t="shared" si="15"/>
        <v>2025/26</v>
      </c>
      <c r="H166" s="1809"/>
      <c r="I166" s="1809"/>
      <c r="J166" s="1814">
        <f t="shared" si="17"/>
        <v>345.52122927334585</v>
      </c>
      <c r="K166" s="1814">
        <f t="shared" si="18"/>
        <v>122.6</v>
      </c>
      <c r="L166" s="1158"/>
      <c r="M166" s="1158"/>
      <c r="N166" s="1158"/>
      <c r="O166" s="1158"/>
      <c r="P166" s="1158"/>
    </row>
    <row r="167" spans="1:16">
      <c r="A167" s="1156" t="s">
        <v>366</v>
      </c>
      <c r="B167" s="1156" t="s">
        <v>482</v>
      </c>
      <c r="C167" s="1156"/>
      <c r="D167" s="1156" t="s">
        <v>486</v>
      </c>
      <c r="E167" s="1158"/>
      <c r="F167" s="1810">
        <f t="shared" si="16"/>
        <v>45961</v>
      </c>
      <c r="G167" s="1808" t="str">
        <f t="shared" si="15"/>
        <v>2025/26</v>
      </c>
      <c r="H167" s="1809"/>
      <c r="I167" s="1809"/>
      <c r="J167" s="1814">
        <f t="shared" si="17"/>
        <v>346.39251777778662</v>
      </c>
      <c r="K167" s="1814">
        <f t="shared" si="18"/>
        <v>122.8</v>
      </c>
      <c r="L167" s="1158"/>
      <c r="M167" s="1158"/>
      <c r="N167" s="1158"/>
      <c r="O167" s="1158"/>
      <c r="P167" s="1158"/>
    </row>
    <row r="168" spans="1:16">
      <c r="A168" s="1156" t="s">
        <v>366</v>
      </c>
      <c r="B168" s="1156" t="s">
        <v>482</v>
      </c>
      <c r="C168" s="1156"/>
      <c r="D168" s="1156" t="s">
        <v>486</v>
      </c>
      <c r="E168" s="1158"/>
      <c r="F168" s="1810">
        <f t="shared" si="16"/>
        <v>45991</v>
      </c>
      <c r="G168" s="1808" t="str">
        <f t="shared" si="15"/>
        <v>2025/26</v>
      </c>
      <c r="H168" s="1809"/>
      <c r="I168" s="1809"/>
      <c r="J168" s="1814">
        <f t="shared" si="17"/>
        <v>347.2660033792323</v>
      </c>
      <c r="K168" s="1814">
        <f t="shared" si="18"/>
        <v>123</v>
      </c>
      <c r="L168" s="1158"/>
      <c r="M168" s="1158"/>
      <c r="N168" s="1158"/>
      <c r="O168" s="1158"/>
      <c r="P168" s="1158"/>
    </row>
    <row r="169" spans="1:16">
      <c r="A169" s="1156" t="s">
        <v>366</v>
      </c>
      <c r="B169" s="1156" t="s">
        <v>482</v>
      </c>
      <c r="C169" s="1156"/>
      <c r="D169" s="1156" t="s">
        <v>486</v>
      </c>
      <c r="E169" s="1158"/>
      <c r="F169" s="1810">
        <f t="shared" si="16"/>
        <v>46022</v>
      </c>
      <c r="G169" s="1808" t="str">
        <f t="shared" si="15"/>
        <v>2025/26</v>
      </c>
      <c r="H169" s="1809"/>
      <c r="I169" s="1809"/>
      <c r="J169" s="1814">
        <f t="shared" si="17"/>
        <v>348.14169161802369</v>
      </c>
      <c r="K169" s="1814">
        <f t="shared" si="18"/>
        <v>123.2</v>
      </c>
      <c r="L169" s="1158"/>
      <c r="M169" s="1158"/>
      <c r="N169" s="1158"/>
      <c r="O169" s="1158"/>
      <c r="P169" s="1158"/>
    </row>
    <row r="170" spans="1:16">
      <c r="A170" s="1156" t="s">
        <v>366</v>
      </c>
      <c r="B170" s="1156" t="s">
        <v>482</v>
      </c>
      <c r="C170" s="1156"/>
      <c r="D170" s="1156" t="s">
        <v>486</v>
      </c>
      <c r="E170" s="1158"/>
      <c r="F170" s="1810">
        <f t="shared" si="16"/>
        <v>46053</v>
      </c>
      <c r="G170" s="1808" t="str">
        <f t="shared" si="15"/>
        <v>2025/26</v>
      </c>
      <c r="H170" s="1809"/>
      <c r="I170" s="1809"/>
      <c r="J170" s="1814">
        <f t="shared" si="17"/>
        <v>349.01958804847249</v>
      </c>
      <c r="K170" s="1814">
        <f t="shared" si="18"/>
        <v>123.4</v>
      </c>
      <c r="L170" s="1158"/>
      <c r="M170" s="1158"/>
      <c r="N170" s="1158"/>
      <c r="O170" s="1158"/>
      <c r="P170" s="1158"/>
    </row>
    <row r="171" spans="1:16">
      <c r="A171" s="1156" t="s">
        <v>366</v>
      </c>
      <c r="B171" s="1156" t="s">
        <v>482</v>
      </c>
      <c r="C171" s="1156"/>
      <c r="D171" s="1156" t="s">
        <v>486</v>
      </c>
      <c r="E171" s="1158"/>
      <c r="F171" s="1810">
        <f t="shared" si="16"/>
        <v>46081</v>
      </c>
      <c r="G171" s="1808" t="str">
        <f t="shared" si="15"/>
        <v>2025/26</v>
      </c>
      <c r="H171" s="1809"/>
      <c r="I171" s="1809"/>
      <c r="J171" s="1814">
        <f t="shared" si="17"/>
        <v>349.89969823889646</v>
      </c>
      <c r="K171" s="1814">
        <f t="shared" si="18"/>
        <v>123.6</v>
      </c>
      <c r="L171" s="1158"/>
      <c r="M171" s="1158"/>
      <c r="N171" s="1158"/>
      <c r="O171" s="1158"/>
      <c r="P171" s="1158"/>
    </row>
    <row r="172" spans="1:16">
      <c r="A172" s="1156" t="s">
        <v>366</v>
      </c>
      <c r="B172" s="1156" t="s">
        <v>482</v>
      </c>
      <c r="C172" s="1156"/>
      <c r="D172" s="1156" t="s">
        <v>486</v>
      </c>
      <c r="E172" s="1158"/>
      <c r="F172" s="1810">
        <f t="shared" si="16"/>
        <v>46112</v>
      </c>
      <c r="G172" s="1808" t="str">
        <f t="shared" si="15"/>
        <v>2025/26</v>
      </c>
      <c r="H172" s="1809"/>
      <c r="I172" s="1809"/>
      <c r="J172" s="1814">
        <f t="shared" si="17"/>
        <v>350.78202777165484</v>
      </c>
      <c r="K172" s="1814">
        <f t="shared" si="18"/>
        <v>123.8</v>
      </c>
      <c r="L172" s="1158"/>
      <c r="M172" s="1158"/>
      <c r="N172" s="1158"/>
      <c r="O172" s="1158"/>
      <c r="P172" s="1158"/>
    </row>
    <row r="173" spans="1:16">
      <c r="E173" s="1158"/>
      <c r="F173" s="1815"/>
      <c r="G173" s="1192"/>
      <c r="H173" s="1158"/>
      <c r="I173" s="1158"/>
      <c r="J173" s="1158"/>
      <c r="K173" s="1158"/>
      <c r="L173" s="1158"/>
      <c r="M173" s="1158"/>
      <c r="N173" s="1158"/>
      <c r="O173" s="1158"/>
      <c r="P173" s="1158"/>
    </row>
    <row r="174" spans="1:16">
      <c r="E174" s="1158"/>
      <c r="F174" s="1815"/>
      <c r="G174" s="1192"/>
      <c r="H174" s="1158"/>
      <c r="I174" s="1158"/>
      <c r="J174" s="1158"/>
      <c r="K174" s="1158"/>
      <c r="L174" s="1158"/>
      <c r="M174" s="1158"/>
      <c r="N174" s="1158"/>
      <c r="O174" s="1158"/>
      <c r="P174" s="1158"/>
    </row>
    <row r="175" spans="1:16" hidden="1">
      <c r="E175" s="1158"/>
      <c r="F175" s="1815"/>
      <c r="G175" s="1192"/>
      <c r="H175" s="1158"/>
      <c r="I175" s="1158"/>
      <c r="J175" s="1158"/>
      <c r="K175" s="1158"/>
      <c r="L175" s="1158"/>
      <c r="M175" s="1158"/>
      <c r="N175" s="1158"/>
      <c r="O175" s="1158"/>
      <c r="P175" s="1158"/>
    </row>
    <row r="176" spans="1:16" hidden="1">
      <c r="E176" s="1158"/>
      <c r="F176" s="1815"/>
      <c r="G176" s="1192"/>
      <c r="H176" s="1158"/>
      <c r="I176" s="1158"/>
      <c r="J176" s="1158"/>
      <c r="K176" s="1158"/>
      <c r="L176" s="1158"/>
      <c r="M176" s="1158"/>
      <c r="N176" s="1158"/>
      <c r="O176" s="1158"/>
      <c r="P176" s="1158"/>
    </row>
    <row r="177" spans="5:16" hidden="1">
      <c r="E177" s="1158"/>
      <c r="F177" s="1815"/>
      <c r="G177" s="1192"/>
      <c r="H177" s="1158"/>
      <c r="I177" s="1158"/>
      <c r="J177" s="1158"/>
      <c r="K177" s="1158"/>
      <c r="L177" s="1158"/>
      <c r="M177" s="1158"/>
      <c r="N177" s="1158"/>
      <c r="O177" s="1158"/>
      <c r="P177" s="1158"/>
    </row>
  </sheetData>
  <pageMargins left="0.74803149606299213" right="0.74803149606299213" top="0.98425196850393704" bottom="0.98425196850393704" header="0.51181102362204722" footer="0.51181102362204722"/>
  <pageSetup paperSize="8" scale="4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rgb="FFFF6600"/>
  </sheetPr>
  <dimension ref="A1:CD143"/>
  <sheetViews>
    <sheetView showGridLines="0" topLeftCell="A77" zoomScale="50" zoomScaleNormal="50" workbookViewId="0">
      <pane xSplit="7" topLeftCell="AM1" activePane="topRight" state="frozen"/>
      <selection activeCell="G14" sqref="G14"/>
      <selection pane="topRight" activeCell="AV105" sqref="AV105:AV107"/>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5.625" style="173" customWidth="1"/>
    <col min="54" max="67" width="15.625" style="173" customWidth="1"/>
    <col min="68" max="68" width="5.625" style="173" customWidth="1"/>
    <col min="69" max="82" width="15.625" style="173" customWidth="1"/>
    <col min="83"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2729</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row>
    <row r="9" spans="1:59"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row>
    <row r="10" spans="1:59"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4"/>
    </row>
    <row r="11" spans="1:59" s="89" customFormat="1" ht="15" customHeight="1">
      <c r="B11" s="115"/>
      <c r="C11" s="116" t="s">
        <v>2730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4"/>
    </row>
    <row r="12" spans="1:59" s="89" customFormat="1" ht="15" customHeight="1">
      <c r="B12" s="123"/>
      <c r="C12" s="127"/>
      <c r="D12" s="127" t="s">
        <v>2687</v>
      </c>
      <c r="E12" s="127"/>
      <c r="F12" s="127"/>
      <c r="G12" s="117"/>
      <c r="H12" s="118"/>
      <c r="I12" s="119" t="s">
        <v>498</v>
      </c>
      <c r="J12" s="128">
        <f>J37</f>
        <v>3.4743825996495943</v>
      </c>
      <c r="K12" s="129">
        <f t="shared" ref="K12:V12" si="0">K37</f>
        <v>3.9555618996178659</v>
      </c>
      <c r="L12" s="129">
        <f t="shared" si="0"/>
        <v>2.703779870496859</v>
      </c>
      <c r="M12" s="129">
        <f t="shared" si="0"/>
        <v>2.4435788519687471</v>
      </c>
      <c r="N12" s="129">
        <f t="shared" si="0"/>
        <v>5.5212007945609534</v>
      </c>
      <c r="O12" s="129">
        <f t="shared" si="0"/>
        <v>6.4439499453395594</v>
      </c>
      <c r="P12" s="129">
        <f t="shared" si="0"/>
        <v>7.2640851099969908</v>
      </c>
      <c r="Q12" s="130">
        <f t="shared" si="0"/>
        <v>6.4796415971133232</v>
      </c>
      <c r="R12" s="128">
        <f t="shared" si="0"/>
        <v>5.6329950394708677</v>
      </c>
      <c r="S12" s="129">
        <f t="shared" si="0"/>
        <v>5.6048300642735125</v>
      </c>
      <c r="T12" s="129">
        <f t="shared" si="0"/>
        <v>5.5768059139521462</v>
      </c>
      <c r="U12" s="129">
        <f t="shared" si="0"/>
        <v>5.5489218843823842</v>
      </c>
      <c r="V12" s="130">
        <f t="shared" si="0"/>
        <v>5.5211772749604737</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4"/>
    </row>
    <row r="13" spans="1:59" s="89" customFormat="1" ht="15" customHeight="1">
      <c r="B13" s="123"/>
      <c r="C13" s="127"/>
      <c r="D13" s="127" t="s">
        <v>2725</v>
      </c>
      <c r="E13" s="127"/>
      <c r="F13" s="127"/>
      <c r="G13" s="117"/>
      <c r="H13" s="118"/>
      <c r="I13" s="119" t="s">
        <v>498</v>
      </c>
      <c r="J13" s="128">
        <f>J48</f>
        <v>0.83365680892887495</v>
      </c>
      <c r="K13" s="129">
        <f t="shared" ref="K13:V13" si="1">K48</f>
        <v>0.4370130327679681</v>
      </c>
      <c r="L13" s="129">
        <f t="shared" si="1"/>
        <v>0.18491383830264846</v>
      </c>
      <c r="M13" s="129">
        <f t="shared" si="1"/>
        <v>0.58626009888029307</v>
      </c>
      <c r="N13" s="129">
        <f t="shared" si="1"/>
        <v>1.8057251145323012</v>
      </c>
      <c r="O13" s="129">
        <f t="shared" si="1"/>
        <v>2.0997843347853902</v>
      </c>
      <c r="P13" s="129">
        <f t="shared" si="1"/>
        <v>1.3955876565554715</v>
      </c>
      <c r="Q13" s="130">
        <f t="shared" si="1"/>
        <v>1.2448791134605086</v>
      </c>
      <c r="R13" s="128">
        <f t="shared" si="1"/>
        <v>1.0822200218586095</v>
      </c>
      <c r="S13" s="129">
        <f t="shared" si="1"/>
        <v>1.0768089217493164</v>
      </c>
      <c r="T13" s="129">
        <f t="shared" si="1"/>
        <v>1.0714248771405697</v>
      </c>
      <c r="U13" s="129">
        <f t="shared" si="1"/>
        <v>1.0660677527548668</v>
      </c>
      <c r="V13" s="130">
        <f t="shared" si="1"/>
        <v>1.0607374139910926</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4"/>
    </row>
    <row r="14" spans="1:59" s="89" customFormat="1" ht="15" customHeight="1">
      <c r="B14" s="123"/>
      <c r="C14" s="127"/>
      <c r="D14" s="127" t="s">
        <v>2688</v>
      </c>
      <c r="E14" s="127"/>
      <c r="F14" s="127"/>
      <c r="G14" s="117"/>
      <c r="H14" s="118"/>
      <c r="I14" s="955" t="s">
        <v>498</v>
      </c>
      <c r="J14" s="831">
        <f>J59</f>
        <v>0.90937351631486918</v>
      </c>
      <c r="K14" s="829">
        <f t="shared" ref="K14:V14" si="2">K59</f>
        <v>0.60830184043858859</v>
      </c>
      <c r="L14" s="829">
        <f t="shared" si="2"/>
        <v>0.52523791743731696</v>
      </c>
      <c r="M14" s="829">
        <f t="shared" si="2"/>
        <v>0.66852331561061118</v>
      </c>
      <c r="N14" s="829">
        <f t="shared" si="2"/>
        <v>0.50048079843537197</v>
      </c>
      <c r="O14" s="829">
        <f t="shared" si="2"/>
        <v>0.14217792278253077</v>
      </c>
      <c r="P14" s="829">
        <f t="shared" si="2"/>
        <v>0.97050211010175158</v>
      </c>
      <c r="Q14" s="830">
        <f t="shared" si="2"/>
        <v>0.86569826034213004</v>
      </c>
      <c r="R14" s="831">
        <f t="shared" si="2"/>
        <v>0.75258390963448396</v>
      </c>
      <c r="S14" s="829">
        <f t="shared" si="2"/>
        <v>0.74882099008631164</v>
      </c>
      <c r="T14" s="829">
        <f t="shared" si="2"/>
        <v>0.74507688513588011</v>
      </c>
      <c r="U14" s="829">
        <f t="shared" si="2"/>
        <v>0.74135150071020062</v>
      </c>
      <c r="V14" s="830">
        <f t="shared" si="2"/>
        <v>0.73764474320664963</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4"/>
    </row>
    <row r="15" spans="1:59" s="89" customFormat="1" ht="15" customHeight="1">
      <c r="B15" s="123"/>
      <c r="C15" s="127" t="s">
        <v>1710</v>
      </c>
      <c r="D15" s="127"/>
      <c r="E15" s="127"/>
      <c r="F15" s="127"/>
      <c r="G15" s="117"/>
      <c r="H15" s="118"/>
      <c r="I15" s="119" t="s">
        <v>498</v>
      </c>
      <c r="J15" s="697">
        <f>SUM(J12:J14)</f>
        <v>5.2174129248933392</v>
      </c>
      <c r="K15" s="698">
        <f t="shared" ref="K15:V15" si="3">SUM(K12:K14)</f>
        <v>5.000876772824423</v>
      </c>
      <c r="L15" s="698">
        <f t="shared" si="3"/>
        <v>3.4139316262368244</v>
      </c>
      <c r="M15" s="698">
        <f t="shared" si="3"/>
        <v>3.6983622664596512</v>
      </c>
      <c r="N15" s="698">
        <f t="shared" si="3"/>
        <v>7.8274067075286267</v>
      </c>
      <c r="O15" s="698">
        <f t="shared" si="3"/>
        <v>8.6859122029074811</v>
      </c>
      <c r="P15" s="698">
        <f t="shared" si="3"/>
        <v>9.6301748766542143</v>
      </c>
      <c r="Q15" s="699">
        <f t="shared" si="3"/>
        <v>8.5902189709159611</v>
      </c>
      <c r="R15" s="697">
        <f t="shared" si="3"/>
        <v>7.4677989709639609</v>
      </c>
      <c r="S15" s="698">
        <f t="shared" si="3"/>
        <v>7.430459976109141</v>
      </c>
      <c r="T15" s="698">
        <f t="shared" si="3"/>
        <v>7.3933076762285959</v>
      </c>
      <c r="U15" s="698">
        <f t="shared" si="3"/>
        <v>7.3563411378474513</v>
      </c>
      <c r="V15" s="699">
        <f t="shared" si="3"/>
        <v>7.3195594321582158</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4"/>
    </row>
    <row r="16" spans="1:59" s="89" customFormat="1" ht="15" customHeight="1">
      <c r="B16" s="115"/>
      <c r="C16" s="116"/>
      <c r="D16" s="116"/>
      <c r="E16" s="116"/>
      <c r="F16" s="116"/>
      <c r="G16" s="117"/>
      <c r="H16" s="118"/>
      <c r="I16" s="118"/>
      <c r="J16" s="1087"/>
      <c r="K16" s="1088"/>
      <c r="L16" s="1088"/>
      <c r="M16" s="1088"/>
      <c r="N16" s="1088"/>
      <c r="O16" s="1088"/>
      <c r="P16" s="1088"/>
      <c r="Q16" s="1089"/>
      <c r="R16" s="1087"/>
      <c r="S16" s="1088"/>
      <c r="T16" s="1088"/>
      <c r="U16" s="1088"/>
      <c r="V16" s="1089"/>
      <c r="W16" s="92"/>
      <c r="X16" s="92"/>
      <c r="Y16" s="92"/>
      <c r="Z16" s="92"/>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4"/>
    </row>
    <row r="17" spans="1:82" s="89" customFormat="1" ht="15" customHeight="1">
      <c r="B17" s="115"/>
      <c r="C17" s="116" t="s">
        <v>2731</v>
      </c>
      <c r="D17" s="116"/>
      <c r="E17" s="116"/>
      <c r="F17" s="116"/>
      <c r="G17" s="117"/>
      <c r="H17" s="118"/>
      <c r="I17" s="118"/>
      <c r="J17" s="1087"/>
      <c r="K17" s="1088"/>
      <c r="L17" s="1088"/>
      <c r="M17" s="1088"/>
      <c r="N17" s="1088"/>
      <c r="O17" s="1088"/>
      <c r="P17" s="1088"/>
      <c r="Q17" s="1089"/>
      <c r="R17" s="1087"/>
      <c r="S17" s="1088"/>
      <c r="T17" s="1088"/>
      <c r="U17" s="1088"/>
      <c r="V17" s="1089"/>
      <c r="W17" s="92"/>
      <c r="X17" s="92"/>
      <c r="Y17" s="92"/>
      <c r="Z17" s="92"/>
      <c r="AG17" s="92"/>
      <c r="AH17" s="92"/>
      <c r="AI17" s="92"/>
      <c r="AJ17" s="92"/>
      <c r="AK17" s="92"/>
      <c r="AL17" s="92"/>
      <c r="AM17" s="92"/>
      <c r="AN17" s="92"/>
      <c r="AO17" s="92"/>
      <c r="AP17" s="92"/>
      <c r="AQ17" s="92"/>
      <c r="AR17" s="94"/>
      <c r="AS17" s="94"/>
      <c r="AT17" s="92"/>
      <c r="AU17" s="92"/>
      <c r="AV17" s="92"/>
      <c r="AW17" s="92"/>
      <c r="AX17" s="92"/>
      <c r="AY17" s="92"/>
      <c r="AZ17" s="92"/>
      <c r="BA17" s="92"/>
      <c r="BB17" s="92"/>
      <c r="BC17" s="92"/>
      <c r="BD17" s="92"/>
      <c r="BE17" s="92"/>
      <c r="BF17" s="92"/>
      <c r="BG17" s="94"/>
    </row>
    <row r="18" spans="1:82" s="89" customFormat="1" ht="15" customHeight="1">
      <c r="B18" s="123"/>
      <c r="C18" s="127"/>
      <c r="D18" s="127" t="s">
        <v>2687</v>
      </c>
      <c r="E18" s="127"/>
      <c r="F18" s="127"/>
      <c r="G18" s="117"/>
      <c r="H18" s="118"/>
      <c r="I18" s="119" t="s">
        <v>498</v>
      </c>
      <c r="J18" s="128">
        <f>J75</f>
        <v>2.9576290463770527</v>
      </c>
      <c r="K18" s="129">
        <f t="shared" ref="K18:V18" si="4">K75</f>
        <v>1.9780844996708145</v>
      </c>
      <c r="L18" s="129">
        <f t="shared" si="4"/>
        <v>0.94964487642873385</v>
      </c>
      <c r="M18" s="129">
        <f t="shared" si="4"/>
        <v>1.0987990176899722</v>
      </c>
      <c r="N18" s="129">
        <f t="shared" si="4"/>
        <v>1.6951448699232177</v>
      </c>
      <c r="O18" s="129">
        <f t="shared" si="4"/>
        <v>3.2316400655642274</v>
      </c>
      <c r="P18" s="129">
        <f t="shared" si="4"/>
        <v>1.7214270608481095</v>
      </c>
      <c r="Q18" s="130">
        <f t="shared" si="4"/>
        <v>1.4634688092256016</v>
      </c>
      <c r="R18" s="128">
        <f t="shared" si="4"/>
        <v>4.3598406201292654</v>
      </c>
      <c r="S18" s="129">
        <f t="shared" si="4"/>
        <v>4.3380414170286183</v>
      </c>
      <c r="T18" s="129">
        <f t="shared" si="4"/>
        <v>4.3163512099434751</v>
      </c>
      <c r="U18" s="129">
        <f t="shared" si="4"/>
        <v>4.2947694538937577</v>
      </c>
      <c r="V18" s="130">
        <f t="shared" si="4"/>
        <v>4.2732956066242886</v>
      </c>
      <c r="AG18" s="92"/>
      <c r="AH18" s="92"/>
      <c r="AI18" s="92"/>
      <c r="AJ18" s="92"/>
      <c r="AK18" s="92"/>
      <c r="AL18" s="92"/>
      <c r="AM18" s="92"/>
      <c r="AN18" s="92"/>
      <c r="AO18" s="92"/>
      <c r="AP18" s="92"/>
      <c r="AQ18" s="92"/>
      <c r="AR18" s="94"/>
      <c r="AS18" s="94"/>
      <c r="AT18" s="92"/>
      <c r="AU18" s="92"/>
      <c r="AV18" s="92"/>
      <c r="AW18" s="92"/>
      <c r="AX18" s="92"/>
      <c r="AY18" s="92"/>
      <c r="AZ18" s="92"/>
      <c r="BA18" s="92"/>
      <c r="BB18" s="92"/>
      <c r="BC18" s="92"/>
      <c r="BD18" s="92"/>
      <c r="BE18" s="92"/>
      <c r="BF18" s="92"/>
      <c r="BG18" s="94"/>
    </row>
    <row r="19" spans="1:82" s="89" customFormat="1" ht="15" customHeight="1">
      <c r="B19" s="123"/>
      <c r="C19" s="127"/>
      <c r="D19" s="127" t="s">
        <v>2725</v>
      </c>
      <c r="E19" s="127"/>
      <c r="F19" s="127"/>
      <c r="G19" s="117"/>
      <c r="H19" s="118"/>
      <c r="I19" s="119" t="s">
        <v>498</v>
      </c>
      <c r="J19" s="128">
        <f>J86</f>
        <v>0.13454867624748509</v>
      </c>
      <c r="K19" s="129">
        <f t="shared" ref="K19:V19" si="5">K86</f>
        <v>0.33479043739934045</v>
      </c>
      <c r="L19" s="129">
        <f t="shared" si="5"/>
        <v>1.2800187231794897</v>
      </c>
      <c r="M19" s="129">
        <f t="shared" si="5"/>
        <v>4.7311778398648884E-2</v>
      </c>
      <c r="N19" s="129">
        <f t="shared" si="5"/>
        <v>0</v>
      </c>
      <c r="O19" s="129">
        <f t="shared" si="5"/>
        <v>1.1299027168380378</v>
      </c>
      <c r="P19" s="129">
        <f t="shared" si="5"/>
        <v>0.50654205676080566</v>
      </c>
      <c r="Q19" s="130">
        <f t="shared" si="5"/>
        <v>0.43063602140958379</v>
      </c>
      <c r="R19" s="128">
        <f t="shared" si="5"/>
        <v>1.2829138597260885</v>
      </c>
      <c r="S19" s="129">
        <f t="shared" si="5"/>
        <v>1.2764992904274581</v>
      </c>
      <c r="T19" s="129">
        <f t="shared" si="5"/>
        <v>1.2701167939753208</v>
      </c>
      <c r="U19" s="129">
        <f t="shared" si="5"/>
        <v>1.2637662100054443</v>
      </c>
      <c r="V19" s="130">
        <f t="shared" si="5"/>
        <v>1.257447378955417</v>
      </c>
      <c r="AG19" s="92"/>
      <c r="AH19" s="92"/>
      <c r="AI19" s="92"/>
      <c r="AJ19" s="92"/>
      <c r="AK19" s="92"/>
      <c r="AL19" s="92"/>
      <c r="AM19" s="92"/>
      <c r="AN19" s="92"/>
      <c r="AO19" s="92"/>
      <c r="AP19" s="92"/>
      <c r="AQ19" s="92"/>
      <c r="AR19" s="94"/>
      <c r="AS19" s="94"/>
      <c r="AT19" s="92"/>
      <c r="AU19" s="92"/>
      <c r="AV19" s="92"/>
      <c r="AW19" s="92"/>
      <c r="AX19" s="92"/>
      <c r="AY19" s="92"/>
      <c r="AZ19" s="92"/>
      <c r="BA19" s="92"/>
      <c r="BB19" s="92"/>
      <c r="BC19" s="92"/>
      <c r="BD19" s="92"/>
      <c r="BE19" s="92"/>
      <c r="BF19" s="92"/>
      <c r="BG19" s="94"/>
    </row>
    <row r="20" spans="1:82" s="89" customFormat="1" ht="15" customHeight="1">
      <c r="B20" s="123"/>
      <c r="C20" s="127"/>
      <c r="D20" s="127" t="s">
        <v>2688</v>
      </c>
      <c r="E20" s="127"/>
      <c r="F20" s="127"/>
      <c r="G20" s="117"/>
      <c r="H20" s="118"/>
      <c r="I20" s="119" t="s">
        <v>498</v>
      </c>
      <c r="J20" s="128">
        <f>J97</f>
        <v>0.78526570247498517</v>
      </c>
      <c r="K20" s="129">
        <f t="shared" ref="K20:V20" si="6">K97</f>
        <v>0.11929587219796486</v>
      </c>
      <c r="L20" s="129">
        <f t="shared" si="6"/>
        <v>0.20990748499374562</v>
      </c>
      <c r="M20" s="129">
        <f t="shared" si="6"/>
        <v>0.3383340232023252</v>
      </c>
      <c r="N20" s="129">
        <f t="shared" si="6"/>
        <v>0.14047158033667878</v>
      </c>
      <c r="O20" s="129">
        <f t="shared" si="6"/>
        <v>0.24672367245832139</v>
      </c>
      <c r="P20" s="129">
        <f t="shared" si="6"/>
        <v>0.31700519549369471</v>
      </c>
      <c r="Q20" s="130">
        <f t="shared" si="6"/>
        <v>0.2695015237758141</v>
      </c>
      <c r="R20" s="128">
        <f t="shared" si="6"/>
        <v>0.80287579970103573</v>
      </c>
      <c r="S20" s="129">
        <f t="shared" si="6"/>
        <v>0.79886142070253063</v>
      </c>
      <c r="T20" s="129">
        <f t="shared" si="6"/>
        <v>0.79486711359901796</v>
      </c>
      <c r="U20" s="129">
        <f t="shared" si="6"/>
        <v>0.79089277803102287</v>
      </c>
      <c r="V20" s="130">
        <f t="shared" si="6"/>
        <v>0.78693831414086768</v>
      </c>
      <c r="AG20" s="92"/>
      <c r="AH20" s="92"/>
      <c r="AI20" s="92"/>
      <c r="AJ20" s="92"/>
      <c r="AK20" s="92"/>
      <c r="AL20" s="92"/>
      <c r="AM20" s="92"/>
      <c r="AN20" s="92"/>
      <c r="AO20" s="92"/>
      <c r="AP20" s="92"/>
      <c r="AQ20" s="92"/>
      <c r="AR20" s="94"/>
      <c r="AS20" s="94"/>
      <c r="AT20" s="92"/>
      <c r="AU20" s="92"/>
      <c r="AV20" s="92"/>
      <c r="AW20" s="92"/>
      <c r="AX20" s="92"/>
      <c r="AY20" s="92"/>
      <c r="AZ20" s="92"/>
      <c r="BA20" s="92"/>
      <c r="BB20" s="92"/>
      <c r="BC20" s="92"/>
      <c r="BD20" s="92"/>
      <c r="BE20" s="92"/>
      <c r="BF20" s="92"/>
      <c r="BG20" s="94"/>
    </row>
    <row r="21" spans="1:82" s="89" customFormat="1" ht="15" customHeight="1">
      <c r="B21" s="123"/>
      <c r="C21" s="127" t="s">
        <v>1710</v>
      </c>
      <c r="D21" s="127"/>
      <c r="E21" s="127"/>
      <c r="F21" s="127"/>
      <c r="G21" s="117"/>
      <c r="H21" s="118"/>
      <c r="I21" s="119" t="s">
        <v>498</v>
      </c>
      <c r="J21" s="697">
        <f>SUM(J18:J20)</f>
        <v>3.8774434250995231</v>
      </c>
      <c r="K21" s="698">
        <f t="shared" ref="K21:V21" si="7">SUM(K18:K20)</f>
        <v>2.4321708092681193</v>
      </c>
      <c r="L21" s="698">
        <f t="shared" si="7"/>
        <v>2.4395710846019689</v>
      </c>
      <c r="M21" s="698">
        <f t="shared" si="7"/>
        <v>1.4844448192909465</v>
      </c>
      <c r="N21" s="698">
        <f t="shared" si="7"/>
        <v>1.8356164502598964</v>
      </c>
      <c r="O21" s="698">
        <f t="shared" si="7"/>
        <v>4.6082664548605869</v>
      </c>
      <c r="P21" s="698">
        <f t="shared" si="7"/>
        <v>2.5449743131026099</v>
      </c>
      <c r="Q21" s="699">
        <f t="shared" si="7"/>
        <v>2.1636063544109998</v>
      </c>
      <c r="R21" s="697">
        <f t="shared" si="7"/>
        <v>6.4456302795563891</v>
      </c>
      <c r="S21" s="698">
        <f t="shared" si="7"/>
        <v>6.4134021281586069</v>
      </c>
      <c r="T21" s="698">
        <f t="shared" si="7"/>
        <v>6.3813351175178141</v>
      </c>
      <c r="U21" s="698">
        <f t="shared" si="7"/>
        <v>6.3494284419302254</v>
      </c>
      <c r="V21" s="699">
        <f t="shared" si="7"/>
        <v>6.317681299720574</v>
      </c>
      <c r="AG21" s="92"/>
      <c r="AH21" s="92"/>
      <c r="AI21" s="92"/>
      <c r="AJ21" s="92"/>
      <c r="AK21" s="92"/>
      <c r="AL21" s="92"/>
      <c r="AM21" s="92"/>
      <c r="AN21" s="92"/>
      <c r="AO21" s="92"/>
      <c r="AP21" s="92"/>
      <c r="AQ21" s="92"/>
      <c r="AR21" s="94"/>
      <c r="AS21" s="94"/>
      <c r="AT21" s="92"/>
      <c r="AU21" s="92"/>
      <c r="AV21" s="92"/>
      <c r="AW21" s="92"/>
      <c r="AX21" s="92"/>
      <c r="AY21" s="92"/>
      <c r="AZ21" s="92"/>
      <c r="BA21" s="92"/>
      <c r="BB21" s="92"/>
      <c r="BC21" s="92"/>
      <c r="BD21" s="92"/>
      <c r="BE21" s="92"/>
      <c r="BF21" s="92"/>
      <c r="BG21" s="94"/>
    </row>
    <row r="22" spans="1:82" s="89" customFormat="1" ht="15" customHeight="1">
      <c r="B22" s="115"/>
      <c r="C22" s="116"/>
      <c r="D22" s="116"/>
      <c r="E22" s="116"/>
      <c r="F22" s="116"/>
      <c r="G22" s="117"/>
      <c r="H22" s="118"/>
      <c r="I22" s="118"/>
      <c r="J22" s="1087"/>
      <c r="K22" s="1088"/>
      <c r="L22" s="1088"/>
      <c r="M22" s="1088"/>
      <c r="N22" s="1088"/>
      <c r="O22" s="1088"/>
      <c r="P22" s="1088"/>
      <c r="Q22" s="1089"/>
      <c r="R22" s="1087"/>
      <c r="S22" s="1088"/>
      <c r="T22" s="1088"/>
      <c r="U22" s="1088"/>
      <c r="V22" s="1089"/>
      <c r="W22" s="92"/>
      <c r="X22" s="92"/>
      <c r="Y22" s="92"/>
      <c r="Z22" s="92"/>
      <c r="AG22" s="92"/>
      <c r="AH22" s="92"/>
      <c r="AI22" s="92"/>
      <c r="AJ22" s="92"/>
      <c r="AK22" s="92"/>
      <c r="AL22" s="92"/>
      <c r="AM22" s="92"/>
      <c r="AN22" s="92"/>
      <c r="AO22" s="92"/>
      <c r="AP22" s="92"/>
      <c r="AQ22" s="92"/>
      <c r="AR22" s="94"/>
      <c r="AS22" s="94"/>
      <c r="AT22" s="92"/>
      <c r="AU22" s="92"/>
      <c r="AV22" s="92"/>
      <c r="AW22" s="92"/>
      <c r="AX22" s="92"/>
      <c r="AY22" s="92"/>
      <c r="AZ22" s="92"/>
      <c r="BA22" s="92"/>
      <c r="BB22" s="92"/>
      <c r="BC22" s="92"/>
      <c r="BD22" s="92"/>
      <c r="BE22" s="92"/>
      <c r="BF22" s="92"/>
      <c r="BG22" s="94"/>
    </row>
    <row r="23" spans="1:82" s="89" customFormat="1" ht="15" customHeight="1" thickBot="1">
      <c r="B23" s="176" t="s">
        <v>1701</v>
      </c>
      <c r="C23" s="132"/>
      <c r="D23" s="132"/>
      <c r="E23" s="132"/>
      <c r="F23" s="132"/>
      <c r="G23" s="145"/>
      <c r="H23" s="133"/>
      <c r="I23" s="146" t="s">
        <v>498</v>
      </c>
      <c r="J23" s="148">
        <f>SUM(J15,J21)</f>
        <v>9.0948563499928632</v>
      </c>
      <c r="K23" s="147">
        <f t="shared" ref="K23:V23" si="8">SUM(K15,K21)</f>
        <v>7.4330475820925423</v>
      </c>
      <c r="L23" s="147">
        <f t="shared" si="8"/>
        <v>5.8535027108387929</v>
      </c>
      <c r="M23" s="147">
        <f t="shared" si="8"/>
        <v>5.1828070857505981</v>
      </c>
      <c r="N23" s="147">
        <f t="shared" si="8"/>
        <v>9.6630231577885226</v>
      </c>
      <c r="O23" s="147">
        <f t="shared" si="8"/>
        <v>13.294178657768068</v>
      </c>
      <c r="P23" s="147">
        <f t="shared" si="8"/>
        <v>12.175149189756825</v>
      </c>
      <c r="Q23" s="149">
        <f t="shared" si="8"/>
        <v>10.753825325326961</v>
      </c>
      <c r="R23" s="148">
        <f t="shared" si="8"/>
        <v>13.91342925052035</v>
      </c>
      <c r="S23" s="147">
        <f t="shared" si="8"/>
        <v>13.843862104267748</v>
      </c>
      <c r="T23" s="147">
        <f t="shared" si="8"/>
        <v>13.774642793746409</v>
      </c>
      <c r="U23" s="147">
        <f t="shared" si="8"/>
        <v>13.705769579777677</v>
      </c>
      <c r="V23" s="149">
        <f t="shared" si="8"/>
        <v>13.637240731878791</v>
      </c>
      <c r="AG23" s="92"/>
      <c r="AH23" s="92"/>
      <c r="AI23" s="92"/>
      <c r="AJ23" s="92"/>
      <c r="AK23" s="92"/>
      <c r="AL23" s="92"/>
      <c r="AM23" s="92"/>
      <c r="AN23" s="92"/>
      <c r="AO23" s="92"/>
      <c r="AP23" s="92"/>
      <c r="AQ23" s="92"/>
      <c r="AR23" s="94"/>
      <c r="AS23" s="94"/>
      <c r="AT23" s="92"/>
      <c r="AU23" s="92"/>
      <c r="AV23" s="92"/>
      <c r="AW23" s="92"/>
      <c r="AX23" s="92"/>
      <c r="AY23" s="92"/>
      <c r="AZ23" s="92"/>
      <c r="BA23" s="92"/>
      <c r="BB23" s="92"/>
      <c r="BC23" s="92"/>
      <c r="BD23" s="92"/>
      <c r="BE23" s="92"/>
      <c r="BF23" s="92"/>
      <c r="BG23" s="94"/>
    </row>
    <row r="24" spans="1:82" s="89" customFormat="1" ht="15" customHeight="1" thickBot="1">
      <c r="B24" s="134"/>
      <c r="C24" s="134"/>
      <c r="D24" s="134"/>
      <c r="E24" s="134"/>
      <c r="F24" s="134"/>
      <c r="H24" s="114"/>
      <c r="I24" s="93"/>
      <c r="J24" s="92"/>
      <c r="P24" s="92"/>
      <c r="Q24" s="92"/>
      <c r="R24" s="92"/>
      <c r="S24" s="92"/>
      <c r="T24" s="92"/>
      <c r="U24" s="92"/>
      <c r="V24" s="92"/>
      <c r="AG24" s="92"/>
      <c r="AH24" s="92"/>
      <c r="AI24" s="92"/>
      <c r="AJ24" s="92"/>
      <c r="AK24" s="92"/>
      <c r="AL24" s="92"/>
      <c r="AM24" s="92"/>
      <c r="AN24" s="92"/>
      <c r="AO24" s="92"/>
      <c r="AP24" s="92"/>
      <c r="AQ24" s="92"/>
      <c r="AR24" s="94"/>
      <c r="AS24" s="94"/>
      <c r="AT24" s="92"/>
      <c r="AU24" s="92"/>
      <c r="AV24" s="92"/>
      <c r="AW24" s="92"/>
      <c r="AX24" s="92"/>
      <c r="AY24" s="92"/>
      <c r="AZ24" s="92"/>
      <c r="BA24" s="92"/>
      <c r="BB24" s="92"/>
      <c r="BC24" s="92"/>
      <c r="BD24" s="92"/>
      <c r="BE24" s="92"/>
      <c r="BF24" s="92"/>
      <c r="BG24" s="94"/>
    </row>
    <row r="25" spans="1:82" s="100" customFormat="1" ht="30" customHeight="1" thickBot="1">
      <c r="A25" s="89"/>
      <c r="B25" s="621" t="s">
        <v>2732</v>
      </c>
      <c r="C25" s="101"/>
      <c r="D25" s="102"/>
      <c r="E25" s="102"/>
      <c r="F25" s="102"/>
      <c r="G25" s="103"/>
      <c r="H25" s="103"/>
      <c r="I25" s="105" t="s">
        <v>1864</v>
      </c>
      <c r="J25" s="106"/>
      <c r="K25" s="106"/>
      <c r="L25" s="106"/>
      <c r="M25" s="106"/>
      <c r="N25" s="106"/>
      <c r="O25" s="106"/>
      <c r="P25" s="106"/>
      <c r="Q25" s="106"/>
      <c r="R25" s="105"/>
      <c r="S25" s="105"/>
      <c r="T25" s="105"/>
      <c r="U25" s="105"/>
      <c r="V25" s="105"/>
      <c r="W25" s="103"/>
      <c r="X25" s="105" t="s">
        <v>2202</v>
      </c>
      <c r="Y25" s="106"/>
      <c r="Z25" s="106"/>
      <c r="AA25" s="106"/>
      <c r="AB25" s="106"/>
      <c r="AC25" s="106"/>
      <c r="AD25" s="106"/>
      <c r="AE25" s="106"/>
      <c r="AF25" s="106"/>
      <c r="AG25" s="105"/>
      <c r="AH25" s="105"/>
      <c r="AI25" s="105"/>
      <c r="AJ25" s="105"/>
      <c r="AK25" s="105"/>
      <c r="AL25" s="103"/>
      <c r="AM25" s="105" t="s">
        <v>2231</v>
      </c>
      <c r="AN25" s="106"/>
      <c r="AO25" s="106"/>
      <c r="AP25" s="106"/>
      <c r="AQ25" s="106"/>
      <c r="AR25" s="106"/>
      <c r="AS25" s="106"/>
      <c r="AT25" s="106"/>
      <c r="AU25" s="106"/>
      <c r="AV25" s="105"/>
      <c r="AW25" s="105"/>
      <c r="AX25" s="105"/>
      <c r="AY25" s="105"/>
      <c r="AZ25" s="105"/>
      <c r="BA25" s="103"/>
      <c r="BB25" s="105" t="s">
        <v>2690</v>
      </c>
      <c r="BC25" s="105"/>
      <c r="BD25" s="105"/>
      <c r="BE25" s="105"/>
      <c r="BF25" s="105"/>
      <c r="BG25" s="105"/>
      <c r="BH25" s="105"/>
      <c r="BI25" s="105"/>
      <c r="BJ25" s="105"/>
      <c r="BK25" s="105"/>
      <c r="BL25" s="105"/>
      <c r="BM25" s="105"/>
      <c r="BN25" s="105"/>
      <c r="BO25" s="105"/>
      <c r="BP25" s="103"/>
      <c r="BQ25" s="105" t="s">
        <v>2691</v>
      </c>
      <c r="BR25" s="105"/>
      <c r="BS25" s="105"/>
      <c r="BT25" s="105"/>
      <c r="BU25" s="105"/>
      <c r="BV25" s="105"/>
      <c r="BW25" s="105"/>
      <c r="BX25" s="105"/>
      <c r="BY25" s="105"/>
      <c r="BZ25" s="105"/>
      <c r="CA25" s="105"/>
      <c r="CB25" s="105"/>
      <c r="CC25" s="105"/>
      <c r="CD25" s="187"/>
    </row>
    <row r="26" spans="1:82" s="157" customFormat="1" ht="30" customHeight="1">
      <c r="A26" s="99"/>
      <c r="B26" s="109"/>
      <c r="C26" s="110"/>
      <c r="D26" s="110"/>
      <c r="E26" s="110"/>
      <c r="F26" s="110"/>
      <c r="G26" s="111"/>
      <c r="H26" s="111"/>
      <c r="I26" s="117"/>
      <c r="J26" s="695" t="s">
        <v>1666</v>
      </c>
      <c r="K26" s="152"/>
      <c r="L26" s="152"/>
      <c r="M26" s="152"/>
      <c r="N26" s="152"/>
      <c r="O26" s="152"/>
      <c r="P26" s="152"/>
      <c r="Q26" s="153"/>
      <c r="R26" s="696" t="s">
        <v>2</v>
      </c>
      <c r="S26" s="155"/>
      <c r="T26" s="155"/>
      <c r="U26" s="155"/>
      <c r="V26" s="156"/>
      <c r="W26" s="222"/>
      <c r="X26" s="117"/>
      <c r="Y26" s="695" t="s">
        <v>1666</v>
      </c>
      <c r="Z26" s="152"/>
      <c r="AA26" s="152"/>
      <c r="AB26" s="152"/>
      <c r="AC26" s="152"/>
      <c r="AD26" s="152"/>
      <c r="AE26" s="152"/>
      <c r="AF26" s="153"/>
      <c r="AG26" s="696" t="s">
        <v>2</v>
      </c>
      <c r="AH26" s="155"/>
      <c r="AI26" s="155"/>
      <c r="AJ26" s="155"/>
      <c r="AK26" s="156"/>
      <c r="AL26" s="222"/>
      <c r="AM26" s="117"/>
      <c r="AN26" s="695" t="s">
        <v>1666</v>
      </c>
      <c r="AO26" s="152"/>
      <c r="AP26" s="152"/>
      <c r="AQ26" s="152"/>
      <c r="AR26" s="152"/>
      <c r="AS26" s="152"/>
      <c r="AT26" s="152"/>
      <c r="AU26" s="153"/>
      <c r="AV26" s="696" t="s">
        <v>2</v>
      </c>
      <c r="AW26" s="155"/>
      <c r="AX26" s="155"/>
      <c r="AY26" s="155"/>
      <c r="AZ26" s="156"/>
      <c r="BA26" s="222"/>
      <c r="BB26" s="527" t="s">
        <v>2693</v>
      </c>
      <c r="BC26" s="527"/>
      <c r="BD26" s="527" t="s">
        <v>2694</v>
      </c>
      <c r="BE26" s="527"/>
      <c r="BF26" s="527" t="s">
        <v>2695</v>
      </c>
      <c r="BG26" s="527"/>
      <c r="BH26" s="527" t="s">
        <v>2696</v>
      </c>
      <c r="BI26" s="527"/>
      <c r="BJ26" s="527" t="s">
        <v>2697</v>
      </c>
      <c r="BK26" s="527"/>
      <c r="BL26" s="527" t="s">
        <v>2698</v>
      </c>
      <c r="BM26" s="527"/>
      <c r="BN26" s="527" t="s">
        <v>2699</v>
      </c>
      <c r="BO26" s="527"/>
      <c r="BP26" s="222"/>
      <c r="BQ26" s="527" t="s">
        <v>2693</v>
      </c>
      <c r="BR26" s="527"/>
      <c r="BS26" s="527" t="s">
        <v>2694</v>
      </c>
      <c r="BT26" s="527"/>
      <c r="BU26" s="527" t="s">
        <v>2695</v>
      </c>
      <c r="BV26" s="527"/>
      <c r="BW26" s="527" t="s">
        <v>2696</v>
      </c>
      <c r="BX26" s="527"/>
      <c r="BY26" s="527" t="s">
        <v>2697</v>
      </c>
      <c r="BZ26" s="527"/>
      <c r="CA26" s="527" t="s">
        <v>2698</v>
      </c>
      <c r="CB26" s="527"/>
      <c r="CC26" s="527" t="s">
        <v>2699</v>
      </c>
      <c r="CD26" s="605"/>
    </row>
    <row r="27" spans="1:82" s="98" customFormat="1" ht="15" customHeight="1">
      <c r="A27" s="99"/>
      <c r="B27" s="115"/>
      <c r="C27" s="116"/>
      <c r="D27" s="116"/>
      <c r="E27" s="116"/>
      <c r="F27" s="116"/>
      <c r="G27" s="117"/>
      <c r="H27" s="117"/>
      <c r="I27" s="119" t="s">
        <v>1667</v>
      </c>
      <c r="J27" s="158" t="s">
        <v>453</v>
      </c>
      <c r="K27" s="137" t="s">
        <v>455</v>
      </c>
      <c r="L27" s="137" t="s">
        <v>457</v>
      </c>
      <c r="M27" s="137" t="s">
        <v>459</v>
      </c>
      <c r="N27" s="137" t="s">
        <v>461</v>
      </c>
      <c r="O27" s="137" t="s">
        <v>463</v>
      </c>
      <c r="P27" s="137" t="s">
        <v>465</v>
      </c>
      <c r="Q27" s="138" t="s">
        <v>467</v>
      </c>
      <c r="R27" s="120" t="s">
        <v>469</v>
      </c>
      <c r="S27" s="121" t="s">
        <v>471</v>
      </c>
      <c r="T27" s="121" t="s">
        <v>473</v>
      </c>
      <c r="U27" s="121" t="s">
        <v>475</v>
      </c>
      <c r="V27" s="122" t="s">
        <v>477</v>
      </c>
      <c r="W27" s="185"/>
      <c r="X27" s="119" t="s">
        <v>1667</v>
      </c>
      <c r="Y27" s="158" t="s">
        <v>453</v>
      </c>
      <c r="Z27" s="137" t="s">
        <v>455</v>
      </c>
      <c r="AA27" s="137" t="s">
        <v>457</v>
      </c>
      <c r="AB27" s="137" t="s">
        <v>459</v>
      </c>
      <c r="AC27" s="137" t="s">
        <v>461</v>
      </c>
      <c r="AD27" s="137" t="s">
        <v>463</v>
      </c>
      <c r="AE27" s="137" t="s">
        <v>465</v>
      </c>
      <c r="AF27" s="138" t="s">
        <v>467</v>
      </c>
      <c r="AG27" s="120" t="s">
        <v>469</v>
      </c>
      <c r="AH27" s="121" t="s">
        <v>471</v>
      </c>
      <c r="AI27" s="121" t="s">
        <v>473</v>
      </c>
      <c r="AJ27" s="121" t="s">
        <v>475</v>
      </c>
      <c r="AK27" s="122" t="s">
        <v>477</v>
      </c>
      <c r="AL27" s="185"/>
      <c r="AM27" s="119" t="s">
        <v>1667</v>
      </c>
      <c r="AN27" s="158" t="s">
        <v>453</v>
      </c>
      <c r="AO27" s="137" t="s">
        <v>455</v>
      </c>
      <c r="AP27" s="137" t="s">
        <v>457</v>
      </c>
      <c r="AQ27" s="137" t="s">
        <v>459</v>
      </c>
      <c r="AR27" s="137" t="s">
        <v>461</v>
      </c>
      <c r="AS27" s="137" t="s">
        <v>463</v>
      </c>
      <c r="AT27" s="137" t="s">
        <v>465</v>
      </c>
      <c r="AU27" s="138" t="s">
        <v>467</v>
      </c>
      <c r="AV27" s="120" t="s">
        <v>469</v>
      </c>
      <c r="AW27" s="121" t="s">
        <v>471</v>
      </c>
      <c r="AX27" s="121" t="s">
        <v>473</v>
      </c>
      <c r="AY27" s="121" t="s">
        <v>475</v>
      </c>
      <c r="AZ27" s="122" t="s">
        <v>477</v>
      </c>
      <c r="BA27" s="185"/>
      <c r="BB27" s="531" t="s">
        <v>1667</v>
      </c>
      <c r="BC27" s="531" t="s">
        <v>2142</v>
      </c>
      <c r="BD27" s="531" t="s">
        <v>1667</v>
      </c>
      <c r="BE27" s="531" t="s">
        <v>2142</v>
      </c>
      <c r="BF27" s="531" t="s">
        <v>1667</v>
      </c>
      <c r="BG27" s="531" t="s">
        <v>2142</v>
      </c>
      <c r="BH27" s="531" t="s">
        <v>1667</v>
      </c>
      <c r="BI27" s="531" t="s">
        <v>2142</v>
      </c>
      <c r="BJ27" s="531" t="s">
        <v>1667</v>
      </c>
      <c r="BK27" s="531" t="s">
        <v>2142</v>
      </c>
      <c r="BL27" s="531" t="s">
        <v>1667</v>
      </c>
      <c r="BM27" s="531" t="s">
        <v>2142</v>
      </c>
      <c r="BN27" s="531" t="s">
        <v>1667</v>
      </c>
      <c r="BO27" s="531" t="s">
        <v>2142</v>
      </c>
      <c r="BP27" s="185"/>
      <c r="BQ27" s="531" t="s">
        <v>1667</v>
      </c>
      <c r="BR27" s="531" t="s">
        <v>2142</v>
      </c>
      <c r="BS27" s="531" t="s">
        <v>1667</v>
      </c>
      <c r="BT27" s="531" t="s">
        <v>2142</v>
      </c>
      <c r="BU27" s="531" t="s">
        <v>1667</v>
      </c>
      <c r="BV27" s="531" t="s">
        <v>2142</v>
      </c>
      <c r="BW27" s="531" t="s">
        <v>1667</v>
      </c>
      <c r="BX27" s="531" t="s">
        <v>2142</v>
      </c>
      <c r="BY27" s="531" t="s">
        <v>1667</v>
      </c>
      <c r="BZ27" s="531" t="s">
        <v>2142</v>
      </c>
      <c r="CA27" s="531" t="s">
        <v>1667</v>
      </c>
      <c r="CB27" s="531" t="s">
        <v>2142</v>
      </c>
      <c r="CC27" s="531" t="s">
        <v>1667</v>
      </c>
      <c r="CD27" s="532" t="s">
        <v>2142</v>
      </c>
    </row>
    <row r="28" spans="1:82" s="98" customFormat="1" ht="15" customHeight="1">
      <c r="A28" s="99"/>
      <c r="B28" s="161"/>
      <c r="C28" s="116" t="s">
        <v>2687</v>
      </c>
      <c r="D28" s="116"/>
      <c r="E28" s="116"/>
      <c r="F28" s="116"/>
      <c r="G28" s="117"/>
      <c r="H28" s="117"/>
      <c r="I28" s="117"/>
      <c r="J28" s="159"/>
      <c r="K28" s="117"/>
      <c r="L28" s="117"/>
      <c r="M28" s="117"/>
      <c r="N28" s="117"/>
      <c r="O28" s="117"/>
      <c r="P28" s="117"/>
      <c r="Q28" s="160"/>
      <c r="R28" s="159"/>
      <c r="S28" s="117"/>
      <c r="T28" s="117"/>
      <c r="U28" s="117"/>
      <c r="V28" s="160"/>
      <c r="W28" s="185"/>
      <c r="X28" s="117"/>
      <c r="Y28" s="159"/>
      <c r="Z28" s="117"/>
      <c r="AA28" s="117"/>
      <c r="AB28" s="117"/>
      <c r="AC28" s="117"/>
      <c r="AD28" s="117"/>
      <c r="AE28" s="117"/>
      <c r="AF28" s="160"/>
      <c r="AG28" s="159"/>
      <c r="AH28" s="117"/>
      <c r="AI28" s="117"/>
      <c r="AJ28" s="117"/>
      <c r="AK28" s="160"/>
      <c r="AL28" s="185"/>
      <c r="AM28" s="117"/>
      <c r="AN28" s="159"/>
      <c r="AO28" s="117"/>
      <c r="AP28" s="117"/>
      <c r="AQ28" s="117"/>
      <c r="AR28" s="117"/>
      <c r="AS28" s="117"/>
      <c r="AT28" s="117"/>
      <c r="AU28" s="160"/>
      <c r="AV28" s="159"/>
      <c r="AW28" s="117"/>
      <c r="AX28" s="117"/>
      <c r="AY28" s="117"/>
      <c r="AZ28" s="160"/>
      <c r="BA28" s="185"/>
      <c r="BB28" s="530"/>
      <c r="BC28" s="530"/>
      <c r="BD28" s="530"/>
      <c r="BE28" s="530"/>
      <c r="BF28" s="530"/>
      <c r="BG28" s="530"/>
      <c r="BH28" s="530"/>
      <c r="BI28" s="530"/>
      <c r="BJ28" s="530"/>
      <c r="BK28" s="530"/>
      <c r="BL28" s="530"/>
      <c r="BM28" s="530"/>
      <c r="BN28" s="530"/>
      <c r="BO28" s="530"/>
      <c r="BP28" s="185"/>
      <c r="BQ28" s="530"/>
      <c r="BR28" s="530"/>
      <c r="BS28" s="530"/>
      <c r="BT28" s="530"/>
      <c r="BU28" s="530"/>
      <c r="BV28" s="530"/>
      <c r="BW28" s="530"/>
      <c r="BX28" s="530"/>
      <c r="BY28" s="530"/>
      <c r="BZ28" s="530"/>
      <c r="CA28" s="530"/>
      <c r="CB28" s="530"/>
      <c r="CC28" s="530"/>
      <c r="CD28" s="544"/>
    </row>
    <row r="29" spans="1:82" s="98" customFormat="1" ht="15" customHeight="1">
      <c r="A29" s="99"/>
      <c r="B29" s="161"/>
      <c r="C29" s="162"/>
      <c r="D29" s="162" t="s">
        <v>2701</v>
      </c>
      <c r="E29" s="162"/>
      <c r="F29" s="162"/>
      <c r="G29" s="163"/>
      <c r="H29" s="163"/>
      <c r="I29" s="164" t="s">
        <v>498</v>
      </c>
      <c r="J29" s="143">
        <v>1.3300288356871163E-2</v>
      </c>
      <c r="K29" s="141">
        <v>4.090492995166653E-2</v>
      </c>
      <c r="L29" s="141">
        <v>8.848573929689614E-2</v>
      </c>
      <c r="M29" s="141">
        <v>9.0327637887781614E-2</v>
      </c>
      <c r="N29" s="141">
        <v>3.9124427397823423E-2</v>
      </c>
      <c r="O29" s="141">
        <v>6.2529299399178895E-2</v>
      </c>
      <c r="P29" s="141">
        <v>8.1601817890284367E-2</v>
      </c>
      <c r="Q29" s="144">
        <v>7.278969417281124E-2</v>
      </c>
      <c r="R29" s="143">
        <v>2.1967899770233418E-2</v>
      </c>
      <c r="S29" s="141">
        <v>2.1858060271382252E-2</v>
      </c>
      <c r="T29" s="141">
        <v>2.1748769970025342E-2</v>
      </c>
      <c r="U29" s="141">
        <v>2.1640026120175217E-2</v>
      </c>
      <c r="V29" s="144">
        <v>2.153182598957434E-2</v>
      </c>
      <c r="W29" s="185"/>
      <c r="X29" s="164" t="s">
        <v>498</v>
      </c>
      <c r="Y29" s="143">
        <v>0</v>
      </c>
      <c r="Z29" s="141">
        <v>0</v>
      </c>
      <c r="AA29" s="141">
        <v>0</v>
      </c>
      <c r="AB29" s="141">
        <v>0</v>
      </c>
      <c r="AC29" s="141">
        <v>0</v>
      </c>
      <c r="AD29" s="141">
        <v>0</v>
      </c>
      <c r="AE29" s="141">
        <v>0</v>
      </c>
      <c r="AF29" s="144">
        <v>0</v>
      </c>
      <c r="AG29" s="143">
        <v>0</v>
      </c>
      <c r="AH29" s="141">
        <v>0</v>
      </c>
      <c r="AI29" s="141">
        <v>0</v>
      </c>
      <c r="AJ29" s="141">
        <v>0</v>
      </c>
      <c r="AK29" s="144">
        <v>0</v>
      </c>
      <c r="AL29" s="185"/>
      <c r="AM29" s="164" t="s">
        <v>2233</v>
      </c>
      <c r="AN29" s="143">
        <v>0.13900000000000001</v>
      </c>
      <c r="AO29" s="141">
        <v>0.46800000000000003</v>
      </c>
      <c r="AP29" s="141">
        <v>0.23100000000000001</v>
      </c>
      <c r="AQ29" s="141">
        <v>0.16500000000000001</v>
      </c>
      <c r="AR29" s="141">
        <v>0.42</v>
      </c>
      <c r="AS29" s="141">
        <v>0.76500000000000001</v>
      </c>
      <c r="AT29" s="141">
        <v>0.49245458528122715</v>
      </c>
      <c r="AU29" s="144">
        <v>0.3793875128981295</v>
      </c>
      <c r="AV29" s="143">
        <v>0.156983538832277</v>
      </c>
      <c r="AW29" s="141">
        <v>0.156983538832277</v>
      </c>
      <c r="AX29" s="141">
        <v>0.156983538832277</v>
      </c>
      <c r="AY29" s="141">
        <v>0.156983538832277</v>
      </c>
      <c r="AZ29" s="144">
        <v>0.156983538832277</v>
      </c>
      <c r="BA29" s="185"/>
      <c r="BB29" s="545" t="s">
        <v>627</v>
      </c>
      <c r="BC29" s="868">
        <v>0</v>
      </c>
      <c r="BD29" s="545" t="s">
        <v>627</v>
      </c>
      <c r="BE29" s="868">
        <v>0</v>
      </c>
      <c r="BF29" s="545" t="s">
        <v>2233</v>
      </c>
      <c r="BG29" s="141">
        <v>2.0709700515681497</v>
      </c>
      <c r="BH29" s="545" t="s">
        <v>2233</v>
      </c>
      <c r="BI29" s="141">
        <v>0</v>
      </c>
      <c r="BJ29" s="545" t="s">
        <v>2233</v>
      </c>
      <c r="BK29" s="141">
        <v>0.70523833175734796</v>
      </c>
      <c r="BL29" s="545" t="s">
        <v>2233</v>
      </c>
      <c r="BM29" s="141">
        <v>0.22082376932059306</v>
      </c>
      <c r="BN29" s="545" t="s">
        <v>2233</v>
      </c>
      <c r="BO29" s="141">
        <v>6.2809945533265826E-2</v>
      </c>
      <c r="BP29" s="185"/>
      <c r="BQ29" s="545" t="s">
        <v>627</v>
      </c>
      <c r="BR29" s="868">
        <v>0</v>
      </c>
      <c r="BS29" s="545" t="s">
        <v>627</v>
      </c>
      <c r="BT29" s="868">
        <v>0</v>
      </c>
      <c r="BU29" s="545" t="s">
        <v>2233</v>
      </c>
      <c r="BV29" s="141">
        <v>0.53124997480143621</v>
      </c>
      <c r="BW29" s="545" t="s">
        <v>2233</v>
      </c>
      <c r="BX29" s="141">
        <v>0</v>
      </c>
      <c r="BY29" s="545" t="s">
        <v>2233</v>
      </c>
      <c r="BZ29" s="141">
        <v>0.18090935003690906</v>
      </c>
      <c r="CA29" s="545" t="s">
        <v>2233</v>
      </c>
      <c r="CB29" s="141">
        <v>5.6646218422276781E-2</v>
      </c>
      <c r="CC29" s="545" t="s">
        <v>2233</v>
      </c>
      <c r="CD29" s="141">
        <v>1.6112150900763043E-2</v>
      </c>
    </row>
    <row r="30" spans="1:82" s="98" customFormat="1" ht="15" customHeight="1">
      <c r="A30" s="99"/>
      <c r="B30" s="161"/>
      <c r="C30" s="162"/>
      <c r="D30" s="162" t="s">
        <v>2702</v>
      </c>
      <c r="E30" s="162"/>
      <c r="F30" s="162"/>
      <c r="G30" s="163"/>
      <c r="H30" s="163"/>
      <c r="I30" s="164" t="s">
        <v>498</v>
      </c>
      <c r="J30" s="143">
        <v>0.1245699311462556</v>
      </c>
      <c r="K30" s="141">
        <v>3.6941347659040169E-2</v>
      </c>
      <c r="L30" s="141">
        <v>9.9543550174587575E-2</v>
      </c>
      <c r="M30" s="141">
        <v>0.10494884627926829</v>
      </c>
      <c r="N30" s="141">
        <v>5.5486611396600161E-2</v>
      </c>
      <c r="O30" s="141">
        <v>7.8123686386577781E-2</v>
      </c>
      <c r="P30" s="141">
        <v>0.10872118689796334</v>
      </c>
      <c r="Q30" s="144">
        <v>9.6980461330507042E-2</v>
      </c>
      <c r="R30" s="143">
        <v>0.22621404014594698</v>
      </c>
      <c r="S30" s="141">
        <v>0.22508296994521726</v>
      </c>
      <c r="T30" s="141">
        <v>0.22395755509549117</v>
      </c>
      <c r="U30" s="141">
        <v>0.22283776732001373</v>
      </c>
      <c r="V30" s="144">
        <v>0.22172357848341365</v>
      </c>
      <c r="W30" s="185"/>
      <c r="X30" s="164" t="s">
        <v>498</v>
      </c>
      <c r="Y30" s="143">
        <v>0</v>
      </c>
      <c r="Z30" s="141">
        <v>0</v>
      </c>
      <c r="AA30" s="141">
        <v>0</v>
      </c>
      <c r="AB30" s="141">
        <v>0</v>
      </c>
      <c r="AC30" s="141">
        <v>0</v>
      </c>
      <c r="AD30" s="141">
        <v>0</v>
      </c>
      <c r="AE30" s="141">
        <v>0</v>
      </c>
      <c r="AF30" s="144">
        <v>0</v>
      </c>
      <c r="AG30" s="143">
        <v>0</v>
      </c>
      <c r="AH30" s="141">
        <v>0</v>
      </c>
      <c r="AI30" s="141">
        <v>0</v>
      </c>
      <c r="AJ30" s="141">
        <v>0</v>
      </c>
      <c r="AK30" s="144">
        <v>0</v>
      </c>
      <c r="AL30" s="185"/>
      <c r="AM30" s="164" t="s">
        <v>2233</v>
      </c>
      <c r="AN30" s="143">
        <v>1.042</v>
      </c>
      <c r="AO30" s="141">
        <v>0.38600000000000001</v>
      </c>
      <c r="AP30" s="141">
        <v>0.47199999999999998</v>
      </c>
      <c r="AQ30" s="141">
        <v>0.52800000000000002</v>
      </c>
      <c r="AR30" s="141">
        <v>0.60299999999999998</v>
      </c>
      <c r="AS30" s="141">
        <v>0.745</v>
      </c>
      <c r="AT30" s="141">
        <v>0.82550031485470898</v>
      </c>
      <c r="AU30" s="144">
        <v>0.61047557464136504</v>
      </c>
      <c r="AV30" s="143">
        <v>1.4332178758298069</v>
      </c>
      <c r="AW30" s="141">
        <v>1.4332178758298069</v>
      </c>
      <c r="AX30" s="141">
        <v>1.4332178758298069</v>
      </c>
      <c r="AY30" s="141">
        <v>1.4332178758298069</v>
      </c>
      <c r="AZ30" s="144">
        <v>1.4332178758298069</v>
      </c>
      <c r="BA30" s="185"/>
      <c r="BB30" s="545" t="s">
        <v>627</v>
      </c>
      <c r="BC30" s="868">
        <v>0</v>
      </c>
      <c r="BD30" s="545" t="s">
        <v>627</v>
      </c>
      <c r="BE30" s="868">
        <v>0</v>
      </c>
      <c r="BF30" s="545" t="s">
        <v>2233</v>
      </c>
      <c r="BG30" s="141">
        <v>3.5275826759374636</v>
      </c>
      <c r="BH30" s="545" t="s">
        <v>2233</v>
      </c>
      <c r="BI30" s="141">
        <v>0</v>
      </c>
      <c r="BJ30" s="545" t="s">
        <v>2233</v>
      </c>
      <c r="BK30" s="141">
        <v>1.2012662952950444</v>
      </c>
      <c r="BL30" s="545" t="s">
        <v>2233</v>
      </c>
      <c r="BM30" s="141">
        <v>0.37613972374959814</v>
      </c>
      <c r="BN30" s="545" t="s">
        <v>2233</v>
      </c>
      <c r="BO30" s="141">
        <v>0.10698719451396811</v>
      </c>
      <c r="BP30" s="185"/>
      <c r="BQ30" s="545" t="s">
        <v>627</v>
      </c>
      <c r="BR30" s="868">
        <v>0</v>
      </c>
      <c r="BS30" s="545" t="s">
        <v>627</v>
      </c>
      <c r="BT30" s="868">
        <v>0</v>
      </c>
      <c r="BU30" s="545" t="s">
        <v>2233</v>
      </c>
      <c r="BV30" s="141">
        <v>4.8501706999549672</v>
      </c>
      <c r="BW30" s="545" t="s">
        <v>2233</v>
      </c>
      <c r="BX30" s="141">
        <v>0</v>
      </c>
      <c r="BY30" s="545" t="s">
        <v>2233</v>
      </c>
      <c r="BZ30" s="141">
        <v>1.6516541562658373</v>
      </c>
      <c r="CA30" s="545" t="s">
        <v>2233</v>
      </c>
      <c r="CB30" s="141">
        <v>0.51716487884571927</v>
      </c>
      <c r="CC30" s="545" t="s">
        <v>2233</v>
      </c>
      <c r="CD30" s="141">
        <v>0.14709964408251053</v>
      </c>
    </row>
    <row r="31" spans="1:82" s="98" customFormat="1" ht="15" customHeight="1">
      <c r="A31" s="99"/>
      <c r="B31" s="161"/>
      <c r="C31" s="162"/>
      <c r="D31" s="162" t="s">
        <v>2703</v>
      </c>
      <c r="E31" s="162"/>
      <c r="F31" s="162"/>
      <c r="G31" s="163"/>
      <c r="H31" s="163"/>
      <c r="I31" s="164" t="s">
        <v>498</v>
      </c>
      <c r="J31" s="143">
        <v>0.27701854631644884</v>
      </c>
      <c r="K31" s="141">
        <v>0.28881632497913834</v>
      </c>
      <c r="L31" s="141">
        <v>0.5504071189358769</v>
      </c>
      <c r="M31" s="141">
        <v>0.30011386897831738</v>
      </c>
      <c r="N31" s="141">
        <v>1.0634412279304912</v>
      </c>
      <c r="O31" s="141">
        <v>0.92855159396861664</v>
      </c>
      <c r="P31" s="141">
        <v>0.55613473603086683</v>
      </c>
      <c r="Q31" s="144">
        <v>0.49607813160475706</v>
      </c>
      <c r="R31" s="143">
        <v>0.49275334062254444</v>
      </c>
      <c r="S31" s="141">
        <v>0.49028957391943173</v>
      </c>
      <c r="T31" s="141">
        <v>0.48783812604983456</v>
      </c>
      <c r="U31" s="141">
        <v>0.4853989354195854</v>
      </c>
      <c r="V31" s="144">
        <v>0.48297194074248745</v>
      </c>
      <c r="W31" s="185"/>
      <c r="X31" s="164" t="s">
        <v>498</v>
      </c>
      <c r="Y31" s="143">
        <v>0</v>
      </c>
      <c r="Z31" s="141">
        <v>0</v>
      </c>
      <c r="AA31" s="141">
        <v>0</v>
      </c>
      <c r="AB31" s="141">
        <v>0</v>
      </c>
      <c r="AC31" s="141">
        <v>0</v>
      </c>
      <c r="AD31" s="141">
        <v>0</v>
      </c>
      <c r="AE31" s="141">
        <v>0</v>
      </c>
      <c r="AF31" s="144">
        <v>0</v>
      </c>
      <c r="AG31" s="143">
        <v>0</v>
      </c>
      <c r="AH31" s="141">
        <v>0</v>
      </c>
      <c r="AI31" s="141">
        <v>0</v>
      </c>
      <c r="AJ31" s="141">
        <v>0</v>
      </c>
      <c r="AK31" s="144">
        <v>0</v>
      </c>
      <c r="AL31" s="185"/>
      <c r="AM31" s="164" t="s">
        <v>2233</v>
      </c>
      <c r="AN31" s="143">
        <v>1.464</v>
      </c>
      <c r="AO31" s="141">
        <v>1.8494999999999999</v>
      </c>
      <c r="AP31" s="141">
        <v>2.0179999999999998</v>
      </c>
      <c r="AQ31" s="141">
        <v>1.135</v>
      </c>
      <c r="AR31" s="141">
        <v>6.1449999999999996</v>
      </c>
      <c r="AS31" s="141">
        <v>5.1470000000000002</v>
      </c>
      <c r="AT31" s="141">
        <v>2.8246444352124152</v>
      </c>
      <c r="AU31" s="144">
        <v>2.3622157479025905</v>
      </c>
      <c r="AV31" s="143">
        <v>2.3690314485421462</v>
      </c>
      <c r="AW31" s="141">
        <v>2.3690314485421462</v>
      </c>
      <c r="AX31" s="141">
        <v>2.3690314485421462</v>
      </c>
      <c r="AY31" s="141">
        <v>2.3690314485421462</v>
      </c>
      <c r="AZ31" s="144">
        <v>2.3690314485421462</v>
      </c>
      <c r="BA31" s="185"/>
      <c r="BB31" s="545" t="s">
        <v>627</v>
      </c>
      <c r="BC31" s="868">
        <v>0</v>
      </c>
      <c r="BD31" s="545" t="s">
        <v>627</v>
      </c>
      <c r="BE31" s="868">
        <v>0</v>
      </c>
      <c r="BF31" s="545" t="s">
        <v>2233</v>
      </c>
      <c r="BG31" s="141">
        <v>15.529936590502475</v>
      </c>
      <c r="BH31" s="545" t="s">
        <v>2233</v>
      </c>
      <c r="BI31" s="141">
        <v>0</v>
      </c>
      <c r="BJ31" s="545" t="s">
        <v>2233</v>
      </c>
      <c r="BK31" s="141">
        <v>5.2884910455804111</v>
      </c>
      <c r="BL31" s="545" t="s">
        <v>2233</v>
      </c>
      <c r="BM31" s="141">
        <v>1.6559288883138661</v>
      </c>
      <c r="BN31" s="545" t="s">
        <v>2233</v>
      </c>
      <c r="BO31" s="141">
        <v>0.47100365871825534</v>
      </c>
      <c r="BP31" s="185"/>
      <c r="BQ31" s="545" t="s">
        <v>627</v>
      </c>
      <c r="BR31" s="868">
        <v>0</v>
      </c>
      <c r="BS31" s="545" t="s">
        <v>627</v>
      </c>
      <c r="BT31" s="868">
        <v>0</v>
      </c>
      <c r="BU31" s="545" t="s">
        <v>2233</v>
      </c>
      <c r="BV31" s="141">
        <v>8.0170692207828989</v>
      </c>
      <c r="BW31" s="545" t="s">
        <v>2233</v>
      </c>
      <c r="BX31" s="141">
        <v>0</v>
      </c>
      <c r="BY31" s="545" t="s">
        <v>2233</v>
      </c>
      <c r="BZ31" s="141">
        <v>2.7300947778394553</v>
      </c>
      <c r="CA31" s="545" t="s">
        <v>2233</v>
      </c>
      <c r="CB31" s="141">
        <v>0.85484550725244135</v>
      </c>
      <c r="CC31" s="545" t="s">
        <v>2233</v>
      </c>
      <c r="CD31" s="141">
        <v>0.24314773683593527</v>
      </c>
    </row>
    <row r="32" spans="1:82" s="98" customFormat="1" ht="15" customHeight="1">
      <c r="A32" s="99"/>
      <c r="B32" s="161"/>
      <c r="C32" s="162"/>
      <c r="D32" s="162" t="s">
        <v>2704</v>
      </c>
      <c r="E32" s="162"/>
      <c r="F32" s="162"/>
      <c r="G32" s="163"/>
      <c r="H32" s="163"/>
      <c r="I32" s="164" t="s">
        <v>498</v>
      </c>
      <c r="J32" s="143">
        <v>1.1412667329557478</v>
      </c>
      <c r="K32" s="141">
        <v>1.3072052756103931</v>
      </c>
      <c r="L32" s="141">
        <v>0.9797016229098684</v>
      </c>
      <c r="M32" s="141">
        <v>1.3683169058639157</v>
      </c>
      <c r="N32" s="141">
        <v>2.5334564255448773</v>
      </c>
      <c r="O32" s="141">
        <v>2.7361115819352388</v>
      </c>
      <c r="P32" s="141">
        <v>1.8508902452259115</v>
      </c>
      <c r="Q32" s="144">
        <v>1.6510138913642316</v>
      </c>
      <c r="R32" s="143">
        <v>1.6746758898297587</v>
      </c>
      <c r="S32" s="141">
        <v>1.6663025103806099</v>
      </c>
      <c r="T32" s="141">
        <v>1.6579709978287069</v>
      </c>
      <c r="U32" s="141">
        <v>1.6496811428395635</v>
      </c>
      <c r="V32" s="144">
        <v>1.6414327371253656</v>
      </c>
      <c r="W32" s="185"/>
      <c r="X32" s="164" t="s">
        <v>498</v>
      </c>
      <c r="Y32" s="143">
        <v>0</v>
      </c>
      <c r="Z32" s="141">
        <v>0</v>
      </c>
      <c r="AA32" s="141">
        <v>0</v>
      </c>
      <c r="AB32" s="141">
        <v>0</v>
      </c>
      <c r="AC32" s="141">
        <v>0</v>
      </c>
      <c r="AD32" s="141">
        <v>0</v>
      </c>
      <c r="AE32" s="141">
        <v>0</v>
      </c>
      <c r="AF32" s="144">
        <v>0</v>
      </c>
      <c r="AG32" s="143">
        <v>0</v>
      </c>
      <c r="AH32" s="141">
        <v>0</v>
      </c>
      <c r="AI32" s="141">
        <v>0</v>
      </c>
      <c r="AJ32" s="141">
        <v>0</v>
      </c>
      <c r="AK32" s="144">
        <v>0</v>
      </c>
      <c r="AL32" s="185"/>
      <c r="AM32" s="164" t="s">
        <v>2233</v>
      </c>
      <c r="AN32" s="143">
        <v>4.8730000000000002</v>
      </c>
      <c r="AO32" s="141">
        <v>5.1151999999999997</v>
      </c>
      <c r="AP32" s="141">
        <v>2.9239999999999999</v>
      </c>
      <c r="AQ32" s="141">
        <v>4.048</v>
      </c>
      <c r="AR32" s="141">
        <v>7.5410000000000004</v>
      </c>
      <c r="AS32" s="141">
        <v>8.6690000000000005</v>
      </c>
      <c r="AT32" s="141">
        <v>6.0536881685885096</v>
      </c>
      <c r="AU32" s="144">
        <v>4.7799146715605199</v>
      </c>
      <c r="AV32" s="143">
        <v>5.0572744903542661</v>
      </c>
      <c r="AW32" s="141">
        <v>5.0572744903542661</v>
      </c>
      <c r="AX32" s="141">
        <v>5.0572744903542661</v>
      </c>
      <c r="AY32" s="141">
        <v>5.0572744903542661</v>
      </c>
      <c r="AZ32" s="144">
        <v>5.0572744903542661</v>
      </c>
      <c r="BA32" s="185"/>
      <c r="BB32" s="545" t="s">
        <v>627</v>
      </c>
      <c r="BC32" s="868">
        <v>0</v>
      </c>
      <c r="BD32" s="545" t="s">
        <v>627</v>
      </c>
      <c r="BE32" s="868">
        <v>0</v>
      </c>
      <c r="BF32" s="545" t="s">
        <v>2233</v>
      </c>
      <c r="BG32" s="141">
        <v>29.782764898646871</v>
      </c>
      <c r="BH32" s="545" t="s">
        <v>2233</v>
      </c>
      <c r="BI32" s="141">
        <v>0</v>
      </c>
      <c r="BJ32" s="545" t="s">
        <v>2233</v>
      </c>
      <c r="BK32" s="141">
        <v>10.142081685989963</v>
      </c>
      <c r="BL32" s="545" t="s">
        <v>2233</v>
      </c>
      <c r="BM32" s="141">
        <v>3.1756820436530733</v>
      </c>
      <c r="BN32" s="545" t="s">
        <v>2233</v>
      </c>
      <c r="BO32" s="141">
        <v>0.9032742118591246</v>
      </c>
      <c r="BP32" s="185"/>
      <c r="BQ32" s="545" t="s">
        <v>627</v>
      </c>
      <c r="BR32" s="868">
        <v>0</v>
      </c>
      <c r="BS32" s="545" t="s">
        <v>627</v>
      </c>
      <c r="BT32" s="868">
        <v>0</v>
      </c>
      <c r="BU32" s="545" t="s">
        <v>2233</v>
      </c>
      <c r="BV32" s="141">
        <v>17.114386422611648</v>
      </c>
      <c r="BW32" s="545" t="s">
        <v>2233</v>
      </c>
      <c r="BX32" s="141">
        <v>0</v>
      </c>
      <c r="BY32" s="545" t="s">
        <v>2233</v>
      </c>
      <c r="BZ32" s="141">
        <v>5.8280520863128782</v>
      </c>
      <c r="CA32" s="545" t="s">
        <v>2233</v>
      </c>
      <c r="CB32" s="141">
        <v>1.8248758916569583</v>
      </c>
      <c r="CC32" s="545" t="s">
        <v>2233</v>
      </c>
      <c r="CD32" s="141">
        <v>0.51905805118984749</v>
      </c>
    </row>
    <row r="33" spans="1:82" s="98" customFormat="1" ht="15" customHeight="1">
      <c r="A33" s="99"/>
      <c r="B33" s="161"/>
      <c r="C33" s="162"/>
      <c r="D33" s="162" t="s">
        <v>2705</v>
      </c>
      <c r="E33" s="162"/>
      <c r="F33" s="162"/>
      <c r="G33" s="163"/>
      <c r="H33" s="163"/>
      <c r="I33" s="164" t="s">
        <v>498</v>
      </c>
      <c r="J33" s="143">
        <v>1.7972855125323695</v>
      </c>
      <c r="K33" s="141">
        <v>1.6838027123905925</v>
      </c>
      <c r="L33" s="141">
        <v>0.98564183917963011</v>
      </c>
      <c r="M33" s="141">
        <v>0.57742046777595457</v>
      </c>
      <c r="N33" s="141">
        <v>1.7991511228595323</v>
      </c>
      <c r="O33" s="141">
        <v>2.255064608976149</v>
      </c>
      <c r="P33" s="141">
        <v>2.4166237898753185</v>
      </c>
      <c r="Q33" s="144">
        <v>2.1556542629022477</v>
      </c>
      <c r="R33" s="143">
        <v>2.1852301723049279</v>
      </c>
      <c r="S33" s="141">
        <v>2.1743040214434033</v>
      </c>
      <c r="T33" s="141">
        <v>2.1634325013361861</v>
      </c>
      <c r="U33" s="141">
        <v>2.1526153388295053</v>
      </c>
      <c r="V33" s="144">
        <v>2.141852262135358</v>
      </c>
      <c r="W33" s="185"/>
      <c r="X33" s="164" t="s">
        <v>498</v>
      </c>
      <c r="Y33" s="143">
        <v>0</v>
      </c>
      <c r="Z33" s="141">
        <v>0</v>
      </c>
      <c r="AA33" s="141">
        <v>0</v>
      </c>
      <c r="AB33" s="141">
        <v>0</v>
      </c>
      <c r="AC33" s="141">
        <v>0</v>
      </c>
      <c r="AD33" s="141">
        <v>0</v>
      </c>
      <c r="AE33" s="141">
        <v>0</v>
      </c>
      <c r="AF33" s="144">
        <v>0</v>
      </c>
      <c r="AG33" s="143">
        <v>0</v>
      </c>
      <c r="AH33" s="141">
        <v>0</v>
      </c>
      <c r="AI33" s="141">
        <v>0</v>
      </c>
      <c r="AJ33" s="141">
        <v>0</v>
      </c>
      <c r="AK33" s="144">
        <v>0</v>
      </c>
      <c r="AL33" s="185"/>
      <c r="AM33" s="164" t="s">
        <v>2233</v>
      </c>
      <c r="AN33" s="143">
        <v>6.0640000000000001</v>
      </c>
      <c r="AO33" s="141">
        <v>4.9524999999999997</v>
      </c>
      <c r="AP33" s="141">
        <v>2.5474999999999999</v>
      </c>
      <c r="AQ33" s="141">
        <v>1.177</v>
      </c>
      <c r="AR33" s="141">
        <v>3.738</v>
      </c>
      <c r="AS33" s="141">
        <v>4.3159999999999998</v>
      </c>
      <c r="AT33" s="141">
        <v>5.7917596174571697</v>
      </c>
      <c r="AU33" s="144">
        <v>4.3209618443728823</v>
      </c>
      <c r="AV33" s="143">
        <v>4.826351559706139</v>
      </c>
      <c r="AW33" s="141">
        <v>4.826351559706139</v>
      </c>
      <c r="AX33" s="141">
        <v>4.826351559706139</v>
      </c>
      <c r="AY33" s="141">
        <v>4.826351559706139</v>
      </c>
      <c r="AZ33" s="144">
        <v>4.826351559706139</v>
      </c>
      <c r="BA33" s="185"/>
      <c r="BB33" s="545" t="s">
        <v>627</v>
      </c>
      <c r="BC33" s="868">
        <v>0</v>
      </c>
      <c r="BD33" s="545" t="s">
        <v>627</v>
      </c>
      <c r="BE33" s="868">
        <v>0</v>
      </c>
      <c r="BF33" s="545" t="s">
        <v>2233</v>
      </c>
      <c r="BG33" s="141">
        <v>22.272687094980199</v>
      </c>
      <c r="BH33" s="545" t="s">
        <v>2233</v>
      </c>
      <c r="BI33" s="141">
        <v>0</v>
      </c>
      <c r="BJ33" s="545" t="s">
        <v>2233</v>
      </c>
      <c r="BK33" s="141">
        <v>7.5846353638592712</v>
      </c>
      <c r="BL33" s="545" t="s">
        <v>2233</v>
      </c>
      <c r="BM33" s="141">
        <v>2.3748961089454022</v>
      </c>
      <c r="BN33" s="545" t="s">
        <v>2233</v>
      </c>
      <c r="BO33" s="141">
        <v>0.67550289404517905</v>
      </c>
      <c r="BP33" s="185"/>
      <c r="BQ33" s="545" t="s">
        <v>627</v>
      </c>
      <c r="BR33" s="868">
        <v>0</v>
      </c>
      <c r="BS33" s="545" t="s">
        <v>627</v>
      </c>
      <c r="BT33" s="868">
        <v>0</v>
      </c>
      <c r="BU33" s="545" t="s">
        <v>2233</v>
      </c>
      <c r="BV33" s="141">
        <v>16.332917218894934</v>
      </c>
      <c r="BW33" s="545" t="s">
        <v>2233</v>
      </c>
      <c r="BX33" s="141">
        <v>0</v>
      </c>
      <c r="BY33" s="545" t="s">
        <v>2233</v>
      </c>
      <c r="BZ33" s="141">
        <v>5.5619342652793948</v>
      </c>
      <c r="CA33" s="545" t="s">
        <v>2233</v>
      </c>
      <c r="CB33" s="141">
        <v>1.7415492520264053</v>
      </c>
      <c r="CC33" s="545" t="s">
        <v>2233</v>
      </c>
      <c r="CD33" s="141">
        <v>0.49535706232996285</v>
      </c>
    </row>
    <row r="34" spans="1:82" s="98" customFormat="1" ht="15" customHeight="1">
      <c r="A34" s="99"/>
      <c r="B34" s="161"/>
      <c r="C34" s="162"/>
      <c r="D34" s="162" t="s">
        <v>2706</v>
      </c>
      <c r="E34" s="162"/>
      <c r="F34" s="162"/>
      <c r="G34" s="163"/>
      <c r="H34" s="163"/>
      <c r="I34" s="164" t="s">
        <v>498</v>
      </c>
      <c r="J34" s="143">
        <v>0.12094158834190165</v>
      </c>
      <c r="K34" s="141">
        <v>0.5978913090270348</v>
      </c>
      <c r="L34" s="141">
        <v>0</v>
      </c>
      <c r="M34" s="141">
        <v>2.4511251835095068E-3</v>
      </c>
      <c r="N34" s="141">
        <v>3.054097943162816E-2</v>
      </c>
      <c r="O34" s="141">
        <v>0.38356917467379825</v>
      </c>
      <c r="P34" s="141">
        <v>2.0063810912715638</v>
      </c>
      <c r="Q34" s="144">
        <v>1.7897133887890575</v>
      </c>
      <c r="R34" s="143">
        <v>1.0321536967974563</v>
      </c>
      <c r="S34" s="141">
        <v>1.0269929283134689</v>
      </c>
      <c r="T34" s="141">
        <v>1.0218579636719016</v>
      </c>
      <c r="U34" s="141">
        <v>1.0167486738535421</v>
      </c>
      <c r="V34" s="144">
        <v>1.0116649304842744</v>
      </c>
      <c r="W34" s="185"/>
      <c r="X34" s="164" t="s">
        <v>498</v>
      </c>
      <c r="Y34" s="143">
        <v>0</v>
      </c>
      <c r="Z34" s="141">
        <v>0</v>
      </c>
      <c r="AA34" s="141">
        <v>0</v>
      </c>
      <c r="AB34" s="141">
        <v>0</v>
      </c>
      <c r="AC34" s="141">
        <v>0</v>
      </c>
      <c r="AD34" s="141">
        <v>0</v>
      </c>
      <c r="AE34" s="141">
        <v>0</v>
      </c>
      <c r="AF34" s="144">
        <v>0</v>
      </c>
      <c r="AG34" s="143">
        <v>0</v>
      </c>
      <c r="AH34" s="141">
        <v>0</v>
      </c>
      <c r="AI34" s="141">
        <v>0</v>
      </c>
      <c r="AJ34" s="141">
        <v>0</v>
      </c>
      <c r="AK34" s="144">
        <v>0</v>
      </c>
      <c r="AL34" s="185"/>
      <c r="AM34" s="164" t="s">
        <v>2233</v>
      </c>
      <c r="AN34" s="143">
        <v>0.18099999999999999</v>
      </c>
      <c r="AO34" s="141">
        <v>1.069</v>
      </c>
      <c r="AP34" s="141">
        <v>0</v>
      </c>
      <c r="AQ34" s="141">
        <v>2E-3</v>
      </c>
      <c r="AR34" s="141">
        <v>3.4000000000000002E-2</v>
      </c>
      <c r="AS34" s="141">
        <v>0.35499999999999998</v>
      </c>
      <c r="AT34" s="141">
        <v>2.7814747871938246</v>
      </c>
      <c r="AU34" s="144">
        <v>1.9395716274513015</v>
      </c>
      <c r="AV34" s="143">
        <v>1.3791871909249784</v>
      </c>
      <c r="AW34" s="141">
        <v>1.3791871909249784</v>
      </c>
      <c r="AX34" s="141">
        <v>1.3791871909249784</v>
      </c>
      <c r="AY34" s="141">
        <v>1.3791871909249784</v>
      </c>
      <c r="AZ34" s="144">
        <v>1.3791871909249784</v>
      </c>
      <c r="BA34" s="185"/>
      <c r="BB34" s="545" t="s">
        <v>627</v>
      </c>
      <c r="BC34" s="868">
        <v>0</v>
      </c>
      <c r="BD34" s="545" t="s">
        <v>627</v>
      </c>
      <c r="BE34" s="868">
        <v>0</v>
      </c>
      <c r="BF34" s="545" t="s">
        <v>2233</v>
      </c>
      <c r="BG34" s="141">
        <v>4.3059763114103911</v>
      </c>
      <c r="BH34" s="545" t="s">
        <v>2233</v>
      </c>
      <c r="BI34" s="141">
        <v>0</v>
      </c>
      <c r="BJ34" s="545" t="s">
        <v>2233</v>
      </c>
      <c r="BK34" s="141">
        <v>1.4663367768868929</v>
      </c>
      <c r="BL34" s="545" t="s">
        <v>2233</v>
      </c>
      <c r="BM34" s="141">
        <v>0.45913842113304759</v>
      </c>
      <c r="BN34" s="545" t="s">
        <v>2233</v>
      </c>
      <c r="BO34" s="141">
        <v>0.130594905214794</v>
      </c>
      <c r="BP34" s="185"/>
      <c r="BQ34" s="545" t="s">
        <v>627</v>
      </c>
      <c r="BR34" s="868">
        <v>0</v>
      </c>
      <c r="BS34" s="545" t="s">
        <v>627</v>
      </c>
      <c r="BT34" s="868">
        <v>0</v>
      </c>
      <c r="BU34" s="545" t="s">
        <v>2233</v>
      </c>
      <c r="BV34" s="141">
        <v>4.6673247773333486</v>
      </c>
      <c r="BW34" s="545" t="s">
        <v>2233</v>
      </c>
      <c r="BX34" s="141">
        <v>0</v>
      </c>
      <c r="BY34" s="545" t="s">
        <v>2233</v>
      </c>
      <c r="BZ34" s="141">
        <v>1.5893886718660692</v>
      </c>
      <c r="CA34" s="545" t="s">
        <v>2233</v>
      </c>
      <c r="CB34" s="141">
        <v>0.49766835072951887</v>
      </c>
      <c r="CC34" s="545" t="s">
        <v>2233</v>
      </c>
      <c r="CD34" s="141">
        <v>0.14155415469595592</v>
      </c>
    </row>
    <row r="35" spans="1:82" s="98" customFormat="1" ht="15" customHeight="1">
      <c r="A35" s="99"/>
      <c r="B35" s="161"/>
      <c r="C35" s="162"/>
      <c r="D35" s="162" t="s">
        <v>2707</v>
      </c>
      <c r="E35" s="162"/>
      <c r="F35" s="162"/>
      <c r="G35" s="163"/>
      <c r="H35" s="163"/>
      <c r="I35" s="164" t="s">
        <v>498</v>
      </c>
      <c r="J35" s="143">
        <v>0</v>
      </c>
      <c r="K35" s="141">
        <v>0</v>
      </c>
      <c r="L35" s="141">
        <v>0</v>
      </c>
      <c r="M35" s="141">
        <v>0</v>
      </c>
      <c r="N35" s="141">
        <v>0</v>
      </c>
      <c r="O35" s="141">
        <v>0</v>
      </c>
      <c r="P35" s="141">
        <v>0.24373224280508193</v>
      </c>
      <c r="Q35" s="144">
        <v>0.21741176694971134</v>
      </c>
      <c r="R35" s="143">
        <v>0</v>
      </c>
      <c r="S35" s="141">
        <v>0</v>
      </c>
      <c r="T35" s="141">
        <v>0</v>
      </c>
      <c r="U35" s="141">
        <v>0</v>
      </c>
      <c r="V35" s="144">
        <v>0</v>
      </c>
      <c r="W35" s="185"/>
      <c r="X35" s="164" t="s">
        <v>498</v>
      </c>
      <c r="Y35" s="143">
        <v>0</v>
      </c>
      <c r="Z35" s="141">
        <v>0</v>
      </c>
      <c r="AA35" s="141">
        <v>0</v>
      </c>
      <c r="AB35" s="141">
        <v>0</v>
      </c>
      <c r="AC35" s="141">
        <v>0</v>
      </c>
      <c r="AD35" s="141">
        <v>0</v>
      </c>
      <c r="AE35" s="141">
        <v>0</v>
      </c>
      <c r="AF35" s="144">
        <v>0</v>
      </c>
      <c r="AG35" s="143">
        <v>0</v>
      </c>
      <c r="AH35" s="141">
        <v>0</v>
      </c>
      <c r="AI35" s="141">
        <v>0</v>
      </c>
      <c r="AJ35" s="141">
        <v>0</v>
      </c>
      <c r="AK35" s="144">
        <v>0</v>
      </c>
      <c r="AL35" s="185"/>
      <c r="AM35" s="164" t="s">
        <v>2233</v>
      </c>
      <c r="AN35" s="143"/>
      <c r="AO35" s="141">
        <v>0</v>
      </c>
      <c r="AP35" s="141">
        <v>0</v>
      </c>
      <c r="AQ35" s="141"/>
      <c r="AR35" s="141">
        <v>0</v>
      </c>
      <c r="AS35" s="141"/>
      <c r="AT35" s="141">
        <v>0.27568951749585735</v>
      </c>
      <c r="AU35" s="144">
        <v>0.1807180403168227</v>
      </c>
      <c r="AV35" s="143">
        <v>0</v>
      </c>
      <c r="AW35" s="141">
        <v>0</v>
      </c>
      <c r="AX35" s="141">
        <v>0</v>
      </c>
      <c r="AY35" s="141">
        <v>0</v>
      </c>
      <c r="AZ35" s="144">
        <v>0</v>
      </c>
      <c r="BA35" s="185"/>
      <c r="BB35" s="545" t="s">
        <v>627</v>
      </c>
      <c r="BC35" s="868">
        <v>0</v>
      </c>
      <c r="BD35" s="545" t="s">
        <v>627</v>
      </c>
      <c r="BE35" s="868">
        <v>0</v>
      </c>
      <c r="BF35" s="545" t="s">
        <v>2233</v>
      </c>
      <c r="BG35" s="141">
        <v>0.30890691519730012</v>
      </c>
      <c r="BH35" s="545" t="s">
        <v>2233</v>
      </c>
      <c r="BI35" s="141">
        <v>0</v>
      </c>
      <c r="BJ35" s="545" t="s">
        <v>2233</v>
      </c>
      <c r="BK35" s="141">
        <v>0.10519369769596282</v>
      </c>
      <c r="BL35" s="545" t="s">
        <v>2233</v>
      </c>
      <c r="BM35" s="141">
        <v>3.2938182438424252E-2</v>
      </c>
      <c r="BN35" s="545" t="s">
        <v>2233</v>
      </c>
      <c r="BO35" s="141">
        <v>9.3687624809928871E-3</v>
      </c>
      <c r="BP35" s="185"/>
      <c r="BQ35" s="545" t="s">
        <v>627</v>
      </c>
      <c r="BR35" s="868">
        <v>0</v>
      </c>
      <c r="BS35" s="545" t="s">
        <v>627</v>
      </c>
      <c r="BT35" s="868">
        <v>0</v>
      </c>
      <c r="BU35" s="545" t="s">
        <v>2233</v>
      </c>
      <c r="BV35" s="141">
        <v>0</v>
      </c>
      <c r="BW35" s="545" t="s">
        <v>2233</v>
      </c>
      <c r="BX35" s="141">
        <v>0</v>
      </c>
      <c r="BY35" s="545" t="s">
        <v>2233</v>
      </c>
      <c r="BZ35" s="141">
        <v>0</v>
      </c>
      <c r="CA35" s="545" t="s">
        <v>2233</v>
      </c>
      <c r="CB35" s="141">
        <v>0</v>
      </c>
      <c r="CC35" s="545" t="s">
        <v>2233</v>
      </c>
      <c r="CD35" s="141">
        <v>0</v>
      </c>
    </row>
    <row r="36" spans="1:82" s="98" customFormat="1" ht="15" customHeight="1">
      <c r="A36" s="99"/>
      <c r="B36" s="161"/>
      <c r="C36" s="162"/>
      <c r="D36" s="162" t="s">
        <v>2708</v>
      </c>
      <c r="E36" s="162"/>
      <c r="F36" s="162"/>
      <c r="G36" s="163"/>
      <c r="H36" s="163"/>
      <c r="I36" s="164" t="s">
        <v>498</v>
      </c>
      <c r="J36" s="143">
        <v>0</v>
      </c>
      <c r="K36" s="141">
        <v>0</v>
      </c>
      <c r="L36" s="141">
        <v>0</v>
      </c>
      <c r="M36" s="141">
        <v>0</v>
      </c>
      <c r="N36" s="141">
        <v>0</v>
      </c>
      <c r="O36" s="141">
        <v>0</v>
      </c>
      <c r="P36" s="141">
        <v>0</v>
      </c>
      <c r="Q36" s="144">
        <v>0</v>
      </c>
      <c r="R36" s="143">
        <v>0</v>
      </c>
      <c r="S36" s="141">
        <v>0</v>
      </c>
      <c r="T36" s="141">
        <v>0</v>
      </c>
      <c r="U36" s="141">
        <v>0</v>
      </c>
      <c r="V36" s="144">
        <v>0</v>
      </c>
      <c r="W36" s="185"/>
      <c r="X36" s="164" t="s">
        <v>498</v>
      </c>
      <c r="Y36" s="143">
        <v>0</v>
      </c>
      <c r="Z36" s="141">
        <v>0</v>
      </c>
      <c r="AA36" s="141">
        <v>0</v>
      </c>
      <c r="AB36" s="141">
        <v>0</v>
      </c>
      <c r="AC36" s="141">
        <v>0</v>
      </c>
      <c r="AD36" s="141">
        <v>0</v>
      </c>
      <c r="AE36" s="141">
        <v>0</v>
      </c>
      <c r="AF36" s="144">
        <v>0</v>
      </c>
      <c r="AG36" s="143">
        <v>0</v>
      </c>
      <c r="AH36" s="141">
        <v>0</v>
      </c>
      <c r="AI36" s="141">
        <v>0</v>
      </c>
      <c r="AJ36" s="141">
        <v>0</v>
      </c>
      <c r="AK36" s="144">
        <v>0</v>
      </c>
      <c r="AL36" s="185"/>
      <c r="AM36" s="164" t="s">
        <v>2233</v>
      </c>
      <c r="AN36" s="143"/>
      <c r="AO36" s="141"/>
      <c r="AP36" s="141"/>
      <c r="AQ36" s="141"/>
      <c r="AR36" s="141">
        <v>0</v>
      </c>
      <c r="AS36" s="141"/>
      <c r="AT36" s="141">
        <v>0</v>
      </c>
      <c r="AU36" s="144">
        <v>0</v>
      </c>
      <c r="AV36" s="143">
        <v>0</v>
      </c>
      <c r="AW36" s="141">
        <v>0</v>
      </c>
      <c r="AX36" s="141">
        <v>0</v>
      </c>
      <c r="AY36" s="141">
        <v>0</v>
      </c>
      <c r="AZ36" s="144">
        <v>0</v>
      </c>
      <c r="BA36" s="185"/>
      <c r="BB36" s="545" t="s">
        <v>627</v>
      </c>
      <c r="BC36" s="868">
        <v>0</v>
      </c>
      <c r="BD36" s="545" t="s">
        <v>627</v>
      </c>
      <c r="BE36" s="868">
        <v>0</v>
      </c>
      <c r="BF36" s="545" t="s">
        <v>2233</v>
      </c>
      <c r="BG36" s="141">
        <v>0</v>
      </c>
      <c r="BH36" s="545" t="s">
        <v>2233</v>
      </c>
      <c r="BI36" s="141">
        <v>0</v>
      </c>
      <c r="BJ36" s="545" t="s">
        <v>2233</v>
      </c>
      <c r="BK36" s="141">
        <v>0</v>
      </c>
      <c r="BL36" s="545" t="s">
        <v>2233</v>
      </c>
      <c r="BM36" s="141">
        <v>0</v>
      </c>
      <c r="BN36" s="545" t="s">
        <v>2233</v>
      </c>
      <c r="BO36" s="141">
        <v>0</v>
      </c>
      <c r="BP36" s="185"/>
      <c r="BQ36" s="545" t="s">
        <v>627</v>
      </c>
      <c r="BR36" s="868">
        <v>0</v>
      </c>
      <c r="BS36" s="545" t="s">
        <v>627</v>
      </c>
      <c r="BT36" s="868">
        <v>0</v>
      </c>
      <c r="BU36" s="545" t="s">
        <v>2233</v>
      </c>
      <c r="BV36" s="141">
        <v>0</v>
      </c>
      <c r="BW36" s="545" t="s">
        <v>2233</v>
      </c>
      <c r="BX36" s="141">
        <v>0</v>
      </c>
      <c r="BY36" s="545" t="s">
        <v>2233</v>
      </c>
      <c r="BZ36" s="141">
        <v>0</v>
      </c>
      <c r="CA36" s="545" t="s">
        <v>2233</v>
      </c>
      <c r="CB36" s="141">
        <v>0</v>
      </c>
      <c r="CC36" s="545" t="s">
        <v>2233</v>
      </c>
      <c r="CD36" s="141">
        <v>0</v>
      </c>
    </row>
    <row r="37" spans="1:82" s="98" customFormat="1" ht="15" customHeight="1">
      <c r="A37" s="99"/>
      <c r="B37" s="161"/>
      <c r="C37" s="162" t="s">
        <v>1710</v>
      </c>
      <c r="D37" s="162"/>
      <c r="E37" s="162"/>
      <c r="F37" s="162"/>
      <c r="G37" s="163"/>
      <c r="H37" s="163"/>
      <c r="I37" s="164" t="s">
        <v>498</v>
      </c>
      <c r="J37" s="641">
        <f>SUM(J29:J36)</f>
        <v>3.4743825996495943</v>
      </c>
      <c r="K37" s="642">
        <f t="shared" ref="K37:V37" si="9">SUM(K29:K36)</f>
        <v>3.9555618996178659</v>
      </c>
      <c r="L37" s="642">
        <f t="shared" si="9"/>
        <v>2.703779870496859</v>
      </c>
      <c r="M37" s="642">
        <f t="shared" si="9"/>
        <v>2.4435788519687471</v>
      </c>
      <c r="N37" s="642">
        <f t="shared" si="9"/>
        <v>5.5212007945609534</v>
      </c>
      <c r="O37" s="642">
        <f t="shared" si="9"/>
        <v>6.4439499453395594</v>
      </c>
      <c r="P37" s="642">
        <f t="shared" si="9"/>
        <v>7.2640851099969908</v>
      </c>
      <c r="Q37" s="643">
        <f t="shared" si="9"/>
        <v>6.4796415971133232</v>
      </c>
      <c r="R37" s="641">
        <f t="shared" si="9"/>
        <v>5.6329950394708677</v>
      </c>
      <c r="S37" s="642">
        <f t="shared" si="9"/>
        <v>5.6048300642735125</v>
      </c>
      <c r="T37" s="642">
        <f t="shared" si="9"/>
        <v>5.5768059139521462</v>
      </c>
      <c r="U37" s="642">
        <f t="shared" si="9"/>
        <v>5.5489218843823842</v>
      </c>
      <c r="V37" s="643">
        <f t="shared" si="9"/>
        <v>5.5211772749604737</v>
      </c>
      <c r="W37" s="185"/>
      <c r="X37" s="164" t="s">
        <v>498</v>
      </c>
      <c r="Y37" s="641">
        <f>SUM(Y29:Y36)</f>
        <v>0</v>
      </c>
      <c r="Z37" s="642">
        <f t="shared" ref="Z37" si="10">SUM(Z29:Z36)</f>
        <v>0</v>
      </c>
      <c r="AA37" s="642">
        <f t="shared" ref="AA37" si="11">SUM(AA29:AA36)</f>
        <v>0</v>
      </c>
      <c r="AB37" s="642">
        <f t="shared" ref="AB37" si="12">SUM(AB29:AB36)</f>
        <v>0</v>
      </c>
      <c r="AC37" s="642">
        <f t="shared" ref="AC37" si="13">SUM(AC29:AC36)</f>
        <v>0</v>
      </c>
      <c r="AD37" s="642">
        <f t="shared" ref="AD37" si="14">SUM(AD29:AD36)</f>
        <v>0</v>
      </c>
      <c r="AE37" s="642">
        <f t="shared" ref="AE37" si="15">SUM(AE29:AE36)</f>
        <v>0</v>
      </c>
      <c r="AF37" s="643">
        <f t="shared" ref="AF37" si="16">SUM(AF29:AF36)</f>
        <v>0</v>
      </c>
      <c r="AG37" s="641">
        <f t="shared" ref="AG37" si="17">SUM(AG29:AG36)</f>
        <v>0</v>
      </c>
      <c r="AH37" s="642">
        <f t="shared" ref="AH37" si="18">SUM(AH29:AH36)</f>
        <v>0</v>
      </c>
      <c r="AI37" s="642">
        <f t="shared" ref="AI37" si="19">SUM(AI29:AI36)</f>
        <v>0</v>
      </c>
      <c r="AJ37" s="642">
        <f t="shared" ref="AJ37" si="20">SUM(AJ29:AJ36)</f>
        <v>0</v>
      </c>
      <c r="AK37" s="643">
        <f t="shared" ref="AK37" si="21">SUM(AK29:AK36)</f>
        <v>0</v>
      </c>
      <c r="AL37" s="185"/>
      <c r="AM37" s="164" t="s">
        <v>2233</v>
      </c>
      <c r="AN37" s="641">
        <f>SUM(AN29:AN36)</f>
        <v>13.763</v>
      </c>
      <c r="AO37" s="642">
        <f t="shared" ref="AO37" si="22">SUM(AO29:AO36)</f>
        <v>13.840199999999999</v>
      </c>
      <c r="AP37" s="642">
        <f t="shared" ref="AP37" si="23">SUM(AP29:AP36)</f>
        <v>8.192499999999999</v>
      </c>
      <c r="AQ37" s="642">
        <f t="shared" ref="AQ37" si="24">SUM(AQ29:AQ36)</f>
        <v>7.0550000000000006</v>
      </c>
      <c r="AR37" s="642">
        <f t="shared" ref="AR37" si="25">SUM(AR29:AR36)</f>
        <v>18.480999999999998</v>
      </c>
      <c r="AS37" s="642">
        <f t="shared" ref="AS37" si="26">SUM(AS29:AS36)</f>
        <v>19.997</v>
      </c>
      <c r="AT37" s="642">
        <f t="shared" ref="AT37" si="27">SUM(AT29:AT36)</f>
        <v>19.045211426083714</v>
      </c>
      <c r="AU37" s="643">
        <f t="shared" ref="AU37" si="28">SUM(AU29:AU36)</f>
        <v>14.573245019143609</v>
      </c>
      <c r="AV37" s="641">
        <f t="shared" ref="AV37" si="29">SUM(AV29:AV36)</f>
        <v>15.222046104189614</v>
      </c>
      <c r="AW37" s="642">
        <f t="shared" ref="AW37" si="30">SUM(AW29:AW36)</f>
        <v>15.222046104189614</v>
      </c>
      <c r="AX37" s="642">
        <f t="shared" ref="AX37" si="31">SUM(AX29:AX36)</f>
        <v>15.222046104189614</v>
      </c>
      <c r="AY37" s="642">
        <f t="shared" ref="AY37" si="32">SUM(AY29:AY36)</f>
        <v>15.222046104189614</v>
      </c>
      <c r="AZ37" s="643">
        <f t="shared" ref="AZ37" si="33">SUM(AZ29:AZ36)</f>
        <v>15.222046104189614</v>
      </c>
      <c r="BA37" s="185"/>
      <c r="BB37" s="530"/>
      <c r="BC37" s="530"/>
      <c r="BD37" s="530"/>
      <c r="BE37" s="530"/>
      <c r="BF37" s="545" t="s">
        <v>2233</v>
      </c>
      <c r="BG37" s="642">
        <f>SUM(BG29:BG36)</f>
        <v>77.79882453824284</v>
      </c>
      <c r="BH37" s="545" t="s">
        <v>2233</v>
      </c>
      <c r="BI37" s="642">
        <f>SUM(BI29:BI36)</f>
        <v>0</v>
      </c>
      <c r="BJ37" s="545" t="s">
        <v>2233</v>
      </c>
      <c r="BK37" s="642">
        <f>SUM(BK29:BK36)</f>
        <v>26.493243197064892</v>
      </c>
      <c r="BL37" s="545" t="s">
        <v>2233</v>
      </c>
      <c r="BM37" s="642">
        <f>SUM(BM29:BM36)</f>
        <v>8.2955471375540046</v>
      </c>
      <c r="BN37" s="545" t="s">
        <v>2233</v>
      </c>
      <c r="BO37" s="642">
        <f>SUM(BO29:BO36)</f>
        <v>2.3595415723655799</v>
      </c>
      <c r="BP37" s="185"/>
      <c r="BQ37" s="530"/>
      <c r="BR37" s="530"/>
      <c r="BS37" s="530"/>
      <c r="BT37" s="530"/>
      <c r="BU37" s="545" t="s">
        <v>2233</v>
      </c>
      <c r="BV37" s="642">
        <f>SUM(BV29:BV36)</f>
        <v>51.513118314379234</v>
      </c>
      <c r="BW37" s="545" t="s">
        <v>2233</v>
      </c>
      <c r="BX37" s="642">
        <f>SUM(BX29:BX36)</f>
        <v>0</v>
      </c>
      <c r="BY37" s="545" t="s">
        <v>2233</v>
      </c>
      <c r="BZ37" s="642">
        <f>SUM(BZ29:BZ36)</f>
        <v>17.542033307600544</v>
      </c>
      <c r="CA37" s="545" t="s">
        <v>2233</v>
      </c>
      <c r="CB37" s="642">
        <f>SUM(CB29:CB36)</f>
        <v>5.4927500989333202</v>
      </c>
      <c r="CC37" s="545" t="s">
        <v>2233</v>
      </c>
      <c r="CD37" s="642">
        <f>SUM(CD29:CD36)</f>
        <v>1.5623288000349751</v>
      </c>
    </row>
    <row r="38" spans="1:82" s="98" customFormat="1" ht="15" customHeight="1">
      <c r="A38" s="99"/>
      <c r="B38" s="123"/>
      <c r="C38" s="127"/>
      <c r="D38" s="127"/>
      <c r="E38" s="127"/>
      <c r="F38" s="127"/>
      <c r="G38" s="117"/>
      <c r="H38" s="117"/>
      <c r="I38" s="117"/>
      <c r="J38" s="159"/>
      <c r="K38" s="117"/>
      <c r="L38" s="117"/>
      <c r="M38" s="117"/>
      <c r="N38" s="117"/>
      <c r="O38" s="117"/>
      <c r="P38" s="117"/>
      <c r="Q38" s="160"/>
      <c r="R38" s="159"/>
      <c r="S38" s="117"/>
      <c r="T38" s="117"/>
      <c r="U38" s="117"/>
      <c r="V38" s="160"/>
      <c r="W38" s="185"/>
      <c r="X38" s="117"/>
      <c r="Y38" s="159"/>
      <c r="Z38" s="117"/>
      <c r="AA38" s="117"/>
      <c r="AB38" s="117"/>
      <c r="AC38" s="117"/>
      <c r="AD38" s="117"/>
      <c r="AE38" s="117"/>
      <c r="AF38" s="160"/>
      <c r="AG38" s="159"/>
      <c r="AH38" s="117"/>
      <c r="AI38" s="117"/>
      <c r="AJ38" s="117"/>
      <c r="AK38" s="160"/>
      <c r="AL38" s="185"/>
      <c r="AM38" s="117"/>
      <c r="AN38" s="159"/>
      <c r="AO38" s="117"/>
      <c r="AP38" s="117"/>
      <c r="AQ38" s="117"/>
      <c r="AR38" s="117"/>
      <c r="AS38" s="117"/>
      <c r="AT38" s="117"/>
      <c r="AU38" s="160"/>
      <c r="AV38" s="159"/>
      <c r="AW38" s="117"/>
      <c r="AX38" s="117"/>
      <c r="AY38" s="117"/>
      <c r="AZ38" s="160"/>
      <c r="BA38" s="185"/>
      <c r="BB38" s="530"/>
      <c r="BC38" s="530"/>
      <c r="BD38" s="530"/>
      <c r="BE38" s="530"/>
      <c r="BF38" s="530"/>
      <c r="BG38" s="530"/>
      <c r="BH38" s="530"/>
      <c r="BI38" s="530"/>
      <c r="BJ38" s="530"/>
      <c r="BK38" s="530"/>
      <c r="BL38" s="530"/>
      <c r="BM38" s="530"/>
      <c r="BN38" s="530"/>
      <c r="BO38" s="530"/>
      <c r="BP38" s="185"/>
      <c r="BQ38" s="530"/>
      <c r="BR38" s="530"/>
      <c r="BS38" s="530"/>
      <c r="BT38" s="530"/>
      <c r="BU38" s="530"/>
      <c r="BV38" s="530"/>
      <c r="BW38" s="530"/>
      <c r="BX38" s="530"/>
      <c r="BY38" s="530"/>
      <c r="BZ38" s="530"/>
      <c r="CA38" s="530"/>
      <c r="CB38" s="530"/>
      <c r="CC38" s="530"/>
      <c r="CD38" s="530"/>
    </row>
    <row r="39" spans="1:82" s="98" customFormat="1" ht="15" customHeight="1">
      <c r="A39" s="99"/>
      <c r="B39" s="161"/>
      <c r="C39" s="116" t="s">
        <v>2725</v>
      </c>
      <c r="D39" s="116"/>
      <c r="E39" s="116"/>
      <c r="F39" s="116"/>
      <c r="G39" s="117"/>
      <c r="H39" s="117"/>
      <c r="I39" s="117"/>
      <c r="J39" s="159"/>
      <c r="K39" s="117"/>
      <c r="L39" s="117"/>
      <c r="M39" s="117"/>
      <c r="N39" s="117"/>
      <c r="O39" s="117"/>
      <c r="P39" s="117"/>
      <c r="Q39" s="160"/>
      <c r="R39" s="159"/>
      <c r="S39" s="117"/>
      <c r="T39" s="117"/>
      <c r="U39" s="117"/>
      <c r="V39" s="160"/>
      <c r="W39" s="185"/>
      <c r="X39" s="117"/>
      <c r="Y39" s="159"/>
      <c r="Z39" s="117"/>
      <c r="AA39" s="117"/>
      <c r="AB39" s="117"/>
      <c r="AC39" s="117"/>
      <c r="AD39" s="117"/>
      <c r="AE39" s="117"/>
      <c r="AF39" s="160"/>
      <c r="AG39" s="159"/>
      <c r="AH39" s="117"/>
      <c r="AI39" s="117"/>
      <c r="AJ39" s="117"/>
      <c r="AK39" s="160"/>
      <c r="AL39" s="185"/>
      <c r="AM39" s="117"/>
      <c r="AN39" s="159"/>
      <c r="AO39" s="117"/>
      <c r="AP39" s="117"/>
      <c r="AQ39" s="117"/>
      <c r="AR39" s="117"/>
      <c r="AS39" s="117"/>
      <c r="AT39" s="117"/>
      <c r="AU39" s="160"/>
      <c r="AV39" s="159"/>
      <c r="AW39" s="117"/>
      <c r="AX39" s="117"/>
      <c r="AY39" s="117"/>
      <c r="AZ39" s="160"/>
      <c r="BA39" s="185"/>
      <c r="BB39" s="530"/>
      <c r="BC39" s="530"/>
      <c r="BD39" s="530"/>
      <c r="BE39" s="530"/>
      <c r="BF39" s="530"/>
      <c r="BG39" s="530"/>
      <c r="BH39" s="530"/>
      <c r="BI39" s="530"/>
      <c r="BJ39" s="530"/>
      <c r="BK39" s="530"/>
      <c r="BL39" s="530"/>
      <c r="BM39" s="530"/>
      <c r="BN39" s="530"/>
      <c r="BO39" s="530"/>
      <c r="BP39" s="185"/>
      <c r="BQ39" s="530"/>
      <c r="BR39" s="530"/>
      <c r="BS39" s="530"/>
      <c r="BT39" s="530"/>
      <c r="BU39" s="530"/>
      <c r="BV39" s="530"/>
      <c r="BW39" s="530"/>
      <c r="BX39" s="530"/>
      <c r="BY39" s="530"/>
      <c r="BZ39" s="530"/>
      <c r="CA39" s="530"/>
      <c r="CB39" s="530"/>
      <c r="CC39" s="530"/>
      <c r="CD39" s="530"/>
    </row>
    <row r="40" spans="1:82" s="98" customFormat="1" ht="15" customHeight="1">
      <c r="A40" s="99"/>
      <c r="B40" s="161"/>
      <c r="C40" s="162"/>
      <c r="D40" s="162" t="s">
        <v>2701</v>
      </c>
      <c r="E40" s="162"/>
      <c r="F40" s="162"/>
      <c r="G40" s="163"/>
      <c r="H40" s="163"/>
      <c r="I40" s="164" t="s">
        <v>498</v>
      </c>
      <c r="J40" s="143">
        <v>3.3489934711546103E-3</v>
      </c>
      <c r="K40" s="141">
        <v>7.8663326830127943E-4</v>
      </c>
      <c r="L40" s="141">
        <v>0</v>
      </c>
      <c r="M40" s="141">
        <v>0</v>
      </c>
      <c r="N40" s="141">
        <v>0</v>
      </c>
      <c r="O40" s="141">
        <v>0</v>
      </c>
      <c r="P40" s="141">
        <v>1.5677471846171069E-2</v>
      </c>
      <c r="Q40" s="144">
        <v>1.3984472534912957E-2</v>
      </c>
      <c r="R40" s="143">
        <v>4.2205080606218612E-3</v>
      </c>
      <c r="S40" s="141">
        <v>4.1994055203187523E-3</v>
      </c>
      <c r="T40" s="141">
        <v>4.1784084927171585E-3</v>
      </c>
      <c r="U40" s="141">
        <v>4.1575164502535731E-3</v>
      </c>
      <c r="V40" s="144">
        <v>4.1367288680023056E-3</v>
      </c>
      <c r="W40" s="2629"/>
      <c r="X40" s="607" t="s">
        <v>498</v>
      </c>
      <c r="Y40" s="143">
        <v>0</v>
      </c>
      <c r="Z40" s="141">
        <v>0</v>
      </c>
      <c r="AA40" s="141">
        <v>0</v>
      </c>
      <c r="AB40" s="141">
        <v>0</v>
      </c>
      <c r="AC40" s="141">
        <v>0</v>
      </c>
      <c r="AD40" s="141">
        <v>0</v>
      </c>
      <c r="AE40" s="141">
        <v>0</v>
      </c>
      <c r="AF40" s="144">
        <v>0</v>
      </c>
      <c r="AG40" s="143">
        <v>0</v>
      </c>
      <c r="AH40" s="141">
        <v>0</v>
      </c>
      <c r="AI40" s="141">
        <v>0</v>
      </c>
      <c r="AJ40" s="141">
        <v>0</v>
      </c>
      <c r="AK40" s="144">
        <v>0</v>
      </c>
      <c r="AL40" s="2629"/>
      <c r="AM40" s="607" t="s">
        <v>2233</v>
      </c>
      <c r="AN40" s="143">
        <v>3.5000000000000003E-2</v>
      </c>
      <c r="AO40" s="141">
        <v>8.9999999999999993E-3</v>
      </c>
      <c r="AP40" s="141">
        <v>0</v>
      </c>
      <c r="AQ40" s="141"/>
      <c r="AR40" s="141">
        <v>0</v>
      </c>
      <c r="AS40" s="141"/>
      <c r="AT40" s="141">
        <v>9.4611163033703649E-2</v>
      </c>
      <c r="AU40" s="144">
        <v>7.288853613832845E-2</v>
      </c>
      <c r="AV40" s="143">
        <v>3.0159928712180671E-2</v>
      </c>
      <c r="AW40" s="141">
        <v>3.0159928712180671E-2</v>
      </c>
      <c r="AX40" s="141">
        <v>3.0159928712180671E-2</v>
      </c>
      <c r="AY40" s="141">
        <v>3.0159928712180671E-2</v>
      </c>
      <c r="AZ40" s="144">
        <v>3.0159928712180671E-2</v>
      </c>
      <c r="BA40" s="2629"/>
      <c r="BB40" s="545" t="s">
        <v>627</v>
      </c>
      <c r="BC40" s="868">
        <v>0</v>
      </c>
      <c r="BD40" s="545" t="s">
        <v>627</v>
      </c>
      <c r="BE40" s="868">
        <v>0</v>
      </c>
      <c r="BF40" s="545" t="s">
        <v>2233</v>
      </c>
      <c r="BG40" s="141">
        <v>0.14314776019376049</v>
      </c>
      <c r="BH40" s="545" t="s">
        <v>2233</v>
      </c>
      <c r="BI40" s="141">
        <v>0</v>
      </c>
      <c r="BJ40" s="545" t="s">
        <v>2233</v>
      </c>
      <c r="BK40" s="141">
        <v>4.8746860205634637E-2</v>
      </c>
      <c r="BL40" s="545" t="s">
        <v>2233</v>
      </c>
      <c r="BM40" s="141">
        <v>1.5263585270994601E-2</v>
      </c>
      <c r="BN40" s="545" t="s">
        <v>2233</v>
      </c>
      <c r="BO40" s="141">
        <v>4.3414935016423736E-3</v>
      </c>
      <c r="BP40" s="2629"/>
      <c r="BQ40" s="545" t="s">
        <v>627</v>
      </c>
      <c r="BR40" s="868">
        <v>0</v>
      </c>
      <c r="BS40" s="545" t="s">
        <v>627</v>
      </c>
      <c r="BT40" s="868">
        <v>0</v>
      </c>
      <c r="BU40" s="545" t="s">
        <v>2233</v>
      </c>
      <c r="BV40" s="141">
        <v>0.1020645953552982</v>
      </c>
      <c r="BW40" s="545" t="s">
        <v>2233</v>
      </c>
      <c r="BX40" s="141">
        <v>0</v>
      </c>
      <c r="BY40" s="545" t="s">
        <v>2233</v>
      </c>
      <c r="BZ40" s="141">
        <v>3.4756593850961644E-2</v>
      </c>
      <c r="CA40" s="545" t="s">
        <v>2233</v>
      </c>
      <c r="CB40" s="141">
        <v>1.0882962138188299E-2</v>
      </c>
      <c r="CC40" s="545" t="s">
        <v>2233</v>
      </c>
      <c r="CD40" s="141">
        <v>3.0954922164552309E-3</v>
      </c>
    </row>
    <row r="41" spans="1:82" s="98" customFormat="1" ht="15" customHeight="1">
      <c r="A41" s="99"/>
      <c r="B41" s="161"/>
      <c r="C41" s="162"/>
      <c r="D41" s="162" t="s">
        <v>2702</v>
      </c>
      <c r="E41" s="162"/>
      <c r="F41" s="162"/>
      <c r="G41" s="163"/>
      <c r="H41" s="163"/>
      <c r="I41" s="164" t="s">
        <v>498</v>
      </c>
      <c r="J41" s="143">
        <v>0</v>
      </c>
      <c r="K41" s="141">
        <v>5.7421783925969171E-4</v>
      </c>
      <c r="L41" s="141">
        <v>0</v>
      </c>
      <c r="M41" s="141">
        <v>0</v>
      </c>
      <c r="N41" s="141">
        <v>0</v>
      </c>
      <c r="O41" s="141">
        <v>0</v>
      </c>
      <c r="P41" s="141">
        <v>2.0887688420947056E-2</v>
      </c>
      <c r="Q41" s="144">
        <v>1.863204143542406E-2</v>
      </c>
      <c r="R41" s="143">
        <v>4.3460603418970435E-2</v>
      </c>
      <c r="S41" s="141">
        <v>4.324330040187558E-2</v>
      </c>
      <c r="T41" s="141">
        <v>4.3027083899866203E-2</v>
      </c>
      <c r="U41" s="141">
        <v>4.2811948480366874E-2</v>
      </c>
      <c r="V41" s="144">
        <v>4.2597888737965037E-2</v>
      </c>
      <c r="W41" s="2629"/>
      <c r="X41" s="607" t="s">
        <v>498</v>
      </c>
      <c r="Y41" s="143">
        <v>0</v>
      </c>
      <c r="Z41" s="141">
        <v>0</v>
      </c>
      <c r="AA41" s="141">
        <v>0</v>
      </c>
      <c r="AB41" s="141">
        <v>0</v>
      </c>
      <c r="AC41" s="141">
        <v>0</v>
      </c>
      <c r="AD41" s="141">
        <v>0</v>
      </c>
      <c r="AE41" s="141">
        <v>0</v>
      </c>
      <c r="AF41" s="144">
        <v>0</v>
      </c>
      <c r="AG41" s="143">
        <v>0</v>
      </c>
      <c r="AH41" s="141">
        <v>0</v>
      </c>
      <c r="AI41" s="141">
        <v>0</v>
      </c>
      <c r="AJ41" s="141">
        <v>0</v>
      </c>
      <c r="AK41" s="144">
        <v>0</v>
      </c>
      <c r="AL41" s="2629"/>
      <c r="AM41" s="607" t="s">
        <v>2233</v>
      </c>
      <c r="AN41" s="143"/>
      <c r="AO41" s="141">
        <v>6.0000000000000001E-3</v>
      </c>
      <c r="AP41" s="141">
        <v>0</v>
      </c>
      <c r="AQ41" s="141"/>
      <c r="AR41" s="141">
        <v>0</v>
      </c>
      <c r="AS41" s="141"/>
      <c r="AT41" s="141">
        <v>0.15859644159570763</v>
      </c>
      <c r="AU41" s="144">
        <v>0.11728554438680722</v>
      </c>
      <c r="AV41" s="143">
        <v>0.27535211198310966</v>
      </c>
      <c r="AW41" s="141">
        <v>0.27535211198310966</v>
      </c>
      <c r="AX41" s="141">
        <v>0.27535211198310966</v>
      </c>
      <c r="AY41" s="141">
        <v>0.27535211198310966</v>
      </c>
      <c r="AZ41" s="144">
        <v>0.27535211198310966</v>
      </c>
      <c r="BA41" s="2629"/>
      <c r="BB41" s="545" t="s">
        <v>627</v>
      </c>
      <c r="BC41" s="868">
        <v>0</v>
      </c>
      <c r="BD41" s="545" t="s">
        <v>627</v>
      </c>
      <c r="BE41" s="868">
        <v>0</v>
      </c>
      <c r="BF41" s="545" t="s">
        <v>2233</v>
      </c>
      <c r="BG41" s="141">
        <v>0.19078407718937229</v>
      </c>
      <c r="BH41" s="545" t="s">
        <v>2233</v>
      </c>
      <c r="BI41" s="141">
        <v>0</v>
      </c>
      <c r="BJ41" s="545" t="s">
        <v>2233</v>
      </c>
      <c r="BK41" s="141">
        <v>6.4968705955461475E-2</v>
      </c>
      <c r="BL41" s="545" t="s">
        <v>2233</v>
      </c>
      <c r="BM41" s="141">
        <v>2.0342959097553036E-2</v>
      </c>
      <c r="BN41" s="545" t="s">
        <v>2233</v>
      </c>
      <c r="BO41" s="141">
        <v>5.786243740128043E-3</v>
      </c>
      <c r="BP41" s="2629"/>
      <c r="BQ41" s="545" t="s">
        <v>627</v>
      </c>
      <c r="BR41" s="868">
        <v>0</v>
      </c>
      <c r="BS41" s="545" t="s">
        <v>627</v>
      </c>
      <c r="BT41" s="868">
        <v>0</v>
      </c>
      <c r="BU41" s="545" t="s">
        <v>2233</v>
      </c>
      <c r="BV41" s="141">
        <v>0.93182255694233851</v>
      </c>
      <c r="BW41" s="545" t="s">
        <v>2233</v>
      </c>
      <c r="BX41" s="141">
        <v>0</v>
      </c>
      <c r="BY41" s="545" t="s">
        <v>2233</v>
      </c>
      <c r="BZ41" s="141">
        <v>0.31731843975931873</v>
      </c>
      <c r="CA41" s="545" t="s">
        <v>2233</v>
      </c>
      <c r="CB41" s="141">
        <v>9.9358544178922856E-2</v>
      </c>
      <c r="CC41" s="545" t="s">
        <v>2233</v>
      </c>
      <c r="CD41" s="141">
        <v>2.8261019034968304E-2</v>
      </c>
    </row>
    <row r="42" spans="1:82" s="98" customFormat="1" ht="15" customHeight="1">
      <c r="A42" s="99"/>
      <c r="B42" s="161"/>
      <c r="C42" s="162"/>
      <c r="D42" s="162" t="s">
        <v>2703</v>
      </c>
      <c r="E42" s="162"/>
      <c r="F42" s="162"/>
      <c r="G42" s="163"/>
      <c r="H42" s="163"/>
      <c r="I42" s="164" t="s">
        <v>498</v>
      </c>
      <c r="J42" s="143">
        <v>0</v>
      </c>
      <c r="K42" s="141">
        <v>4.216296715023919E-3</v>
      </c>
      <c r="L42" s="141">
        <v>0</v>
      </c>
      <c r="M42" s="141">
        <v>1.136995274543405E-2</v>
      </c>
      <c r="N42" s="141">
        <v>2.7689275259378137E-3</v>
      </c>
      <c r="O42" s="141">
        <v>7.3244986817808111E-2</v>
      </c>
      <c r="P42" s="141">
        <v>0.10684549550751821</v>
      </c>
      <c r="Q42" s="144">
        <v>9.5307324552394532E-2</v>
      </c>
      <c r="R42" s="143">
        <v>9.4668560387996578E-2</v>
      </c>
      <c r="S42" s="141">
        <v>9.419521758605659E-2</v>
      </c>
      <c r="T42" s="141">
        <v>9.3724241498126304E-2</v>
      </c>
      <c r="U42" s="141">
        <v>9.3255620290635666E-2</v>
      </c>
      <c r="V42" s="144">
        <v>9.2789342189182486E-2</v>
      </c>
      <c r="W42" s="2629"/>
      <c r="X42" s="607" t="s">
        <v>498</v>
      </c>
      <c r="Y42" s="143">
        <v>0</v>
      </c>
      <c r="Z42" s="141">
        <v>0</v>
      </c>
      <c r="AA42" s="141">
        <v>0</v>
      </c>
      <c r="AB42" s="141">
        <v>0</v>
      </c>
      <c r="AC42" s="141">
        <v>0</v>
      </c>
      <c r="AD42" s="141">
        <v>0</v>
      </c>
      <c r="AE42" s="141">
        <v>0</v>
      </c>
      <c r="AF42" s="144">
        <v>0</v>
      </c>
      <c r="AG42" s="143">
        <v>0</v>
      </c>
      <c r="AH42" s="141">
        <v>0</v>
      </c>
      <c r="AI42" s="141">
        <v>0</v>
      </c>
      <c r="AJ42" s="141">
        <v>0</v>
      </c>
      <c r="AK42" s="144">
        <v>0</v>
      </c>
      <c r="AL42" s="2629"/>
      <c r="AM42" s="607" t="s">
        <v>2233</v>
      </c>
      <c r="AN42" s="143"/>
      <c r="AO42" s="141">
        <v>2.7E-2</v>
      </c>
      <c r="AP42" s="141">
        <v>0</v>
      </c>
      <c r="AQ42" s="141">
        <v>4.2999999999999997E-2</v>
      </c>
      <c r="AR42" s="141">
        <v>1.6E-2</v>
      </c>
      <c r="AS42" s="141">
        <v>0.40600000000000003</v>
      </c>
      <c r="AT42" s="141">
        <v>0.54267520936882041</v>
      </c>
      <c r="AU42" s="144">
        <v>0.45383266990592463</v>
      </c>
      <c r="AV42" s="143">
        <v>0.45514211322043796</v>
      </c>
      <c r="AW42" s="141">
        <v>0.45514211322043796</v>
      </c>
      <c r="AX42" s="141">
        <v>0.45514211322043796</v>
      </c>
      <c r="AY42" s="141">
        <v>0.45514211322043796</v>
      </c>
      <c r="AZ42" s="144">
        <v>0.45514211322043796</v>
      </c>
      <c r="BA42" s="2629"/>
      <c r="BB42" s="545" t="s">
        <v>627</v>
      </c>
      <c r="BC42" s="868">
        <v>0</v>
      </c>
      <c r="BD42" s="545" t="s">
        <v>627</v>
      </c>
      <c r="BE42" s="868">
        <v>0</v>
      </c>
      <c r="BF42" s="545" t="s">
        <v>2233</v>
      </c>
      <c r="BG42" s="141">
        <v>1.0074556596680051</v>
      </c>
      <c r="BH42" s="545" t="s">
        <v>2233</v>
      </c>
      <c r="BI42" s="141">
        <v>0</v>
      </c>
      <c r="BJ42" s="545" t="s">
        <v>2233</v>
      </c>
      <c r="BK42" s="141">
        <v>0.34307417830874509</v>
      </c>
      <c r="BL42" s="545" t="s">
        <v>2233</v>
      </c>
      <c r="BM42" s="141">
        <v>0.10742316433924182</v>
      </c>
      <c r="BN42" s="545" t="s">
        <v>2233</v>
      </c>
      <c r="BO42" s="141">
        <v>3.0554876958753301E-2</v>
      </c>
      <c r="BP42" s="2629"/>
      <c r="BQ42" s="545" t="s">
        <v>627</v>
      </c>
      <c r="BR42" s="868">
        <v>0</v>
      </c>
      <c r="BS42" s="545" t="s">
        <v>627</v>
      </c>
      <c r="BT42" s="868">
        <v>0</v>
      </c>
      <c r="BU42" s="545" t="s">
        <v>2233</v>
      </c>
      <c r="BV42" s="141">
        <v>1.540252168972734</v>
      </c>
      <c r="BW42" s="545" t="s">
        <v>2233</v>
      </c>
      <c r="BX42" s="141">
        <v>0</v>
      </c>
      <c r="BY42" s="545" t="s">
        <v>2233</v>
      </c>
      <c r="BZ42" s="141">
        <v>0.52451017787990573</v>
      </c>
      <c r="CA42" s="545" t="s">
        <v>2233</v>
      </c>
      <c r="CB42" s="141">
        <v>0.16423428692232134</v>
      </c>
      <c r="CC42" s="545" t="s">
        <v>2233</v>
      </c>
      <c r="CD42" s="141">
        <v>4.6713932327228744E-2</v>
      </c>
    </row>
    <row r="43" spans="1:82" s="98" customFormat="1" ht="15" customHeight="1">
      <c r="A43" s="99"/>
      <c r="B43" s="161"/>
      <c r="C43" s="162"/>
      <c r="D43" s="162" t="s">
        <v>2704</v>
      </c>
      <c r="E43" s="162"/>
      <c r="F43" s="162"/>
      <c r="G43" s="163"/>
      <c r="H43" s="163"/>
      <c r="I43" s="164" t="s">
        <v>498</v>
      </c>
      <c r="J43" s="143">
        <v>0.10890396692477382</v>
      </c>
      <c r="K43" s="141">
        <v>7.2065977424564193E-2</v>
      </c>
      <c r="L43" s="141">
        <v>0.10018152710330049</v>
      </c>
      <c r="M43" s="141">
        <v>0.24337652475840399</v>
      </c>
      <c r="N43" s="141">
        <v>0.45287087410615229</v>
      </c>
      <c r="O43" s="141">
        <v>0.28090198499508157</v>
      </c>
      <c r="P43" s="141">
        <v>0.35559599602175945</v>
      </c>
      <c r="Q43" s="144">
        <v>0.31719543104176151</v>
      </c>
      <c r="R43" s="143">
        <v>0.32174141205490769</v>
      </c>
      <c r="S43" s="141">
        <v>0.32013270499463314</v>
      </c>
      <c r="T43" s="141">
        <v>0.31853204146965997</v>
      </c>
      <c r="U43" s="141">
        <v>0.31693938126231164</v>
      </c>
      <c r="V43" s="144">
        <v>0.31535468435600006</v>
      </c>
      <c r="W43" s="2629"/>
      <c r="X43" s="607" t="s">
        <v>498</v>
      </c>
      <c r="Y43" s="143">
        <v>0</v>
      </c>
      <c r="Z43" s="141">
        <v>0</v>
      </c>
      <c r="AA43" s="141">
        <v>0</v>
      </c>
      <c r="AB43" s="141">
        <v>0</v>
      </c>
      <c r="AC43" s="141">
        <v>0</v>
      </c>
      <c r="AD43" s="141">
        <v>0</v>
      </c>
      <c r="AE43" s="141">
        <v>0</v>
      </c>
      <c r="AF43" s="144">
        <v>0</v>
      </c>
      <c r="AG43" s="143">
        <v>0</v>
      </c>
      <c r="AH43" s="141">
        <v>0</v>
      </c>
      <c r="AI43" s="141">
        <v>0</v>
      </c>
      <c r="AJ43" s="141">
        <v>0</v>
      </c>
      <c r="AK43" s="144">
        <v>0</v>
      </c>
      <c r="AL43" s="2629"/>
      <c r="AM43" s="607" t="s">
        <v>2233</v>
      </c>
      <c r="AN43" s="143">
        <v>0.46500000000000002</v>
      </c>
      <c r="AO43" s="141">
        <v>0.28199999999999997</v>
      </c>
      <c r="AP43" s="141">
        <v>0.29899999999999999</v>
      </c>
      <c r="AQ43" s="141">
        <v>0.72</v>
      </c>
      <c r="AR43" s="141">
        <v>1.3480000000000001</v>
      </c>
      <c r="AS43" s="141">
        <v>0.89</v>
      </c>
      <c r="AT43" s="141">
        <v>1.163044259089294</v>
      </c>
      <c r="AU43" s="144">
        <v>0.91832485633156713</v>
      </c>
      <c r="AV43" s="143">
        <v>0.97161166859651515</v>
      </c>
      <c r="AW43" s="141">
        <v>0.97161166859651515</v>
      </c>
      <c r="AX43" s="141">
        <v>0.97161166859651515</v>
      </c>
      <c r="AY43" s="141">
        <v>0.97161166859651515</v>
      </c>
      <c r="AZ43" s="144">
        <v>0.97161166859651515</v>
      </c>
      <c r="BA43" s="2629"/>
      <c r="BB43" s="545" t="s">
        <v>627</v>
      </c>
      <c r="BC43" s="868">
        <v>0</v>
      </c>
      <c r="BD43" s="545" t="s">
        <v>627</v>
      </c>
      <c r="BE43" s="868">
        <v>0</v>
      </c>
      <c r="BF43" s="545" t="s">
        <v>2233</v>
      </c>
      <c r="BG43" s="141">
        <v>4.1187148834487495</v>
      </c>
      <c r="BH43" s="545" t="s">
        <v>2233</v>
      </c>
      <c r="BI43" s="141">
        <v>0</v>
      </c>
      <c r="BJ43" s="545" t="s">
        <v>2233</v>
      </c>
      <c r="BK43" s="141">
        <v>1.4025676572136423</v>
      </c>
      <c r="BL43" s="545" t="s">
        <v>2233</v>
      </c>
      <c r="BM43" s="141">
        <v>0.43917107571463621</v>
      </c>
      <c r="BN43" s="545" t="s">
        <v>2233</v>
      </c>
      <c r="BO43" s="141">
        <v>0.12491549904383265</v>
      </c>
      <c r="BP43" s="2629"/>
      <c r="BQ43" s="545" t="s">
        <v>627</v>
      </c>
      <c r="BR43" s="868">
        <v>0</v>
      </c>
      <c r="BS43" s="545" t="s">
        <v>627</v>
      </c>
      <c r="BT43" s="868">
        <v>0</v>
      </c>
      <c r="BU43" s="545" t="s">
        <v>2233</v>
      </c>
      <c r="BV43" s="141">
        <v>3.2880433088603032</v>
      </c>
      <c r="BW43" s="545" t="s">
        <v>2233</v>
      </c>
      <c r="BX43" s="141">
        <v>0</v>
      </c>
      <c r="BY43" s="545" t="s">
        <v>2233</v>
      </c>
      <c r="BZ43" s="141">
        <v>1.1196946938613148</v>
      </c>
      <c r="CA43" s="545" t="s">
        <v>2233</v>
      </c>
      <c r="CB43" s="141">
        <v>0.35059807678150479</v>
      </c>
      <c r="CC43" s="545" t="s">
        <v>2233</v>
      </c>
      <c r="CD43" s="141">
        <v>9.9722263479452705E-2</v>
      </c>
    </row>
    <row r="44" spans="1:82" s="98" customFormat="1" ht="15" customHeight="1">
      <c r="A44" s="99"/>
      <c r="B44" s="161"/>
      <c r="C44" s="162"/>
      <c r="D44" s="162" t="s">
        <v>2705</v>
      </c>
      <c r="E44" s="162"/>
      <c r="F44" s="162"/>
      <c r="G44" s="163"/>
      <c r="H44" s="163"/>
      <c r="I44" s="164" t="s">
        <v>498</v>
      </c>
      <c r="J44" s="143">
        <v>0.72140384853294648</v>
      </c>
      <c r="K44" s="141">
        <v>0.35936990752081904</v>
      </c>
      <c r="L44" s="141">
        <v>8.4732311199347987E-2</v>
      </c>
      <c r="M44" s="141">
        <v>0.16483710889780862</v>
      </c>
      <c r="N44" s="141">
        <v>1.3500853129002111</v>
      </c>
      <c r="O44" s="141">
        <v>1.7456373629725006</v>
      </c>
      <c r="P44" s="141">
        <v>0.46428563000271539</v>
      </c>
      <c r="Q44" s="144">
        <v>0.41414774683288469</v>
      </c>
      <c r="R44" s="143">
        <v>0.41982991787972129</v>
      </c>
      <c r="S44" s="141">
        <v>0.41773076829032268</v>
      </c>
      <c r="T44" s="141">
        <v>0.41564211444887106</v>
      </c>
      <c r="U44" s="141">
        <v>0.41356390387662673</v>
      </c>
      <c r="V44" s="144">
        <v>0.41149608435724361</v>
      </c>
      <c r="W44" s="2629"/>
      <c r="X44" s="607" t="s">
        <v>498</v>
      </c>
      <c r="Y44" s="143">
        <v>0</v>
      </c>
      <c r="Z44" s="141">
        <v>0</v>
      </c>
      <c r="AA44" s="141">
        <v>0</v>
      </c>
      <c r="AB44" s="141">
        <v>0</v>
      </c>
      <c r="AC44" s="141">
        <v>0</v>
      </c>
      <c r="AD44" s="141">
        <v>0</v>
      </c>
      <c r="AE44" s="141">
        <v>0</v>
      </c>
      <c r="AF44" s="144">
        <v>0</v>
      </c>
      <c r="AG44" s="143">
        <v>0</v>
      </c>
      <c r="AH44" s="141">
        <v>0</v>
      </c>
      <c r="AI44" s="141">
        <v>0</v>
      </c>
      <c r="AJ44" s="141">
        <v>0</v>
      </c>
      <c r="AK44" s="144">
        <v>0</v>
      </c>
      <c r="AL44" s="2629"/>
      <c r="AM44" s="607" t="s">
        <v>2233</v>
      </c>
      <c r="AN44" s="143">
        <v>2.4340000000000002</v>
      </c>
      <c r="AO44" s="141">
        <v>1.0569999999999999</v>
      </c>
      <c r="AP44" s="141">
        <v>0.219</v>
      </c>
      <c r="AQ44" s="141">
        <v>0.33600000000000002</v>
      </c>
      <c r="AR44" s="141">
        <v>2.8050000000000002</v>
      </c>
      <c r="AS44" s="141">
        <v>3.3410000000000002</v>
      </c>
      <c r="AT44" s="141">
        <v>1.1127221266633831</v>
      </c>
      <c r="AU44" s="144">
        <v>0.83015010467800776</v>
      </c>
      <c r="AV44" s="143">
        <v>0.92724638559829942</v>
      </c>
      <c r="AW44" s="141">
        <v>0.92724638559829942</v>
      </c>
      <c r="AX44" s="141">
        <v>0.92724638559829942</v>
      </c>
      <c r="AY44" s="141">
        <v>0.92724638559829942</v>
      </c>
      <c r="AZ44" s="144">
        <v>0.92724638559829942</v>
      </c>
      <c r="BA44" s="2629"/>
      <c r="BB44" s="545" t="s">
        <v>627</v>
      </c>
      <c r="BC44" s="868">
        <v>0</v>
      </c>
      <c r="BD44" s="545" t="s">
        <v>627</v>
      </c>
      <c r="BE44" s="868">
        <v>0</v>
      </c>
      <c r="BF44" s="545" t="s">
        <v>2233</v>
      </c>
      <c r="BG44" s="141">
        <v>8.2131548505941598</v>
      </c>
      <c r="BH44" s="545" t="s">
        <v>2233</v>
      </c>
      <c r="BI44" s="141">
        <v>0</v>
      </c>
      <c r="BJ44" s="545" t="s">
        <v>2233</v>
      </c>
      <c r="BK44" s="141">
        <v>2.7968688494128084</v>
      </c>
      <c r="BL44" s="545" t="s">
        <v>2233</v>
      </c>
      <c r="BM44" s="141">
        <v>0.87575376126207205</v>
      </c>
      <c r="BN44" s="545" t="s">
        <v>2233</v>
      </c>
      <c r="BO44" s="141">
        <v>0.24909477007235292</v>
      </c>
      <c r="BP44" s="2629"/>
      <c r="BQ44" s="545" t="s">
        <v>627</v>
      </c>
      <c r="BR44" s="868">
        <v>0</v>
      </c>
      <c r="BS44" s="545" t="s">
        <v>627</v>
      </c>
      <c r="BT44" s="868">
        <v>0</v>
      </c>
      <c r="BU44" s="545" t="s">
        <v>2233</v>
      </c>
      <c r="BV44" s="141">
        <v>3.1379061948024907</v>
      </c>
      <c r="BW44" s="545" t="s">
        <v>2233</v>
      </c>
      <c r="BX44" s="141">
        <v>0</v>
      </c>
      <c r="BY44" s="545" t="s">
        <v>2233</v>
      </c>
      <c r="BZ44" s="141">
        <v>1.0685677121974226</v>
      </c>
      <c r="CA44" s="545" t="s">
        <v>2233</v>
      </c>
      <c r="CB44" s="141">
        <v>0.33458922942224062</v>
      </c>
      <c r="CC44" s="545" t="s">
        <v>2233</v>
      </c>
      <c r="CD44" s="141">
        <v>9.5168791569343533E-2</v>
      </c>
    </row>
    <row r="45" spans="1:82" s="98" customFormat="1" ht="15" customHeight="1">
      <c r="A45" s="99"/>
      <c r="B45" s="161"/>
      <c r="C45" s="162"/>
      <c r="D45" s="162" t="s">
        <v>2706</v>
      </c>
      <c r="E45" s="162"/>
      <c r="F45" s="162"/>
      <c r="G45" s="163"/>
      <c r="H45" s="163"/>
      <c r="I45" s="164" t="s">
        <v>498</v>
      </c>
      <c r="J45" s="143">
        <v>0</v>
      </c>
      <c r="K45" s="141">
        <v>0</v>
      </c>
      <c r="L45" s="141">
        <v>0</v>
      </c>
      <c r="M45" s="141">
        <v>0.16667651247864643</v>
      </c>
      <c r="N45" s="141">
        <v>0</v>
      </c>
      <c r="O45" s="141">
        <v>0</v>
      </c>
      <c r="P45" s="141">
        <v>0.38546914620691325</v>
      </c>
      <c r="Q45" s="144">
        <v>0.34384260045751402</v>
      </c>
      <c r="R45" s="143">
        <v>0.19829902005639155</v>
      </c>
      <c r="S45" s="141">
        <v>0.19730752495610959</v>
      </c>
      <c r="T45" s="141">
        <v>0.19632098733132905</v>
      </c>
      <c r="U45" s="141">
        <v>0.19533938239467241</v>
      </c>
      <c r="V45" s="144">
        <v>0.19436268548269905</v>
      </c>
      <c r="W45" s="2629"/>
      <c r="X45" s="607" t="s">
        <v>498</v>
      </c>
      <c r="Y45" s="143">
        <v>0</v>
      </c>
      <c r="Z45" s="141">
        <v>0</v>
      </c>
      <c r="AA45" s="141">
        <v>0</v>
      </c>
      <c r="AB45" s="141">
        <v>0</v>
      </c>
      <c r="AC45" s="141">
        <v>0</v>
      </c>
      <c r="AD45" s="141">
        <v>0</v>
      </c>
      <c r="AE45" s="141">
        <v>0</v>
      </c>
      <c r="AF45" s="144">
        <v>0</v>
      </c>
      <c r="AG45" s="143">
        <v>0</v>
      </c>
      <c r="AH45" s="141">
        <v>0</v>
      </c>
      <c r="AI45" s="141">
        <v>0</v>
      </c>
      <c r="AJ45" s="141">
        <v>0</v>
      </c>
      <c r="AK45" s="144">
        <v>0</v>
      </c>
      <c r="AL45" s="2629"/>
      <c r="AM45" s="607" t="s">
        <v>2233</v>
      </c>
      <c r="AN45" s="143">
        <v>0.751</v>
      </c>
      <c r="AO45" s="141">
        <v>0</v>
      </c>
      <c r="AP45" s="141">
        <v>0</v>
      </c>
      <c r="AQ45" s="141">
        <v>0.13600000000000001</v>
      </c>
      <c r="AR45" s="141">
        <v>0</v>
      </c>
      <c r="AS45" s="141"/>
      <c r="AT45" s="141">
        <v>0.53438138750408537</v>
      </c>
      <c r="AU45" s="144">
        <v>0.37263360509791238</v>
      </c>
      <c r="AV45" s="143">
        <v>0.26497165033011455</v>
      </c>
      <c r="AW45" s="141">
        <v>0.26497165033011455</v>
      </c>
      <c r="AX45" s="141">
        <v>0.26497165033011455</v>
      </c>
      <c r="AY45" s="141">
        <v>0.26497165033011455</v>
      </c>
      <c r="AZ45" s="144">
        <v>0.26497165033011455</v>
      </c>
      <c r="BA45" s="2629"/>
      <c r="BB45" s="545" t="s">
        <v>627</v>
      </c>
      <c r="BC45" s="868">
        <v>0</v>
      </c>
      <c r="BD45" s="545" t="s">
        <v>627</v>
      </c>
      <c r="BE45" s="868">
        <v>0</v>
      </c>
      <c r="BF45" s="545" t="s">
        <v>2233</v>
      </c>
      <c r="BG45" s="141">
        <v>1.214229755173861</v>
      </c>
      <c r="BH45" s="545" t="s">
        <v>2233</v>
      </c>
      <c r="BI45" s="141">
        <v>0</v>
      </c>
      <c r="BJ45" s="545" t="s">
        <v>2233</v>
      </c>
      <c r="BK45" s="141">
        <v>0.41348804936147465</v>
      </c>
      <c r="BL45" s="545" t="s">
        <v>2233</v>
      </c>
      <c r="BM45" s="141">
        <v>0.12947111000262065</v>
      </c>
      <c r="BN45" s="545" t="s">
        <v>2233</v>
      </c>
      <c r="BO45" s="141">
        <v>3.682607806404159E-2</v>
      </c>
      <c r="BP45" s="2629"/>
      <c r="BQ45" s="545" t="s">
        <v>627</v>
      </c>
      <c r="BR45" s="868">
        <v>0</v>
      </c>
      <c r="BS45" s="545" t="s">
        <v>627</v>
      </c>
      <c r="BT45" s="868">
        <v>0</v>
      </c>
      <c r="BU45" s="545" t="s">
        <v>2233</v>
      </c>
      <c r="BV45" s="141">
        <v>0.89669390566717</v>
      </c>
      <c r="BW45" s="545" t="s">
        <v>2233</v>
      </c>
      <c r="BX45" s="141">
        <v>0</v>
      </c>
      <c r="BY45" s="545" t="s">
        <v>2233</v>
      </c>
      <c r="BZ45" s="141">
        <v>0.30535589524863088</v>
      </c>
      <c r="CA45" s="545" t="s">
        <v>2233</v>
      </c>
      <c r="CB45" s="141">
        <v>9.561283999558251E-2</v>
      </c>
      <c r="CC45" s="545" t="s">
        <v>2233</v>
      </c>
      <c r="CD45" s="141">
        <v>2.7195610739189375E-2</v>
      </c>
    </row>
    <row r="46" spans="1:82" s="98" customFormat="1" ht="15" customHeight="1">
      <c r="A46" s="99"/>
      <c r="B46" s="161"/>
      <c r="C46" s="162"/>
      <c r="D46" s="162" t="s">
        <v>2707</v>
      </c>
      <c r="E46" s="162"/>
      <c r="F46" s="162"/>
      <c r="G46" s="163"/>
      <c r="H46" s="163"/>
      <c r="I46" s="164" t="s">
        <v>498</v>
      </c>
      <c r="J46" s="143">
        <v>0</v>
      </c>
      <c r="K46" s="141">
        <v>0</v>
      </c>
      <c r="L46" s="141">
        <v>0</v>
      </c>
      <c r="M46" s="141">
        <v>0</v>
      </c>
      <c r="N46" s="141">
        <v>0</v>
      </c>
      <c r="O46" s="141">
        <v>0</v>
      </c>
      <c r="P46" s="141">
        <v>4.682622854944693E-2</v>
      </c>
      <c r="Q46" s="144">
        <v>4.1769496605616942E-2</v>
      </c>
      <c r="R46" s="143">
        <v>0</v>
      </c>
      <c r="S46" s="141">
        <v>0</v>
      </c>
      <c r="T46" s="141">
        <v>0</v>
      </c>
      <c r="U46" s="141">
        <v>0</v>
      </c>
      <c r="V46" s="144">
        <v>0</v>
      </c>
      <c r="W46" s="2629"/>
      <c r="X46" s="607" t="s">
        <v>498</v>
      </c>
      <c r="Y46" s="143">
        <v>0</v>
      </c>
      <c r="Z46" s="141">
        <v>0</v>
      </c>
      <c r="AA46" s="141">
        <v>0</v>
      </c>
      <c r="AB46" s="141">
        <v>0</v>
      </c>
      <c r="AC46" s="141">
        <v>0</v>
      </c>
      <c r="AD46" s="141">
        <v>0</v>
      </c>
      <c r="AE46" s="141">
        <v>0</v>
      </c>
      <c r="AF46" s="144">
        <v>0</v>
      </c>
      <c r="AG46" s="143">
        <v>0</v>
      </c>
      <c r="AH46" s="141">
        <v>0</v>
      </c>
      <c r="AI46" s="141">
        <v>0</v>
      </c>
      <c r="AJ46" s="141">
        <v>0</v>
      </c>
      <c r="AK46" s="144">
        <v>0</v>
      </c>
      <c r="AL46" s="2629"/>
      <c r="AM46" s="607" t="s">
        <v>2233</v>
      </c>
      <c r="AN46" s="143"/>
      <c r="AO46" s="141">
        <v>0</v>
      </c>
      <c r="AP46" s="141">
        <v>0</v>
      </c>
      <c r="AQ46" s="141"/>
      <c r="AR46" s="141">
        <v>0</v>
      </c>
      <c r="AS46" s="141"/>
      <c r="AT46" s="141">
        <v>5.2965911306497845E-2</v>
      </c>
      <c r="AU46" s="144">
        <v>3.4719839121372338E-2</v>
      </c>
      <c r="AV46" s="143">
        <v>0</v>
      </c>
      <c r="AW46" s="141">
        <v>0</v>
      </c>
      <c r="AX46" s="141">
        <v>0</v>
      </c>
      <c r="AY46" s="141">
        <v>0</v>
      </c>
      <c r="AZ46" s="144">
        <v>0</v>
      </c>
      <c r="BA46" s="2629"/>
      <c r="BB46" s="545" t="s">
        <v>627</v>
      </c>
      <c r="BC46" s="868">
        <v>0</v>
      </c>
      <c r="BD46" s="545" t="s">
        <v>627</v>
      </c>
      <c r="BE46" s="868">
        <v>0</v>
      </c>
      <c r="BF46" s="545" t="s">
        <v>2233</v>
      </c>
      <c r="BG46" s="141">
        <v>5.9347690913021042E-2</v>
      </c>
      <c r="BH46" s="545" t="s">
        <v>2233</v>
      </c>
      <c r="BI46" s="141">
        <v>0</v>
      </c>
      <c r="BJ46" s="545" t="s">
        <v>2233</v>
      </c>
      <c r="BK46" s="141">
        <v>2.020998155017133E-2</v>
      </c>
      <c r="BL46" s="545" t="s">
        <v>2233</v>
      </c>
      <c r="BM46" s="141">
        <v>6.328136323344391E-3</v>
      </c>
      <c r="BN46" s="545" t="s">
        <v>2233</v>
      </c>
      <c r="BO46" s="141">
        <v>1.7999416413334267E-3</v>
      </c>
      <c r="BP46" s="2629"/>
      <c r="BQ46" s="545" t="s">
        <v>627</v>
      </c>
      <c r="BR46" s="868">
        <v>0</v>
      </c>
      <c r="BS46" s="545" t="s">
        <v>627</v>
      </c>
      <c r="BT46" s="868">
        <v>0</v>
      </c>
      <c r="BU46" s="545" t="s">
        <v>2233</v>
      </c>
      <c r="BV46" s="141">
        <v>0</v>
      </c>
      <c r="BW46" s="545" t="s">
        <v>2233</v>
      </c>
      <c r="BX46" s="141">
        <v>0</v>
      </c>
      <c r="BY46" s="545" t="s">
        <v>2233</v>
      </c>
      <c r="BZ46" s="141">
        <v>0</v>
      </c>
      <c r="CA46" s="545" t="s">
        <v>2233</v>
      </c>
      <c r="CB46" s="141">
        <v>0</v>
      </c>
      <c r="CC46" s="545" t="s">
        <v>2233</v>
      </c>
      <c r="CD46" s="141">
        <v>0</v>
      </c>
    </row>
    <row r="47" spans="1:82" s="98" customFormat="1" ht="15" customHeight="1">
      <c r="A47" s="99"/>
      <c r="B47" s="161"/>
      <c r="C47" s="162"/>
      <c r="D47" s="162" t="s">
        <v>2708</v>
      </c>
      <c r="E47" s="162"/>
      <c r="F47" s="162"/>
      <c r="G47" s="163"/>
      <c r="H47" s="163"/>
      <c r="I47" s="164" t="s">
        <v>498</v>
      </c>
      <c r="J47" s="143">
        <v>0</v>
      </c>
      <c r="K47" s="141">
        <v>0</v>
      </c>
      <c r="L47" s="141">
        <v>0</v>
      </c>
      <c r="M47" s="141">
        <v>0</v>
      </c>
      <c r="N47" s="141">
        <v>0</v>
      </c>
      <c r="O47" s="141">
        <v>0</v>
      </c>
      <c r="P47" s="141">
        <v>0</v>
      </c>
      <c r="Q47" s="144">
        <v>0</v>
      </c>
      <c r="R47" s="143">
        <v>0</v>
      </c>
      <c r="S47" s="141">
        <v>0</v>
      </c>
      <c r="T47" s="141">
        <v>0</v>
      </c>
      <c r="U47" s="141">
        <v>0</v>
      </c>
      <c r="V47" s="144">
        <v>0</v>
      </c>
      <c r="W47" s="2629"/>
      <c r="X47" s="607" t="s">
        <v>498</v>
      </c>
      <c r="Y47" s="143">
        <v>0</v>
      </c>
      <c r="Z47" s="141">
        <v>0</v>
      </c>
      <c r="AA47" s="141">
        <v>0</v>
      </c>
      <c r="AB47" s="141">
        <v>0</v>
      </c>
      <c r="AC47" s="141">
        <v>0</v>
      </c>
      <c r="AD47" s="141">
        <v>0</v>
      </c>
      <c r="AE47" s="141">
        <v>0</v>
      </c>
      <c r="AF47" s="144">
        <v>0</v>
      </c>
      <c r="AG47" s="143">
        <v>0</v>
      </c>
      <c r="AH47" s="141">
        <v>0</v>
      </c>
      <c r="AI47" s="141">
        <v>0</v>
      </c>
      <c r="AJ47" s="141">
        <v>0</v>
      </c>
      <c r="AK47" s="144">
        <v>0</v>
      </c>
      <c r="AL47" s="2629"/>
      <c r="AM47" s="607" t="s">
        <v>2233</v>
      </c>
      <c r="AN47" s="143"/>
      <c r="AO47" s="141"/>
      <c r="AP47" s="141"/>
      <c r="AQ47" s="141"/>
      <c r="AR47" s="141">
        <v>0</v>
      </c>
      <c r="AS47" s="141"/>
      <c r="AT47" s="141">
        <v>0</v>
      </c>
      <c r="AU47" s="144">
        <v>0</v>
      </c>
      <c r="AV47" s="143">
        <v>0</v>
      </c>
      <c r="AW47" s="141">
        <v>0</v>
      </c>
      <c r="AX47" s="141">
        <v>0</v>
      </c>
      <c r="AY47" s="141">
        <v>0</v>
      </c>
      <c r="AZ47" s="144">
        <v>0</v>
      </c>
      <c r="BA47" s="2629"/>
      <c r="BB47" s="545" t="s">
        <v>627</v>
      </c>
      <c r="BC47" s="868">
        <v>0</v>
      </c>
      <c r="BD47" s="545" t="s">
        <v>627</v>
      </c>
      <c r="BE47" s="868">
        <v>0</v>
      </c>
      <c r="BF47" s="545" t="s">
        <v>2233</v>
      </c>
      <c r="BG47" s="141">
        <v>0</v>
      </c>
      <c r="BH47" s="545" t="s">
        <v>2233</v>
      </c>
      <c r="BI47" s="141">
        <v>0</v>
      </c>
      <c r="BJ47" s="545" t="s">
        <v>2233</v>
      </c>
      <c r="BK47" s="141">
        <v>0</v>
      </c>
      <c r="BL47" s="545" t="s">
        <v>2233</v>
      </c>
      <c r="BM47" s="141">
        <v>0</v>
      </c>
      <c r="BN47" s="545" t="s">
        <v>2233</v>
      </c>
      <c r="BO47" s="141">
        <v>0</v>
      </c>
      <c r="BP47" s="2629"/>
      <c r="BQ47" s="545" t="s">
        <v>627</v>
      </c>
      <c r="BR47" s="868">
        <v>0</v>
      </c>
      <c r="BS47" s="545" t="s">
        <v>627</v>
      </c>
      <c r="BT47" s="868">
        <v>0</v>
      </c>
      <c r="BU47" s="545" t="s">
        <v>2233</v>
      </c>
      <c r="BV47" s="141">
        <v>0</v>
      </c>
      <c r="BW47" s="545" t="s">
        <v>2233</v>
      </c>
      <c r="BX47" s="141">
        <v>0</v>
      </c>
      <c r="BY47" s="545" t="s">
        <v>2233</v>
      </c>
      <c r="BZ47" s="141">
        <v>0</v>
      </c>
      <c r="CA47" s="545" t="s">
        <v>2233</v>
      </c>
      <c r="CB47" s="141">
        <v>0</v>
      </c>
      <c r="CC47" s="545" t="s">
        <v>2233</v>
      </c>
      <c r="CD47" s="141">
        <v>0</v>
      </c>
    </row>
    <row r="48" spans="1:82" s="98" customFormat="1" ht="15" customHeight="1">
      <c r="A48" s="99"/>
      <c r="B48" s="161"/>
      <c r="C48" s="162" t="s">
        <v>1710</v>
      </c>
      <c r="D48" s="162"/>
      <c r="E48" s="162"/>
      <c r="F48" s="162"/>
      <c r="G48" s="163"/>
      <c r="H48" s="163"/>
      <c r="I48" s="164" t="s">
        <v>498</v>
      </c>
      <c r="J48" s="641">
        <f>SUM(J40:J47)</f>
        <v>0.83365680892887495</v>
      </c>
      <c r="K48" s="642">
        <f t="shared" ref="K48:V48" si="34">SUM(K40:K47)</f>
        <v>0.4370130327679681</v>
      </c>
      <c r="L48" s="642">
        <f t="shared" si="34"/>
        <v>0.18491383830264846</v>
      </c>
      <c r="M48" s="642">
        <f t="shared" si="34"/>
        <v>0.58626009888029307</v>
      </c>
      <c r="N48" s="642">
        <f t="shared" si="34"/>
        <v>1.8057251145323012</v>
      </c>
      <c r="O48" s="642">
        <f t="shared" si="34"/>
        <v>2.0997843347853902</v>
      </c>
      <c r="P48" s="642">
        <f t="shared" si="34"/>
        <v>1.3955876565554715</v>
      </c>
      <c r="Q48" s="643">
        <f t="shared" si="34"/>
        <v>1.2448791134605086</v>
      </c>
      <c r="R48" s="641">
        <f t="shared" si="34"/>
        <v>1.0822200218586095</v>
      </c>
      <c r="S48" s="642">
        <f t="shared" si="34"/>
        <v>1.0768089217493164</v>
      </c>
      <c r="T48" s="642">
        <f t="shared" si="34"/>
        <v>1.0714248771405697</v>
      </c>
      <c r="U48" s="642">
        <f t="shared" si="34"/>
        <v>1.0660677527548668</v>
      </c>
      <c r="V48" s="643">
        <f t="shared" si="34"/>
        <v>1.0607374139910926</v>
      </c>
      <c r="W48" s="2629"/>
      <c r="X48" s="607" t="s">
        <v>498</v>
      </c>
      <c r="Y48" s="641">
        <f>SUM(Y40:Y47)</f>
        <v>0</v>
      </c>
      <c r="Z48" s="642">
        <f t="shared" ref="Z48:AK48" si="35">SUM(Z40:Z47)</f>
        <v>0</v>
      </c>
      <c r="AA48" s="642">
        <f t="shared" si="35"/>
        <v>0</v>
      </c>
      <c r="AB48" s="642">
        <f t="shared" si="35"/>
        <v>0</v>
      </c>
      <c r="AC48" s="642">
        <f t="shared" si="35"/>
        <v>0</v>
      </c>
      <c r="AD48" s="642">
        <f t="shared" si="35"/>
        <v>0</v>
      </c>
      <c r="AE48" s="642">
        <f t="shared" si="35"/>
        <v>0</v>
      </c>
      <c r="AF48" s="643">
        <f t="shared" si="35"/>
        <v>0</v>
      </c>
      <c r="AG48" s="641">
        <f t="shared" si="35"/>
        <v>0</v>
      </c>
      <c r="AH48" s="642">
        <f t="shared" si="35"/>
        <v>0</v>
      </c>
      <c r="AI48" s="642">
        <f t="shared" si="35"/>
        <v>0</v>
      </c>
      <c r="AJ48" s="642">
        <f t="shared" si="35"/>
        <v>0</v>
      </c>
      <c r="AK48" s="643">
        <f t="shared" si="35"/>
        <v>0</v>
      </c>
      <c r="AL48" s="2629"/>
      <c r="AM48" s="607" t="s">
        <v>2233</v>
      </c>
      <c r="AN48" s="641">
        <f>SUM(AN40:AN47)</f>
        <v>3.6850000000000001</v>
      </c>
      <c r="AO48" s="642">
        <f t="shared" ref="AO48:AZ48" si="36">SUM(AO40:AO47)</f>
        <v>1.3809999999999998</v>
      </c>
      <c r="AP48" s="642">
        <f t="shared" si="36"/>
        <v>0.51800000000000002</v>
      </c>
      <c r="AQ48" s="642">
        <f t="shared" si="36"/>
        <v>1.2349999999999999</v>
      </c>
      <c r="AR48" s="642">
        <f t="shared" si="36"/>
        <v>4.1690000000000005</v>
      </c>
      <c r="AS48" s="642">
        <f t="shared" si="36"/>
        <v>4.6370000000000005</v>
      </c>
      <c r="AT48" s="642">
        <f t="shared" si="36"/>
        <v>3.6589964985614922</v>
      </c>
      <c r="AU48" s="643">
        <f t="shared" si="36"/>
        <v>2.7998351556599199</v>
      </c>
      <c r="AV48" s="641">
        <f t="shared" si="36"/>
        <v>2.9244838584406576</v>
      </c>
      <c r="AW48" s="642">
        <f t="shared" si="36"/>
        <v>2.9244838584406576</v>
      </c>
      <c r="AX48" s="642">
        <f t="shared" si="36"/>
        <v>2.9244838584406576</v>
      </c>
      <c r="AY48" s="642">
        <f t="shared" si="36"/>
        <v>2.9244838584406576</v>
      </c>
      <c r="AZ48" s="643">
        <f t="shared" si="36"/>
        <v>2.9244838584406576</v>
      </c>
      <c r="BA48" s="2629"/>
      <c r="BB48" s="542"/>
      <c r="BC48" s="542"/>
      <c r="BD48" s="542"/>
      <c r="BE48" s="542"/>
      <c r="BF48" s="545" t="s">
        <v>2233</v>
      </c>
      <c r="BG48" s="642">
        <f>SUM(BG40:BG47)</f>
        <v>14.946834677180931</v>
      </c>
      <c r="BH48" s="545" t="s">
        <v>2233</v>
      </c>
      <c r="BI48" s="642">
        <f>SUM(BI40:BI47)</f>
        <v>0</v>
      </c>
      <c r="BJ48" s="545" t="s">
        <v>2233</v>
      </c>
      <c r="BK48" s="642">
        <f>SUM(BK40:BK47)</f>
        <v>5.0899242820079387</v>
      </c>
      <c r="BL48" s="545" t="s">
        <v>2233</v>
      </c>
      <c r="BM48" s="642">
        <f>SUM(BM40:BM47)</f>
        <v>1.593753792010463</v>
      </c>
      <c r="BN48" s="545" t="s">
        <v>2233</v>
      </c>
      <c r="BO48" s="642">
        <f>SUM(BO40:BO47)</f>
        <v>0.45331890302208427</v>
      </c>
      <c r="BP48" s="2629"/>
      <c r="BQ48" s="542"/>
      <c r="BR48" s="542"/>
      <c r="BS48" s="542"/>
      <c r="BT48" s="542"/>
      <c r="BU48" s="545" t="s">
        <v>2233</v>
      </c>
      <c r="BV48" s="642">
        <f>SUM(BV40:BV47)</f>
        <v>9.8967827306003358</v>
      </c>
      <c r="BW48" s="545" t="s">
        <v>2233</v>
      </c>
      <c r="BX48" s="642">
        <f>SUM(BX40:BX47)</f>
        <v>0</v>
      </c>
      <c r="BY48" s="545" t="s">
        <v>2233</v>
      </c>
      <c r="BZ48" s="642">
        <f>SUM(BZ40:BZ47)</f>
        <v>3.3702035127975543</v>
      </c>
      <c r="CA48" s="545" t="s">
        <v>2233</v>
      </c>
      <c r="CB48" s="642">
        <f>SUM(CB40:CB47)</f>
        <v>1.0552759394387603</v>
      </c>
      <c r="CC48" s="545" t="s">
        <v>2233</v>
      </c>
      <c r="CD48" s="642">
        <f>SUM(CD40:CD47)</f>
        <v>0.30015710936663786</v>
      </c>
    </row>
    <row r="49" spans="1:82" s="98" customFormat="1" ht="15" customHeight="1">
      <c r="A49" s="99"/>
      <c r="B49" s="123"/>
      <c r="C49" s="127"/>
      <c r="D49" s="127"/>
      <c r="E49" s="127"/>
      <c r="F49" s="127"/>
      <c r="G49" s="117"/>
      <c r="H49" s="117"/>
      <c r="I49" s="117"/>
      <c r="J49" s="159"/>
      <c r="K49" s="94"/>
      <c r="L49" s="94"/>
      <c r="M49" s="94"/>
      <c r="N49" s="94"/>
      <c r="O49" s="94"/>
      <c r="P49" s="94"/>
      <c r="Q49" s="160"/>
      <c r="R49" s="159"/>
      <c r="S49" s="94"/>
      <c r="T49" s="94"/>
      <c r="U49" s="94"/>
      <c r="V49" s="160"/>
      <c r="W49" s="2629"/>
      <c r="X49" s="94"/>
      <c r="Y49" s="159"/>
      <c r="Z49" s="94"/>
      <c r="AA49" s="94"/>
      <c r="AB49" s="94"/>
      <c r="AC49" s="94"/>
      <c r="AD49" s="94"/>
      <c r="AE49" s="94"/>
      <c r="AF49" s="160"/>
      <c r="AG49" s="159"/>
      <c r="AH49" s="94"/>
      <c r="AI49" s="94"/>
      <c r="AJ49" s="94"/>
      <c r="AK49" s="160"/>
      <c r="AL49" s="2629"/>
      <c r="AM49" s="94"/>
      <c r="AN49" s="159"/>
      <c r="AO49" s="94"/>
      <c r="AP49" s="94"/>
      <c r="AQ49" s="94"/>
      <c r="AR49" s="94"/>
      <c r="AS49" s="94"/>
      <c r="AT49" s="94"/>
      <c r="AU49" s="160"/>
      <c r="AV49" s="159"/>
      <c r="AW49" s="94"/>
      <c r="AX49" s="94"/>
      <c r="AY49" s="94"/>
      <c r="AZ49" s="160"/>
      <c r="BA49" s="2629"/>
      <c r="BB49" s="542"/>
      <c r="BC49" s="542"/>
      <c r="BD49" s="542"/>
      <c r="BE49" s="542"/>
      <c r="BF49" s="542"/>
      <c r="BG49" s="542"/>
      <c r="BH49" s="542"/>
      <c r="BI49" s="542"/>
      <c r="BJ49" s="542"/>
      <c r="BK49" s="542"/>
      <c r="BL49" s="542"/>
      <c r="BM49" s="542"/>
      <c r="BN49" s="542"/>
      <c r="BO49" s="542"/>
      <c r="BP49" s="2629"/>
      <c r="BQ49" s="542"/>
      <c r="BR49" s="542"/>
      <c r="BS49" s="542"/>
      <c r="BT49" s="542"/>
      <c r="BU49" s="542"/>
      <c r="BV49" s="542"/>
      <c r="BW49" s="542"/>
      <c r="BX49" s="542"/>
      <c r="BY49" s="542"/>
      <c r="BZ49" s="542"/>
      <c r="CA49" s="542"/>
      <c r="CB49" s="542"/>
      <c r="CC49" s="542"/>
      <c r="CD49" s="542"/>
    </row>
    <row r="50" spans="1:82" s="98" customFormat="1" ht="15" customHeight="1">
      <c r="A50" s="99"/>
      <c r="B50" s="161"/>
      <c r="C50" s="116" t="s">
        <v>2709</v>
      </c>
      <c r="D50" s="116"/>
      <c r="E50" s="116"/>
      <c r="F50" s="116"/>
      <c r="G50" s="117"/>
      <c r="H50" s="117"/>
      <c r="I50" s="117"/>
      <c r="J50" s="159"/>
      <c r="K50" s="94"/>
      <c r="L50" s="94"/>
      <c r="M50" s="94"/>
      <c r="N50" s="94"/>
      <c r="O50" s="94"/>
      <c r="P50" s="94"/>
      <c r="Q50" s="160"/>
      <c r="R50" s="159"/>
      <c r="S50" s="94"/>
      <c r="T50" s="94"/>
      <c r="U50" s="94"/>
      <c r="V50" s="160"/>
      <c r="W50" s="2629"/>
      <c r="X50" s="94"/>
      <c r="Y50" s="159"/>
      <c r="Z50" s="94"/>
      <c r="AA50" s="94"/>
      <c r="AB50" s="94"/>
      <c r="AC50" s="94"/>
      <c r="AD50" s="94"/>
      <c r="AE50" s="94"/>
      <c r="AF50" s="160"/>
      <c r="AG50" s="159"/>
      <c r="AH50" s="94"/>
      <c r="AI50" s="94"/>
      <c r="AJ50" s="94"/>
      <c r="AK50" s="160"/>
      <c r="AL50" s="2629"/>
      <c r="AM50" s="94"/>
      <c r="AN50" s="159"/>
      <c r="AO50" s="94"/>
      <c r="AP50" s="94"/>
      <c r="AQ50" s="94"/>
      <c r="AR50" s="94"/>
      <c r="AS50" s="94"/>
      <c r="AT50" s="94"/>
      <c r="AU50" s="160"/>
      <c r="AV50" s="159"/>
      <c r="AW50" s="94"/>
      <c r="AX50" s="94"/>
      <c r="AY50" s="94"/>
      <c r="AZ50" s="160"/>
      <c r="BA50" s="2629"/>
      <c r="BB50" s="542"/>
      <c r="BC50" s="542"/>
      <c r="BD50" s="542"/>
      <c r="BE50" s="542"/>
      <c r="BF50" s="542"/>
      <c r="BG50" s="542"/>
      <c r="BH50" s="542"/>
      <c r="BI50" s="542"/>
      <c r="BJ50" s="542"/>
      <c r="BK50" s="542"/>
      <c r="BL50" s="542"/>
      <c r="BM50" s="542"/>
      <c r="BN50" s="542"/>
      <c r="BO50" s="542"/>
      <c r="BP50" s="2629"/>
      <c r="BQ50" s="542"/>
      <c r="BR50" s="542"/>
      <c r="BS50" s="542"/>
      <c r="BT50" s="542"/>
      <c r="BU50" s="542"/>
      <c r="BV50" s="542"/>
      <c r="BW50" s="542"/>
      <c r="BX50" s="542"/>
      <c r="BY50" s="542"/>
      <c r="BZ50" s="542"/>
      <c r="CA50" s="542"/>
      <c r="CB50" s="542"/>
      <c r="CC50" s="542"/>
      <c r="CD50" s="542"/>
    </row>
    <row r="51" spans="1:82" s="98" customFormat="1" ht="15" customHeight="1">
      <c r="A51" s="99"/>
      <c r="B51" s="161"/>
      <c r="C51" s="162"/>
      <c r="D51" s="162" t="s">
        <v>2701</v>
      </c>
      <c r="E51" s="162"/>
      <c r="F51" s="162"/>
      <c r="G51" s="163"/>
      <c r="H51" s="163"/>
      <c r="I51" s="164" t="s">
        <v>498</v>
      </c>
      <c r="J51" s="143">
        <v>4.112372611522367E-3</v>
      </c>
      <c r="K51" s="141">
        <v>7.8981476285307599E-3</v>
      </c>
      <c r="L51" s="141">
        <v>1.8995704812697317E-3</v>
      </c>
      <c r="M51" s="141">
        <v>3.1370514918311748E-2</v>
      </c>
      <c r="N51" s="141">
        <v>9.4442641602403097E-3</v>
      </c>
      <c r="O51" s="141">
        <v>5.3144182854062919E-3</v>
      </c>
      <c r="P51" s="141">
        <v>1.0902231354870874E-2</v>
      </c>
      <c r="Q51" s="144">
        <v>9.7249069523090651E-3</v>
      </c>
      <c r="R51" s="143">
        <v>2.9349729193253004E-3</v>
      </c>
      <c r="S51" s="141">
        <v>2.9202980547286738E-3</v>
      </c>
      <c r="T51" s="141">
        <v>2.9056965644550306E-3</v>
      </c>
      <c r="U51" s="141">
        <v>2.8911680816327556E-3</v>
      </c>
      <c r="V51" s="144">
        <v>2.876712241224592E-3</v>
      </c>
      <c r="W51" s="2629"/>
      <c r="X51" s="607" t="s">
        <v>498</v>
      </c>
      <c r="Y51" s="143">
        <v>0</v>
      </c>
      <c r="Z51" s="141">
        <v>0</v>
      </c>
      <c r="AA51" s="141">
        <v>0</v>
      </c>
      <c r="AB51" s="141">
        <v>0</v>
      </c>
      <c r="AC51" s="141">
        <v>0</v>
      </c>
      <c r="AD51" s="141">
        <v>0</v>
      </c>
      <c r="AE51" s="141">
        <v>0</v>
      </c>
      <c r="AF51" s="144">
        <v>0</v>
      </c>
      <c r="AG51" s="143">
        <v>0</v>
      </c>
      <c r="AH51" s="141">
        <v>0</v>
      </c>
      <c r="AI51" s="141">
        <v>0</v>
      </c>
      <c r="AJ51" s="141">
        <v>0</v>
      </c>
      <c r="AK51" s="144">
        <v>0</v>
      </c>
      <c r="AL51" s="2629"/>
      <c r="AM51" s="607" t="s">
        <v>2233</v>
      </c>
      <c r="AN51" s="143">
        <v>3.9E-2</v>
      </c>
      <c r="AO51" s="141">
        <v>8.2000000000000003E-2</v>
      </c>
      <c r="AP51" s="141">
        <v>4.4999999999999997E-3</v>
      </c>
      <c r="AQ51" s="141">
        <v>5.1999999999999998E-2</v>
      </c>
      <c r="AR51" s="141">
        <v>9.1999999999999998E-2</v>
      </c>
      <c r="AS51" s="141">
        <v>5.8999999999999997E-2</v>
      </c>
      <c r="AT51" s="141">
        <v>5.9703549423077033E-2</v>
      </c>
      <c r="AU51" s="144">
        <v>4.5995675142057046E-2</v>
      </c>
      <c r="AV51" s="143">
        <v>1.9032160019243242E-2</v>
      </c>
      <c r="AW51" s="141">
        <v>1.9032160019243242E-2</v>
      </c>
      <c r="AX51" s="141">
        <v>1.9032160019243242E-2</v>
      </c>
      <c r="AY51" s="141">
        <v>1.9032160019243242E-2</v>
      </c>
      <c r="AZ51" s="144">
        <v>1.9032160019243242E-2</v>
      </c>
      <c r="BA51" s="2629"/>
      <c r="BB51" s="545" t="s">
        <v>627</v>
      </c>
      <c r="BC51" s="868">
        <v>0</v>
      </c>
      <c r="BD51" s="545" t="s">
        <v>627</v>
      </c>
      <c r="BE51" s="868">
        <v>0</v>
      </c>
      <c r="BF51" s="545" t="s">
        <v>2233</v>
      </c>
      <c r="BG51" s="141">
        <v>0.29387581503749799</v>
      </c>
      <c r="BH51" s="545" t="s">
        <v>2233</v>
      </c>
      <c r="BI51" s="141">
        <v>0</v>
      </c>
      <c r="BJ51" s="545" t="s">
        <v>2233</v>
      </c>
      <c r="BK51" s="141">
        <v>0.100075078045645</v>
      </c>
      <c r="BL51" s="545" t="s">
        <v>2233</v>
      </c>
      <c r="BM51" s="141">
        <v>3.1335443571288278E-2</v>
      </c>
      <c r="BN51" s="545" t="s">
        <v>2233</v>
      </c>
      <c r="BO51" s="141">
        <v>8.9128879107028165E-3</v>
      </c>
      <c r="BP51" s="2629"/>
      <c r="BQ51" s="545" t="s">
        <v>627</v>
      </c>
      <c r="BR51" s="868">
        <v>0</v>
      </c>
      <c r="BS51" s="545" t="s">
        <v>627</v>
      </c>
      <c r="BT51" s="868">
        <v>0</v>
      </c>
      <c r="BU51" s="545" t="s">
        <v>2233</v>
      </c>
      <c r="BV51" s="141">
        <v>6.4406972895689418E-2</v>
      </c>
      <c r="BW51" s="545" t="s">
        <v>2233</v>
      </c>
      <c r="BX51" s="141">
        <v>0</v>
      </c>
      <c r="BY51" s="545" t="s">
        <v>2233</v>
      </c>
      <c r="BZ51" s="141">
        <v>2.193284547215096E-2</v>
      </c>
      <c r="CA51" s="545" t="s">
        <v>2233</v>
      </c>
      <c r="CB51" s="141">
        <v>6.8675983578738806E-3</v>
      </c>
      <c r="CC51" s="545" t="s">
        <v>2233</v>
      </c>
      <c r="CD51" s="141">
        <v>1.9533833705019459E-3</v>
      </c>
    </row>
    <row r="52" spans="1:82" s="98" customFormat="1" ht="15" customHeight="1">
      <c r="A52" s="99"/>
      <c r="B52" s="161"/>
      <c r="C52" s="162"/>
      <c r="D52" s="162" t="s">
        <v>2702</v>
      </c>
      <c r="E52" s="162"/>
      <c r="F52" s="162"/>
      <c r="G52" s="163"/>
      <c r="H52" s="163"/>
      <c r="I52" s="164" t="s">
        <v>498</v>
      </c>
      <c r="J52" s="143">
        <v>1.2252086337289012E-2</v>
      </c>
      <c r="K52" s="141">
        <v>1.4237731324444062E-2</v>
      </c>
      <c r="L52" s="141">
        <v>1.3363510713586321E-2</v>
      </c>
      <c r="M52" s="141">
        <v>3.8770250496508327E-2</v>
      </c>
      <c r="N52" s="141">
        <v>1.7542786925897572E-2</v>
      </c>
      <c r="O52" s="141">
        <v>1.0053731957888268E-2</v>
      </c>
      <c r="P52" s="141">
        <v>1.4525454988409965E-2</v>
      </c>
      <c r="Q52" s="144">
        <v>1.2956861178618186E-2</v>
      </c>
      <c r="R52" s="143">
        <v>3.022282916180959E-2</v>
      </c>
      <c r="S52" s="141">
        <v>3.007171501600054E-2</v>
      </c>
      <c r="T52" s="141">
        <v>2.9921356440920536E-2</v>
      </c>
      <c r="U52" s="141">
        <v>2.9771749658715933E-2</v>
      </c>
      <c r="V52" s="144">
        <v>2.9622890910422355E-2</v>
      </c>
      <c r="W52" s="2629"/>
      <c r="X52" s="607" t="s">
        <v>498</v>
      </c>
      <c r="Y52" s="143">
        <v>0</v>
      </c>
      <c r="Z52" s="141">
        <v>0</v>
      </c>
      <c r="AA52" s="141">
        <v>0</v>
      </c>
      <c r="AB52" s="141">
        <v>0</v>
      </c>
      <c r="AC52" s="141">
        <v>0</v>
      </c>
      <c r="AD52" s="141">
        <v>0</v>
      </c>
      <c r="AE52" s="141">
        <v>0</v>
      </c>
      <c r="AF52" s="144">
        <v>0</v>
      </c>
      <c r="AG52" s="143">
        <v>0</v>
      </c>
      <c r="AH52" s="141">
        <v>0</v>
      </c>
      <c r="AI52" s="141">
        <v>0</v>
      </c>
      <c r="AJ52" s="141">
        <v>0</v>
      </c>
      <c r="AK52" s="144">
        <v>0</v>
      </c>
      <c r="AL52" s="2629"/>
      <c r="AM52" s="607" t="s">
        <v>2233</v>
      </c>
      <c r="AN52" s="143">
        <v>9.2999999999999999E-2</v>
      </c>
      <c r="AO52" s="141">
        <v>0.13500000000000001</v>
      </c>
      <c r="AP52" s="141">
        <v>5.7500000000000002E-2</v>
      </c>
      <c r="AQ52" s="141">
        <v>0.17699999999999999</v>
      </c>
      <c r="AR52" s="141">
        <v>0.17299999999999999</v>
      </c>
      <c r="AS52" s="141">
        <v>8.6999999999999994E-2</v>
      </c>
      <c r="AT52" s="141">
        <v>0.1000809015080006</v>
      </c>
      <c r="AU52" s="144">
        <v>7.4012020055347641E-2</v>
      </c>
      <c r="AV52" s="143">
        <v>0.17375854919652486</v>
      </c>
      <c r="AW52" s="141">
        <v>0.17375854919652486</v>
      </c>
      <c r="AX52" s="141">
        <v>0.17375854919652486</v>
      </c>
      <c r="AY52" s="141">
        <v>0.17375854919652486</v>
      </c>
      <c r="AZ52" s="144">
        <v>0.17375854919652486</v>
      </c>
      <c r="BA52" s="2629"/>
      <c r="BB52" s="545" t="s">
        <v>627</v>
      </c>
      <c r="BC52" s="868">
        <v>0</v>
      </c>
      <c r="BD52" s="545" t="s">
        <v>627</v>
      </c>
      <c r="BE52" s="868">
        <v>0</v>
      </c>
      <c r="BF52" s="545" t="s">
        <v>2233</v>
      </c>
      <c r="BG52" s="141">
        <v>0.60683428406665629</v>
      </c>
      <c r="BH52" s="545" t="s">
        <v>2233</v>
      </c>
      <c r="BI52" s="141">
        <v>0</v>
      </c>
      <c r="BJ52" s="545" t="s">
        <v>2233</v>
      </c>
      <c r="BK52" s="141">
        <v>0.20664847269243589</v>
      </c>
      <c r="BL52" s="545" t="s">
        <v>2233</v>
      </c>
      <c r="BM52" s="141">
        <v>6.470563582466797E-2</v>
      </c>
      <c r="BN52" s="545" t="s">
        <v>2233</v>
      </c>
      <c r="BO52" s="141">
        <v>1.8404528979588088E-2</v>
      </c>
      <c r="BP52" s="2629"/>
      <c r="BQ52" s="545" t="s">
        <v>627</v>
      </c>
      <c r="BR52" s="868">
        <v>0</v>
      </c>
      <c r="BS52" s="545" t="s">
        <v>627</v>
      </c>
      <c r="BT52" s="868">
        <v>0</v>
      </c>
      <c r="BU52" s="545" t="s">
        <v>2233</v>
      </c>
      <c r="BV52" s="141">
        <v>0.5880184990657662</v>
      </c>
      <c r="BW52" s="545" t="s">
        <v>2233</v>
      </c>
      <c r="BX52" s="141">
        <v>0</v>
      </c>
      <c r="BY52" s="545" t="s">
        <v>2233</v>
      </c>
      <c r="BZ52" s="141">
        <v>0.20024103439332341</v>
      </c>
      <c r="CA52" s="545" t="s">
        <v>2233</v>
      </c>
      <c r="CB52" s="141">
        <v>6.2699342897604024E-2</v>
      </c>
      <c r="CC52" s="545" t="s">
        <v>2233</v>
      </c>
      <c r="CD52" s="141">
        <v>1.7833869625930764E-2</v>
      </c>
    </row>
    <row r="53" spans="1:82" s="98" customFormat="1" ht="15" customHeight="1">
      <c r="A53" s="99"/>
      <c r="B53" s="161"/>
      <c r="C53" s="162"/>
      <c r="D53" s="162" t="s">
        <v>2703</v>
      </c>
      <c r="E53" s="162"/>
      <c r="F53" s="162"/>
      <c r="G53" s="163"/>
      <c r="H53" s="163"/>
      <c r="I53" s="164" t="s">
        <v>498</v>
      </c>
      <c r="J53" s="143">
        <v>7.0480027361861763E-2</v>
      </c>
      <c r="K53" s="141">
        <v>4.8958856659169783E-2</v>
      </c>
      <c r="L53" s="141">
        <v>0.10039011271183865</v>
      </c>
      <c r="M53" s="141">
        <v>0.13840934336273147</v>
      </c>
      <c r="N53" s="141">
        <v>1.678246973470909E-2</v>
      </c>
      <c r="O53" s="141">
        <v>9.5427754254058545E-3</v>
      </c>
      <c r="P53" s="141">
        <v>7.4301157908522986E-2</v>
      </c>
      <c r="Q53" s="144">
        <v>6.6277427398968178E-2</v>
      </c>
      <c r="R53" s="143">
        <v>6.5833226014344534E-2</v>
      </c>
      <c r="S53" s="141">
        <v>6.5504059884272811E-2</v>
      </c>
      <c r="T53" s="141">
        <v>6.5176539584851451E-2</v>
      </c>
      <c r="U53" s="141">
        <v>6.4850656886927191E-2</v>
      </c>
      <c r="V53" s="144">
        <v>6.4526403602492552E-2</v>
      </c>
      <c r="W53" s="2629"/>
      <c r="X53" s="607" t="s">
        <v>498</v>
      </c>
      <c r="Y53" s="143">
        <v>0</v>
      </c>
      <c r="Z53" s="141">
        <v>0</v>
      </c>
      <c r="AA53" s="141">
        <v>0</v>
      </c>
      <c r="AB53" s="141">
        <v>0</v>
      </c>
      <c r="AC53" s="141">
        <v>0</v>
      </c>
      <c r="AD53" s="141">
        <v>0</v>
      </c>
      <c r="AE53" s="141">
        <v>0</v>
      </c>
      <c r="AF53" s="144">
        <v>0</v>
      </c>
      <c r="AG53" s="143">
        <v>0</v>
      </c>
      <c r="AH53" s="141">
        <v>0</v>
      </c>
      <c r="AI53" s="141">
        <v>0</v>
      </c>
      <c r="AJ53" s="141">
        <v>0</v>
      </c>
      <c r="AK53" s="144">
        <v>0</v>
      </c>
      <c r="AL53" s="2629"/>
      <c r="AM53" s="607" t="s">
        <v>2233</v>
      </c>
      <c r="AN53" s="143">
        <v>0.33800000000000002</v>
      </c>
      <c r="AO53" s="141">
        <v>0.28449999999999998</v>
      </c>
      <c r="AP53" s="141">
        <v>0.33400000000000002</v>
      </c>
      <c r="AQ53" s="141">
        <v>0.47499999999999998</v>
      </c>
      <c r="AR53" s="141">
        <v>8.7999999999999995E-2</v>
      </c>
      <c r="AS53" s="141">
        <v>4.8000000000000001E-2</v>
      </c>
      <c r="AT53" s="141">
        <v>0.34245045874436841</v>
      </c>
      <c r="AU53" s="144">
        <v>0.28638714892325218</v>
      </c>
      <c r="AV53" s="143">
        <v>0.28721346170853007</v>
      </c>
      <c r="AW53" s="141">
        <v>0.28721346170853007</v>
      </c>
      <c r="AX53" s="141">
        <v>0.28721346170853007</v>
      </c>
      <c r="AY53" s="141">
        <v>0.28721346170853007</v>
      </c>
      <c r="AZ53" s="144">
        <v>0.28721346170853007</v>
      </c>
      <c r="BA53" s="2629"/>
      <c r="BB53" s="545" t="s">
        <v>627</v>
      </c>
      <c r="BC53" s="868">
        <v>0</v>
      </c>
      <c r="BD53" s="545" t="s">
        <v>627</v>
      </c>
      <c r="BE53" s="868">
        <v>0</v>
      </c>
      <c r="BF53" s="545" t="s">
        <v>2233</v>
      </c>
      <c r="BG53" s="141">
        <v>1.4865307629171198</v>
      </c>
      <c r="BH53" s="545" t="s">
        <v>2233</v>
      </c>
      <c r="BI53" s="141">
        <v>0</v>
      </c>
      <c r="BJ53" s="545" t="s">
        <v>2233</v>
      </c>
      <c r="BK53" s="141">
        <v>0.50621614472494403</v>
      </c>
      <c r="BL53" s="545" t="s">
        <v>2233</v>
      </c>
      <c r="BM53" s="141">
        <v>0.15850607111861131</v>
      </c>
      <c r="BN53" s="545" t="s">
        <v>2233</v>
      </c>
      <c r="BO53" s="141">
        <v>4.5084628906945777E-2</v>
      </c>
      <c r="BP53" s="2629"/>
      <c r="BQ53" s="545" t="s">
        <v>627</v>
      </c>
      <c r="BR53" s="868">
        <v>0</v>
      </c>
      <c r="BS53" s="545" t="s">
        <v>627</v>
      </c>
      <c r="BT53" s="868">
        <v>0</v>
      </c>
      <c r="BU53" s="545" t="s">
        <v>2233</v>
      </c>
      <c r="BV53" s="141">
        <v>0.97196270023133025</v>
      </c>
      <c r="BW53" s="545" t="s">
        <v>2233</v>
      </c>
      <c r="BX53" s="141">
        <v>0</v>
      </c>
      <c r="BY53" s="545" t="s">
        <v>2233</v>
      </c>
      <c r="BZ53" s="141">
        <v>0.33098757402236334</v>
      </c>
      <c r="CA53" s="545" t="s">
        <v>2233</v>
      </c>
      <c r="CB53" s="141">
        <v>0.10363861463934891</v>
      </c>
      <c r="CC53" s="545" t="s">
        <v>2233</v>
      </c>
      <c r="CD53" s="141">
        <v>2.9478419649607804E-2</v>
      </c>
    </row>
    <row r="54" spans="1:82" s="98" customFormat="1" ht="15" customHeight="1">
      <c r="A54" s="99"/>
      <c r="B54" s="161"/>
      <c r="C54" s="162"/>
      <c r="D54" s="162" t="s">
        <v>2704</v>
      </c>
      <c r="E54" s="162"/>
      <c r="F54" s="162"/>
      <c r="G54" s="163"/>
      <c r="H54" s="163"/>
      <c r="I54" s="164" t="s">
        <v>498</v>
      </c>
      <c r="J54" s="143">
        <v>0.38326467688899918</v>
      </c>
      <c r="K54" s="141">
        <v>0.10419922565635394</v>
      </c>
      <c r="L54" s="141">
        <v>0.16356929428244768</v>
      </c>
      <c r="M54" s="141">
        <v>0.10802537469762603</v>
      </c>
      <c r="N54" s="141">
        <v>0.24879140103417394</v>
      </c>
      <c r="O54" s="141">
        <v>5.5650155049812126E-3</v>
      </c>
      <c r="P54" s="141">
        <v>0.24728411924667551</v>
      </c>
      <c r="Q54" s="144">
        <v>0.22058007871784899</v>
      </c>
      <c r="R54" s="143">
        <v>0.22374138796633436</v>
      </c>
      <c r="S54" s="141">
        <v>0.22262268102650268</v>
      </c>
      <c r="T54" s="141">
        <v>0.22150956762137017</v>
      </c>
      <c r="U54" s="141">
        <v>0.22040201978326332</v>
      </c>
      <c r="V54" s="144">
        <v>0.21930000968434701</v>
      </c>
      <c r="W54" s="2629"/>
      <c r="X54" s="607" t="s">
        <v>498</v>
      </c>
      <c r="Y54" s="143">
        <v>0</v>
      </c>
      <c r="Z54" s="141">
        <v>0</v>
      </c>
      <c r="AA54" s="141">
        <v>0</v>
      </c>
      <c r="AB54" s="141">
        <v>0</v>
      </c>
      <c r="AC54" s="141">
        <v>0</v>
      </c>
      <c r="AD54" s="141">
        <v>0</v>
      </c>
      <c r="AE54" s="141">
        <v>0</v>
      </c>
      <c r="AF54" s="144">
        <v>0</v>
      </c>
      <c r="AG54" s="143">
        <v>0</v>
      </c>
      <c r="AH54" s="141">
        <v>0</v>
      </c>
      <c r="AI54" s="141">
        <v>0</v>
      </c>
      <c r="AJ54" s="141">
        <v>0</v>
      </c>
      <c r="AK54" s="144">
        <v>0</v>
      </c>
      <c r="AL54" s="2629"/>
      <c r="AM54" s="607" t="s">
        <v>2233</v>
      </c>
      <c r="AN54" s="143">
        <v>1.4850000000000001</v>
      </c>
      <c r="AO54" s="141">
        <v>0.37</v>
      </c>
      <c r="AP54" s="141">
        <v>0.443</v>
      </c>
      <c r="AQ54" s="141">
        <v>0.28999999999999998</v>
      </c>
      <c r="AR54" s="141">
        <v>0.67200000000000004</v>
      </c>
      <c r="AS54" s="141">
        <v>1.6E-2</v>
      </c>
      <c r="AT54" s="141">
        <v>0.73392893795235969</v>
      </c>
      <c r="AU54" s="144">
        <v>0.57950089279528827</v>
      </c>
      <c r="AV54" s="143">
        <v>0.6131270710140807</v>
      </c>
      <c r="AW54" s="141">
        <v>0.6131270710140807</v>
      </c>
      <c r="AX54" s="141">
        <v>0.6131270710140807</v>
      </c>
      <c r="AY54" s="141">
        <v>0.6131270710140807</v>
      </c>
      <c r="AZ54" s="144">
        <v>0.6131270710140807</v>
      </c>
      <c r="BA54" s="2629"/>
      <c r="BB54" s="545" t="s">
        <v>627</v>
      </c>
      <c r="BC54" s="868">
        <v>0</v>
      </c>
      <c r="BD54" s="545" t="s">
        <v>627</v>
      </c>
      <c r="BE54" s="868">
        <v>0</v>
      </c>
      <c r="BF54" s="545" t="s">
        <v>2233</v>
      </c>
      <c r="BG54" s="141">
        <v>3.106229481222968</v>
      </c>
      <c r="BH54" s="545" t="s">
        <v>2233</v>
      </c>
      <c r="BI54" s="141">
        <v>0</v>
      </c>
      <c r="BJ54" s="545" t="s">
        <v>2233</v>
      </c>
      <c r="BK54" s="141">
        <v>1.0577806741987503</v>
      </c>
      <c r="BL54" s="545" t="s">
        <v>2233</v>
      </c>
      <c r="BM54" s="141">
        <v>0.33121159907600634</v>
      </c>
      <c r="BN54" s="545" t="s">
        <v>2233</v>
      </c>
      <c r="BO54" s="141">
        <v>9.4208076249922987E-2</v>
      </c>
      <c r="BP54" s="2629"/>
      <c r="BQ54" s="545" t="s">
        <v>627</v>
      </c>
      <c r="BR54" s="868">
        <v>0</v>
      </c>
      <c r="BS54" s="545" t="s">
        <v>627</v>
      </c>
      <c r="BT54" s="868">
        <v>0</v>
      </c>
      <c r="BU54" s="545" t="s">
        <v>2233</v>
      </c>
      <c r="BV54" s="141">
        <v>2.0748910583186415</v>
      </c>
      <c r="BW54" s="545" t="s">
        <v>2233</v>
      </c>
      <c r="BX54" s="141">
        <v>0</v>
      </c>
      <c r="BY54" s="545" t="s">
        <v>2233</v>
      </c>
      <c r="BZ54" s="141">
        <v>0.70657357282345223</v>
      </c>
      <c r="CA54" s="545" t="s">
        <v>2233</v>
      </c>
      <c r="CB54" s="141">
        <v>0.22124185913773908</v>
      </c>
      <c r="CC54" s="545" t="s">
        <v>2233</v>
      </c>
      <c r="CD54" s="141">
        <v>6.2928864790571096E-2</v>
      </c>
    </row>
    <row r="55" spans="1:82" s="98" customFormat="1" ht="15" customHeight="1">
      <c r="A55" s="99"/>
      <c r="B55" s="161"/>
      <c r="C55" s="162"/>
      <c r="D55" s="162" t="s">
        <v>2705</v>
      </c>
      <c r="E55" s="162"/>
      <c r="F55" s="162"/>
      <c r="G55" s="163"/>
      <c r="H55" s="163"/>
      <c r="I55" s="164" t="s">
        <v>498</v>
      </c>
      <c r="J55" s="143">
        <v>0.19679358750760645</v>
      </c>
      <c r="K55" s="141">
        <v>0.41513378145831636</v>
      </c>
      <c r="L55" s="141">
        <v>0.24601542924817449</v>
      </c>
      <c r="M55" s="141">
        <v>0.35194783213543362</v>
      </c>
      <c r="N55" s="141">
        <v>0.20791987658035105</v>
      </c>
      <c r="O55" s="141">
        <v>0.11170198160884914</v>
      </c>
      <c r="P55" s="141">
        <v>0.322867704863257</v>
      </c>
      <c r="Q55" s="144">
        <v>0.28800144534613459</v>
      </c>
      <c r="R55" s="143">
        <v>0.29195286965474793</v>
      </c>
      <c r="S55" s="141">
        <v>0.29049310530647421</v>
      </c>
      <c r="T55" s="141">
        <v>0.28904063977994182</v>
      </c>
      <c r="U55" s="141">
        <v>0.28759543658104209</v>
      </c>
      <c r="V55" s="144">
        <v>0.28615745939813686</v>
      </c>
      <c r="W55" s="2629"/>
      <c r="X55" s="607" t="s">
        <v>498</v>
      </c>
      <c r="Y55" s="143">
        <v>0</v>
      </c>
      <c r="Z55" s="141">
        <v>0</v>
      </c>
      <c r="AA55" s="141">
        <v>0</v>
      </c>
      <c r="AB55" s="141">
        <v>0</v>
      </c>
      <c r="AC55" s="141">
        <v>0</v>
      </c>
      <c r="AD55" s="141">
        <v>0</v>
      </c>
      <c r="AE55" s="141">
        <v>0</v>
      </c>
      <c r="AF55" s="144">
        <v>0</v>
      </c>
      <c r="AG55" s="143">
        <v>0</v>
      </c>
      <c r="AH55" s="141">
        <v>0</v>
      </c>
      <c r="AI55" s="141">
        <v>0</v>
      </c>
      <c r="AJ55" s="141">
        <v>0</v>
      </c>
      <c r="AK55" s="144">
        <v>0</v>
      </c>
      <c r="AL55" s="2629"/>
      <c r="AM55" s="607" t="s">
        <v>2233</v>
      </c>
      <c r="AN55" s="143">
        <v>0.60251999999999994</v>
      </c>
      <c r="AO55" s="141">
        <v>1.1080000000000001</v>
      </c>
      <c r="AP55" s="141">
        <v>0.57699999999999996</v>
      </c>
      <c r="AQ55" s="141">
        <v>0.65100000000000002</v>
      </c>
      <c r="AR55" s="141">
        <v>0.39200000000000002</v>
      </c>
      <c r="AS55" s="141">
        <v>0.19400000000000001</v>
      </c>
      <c r="AT55" s="141">
        <v>0.70217359509398336</v>
      </c>
      <c r="AU55" s="144">
        <v>0.52385898464814407</v>
      </c>
      <c r="AV55" s="143">
        <v>0.58513074604332449</v>
      </c>
      <c r="AW55" s="141">
        <v>0.58513074604332449</v>
      </c>
      <c r="AX55" s="141">
        <v>0.58513074604332449</v>
      </c>
      <c r="AY55" s="141">
        <v>0.58513074604332449</v>
      </c>
      <c r="AZ55" s="144">
        <v>0.58513074604332449</v>
      </c>
      <c r="BA55" s="2629"/>
      <c r="BB55" s="545" t="s">
        <v>627</v>
      </c>
      <c r="BC55" s="868">
        <v>0</v>
      </c>
      <c r="BD55" s="545" t="s">
        <v>627</v>
      </c>
      <c r="BE55" s="868">
        <v>0</v>
      </c>
      <c r="BF55" s="545" t="s">
        <v>2233</v>
      </c>
      <c r="BG55" s="141">
        <v>3.2152809868521124</v>
      </c>
      <c r="BH55" s="545" t="s">
        <v>2233</v>
      </c>
      <c r="BI55" s="141">
        <v>0</v>
      </c>
      <c r="BJ55" s="545" t="s">
        <v>2233</v>
      </c>
      <c r="BK55" s="141">
        <v>1.0949165573793354</v>
      </c>
      <c r="BL55" s="545" t="s">
        <v>2233</v>
      </c>
      <c r="BM55" s="141">
        <v>0.34283956274688565</v>
      </c>
      <c r="BN55" s="545" t="s">
        <v>2233</v>
      </c>
      <c r="BO55" s="141">
        <v>9.7515472763793715E-2</v>
      </c>
      <c r="BP55" s="2629"/>
      <c r="BQ55" s="545" t="s">
        <v>627</v>
      </c>
      <c r="BR55" s="868">
        <v>0</v>
      </c>
      <c r="BS55" s="545" t="s">
        <v>627</v>
      </c>
      <c r="BT55" s="868">
        <v>0</v>
      </c>
      <c r="BU55" s="545" t="s">
        <v>2233</v>
      </c>
      <c r="BV55" s="141">
        <v>1.9801483416880932</v>
      </c>
      <c r="BW55" s="545" t="s">
        <v>2233</v>
      </c>
      <c r="BX55" s="141">
        <v>0</v>
      </c>
      <c r="BY55" s="545" t="s">
        <v>2233</v>
      </c>
      <c r="BZ55" s="141">
        <v>0.67431033687173325</v>
      </c>
      <c r="CA55" s="545" t="s">
        <v>2233</v>
      </c>
      <c r="CB55" s="141">
        <v>0.21113961560882438</v>
      </c>
      <c r="CC55" s="545" t="s">
        <v>2233</v>
      </c>
      <c r="CD55" s="141">
        <v>6.0055436047971748E-2</v>
      </c>
    </row>
    <row r="56" spans="1:82" s="98" customFormat="1" ht="15" customHeight="1">
      <c r="A56" s="99"/>
      <c r="B56" s="161"/>
      <c r="C56" s="162"/>
      <c r="D56" s="162" t="s">
        <v>2706</v>
      </c>
      <c r="E56" s="162"/>
      <c r="F56" s="162"/>
      <c r="G56" s="163"/>
      <c r="H56" s="163"/>
      <c r="I56" s="164" t="s">
        <v>498</v>
      </c>
      <c r="J56" s="143">
        <v>0.24247076560759043</v>
      </c>
      <c r="K56" s="141">
        <v>1.78740977117736E-2</v>
      </c>
      <c r="L56" s="141">
        <v>0</v>
      </c>
      <c r="M56" s="141">
        <v>0</v>
      </c>
      <c r="N56" s="141">
        <v>0</v>
      </c>
      <c r="O56" s="141">
        <v>0</v>
      </c>
      <c r="P56" s="141">
        <v>0.26805813165205528</v>
      </c>
      <c r="Q56" s="144">
        <v>0.23911071993178459</v>
      </c>
      <c r="R56" s="143">
        <v>0.13789862391792235</v>
      </c>
      <c r="S56" s="141">
        <v>0.13720913079833275</v>
      </c>
      <c r="T56" s="141">
        <v>0.13652308514434108</v>
      </c>
      <c r="U56" s="141">
        <v>0.13584046971861938</v>
      </c>
      <c r="V56" s="144">
        <v>0.13516126737002629</v>
      </c>
      <c r="W56" s="2629"/>
      <c r="X56" s="607" t="s">
        <v>498</v>
      </c>
      <c r="Y56" s="143">
        <v>0</v>
      </c>
      <c r="Z56" s="141">
        <v>0</v>
      </c>
      <c r="AA56" s="141">
        <v>0</v>
      </c>
      <c r="AB56" s="141">
        <v>0</v>
      </c>
      <c r="AC56" s="141">
        <v>0</v>
      </c>
      <c r="AD56" s="141">
        <v>0</v>
      </c>
      <c r="AE56" s="141">
        <v>0</v>
      </c>
      <c r="AF56" s="144">
        <v>0</v>
      </c>
      <c r="AG56" s="143">
        <v>0</v>
      </c>
      <c r="AH56" s="141">
        <v>0</v>
      </c>
      <c r="AI56" s="141">
        <v>0</v>
      </c>
      <c r="AJ56" s="141">
        <v>0</v>
      </c>
      <c r="AK56" s="144">
        <v>0</v>
      </c>
      <c r="AL56" s="2629"/>
      <c r="AM56" s="607" t="s">
        <v>2233</v>
      </c>
      <c r="AN56" s="143">
        <v>0.41199999999999998</v>
      </c>
      <c r="AO56" s="141">
        <v>2.9000000000000001E-2</v>
      </c>
      <c r="AP56" s="141">
        <v>0</v>
      </c>
      <c r="AQ56" s="141"/>
      <c r="AR56" s="141">
        <v>0</v>
      </c>
      <c r="AS56" s="141"/>
      <c r="AT56" s="141">
        <v>0.33721671477875409</v>
      </c>
      <c r="AU56" s="144">
        <v>0.23514718713200117</v>
      </c>
      <c r="AV56" s="143">
        <v>0.16720804938802791</v>
      </c>
      <c r="AW56" s="141">
        <v>0.16720804938802791</v>
      </c>
      <c r="AX56" s="141">
        <v>0.16720804938802791</v>
      </c>
      <c r="AY56" s="141">
        <v>0.16720804938802791</v>
      </c>
      <c r="AZ56" s="144">
        <v>0.16720804938802791</v>
      </c>
      <c r="BA56" s="2629"/>
      <c r="BB56" s="545" t="s">
        <v>627</v>
      </c>
      <c r="BC56" s="868">
        <v>0</v>
      </c>
      <c r="BD56" s="545" t="s">
        <v>627</v>
      </c>
      <c r="BE56" s="868">
        <v>0</v>
      </c>
      <c r="BF56" s="545" t="s">
        <v>2233</v>
      </c>
      <c r="BG56" s="141">
        <v>0.68586751370148757</v>
      </c>
      <c r="BH56" s="545" t="s">
        <v>2233</v>
      </c>
      <c r="BI56" s="141">
        <v>0</v>
      </c>
      <c r="BJ56" s="545" t="s">
        <v>2233</v>
      </c>
      <c r="BK56" s="141">
        <v>0.23356207435406259</v>
      </c>
      <c r="BL56" s="545" t="s">
        <v>2233</v>
      </c>
      <c r="BM56" s="141">
        <v>7.3132805332178891E-2</v>
      </c>
      <c r="BN56" s="545" t="s">
        <v>2233</v>
      </c>
      <c r="BO56" s="141">
        <v>2.0801508523026205E-2</v>
      </c>
      <c r="BP56" s="2629"/>
      <c r="BQ56" s="545" t="s">
        <v>627</v>
      </c>
      <c r="BR56" s="868">
        <v>0</v>
      </c>
      <c r="BS56" s="545" t="s">
        <v>627</v>
      </c>
      <c r="BT56" s="868">
        <v>0</v>
      </c>
      <c r="BU56" s="545" t="s">
        <v>2233</v>
      </c>
      <c r="BV56" s="141">
        <v>0.56585087000041023</v>
      </c>
      <c r="BW56" s="545" t="s">
        <v>2233</v>
      </c>
      <c r="BX56" s="141">
        <v>0</v>
      </c>
      <c r="BY56" s="545" t="s">
        <v>2233</v>
      </c>
      <c r="BZ56" s="141">
        <v>0.19269217499324198</v>
      </c>
      <c r="CA56" s="545" t="s">
        <v>2233</v>
      </c>
      <c r="CB56" s="141">
        <v>6.0335648935247586E-2</v>
      </c>
      <c r="CC56" s="545" t="s">
        <v>2233</v>
      </c>
      <c r="CD56" s="141">
        <v>1.7161553011239811E-2</v>
      </c>
    </row>
    <row r="57" spans="1:82" s="98" customFormat="1" ht="15" customHeight="1">
      <c r="A57" s="99"/>
      <c r="B57" s="161"/>
      <c r="C57" s="162"/>
      <c r="D57" s="162" t="s">
        <v>2707</v>
      </c>
      <c r="E57" s="162"/>
      <c r="F57" s="162"/>
      <c r="G57" s="163"/>
      <c r="H57" s="163"/>
      <c r="I57" s="164" t="s">
        <v>498</v>
      </c>
      <c r="J57" s="143">
        <v>0</v>
      </c>
      <c r="K57" s="141">
        <v>0</v>
      </c>
      <c r="L57" s="141">
        <v>0</v>
      </c>
      <c r="M57" s="141">
        <v>0</v>
      </c>
      <c r="N57" s="141">
        <v>0</v>
      </c>
      <c r="O57" s="141">
        <v>0</v>
      </c>
      <c r="P57" s="141">
        <v>3.2563310087959936E-2</v>
      </c>
      <c r="Q57" s="144">
        <v>2.904682081646652E-2</v>
      </c>
      <c r="R57" s="143">
        <v>0</v>
      </c>
      <c r="S57" s="141">
        <v>0</v>
      </c>
      <c r="T57" s="141">
        <v>0</v>
      </c>
      <c r="U57" s="141">
        <v>0</v>
      </c>
      <c r="V57" s="144">
        <v>0</v>
      </c>
      <c r="W57" s="2629"/>
      <c r="X57" s="607" t="s">
        <v>498</v>
      </c>
      <c r="Y57" s="143">
        <v>0</v>
      </c>
      <c r="Z57" s="141">
        <v>0</v>
      </c>
      <c r="AA57" s="141">
        <v>0</v>
      </c>
      <c r="AB57" s="141">
        <v>0</v>
      </c>
      <c r="AC57" s="141">
        <v>0</v>
      </c>
      <c r="AD57" s="141">
        <v>0</v>
      </c>
      <c r="AE57" s="141">
        <v>0</v>
      </c>
      <c r="AF57" s="144">
        <v>0</v>
      </c>
      <c r="AG57" s="143">
        <v>0</v>
      </c>
      <c r="AH57" s="141">
        <v>0</v>
      </c>
      <c r="AI57" s="141">
        <v>0</v>
      </c>
      <c r="AJ57" s="141">
        <v>0</v>
      </c>
      <c r="AK57" s="144">
        <v>0</v>
      </c>
      <c r="AL57" s="2629"/>
      <c r="AM57" s="607" t="s">
        <v>2233</v>
      </c>
      <c r="AN57" s="143"/>
      <c r="AO57" s="141">
        <v>0</v>
      </c>
      <c r="AP57" s="141">
        <v>0</v>
      </c>
      <c r="AQ57" s="141"/>
      <c r="AR57" s="141">
        <v>0</v>
      </c>
      <c r="AS57" s="141"/>
      <c r="AT57" s="141">
        <v>3.3423676467218874E-2</v>
      </c>
      <c r="AU57" s="144">
        <v>2.1909651720544876E-2</v>
      </c>
      <c r="AV57" s="143">
        <v>0</v>
      </c>
      <c r="AW57" s="141">
        <v>0</v>
      </c>
      <c r="AX57" s="141">
        <v>0</v>
      </c>
      <c r="AY57" s="141">
        <v>0</v>
      </c>
      <c r="AZ57" s="144">
        <v>0</v>
      </c>
      <c r="BA57" s="2629"/>
      <c r="BB57" s="545" t="s">
        <v>627</v>
      </c>
      <c r="BC57" s="868">
        <v>0</v>
      </c>
      <c r="BD57" s="545" t="s">
        <v>627</v>
      </c>
      <c r="BE57" s="868">
        <v>0</v>
      </c>
      <c r="BF57" s="545" t="s">
        <v>2233</v>
      </c>
      <c r="BG57" s="141">
        <v>3.7450842838797169E-2</v>
      </c>
      <c r="BH57" s="545" t="s">
        <v>2233</v>
      </c>
      <c r="BI57" s="141">
        <v>0</v>
      </c>
      <c r="BJ57" s="545" t="s">
        <v>2233</v>
      </c>
      <c r="BK57" s="141">
        <v>1.2753332626196502E-2</v>
      </c>
      <c r="BL57" s="545" t="s">
        <v>2233</v>
      </c>
      <c r="BM57" s="141">
        <v>3.9933152454977383E-3</v>
      </c>
      <c r="BN57" s="545" t="s">
        <v>2233</v>
      </c>
      <c r="BO57" s="141">
        <v>1.1358374772723464E-3</v>
      </c>
      <c r="BP57" s="2629"/>
      <c r="BQ57" s="545" t="s">
        <v>627</v>
      </c>
      <c r="BR57" s="868">
        <v>0</v>
      </c>
      <c r="BS57" s="545" t="s">
        <v>627</v>
      </c>
      <c r="BT57" s="868">
        <v>0</v>
      </c>
      <c r="BU57" s="545" t="s">
        <v>2233</v>
      </c>
      <c r="BV57" s="141">
        <v>0</v>
      </c>
      <c r="BW57" s="545" t="s">
        <v>2233</v>
      </c>
      <c r="BX57" s="141">
        <v>0</v>
      </c>
      <c r="BY57" s="545" t="s">
        <v>2233</v>
      </c>
      <c r="BZ57" s="141">
        <v>0</v>
      </c>
      <c r="CA57" s="545" t="s">
        <v>2233</v>
      </c>
      <c r="CB57" s="141">
        <v>0</v>
      </c>
      <c r="CC57" s="545" t="s">
        <v>2233</v>
      </c>
      <c r="CD57" s="141">
        <v>0</v>
      </c>
    </row>
    <row r="58" spans="1:82" s="98" customFormat="1" ht="15" customHeight="1">
      <c r="A58" s="99"/>
      <c r="B58" s="161"/>
      <c r="C58" s="162"/>
      <c r="D58" s="162" t="s">
        <v>2708</v>
      </c>
      <c r="E58" s="162"/>
      <c r="F58" s="162"/>
      <c r="G58" s="163"/>
      <c r="H58" s="163"/>
      <c r="I58" s="164" t="s">
        <v>498</v>
      </c>
      <c r="J58" s="143">
        <v>0</v>
      </c>
      <c r="K58" s="141">
        <v>0</v>
      </c>
      <c r="L58" s="141">
        <v>0</v>
      </c>
      <c r="M58" s="141">
        <v>0</v>
      </c>
      <c r="N58" s="141">
        <v>0</v>
      </c>
      <c r="O58" s="141">
        <v>0</v>
      </c>
      <c r="P58" s="141">
        <v>0</v>
      </c>
      <c r="Q58" s="144">
        <v>0</v>
      </c>
      <c r="R58" s="143">
        <v>0</v>
      </c>
      <c r="S58" s="141">
        <v>0</v>
      </c>
      <c r="T58" s="141">
        <v>0</v>
      </c>
      <c r="U58" s="141">
        <v>0</v>
      </c>
      <c r="V58" s="144">
        <v>0</v>
      </c>
      <c r="W58" s="2629"/>
      <c r="X58" s="607" t="s">
        <v>498</v>
      </c>
      <c r="Y58" s="143">
        <v>0</v>
      </c>
      <c r="Z58" s="141">
        <v>0</v>
      </c>
      <c r="AA58" s="141">
        <v>0</v>
      </c>
      <c r="AB58" s="141">
        <v>0</v>
      </c>
      <c r="AC58" s="141">
        <v>0</v>
      </c>
      <c r="AD58" s="141">
        <v>0</v>
      </c>
      <c r="AE58" s="141">
        <v>0</v>
      </c>
      <c r="AF58" s="144">
        <v>0</v>
      </c>
      <c r="AG58" s="143">
        <v>0</v>
      </c>
      <c r="AH58" s="141">
        <v>0</v>
      </c>
      <c r="AI58" s="141">
        <v>0</v>
      </c>
      <c r="AJ58" s="141">
        <v>0</v>
      </c>
      <c r="AK58" s="144">
        <v>0</v>
      </c>
      <c r="AL58" s="2629"/>
      <c r="AM58" s="607" t="s">
        <v>2233</v>
      </c>
      <c r="AN58" s="143"/>
      <c r="AO58" s="141"/>
      <c r="AP58" s="141"/>
      <c r="AQ58" s="141"/>
      <c r="AR58" s="141">
        <v>0</v>
      </c>
      <c r="AS58" s="141"/>
      <c r="AT58" s="141">
        <v>0</v>
      </c>
      <c r="AU58" s="144">
        <v>0</v>
      </c>
      <c r="AV58" s="143">
        <v>0</v>
      </c>
      <c r="AW58" s="141">
        <v>0</v>
      </c>
      <c r="AX58" s="141">
        <v>0</v>
      </c>
      <c r="AY58" s="141">
        <v>0</v>
      </c>
      <c r="AZ58" s="144">
        <v>0</v>
      </c>
      <c r="BA58" s="2629"/>
      <c r="BB58" s="545" t="s">
        <v>627</v>
      </c>
      <c r="BC58" s="868">
        <v>0</v>
      </c>
      <c r="BD58" s="545" t="s">
        <v>627</v>
      </c>
      <c r="BE58" s="868">
        <v>0</v>
      </c>
      <c r="BF58" s="545" t="s">
        <v>2233</v>
      </c>
      <c r="BG58" s="141">
        <v>0</v>
      </c>
      <c r="BH58" s="545" t="s">
        <v>2233</v>
      </c>
      <c r="BI58" s="141">
        <v>0</v>
      </c>
      <c r="BJ58" s="545" t="s">
        <v>2233</v>
      </c>
      <c r="BK58" s="141">
        <v>0</v>
      </c>
      <c r="BL58" s="545" t="s">
        <v>2233</v>
      </c>
      <c r="BM58" s="141">
        <v>0</v>
      </c>
      <c r="BN58" s="545" t="s">
        <v>2233</v>
      </c>
      <c r="BO58" s="141">
        <v>0</v>
      </c>
      <c r="BP58" s="2629"/>
      <c r="BQ58" s="545" t="s">
        <v>627</v>
      </c>
      <c r="BR58" s="868">
        <v>0</v>
      </c>
      <c r="BS58" s="545" t="s">
        <v>627</v>
      </c>
      <c r="BT58" s="868">
        <v>0</v>
      </c>
      <c r="BU58" s="545" t="s">
        <v>2233</v>
      </c>
      <c r="BV58" s="141">
        <v>0</v>
      </c>
      <c r="BW58" s="545" t="s">
        <v>2233</v>
      </c>
      <c r="BX58" s="141">
        <v>0</v>
      </c>
      <c r="BY58" s="545" t="s">
        <v>2233</v>
      </c>
      <c r="BZ58" s="141">
        <v>0</v>
      </c>
      <c r="CA58" s="545" t="s">
        <v>2233</v>
      </c>
      <c r="CB58" s="141">
        <v>0</v>
      </c>
      <c r="CC58" s="545" t="s">
        <v>2233</v>
      </c>
      <c r="CD58" s="141">
        <v>0</v>
      </c>
    </row>
    <row r="59" spans="1:82" s="98" customFormat="1" ht="15" customHeight="1">
      <c r="A59" s="99"/>
      <c r="B59" s="161"/>
      <c r="C59" s="162" t="s">
        <v>1710</v>
      </c>
      <c r="D59" s="162"/>
      <c r="E59" s="162"/>
      <c r="F59" s="162"/>
      <c r="G59" s="163"/>
      <c r="H59" s="163"/>
      <c r="I59" s="164" t="s">
        <v>498</v>
      </c>
      <c r="J59" s="641">
        <f>SUM(J51:J58)</f>
        <v>0.90937351631486918</v>
      </c>
      <c r="K59" s="642">
        <f t="shared" ref="K59:V59" si="37">SUM(K51:K58)</f>
        <v>0.60830184043858859</v>
      </c>
      <c r="L59" s="642">
        <f t="shared" si="37"/>
        <v>0.52523791743731696</v>
      </c>
      <c r="M59" s="642">
        <f t="shared" si="37"/>
        <v>0.66852331561061118</v>
      </c>
      <c r="N59" s="642">
        <f t="shared" si="37"/>
        <v>0.50048079843537197</v>
      </c>
      <c r="O59" s="642">
        <f t="shared" si="37"/>
        <v>0.14217792278253077</v>
      </c>
      <c r="P59" s="642">
        <f t="shared" si="37"/>
        <v>0.97050211010175158</v>
      </c>
      <c r="Q59" s="643">
        <f t="shared" si="37"/>
        <v>0.86569826034213004</v>
      </c>
      <c r="R59" s="641">
        <f t="shared" si="37"/>
        <v>0.75258390963448396</v>
      </c>
      <c r="S59" s="642">
        <f t="shared" si="37"/>
        <v>0.74882099008631164</v>
      </c>
      <c r="T59" s="642">
        <f t="shared" si="37"/>
        <v>0.74507688513588011</v>
      </c>
      <c r="U59" s="642">
        <f t="shared" si="37"/>
        <v>0.74135150071020062</v>
      </c>
      <c r="V59" s="643">
        <f t="shared" si="37"/>
        <v>0.73764474320664963</v>
      </c>
      <c r="W59" s="2629"/>
      <c r="X59" s="607" t="s">
        <v>498</v>
      </c>
      <c r="Y59" s="641">
        <f>SUM(Y51:Y58)</f>
        <v>0</v>
      </c>
      <c r="Z59" s="642">
        <f t="shared" ref="Z59:AK59" si="38">SUM(Z51:Z58)</f>
        <v>0</v>
      </c>
      <c r="AA59" s="642">
        <f t="shared" si="38"/>
        <v>0</v>
      </c>
      <c r="AB59" s="642">
        <f t="shared" si="38"/>
        <v>0</v>
      </c>
      <c r="AC59" s="642">
        <f t="shared" si="38"/>
        <v>0</v>
      </c>
      <c r="AD59" s="642">
        <f t="shared" si="38"/>
        <v>0</v>
      </c>
      <c r="AE59" s="642">
        <f t="shared" si="38"/>
        <v>0</v>
      </c>
      <c r="AF59" s="643">
        <f t="shared" si="38"/>
        <v>0</v>
      </c>
      <c r="AG59" s="641">
        <f t="shared" si="38"/>
        <v>0</v>
      </c>
      <c r="AH59" s="642">
        <f t="shared" si="38"/>
        <v>0</v>
      </c>
      <c r="AI59" s="642">
        <f t="shared" si="38"/>
        <v>0</v>
      </c>
      <c r="AJ59" s="642">
        <f t="shared" si="38"/>
        <v>0</v>
      </c>
      <c r="AK59" s="643">
        <f t="shared" si="38"/>
        <v>0</v>
      </c>
      <c r="AL59" s="2629"/>
      <c r="AM59" s="607" t="s">
        <v>2233</v>
      </c>
      <c r="AN59" s="641">
        <f>SUM(AN51:AN58)</f>
        <v>2.9695200000000002</v>
      </c>
      <c r="AO59" s="642">
        <f t="shared" ref="AO59:AZ59" si="39">SUM(AO51:AO58)</f>
        <v>2.0085000000000002</v>
      </c>
      <c r="AP59" s="642">
        <f t="shared" si="39"/>
        <v>1.4159999999999999</v>
      </c>
      <c r="AQ59" s="642">
        <f t="shared" si="39"/>
        <v>1.645</v>
      </c>
      <c r="AR59" s="642">
        <f t="shared" si="39"/>
        <v>1.4169999999999998</v>
      </c>
      <c r="AS59" s="642">
        <f t="shared" si="39"/>
        <v>0.40400000000000003</v>
      </c>
      <c r="AT59" s="642">
        <f t="shared" si="39"/>
        <v>2.3089778339677616</v>
      </c>
      <c r="AU59" s="643">
        <f t="shared" si="39"/>
        <v>1.7668115604166352</v>
      </c>
      <c r="AV59" s="641">
        <f t="shared" si="39"/>
        <v>1.845470037369731</v>
      </c>
      <c r="AW59" s="642">
        <f t="shared" si="39"/>
        <v>1.845470037369731</v>
      </c>
      <c r="AX59" s="642">
        <f t="shared" si="39"/>
        <v>1.845470037369731</v>
      </c>
      <c r="AY59" s="642">
        <f t="shared" si="39"/>
        <v>1.845470037369731</v>
      </c>
      <c r="AZ59" s="643">
        <f t="shared" si="39"/>
        <v>1.845470037369731</v>
      </c>
      <c r="BA59" s="2629"/>
      <c r="BB59" s="542"/>
      <c r="BC59" s="542"/>
      <c r="BD59" s="542"/>
      <c r="BE59" s="542"/>
      <c r="BF59" s="545" t="s">
        <v>2233</v>
      </c>
      <c r="BG59" s="642">
        <f>SUM(BG51:BG58)</f>
        <v>9.4320696866366411</v>
      </c>
      <c r="BH59" s="545" t="s">
        <v>2233</v>
      </c>
      <c r="BI59" s="642">
        <f>SUM(BI51:BI58)</f>
        <v>0</v>
      </c>
      <c r="BJ59" s="545" t="s">
        <v>2233</v>
      </c>
      <c r="BK59" s="642">
        <f>SUM(BK51:BK58)</f>
        <v>3.2119523340213694</v>
      </c>
      <c r="BL59" s="545" t="s">
        <v>2233</v>
      </c>
      <c r="BM59" s="642">
        <f>SUM(BM51:BM58)</f>
        <v>1.0057244329151362</v>
      </c>
      <c r="BN59" s="545" t="s">
        <v>2233</v>
      </c>
      <c r="BO59" s="642">
        <f>SUM(BO51:BO58)</f>
        <v>0.28606294081125194</v>
      </c>
      <c r="BP59" s="2629"/>
      <c r="BQ59" s="542"/>
      <c r="BR59" s="542"/>
      <c r="BS59" s="542"/>
      <c r="BT59" s="542"/>
      <c r="BU59" s="545" t="s">
        <v>2233</v>
      </c>
      <c r="BV59" s="642">
        <f>SUM(BV51:BV58)</f>
        <v>6.2452784421999308</v>
      </c>
      <c r="BW59" s="545" t="s">
        <v>2233</v>
      </c>
      <c r="BX59" s="642">
        <f>SUM(BX51:BX58)</f>
        <v>0</v>
      </c>
      <c r="BY59" s="545" t="s">
        <v>2233</v>
      </c>
      <c r="BZ59" s="642">
        <f>SUM(BZ51:BZ58)</f>
        <v>2.1267375385762657</v>
      </c>
      <c r="CA59" s="545" t="s">
        <v>2233</v>
      </c>
      <c r="CB59" s="642">
        <f>SUM(CB51:CB58)</f>
        <v>0.66592267957663787</v>
      </c>
      <c r="CC59" s="545" t="s">
        <v>2233</v>
      </c>
      <c r="CD59" s="642">
        <f>SUM(CD51:CD58)</f>
        <v>0.18941152649582316</v>
      </c>
    </row>
    <row r="60" spans="1:82" s="98" customFormat="1" ht="15" customHeight="1">
      <c r="A60" s="99"/>
      <c r="B60" s="123"/>
      <c r="C60" s="127"/>
      <c r="D60" s="127"/>
      <c r="E60" s="127"/>
      <c r="F60" s="127"/>
      <c r="G60" s="117"/>
      <c r="H60" s="117"/>
      <c r="I60" s="117"/>
      <c r="J60" s="159"/>
      <c r="K60" s="94"/>
      <c r="L60" s="94"/>
      <c r="M60" s="94"/>
      <c r="N60" s="94"/>
      <c r="O60" s="94"/>
      <c r="P60" s="94"/>
      <c r="Q60" s="160"/>
      <c r="R60" s="159"/>
      <c r="S60" s="94"/>
      <c r="T60" s="94"/>
      <c r="U60" s="94"/>
      <c r="V60" s="160"/>
      <c r="W60" s="2629"/>
      <c r="X60" s="94"/>
      <c r="Y60" s="159"/>
      <c r="Z60" s="94"/>
      <c r="AA60" s="94"/>
      <c r="AB60" s="94"/>
      <c r="AC60" s="94"/>
      <c r="AD60" s="94"/>
      <c r="AE60" s="94"/>
      <c r="AF60" s="160"/>
      <c r="AG60" s="159"/>
      <c r="AH60" s="94"/>
      <c r="AI60" s="94"/>
      <c r="AJ60" s="94"/>
      <c r="AK60" s="160"/>
      <c r="AL60" s="2629"/>
      <c r="AM60" s="94"/>
      <c r="AN60" s="159"/>
      <c r="AO60" s="94"/>
      <c r="AP60" s="94"/>
      <c r="AQ60" s="94"/>
      <c r="AR60" s="94"/>
      <c r="AS60" s="94"/>
      <c r="AT60" s="94"/>
      <c r="AU60" s="160"/>
      <c r="AV60" s="159"/>
      <c r="AW60" s="94"/>
      <c r="AX60" s="94"/>
      <c r="AY60" s="94"/>
      <c r="AZ60" s="160"/>
      <c r="BA60" s="2629"/>
      <c r="BB60" s="542"/>
      <c r="BC60" s="542"/>
      <c r="BD60" s="542"/>
      <c r="BE60" s="542"/>
      <c r="BF60" s="542"/>
      <c r="BG60" s="542"/>
      <c r="BH60" s="542"/>
      <c r="BI60" s="542"/>
      <c r="BJ60" s="542"/>
      <c r="BK60" s="542"/>
      <c r="BL60" s="542"/>
      <c r="BM60" s="542"/>
      <c r="BN60" s="542"/>
      <c r="BO60" s="542"/>
      <c r="BP60" s="2629"/>
      <c r="BQ60" s="542"/>
      <c r="BR60" s="542"/>
      <c r="BS60" s="542"/>
      <c r="BT60" s="542"/>
      <c r="BU60" s="542"/>
      <c r="BV60" s="542"/>
      <c r="BW60" s="542"/>
      <c r="BX60" s="542"/>
      <c r="BY60" s="542"/>
      <c r="BZ60" s="542"/>
      <c r="CA60" s="542"/>
      <c r="CB60" s="542"/>
      <c r="CC60" s="542"/>
      <c r="CD60" s="542"/>
    </row>
    <row r="61" spans="1:82" s="98" customFormat="1" ht="15" customHeight="1" thickBot="1">
      <c r="A61" s="99"/>
      <c r="B61" s="191" t="s">
        <v>1701</v>
      </c>
      <c r="C61" s="193"/>
      <c r="D61" s="193"/>
      <c r="E61" s="193"/>
      <c r="F61" s="193"/>
      <c r="G61" s="194"/>
      <c r="H61" s="194"/>
      <c r="I61" s="195" t="s">
        <v>498</v>
      </c>
      <c r="J61" s="717">
        <f>SUM(J37,J48,J59)</f>
        <v>5.2174129248933392</v>
      </c>
      <c r="K61" s="718">
        <f t="shared" ref="K61:V61" si="40">SUM(K37,K48,K59)</f>
        <v>5.000876772824423</v>
      </c>
      <c r="L61" s="718">
        <f t="shared" si="40"/>
        <v>3.4139316262368244</v>
      </c>
      <c r="M61" s="718">
        <f t="shared" si="40"/>
        <v>3.6983622664596512</v>
      </c>
      <c r="N61" s="718">
        <f t="shared" si="40"/>
        <v>7.8274067075286267</v>
      </c>
      <c r="O61" s="718">
        <f t="shared" si="40"/>
        <v>8.6859122029074811</v>
      </c>
      <c r="P61" s="718">
        <f t="shared" si="40"/>
        <v>9.6301748766542143</v>
      </c>
      <c r="Q61" s="719">
        <f t="shared" si="40"/>
        <v>8.5902189709159611</v>
      </c>
      <c r="R61" s="717">
        <f t="shared" si="40"/>
        <v>7.4677989709639609</v>
      </c>
      <c r="S61" s="718">
        <f t="shared" si="40"/>
        <v>7.430459976109141</v>
      </c>
      <c r="T61" s="718">
        <f t="shared" si="40"/>
        <v>7.3933076762285959</v>
      </c>
      <c r="U61" s="718">
        <f t="shared" si="40"/>
        <v>7.3563411378474513</v>
      </c>
      <c r="V61" s="719">
        <f t="shared" si="40"/>
        <v>7.3195594321582158</v>
      </c>
      <c r="W61" s="2630"/>
      <c r="X61" s="1083" t="s">
        <v>498</v>
      </c>
      <c r="Y61" s="717">
        <f>SUM(Y37,Y48,Y59)</f>
        <v>0</v>
      </c>
      <c r="Z61" s="718">
        <f t="shared" ref="Z61:AK61" si="41">SUM(Z37,Z48,Z59)</f>
        <v>0</v>
      </c>
      <c r="AA61" s="718">
        <f t="shared" si="41"/>
        <v>0</v>
      </c>
      <c r="AB61" s="718">
        <f t="shared" si="41"/>
        <v>0</v>
      </c>
      <c r="AC61" s="718">
        <f t="shared" si="41"/>
        <v>0</v>
      </c>
      <c r="AD61" s="718">
        <f t="shared" si="41"/>
        <v>0</v>
      </c>
      <c r="AE61" s="718">
        <f t="shared" si="41"/>
        <v>0</v>
      </c>
      <c r="AF61" s="719">
        <f t="shared" si="41"/>
        <v>0</v>
      </c>
      <c r="AG61" s="717">
        <f t="shared" si="41"/>
        <v>0</v>
      </c>
      <c r="AH61" s="718">
        <f t="shared" si="41"/>
        <v>0</v>
      </c>
      <c r="AI61" s="718">
        <f t="shared" si="41"/>
        <v>0</v>
      </c>
      <c r="AJ61" s="718">
        <f t="shared" si="41"/>
        <v>0</v>
      </c>
      <c r="AK61" s="719">
        <f t="shared" si="41"/>
        <v>0</v>
      </c>
      <c r="AL61" s="2630"/>
      <c r="AM61" s="1083" t="s">
        <v>2233</v>
      </c>
      <c r="AN61" s="717">
        <f>SUM(AN37,AN48,AN59)</f>
        <v>20.41752</v>
      </c>
      <c r="AO61" s="718">
        <f t="shared" ref="AO61:AZ61" si="42">SUM(AO37,AO48,AO59)</f>
        <v>17.229700000000001</v>
      </c>
      <c r="AP61" s="718">
        <f t="shared" si="42"/>
        <v>10.1265</v>
      </c>
      <c r="AQ61" s="718">
        <f t="shared" si="42"/>
        <v>9.9350000000000005</v>
      </c>
      <c r="AR61" s="718">
        <f t="shared" si="42"/>
        <v>24.067</v>
      </c>
      <c r="AS61" s="718">
        <f t="shared" si="42"/>
        <v>25.038</v>
      </c>
      <c r="AT61" s="718">
        <f t="shared" si="42"/>
        <v>25.01318575861297</v>
      </c>
      <c r="AU61" s="719">
        <f t="shared" si="42"/>
        <v>19.139891735220164</v>
      </c>
      <c r="AV61" s="717">
        <f t="shared" si="42"/>
        <v>19.992000000000004</v>
      </c>
      <c r="AW61" s="718">
        <f t="shared" si="42"/>
        <v>19.992000000000004</v>
      </c>
      <c r="AX61" s="718">
        <f t="shared" si="42"/>
        <v>19.992000000000004</v>
      </c>
      <c r="AY61" s="718">
        <f t="shared" si="42"/>
        <v>19.992000000000004</v>
      </c>
      <c r="AZ61" s="719">
        <f t="shared" si="42"/>
        <v>19.992000000000004</v>
      </c>
      <c r="BA61" s="2630"/>
      <c r="BB61" s="548"/>
      <c r="BC61" s="548"/>
      <c r="BD61" s="548"/>
      <c r="BE61" s="1537"/>
      <c r="BF61" s="1081" t="s">
        <v>2233</v>
      </c>
      <c r="BG61" s="1082">
        <f>SUM(BG37,BG48,BG59)</f>
        <v>102.17772890206041</v>
      </c>
      <c r="BH61" s="1081" t="s">
        <v>2233</v>
      </c>
      <c r="BI61" s="1082">
        <f>SUM(BI37,BI48,BI59)</f>
        <v>0</v>
      </c>
      <c r="BJ61" s="1081" t="s">
        <v>2233</v>
      </c>
      <c r="BK61" s="1082">
        <f>SUM(BK37,BK48,BK59)</f>
        <v>34.795119813094203</v>
      </c>
      <c r="BL61" s="1081" t="s">
        <v>2233</v>
      </c>
      <c r="BM61" s="1082">
        <f>SUM(BM37,BM48,BM59)</f>
        <v>10.895025362479602</v>
      </c>
      <c r="BN61" s="1081" t="s">
        <v>2233</v>
      </c>
      <c r="BO61" s="1082">
        <f>SUM(BO37,BO48,BO59)</f>
        <v>3.0989234161989159</v>
      </c>
      <c r="BP61" s="2630"/>
      <c r="BQ61" s="548"/>
      <c r="BR61" s="548"/>
      <c r="BS61" s="548"/>
      <c r="BT61" s="1537"/>
      <c r="BU61" s="1081" t="s">
        <v>2233</v>
      </c>
      <c r="BV61" s="1082">
        <f>SUM(BV37,BV48,BV59)</f>
        <v>67.655179487179495</v>
      </c>
      <c r="BW61" s="1081" t="s">
        <v>2233</v>
      </c>
      <c r="BX61" s="1082">
        <f>SUM(BX37,BX48,BX59)</f>
        <v>0</v>
      </c>
      <c r="BY61" s="1081" t="s">
        <v>2233</v>
      </c>
      <c r="BZ61" s="1082">
        <f>SUM(BZ37,BZ48,BZ59)</f>
        <v>23.038974358974365</v>
      </c>
      <c r="CA61" s="1081" t="s">
        <v>2233</v>
      </c>
      <c r="CB61" s="1082">
        <f>SUM(CB37,CB48,CB59)</f>
        <v>7.2139487179487185</v>
      </c>
      <c r="CC61" s="1081" t="s">
        <v>2233</v>
      </c>
      <c r="CD61" s="1082">
        <f>SUM(CD37,CD48,CD59)</f>
        <v>2.0518974358974362</v>
      </c>
    </row>
    <row r="62" spans="1:82" s="99" customFormat="1" ht="15" customHeight="1" thickBot="1">
      <c r="B62" s="150"/>
      <c r="C62" s="150"/>
      <c r="D62" s="150"/>
      <c r="E62" s="150"/>
      <c r="F62" s="150"/>
      <c r="G62" s="97"/>
      <c r="H62" s="97"/>
      <c r="I62" s="98"/>
      <c r="J62" s="2629"/>
      <c r="K62" s="2629"/>
      <c r="L62" s="2629"/>
      <c r="M62" s="2629"/>
      <c r="N62" s="2629"/>
      <c r="O62" s="2629"/>
      <c r="P62" s="2629"/>
      <c r="Q62" s="2629"/>
      <c r="R62" s="2629"/>
      <c r="S62" s="2629"/>
      <c r="T62" s="2629"/>
      <c r="U62" s="2629"/>
      <c r="V62" s="2629"/>
      <c r="W62" s="2629"/>
      <c r="X62" s="2629"/>
      <c r="Y62" s="2631"/>
      <c r="Z62" s="2631"/>
      <c r="AA62" s="2631"/>
      <c r="AB62" s="2631"/>
      <c r="AC62" s="2631"/>
      <c r="AD62" s="2631"/>
      <c r="AE62" s="2631"/>
      <c r="AF62" s="2631"/>
      <c r="AG62" s="2631"/>
      <c r="AH62" s="2631"/>
      <c r="AI62" s="2631"/>
      <c r="AJ62" s="2631"/>
      <c r="AK62" s="2631"/>
      <c r="AL62" s="2631"/>
      <c r="AM62" s="2631"/>
      <c r="AN62" s="2631"/>
      <c r="AO62" s="2631"/>
      <c r="AP62" s="2631"/>
      <c r="AQ62" s="2631"/>
      <c r="AR62" s="2631"/>
      <c r="AS62" s="359"/>
      <c r="AT62" s="542"/>
      <c r="AU62" s="542"/>
      <c r="AV62" s="542"/>
      <c r="AW62" s="542"/>
      <c r="AX62" s="542"/>
      <c r="AY62" s="542"/>
      <c r="AZ62" s="542"/>
      <c r="BA62" s="2631"/>
      <c r="BB62" s="542"/>
      <c r="BC62" s="2631"/>
      <c r="BD62" s="2631"/>
      <c r="BE62" s="2631"/>
      <c r="BF62" s="2631"/>
      <c r="BG62" s="2631"/>
      <c r="BH62" s="2631"/>
      <c r="BI62" s="2631"/>
      <c r="BJ62" s="2631"/>
      <c r="BK62" s="2631"/>
      <c r="BL62" s="2631"/>
      <c r="BM62" s="2631"/>
      <c r="BN62" s="2631"/>
      <c r="BO62" s="2631"/>
      <c r="BP62" s="2631"/>
      <c r="BQ62" s="2631"/>
      <c r="BR62" s="2631"/>
      <c r="BS62" s="2631"/>
      <c r="BT62" s="2631"/>
      <c r="BU62" s="2631"/>
      <c r="BV62" s="2631"/>
      <c r="BW62" s="2631"/>
      <c r="BX62" s="2631"/>
      <c r="BY62" s="2631"/>
      <c r="BZ62" s="2631"/>
      <c r="CA62" s="2631"/>
      <c r="CB62" s="2631"/>
      <c r="CC62" s="2631"/>
      <c r="CD62" s="2631"/>
    </row>
    <row r="63" spans="1:82" s="100" customFormat="1" ht="30" customHeight="1" thickBot="1">
      <c r="A63" s="89"/>
      <c r="B63" s="621" t="s">
        <v>2733</v>
      </c>
      <c r="C63" s="101"/>
      <c r="D63" s="102"/>
      <c r="E63" s="102"/>
      <c r="F63" s="102"/>
      <c r="G63" s="103"/>
      <c r="H63" s="103"/>
      <c r="I63" s="105" t="s">
        <v>1864</v>
      </c>
      <c r="J63" s="106"/>
      <c r="K63" s="106"/>
      <c r="L63" s="106"/>
      <c r="M63" s="106"/>
      <c r="N63" s="106"/>
      <c r="O63" s="106"/>
      <c r="P63" s="106"/>
      <c r="Q63" s="106"/>
      <c r="R63" s="105"/>
      <c r="S63" s="105"/>
      <c r="T63" s="105"/>
      <c r="U63" s="105"/>
      <c r="V63" s="105"/>
      <c r="W63" s="103"/>
      <c r="X63" s="105" t="s">
        <v>2202</v>
      </c>
      <c r="Y63" s="106"/>
      <c r="Z63" s="106"/>
      <c r="AA63" s="106"/>
      <c r="AB63" s="106"/>
      <c r="AC63" s="106"/>
      <c r="AD63" s="106"/>
      <c r="AE63" s="106"/>
      <c r="AF63" s="106"/>
      <c r="AG63" s="105"/>
      <c r="AH63" s="105"/>
      <c r="AI63" s="105"/>
      <c r="AJ63" s="105"/>
      <c r="AK63" s="105"/>
      <c r="AL63" s="103"/>
      <c r="AM63" s="105" t="s">
        <v>2231</v>
      </c>
      <c r="AN63" s="106"/>
      <c r="AO63" s="106"/>
      <c r="AP63" s="106"/>
      <c r="AQ63" s="106"/>
      <c r="AR63" s="106"/>
      <c r="AS63" s="106"/>
      <c r="AT63" s="106"/>
      <c r="AU63" s="106"/>
      <c r="AV63" s="105"/>
      <c r="AW63" s="105"/>
      <c r="AX63" s="105"/>
      <c r="AY63" s="105"/>
      <c r="AZ63" s="105"/>
      <c r="BA63" s="103"/>
      <c r="BB63" s="105" t="s">
        <v>2690</v>
      </c>
      <c r="BC63" s="105"/>
      <c r="BD63" s="105"/>
      <c r="BE63" s="105"/>
      <c r="BF63" s="105"/>
      <c r="BG63" s="105"/>
      <c r="BH63" s="105"/>
      <c r="BI63" s="105"/>
      <c r="BJ63" s="105"/>
      <c r="BK63" s="105"/>
      <c r="BL63" s="105"/>
      <c r="BM63" s="105"/>
      <c r="BN63" s="105"/>
      <c r="BO63" s="105"/>
      <c r="BP63" s="103"/>
      <c r="BQ63" s="105" t="s">
        <v>2691</v>
      </c>
      <c r="BR63" s="105"/>
      <c r="BS63" s="105"/>
      <c r="BT63" s="105"/>
      <c r="BU63" s="105"/>
      <c r="BV63" s="105"/>
      <c r="BW63" s="105"/>
      <c r="BX63" s="105"/>
      <c r="BY63" s="105"/>
      <c r="BZ63" s="105"/>
      <c r="CA63" s="105"/>
      <c r="CB63" s="105"/>
      <c r="CC63" s="105"/>
      <c r="CD63" s="187"/>
    </row>
    <row r="64" spans="1:82" s="157" customFormat="1" ht="30" customHeight="1">
      <c r="A64" s="99"/>
      <c r="B64" s="109"/>
      <c r="C64" s="110"/>
      <c r="D64" s="110"/>
      <c r="E64" s="110"/>
      <c r="F64" s="110"/>
      <c r="G64" s="111"/>
      <c r="H64" s="111"/>
      <c r="I64" s="117"/>
      <c r="J64" s="695" t="s">
        <v>1666</v>
      </c>
      <c r="K64" s="152"/>
      <c r="L64" s="152"/>
      <c r="M64" s="152"/>
      <c r="N64" s="152"/>
      <c r="O64" s="152"/>
      <c r="P64" s="152"/>
      <c r="Q64" s="153"/>
      <c r="R64" s="696" t="s">
        <v>2</v>
      </c>
      <c r="S64" s="155"/>
      <c r="T64" s="155"/>
      <c r="U64" s="155"/>
      <c r="V64" s="156"/>
      <c r="W64" s="2632"/>
      <c r="X64" s="94"/>
      <c r="Y64" s="695" t="s">
        <v>1666</v>
      </c>
      <c r="Z64" s="152"/>
      <c r="AA64" s="152"/>
      <c r="AB64" s="152"/>
      <c r="AC64" s="152"/>
      <c r="AD64" s="152"/>
      <c r="AE64" s="152"/>
      <c r="AF64" s="153"/>
      <c r="AG64" s="696" t="s">
        <v>2</v>
      </c>
      <c r="AH64" s="155"/>
      <c r="AI64" s="155"/>
      <c r="AJ64" s="155"/>
      <c r="AK64" s="156"/>
      <c r="AL64" s="2632"/>
      <c r="AM64" s="94"/>
      <c r="AN64" s="695" t="s">
        <v>1666</v>
      </c>
      <c r="AO64" s="152"/>
      <c r="AP64" s="152"/>
      <c r="AQ64" s="152"/>
      <c r="AR64" s="152"/>
      <c r="AS64" s="152"/>
      <c r="AT64" s="152"/>
      <c r="AU64" s="153"/>
      <c r="AV64" s="696" t="s">
        <v>2</v>
      </c>
      <c r="AW64" s="155"/>
      <c r="AX64" s="155"/>
      <c r="AY64" s="155"/>
      <c r="AZ64" s="156"/>
      <c r="BA64" s="2632"/>
      <c r="BB64" s="2633" t="s">
        <v>2693</v>
      </c>
      <c r="BC64" s="2633"/>
      <c r="BD64" s="2633" t="s">
        <v>2694</v>
      </c>
      <c r="BE64" s="2633"/>
      <c r="BF64" s="2633" t="s">
        <v>2695</v>
      </c>
      <c r="BG64" s="2633"/>
      <c r="BH64" s="2633" t="s">
        <v>2696</v>
      </c>
      <c r="BI64" s="2633"/>
      <c r="BJ64" s="2633" t="s">
        <v>2697</v>
      </c>
      <c r="BK64" s="2633"/>
      <c r="BL64" s="2633" t="s">
        <v>2698</v>
      </c>
      <c r="BM64" s="2633"/>
      <c r="BN64" s="2633" t="s">
        <v>2699</v>
      </c>
      <c r="BO64" s="2633"/>
      <c r="BP64" s="2632"/>
      <c r="BQ64" s="2633" t="s">
        <v>2693</v>
      </c>
      <c r="BR64" s="2633"/>
      <c r="BS64" s="2633" t="s">
        <v>2694</v>
      </c>
      <c r="BT64" s="2633"/>
      <c r="BU64" s="2633" t="s">
        <v>2695</v>
      </c>
      <c r="BV64" s="2633"/>
      <c r="BW64" s="2633" t="s">
        <v>2696</v>
      </c>
      <c r="BX64" s="2633"/>
      <c r="BY64" s="2633" t="s">
        <v>2697</v>
      </c>
      <c r="BZ64" s="2633"/>
      <c r="CA64" s="2633" t="s">
        <v>2698</v>
      </c>
      <c r="CB64" s="2633"/>
      <c r="CC64" s="2633" t="s">
        <v>2699</v>
      </c>
      <c r="CD64" s="2634"/>
    </row>
    <row r="65" spans="1:82" s="98" customFormat="1" ht="15" customHeight="1">
      <c r="A65" s="99"/>
      <c r="B65" s="115"/>
      <c r="C65" s="116"/>
      <c r="D65" s="116"/>
      <c r="E65" s="116"/>
      <c r="F65" s="116"/>
      <c r="G65" s="117"/>
      <c r="H65" s="117"/>
      <c r="I65" s="119" t="s">
        <v>1667</v>
      </c>
      <c r="J65" s="158" t="s">
        <v>453</v>
      </c>
      <c r="K65" s="137" t="s">
        <v>455</v>
      </c>
      <c r="L65" s="137" t="s">
        <v>457</v>
      </c>
      <c r="M65" s="137" t="s">
        <v>459</v>
      </c>
      <c r="N65" s="137" t="s">
        <v>461</v>
      </c>
      <c r="O65" s="137" t="s">
        <v>463</v>
      </c>
      <c r="P65" s="137" t="s">
        <v>465</v>
      </c>
      <c r="Q65" s="138" t="s">
        <v>467</v>
      </c>
      <c r="R65" s="120" t="s">
        <v>469</v>
      </c>
      <c r="S65" s="121" t="s">
        <v>471</v>
      </c>
      <c r="T65" s="121" t="s">
        <v>473</v>
      </c>
      <c r="U65" s="121" t="s">
        <v>475</v>
      </c>
      <c r="V65" s="122" t="s">
        <v>477</v>
      </c>
      <c r="W65" s="2629"/>
      <c r="X65" s="119" t="s">
        <v>1667</v>
      </c>
      <c r="Y65" s="158" t="s">
        <v>453</v>
      </c>
      <c r="Z65" s="137" t="s">
        <v>455</v>
      </c>
      <c r="AA65" s="137" t="s">
        <v>457</v>
      </c>
      <c r="AB65" s="137" t="s">
        <v>459</v>
      </c>
      <c r="AC65" s="137" t="s">
        <v>461</v>
      </c>
      <c r="AD65" s="137" t="s">
        <v>463</v>
      </c>
      <c r="AE65" s="137" t="s">
        <v>465</v>
      </c>
      <c r="AF65" s="138" t="s">
        <v>467</v>
      </c>
      <c r="AG65" s="120" t="s">
        <v>469</v>
      </c>
      <c r="AH65" s="121" t="s">
        <v>471</v>
      </c>
      <c r="AI65" s="121" t="s">
        <v>473</v>
      </c>
      <c r="AJ65" s="121" t="s">
        <v>475</v>
      </c>
      <c r="AK65" s="122" t="s">
        <v>477</v>
      </c>
      <c r="AL65" s="2629"/>
      <c r="AM65" s="119" t="s">
        <v>1667</v>
      </c>
      <c r="AN65" s="158" t="s">
        <v>453</v>
      </c>
      <c r="AO65" s="137" t="s">
        <v>455</v>
      </c>
      <c r="AP65" s="137" t="s">
        <v>457</v>
      </c>
      <c r="AQ65" s="137" t="s">
        <v>459</v>
      </c>
      <c r="AR65" s="137" t="s">
        <v>461</v>
      </c>
      <c r="AS65" s="137" t="s">
        <v>463</v>
      </c>
      <c r="AT65" s="137" t="s">
        <v>465</v>
      </c>
      <c r="AU65" s="138" t="s">
        <v>467</v>
      </c>
      <c r="AV65" s="120" t="s">
        <v>469</v>
      </c>
      <c r="AW65" s="121" t="s">
        <v>471</v>
      </c>
      <c r="AX65" s="121" t="s">
        <v>473</v>
      </c>
      <c r="AY65" s="121" t="s">
        <v>475</v>
      </c>
      <c r="AZ65" s="122" t="s">
        <v>477</v>
      </c>
      <c r="BA65" s="2629"/>
      <c r="BB65" s="2635" t="s">
        <v>1667</v>
      </c>
      <c r="BC65" s="2635" t="s">
        <v>2142</v>
      </c>
      <c r="BD65" s="2635" t="s">
        <v>1667</v>
      </c>
      <c r="BE65" s="2635" t="s">
        <v>2142</v>
      </c>
      <c r="BF65" s="2635" t="s">
        <v>1667</v>
      </c>
      <c r="BG65" s="2635" t="s">
        <v>2142</v>
      </c>
      <c r="BH65" s="2635" t="s">
        <v>1667</v>
      </c>
      <c r="BI65" s="2635" t="s">
        <v>2142</v>
      </c>
      <c r="BJ65" s="2635" t="s">
        <v>1667</v>
      </c>
      <c r="BK65" s="2635" t="s">
        <v>2142</v>
      </c>
      <c r="BL65" s="2635" t="s">
        <v>1667</v>
      </c>
      <c r="BM65" s="2635" t="s">
        <v>2142</v>
      </c>
      <c r="BN65" s="2635" t="s">
        <v>1667</v>
      </c>
      <c r="BO65" s="2635" t="s">
        <v>2142</v>
      </c>
      <c r="BP65" s="2629"/>
      <c r="BQ65" s="2635" t="s">
        <v>1667</v>
      </c>
      <c r="BR65" s="2635" t="s">
        <v>2142</v>
      </c>
      <c r="BS65" s="2635" t="s">
        <v>1667</v>
      </c>
      <c r="BT65" s="2635" t="s">
        <v>2142</v>
      </c>
      <c r="BU65" s="2635" t="s">
        <v>1667</v>
      </c>
      <c r="BV65" s="2635" t="s">
        <v>2142</v>
      </c>
      <c r="BW65" s="2635" t="s">
        <v>1667</v>
      </c>
      <c r="BX65" s="2635" t="s">
        <v>2142</v>
      </c>
      <c r="BY65" s="2635" t="s">
        <v>1667</v>
      </c>
      <c r="BZ65" s="2635" t="s">
        <v>2142</v>
      </c>
      <c r="CA65" s="2635" t="s">
        <v>1667</v>
      </c>
      <c r="CB65" s="2635" t="s">
        <v>2142</v>
      </c>
      <c r="CC65" s="2635" t="s">
        <v>1667</v>
      </c>
      <c r="CD65" s="2636" t="s">
        <v>2142</v>
      </c>
    </row>
    <row r="66" spans="1:82" s="98" customFormat="1" ht="15" customHeight="1">
      <c r="A66" s="99"/>
      <c r="B66" s="161"/>
      <c r="C66" s="116" t="s">
        <v>2687</v>
      </c>
      <c r="D66" s="116"/>
      <c r="E66" s="116"/>
      <c r="F66" s="116"/>
      <c r="G66" s="117"/>
      <c r="H66" s="117"/>
      <c r="I66" s="117"/>
      <c r="J66" s="159"/>
      <c r="K66" s="94"/>
      <c r="L66" s="94"/>
      <c r="M66" s="94"/>
      <c r="N66" s="94"/>
      <c r="O66" s="94"/>
      <c r="P66" s="94"/>
      <c r="Q66" s="160"/>
      <c r="R66" s="159"/>
      <c r="S66" s="94"/>
      <c r="T66" s="94"/>
      <c r="U66" s="94"/>
      <c r="V66" s="160"/>
      <c r="W66" s="2629"/>
      <c r="X66" s="94"/>
      <c r="Y66" s="159"/>
      <c r="Z66" s="94"/>
      <c r="AA66" s="94"/>
      <c r="AB66" s="94"/>
      <c r="AC66" s="94"/>
      <c r="AD66" s="94"/>
      <c r="AE66" s="94"/>
      <c r="AF66" s="160"/>
      <c r="AG66" s="159"/>
      <c r="AH66" s="94"/>
      <c r="AI66" s="94"/>
      <c r="AJ66" s="94"/>
      <c r="AK66" s="160"/>
      <c r="AL66" s="2629"/>
      <c r="AM66" s="94"/>
      <c r="AN66" s="159"/>
      <c r="AO66" s="94"/>
      <c r="AP66" s="94"/>
      <c r="AQ66" s="94"/>
      <c r="AR66" s="94"/>
      <c r="AS66" s="94"/>
      <c r="AT66" s="94"/>
      <c r="AU66" s="160"/>
      <c r="AV66" s="159"/>
      <c r="AW66" s="94"/>
      <c r="AX66" s="94"/>
      <c r="AY66" s="94"/>
      <c r="AZ66" s="160"/>
      <c r="BA66" s="2629"/>
      <c r="BB66" s="542"/>
      <c r="BC66" s="542"/>
      <c r="BD66" s="542"/>
      <c r="BE66" s="542"/>
      <c r="BF66" s="542"/>
      <c r="BG66" s="542"/>
      <c r="BH66" s="542"/>
      <c r="BI66" s="542"/>
      <c r="BJ66" s="542"/>
      <c r="BK66" s="542"/>
      <c r="BL66" s="542"/>
      <c r="BM66" s="542"/>
      <c r="BN66" s="542"/>
      <c r="BO66" s="542"/>
      <c r="BP66" s="2629"/>
      <c r="BQ66" s="542"/>
      <c r="BR66" s="542"/>
      <c r="BS66" s="542"/>
      <c r="BT66" s="542"/>
      <c r="BU66" s="542"/>
      <c r="BV66" s="542"/>
      <c r="BW66" s="542"/>
      <c r="BX66" s="542"/>
      <c r="BY66" s="542"/>
      <c r="BZ66" s="542"/>
      <c r="CA66" s="542"/>
      <c r="CB66" s="542"/>
      <c r="CC66" s="542"/>
      <c r="CD66" s="544"/>
    </row>
    <row r="67" spans="1:82" s="98" customFormat="1" ht="15" customHeight="1">
      <c r="A67" s="99"/>
      <c r="B67" s="161"/>
      <c r="C67" s="162"/>
      <c r="D67" s="162" t="s">
        <v>2701</v>
      </c>
      <c r="E67" s="162"/>
      <c r="F67" s="162"/>
      <c r="G67" s="163"/>
      <c r="H67" s="163"/>
      <c r="I67" s="164" t="s">
        <v>498</v>
      </c>
      <c r="J67" s="143">
        <v>1.7414766050003964E-2</v>
      </c>
      <c r="K67" s="141">
        <v>2.7619568087022699E-2</v>
      </c>
      <c r="L67" s="141">
        <v>4.52005075196266E-2</v>
      </c>
      <c r="M67" s="141">
        <v>3.8320816073604321E-3</v>
      </c>
      <c r="N67" s="141">
        <v>6.9865048924684691E-3</v>
      </c>
      <c r="O67" s="141">
        <v>1.716490571742166E-3</v>
      </c>
      <c r="P67" s="141">
        <v>1.9337820992407551E-2</v>
      </c>
      <c r="Q67" s="144">
        <v>1.6440021482428412E-2</v>
      </c>
      <c r="R67" s="143">
        <v>4.1464002523489848E-2</v>
      </c>
      <c r="S67" s="141">
        <v>4.1256682510872396E-2</v>
      </c>
      <c r="T67" s="141">
        <v>4.1050399098318036E-2</v>
      </c>
      <c r="U67" s="141">
        <v>4.0845147102826447E-2</v>
      </c>
      <c r="V67" s="144">
        <v>4.0640921367312316E-2</v>
      </c>
      <c r="W67" s="2629"/>
      <c r="X67" s="607" t="s">
        <v>498</v>
      </c>
      <c r="Y67" s="143">
        <v>0</v>
      </c>
      <c r="Z67" s="141">
        <v>0</v>
      </c>
      <c r="AA67" s="141">
        <v>0</v>
      </c>
      <c r="AB67" s="141">
        <v>0</v>
      </c>
      <c r="AC67" s="141">
        <v>0</v>
      </c>
      <c r="AD67" s="141">
        <v>0</v>
      </c>
      <c r="AE67" s="141">
        <v>0</v>
      </c>
      <c r="AF67" s="144">
        <v>0</v>
      </c>
      <c r="AG67" s="143">
        <v>0</v>
      </c>
      <c r="AH67" s="141">
        <v>0</v>
      </c>
      <c r="AI67" s="141">
        <v>0</v>
      </c>
      <c r="AJ67" s="141">
        <v>0</v>
      </c>
      <c r="AK67" s="144">
        <v>0</v>
      </c>
      <c r="AL67" s="2629"/>
      <c r="AM67" s="607" t="s">
        <v>2233</v>
      </c>
      <c r="AN67" s="143">
        <v>0.182</v>
      </c>
      <c r="AO67" s="141">
        <v>0.316</v>
      </c>
      <c r="AP67" s="141">
        <v>0.11799999999999999</v>
      </c>
      <c r="AQ67" s="141">
        <v>7.0000000000000001E-3</v>
      </c>
      <c r="AR67" s="141">
        <v>7.4999999999999997E-2</v>
      </c>
      <c r="AS67" s="141">
        <v>2.1000000000000001E-2</v>
      </c>
      <c r="AT67" s="141">
        <v>0.11670081455614839</v>
      </c>
      <c r="AU67" s="144">
        <v>8.5687114544026499E-2</v>
      </c>
      <c r="AV67" s="143">
        <v>0.29696341071894755</v>
      </c>
      <c r="AW67" s="141">
        <v>0.29696341071894755</v>
      </c>
      <c r="AX67" s="141">
        <v>0.29696341071894755</v>
      </c>
      <c r="AY67" s="141">
        <v>0.29696341071894755</v>
      </c>
      <c r="AZ67" s="144">
        <v>0.29696341071894755</v>
      </c>
      <c r="BA67" s="2629"/>
      <c r="BB67" s="545" t="s">
        <v>627</v>
      </c>
      <c r="BC67" s="868">
        <v>0</v>
      </c>
      <c r="BD67" s="545" t="s">
        <v>627</v>
      </c>
      <c r="BE67" s="868">
        <v>0</v>
      </c>
      <c r="BF67" s="545" t="s">
        <v>2233</v>
      </c>
      <c r="BG67" s="141">
        <v>0.5112297124796652</v>
      </c>
      <c r="BH67" s="545" t="s">
        <v>2233</v>
      </c>
      <c r="BI67" s="141">
        <v>0</v>
      </c>
      <c r="BJ67" s="545" t="s">
        <v>2233</v>
      </c>
      <c r="BK67" s="141">
        <v>0.32172929338078388</v>
      </c>
      <c r="BL67" s="545" t="s">
        <v>2233</v>
      </c>
      <c r="BM67" s="141">
        <v>5.4784481350861419E-2</v>
      </c>
      <c r="BN67" s="545" t="s">
        <v>2233</v>
      </c>
      <c r="BO67" s="141">
        <v>3.3644441888864458E-2</v>
      </c>
      <c r="BP67" s="2629"/>
      <c r="BQ67" s="545" t="s">
        <v>627</v>
      </c>
      <c r="BR67" s="868">
        <v>0</v>
      </c>
      <c r="BS67" s="545" t="s">
        <v>627</v>
      </c>
      <c r="BT67" s="868">
        <v>0</v>
      </c>
      <c r="BU67" s="545" t="s">
        <v>2233</v>
      </c>
      <c r="BV67" s="141">
        <v>0.82384690684569695</v>
      </c>
      <c r="BW67" s="545" t="s">
        <v>2233</v>
      </c>
      <c r="BX67" s="141">
        <v>0</v>
      </c>
      <c r="BY67" s="545" t="s">
        <v>2233</v>
      </c>
      <c r="BZ67" s="141">
        <v>0.51846689799735279</v>
      </c>
      <c r="CA67" s="545" t="s">
        <v>2233</v>
      </c>
      <c r="CB67" s="141">
        <v>8.8285215828194277E-2</v>
      </c>
      <c r="CC67" s="545" t="s">
        <v>2233</v>
      </c>
      <c r="CD67" s="141">
        <v>5.4218032923493843E-2</v>
      </c>
    </row>
    <row r="68" spans="1:82" s="98" customFormat="1" ht="15" customHeight="1">
      <c r="A68" s="99"/>
      <c r="B68" s="161"/>
      <c r="C68" s="162"/>
      <c r="D68" s="162" t="s">
        <v>2702</v>
      </c>
      <c r="E68" s="162"/>
      <c r="F68" s="162"/>
      <c r="G68" s="163"/>
      <c r="H68" s="163"/>
      <c r="I68" s="164" t="s">
        <v>498</v>
      </c>
      <c r="J68" s="143">
        <v>9.8030080172677152E-3</v>
      </c>
      <c r="K68" s="141">
        <v>2.5122030467611516E-2</v>
      </c>
      <c r="L68" s="141">
        <v>1.6871788165184339E-3</v>
      </c>
      <c r="M68" s="141">
        <v>1.2124772013324554E-2</v>
      </c>
      <c r="N68" s="141">
        <v>9.9379005486448044E-3</v>
      </c>
      <c r="O68" s="141">
        <v>1.2164224994420167E-2</v>
      </c>
      <c r="P68" s="141">
        <v>2.5764509966452825E-2</v>
      </c>
      <c r="Q68" s="144">
        <v>2.1903662129204093E-2</v>
      </c>
      <c r="R68" s="143">
        <v>1.6853152529912138E-2</v>
      </c>
      <c r="S68" s="141">
        <v>1.6768886767262577E-2</v>
      </c>
      <c r="T68" s="141">
        <v>1.6685042333426263E-2</v>
      </c>
      <c r="U68" s="141">
        <v>1.6601617121759133E-2</v>
      </c>
      <c r="V68" s="144">
        <v>1.6518609036150336E-2</v>
      </c>
      <c r="W68" s="2629"/>
      <c r="X68" s="607" t="s">
        <v>498</v>
      </c>
      <c r="Y68" s="143">
        <v>0</v>
      </c>
      <c r="Z68" s="141">
        <v>0</v>
      </c>
      <c r="AA68" s="141">
        <v>0</v>
      </c>
      <c r="AB68" s="141">
        <v>0</v>
      </c>
      <c r="AC68" s="141">
        <v>0</v>
      </c>
      <c r="AD68" s="141">
        <v>0</v>
      </c>
      <c r="AE68" s="141">
        <v>0</v>
      </c>
      <c r="AF68" s="144">
        <v>0</v>
      </c>
      <c r="AG68" s="143">
        <v>0</v>
      </c>
      <c r="AH68" s="141">
        <v>0</v>
      </c>
      <c r="AI68" s="141">
        <v>0</v>
      </c>
      <c r="AJ68" s="141">
        <v>0</v>
      </c>
      <c r="AK68" s="144">
        <v>0</v>
      </c>
      <c r="AL68" s="2629"/>
      <c r="AM68" s="607" t="s">
        <v>2233</v>
      </c>
      <c r="AN68" s="143">
        <v>8.2000000000000003E-2</v>
      </c>
      <c r="AO68" s="141">
        <v>0.26250000000000001</v>
      </c>
      <c r="AP68" s="141">
        <v>8.0000000000000002E-3</v>
      </c>
      <c r="AQ68" s="141">
        <v>6.0999999999999999E-2</v>
      </c>
      <c r="AR68" s="141">
        <v>0.108</v>
      </c>
      <c r="AS68" s="141">
        <v>0.11600000000000001</v>
      </c>
      <c r="AT68" s="141">
        <v>0.19562526584027309</v>
      </c>
      <c r="AU68" s="144">
        <v>0.13787984240976042</v>
      </c>
      <c r="AV68" s="143">
        <v>0.10701384170052165</v>
      </c>
      <c r="AW68" s="141">
        <v>0.10701384170052165</v>
      </c>
      <c r="AX68" s="141">
        <v>0.10701384170052165</v>
      </c>
      <c r="AY68" s="141">
        <v>0.10701384170052165</v>
      </c>
      <c r="AZ68" s="144">
        <v>0.10701384170052165</v>
      </c>
      <c r="BA68" s="2629"/>
      <c r="BB68" s="545" t="s">
        <v>627</v>
      </c>
      <c r="BC68" s="868">
        <v>0</v>
      </c>
      <c r="BD68" s="545" t="s">
        <v>627</v>
      </c>
      <c r="BE68" s="868">
        <v>0</v>
      </c>
      <c r="BF68" s="545" t="s">
        <v>2233</v>
      </c>
      <c r="BG68" s="141">
        <v>0.53875967616782239</v>
      </c>
      <c r="BH68" s="545" t="s">
        <v>2233</v>
      </c>
      <c r="BI68" s="141">
        <v>0</v>
      </c>
      <c r="BJ68" s="545" t="s">
        <v>2233</v>
      </c>
      <c r="BK68" s="141">
        <v>0.33905456917750659</v>
      </c>
      <c r="BL68" s="545" t="s">
        <v>2233</v>
      </c>
      <c r="BM68" s="141">
        <v>5.7734651783930162E-2</v>
      </c>
      <c r="BN68" s="545" t="s">
        <v>2233</v>
      </c>
      <c r="BO68" s="141">
        <v>3.5456211120774267E-2</v>
      </c>
      <c r="BP68" s="2629"/>
      <c r="BQ68" s="545" t="s">
        <v>627</v>
      </c>
      <c r="BR68" s="868">
        <v>0</v>
      </c>
      <c r="BS68" s="545" t="s">
        <v>627</v>
      </c>
      <c r="BT68" s="868">
        <v>0</v>
      </c>
      <c r="BU68" s="545" t="s">
        <v>2233</v>
      </c>
      <c r="BV68" s="141">
        <v>0.29688176823268364</v>
      </c>
      <c r="BW68" s="545" t="s">
        <v>2233</v>
      </c>
      <c r="BX68" s="141">
        <v>0</v>
      </c>
      <c r="BY68" s="545" t="s">
        <v>2233</v>
      </c>
      <c r="BZ68" s="141">
        <v>0.18683491819724427</v>
      </c>
      <c r="CA68" s="545" t="s">
        <v>2233</v>
      </c>
      <c r="CB68" s="141">
        <v>3.1814492190340285E-2</v>
      </c>
      <c r="CC68" s="545" t="s">
        <v>2233</v>
      </c>
      <c r="CD68" s="141">
        <v>1.9538029882340126E-2</v>
      </c>
    </row>
    <row r="69" spans="1:82" s="98" customFormat="1" ht="15" customHeight="1">
      <c r="A69" s="99"/>
      <c r="B69" s="161"/>
      <c r="C69" s="162"/>
      <c r="D69" s="162" t="s">
        <v>2703</v>
      </c>
      <c r="E69" s="162"/>
      <c r="F69" s="162"/>
      <c r="G69" s="163"/>
      <c r="H69" s="163"/>
      <c r="I69" s="164" t="s">
        <v>498</v>
      </c>
      <c r="J69" s="143">
        <v>1.8922031852216454E-3</v>
      </c>
      <c r="K69" s="141">
        <v>1.3585844970632624E-2</v>
      </c>
      <c r="L69" s="141">
        <v>0</v>
      </c>
      <c r="M69" s="141">
        <v>0</v>
      </c>
      <c r="N69" s="141">
        <v>8.6528985185556665E-4</v>
      </c>
      <c r="O69" s="141">
        <v>0</v>
      </c>
      <c r="P69" s="141">
        <v>0.13179159792106993</v>
      </c>
      <c r="Q69" s="144">
        <v>0.11204244272799059</v>
      </c>
      <c r="R69" s="143">
        <v>2.7761477477948994E-3</v>
      </c>
      <c r="S69" s="141">
        <v>2.762267009055925E-3</v>
      </c>
      <c r="T69" s="141">
        <v>2.7484556740106454E-3</v>
      </c>
      <c r="U69" s="141">
        <v>2.7347133956405921E-3</v>
      </c>
      <c r="V69" s="144">
        <v>2.7210398286623889E-3</v>
      </c>
      <c r="W69" s="2629"/>
      <c r="X69" s="607" t="s">
        <v>498</v>
      </c>
      <c r="Y69" s="143">
        <v>0</v>
      </c>
      <c r="Z69" s="141">
        <v>0</v>
      </c>
      <c r="AA69" s="141">
        <v>0</v>
      </c>
      <c r="AB69" s="141">
        <v>0</v>
      </c>
      <c r="AC69" s="141">
        <v>0</v>
      </c>
      <c r="AD69" s="141">
        <v>0</v>
      </c>
      <c r="AE69" s="141">
        <v>0</v>
      </c>
      <c r="AF69" s="144">
        <v>0</v>
      </c>
      <c r="AG69" s="143">
        <v>0</v>
      </c>
      <c r="AH69" s="141">
        <v>0</v>
      </c>
      <c r="AI69" s="141">
        <v>0</v>
      </c>
      <c r="AJ69" s="141">
        <v>0</v>
      </c>
      <c r="AK69" s="144">
        <v>0</v>
      </c>
      <c r="AL69" s="2629"/>
      <c r="AM69" s="607" t="s">
        <v>2233</v>
      </c>
      <c r="AN69" s="143">
        <v>0.01</v>
      </c>
      <c r="AO69" s="141">
        <v>8.6999999999999994E-2</v>
      </c>
      <c r="AP69" s="141">
        <v>0</v>
      </c>
      <c r="AQ69" s="141"/>
      <c r="AR69" s="141">
        <v>5.0000000000000001E-3</v>
      </c>
      <c r="AS69" s="141"/>
      <c r="AT69" s="141">
        <v>0.66937808332626902</v>
      </c>
      <c r="AU69" s="144">
        <v>0.53352164867530205</v>
      </c>
      <c r="AV69" s="143">
        <v>1.3376730212565207E-2</v>
      </c>
      <c r="AW69" s="141">
        <v>1.3376730212565207E-2</v>
      </c>
      <c r="AX69" s="141">
        <v>1.3376730212565207E-2</v>
      </c>
      <c r="AY69" s="141">
        <v>1.3376730212565207E-2</v>
      </c>
      <c r="AZ69" s="144">
        <v>1.3376730212565207E-2</v>
      </c>
      <c r="BA69" s="2629"/>
      <c r="BB69" s="545" t="s">
        <v>627</v>
      </c>
      <c r="BC69" s="868">
        <v>0</v>
      </c>
      <c r="BD69" s="545" t="s">
        <v>627</v>
      </c>
      <c r="BE69" s="868">
        <v>0</v>
      </c>
      <c r="BF69" s="545" t="s">
        <v>2233</v>
      </c>
      <c r="BG69" s="141">
        <v>0.72402024569330636</v>
      </c>
      <c r="BH69" s="545" t="s">
        <v>2233</v>
      </c>
      <c r="BI69" s="141">
        <v>0</v>
      </c>
      <c r="BJ69" s="545" t="s">
        <v>2233</v>
      </c>
      <c r="BK69" s="141">
        <v>0.45564355191807127</v>
      </c>
      <c r="BL69" s="545" t="s">
        <v>2233</v>
      </c>
      <c r="BM69" s="141">
        <v>7.7587574977674587E-2</v>
      </c>
      <c r="BN69" s="545" t="s">
        <v>2233</v>
      </c>
      <c r="BO69" s="141">
        <v>4.7648359412518951E-2</v>
      </c>
      <c r="BP69" s="2629"/>
      <c r="BQ69" s="545" t="s">
        <v>627</v>
      </c>
      <c r="BR69" s="868">
        <v>0</v>
      </c>
      <c r="BS69" s="545" t="s">
        <v>627</v>
      </c>
      <c r="BT69" s="868">
        <v>0</v>
      </c>
      <c r="BU69" s="545" t="s">
        <v>2233</v>
      </c>
      <c r="BV69" s="141">
        <v>3.7110221029085455E-2</v>
      </c>
      <c r="BW69" s="545" t="s">
        <v>2233</v>
      </c>
      <c r="BX69" s="141">
        <v>0</v>
      </c>
      <c r="BY69" s="545" t="s">
        <v>2233</v>
      </c>
      <c r="BZ69" s="141">
        <v>2.3354364774655533E-2</v>
      </c>
      <c r="CA69" s="545" t="s">
        <v>2233</v>
      </c>
      <c r="CB69" s="141">
        <v>3.9768115237925356E-3</v>
      </c>
      <c r="CC69" s="545" t="s">
        <v>2233</v>
      </c>
      <c r="CD69" s="141">
        <v>2.4422537352925158E-3</v>
      </c>
    </row>
    <row r="70" spans="1:82" s="98" customFormat="1" ht="15" customHeight="1">
      <c r="A70" s="99"/>
      <c r="B70" s="161"/>
      <c r="C70" s="162"/>
      <c r="D70" s="162" t="s">
        <v>2704</v>
      </c>
      <c r="E70" s="162"/>
      <c r="F70" s="162"/>
      <c r="G70" s="163"/>
      <c r="H70" s="163"/>
      <c r="I70" s="164" t="s">
        <v>498</v>
      </c>
      <c r="J70" s="143">
        <v>1.9204570511465489E-2</v>
      </c>
      <c r="K70" s="141">
        <v>5.289949406696734E-2</v>
      </c>
      <c r="L70" s="141">
        <v>3.6856080205227605E-3</v>
      </c>
      <c r="M70" s="141">
        <v>5.4083672168534222E-3</v>
      </c>
      <c r="N70" s="141">
        <v>1.0078728652214071E-2</v>
      </c>
      <c r="O70" s="141">
        <v>3.377136224098172E-2</v>
      </c>
      <c r="P70" s="141">
        <v>0.43861993720403941</v>
      </c>
      <c r="Q70" s="144">
        <v>0.37289212642349812</v>
      </c>
      <c r="R70" s="143">
        <v>0</v>
      </c>
      <c r="S70" s="141">
        <v>0</v>
      </c>
      <c r="T70" s="141">
        <v>0</v>
      </c>
      <c r="U70" s="141">
        <v>0</v>
      </c>
      <c r="V70" s="144">
        <v>0</v>
      </c>
      <c r="W70" s="2629"/>
      <c r="X70" s="607" t="s">
        <v>498</v>
      </c>
      <c r="Y70" s="143">
        <v>0</v>
      </c>
      <c r="Z70" s="141">
        <v>0</v>
      </c>
      <c r="AA70" s="141">
        <v>0</v>
      </c>
      <c r="AB70" s="141">
        <v>0</v>
      </c>
      <c r="AC70" s="141">
        <v>0</v>
      </c>
      <c r="AD70" s="141">
        <v>0</v>
      </c>
      <c r="AE70" s="141">
        <v>0</v>
      </c>
      <c r="AF70" s="144">
        <v>0</v>
      </c>
      <c r="AG70" s="143">
        <v>0</v>
      </c>
      <c r="AH70" s="141">
        <v>0</v>
      </c>
      <c r="AI70" s="141">
        <v>0</v>
      </c>
      <c r="AJ70" s="141">
        <v>0</v>
      </c>
      <c r="AK70" s="144">
        <v>0</v>
      </c>
      <c r="AL70" s="2629"/>
      <c r="AM70" s="607" t="s">
        <v>2233</v>
      </c>
      <c r="AN70" s="143">
        <v>8.2000000000000003E-2</v>
      </c>
      <c r="AO70" s="141">
        <v>0.20699999999999999</v>
      </c>
      <c r="AP70" s="141">
        <v>1.0999999999999999E-2</v>
      </c>
      <c r="AQ70" s="141">
        <v>1.6E-2</v>
      </c>
      <c r="AR70" s="141">
        <v>0.03</v>
      </c>
      <c r="AS70" s="141">
        <v>0.107</v>
      </c>
      <c r="AT70" s="141">
        <v>1.4345898311409804</v>
      </c>
      <c r="AU70" s="144">
        <v>1.079574530126024</v>
      </c>
      <c r="AV70" s="143">
        <v>0</v>
      </c>
      <c r="AW70" s="141">
        <v>0</v>
      </c>
      <c r="AX70" s="141">
        <v>0</v>
      </c>
      <c r="AY70" s="141">
        <v>0</v>
      </c>
      <c r="AZ70" s="144">
        <v>0</v>
      </c>
      <c r="BA70" s="2629"/>
      <c r="BB70" s="545" t="s">
        <v>627</v>
      </c>
      <c r="BC70" s="868">
        <v>0</v>
      </c>
      <c r="BD70" s="545" t="s">
        <v>627</v>
      </c>
      <c r="BE70" s="868">
        <v>0</v>
      </c>
      <c r="BF70" s="545" t="s">
        <v>2233</v>
      </c>
      <c r="BG70" s="141">
        <v>1.6463234815457624</v>
      </c>
      <c r="BH70" s="545" t="s">
        <v>2233</v>
      </c>
      <c r="BI70" s="141">
        <v>0</v>
      </c>
      <c r="BJ70" s="545" t="s">
        <v>2233</v>
      </c>
      <c r="BK70" s="141">
        <v>1.0360714126430559</v>
      </c>
      <c r="BL70" s="545" t="s">
        <v>2233</v>
      </c>
      <c r="BM70" s="141">
        <v>0.17642358390078236</v>
      </c>
      <c r="BN70" s="545" t="s">
        <v>2233</v>
      </c>
      <c r="BO70" s="141">
        <v>0.10834588317740355</v>
      </c>
      <c r="BP70" s="2629"/>
      <c r="BQ70" s="545" t="s">
        <v>627</v>
      </c>
      <c r="BR70" s="868">
        <v>0</v>
      </c>
      <c r="BS70" s="545" t="s">
        <v>627</v>
      </c>
      <c r="BT70" s="868">
        <v>0</v>
      </c>
      <c r="BU70" s="545" t="s">
        <v>2233</v>
      </c>
      <c r="BV70" s="141">
        <v>0</v>
      </c>
      <c r="BW70" s="545" t="s">
        <v>2233</v>
      </c>
      <c r="BX70" s="141">
        <v>0</v>
      </c>
      <c r="BY70" s="545" t="s">
        <v>2233</v>
      </c>
      <c r="BZ70" s="141">
        <v>0</v>
      </c>
      <c r="CA70" s="545" t="s">
        <v>2233</v>
      </c>
      <c r="CB70" s="141">
        <v>0</v>
      </c>
      <c r="CC70" s="545" t="s">
        <v>2233</v>
      </c>
      <c r="CD70" s="141">
        <v>0</v>
      </c>
    </row>
    <row r="71" spans="1:82" s="98" customFormat="1" ht="15" customHeight="1">
      <c r="A71" s="99"/>
      <c r="B71" s="161"/>
      <c r="C71" s="162"/>
      <c r="D71" s="162" t="s">
        <v>2705</v>
      </c>
      <c r="E71" s="162"/>
      <c r="F71" s="162"/>
      <c r="G71" s="163"/>
      <c r="H71" s="163"/>
      <c r="I71" s="164" t="s">
        <v>498</v>
      </c>
      <c r="J71" s="143">
        <v>0.24659326293320105</v>
      </c>
      <c r="K71" s="141">
        <v>0.28593196993851355</v>
      </c>
      <c r="L71" s="141">
        <v>0.10001507965767788</v>
      </c>
      <c r="M71" s="141">
        <v>2.1095225245850505E-2</v>
      </c>
      <c r="N71" s="141">
        <v>0.16268407691988282</v>
      </c>
      <c r="O71" s="141">
        <v>0.52980433584379405</v>
      </c>
      <c r="P71" s="141">
        <v>0.57268623987562439</v>
      </c>
      <c r="Q71" s="144">
        <v>0.48686840621510236</v>
      </c>
      <c r="R71" s="143">
        <v>0.79829769799578743</v>
      </c>
      <c r="S71" s="141">
        <v>0.79430620950580844</v>
      </c>
      <c r="T71" s="141">
        <v>0.79033467845827943</v>
      </c>
      <c r="U71" s="141">
        <v>0.78638300506598802</v>
      </c>
      <c r="V71" s="144">
        <v>0.78245109004065805</v>
      </c>
      <c r="W71" s="2629"/>
      <c r="X71" s="607" t="s">
        <v>498</v>
      </c>
      <c r="Y71" s="143">
        <v>0</v>
      </c>
      <c r="Z71" s="141">
        <v>0</v>
      </c>
      <c r="AA71" s="141">
        <v>0</v>
      </c>
      <c r="AB71" s="141">
        <v>0</v>
      </c>
      <c r="AC71" s="141">
        <v>0</v>
      </c>
      <c r="AD71" s="141">
        <v>0</v>
      </c>
      <c r="AE71" s="141">
        <v>0</v>
      </c>
      <c r="AF71" s="144">
        <v>0</v>
      </c>
      <c r="AG71" s="143">
        <v>0</v>
      </c>
      <c r="AH71" s="141">
        <v>0</v>
      </c>
      <c r="AI71" s="141">
        <v>0</v>
      </c>
      <c r="AJ71" s="141">
        <v>0</v>
      </c>
      <c r="AK71" s="144">
        <v>0</v>
      </c>
      <c r="AL71" s="2629"/>
      <c r="AM71" s="607" t="s">
        <v>2233</v>
      </c>
      <c r="AN71" s="143">
        <v>0.83199999999999996</v>
      </c>
      <c r="AO71" s="141">
        <v>0.84099999999999997</v>
      </c>
      <c r="AP71" s="141">
        <v>0.25850000000000001</v>
      </c>
      <c r="AQ71" s="141">
        <v>4.2999999999999997E-2</v>
      </c>
      <c r="AR71" s="141">
        <v>0.33800000000000002</v>
      </c>
      <c r="AS71" s="141">
        <v>1.014</v>
      </c>
      <c r="AT71" s="141">
        <v>1.3725185738389838</v>
      </c>
      <c r="AU71" s="144">
        <v>0.9759170766344234</v>
      </c>
      <c r="AV71" s="143">
        <v>1.7670660610798634</v>
      </c>
      <c r="AW71" s="141">
        <v>1.7670660610798634</v>
      </c>
      <c r="AX71" s="141">
        <v>1.7670660610798634</v>
      </c>
      <c r="AY71" s="141">
        <v>1.7670660610798634</v>
      </c>
      <c r="AZ71" s="144">
        <v>1.7670660610798634</v>
      </c>
      <c r="BA71" s="2629"/>
      <c r="BB71" s="545" t="s">
        <v>627</v>
      </c>
      <c r="BC71" s="868">
        <v>0</v>
      </c>
      <c r="BD71" s="545" t="s">
        <v>627</v>
      </c>
      <c r="BE71" s="868">
        <v>0</v>
      </c>
      <c r="BF71" s="545" t="s">
        <v>2233</v>
      </c>
      <c r="BG71" s="141">
        <v>3.1487233870812936</v>
      </c>
      <c r="BH71" s="545" t="s">
        <v>2233</v>
      </c>
      <c r="BI71" s="141">
        <v>0</v>
      </c>
      <c r="BJ71" s="545" t="s">
        <v>2233</v>
      </c>
      <c r="BK71" s="141">
        <v>1.981568218059133</v>
      </c>
      <c r="BL71" s="545" t="s">
        <v>2233</v>
      </c>
      <c r="BM71" s="141">
        <v>0.33742400621019808</v>
      </c>
      <c r="BN71" s="545" t="s">
        <v>2233</v>
      </c>
      <c r="BO71" s="141">
        <v>0.20722003912278245</v>
      </c>
      <c r="BP71" s="2629"/>
      <c r="BQ71" s="545" t="s">
        <v>627</v>
      </c>
      <c r="BR71" s="868">
        <v>0</v>
      </c>
      <c r="BS71" s="545" t="s">
        <v>627</v>
      </c>
      <c r="BT71" s="868">
        <v>0</v>
      </c>
      <c r="BU71" s="545" t="s">
        <v>2233</v>
      </c>
      <c r="BV71" s="141">
        <v>4.9022601979421871</v>
      </c>
      <c r="BW71" s="545" t="s">
        <v>2233</v>
      </c>
      <c r="BX71" s="141">
        <v>0</v>
      </c>
      <c r="BY71" s="545" t="s">
        <v>2233</v>
      </c>
      <c r="BZ71" s="141">
        <v>3.0851115867319949</v>
      </c>
      <c r="CA71" s="545" t="s">
        <v>2233</v>
      </c>
      <c r="CB71" s="141">
        <v>0.52533680229299384</v>
      </c>
      <c r="CC71" s="545" t="s">
        <v>2233</v>
      </c>
      <c r="CD71" s="141">
        <v>0.32262171843214127</v>
      </c>
    </row>
    <row r="72" spans="1:82" s="98" customFormat="1" ht="15" customHeight="1">
      <c r="A72" s="99"/>
      <c r="B72" s="161"/>
      <c r="C72" s="162"/>
      <c r="D72" s="162" t="s">
        <v>2706</v>
      </c>
      <c r="E72" s="162"/>
      <c r="F72" s="162"/>
      <c r="G72" s="163"/>
      <c r="H72" s="163"/>
      <c r="I72" s="164" t="s">
        <v>498</v>
      </c>
      <c r="J72" s="143">
        <v>1.8769332687978</v>
      </c>
      <c r="K72" s="141">
        <v>1.4670429406715739</v>
      </c>
      <c r="L72" s="141">
        <v>0.79905650241438819</v>
      </c>
      <c r="M72" s="141">
        <v>0.85176600126955349</v>
      </c>
      <c r="N72" s="141">
        <v>1.504592369058152</v>
      </c>
      <c r="O72" s="141">
        <v>2.3889336484613182</v>
      </c>
      <c r="P72" s="141">
        <v>0.47546781908372515</v>
      </c>
      <c r="Q72" s="144">
        <v>0.40421830169018691</v>
      </c>
      <c r="R72" s="143">
        <v>3.2598821976324586</v>
      </c>
      <c r="S72" s="141">
        <v>3.2435827866442963</v>
      </c>
      <c r="T72" s="141">
        <v>3.2273648727110746</v>
      </c>
      <c r="U72" s="141">
        <v>3.2112280483475191</v>
      </c>
      <c r="V72" s="144">
        <v>3.1951719081057814</v>
      </c>
      <c r="W72" s="2629"/>
      <c r="X72" s="607" t="s">
        <v>498</v>
      </c>
      <c r="Y72" s="143">
        <v>0</v>
      </c>
      <c r="Z72" s="141">
        <v>0</v>
      </c>
      <c r="AA72" s="141">
        <v>0</v>
      </c>
      <c r="AB72" s="141">
        <v>0</v>
      </c>
      <c r="AC72" s="141">
        <v>0</v>
      </c>
      <c r="AD72" s="141">
        <v>0</v>
      </c>
      <c r="AE72" s="141">
        <v>0</v>
      </c>
      <c r="AF72" s="144">
        <v>0</v>
      </c>
      <c r="AG72" s="143">
        <v>0</v>
      </c>
      <c r="AH72" s="141">
        <v>0</v>
      </c>
      <c r="AI72" s="141">
        <v>0</v>
      </c>
      <c r="AJ72" s="141">
        <v>0</v>
      </c>
      <c r="AK72" s="144">
        <v>0</v>
      </c>
      <c r="AL72" s="2629"/>
      <c r="AM72" s="607" t="s">
        <v>2233</v>
      </c>
      <c r="AN72" s="143">
        <v>2.8090000000000002</v>
      </c>
      <c r="AO72" s="141">
        <v>2.6230000000000002</v>
      </c>
      <c r="AP72" s="141">
        <v>1.397</v>
      </c>
      <c r="AQ72" s="141">
        <v>0.69499999999999995</v>
      </c>
      <c r="AR72" s="141">
        <v>1.675</v>
      </c>
      <c r="AS72" s="141">
        <v>2.2109999999999999</v>
      </c>
      <c r="AT72" s="141">
        <v>0.65914783420594725</v>
      </c>
      <c r="AU72" s="144">
        <v>0.43806475057177074</v>
      </c>
      <c r="AV72" s="143">
        <v>4.3656296721727799</v>
      </c>
      <c r="AW72" s="141">
        <v>4.3656296721727799</v>
      </c>
      <c r="AX72" s="141">
        <v>4.3656296721727799</v>
      </c>
      <c r="AY72" s="141">
        <v>4.3656296721727799</v>
      </c>
      <c r="AZ72" s="144">
        <v>4.3656296721727799</v>
      </c>
      <c r="BA72" s="2629"/>
      <c r="BB72" s="545" t="s">
        <v>627</v>
      </c>
      <c r="BC72" s="868">
        <v>0</v>
      </c>
      <c r="BD72" s="545" t="s">
        <v>627</v>
      </c>
      <c r="BE72" s="868">
        <v>0</v>
      </c>
      <c r="BF72" s="545" t="s">
        <v>2233</v>
      </c>
      <c r="BG72" s="141">
        <v>6.9395945960377245</v>
      </c>
      <c r="BH72" s="545" t="s">
        <v>2233</v>
      </c>
      <c r="BI72" s="141">
        <v>0</v>
      </c>
      <c r="BJ72" s="545" t="s">
        <v>2233</v>
      </c>
      <c r="BK72" s="141">
        <v>4.3672556802361733</v>
      </c>
      <c r="BL72" s="545" t="s">
        <v>2233</v>
      </c>
      <c r="BM72" s="141">
        <v>0.74366196144025887</v>
      </c>
      <c r="BN72" s="545" t="s">
        <v>2233</v>
      </c>
      <c r="BO72" s="141">
        <v>0.45670034706356383</v>
      </c>
      <c r="BP72" s="2629"/>
      <c r="BQ72" s="545" t="s">
        <v>627</v>
      </c>
      <c r="BR72" s="868">
        <v>0</v>
      </c>
      <c r="BS72" s="545" t="s">
        <v>627</v>
      </c>
      <c r="BT72" s="868">
        <v>0</v>
      </c>
      <c r="BU72" s="545" t="s">
        <v>2233</v>
      </c>
      <c r="BV72" s="141">
        <v>12.111291735052324</v>
      </c>
      <c r="BW72" s="545" t="s">
        <v>2233</v>
      </c>
      <c r="BX72" s="141">
        <v>0</v>
      </c>
      <c r="BY72" s="545" t="s">
        <v>2233</v>
      </c>
      <c r="BZ72" s="141">
        <v>7.6219304878565772</v>
      </c>
      <c r="CA72" s="545" t="s">
        <v>2233</v>
      </c>
      <c r="CB72" s="141">
        <v>1.2978722089049315</v>
      </c>
      <c r="CC72" s="545" t="s">
        <v>2233</v>
      </c>
      <c r="CD72" s="141">
        <v>0.79705392905006522</v>
      </c>
    </row>
    <row r="73" spans="1:82" s="98" customFormat="1" ht="15" customHeight="1">
      <c r="A73" s="99"/>
      <c r="B73" s="161"/>
      <c r="C73" s="162"/>
      <c r="D73" s="162" t="s">
        <v>2707</v>
      </c>
      <c r="E73" s="162"/>
      <c r="F73" s="162"/>
      <c r="G73" s="163"/>
      <c r="H73" s="163"/>
      <c r="I73" s="164" t="s">
        <v>498</v>
      </c>
      <c r="J73" s="143">
        <v>0.78578796688209296</v>
      </c>
      <c r="K73" s="141">
        <v>0.10588265146849267</v>
      </c>
      <c r="L73" s="141">
        <v>0</v>
      </c>
      <c r="M73" s="141">
        <v>0.20457257033702983</v>
      </c>
      <c r="N73" s="141">
        <v>0</v>
      </c>
      <c r="O73" s="141">
        <v>0.26525000345197125</v>
      </c>
      <c r="P73" s="141">
        <v>5.7759135804790127E-2</v>
      </c>
      <c r="Q73" s="144">
        <v>4.9103848557191028E-2</v>
      </c>
      <c r="R73" s="143">
        <v>0.24056742169982179</v>
      </c>
      <c r="S73" s="141">
        <v>0.23936458459132268</v>
      </c>
      <c r="T73" s="141">
        <v>0.23816776166836606</v>
      </c>
      <c r="U73" s="141">
        <v>0.23697692286002423</v>
      </c>
      <c r="V73" s="144">
        <v>0.23579203824572409</v>
      </c>
      <c r="W73" s="2629"/>
      <c r="X73" s="607" t="s">
        <v>498</v>
      </c>
      <c r="Y73" s="143">
        <v>0</v>
      </c>
      <c r="Z73" s="141">
        <v>0</v>
      </c>
      <c r="AA73" s="141">
        <v>0</v>
      </c>
      <c r="AB73" s="141">
        <v>0</v>
      </c>
      <c r="AC73" s="141">
        <v>0</v>
      </c>
      <c r="AD73" s="141">
        <v>0</v>
      </c>
      <c r="AE73" s="141">
        <v>0</v>
      </c>
      <c r="AF73" s="144">
        <v>0</v>
      </c>
      <c r="AG73" s="143">
        <v>0</v>
      </c>
      <c r="AH73" s="141">
        <v>0</v>
      </c>
      <c r="AI73" s="141">
        <v>0</v>
      </c>
      <c r="AJ73" s="141">
        <v>0</v>
      </c>
      <c r="AK73" s="144">
        <v>0</v>
      </c>
      <c r="AL73" s="2629"/>
      <c r="AM73" s="607" t="s">
        <v>2233</v>
      </c>
      <c r="AN73" s="143">
        <v>0.86199999999999999</v>
      </c>
      <c r="AO73" s="141">
        <v>0.14899999999999999</v>
      </c>
      <c r="AP73" s="141">
        <v>0</v>
      </c>
      <c r="AQ73" s="141">
        <v>0.24</v>
      </c>
      <c r="AR73" s="141">
        <v>0</v>
      </c>
      <c r="AS73" s="141">
        <v>0.245</v>
      </c>
      <c r="AT73" s="141">
        <v>6.5332301125767489E-2</v>
      </c>
      <c r="AU73" s="144">
        <v>4.0816333944437344E-2</v>
      </c>
      <c r="AV73" s="143">
        <v>0.29013221886923463</v>
      </c>
      <c r="AW73" s="141">
        <v>0.29013221886923463</v>
      </c>
      <c r="AX73" s="141">
        <v>0.29013221886923463</v>
      </c>
      <c r="AY73" s="141">
        <v>0.29013221886923463</v>
      </c>
      <c r="AZ73" s="144">
        <v>0.29013221886923463</v>
      </c>
      <c r="BA73" s="2629"/>
      <c r="BB73" s="545" t="s">
        <v>627</v>
      </c>
      <c r="BC73" s="868">
        <v>0</v>
      </c>
      <c r="BD73" s="545" t="s">
        <v>627</v>
      </c>
      <c r="BE73" s="868">
        <v>0</v>
      </c>
      <c r="BF73" s="545" t="s">
        <v>2233</v>
      </c>
      <c r="BG73" s="141">
        <v>0.88894803175523107</v>
      </c>
      <c r="BH73" s="545" t="s">
        <v>2233</v>
      </c>
      <c r="BI73" s="141">
        <v>0</v>
      </c>
      <c r="BJ73" s="545" t="s">
        <v>2233</v>
      </c>
      <c r="BK73" s="141">
        <v>0.55943661944379874</v>
      </c>
      <c r="BL73" s="545" t="s">
        <v>2233</v>
      </c>
      <c r="BM73" s="141">
        <v>9.5261593132688949E-2</v>
      </c>
      <c r="BN73" s="545" t="s">
        <v>2233</v>
      </c>
      <c r="BO73" s="141">
        <v>5.8502390738486162E-2</v>
      </c>
      <c r="BP73" s="2629"/>
      <c r="BQ73" s="545" t="s">
        <v>627</v>
      </c>
      <c r="BR73" s="868">
        <v>0</v>
      </c>
      <c r="BS73" s="545" t="s">
        <v>627</v>
      </c>
      <c r="BT73" s="868">
        <v>0</v>
      </c>
      <c r="BU73" s="545" t="s">
        <v>2233</v>
      </c>
      <c r="BV73" s="141">
        <v>0.80489556108282823</v>
      </c>
      <c r="BW73" s="545" t="s">
        <v>2233</v>
      </c>
      <c r="BX73" s="141">
        <v>0</v>
      </c>
      <c r="BY73" s="545" t="s">
        <v>2233</v>
      </c>
      <c r="BZ73" s="141">
        <v>0.50654035513009876</v>
      </c>
      <c r="CA73" s="545" t="s">
        <v>2233</v>
      </c>
      <c r="CB73" s="141">
        <v>8.6254348640362549E-2</v>
      </c>
      <c r="CC73" s="545" t="s">
        <v>2233</v>
      </c>
      <c r="CD73" s="141">
        <v>5.2970829492883433E-2</v>
      </c>
    </row>
    <row r="74" spans="1:82" s="98" customFormat="1" ht="15" customHeight="1">
      <c r="A74" s="99"/>
      <c r="B74" s="161"/>
      <c r="C74" s="162"/>
      <c r="D74" s="162" t="s">
        <v>2708</v>
      </c>
      <c r="E74" s="162"/>
      <c r="F74" s="162"/>
      <c r="G74" s="163"/>
      <c r="H74" s="163"/>
      <c r="I74" s="164" t="s">
        <v>498</v>
      </c>
      <c r="J74" s="143">
        <v>0</v>
      </c>
      <c r="K74" s="141">
        <v>0</v>
      </c>
      <c r="L74" s="141">
        <v>0</v>
      </c>
      <c r="M74" s="141">
        <v>0</v>
      </c>
      <c r="N74" s="141">
        <v>0</v>
      </c>
      <c r="O74" s="141">
        <v>0</v>
      </c>
      <c r="P74" s="141">
        <v>0</v>
      </c>
      <c r="Q74" s="144">
        <v>0</v>
      </c>
      <c r="R74" s="143">
        <v>0</v>
      </c>
      <c r="S74" s="141">
        <v>0</v>
      </c>
      <c r="T74" s="141">
        <v>0</v>
      </c>
      <c r="U74" s="141">
        <v>0</v>
      </c>
      <c r="V74" s="144">
        <v>0</v>
      </c>
      <c r="W74" s="2629"/>
      <c r="X74" s="607" t="s">
        <v>498</v>
      </c>
      <c r="Y74" s="143">
        <v>0</v>
      </c>
      <c r="Z74" s="141">
        <v>0</v>
      </c>
      <c r="AA74" s="141">
        <v>0</v>
      </c>
      <c r="AB74" s="141">
        <v>0</v>
      </c>
      <c r="AC74" s="141">
        <v>0</v>
      </c>
      <c r="AD74" s="141">
        <v>0</v>
      </c>
      <c r="AE74" s="141">
        <v>0</v>
      </c>
      <c r="AF74" s="144">
        <v>0</v>
      </c>
      <c r="AG74" s="143">
        <v>0</v>
      </c>
      <c r="AH74" s="141">
        <v>0</v>
      </c>
      <c r="AI74" s="141">
        <v>0</v>
      </c>
      <c r="AJ74" s="141">
        <v>0</v>
      </c>
      <c r="AK74" s="144">
        <v>0</v>
      </c>
      <c r="AL74" s="2629"/>
      <c r="AM74" s="607" t="s">
        <v>2233</v>
      </c>
      <c r="AN74" s="143"/>
      <c r="AO74" s="141"/>
      <c r="AP74" s="141"/>
      <c r="AQ74" s="141"/>
      <c r="AR74" s="141">
        <v>0</v>
      </c>
      <c r="AS74" s="141"/>
      <c r="AT74" s="141">
        <v>0</v>
      </c>
      <c r="AU74" s="144">
        <v>0</v>
      </c>
      <c r="AV74" s="143">
        <v>0</v>
      </c>
      <c r="AW74" s="141">
        <v>0</v>
      </c>
      <c r="AX74" s="141">
        <v>0</v>
      </c>
      <c r="AY74" s="141">
        <v>0</v>
      </c>
      <c r="AZ74" s="144">
        <v>0</v>
      </c>
      <c r="BA74" s="2629"/>
      <c r="BB74" s="545" t="s">
        <v>627</v>
      </c>
      <c r="BC74" s="868">
        <v>0</v>
      </c>
      <c r="BD74" s="545" t="s">
        <v>627</v>
      </c>
      <c r="BE74" s="868">
        <v>0</v>
      </c>
      <c r="BF74" s="545" t="s">
        <v>2233</v>
      </c>
      <c r="BG74" s="141">
        <v>0</v>
      </c>
      <c r="BH74" s="545" t="s">
        <v>2233</v>
      </c>
      <c r="BI74" s="141">
        <v>0</v>
      </c>
      <c r="BJ74" s="545" t="s">
        <v>2233</v>
      </c>
      <c r="BK74" s="141">
        <v>0</v>
      </c>
      <c r="BL74" s="545" t="s">
        <v>2233</v>
      </c>
      <c r="BM74" s="141">
        <v>0</v>
      </c>
      <c r="BN74" s="545" t="s">
        <v>2233</v>
      </c>
      <c r="BO74" s="141">
        <v>0</v>
      </c>
      <c r="BP74" s="2629"/>
      <c r="BQ74" s="545" t="s">
        <v>627</v>
      </c>
      <c r="BR74" s="868">
        <v>0</v>
      </c>
      <c r="BS74" s="545" t="s">
        <v>627</v>
      </c>
      <c r="BT74" s="868">
        <v>0</v>
      </c>
      <c r="BU74" s="545" t="s">
        <v>2233</v>
      </c>
      <c r="BV74" s="141">
        <v>0</v>
      </c>
      <c r="BW74" s="545" t="s">
        <v>2233</v>
      </c>
      <c r="BX74" s="141">
        <v>0</v>
      </c>
      <c r="BY74" s="545" t="s">
        <v>2233</v>
      </c>
      <c r="BZ74" s="141">
        <v>0</v>
      </c>
      <c r="CA74" s="545" t="s">
        <v>2233</v>
      </c>
      <c r="CB74" s="141">
        <v>0</v>
      </c>
      <c r="CC74" s="545" t="s">
        <v>2233</v>
      </c>
      <c r="CD74" s="141">
        <v>0</v>
      </c>
    </row>
    <row r="75" spans="1:82" s="98" customFormat="1" ht="15" customHeight="1">
      <c r="A75" s="99"/>
      <c r="B75" s="161"/>
      <c r="C75" s="162" t="s">
        <v>1710</v>
      </c>
      <c r="D75" s="162"/>
      <c r="E75" s="162"/>
      <c r="F75" s="162"/>
      <c r="G75" s="163"/>
      <c r="H75" s="163"/>
      <c r="I75" s="164" t="s">
        <v>498</v>
      </c>
      <c r="J75" s="641">
        <f>SUM(J67:J74)</f>
        <v>2.9576290463770527</v>
      </c>
      <c r="K75" s="642">
        <f t="shared" ref="K75:V75" si="43">SUM(K67:K74)</f>
        <v>1.9780844996708145</v>
      </c>
      <c r="L75" s="642">
        <f t="shared" si="43"/>
        <v>0.94964487642873385</v>
      </c>
      <c r="M75" s="642">
        <f t="shared" si="43"/>
        <v>1.0987990176899722</v>
      </c>
      <c r="N75" s="642">
        <f t="shared" si="43"/>
        <v>1.6951448699232177</v>
      </c>
      <c r="O75" s="642">
        <f t="shared" si="43"/>
        <v>3.2316400655642274</v>
      </c>
      <c r="P75" s="642">
        <f t="shared" si="43"/>
        <v>1.7214270608481095</v>
      </c>
      <c r="Q75" s="643">
        <f t="shared" si="43"/>
        <v>1.4634688092256016</v>
      </c>
      <c r="R75" s="641">
        <f t="shared" si="43"/>
        <v>4.3598406201292654</v>
      </c>
      <c r="S75" s="642">
        <f t="shared" si="43"/>
        <v>4.3380414170286183</v>
      </c>
      <c r="T75" s="642">
        <f t="shared" si="43"/>
        <v>4.3163512099434751</v>
      </c>
      <c r="U75" s="642">
        <f t="shared" si="43"/>
        <v>4.2947694538937577</v>
      </c>
      <c r="V75" s="643">
        <f t="shared" si="43"/>
        <v>4.2732956066242886</v>
      </c>
      <c r="W75" s="2629"/>
      <c r="X75" s="607" t="s">
        <v>498</v>
      </c>
      <c r="Y75" s="641">
        <f>SUM(Y67:Y74)</f>
        <v>0</v>
      </c>
      <c r="Z75" s="642">
        <f t="shared" ref="Z75:AK75" si="44">SUM(Z67:Z74)</f>
        <v>0</v>
      </c>
      <c r="AA75" s="642">
        <f t="shared" si="44"/>
        <v>0</v>
      </c>
      <c r="AB75" s="642">
        <f t="shared" si="44"/>
        <v>0</v>
      </c>
      <c r="AC75" s="642">
        <f t="shared" si="44"/>
        <v>0</v>
      </c>
      <c r="AD75" s="642">
        <f t="shared" si="44"/>
        <v>0</v>
      </c>
      <c r="AE75" s="642">
        <f t="shared" si="44"/>
        <v>0</v>
      </c>
      <c r="AF75" s="643">
        <f t="shared" si="44"/>
        <v>0</v>
      </c>
      <c r="AG75" s="641">
        <f t="shared" si="44"/>
        <v>0</v>
      </c>
      <c r="AH75" s="642">
        <f t="shared" si="44"/>
        <v>0</v>
      </c>
      <c r="AI75" s="642">
        <f t="shared" si="44"/>
        <v>0</v>
      </c>
      <c r="AJ75" s="642">
        <f t="shared" si="44"/>
        <v>0</v>
      </c>
      <c r="AK75" s="643">
        <f t="shared" si="44"/>
        <v>0</v>
      </c>
      <c r="AL75" s="2629"/>
      <c r="AM75" s="607" t="s">
        <v>2233</v>
      </c>
      <c r="AN75" s="641">
        <f>SUM(AN67:AN74)</f>
        <v>4.859</v>
      </c>
      <c r="AO75" s="642">
        <f t="shared" ref="AO75:AZ75" si="45">SUM(AO67:AO74)</f>
        <v>4.4855</v>
      </c>
      <c r="AP75" s="642">
        <f t="shared" si="45"/>
        <v>1.7925</v>
      </c>
      <c r="AQ75" s="642">
        <f t="shared" si="45"/>
        <v>1.0619999999999998</v>
      </c>
      <c r="AR75" s="642">
        <f t="shared" si="45"/>
        <v>2.2309999999999999</v>
      </c>
      <c r="AS75" s="642">
        <f t="shared" si="45"/>
        <v>3.714</v>
      </c>
      <c r="AT75" s="642">
        <f t="shared" si="45"/>
        <v>4.5132927040343693</v>
      </c>
      <c r="AU75" s="643">
        <f t="shared" si="45"/>
        <v>3.2914612969057448</v>
      </c>
      <c r="AV75" s="641">
        <f t="shared" si="45"/>
        <v>6.8401819347539119</v>
      </c>
      <c r="AW75" s="642">
        <f t="shared" si="45"/>
        <v>6.8401819347539119</v>
      </c>
      <c r="AX75" s="642">
        <f t="shared" si="45"/>
        <v>6.8401819347539119</v>
      </c>
      <c r="AY75" s="642">
        <f t="shared" si="45"/>
        <v>6.8401819347539119</v>
      </c>
      <c r="AZ75" s="643">
        <f t="shared" si="45"/>
        <v>6.8401819347539119</v>
      </c>
      <c r="BA75" s="2629"/>
      <c r="BB75" s="542"/>
      <c r="BC75" s="542"/>
      <c r="BD75" s="542"/>
      <c r="BE75" s="542"/>
      <c r="BF75" s="545" t="s">
        <v>2233</v>
      </c>
      <c r="BG75" s="642">
        <f>SUM(BG67:BG74)</f>
        <v>14.397599130760806</v>
      </c>
      <c r="BH75" s="545" t="s">
        <v>2233</v>
      </c>
      <c r="BI75" s="642">
        <f>SUM(BI67:BI74)</f>
        <v>0</v>
      </c>
      <c r="BJ75" s="545" t="s">
        <v>2233</v>
      </c>
      <c r="BK75" s="642">
        <f>SUM(BK67:BK74)</f>
        <v>9.0607593448585231</v>
      </c>
      <c r="BL75" s="545" t="s">
        <v>2233</v>
      </c>
      <c r="BM75" s="642">
        <f>SUM(BM67:BM74)</f>
        <v>1.5428778527963944</v>
      </c>
      <c r="BN75" s="545" t="s">
        <v>2233</v>
      </c>
      <c r="BO75" s="642">
        <f>SUM(BO67:BO74)</f>
        <v>0.94751767252439367</v>
      </c>
      <c r="BP75" s="2629"/>
      <c r="BQ75" s="542"/>
      <c r="BR75" s="542"/>
      <c r="BS75" s="542"/>
      <c r="BT75" s="542"/>
      <c r="BU75" s="545" t="s">
        <v>2233</v>
      </c>
      <c r="BV75" s="642">
        <f>SUM(BV67:BV74)</f>
        <v>18.976286390184804</v>
      </c>
      <c r="BW75" s="545" t="s">
        <v>2233</v>
      </c>
      <c r="BX75" s="642">
        <f>SUM(BX67:BX74)</f>
        <v>0</v>
      </c>
      <c r="BY75" s="545" t="s">
        <v>2233</v>
      </c>
      <c r="BZ75" s="642">
        <f>SUM(BZ67:BZ74)</f>
        <v>11.942238610687923</v>
      </c>
      <c r="CA75" s="545" t="s">
        <v>2233</v>
      </c>
      <c r="CB75" s="642">
        <f>SUM(CB67:CB74)</f>
        <v>2.0335398793806152</v>
      </c>
      <c r="CC75" s="545" t="s">
        <v>2233</v>
      </c>
      <c r="CD75" s="642">
        <f>SUM(CD67:CD74)</f>
        <v>1.2488447935162164</v>
      </c>
    </row>
    <row r="76" spans="1:82" s="98" customFormat="1" ht="15" customHeight="1">
      <c r="A76" s="99"/>
      <c r="B76" s="123"/>
      <c r="C76" s="127"/>
      <c r="D76" s="127"/>
      <c r="E76" s="127"/>
      <c r="F76" s="127"/>
      <c r="G76" s="117"/>
      <c r="H76" s="117"/>
      <c r="I76" s="117"/>
      <c r="J76" s="159"/>
      <c r="K76" s="94"/>
      <c r="L76" s="94"/>
      <c r="M76" s="94"/>
      <c r="N76" s="94"/>
      <c r="O76" s="94"/>
      <c r="P76" s="94"/>
      <c r="Q76" s="160"/>
      <c r="R76" s="159"/>
      <c r="S76" s="94"/>
      <c r="T76" s="94"/>
      <c r="U76" s="94"/>
      <c r="V76" s="160"/>
      <c r="W76" s="2629"/>
      <c r="X76" s="94"/>
      <c r="Y76" s="159"/>
      <c r="Z76" s="94"/>
      <c r="AA76" s="94"/>
      <c r="AB76" s="94"/>
      <c r="AC76" s="94"/>
      <c r="AD76" s="94"/>
      <c r="AE76" s="94"/>
      <c r="AF76" s="160"/>
      <c r="AG76" s="159"/>
      <c r="AH76" s="94"/>
      <c r="AI76" s="94"/>
      <c r="AJ76" s="94"/>
      <c r="AK76" s="160"/>
      <c r="AL76" s="2629"/>
      <c r="AM76" s="94"/>
      <c r="AN76" s="159"/>
      <c r="AO76" s="94"/>
      <c r="AP76" s="94"/>
      <c r="AQ76" s="94"/>
      <c r="AR76" s="94"/>
      <c r="AS76" s="94"/>
      <c r="AT76" s="94"/>
      <c r="AU76" s="160"/>
      <c r="AV76" s="159"/>
      <c r="AW76" s="94"/>
      <c r="AX76" s="94"/>
      <c r="AY76" s="94"/>
      <c r="AZ76" s="160"/>
      <c r="BA76" s="2629"/>
      <c r="BB76" s="542"/>
      <c r="BC76" s="542"/>
      <c r="BD76" s="542"/>
      <c r="BE76" s="542"/>
      <c r="BF76" s="542"/>
      <c r="BG76" s="542"/>
      <c r="BH76" s="542"/>
      <c r="BI76" s="542"/>
      <c r="BJ76" s="542"/>
      <c r="BK76" s="542"/>
      <c r="BL76" s="542"/>
      <c r="BM76" s="542"/>
      <c r="BN76" s="542"/>
      <c r="BO76" s="542"/>
      <c r="BP76" s="2629"/>
      <c r="BQ76" s="542"/>
      <c r="BR76" s="542"/>
      <c r="BS76" s="542"/>
      <c r="BT76" s="542"/>
      <c r="BU76" s="542"/>
      <c r="BV76" s="542"/>
      <c r="BW76" s="542"/>
      <c r="BX76" s="542"/>
      <c r="BY76" s="542"/>
      <c r="BZ76" s="542"/>
      <c r="CA76" s="542"/>
      <c r="CB76" s="542"/>
      <c r="CC76" s="542"/>
      <c r="CD76" s="542"/>
    </row>
    <row r="77" spans="1:82" s="98" customFormat="1" ht="15" customHeight="1">
      <c r="A77" s="99"/>
      <c r="B77" s="161"/>
      <c r="C77" s="116" t="s">
        <v>2725</v>
      </c>
      <c r="D77" s="116"/>
      <c r="E77" s="116"/>
      <c r="F77" s="116"/>
      <c r="G77" s="117"/>
      <c r="H77" s="117"/>
      <c r="I77" s="117"/>
      <c r="J77" s="159"/>
      <c r="K77" s="94"/>
      <c r="L77" s="94"/>
      <c r="M77" s="94"/>
      <c r="N77" s="94"/>
      <c r="O77" s="94"/>
      <c r="P77" s="94"/>
      <c r="Q77" s="160"/>
      <c r="R77" s="159"/>
      <c r="S77" s="94"/>
      <c r="T77" s="94"/>
      <c r="U77" s="94"/>
      <c r="V77" s="160"/>
      <c r="W77" s="2629"/>
      <c r="X77" s="94"/>
      <c r="Y77" s="159"/>
      <c r="Z77" s="94"/>
      <c r="AA77" s="94"/>
      <c r="AB77" s="94"/>
      <c r="AC77" s="94"/>
      <c r="AD77" s="94"/>
      <c r="AE77" s="94"/>
      <c r="AF77" s="160"/>
      <c r="AG77" s="159"/>
      <c r="AH77" s="94"/>
      <c r="AI77" s="94"/>
      <c r="AJ77" s="94"/>
      <c r="AK77" s="160"/>
      <c r="AL77" s="2629"/>
      <c r="AM77" s="94"/>
      <c r="AN77" s="159"/>
      <c r="AO77" s="94"/>
      <c r="AP77" s="94"/>
      <c r="AQ77" s="94"/>
      <c r="AR77" s="94"/>
      <c r="AS77" s="94"/>
      <c r="AT77" s="94"/>
      <c r="AU77" s="160"/>
      <c r="AV77" s="159"/>
      <c r="AW77" s="94"/>
      <c r="AX77" s="94"/>
      <c r="AY77" s="94"/>
      <c r="AZ77" s="160"/>
      <c r="BA77" s="2629"/>
      <c r="BB77" s="542"/>
      <c r="BC77" s="542"/>
      <c r="BD77" s="542"/>
      <c r="BE77" s="542"/>
      <c r="BF77" s="542"/>
      <c r="BG77" s="542"/>
      <c r="BH77" s="542"/>
      <c r="BI77" s="542"/>
      <c r="BJ77" s="542"/>
      <c r="BK77" s="542"/>
      <c r="BL77" s="542"/>
      <c r="BM77" s="542"/>
      <c r="BN77" s="542"/>
      <c r="BO77" s="542"/>
      <c r="BP77" s="2629"/>
      <c r="BQ77" s="542"/>
      <c r="BR77" s="542"/>
      <c r="BS77" s="542"/>
      <c r="BT77" s="542"/>
      <c r="BU77" s="542"/>
      <c r="BV77" s="542"/>
      <c r="BW77" s="542"/>
      <c r="BX77" s="542"/>
      <c r="BY77" s="542"/>
      <c r="BZ77" s="542"/>
      <c r="CA77" s="542"/>
      <c r="CB77" s="542"/>
      <c r="CC77" s="542"/>
      <c r="CD77" s="542"/>
    </row>
    <row r="78" spans="1:82" s="98" customFormat="1" ht="15" customHeight="1">
      <c r="A78" s="99"/>
      <c r="B78" s="161"/>
      <c r="C78" s="162"/>
      <c r="D78" s="162" t="s">
        <v>2701</v>
      </c>
      <c r="E78" s="162"/>
      <c r="F78" s="162"/>
      <c r="G78" s="163"/>
      <c r="H78" s="163"/>
      <c r="I78" s="164" t="s">
        <v>498</v>
      </c>
      <c r="J78" s="143">
        <v>0</v>
      </c>
      <c r="K78" s="141">
        <v>0</v>
      </c>
      <c r="L78" s="141">
        <v>0</v>
      </c>
      <c r="M78" s="141">
        <v>0</v>
      </c>
      <c r="N78" s="141">
        <v>0</v>
      </c>
      <c r="O78" s="141">
        <v>0</v>
      </c>
      <c r="P78" s="141">
        <v>5.6902902490335045E-3</v>
      </c>
      <c r="Q78" s="144">
        <v>4.8375923001920907E-3</v>
      </c>
      <c r="R78" s="143">
        <v>1.2201075257545874E-2</v>
      </c>
      <c r="S78" s="141">
        <v>1.2140069881258144E-2</v>
      </c>
      <c r="T78" s="141">
        <v>1.2079369531851854E-2</v>
      </c>
      <c r="U78" s="141">
        <v>1.2018972684192594E-2</v>
      </c>
      <c r="V78" s="144">
        <v>1.1958877820771631E-2</v>
      </c>
      <c r="W78" s="2629"/>
      <c r="X78" s="607" t="s">
        <v>498</v>
      </c>
      <c r="Y78" s="143">
        <v>0</v>
      </c>
      <c r="Z78" s="141">
        <v>0</v>
      </c>
      <c r="AA78" s="141">
        <v>0</v>
      </c>
      <c r="AB78" s="141">
        <v>0</v>
      </c>
      <c r="AC78" s="141">
        <v>0</v>
      </c>
      <c r="AD78" s="141">
        <v>0</v>
      </c>
      <c r="AE78" s="141">
        <v>0</v>
      </c>
      <c r="AF78" s="144">
        <v>0</v>
      </c>
      <c r="AG78" s="143">
        <v>0</v>
      </c>
      <c r="AH78" s="141">
        <v>0</v>
      </c>
      <c r="AI78" s="141">
        <v>0</v>
      </c>
      <c r="AJ78" s="141">
        <v>0</v>
      </c>
      <c r="AK78" s="144">
        <v>0</v>
      </c>
      <c r="AL78" s="2629"/>
      <c r="AM78" s="607" t="s">
        <v>2233</v>
      </c>
      <c r="AN78" s="143"/>
      <c r="AO78" s="141">
        <v>0</v>
      </c>
      <c r="AP78" s="141">
        <v>0</v>
      </c>
      <c r="AQ78" s="141"/>
      <c r="AR78" s="141"/>
      <c r="AS78" s="141"/>
      <c r="AT78" s="141">
        <v>3.4340037969316374E-2</v>
      </c>
      <c r="AU78" s="144">
        <v>2.5214037949215031E-2</v>
      </c>
      <c r="AV78" s="143">
        <v>8.7383578584020127E-2</v>
      </c>
      <c r="AW78" s="141">
        <v>8.7383578584020127E-2</v>
      </c>
      <c r="AX78" s="141">
        <v>8.7383578584020127E-2</v>
      </c>
      <c r="AY78" s="141">
        <v>8.7383578584020127E-2</v>
      </c>
      <c r="AZ78" s="144">
        <v>8.7383578584020127E-2</v>
      </c>
      <c r="BA78" s="2629"/>
      <c r="BB78" s="545" t="s">
        <v>627</v>
      </c>
      <c r="BC78" s="868">
        <v>0</v>
      </c>
      <c r="BD78" s="545" t="s">
        <v>627</v>
      </c>
      <c r="BE78" s="868">
        <v>0</v>
      </c>
      <c r="BF78" s="545" t="s">
        <v>2233</v>
      </c>
      <c r="BG78" s="141">
        <v>3.3043425192856891E-2</v>
      </c>
      <c r="BH78" s="545" t="s">
        <v>2233</v>
      </c>
      <c r="BI78" s="141">
        <v>0</v>
      </c>
      <c r="BJ78" s="545" t="s">
        <v>2233</v>
      </c>
      <c r="BK78" s="141">
        <v>2.0795031232856018E-2</v>
      </c>
      <c r="BL78" s="545" t="s">
        <v>2233</v>
      </c>
      <c r="BM78" s="141">
        <v>3.5410048889102049E-3</v>
      </c>
      <c r="BN78" s="545" t="s">
        <v>2233</v>
      </c>
      <c r="BO78" s="141">
        <v>2.174614603908285E-3</v>
      </c>
      <c r="BP78" s="2629"/>
      <c r="BQ78" s="545" t="s">
        <v>627</v>
      </c>
      <c r="BR78" s="868">
        <v>0</v>
      </c>
      <c r="BS78" s="545" t="s">
        <v>627</v>
      </c>
      <c r="BT78" s="868">
        <v>0</v>
      </c>
      <c r="BU78" s="545" t="s">
        <v>2233</v>
      </c>
      <c r="BV78" s="141">
        <v>0.24242276431047047</v>
      </c>
      <c r="BW78" s="545" t="s">
        <v>2233</v>
      </c>
      <c r="BX78" s="141">
        <v>0</v>
      </c>
      <c r="BY78" s="545" t="s">
        <v>2233</v>
      </c>
      <c r="BZ78" s="141">
        <v>0.15256254235052175</v>
      </c>
      <c r="CA78" s="545" t="s">
        <v>2233</v>
      </c>
      <c r="CB78" s="141">
        <v>2.5978547580838254E-2</v>
      </c>
      <c r="CC78" s="545" t="s">
        <v>2233</v>
      </c>
      <c r="CD78" s="141">
        <v>1.5954038678270152E-2</v>
      </c>
    </row>
    <row r="79" spans="1:82" s="98" customFormat="1" ht="15" customHeight="1">
      <c r="A79" s="99"/>
      <c r="B79" s="161"/>
      <c r="C79" s="162"/>
      <c r="D79" s="162" t="s">
        <v>2702</v>
      </c>
      <c r="E79" s="162"/>
      <c r="F79" s="162"/>
      <c r="G79" s="163"/>
      <c r="H79" s="163"/>
      <c r="I79" s="164" t="s">
        <v>498</v>
      </c>
      <c r="J79" s="143">
        <v>3.2995490399584014E-2</v>
      </c>
      <c r="K79" s="141">
        <v>0</v>
      </c>
      <c r="L79" s="141">
        <v>0</v>
      </c>
      <c r="M79" s="141">
        <v>0</v>
      </c>
      <c r="N79" s="141">
        <v>0</v>
      </c>
      <c r="O79" s="141">
        <v>0</v>
      </c>
      <c r="P79" s="141">
        <v>7.5813888178401477E-3</v>
      </c>
      <c r="Q79" s="144">
        <v>6.4453071047079298E-3</v>
      </c>
      <c r="R79" s="143">
        <v>4.9591590254189199E-3</v>
      </c>
      <c r="S79" s="141">
        <v>4.9343632302918253E-3</v>
      </c>
      <c r="T79" s="141">
        <v>4.909691414140366E-3</v>
      </c>
      <c r="U79" s="141">
        <v>4.8851429570696643E-3</v>
      </c>
      <c r="V79" s="144">
        <v>4.8607172422843155E-3</v>
      </c>
      <c r="W79" s="2629"/>
      <c r="X79" s="607" t="s">
        <v>498</v>
      </c>
      <c r="Y79" s="143">
        <v>0</v>
      </c>
      <c r="Z79" s="141">
        <v>0</v>
      </c>
      <c r="AA79" s="141">
        <v>0</v>
      </c>
      <c r="AB79" s="141">
        <v>0</v>
      </c>
      <c r="AC79" s="141">
        <v>0</v>
      </c>
      <c r="AD79" s="141">
        <v>0</v>
      </c>
      <c r="AE79" s="141">
        <v>0</v>
      </c>
      <c r="AF79" s="144">
        <v>0</v>
      </c>
      <c r="AG79" s="143">
        <v>0</v>
      </c>
      <c r="AH79" s="141">
        <v>0</v>
      </c>
      <c r="AI79" s="141">
        <v>0</v>
      </c>
      <c r="AJ79" s="141">
        <v>0</v>
      </c>
      <c r="AK79" s="144">
        <v>0</v>
      </c>
      <c r="AL79" s="2629"/>
      <c r="AM79" s="607" t="s">
        <v>2233</v>
      </c>
      <c r="AN79" s="143">
        <v>0.27600000000000002</v>
      </c>
      <c r="AO79" s="141">
        <v>0</v>
      </c>
      <c r="AP79" s="141">
        <v>0</v>
      </c>
      <c r="AQ79" s="141"/>
      <c r="AR79" s="141"/>
      <c r="AS79" s="141"/>
      <c r="AT79" s="141">
        <v>5.7564114545922522E-2</v>
      </c>
      <c r="AU79" s="144">
        <v>4.0572116326372955E-2</v>
      </c>
      <c r="AV79" s="143">
        <v>3.1489577868115362E-2</v>
      </c>
      <c r="AW79" s="141">
        <v>3.1489577868115362E-2</v>
      </c>
      <c r="AX79" s="141">
        <v>3.1489577868115362E-2</v>
      </c>
      <c r="AY79" s="141">
        <v>3.1489577868115362E-2</v>
      </c>
      <c r="AZ79" s="144">
        <v>3.1489577868115362E-2</v>
      </c>
      <c r="BA79" s="2629"/>
      <c r="BB79" s="545" t="s">
        <v>627</v>
      </c>
      <c r="BC79" s="868">
        <v>0</v>
      </c>
      <c r="BD79" s="545" t="s">
        <v>627</v>
      </c>
      <c r="BE79" s="868">
        <v>0</v>
      </c>
      <c r="BF79" s="545" t="s">
        <v>2233</v>
      </c>
      <c r="BG79" s="141">
        <v>0.20758852129076905</v>
      </c>
      <c r="BH79" s="545" t="s">
        <v>2233</v>
      </c>
      <c r="BI79" s="141">
        <v>0</v>
      </c>
      <c r="BJ79" s="545" t="s">
        <v>2233</v>
      </c>
      <c r="BK79" s="141">
        <v>0.13064050589879883</v>
      </c>
      <c r="BL79" s="545" t="s">
        <v>2233</v>
      </c>
      <c r="BM79" s="141">
        <v>2.2245634781564844E-2</v>
      </c>
      <c r="BN79" s="545" t="s">
        <v>2233</v>
      </c>
      <c r="BO79" s="141">
        <v>1.3661568901162775E-2</v>
      </c>
      <c r="BP79" s="2629"/>
      <c r="BQ79" s="545" t="s">
        <v>627</v>
      </c>
      <c r="BR79" s="868">
        <v>0</v>
      </c>
      <c r="BS79" s="545" t="s">
        <v>627</v>
      </c>
      <c r="BT79" s="868">
        <v>0</v>
      </c>
      <c r="BU79" s="545" t="s">
        <v>2233</v>
      </c>
      <c r="BV79" s="141">
        <v>8.7359554706475842E-2</v>
      </c>
      <c r="BW79" s="545" t="s">
        <v>2233</v>
      </c>
      <c r="BX79" s="141">
        <v>0</v>
      </c>
      <c r="BY79" s="545" t="s">
        <v>2233</v>
      </c>
      <c r="BZ79" s="141">
        <v>5.4977492738926749E-2</v>
      </c>
      <c r="CA79" s="545" t="s">
        <v>2233</v>
      </c>
      <c r="CB79" s="141">
        <v>9.3616387678696414E-3</v>
      </c>
      <c r="CC79" s="545" t="s">
        <v>2233</v>
      </c>
      <c r="CD79" s="141">
        <v>5.7492031273045589E-3</v>
      </c>
    </row>
    <row r="80" spans="1:82" s="98" customFormat="1" ht="15" customHeight="1">
      <c r="A80" s="99"/>
      <c r="B80" s="161"/>
      <c r="C80" s="162"/>
      <c r="D80" s="162" t="s">
        <v>2703</v>
      </c>
      <c r="E80" s="162"/>
      <c r="F80" s="162"/>
      <c r="G80" s="163"/>
      <c r="H80" s="163"/>
      <c r="I80" s="164" t="s">
        <v>498</v>
      </c>
      <c r="J80" s="143">
        <v>0</v>
      </c>
      <c r="K80" s="141">
        <v>0</v>
      </c>
      <c r="L80" s="141">
        <v>0</v>
      </c>
      <c r="M80" s="141">
        <v>0</v>
      </c>
      <c r="N80" s="141">
        <v>0</v>
      </c>
      <c r="O80" s="141">
        <v>0</v>
      </c>
      <c r="P80" s="141">
        <v>3.878060743499738E-2</v>
      </c>
      <c r="Q80" s="144">
        <v>3.2969279195587634E-2</v>
      </c>
      <c r="R80" s="143">
        <v>8.1690105960521202E-4</v>
      </c>
      <c r="S80" s="141">
        <v>8.1281655430718593E-4</v>
      </c>
      <c r="T80" s="141">
        <v>8.0875247153564997E-4</v>
      </c>
      <c r="U80" s="141">
        <v>8.0470870917797167E-4</v>
      </c>
      <c r="V80" s="144">
        <v>8.0068516563208182E-4</v>
      </c>
      <c r="W80" s="2629"/>
      <c r="X80" s="607" t="s">
        <v>498</v>
      </c>
      <c r="Y80" s="143">
        <v>0</v>
      </c>
      <c r="Z80" s="141">
        <v>0</v>
      </c>
      <c r="AA80" s="141">
        <v>0</v>
      </c>
      <c r="AB80" s="141">
        <v>0</v>
      </c>
      <c r="AC80" s="141">
        <v>0</v>
      </c>
      <c r="AD80" s="141">
        <v>0</v>
      </c>
      <c r="AE80" s="141">
        <v>0</v>
      </c>
      <c r="AF80" s="144">
        <v>0</v>
      </c>
      <c r="AG80" s="143">
        <v>0</v>
      </c>
      <c r="AH80" s="141">
        <v>0</v>
      </c>
      <c r="AI80" s="141">
        <v>0</v>
      </c>
      <c r="AJ80" s="141">
        <v>0</v>
      </c>
      <c r="AK80" s="144">
        <v>0</v>
      </c>
      <c r="AL80" s="2629"/>
      <c r="AM80" s="607" t="s">
        <v>2233</v>
      </c>
      <c r="AN80" s="143"/>
      <c r="AO80" s="141">
        <v>0</v>
      </c>
      <c r="AP80" s="141">
        <v>0</v>
      </c>
      <c r="AQ80" s="141"/>
      <c r="AR80" s="141"/>
      <c r="AS80" s="141"/>
      <c r="AT80" s="141">
        <v>0.19696922326272875</v>
      </c>
      <c r="AU80" s="144">
        <v>0.15699250894386232</v>
      </c>
      <c r="AV80" s="143">
        <v>3.9361972335144203E-3</v>
      </c>
      <c r="AW80" s="141">
        <v>3.9361972335144203E-3</v>
      </c>
      <c r="AX80" s="141">
        <v>3.9361972335144203E-3</v>
      </c>
      <c r="AY80" s="141">
        <v>3.9361972335144203E-3</v>
      </c>
      <c r="AZ80" s="144">
        <v>3.9361972335144203E-3</v>
      </c>
      <c r="BA80" s="2629"/>
      <c r="BB80" s="545" t="s">
        <v>627</v>
      </c>
      <c r="BC80" s="868">
        <v>0</v>
      </c>
      <c r="BD80" s="545" t="s">
        <v>627</v>
      </c>
      <c r="BE80" s="868">
        <v>0</v>
      </c>
      <c r="BF80" s="545" t="s">
        <v>2233</v>
      </c>
      <c r="BG80" s="141">
        <v>0.19639475281763322</v>
      </c>
      <c r="BH80" s="545" t="s">
        <v>2233</v>
      </c>
      <c r="BI80" s="141">
        <v>0</v>
      </c>
      <c r="BJ80" s="545" t="s">
        <v>2233</v>
      </c>
      <c r="BK80" s="141">
        <v>0.1235959951177997</v>
      </c>
      <c r="BL80" s="545" t="s">
        <v>2233</v>
      </c>
      <c r="BM80" s="141">
        <v>2.1046086349240965E-2</v>
      </c>
      <c r="BN80" s="545" t="s">
        <v>2233</v>
      </c>
      <c r="BO80" s="141">
        <v>1.2924897921917214E-2</v>
      </c>
      <c r="BP80" s="2629"/>
      <c r="BQ80" s="545" t="s">
        <v>627</v>
      </c>
      <c r="BR80" s="868">
        <v>0</v>
      </c>
      <c r="BS80" s="545" t="s">
        <v>627</v>
      </c>
      <c r="BT80" s="868">
        <v>0</v>
      </c>
      <c r="BU80" s="545" t="s">
        <v>2233</v>
      </c>
      <c r="BV80" s="141">
        <v>1.091994433830948E-2</v>
      </c>
      <c r="BW80" s="545" t="s">
        <v>2233</v>
      </c>
      <c r="BX80" s="141">
        <v>0</v>
      </c>
      <c r="BY80" s="545" t="s">
        <v>2233</v>
      </c>
      <c r="BZ80" s="141">
        <v>6.8721865923658436E-3</v>
      </c>
      <c r="CA80" s="545" t="s">
        <v>2233</v>
      </c>
      <c r="CB80" s="141">
        <v>1.1702048459837052E-3</v>
      </c>
      <c r="CC80" s="545" t="s">
        <v>2233</v>
      </c>
      <c r="CD80" s="141">
        <v>7.1865039091306986E-4</v>
      </c>
    </row>
    <row r="81" spans="1:82" s="98" customFormat="1" ht="15" customHeight="1">
      <c r="A81" s="99"/>
      <c r="B81" s="161"/>
      <c r="C81" s="162"/>
      <c r="D81" s="162" t="s">
        <v>2704</v>
      </c>
      <c r="E81" s="162"/>
      <c r="F81" s="162"/>
      <c r="G81" s="163"/>
      <c r="H81" s="163"/>
      <c r="I81" s="164" t="s">
        <v>498</v>
      </c>
      <c r="J81" s="143">
        <v>7.0729027981250941E-2</v>
      </c>
      <c r="K81" s="141">
        <v>0</v>
      </c>
      <c r="L81" s="141">
        <v>6.701105491859565E-4</v>
      </c>
      <c r="M81" s="141">
        <v>0</v>
      </c>
      <c r="N81" s="141">
        <v>0</v>
      </c>
      <c r="O81" s="141">
        <v>0</v>
      </c>
      <c r="P81" s="141">
        <v>0.12906701084283323</v>
      </c>
      <c r="Q81" s="144">
        <v>0.10972613883239948</v>
      </c>
      <c r="R81" s="143">
        <v>0</v>
      </c>
      <c r="S81" s="141">
        <v>0</v>
      </c>
      <c r="T81" s="141">
        <v>0</v>
      </c>
      <c r="U81" s="141">
        <v>0</v>
      </c>
      <c r="V81" s="144">
        <v>0</v>
      </c>
      <c r="W81" s="2629"/>
      <c r="X81" s="607" t="s">
        <v>498</v>
      </c>
      <c r="Y81" s="143">
        <v>0</v>
      </c>
      <c r="Z81" s="141">
        <v>0</v>
      </c>
      <c r="AA81" s="141">
        <v>0</v>
      </c>
      <c r="AB81" s="141">
        <v>0</v>
      </c>
      <c r="AC81" s="141">
        <v>0</v>
      </c>
      <c r="AD81" s="141">
        <v>0</v>
      </c>
      <c r="AE81" s="141">
        <v>0</v>
      </c>
      <c r="AF81" s="144">
        <v>0</v>
      </c>
      <c r="AG81" s="143">
        <v>0</v>
      </c>
      <c r="AH81" s="141">
        <v>0</v>
      </c>
      <c r="AI81" s="141">
        <v>0</v>
      </c>
      <c r="AJ81" s="141">
        <v>0</v>
      </c>
      <c r="AK81" s="144">
        <v>0</v>
      </c>
      <c r="AL81" s="2629"/>
      <c r="AM81" s="607" t="s">
        <v>2233</v>
      </c>
      <c r="AN81" s="143">
        <v>0.30199999999999999</v>
      </c>
      <c r="AO81" s="141">
        <v>0</v>
      </c>
      <c r="AP81" s="141">
        <v>2E-3</v>
      </c>
      <c r="AQ81" s="141"/>
      <c r="AR81" s="141"/>
      <c r="AS81" s="141"/>
      <c r="AT81" s="141">
        <v>0.42213817837641615</v>
      </c>
      <c r="AU81" s="144">
        <v>0.31767242153565051</v>
      </c>
      <c r="AV81" s="143">
        <v>0</v>
      </c>
      <c r="AW81" s="141">
        <v>0</v>
      </c>
      <c r="AX81" s="141">
        <v>0</v>
      </c>
      <c r="AY81" s="141">
        <v>0</v>
      </c>
      <c r="AZ81" s="144">
        <v>0</v>
      </c>
      <c r="BA81" s="2629"/>
      <c r="BB81" s="545" t="s">
        <v>627</v>
      </c>
      <c r="BC81" s="868">
        <v>0</v>
      </c>
      <c r="BD81" s="545" t="s">
        <v>627</v>
      </c>
      <c r="BE81" s="868">
        <v>0</v>
      </c>
      <c r="BF81" s="545" t="s">
        <v>2233</v>
      </c>
      <c r="BG81" s="141">
        <v>0.57915561515702874</v>
      </c>
      <c r="BH81" s="545" t="s">
        <v>2233</v>
      </c>
      <c r="BI81" s="141">
        <v>0</v>
      </c>
      <c r="BJ81" s="545" t="s">
        <v>2233</v>
      </c>
      <c r="BK81" s="141">
        <v>0.36447671618733551</v>
      </c>
      <c r="BL81" s="545" t="s">
        <v>2233</v>
      </c>
      <c r="BM81" s="141">
        <v>6.2063567948584301E-2</v>
      </c>
      <c r="BN81" s="545" t="s">
        <v>2233</v>
      </c>
      <c r="BO81" s="141">
        <v>3.811470061911798E-2</v>
      </c>
      <c r="BP81" s="2629"/>
      <c r="BQ81" s="545" t="s">
        <v>627</v>
      </c>
      <c r="BR81" s="868">
        <v>0</v>
      </c>
      <c r="BS81" s="545" t="s">
        <v>627</v>
      </c>
      <c r="BT81" s="868">
        <v>0</v>
      </c>
      <c r="BU81" s="545" t="s">
        <v>2233</v>
      </c>
      <c r="BV81" s="141">
        <v>0</v>
      </c>
      <c r="BW81" s="545" t="s">
        <v>2233</v>
      </c>
      <c r="BX81" s="141">
        <v>0</v>
      </c>
      <c r="BY81" s="545" t="s">
        <v>2233</v>
      </c>
      <c r="BZ81" s="141">
        <v>0</v>
      </c>
      <c r="CA81" s="545" t="s">
        <v>2233</v>
      </c>
      <c r="CB81" s="141">
        <v>0</v>
      </c>
      <c r="CC81" s="545" t="s">
        <v>2233</v>
      </c>
      <c r="CD81" s="141">
        <v>0</v>
      </c>
    </row>
    <row r="82" spans="1:82" s="98" customFormat="1" ht="15" customHeight="1">
      <c r="A82" s="99"/>
      <c r="B82" s="161"/>
      <c r="C82" s="162"/>
      <c r="D82" s="162" t="s">
        <v>2705</v>
      </c>
      <c r="E82" s="162"/>
      <c r="F82" s="162"/>
      <c r="G82" s="163"/>
      <c r="H82" s="163"/>
      <c r="I82" s="164" t="s">
        <v>498</v>
      </c>
      <c r="J82" s="143">
        <v>3.0824157866650131E-2</v>
      </c>
      <c r="K82" s="141">
        <v>0</v>
      </c>
      <c r="L82" s="141">
        <v>5.4166774282688214E-2</v>
      </c>
      <c r="M82" s="141">
        <v>6.8682128707420248E-3</v>
      </c>
      <c r="N82" s="141">
        <v>0</v>
      </c>
      <c r="O82" s="141">
        <v>0.78739165100256148</v>
      </c>
      <c r="P82" s="141">
        <v>0.16851696619796952</v>
      </c>
      <c r="Q82" s="144">
        <v>0.14326446322654501</v>
      </c>
      <c r="R82" s="143">
        <v>0.23490472936505227</v>
      </c>
      <c r="S82" s="141">
        <v>0.233730205718227</v>
      </c>
      <c r="T82" s="141">
        <v>0.23256155468963588</v>
      </c>
      <c r="U82" s="141">
        <v>0.2313987469161877</v>
      </c>
      <c r="V82" s="144">
        <v>0.23024175318160675</v>
      </c>
      <c r="W82" s="2629"/>
      <c r="X82" s="607" t="s">
        <v>498</v>
      </c>
      <c r="Y82" s="143">
        <v>0</v>
      </c>
      <c r="Z82" s="141">
        <v>0</v>
      </c>
      <c r="AA82" s="141">
        <v>0</v>
      </c>
      <c r="AB82" s="141">
        <v>0</v>
      </c>
      <c r="AC82" s="141">
        <v>0</v>
      </c>
      <c r="AD82" s="141">
        <v>0</v>
      </c>
      <c r="AE82" s="141">
        <v>0</v>
      </c>
      <c r="AF82" s="144">
        <v>0</v>
      </c>
      <c r="AG82" s="143">
        <v>0</v>
      </c>
      <c r="AH82" s="141">
        <v>0</v>
      </c>
      <c r="AI82" s="141">
        <v>0</v>
      </c>
      <c r="AJ82" s="141">
        <v>0</v>
      </c>
      <c r="AK82" s="144">
        <v>0</v>
      </c>
      <c r="AL82" s="2629"/>
      <c r="AM82" s="607" t="s">
        <v>2233</v>
      </c>
      <c r="AN82" s="143">
        <v>0.104</v>
      </c>
      <c r="AO82" s="141">
        <v>0</v>
      </c>
      <c r="AP82" s="141">
        <v>0.14000000000000001</v>
      </c>
      <c r="AQ82" s="141">
        <v>1.4E-2</v>
      </c>
      <c r="AR82" s="141"/>
      <c r="AS82" s="141">
        <v>1.5069999999999999</v>
      </c>
      <c r="AT82" s="141">
        <v>0.40387327302283593</v>
      </c>
      <c r="AU82" s="144">
        <v>0.2871704845762339</v>
      </c>
      <c r="AV82" s="143">
        <v>0.5199716545472548</v>
      </c>
      <c r="AW82" s="141">
        <v>0.5199716545472548</v>
      </c>
      <c r="AX82" s="141">
        <v>0.5199716545472548</v>
      </c>
      <c r="AY82" s="141">
        <v>0.5199716545472548</v>
      </c>
      <c r="AZ82" s="144">
        <v>0.5199716545472548</v>
      </c>
      <c r="BA82" s="2629"/>
      <c r="BB82" s="545" t="s">
        <v>627</v>
      </c>
      <c r="BC82" s="868">
        <v>0</v>
      </c>
      <c r="BD82" s="545" t="s">
        <v>627</v>
      </c>
      <c r="BE82" s="868">
        <v>0</v>
      </c>
      <c r="BF82" s="545" t="s">
        <v>2233</v>
      </c>
      <c r="BG82" s="141">
        <v>1.3627295348454014</v>
      </c>
      <c r="BH82" s="545" t="s">
        <v>2233</v>
      </c>
      <c r="BI82" s="141">
        <v>0</v>
      </c>
      <c r="BJ82" s="545" t="s">
        <v>2233</v>
      </c>
      <c r="BK82" s="141">
        <v>0.85759884375338291</v>
      </c>
      <c r="BL82" s="545" t="s">
        <v>2233</v>
      </c>
      <c r="BM82" s="141">
        <v>0.14603304339627071</v>
      </c>
      <c r="BN82" s="545" t="s">
        <v>2233</v>
      </c>
      <c r="BO82" s="141">
        <v>8.9682335604014937E-2</v>
      </c>
      <c r="BP82" s="2629"/>
      <c r="BQ82" s="545" t="s">
        <v>627</v>
      </c>
      <c r="BR82" s="868">
        <v>0</v>
      </c>
      <c r="BS82" s="545" t="s">
        <v>627</v>
      </c>
      <c r="BT82" s="868">
        <v>0</v>
      </c>
      <c r="BU82" s="545" t="s">
        <v>2233</v>
      </c>
      <c r="BV82" s="141">
        <v>1.4425246470906821</v>
      </c>
      <c r="BW82" s="545" t="s">
        <v>2233</v>
      </c>
      <c r="BX82" s="141">
        <v>0</v>
      </c>
      <c r="BY82" s="545" t="s">
        <v>2233</v>
      </c>
      <c r="BZ82" s="141">
        <v>0.90781584885152777</v>
      </c>
      <c r="CA82" s="545" t="s">
        <v>2233</v>
      </c>
      <c r="CB82" s="141">
        <v>0.15458406015444739</v>
      </c>
      <c r="CC82" s="545" t="s">
        <v>2233</v>
      </c>
      <c r="CD82" s="141">
        <v>9.4933716639616514E-2</v>
      </c>
    </row>
    <row r="83" spans="1:82" s="98" customFormat="1" ht="15" customHeight="1">
      <c r="A83" s="99"/>
      <c r="B83" s="161"/>
      <c r="C83" s="162"/>
      <c r="D83" s="162" t="s">
        <v>2706</v>
      </c>
      <c r="E83" s="162"/>
      <c r="F83" s="162"/>
      <c r="G83" s="163"/>
      <c r="H83" s="163"/>
      <c r="I83" s="164" t="s">
        <v>498</v>
      </c>
      <c r="J83" s="143">
        <v>0</v>
      </c>
      <c r="K83" s="141">
        <v>8.1098446968119769E-2</v>
      </c>
      <c r="L83" s="141">
        <v>1.2251818383476156</v>
      </c>
      <c r="M83" s="141">
        <v>4.0443565527906858E-2</v>
      </c>
      <c r="N83" s="141">
        <v>0</v>
      </c>
      <c r="O83" s="141">
        <v>0.34251106583547619</v>
      </c>
      <c r="P83" s="141">
        <v>0.13990976003571479</v>
      </c>
      <c r="Q83" s="144">
        <v>0.11894408690056812</v>
      </c>
      <c r="R83" s="143">
        <v>0.95924333405862561</v>
      </c>
      <c r="S83" s="141">
        <v>0.95444711738833243</v>
      </c>
      <c r="T83" s="141">
        <v>0.94967488180139081</v>
      </c>
      <c r="U83" s="141">
        <v>0.94492650739238382</v>
      </c>
      <c r="V83" s="144">
        <v>0.94020187485542195</v>
      </c>
      <c r="W83" s="2629"/>
      <c r="X83" s="607" t="s">
        <v>498</v>
      </c>
      <c r="Y83" s="143">
        <v>0</v>
      </c>
      <c r="Z83" s="141">
        <v>0</v>
      </c>
      <c r="AA83" s="141">
        <v>0</v>
      </c>
      <c r="AB83" s="141">
        <v>0</v>
      </c>
      <c r="AC83" s="141">
        <v>0</v>
      </c>
      <c r="AD83" s="141">
        <v>0</v>
      </c>
      <c r="AE83" s="141">
        <v>0</v>
      </c>
      <c r="AF83" s="144">
        <v>0</v>
      </c>
      <c r="AG83" s="143">
        <v>0</v>
      </c>
      <c r="AH83" s="141">
        <v>0</v>
      </c>
      <c r="AI83" s="141">
        <v>0</v>
      </c>
      <c r="AJ83" s="141">
        <v>0</v>
      </c>
      <c r="AK83" s="144">
        <v>0</v>
      </c>
      <c r="AL83" s="2629"/>
      <c r="AM83" s="607" t="s">
        <v>2233</v>
      </c>
      <c r="AN83" s="143"/>
      <c r="AO83" s="141">
        <v>0.14499999999999999</v>
      </c>
      <c r="AP83" s="141">
        <v>2.1419999999999999</v>
      </c>
      <c r="AQ83" s="141">
        <v>3.3000000000000002E-2</v>
      </c>
      <c r="AR83" s="141"/>
      <c r="AS83" s="141">
        <v>0.317</v>
      </c>
      <c r="AT83" s="141">
        <v>0.19395890028800444</v>
      </c>
      <c r="AU83" s="144">
        <v>0.12890364325962766</v>
      </c>
      <c r="AV83" s="143">
        <v>1.2846173291297662</v>
      </c>
      <c r="AW83" s="141">
        <v>1.2846173291297662</v>
      </c>
      <c r="AX83" s="141">
        <v>1.2846173291297662</v>
      </c>
      <c r="AY83" s="141">
        <v>1.2846173291297662</v>
      </c>
      <c r="AZ83" s="144">
        <v>1.2846173291297662</v>
      </c>
      <c r="BA83" s="2629"/>
      <c r="BB83" s="545" t="s">
        <v>627</v>
      </c>
      <c r="BC83" s="868">
        <v>0</v>
      </c>
      <c r="BD83" s="545" t="s">
        <v>627</v>
      </c>
      <c r="BE83" s="868">
        <v>0</v>
      </c>
      <c r="BF83" s="545" t="s">
        <v>2233</v>
      </c>
      <c r="BG83" s="141">
        <v>1.6422720868450533</v>
      </c>
      <c r="BH83" s="545" t="s">
        <v>2233</v>
      </c>
      <c r="BI83" s="141">
        <v>0</v>
      </c>
      <c r="BJ83" s="545" t="s">
        <v>2233</v>
      </c>
      <c r="BK83" s="141">
        <v>1.0335217714104612</v>
      </c>
      <c r="BL83" s="545" t="s">
        <v>2233</v>
      </c>
      <c r="BM83" s="141">
        <v>0.17598942768488207</v>
      </c>
      <c r="BN83" s="545" t="s">
        <v>2233</v>
      </c>
      <c r="BO83" s="141">
        <v>0.10807925760723527</v>
      </c>
      <c r="BP83" s="2629"/>
      <c r="BQ83" s="545" t="s">
        <v>627</v>
      </c>
      <c r="BR83" s="868">
        <v>0</v>
      </c>
      <c r="BS83" s="545" t="s">
        <v>627</v>
      </c>
      <c r="BT83" s="868">
        <v>0</v>
      </c>
      <c r="BU83" s="545" t="s">
        <v>2233</v>
      </c>
      <c r="BV83" s="141">
        <v>3.5638330342506821</v>
      </c>
      <c r="BW83" s="545" t="s">
        <v>2233</v>
      </c>
      <c r="BX83" s="141">
        <v>0</v>
      </c>
      <c r="BY83" s="545" t="s">
        <v>2233</v>
      </c>
      <c r="BZ83" s="141">
        <v>2.2428068162845172</v>
      </c>
      <c r="CA83" s="545" t="s">
        <v>2233</v>
      </c>
      <c r="CB83" s="141">
        <v>0.38190805353524204</v>
      </c>
      <c r="CC83" s="545" t="s">
        <v>2233</v>
      </c>
      <c r="CD83" s="141">
        <v>0.23453874157838953</v>
      </c>
    </row>
    <row r="84" spans="1:82" s="98" customFormat="1" ht="15" customHeight="1">
      <c r="A84" s="99"/>
      <c r="B84" s="161"/>
      <c r="C84" s="162"/>
      <c r="D84" s="162" t="s">
        <v>2707</v>
      </c>
      <c r="E84" s="162"/>
      <c r="F84" s="162"/>
      <c r="G84" s="163"/>
      <c r="H84" s="163"/>
      <c r="I84" s="164" t="s">
        <v>498</v>
      </c>
      <c r="J84" s="143">
        <v>0</v>
      </c>
      <c r="K84" s="141">
        <v>0.2536919904312207</v>
      </c>
      <c r="L84" s="141">
        <v>0</v>
      </c>
      <c r="M84" s="141">
        <v>0</v>
      </c>
      <c r="N84" s="141">
        <v>0</v>
      </c>
      <c r="O84" s="141">
        <v>0</v>
      </c>
      <c r="P84" s="141">
        <v>1.6996033182417023E-2</v>
      </c>
      <c r="Q84" s="144">
        <v>1.4449153849583493E-2</v>
      </c>
      <c r="R84" s="143">
        <v>7.0788660959840682E-2</v>
      </c>
      <c r="S84" s="141">
        <v>7.0434717655041473E-2</v>
      </c>
      <c r="T84" s="141">
        <v>7.008254406676627E-2</v>
      </c>
      <c r="U84" s="141">
        <v>6.9732131346432441E-2</v>
      </c>
      <c r="V84" s="144">
        <v>6.9383470689700272E-2</v>
      </c>
      <c r="W84" s="2629"/>
      <c r="X84" s="607" t="s">
        <v>498</v>
      </c>
      <c r="Y84" s="143">
        <v>0</v>
      </c>
      <c r="Z84" s="141">
        <v>0</v>
      </c>
      <c r="AA84" s="141">
        <v>0</v>
      </c>
      <c r="AB84" s="141">
        <v>0</v>
      </c>
      <c r="AC84" s="141">
        <v>0</v>
      </c>
      <c r="AD84" s="141">
        <v>0</v>
      </c>
      <c r="AE84" s="141">
        <v>0</v>
      </c>
      <c r="AF84" s="144">
        <v>0</v>
      </c>
      <c r="AG84" s="143">
        <v>0</v>
      </c>
      <c r="AH84" s="141">
        <v>0</v>
      </c>
      <c r="AI84" s="141">
        <v>0</v>
      </c>
      <c r="AJ84" s="141">
        <v>0</v>
      </c>
      <c r="AK84" s="144">
        <v>0</v>
      </c>
      <c r="AL84" s="2629"/>
      <c r="AM84" s="607" t="s">
        <v>2233</v>
      </c>
      <c r="AN84" s="143"/>
      <c r="AO84" s="141">
        <v>0.35699999999999998</v>
      </c>
      <c r="AP84" s="141">
        <v>0</v>
      </c>
      <c r="AQ84" s="141"/>
      <c r="AR84" s="141"/>
      <c r="AS84" s="141"/>
      <c r="AT84" s="141">
        <v>1.9224490504324992E-2</v>
      </c>
      <c r="AU84" s="144">
        <v>1.201049420906917E-2</v>
      </c>
      <c r="AV84" s="143">
        <v>8.537345219041248E-2</v>
      </c>
      <c r="AW84" s="141">
        <v>8.537345219041248E-2</v>
      </c>
      <c r="AX84" s="141">
        <v>8.537345219041248E-2</v>
      </c>
      <c r="AY84" s="141">
        <v>8.537345219041248E-2</v>
      </c>
      <c r="AZ84" s="144">
        <v>8.537345219041248E-2</v>
      </c>
      <c r="BA84" s="2629"/>
      <c r="BB84" s="545" t="s">
        <v>627</v>
      </c>
      <c r="BC84" s="868">
        <v>0</v>
      </c>
      <c r="BD84" s="545" t="s">
        <v>627</v>
      </c>
      <c r="BE84" s="868">
        <v>0</v>
      </c>
      <c r="BF84" s="545" t="s">
        <v>2233</v>
      </c>
      <c r="BG84" s="141">
        <v>0.21541117844186225</v>
      </c>
      <c r="BH84" s="545" t="s">
        <v>2233</v>
      </c>
      <c r="BI84" s="141">
        <v>0</v>
      </c>
      <c r="BJ84" s="545" t="s">
        <v>2233</v>
      </c>
      <c r="BK84" s="141">
        <v>0.13556349432483142</v>
      </c>
      <c r="BL84" s="545" t="s">
        <v>2233</v>
      </c>
      <c r="BM84" s="141">
        <v>2.3083927635729293E-2</v>
      </c>
      <c r="BN84" s="545" t="s">
        <v>2233</v>
      </c>
      <c r="BO84" s="141">
        <v>1.4176384310971207E-2</v>
      </c>
      <c r="BP84" s="2629"/>
      <c r="BQ84" s="545" t="s">
        <v>627</v>
      </c>
      <c r="BR84" s="868">
        <v>0</v>
      </c>
      <c r="BS84" s="545" t="s">
        <v>627</v>
      </c>
      <c r="BT84" s="868">
        <v>0</v>
      </c>
      <c r="BU84" s="545" t="s">
        <v>2233</v>
      </c>
      <c r="BV84" s="141">
        <v>0.23684619712418548</v>
      </c>
      <c r="BW84" s="545" t="s">
        <v>2233</v>
      </c>
      <c r="BX84" s="141">
        <v>0</v>
      </c>
      <c r="BY84" s="545" t="s">
        <v>2233</v>
      </c>
      <c r="BZ84" s="141">
        <v>0.14905307297396375</v>
      </c>
      <c r="CA84" s="545" t="s">
        <v>2233</v>
      </c>
      <c r="CB84" s="141">
        <v>2.5380950583713389E-2</v>
      </c>
      <c r="CC84" s="545" t="s">
        <v>2233</v>
      </c>
      <c r="CD84" s="141">
        <v>1.5587040270199776E-2</v>
      </c>
    </row>
    <row r="85" spans="1:82" s="98" customFormat="1" ht="15" customHeight="1">
      <c r="A85" s="99"/>
      <c r="B85" s="161"/>
      <c r="C85" s="162"/>
      <c r="D85" s="162" t="s">
        <v>2708</v>
      </c>
      <c r="E85" s="162"/>
      <c r="F85" s="162"/>
      <c r="G85" s="163"/>
      <c r="H85" s="163"/>
      <c r="I85" s="164" t="s">
        <v>498</v>
      </c>
      <c r="J85" s="143">
        <v>0</v>
      </c>
      <c r="K85" s="141">
        <v>0</v>
      </c>
      <c r="L85" s="141">
        <v>0</v>
      </c>
      <c r="M85" s="141">
        <v>0</v>
      </c>
      <c r="N85" s="141">
        <v>0</v>
      </c>
      <c r="O85" s="141">
        <v>0</v>
      </c>
      <c r="P85" s="141">
        <v>0</v>
      </c>
      <c r="Q85" s="144">
        <v>0</v>
      </c>
      <c r="R85" s="143">
        <v>0</v>
      </c>
      <c r="S85" s="141">
        <v>0</v>
      </c>
      <c r="T85" s="141">
        <v>0</v>
      </c>
      <c r="U85" s="141">
        <v>0</v>
      </c>
      <c r="V85" s="144">
        <v>0</v>
      </c>
      <c r="W85" s="2629"/>
      <c r="X85" s="607" t="s">
        <v>498</v>
      </c>
      <c r="Y85" s="143">
        <v>0</v>
      </c>
      <c r="Z85" s="141">
        <v>0</v>
      </c>
      <c r="AA85" s="141">
        <v>0</v>
      </c>
      <c r="AB85" s="141">
        <v>0</v>
      </c>
      <c r="AC85" s="141">
        <v>0</v>
      </c>
      <c r="AD85" s="141">
        <v>0</v>
      </c>
      <c r="AE85" s="141">
        <v>0</v>
      </c>
      <c r="AF85" s="144">
        <v>0</v>
      </c>
      <c r="AG85" s="143">
        <v>0</v>
      </c>
      <c r="AH85" s="141">
        <v>0</v>
      </c>
      <c r="AI85" s="141">
        <v>0</v>
      </c>
      <c r="AJ85" s="141">
        <v>0</v>
      </c>
      <c r="AK85" s="144">
        <v>0</v>
      </c>
      <c r="AL85" s="2629"/>
      <c r="AM85" s="607" t="s">
        <v>2233</v>
      </c>
      <c r="AN85" s="143"/>
      <c r="AO85" s="141"/>
      <c r="AP85" s="141"/>
      <c r="AQ85" s="141"/>
      <c r="AR85" s="141"/>
      <c r="AS85" s="141"/>
      <c r="AT85" s="141">
        <v>0</v>
      </c>
      <c r="AU85" s="144">
        <v>0</v>
      </c>
      <c r="AV85" s="143">
        <v>0</v>
      </c>
      <c r="AW85" s="141">
        <v>0</v>
      </c>
      <c r="AX85" s="141">
        <v>0</v>
      </c>
      <c r="AY85" s="141">
        <v>0</v>
      </c>
      <c r="AZ85" s="144">
        <v>0</v>
      </c>
      <c r="BA85" s="2629"/>
      <c r="BB85" s="545" t="s">
        <v>627</v>
      </c>
      <c r="BC85" s="868">
        <v>0</v>
      </c>
      <c r="BD85" s="545" t="s">
        <v>627</v>
      </c>
      <c r="BE85" s="868">
        <v>0</v>
      </c>
      <c r="BF85" s="545" t="s">
        <v>2233</v>
      </c>
      <c r="BG85" s="141">
        <v>0</v>
      </c>
      <c r="BH85" s="545" t="s">
        <v>2233</v>
      </c>
      <c r="BI85" s="141">
        <v>0</v>
      </c>
      <c r="BJ85" s="545" t="s">
        <v>2233</v>
      </c>
      <c r="BK85" s="141">
        <v>0</v>
      </c>
      <c r="BL85" s="545" t="s">
        <v>2233</v>
      </c>
      <c r="BM85" s="141">
        <v>0</v>
      </c>
      <c r="BN85" s="545" t="s">
        <v>2233</v>
      </c>
      <c r="BO85" s="141">
        <v>0</v>
      </c>
      <c r="BP85" s="2629"/>
      <c r="BQ85" s="545" t="s">
        <v>627</v>
      </c>
      <c r="BR85" s="868">
        <v>0</v>
      </c>
      <c r="BS85" s="545" t="s">
        <v>627</v>
      </c>
      <c r="BT85" s="868">
        <v>0</v>
      </c>
      <c r="BU85" s="545" t="s">
        <v>2233</v>
      </c>
      <c r="BV85" s="141">
        <v>0</v>
      </c>
      <c r="BW85" s="545" t="s">
        <v>2233</v>
      </c>
      <c r="BX85" s="141">
        <v>0</v>
      </c>
      <c r="BY85" s="545" t="s">
        <v>2233</v>
      </c>
      <c r="BZ85" s="141">
        <v>0</v>
      </c>
      <c r="CA85" s="545" t="s">
        <v>2233</v>
      </c>
      <c r="CB85" s="141">
        <v>0</v>
      </c>
      <c r="CC85" s="545" t="s">
        <v>2233</v>
      </c>
      <c r="CD85" s="141">
        <v>0</v>
      </c>
    </row>
    <row r="86" spans="1:82" s="98" customFormat="1" ht="15" customHeight="1">
      <c r="A86" s="99"/>
      <c r="B86" s="161"/>
      <c r="C86" s="162" t="s">
        <v>1710</v>
      </c>
      <c r="D86" s="162"/>
      <c r="E86" s="162"/>
      <c r="F86" s="162"/>
      <c r="G86" s="163"/>
      <c r="H86" s="163"/>
      <c r="I86" s="164" t="s">
        <v>498</v>
      </c>
      <c r="J86" s="641">
        <f>SUM(J78:J85)</f>
        <v>0.13454867624748509</v>
      </c>
      <c r="K86" s="642">
        <f t="shared" ref="K86:V86" si="46">SUM(K78:K85)</f>
        <v>0.33479043739934045</v>
      </c>
      <c r="L86" s="642">
        <f t="shared" si="46"/>
        <v>1.2800187231794897</v>
      </c>
      <c r="M86" s="642">
        <f t="shared" si="46"/>
        <v>4.7311778398648884E-2</v>
      </c>
      <c r="N86" s="642">
        <f t="shared" si="46"/>
        <v>0</v>
      </c>
      <c r="O86" s="642">
        <f t="shared" si="46"/>
        <v>1.1299027168380378</v>
      </c>
      <c r="P86" s="642">
        <f t="shared" si="46"/>
        <v>0.50654205676080566</v>
      </c>
      <c r="Q86" s="643">
        <f t="shared" si="46"/>
        <v>0.43063602140958379</v>
      </c>
      <c r="R86" s="641">
        <f t="shared" si="46"/>
        <v>1.2829138597260885</v>
      </c>
      <c r="S86" s="642">
        <f t="shared" si="46"/>
        <v>1.2764992904274581</v>
      </c>
      <c r="T86" s="642">
        <f t="shared" si="46"/>
        <v>1.2701167939753208</v>
      </c>
      <c r="U86" s="642">
        <f t="shared" si="46"/>
        <v>1.2637662100054443</v>
      </c>
      <c r="V86" s="643">
        <f t="shared" si="46"/>
        <v>1.257447378955417</v>
      </c>
      <c r="W86" s="2629"/>
      <c r="X86" s="607" t="s">
        <v>498</v>
      </c>
      <c r="Y86" s="641">
        <f>SUM(Y78:Y85)</f>
        <v>0</v>
      </c>
      <c r="Z86" s="642">
        <f t="shared" ref="Z86:AK86" si="47">SUM(Z78:Z85)</f>
        <v>0</v>
      </c>
      <c r="AA86" s="642">
        <f t="shared" si="47"/>
        <v>0</v>
      </c>
      <c r="AB86" s="642">
        <f t="shared" si="47"/>
        <v>0</v>
      </c>
      <c r="AC86" s="642">
        <f t="shared" si="47"/>
        <v>0</v>
      </c>
      <c r="AD86" s="642">
        <f t="shared" si="47"/>
        <v>0</v>
      </c>
      <c r="AE86" s="642">
        <f t="shared" si="47"/>
        <v>0</v>
      </c>
      <c r="AF86" s="643">
        <f t="shared" si="47"/>
        <v>0</v>
      </c>
      <c r="AG86" s="641">
        <f t="shared" si="47"/>
        <v>0</v>
      </c>
      <c r="AH86" s="642">
        <f t="shared" si="47"/>
        <v>0</v>
      </c>
      <c r="AI86" s="642">
        <f t="shared" si="47"/>
        <v>0</v>
      </c>
      <c r="AJ86" s="642">
        <f t="shared" si="47"/>
        <v>0</v>
      </c>
      <c r="AK86" s="643">
        <f t="shared" si="47"/>
        <v>0</v>
      </c>
      <c r="AL86" s="2629"/>
      <c r="AM86" s="607" t="s">
        <v>2233</v>
      </c>
      <c r="AN86" s="641">
        <f>SUM(AN78:AN85)</f>
        <v>0.68200000000000005</v>
      </c>
      <c r="AO86" s="642">
        <f t="shared" ref="AO86:AZ86" si="48">SUM(AO78:AO85)</f>
        <v>0.502</v>
      </c>
      <c r="AP86" s="642">
        <f t="shared" si="48"/>
        <v>2.2839999999999998</v>
      </c>
      <c r="AQ86" s="642">
        <f t="shared" si="48"/>
        <v>4.7E-2</v>
      </c>
      <c r="AR86" s="642">
        <f t="shared" si="48"/>
        <v>0</v>
      </c>
      <c r="AS86" s="642">
        <f t="shared" si="48"/>
        <v>1.8239999999999998</v>
      </c>
      <c r="AT86" s="642">
        <f t="shared" si="48"/>
        <v>1.3280682179695491</v>
      </c>
      <c r="AU86" s="643">
        <f t="shared" si="48"/>
        <v>0.96853570680003154</v>
      </c>
      <c r="AV86" s="641">
        <f t="shared" si="48"/>
        <v>2.0127717895530832</v>
      </c>
      <c r="AW86" s="642">
        <f t="shared" si="48"/>
        <v>2.0127717895530832</v>
      </c>
      <c r="AX86" s="642">
        <f t="shared" si="48"/>
        <v>2.0127717895530832</v>
      </c>
      <c r="AY86" s="642">
        <f t="shared" si="48"/>
        <v>2.0127717895530832</v>
      </c>
      <c r="AZ86" s="643">
        <f t="shared" si="48"/>
        <v>2.0127717895530832</v>
      </c>
      <c r="BA86" s="2629"/>
      <c r="BB86" s="542"/>
      <c r="BC86" s="542"/>
      <c r="BD86" s="542"/>
      <c r="BE86" s="542"/>
      <c r="BF86" s="545" t="s">
        <v>2233</v>
      </c>
      <c r="BG86" s="642">
        <f>SUM(BG78:BG85)</f>
        <v>4.2365951145906049</v>
      </c>
      <c r="BH86" s="545" t="s">
        <v>2233</v>
      </c>
      <c r="BI86" s="642">
        <f>SUM(BI78:BI85)</f>
        <v>0</v>
      </c>
      <c r="BJ86" s="545" t="s">
        <v>2233</v>
      </c>
      <c r="BK86" s="642">
        <f>SUM(BK78:BK85)</f>
        <v>2.6661923579254658</v>
      </c>
      <c r="BL86" s="545" t="s">
        <v>2233</v>
      </c>
      <c r="BM86" s="642">
        <f>SUM(BM78:BM85)</f>
        <v>0.4540026926851824</v>
      </c>
      <c r="BN86" s="545" t="s">
        <v>2233</v>
      </c>
      <c r="BO86" s="642">
        <f>SUM(BO78:BO85)</f>
        <v>0.27881375956832766</v>
      </c>
      <c r="BP86" s="2629"/>
      <c r="BQ86" s="542"/>
      <c r="BR86" s="542"/>
      <c r="BS86" s="542"/>
      <c r="BT86" s="542"/>
      <c r="BU86" s="545" t="s">
        <v>2233</v>
      </c>
      <c r="BV86" s="642">
        <f>SUM(BV78:BV85)</f>
        <v>5.5839061418208056</v>
      </c>
      <c r="BW86" s="545" t="s">
        <v>2233</v>
      </c>
      <c r="BX86" s="642">
        <f>SUM(BX78:BX85)</f>
        <v>0</v>
      </c>
      <c r="BY86" s="545" t="s">
        <v>2233</v>
      </c>
      <c r="BZ86" s="642">
        <f>SUM(BZ78:BZ85)</f>
        <v>3.5140879597918229</v>
      </c>
      <c r="CA86" s="545" t="s">
        <v>2233</v>
      </c>
      <c r="CB86" s="642">
        <f>SUM(CB78:CB85)</f>
        <v>0.59838345546809435</v>
      </c>
      <c r="CC86" s="545" t="s">
        <v>2233</v>
      </c>
      <c r="CD86" s="642">
        <f>SUM(CD78:CD85)</f>
        <v>0.36748139068469354</v>
      </c>
    </row>
    <row r="87" spans="1:82" s="98" customFormat="1" ht="15" customHeight="1">
      <c r="A87" s="99"/>
      <c r="B87" s="123"/>
      <c r="C87" s="127"/>
      <c r="D87" s="127"/>
      <c r="E87" s="127"/>
      <c r="F87" s="127"/>
      <c r="G87" s="117"/>
      <c r="H87" s="117"/>
      <c r="I87" s="117"/>
      <c r="J87" s="159"/>
      <c r="K87" s="94"/>
      <c r="L87" s="94"/>
      <c r="M87" s="94"/>
      <c r="N87" s="94"/>
      <c r="O87" s="94"/>
      <c r="P87" s="94"/>
      <c r="Q87" s="160"/>
      <c r="R87" s="159"/>
      <c r="S87" s="94"/>
      <c r="T87" s="94"/>
      <c r="U87" s="94"/>
      <c r="V87" s="160"/>
      <c r="W87" s="2629"/>
      <c r="X87" s="94"/>
      <c r="Y87" s="159"/>
      <c r="Z87" s="94"/>
      <c r="AA87" s="94"/>
      <c r="AB87" s="94"/>
      <c r="AC87" s="94"/>
      <c r="AD87" s="94"/>
      <c r="AE87" s="94"/>
      <c r="AF87" s="160"/>
      <c r="AG87" s="159"/>
      <c r="AH87" s="94"/>
      <c r="AI87" s="94"/>
      <c r="AJ87" s="94"/>
      <c r="AK87" s="160"/>
      <c r="AL87" s="2629"/>
      <c r="AM87" s="94"/>
      <c r="AN87" s="159"/>
      <c r="AO87" s="94"/>
      <c r="AP87" s="94"/>
      <c r="AQ87" s="94"/>
      <c r="AR87" s="94"/>
      <c r="AS87" s="94"/>
      <c r="AT87" s="94"/>
      <c r="AU87" s="160"/>
      <c r="AV87" s="159"/>
      <c r="AW87" s="94"/>
      <c r="AX87" s="94"/>
      <c r="AY87" s="94"/>
      <c r="AZ87" s="160"/>
      <c r="BA87" s="2629"/>
      <c r="BB87" s="542"/>
      <c r="BC87" s="542"/>
      <c r="BD87" s="542"/>
      <c r="BE87" s="542"/>
      <c r="BF87" s="542"/>
      <c r="BG87" s="542"/>
      <c r="BH87" s="542"/>
      <c r="BI87" s="542"/>
      <c r="BJ87" s="542"/>
      <c r="BK87" s="542"/>
      <c r="BL87" s="542"/>
      <c r="BM87" s="542"/>
      <c r="BN87" s="542"/>
      <c r="BO87" s="542"/>
      <c r="BP87" s="2629"/>
      <c r="BQ87" s="542"/>
      <c r="BR87" s="542"/>
      <c r="BS87" s="542"/>
      <c r="BT87" s="542"/>
      <c r="BU87" s="542"/>
      <c r="BV87" s="542"/>
      <c r="BW87" s="542"/>
      <c r="BX87" s="542"/>
      <c r="BY87" s="542"/>
      <c r="BZ87" s="542"/>
      <c r="CA87" s="542"/>
      <c r="CB87" s="542"/>
      <c r="CC87" s="542"/>
      <c r="CD87" s="542"/>
    </row>
    <row r="88" spans="1:82" s="98" customFormat="1" ht="15" customHeight="1">
      <c r="A88" s="99"/>
      <c r="B88" s="161"/>
      <c r="C88" s="116" t="s">
        <v>2709</v>
      </c>
      <c r="D88" s="116"/>
      <c r="E88" s="116"/>
      <c r="F88" s="116"/>
      <c r="G88" s="117"/>
      <c r="H88" s="117"/>
      <c r="I88" s="117"/>
      <c r="J88" s="159"/>
      <c r="K88" s="94"/>
      <c r="L88" s="94"/>
      <c r="M88" s="94"/>
      <c r="N88" s="94"/>
      <c r="O88" s="94"/>
      <c r="P88" s="94"/>
      <c r="Q88" s="160"/>
      <c r="R88" s="159"/>
      <c r="S88" s="94"/>
      <c r="T88" s="94"/>
      <c r="U88" s="94"/>
      <c r="V88" s="160"/>
      <c r="W88" s="2629"/>
      <c r="X88" s="94"/>
      <c r="Y88" s="159"/>
      <c r="Z88" s="94"/>
      <c r="AA88" s="94"/>
      <c r="AB88" s="94"/>
      <c r="AC88" s="94"/>
      <c r="AD88" s="94"/>
      <c r="AE88" s="94"/>
      <c r="AF88" s="160"/>
      <c r="AG88" s="159"/>
      <c r="AH88" s="94"/>
      <c r="AI88" s="94"/>
      <c r="AJ88" s="94"/>
      <c r="AK88" s="160"/>
      <c r="AL88" s="2629"/>
      <c r="AM88" s="94"/>
      <c r="AN88" s="159"/>
      <c r="AO88" s="94"/>
      <c r="AP88" s="94"/>
      <c r="AQ88" s="94"/>
      <c r="AR88" s="94"/>
      <c r="AS88" s="94"/>
      <c r="AT88" s="94"/>
      <c r="AU88" s="160"/>
      <c r="AV88" s="159"/>
      <c r="AW88" s="94"/>
      <c r="AX88" s="94"/>
      <c r="AY88" s="94"/>
      <c r="AZ88" s="160"/>
      <c r="BA88" s="2629"/>
      <c r="BB88" s="542"/>
      <c r="BC88" s="542"/>
      <c r="BD88" s="542"/>
      <c r="BE88" s="542"/>
      <c r="BF88" s="542"/>
      <c r="BG88" s="542"/>
      <c r="BH88" s="542"/>
      <c r="BI88" s="542"/>
      <c r="BJ88" s="542"/>
      <c r="BK88" s="542"/>
      <c r="BL88" s="542"/>
      <c r="BM88" s="542"/>
      <c r="BN88" s="542"/>
      <c r="BO88" s="542"/>
      <c r="BP88" s="2629"/>
      <c r="BQ88" s="542"/>
      <c r="BR88" s="542"/>
      <c r="BS88" s="542"/>
      <c r="BT88" s="542"/>
      <c r="BU88" s="542"/>
      <c r="BV88" s="542"/>
      <c r="BW88" s="542"/>
      <c r="BX88" s="542"/>
      <c r="BY88" s="542"/>
      <c r="BZ88" s="542"/>
      <c r="CA88" s="542"/>
      <c r="CB88" s="542"/>
      <c r="CC88" s="542"/>
      <c r="CD88" s="542"/>
    </row>
    <row r="89" spans="1:82" s="98" customFormat="1" ht="15" customHeight="1">
      <c r="A89" s="99"/>
      <c r="B89" s="161"/>
      <c r="C89" s="162"/>
      <c r="D89" s="162" t="s">
        <v>2701</v>
      </c>
      <c r="E89" s="162"/>
      <c r="F89" s="162"/>
      <c r="G89" s="163"/>
      <c r="H89" s="163"/>
      <c r="I89" s="164" t="s">
        <v>498</v>
      </c>
      <c r="J89" s="143">
        <v>0</v>
      </c>
      <c r="K89" s="141">
        <v>0</v>
      </c>
      <c r="L89" s="141">
        <v>1.7729324491850832E-2</v>
      </c>
      <c r="M89" s="141">
        <v>3.860986451484523E-2</v>
      </c>
      <c r="N89" s="141">
        <v>0</v>
      </c>
      <c r="O89" s="141">
        <v>0</v>
      </c>
      <c r="P89" s="141">
        <v>3.5611091887332242E-3</v>
      </c>
      <c r="Q89" s="144">
        <v>3.0274719983721722E-3</v>
      </c>
      <c r="R89" s="143">
        <v>7.635702101391412E-3</v>
      </c>
      <c r="S89" s="141">
        <v>7.5975235908844552E-3</v>
      </c>
      <c r="T89" s="141">
        <v>7.5595359729300326E-3</v>
      </c>
      <c r="U89" s="141">
        <v>7.5217382930653828E-3</v>
      </c>
      <c r="V89" s="144">
        <v>7.4841296016000562E-3</v>
      </c>
      <c r="W89" s="2629"/>
      <c r="X89" s="607" t="s">
        <v>498</v>
      </c>
      <c r="Y89" s="143">
        <v>0</v>
      </c>
      <c r="Z89" s="141">
        <v>0</v>
      </c>
      <c r="AA89" s="141">
        <v>0</v>
      </c>
      <c r="AB89" s="141">
        <v>0</v>
      </c>
      <c r="AC89" s="141">
        <v>0</v>
      </c>
      <c r="AD89" s="141">
        <v>0</v>
      </c>
      <c r="AE89" s="141">
        <v>0</v>
      </c>
      <c r="AF89" s="144">
        <v>0</v>
      </c>
      <c r="AG89" s="143">
        <v>0</v>
      </c>
      <c r="AH89" s="141">
        <v>0</v>
      </c>
      <c r="AI89" s="141">
        <v>0</v>
      </c>
      <c r="AJ89" s="141">
        <v>0</v>
      </c>
      <c r="AK89" s="144">
        <v>0</v>
      </c>
      <c r="AL89" s="2629"/>
      <c r="AM89" s="607" t="s">
        <v>2233</v>
      </c>
      <c r="AN89" s="143"/>
      <c r="AO89" s="141">
        <v>0</v>
      </c>
      <c r="AP89" s="141">
        <v>4.2000000000000003E-2</v>
      </c>
      <c r="AQ89" s="141">
        <v>6.4000000000000001E-2</v>
      </c>
      <c r="AR89" s="141">
        <v>0</v>
      </c>
      <c r="AS89" s="141"/>
      <c r="AT89" s="141">
        <v>1.9501591144964834E-2</v>
      </c>
      <c r="AU89" s="144">
        <v>1.4318966672039702E-2</v>
      </c>
      <c r="AV89" s="143">
        <v>4.9624838034603672E-2</v>
      </c>
      <c r="AW89" s="141">
        <v>4.9624838034603672E-2</v>
      </c>
      <c r="AX89" s="141">
        <v>4.9624838034603672E-2</v>
      </c>
      <c r="AY89" s="141">
        <v>4.9624838034603672E-2</v>
      </c>
      <c r="AZ89" s="144">
        <v>4.9624838034603672E-2</v>
      </c>
      <c r="BA89" s="2629"/>
      <c r="BB89" s="545" t="s">
        <v>627</v>
      </c>
      <c r="BC89" s="868">
        <v>0</v>
      </c>
      <c r="BD89" s="545" t="s">
        <v>627</v>
      </c>
      <c r="BE89" s="868">
        <v>0</v>
      </c>
      <c r="BF89" s="545" t="s">
        <v>2233</v>
      </c>
      <c r="BG89" s="141">
        <v>7.7579075342718268E-2</v>
      </c>
      <c r="BH89" s="545" t="s">
        <v>2233</v>
      </c>
      <c r="BI89" s="141">
        <v>0</v>
      </c>
      <c r="BJ89" s="545" t="s">
        <v>2233</v>
      </c>
      <c r="BK89" s="141">
        <v>4.8822399171762017E-2</v>
      </c>
      <c r="BL89" s="545" t="s">
        <v>2233</v>
      </c>
      <c r="BM89" s="141">
        <v>8.3135414522669711E-3</v>
      </c>
      <c r="BN89" s="545" t="s">
        <v>2233</v>
      </c>
      <c r="BO89" s="141">
        <v>5.1055418502572699E-3</v>
      </c>
      <c r="BP89" s="2629"/>
      <c r="BQ89" s="545" t="s">
        <v>627</v>
      </c>
      <c r="BR89" s="868">
        <v>0</v>
      </c>
      <c r="BS89" s="545" t="s">
        <v>627</v>
      </c>
      <c r="BT89" s="868">
        <v>0</v>
      </c>
      <c r="BU89" s="545" t="s">
        <v>2233</v>
      </c>
      <c r="BV89" s="141">
        <v>0.13767106600287438</v>
      </c>
      <c r="BW89" s="545" t="s">
        <v>2233</v>
      </c>
      <c r="BX89" s="141">
        <v>0</v>
      </c>
      <c r="BY89" s="545" t="s">
        <v>2233</v>
      </c>
      <c r="BZ89" s="141">
        <v>8.6639750591268383E-2</v>
      </c>
      <c r="CA89" s="545" t="s">
        <v>2233</v>
      </c>
      <c r="CB89" s="141">
        <v>1.4753129100037756E-2</v>
      </c>
      <c r="CC89" s="545" t="s">
        <v>2233</v>
      </c>
      <c r="CD89" s="141">
        <v>9.0602444788378152E-3</v>
      </c>
    </row>
    <row r="90" spans="1:82" s="98" customFormat="1" ht="15" customHeight="1">
      <c r="A90" s="99"/>
      <c r="B90" s="161"/>
      <c r="C90" s="162"/>
      <c r="D90" s="162" t="s">
        <v>2702</v>
      </c>
      <c r="E90" s="162"/>
      <c r="F90" s="162"/>
      <c r="G90" s="163"/>
      <c r="H90" s="163"/>
      <c r="I90" s="164" t="s">
        <v>498</v>
      </c>
      <c r="J90" s="143">
        <v>9.2220004689272123E-4</v>
      </c>
      <c r="K90" s="141">
        <v>4.7459104414813531E-3</v>
      </c>
      <c r="L90" s="141">
        <v>1.3944532918524857E-3</v>
      </c>
      <c r="M90" s="141">
        <v>0</v>
      </c>
      <c r="N90" s="141">
        <v>0</v>
      </c>
      <c r="O90" s="141">
        <v>0</v>
      </c>
      <c r="P90" s="141">
        <v>4.7446003983989214E-3</v>
      </c>
      <c r="Q90" s="144">
        <v>4.033615395749173E-3</v>
      </c>
      <c r="R90" s="143">
        <v>3.1035511372742696E-3</v>
      </c>
      <c r="S90" s="141">
        <v>3.0880333815878984E-3</v>
      </c>
      <c r="T90" s="141">
        <v>3.0725932146799589E-3</v>
      </c>
      <c r="U90" s="141">
        <v>3.0572302486065591E-3</v>
      </c>
      <c r="V90" s="144">
        <v>3.0419440973635265E-3</v>
      </c>
      <c r="W90" s="2629"/>
      <c r="X90" s="607" t="s">
        <v>498</v>
      </c>
      <c r="Y90" s="143">
        <v>0</v>
      </c>
      <c r="Z90" s="141">
        <v>0</v>
      </c>
      <c r="AA90" s="141">
        <v>0</v>
      </c>
      <c r="AB90" s="141">
        <v>0</v>
      </c>
      <c r="AC90" s="141">
        <v>0</v>
      </c>
      <c r="AD90" s="141">
        <v>0</v>
      </c>
      <c r="AE90" s="141">
        <v>0</v>
      </c>
      <c r="AF90" s="144">
        <v>0</v>
      </c>
      <c r="AG90" s="143">
        <v>0</v>
      </c>
      <c r="AH90" s="141">
        <v>0</v>
      </c>
      <c r="AI90" s="141">
        <v>0</v>
      </c>
      <c r="AJ90" s="141">
        <v>0</v>
      </c>
      <c r="AK90" s="144">
        <v>0</v>
      </c>
      <c r="AL90" s="2629"/>
      <c r="AM90" s="607" t="s">
        <v>2233</v>
      </c>
      <c r="AN90" s="143">
        <v>7.0000000000000001E-3</v>
      </c>
      <c r="AO90" s="141">
        <v>4.4999999999999998E-2</v>
      </c>
      <c r="AP90" s="141">
        <v>6.0000000000000001E-3</v>
      </c>
      <c r="AQ90" s="141"/>
      <c r="AR90" s="141">
        <v>0</v>
      </c>
      <c r="AS90" s="141"/>
      <c r="AT90" s="141">
        <v>3.2690465499763448E-2</v>
      </c>
      <c r="AU90" s="144">
        <v>2.3040767316269486E-2</v>
      </c>
      <c r="AV90" s="143">
        <v>1.7882824516974299E-2</v>
      </c>
      <c r="AW90" s="141">
        <v>1.7882824516974299E-2</v>
      </c>
      <c r="AX90" s="141">
        <v>1.7882824516974299E-2</v>
      </c>
      <c r="AY90" s="141">
        <v>1.7882824516974299E-2</v>
      </c>
      <c r="AZ90" s="144">
        <v>1.7882824516974299E-2</v>
      </c>
      <c r="BA90" s="2629"/>
      <c r="BB90" s="545" t="s">
        <v>627</v>
      </c>
      <c r="BC90" s="868">
        <v>0</v>
      </c>
      <c r="BD90" s="545" t="s">
        <v>627</v>
      </c>
      <c r="BE90" s="868">
        <v>0</v>
      </c>
      <c r="BF90" s="545" t="s">
        <v>2233</v>
      </c>
      <c r="BG90" s="141">
        <v>6.3103480755690458E-2</v>
      </c>
      <c r="BH90" s="545" t="s">
        <v>2233</v>
      </c>
      <c r="BI90" s="141">
        <v>0</v>
      </c>
      <c r="BJ90" s="545" t="s">
        <v>2233</v>
      </c>
      <c r="BK90" s="141">
        <v>3.9712555389087904E-2</v>
      </c>
      <c r="BL90" s="545" t="s">
        <v>2233</v>
      </c>
      <c r="BM90" s="141">
        <v>6.7623054377381805E-3</v>
      </c>
      <c r="BN90" s="545" t="s">
        <v>2233</v>
      </c>
      <c r="BO90" s="141">
        <v>4.1528912335163865E-3</v>
      </c>
      <c r="BP90" s="2629"/>
      <c r="BQ90" s="545" t="s">
        <v>627</v>
      </c>
      <c r="BR90" s="868">
        <v>0</v>
      </c>
      <c r="BS90" s="545" t="s">
        <v>627</v>
      </c>
      <c r="BT90" s="868">
        <v>0</v>
      </c>
      <c r="BU90" s="545" t="s">
        <v>2233</v>
      </c>
      <c r="BV90" s="141">
        <v>4.9611194955990784E-2</v>
      </c>
      <c r="BW90" s="545" t="s">
        <v>2233</v>
      </c>
      <c r="BX90" s="141">
        <v>0</v>
      </c>
      <c r="BY90" s="545" t="s">
        <v>2233</v>
      </c>
      <c r="BZ90" s="141">
        <v>3.1221531744601225E-2</v>
      </c>
      <c r="CA90" s="545" t="s">
        <v>2233</v>
      </c>
      <c r="CB90" s="141">
        <v>5.3164429189325258E-3</v>
      </c>
      <c r="CC90" s="545" t="s">
        <v>2233</v>
      </c>
      <c r="CD90" s="141">
        <v>3.2649529653469614E-3</v>
      </c>
    </row>
    <row r="91" spans="1:82" s="98" customFormat="1" ht="15" customHeight="1">
      <c r="A91" s="99"/>
      <c r="B91" s="161"/>
      <c r="C91" s="162"/>
      <c r="D91" s="162" t="s">
        <v>2703</v>
      </c>
      <c r="E91" s="162"/>
      <c r="F91" s="162"/>
      <c r="G91" s="163"/>
      <c r="H91" s="163"/>
      <c r="I91" s="164" t="s">
        <v>498</v>
      </c>
      <c r="J91" s="143">
        <v>0</v>
      </c>
      <c r="K91" s="141">
        <v>6.8834947851205322E-4</v>
      </c>
      <c r="L91" s="141">
        <v>0</v>
      </c>
      <c r="M91" s="141">
        <v>0</v>
      </c>
      <c r="N91" s="141">
        <v>0</v>
      </c>
      <c r="O91" s="141">
        <v>0</v>
      </c>
      <c r="P91" s="141">
        <v>2.4269759790351952E-2</v>
      </c>
      <c r="Q91" s="144">
        <v>2.0632902356652164E-2</v>
      </c>
      <c r="R91" s="143">
        <v>5.1123470725243484E-4</v>
      </c>
      <c r="S91" s="141">
        <v>5.0867853371617264E-4</v>
      </c>
      <c r="T91" s="141">
        <v>5.061351410475918E-4</v>
      </c>
      <c r="U91" s="141">
        <v>5.0360446534235379E-4</v>
      </c>
      <c r="V91" s="144">
        <v>5.0108644301564205E-4</v>
      </c>
      <c r="W91" s="2629"/>
      <c r="X91" s="607" t="s">
        <v>498</v>
      </c>
      <c r="Y91" s="143">
        <v>0</v>
      </c>
      <c r="Z91" s="141">
        <v>0</v>
      </c>
      <c r="AA91" s="141">
        <v>0</v>
      </c>
      <c r="AB91" s="141">
        <v>0</v>
      </c>
      <c r="AC91" s="141">
        <v>0</v>
      </c>
      <c r="AD91" s="141">
        <v>0</v>
      </c>
      <c r="AE91" s="141">
        <v>0</v>
      </c>
      <c r="AF91" s="144">
        <v>0</v>
      </c>
      <c r="AG91" s="143">
        <v>0</v>
      </c>
      <c r="AH91" s="141">
        <v>0</v>
      </c>
      <c r="AI91" s="141">
        <v>0</v>
      </c>
      <c r="AJ91" s="141">
        <v>0</v>
      </c>
      <c r="AK91" s="144">
        <v>0</v>
      </c>
      <c r="AL91" s="2629"/>
      <c r="AM91" s="607" t="s">
        <v>2233</v>
      </c>
      <c r="AN91" s="143"/>
      <c r="AO91" s="141">
        <v>4.0000000000000001E-3</v>
      </c>
      <c r="AP91" s="141">
        <v>0</v>
      </c>
      <c r="AQ91" s="141"/>
      <c r="AR91" s="141">
        <v>0</v>
      </c>
      <c r="AS91" s="141"/>
      <c r="AT91" s="141">
        <v>0.11185815413609169</v>
      </c>
      <c r="AU91" s="144">
        <v>8.915551360138424E-2</v>
      </c>
      <c r="AV91" s="143">
        <v>2.2353530646217873E-3</v>
      </c>
      <c r="AW91" s="141">
        <v>2.2353530646217873E-3</v>
      </c>
      <c r="AX91" s="141">
        <v>2.2353530646217873E-3</v>
      </c>
      <c r="AY91" s="141">
        <v>2.2353530646217873E-3</v>
      </c>
      <c r="AZ91" s="144">
        <v>2.2353530646217873E-3</v>
      </c>
      <c r="BA91" s="2629"/>
      <c r="BB91" s="545" t="s">
        <v>627</v>
      </c>
      <c r="BC91" s="868">
        <v>0</v>
      </c>
      <c r="BD91" s="545" t="s">
        <v>627</v>
      </c>
      <c r="BE91" s="868">
        <v>0</v>
      </c>
      <c r="BF91" s="545" t="s">
        <v>2233</v>
      </c>
      <c r="BG91" s="141">
        <v>0.11375130398570307</v>
      </c>
      <c r="BH91" s="545" t="s">
        <v>2233</v>
      </c>
      <c r="BI91" s="141">
        <v>0</v>
      </c>
      <c r="BJ91" s="545" t="s">
        <v>2233</v>
      </c>
      <c r="BK91" s="141">
        <v>7.1586462521813402E-2</v>
      </c>
      <c r="BL91" s="545" t="s">
        <v>2233</v>
      </c>
      <c r="BM91" s="141">
        <v>1.2189835683873315E-2</v>
      </c>
      <c r="BN91" s="545" t="s">
        <v>2233</v>
      </c>
      <c r="BO91" s="141">
        <v>7.4860655460861347E-3</v>
      </c>
      <c r="BP91" s="2629"/>
      <c r="BQ91" s="545" t="s">
        <v>627</v>
      </c>
      <c r="BR91" s="868">
        <v>0</v>
      </c>
      <c r="BS91" s="545" t="s">
        <v>627</v>
      </c>
      <c r="BT91" s="868">
        <v>0</v>
      </c>
      <c r="BU91" s="545" t="s">
        <v>2233</v>
      </c>
      <c r="BV91" s="141">
        <v>6.201399369498848E-3</v>
      </c>
      <c r="BW91" s="545" t="s">
        <v>2233</v>
      </c>
      <c r="BX91" s="141">
        <v>0</v>
      </c>
      <c r="BY91" s="545" t="s">
        <v>2233</v>
      </c>
      <c r="BZ91" s="141">
        <v>3.9026914680751531E-3</v>
      </c>
      <c r="CA91" s="545" t="s">
        <v>2233</v>
      </c>
      <c r="CB91" s="141">
        <v>6.6455536486656572E-4</v>
      </c>
      <c r="CC91" s="545" t="s">
        <v>2233</v>
      </c>
      <c r="CD91" s="141">
        <v>4.0811912066837018E-4</v>
      </c>
    </row>
    <row r="92" spans="1:82" s="98" customFormat="1" ht="15" customHeight="1">
      <c r="A92" s="99"/>
      <c r="B92" s="161"/>
      <c r="C92" s="162"/>
      <c r="D92" s="162" t="s">
        <v>2704</v>
      </c>
      <c r="E92" s="162"/>
      <c r="F92" s="162"/>
      <c r="G92" s="163"/>
      <c r="H92" s="163"/>
      <c r="I92" s="164" t="s">
        <v>498</v>
      </c>
      <c r="J92" s="143">
        <v>0</v>
      </c>
      <c r="K92" s="141">
        <v>4.4214266021750187E-2</v>
      </c>
      <c r="L92" s="141">
        <v>0</v>
      </c>
      <c r="M92" s="141">
        <v>3.725012920607795E-4</v>
      </c>
      <c r="N92" s="141">
        <v>0</v>
      </c>
      <c r="O92" s="141">
        <v>0</v>
      </c>
      <c r="P92" s="141">
        <v>8.0772983127321299E-2</v>
      </c>
      <c r="Q92" s="144">
        <v>6.8669038685090555E-2</v>
      </c>
      <c r="R92" s="143">
        <v>0</v>
      </c>
      <c r="S92" s="141">
        <v>0</v>
      </c>
      <c r="T92" s="141">
        <v>0</v>
      </c>
      <c r="U92" s="141">
        <v>0</v>
      </c>
      <c r="V92" s="144">
        <v>0</v>
      </c>
      <c r="W92" s="2629"/>
      <c r="X92" s="607" t="s">
        <v>498</v>
      </c>
      <c r="Y92" s="143">
        <v>0</v>
      </c>
      <c r="Z92" s="141">
        <v>0</v>
      </c>
      <c r="AA92" s="141">
        <v>0</v>
      </c>
      <c r="AB92" s="141">
        <v>0</v>
      </c>
      <c r="AC92" s="141">
        <v>0</v>
      </c>
      <c r="AD92" s="141">
        <v>0</v>
      </c>
      <c r="AE92" s="141">
        <v>0</v>
      </c>
      <c r="AF92" s="144">
        <v>0</v>
      </c>
      <c r="AG92" s="143">
        <v>0</v>
      </c>
      <c r="AH92" s="141">
        <v>0</v>
      </c>
      <c r="AI92" s="141">
        <v>0</v>
      </c>
      <c r="AJ92" s="141">
        <v>0</v>
      </c>
      <c r="AK92" s="144">
        <v>0</v>
      </c>
      <c r="AL92" s="2629"/>
      <c r="AM92" s="607" t="s">
        <v>2233</v>
      </c>
      <c r="AN92" s="143"/>
      <c r="AO92" s="141">
        <v>0.157</v>
      </c>
      <c r="AP92" s="141">
        <v>0</v>
      </c>
      <c r="AQ92" s="141">
        <v>1E-3</v>
      </c>
      <c r="AR92" s="141">
        <v>0</v>
      </c>
      <c r="AS92" s="141"/>
      <c r="AT92" s="141">
        <v>0.23973084038907919</v>
      </c>
      <c r="AU92" s="144">
        <v>0.18040509123358162</v>
      </c>
      <c r="AV92" s="143">
        <v>0</v>
      </c>
      <c r="AW92" s="141">
        <v>0</v>
      </c>
      <c r="AX92" s="141">
        <v>0</v>
      </c>
      <c r="AY92" s="141">
        <v>0</v>
      </c>
      <c r="AZ92" s="144">
        <v>0</v>
      </c>
      <c r="BA92" s="2629"/>
      <c r="BB92" s="545" t="s">
        <v>627</v>
      </c>
      <c r="BC92" s="868">
        <v>0</v>
      </c>
      <c r="BD92" s="545" t="s">
        <v>627</v>
      </c>
      <c r="BE92" s="868">
        <v>0</v>
      </c>
      <c r="BF92" s="545" t="s">
        <v>2233</v>
      </c>
      <c r="BG92" s="141">
        <v>0.32077722831279076</v>
      </c>
      <c r="BH92" s="545" t="s">
        <v>2233</v>
      </c>
      <c r="BI92" s="141">
        <v>0</v>
      </c>
      <c r="BJ92" s="545" t="s">
        <v>2233</v>
      </c>
      <c r="BK92" s="141">
        <v>0.20187291246657654</v>
      </c>
      <c r="BL92" s="545" t="s">
        <v>2233</v>
      </c>
      <c r="BM92" s="141">
        <v>3.4375181358384195E-2</v>
      </c>
      <c r="BN92" s="545" t="s">
        <v>2233</v>
      </c>
      <c r="BO92" s="141">
        <v>2.1110609484909341E-2</v>
      </c>
      <c r="BP92" s="2629"/>
      <c r="BQ92" s="545" t="s">
        <v>627</v>
      </c>
      <c r="BR92" s="868">
        <v>0</v>
      </c>
      <c r="BS92" s="545" t="s">
        <v>627</v>
      </c>
      <c r="BT92" s="868">
        <v>0</v>
      </c>
      <c r="BU92" s="545" t="s">
        <v>2233</v>
      </c>
      <c r="BV92" s="141">
        <v>0</v>
      </c>
      <c r="BW92" s="545" t="s">
        <v>2233</v>
      </c>
      <c r="BX92" s="141">
        <v>0</v>
      </c>
      <c r="BY92" s="545" t="s">
        <v>2233</v>
      </c>
      <c r="BZ92" s="141">
        <v>0</v>
      </c>
      <c r="CA92" s="545" t="s">
        <v>2233</v>
      </c>
      <c r="CB92" s="141">
        <v>0</v>
      </c>
      <c r="CC92" s="545" t="s">
        <v>2233</v>
      </c>
      <c r="CD92" s="141">
        <v>0</v>
      </c>
    </row>
    <row r="93" spans="1:82" s="98" customFormat="1" ht="15" customHeight="1">
      <c r="A93" s="99"/>
      <c r="B93" s="161"/>
      <c r="C93" s="162"/>
      <c r="D93" s="162" t="s">
        <v>2705</v>
      </c>
      <c r="E93" s="162"/>
      <c r="F93" s="162"/>
      <c r="G93" s="163"/>
      <c r="H93" s="163"/>
      <c r="I93" s="164" t="s">
        <v>498</v>
      </c>
      <c r="J93" s="143">
        <v>0.21001506467402073</v>
      </c>
      <c r="K93" s="141">
        <v>0</v>
      </c>
      <c r="L93" s="141">
        <v>4.2636989471087435E-4</v>
      </c>
      <c r="M93" s="141">
        <v>8.8662741121676061E-2</v>
      </c>
      <c r="N93" s="141">
        <v>6.5240165355569327E-2</v>
      </c>
      <c r="O93" s="141">
        <v>2.7637603697034836E-2</v>
      </c>
      <c r="P93" s="141">
        <v>0.10546163561462679</v>
      </c>
      <c r="Q93" s="144">
        <v>8.9658062082445908E-2</v>
      </c>
      <c r="R93" s="143">
        <v>0.14700856258797379</v>
      </c>
      <c r="S93" s="141">
        <v>0.14627351977503392</v>
      </c>
      <c r="T93" s="141">
        <v>0.14554215217615873</v>
      </c>
      <c r="U93" s="141">
        <v>0.14481444141527794</v>
      </c>
      <c r="V93" s="144">
        <v>0.14409036920820154</v>
      </c>
      <c r="W93" s="2629"/>
      <c r="X93" s="607" t="s">
        <v>498</v>
      </c>
      <c r="Y93" s="143">
        <v>0</v>
      </c>
      <c r="Z93" s="141">
        <v>0</v>
      </c>
      <c r="AA93" s="141">
        <v>0</v>
      </c>
      <c r="AB93" s="141">
        <v>0</v>
      </c>
      <c r="AC93" s="141">
        <v>0</v>
      </c>
      <c r="AD93" s="141">
        <v>0</v>
      </c>
      <c r="AE93" s="141">
        <v>0</v>
      </c>
      <c r="AF93" s="144">
        <v>0</v>
      </c>
      <c r="AG93" s="143">
        <v>0</v>
      </c>
      <c r="AH93" s="141">
        <v>0</v>
      </c>
      <c r="AI93" s="141">
        <v>0</v>
      </c>
      <c r="AJ93" s="141">
        <v>0</v>
      </c>
      <c r="AK93" s="144">
        <v>0</v>
      </c>
      <c r="AL93" s="2629"/>
      <c r="AM93" s="607" t="s">
        <v>2233</v>
      </c>
      <c r="AN93" s="143">
        <v>0.64300000000000002</v>
      </c>
      <c r="AO93" s="141">
        <v>0</v>
      </c>
      <c r="AP93" s="141">
        <v>1E-3</v>
      </c>
      <c r="AQ93" s="141">
        <v>0.16400000000000001</v>
      </c>
      <c r="AR93" s="141">
        <v>0.123</v>
      </c>
      <c r="AS93" s="141">
        <v>4.8000000000000001E-2</v>
      </c>
      <c r="AT93" s="141">
        <v>0.22935826255951272</v>
      </c>
      <c r="AU93" s="144">
        <v>0.16308314464040852</v>
      </c>
      <c r="AV93" s="143">
        <v>0.29529013983653801</v>
      </c>
      <c r="AW93" s="141">
        <v>0.29529013983653801</v>
      </c>
      <c r="AX93" s="141">
        <v>0.29529013983653801</v>
      </c>
      <c r="AY93" s="141">
        <v>0.29529013983653801</v>
      </c>
      <c r="AZ93" s="144">
        <v>0.29529013983653801</v>
      </c>
      <c r="BA93" s="2629"/>
      <c r="BB93" s="545" t="s">
        <v>627</v>
      </c>
      <c r="BC93" s="868">
        <v>0</v>
      </c>
      <c r="BD93" s="545" t="s">
        <v>627</v>
      </c>
      <c r="BE93" s="868">
        <v>0</v>
      </c>
      <c r="BF93" s="545" t="s">
        <v>2233</v>
      </c>
      <c r="BG93" s="141">
        <v>0.76094072229732457</v>
      </c>
      <c r="BH93" s="545" t="s">
        <v>2233</v>
      </c>
      <c r="BI93" s="141">
        <v>0</v>
      </c>
      <c r="BJ93" s="545" t="s">
        <v>2233</v>
      </c>
      <c r="BK93" s="141">
        <v>0.47887850591062703</v>
      </c>
      <c r="BL93" s="545" t="s">
        <v>2233</v>
      </c>
      <c r="BM93" s="141">
        <v>8.15440530786187E-2</v>
      </c>
      <c r="BN93" s="545" t="s">
        <v>2233</v>
      </c>
      <c r="BO93" s="141">
        <v>5.0078125913350958E-2</v>
      </c>
      <c r="BP93" s="2629"/>
      <c r="BQ93" s="545" t="s">
        <v>627</v>
      </c>
      <c r="BR93" s="868">
        <v>0</v>
      </c>
      <c r="BS93" s="545" t="s">
        <v>627</v>
      </c>
      <c r="BT93" s="868">
        <v>0</v>
      </c>
      <c r="BU93" s="545" t="s">
        <v>2233</v>
      </c>
      <c r="BV93" s="141">
        <v>0.81920485671079746</v>
      </c>
      <c r="BW93" s="545" t="s">
        <v>2233</v>
      </c>
      <c r="BX93" s="141">
        <v>0</v>
      </c>
      <c r="BY93" s="545" t="s">
        <v>2233</v>
      </c>
      <c r="BZ93" s="141">
        <v>0.51554554293272747</v>
      </c>
      <c r="CA93" s="545" t="s">
        <v>2233</v>
      </c>
      <c r="CB93" s="141">
        <v>8.7787763698873297E-2</v>
      </c>
      <c r="CC93" s="545" t="s">
        <v>2233</v>
      </c>
      <c r="CD93" s="141">
        <v>5.3912535840291674E-2</v>
      </c>
    </row>
    <row r="94" spans="1:82" s="98" customFormat="1" ht="15" customHeight="1">
      <c r="A94" s="99"/>
      <c r="B94" s="161"/>
      <c r="C94" s="162"/>
      <c r="D94" s="162" t="s">
        <v>2706</v>
      </c>
      <c r="E94" s="162"/>
      <c r="F94" s="162"/>
      <c r="G94" s="163"/>
      <c r="H94" s="163"/>
      <c r="I94" s="164" t="s">
        <v>498</v>
      </c>
      <c r="J94" s="143">
        <v>0.46081215890957122</v>
      </c>
      <c r="K94" s="141">
        <v>6.9647346256221265E-2</v>
      </c>
      <c r="L94" s="141">
        <v>0.19035733731533142</v>
      </c>
      <c r="M94" s="141">
        <v>0.21068891627374314</v>
      </c>
      <c r="N94" s="141">
        <v>7.5231414981109454E-2</v>
      </c>
      <c r="O94" s="141">
        <v>0.21908606876128656</v>
      </c>
      <c r="P94" s="141">
        <v>8.7558614807262097E-2</v>
      </c>
      <c r="Q94" s="144">
        <v>7.4437833971481529E-2</v>
      </c>
      <c r="R94" s="143">
        <v>0.60031564325342945</v>
      </c>
      <c r="S94" s="141">
        <v>0.59731406503716233</v>
      </c>
      <c r="T94" s="141">
        <v>0.59432749471197655</v>
      </c>
      <c r="U94" s="141">
        <v>0.59135585723841666</v>
      </c>
      <c r="V94" s="144">
        <v>0.58839907795222457</v>
      </c>
      <c r="W94" s="2629"/>
      <c r="X94" s="607" t="s">
        <v>498</v>
      </c>
      <c r="Y94" s="143">
        <v>0</v>
      </c>
      <c r="Z94" s="141">
        <v>0</v>
      </c>
      <c r="AA94" s="141">
        <v>0</v>
      </c>
      <c r="AB94" s="141">
        <v>0</v>
      </c>
      <c r="AC94" s="141">
        <v>0</v>
      </c>
      <c r="AD94" s="141">
        <v>0</v>
      </c>
      <c r="AE94" s="141">
        <v>0</v>
      </c>
      <c r="AF94" s="144">
        <v>0</v>
      </c>
      <c r="AG94" s="143">
        <v>0</v>
      </c>
      <c r="AH94" s="141">
        <v>0</v>
      </c>
      <c r="AI94" s="141">
        <v>0</v>
      </c>
      <c r="AJ94" s="141">
        <v>0</v>
      </c>
      <c r="AK94" s="144">
        <v>0</v>
      </c>
      <c r="AL94" s="2629"/>
      <c r="AM94" s="607" t="s">
        <v>2233</v>
      </c>
      <c r="AN94" s="143">
        <v>0.78300000000000003</v>
      </c>
      <c r="AO94" s="141">
        <v>0.113</v>
      </c>
      <c r="AP94" s="141">
        <v>0.30199999999999999</v>
      </c>
      <c r="AQ94" s="141">
        <v>0.156</v>
      </c>
      <c r="AR94" s="141">
        <v>7.5999999999999998E-2</v>
      </c>
      <c r="AS94" s="141">
        <v>0.184</v>
      </c>
      <c r="AT94" s="141">
        <v>0.11014860192418606</v>
      </c>
      <c r="AU94" s="144">
        <v>7.3203942004718303E-2</v>
      </c>
      <c r="AV94" s="143">
        <v>0.72952982616996642</v>
      </c>
      <c r="AW94" s="141">
        <v>0.72952982616996642</v>
      </c>
      <c r="AX94" s="141">
        <v>0.72952982616996642</v>
      </c>
      <c r="AY94" s="141">
        <v>0.72952982616996642</v>
      </c>
      <c r="AZ94" s="144">
        <v>0.72952982616996642</v>
      </c>
      <c r="BA94" s="2629"/>
      <c r="BB94" s="545" t="s">
        <v>627</v>
      </c>
      <c r="BC94" s="868">
        <v>0</v>
      </c>
      <c r="BD94" s="545" t="s">
        <v>627</v>
      </c>
      <c r="BE94" s="868">
        <v>0</v>
      </c>
      <c r="BF94" s="545" t="s">
        <v>2233</v>
      </c>
      <c r="BG94" s="141">
        <v>0.99725641636604112</v>
      </c>
      <c r="BH94" s="545" t="s">
        <v>2233</v>
      </c>
      <c r="BI94" s="141">
        <v>0</v>
      </c>
      <c r="BJ94" s="545" t="s">
        <v>2233</v>
      </c>
      <c r="BK94" s="141">
        <v>0.62759772040765582</v>
      </c>
      <c r="BL94" s="545" t="s">
        <v>2233</v>
      </c>
      <c r="BM94" s="141">
        <v>0.10686815380787441</v>
      </c>
      <c r="BN94" s="545" t="s">
        <v>2233</v>
      </c>
      <c r="BO94" s="141">
        <v>6.5630253347332718E-2</v>
      </c>
      <c r="BP94" s="2629"/>
      <c r="BQ94" s="545" t="s">
        <v>627</v>
      </c>
      <c r="BR94" s="868">
        <v>0</v>
      </c>
      <c r="BS94" s="545" t="s">
        <v>627</v>
      </c>
      <c r="BT94" s="868">
        <v>0</v>
      </c>
      <c r="BU94" s="545" t="s">
        <v>2233</v>
      </c>
      <c r="BV94" s="141">
        <v>2.0238886982296438</v>
      </c>
      <c r="BW94" s="545" t="s">
        <v>2233</v>
      </c>
      <c r="BX94" s="141">
        <v>0</v>
      </c>
      <c r="BY94" s="545" t="s">
        <v>2233</v>
      </c>
      <c r="BZ94" s="141">
        <v>1.2736823875210068</v>
      </c>
      <c r="CA94" s="545" t="s">
        <v>2233</v>
      </c>
      <c r="CB94" s="141">
        <v>0.21688428887785235</v>
      </c>
      <c r="CC94" s="545" t="s">
        <v>2233</v>
      </c>
      <c r="CD94" s="141">
        <v>0.13319375622132926</v>
      </c>
    </row>
    <row r="95" spans="1:82" s="98" customFormat="1" ht="15" customHeight="1">
      <c r="A95" s="99"/>
      <c r="B95" s="161"/>
      <c r="C95" s="162"/>
      <c r="D95" s="162" t="s">
        <v>2707</v>
      </c>
      <c r="E95" s="162"/>
      <c r="F95" s="162"/>
      <c r="G95" s="163"/>
      <c r="H95" s="163"/>
      <c r="I95" s="164" t="s">
        <v>498</v>
      </c>
      <c r="J95" s="143">
        <v>0.11351627884450061</v>
      </c>
      <c r="K95" s="141">
        <v>0</v>
      </c>
      <c r="L95" s="141">
        <v>0</v>
      </c>
      <c r="M95" s="141">
        <v>0</v>
      </c>
      <c r="N95" s="141">
        <v>0</v>
      </c>
      <c r="O95" s="141">
        <v>0</v>
      </c>
      <c r="P95" s="141">
        <v>1.063649256700046E-2</v>
      </c>
      <c r="Q95" s="144">
        <v>9.0425992860226137E-3</v>
      </c>
      <c r="R95" s="143">
        <v>4.4301105913714389E-2</v>
      </c>
      <c r="S95" s="141">
        <v>4.4079600384145816E-2</v>
      </c>
      <c r="T95" s="141">
        <v>4.3859202382225085E-2</v>
      </c>
      <c r="U95" s="141">
        <v>4.3639906370313959E-2</v>
      </c>
      <c r="V95" s="144">
        <v>4.3421706838462387E-2</v>
      </c>
      <c r="W95" s="2629"/>
      <c r="X95" s="607" t="s">
        <v>498</v>
      </c>
      <c r="Y95" s="143">
        <v>0</v>
      </c>
      <c r="Z95" s="141">
        <v>0</v>
      </c>
      <c r="AA95" s="141">
        <v>0</v>
      </c>
      <c r="AB95" s="141">
        <v>0</v>
      </c>
      <c r="AC95" s="141">
        <v>0</v>
      </c>
      <c r="AD95" s="141">
        <v>0</v>
      </c>
      <c r="AE95" s="141">
        <v>0</v>
      </c>
      <c r="AF95" s="144">
        <v>0</v>
      </c>
      <c r="AG95" s="143">
        <v>0</v>
      </c>
      <c r="AH95" s="141">
        <v>0</v>
      </c>
      <c r="AI95" s="141">
        <v>0</v>
      </c>
      <c r="AJ95" s="141">
        <v>0</v>
      </c>
      <c r="AK95" s="144">
        <v>0</v>
      </c>
      <c r="AL95" s="2629"/>
      <c r="AM95" s="607" t="s">
        <v>2233</v>
      </c>
      <c r="AN95" s="143">
        <v>0.113</v>
      </c>
      <c r="AO95" s="141">
        <v>0</v>
      </c>
      <c r="AP95" s="141">
        <v>0</v>
      </c>
      <c r="AQ95" s="141"/>
      <c r="AR95" s="141">
        <v>0</v>
      </c>
      <c r="AS95" s="141"/>
      <c r="AT95" s="141">
        <v>1.0917522983538748E-2</v>
      </c>
      <c r="AU95" s="144">
        <v>6.8207189439778455E-3</v>
      </c>
      <c r="AV95" s="143">
        <v>4.8483294070299797E-2</v>
      </c>
      <c r="AW95" s="141">
        <v>4.8483294070299797E-2</v>
      </c>
      <c r="AX95" s="141">
        <v>4.8483294070299797E-2</v>
      </c>
      <c r="AY95" s="141">
        <v>4.8483294070299797E-2</v>
      </c>
      <c r="AZ95" s="144">
        <v>4.8483294070299797E-2</v>
      </c>
      <c r="BA95" s="2629"/>
      <c r="BB95" s="545" t="s">
        <v>627</v>
      </c>
      <c r="BC95" s="868">
        <v>0</v>
      </c>
      <c r="BD95" s="545" t="s">
        <v>627</v>
      </c>
      <c r="BE95" s="868">
        <v>0</v>
      </c>
      <c r="BF95" s="545" t="s">
        <v>2233</v>
      </c>
      <c r="BG95" s="141">
        <v>7.2539775831418074E-2</v>
      </c>
      <c r="BH95" s="545" t="s">
        <v>2233</v>
      </c>
      <c r="BI95" s="141">
        <v>0</v>
      </c>
      <c r="BJ95" s="545" t="s">
        <v>2233</v>
      </c>
      <c r="BK95" s="141">
        <v>4.5651045411745125E-2</v>
      </c>
      <c r="BL95" s="545" t="s">
        <v>2233</v>
      </c>
      <c r="BM95" s="141">
        <v>7.7735192208533144E-3</v>
      </c>
      <c r="BN95" s="545" t="s">
        <v>2233</v>
      </c>
      <c r="BO95" s="141">
        <v>4.7739014635000817E-3</v>
      </c>
      <c r="BP95" s="2629"/>
      <c r="BQ95" s="545" t="s">
        <v>627</v>
      </c>
      <c r="BR95" s="868">
        <v>0</v>
      </c>
      <c r="BS95" s="545" t="s">
        <v>627</v>
      </c>
      <c r="BT95" s="868">
        <v>0</v>
      </c>
      <c r="BU95" s="545" t="s">
        <v>2233</v>
      </c>
      <c r="BV95" s="141">
        <v>0.13450415240317107</v>
      </c>
      <c r="BW95" s="545" t="s">
        <v>2233</v>
      </c>
      <c r="BX95" s="141">
        <v>0</v>
      </c>
      <c r="BY95" s="545" t="s">
        <v>2233</v>
      </c>
      <c r="BZ95" s="141">
        <v>8.4646734829941575E-2</v>
      </c>
      <c r="CA95" s="545" t="s">
        <v>2233</v>
      </c>
      <c r="CB95" s="141">
        <v>1.4413755791312792E-2</v>
      </c>
      <c r="CC95" s="545" t="s">
        <v>2233</v>
      </c>
      <c r="CD95" s="141">
        <v>8.8518273270735571E-3</v>
      </c>
    </row>
    <row r="96" spans="1:82" s="98" customFormat="1" ht="15" customHeight="1">
      <c r="A96" s="99"/>
      <c r="B96" s="161"/>
      <c r="C96" s="162"/>
      <c r="D96" s="162" t="s">
        <v>2708</v>
      </c>
      <c r="E96" s="162"/>
      <c r="F96" s="162"/>
      <c r="G96" s="163"/>
      <c r="H96" s="163"/>
      <c r="I96" s="164" t="s">
        <v>498</v>
      </c>
      <c r="J96" s="143">
        <v>0</v>
      </c>
      <c r="K96" s="141">
        <v>0</v>
      </c>
      <c r="L96" s="141">
        <v>0</v>
      </c>
      <c r="M96" s="141">
        <v>0</v>
      </c>
      <c r="N96" s="141">
        <v>0</v>
      </c>
      <c r="O96" s="141">
        <v>0</v>
      </c>
      <c r="P96" s="141">
        <v>0</v>
      </c>
      <c r="Q96" s="144">
        <v>0</v>
      </c>
      <c r="R96" s="143">
        <v>0</v>
      </c>
      <c r="S96" s="141">
        <v>0</v>
      </c>
      <c r="T96" s="141">
        <v>0</v>
      </c>
      <c r="U96" s="141">
        <v>0</v>
      </c>
      <c r="V96" s="144">
        <v>0</v>
      </c>
      <c r="W96" s="2629"/>
      <c r="X96" s="607" t="s">
        <v>498</v>
      </c>
      <c r="Y96" s="143">
        <v>0</v>
      </c>
      <c r="Z96" s="141">
        <v>0</v>
      </c>
      <c r="AA96" s="141">
        <v>0</v>
      </c>
      <c r="AB96" s="141">
        <v>0</v>
      </c>
      <c r="AC96" s="141">
        <v>0</v>
      </c>
      <c r="AD96" s="141">
        <v>0</v>
      </c>
      <c r="AE96" s="141">
        <v>0</v>
      </c>
      <c r="AF96" s="144">
        <v>0</v>
      </c>
      <c r="AG96" s="143">
        <v>0</v>
      </c>
      <c r="AH96" s="141">
        <v>0</v>
      </c>
      <c r="AI96" s="141">
        <v>0</v>
      </c>
      <c r="AJ96" s="141">
        <v>0</v>
      </c>
      <c r="AK96" s="144">
        <v>0</v>
      </c>
      <c r="AL96" s="2629"/>
      <c r="AM96" s="607" t="s">
        <v>2233</v>
      </c>
      <c r="AN96" s="143"/>
      <c r="AO96" s="141"/>
      <c r="AP96" s="141"/>
      <c r="AQ96" s="141"/>
      <c r="AR96" s="141">
        <v>0</v>
      </c>
      <c r="AS96" s="141"/>
      <c r="AT96" s="141">
        <v>0</v>
      </c>
      <c r="AU96" s="144">
        <v>0</v>
      </c>
      <c r="AV96" s="143">
        <v>0</v>
      </c>
      <c r="AW96" s="141">
        <v>0</v>
      </c>
      <c r="AX96" s="141">
        <v>0</v>
      </c>
      <c r="AY96" s="141">
        <v>0</v>
      </c>
      <c r="AZ96" s="144">
        <v>0</v>
      </c>
      <c r="BA96" s="2629"/>
      <c r="BB96" s="545" t="s">
        <v>627</v>
      </c>
      <c r="BC96" s="868">
        <v>0</v>
      </c>
      <c r="BD96" s="545" t="s">
        <v>627</v>
      </c>
      <c r="BE96" s="868">
        <v>0</v>
      </c>
      <c r="BF96" s="545" t="s">
        <v>2233</v>
      </c>
      <c r="BG96" s="141">
        <v>0</v>
      </c>
      <c r="BH96" s="545" t="s">
        <v>2233</v>
      </c>
      <c r="BI96" s="141">
        <v>0</v>
      </c>
      <c r="BJ96" s="545" t="s">
        <v>2233</v>
      </c>
      <c r="BK96" s="141">
        <v>0</v>
      </c>
      <c r="BL96" s="545" t="s">
        <v>2233</v>
      </c>
      <c r="BM96" s="141">
        <v>0</v>
      </c>
      <c r="BN96" s="545" t="s">
        <v>2233</v>
      </c>
      <c r="BO96" s="141">
        <v>0</v>
      </c>
      <c r="BP96" s="2629"/>
      <c r="BQ96" s="545" t="s">
        <v>627</v>
      </c>
      <c r="BR96" s="868">
        <v>0</v>
      </c>
      <c r="BS96" s="545" t="s">
        <v>627</v>
      </c>
      <c r="BT96" s="868">
        <v>0</v>
      </c>
      <c r="BU96" s="545" t="s">
        <v>2233</v>
      </c>
      <c r="BV96" s="141">
        <v>0</v>
      </c>
      <c r="BW96" s="545" t="s">
        <v>2233</v>
      </c>
      <c r="BX96" s="141">
        <v>0</v>
      </c>
      <c r="BY96" s="545" t="s">
        <v>2233</v>
      </c>
      <c r="BZ96" s="141">
        <v>0</v>
      </c>
      <c r="CA96" s="545" t="s">
        <v>2233</v>
      </c>
      <c r="CB96" s="141">
        <v>0</v>
      </c>
      <c r="CC96" s="545" t="s">
        <v>2233</v>
      </c>
      <c r="CD96" s="141">
        <v>0</v>
      </c>
    </row>
    <row r="97" spans="1:82" s="98" customFormat="1" ht="15" customHeight="1">
      <c r="A97" s="99"/>
      <c r="B97" s="161"/>
      <c r="C97" s="162" t="s">
        <v>1710</v>
      </c>
      <c r="D97" s="162"/>
      <c r="E97" s="162"/>
      <c r="F97" s="162"/>
      <c r="G97" s="163"/>
      <c r="H97" s="163"/>
      <c r="I97" s="164" t="s">
        <v>498</v>
      </c>
      <c r="J97" s="641">
        <f>SUM(J89:J96)</f>
        <v>0.78526570247498517</v>
      </c>
      <c r="K97" s="642">
        <f t="shared" ref="K97:V97" si="49">SUM(K89:K96)</f>
        <v>0.11929587219796486</v>
      </c>
      <c r="L97" s="642">
        <f t="shared" si="49"/>
        <v>0.20990748499374562</v>
      </c>
      <c r="M97" s="642">
        <f t="shared" si="49"/>
        <v>0.3383340232023252</v>
      </c>
      <c r="N97" s="642">
        <f t="shared" si="49"/>
        <v>0.14047158033667878</v>
      </c>
      <c r="O97" s="642">
        <f t="shared" si="49"/>
        <v>0.24672367245832139</v>
      </c>
      <c r="P97" s="642">
        <f t="shared" si="49"/>
        <v>0.31700519549369471</v>
      </c>
      <c r="Q97" s="643">
        <f t="shared" si="49"/>
        <v>0.2695015237758141</v>
      </c>
      <c r="R97" s="641">
        <f t="shared" si="49"/>
        <v>0.80287579970103573</v>
      </c>
      <c r="S97" s="642">
        <f t="shared" si="49"/>
        <v>0.79886142070253063</v>
      </c>
      <c r="T97" s="642">
        <f t="shared" si="49"/>
        <v>0.79486711359901796</v>
      </c>
      <c r="U97" s="642">
        <f t="shared" si="49"/>
        <v>0.79089277803102287</v>
      </c>
      <c r="V97" s="643">
        <f t="shared" si="49"/>
        <v>0.78693831414086768</v>
      </c>
      <c r="W97" s="2629"/>
      <c r="X97" s="607" t="s">
        <v>498</v>
      </c>
      <c r="Y97" s="641">
        <f>SUM(Y89:Y96)</f>
        <v>0</v>
      </c>
      <c r="Z97" s="642">
        <f t="shared" ref="Z97:AK97" si="50">SUM(Z89:Z96)</f>
        <v>0</v>
      </c>
      <c r="AA97" s="642">
        <f t="shared" si="50"/>
        <v>0</v>
      </c>
      <c r="AB97" s="642">
        <f t="shared" si="50"/>
        <v>0</v>
      </c>
      <c r="AC97" s="642">
        <f t="shared" si="50"/>
        <v>0</v>
      </c>
      <c r="AD97" s="642">
        <f t="shared" si="50"/>
        <v>0</v>
      </c>
      <c r="AE97" s="642">
        <f t="shared" si="50"/>
        <v>0</v>
      </c>
      <c r="AF97" s="643">
        <f t="shared" si="50"/>
        <v>0</v>
      </c>
      <c r="AG97" s="641">
        <f t="shared" si="50"/>
        <v>0</v>
      </c>
      <c r="AH97" s="642">
        <f t="shared" si="50"/>
        <v>0</v>
      </c>
      <c r="AI97" s="642">
        <f t="shared" si="50"/>
        <v>0</v>
      </c>
      <c r="AJ97" s="642">
        <f t="shared" si="50"/>
        <v>0</v>
      </c>
      <c r="AK97" s="643">
        <f t="shared" si="50"/>
        <v>0</v>
      </c>
      <c r="AL97" s="2629"/>
      <c r="AM97" s="607" t="s">
        <v>2233</v>
      </c>
      <c r="AN97" s="641">
        <f>SUM(AN89:AN96)</f>
        <v>1.546</v>
      </c>
      <c r="AO97" s="642">
        <f t="shared" ref="AO97:AZ97" si="51">SUM(AO89:AO96)</f>
        <v>0.31900000000000001</v>
      </c>
      <c r="AP97" s="642">
        <f t="shared" si="51"/>
        <v>0.35099999999999998</v>
      </c>
      <c r="AQ97" s="642">
        <f t="shared" si="51"/>
        <v>0.38500000000000001</v>
      </c>
      <c r="AR97" s="642">
        <f t="shared" si="51"/>
        <v>0.19900000000000001</v>
      </c>
      <c r="AS97" s="642">
        <f t="shared" si="51"/>
        <v>0.23199999999999998</v>
      </c>
      <c r="AT97" s="642">
        <f t="shared" si="51"/>
        <v>0.75420543863713674</v>
      </c>
      <c r="AU97" s="643">
        <f t="shared" si="51"/>
        <v>0.55002814441237968</v>
      </c>
      <c r="AV97" s="641">
        <f t="shared" si="51"/>
        <v>1.143046275693004</v>
      </c>
      <c r="AW97" s="642">
        <f t="shared" si="51"/>
        <v>1.143046275693004</v>
      </c>
      <c r="AX97" s="642">
        <f t="shared" si="51"/>
        <v>1.143046275693004</v>
      </c>
      <c r="AY97" s="642">
        <f t="shared" si="51"/>
        <v>1.143046275693004</v>
      </c>
      <c r="AZ97" s="643">
        <f t="shared" si="51"/>
        <v>1.143046275693004</v>
      </c>
      <c r="BA97" s="2629"/>
      <c r="BB97" s="542"/>
      <c r="BC97" s="542"/>
      <c r="BD97" s="542"/>
      <c r="BE97" s="542"/>
      <c r="BF97" s="545" t="s">
        <v>2233</v>
      </c>
      <c r="BG97" s="642">
        <f>SUM(BG89:BG96)</f>
        <v>2.4059480028916864</v>
      </c>
      <c r="BH97" s="545" t="s">
        <v>2233</v>
      </c>
      <c r="BI97" s="642">
        <f>SUM(BI89:BI96)</f>
        <v>0</v>
      </c>
      <c r="BJ97" s="545" t="s">
        <v>2233</v>
      </c>
      <c r="BK97" s="642">
        <f>SUM(BK89:BK96)</f>
        <v>1.5141216012792678</v>
      </c>
      <c r="BL97" s="545" t="s">
        <v>2233</v>
      </c>
      <c r="BM97" s="642">
        <f>SUM(BM89:BM96)</f>
        <v>0.25782659003960906</v>
      </c>
      <c r="BN97" s="545" t="s">
        <v>2233</v>
      </c>
      <c r="BO97" s="642">
        <f>SUM(BO89:BO96)</f>
        <v>0.15833738883895287</v>
      </c>
      <c r="BP97" s="2629"/>
      <c r="BQ97" s="542"/>
      <c r="BR97" s="542"/>
      <c r="BS97" s="542"/>
      <c r="BT97" s="542"/>
      <c r="BU97" s="545" t="s">
        <v>2233</v>
      </c>
      <c r="BV97" s="642">
        <f>SUM(BV89:BV96)</f>
        <v>3.1710813676719765</v>
      </c>
      <c r="BW97" s="545" t="s">
        <v>2233</v>
      </c>
      <c r="BX97" s="642">
        <f>SUM(BX89:BX96)</f>
        <v>0</v>
      </c>
      <c r="BY97" s="545" t="s">
        <v>2233</v>
      </c>
      <c r="BZ97" s="642">
        <f>SUM(BZ89:BZ96)</f>
        <v>1.9956386390876206</v>
      </c>
      <c r="CA97" s="545" t="s">
        <v>2233</v>
      </c>
      <c r="CB97" s="642">
        <f>SUM(CB89:CB96)</f>
        <v>0.33981993575187525</v>
      </c>
      <c r="CC97" s="545" t="s">
        <v>2233</v>
      </c>
      <c r="CD97" s="642">
        <f>SUM(CD89:CD96)</f>
        <v>0.20869143595354767</v>
      </c>
    </row>
    <row r="98" spans="1:82" s="98" customFormat="1" ht="15" customHeight="1">
      <c r="A98" s="99"/>
      <c r="B98" s="123"/>
      <c r="C98" s="127"/>
      <c r="D98" s="127"/>
      <c r="E98" s="127"/>
      <c r="F98" s="127"/>
      <c r="G98" s="117"/>
      <c r="H98" s="117"/>
      <c r="I98" s="117"/>
      <c r="J98" s="159"/>
      <c r="K98" s="94"/>
      <c r="L98" s="94"/>
      <c r="M98" s="94"/>
      <c r="N98" s="94"/>
      <c r="O98" s="94"/>
      <c r="P98" s="94"/>
      <c r="Q98" s="160"/>
      <c r="R98" s="159"/>
      <c r="S98" s="94"/>
      <c r="T98" s="94"/>
      <c r="U98" s="94"/>
      <c r="V98" s="160"/>
      <c r="W98" s="2629"/>
      <c r="X98" s="94"/>
      <c r="Y98" s="159"/>
      <c r="Z98" s="94"/>
      <c r="AA98" s="94"/>
      <c r="AB98" s="94"/>
      <c r="AC98" s="94"/>
      <c r="AD98" s="94"/>
      <c r="AE98" s="94"/>
      <c r="AF98" s="160"/>
      <c r="AG98" s="159"/>
      <c r="AH98" s="94"/>
      <c r="AI98" s="94"/>
      <c r="AJ98" s="94"/>
      <c r="AK98" s="160"/>
      <c r="AL98" s="2629"/>
      <c r="AM98" s="94"/>
      <c r="AN98" s="159"/>
      <c r="AO98" s="94"/>
      <c r="AP98" s="94"/>
      <c r="AQ98" s="94"/>
      <c r="AR98" s="94"/>
      <c r="AS98" s="94"/>
      <c r="AT98" s="94"/>
      <c r="AU98" s="160"/>
      <c r="AV98" s="159"/>
      <c r="AW98" s="94"/>
      <c r="AX98" s="94"/>
      <c r="AY98" s="94"/>
      <c r="AZ98" s="160"/>
      <c r="BA98" s="2629"/>
      <c r="BB98" s="542"/>
      <c r="BC98" s="542"/>
      <c r="BD98" s="542"/>
      <c r="BE98" s="542"/>
      <c r="BF98" s="542"/>
      <c r="BG98" s="542"/>
      <c r="BH98" s="542"/>
      <c r="BI98" s="542"/>
      <c r="BJ98" s="542"/>
      <c r="BK98" s="542"/>
      <c r="BL98" s="542"/>
      <c r="BM98" s="542"/>
      <c r="BN98" s="542"/>
      <c r="BO98" s="542"/>
      <c r="BP98" s="2629"/>
      <c r="BQ98" s="542"/>
      <c r="BR98" s="542"/>
      <c r="BS98" s="542"/>
      <c r="BT98" s="542"/>
      <c r="BU98" s="542"/>
      <c r="BV98" s="542"/>
      <c r="BW98" s="542"/>
      <c r="BX98" s="542"/>
      <c r="BY98" s="542"/>
      <c r="BZ98" s="542"/>
      <c r="CA98" s="542"/>
      <c r="CB98" s="542"/>
      <c r="CC98" s="542"/>
      <c r="CD98" s="542"/>
    </row>
    <row r="99" spans="1:82" s="98" customFormat="1" ht="15" customHeight="1" thickBot="1">
      <c r="A99" s="99"/>
      <c r="B99" s="191" t="s">
        <v>1701</v>
      </c>
      <c r="C99" s="193"/>
      <c r="D99" s="193"/>
      <c r="E99" s="193"/>
      <c r="F99" s="193"/>
      <c r="G99" s="194"/>
      <c r="H99" s="194"/>
      <c r="I99" s="195" t="s">
        <v>498</v>
      </c>
      <c r="J99" s="717">
        <f>SUM(J75,J86,J97)</f>
        <v>3.8774434250995231</v>
      </c>
      <c r="K99" s="718">
        <f t="shared" ref="K99:V99" si="52">SUM(K75,K86,K97)</f>
        <v>2.4321708092681193</v>
      </c>
      <c r="L99" s="718">
        <f t="shared" si="52"/>
        <v>2.4395710846019689</v>
      </c>
      <c r="M99" s="718">
        <f t="shared" si="52"/>
        <v>1.4844448192909465</v>
      </c>
      <c r="N99" s="718">
        <f t="shared" si="52"/>
        <v>1.8356164502598964</v>
      </c>
      <c r="O99" s="718">
        <f t="shared" si="52"/>
        <v>4.6082664548605869</v>
      </c>
      <c r="P99" s="718">
        <f t="shared" si="52"/>
        <v>2.5449743131026099</v>
      </c>
      <c r="Q99" s="719">
        <f t="shared" si="52"/>
        <v>2.1636063544109998</v>
      </c>
      <c r="R99" s="717">
        <f t="shared" si="52"/>
        <v>6.4456302795563891</v>
      </c>
      <c r="S99" s="718">
        <f t="shared" si="52"/>
        <v>6.4134021281586069</v>
      </c>
      <c r="T99" s="718">
        <f t="shared" si="52"/>
        <v>6.3813351175178141</v>
      </c>
      <c r="U99" s="718">
        <f t="shared" si="52"/>
        <v>6.3494284419302254</v>
      </c>
      <c r="V99" s="719">
        <f t="shared" si="52"/>
        <v>6.317681299720574</v>
      </c>
      <c r="W99" s="2630"/>
      <c r="X99" s="1083" t="s">
        <v>498</v>
      </c>
      <c r="Y99" s="717">
        <f>SUM(Y75,Y86,Y97)</f>
        <v>0</v>
      </c>
      <c r="Z99" s="718">
        <f t="shared" ref="Z99:AK99" si="53">SUM(Z75,Z86,Z97)</f>
        <v>0</v>
      </c>
      <c r="AA99" s="718">
        <f t="shared" si="53"/>
        <v>0</v>
      </c>
      <c r="AB99" s="718">
        <f t="shared" si="53"/>
        <v>0</v>
      </c>
      <c r="AC99" s="718">
        <f t="shared" si="53"/>
        <v>0</v>
      </c>
      <c r="AD99" s="718">
        <f t="shared" si="53"/>
        <v>0</v>
      </c>
      <c r="AE99" s="718">
        <f t="shared" si="53"/>
        <v>0</v>
      </c>
      <c r="AF99" s="719">
        <f t="shared" si="53"/>
        <v>0</v>
      </c>
      <c r="AG99" s="717">
        <f t="shared" si="53"/>
        <v>0</v>
      </c>
      <c r="AH99" s="718">
        <f t="shared" si="53"/>
        <v>0</v>
      </c>
      <c r="AI99" s="718">
        <f t="shared" si="53"/>
        <v>0</v>
      </c>
      <c r="AJ99" s="718">
        <f t="shared" si="53"/>
        <v>0</v>
      </c>
      <c r="AK99" s="719">
        <f t="shared" si="53"/>
        <v>0</v>
      </c>
      <c r="AL99" s="2630"/>
      <c r="AM99" s="1083" t="s">
        <v>2233</v>
      </c>
      <c r="AN99" s="717">
        <f>SUM(AN75,AN86,AN97)</f>
        <v>7.0870000000000006</v>
      </c>
      <c r="AO99" s="718">
        <f t="shared" ref="AO99:AZ99" si="54">SUM(AO75,AO86,AO97)</f>
        <v>5.3064999999999998</v>
      </c>
      <c r="AP99" s="718">
        <f t="shared" si="54"/>
        <v>4.4274999999999993</v>
      </c>
      <c r="AQ99" s="718">
        <f t="shared" si="54"/>
        <v>1.4939999999999998</v>
      </c>
      <c r="AR99" s="718">
        <f t="shared" si="54"/>
        <v>2.4299999999999997</v>
      </c>
      <c r="AS99" s="718">
        <f t="shared" si="54"/>
        <v>5.7700000000000005</v>
      </c>
      <c r="AT99" s="718">
        <f t="shared" si="54"/>
        <v>6.5955663606410555</v>
      </c>
      <c r="AU99" s="719">
        <f t="shared" si="54"/>
        <v>4.8100251481181564</v>
      </c>
      <c r="AV99" s="717">
        <f t="shared" si="54"/>
        <v>9.9960000000000004</v>
      </c>
      <c r="AW99" s="718">
        <f t="shared" si="54"/>
        <v>9.9960000000000004</v>
      </c>
      <c r="AX99" s="718">
        <f t="shared" si="54"/>
        <v>9.9960000000000004</v>
      </c>
      <c r="AY99" s="718">
        <f t="shared" si="54"/>
        <v>9.9960000000000004</v>
      </c>
      <c r="AZ99" s="719">
        <f t="shared" si="54"/>
        <v>9.9960000000000004</v>
      </c>
      <c r="BA99" s="2630"/>
      <c r="BB99" s="548"/>
      <c r="BC99" s="548"/>
      <c r="BD99" s="548"/>
      <c r="BE99" s="1537"/>
      <c r="BF99" s="1081" t="s">
        <v>2233</v>
      </c>
      <c r="BG99" s="1082">
        <f>SUM(BG75,BG86,BG97)</f>
        <v>21.040142248243097</v>
      </c>
      <c r="BH99" s="1081" t="s">
        <v>2233</v>
      </c>
      <c r="BI99" s="1082">
        <f>SUM(BI75,BI86,BI97)</f>
        <v>0</v>
      </c>
      <c r="BJ99" s="1081" t="s">
        <v>2233</v>
      </c>
      <c r="BK99" s="1082">
        <f>SUM(BK75,BK86,BK97)</f>
        <v>13.241073304063256</v>
      </c>
      <c r="BL99" s="1081" t="s">
        <v>2233</v>
      </c>
      <c r="BM99" s="1082">
        <f>SUM(BM75,BM86,BM97)</f>
        <v>2.2547071355211861</v>
      </c>
      <c r="BN99" s="1081" t="s">
        <v>2233</v>
      </c>
      <c r="BO99" s="1082">
        <f>SUM(BO75,BO86,BO97)</f>
        <v>1.3846688209316742</v>
      </c>
      <c r="BP99" s="2630"/>
      <c r="BQ99" s="548"/>
      <c r="BR99" s="548"/>
      <c r="BS99" s="548"/>
      <c r="BT99" s="1537"/>
      <c r="BU99" s="1081" t="s">
        <v>2233</v>
      </c>
      <c r="BV99" s="1082">
        <f>SUM(BV75,BV86,BV97)</f>
        <v>27.731273899677586</v>
      </c>
      <c r="BW99" s="1081" t="s">
        <v>2233</v>
      </c>
      <c r="BX99" s="1082">
        <f>SUM(BX75,BX86,BX97)</f>
        <v>0</v>
      </c>
      <c r="BY99" s="1081" t="s">
        <v>2233</v>
      </c>
      <c r="BZ99" s="1082">
        <f>SUM(BZ75,BZ86,BZ97)</f>
        <v>17.451965209567366</v>
      </c>
      <c r="CA99" s="1081" t="s">
        <v>2233</v>
      </c>
      <c r="CB99" s="1082">
        <f>SUM(CB75,CB86,CB97)</f>
        <v>2.9717432706005851</v>
      </c>
      <c r="CC99" s="1081" t="s">
        <v>2233</v>
      </c>
      <c r="CD99" s="1082">
        <f>SUM(CD75,CD86,CD97)</f>
        <v>1.8250176201544577</v>
      </c>
    </row>
    <row r="100" spans="1:82" s="99" customFormat="1" ht="15" customHeight="1" thickBot="1">
      <c r="B100" s="150"/>
      <c r="C100" s="150"/>
      <c r="D100" s="150"/>
      <c r="E100" s="150"/>
      <c r="F100" s="150"/>
      <c r="G100" s="97"/>
      <c r="H100" s="97"/>
      <c r="I100" s="98"/>
      <c r="J100" s="2629"/>
      <c r="K100" s="2629"/>
      <c r="L100" s="2629"/>
      <c r="M100" s="2629"/>
      <c r="N100" s="2629"/>
      <c r="O100" s="2629"/>
      <c r="P100" s="2629"/>
      <c r="Q100" s="2629"/>
      <c r="R100" s="2629"/>
      <c r="S100" s="2629"/>
      <c r="T100" s="2629"/>
      <c r="U100" s="2629"/>
      <c r="V100" s="2629"/>
      <c r="W100" s="2629"/>
      <c r="X100" s="2629"/>
      <c r="Y100" s="2631"/>
      <c r="Z100" s="2631"/>
      <c r="AA100" s="2631"/>
      <c r="AB100" s="2631"/>
      <c r="AC100" s="2631"/>
      <c r="AD100" s="2631"/>
      <c r="AE100" s="2631"/>
      <c r="AF100" s="2631"/>
      <c r="AG100" s="2631"/>
      <c r="AH100" s="2631"/>
      <c r="AI100" s="2631"/>
      <c r="AJ100" s="2631"/>
      <c r="AK100" s="2631"/>
      <c r="AL100" s="2631"/>
      <c r="AM100" s="2631"/>
      <c r="AN100" s="2631"/>
      <c r="AO100" s="2631"/>
      <c r="AP100" s="2631"/>
      <c r="AQ100" s="2631"/>
      <c r="AR100" s="2631"/>
      <c r="AS100" s="359"/>
      <c r="AT100" s="542"/>
      <c r="AU100" s="542"/>
      <c r="AV100" s="542"/>
      <c r="AW100" s="542"/>
      <c r="AX100" s="542"/>
      <c r="AY100" s="542"/>
      <c r="AZ100" s="542"/>
      <c r="BA100" s="542"/>
      <c r="BB100" s="542"/>
      <c r="BC100" s="2631"/>
      <c r="BD100" s="542"/>
      <c r="BE100" s="542"/>
      <c r="BF100" s="542"/>
      <c r="BG100" s="2631"/>
      <c r="BH100" s="542"/>
      <c r="BI100" s="2631"/>
      <c r="BJ100" s="2631"/>
      <c r="BK100" s="2631"/>
      <c r="BL100" s="2631"/>
      <c r="BM100" s="2631"/>
      <c r="BN100" s="2631"/>
      <c r="BO100" s="2631"/>
      <c r="BP100" s="2631"/>
      <c r="BQ100" s="2631"/>
      <c r="BR100" s="2631"/>
      <c r="BS100" s="2631"/>
      <c r="BT100" s="2631"/>
      <c r="BU100" s="2631"/>
      <c r="BV100" s="2631"/>
      <c r="BW100" s="2631"/>
      <c r="BX100" s="2631"/>
      <c r="BY100" s="2631"/>
      <c r="BZ100" s="2631"/>
      <c r="CA100" s="2631"/>
      <c r="CB100" s="2631"/>
      <c r="CC100" s="2631"/>
      <c r="CD100" s="2631"/>
    </row>
    <row r="101" spans="1:82" s="100" customFormat="1" ht="30" customHeight="1" thickBot="1">
      <c r="A101" s="89"/>
      <c r="B101" s="621" t="s">
        <v>2734</v>
      </c>
      <c r="C101" s="101"/>
      <c r="D101" s="102"/>
      <c r="E101" s="103"/>
      <c r="F101" s="103"/>
      <c r="G101" s="103"/>
      <c r="H101" s="103"/>
      <c r="I101" s="1689"/>
      <c r="J101" s="1689"/>
      <c r="K101" s="1689"/>
      <c r="L101" s="1689"/>
      <c r="M101" s="1689"/>
      <c r="N101" s="1689"/>
      <c r="O101" s="1689"/>
      <c r="P101" s="1689"/>
      <c r="Q101" s="1689"/>
      <c r="R101" s="1689"/>
      <c r="S101" s="1689"/>
      <c r="T101" s="1689"/>
      <c r="U101" s="1689"/>
      <c r="V101" s="1689"/>
      <c r="W101" s="103"/>
      <c r="X101" s="1689"/>
      <c r="Y101" s="1689"/>
      <c r="Z101" s="1689"/>
      <c r="AA101" s="1689"/>
      <c r="AB101" s="1689"/>
      <c r="AC101" s="1689"/>
      <c r="AD101" s="1689"/>
      <c r="AE101" s="1689"/>
      <c r="AF101" s="1689"/>
      <c r="AG101" s="1689"/>
      <c r="AH101" s="1689"/>
      <c r="AI101" s="2504"/>
      <c r="AJ101" s="2504"/>
      <c r="AK101" s="1689"/>
      <c r="AL101" s="103"/>
      <c r="AM101" s="105" t="s">
        <v>2231</v>
      </c>
      <c r="AN101" s="106"/>
      <c r="AO101" s="106"/>
      <c r="AP101" s="106"/>
      <c r="AQ101" s="106"/>
      <c r="AR101" s="106"/>
      <c r="AS101" s="106"/>
      <c r="AT101" s="106"/>
      <c r="AU101" s="106"/>
      <c r="AV101" s="105"/>
      <c r="AW101" s="105"/>
      <c r="AX101" s="105"/>
      <c r="AY101" s="105"/>
      <c r="AZ101" s="105"/>
      <c r="BA101" s="103"/>
      <c r="BB101" s="105" t="s">
        <v>2690</v>
      </c>
      <c r="BC101" s="105"/>
      <c r="BD101" s="105"/>
      <c r="BE101" s="105"/>
      <c r="BF101" s="105"/>
      <c r="BG101" s="105"/>
      <c r="BH101" s="603"/>
      <c r="BI101" s="105"/>
      <c r="BJ101" s="103"/>
      <c r="BK101" s="103"/>
      <c r="BL101" s="103"/>
      <c r="BM101" s="103"/>
      <c r="BN101" s="103"/>
      <c r="BO101" s="103"/>
      <c r="BP101" s="103"/>
      <c r="BQ101" s="105" t="s">
        <v>2691</v>
      </c>
      <c r="BR101" s="105"/>
      <c r="BS101" s="105"/>
      <c r="BT101" s="105"/>
      <c r="BU101" s="105"/>
      <c r="BV101" s="105"/>
      <c r="BW101" s="105"/>
      <c r="BX101" s="187"/>
    </row>
    <row r="102" spans="1:82" s="157" customFormat="1" ht="30" customHeight="1">
      <c r="A102" s="99"/>
      <c r="B102" s="109"/>
      <c r="C102" s="110"/>
      <c r="D102" s="110"/>
      <c r="E102" s="222"/>
      <c r="F102" s="222"/>
      <c r="G102" s="222"/>
      <c r="H102" s="222"/>
      <c r="I102" s="1690"/>
      <c r="J102" s="2502"/>
      <c r="K102" s="2502"/>
      <c r="L102" s="2502"/>
      <c r="M102" s="2502"/>
      <c r="N102" s="2502"/>
      <c r="O102" s="2502"/>
      <c r="P102" s="2502"/>
      <c r="Q102" s="2502"/>
      <c r="R102" s="2502"/>
      <c r="S102" s="2502"/>
      <c r="T102" s="2502"/>
      <c r="U102" s="2502"/>
      <c r="V102" s="2502"/>
      <c r="W102" s="2632"/>
      <c r="X102" s="2502"/>
      <c r="Y102" s="2502"/>
      <c r="Z102" s="2502"/>
      <c r="AA102" s="2502"/>
      <c r="AB102" s="2502"/>
      <c r="AC102" s="2502"/>
      <c r="AD102" s="2502"/>
      <c r="AE102" s="2502"/>
      <c r="AF102" s="2502"/>
      <c r="AG102" s="2502"/>
      <c r="AH102" s="2502"/>
      <c r="AI102" s="2637"/>
      <c r="AJ102" s="2637"/>
      <c r="AK102" s="2638"/>
      <c r="AL102" s="113"/>
      <c r="AM102" s="94"/>
      <c r="AN102" s="695" t="s">
        <v>1666</v>
      </c>
      <c r="AO102" s="152"/>
      <c r="AP102" s="152"/>
      <c r="AQ102" s="152"/>
      <c r="AR102" s="152"/>
      <c r="AS102" s="152"/>
      <c r="AT102" s="152"/>
      <c r="AU102" s="153"/>
      <c r="AV102" s="696" t="s">
        <v>2</v>
      </c>
      <c r="AW102" s="155"/>
      <c r="AX102" s="155"/>
      <c r="AY102" s="155"/>
      <c r="AZ102" s="156"/>
      <c r="BA102" s="2632"/>
      <c r="BB102" s="2633" t="s">
        <v>2711</v>
      </c>
      <c r="BC102" s="2633"/>
      <c r="BD102" s="2633" t="s">
        <v>2712</v>
      </c>
      <c r="BE102" s="2633"/>
      <c r="BF102" s="2633" t="s">
        <v>2713</v>
      </c>
      <c r="BG102" s="2633"/>
      <c r="BH102" s="2633" t="s">
        <v>2714</v>
      </c>
      <c r="BI102" s="2639"/>
      <c r="BJ102" s="2632"/>
      <c r="BK102" s="2632"/>
      <c r="BL102" s="2632"/>
      <c r="BM102" s="2632"/>
      <c r="BN102" s="2632"/>
      <c r="BO102" s="2632"/>
      <c r="BP102" s="2632"/>
      <c r="BQ102" s="2633" t="s">
        <v>2711</v>
      </c>
      <c r="BR102" s="2633"/>
      <c r="BS102" s="2633" t="s">
        <v>2712</v>
      </c>
      <c r="BT102" s="2633"/>
      <c r="BU102" s="2633" t="s">
        <v>2713</v>
      </c>
      <c r="BV102" s="2633"/>
      <c r="BW102" s="2633" t="s">
        <v>2714</v>
      </c>
      <c r="BX102" s="2634"/>
      <c r="BY102" s="2632"/>
      <c r="BZ102" s="2632"/>
      <c r="CA102" s="2632"/>
      <c r="CB102" s="2632"/>
      <c r="CC102" s="2632"/>
      <c r="CD102" s="2632"/>
    </row>
    <row r="103" spans="1:82" s="98" customFormat="1" ht="15" customHeight="1">
      <c r="A103" s="99"/>
      <c r="B103" s="115"/>
      <c r="C103" s="116"/>
      <c r="D103" s="116"/>
      <c r="E103" s="185"/>
      <c r="F103" s="185"/>
      <c r="G103" s="185"/>
      <c r="H103" s="185"/>
      <c r="I103" s="1691"/>
      <c r="J103" s="2503"/>
      <c r="K103" s="2503"/>
      <c r="L103" s="2503"/>
      <c r="M103" s="2503"/>
      <c r="N103" s="2503"/>
      <c r="O103" s="2503"/>
      <c r="P103" s="2503"/>
      <c r="Q103" s="2503"/>
      <c r="R103" s="2503"/>
      <c r="S103" s="2503"/>
      <c r="T103" s="2503"/>
      <c r="U103" s="2503"/>
      <c r="V103" s="2503"/>
      <c r="W103" s="2629"/>
      <c r="X103" s="2503"/>
      <c r="Y103" s="2503"/>
      <c r="Z103" s="2503"/>
      <c r="AA103" s="2503"/>
      <c r="AB103" s="2503"/>
      <c r="AC103" s="2503"/>
      <c r="AD103" s="2503"/>
      <c r="AE103" s="2503"/>
      <c r="AF103" s="2503"/>
      <c r="AG103" s="2503"/>
      <c r="AH103" s="2503"/>
      <c r="AI103" s="2640"/>
      <c r="AJ103" s="2640"/>
      <c r="AK103" s="2641"/>
      <c r="AL103" s="94"/>
      <c r="AM103" s="119" t="s">
        <v>1667</v>
      </c>
      <c r="AN103" s="158" t="s">
        <v>453</v>
      </c>
      <c r="AO103" s="137" t="s">
        <v>455</v>
      </c>
      <c r="AP103" s="137" t="s">
        <v>457</v>
      </c>
      <c r="AQ103" s="137" t="s">
        <v>459</v>
      </c>
      <c r="AR103" s="137" t="s">
        <v>461</v>
      </c>
      <c r="AS103" s="137" t="s">
        <v>463</v>
      </c>
      <c r="AT103" s="137" t="s">
        <v>465</v>
      </c>
      <c r="AU103" s="138" t="s">
        <v>467</v>
      </c>
      <c r="AV103" s="120" t="s">
        <v>469</v>
      </c>
      <c r="AW103" s="121" t="s">
        <v>471</v>
      </c>
      <c r="AX103" s="121" t="s">
        <v>473</v>
      </c>
      <c r="AY103" s="121" t="s">
        <v>475</v>
      </c>
      <c r="AZ103" s="122" t="s">
        <v>477</v>
      </c>
      <c r="BA103" s="2629"/>
      <c r="BB103" s="2635" t="s">
        <v>1667</v>
      </c>
      <c r="BC103" s="2635" t="s">
        <v>2142</v>
      </c>
      <c r="BD103" s="2635" t="s">
        <v>1667</v>
      </c>
      <c r="BE103" s="2635" t="s">
        <v>2142</v>
      </c>
      <c r="BF103" s="2635" t="s">
        <v>1667</v>
      </c>
      <c r="BG103" s="2635" t="s">
        <v>2142</v>
      </c>
      <c r="BH103" s="2642" t="s">
        <v>1667</v>
      </c>
      <c r="BI103" s="2635" t="s">
        <v>2142</v>
      </c>
      <c r="BJ103" s="2629"/>
      <c r="BK103" s="2629"/>
      <c r="BL103" s="2629"/>
      <c r="BM103" s="2629"/>
      <c r="BN103" s="2629"/>
      <c r="BO103" s="2629"/>
      <c r="BP103" s="2629"/>
      <c r="BQ103" s="2635" t="s">
        <v>1667</v>
      </c>
      <c r="BR103" s="2635" t="s">
        <v>2142</v>
      </c>
      <c r="BS103" s="2635" t="s">
        <v>1667</v>
      </c>
      <c r="BT103" s="2635" t="s">
        <v>2142</v>
      </c>
      <c r="BU103" s="2635" t="s">
        <v>1667</v>
      </c>
      <c r="BV103" s="2635" t="s">
        <v>2142</v>
      </c>
      <c r="BW103" s="2635" t="s">
        <v>1667</v>
      </c>
      <c r="BX103" s="2636" t="s">
        <v>2142</v>
      </c>
      <c r="BY103" s="2629"/>
      <c r="BZ103" s="2629"/>
      <c r="CA103" s="2629"/>
      <c r="CB103" s="2629"/>
      <c r="CC103" s="2629"/>
      <c r="CD103" s="2629"/>
    </row>
    <row r="104" spans="1:82" s="98" customFormat="1" ht="15" customHeight="1">
      <c r="A104" s="99"/>
      <c r="B104" s="161"/>
      <c r="C104" s="116" t="s">
        <v>2715</v>
      </c>
      <c r="D104" s="116"/>
      <c r="E104" s="185"/>
      <c r="F104" s="185"/>
      <c r="G104" s="185"/>
      <c r="H104" s="185"/>
      <c r="I104" s="1691"/>
      <c r="J104" s="2503"/>
      <c r="K104" s="2503"/>
      <c r="L104" s="2503"/>
      <c r="M104" s="2503"/>
      <c r="N104" s="2503"/>
      <c r="O104" s="2503"/>
      <c r="P104" s="2503"/>
      <c r="Q104" s="2503"/>
      <c r="R104" s="2503"/>
      <c r="S104" s="2503"/>
      <c r="T104" s="2503"/>
      <c r="U104" s="2503"/>
      <c r="V104" s="2503"/>
      <c r="W104" s="2629"/>
      <c r="X104" s="2503"/>
      <c r="Y104" s="2503"/>
      <c r="Z104" s="2503"/>
      <c r="AA104" s="2503"/>
      <c r="AB104" s="2503"/>
      <c r="AC104" s="2503"/>
      <c r="AD104" s="2503"/>
      <c r="AE104" s="2503"/>
      <c r="AF104" s="2503"/>
      <c r="AG104" s="2503"/>
      <c r="AH104" s="2503"/>
      <c r="AI104" s="2640"/>
      <c r="AJ104" s="2640"/>
      <c r="AK104" s="2641"/>
      <c r="AL104" s="94"/>
      <c r="AM104" s="94"/>
      <c r="AN104" s="159"/>
      <c r="AO104" s="94"/>
      <c r="AP104" s="94"/>
      <c r="AQ104" s="94"/>
      <c r="AR104" s="94"/>
      <c r="AS104" s="94"/>
      <c r="AT104" s="94"/>
      <c r="AU104" s="160"/>
      <c r="AV104" s="159"/>
      <c r="AW104" s="94"/>
      <c r="AX104" s="94"/>
      <c r="AY104" s="94"/>
      <c r="AZ104" s="160"/>
      <c r="BA104" s="2629"/>
      <c r="BB104" s="542"/>
      <c r="BC104" s="542"/>
      <c r="BD104" s="542"/>
      <c r="BE104" s="542"/>
      <c r="BF104" s="542"/>
      <c r="BG104" s="542"/>
      <c r="BH104" s="542"/>
      <c r="BI104" s="542"/>
      <c r="BJ104" s="2629"/>
      <c r="BK104" s="2629"/>
      <c r="BL104" s="2629"/>
      <c r="BM104" s="2629"/>
      <c r="BN104" s="2629"/>
      <c r="BO104" s="2629"/>
      <c r="BP104" s="2629"/>
      <c r="BQ104" s="542"/>
      <c r="BR104" s="542"/>
      <c r="BS104" s="542"/>
      <c r="BT104" s="542"/>
      <c r="BU104" s="542"/>
      <c r="BV104" s="542"/>
      <c r="BW104" s="542"/>
      <c r="BX104" s="544"/>
      <c r="BY104" s="2629"/>
      <c r="BZ104" s="2629"/>
      <c r="CA104" s="2629"/>
      <c r="CB104" s="2629"/>
      <c r="CC104" s="2629"/>
      <c r="CD104" s="2629"/>
    </row>
    <row r="105" spans="1:82" s="98" customFormat="1" ht="15" customHeight="1">
      <c r="A105" s="99"/>
      <c r="B105" s="161"/>
      <c r="C105" s="162"/>
      <c r="D105" s="162" t="s">
        <v>2726</v>
      </c>
      <c r="E105" s="185"/>
      <c r="F105" s="185"/>
      <c r="G105" s="185"/>
      <c r="H105" s="185"/>
      <c r="I105" s="1691"/>
      <c r="J105" s="2503"/>
      <c r="K105" s="2503"/>
      <c r="L105" s="2503"/>
      <c r="M105" s="2503"/>
      <c r="N105" s="2503"/>
      <c r="O105" s="2503"/>
      <c r="P105" s="2503"/>
      <c r="Q105" s="2503"/>
      <c r="R105" s="2503"/>
      <c r="S105" s="2503"/>
      <c r="T105" s="2503"/>
      <c r="U105" s="2503"/>
      <c r="V105" s="2503"/>
      <c r="W105" s="2629"/>
      <c r="X105" s="2503"/>
      <c r="Y105" s="2503"/>
      <c r="Z105" s="2503"/>
      <c r="AA105" s="2503"/>
      <c r="AB105" s="2503"/>
      <c r="AC105" s="2503"/>
      <c r="AD105" s="2503"/>
      <c r="AE105" s="2503"/>
      <c r="AF105" s="2503"/>
      <c r="AG105" s="2503"/>
      <c r="AH105" s="2503"/>
      <c r="AI105" s="2643"/>
      <c r="AJ105" s="2643"/>
      <c r="AK105" s="2644"/>
      <c r="AL105" s="2645"/>
      <c r="AM105" s="607" t="s">
        <v>2233</v>
      </c>
      <c r="AN105" s="143">
        <v>-0.64644075284363622</v>
      </c>
      <c r="AO105" s="141">
        <v>-0.56711267172382562</v>
      </c>
      <c r="AP105" s="141">
        <v>-0.38670962326568897</v>
      </c>
      <c r="AQ105" s="141">
        <v>-0.57306341217916468</v>
      </c>
      <c r="AR105" s="141">
        <v>-3.298</v>
      </c>
      <c r="AS105" s="141">
        <v>-0.90700000000000003</v>
      </c>
      <c r="AT105" s="141">
        <v>-1.1488246891033722</v>
      </c>
      <c r="AU105" s="144">
        <v>-0.93266736647468973</v>
      </c>
      <c r="AV105" s="143">
        <v>-0.87798840682030854</v>
      </c>
      <c r="AW105" s="141">
        <v>-0.87798840682030854</v>
      </c>
      <c r="AX105" s="141">
        <v>-0.87798840682030854</v>
      </c>
      <c r="AY105" s="141">
        <v>-0.87798840682030854</v>
      </c>
      <c r="AZ105" s="144">
        <v>-0.87798840682030854</v>
      </c>
      <c r="BA105" s="2629"/>
      <c r="BB105" s="545" t="s">
        <v>2233</v>
      </c>
      <c r="BC105" s="141">
        <v>5.0395066225618033</v>
      </c>
      <c r="BD105" s="545" t="s">
        <v>2233</v>
      </c>
      <c r="BE105" s="141">
        <v>2.9537786772766932</v>
      </c>
      <c r="BF105" s="545" t="s">
        <v>2233</v>
      </c>
      <c r="BG105" s="141">
        <v>0.46653321575188128</v>
      </c>
      <c r="BH105" s="607" t="s">
        <v>627</v>
      </c>
      <c r="BI105" s="868">
        <v>0.95650000000000002</v>
      </c>
      <c r="BJ105" s="2629"/>
      <c r="BK105" s="2629"/>
      <c r="BL105" s="2629"/>
      <c r="BM105" s="2629"/>
      <c r="BN105" s="2629"/>
      <c r="BO105" s="2629"/>
      <c r="BP105" s="2629"/>
      <c r="BQ105" s="545" t="s">
        <v>2233</v>
      </c>
      <c r="BR105" s="141">
        <v>2.6150846986548233</v>
      </c>
      <c r="BS105" s="545" t="s">
        <v>2233</v>
      </c>
      <c r="BT105" s="141">
        <v>1.5327654075454951</v>
      </c>
      <c r="BU105" s="545" t="s">
        <v>2233</v>
      </c>
      <c r="BV105" s="141">
        <v>0.24209192790122422</v>
      </c>
      <c r="BW105" s="607" t="s">
        <v>627</v>
      </c>
      <c r="BX105" s="872">
        <v>0.98</v>
      </c>
      <c r="BY105" s="2629"/>
      <c r="BZ105" s="2629"/>
      <c r="CA105" s="2629"/>
      <c r="CB105" s="2629"/>
      <c r="CC105" s="2629"/>
      <c r="CD105" s="2629"/>
    </row>
    <row r="106" spans="1:82" s="98" customFormat="1" ht="15" customHeight="1">
      <c r="A106" s="99"/>
      <c r="B106" s="161"/>
      <c r="C106" s="162"/>
      <c r="D106" s="162" t="s">
        <v>2727</v>
      </c>
      <c r="E106" s="185"/>
      <c r="F106" s="185"/>
      <c r="G106" s="185"/>
      <c r="H106" s="185"/>
      <c r="I106" s="1691"/>
      <c r="J106" s="2503"/>
      <c r="K106" s="2503"/>
      <c r="L106" s="2503"/>
      <c r="M106" s="2503"/>
      <c r="N106" s="2503"/>
      <c r="O106" s="2503"/>
      <c r="P106" s="2503"/>
      <c r="Q106" s="2503"/>
      <c r="R106" s="2503"/>
      <c r="S106" s="2503"/>
      <c r="T106" s="2503"/>
      <c r="U106" s="2503"/>
      <c r="V106" s="2503"/>
      <c r="W106" s="2629"/>
      <c r="X106" s="2503"/>
      <c r="Y106" s="2503"/>
      <c r="Z106" s="2503"/>
      <c r="AA106" s="2503"/>
      <c r="AB106" s="2503"/>
      <c r="AC106" s="2503"/>
      <c r="AD106" s="2503"/>
      <c r="AE106" s="2503"/>
      <c r="AF106" s="2503"/>
      <c r="AG106" s="2503"/>
      <c r="AH106" s="2503"/>
      <c r="AI106" s="2643"/>
      <c r="AJ106" s="2643"/>
      <c r="AK106" s="2644"/>
      <c r="AL106" s="2645"/>
      <c r="AM106" s="607" t="s">
        <v>2233</v>
      </c>
      <c r="AN106" s="143">
        <v>-9.8678270916350268</v>
      </c>
      <c r="AO106" s="141">
        <v>-11.455274330951779</v>
      </c>
      <c r="AP106" s="141">
        <v>-7.3697307806250905</v>
      </c>
      <c r="AQ106" s="141">
        <v>-6.8227921489682943</v>
      </c>
      <c r="AR106" s="141">
        <v>-13.146000000000001</v>
      </c>
      <c r="AS106" s="141">
        <v>-15.265000000000001</v>
      </c>
      <c r="AT106" s="141">
        <v>-13.936222589768692</v>
      </c>
      <c r="AU106" s="144">
        <v>-10.560455428434418</v>
      </c>
      <c r="AV106" s="143">
        <v>-12.361429350847862</v>
      </c>
      <c r="AW106" s="141">
        <v>-12.361429350847862</v>
      </c>
      <c r="AX106" s="141">
        <v>-12.361429350847862</v>
      </c>
      <c r="AY106" s="141">
        <v>-12.361429350847862</v>
      </c>
      <c r="AZ106" s="144">
        <v>-12.361429350847862</v>
      </c>
      <c r="BA106" s="2629"/>
      <c r="BB106" s="545" t="s">
        <v>2233</v>
      </c>
      <c r="BC106" s="141">
        <v>52.673685264421316</v>
      </c>
      <c r="BD106" s="545" t="s">
        <v>2233</v>
      </c>
      <c r="BE106" s="141">
        <v>30.873341388435325</v>
      </c>
      <c r="BF106" s="545" t="s">
        <v>2233</v>
      </c>
      <c r="BG106" s="141">
        <v>4.8762757175266689</v>
      </c>
      <c r="BH106" s="607" t="s">
        <v>627</v>
      </c>
      <c r="BI106" s="868">
        <v>0.95650000000000002</v>
      </c>
      <c r="BJ106" s="2629"/>
      <c r="BK106" s="2629"/>
      <c r="BL106" s="2629"/>
      <c r="BM106" s="2629"/>
      <c r="BN106" s="2629"/>
      <c r="BO106" s="2629"/>
      <c r="BP106" s="2629"/>
      <c r="BQ106" s="545" t="s">
        <v>2233</v>
      </c>
      <c r="BR106" s="141">
        <v>36.818464227763812</v>
      </c>
      <c r="BS106" s="545" t="s">
        <v>2233</v>
      </c>
      <c r="BT106" s="141">
        <v>21.580206697051466</v>
      </c>
      <c r="BU106" s="545" t="s">
        <v>2233</v>
      </c>
      <c r="BV106" s="141">
        <v>3.4084758294240345</v>
      </c>
      <c r="BW106" s="607" t="s">
        <v>627</v>
      </c>
      <c r="BX106" s="872">
        <v>0.98</v>
      </c>
      <c r="BY106" s="2629"/>
      <c r="BZ106" s="2629"/>
      <c r="CA106" s="2629"/>
      <c r="CB106" s="2629"/>
      <c r="CC106" s="2629"/>
      <c r="CD106" s="2629"/>
    </row>
    <row r="107" spans="1:82" s="98" customFormat="1" ht="15" customHeight="1">
      <c r="A107" s="99"/>
      <c r="B107" s="161"/>
      <c r="C107" s="162"/>
      <c r="D107" s="162" t="s">
        <v>2728</v>
      </c>
      <c r="E107" s="185"/>
      <c r="F107" s="185"/>
      <c r="G107" s="185"/>
      <c r="H107" s="185"/>
      <c r="I107" s="1691"/>
      <c r="J107" s="2503"/>
      <c r="K107" s="2503"/>
      <c r="L107" s="2503"/>
      <c r="M107" s="2503"/>
      <c r="N107" s="2503"/>
      <c r="O107" s="2503"/>
      <c r="P107" s="2503"/>
      <c r="Q107" s="2503"/>
      <c r="R107" s="2503"/>
      <c r="S107" s="2503"/>
      <c r="T107" s="2503"/>
      <c r="U107" s="2503"/>
      <c r="V107" s="2503"/>
      <c r="W107" s="2629"/>
      <c r="X107" s="2503"/>
      <c r="Y107" s="2503"/>
      <c r="Z107" s="2503"/>
      <c r="AA107" s="2503"/>
      <c r="AB107" s="2503"/>
      <c r="AC107" s="2503"/>
      <c r="AD107" s="2503"/>
      <c r="AE107" s="2503"/>
      <c r="AF107" s="2503"/>
      <c r="AG107" s="2503"/>
      <c r="AH107" s="2503"/>
      <c r="AI107" s="2643"/>
      <c r="AJ107" s="2643"/>
      <c r="AK107" s="2644"/>
      <c r="AL107" s="2645"/>
      <c r="AM107" s="607" t="s">
        <v>2233</v>
      </c>
      <c r="AN107" s="143">
        <v>-4.3619584063098751</v>
      </c>
      <c r="AO107" s="141">
        <v>-2.4777040169010487</v>
      </c>
      <c r="AP107" s="141">
        <v>-1.5986155137510492</v>
      </c>
      <c r="AQ107" s="141">
        <v>-0.89190538500251615</v>
      </c>
      <c r="AR107" s="141">
        <v>-2.4630000000000001</v>
      </c>
      <c r="AS107" s="141">
        <v>-4.4770000000000003</v>
      </c>
      <c r="AT107" s="141">
        <v>-3.9729666260832142</v>
      </c>
      <c r="AU107" s="144">
        <v>-3.0497483830631635</v>
      </c>
      <c r="AV107" s="143">
        <v>-2.2932823486477614</v>
      </c>
      <c r="AW107" s="141">
        <v>-2.2932823486477614</v>
      </c>
      <c r="AX107" s="141">
        <v>-2.2932823486477614</v>
      </c>
      <c r="AY107" s="141">
        <v>-2.2932823486477614</v>
      </c>
      <c r="AZ107" s="144">
        <v>-2.2932823486477614</v>
      </c>
      <c r="BA107" s="2629"/>
      <c r="BB107" s="545" t="s">
        <v>2233</v>
      </c>
      <c r="BC107" s="141">
        <v>13.875559526716415</v>
      </c>
      <c r="BD107" s="545" t="s">
        <v>2233</v>
      </c>
      <c r="BE107" s="141">
        <v>8.1328064302580039</v>
      </c>
      <c r="BF107" s="545" t="s">
        <v>2233</v>
      </c>
      <c r="BG107" s="141">
        <v>1.2845323741364469</v>
      </c>
      <c r="BH107" s="607" t="s">
        <v>627</v>
      </c>
      <c r="BI107" s="868">
        <v>0.95650000000000002</v>
      </c>
      <c r="BJ107" s="2629"/>
      <c r="BK107" s="2629"/>
      <c r="BL107" s="2629"/>
      <c r="BM107" s="2629"/>
      <c r="BN107" s="2629"/>
      <c r="BO107" s="2629"/>
      <c r="BP107" s="2629"/>
      <c r="BQ107" s="545" t="s">
        <v>2233</v>
      </c>
      <c r="BR107" s="141">
        <v>6.8305316255404094</v>
      </c>
      <c r="BS107" s="545" t="s">
        <v>2233</v>
      </c>
      <c r="BT107" s="141">
        <v>4.0035424459327498</v>
      </c>
      <c r="BU107" s="545" t="s">
        <v>2233</v>
      </c>
      <c r="BV107" s="141">
        <v>0.63233767176564748</v>
      </c>
      <c r="BW107" s="607" t="s">
        <v>627</v>
      </c>
      <c r="BX107" s="872">
        <v>0.98</v>
      </c>
      <c r="BY107" s="2629"/>
      <c r="BZ107" s="2629"/>
      <c r="CA107" s="2629"/>
      <c r="CB107" s="2629"/>
      <c r="CC107" s="2629"/>
      <c r="CD107" s="2629"/>
    </row>
    <row r="108" spans="1:82" s="98" customFormat="1" ht="15" customHeight="1">
      <c r="A108" s="99"/>
      <c r="B108" s="161"/>
      <c r="C108" s="162" t="s">
        <v>1710</v>
      </c>
      <c r="D108" s="162"/>
      <c r="E108" s="185"/>
      <c r="F108" s="185"/>
      <c r="G108" s="185"/>
      <c r="H108" s="185"/>
      <c r="I108" s="1691"/>
      <c r="J108" s="2503"/>
      <c r="K108" s="2503"/>
      <c r="L108" s="2503"/>
      <c r="M108" s="2503"/>
      <c r="N108" s="2503"/>
      <c r="O108" s="2503"/>
      <c r="P108" s="2503"/>
      <c r="Q108" s="2503"/>
      <c r="R108" s="2503"/>
      <c r="S108" s="2503"/>
      <c r="T108" s="2503"/>
      <c r="U108" s="2503"/>
      <c r="V108" s="2503"/>
      <c r="W108" s="2629"/>
      <c r="X108" s="2503"/>
      <c r="Y108" s="2503"/>
      <c r="Z108" s="2503"/>
      <c r="AA108" s="2503"/>
      <c r="AB108" s="2503"/>
      <c r="AC108" s="2503"/>
      <c r="AD108" s="2503"/>
      <c r="AE108" s="2503"/>
      <c r="AF108" s="2503"/>
      <c r="AG108" s="2503"/>
      <c r="AH108" s="2503"/>
      <c r="AI108" s="2643"/>
      <c r="AJ108" s="2643"/>
      <c r="AK108" s="2644"/>
      <c r="AL108" s="2645"/>
      <c r="AM108" s="607" t="s">
        <v>2233</v>
      </c>
      <c r="AN108" s="641">
        <f>SUM(AN105:AN107)</f>
        <v>-14.876226250788537</v>
      </c>
      <c r="AO108" s="642">
        <f t="shared" ref="AO108:AZ108" si="55">SUM(AO105:AO107)</f>
        <v>-14.500091019576653</v>
      </c>
      <c r="AP108" s="642">
        <f t="shared" si="55"/>
        <v>-9.3550559176418275</v>
      </c>
      <c r="AQ108" s="642">
        <f t="shared" si="55"/>
        <v>-8.2877609461499748</v>
      </c>
      <c r="AR108" s="642">
        <f t="shared" si="55"/>
        <v>-18.907000000000004</v>
      </c>
      <c r="AS108" s="642">
        <f t="shared" si="55"/>
        <v>-20.649000000000001</v>
      </c>
      <c r="AT108" s="642">
        <f t="shared" si="55"/>
        <v>-19.058013904955278</v>
      </c>
      <c r="AU108" s="643">
        <f t="shared" si="55"/>
        <v>-14.54287117797227</v>
      </c>
      <c r="AV108" s="641">
        <f t="shared" si="55"/>
        <v>-15.532700106315932</v>
      </c>
      <c r="AW108" s="642">
        <f t="shared" si="55"/>
        <v>-15.532700106315932</v>
      </c>
      <c r="AX108" s="642">
        <f t="shared" si="55"/>
        <v>-15.532700106315932</v>
      </c>
      <c r="AY108" s="642">
        <f t="shared" si="55"/>
        <v>-15.532700106315932</v>
      </c>
      <c r="AZ108" s="643">
        <f t="shared" si="55"/>
        <v>-15.532700106315932</v>
      </c>
      <c r="BA108" s="2629"/>
      <c r="BB108" s="545" t="s">
        <v>2233</v>
      </c>
      <c r="BC108" s="642">
        <f>SUM(BC105:BC107)</f>
        <v>71.588751413699526</v>
      </c>
      <c r="BD108" s="545" t="s">
        <v>2233</v>
      </c>
      <c r="BE108" s="642">
        <f>SUM(BE105:BE107)</f>
        <v>41.959926495970024</v>
      </c>
      <c r="BF108" s="545" t="s">
        <v>2233</v>
      </c>
      <c r="BG108" s="642">
        <f>SUM(BG105:BG107)</f>
        <v>6.6273413074149969</v>
      </c>
      <c r="BH108" s="607" t="s">
        <v>627</v>
      </c>
      <c r="BI108" s="868">
        <v>0</v>
      </c>
      <c r="BJ108" s="2629"/>
      <c r="BK108" s="2629"/>
      <c r="BL108" s="2629"/>
      <c r="BM108" s="2629"/>
      <c r="BN108" s="2629"/>
      <c r="BO108" s="2629"/>
      <c r="BP108" s="2629"/>
      <c r="BQ108" s="545" t="s">
        <v>2233</v>
      </c>
      <c r="BR108" s="642">
        <f>SUM(BR105:BR107)</f>
        <v>46.264080551959047</v>
      </c>
      <c r="BS108" s="545" t="s">
        <v>2233</v>
      </c>
      <c r="BT108" s="642">
        <f>SUM(BT105:BT107)</f>
        <v>27.116514550529708</v>
      </c>
      <c r="BU108" s="545" t="s">
        <v>2233</v>
      </c>
      <c r="BV108" s="642">
        <f>SUM(BV105:BV107)</f>
        <v>4.2829054290909063</v>
      </c>
      <c r="BW108" s="607" t="s">
        <v>627</v>
      </c>
      <c r="BX108" s="872">
        <v>0</v>
      </c>
      <c r="BY108" s="2629"/>
      <c r="BZ108" s="2629"/>
      <c r="CA108" s="2629"/>
      <c r="CB108" s="2629"/>
      <c r="CC108" s="2629"/>
      <c r="CD108" s="2629"/>
    </row>
    <row r="109" spans="1:82" s="98" customFormat="1" ht="15" customHeight="1">
      <c r="A109" s="99"/>
      <c r="B109" s="123"/>
      <c r="C109" s="127"/>
      <c r="D109" s="127"/>
      <c r="E109" s="185"/>
      <c r="F109" s="185"/>
      <c r="G109" s="185"/>
      <c r="H109" s="185"/>
      <c r="I109" s="1691"/>
      <c r="J109" s="2503"/>
      <c r="K109" s="2503"/>
      <c r="L109" s="2503"/>
      <c r="M109" s="2503"/>
      <c r="N109" s="2503"/>
      <c r="O109" s="2503"/>
      <c r="P109" s="2503"/>
      <c r="Q109" s="2503"/>
      <c r="R109" s="2503"/>
      <c r="S109" s="2503"/>
      <c r="T109" s="2503"/>
      <c r="U109" s="2503"/>
      <c r="V109" s="2503"/>
      <c r="W109" s="2629"/>
      <c r="X109" s="2503"/>
      <c r="Y109" s="2503"/>
      <c r="Z109" s="2503"/>
      <c r="AA109" s="2503"/>
      <c r="AB109" s="2503"/>
      <c r="AC109" s="2503"/>
      <c r="AD109" s="2503"/>
      <c r="AE109" s="2503"/>
      <c r="AF109" s="2503"/>
      <c r="AG109" s="2503"/>
      <c r="AH109" s="2503"/>
      <c r="AI109" s="2646"/>
      <c r="AJ109" s="2646"/>
      <c r="AK109" s="2641"/>
      <c r="AL109" s="94"/>
      <c r="AM109" s="94"/>
      <c r="AN109" s="159"/>
      <c r="AO109" s="94"/>
      <c r="AP109" s="94"/>
      <c r="AQ109" s="94"/>
      <c r="AR109" s="94"/>
      <c r="AS109" s="94"/>
      <c r="AT109" s="94"/>
      <c r="AU109" s="160"/>
      <c r="AV109" s="159"/>
      <c r="AW109" s="94"/>
      <c r="AX109" s="94"/>
      <c r="AY109" s="94"/>
      <c r="AZ109" s="160"/>
      <c r="BA109" s="2629"/>
      <c r="BB109" s="542"/>
      <c r="BC109" s="2647"/>
      <c r="BD109" s="542"/>
      <c r="BE109" s="2647"/>
      <c r="BF109" s="542"/>
      <c r="BG109" s="2647"/>
      <c r="BH109" s="542"/>
      <c r="BI109" s="542"/>
      <c r="BJ109" s="542"/>
      <c r="BK109" s="2629"/>
      <c r="BL109" s="2629"/>
      <c r="BM109" s="2629"/>
      <c r="BN109" s="2629"/>
      <c r="BO109" s="2629"/>
      <c r="BP109" s="2629"/>
      <c r="BQ109" s="542"/>
      <c r="BR109" s="2647"/>
      <c r="BS109" s="542"/>
      <c r="BT109" s="2647"/>
      <c r="BU109" s="542"/>
      <c r="BV109" s="2647"/>
      <c r="BW109" s="542"/>
      <c r="BX109" s="544"/>
      <c r="BY109" s="2629"/>
      <c r="BZ109" s="2629"/>
      <c r="CA109" s="2629"/>
      <c r="CB109" s="2629"/>
      <c r="CC109" s="2629"/>
      <c r="CD109" s="2629"/>
    </row>
    <row r="110" spans="1:82" s="98" customFormat="1" ht="15" customHeight="1">
      <c r="A110" s="99"/>
      <c r="B110" s="161"/>
      <c r="C110" s="116" t="s">
        <v>2720</v>
      </c>
      <c r="D110" s="116"/>
      <c r="E110" s="185"/>
      <c r="F110" s="185"/>
      <c r="G110" s="185"/>
      <c r="H110" s="185"/>
      <c r="I110" s="1691"/>
      <c r="J110" s="2503"/>
      <c r="K110" s="2503"/>
      <c r="L110" s="2503"/>
      <c r="M110" s="2503"/>
      <c r="N110" s="2503"/>
      <c r="O110" s="2503"/>
      <c r="P110" s="2503"/>
      <c r="Q110" s="2503"/>
      <c r="R110" s="2503"/>
      <c r="S110" s="2503"/>
      <c r="T110" s="2503"/>
      <c r="U110" s="2503"/>
      <c r="V110" s="2503"/>
      <c r="W110" s="2629"/>
      <c r="X110" s="2503"/>
      <c r="Y110" s="2503"/>
      <c r="Z110" s="2503"/>
      <c r="AA110" s="2503"/>
      <c r="AB110" s="2503"/>
      <c r="AC110" s="2503"/>
      <c r="AD110" s="2503"/>
      <c r="AE110" s="2503"/>
      <c r="AF110" s="2503"/>
      <c r="AG110" s="2503"/>
      <c r="AH110" s="2503"/>
      <c r="AI110" s="2640"/>
      <c r="AJ110" s="2640"/>
      <c r="AK110" s="2641"/>
      <c r="AL110" s="94"/>
      <c r="AM110" s="94"/>
      <c r="AN110" s="159"/>
      <c r="AO110" s="94"/>
      <c r="AP110" s="94"/>
      <c r="AQ110" s="94"/>
      <c r="AR110" s="94"/>
      <c r="AS110" s="94"/>
      <c r="AT110" s="94"/>
      <c r="AU110" s="160"/>
      <c r="AV110" s="159"/>
      <c r="AW110" s="94"/>
      <c r="AX110" s="94"/>
      <c r="AY110" s="94"/>
      <c r="AZ110" s="160"/>
      <c r="BA110" s="2629"/>
      <c r="BB110" s="542"/>
      <c r="BC110" s="2647"/>
      <c r="BD110" s="542"/>
      <c r="BE110" s="2647"/>
      <c r="BF110" s="542"/>
      <c r="BG110" s="2647"/>
      <c r="BH110" s="542"/>
      <c r="BI110" s="542"/>
      <c r="BJ110" s="542"/>
      <c r="BK110" s="2629"/>
      <c r="BL110" s="2629"/>
      <c r="BM110" s="2629"/>
      <c r="BN110" s="2629"/>
      <c r="BO110" s="2629"/>
      <c r="BP110" s="2629"/>
      <c r="BQ110" s="542"/>
      <c r="BR110" s="2647"/>
      <c r="BS110" s="542"/>
      <c r="BT110" s="2647"/>
      <c r="BU110" s="542"/>
      <c r="BV110" s="2647"/>
      <c r="BW110" s="542"/>
      <c r="BX110" s="544"/>
      <c r="BY110" s="2629"/>
      <c r="BZ110" s="2629"/>
      <c r="CA110" s="2629"/>
      <c r="CB110" s="2629"/>
      <c r="CC110" s="2629"/>
      <c r="CD110" s="2629"/>
    </row>
    <row r="111" spans="1:82" s="98" customFormat="1" ht="15" customHeight="1">
      <c r="A111" s="99"/>
      <c r="B111" s="161"/>
      <c r="C111" s="162"/>
      <c r="D111" s="162" t="s">
        <v>2726</v>
      </c>
      <c r="E111" s="185"/>
      <c r="F111" s="185"/>
      <c r="G111" s="185"/>
      <c r="H111" s="185"/>
      <c r="I111" s="1691"/>
      <c r="J111" s="2503"/>
      <c r="K111" s="2503"/>
      <c r="L111" s="2503"/>
      <c r="M111" s="2503"/>
      <c r="N111" s="2503"/>
      <c r="O111" s="2503"/>
      <c r="P111" s="2503"/>
      <c r="Q111" s="2503"/>
      <c r="R111" s="2503"/>
      <c r="S111" s="2503"/>
      <c r="T111" s="2503"/>
      <c r="U111" s="2503"/>
      <c r="V111" s="2503"/>
      <c r="W111" s="2629"/>
      <c r="X111" s="2503"/>
      <c r="Y111" s="2503"/>
      <c r="Z111" s="2503"/>
      <c r="AA111" s="2503"/>
      <c r="AB111" s="2503"/>
      <c r="AC111" s="2503"/>
      <c r="AD111" s="2503"/>
      <c r="AE111" s="2503"/>
      <c r="AF111" s="2503"/>
      <c r="AG111" s="2503"/>
      <c r="AH111" s="2503"/>
      <c r="AI111" s="2643"/>
      <c r="AJ111" s="2643"/>
      <c r="AK111" s="2644"/>
      <c r="AL111" s="2645"/>
      <c r="AM111" s="607" t="s">
        <v>2233</v>
      </c>
      <c r="AN111" s="143">
        <v>-0.17308248014450336</v>
      </c>
      <c r="AO111" s="141">
        <v>-5.6587520386309667E-2</v>
      </c>
      <c r="AP111" s="141">
        <v>-2.445109366513603E-2</v>
      </c>
      <c r="AQ111" s="141">
        <v>-0.10031655762455964</v>
      </c>
      <c r="AR111" s="141">
        <v>0</v>
      </c>
      <c r="AS111" s="141">
        <v>0</v>
      </c>
      <c r="AT111" s="141">
        <v>-0.22071403781494345</v>
      </c>
      <c r="AU111" s="144">
        <v>-0.17918554705985745</v>
      </c>
      <c r="AV111" s="143">
        <v>-0.16868053782449888</v>
      </c>
      <c r="AW111" s="141">
        <v>-0.16868053782449888</v>
      </c>
      <c r="AX111" s="141">
        <v>-0.16868053782449888</v>
      </c>
      <c r="AY111" s="141">
        <v>-0.16868053782449888</v>
      </c>
      <c r="AZ111" s="144">
        <v>-0.16868053782449888</v>
      </c>
      <c r="BA111" s="2629"/>
      <c r="BB111" s="545" t="s">
        <v>2233</v>
      </c>
      <c r="BC111" s="141">
        <v>0.44935804390665379</v>
      </c>
      <c r="BD111" s="545" t="s">
        <v>2233</v>
      </c>
      <c r="BE111" s="141">
        <v>0.26337979250030447</v>
      </c>
      <c r="BF111" s="545" t="s">
        <v>2233</v>
      </c>
      <c r="BG111" s="141">
        <v>4.1599400288351393E-2</v>
      </c>
      <c r="BH111" s="607" t="s">
        <v>627</v>
      </c>
      <c r="BI111" s="868">
        <v>0.95799999999999996</v>
      </c>
      <c r="BJ111" s="2629"/>
      <c r="BK111" s="2629"/>
      <c r="BL111" s="2629"/>
      <c r="BM111" s="2629"/>
      <c r="BN111" s="2629"/>
      <c r="BO111" s="2629"/>
      <c r="BP111" s="2629"/>
      <c r="BQ111" s="545" t="s">
        <v>2233</v>
      </c>
      <c r="BR111" s="141">
        <v>0.50241425740829027</v>
      </c>
      <c r="BS111" s="545" t="s">
        <v>2233</v>
      </c>
      <c r="BT111" s="141">
        <v>0.29447734308919682</v>
      </c>
      <c r="BU111" s="545" t="s">
        <v>2233</v>
      </c>
      <c r="BV111" s="141">
        <v>4.6511088625007267E-2</v>
      </c>
      <c r="BW111" s="607" t="s">
        <v>627</v>
      </c>
      <c r="BX111" s="872">
        <v>0.98</v>
      </c>
      <c r="BY111" s="2629"/>
      <c r="BZ111" s="2629"/>
      <c r="CA111" s="2629"/>
      <c r="CB111" s="2629"/>
      <c r="CC111" s="2629"/>
      <c r="CD111" s="2629"/>
    </row>
    <row r="112" spans="1:82" s="98" customFormat="1" ht="15" customHeight="1">
      <c r="A112" s="99"/>
      <c r="B112" s="161"/>
      <c r="C112" s="162"/>
      <c r="D112" s="162" t="s">
        <v>2727</v>
      </c>
      <c r="E112" s="185"/>
      <c r="F112" s="185"/>
      <c r="G112" s="185"/>
      <c r="H112" s="185"/>
      <c r="I112" s="1691"/>
      <c r="J112" s="2503"/>
      <c r="K112" s="2503"/>
      <c r="L112" s="2503"/>
      <c r="M112" s="2503"/>
      <c r="N112" s="2503"/>
      <c r="O112" s="2503"/>
      <c r="P112" s="2503"/>
      <c r="Q112" s="2503"/>
      <c r="R112" s="2503"/>
      <c r="S112" s="2503"/>
      <c r="T112" s="2503"/>
      <c r="U112" s="2503"/>
      <c r="V112" s="2503"/>
      <c r="W112" s="2629"/>
      <c r="X112" s="2503"/>
      <c r="Y112" s="2503"/>
      <c r="Z112" s="2503"/>
      <c r="AA112" s="2503"/>
      <c r="AB112" s="2503"/>
      <c r="AC112" s="2503"/>
      <c r="AD112" s="2503"/>
      <c r="AE112" s="2503"/>
      <c r="AF112" s="2503"/>
      <c r="AG112" s="2503"/>
      <c r="AH112" s="2503"/>
      <c r="AI112" s="2643"/>
      <c r="AJ112" s="2643"/>
      <c r="AK112" s="2644"/>
      <c r="AL112" s="2645"/>
      <c r="AM112" s="607" t="s">
        <v>2233</v>
      </c>
      <c r="AN112" s="143">
        <v>-2.6420796943017564</v>
      </c>
      <c r="AO112" s="141">
        <v>-1.1430278356558723</v>
      </c>
      <c r="AP112" s="141">
        <v>-0.46597748481706408</v>
      </c>
      <c r="AQ112" s="141">
        <v>-1.1943512833417211</v>
      </c>
      <c r="AR112" s="141">
        <v>-1.7529999999999999</v>
      </c>
      <c r="AS112" s="141">
        <v>-1.4710000000000001</v>
      </c>
      <c r="AT112" s="141">
        <v>-2.677449387056916</v>
      </c>
      <c r="AU112" s="144">
        <v>-2.0288915975453659</v>
      </c>
      <c r="AV112" s="143">
        <v>-2.3748975897438154</v>
      </c>
      <c r="AW112" s="141">
        <v>-2.3748975897438154</v>
      </c>
      <c r="AX112" s="141">
        <v>-2.3748975897438154</v>
      </c>
      <c r="AY112" s="141">
        <v>-2.3748975897438154</v>
      </c>
      <c r="AZ112" s="144">
        <v>-2.3748975897438154</v>
      </c>
      <c r="BA112" s="2629"/>
      <c r="BB112" s="545" t="s">
        <v>2233</v>
      </c>
      <c r="BC112" s="141">
        <v>7.9679390372204102</v>
      </c>
      <c r="BD112" s="545" t="s">
        <v>2233</v>
      </c>
      <c r="BE112" s="141">
        <v>4.6702048816870256</v>
      </c>
      <c r="BF112" s="545" t="s">
        <v>2233</v>
      </c>
      <c r="BG112" s="141">
        <v>0.73763336381126032</v>
      </c>
      <c r="BH112" s="607" t="s">
        <v>627</v>
      </c>
      <c r="BI112" s="868">
        <v>0.95799999999999996</v>
      </c>
      <c r="BJ112" s="2629"/>
      <c r="BK112" s="2629"/>
      <c r="BL112" s="2629"/>
      <c r="BM112" s="2629"/>
      <c r="BN112" s="2629"/>
      <c r="BO112" s="2629"/>
      <c r="BP112" s="2629"/>
      <c r="BQ112" s="545" t="s">
        <v>2233</v>
      </c>
      <c r="BR112" s="141">
        <v>7.0736222705983192</v>
      </c>
      <c r="BS112" s="545" t="s">
        <v>2233</v>
      </c>
      <c r="BT112" s="141">
        <v>4.1460238469498361</v>
      </c>
      <c r="BU112" s="545" t="s">
        <v>2233</v>
      </c>
      <c r="BV112" s="141">
        <v>0.65484183117092165</v>
      </c>
      <c r="BW112" s="607" t="s">
        <v>627</v>
      </c>
      <c r="BX112" s="872">
        <v>0.98</v>
      </c>
      <c r="BY112" s="2629"/>
      <c r="BZ112" s="2629"/>
      <c r="CA112" s="2629"/>
      <c r="CB112" s="2629"/>
      <c r="CC112" s="2629"/>
      <c r="CD112" s="2629"/>
    </row>
    <row r="113" spans="1:82" s="98" customFormat="1" ht="15" customHeight="1">
      <c r="A113" s="99"/>
      <c r="B113" s="161"/>
      <c r="C113" s="162"/>
      <c r="D113" s="162" t="s">
        <v>2728</v>
      </c>
      <c r="E113" s="185"/>
      <c r="F113" s="185"/>
      <c r="G113" s="185"/>
      <c r="H113" s="185"/>
      <c r="I113" s="1691"/>
      <c r="J113" s="2503"/>
      <c r="K113" s="2503"/>
      <c r="L113" s="2503"/>
      <c r="M113" s="2503"/>
      <c r="N113" s="2503"/>
      <c r="O113" s="2503"/>
      <c r="P113" s="2503"/>
      <c r="Q113" s="2503"/>
      <c r="R113" s="2503"/>
      <c r="S113" s="2503"/>
      <c r="T113" s="2503"/>
      <c r="U113" s="2503"/>
      <c r="V113" s="2503"/>
      <c r="W113" s="2629"/>
      <c r="X113" s="2503"/>
      <c r="Y113" s="2503"/>
      <c r="Z113" s="2503"/>
      <c r="AA113" s="2503"/>
      <c r="AB113" s="2503"/>
      <c r="AC113" s="2503"/>
      <c r="AD113" s="2503"/>
      <c r="AE113" s="2503"/>
      <c r="AF113" s="2503"/>
      <c r="AG113" s="2503"/>
      <c r="AH113" s="2503"/>
      <c r="AI113" s="2643"/>
      <c r="AJ113" s="2643"/>
      <c r="AK113" s="2644"/>
      <c r="AL113" s="2645"/>
      <c r="AM113" s="607" t="s">
        <v>2233</v>
      </c>
      <c r="AN113" s="143">
        <v>-1.1679006559072798</v>
      </c>
      <c r="AO113" s="141">
        <v>-0.24722975443565462</v>
      </c>
      <c r="AP113" s="141">
        <v>-0.10107816126006025</v>
      </c>
      <c r="AQ113" s="141">
        <v>-0.15613085052843478</v>
      </c>
      <c r="AR113" s="141">
        <v>-2.6259999999999999</v>
      </c>
      <c r="AS113" s="141">
        <v>-3.2730000000000001</v>
      </c>
      <c r="AT113" s="141">
        <v>-0.76329270641913893</v>
      </c>
      <c r="AU113" s="144">
        <v>-0.58592254007947919</v>
      </c>
      <c r="AV113" s="143">
        <v>-0.4405890749221526</v>
      </c>
      <c r="AW113" s="141">
        <v>-0.4405890749221526</v>
      </c>
      <c r="AX113" s="141">
        <v>-0.4405890749221526</v>
      </c>
      <c r="AY113" s="141">
        <v>-0.4405890749221526</v>
      </c>
      <c r="AZ113" s="144">
        <v>-0.4405890749221526</v>
      </c>
      <c r="BA113" s="2629"/>
      <c r="BB113" s="545" t="s">
        <v>2233</v>
      </c>
      <c r="BC113" s="141">
        <v>5.3139667531447614</v>
      </c>
      <c r="BD113" s="545" t="s">
        <v>2233</v>
      </c>
      <c r="BE113" s="141">
        <v>3.1146465046646061</v>
      </c>
      <c r="BF113" s="545" t="s">
        <v>2233</v>
      </c>
      <c r="BG113" s="141">
        <v>0.49194141082067905</v>
      </c>
      <c r="BH113" s="607" t="s">
        <v>627</v>
      </c>
      <c r="BI113" s="868">
        <v>0.95799999999999996</v>
      </c>
      <c r="BJ113" s="2629"/>
      <c r="BK113" s="2629"/>
      <c r="BL113" s="2629"/>
      <c r="BM113" s="2629"/>
      <c r="BN113" s="2629"/>
      <c r="BO113" s="2629"/>
      <c r="BP113" s="2629"/>
      <c r="BQ113" s="545" t="s">
        <v>2233</v>
      </c>
      <c r="BR113" s="141">
        <v>1.3122926672757453</v>
      </c>
      <c r="BS113" s="545" t="s">
        <v>2233</v>
      </c>
      <c r="BT113" s="141">
        <v>0.7691669818612521</v>
      </c>
      <c r="BU113" s="545" t="s">
        <v>2233</v>
      </c>
      <c r="BV113" s="141">
        <v>0.12148572547376561</v>
      </c>
      <c r="BW113" s="607" t="s">
        <v>627</v>
      </c>
      <c r="BX113" s="872">
        <v>0.98</v>
      </c>
      <c r="BY113" s="2629"/>
      <c r="BZ113" s="2629"/>
      <c r="CA113" s="2629"/>
      <c r="CB113" s="2629"/>
      <c r="CC113" s="2629"/>
      <c r="CD113" s="2629"/>
    </row>
    <row r="114" spans="1:82" s="98" customFormat="1" ht="15" customHeight="1">
      <c r="A114" s="99"/>
      <c r="B114" s="161"/>
      <c r="C114" s="162" t="s">
        <v>1710</v>
      </c>
      <c r="D114" s="162"/>
      <c r="E114" s="185"/>
      <c r="F114" s="185"/>
      <c r="G114" s="185"/>
      <c r="H114" s="185"/>
      <c r="I114" s="1691"/>
      <c r="J114" s="2503"/>
      <c r="K114" s="2503"/>
      <c r="L114" s="2503"/>
      <c r="M114" s="2503"/>
      <c r="N114" s="2503"/>
      <c r="O114" s="2503"/>
      <c r="P114" s="2503"/>
      <c r="Q114" s="2503"/>
      <c r="R114" s="2503"/>
      <c r="S114" s="2503"/>
      <c r="T114" s="2503"/>
      <c r="U114" s="2503"/>
      <c r="V114" s="2503"/>
      <c r="W114" s="2629"/>
      <c r="X114" s="2503"/>
      <c r="Y114" s="2503"/>
      <c r="Z114" s="2503"/>
      <c r="AA114" s="2503"/>
      <c r="AB114" s="2503"/>
      <c r="AC114" s="2503"/>
      <c r="AD114" s="2503"/>
      <c r="AE114" s="2503"/>
      <c r="AF114" s="2503"/>
      <c r="AG114" s="2503"/>
      <c r="AH114" s="2503"/>
      <c r="AI114" s="2643"/>
      <c r="AJ114" s="2643"/>
      <c r="AK114" s="2644"/>
      <c r="AL114" s="2645"/>
      <c r="AM114" s="607" t="s">
        <v>2233</v>
      </c>
      <c r="AN114" s="641">
        <f>SUM(AN111:AN113)</f>
        <v>-3.9830628303535391</v>
      </c>
      <c r="AO114" s="642">
        <f t="shared" ref="AO114:AZ114" si="56">SUM(AO111:AO113)</f>
        <v>-1.4468451104778366</v>
      </c>
      <c r="AP114" s="642">
        <f t="shared" si="56"/>
        <v>-0.59150673974226042</v>
      </c>
      <c r="AQ114" s="642">
        <f t="shared" si="56"/>
        <v>-1.4507986914947155</v>
      </c>
      <c r="AR114" s="642">
        <f t="shared" si="56"/>
        <v>-4.3789999999999996</v>
      </c>
      <c r="AS114" s="642">
        <f t="shared" si="56"/>
        <v>-4.7439999999999998</v>
      </c>
      <c r="AT114" s="642">
        <f t="shared" si="56"/>
        <v>-3.6614561312909983</v>
      </c>
      <c r="AU114" s="643">
        <f t="shared" si="56"/>
        <v>-2.7939996846847022</v>
      </c>
      <c r="AV114" s="641">
        <f t="shared" si="56"/>
        <v>-2.9841672024904669</v>
      </c>
      <c r="AW114" s="642">
        <f t="shared" si="56"/>
        <v>-2.9841672024904669</v>
      </c>
      <c r="AX114" s="642">
        <f t="shared" si="56"/>
        <v>-2.9841672024904669</v>
      </c>
      <c r="AY114" s="642">
        <f t="shared" si="56"/>
        <v>-2.9841672024904669</v>
      </c>
      <c r="AZ114" s="643">
        <f t="shared" si="56"/>
        <v>-2.9841672024904669</v>
      </c>
      <c r="BA114" s="2629"/>
      <c r="BB114" s="545" t="s">
        <v>2233</v>
      </c>
      <c r="BC114" s="642">
        <f>SUM(BC111:BC113)</f>
        <v>13.731263834271825</v>
      </c>
      <c r="BD114" s="545" t="s">
        <v>2233</v>
      </c>
      <c r="BE114" s="642">
        <f>SUM(BE111:BE113)</f>
        <v>8.0482311788519354</v>
      </c>
      <c r="BF114" s="545" t="s">
        <v>2233</v>
      </c>
      <c r="BG114" s="642">
        <f>SUM(BG111:BG113)</f>
        <v>1.2711741749202907</v>
      </c>
      <c r="BH114" s="607" t="s">
        <v>627</v>
      </c>
      <c r="BI114" s="868">
        <v>0</v>
      </c>
      <c r="BJ114" s="2629"/>
      <c r="BK114" s="2629"/>
      <c r="BL114" s="2629"/>
      <c r="BM114" s="2629"/>
      <c r="BN114" s="2629"/>
      <c r="BO114" s="2629"/>
      <c r="BP114" s="2629"/>
      <c r="BQ114" s="545" t="s">
        <v>2233</v>
      </c>
      <c r="BR114" s="642">
        <f>SUM(BR111:BR113)</f>
        <v>8.8883291952823544</v>
      </c>
      <c r="BS114" s="545" t="s">
        <v>2233</v>
      </c>
      <c r="BT114" s="642">
        <f>SUM(BT111:BT113)</f>
        <v>5.2096681719002849</v>
      </c>
      <c r="BU114" s="545" t="s">
        <v>2233</v>
      </c>
      <c r="BV114" s="642">
        <f>SUM(BV111:BV113)</f>
        <v>0.82283864526969452</v>
      </c>
      <c r="BW114" s="607" t="s">
        <v>627</v>
      </c>
      <c r="BX114" s="872">
        <v>0</v>
      </c>
      <c r="BY114" s="2629"/>
      <c r="BZ114" s="2629"/>
      <c r="CA114" s="2629"/>
      <c r="CB114" s="2629"/>
      <c r="CC114" s="2629"/>
      <c r="CD114" s="2629"/>
    </row>
    <row r="115" spans="1:82" s="98" customFormat="1" ht="15" customHeight="1">
      <c r="A115" s="99"/>
      <c r="B115" s="123"/>
      <c r="C115" s="127"/>
      <c r="D115" s="127"/>
      <c r="E115" s="185"/>
      <c r="F115" s="185"/>
      <c r="G115" s="185"/>
      <c r="H115" s="185"/>
      <c r="I115" s="1691"/>
      <c r="J115" s="2503"/>
      <c r="K115" s="2503"/>
      <c r="L115" s="2503"/>
      <c r="M115" s="2503"/>
      <c r="N115" s="2503"/>
      <c r="O115" s="2503"/>
      <c r="P115" s="2503"/>
      <c r="Q115" s="2503"/>
      <c r="R115" s="2503"/>
      <c r="S115" s="2503"/>
      <c r="T115" s="2503"/>
      <c r="U115" s="2503"/>
      <c r="V115" s="2503"/>
      <c r="W115" s="2629"/>
      <c r="X115" s="2503"/>
      <c r="Y115" s="2503"/>
      <c r="Z115" s="2503"/>
      <c r="AA115" s="2503"/>
      <c r="AB115" s="2503"/>
      <c r="AC115" s="2503"/>
      <c r="AD115" s="2503"/>
      <c r="AE115" s="2503"/>
      <c r="AF115" s="2503"/>
      <c r="AG115" s="2503"/>
      <c r="AH115" s="2503"/>
      <c r="AI115" s="2646"/>
      <c r="AJ115" s="2646"/>
      <c r="AK115" s="2641"/>
      <c r="AL115" s="94"/>
      <c r="AM115" s="94"/>
      <c r="AN115" s="159"/>
      <c r="AO115" s="94"/>
      <c r="AP115" s="94"/>
      <c r="AQ115" s="94"/>
      <c r="AR115" s="94"/>
      <c r="AS115" s="94"/>
      <c r="AT115" s="94"/>
      <c r="AU115" s="160"/>
      <c r="AV115" s="159"/>
      <c r="AW115" s="94"/>
      <c r="AX115" s="94"/>
      <c r="AY115" s="94"/>
      <c r="AZ115" s="160"/>
      <c r="BA115" s="2629"/>
      <c r="BB115" s="542"/>
      <c r="BC115" s="2647"/>
      <c r="BD115" s="542"/>
      <c r="BE115" s="2647"/>
      <c r="BF115" s="542"/>
      <c r="BG115" s="2647"/>
      <c r="BH115" s="542"/>
      <c r="BI115" s="542"/>
      <c r="BJ115" s="542"/>
      <c r="BK115" s="2629"/>
      <c r="BL115" s="2629"/>
      <c r="BM115" s="2629"/>
      <c r="BN115" s="2629"/>
      <c r="BO115" s="2629"/>
      <c r="BP115" s="2629"/>
      <c r="BQ115" s="542"/>
      <c r="BR115" s="2647"/>
      <c r="BS115" s="542"/>
      <c r="BT115" s="2647"/>
      <c r="BU115" s="542"/>
      <c r="BV115" s="2647"/>
      <c r="BW115" s="542"/>
      <c r="BX115" s="544"/>
      <c r="BY115" s="2629"/>
      <c r="BZ115" s="2629"/>
      <c r="CA115" s="2629"/>
      <c r="CB115" s="2629"/>
      <c r="CC115" s="2629"/>
      <c r="CD115" s="2629"/>
    </row>
    <row r="116" spans="1:82" s="98" customFormat="1" ht="15" customHeight="1">
      <c r="A116" s="99"/>
      <c r="B116" s="161"/>
      <c r="C116" s="116" t="s">
        <v>2721</v>
      </c>
      <c r="D116" s="116"/>
      <c r="E116" s="185"/>
      <c r="F116" s="185"/>
      <c r="G116" s="185"/>
      <c r="H116" s="185"/>
      <c r="I116" s="1691"/>
      <c r="J116" s="2503"/>
      <c r="K116" s="2503"/>
      <c r="L116" s="2503"/>
      <c r="M116" s="2503"/>
      <c r="N116" s="2503"/>
      <c r="O116" s="2503"/>
      <c r="P116" s="2503"/>
      <c r="Q116" s="2503"/>
      <c r="R116" s="2503"/>
      <c r="S116" s="2503"/>
      <c r="T116" s="2503"/>
      <c r="U116" s="2503"/>
      <c r="V116" s="2503"/>
      <c r="W116" s="2629"/>
      <c r="X116" s="2503"/>
      <c r="Y116" s="2503"/>
      <c r="Z116" s="2503"/>
      <c r="AA116" s="2503"/>
      <c r="AB116" s="2503"/>
      <c r="AC116" s="2503"/>
      <c r="AD116" s="2503"/>
      <c r="AE116" s="2503"/>
      <c r="AF116" s="2503"/>
      <c r="AG116" s="2503"/>
      <c r="AH116" s="2503"/>
      <c r="AI116" s="2640"/>
      <c r="AJ116" s="2640"/>
      <c r="AK116" s="2641"/>
      <c r="AL116" s="94"/>
      <c r="AM116" s="94"/>
      <c r="AN116" s="159"/>
      <c r="AO116" s="94"/>
      <c r="AP116" s="94"/>
      <c r="AQ116" s="94"/>
      <c r="AR116" s="94"/>
      <c r="AS116" s="94"/>
      <c r="AT116" s="94"/>
      <c r="AU116" s="160"/>
      <c r="AV116" s="159"/>
      <c r="AW116" s="94"/>
      <c r="AX116" s="94"/>
      <c r="AY116" s="94"/>
      <c r="AZ116" s="160"/>
      <c r="BA116" s="2629"/>
      <c r="BB116" s="542"/>
      <c r="BC116" s="2647"/>
      <c r="BD116" s="542"/>
      <c r="BE116" s="2647"/>
      <c r="BF116" s="542"/>
      <c r="BG116" s="2647"/>
      <c r="BH116" s="542"/>
      <c r="BI116" s="542"/>
      <c r="BJ116" s="542"/>
      <c r="BK116" s="2629"/>
      <c r="BL116" s="2629"/>
      <c r="BM116" s="2629"/>
      <c r="BN116" s="2629"/>
      <c r="BO116" s="2629"/>
      <c r="BP116" s="2629"/>
      <c r="BQ116" s="542"/>
      <c r="BR116" s="2647"/>
      <c r="BS116" s="542"/>
      <c r="BT116" s="2647"/>
      <c r="BU116" s="542"/>
      <c r="BV116" s="2647"/>
      <c r="BW116" s="542"/>
      <c r="BX116" s="544"/>
      <c r="BY116" s="2629"/>
      <c r="BZ116" s="2629"/>
      <c r="CA116" s="2629"/>
      <c r="CB116" s="2629"/>
      <c r="CC116" s="2629"/>
      <c r="CD116" s="2629"/>
    </row>
    <row r="117" spans="1:82" s="98" customFormat="1" ht="15" customHeight="1">
      <c r="A117" s="99"/>
      <c r="B117" s="161"/>
      <c r="C117" s="162"/>
      <c r="D117" s="162" t="s">
        <v>2726</v>
      </c>
      <c r="E117" s="185"/>
      <c r="F117" s="185"/>
      <c r="G117" s="185"/>
      <c r="H117" s="185"/>
      <c r="I117" s="1691"/>
      <c r="J117" s="2503"/>
      <c r="K117" s="2503"/>
      <c r="L117" s="2503"/>
      <c r="M117" s="2503"/>
      <c r="N117" s="2503"/>
      <c r="O117" s="2503"/>
      <c r="P117" s="2503"/>
      <c r="Q117" s="2503"/>
      <c r="R117" s="2503"/>
      <c r="S117" s="2503"/>
      <c r="T117" s="2503"/>
      <c r="U117" s="2503"/>
      <c r="V117" s="2503"/>
      <c r="W117" s="2629"/>
      <c r="X117" s="2503"/>
      <c r="Y117" s="2503"/>
      <c r="Z117" s="2503"/>
      <c r="AA117" s="2503"/>
      <c r="AB117" s="2503"/>
      <c r="AC117" s="2503"/>
      <c r="AD117" s="2503"/>
      <c r="AE117" s="2503"/>
      <c r="AF117" s="2503"/>
      <c r="AG117" s="2503"/>
      <c r="AH117" s="2503"/>
      <c r="AI117" s="2643"/>
      <c r="AJ117" s="2643"/>
      <c r="AK117" s="2644"/>
      <c r="AL117" s="2645"/>
      <c r="AM117" s="607" t="s">
        <v>2233</v>
      </c>
      <c r="AN117" s="143">
        <v>-0.1394767670118604</v>
      </c>
      <c r="AO117" s="141">
        <v>-8.2299807889864601E-2</v>
      </c>
      <c r="AP117" s="141">
        <v>-6.6839283069174929E-2</v>
      </c>
      <c r="AQ117" s="141">
        <v>-0.1336200301962758</v>
      </c>
      <c r="AR117" s="141">
        <v>0</v>
      </c>
      <c r="AS117" s="141">
        <v>0</v>
      </c>
      <c r="AT117" s="141">
        <v>-0.13927966893671029</v>
      </c>
      <c r="AU117" s="144">
        <v>-0.11307347697415268</v>
      </c>
      <c r="AV117" s="143">
        <v>-0.10644438249986016</v>
      </c>
      <c r="AW117" s="141">
        <v>-0.10644438249986016</v>
      </c>
      <c r="AX117" s="141">
        <v>-0.10644438249986016</v>
      </c>
      <c r="AY117" s="141">
        <v>-0.10644438249986016</v>
      </c>
      <c r="AZ117" s="144">
        <v>-0.10644438249986016</v>
      </c>
      <c r="BA117" s="2629"/>
      <c r="BB117" s="545" t="s">
        <v>2233</v>
      </c>
      <c r="BC117" s="141">
        <v>0.40185210811305466</v>
      </c>
      <c r="BD117" s="545" t="s">
        <v>2233</v>
      </c>
      <c r="BE117" s="141">
        <v>0.23553539607407717</v>
      </c>
      <c r="BF117" s="545" t="s">
        <v>2233</v>
      </c>
      <c r="BG117" s="141">
        <v>3.7201529890906866E-2</v>
      </c>
      <c r="BH117" s="607" t="s">
        <v>627</v>
      </c>
      <c r="BI117" s="868">
        <v>0.9476</v>
      </c>
      <c r="BJ117" s="2629"/>
      <c r="BK117" s="2629"/>
      <c r="BL117" s="2629"/>
      <c r="BM117" s="2629"/>
      <c r="BN117" s="2629"/>
      <c r="BO117" s="2629"/>
      <c r="BP117" s="2629"/>
      <c r="BQ117" s="545" t="s">
        <v>2233</v>
      </c>
      <c r="BR117" s="141">
        <v>0.31704413608517695</v>
      </c>
      <c r="BS117" s="545" t="s">
        <v>2233</v>
      </c>
      <c r="BT117" s="141">
        <v>0.18582735951400589</v>
      </c>
      <c r="BU117" s="545" t="s">
        <v>2233</v>
      </c>
      <c r="BV117" s="141">
        <v>2.9350416900118022E-2</v>
      </c>
      <c r="BW117" s="607" t="s">
        <v>627</v>
      </c>
      <c r="BX117" s="872">
        <v>0.98</v>
      </c>
      <c r="BY117" s="2629"/>
      <c r="BZ117" s="2629"/>
      <c r="CA117" s="2629"/>
      <c r="CB117" s="2629"/>
      <c r="CC117" s="2629"/>
      <c r="CD117" s="2629"/>
    </row>
    <row r="118" spans="1:82" s="98" customFormat="1" ht="15" customHeight="1">
      <c r="A118" s="99"/>
      <c r="B118" s="161"/>
      <c r="C118" s="162"/>
      <c r="D118" s="162" t="s">
        <v>2727</v>
      </c>
      <c r="E118" s="185"/>
      <c r="F118" s="185"/>
      <c r="G118" s="185"/>
      <c r="H118" s="185"/>
      <c r="I118" s="1691"/>
      <c r="J118" s="2503"/>
      <c r="K118" s="2503"/>
      <c r="L118" s="2503"/>
      <c r="M118" s="2503"/>
      <c r="N118" s="2503"/>
      <c r="O118" s="2503"/>
      <c r="P118" s="2503"/>
      <c r="Q118" s="2503"/>
      <c r="R118" s="2503"/>
      <c r="S118" s="2503"/>
      <c r="T118" s="2503"/>
      <c r="U118" s="2503"/>
      <c r="V118" s="2503"/>
      <c r="W118" s="2629"/>
      <c r="X118" s="2503"/>
      <c r="Y118" s="2503"/>
      <c r="Z118" s="2503"/>
      <c r="AA118" s="2503"/>
      <c r="AB118" s="2503"/>
      <c r="AC118" s="2503"/>
      <c r="AD118" s="2503"/>
      <c r="AE118" s="2503"/>
      <c r="AF118" s="2503"/>
      <c r="AG118" s="2503"/>
      <c r="AH118" s="2503"/>
      <c r="AI118" s="2643"/>
      <c r="AJ118" s="2643"/>
      <c r="AK118" s="2644"/>
      <c r="AL118" s="2645"/>
      <c r="AM118" s="607" t="s">
        <v>2233</v>
      </c>
      <c r="AN118" s="143">
        <v>-2.1290932140632162</v>
      </c>
      <c r="AO118" s="141">
        <v>-1.662397833392339</v>
      </c>
      <c r="AP118" s="141">
        <v>-1.2737917345578431</v>
      </c>
      <c r="AQ118" s="141">
        <v>-1.5908565676899848</v>
      </c>
      <c r="AR118" s="141">
        <v>-1.4339999999999999</v>
      </c>
      <c r="AS118" s="141">
        <v>-0.308</v>
      </c>
      <c r="AT118" s="141">
        <v>-1.6895810883436111</v>
      </c>
      <c r="AU118" s="144">
        <v>-1.2803143506962726</v>
      </c>
      <c r="AV118" s="143">
        <v>-1.4986584149008517</v>
      </c>
      <c r="AW118" s="141">
        <v>-1.4986584149008517</v>
      </c>
      <c r="AX118" s="141">
        <v>-1.4986584149008517</v>
      </c>
      <c r="AY118" s="141">
        <v>-1.4986584149008517</v>
      </c>
      <c r="AZ118" s="144">
        <v>-1.4986584149008517</v>
      </c>
      <c r="BA118" s="2629"/>
      <c r="BB118" s="545" t="s">
        <v>2233</v>
      </c>
      <c r="BC118" s="141">
        <v>6.7719285582554445</v>
      </c>
      <c r="BD118" s="545" t="s">
        <v>2233</v>
      </c>
      <c r="BE118" s="141">
        <v>3.9691937480276067</v>
      </c>
      <c r="BF118" s="545" t="s">
        <v>2233</v>
      </c>
      <c r="BG118" s="141">
        <v>0.62691248246021491</v>
      </c>
      <c r="BH118" s="607" t="s">
        <v>627</v>
      </c>
      <c r="BI118" s="868">
        <v>0.9476</v>
      </c>
      <c r="BJ118" s="2629"/>
      <c r="BK118" s="2629"/>
      <c r="BL118" s="2629"/>
      <c r="BM118" s="2629"/>
      <c r="BN118" s="2629"/>
      <c r="BO118" s="2629"/>
      <c r="BP118" s="2629"/>
      <c r="BQ118" s="545" t="s">
        <v>2233</v>
      </c>
      <c r="BR118" s="141">
        <v>4.4637476518748693</v>
      </c>
      <c r="BS118" s="545" t="s">
        <v>2233</v>
      </c>
      <c r="BT118" s="141">
        <v>2.6163121952897477</v>
      </c>
      <c r="BU118" s="545" t="s">
        <v>2233</v>
      </c>
      <c r="BV118" s="141">
        <v>0.41323222733964221</v>
      </c>
      <c r="BW118" s="607" t="s">
        <v>627</v>
      </c>
      <c r="BX118" s="872">
        <v>0.98</v>
      </c>
      <c r="BY118" s="2629"/>
      <c r="BZ118" s="2629"/>
      <c r="CA118" s="2629"/>
      <c r="CB118" s="2629"/>
      <c r="CC118" s="2629"/>
      <c r="CD118" s="2629"/>
    </row>
    <row r="119" spans="1:82" s="98" customFormat="1" ht="15" customHeight="1">
      <c r="A119" s="99"/>
      <c r="B119" s="161"/>
      <c r="C119" s="162"/>
      <c r="D119" s="162" t="s">
        <v>2728</v>
      </c>
      <c r="E119" s="185"/>
      <c r="F119" s="185"/>
      <c r="G119" s="185"/>
      <c r="H119" s="185"/>
      <c r="I119" s="1691"/>
      <c r="J119" s="2503"/>
      <c r="K119" s="2503"/>
      <c r="L119" s="2503"/>
      <c r="M119" s="2503"/>
      <c r="N119" s="2503"/>
      <c r="O119" s="2503"/>
      <c r="P119" s="2503"/>
      <c r="Q119" s="2503"/>
      <c r="R119" s="2503"/>
      <c r="S119" s="2503"/>
      <c r="T119" s="2503"/>
      <c r="U119" s="2503"/>
      <c r="V119" s="2503"/>
      <c r="W119" s="2629"/>
      <c r="X119" s="2503"/>
      <c r="Y119" s="2503"/>
      <c r="Z119" s="2503"/>
      <c r="AA119" s="2503"/>
      <c r="AB119" s="2503"/>
      <c r="AC119" s="2503"/>
      <c r="AD119" s="2503"/>
      <c r="AE119" s="2503"/>
      <c r="AF119" s="2503"/>
      <c r="AG119" s="2503"/>
      <c r="AH119" s="2503"/>
      <c r="AI119" s="2643"/>
      <c r="AJ119" s="2643"/>
      <c r="AK119" s="2644"/>
      <c r="AL119" s="2645"/>
      <c r="AM119" s="607" t="s">
        <v>2233</v>
      </c>
      <c r="AN119" s="143">
        <v>-0.94114093778284535</v>
      </c>
      <c r="AO119" s="141">
        <v>-0.35956622866329652</v>
      </c>
      <c r="AP119" s="141">
        <v>-0.27630632498889057</v>
      </c>
      <c r="AQ119" s="141">
        <v>-0.20796376446904877</v>
      </c>
      <c r="AR119" s="141">
        <v>-8.0000000000000002E-3</v>
      </c>
      <c r="AS119" s="141">
        <v>-0.02</v>
      </c>
      <c r="AT119" s="141">
        <v>-0.4816692064733975</v>
      </c>
      <c r="AU119" s="144">
        <v>-0.36974130967260588</v>
      </c>
      <c r="AV119" s="143">
        <v>-0.278029893792891</v>
      </c>
      <c r="AW119" s="141">
        <v>-0.278029893792891</v>
      </c>
      <c r="AX119" s="141">
        <v>-0.278029893792891</v>
      </c>
      <c r="AY119" s="141">
        <v>-0.278029893792891</v>
      </c>
      <c r="AZ119" s="144">
        <v>-0.278029893792891</v>
      </c>
      <c r="BA119" s="2629"/>
      <c r="BB119" s="545" t="s">
        <v>2233</v>
      </c>
      <c r="BC119" s="141">
        <v>1.5871735070408965</v>
      </c>
      <c r="BD119" s="545" t="s">
        <v>2233</v>
      </c>
      <c r="BE119" s="141">
        <v>0.9302813972397701</v>
      </c>
      <c r="BF119" s="545" t="s">
        <v>2233</v>
      </c>
      <c r="BG119" s="141">
        <v>0.14693286776941816</v>
      </c>
      <c r="BH119" s="607" t="s">
        <v>627</v>
      </c>
      <c r="BI119" s="868">
        <v>0.9476</v>
      </c>
      <c r="BJ119" s="2629"/>
      <c r="BK119" s="2629"/>
      <c r="BL119" s="2629"/>
      <c r="BM119" s="2629"/>
      <c r="BN119" s="2629"/>
      <c r="BO119" s="2629"/>
      <c r="BP119" s="2629"/>
      <c r="BQ119" s="545" t="s">
        <v>2233</v>
      </c>
      <c r="BR119" s="141">
        <v>0.8281108444923001</v>
      </c>
      <c r="BS119" s="545" t="s">
        <v>2233</v>
      </c>
      <c r="BT119" s="141">
        <v>0.48537611676746112</v>
      </c>
      <c r="BU119" s="545" t="s">
        <v>2233</v>
      </c>
      <c r="BV119" s="141">
        <v>7.6662507704693628E-2</v>
      </c>
      <c r="BW119" s="607" t="s">
        <v>627</v>
      </c>
      <c r="BX119" s="872">
        <v>0.98</v>
      </c>
      <c r="BY119" s="2629"/>
      <c r="BZ119" s="2629"/>
      <c r="CA119" s="2629"/>
      <c r="CB119" s="2629"/>
      <c r="CC119" s="2629"/>
      <c r="CD119" s="2629"/>
    </row>
    <row r="120" spans="1:82" s="98" customFormat="1" ht="15" customHeight="1">
      <c r="A120" s="99"/>
      <c r="B120" s="161"/>
      <c r="C120" s="162" t="s">
        <v>1710</v>
      </c>
      <c r="D120" s="162"/>
      <c r="E120" s="185"/>
      <c r="F120" s="185"/>
      <c r="G120" s="185"/>
      <c r="H120" s="185"/>
      <c r="I120" s="1691"/>
      <c r="J120" s="2503"/>
      <c r="K120" s="2503"/>
      <c r="L120" s="2503"/>
      <c r="M120" s="2503"/>
      <c r="N120" s="2503"/>
      <c r="O120" s="2503"/>
      <c r="P120" s="2503"/>
      <c r="Q120" s="2503"/>
      <c r="R120" s="2503"/>
      <c r="S120" s="2503"/>
      <c r="T120" s="2503"/>
      <c r="U120" s="2503"/>
      <c r="V120" s="2503"/>
      <c r="W120" s="2629"/>
      <c r="X120" s="2503"/>
      <c r="Y120" s="2503"/>
      <c r="Z120" s="2503"/>
      <c r="AA120" s="2503"/>
      <c r="AB120" s="2503"/>
      <c r="AC120" s="2503"/>
      <c r="AD120" s="2503"/>
      <c r="AE120" s="2503"/>
      <c r="AF120" s="2503"/>
      <c r="AG120" s="2503"/>
      <c r="AH120" s="2503"/>
      <c r="AI120" s="2643"/>
      <c r="AJ120" s="2643"/>
      <c r="AK120" s="2644"/>
      <c r="AL120" s="2645"/>
      <c r="AM120" s="607" t="s">
        <v>2233</v>
      </c>
      <c r="AN120" s="641">
        <f>SUM(AN117:AN119)</f>
        <v>-3.209710918857922</v>
      </c>
      <c r="AO120" s="642">
        <f t="shared" ref="AO120:AZ120" si="57">SUM(AO117:AO119)</f>
        <v>-2.1042638699455001</v>
      </c>
      <c r="AP120" s="642">
        <f t="shared" si="57"/>
        <v>-1.6169373426159086</v>
      </c>
      <c r="AQ120" s="642">
        <f t="shared" si="57"/>
        <v>-1.9324403623553095</v>
      </c>
      <c r="AR120" s="642">
        <f t="shared" si="57"/>
        <v>-1.4419999999999999</v>
      </c>
      <c r="AS120" s="642">
        <f t="shared" si="57"/>
        <v>-0.32800000000000001</v>
      </c>
      <c r="AT120" s="642">
        <f t="shared" si="57"/>
        <v>-2.3105299637537189</v>
      </c>
      <c r="AU120" s="643">
        <f t="shared" si="57"/>
        <v>-1.7631291373430311</v>
      </c>
      <c r="AV120" s="641">
        <f t="shared" si="57"/>
        <v>-1.883132691193603</v>
      </c>
      <c r="AW120" s="642">
        <f t="shared" si="57"/>
        <v>-1.883132691193603</v>
      </c>
      <c r="AX120" s="642">
        <f t="shared" si="57"/>
        <v>-1.883132691193603</v>
      </c>
      <c r="AY120" s="642">
        <f t="shared" si="57"/>
        <v>-1.883132691193603</v>
      </c>
      <c r="AZ120" s="643">
        <f t="shared" si="57"/>
        <v>-1.883132691193603</v>
      </c>
      <c r="BA120" s="2629"/>
      <c r="BB120" s="545" t="s">
        <v>2233</v>
      </c>
      <c r="BC120" s="642">
        <f>SUM(BC117:BC119)</f>
        <v>8.7609541734093952</v>
      </c>
      <c r="BD120" s="545" t="s">
        <v>2233</v>
      </c>
      <c r="BE120" s="642">
        <f>SUM(BE117:BE119)</f>
        <v>5.1350105413414537</v>
      </c>
      <c r="BF120" s="545" t="s">
        <v>2233</v>
      </c>
      <c r="BG120" s="642">
        <f>SUM(BG117:BG119)</f>
        <v>0.81104688012053994</v>
      </c>
      <c r="BH120" s="607" t="s">
        <v>627</v>
      </c>
      <c r="BI120" s="868">
        <v>0</v>
      </c>
      <c r="BJ120" s="2629"/>
      <c r="BK120" s="2629"/>
      <c r="BL120" s="2629"/>
      <c r="BM120" s="2629"/>
      <c r="BN120" s="2629"/>
      <c r="BO120" s="2629"/>
      <c r="BP120" s="2629"/>
      <c r="BQ120" s="545" t="s">
        <v>2233</v>
      </c>
      <c r="BR120" s="642">
        <f>SUM(BR117:BR119)</f>
        <v>5.6089026324523461</v>
      </c>
      <c r="BS120" s="545" t="s">
        <v>2233</v>
      </c>
      <c r="BT120" s="642">
        <f>SUM(BT117:BT119)</f>
        <v>3.2875156715712146</v>
      </c>
      <c r="BU120" s="545" t="s">
        <v>2233</v>
      </c>
      <c r="BV120" s="642">
        <f>SUM(BV117:BV119)</f>
        <v>0.51924515194445386</v>
      </c>
      <c r="BW120" s="607" t="s">
        <v>627</v>
      </c>
      <c r="BX120" s="872">
        <v>0</v>
      </c>
      <c r="BY120" s="2629"/>
      <c r="BZ120" s="2629"/>
      <c r="CA120" s="2629"/>
      <c r="CB120" s="2629"/>
      <c r="CC120" s="2629"/>
      <c r="CD120" s="2629"/>
    </row>
    <row r="121" spans="1:82" s="98" customFormat="1" ht="15" customHeight="1">
      <c r="A121" s="99"/>
      <c r="B121" s="123"/>
      <c r="C121" s="127"/>
      <c r="D121" s="127"/>
      <c r="E121" s="185"/>
      <c r="F121" s="185"/>
      <c r="G121" s="185"/>
      <c r="H121" s="185"/>
      <c r="I121" s="1691"/>
      <c r="J121" s="2503"/>
      <c r="K121" s="2503"/>
      <c r="L121" s="2503"/>
      <c r="M121" s="2503"/>
      <c r="N121" s="2503"/>
      <c r="O121" s="2503"/>
      <c r="P121" s="2503"/>
      <c r="Q121" s="2503"/>
      <c r="R121" s="2503"/>
      <c r="S121" s="2503"/>
      <c r="T121" s="2503"/>
      <c r="U121" s="2503"/>
      <c r="V121" s="2503"/>
      <c r="W121" s="2629"/>
      <c r="X121" s="2503"/>
      <c r="Y121" s="2503"/>
      <c r="Z121" s="2503"/>
      <c r="AA121" s="2503"/>
      <c r="AB121" s="2503"/>
      <c r="AC121" s="2503"/>
      <c r="AD121" s="2503"/>
      <c r="AE121" s="2503"/>
      <c r="AF121" s="2503"/>
      <c r="AG121" s="2503"/>
      <c r="AH121" s="2503"/>
      <c r="AI121" s="2646"/>
      <c r="AJ121" s="2646"/>
      <c r="AK121" s="2641"/>
      <c r="AL121" s="94"/>
      <c r="AM121" s="94"/>
      <c r="AN121" s="159"/>
      <c r="AO121" s="94"/>
      <c r="AP121" s="94"/>
      <c r="AQ121" s="94"/>
      <c r="AR121" s="94"/>
      <c r="AS121" s="94"/>
      <c r="AT121" s="94"/>
      <c r="AU121" s="160"/>
      <c r="AV121" s="159"/>
      <c r="AW121" s="94"/>
      <c r="AX121" s="94"/>
      <c r="AY121" s="94"/>
      <c r="AZ121" s="160"/>
      <c r="BA121" s="2629"/>
      <c r="BB121" s="542"/>
      <c r="BC121" s="2647"/>
      <c r="BD121" s="542"/>
      <c r="BE121" s="2647"/>
      <c r="BF121" s="542"/>
      <c r="BG121" s="2647"/>
      <c r="BH121" s="542"/>
      <c r="BI121" s="542"/>
      <c r="BJ121" s="542"/>
      <c r="BK121" s="2629"/>
      <c r="BL121" s="2629"/>
      <c r="BM121" s="2629"/>
      <c r="BN121" s="2629"/>
      <c r="BO121" s="2629"/>
      <c r="BP121" s="2629"/>
      <c r="BQ121" s="542"/>
      <c r="BR121" s="2647"/>
      <c r="BS121" s="542"/>
      <c r="BT121" s="2647"/>
      <c r="BU121" s="542"/>
      <c r="BV121" s="2647"/>
      <c r="BW121" s="542"/>
      <c r="BX121" s="544"/>
      <c r="BY121" s="2629"/>
      <c r="BZ121" s="2629"/>
      <c r="CA121" s="2629"/>
      <c r="CB121" s="2629"/>
      <c r="CC121" s="2629"/>
      <c r="CD121" s="2629"/>
    </row>
    <row r="122" spans="1:82" s="98" customFormat="1" ht="15" customHeight="1" thickBot="1">
      <c r="A122" s="99"/>
      <c r="B122" s="191" t="s">
        <v>1701</v>
      </c>
      <c r="C122" s="193"/>
      <c r="D122" s="193"/>
      <c r="E122" s="192"/>
      <c r="F122" s="192"/>
      <c r="G122" s="192"/>
      <c r="H122" s="192"/>
      <c r="I122" s="1692"/>
      <c r="J122" s="1692"/>
      <c r="K122" s="1692"/>
      <c r="L122" s="1692"/>
      <c r="M122" s="1692"/>
      <c r="N122" s="1692"/>
      <c r="O122" s="1692"/>
      <c r="P122" s="1692"/>
      <c r="Q122" s="1692"/>
      <c r="R122" s="1692"/>
      <c r="S122" s="1692"/>
      <c r="T122" s="1692"/>
      <c r="U122" s="1692"/>
      <c r="V122" s="1692"/>
      <c r="W122" s="2630"/>
      <c r="X122" s="1692"/>
      <c r="Y122" s="1692"/>
      <c r="Z122" s="1692"/>
      <c r="AA122" s="1692"/>
      <c r="AB122" s="1692"/>
      <c r="AC122" s="1692"/>
      <c r="AD122" s="1692"/>
      <c r="AE122" s="1692"/>
      <c r="AF122" s="1692"/>
      <c r="AG122" s="1692"/>
      <c r="AH122" s="1692"/>
      <c r="AI122" s="2505"/>
      <c r="AJ122" s="2505"/>
      <c r="AK122" s="2454"/>
      <c r="AL122" s="194"/>
      <c r="AM122" s="1083" t="s">
        <v>2233</v>
      </c>
      <c r="AN122" s="701">
        <f>SUM(AN108,AN114,AN120)</f>
        <v>-22.068999999999999</v>
      </c>
      <c r="AO122" s="702">
        <f t="shared" ref="AO122:AZ122" si="58">SUM(AO108,AO114,AO120)</f>
        <v>-18.051199999999987</v>
      </c>
      <c r="AP122" s="702">
        <f t="shared" si="58"/>
        <v>-11.563499999999998</v>
      </c>
      <c r="AQ122" s="702">
        <f t="shared" si="58"/>
        <v>-11.671000000000001</v>
      </c>
      <c r="AR122" s="702">
        <f t="shared" si="58"/>
        <v>-24.728000000000002</v>
      </c>
      <c r="AS122" s="702">
        <f t="shared" si="58"/>
        <v>-25.721</v>
      </c>
      <c r="AT122" s="702">
        <f t="shared" si="58"/>
        <v>-25.029999999999994</v>
      </c>
      <c r="AU122" s="703">
        <f t="shared" si="58"/>
        <v>-19.100000000000005</v>
      </c>
      <c r="AV122" s="701">
        <f t="shared" si="58"/>
        <v>-20.400000000000002</v>
      </c>
      <c r="AW122" s="702">
        <f t="shared" si="58"/>
        <v>-20.400000000000002</v>
      </c>
      <c r="AX122" s="702">
        <f t="shared" si="58"/>
        <v>-20.400000000000002</v>
      </c>
      <c r="AY122" s="702">
        <f t="shared" si="58"/>
        <v>-20.400000000000002</v>
      </c>
      <c r="AZ122" s="703">
        <f t="shared" si="58"/>
        <v>-20.400000000000002</v>
      </c>
      <c r="BA122" s="2630"/>
      <c r="BB122" s="1081" t="s">
        <v>2233</v>
      </c>
      <c r="BC122" s="702">
        <f>SUM(BC108,BC114,BC120)</f>
        <v>94.080969421380757</v>
      </c>
      <c r="BD122" s="1081" t="s">
        <v>2233</v>
      </c>
      <c r="BE122" s="702">
        <f>SUM(BE108,BE114,BE120)</f>
        <v>55.14316821616341</v>
      </c>
      <c r="BF122" s="1081" t="s">
        <v>2233</v>
      </c>
      <c r="BG122" s="702">
        <f>SUM(BG108,BG114,BG120)</f>
        <v>8.7095623624558272</v>
      </c>
      <c r="BH122" s="1083" t="s">
        <v>627</v>
      </c>
      <c r="BI122" s="1535">
        <v>0.95589999999999997</v>
      </c>
      <c r="BJ122" s="2630"/>
      <c r="BK122" s="2630"/>
      <c r="BL122" s="2630"/>
      <c r="BM122" s="2630"/>
      <c r="BN122" s="2630"/>
      <c r="BO122" s="2630"/>
      <c r="BP122" s="2630"/>
      <c r="BQ122" s="1081" t="s">
        <v>2233</v>
      </c>
      <c r="BR122" s="702">
        <f>SUM(BR108,BR114,BR120)</f>
        <v>60.761312379693749</v>
      </c>
      <c r="BS122" s="1081" t="s">
        <v>2233</v>
      </c>
      <c r="BT122" s="702">
        <f>SUM(BT108,BT114,BT120)</f>
        <v>35.613698394001204</v>
      </c>
      <c r="BU122" s="1081" t="s">
        <v>2233</v>
      </c>
      <c r="BV122" s="702">
        <f>SUM(BV108,BV114,BV120)</f>
        <v>5.6249892263050549</v>
      </c>
      <c r="BW122" s="1083" t="s">
        <v>627</v>
      </c>
      <c r="BX122" s="1536">
        <v>0.98</v>
      </c>
      <c r="BY122" s="2629"/>
      <c r="BZ122" s="2629"/>
      <c r="CA122" s="2629"/>
      <c r="CB122" s="2629"/>
      <c r="CC122" s="2629"/>
      <c r="CD122" s="2629"/>
    </row>
    <row r="123" spans="1:82" s="99" customFormat="1" ht="15" customHeight="1" thickBot="1">
      <c r="B123" s="150"/>
      <c r="C123" s="150"/>
      <c r="D123" s="150"/>
      <c r="J123" s="2631"/>
      <c r="K123" s="2631"/>
      <c r="L123" s="2631"/>
      <c r="M123" s="2631"/>
      <c r="N123" s="2631"/>
      <c r="O123" s="2631"/>
      <c r="P123" s="2631"/>
      <c r="Q123" s="2631"/>
      <c r="R123" s="2631"/>
      <c r="S123" s="2631"/>
      <c r="T123" s="2631"/>
      <c r="U123" s="2631"/>
      <c r="V123" s="2631"/>
      <c r="W123" s="2631"/>
      <c r="X123" s="2631"/>
      <c r="Y123" s="2631"/>
      <c r="Z123" s="2631"/>
      <c r="AA123" s="2631"/>
      <c r="AB123" s="2631"/>
      <c r="AC123" s="2631"/>
      <c r="AD123" s="2631"/>
      <c r="AE123" s="2631"/>
      <c r="AF123" s="2631"/>
      <c r="AG123" s="2631"/>
      <c r="AH123" s="2631"/>
      <c r="AI123" s="2648"/>
      <c r="AJ123" s="2648"/>
      <c r="AK123" s="542"/>
      <c r="AL123" s="542"/>
      <c r="AM123" s="2629"/>
      <c r="AN123" s="2629"/>
      <c r="AO123" s="2629"/>
      <c r="AP123" s="2629"/>
      <c r="AQ123" s="2629"/>
      <c r="AR123" s="2629"/>
      <c r="AS123" s="2629"/>
      <c r="AT123" s="2629"/>
      <c r="AU123" s="2629"/>
      <c r="AV123" s="2629"/>
      <c r="AW123" s="2629"/>
      <c r="AX123" s="2629"/>
      <c r="AY123" s="2629"/>
      <c r="AZ123" s="2629"/>
      <c r="BA123" s="2631"/>
      <c r="BB123" s="359"/>
      <c r="BC123" s="542"/>
      <c r="BD123" s="100"/>
      <c r="BE123" s="100"/>
      <c r="BF123" s="100"/>
      <c r="BG123" s="100"/>
      <c r="BH123" s="100"/>
      <c r="BI123" s="100"/>
      <c r="BJ123" s="100"/>
      <c r="BK123" s="2631"/>
      <c r="BL123" s="2631"/>
      <c r="BM123" s="2631"/>
      <c r="BN123" s="2631"/>
      <c r="BO123" s="2631"/>
      <c r="BP123" s="2631"/>
      <c r="BQ123" s="100"/>
      <c r="BR123" s="100"/>
      <c r="BS123" s="100"/>
      <c r="BT123" s="100"/>
      <c r="BU123" s="100"/>
      <c r="BV123" s="100"/>
      <c r="BW123" s="100"/>
      <c r="BX123" s="100"/>
      <c r="BY123" s="2631"/>
      <c r="BZ123" s="2631"/>
      <c r="CA123" s="2631"/>
      <c r="CB123" s="2631"/>
      <c r="CC123" s="2631"/>
      <c r="CD123" s="2631"/>
    </row>
    <row r="124" spans="1:82" s="100" customFormat="1" ht="30" customHeight="1" thickBot="1">
      <c r="A124" s="89"/>
      <c r="B124" s="621" t="s">
        <v>2735</v>
      </c>
      <c r="C124" s="101"/>
      <c r="D124" s="102"/>
      <c r="E124" s="103"/>
      <c r="F124" s="103"/>
      <c r="G124" s="103"/>
      <c r="H124" s="103"/>
      <c r="I124" s="1689"/>
      <c r="J124" s="1689"/>
      <c r="K124" s="1689"/>
      <c r="L124" s="1689"/>
      <c r="M124" s="1689"/>
      <c r="N124" s="1689"/>
      <c r="O124" s="1689"/>
      <c r="P124" s="1689"/>
      <c r="Q124" s="1689"/>
      <c r="R124" s="1689"/>
      <c r="S124" s="1689"/>
      <c r="T124" s="1689"/>
      <c r="U124" s="1689"/>
      <c r="V124" s="1689"/>
      <c r="W124" s="103"/>
      <c r="X124" s="1689"/>
      <c r="Y124" s="1689"/>
      <c r="Z124" s="1689"/>
      <c r="AA124" s="1689"/>
      <c r="AB124" s="1689"/>
      <c r="AC124" s="1689"/>
      <c r="AD124" s="1689"/>
      <c r="AE124" s="1689"/>
      <c r="AF124" s="1689"/>
      <c r="AG124" s="1689"/>
      <c r="AH124" s="1689"/>
      <c r="AI124" s="2504"/>
      <c r="AJ124" s="2504"/>
      <c r="AK124" s="1689"/>
      <c r="AL124" s="103"/>
      <c r="AM124" s="105" t="s">
        <v>2231</v>
      </c>
      <c r="AN124" s="106"/>
      <c r="AO124" s="106"/>
      <c r="AP124" s="106"/>
      <c r="AQ124" s="106"/>
      <c r="AR124" s="106"/>
      <c r="AS124" s="106"/>
      <c r="AT124" s="106"/>
      <c r="AU124" s="106"/>
      <c r="AV124" s="105"/>
      <c r="AW124" s="105"/>
      <c r="AX124" s="105"/>
      <c r="AY124" s="105"/>
      <c r="AZ124" s="105"/>
      <c r="BA124" s="103"/>
      <c r="BB124" s="105" t="s">
        <v>2690</v>
      </c>
      <c r="BC124" s="105"/>
      <c r="BD124" s="105"/>
      <c r="BE124" s="105"/>
      <c r="BF124" s="105"/>
      <c r="BG124" s="105"/>
      <c r="BH124" s="603"/>
      <c r="BI124" s="105"/>
      <c r="BJ124" s="103"/>
      <c r="BK124" s="103"/>
      <c r="BL124" s="103"/>
      <c r="BM124" s="103"/>
      <c r="BN124" s="103"/>
      <c r="BO124" s="103"/>
      <c r="BP124" s="103"/>
      <c r="BQ124" s="105" t="s">
        <v>2691</v>
      </c>
      <c r="BR124" s="105"/>
      <c r="BS124" s="105"/>
      <c r="BT124" s="105"/>
      <c r="BU124" s="105"/>
      <c r="BV124" s="105"/>
      <c r="BW124" s="105"/>
      <c r="BX124" s="187"/>
    </row>
    <row r="125" spans="1:82" s="157" customFormat="1" ht="30" customHeight="1">
      <c r="A125" s="99"/>
      <c r="B125" s="109"/>
      <c r="C125" s="110"/>
      <c r="D125" s="110"/>
      <c r="I125" s="2502"/>
      <c r="J125" s="2502"/>
      <c r="K125" s="2502"/>
      <c r="L125" s="2502"/>
      <c r="M125" s="2502"/>
      <c r="N125" s="2502"/>
      <c r="O125" s="2502"/>
      <c r="P125" s="2502"/>
      <c r="Q125" s="2502"/>
      <c r="R125" s="2502"/>
      <c r="S125" s="2502"/>
      <c r="T125" s="2502"/>
      <c r="U125" s="2502"/>
      <c r="V125" s="2502"/>
      <c r="W125" s="2632"/>
      <c r="X125" s="2502"/>
      <c r="Y125" s="2502"/>
      <c r="Z125" s="2502"/>
      <c r="AA125" s="2502"/>
      <c r="AB125" s="2502"/>
      <c r="AC125" s="2502"/>
      <c r="AD125" s="2502"/>
      <c r="AE125" s="2502"/>
      <c r="AF125" s="2502"/>
      <c r="AG125" s="2502"/>
      <c r="AH125" s="2502"/>
      <c r="AI125" s="2637"/>
      <c r="AJ125" s="2637"/>
      <c r="AK125" s="2638"/>
      <c r="AL125" s="113"/>
      <c r="AM125" s="94"/>
      <c r="AN125" s="695" t="s">
        <v>1666</v>
      </c>
      <c r="AO125" s="152"/>
      <c r="AP125" s="152"/>
      <c r="AQ125" s="152"/>
      <c r="AR125" s="152"/>
      <c r="AS125" s="152"/>
      <c r="AT125" s="152"/>
      <c r="AU125" s="153"/>
      <c r="AV125" s="696" t="s">
        <v>2</v>
      </c>
      <c r="AW125" s="155"/>
      <c r="AX125" s="155"/>
      <c r="AY125" s="155"/>
      <c r="AZ125" s="156"/>
      <c r="BA125" s="2632"/>
      <c r="BB125" s="2633" t="s">
        <v>2711</v>
      </c>
      <c r="BC125" s="2633"/>
      <c r="BD125" s="2633" t="s">
        <v>2712</v>
      </c>
      <c r="BE125" s="2633"/>
      <c r="BF125" s="2633" t="s">
        <v>2713</v>
      </c>
      <c r="BG125" s="2633"/>
      <c r="BH125" s="2633" t="s">
        <v>2714</v>
      </c>
      <c r="BI125" s="2639"/>
      <c r="BJ125" s="2632"/>
      <c r="BK125" s="2632"/>
      <c r="BL125" s="2632"/>
      <c r="BM125" s="2632"/>
      <c r="BN125" s="2632"/>
      <c r="BO125" s="2632"/>
      <c r="BP125" s="2632"/>
      <c r="BQ125" s="2633" t="s">
        <v>2711</v>
      </c>
      <c r="BR125" s="2633"/>
      <c r="BS125" s="2633" t="s">
        <v>2712</v>
      </c>
      <c r="BT125" s="2633"/>
      <c r="BU125" s="2633" t="s">
        <v>2713</v>
      </c>
      <c r="BV125" s="2633"/>
      <c r="BW125" s="2633" t="s">
        <v>2714</v>
      </c>
      <c r="BX125" s="2634"/>
      <c r="BY125" s="2632"/>
      <c r="BZ125" s="2632"/>
      <c r="CA125" s="2632"/>
      <c r="CB125" s="2632"/>
      <c r="CC125" s="2632"/>
      <c r="CD125" s="2632"/>
    </row>
    <row r="126" spans="1:82" s="98" customFormat="1" ht="15" customHeight="1">
      <c r="A126" s="99"/>
      <c r="B126" s="115"/>
      <c r="C126" s="116"/>
      <c r="D126" s="116"/>
      <c r="I126" s="2503"/>
      <c r="J126" s="2503"/>
      <c r="K126" s="2503"/>
      <c r="L126" s="2503"/>
      <c r="M126" s="2503"/>
      <c r="N126" s="2503"/>
      <c r="O126" s="2503"/>
      <c r="P126" s="2503"/>
      <c r="Q126" s="2503"/>
      <c r="R126" s="2503"/>
      <c r="S126" s="2503"/>
      <c r="T126" s="2503"/>
      <c r="U126" s="2503"/>
      <c r="V126" s="2503"/>
      <c r="W126" s="2629"/>
      <c r="X126" s="2503"/>
      <c r="Y126" s="2503"/>
      <c r="Z126" s="2503"/>
      <c r="AA126" s="2503"/>
      <c r="AB126" s="2503"/>
      <c r="AC126" s="2503"/>
      <c r="AD126" s="2503"/>
      <c r="AE126" s="2503"/>
      <c r="AF126" s="2503"/>
      <c r="AG126" s="2503"/>
      <c r="AH126" s="2503"/>
      <c r="AI126" s="2640"/>
      <c r="AJ126" s="2640"/>
      <c r="AK126" s="2641"/>
      <c r="AL126" s="94"/>
      <c r="AM126" s="119" t="s">
        <v>1667</v>
      </c>
      <c r="AN126" s="158" t="s">
        <v>453</v>
      </c>
      <c r="AO126" s="137" t="s">
        <v>455</v>
      </c>
      <c r="AP126" s="137" t="s">
        <v>457</v>
      </c>
      <c r="AQ126" s="137" t="s">
        <v>459</v>
      </c>
      <c r="AR126" s="137" t="s">
        <v>461</v>
      </c>
      <c r="AS126" s="137" t="s">
        <v>463</v>
      </c>
      <c r="AT126" s="137" t="s">
        <v>465</v>
      </c>
      <c r="AU126" s="138" t="s">
        <v>467</v>
      </c>
      <c r="AV126" s="120" t="s">
        <v>469</v>
      </c>
      <c r="AW126" s="121" t="s">
        <v>471</v>
      </c>
      <c r="AX126" s="121" t="s">
        <v>473</v>
      </c>
      <c r="AY126" s="121" t="s">
        <v>475</v>
      </c>
      <c r="AZ126" s="122" t="s">
        <v>477</v>
      </c>
      <c r="BA126" s="2629"/>
      <c r="BB126" s="2635" t="s">
        <v>1667</v>
      </c>
      <c r="BC126" s="2635" t="s">
        <v>2142</v>
      </c>
      <c r="BD126" s="2635" t="s">
        <v>1667</v>
      </c>
      <c r="BE126" s="2635" t="s">
        <v>2142</v>
      </c>
      <c r="BF126" s="2635" t="s">
        <v>1667</v>
      </c>
      <c r="BG126" s="2635" t="s">
        <v>2142</v>
      </c>
      <c r="BH126" s="2642" t="s">
        <v>1667</v>
      </c>
      <c r="BI126" s="2635" t="s">
        <v>2142</v>
      </c>
      <c r="BJ126" s="2629"/>
      <c r="BK126" s="2629"/>
      <c r="BL126" s="2629"/>
      <c r="BM126" s="2629"/>
      <c r="BN126" s="2629"/>
      <c r="BO126" s="2629"/>
      <c r="BP126" s="2629"/>
      <c r="BQ126" s="2635" t="s">
        <v>1667</v>
      </c>
      <c r="BR126" s="2635" t="s">
        <v>2142</v>
      </c>
      <c r="BS126" s="2635" t="s">
        <v>1667</v>
      </c>
      <c r="BT126" s="2635" t="s">
        <v>2142</v>
      </c>
      <c r="BU126" s="2635" t="s">
        <v>1667</v>
      </c>
      <c r="BV126" s="2635" t="s">
        <v>2142</v>
      </c>
      <c r="BW126" s="2635" t="s">
        <v>1667</v>
      </c>
      <c r="BX126" s="2636" t="s">
        <v>2142</v>
      </c>
      <c r="BY126" s="2629"/>
      <c r="BZ126" s="2629"/>
      <c r="CA126" s="2629"/>
      <c r="CB126" s="2629"/>
      <c r="CC126" s="2629"/>
      <c r="CD126" s="2629"/>
    </row>
    <row r="127" spans="1:82" s="98" customFormat="1" ht="15" customHeight="1">
      <c r="A127" s="99"/>
      <c r="B127" s="161"/>
      <c r="C127" s="116" t="s">
        <v>2715</v>
      </c>
      <c r="D127" s="116"/>
      <c r="I127" s="2503"/>
      <c r="J127" s="2503"/>
      <c r="K127" s="2503"/>
      <c r="L127" s="2503"/>
      <c r="M127" s="2503"/>
      <c r="N127" s="2503"/>
      <c r="O127" s="2503"/>
      <c r="P127" s="2503"/>
      <c r="Q127" s="2503"/>
      <c r="R127" s="2503"/>
      <c r="S127" s="2503"/>
      <c r="T127" s="2503"/>
      <c r="U127" s="2503"/>
      <c r="V127" s="2503"/>
      <c r="W127" s="2629"/>
      <c r="X127" s="2503"/>
      <c r="Y127" s="2503"/>
      <c r="Z127" s="2503"/>
      <c r="AA127" s="2503"/>
      <c r="AB127" s="2503"/>
      <c r="AC127" s="2503"/>
      <c r="AD127" s="2503"/>
      <c r="AE127" s="2503"/>
      <c r="AF127" s="2503"/>
      <c r="AG127" s="2503"/>
      <c r="AH127" s="2503"/>
      <c r="AI127" s="2640"/>
      <c r="AJ127" s="2640"/>
      <c r="AK127" s="2641"/>
      <c r="AL127" s="94"/>
      <c r="AM127" s="94"/>
      <c r="AN127" s="159"/>
      <c r="AO127" s="94"/>
      <c r="AP127" s="94"/>
      <c r="AQ127" s="94"/>
      <c r="AR127" s="94"/>
      <c r="AS127" s="94"/>
      <c r="AT127" s="94"/>
      <c r="AU127" s="160"/>
      <c r="AV127" s="159"/>
      <c r="AW127" s="94"/>
      <c r="AX127" s="94"/>
      <c r="AY127" s="94"/>
      <c r="AZ127" s="160"/>
      <c r="BA127" s="2629"/>
      <c r="BB127" s="542"/>
      <c r="BC127" s="542"/>
      <c r="BD127" s="542"/>
      <c r="BE127" s="542"/>
      <c r="BF127" s="542"/>
      <c r="BG127" s="542"/>
      <c r="BH127" s="542"/>
      <c r="BI127" s="542"/>
      <c r="BJ127" s="2629"/>
      <c r="BK127" s="2629"/>
      <c r="BL127" s="2629"/>
      <c r="BM127" s="2629"/>
      <c r="BN127" s="2629"/>
      <c r="BO127" s="2629"/>
      <c r="BP127" s="2629"/>
      <c r="BQ127" s="542"/>
      <c r="BR127" s="542"/>
      <c r="BS127" s="542"/>
      <c r="BT127" s="542"/>
      <c r="BU127" s="542"/>
      <c r="BV127" s="542"/>
      <c r="BW127" s="542"/>
      <c r="BX127" s="544"/>
      <c r="BY127" s="2629"/>
      <c r="BZ127" s="2629"/>
      <c r="CA127" s="2629"/>
      <c r="CB127" s="2629"/>
      <c r="CC127" s="2629"/>
      <c r="CD127" s="2629"/>
    </row>
    <row r="128" spans="1:82" s="98" customFormat="1" ht="15" customHeight="1">
      <c r="A128" s="99"/>
      <c r="B128" s="161"/>
      <c r="C128" s="162"/>
      <c r="D128" s="162" t="s">
        <v>2736</v>
      </c>
      <c r="I128" s="2503"/>
      <c r="J128" s="2503"/>
      <c r="K128" s="2503"/>
      <c r="L128" s="2503"/>
      <c r="M128" s="2503"/>
      <c r="N128" s="2503"/>
      <c r="O128" s="2503"/>
      <c r="P128" s="2503"/>
      <c r="Q128" s="2503"/>
      <c r="R128" s="2503"/>
      <c r="S128" s="2503"/>
      <c r="T128" s="2503"/>
      <c r="U128" s="2503"/>
      <c r="V128" s="2503"/>
      <c r="W128" s="2629"/>
      <c r="X128" s="2503"/>
      <c r="Y128" s="2503"/>
      <c r="Z128" s="2503"/>
      <c r="AA128" s="2503"/>
      <c r="AB128" s="2503"/>
      <c r="AC128" s="2503"/>
      <c r="AD128" s="2503"/>
      <c r="AE128" s="2503"/>
      <c r="AF128" s="2503"/>
      <c r="AG128" s="2503"/>
      <c r="AH128" s="2503"/>
      <c r="AI128" s="2643"/>
      <c r="AJ128" s="2643"/>
      <c r="AK128" s="2644"/>
      <c r="AL128" s="2645"/>
      <c r="AM128" s="607" t="s">
        <v>2233</v>
      </c>
      <c r="AN128" s="143">
        <v>-4.7945515733032309</v>
      </c>
      <c r="AO128" s="141">
        <v>-4.5273415622349935</v>
      </c>
      <c r="AP128" s="141">
        <v>-1.5613272162619987</v>
      </c>
      <c r="AQ128" s="141">
        <v>-3.0303253012048157</v>
      </c>
      <c r="AR128" s="141">
        <v>-2.0960000000000001</v>
      </c>
      <c r="AS128" s="141">
        <v>-2.5259999999999998</v>
      </c>
      <c r="AT128" s="141">
        <v>-4.3617238141368446</v>
      </c>
      <c r="AU128" s="144">
        <v>-3.1679188856400327</v>
      </c>
      <c r="AV128" s="143">
        <v>-6.6867045098196778</v>
      </c>
      <c r="AW128" s="141">
        <v>-6.6867045098196778</v>
      </c>
      <c r="AX128" s="141">
        <v>-6.6867045098196778</v>
      </c>
      <c r="AY128" s="141">
        <v>-6.6867045098196778</v>
      </c>
      <c r="AZ128" s="144">
        <v>-6.6867045098196778</v>
      </c>
      <c r="BA128" s="2629"/>
      <c r="BB128" s="545" t="s">
        <v>2233</v>
      </c>
      <c r="BC128" s="141">
        <v>16.764428708867307</v>
      </c>
      <c r="BD128" s="545" t="s">
        <v>2233</v>
      </c>
      <c r="BE128" s="141">
        <v>7.5008017468678858</v>
      </c>
      <c r="BF128" s="545" t="s">
        <v>2233</v>
      </c>
      <c r="BG128" s="141">
        <v>1.7999578970467232</v>
      </c>
      <c r="BH128" s="607" t="s">
        <v>627</v>
      </c>
      <c r="BI128" s="868">
        <v>0.95040000000000002</v>
      </c>
      <c r="BJ128" s="2629"/>
      <c r="BK128" s="2629"/>
      <c r="BL128" s="2629"/>
      <c r="BM128" s="2629"/>
      <c r="BN128" s="2629"/>
      <c r="BO128" s="2629"/>
      <c r="BP128" s="2629"/>
      <c r="BQ128" s="545" t="s">
        <v>2233</v>
      </c>
      <c r="BR128" s="141">
        <v>21.503543257566619</v>
      </c>
      <c r="BS128" s="545" t="s">
        <v>2233</v>
      </c>
      <c r="BT128" s="141">
        <v>9.6211936375076572</v>
      </c>
      <c r="BU128" s="545" t="s">
        <v>2233</v>
      </c>
      <c r="BV128" s="141">
        <v>2.3087856540241152</v>
      </c>
      <c r="BW128" s="607" t="s">
        <v>627</v>
      </c>
      <c r="BX128" s="872">
        <v>0.98</v>
      </c>
      <c r="BY128" s="2629"/>
      <c r="BZ128" s="2629"/>
      <c r="CA128" s="2629"/>
      <c r="CB128" s="2629"/>
      <c r="CC128" s="2629"/>
      <c r="CD128" s="2629"/>
    </row>
    <row r="129" spans="1:82" s="98" customFormat="1" ht="15" customHeight="1">
      <c r="A129" s="99"/>
      <c r="B129" s="161"/>
      <c r="C129" s="162"/>
      <c r="D129" s="162" t="s">
        <v>2737</v>
      </c>
      <c r="I129" s="2503"/>
      <c r="J129" s="2503"/>
      <c r="K129" s="2503"/>
      <c r="L129" s="2503"/>
      <c r="M129" s="2503"/>
      <c r="N129" s="2503"/>
      <c r="O129" s="2503"/>
      <c r="P129" s="2503"/>
      <c r="Q129" s="2503"/>
      <c r="R129" s="2503"/>
      <c r="S129" s="2503"/>
      <c r="T129" s="2503"/>
      <c r="U129" s="2503"/>
      <c r="V129" s="2503"/>
      <c r="W129" s="2629"/>
      <c r="X129" s="2503"/>
      <c r="Y129" s="2503"/>
      <c r="Z129" s="2503"/>
      <c r="AA129" s="2503"/>
      <c r="AB129" s="2503"/>
      <c r="AC129" s="2503"/>
      <c r="AD129" s="2503"/>
      <c r="AE129" s="2503"/>
      <c r="AF129" s="2503"/>
      <c r="AG129" s="2503"/>
      <c r="AH129" s="2503"/>
      <c r="AI129" s="2643"/>
      <c r="AJ129" s="2643"/>
      <c r="AK129" s="2644"/>
      <c r="AL129" s="2645"/>
      <c r="AM129" s="607" t="s">
        <v>2233</v>
      </c>
      <c r="AN129" s="143">
        <v>-0.29618851418089459</v>
      </c>
      <c r="AO129" s="141">
        <v>-0.20540403278997454</v>
      </c>
      <c r="AP129" s="141">
        <v>0</v>
      </c>
      <c r="AQ129" s="141">
        <v>-5.6867469879518066E-3</v>
      </c>
      <c r="AR129" s="141">
        <v>0</v>
      </c>
      <c r="AS129" s="141">
        <v>-0.45800000000000002</v>
      </c>
      <c r="AT129" s="141">
        <v>-0.15460279344376937</v>
      </c>
      <c r="AU129" s="144">
        <v>-0.11668228350950458</v>
      </c>
      <c r="AV129" s="143">
        <v>-0.29307297462308884</v>
      </c>
      <c r="AW129" s="141">
        <v>-0.29307297462308884</v>
      </c>
      <c r="AX129" s="141">
        <v>-0.29307297462308884</v>
      </c>
      <c r="AY129" s="141">
        <v>-0.29307297462308884</v>
      </c>
      <c r="AZ129" s="144">
        <v>-0.29307297462308884</v>
      </c>
      <c r="BA129" s="2629"/>
      <c r="BB129" s="545" t="s">
        <v>2233</v>
      </c>
      <c r="BC129" s="141">
        <v>0.79532497365854005</v>
      </c>
      <c r="BD129" s="545" t="s">
        <v>2233</v>
      </c>
      <c r="BE129" s="141">
        <v>0.35584719618809468</v>
      </c>
      <c r="BF129" s="545" t="s">
        <v>2233</v>
      </c>
      <c r="BG129" s="141">
        <v>8.5392201065459944E-2</v>
      </c>
      <c r="BH129" s="607" t="s">
        <v>627</v>
      </c>
      <c r="BI129" s="868">
        <v>0.95040000000000002</v>
      </c>
      <c r="BJ129" s="2629"/>
      <c r="BK129" s="2629"/>
      <c r="BL129" s="2629"/>
      <c r="BM129" s="2629"/>
      <c r="BN129" s="2629"/>
      <c r="BO129" s="2629"/>
      <c r="BP129" s="2629"/>
      <c r="BQ129" s="545" t="s">
        <v>2233</v>
      </c>
      <c r="BR129" s="141">
        <v>0.94248330820906367</v>
      </c>
      <c r="BS129" s="545" t="s">
        <v>2233</v>
      </c>
      <c r="BT129" s="141">
        <v>0.42168931416488531</v>
      </c>
      <c r="BU129" s="545" t="s">
        <v>2233</v>
      </c>
      <c r="BV129" s="141">
        <v>0.1011922507414954</v>
      </c>
      <c r="BW129" s="607" t="s">
        <v>627</v>
      </c>
      <c r="BX129" s="872">
        <v>0.98</v>
      </c>
      <c r="BY129" s="2629"/>
      <c r="BZ129" s="2629"/>
      <c r="CA129" s="2629"/>
      <c r="CB129" s="2629"/>
      <c r="CC129" s="2629"/>
      <c r="CD129" s="2629"/>
    </row>
    <row r="130" spans="1:82" s="98" customFormat="1" ht="15" customHeight="1">
      <c r="A130" s="99"/>
      <c r="B130" s="161"/>
      <c r="C130" s="162" t="s">
        <v>1710</v>
      </c>
      <c r="D130" s="162"/>
      <c r="I130" s="2503"/>
      <c r="J130" s="2503"/>
      <c r="K130" s="2503"/>
      <c r="L130" s="2503"/>
      <c r="M130" s="2503"/>
      <c r="N130" s="2503"/>
      <c r="O130" s="2503"/>
      <c r="P130" s="2503"/>
      <c r="Q130" s="2503"/>
      <c r="R130" s="2503"/>
      <c r="S130" s="2503"/>
      <c r="T130" s="2503"/>
      <c r="U130" s="2503"/>
      <c r="V130" s="2503"/>
      <c r="W130" s="2629"/>
      <c r="X130" s="2503"/>
      <c r="Y130" s="2503"/>
      <c r="Z130" s="2503"/>
      <c r="AA130" s="2503"/>
      <c r="AB130" s="2503"/>
      <c r="AC130" s="2503"/>
      <c r="AD130" s="2503"/>
      <c r="AE130" s="2503"/>
      <c r="AF130" s="2503"/>
      <c r="AG130" s="2503"/>
      <c r="AH130" s="2503"/>
      <c r="AI130" s="2643"/>
      <c r="AJ130" s="2643"/>
      <c r="AK130" s="2644"/>
      <c r="AL130" s="2645"/>
      <c r="AM130" s="607" t="s">
        <v>2233</v>
      </c>
      <c r="AN130" s="641">
        <f t="shared" ref="AN130:AZ130" si="59">SUM(AN128:AN129)</f>
        <v>-5.0907400874841251</v>
      </c>
      <c r="AO130" s="642">
        <f t="shared" si="59"/>
        <v>-4.7327455950249684</v>
      </c>
      <c r="AP130" s="642">
        <f t="shared" si="59"/>
        <v>-1.5613272162619987</v>
      </c>
      <c r="AQ130" s="642">
        <f t="shared" si="59"/>
        <v>-3.0360120481927675</v>
      </c>
      <c r="AR130" s="642">
        <f t="shared" si="59"/>
        <v>-2.0960000000000001</v>
      </c>
      <c r="AS130" s="642">
        <f t="shared" si="59"/>
        <v>-2.984</v>
      </c>
      <c r="AT130" s="642">
        <f t="shared" si="59"/>
        <v>-4.5163266075806137</v>
      </c>
      <c r="AU130" s="643">
        <f t="shared" si="59"/>
        <v>-3.2846011691495374</v>
      </c>
      <c r="AV130" s="641">
        <f t="shared" si="59"/>
        <v>-6.9797774844427662</v>
      </c>
      <c r="AW130" s="642">
        <f t="shared" si="59"/>
        <v>-6.9797774844427662</v>
      </c>
      <c r="AX130" s="642">
        <f t="shared" si="59"/>
        <v>-6.9797774844427662</v>
      </c>
      <c r="AY130" s="642">
        <f t="shared" si="59"/>
        <v>-6.9797774844427662</v>
      </c>
      <c r="AZ130" s="643">
        <f t="shared" si="59"/>
        <v>-6.9797774844427662</v>
      </c>
      <c r="BA130" s="2629"/>
      <c r="BB130" s="545" t="s">
        <v>2233</v>
      </c>
      <c r="BC130" s="642">
        <f>SUM(BC128:BC129)</f>
        <v>17.559753682525848</v>
      </c>
      <c r="BD130" s="545" t="s">
        <v>2233</v>
      </c>
      <c r="BE130" s="642">
        <f>SUM(BE128:BE129)</f>
        <v>7.8566489430559807</v>
      </c>
      <c r="BF130" s="545" t="s">
        <v>2233</v>
      </c>
      <c r="BG130" s="642">
        <f>SUM(BG128:BG129)</f>
        <v>1.8853500981121831</v>
      </c>
      <c r="BH130" s="607" t="s">
        <v>627</v>
      </c>
      <c r="BI130" s="868">
        <v>0.95040000000000002</v>
      </c>
      <c r="BJ130" s="2629"/>
      <c r="BK130" s="2629"/>
      <c r="BL130" s="2629"/>
      <c r="BM130" s="2629"/>
      <c r="BN130" s="2629"/>
      <c r="BO130" s="2629"/>
      <c r="BP130" s="2629"/>
      <c r="BQ130" s="545" t="s">
        <v>2233</v>
      </c>
      <c r="BR130" s="642">
        <f>SUM(BR128:BR129)</f>
        <v>22.446026565775682</v>
      </c>
      <c r="BS130" s="545" t="s">
        <v>2233</v>
      </c>
      <c r="BT130" s="642">
        <f>SUM(BT128:BT129)</f>
        <v>10.042882951672542</v>
      </c>
      <c r="BU130" s="545" t="s">
        <v>2233</v>
      </c>
      <c r="BV130" s="642">
        <f>SUM(BV128:BV129)</f>
        <v>2.4099779047656105</v>
      </c>
      <c r="BW130" s="607" t="s">
        <v>627</v>
      </c>
      <c r="BX130" s="872">
        <v>0</v>
      </c>
      <c r="BY130" s="2629"/>
      <c r="BZ130" s="2629"/>
      <c r="CA130" s="2629"/>
      <c r="CB130" s="2629"/>
      <c r="CC130" s="2629"/>
      <c r="CD130" s="2629"/>
    </row>
    <row r="131" spans="1:82" s="98" customFormat="1" ht="15" customHeight="1">
      <c r="A131" s="99"/>
      <c r="B131" s="123"/>
      <c r="C131" s="127"/>
      <c r="D131" s="127"/>
      <c r="I131" s="2503"/>
      <c r="J131" s="2503"/>
      <c r="K131" s="2503"/>
      <c r="L131" s="2503"/>
      <c r="M131" s="2503"/>
      <c r="N131" s="2503"/>
      <c r="O131" s="2503"/>
      <c r="P131" s="2503"/>
      <c r="Q131" s="2503"/>
      <c r="R131" s="2503"/>
      <c r="S131" s="2503"/>
      <c r="T131" s="2503"/>
      <c r="U131" s="2503"/>
      <c r="V131" s="2503"/>
      <c r="W131" s="2629"/>
      <c r="X131" s="2503"/>
      <c r="Y131" s="2503"/>
      <c r="Z131" s="2503"/>
      <c r="AA131" s="2503"/>
      <c r="AB131" s="2503"/>
      <c r="AC131" s="2503"/>
      <c r="AD131" s="2503"/>
      <c r="AE131" s="2503"/>
      <c r="AF131" s="2503"/>
      <c r="AG131" s="2503"/>
      <c r="AH131" s="2503"/>
      <c r="AI131" s="2646"/>
      <c r="AJ131" s="2646"/>
      <c r="AK131" s="2641"/>
      <c r="AL131" s="94"/>
      <c r="AM131" s="94"/>
      <c r="AN131" s="713"/>
      <c r="AO131" s="94"/>
      <c r="AP131" s="94"/>
      <c r="AQ131" s="94"/>
      <c r="AR131" s="94"/>
      <c r="AS131" s="94"/>
      <c r="AT131" s="94"/>
      <c r="AU131" s="160"/>
      <c r="AV131" s="159"/>
      <c r="AW131" s="94"/>
      <c r="AX131" s="94"/>
      <c r="AY131" s="94"/>
      <c r="AZ131" s="160"/>
      <c r="BA131" s="2629"/>
      <c r="BB131" s="542"/>
      <c r="BC131" s="542"/>
      <c r="BD131" s="542"/>
      <c r="BE131" s="542"/>
      <c r="BF131" s="542"/>
      <c r="BG131" s="542"/>
      <c r="BH131" s="542"/>
      <c r="BI131" s="542"/>
      <c r="BJ131" s="542"/>
      <c r="BK131" s="542"/>
      <c r="BL131" s="542"/>
      <c r="BM131" s="542"/>
      <c r="BN131" s="542"/>
      <c r="BO131" s="542"/>
      <c r="BP131" s="542"/>
      <c r="BQ131" s="542"/>
      <c r="BR131" s="542"/>
      <c r="BS131" s="542"/>
      <c r="BT131" s="542"/>
      <c r="BU131" s="542"/>
      <c r="BV131" s="542"/>
      <c r="BW131" s="542"/>
      <c r="BX131" s="544"/>
      <c r="BY131" s="2629"/>
      <c r="BZ131" s="2629"/>
      <c r="CA131" s="2629"/>
      <c r="CB131" s="2629"/>
      <c r="CC131" s="2629"/>
      <c r="CD131" s="2629"/>
    </row>
    <row r="132" spans="1:82" s="98" customFormat="1" ht="15" customHeight="1">
      <c r="A132" s="99"/>
      <c r="B132" s="161"/>
      <c r="C132" s="116" t="s">
        <v>2720</v>
      </c>
      <c r="D132" s="116"/>
      <c r="I132" s="2503"/>
      <c r="J132" s="2503"/>
      <c r="K132" s="2503"/>
      <c r="L132" s="2503"/>
      <c r="M132" s="2503"/>
      <c r="N132" s="2503"/>
      <c r="O132" s="2503"/>
      <c r="P132" s="2503"/>
      <c r="Q132" s="2503"/>
      <c r="R132" s="2503"/>
      <c r="S132" s="2503"/>
      <c r="T132" s="2503"/>
      <c r="U132" s="2503"/>
      <c r="V132" s="2503"/>
      <c r="W132" s="2629"/>
      <c r="X132" s="2503"/>
      <c r="Y132" s="2503"/>
      <c r="Z132" s="2503"/>
      <c r="AA132" s="2503"/>
      <c r="AB132" s="2503"/>
      <c r="AC132" s="2503"/>
      <c r="AD132" s="2503"/>
      <c r="AE132" s="2503"/>
      <c r="AF132" s="2503"/>
      <c r="AG132" s="2503"/>
      <c r="AH132" s="2503"/>
      <c r="AI132" s="2640"/>
      <c r="AJ132" s="2640"/>
      <c r="AK132" s="2641"/>
      <c r="AL132" s="94"/>
      <c r="AM132" s="94"/>
      <c r="AN132" s="713"/>
      <c r="AO132" s="94"/>
      <c r="AP132" s="94"/>
      <c r="AQ132" s="94"/>
      <c r="AR132" s="94"/>
      <c r="AS132" s="94"/>
      <c r="AT132" s="94"/>
      <c r="AU132" s="160"/>
      <c r="AV132" s="159"/>
      <c r="AW132" s="94"/>
      <c r="AX132" s="94"/>
      <c r="AY132" s="94"/>
      <c r="AZ132" s="160"/>
      <c r="BA132" s="2629"/>
      <c r="BB132" s="542"/>
      <c r="BC132" s="542"/>
      <c r="BD132" s="542"/>
      <c r="BE132" s="542"/>
      <c r="BF132" s="542"/>
      <c r="BG132" s="542"/>
      <c r="BH132" s="542"/>
      <c r="BI132" s="542"/>
      <c r="BJ132" s="542"/>
      <c r="BK132" s="542"/>
      <c r="BL132" s="542"/>
      <c r="BM132" s="542"/>
      <c r="BN132" s="542"/>
      <c r="BO132" s="542"/>
      <c r="BP132" s="542"/>
      <c r="BQ132" s="542"/>
      <c r="BR132" s="542"/>
      <c r="BS132" s="542"/>
      <c r="BT132" s="542"/>
      <c r="BU132" s="542"/>
      <c r="BV132" s="542"/>
      <c r="BW132" s="542"/>
      <c r="BX132" s="544"/>
      <c r="BY132" s="2629"/>
      <c r="BZ132" s="2629"/>
      <c r="CA132" s="2629"/>
      <c r="CB132" s="2629"/>
      <c r="CC132" s="2629"/>
      <c r="CD132" s="2629"/>
    </row>
    <row r="133" spans="1:82" s="98" customFormat="1" ht="15" customHeight="1">
      <c r="A133" s="99"/>
      <c r="B133" s="161"/>
      <c r="C133" s="162"/>
      <c r="D133" s="162" t="s">
        <v>2736</v>
      </c>
      <c r="I133" s="2503"/>
      <c r="J133" s="2503"/>
      <c r="K133" s="2503"/>
      <c r="L133" s="2503"/>
      <c r="M133" s="2503"/>
      <c r="N133" s="2503"/>
      <c r="O133" s="2503"/>
      <c r="P133" s="2503"/>
      <c r="Q133" s="2503"/>
      <c r="R133" s="2503"/>
      <c r="S133" s="2503"/>
      <c r="T133" s="2503"/>
      <c r="U133" s="2503"/>
      <c r="V133" s="2503"/>
      <c r="W133" s="2629"/>
      <c r="X133" s="2503"/>
      <c r="Y133" s="2503"/>
      <c r="Z133" s="2503"/>
      <c r="AA133" s="2503"/>
      <c r="AB133" s="2503"/>
      <c r="AC133" s="2503"/>
      <c r="AD133" s="2503"/>
      <c r="AE133" s="2503"/>
      <c r="AF133" s="2503"/>
      <c r="AG133" s="2503"/>
      <c r="AH133" s="2503"/>
      <c r="AI133" s="2643"/>
      <c r="AJ133" s="2643"/>
      <c r="AK133" s="2644"/>
      <c r="AL133" s="2645"/>
      <c r="AM133" s="607" t="s">
        <v>2233</v>
      </c>
      <c r="AN133" s="143">
        <v>-0.67295414138563558</v>
      </c>
      <c r="AO133" s="141">
        <v>-0.50668274757373022</v>
      </c>
      <c r="AP133" s="141">
        <v>-1.9894400903444378</v>
      </c>
      <c r="AQ133" s="141">
        <v>-0.13411044176706813</v>
      </c>
      <c r="AR133" s="141">
        <v>0</v>
      </c>
      <c r="AS133" s="141">
        <v>-0.99</v>
      </c>
      <c r="AT133" s="141">
        <v>-1.283468002848138</v>
      </c>
      <c r="AU133" s="144">
        <v>-0.93218248073369359</v>
      </c>
      <c r="AV133" s="143">
        <v>-1.9676099745330282</v>
      </c>
      <c r="AW133" s="141">
        <v>-1.9676099745330282</v>
      </c>
      <c r="AX133" s="141">
        <v>-1.9676099745330282</v>
      </c>
      <c r="AY133" s="141">
        <v>-1.9676099745330282</v>
      </c>
      <c r="AZ133" s="144">
        <v>-1.9676099745330282</v>
      </c>
      <c r="BA133" s="2629"/>
      <c r="BB133" s="545" t="s">
        <v>2233</v>
      </c>
      <c r="BC133" s="141">
        <v>4.186309630809844</v>
      </c>
      <c r="BD133" s="545" t="s">
        <v>2233</v>
      </c>
      <c r="BE133" s="141">
        <v>1.873053901031497</v>
      </c>
      <c r="BF133" s="545" t="s">
        <v>2233</v>
      </c>
      <c r="BG133" s="141">
        <v>0.44947437281136243</v>
      </c>
      <c r="BH133" s="607" t="s">
        <v>627</v>
      </c>
      <c r="BI133" s="868">
        <v>1.1477999999999999</v>
      </c>
      <c r="BJ133" s="2629"/>
      <c r="BK133" s="2629"/>
      <c r="BL133" s="2629"/>
      <c r="BM133" s="2629"/>
      <c r="BN133" s="2629"/>
      <c r="BO133" s="2629"/>
      <c r="BP133" s="2629"/>
      <c r="BQ133" s="545" t="s">
        <v>2233</v>
      </c>
      <c r="BR133" s="141">
        <v>6.3275693040205132</v>
      </c>
      <c r="BS133" s="545" t="s">
        <v>2233</v>
      </c>
      <c r="BT133" s="141">
        <v>2.8311041022185508</v>
      </c>
      <c r="BU133" s="545" t="s">
        <v>2233</v>
      </c>
      <c r="BV133" s="141">
        <v>0.67937646642607752</v>
      </c>
      <c r="BW133" s="607" t="s">
        <v>627</v>
      </c>
      <c r="BX133" s="872">
        <v>0.98</v>
      </c>
      <c r="BY133" s="2629"/>
      <c r="BZ133" s="2629"/>
      <c r="CA133" s="2629"/>
      <c r="CB133" s="2629"/>
      <c r="CC133" s="2629"/>
      <c r="CD133" s="2629"/>
    </row>
    <row r="134" spans="1:82" s="98" customFormat="1" ht="15" customHeight="1">
      <c r="A134" s="99"/>
      <c r="B134" s="161"/>
      <c r="C134" s="162"/>
      <c r="D134" s="162" t="s">
        <v>2737</v>
      </c>
      <c r="I134" s="2503"/>
      <c r="J134" s="2503"/>
      <c r="K134" s="2503"/>
      <c r="L134" s="2503"/>
      <c r="M134" s="2503"/>
      <c r="N134" s="2503"/>
      <c r="O134" s="2503"/>
      <c r="P134" s="2503"/>
      <c r="Q134" s="2503"/>
      <c r="R134" s="2503"/>
      <c r="S134" s="2503"/>
      <c r="T134" s="2503"/>
      <c r="U134" s="2503"/>
      <c r="V134" s="2503"/>
      <c r="W134" s="2629"/>
      <c r="X134" s="2503"/>
      <c r="Y134" s="2503"/>
      <c r="Z134" s="2503"/>
      <c r="AA134" s="2503"/>
      <c r="AB134" s="2503"/>
      <c r="AC134" s="2503"/>
      <c r="AD134" s="2503"/>
      <c r="AE134" s="2503"/>
      <c r="AF134" s="2503"/>
      <c r="AG134" s="2503"/>
      <c r="AH134" s="2503"/>
      <c r="AI134" s="2643"/>
      <c r="AJ134" s="2643"/>
      <c r="AK134" s="2644"/>
      <c r="AL134" s="2645"/>
      <c r="AM134" s="607" t="s">
        <v>2233</v>
      </c>
      <c r="AN134" s="143">
        <v>-4.1572456610695634E-2</v>
      </c>
      <c r="AO134" s="141">
        <v>-2.2988033543767078E-2</v>
      </c>
      <c r="AP134" s="141">
        <v>0</v>
      </c>
      <c r="AQ134" s="141">
        <v>-2.5167336010709508E-4</v>
      </c>
      <c r="AR134" s="141">
        <v>0</v>
      </c>
      <c r="AS134" s="141">
        <v>0</v>
      </c>
      <c r="AT134" s="141">
        <v>-4.5492962643093299E-2</v>
      </c>
      <c r="AU134" s="144">
        <v>-3.4334585078110942E-2</v>
      </c>
      <c r="AV134" s="143">
        <v>-8.6238790317056419E-2</v>
      </c>
      <c r="AW134" s="141">
        <v>-8.6238790317056419E-2</v>
      </c>
      <c r="AX134" s="141">
        <v>-8.6238790317056419E-2</v>
      </c>
      <c r="AY134" s="141">
        <v>-8.6238790317056419E-2</v>
      </c>
      <c r="AZ134" s="144">
        <v>-8.6238790317056419E-2</v>
      </c>
      <c r="BA134" s="2629"/>
      <c r="BB134" s="545" t="s">
        <v>2233</v>
      </c>
      <c r="BC134" s="141">
        <v>9.3028375420294657E-2</v>
      </c>
      <c r="BD134" s="545" t="s">
        <v>2233</v>
      </c>
      <c r="BE134" s="141">
        <v>4.1623094528222299E-2</v>
      </c>
      <c r="BF134" s="545" t="s">
        <v>2233</v>
      </c>
      <c r="BG134" s="141">
        <v>9.9882412872570967E-3</v>
      </c>
      <c r="BH134" s="607" t="s">
        <v>627</v>
      </c>
      <c r="BI134" s="868">
        <v>1.1477999999999999</v>
      </c>
      <c r="BJ134" s="2629"/>
      <c r="BK134" s="2629"/>
      <c r="BL134" s="2629"/>
      <c r="BM134" s="2629"/>
      <c r="BN134" s="2629"/>
      <c r="BO134" s="2629"/>
      <c r="BP134" s="2629"/>
      <c r="BQ134" s="545" t="s">
        <v>2233</v>
      </c>
      <c r="BR134" s="141">
        <v>0.27733236235274422</v>
      </c>
      <c r="BS134" s="545" t="s">
        <v>2233</v>
      </c>
      <c r="BT134" s="141">
        <v>0.12408505557354071</v>
      </c>
      <c r="BU134" s="545" t="s">
        <v>2233</v>
      </c>
      <c r="BV134" s="141">
        <v>2.9776533658997136E-2</v>
      </c>
      <c r="BW134" s="607" t="s">
        <v>627</v>
      </c>
      <c r="BX134" s="872">
        <v>0.98</v>
      </c>
      <c r="BY134" s="2629"/>
      <c r="BZ134" s="2629"/>
      <c r="CA134" s="2629"/>
      <c r="CB134" s="2629"/>
      <c r="CC134" s="2629"/>
      <c r="CD134" s="2629"/>
    </row>
    <row r="135" spans="1:82" s="98" customFormat="1" ht="15" customHeight="1">
      <c r="A135" s="99"/>
      <c r="B135" s="161"/>
      <c r="C135" s="162" t="s">
        <v>1710</v>
      </c>
      <c r="D135" s="162"/>
      <c r="I135" s="2503"/>
      <c r="J135" s="2503"/>
      <c r="K135" s="2503"/>
      <c r="L135" s="2503"/>
      <c r="M135" s="2503"/>
      <c r="N135" s="2503"/>
      <c r="O135" s="2503"/>
      <c r="P135" s="2503"/>
      <c r="Q135" s="2503"/>
      <c r="R135" s="2503"/>
      <c r="S135" s="2503"/>
      <c r="T135" s="2503"/>
      <c r="U135" s="2503"/>
      <c r="V135" s="2503"/>
      <c r="W135" s="2629"/>
      <c r="X135" s="2503"/>
      <c r="Y135" s="2503"/>
      <c r="Z135" s="2503"/>
      <c r="AA135" s="2503"/>
      <c r="AB135" s="2503"/>
      <c r="AC135" s="2503"/>
      <c r="AD135" s="2503"/>
      <c r="AE135" s="2503"/>
      <c r="AF135" s="2503"/>
      <c r="AG135" s="2503"/>
      <c r="AH135" s="2503"/>
      <c r="AI135" s="2643"/>
      <c r="AJ135" s="2643"/>
      <c r="AK135" s="2644"/>
      <c r="AL135" s="2645"/>
      <c r="AM135" s="607" t="s">
        <v>2233</v>
      </c>
      <c r="AN135" s="641">
        <f t="shared" ref="AN135:AZ135" si="60">SUM(AN133:AN134)</f>
        <v>-0.71452659799633123</v>
      </c>
      <c r="AO135" s="642">
        <f t="shared" si="60"/>
        <v>-0.52967078111749732</v>
      </c>
      <c r="AP135" s="642">
        <f t="shared" si="60"/>
        <v>-1.9894400903444378</v>
      </c>
      <c r="AQ135" s="642">
        <f t="shared" si="60"/>
        <v>-0.13436211512717522</v>
      </c>
      <c r="AR135" s="642">
        <f t="shared" si="60"/>
        <v>0</v>
      </c>
      <c r="AS135" s="642">
        <f t="shared" si="60"/>
        <v>-0.99</v>
      </c>
      <c r="AT135" s="642">
        <f t="shared" si="60"/>
        <v>-1.3289609654912313</v>
      </c>
      <c r="AU135" s="643">
        <f t="shared" si="60"/>
        <v>-0.96651706581180452</v>
      </c>
      <c r="AV135" s="641">
        <f t="shared" si="60"/>
        <v>-2.0538487648500845</v>
      </c>
      <c r="AW135" s="642">
        <f t="shared" si="60"/>
        <v>-2.0538487648500845</v>
      </c>
      <c r="AX135" s="642">
        <f t="shared" si="60"/>
        <v>-2.0538487648500845</v>
      </c>
      <c r="AY135" s="642">
        <f t="shared" si="60"/>
        <v>-2.0538487648500845</v>
      </c>
      <c r="AZ135" s="643">
        <f t="shared" si="60"/>
        <v>-2.0538487648500845</v>
      </c>
      <c r="BA135" s="2629"/>
      <c r="BB135" s="545" t="s">
        <v>2233</v>
      </c>
      <c r="BC135" s="642">
        <f>SUM(BC133:BC134)</f>
        <v>4.2793380062301383</v>
      </c>
      <c r="BD135" s="545" t="s">
        <v>2233</v>
      </c>
      <c r="BE135" s="642">
        <f>SUM(BE133:BE134)</f>
        <v>1.9146769955597194</v>
      </c>
      <c r="BF135" s="545" t="s">
        <v>2233</v>
      </c>
      <c r="BG135" s="642">
        <f>SUM(BG133:BG134)</f>
        <v>0.45946261409861955</v>
      </c>
      <c r="BH135" s="607" t="s">
        <v>627</v>
      </c>
      <c r="BI135" s="868">
        <v>1.1477999999999999</v>
      </c>
      <c r="BJ135" s="2629"/>
      <c r="BK135" s="2629"/>
      <c r="BL135" s="2629"/>
      <c r="BM135" s="2629"/>
      <c r="BN135" s="2629"/>
      <c r="BO135" s="2629"/>
      <c r="BP135" s="2629"/>
      <c r="BQ135" s="545" t="s">
        <v>2233</v>
      </c>
      <c r="BR135" s="642">
        <f>SUM(BR133:BR134)</f>
        <v>6.6049016663732578</v>
      </c>
      <c r="BS135" s="545" t="s">
        <v>2233</v>
      </c>
      <c r="BT135" s="642">
        <f>SUM(BT133:BT134)</f>
        <v>2.9551891577920917</v>
      </c>
      <c r="BU135" s="545" t="s">
        <v>2233</v>
      </c>
      <c r="BV135" s="642">
        <f>SUM(BV133:BV134)</f>
        <v>0.70915300008507465</v>
      </c>
      <c r="BW135" s="607" t="s">
        <v>627</v>
      </c>
      <c r="BX135" s="872">
        <v>0</v>
      </c>
      <c r="BY135" s="2629"/>
      <c r="BZ135" s="2629"/>
      <c r="CA135" s="2629"/>
      <c r="CB135" s="2629"/>
      <c r="CC135" s="2629"/>
      <c r="CD135" s="2629"/>
    </row>
    <row r="136" spans="1:82" s="98" customFormat="1" ht="15" customHeight="1">
      <c r="A136" s="99"/>
      <c r="B136" s="123"/>
      <c r="C136" s="127"/>
      <c r="D136" s="127"/>
      <c r="I136" s="2503"/>
      <c r="J136" s="2503"/>
      <c r="K136" s="2503"/>
      <c r="L136" s="2503"/>
      <c r="M136" s="2503"/>
      <c r="N136" s="2503"/>
      <c r="O136" s="2503"/>
      <c r="P136" s="2503"/>
      <c r="Q136" s="2503"/>
      <c r="R136" s="2503"/>
      <c r="S136" s="2503"/>
      <c r="T136" s="2503"/>
      <c r="U136" s="2503"/>
      <c r="V136" s="2503"/>
      <c r="W136" s="2629"/>
      <c r="X136" s="2503"/>
      <c r="Y136" s="2503"/>
      <c r="Z136" s="2503"/>
      <c r="AA136" s="2503"/>
      <c r="AB136" s="2503"/>
      <c r="AC136" s="2503"/>
      <c r="AD136" s="2503"/>
      <c r="AE136" s="2503"/>
      <c r="AF136" s="2503"/>
      <c r="AG136" s="2503"/>
      <c r="AH136" s="2503"/>
      <c r="AI136" s="2646"/>
      <c r="AJ136" s="2646"/>
      <c r="AK136" s="2641"/>
      <c r="AL136" s="94"/>
      <c r="AM136" s="94"/>
      <c r="AN136" s="713"/>
      <c r="AO136" s="94"/>
      <c r="AP136" s="94"/>
      <c r="AQ136" s="94"/>
      <c r="AR136" s="94"/>
      <c r="AS136" s="94"/>
      <c r="AT136" s="94"/>
      <c r="AU136" s="160"/>
      <c r="AV136" s="159"/>
      <c r="AW136" s="94"/>
      <c r="AX136" s="94"/>
      <c r="AY136" s="94"/>
      <c r="AZ136" s="160"/>
      <c r="BA136" s="2629"/>
      <c r="BB136" s="542"/>
      <c r="BC136" s="542"/>
      <c r="BD136" s="542"/>
      <c r="BE136" s="542"/>
      <c r="BF136" s="542"/>
      <c r="BG136" s="542"/>
      <c r="BH136" s="542"/>
      <c r="BI136" s="542"/>
      <c r="BJ136" s="542"/>
      <c r="BK136" s="542"/>
      <c r="BL136" s="542"/>
      <c r="BM136" s="542"/>
      <c r="BN136" s="542"/>
      <c r="BO136" s="542"/>
      <c r="BP136" s="542"/>
      <c r="BQ136" s="542"/>
      <c r="BR136" s="542"/>
      <c r="BS136" s="542"/>
      <c r="BT136" s="542"/>
      <c r="BU136" s="542"/>
      <c r="BV136" s="542"/>
      <c r="BW136" s="542"/>
      <c r="BX136" s="544"/>
      <c r="BY136" s="2629"/>
      <c r="BZ136" s="2629"/>
      <c r="CA136" s="2629"/>
      <c r="CB136" s="2629"/>
      <c r="CC136" s="2629"/>
      <c r="CD136" s="2629"/>
    </row>
    <row r="137" spans="1:82" s="98" customFormat="1" ht="15" customHeight="1">
      <c r="A137" s="99"/>
      <c r="B137" s="161"/>
      <c r="C137" s="116" t="s">
        <v>2721</v>
      </c>
      <c r="D137" s="116"/>
      <c r="I137" s="2503"/>
      <c r="J137" s="2503"/>
      <c r="K137" s="2503"/>
      <c r="L137" s="2503"/>
      <c r="M137" s="2503"/>
      <c r="N137" s="2503"/>
      <c r="O137" s="2503"/>
      <c r="P137" s="2503"/>
      <c r="Q137" s="2503"/>
      <c r="R137" s="2503"/>
      <c r="S137" s="2503"/>
      <c r="T137" s="2503"/>
      <c r="U137" s="2503"/>
      <c r="V137" s="2503"/>
      <c r="W137" s="2629"/>
      <c r="X137" s="2503"/>
      <c r="Y137" s="2503"/>
      <c r="Z137" s="2503"/>
      <c r="AA137" s="2503"/>
      <c r="AB137" s="2503"/>
      <c r="AC137" s="2503"/>
      <c r="AD137" s="2503"/>
      <c r="AE137" s="2503"/>
      <c r="AF137" s="2503"/>
      <c r="AG137" s="2503"/>
      <c r="AH137" s="2503"/>
      <c r="AI137" s="2640"/>
      <c r="AJ137" s="2640"/>
      <c r="AK137" s="2641"/>
      <c r="AL137" s="94"/>
      <c r="AM137" s="94"/>
      <c r="AN137" s="713"/>
      <c r="AO137" s="94"/>
      <c r="AP137" s="94"/>
      <c r="AQ137" s="94"/>
      <c r="AR137" s="94"/>
      <c r="AS137" s="94"/>
      <c r="AT137" s="94"/>
      <c r="AU137" s="160"/>
      <c r="AV137" s="159"/>
      <c r="AW137" s="94"/>
      <c r="AX137" s="94"/>
      <c r="AY137" s="94"/>
      <c r="AZ137" s="160"/>
      <c r="BA137" s="2629"/>
      <c r="BB137" s="542"/>
      <c r="BC137" s="542"/>
      <c r="BD137" s="542"/>
      <c r="BE137" s="542"/>
      <c r="BF137" s="542"/>
      <c r="BG137" s="542"/>
      <c r="BH137" s="542"/>
      <c r="BI137" s="542"/>
      <c r="BJ137" s="542"/>
      <c r="BK137" s="542"/>
      <c r="BL137" s="542"/>
      <c r="BM137" s="542"/>
      <c r="BN137" s="542"/>
      <c r="BO137" s="542"/>
      <c r="BP137" s="542"/>
      <c r="BQ137" s="542"/>
      <c r="BR137" s="542"/>
      <c r="BS137" s="542"/>
      <c r="BT137" s="542"/>
      <c r="BU137" s="542"/>
      <c r="BV137" s="542"/>
      <c r="BW137" s="542"/>
      <c r="BX137" s="544"/>
      <c r="BY137" s="2629"/>
      <c r="BZ137" s="2629"/>
      <c r="CA137" s="2629"/>
      <c r="CB137" s="2629"/>
      <c r="CC137" s="2629"/>
      <c r="CD137" s="2629"/>
    </row>
    <row r="138" spans="1:82" s="98" customFormat="1" ht="15" customHeight="1">
      <c r="A138" s="99"/>
      <c r="B138" s="161"/>
      <c r="C138" s="162"/>
      <c r="D138" s="162" t="s">
        <v>2736</v>
      </c>
      <c r="I138" s="2503"/>
      <c r="J138" s="2503"/>
      <c r="K138" s="2503"/>
      <c r="L138" s="2503"/>
      <c r="M138" s="2503"/>
      <c r="N138" s="2503"/>
      <c r="O138" s="2503"/>
      <c r="P138" s="2503"/>
      <c r="Q138" s="2503"/>
      <c r="R138" s="2503"/>
      <c r="S138" s="2503"/>
      <c r="T138" s="2503"/>
      <c r="U138" s="2503"/>
      <c r="V138" s="2503"/>
      <c r="W138" s="2629"/>
      <c r="X138" s="2503"/>
      <c r="Y138" s="2503"/>
      <c r="Z138" s="2503"/>
      <c r="AA138" s="2503"/>
      <c r="AB138" s="2503"/>
      <c r="AC138" s="2503"/>
      <c r="AD138" s="2503"/>
      <c r="AE138" s="2503"/>
      <c r="AF138" s="2503"/>
      <c r="AG138" s="2503"/>
      <c r="AH138" s="2503"/>
      <c r="AI138" s="2643"/>
      <c r="AJ138" s="2643"/>
      <c r="AK138" s="2644"/>
      <c r="AL138" s="2645"/>
      <c r="AM138" s="607" t="s">
        <v>2233</v>
      </c>
      <c r="AN138" s="143">
        <v>-1.5254942853111328</v>
      </c>
      <c r="AO138" s="141">
        <v>-0.32197569019127475</v>
      </c>
      <c r="AP138" s="141">
        <v>-0.30573269339356285</v>
      </c>
      <c r="AQ138" s="141">
        <v>-1.0985642570281116</v>
      </c>
      <c r="AR138" s="141">
        <v>-0.17599999999999999</v>
      </c>
      <c r="AS138" s="141">
        <v>-0.51900000000000002</v>
      </c>
      <c r="AT138" s="141">
        <v>-0.72887712767101609</v>
      </c>
      <c r="AU138" s="144">
        <v>-0.52938327057212187</v>
      </c>
      <c r="AV138" s="143">
        <v>-1.1173990340483502</v>
      </c>
      <c r="AW138" s="141">
        <v>-1.1173990340483502</v>
      </c>
      <c r="AX138" s="141">
        <v>-1.1173990340483502</v>
      </c>
      <c r="AY138" s="141">
        <v>-1.1173990340483502</v>
      </c>
      <c r="AZ138" s="144">
        <v>-1.1173990340483502</v>
      </c>
      <c r="BA138" s="2629"/>
      <c r="BB138" s="545" t="s">
        <v>2233</v>
      </c>
      <c r="BC138" s="141">
        <v>3.347733702234867</v>
      </c>
      <c r="BD138" s="545" t="s">
        <v>2233</v>
      </c>
      <c r="BE138" s="141">
        <v>1.4978552050801375</v>
      </c>
      <c r="BF138" s="545" t="s">
        <v>2233</v>
      </c>
      <c r="BG138" s="141">
        <v>0.35943841685221645</v>
      </c>
      <c r="BH138" s="607" t="s">
        <v>627</v>
      </c>
      <c r="BI138" s="868">
        <v>0.80879999999999996</v>
      </c>
      <c r="BJ138" s="2629"/>
      <c r="BK138" s="2629"/>
      <c r="BL138" s="2629"/>
      <c r="BM138" s="2629"/>
      <c r="BN138" s="2629"/>
      <c r="BO138" s="2629"/>
      <c r="BP138" s="2629"/>
      <c r="BQ138" s="545" t="s">
        <v>2233</v>
      </c>
      <c r="BR138" s="141">
        <v>3.5934051563570328</v>
      </c>
      <c r="BS138" s="545" t="s">
        <v>2233</v>
      </c>
      <c r="BT138" s="141">
        <v>1.6077744217880965</v>
      </c>
      <c r="BU138" s="545" t="s">
        <v>2233</v>
      </c>
      <c r="BV138" s="141">
        <v>0.38581559209662242</v>
      </c>
      <c r="BW138" s="607" t="s">
        <v>627</v>
      </c>
      <c r="BX138" s="872">
        <v>0.98</v>
      </c>
      <c r="BY138" s="2629"/>
      <c r="BZ138" s="2629"/>
      <c r="CA138" s="2629"/>
      <c r="CB138" s="2629"/>
      <c r="CC138" s="2629"/>
      <c r="CD138" s="2629"/>
    </row>
    <row r="139" spans="1:82" s="98" customFormat="1" ht="15" customHeight="1">
      <c r="A139" s="99"/>
      <c r="B139" s="161"/>
      <c r="C139" s="162"/>
      <c r="D139" s="162" t="s">
        <v>2737</v>
      </c>
      <c r="I139" s="2503"/>
      <c r="J139" s="2503"/>
      <c r="K139" s="2503"/>
      <c r="L139" s="2503"/>
      <c r="M139" s="2503"/>
      <c r="N139" s="2503"/>
      <c r="O139" s="2503"/>
      <c r="P139" s="2503"/>
      <c r="Q139" s="2503"/>
      <c r="R139" s="2503"/>
      <c r="S139" s="2503"/>
      <c r="T139" s="2503"/>
      <c r="U139" s="2503"/>
      <c r="V139" s="2503"/>
      <c r="W139" s="2629"/>
      <c r="X139" s="2503"/>
      <c r="Y139" s="2503"/>
      <c r="Z139" s="2503"/>
      <c r="AA139" s="2503"/>
      <c r="AB139" s="2503"/>
      <c r="AC139" s="2503"/>
      <c r="AD139" s="2503"/>
      <c r="AE139" s="2503"/>
      <c r="AF139" s="2503"/>
      <c r="AG139" s="2503"/>
      <c r="AH139" s="2503"/>
      <c r="AI139" s="2643"/>
      <c r="AJ139" s="2643"/>
      <c r="AK139" s="2644"/>
      <c r="AL139" s="2645"/>
      <c r="AM139" s="607" t="s">
        <v>2233</v>
      </c>
      <c r="AN139" s="143">
        <v>-9.4239029208409764E-2</v>
      </c>
      <c r="AO139" s="141">
        <v>-1.4607933666258364E-2</v>
      </c>
      <c r="AP139" s="141">
        <v>0</v>
      </c>
      <c r="AQ139" s="141">
        <v>-2.0615796519410979E-3</v>
      </c>
      <c r="AR139" s="141">
        <v>0</v>
      </c>
      <c r="AS139" s="141">
        <v>0</v>
      </c>
      <c r="AT139" s="141">
        <v>-2.5835299257137831E-2</v>
      </c>
      <c r="AU139" s="144">
        <v>-1.9498494466535374E-2</v>
      </c>
      <c r="AV139" s="143">
        <v>-4.8974716658796595E-2</v>
      </c>
      <c r="AW139" s="141">
        <v>-4.8974716658796595E-2</v>
      </c>
      <c r="AX139" s="141">
        <v>-4.8974716658796595E-2</v>
      </c>
      <c r="AY139" s="141">
        <v>-4.8974716658796595E-2</v>
      </c>
      <c r="AZ139" s="144">
        <v>-4.8974716658796595E-2</v>
      </c>
      <c r="BA139" s="2629"/>
      <c r="BB139" s="545" t="s">
        <v>2233</v>
      </c>
      <c r="BC139" s="141">
        <v>0.10049087203680908</v>
      </c>
      <c r="BD139" s="545" t="s">
        <v>2233</v>
      </c>
      <c r="BE139" s="141">
        <v>4.4961991941859784E-2</v>
      </c>
      <c r="BF139" s="545" t="s">
        <v>2233</v>
      </c>
      <c r="BG139" s="141">
        <v>1.0789472271613565E-2</v>
      </c>
      <c r="BH139" s="607" t="s">
        <v>627</v>
      </c>
      <c r="BI139" s="868">
        <v>0.80879999999999996</v>
      </c>
      <c r="BJ139" s="2629"/>
      <c r="BK139" s="2629"/>
      <c r="BL139" s="2629"/>
      <c r="BM139" s="2629"/>
      <c r="BN139" s="2629"/>
      <c r="BO139" s="2629"/>
      <c r="BP139" s="2629"/>
      <c r="BQ139" s="545" t="s">
        <v>2233</v>
      </c>
      <c r="BR139" s="141">
        <v>0.15749610838237882</v>
      </c>
      <c r="BS139" s="545" t="s">
        <v>2233</v>
      </c>
      <c r="BT139" s="141">
        <v>7.0467482393514788E-2</v>
      </c>
      <c r="BU139" s="545" t="s">
        <v>2233</v>
      </c>
      <c r="BV139" s="141">
        <v>1.69099925180894E-2</v>
      </c>
      <c r="BW139" s="607" t="s">
        <v>627</v>
      </c>
      <c r="BX139" s="872">
        <v>0.98</v>
      </c>
      <c r="BY139" s="2629"/>
      <c r="BZ139" s="2629"/>
      <c r="CA139" s="2629"/>
      <c r="CB139" s="2629"/>
      <c r="CC139" s="2629"/>
      <c r="CD139" s="2629"/>
    </row>
    <row r="140" spans="1:82" s="98" customFormat="1" ht="15" customHeight="1">
      <c r="A140" s="99"/>
      <c r="B140" s="161"/>
      <c r="C140" s="162" t="s">
        <v>1710</v>
      </c>
      <c r="D140" s="162"/>
      <c r="I140" s="2503"/>
      <c r="J140" s="2503"/>
      <c r="K140" s="2503"/>
      <c r="L140" s="2503"/>
      <c r="M140" s="2503"/>
      <c r="N140" s="2503"/>
      <c r="O140" s="2503"/>
      <c r="P140" s="2503"/>
      <c r="Q140" s="2503"/>
      <c r="R140" s="2503"/>
      <c r="S140" s="2503"/>
      <c r="T140" s="2503"/>
      <c r="U140" s="2503"/>
      <c r="V140" s="2503"/>
      <c r="W140" s="2629"/>
      <c r="X140" s="2503"/>
      <c r="Y140" s="2503"/>
      <c r="Z140" s="2503"/>
      <c r="AA140" s="2503"/>
      <c r="AB140" s="2503"/>
      <c r="AC140" s="2503"/>
      <c r="AD140" s="2503"/>
      <c r="AE140" s="2503"/>
      <c r="AF140" s="2503"/>
      <c r="AG140" s="2503"/>
      <c r="AH140" s="2503"/>
      <c r="AI140" s="2643"/>
      <c r="AJ140" s="2643"/>
      <c r="AK140" s="2644"/>
      <c r="AL140" s="2645"/>
      <c r="AM140" s="607" t="s">
        <v>2233</v>
      </c>
      <c r="AN140" s="641">
        <f>SUM(AN138:AN139)</f>
        <v>-1.6197333145195425</v>
      </c>
      <c r="AO140" s="642">
        <f t="shared" ref="AO140:AZ140" si="61">SUM(AO138:AO139)</f>
        <v>-0.3365836238575331</v>
      </c>
      <c r="AP140" s="642">
        <f t="shared" si="61"/>
        <v>-0.30573269339356285</v>
      </c>
      <c r="AQ140" s="642">
        <f t="shared" si="61"/>
        <v>-1.1006258366800528</v>
      </c>
      <c r="AR140" s="642">
        <f t="shared" si="61"/>
        <v>-0.17599999999999999</v>
      </c>
      <c r="AS140" s="642">
        <f t="shared" si="61"/>
        <v>-0.51900000000000002</v>
      </c>
      <c r="AT140" s="642">
        <f t="shared" si="61"/>
        <v>-0.75471242692815388</v>
      </c>
      <c r="AU140" s="643">
        <f t="shared" si="61"/>
        <v>-0.54888176503865727</v>
      </c>
      <c r="AV140" s="641">
        <f t="shared" si="61"/>
        <v>-1.1663737507071468</v>
      </c>
      <c r="AW140" s="642">
        <f t="shared" si="61"/>
        <v>-1.1663737507071468</v>
      </c>
      <c r="AX140" s="642">
        <f t="shared" si="61"/>
        <v>-1.1663737507071468</v>
      </c>
      <c r="AY140" s="642">
        <f t="shared" si="61"/>
        <v>-1.1663737507071468</v>
      </c>
      <c r="AZ140" s="643">
        <f t="shared" si="61"/>
        <v>-1.1663737507071468</v>
      </c>
      <c r="BA140" s="2629"/>
      <c r="BB140" s="545" t="s">
        <v>2233</v>
      </c>
      <c r="BC140" s="642">
        <f>SUM(BC138:BC139)</f>
        <v>3.4482245742716762</v>
      </c>
      <c r="BD140" s="545" t="s">
        <v>2233</v>
      </c>
      <c r="BE140" s="642">
        <f>SUM(BE138:BE139)</f>
        <v>1.5428171970219973</v>
      </c>
      <c r="BF140" s="545" t="s">
        <v>2233</v>
      </c>
      <c r="BG140" s="642">
        <f>SUM(BG138:BG139)</f>
        <v>0.37022788912383003</v>
      </c>
      <c r="BH140" s="607" t="s">
        <v>627</v>
      </c>
      <c r="BI140" s="868">
        <v>0.80879999999999996</v>
      </c>
      <c r="BJ140" s="2629"/>
      <c r="BK140" s="2629"/>
      <c r="BL140" s="2629"/>
      <c r="BM140" s="2629"/>
      <c r="BN140" s="2629"/>
      <c r="BO140" s="2629"/>
      <c r="BP140" s="2629"/>
      <c r="BQ140" s="545" t="s">
        <v>2233</v>
      </c>
      <c r="BR140" s="642">
        <f>SUM(BR138:BR139)</f>
        <v>3.7509012647394115</v>
      </c>
      <c r="BS140" s="545" t="s">
        <v>2233</v>
      </c>
      <c r="BT140" s="642">
        <f>SUM(BT138:BT139)</f>
        <v>1.6782419041816112</v>
      </c>
      <c r="BU140" s="545" t="s">
        <v>2233</v>
      </c>
      <c r="BV140" s="642">
        <f>SUM(BV138:BV139)</f>
        <v>0.40272558461471181</v>
      </c>
      <c r="BW140" s="607" t="s">
        <v>627</v>
      </c>
      <c r="BX140" s="872">
        <v>0</v>
      </c>
      <c r="BY140" s="2629"/>
      <c r="BZ140" s="2629"/>
      <c r="CA140" s="2629"/>
      <c r="CB140" s="2629"/>
      <c r="CC140" s="2629"/>
      <c r="CD140" s="2629"/>
    </row>
    <row r="141" spans="1:82" s="98" customFormat="1" ht="15" customHeight="1">
      <c r="A141" s="99"/>
      <c r="B141" s="123"/>
      <c r="C141" s="127"/>
      <c r="D141" s="127"/>
      <c r="I141" s="2503"/>
      <c r="J141" s="2503"/>
      <c r="K141" s="2503"/>
      <c r="L141" s="2503"/>
      <c r="M141" s="2503"/>
      <c r="N141" s="2503"/>
      <c r="O141" s="2503"/>
      <c r="P141" s="2503"/>
      <c r="Q141" s="2503"/>
      <c r="R141" s="2503"/>
      <c r="S141" s="2503"/>
      <c r="T141" s="2503"/>
      <c r="U141" s="2503"/>
      <c r="V141" s="2503"/>
      <c r="W141" s="2629"/>
      <c r="X141" s="2503"/>
      <c r="Y141" s="2503"/>
      <c r="Z141" s="2503"/>
      <c r="AA141" s="2503"/>
      <c r="AB141" s="2503"/>
      <c r="AC141" s="2503"/>
      <c r="AD141" s="2503"/>
      <c r="AE141" s="2503"/>
      <c r="AF141" s="2503"/>
      <c r="AG141" s="2503"/>
      <c r="AH141" s="2503"/>
      <c r="AI141" s="2646"/>
      <c r="AJ141" s="2646"/>
      <c r="AK141" s="2641"/>
      <c r="AL141" s="94"/>
      <c r="AM141" s="94"/>
      <c r="AN141" s="713"/>
      <c r="AO141" s="94"/>
      <c r="AP141" s="94"/>
      <c r="AQ141" s="94"/>
      <c r="AR141" s="94"/>
      <c r="AS141" s="94"/>
      <c r="AT141" s="94"/>
      <c r="AU141" s="160"/>
      <c r="AV141" s="159"/>
      <c r="AW141" s="94"/>
      <c r="AX141" s="94"/>
      <c r="AY141" s="94"/>
      <c r="AZ141" s="160"/>
      <c r="BA141" s="2629"/>
      <c r="BB141" s="542"/>
      <c r="BC141" s="542"/>
      <c r="BD141" s="542"/>
      <c r="BE141" s="542"/>
      <c r="BF141" s="542"/>
      <c r="BG141" s="542"/>
      <c r="BH141" s="542"/>
      <c r="BI141" s="542"/>
      <c r="BJ141" s="542"/>
      <c r="BK141" s="542"/>
      <c r="BL141" s="542"/>
      <c r="BM141" s="542"/>
      <c r="BN141" s="542"/>
      <c r="BO141" s="542"/>
      <c r="BP141" s="542"/>
      <c r="BQ141" s="542"/>
      <c r="BR141" s="542"/>
      <c r="BS141" s="542"/>
      <c r="BT141" s="542"/>
      <c r="BU141" s="542"/>
      <c r="BV141" s="542"/>
      <c r="BW141" s="542"/>
      <c r="BX141" s="544"/>
      <c r="BY141" s="2629"/>
      <c r="BZ141" s="2629"/>
      <c r="CA141" s="2629"/>
      <c r="CB141" s="2629"/>
      <c r="CC141" s="2629"/>
      <c r="CD141" s="2629"/>
    </row>
    <row r="142" spans="1:82" s="98" customFormat="1" ht="15" customHeight="1" thickBot="1">
      <c r="A142" s="99"/>
      <c r="B142" s="191" t="s">
        <v>1701</v>
      </c>
      <c r="C142" s="193"/>
      <c r="D142" s="193"/>
      <c r="E142" s="192"/>
      <c r="F142" s="192"/>
      <c r="G142" s="192"/>
      <c r="H142" s="192"/>
      <c r="I142" s="1692"/>
      <c r="J142" s="1692"/>
      <c r="K142" s="1692"/>
      <c r="L142" s="1692"/>
      <c r="M142" s="1692"/>
      <c r="N142" s="1692"/>
      <c r="O142" s="1692"/>
      <c r="P142" s="1692"/>
      <c r="Q142" s="1692"/>
      <c r="R142" s="1692"/>
      <c r="S142" s="1692"/>
      <c r="T142" s="1692"/>
      <c r="U142" s="1692"/>
      <c r="V142" s="1692"/>
      <c r="W142" s="2630"/>
      <c r="X142" s="1692"/>
      <c r="Y142" s="1692"/>
      <c r="Z142" s="1692"/>
      <c r="AA142" s="1692"/>
      <c r="AB142" s="1692"/>
      <c r="AC142" s="1692"/>
      <c r="AD142" s="1692"/>
      <c r="AE142" s="1692"/>
      <c r="AF142" s="1692"/>
      <c r="AG142" s="1692"/>
      <c r="AH142" s="1692"/>
      <c r="AI142" s="2505"/>
      <c r="AJ142" s="2505"/>
      <c r="AK142" s="2454"/>
      <c r="AL142" s="194"/>
      <c r="AM142" s="1083" t="s">
        <v>2233</v>
      </c>
      <c r="AN142" s="701">
        <f t="shared" ref="AN142:AZ142" si="62">SUM(AN130,AN135,AN140)</f>
        <v>-7.4249999999999989</v>
      </c>
      <c r="AO142" s="702">
        <f t="shared" si="62"/>
        <v>-5.5989999999999984</v>
      </c>
      <c r="AP142" s="702">
        <f t="shared" si="62"/>
        <v>-3.8564999999999996</v>
      </c>
      <c r="AQ142" s="702">
        <f t="shared" si="62"/>
        <v>-4.2709999999999955</v>
      </c>
      <c r="AR142" s="702">
        <f t="shared" si="62"/>
        <v>-2.2720000000000002</v>
      </c>
      <c r="AS142" s="702">
        <f t="shared" si="62"/>
        <v>-4.4930000000000003</v>
      </c>
      <c r="AT142" s="702">
        <f t="shared" si="62"/>
        <v>-6.5999999999999988</v>
      </c>
      <c r="AU142" s="703">
        <f t="shared" si="62"/>
        <v>-4.7999999999999989</v>
      </c>
      <c r="AV142" s="701">
        <f t="shared" si="62"/>
        <v>-10.199999999999998</v>
      </c>
      <c r="AW142" s="702">
        <f t="shared" si="62"/>
        <v>-10.199999999999998</v>
      </c>
      <c r="AX142" s="702">
        <f t="shared" si="62"/>
        <v>-10.199999999999998</v>
      </c>
      <c r="AY142" s="702">
        <f t="shared" si="62"/>
        <v>-10.199999999999998</v>
      </c>
      <c r="AZ142" s="703">
        <f t="shared" si="62"/>
        <v>-10.199999999999998</v>
      </c>
      <c r="BA142" s="2630"/>
      <c r="BB142" s="1081" t="s">
        <v>2233</v>
      </c>
      <c r="BC142" s="702">
        <f>SUM(BC130,BC135,BC140)</f>
        <v>25.287316263027662</v>
      </c>
      <c r="BD142" s="1081" t="s">
        <v>2233</v>
      </c>
      <c r="BE142" s="702">
        <f>SUM(BE130,BE135,BE140)</f>
        <v>11.314143135637696</v>
      </c>
      <c r="BF142" s="1081" t="s">
        <v>2233</v>
      </c>
      <c r="BG142" s="702">
        <f>SUM(BG130,BG135,BG140)</f>
        <v>2.7150406013346324</v>
      </c>
      <c r="BH142" s="1083" t="s">
        <v>627</v>
      </c>
      <c r="BI142" s="1535">
        <v>0.96440000000000003</v>
      </c>
      <c r="BJ142" s="2630"/>
      <c r="BK142" s="2630"/>
      <c r="BL142" s="2630"/>
      <c r="BM142" s="2630"/>
      <c r="BN142" s="2630"/>
      <c r="BO142" s="2630"/>
      <c r="BP142" s="2630"/>
      <c r="BQ142" s="1081" t="s">
        <v>2233</v>
      </c>
      <c r="BR142" s="702">
        <f>SUM(BR130,BR135,BR140)</f>
        <v>32.801829496888352</v>
      </c>
      <c r="BS142" s="1081" t="s">
        <v>2233</v>
      </c>
      <c r="BT142" s="702">
        <f>SUM(BT130,BT135,BT140)</f>
        <v>14.676314013646245</v>
      </c>
      <c r="BU142" s="1081" t="s">
        <v>2233</v>
      </c>
      <c r="BV142" s="702">
        <f>SUM(BV130,BV135,BV140)</f>
        <v>3.5218564894653972</v>
      </c>
      <c r="BW142" s="1083" t="s">
        <v>627</v>
      </c>
      <c r="BX142" s="1536">
        <v>0.98</v>
      </c>
      <c r="BY142" s="2629"/>
      <c r="BZ142" s="2629"/>
      <c r="CA142" s="2629"/>
      <c r="CB142" s="2629"/>
      <c r="CC142" s="2629"/>
      <c r="CD142" s="2629"/>
    </row>
    <row r="143" spans="1:82">
      <c r="I143" s="173"/>
      <c r="J143" s="175"/>
    </row>
  </sheetData>
  <mergeCells count="2">
    <mergeCell ref="J9:Q9"/>
    <mergeCell ref="R9:V9"/>
  </mergeCell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FF6600"/>
  </sheetPr>
  <dimension ref="A1:CD233"/>
  <sheetViews>
    <sheetView showGridLines="0" topLeftCell="A148" zoomScale="70" zoomScaleNormal="70" workbookViewId="0">
      <pane xSplit="7" topLeftCell="AU1" activePane="topRight" state="frozen"/>
      <selection activeCell="G14" sqref="G14"/>
      <selection pane="topRight" activeCell="AV183" sqref="AV183"/>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5.625" style="173" customWidth="1"/>
    <col min="54" max="58" width="15.625" style="173" customWidth="1"/>
    <col min="59" max="59" width="11.875" style="173"/>
    <col min="60" max="67" width="13.625" style="173" customWidth="1"/>
    <col min="68" max="68" width="5.625" style="173" customWidth="1"/>
    <col min="69"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2738</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row>
    <row r="9" spans="1:59"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row>
    <row r="10" spans="1:59"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4"/>
    </row>
    <row r="11" spans="1:59"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4"/>
    </row>
    <row r="12" spans="1:59" s="89" customFormat="1" ht="15" customHeight="1">
      <c r="B12" s="123"/>
      <c r="C12" s="127"/>
      <c r="D12" s="127" t="s">
        <v>2739</v>
      </c>
      <c r="E12" s="127"/>
      <c r="F12" s="127"/>
      <c r="G12" s="117"/>
      <c r="H12" s="118"/>
      <c r="I12" s="119" t="s">
        <v>498</v>
      </c>
      <c r="J12" s="128">
        <f>J42</f>
        <v>0.85456260960523567</v>
      </c>
      <c r="K12" s="129">
        <f t="shared" ref="K12:V12" si="0">K42</f>
        <v>1.3677072268578057</v>
      </c>
      <c r="L12" s="129">
        <f t="shared" si="0"/>
        <v>2.6013025438551538</v>
      </c>
      <c r="M12" s="129">
        <f t="shared" si="0"/>
        <v>1.2544095221114517</v>
      </c>
      <c r="N12" s="129">
        <f t="shared" si="0"/>
        <v>2.6504355425839736</v>
      </c>
      <c r="O12" s="129">
        <f t="shared" si="0"/>
        <v>1.5588520284357523</v>
      </c>
      <c r="P12" s="129">
        <f t="shared" si="0"/>
        <v>0.94204793506418938</v>
      </c>
      <c r="Q12" s="130">
        <f t="shared" si="0"/>
        <v>0.88474765637891828</v>
      </c>
      <c r="R12" s="128">
        <f t="shared" si="0"/>
        <v>2.6293493912465249</v>
      </c>
      <c r="S12" s="129">
        <f t="shared" si="0"/>
        <v>2.6162026442902917</v>
      </c>
      <c r="T12" s="129">
        <f t="shared" si="0"/>
        <v>2.6031216310688405</v>
      </c>
      <c r="U12" s="129">
        <f t="shared" si="0"/>
        <v>2.5901060229134969</v>
      </c>
      <c r="V12" s="130">
        <f t="shared" si="0"/>
        <v>2.5771554927989291</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4"/>
    </row>
    <row r="13" spans="1:59" s="89" customFormat="1" ht="15" customHeight="1">
      <c r="B13" s="123"/>
      <c r="C13" s="127"/>
      <c r="D13" s="127" t="s">
        <v>2740</v>
      </c>
      <c r="E13" s="127"/>
      <c r="F13" s="127"/>
      <c r="G13" s="117"/>
      <c r="H13" s="118"/>
      <c r="I13" s="119" t="s">
        <v>498</v>
      </c>
      <c r="J13" s="128">
        <f>J57</f>
        <v>1.4660944870860986</v>
      </c>
      <c r="K13" s="129">
        <f t="shared" ref="K13:V13" si="1">K57</f>
        <v>1.0500461935230894</v>
      </c>
      <c r="L13" s="129">
        <f t="shared" si="1"/>
        <v>1.3946523988213113</v>
      </c>
      <c r="M13" s="129">
        <f t="shared" si="1"/>
        <v>2.0874866204686864</v>
      </c>
      <c r="N13" s="129">
        <f t="shared" si="1"/>
        <v>3.0339115102768246</v>
      </c>
      <c r="O13" s="129">
        <f t="shared" si="1"/>
        <v>2.0704182579723289</v>
      </c>
      <c r="P13" s="129">
        <f t="shared" si="1"/>
        <v>1.8261522727981763</v>
      </c>
      <c r="Q13" s="130">
        <f t="shared" si="1"/>
        <v>1.7402481306308493</v>
      </c>
      <c r="R13" s="128">
        <f t="shared" si="1"/>
        <v>4.5227855252107103</v>
      </c>
      <c r="S13" s="129">
        <f t="shared" si="1"/>
        <v>4.5001715975846563</v>
      </c>
      <c r="T13" s="129">
        <f t="shared" si="1"/>
        <v>4.4776707395967339</v>
      </c>
      <c r="U13" s="129">
        <f t="shared" si="1"/>
        <v>4.4552823858987507</v>
      </c>
      <c r="V13" s="130">
        <f t="shared" si="1"/>
        <v>4.433005973969256</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4"/>
    </row>
    <row r="14" spans="1:59" s="89" customFormat="1" ht="15" customHeight="1">
      <c r="B14" s="123"/>
      <c r="C14" s="127"/>
      <c r="D14" s="127" t="s">
        <v>2741</v>
      </c>
      <c r="E14" s="127"/>
      <c r="F14" s="127"/>
      <c r="G14" s="117"/>
      <c r="H14" s="118"/>
      <c r="I14" s="119" t="s">
        <v>498</v>
      </c>
      <c r="J14" s="128">
        <f>J131</f>
        <v>0.12000298678569775</v>
      </c>
      <c r="K14" s="129">
        <f t="shared" ref="K14:V14" si="2">K131</f>
        <v>1.4338866088025379</v>
      </c>
      <c r="L14" s="129">
        <f t="shared" si="2"/>
        <v>1.126734886095424</v>
      </c>
      <c r="M14" s="129">
        <f t="shared" si="2"/>
        <v>0.44360138383311121</v>
      </c>
      <c r="N14" s="129">
        <f t="shared" si="2"/>
        <v>0.67863012376890897</v>
      </c>
      <c r="O14" s="129">
        <f t="shared" si="2"/>
        <v>0.41537007167420203</v>
      </c>
      <c r="P14" s="129">
        <f t="shared" si="2"/>
        <v>0.54483144470714684</v>
      </c>
      <c r="Q14" s="130">
        <f t="shared" si="2"/>
        <v>0.45830654810411181</v>
      </c>
      <c r="R14" s="128">
        <f t="shared" si="2"/>
        <v>10.541724534410958</v>
      </c>
      <c r="S14" s="129">
        <f t="shared" si="2"/>
        <v>10.489015911738903</v>
      </c>
      <c r="T14" s="129">
        <f t="shared" si="2"/>
        <v>10.436570832180209</v>
      </c>
      <c r="U14" s="129">
        <f t="shared" si="2"/>
        <v>10.384387978019307</v>
      </c>
      <c r="V14" s="130">
        <f t="shared" si="2"/>
        <v>10.33246603812921</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4"/>
    </row>
    <row r="15" spans="1:59" s="89" customFormat="1" ht="15" customHeight="1" thickBot="1">
      <c r="B15" s="176" t="s">
        <v>1701</v>
      </c>
      <c r="C15" s="132"/>
      <c r="D15" s="132"/>
      <c r="E15" s="132"/>
      <c r="F15" s="132"/>
      <c r="G15" s="145"/>
      <c r="H15" s="133"/>
      <c r="I15" s="146" t="s">
        <v>498</v>
      </c>
      <c r="J15" s="148">
        <f t="shared" ref="J15:V15" si="3">SUM(J12:J14)</f>
        <v>2.4406600834770318</v>
      </c>
      <c r="K15" s="147">
        <f t="shared" si="3"/>
        <v>3.8516400291834327</v>
      </c>
      <c r="L15" s="147">
        <f t="shared" si="3"/>
        <v>5.1226898287718896</v>
      </c>
      <c r="M15" s="147">
        <f t="shared" si="3"/>
        <v>3.7854975264132493</v>
      </c>
      <c r="N15" s="147">
        <f t="shared" si="3"/>
        <v>6.3629771766297072</v>
      </c>
      <c r="O15" s="147">
        <f t="shared" si="3"/>
        <v>4.0446403580822832</v>
      </c>
      <c r="P15" s="147">
        <f t="shared" si="3"/>
        <v>3.3130316525695127</v>
      </c>
      <c r="Q15" s="149">
        <f t="shared" si="3"/>
        <v>3.0833023351138795</v>
      </c>
      <c r="R15" s="148">
        <f t="shared" si="3"/>
        <v>17.693859450868196</v>
      </c>
      <c r="S15" s="147">
        <f t="shared" si="3"/>
        <v>17.60539015361385</v>
      </c>
      <c r="T15" s="147">
        <f t="shared" si="3"/>
        <v>17.517363202845782</v>
      </c>
      <c r="U15" s="147">
        <f t="shared" si="3"/>
        <v>17.429776386831556</v>
      </c>
      <c r="V15" s="149">
        <f t="shared" si="3"/>
        <v>17.342627504897393</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4"/>
    </row>
    <row r="16" spans="1:59" s="89" customFormat="1" ht="15" customHeight="1" thickBot="1">
      <c r="B16" s="134"/>
      <c r="C16" s="134"/>
      <c r="D16" s="134"/>
      <c r="E16" s="134"/>
      <c r="F16" s="134"/>
      <c r="H16" s="114"/>
      <c r="I16" s="93"/>
      <c r="J16" s="92"/>
      <c r="P16" s="92"/>
      <c r="Q16" s="92"/>
      <c r="R16" s="92"/>
      <c r="S16" s="92"/>
      <c r="T16" s="92"/>
      <c r="U16" s="92"/>
      <c r="V16" s="92"/>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4"/>
    </row>
    <row r="17" spans="1:82" s="100" customFormat="1" ht="30" customHeight="1" thickBot="1">
      <c r="A17" s="89"/>
      <c r="B17" s="621" t="s">
        <v>2742</v>
      </c>
      <c r="C17" s="101"/>
      <c r="D17" s="102"/>
      <c r="E17" s="102"/>
      <c r="F17" s="102"/>
      <c r="G17" s="103"/>
      <c r="H17" s="103"/>
      <c r="I17" s="105" t="s">
        <v>1864</v>
      </c>
      <c r="J17" s="106"/>
      <c r="K17" s="106"/>
      <c r="L17" s="106"/>
      <c r="M17" s="106"/>
      <c r="N17" s="106"/>
      <c r="O17" s="106"/>
      <c r="P17" s="106"/>
      <c r="Q17" s="106"/>
      <c r="R17" s="105"/>
      <c r="S17" s="105"/>
      <c r="T17" s="105"/>
      <c r="U17" s="105"/>
      <c r="V17" s="105"/>
      <c r="W17" s="103"/>
      <c r="X17" s="105" t="s">
        <v>2202</v>
      </c>
      <c r="Y17" s="106"/>
      <c r="Z17" s="106"/>
      <c r="AA17" s="106"/>
      <c r="AB17" s="106"/>
      <c r="AC17" s="106"/>
      <c r="AD17" s="106"/>
      <c r="AE17" s="106"/>
      <c r="AF17" s="106"/>
      <c r="AG17" s="105"/>
      <c r="AH17" s="105"/>
      <c r="AI17" s="105"/>
      <c r="AJ17" s="105"/>
      <c r="AK17" s="105"/>
      <c r="AL17" s="103"/>
      <c r="AM17" s="105" t="s">
        <v>2231</v>
      </c>
      <c r="AN17" s="106"/>
      <c r="AO17" s="106"/>
      <c r="AP17" s="106"/>
      <c r="AQ17" s="106"/>
      <c r="AR17" s="106"/>
      <c r="AS17" s="106"/>
      <c r="AT17" s="106"/>
      <c r="AU17" s="106"/>
      <c r="AV17" s="105"/>
      <c r="AW17" s="105"/>
      <c r="AX17" s="105"/>
      <c r="AY17" s="105"/>
      <c r="AZ17" s="105"/>
      <c r="BA17" s="103"/>
      <c r="BB17" s="105" t="s">
        <v>2690</v>
      </c>
      <c r="BC17" s="105"/>
      <c r="BD17" s="105"/>
      <c r="BE17" s="105"/>
      <c r="BF17" s="105"/>
      <c r="BG17" s="105"/>
      <c r="BH17" s="105"/>
      <c r="BI17" s="105"/>
      <c r="BJ17" s="105"/>
      <c r="BK17" s="105"/>
      <c r="BL17" s="105"/>
      <c r="BM17" s="105"/>
      <c r="BN17" s="105"/>
      <c r="BO17" s="105"/>
      <c r="BP17" s="103"/>
      <c r="BQ17" s="105" t="s">
        <v>2691</v>
      </c>
      <c r="BR17" s="105"/>
      <c r="BS17" s="105"/>
      <c r="BT17" s="105"/>
      <c r="BU17" s="105"/>
      <c r="BV17" s="105"/>
      <c r="BW17" s="105"/>
      <c r="BX17" s="105"/>
      <c r="BY17" s="105"/>
      <c r="BZ17" s="105"/>
      <c r="CA17" s="105"/>
      <c r="CB17" s="105"/>
      <c r="CC17" s="105"/>
      <c r="CD17" s="187"/>
    </row>
    <row r="18" spans="1:82" s="157" customFormat="1" ht="30" customHeight="1">
      <c r="A18" s="99"/>
      <c r="B18" s="109"/>
      <c r="C18" s="110"/>
      <c r="D18" s="110"/>
      <c r="E18" s="110"/>
      <c r="F18" s="110"/>
      <c r="G18" s="111"/>
      <c r="H18" s="111"/>
      <c r="I18" s="117"/>
      <c r="J18" s="695" t="s">
        <v>1666</v>
      </c>
      <c r="K18" s="152"/>
      <c r="L18" s="152"/>
      <c r="M18" s="152"/>
      <c r="N18" s="152"/>
      <c r="O18" s="152"/>
      <c r="P18" s="152"/>
      <c r="Q18" s="153"/>
      <c r="R18" s="696" t="s">
        <v>2</v>
      </c>
      <c r="S18" s="155"/>
      <c r="T18" s="155"/>
      <c r="U18" s="155"/>
      <c r="V18" s="156"/>
      <c r="W18" s="222"/>
      <c r="X18" s="117"/>
      <c r="Y18" s="695" t="s">
        <v>1666</v>
      </c>
      <c r="Z18" s="152"/>
      <c r="AA18" s="152"/>
      <c r="AB18" s="152"/>
      <c r="AC18" s="152"/>
      <c r="AD18" s="152"/>
      <c r="AE18" s="152"/>
      <c r="AF18" s="153"/>
      <c r="AG18" s="696" t="s">
        <v>2</v>
      </c>
      <c r="AH18" s="155"/>
      <c r="AI18" s="155"/>
      <c r="AJ18" s="155"/>
      <c r="AK18" s="156"/>
      <c r="AL18" s="222"/>
      <c r="AM18" s="117"/>
      <c r="AN18" s="695" t="s">
        <v>1666</v>
      </c>
      <c r="AO18" s="152"/>
      <c r="AP18" s="152"/>
      <c r="AQ18" s="152"/>
      <c r="AR18" s="152"/>
      <c r="AS18" s="152"/>
      <c r="AT18" s="152"/>
      <c r="AU18" s="153"/>
      <c r="AV18" s="696" t="s">
        <v>2</v>
      </c>
      <c r="AW18" s="155"/>
      <c r="AX18" s="155"/>
      <c r="AY18" s="155"/>
      <c r="AZ18" s="156"/>
      <c r="BA18" s="222"/>
      <c r="BB18" s="527" t="s">
        <v>2693</v>
      </c>
      <c r="BC18" s="527"/>
      <c r="BD18" s="527" t="s">
        <v>2694</v>
      </c>
      <c r="BE18" s="527"/>
      <c r="BF18" s="527" t="s">
        <v>2695</v>
      </c>
      <c r="BG18" s="527"/>
      <c r="BH18" s="527" t="s">
        <v>2696</v>
      </c>
      <c r="BI18" s="527"/>
      <c r="BJ18" s="527" t="s">
        <v>2697</v>
      </c>
      <c r="BK18" s="527"/>
      <c r="BL18" s="527" t="s">
        <v>2698</v>
      </c>
      <c r="BM18" s="527"/>
      <c r="BN18" s="527" t="s">
        <v>2699</v>
      </c>
      <c r="BO18" s="527"/>
      <c r="BP18" s="222"/>
      <c r="BQ18" s="527" t="s">
        <v>2693</v>
      </c>
      <c r="BR18" s="527"/>
      <c r="BS18" s="527" t="s">
        <v>2694</v>
      </c>
      <c r="BT18" s="527"/>
      <c r="BU18" s="527" t="s">
        <v>2695</v>
      </c>
      <c r="BV18" s="527"/>
      <c r="BW18" s="527" t="s">
        <v>2696</v>
      </c>
      <c r="BX18" s="527"/>
      <c r="BY18" s="527" t="s">
        <v>2697</v>
      </c>
      <c r="BZ18" s="527"/>
      <c r="CA18" s="527" t="s">
        <v>2698</v>
      </c>
      <c r="CB18" s="527"/>
      <c r="CC18" s="527" t="s">
        <v>2699</v>
      </c>
      <c r="CD18" s="605"/>
    </row>
    <row r="19" spans="1:82" s="98" customFormat="1" ht="15" customHeight="1">
      <c r="A19" s="99"/>
      <c r="B19" s="115"/>
      <c r="C19" s="116"/>
      <c r="D19" s="116"/>
      <c r="E19" s="116"/>
      <c r="F19" s="116"/>
      <c r="G19" s="117"/>
      <c r="H19" s="117"/>
      <c r="I19" s="119" t="s">
        <v>1667</v>
      </c>
      <c r="J19" s="158" t="s">
        <v>453</v>
      </c>
      <c r="K19" s="137" t="s">
        <v>455</v>
      </c>
      <c r="L19" s="137" t="s">
        <v>457</v>
      </c>
      <c r="M19" s="137" t="s">
        <v>459</v>
      </c>
      <c r="N19" s="137" t="s">
        <v>461</v>
      </c>
      <c r="O19" s="137" t="s">
        <v>463</v>
      </c>
      <c r="P19" s="137" t="s">
        <v>465</v>
      </c>
      <c r="Q19" s="138" t="s">
        <v>467</v>
      </c>
      <c r="R19" s="120" t="s">
        <v>469</v>
      </c>
      <c r="S19" s="121" t="s">
        <v>471</v>
      </c>
      <c r="T19" s="121" t="s">
        <v>473</v>
      </c>
      <c r="U19" s="121" t="s">
        <v>475</v>
      </c>
      <c r="V19" s="122" t="s">
        <v>477</v>
      </c>
      <c r="W19" s="185"/>
      <c r="X19" s="119" t="s">
        <v>1667</v>
      </c>
      <c r="Y19" s="158" t="s">
        <v>453</v>
      </c>
      <c r="Z19" s="137" t="s">
        <v>455</v>
      </c>
      <c r="AA19" s="137" t="s">
        <v>457</v>
      </c>
      <c r="AB19" s="137" t="s">
        <v>459</v>
      </c>
      <c r="AC19" s="137" t="s">
        <v>461</v>
      </c>
      <c r="AD19" s="137" t="s">
        <v>463</v>
      </c>
      <c r="AE19" s="137" t="s">
        <v>465</v>
      </c>
      <c r="AF19" s="138" t="s">
        <v>467</v>
      </c>
      <c r="AG19" s="120" t="s">
        <v>469</v>
      </c>
      <c r="AH19" s="121" t="s">
        <v>471</v>
      </c>
      <c r="AI19" s="121" t="s">
        <v>473</v>
      </c>
      <c r="AJ19" s="121" t="s">
        <v>475</v>
      </c>
      <c r="AK19" s="122" t="s">
        <v>477</v>
      </c>
      <c r="AL19" s="185"/>
      <c r="AM19" s="119" t="s">
        <v>1667</v>
      </c>
      <c r="AN19" s="158" t="s">
        <v>453</v>
      </c>
      <c r="AO19" s="137" t="s">
        <v>455</v>
      </c>
      <c r="AP19" s="137" t="s">
        <v>457</v>
      </c>
      <c r="AQ19" s="137" t="s">
        <v>459</v>
      </c>
      <c r="AR19" s="137" t="s">
        <v>461</v>
      </c>
      <c r="AS19" s="137" t="s">
        <v>463</v>
      </c>
      <c r="AT19" s="137" t="s">
        <v>465</v>
      </c>
      <c r="AU19" s="138" t="s">
        <v>467</v>
      </c>
      <c r="AV19" s="120" t="s">
        <v>469</v>
      </c>
      <c r="AW19" s="121" t="s">
        <v>471</v>
      </c>
      <c r="AX19" s="121" t="s">
        <v>473</v>
      </c>
      <c r="AY19" s="121" t="s">
        <v>475</v>
      </c>
      <c r="AZ19" s="122" t="s">
        <v>477</v>
      </c>
      <c r="BA19" s="185"/>
      <c r="BB19" s="531" t="s">
        <v>1667</v>
      </c>
      <c r="BC19" s="531" t="s">
        <v>2142</v>
      </c>
      <c r="BD19" s="531" t="s">
        <v>1667</v>
      </c>
      <c r="BE19" s="531" t="s">
        <v>2142</v>
      </c>
      <c r="BF19" s="531" t="s">
        <v>1667</v>
      </c>
      <c r="BG19" s="531" t="s">
        <v>2142</v>
      </c>
      <c r="BH19" s="531" t="s">
        <v>1667</v>
      </c>
      <c r="BI19" s="531" t="s">
        <v>2142</v>
      </c>
      <c r="BJ19" s="531" t="s">
        <v>1667</v>
      </c>
      <c r="BK19" s="531" t="s">
        <v>2142</v>
      </c>
      <c r="BL19" s="531" t="s">
        <v>1667</v>
      </c>
      <c r="BM19" s="531" t="s">
        <v>2142</v>
      </c>
      <c r="BN19" s="531" t="s">
        <v>1667</v>
      </c>
      <c r="BO19" s="531" t="s">
        <v>2142</v>
      </c>
      <c r="BP19" s="185"/>
      <c r="BQ19" s="531" t="s">
        <v>1667</v>
      </c>
      <c r="BR19" s="531" t="s">
        <v>2142</v>
      </c>
      <c r="BS19" s="531" t="s">
        <v>1667</v>
      </c>
      <c r="BT19" s="531" t="s">
        <v>2142</v>
      </c>
      <c r="BU19" s="531" t="s">
        <v>1667</v>
      </c>
      <c r="BV19" s="531" t="s">
        <v>2142</v>
      </c>
      <c r="BW19" s="531" t="s">
        <v>1667</v>
      </c>
      <c r="BX19" s="531" t="s">
        <v>2142</v>
      </c>
      <c r="BY19" s="531" t="s">
        <v>1667</v>
      </c>
      <c r="BZ19" s="531" t="s">
        <v>2142</v>
      </c>
      <c r="CA19" s="531" t="s">
        <v>1667</v>
      </c>
      <c r="CB19" s="531" t="s">
        <v>2142</v>
      </c>
      <c r="CC19" s="531" t="s">
        <v>1667</v>
      </c>
      <c r="CD19" s="532" t="s">
        <v>2142</v>
      </c>
    </row>
    <row r="20" spans="1:82" s="98" customFormat="1" ht="15" customHeight="1">
      <c r="A20" s="99"/>
      <c r="B20" s="161"/>
      <c r="C20" s="116" t="s">
        <v>2700</v>
      </c>
      <c r="D20" s="116"/>
      <c r="E20" s="116"/>
      <c r="F20" s="116"/>
      <c r="G20" s="117"/>
      <c r="H20" s="117"/>
      <c r="I20" s="117"/>
      <c r="J20" s="159"/>
      <c r="K20" s="94"/>
      <c r="L20" s="94"/>
      <c r="M20" s="94"/>
      <c r="N20" s="94"/>
      <c r="O20" s="94"/>
      <c r="P20" s="94"/>
      <c r="Q20" s="160"/>
      <c r="R20" s="159"/>
      <c r="S20" s="94"/>
      <c r="T20" s="94"/>
      <c r="U20" s="94"/>
      <c r="V20" s="160"/>
      <c r="W20" s="2629"/>
      <c r="X20" s="94"/>
      <c r="Y20" s="159"/>
      <c r="Z20" s="94"/>
      <c r="AA20" s="94"/>
      <c r="AB20" s="94"/>
      <c r="AC20" s="94"/>
      <c r="AD20" s="94"/>
      <c r="AE20" s="94"/>
      <c r="AF20" s="160"/>
      <c r="AG20" s="159"/>
      <c r="AH20" s="94"/>
      <c r="AI20" s="94"/>
      <c r="AJ20" s="94"/>
      <c r="AK20" s="160"/>
      <c r="AL20" s="2629"/>
      <c r="AM20" s="94"/>
      <c r="AN20" s="159"/>
      <c r="AO20" s="94"/>
      <c r="AP20" s="94"/>
      <c r="AQ20" s="94"/>
      <c r="AR20" s="94"/>
      <c r="AS20" s="94"/>
      <c r="AT20" s="94"/>
      <c r="AU20" s="160"/>
      <c r="AV20" s="159"/>
      <c r="AW20" s="94"/>
      <c r="AX20" s="94"/>
      <c r="AY20" s="94"/>
      <c r="AZ20" s="160"/>
      <c r="BA20" s="2629"/>
      <c r="BB20" s="542"/>
      <c r="BC20" s="542"/>
      <c r="BD20" s="542"/>
      <c r="BE20" s="542"/>
      <c r="BF20" s="542"/>
      <c r="BG20" s="542"/>
      <c r="BH20" s="542"/>
      <c r="BI20" s="542"/>
      <c r="BJ20" s="542"/>
      <c r="BK20" s="542"/>
      <c r="BL20" s="542"/>
      <c r="BM20" s="542"/>
      <c r="BN20" s="542"/>
      <c r="BO20" s="542"/>
      <c r="BP20" s="2629"/>
      <c r="BQ20" s="542"/>
      <c r="BR20" s="542"/>
      <c r="BS20" s="542"/>
      <c r="BT20" s="542"/>
      <c r="BU20" s="542"/>
      <c r="BV20" s="542"/>
      <c r="BW20" s="542"/>
      <c r="BX20" s="542"/>
      <c r="BY20" s="542"/>
      <c r="BZ20" s="542"/>
      <c r="CA20" s="542"/>
      <c r="CB20" s="542"/>
      <c r="CC20" s="542"/>
      <c r="CD20" s="544"/>
    </row>
    <row r="21" spans="1:82" s="98" customFormat="1" ht="15" customHeight="1">
      <c r="A21" s="99"/>
      <c r="B21" s="161"/>
      <c r="C21" s="162"/>
      <c r="D21" s="162" t="s">
        <v>2701</v>
      </c>
      <c r="E21" s="162"/>
      <c r="F21" s="162"/>
      <c r="G21" s="163"/>
      <c r="H21" s="163"/>
      <c r="I21" s="164" t="s">
        <v>498</v>
      </c>
      <c r="J21" s="143">
        <v>9.6502557286501389E-4</v>
      </c>
      <c r="K21" s="141">
        <v>8.4930206829073401E-2</v>
      </c>
      <c r="L21" s="141">
        <v>0.62263156397439756</v>
      </c>
      <c r="M21" s="141">
        <v>6.073632114483446E-2</v>
      </c>
      <c r="N21" s="141">
        <v>6.381121106441197E-3</v>
      </c>
      <c r="O21" s="141">
        <v>4.3339818536085413E-3</v>
      </c>
      <c r="P21" s="141">
        <v>6.5032397356393504E-2</v>
      </c>
      <c r="Q21" s="144">
        <v>5.0906356780613671E-2</v>
      </c>
      <c r="R21" s="143">
        <v>0.13609913419972636</v>
      </c>
      <c r="S21" s="141">
        <v>0.13541863852872774</v>
      </c>
      <c r="T21" s="141">
        <v>0.1347415453360841</v>
      </c>
      <c r="U21" s="141">
        <v>0.13406783760940366</v>
      </c>
      <c r="V21" s="144">
        <v>0.13339749842135665</v>
      </c>
      <c r="W21" s="2629"/>
      <c r="X21" s="607" t="s">
        <v>498</v>
      </c>
      <c r="Y21" s="143">
        <v>0</v>
      </c>
      <c r="Z21" s="141">
        <v>0</v>
      </c>
      <c r="AA21" s="141">
        <v>0</v>
      </c>
      <c r="AB21" s="141">
        <v>0</v>
      </c>
      <c r="AC21" s="141">
        <v>0</v>
      </c>
      <c r="AD21" s="141">
        <v>0</v>
      </c>
      <c r="AE21" s="141">
        <v>0</v>
      </c>
      <c r="AF21" s="144">
        <v>0</v>
      </c>
      <c r="AG21" s="143">
        <v>0</v>
      </c>
      <c r="AH21" s="141">
        <v>0</v>
      </c>
      <c r="AI21" s="141">
        <v>0</v>
      </c>
      <c r="AJ21" s="141">
        <v>0</v>
      </c>
      <c r="AK21" s="144">
        <v>0</v>
      </c>
      <c r="AL21" s="2629"/>
      <c r="AM21" s="607" t="s">
        <v>2233</v>
      </c>
      <c r="AN21" s="143">
        <v>1.0999999999999999E-2</v>
      </c>
      <c r="AO21" s="141">
        <v>0.80900000000000005</v>
      </c>
      <c r="AP21" s="141">
        <v>1.1120000000000001</v>
      </c>
      <c r="AQ21" s="141">
        <v>0.16800000000000001</v>
      </c>
      <c r="AR21" s="141">
        <v>8.199999999999999E-2</v>
      </c>
      <c r="AS21" s="141">
        <v>5.1999999999999998E-2</v>
      </c>
      <c r="AT21" s="141">
        <v>0.18344352871579678</v>
      </c>
      <c r="AU21" s="144">
        <v>0.16257582343447008</v>
      </c>
      <c r="AV21" s="143">
        <v>1.226869671647725</v>
      </c>
      <c r="AW21" s="141">
        <v>1.226869671647725</v>
      </c>
      <c r="AX21" s="141">
        <v>1.226869671647725</v>
      </c>
      <c r="AY21" s="141">
        <v>1.226869671647725</v>
      </c>
      <c r="AZ21" s="144">
        <v>1.226869671647725</v>
      </c>
      <c r="BA21" s="2629"/>
      <c r="BB21" s="545" t="s">
        <v>627</v>
      </c>
      <c r="BC21" s="868">
        <v>0</v>
      </c>
      <c r="BD21" s="545" t="s">
        <v>627</v>
      </c>
      <c r="BE21" s="868">
        <v>0</v>
      </c>
      <c r="BF21" s="545" t="s">
        <v>2233</v>
      </c>
      <c r="BG21" s="141">
        <v>0</v>
      </c>
      <c r="BH21" s="545" t="s">
        <v>2233</v>
      </c>
      <c r="BI21" s="141">
        <v>0</v>
      </c>
      <c r="BJ21" s="545" t="s">
        <v>2233</v>
      </c>
      <c r="BK21" s="141">
        <v>0</v>
      </c>
      <c r="BL21" s="545" t="s">
        <v>2233</v>
      </c>
      <c r="BM21" s="141">
        <v>0</v>
      </c>
      <c r="BN21" s="545" t="s">
        <v>2233</v>
      </c>
      <c r="BO21" s="141">
        <v>0</v>
      </c>
      <c r="BP21" s="2629"/>
      <c r="BQ21" s="545" t="s">
        <v>627</v>
      </c>
      <c r="BR21" s="868">
        <v>0</v>
      </c>
      <c r="BS21" s="545" t="s">
        <v>627</v>
      </c>
      <c r="BT21" s="868">
        <v>0</v>
      </c>
      <c r="BU21" s="545" t="s">
        <v>2233</v>
      </c>
      <c r="BV21" s="141">
        <v>0</v>
      </c>
      <c r="BW21" s="545" t="s">
        <v>2233</v>
      </c>
      <c r="BX21" s="141">
        <v>0</v>
      </c>
      <c r="BY21" s="545" t="s">
        <v>2233</v>
      </c>
      <c r="BZ21" s="141">
        <v>0</v>
      </c>
      <c r="CA21" s="545" t="s">
        <v>2233</v>
      </c>
      <c r="CB21" s="141">
        <v>0</v>
      </c>
      <c r="CC21" s="545" t="s">
        <v>2233</v>
      </c>
      <c r="CD21" s="141">
        <v>0</v>
      </c>
    </row>
    <row r="22" spans="1:82" s="98" customFormat="1" ht="15" customHeight="1">
      <c r="A22" s="99"/>
      <c r="B22" s="161"/>
      <c r="C22" s="162"/>
      <c r="D22" s="162" t="s">
        <v>2702</v>
      </c>
      <c r="E22" s="162"/>
      <c r="F22" s="162"/>
      <c r="G22" s="163"/>
      <c r="H22" s="163"/>
      <c r="I22" s="164" t="s">
        <v>498</v>
      </c>
      <c r="J22" s="143">
        <v>9.8665272556934289E-2</v>
      </c>
      <c r="K22" s="141">
        <v>3.5295670370524015E-2</v>
      </c>
      <c r="L22" s="141">
        <v>0.25230309313409799</v>
      </c>
      <c r="M22" s="141">
        <v>0.1909809137136656</v>
      </c>
      <c r="N22" s="141">
        <v>0.17731000555162504</v>
      </c>
      <c r="O22" s="141">
        <v>4.3416586287079145E-2</v>
      </c>
      <c r="P22" s="141">
        <v>7.7797960883080677E-2</v>
      </c>
      <c r="Q22" s="144">
        <v>7.3076574745562325E-2</v>
      </c>
      <c r="R22" s="143">
        <v>0.32905854999278605</v>
      </c>
      <c r="S22" s="141">
        <v>0.32741325724282211</v>
      </c>
      <c r="T22" s="141">
        <v>0.32577619095660798</v>
      </c>
      <c r="U22" s="141">
        <v>0.32414731000182495</v>
      </c>
      <c r="V22" s="144">
        <v>0.32252657345181585</v>
      </c>
      <c r="W22" s="2629"/>
      <c r="X22" s="607" t="s">
        <v>498</v>
      </c>
      <c r="Y22" s="143">
        <v>0</v>
      </c>
      <c r="Z22" s="141">
        <v>0</v>
      </c>
      <c r="AA22" s="141">
        <v>0</v>
      </c>
      <c r="AB22" s="141">
        <v>0</v>
      </c>
      <c r="AC22" s="141">
        <v>0</v>
      </c>
      <c r="AD22" s="141">
        <v>0</v>
      </c>
      <c r="AE22" s="141">
        <v>0</v>
      </c>
      <c r="AF22" s="144">
        <v>0</v>
      </c>
      <c r="AG22" s="143">
        <v>0</v>
      </c>
      <c r="AH22" s="141">
        <v>0</v>
      </c>
      <c r="AI22" s="141">
        <v>0</v>
      </c>
      <c r="AJ22" s="141">
        <v>0</v>
      </c>
      <c r="AK22" s="144">
        <v>0</v>
      </c>
      <c r="AL22" s="2629"/>
      <c r="AM22" s="607" t="s">
        <v>2233</v>
      </c>
      <c r="AN22" s="143">
        <v>0.93500000000000005</v>
      </c>
      <c r="AO22" s="141">
        <v>0.30499999999999999</v>
      </c>
      <c r="AP22" s="141">
        <v>1.0195000000000001</v>
      </c>
      <c r="AQ22" s="141">
        <v>0.32700000000000001</v>
      </c>
      <c r="AR22" s="141">
        <v>1.7729999999999997</v>
      </c>
      <c r="AS22" s="141">
        <v>0.60300000000000009</v>
      </c>
      <c r="AT22" s="141">
        <v>0.47648942832731589</v>
      </c>
      <c r="AU22" s="144">
        <v>0.50672759098397713</v>
      </c>
      <c r="AV22" s="143">
        <v>2.7908453861007172</v>
      </c>
      <c r="AW22" s="141">
        <v>2.7908453861007172</v>
      </c>
      <c r="AX22" s="141">
        <v>2.7908453861007172</v>
      </c>
      <c r="AY22" s="141">
        <v>2.7908453861007172</v>
      </c>
      <c r="AZ22" s="144">
        <v>2.7908453861007172</v>
      </c>
      <c r="BA22" s="2629"/>
      <c r="BB22" s="545" t="s">
        <v>627</v>
      </c>
      <c r="BC22" s="868">
        <v>0</v>
      </c>
      <c r="BD22" s="545" t="s">
        <v>627</v>
      </c>
      <c r="BE22" s="868">
        <v>0</v>
      </c>
      <c r="BF22" s="545" t="s">
        <v>2233</v>
      </c>
      <c r="BG22" s="141">
        <v>0</v>
      </c>
      <c r="BH22" s="545" t="s">
        <v>2233</v>
      </c>
      <c r="BI22" s="141">
        <v>0</v>
      </c>
      <c r="BJ22" s="545" t="s">
        <v>2233</v>
      </c>
      <c r="BK22" s="141">
        <v>0</v>
      </c>
      <c r="BL22" s="545" t="s">
        <v>2233</v>
      </c>
      <c r="BM22" s="141">
        <v>0</v>
      </c>
      <c r="BN22" s="545" t="s">
        <v>2233</v>
      </c>
      <c r="BO22" s="141">
        <v>0</v>
      </c>
      <c r="BP22" s="2629"/>
      <c r="BQ22" s="545" t="s">
        <v>627</v>
      </c>
      <c r="BR22" s="868">
        <v>0</v>
      </c>
      <c r="BS22" s="545" t="s">
        <v>627</v>
      </c>
      <c r="BT22" s="868">
        <v>0</v>
      </c>
      <c r="BU22" s="545" t="s">
        <v>2233</v>
      </c>
      <c r="BV22" s="141">
        <v>0</v>
      </c>
      <c r="BW22" s="545" t="s">
        <v>2233</v>
      </c>
      <c r="BX22" s="141">
        <v>0</v>
      </c>
      <c r="BY22" s="545" t="s">
        <v>2233</v>
      </c>
      <c r="BZ22" s="141">
        <v>0</v>
      </c>
      <c r="CA22" s="545" t="s">
        <v>2233</v>
      </c>
      <c r="CB22" s="141">
        <v>0</v>
      </c>
      <c r="CC22" s="545" t="s">
        <v>2233</v>
      </c>
      <c r="CD22" s="141">
        <v>0</v>
      </c>
    </row>
    <row r="23" spans="1:82" s="98" customFormat="1" ht="15" customHeight="1">
      <c r="A23" s="99"/>
      <c r="B23" s="161"/>
      <c r="C23" s="162"/>
      <c r="D23" s="162" t="s">
        <v>2703</v>
      </c>
      <c r="E23" s="162"/>
      <c r="F23" s="162"/>
      <c r="G23" s="163"/>
      <c r="H23" s="163"/>
      <c r="I23" s="164" t="s">
        <v>498</v>
      </c>
      <c r="J23" s="143">
        <v>0.58677485932827267</v>
      </c>
      <c r="K23" s="141">
        <v>0.34192680671445141</v>
      </c>
      <c r="L23" s="141">
        <v>1.1762162648514529</v>
      </c>
      <c r="M23" s="141">
        <v>0.35054130452325777</v>
      </c>
      <c r="N23" s="141">
        <v>1.0304263494111662E-2</v>
      </c>
      <c r="O23" s="141">
        <v>0.71582221747151942</v>
      </c>
      <c r="P23" s="141">
        <v>0.25328366007736269</v>
      </c>
      <c r="Q23" s="144">
        <v>0.20783559375788924</v>
      </c>
      <c r="R23" s="143">
        <v>0.17314420526816912</v>
      </c>
      <c r="S23" s="141">
        <v>0.17227848424182826</v>
      </c>
      <c r="T23" s="141">
        <v>0.17141709182061912</v>
      </c>
      <c r="U23" s="141">
        <v>0.17056000636151603</v>
      </c>
      <c r="V23" s="144">
        <v>0.16970720632970845</v>
      </c>
      <c r="W23" s="2629"/>
      <c r="X23" s="607" t="s">
        <v>498</v>
      </c>
      <c r="Y23" s="143">
        <v>0</v>
      </c>
      <c r="Z23" s="141">
        <v>0</v>
      </c>
      <c r="AA23" s="141">
        <v>0</v>
      </c>
      <c r="AB23" s="141">
        <v>0</v>
      </c>
      <c r="AC23" s="141">
        <v>0</v>
      </c>
      <c r="AD23" s="141">
        <v>0</v>
      </c>
      <c r="AE23" s="141">
        <v>0</v>
      </c>
      <c r="AF23" s="144">
        <v>0</v>
      </c>
      <c r="AG23" s="143">
        <v>0</v>
      </c>
      <c r="AH23" s="141">
        <v>0</v>
      </c>
      <c r="AI23" s="141">
        <v>0</v>
      </c>
      <c r="AJ23" s="141">
        <v>0</v>
      </c>
      <c r="AK23" s="144">
        <v>0</v>
      </c>
      <c r="AL23" s="2629"/>
      <c r="AM23" s="607" t="s">
        <v>2233</v>
      </c>
      <c r="AN23" s="143">
        <v>3.9159999999999999</v>
      </c>
      <c r="AO23" s="141">
        <v>1.8280000000000001</v>
      </c>
      <c r="AP23" s="141">
        <v>3.1349999999999998</v>
      </c>
      <c r="AQ23" s="141">
        <v>2.9849999999999999</v>
      </c>
      <c r="AR23" s="141">
        <v>4.4000000000000004E-2</v>
      </c>
      <c r="AS23" s="141">
        <v>3.2610000000000001</v>
      </c>
      <c r="AT23" s="141">
        <v>1.1893027835470293</v>
      </c>
      <c r="AU23" s="144">
        <v>1.1048835360874409</v>
      </c>
      <c r="AV23" s="143">
        <v>1.0006168812366538</v>
      </c>
      <c r="AW23" s="141">
        <v>1.0006168812366538</v>
      </c>
      <c r="AX23" s="141">
        <v>1.0006168812366538</v>
      </c>
      <c r="AY23" s="141">
        <v>1.0006168812366538</v>
      </c>
      <c r="AZ23" s="144">
        <v>1.0006168812366538</v>
      </c>
      <c r="BA23" s="2629"/>
      <c r="BB23" s="545" t="s">
        <v>627</v>
      </c>
      <c r="BC23" s="868">
        <v>0</v>
      </c>
      <c r="BD23" s="545" t="s">
        <v>627</v>
      </c>
      <c r="BE23" s="868">
        <v>0</v>
      </c>
      <c r="BF23" s="545" t="s">
        <v>2233</v>
      </c>
      <c r="BG23" s="141">
        <v>0</v>
      </c>
      <c r="BH23" s="545" t="s">
        <v>2233</v>
      </c>
      <c r="BI23" s="141">
        <v>0</v>
      </c>
      <c r="BJ23" s="545" t="s">
        <v>2233</v>
      </c>
      <c r="BK23" s="141">
        <v>0</v>
      </c>
      <c r="BL23" s="545" t="s">
        <v>2233</v>
      </c>
      <c r="BM23" s="141">
        <v>0</v>
      </c>
      <c r="BN23" s="545" t="s">
        <v>2233</v>
      </c>
      <c r="BO23" s="141">
        <v>0</v>
      </c>
      <c r="BP23" s="2629"/>
      <c r="BQ23" s="545" t="s">
        <v>627</v>
      </c>
      <c r="BR23" s="868">
        <v>0</v>
      </c>
      <c r="BS23" s="545" t="s">
        <v>627</v>
      </c>
      <c r="BT23" s="868">
        <v>0</v>
      </c>
      <c r="BU23" s="545" t="s">
        <v>2233</v>
      </c>
      <c r="BV23" s="141">
        <v>0</v>
      </c>
      <c r="BW23" s="545" t="s">
        <v>2233</v>
      </c>
      <c r="BX23" s="141">
        <v>0</v>
      </c>
      <c r="BY23" s="545" t="s">
        <v>2233</v>
      </c>
      <c r="BZ23" s="141">
        <v>0</v>
      </c>
      <c r="CA23" s="545" t="s">
        <v>2233</v>
      </c>
      <c r="CB23" s="141">
        <v>0</v>
      </c>
      <c r="CC23" s="545" t="s">
        <v>2233</v>
      </c>
      <c r="CD23" s="141">
        <v>0</v>
      </c>
    </row>
    <row r="24" spans="1:82" s="98" customFormat="1" ht="15" customHeight="1">
      <c r="A24" s="99"/>
      <c r="B24" s="161"/>
      <c r="C24" s="162"/>
      <c r="D24" s="162" t="s">
        <v>2704</v>
      </c>
      <c r="E24" s="162"/>
      <c r="F24" s="162"/>
      <c r="G24" s="163"/>
      <c r="H24" s="163"/>
      <c r="I24" s="164" t="s">
        <v>498</v>
      </c>
      <c r="J24" s="143">
        <v>0.15034492413935555</v>
      </c>
      <c r="K24" s="141">
        <v>0.37611948738589657</v>
      </c>
      <c r="L24" s="141">
        <v>0.4075952794934975</v>
      </c>
      <c r="M24" s="141">
        <v>0.62194427575259659</v>
      </c>
      <c r="N24" s="141">
        <v>3.7814014765683482E-2</v>
      </c>
      <c r="O24" s="141">
        <v>0.45282733725693736</v>
      </c>
      <c r="P24" s="141">
        <v>0.15834769674506829</v>
      </c>
      <c r="Q24" s="144">
        <v>0.14423240698506667</v>
      </c>
      <c r="R24" s="143">
        <v>9.018553521614997E-2</v>
      </c>
      <c r="S24" s="141">
        <v>8.9734607540069219E-2</v>
      </c>
      <c r="T24" s="141">
        <v>8.9285934502368866E-2</v>
      </c>
      <c r="U24" s="141">
        <v>8.8839504829857016E-2</v>
      </c>
      <c r="V24" s="144">
        <v>8.8395307305707729E-2</v>
      </c>
      <c r="W24" s="2629"/>
      <c r="X24" s="607" t="s">
        <v>498</v>
      </c>
      <c r="Y24" s="143">
        <v>0</v>
      </c>
      <c r="Z24" s="141">
        <v>0</v>
      </c>
      <c r="AA24" s="141">
        <v>0</v>
      </c>
      <c r="AB24" s="141">
        <v>0</v>
      </c>
      <c r="AC24" s="141">
        <v>0</v>
      </c>
      <c r="AD24" s="141">
        <v>0</v>
      </c>
      <c r="AE24" s="141">
        <v>0</v>
      </c>
      <c r="AF24" s="144">
        <v>0</v>
      </c>
      <c r="AG24" s="143">
        <v>0</v>
      </c>
      <c r="AH24" s="141">
        <v>0</v>
      </c>
      <c r="AI24" s="141">
        <v>0</v>
      </c>
      <c r="AJ24" s="141">
        <v>0</v>
      </c>
      <c r="AK24" s="144">
        <v>0</v>
      </c>
      <c r="AL24" s="2629"/>
      <c r="AM24" s="607" t="s">
        <v>2233</v>
      </c>
      <c r="AN24" s="143">
        <v>0.67100000000000004</v>
      </c>
      <c r="AO24" s="141">
        <v>1.232</v>
      </c>
      <c r="AP24" s="141">
        <v>0.83199999999999996</v>
      </c>
      <c r="AQ24" s="141">
        <v>2.6959999999999997</v>
      </c>
      <c r="AR24" s="141">
        <v>0.15</v>
      </c>
      <c r="AS24" s="141">
        <v>1.732</v>
      </c>
      <c r="AT24" s="141">
        <v>0.55723280576197298</v>
      </c>
      <c r="AU24" s="144">
        <v>0.57464428345281393</v>
      </c>
      <c r="AV24" s="143">
        <v>0.29363328789821269</v>
      </c>
      <c r="AW24" s="141">
        <v>0.29363328789821269</v>
      </c>
      <c r="AX24" s="141">
        <v>0.29363328789821269</v>
      </c>
      <c r="AY24" s="141">
        <v>0.29363328789821269</v>
      </c>
      <c r="AZ24" s="144">
        <v>0.29363328789821269</v>
      </c>
      <c r="BA24" s="2629"/>
      <c r="BB24" s="545" t="s">
        <v>627</v>
      </c>
      <c r="BC24" s="868">
        <v>0</v>
      </c>
      <c r="BD24" s="545" t="s">
        <v>627</v>
      </c>
      <c r="BE24" s="868">
        <v>0</v>
      </c>
      <c r="BF24" s="545" t="s">
        <v>2233</v>
      </c>
      <c r="BG24" s="141">
        <v>0</v>
      </c>
      <c r="BH24" s="545" t="s">
        <v>2233</v>
      </c>
      <c r="BI24" s="141">
        <v>0</v>
      </c>
      <c r="BJ24" s="545" t="s">
        <v>2233</v>
      </c>
      <c r="BK24" s="141">
        <v>0</v>
      </c>
      <c r="BL24" s="545" t="s">
        <v>2233</v>
      </c>
      <c r="BM24" s="141">
        <v>0</v>
      </c>
      <c r="BN24" s="545" t="s">
        <v>2233</v>
      </c>
      <c r="BO24" s="141">
        <v>0</v>
      </c>
      <c r="BP24" s="2629"/>
      <c r="BQ24" s="545" t="s">
        <v>627</v>
      </c>
      <c r="BR24" s="868">
        <v>0</v>
      </c>
      <c r="BS24" s="545" t="s">
        <v>627</v>
      </c>
      <c r="BT24" s="868">
        <v>0</v>
      </c>
      <c r="BU24" s="545" t="s">
        <v>2233</v>
      </c>
      <c r="BV24" s="141">
        <v>0</v>
      </c>
      <c r="BW24" s="545" t="s">
        <v>2233</v>
      </c>
      <c r="BX24" s="141">
        <v>0</v>
      </c>
      <c r="BY24" s="545" t="s">
        <v>2233</v>
      </c>
      <c r="BZ24" s="141">
        <v>0</v>
      </c>
      <c r="CA24" s="545" t="s">
        <v>2233</v>
      </c>
      <c r="CB24" s="141">
        <v>0</v>
      </c>
      <c r="CC24" s="545" t="s">
        <v>2233</v>
      </c>
      <c r="CD24" s="141">
        <v>0</v>
      </c>
    </row>
    <row r="25" spans="1:82" s="98" customFormat="1" ht="15" customHeight="1">
      <c r="A25" s="99"/>
      <c r="B25" s="161"/>
      <c r="C25" s="162"/>
      <c r="D25" s="162" t="s">
        <v>2705</v>
      </c>
      <c r="E25" s="162"/>
      <c r="F25" s="162"/>
      <c r="G25" s="163"/>
      <c r="H25" s="163"/>
      <c r="I25" s="164" t="s">
        <v>498</v>
      </c>
      <c r="J25" s="143">
        <v>1.7812528007808155E-2</v>
      </c>
      <c r="K25" s="141">
        <v>0.52943505555786019</v>
      </c>
      <c r="L25" s="141">
        <v>0</v>
      </c>
      <c r="M25" s="141">
        <v>3.020670697709724E-2</v>
      </c>
      <c r="N25" s="141">
        <v>1.850126776254496E-2</v>
      </c>
      <c r="O25" s="141">
        <v>0.34245190556660809</v>
      </c>
      <c r="P25" s="141">
        <v>7.3842826796018071E-2</v>
      </c>
      <c r="Q25" s="144">
        <v>6.5648641293819712E-2</v>
      </c>
      <c r="R25" s="143">
        <v>0.43660981828166318</v>
      </c>
      <c r="S25" s="141">
        <v>0.43442676919025486</v>
      </c>
      <c r="T25" s="141">
        <v>0.43225463534430358</v>
      </c>
      <c r="U25" s="141">
        <v>0.43009336216758204</v>
      </c>
      <c r="V25" s="144">
        <v>0.42794289535674412</v>
      </c>
      <c r="W25" s="2629"/>
      <c r="X25" s="607" t="s">
        <v>498</v>
      </c>
      <c r="Y25" s="143">
        <v>0</v>
      </c>
      <c r="Z25" s="141">
        <v>0</v>
      </c>
      <c r="AA25" s="141">
        <v>0</v>
      </c>
      <c r="AB25" s="141">
        <v>0</v>
      </c>
      <c r="AC25" s="141">
        <v>0</v>
      </c>
      <c r="AD25" s="141">
        <v>0</v>
      </c>
      <c r="AE25" s="141">
        <v>0</v>
      </c>
      <c r="AF25" s="144">
        <v>0</v>
      </c>
      <c r="AG25" s="143">
        <v>0</v>
      </c>
      <c r="AH25" s="141">
        <v>0</v>
      </c>
      <c r="AI25" s="141">
        <v>0</v>
      </c>
      <c r="AJ25" s="141">
        <v>0</v>
      </c>
      <c r="AK25" s="144">
        <v>0</v>
      </c>
      <c r="AL25" s="2629"/>
      <c r="AM25" s="607" t="s">
        <v>2233</v>
      </c>
      <c r="AN25" s="143">
        <v>4.4999999999999998E-2</v>
      </c>
      <c r="AO25" s="141">
        <v>1.2965</v>
      </c>
      <c r="AP25" s="141">
        <v>0</v>
      </c>
      <c r="AQ25" s="141">
        <v>1.1890000000000001</v>
      </c>
      <c r="AR25" s="141">
        <v>2.9000000000000001E-2</v>
      </c>
      <c r="AS25" s="141">
        <v>0.78200000000000003</v>
      </c>
      <c r="AT25" s="141">
        <v>0.25895855596652351</v>
      </c>
      <c r="AU25" s="144">
        <v>0.26065076668520437</v>
      </c>
      <c r="AV25" s="143">
        <v>0.91110860975642782</v>
      </c>
      <c r="AW25" s="141">
        <v>0.91110860975642782</v>
      </c>
      <c r="AX25" s="141">
        <v>0.91110860975642782</v>
      </c>
      <c r="AY25" s="141">
        <v>0.91110860975642782</v>
      </c>
      <c r="AZ25" s="144">
        <v>0.91110860975642782</v>
      </c>
      <c r="BA25" s="2629"/>
      <c r="BB25" s="545" t="s">
        <v>627</v>
      </c>
      <c r="BC25" s="868">
        <v>0</v>
      </c>
      <c r="BD25" s="545" t="s">
        <v>627</v>
      </c>
      <c r="BE25" s="868">
        <v>0</v>
      </c>
      <c r="BF25" s="545" t="s">
        <v>2233</v>
      </c>
      <c r="BG25" s="141">
        <v>0</v>
      </c>
      <c r="BH25" s="545" t="s">
        <v>2233</v>
      </c>
      <c r="BI25" s="141">
        <v>0</v>
      </c>
      <c r="BJ25" s="545" t="s">
        <v>2233</v>
      </c>
      <c r="BK25" s="141">
        <v>0</v>
      </c>
      <c r="BL25" s="545" t="s">
        <v>2233</v>
      </c>
      <c r="BM25" s="141">
        <v>0</v>
      </c>
      <c r="BN25" s="545" t="s">
        <v>2233</v>
      </c>
      <c r="BO25" s="141">
        <v>0</v>
      </c>
      <c r="BP25" s="2629"/>
      <c r="BQ25" s="545" t="s">
        <v>627</v>
      </c>
      <c r="BR25" s="868">
        <v>0</v>
      </c>
      <c r="BS25" s="545" t="s">
        <v>627</v>
      </c>
      <c r="BT25" s="868">
        <v>0</v>
      </c>
      <c r="BU25" s="545" t="s">
        <v>2233</v>
      </c>
      <c r="BV25" s="141">
        <v>0</v>
      </c>
      <c r="BW25" s="545" t="s">
        <v>2233</v>
      </c>
      <c r="BX25" s="141">
        <v>0</v>
      </c>
      <c r="BY25" s="545" t="s">
        <v>2233</v>
      </c>
      <c r="BZ25" s="141">
        <v>0</v>
      </c>
      <c r="CA25" s="545" t="s">
        <v>2233</v>
      </c>
      <c r="CB25" s="141">
        <v>0</v>
      </c>
      <c r="CC25" s="545" t="s">
        <v>2233</v>
      </c>
      <c r="CD25" s="141">
        <v>0</v>
      </c>
    </row>
    <row r="26" spans="1:82" s="98" customFormat="1" ht="15" customHeight="1">
      <c r="A26" s="99"/>
      <c r="B26" s="161"/>
      <c r="C26" s="162"/>
      <c r="D26" s="162" t="s">
        <v>2706</v>
      </c>
      <c r="E26" s="162"/>
      <c r="F26" s="162"/>
      <c r="G26" s="163"/>
      <c r="H26" s="163"/>
      <c r="I26" s="164" t="s">
        <v>498</v>
      </c>
      <c r="J26" s="143">
        <v>0</v>
      </c>
      <c r="K26" s="141">
        <v>0</v>
      </c>
      <c r="L26" s="141">
        <v>0.14255634240170839</v>
      </c>
      <c r="M26" s="141">
        <v>0</v>
      </c>
      <c r="N26" s="141">
        <v>2.4001248699035673</v>
      </c>
      <c r="O26" s="141">
        <v>0</v>
      </c>
      <c r="P26" s="141">
        <v>0.3137433932062661</v>
      </c>
      <c r="Q26" s="144">
        <v>0.34304808281596672</v>
      </c>
      <c r="R26" s="143">
        <v>1.3492312576795724</v>
      </c>
      <c r="S26" s="141">
        <v>1.3424851013911745</v>
      </c>
      <c r="T26" s="141">
        <v>1.3357726758842186</v>
      </c>
      <c r="U26" s="141">
        <v>1.3290938125047975</v>
      </c>
      <c r="V26" s="144">
        <v>1.3224483434422736</v>
      </c>
      <c r="W26" s="2629"/>
      <c r="X26" s="607" t="s">
        <v>498</v>
      </c>
      <c r="Y26" s="143">
        <v>0</v>
      </c>
      <c r="Z26" s="141">
        <v>0</v>
      </c>
      <c r="AA26" s="141">
        <v>0</v>
      </c>
      <c r="AB26" s="141">
        <v>0</v>
      </c>
      <c r="AC26" s="141">
        <v>0</v>
      </c>
      <c r="AD26" s="141">
        <v>0</v>
      </c>
      <c r="AE26" s="141">
        <v>0</v>
      </c>
      <c r="AF26" s="144">
        <v>0</v>
      </c>
      <c r="AG26" s="143">
        <v>0</v>
      </c>
      <c r="AH26" s="141">
        <v>0</v>
      </c>
      <c r="AI26" s="141">
        <v>0</v>
      </c>
      <c r="AJ26" s="141">
        <v>0</v>
      </c>
      <c r="AK26" s="144">
        <v>0</v>
      </c>
      <c r="AL26" s="2629"/>
      <c r="AM26" s="607" t="s">
        <v>2233</v>
      </c>
      <c r="AN26" s="143">
        <v>0</v>
      </c>
      <c r="AO26" s="141">
        <v>0</v>
      </c>
      <c r="AP26" s="141">
        <v>0.17100000000000001</v>
      </c>
      <c r="AQ26" s="141">
        <v>0</v>
      </c>
      <c r="AR26" s="141">
        <v>1.7640000000000002</v>
      </c>
      <c r="AS26" s="141"/>
      <c r="AT26" s="141">
        <v>0.23514491057501083</v>
      </c>
      <c r="AU26" s="144">
        <v>0.2910900122497429</v>
      </c>
      <c r="AV26" s="143">
        <v>1.7860565157214157</v>
      </c>
      <c r="AW26" s="141">
        <v>1.7860565157214157</v>
      </c>
      <c r="AX26" s="141">
        <v>1.7860565157214157</v>
      </c>
      <c r="AY26" s="141">
        <v>1.7860565157214157</v>
      </c>
      <c r="AZ26" s="144">
        <v>1.7860565157214157</v>
      </c>
      <c r="BA26" s="2629"/>
      <c r="BB26" s="545" t="s">
        <v>627</v>
      </c>
      <c r="BC26" s="868">
        <v>0</v>
      </c>
      <c r="BD26" s="545" t="s">
        <v>627</v>
      </c>
      <c r="BE26" s="868">
        <v>0</v>
      </c>
      <c r="BF26" s="545" t="s">
        <v>2233</v>
      </c>
      <c r="BG26" s="141">
        <v>0</v>
      </c>
      <c r="BH26" s="545" t="s">
        <v>2233</v>
      </c>
      <c r="BI26" s="141">
        <v>0</v>
      </c>
      <c r="BJ26" s="545" t="s">
        <v>2233</v>
      </c>
      <c r="BK26" s="141">
        <v>0</v>
      </c>
      <c r="BL26" s="545" t="s">
        <v>2233</v>
      </c>
      <c r="BM26" s="141">
        <v>0</v>
      </c>
      <c r="BN26" s="545" t="s">
        <v>2233</v>
      </c>
      <c r="BO26" s="141">
        <v>0</v>
      </c>
      <c r="BP26" s="2629"/>
      <c r="BQ26" s="545" t="s">
        <v>627</v>
      </c>
      <c r="BR26" s="868">
        <v>0</v>
      </c>
      <c r="BS26" s="545" t="s">
        <v>627</v>
      </c>
      <c r="BT26" s="868">
        <v>0</v>
      </c>
      <c r="BU26" s="545" t="s">
        <v>2233</v>
      </c>
      <c r="BV26" s="141">
        <v>0</v>
      </c>
      <c r="BW26" s="545" t="s">
        <v>2233</v>
      </c>
      <c r="BX26" s="141">
        <v>0</v>
      </c>
      <c r="BY26" s="545" t="s">
        <v>2233</v>
      </c>
      <c r="BZ26" s="141">
        <v>0</v>
      </c>
      <c r="CA26" s="545" t="s">
        <v>2233</v>
      </c>
      <c r="CB26" s="141">
        <v>0</v>
      </c>
      <c r="CC26" s="545" t="s">
        <v>2233</v>
      </c>
      <c r="CD26" s="141">
        <v>0</v>
      </c>
    </row>
    <row r="27" spans="1:82" s="98" customFormat="1" ht="15" customHeight="1">
      <c r="A27" s="99"/>
      <c r="B27" s="161"/>
      <c r="C27" s="162"/>
      <c r="D27" s="162" t="s">
        <v>2707</v>
      </c>
      <c r="E27" s="162"/>
      <c r="F27" s="162"/>
      <c r="G27" s="163"/>
      <c r="H27" s="163"/>
      <c r="I27" s="164" t="s">
        <v>498</v>
      </c>
      <c r="J27" s="143">
        <v>0</v>
      </c>
      <c r="K27" s="141">
        <v>0</v>
      </c>
      <c r="L27" s="141">
        <v>0</v>
      </c>
      <c r="M27" s="141">
        <v>0</v>
      </c>
      <c r="N27" s="141">
        <v>0</v>
      </c>
      <c r="O27" s="141">
        <v>0</v>
      </c>
      <c r="P27" s="141">
        <v>0</v>
      </c>
      <c r="Q27" s="144">
        <v>0</v>
      </c>
      <c r="R27" s="143">
        <v>0.11502089060845778</v>
      </c>
      <c r="S27" s="141">
        <v>0.11444578615541549</v>
      </c>
      <c r="T27" s="141">
        <v>0.11387355722463842</v>
      </c>
      <c r="U27" s="141">
        <v>0.11330418943851522</v>
      </c>
      <c r="V27" s="144">
        <v>0.11273766849132265</v>
      </c>
      <c r="W27" s="2629"/>
      <c r="X27" s="607" t="s">
        <v>498</v>
      </c>
      <c r="Y27" s="143">
        <v>0</v>
      </c>
      <c r="Z27" s="141">
        <v>0</v>
      </c>
      <c r="AA27" s="141">
        <v>0</v>
      </c>
      <c r="AB27" s="141">
        <v>0</v>
      </c>
      <c r="AC27" s="141">
        <v>0</v>
      </c>
      <c r="AD27" s="141">
        <v>0</v>
      </c>
      <c r="AE27" s="141">
        <v>0</v>
      </c>
      <c r="AF27" s="144">
        <v>0</v>
      </c>
      <c r="AG27" s="143">
        <v>0</v>
      </c>
      <c r="AH27" s="141">
        <v>0</v>
      </c>
      <c r="AI27" s="141">
        <v>0</v>
      </c>
      <c r="AJ27" s="141">
        <v>0</v>
      </c>
      <c r="AK27" s="144">
        <v>0</v>
      </c>
      <c r="AL27" s="2629"/>
      <c r="AM27" s="607" t="s">
        <v>2233</v>
      </c>
      <c r="AN27" s="143">
        <v>0</v>
      </c>
      <c r="AO27" s="141">
        <v>0</v>
      </c>
      <c r="AP27" s="141">
        <v>0</v>
      </c>
      <c r="AQ27" s="141">
        <v>0</v>
      </c>
      <c r="AR27" s="141">
        <v>0</v>
      </c>
      <c r="AS27" s="141"/>
      <c r="AT27" s="141">
        <v>0</v>
      </c>
      <c r="AU27" s="144">
        <v>0</v>
      </c>
      <c r="AV27" s="143">
        <v>0.13711964763884815</v>
      </c>
      <c r="AW27" s="141">
        <v>0.13711964763884815</v>
      </c>
      <c r="AX27" s="141">
        <v>0.13711964763884815</v>
      </c>
      <c r="AY27" s="141">
        <v>0.13711964763884815</v>
      </c>
      <c r="AZ27" s="144">
        <v>0.13711964763884815</v>
      </c>
      <c r="BA27" s="2629"/>
      <c r="BB27" s="545" t="s">
        <v>627</v>
      </c>
      <c r="BC27" s="868">
        <v>0</v>
      </c>
      <c r="BD27" s="545" t="s">
        <v>627</v>
      </c>
      <c r="BE27" s="868">
        <v>0</v>
      </c>
      <c r="BF27" s="545" t="s">
        <v>2233</v>
      </c>
      <c r="BG27" s="141">
        <v>0</v>
      </c>
      <c r="BH27" s="545" t="s">
        <v>2233</v>
      </c>
      <c r="BI27" s="141">
        <v>0</v>
      </c>
      <c r="BJ27" s="545" t="s">
        <v>2233</v>
      </c>
      <c r="BK27" s="141">
        <v>0</v>
      </c>
      <c r="BL27" s="545" t="s">
        <v>2233</v>
      </c>
      <c r="BM27" s="141">
        <v>0</v>
      </c>
      <c r="BN27" s="545" t="s">
        <v>2233</v>
      </c>
      <c r="BO27" s="141">
        <v>0</v>
      </c>
      <c r="BP27" s="2629"/>
      <c r="BQ27" s="545" t="s">
        <v>627</v>
      </c>
      <c r="BR27" s="868">
        <v>0</v>
      </c>
      <c r="BS27" s="545" t="s">
        <v>627</v>
      </c>
      <c r="BT27" s="868">
        <v>0</v>
      </c>
      <c r="BU27" s="545" t="s">
        <v>2233</v>
      </c>
      <c r="BV27" s="141">
        <v>0</v>
      </c>
      <c r="BW27" s="545" t="s">
        <v>2233</v>
      </c>
      <c r="BX27" s="141">
        <v>0</v>
      </c>
      <c r="BY27" s="545" t="s">
        <v>2233</v>
      </c>
      <c r="BZ27" s="141">
        <v>0</v>
      </c>
      <c r="CA27" s="545" t="s">
        <v>2233</v>
      </c>
      <c r="CB27" s="141">
        <v>0</v>
      </c>
      <c r="CC27" s="545" t="s">
        <v>2233</v>
      </c>
      <c r="CD27" s="141">
        <v>0</v>
      </c>
    </row>
    <row r="28" spans="1:82" s="98" customFormat="1" ht="15" customHeight="1">
      <c r="A28" s="99"/>
      <c r="B28" s="161"/>
      <c r="C28" s="162"/>
      <c r="D28" s="162" t="s">
        <v>2708</v>
      </c>
      <c r="E28" s="162"/>
      <c r="F28" s="162"/>
      <c r="G28" s="163"/>
      <c r="H28" s="163"/>
      <c r="I28" s="164" t="s">
        <v>498</v>
      </c>
      <c r="J28" s="143">
        <v>0</v>
      </c>
      <c r="K28" s="141">
        <v>0</v>
      </c>
      <c r="L28" s="141">
        <v>0</v>
      </c>
      <c r="M28" s="141">
        <v>0</v>
      </c>
      <c r="N28" s="141">
        <v>0</v>
      </c>
      <c r="O28" s="141">
        <v>0</v>
      </c>
      <c r="P28" s="141">
        <v>0</v>
      </c>
      <c r="Q28" s="144">
        <v>0</v>
      </c>
      <c r="R28" s="143">
        <v>0</v>
      </c>
      <c r="S28" s="141">
        <v>0</v>
      </c>
      <c r="T28" s="141">
        <v>0</v>
      </c>
      <c r="U28" s="141">
        <v>0</v>
      </c>
      <c r="V28" s="144">
        <v>0</v>
      </c>
      <c r="W28" s="2629"/>
      <c r="X28" s="607" t="s">
        <v>498</v>
      </c>
      <c r="Y28" s="143">
        <v>0</v>
      </c>
      <c r="Z28" s="141">
        <v>0</v>
      </c>
      <c r="AA28" s="141">
        <v>0</v>
      </c>
      <c r="AB28" s="141">
        <v>0</v>
      </c>
      <c r="AC28" s="141">
        <v>0</v>
      </c>
      <c r="AD28" s="141">
        <v>0</v>
      </c>
      <c r="AE28" s="141">
        <v>0</v>
      </c>
      <c r="AF28" s="144">
        <v>0</v>
      </c>
      <c r="AG28" s="143">
        <v>0</v>
      </c>
      <c r="AH28" s="141">
        <v>0</v>
      </c>
      <c r="AI28" s="141">
        <v>0</v>
      </c>
      <c r="AJ28" s="141">
        <v>0</v>
      </c>
      <c r="AK28" s="144">
        <v>0</v>
      </c>
      <c r="AL28" s="2629"/>
      <c r="AM28" s="607" t="s">
        <v>2233</v>
      </c>
      <c r="AN28" s="143">
        <v>0</v>
      </c>
      <c r="AO28" s="141">
        <v>0</v>
      </c>
      <c r="AP28" s="141">
        <v>0</v>
      </c>
      <c r="AQ28" s="141">
        <v>0</v>
      </c>
      <c r="AR28" s="141">
        <v>0</v>
      </c>
      <c r="AS28" s="141"/>
      <c r="AT28" s="141">
        <v>0</v>
      </c>
      <c r="AU28" s="144">
        <v>0</v>
      </c>
      <c r="AV28" s="143">
        <v>0</v>
      </c>
      <c r="AW28" s="141">
        <v>0</v>
      </c>
      <c r="AX28" s="141">
        <v>0</v>
      </c>
      <c r="AY28" s="141">
        <v>0</v>
      </c>
      <c r="AZ28" s="144">
        <v>0</v>
      </c>
      <c r="BA28" s="2629"/>
      <c r="BB28" s="545" t="s">
        <v>627</v>
      </c>
      <c r="BC28" s="868">
        <v>0</v>
      </c>
      <c r="BD28" s="545" t="s">
        <v>627</v>
      </c>
      <c r="BE28" s="868">
        <v>0</v>
      </c>
      <c r="BF28" s="545" t="s">
        <v>2233</v>
      </c>
      <c r="BG28" s="141">
        <v>0</v>
      </c>
      <c r="BH28" s="545" t="s">
        <v>2233</v>
      </c>
      <c r="BI28" s="141">
        <v>0</v>
      </c>
      <c r="BJ28" s="545" t="s">
        <v>2233</v>
      </c>
      <c r="BK28" s="141">
        <v>0</v>
      </c>
      <c r="BL28" s="545" t="s">
        <v>2233</v>
      </c>
      <c r="BM28" s="141">
        <v>0</v>
      </c>
      <c r="BN28" s="545" t="s">
        <v>2233</v>
      </c>
      <c r="BO28" s="141">
        <v>0</v>
      </c>
      <c r="BP28" s="2629"/>
      <c r="BQ28" s="545" t="s">
        <v>627</v>
      </c>
      <c r="BR28" s="868">
        <v>0</v>
      </c>
      <c r="BS28" s="545" t="s">
        <v>627</v>
      </c>
      <c r="BT28" s="868">
        <v>0</v>
      </c>
      <c r="BU28" s="545" t="s">
        <v>2233</v>
      </c>
      <c r="BV28" s="141">
        <v>0</v>
      </c>
      <c r="BW28" s="545" t="s">
        <v>2233</v>
      </c>
      <c r="BX28" s="141">
        <v>0</v>
      </c>
      <c r="BY28" s="545" t="s">
        <v>2233</v>
      </c>
      <c r="BZ28" s="141">
        <v>0</v>
      </c>
      <c r="CA28" s="545" t="s">
        <v>2233</v>
      </c>
      <c r="CB28" s="141">
        <v>0</v>
      </c>
      <c r="CC28" s="545" t="s">
        <v>2233</v>
      </c>
      <c r="CD28" s="141">
        <v>0</v>
      </c>
    </row>
    <row r="29" spans="1:82" s="98" customFormat="1" ht="15" customHeight="1">
      <c r="A29" s="99"/>
      <c r="B29" s="161"/>
      <c r="C29" s="162" t="s">
        <v>1710</v>
      </c>
      <c r="D29" s="162"/>
      <c r="E29" s="162"/>
      <c r="F29" s="162"/>
      <c r="G29" s="163"/>
      <c r="H29" s="163"/>
      <c r="I29" s="164" t="s">
        <v>498</v>
      </c>
      <c r="J29" s="641">
        <f>SUM(J21:J28)</f>
        <v>0.85456260960523567</v>
      </c>
      <c r="K29" s="642">
        <f t="shared" ref="K29:V29" si="4">SUM(K21:K28)</f>
        <v>1.3677072268578057</v>
      </c>
      <c r="L29" s="642">
        <f t="shared" si="4"/>
        <v>2.6013025438551538</v>
      </c>
      <c r="M29" s="642">
        <f t="shared" si="4"/>
        <v>1.2544095221114517</v>
      </c>
      <c r="N29" s="642">
        <f t="shared" si="4"/>
        <v>2.6504355425839736</v>
      </c>
      <c r="O29" s="642">
        <f t="shared" si="4"/>
        <v>1.5588520284357523</v>
      </c>
      <c r="P29" s="642">
        <f t="shared" si="4"/>
        <v>0.94204793506418938</v>
      </c>
      <c r="Q29" s="643">
        <f t="shared" si="4"/>
        <v>0.88474765637891828</v>
      </c>
      <c r="R29" s="641">
        <f t="shared" si="4"/>
        <v>2.6293493912465249</v>
      </c>
      <c r="S29" s="642">
        <f t="shared" si="4"/>
        <v>2.6162026442902917</v>
      </c>
      <c r="T29" s="642">
        <f t="shared" si="4"/>
        <v>2.6031216310688405</v>
      </c>
      <c r="U29" s="642">
        <f t="shared" si="4"/>
        <v>2.5901060229134969</v>
      </c>
      <c r="V29" s="643">
        <f t="shared" si="4"/>
        <v>2.5771554927989291</v>
      </c>
      <c r="W29" s="2629"/>
      <c r="X29" s="607" t="s">
        <v>498</v>
      </c>
      <c r="Y29" s="641">
        <f>SUM(Y21:Y28)</f>
        <v>0</v>
      </c>
      <c r="Z29" s="642">
        <f t="shared" ref="Z29:AK29" si="5">SUM(Z21:Z28)</f>
        <v>0</v>
      </c>
      <c r="AA29" s="642">
        <f t="shared" si="5"/>
        <v>0</v>
      </c>
      <c r="AB29" s="642">
        <f t="shared" si="5"/>
        <v>0</v>
      </c>
      <c r="AC29" s="642">
        <f t="shared" si="5"/>
        <v>0</v>
      </c>
      <c r="AD29" s="642">
        <f t="shared" si="5"/>
        <v>0</v>
      </c>
      <c r="AE29" s="642">
        <f t="shared" si="5"/>
        <v>0</v>
      </c>
      <c r="AF29" s="643">
        <f t="shared" si="5"/>
        <v>0</v>
      </c>
      <c r="AG29" s="641">
        <f t="shared" si="5"/>
        <v>0</v>
      </c>
      <c r="AH29" s="642">
        <f t="shared" si="5"/>
        <v>0</v>
      </c>
      <c r="AI29" s="642">
        <f t="shared" si="5"/>
        <v>0</v>
      </c>
      <c r="AJ29" s="642">
        <f t="shared" si="5"/>
        <v>0</v>
      </c>
      <c r="AK29" s="643">
        <f t="shared" si="5"/>
        <v>0</v>
      </c>
      <c r="AL29" s="2629"/>
      <c r="AM29" s="607" t="s">
        <v>2233</v>
      </c>
      <c r="AN29" s="641">
        <f>SUM(AN21:AN28)</f>
        <v>5.5780000000000003</v>
      </c>
      <c r="AO29" s="642">
        <f t="shared" ref="AO29:AZ29" si="6">SUM(AO21:AO28)</f>
        <v>5.4705000000000004</v>
      </c>
      <c r="AP29" s="642">
        <f t="shared" si="6"/>
        <v>6.2694999999999999</v>
      </c>
      <c r="AQ29" s="642">
        <f t="shared" si="6"/>
        <v>7.3650000000000002</v>
      </c>
      <c r="AR29" s="642">
        <f t="shared" si="6"/>
        <v>3.8420000000000001</v>
      </c>
      <c r="AS29" s="642">
        <f t="shared" si="6"/>
        <v>6.4300000000000006</v>
      </c>
      <c r="AT29" s="642">
        <f t="shared" si="6"/>
        <v>2.9005720128936492</v>
      </c>
      <c r="AU29" s="643">
        <f t="shared" si="6"/>
        <v>2.9005720128936492</v>
      </c>
      <c r="AV29" s="641">
        <f t="shared" si="6"/>
        <v>8.1462500000000002</v>
      </c>
      <c r="AW29" s="642">
        <f t="shared" si="6"/>
        <v>8.1462500000000002</v>
      </c>
      <c r="AX29" s="642">
        <f t="shared" si="6"/>
        <v>8.1462500000000002</v>
      </c>
      <c r="AY29" s="642">
        <f t="shared" si="6"/>
        <v>8.1462500000000002</v>
      </c>
      <c r="AZ29" s="643">
        <f t="shared" si="6"/>
        <v>8.1462500000000002</v>
      </c>
      <c r="BA29" s="2629"/>
      <c r="BB29" s="542"/>
      <c r="BC29" s="542"/>
      <c r="BD29" s="542"/>
      <c r="BE29" s="542"/>
      <c r="BF29" s="545" t="s">
        <v>2233</v>
      </c>
      <c r="BG29" s="642">
        <f>SUM(BG21:BG28)</f>
        <v>0</v>
      </c>
      <c r="BH29" s="545" t="s">
        <v>2233</v>
      </c>
      <c r="BI29" s="642">
        <f>SUM(BI21:BI28)</f>
        <v>0</v>
      </c>
      <c r="BJ29" s="545" t="s">
        <v>2233</v>
      </c>
      <c r="BK29" s="642">
        <f>SUM(BK21:BK28)</f>
        <v>0</v>
      </c>
      <c r="BL29" s="545" t="s">
        <v>2233</v>
      </c>
      <c r="BM29" s="642">
        <f>SUM(BM21:BM28)</f>
        <v>0</v>
      </c>
      <c r="BN29" s="545" t="s">
        <v>2233</v>
      </c>
      <c r="BO29" s="642">
        <f>SUM(BO21:BO28)</f>
        <v>0</v>
      </c>
      <c r="BP29" s="2629"/>
      <c r="BQ29" s="542"/>
      <c r="BR29" s="542"/>
      <c r="BS29" s="542"/>
      <c r="BT29" s="542"/>
      <c r="BU29" s="545" t="s">
        <v>2233</v>
      </c>
      <c r="BV29" s="642">
        <f>SUM(BV21:BV28)</f>
        <v>0</v>
      </c>
      <c r="BW29" s="545" t="s">
        <v>2233</v>
      </c>
      <c r="BX29" s="642">
        <f>SUM(BX21:BX28)</f>
        <v>0</v>
      </c>
      <c r="BY29" s="545" t="s">
        <v>2233</v>
      </c>
      <c r="BZ29" s="642">
        <f>SUM(BZ21:BZ28)</f>
        <v>0</v>
      </c>
      <c r="CA29" s="545" t="s">
        <v>2233</v>
      </c>
      <c r="CB29" s="642">
        <f>SUM(CB21:CB28)</f>
        <v>0</v>
      </c>
      <c r="CC29" s="545" t="s">
        <v>2233</v>
      </c>
      <c r="CD29" s="642">
        <f>SUM(CD21:CD28)</f>
        <v>0</v>
      </c>
    </row>
    <row r="30" spans="1:82" s="98" customFormat="1" ht="15" customHeight="1">
      <c r="A30" s="99"/>
      <c r="B30" s="123"/>
      <c r="C30" s="127"/>
      <c r="D30" s="127"/>
      <c r="E30" s="127"/>
      <c r="F30" s="127"/>
      <c r="G30" s="117"/>
      <c r="H30" s="117"/>
      <c r="I30" s="117"/>
      <c r="J30" s="713"/>
      <c r="K30" s="2649"/>
      <c r="L30" s="2649"/>
      <c r="M30" s="2649"/>
      <c r="N30" s="2649"/>
      <c r="O30" s="2649"/>
      <c r="P30" s="2649"/>
      <c r="Q30" s="715"/>
      <c r="R30" s="713"/>
      <c r="S30" s="2649"/>
      <c r="T30" s="2649"/>
      <c r="U30" s="2649"/>
      <c r="V30" s="715"/>
      <c r="W30" s="2629"/>
      <c r="X30" s="94"/>
      <c r="Y30" s="713"/>
      <c r="Z30" s="2649"/>
      <c r="AA30" s="2649"/>
      <c r="AB30" s="2649"/>
      <c r="AC30" s="2649"/>
      <c r="AD30" s="2649"/>
      <c r="AE30" s="2649"/>
      <c r="AF30" s="715"/>
      <c r="AG30" s="713"/>
      <c r="AH30" s="2649"/>
      <c r="AI30" s="2649"/>
      <c r="AJ30" s="2649"/>
      <c r="AK30" s="715"/>
      <c r="AL30" s="2629"/>
      <c r="AM30" s="94"/>
      <c r="AN30" s="713"/>
      <c r="AO30" s="2649"/>
      <c r="AP30" s="2649"/>
      <c r="AQ30" s="2649"/>
      <c r="AR30" s="2649"/>
      <c r="AS30" s="2649"/>
      <c r="AT30" s="2649"/>
      <c r="AU30" s="715"/>
      <c r="AV30" s="713"/>
      <c r="AW30" s="2649"/>
      <c r="AX30" s="2649"/>
      <c r="AY30" s="2649"/>
      <c r="AZ30" s="715"/>
      <c r="BA30" s="2629"/>
      <c r="BB30" s="542"/>
      <c r="BC30" s="542"/>
      <c r="BD30" s="542"/>
      <c r="BE30" s="542"/>
      <c r="BF30" s="542"/>
      <c r="BG30" s="542"/>
      <c r="BH30" s="542"/>
      <c r="BI30" s="542"/>
      <c r="BJ30" s="542"/>
      <c r="BK30" s="542"/>
      <c r="BL30" s="542"/>
      <c r="BM30" s="542"/>
      <c r="BN30" s="542"/>
      <c r="BO30" s="542"/>
      <c r="BP30" s="2629"/>
      <c r="BQ30" s="542"/>
      <c r="BR30" s="542"/>
      <c r="BS30" s="542"/>
      <c r="BT30" s="542"/>
      <c r="BU30" s="542"/>
      <c r="BV30" s="542"/>
      <c r="BW30" s="542"/>
      <c r="BX30" s="542"/>
      <c r="BY30" s="542"/>
      <c r="BZ30" s="542"/>
      <c r="CA30" s="542"/>
      <c r="CB30" s="542"/>
      <c r="CC30" s="542"/>
      <c r="CD30" s="542"/>
    </row>
    <row r="31" spans="1:82" s="98" customFormat="1" ht="15" customHeight="1">
      <c r="A31" s="99"/>
      <c r="B31" s="161"/>
      <c r="C31" s="116" t="s">
        <v>2709</v>
      </c>
      <c r="D31" s="116"/>
      <c r="E31" s="116"/>
      <c r="F31" s="116"/>
      <c r="G31" s="117"/>
      <c r="H31" s="117"/>
      <c r="I31" s="117"/>
      <c r="J31" s="713"/>
      <c r="K31" s="2649"/>
      <c r="L31" s="2649"/>
      <c r="M31" s="2649"/>
      <c r="N31" s="2649"/>
      <c r="O31" s="2649"/>
      <c r="P31" s="2649"/>
      <c r="Q31" s="715"/>
      <c r="R31" s="713"/>
      <c r="S31" s="2649"/>
      <c r="T31" s="2649"/>
      <c r="U31" s="2649"/>
      <c r="V31" s="715"/>
      <c r="W31" s="2629"/>
      <c r="X31" s="94"/>
      <c r="Y31" s="713"/>
      <c r="Z31" s="2649"/>
      <c r="AA31" s="2649"/>
      <c r="AB31" s="2649"/>
      <c r="AC31" s="2649"/>
      <c r="AD31" s="2649"/>
      <c r="AE31" s="2649"/>
      <c r="AF31" s="715"/>
      <c r="AG31" s="713"/>
      <c r="AH31" s="2649"/>
      <c r="AI31" s="2649"/>
      <c r="AJ31" s="2649"/>
      <c r="AK31" s="715"/>
      <c r="AL31" s="2629"/>
      <c r="AM31" s="94"/>
      <c r="AN31" s="713"/>
      <c r="AO31" s="2649"/>
      <c r="AP31" s="2649"/>
      <c r="AQ31" s="2649"/>
      <c r="AR31" s="2649"/>
      <c r="AS31" s="2649"/>
      <c r="AT31" s="2649"/>
      <c r="AU31" s="715"/>
      <c r="AV31" s="713"/>
      <c r="AW31" s="2649"/>
      <c r="AX31" s="2649"/>
      <c r="AY31" s="2649"/>
      <c r="AZ31" s="715"/>
      <c r="BA31" s="2629"/>
      <c r="BB31" s="542"/>
      <c r="BC31" s="542"/>
      <c r="BD31" s="542"/>
      <c r="BE31" s="542"/>
      <c r="BF31" s="542"/>
      <c r="BG31" s="542"/>
      <c r="BH31" s="542"/>
      <c r="BI31" s="542"/>
      <c r="BJ31" s="542"/>
      <c r="BK31" s="542"/>
      <c r="BL31" s="542"/>
      <c r="BM31" s="542"/>
      <c r="BN31" s="542"/>
      <c r="BO31" s="542"/>
      <c r="BP31" s="2629"/>
      <c r="BQ31" s="542"/>
      <c r="BR31" s="542"/>
      <c r="BS31" s="542"/>
      <c r="BT31" s="542"/>
      <c r="BU31" s="542"/>
      <c r="BV31" s="542"/>
      <c r="BW31" s="542"/>
      <c r="BX31" s="542"/>
      <c r="BY31" s="542"/>
      <c r="BZ31" s="542"/>
      <c r="CA31" s="542"/>
      <c r="CB31" s="542"/>
      <c r="CC31" s="542"/>
      <c r="CD31" s="542"/>
    </row>
    <row r="32" spans="1:82" s="98" customFormat="1" ht="15" customHeight="1">
      <c r="A32" s="99"/>
      <c r="B32" s="161"/>
      <c r="C32" s="162"/>
      <c r="D32" s="162" t="s">
        <v>2701</v>
      </c>
      <c r="E32" s="162"/>
      <c r="F32" s="162"/>
      <c r="G32" s="163"/>
      <c r="H32" s="163"/>
      <c r="I32" s="164" t="s">
        <v>498</v>
      </c>
      <c r="J32" s="143">
        <v>0</v>
      </c>
      <c r="K32" s="141">
        <v>0</v>
      </c>
      <c r="L32" s="141">
        <v>0</v>
      </c>
      <c r="M32" s="141">
        <v>0</v>
      </c>
      <c r="N32" s="141">
        <v>0</v>
      </c>
      <c r="O32" s="141">
        <v>0</v>
      </c>
      <c r="P32" s="141">
        <v>0</v>
      </c>
      <c r="Q32" s="144">
        <v>0</v>
      </c>
      <c r="R32" s="143">
        <v>0</v>
      </c>
      <c r="S32" s="141">
        <v>0</v>
      </c>
      <c r="T32" s="141">
        <v>0</v>
      </c>
      <c r="U32" s="141">
        <v>0</v>
      </c>
      <c r="V32" s="144">
        <v>0</v>
      </c>
      <c r="W32" s="2629"/>
      <c r="X32" s="607" t="s">
        <v>498</v>
      </c>
      <c r="Y32" s="143">
        <v>0</v>
      </c>
      <c r="Z32" s="141">
        <v>0</v>
      </c>
      <c r="AA32" s="141">
        <v>0</v>
      </c>
      <c r="AB32" s="141">
        <v>0</v>
      </c>
      <c r="AC32" s="141">
        <v>0</v>
      </c>
      <c r="AD32" s="141">
        <v>0</v>
      </c>
      <c r="AE32" s="141">
        <v>0</v>
      </c>
      <c r="AF32" s="144">
        <v>0</v>
      </c>
      <c r="AG32" s="143">
        <v>0</v>
      </c>
      <c r="AH32" s="141">
        <v>0</v>
      </c>
      <c r="AI32" s="141">
        <v>0</v>
      </c>
      <c r="AJ32" s="141">
        <v>0</v>
      </c>
      <c r="AK32" s="144">
        <v>0</v>
      </c>
      <c r="AL32" s="2629"/>
      <c r="AM32" s="607" t="s">
        <v>2233</v>
      </c>
      <c r="AN32" s="143">
        <v>0</v>
      </c>
      <c r="AO32" s="141">
        <v>0</v>
      </c>
      <c r="AP32" s="141">
        <v>0</v>
      </c>
      <c r="AQ32" s="141">
        <v>0</v>
      </c>
      <c r="AR32" s="141">
        <v>0</v>
      </c>
      <c r="AS32" s="141">
        <v>0</v>
      </c>
      <c r="AT32" s="141">
        <v>0</v>
      </c>
      <c r="AU32" s="144">
        <v>0</v>
      </c>
      <c r="AV32" s="143">
        <v>0</v>
      </c>
      <c r="AW32" s="141">
        <v>0</v>
      </c>
      <c r="AX32" s="141">
        <v>0</v>
      </c>
      <c r="AY32" s="141">
        <v>0</v>
      </c>
      <c r="AZ32" s="144">
        <v>0</v>
      </c>
      <c r="BA32" s="2629"/>
      <c r="BB32" s="545" t="s">
        <v>627</v>
      </c>
      <c r="BC32" s="868">
        <v>0</v>
      </c>
      <c r="BD32" s="545" t="s">
        <v>627</v>
      </c>
      <c r="BE32" s="868">
        <v>0</v>
      </c>
      <c r="BF32" s="545" t="s">
        <v>2233</v>
      </c>
      <c r="BG32" s="141">
        <v>0</v>
      </c>
      <c r="BH32" s="545" t="s">
        <v>2233</v>
      </c>
      <c r="BI32" s="141">
        <v>0</v>
      </c>
      <c r="BJ32" s="545" t="s">
        <v>2233</v>
      </c>
      <c r="BK32" s="141">
        <v>0</v>
      </c>
      <c r="BL32" s="545" t="s">
        <v>2233</v>
      </c>
      <c r="BM32" s="141">
        <v>0</v>
      </c>
      <c r="BN32" s="545" t="s">
        <v>2233</v>
      </c>
      <c r="BO32" s="141">
        <v>0</v>
      </c>
      <c r="BP32" s="2629"/>
      <c r="BQ32" s="545" t="s">
        <v>627</v>
      </c>
      <c r="BR32" s="868">
        <v>0</v>
      </c>
      <c r="BS32" s="545" t="s">
        <v>627</v>
      </c>
      <c r="BT32" s="868">
        <v>0</v>
      </c>
      <c r="BU32" s="545" t="s">
        <v>2233</v>
      </c>
      <c r="BV32" s="141">
        <v>0</v>
      </c>
      <c r="BW32" s="545" t="s">
        <v>2233</v>
      </c>
      <c r="BX32" s="141">
        <v>0</v>
      </c>
      <c r="BY32" s="545" t="s">
        <v>2233</v>
      </c>
      <c r="BZ32" s="141">
        <v>0</v>
      </c>
      <c r="CA32" s="545" t="s">
        <v>2233</v>
      </c>
      <c r="CB32" s="141">
        <v>0</v>
      </c>
      <c r="CC32" s="545" t="s">
        <v>2233</v>
      </c>
      <c r="CD32" s="141">
        <v>0</v>
      </c>
    </row>
    <row r="33" spans="1:82" s="98" customFormat="1" ht="15" customHeight="1">
      <c r="A33" s="99"/>
      <c r="B33" s="161"/>
      <c r="C33" s="162"/>
      <c r="D33" s="162" t="s">
        <v>2702</v>
      </c>
      <c r="E33" s="162"/>
      <c r="F33" s="162"/>
      <c r="G33" s="163"/>
      <c r="H33" s="163"/>
      <c r="I33" s="164" t="s">
        <v>498</v>
      </c>
      <c r="J33" s="143">
        <v>0</v>
      </c>
      <c r="K33" s="141">
        <v>0</v>
      </c>
      <c r="L33" s="141">
        <v>0</v>
      </c>
      <c r="M33" s="141">
        <v>0</v>
      </c>
      <c r="N33" s="141">
        <v>0</v>
      </c>
      <c r="O33" s="141">
        <v>0</v>
      </c>
      <c r="P33" s="141">
        <v>0</v>
      </c>
      <c r="Q33" s="144">
        <v>0</v>
      </c>
      <c r="R33" s="143">
        <v>0</v>
      </c>
      <c r="S33" s="141">
        <v>0</v>
      </c>
      <c r="T33" s="141">
        <v>0</v>
      </c>
      <c r="U33" s="141">
        <v>0</v>
      </c>
      <c r="V33" s="144">
        <v>0</v>
      </c>
      <c r="W33" s="2629"/>
      <c r="X33" s="607" t="s">
        <v>498</v>
      </c>
      <c r="Y33" s="143">
        <v>0</v>
      </c>
      <c r="Z33" s="141">
        <v>0</v>
      </c>
      <c r="AA33" s="141">
        <v>0</v>
      </c>
      <c r="AB33" s="141">
        <v>0</v>
      </c>
      <c r="AC33" s="141">
        <v>0</v>
      </c>
      <c r="AD33" s="141">
        <v>0</v>
      </c>
      <c r="AE33" s="141">
        <v>0</v>
      </c>
      <c r="AF33" s="144">
        <v>0</v>
      </c>
      <c r="AG33" s="143">
        <v>0</v>
      </c>
      <c r="AH33" s="141">
        <v>0</v>
      </c>
      <c r="AI33" s="141">
        <v>0</v>
      </c>
      <c r="AJ33" s="141">
        <v>0</v>
      </c>
      <c r="AK33" s="144">
        <v>0</v>
      </c>
      <c r="AL33" s="2629"/>
      <c r="AM33" s="607" t="s">
        <v>2233</v>
      </c>
      <c r="AN33" s="143">
        <v>0</v>
      </c>
      <c r="AO33" s="141">
        <v>0</v>
      </c>
      <c r="AP33" s="141">
        <v>0</v>
      </c>
      <c r="AQ33" s="141">
        <v>0</v>
      </c>
      <c r="AR33" s="141">
        <v>0</v>
      </c>
      <c r="AS33" s="141">
        <v>0</v>
      </c>
      <c r="AT33" s="141">
        <v>0</v>
      </c>
      <c r="AU33" s="144">
        <v>0</v>
      </c>
      <c r="AV33" s="143">
        <v>0</v>
      </c>
      <c r="AW33" s="141">
        <v>0</v>
      </c>
      <c r="AX33" s="141">
        <v>0</v>
      </c>
      <c r="AY33" s="141">
        <v>0</v>
      </c>
      <c r="AZ33" s="144">
        <v>0</v>
      </c>
      <c r="BA33" s="2629"/>
      <c r="BB33" s="545" t="s">
        <v>627</v>
      </c>
      <c r="BC33" s="868">
        <v>0</v>
      </c>
      <c r="BD33" s="545" t="s">
        <v>627</v>
      </c>
      <c r="BE33" s="868">
        <v>0</v>
      </c>
      <c r="BF33" s="545" t="s">
        <v>2233</v>
      </c>
      <c r="BG33" s="141">
        <v>0</v>
      </c>
      <c r="BH33" s="545" t="s">
        <v>2233</v>
      </c>
      <c r="BI33" s="141">
        <v>0</v>
      </c>
      <c r="BJ33" s="545" t="s">
        <v>2233</v>
      </c>
      <c r="BK33" s="141">
        <v>0</v>
      </c>
      <c r="BL33" s="545" t="s">
        <v>2233</v>
      </c>
      <c r="BM33" s="141">
        <v>0</v>
      </c>
      <c r="BN33" s="545" t="s">
        <v>2233</v>
      </c>
      <c r="BO33" s="141">
        <v>0</v>
      </c>
      <c r="BP33" s="2629"/>
      <c r="BQ33" s="545" t="s">
        <v>627</v>
      </c>
      <c r="BR33" s="868">
        <v>0</v>
      </c>
      <c r="BS33" s="545" t="s">
        <v>627</v>
      </c>
      <c r="BT33" s="868">
        <v>0</v>
      </c>
      <c r="BU33" s="545" t="s">
        <v>2233</v>
      </c>
      <c r="BV33" s="141">
        <v>0</v>
      </c>
      <c r="BW33" s="545" t="s">
        <v>2233</v>
      </c>
      <c r="BX33" s="141">
        <v>0</v>
      </c>
      <c r="BY33" s="545" t="s">
        <v>2233</v>
      </c>
      <c r="BZ33" s="141">
        <v>0</v>
      </c>
      <c r="CA33" s="545" t="s">
        <v>2233</v>
      </c>
      <c r="CB33" s="141">
        <v>0</v>
      </c>
      <c r="CC33" s="545" t="s">
        <v>2233</v>
      </c>
      <c r="CD33" s="141">
        <v>0</v>
      </c>
    </row>
    <row r="34" spans="1:82" s="98" customFormat="1" ht="15" customHeight="1">
      <c r="A34" s="99"/>
      <c r="B34" s="161"/>
      <c r="C34" s="162"/>
      <c r="D34" s="162" t="s">
        <v>2703</v>
      </c>
      <c r="E34" s="162"/>
      <c r="F34" s="162"/>
      <c r="G34" s="163"/>
      <c r="H34" s="163"/>
      <c r="I34" s="164" t="s">
        <v>498</v>
      </c>
      <c r="J34" s="143">
        <v>0</v>
      </c>
      <c r="K34" s="141">
        <v>0</v>
      </c>
      <c r="L34" s="141">
        <v>0</v>
      </c>
      <c r="M34" s="141">
        <v>0</v>
      </c>
      <c r="N34" s="141">
        <v>0</v>
      </c>
      <c r="O34" s="141">
        <v>0</v>
      </c>
      <c r="P34" s="141">
        <v>0</v>
      </c>
      <c r="Q34" s="144">
        <v>0</v>
      </c>
      <c r="R34" s="143">
        <v>0</v>
      </c>
      <c r="S34" s="141">
        <v>0</v>
      </c>
      <c r="T34" s="141">
        <v>0</v>
      </c>
      <c r="U34" s="141">
        <v>0</v>
      </c>
      <c r="V34" s="144">
        <v>0</v>
      </c>
      <c r="W34" s="2629"/>
      <c r="X34" s="607" t="s">
        <v>498</v>
      </c>
      <c r="Y34" s="143">
        <v>0</v>
      </c>
      <c r="Z34" s="141">
        <v>0</v>
      </c>
      <c r="AA34" s="141">
        <v>0</v>
      </c>
      <c r="AB34" s="141">
        <v>0</v>
      </c>
      <c r="AC34" s="141">
        <v>0</v>
      </c>
      <c r="AD34" s="141">
        <v>0</v>
      </c>
      <c r="AE34" s="141">
        <v>0</v>
      </c>
      <c r="AF34" s="144">
        <v>0</v>
      </c>
      <c r="AG34" s="143">
        <v>0</v>
      </c>
      <c r="AH34" s="141">
        <v>0</v>
      </c>
      <c r="AI34" s="141">
        <v>0</v>
      </c>
      <c r="AJ34" s="141">
        <v>0</v>
      </c>
      <c r="AK34" s="144">
        <v>0</v>
      </c>
      <c r="AL34" s="2629"/>
      <c r="AM34" s="607" t="s">
        <v>2233</v>
      </c>
      <c r="AN34" s="143">
        <v>0</v>
      </c>
      <c r="AO34" s="141">
        <v>0</v>
      </c>
      <c r="AP34" s="141">
        <v>0</v>
      </c>
      <c r="AQ34" s="141">
        <v>0</v>
      </c>
      <c r="AR34" s="141">
        <v>0</v>
      </c>
      <c r="AS34" s="141">
        <v>0</v>
      </c>
      <c r="AT34" s="141">
        <v>0</v>
      </c>
      <c r="AU34" s="144">
        <v>0</v>
      </c>
      <c r="AV34" s="143">
        <v>0</v>
      </c>
      <c r="AW34" s="141">
        <v>0</v>
      </c>
      <c r="AX34" s="141">
        <v>0</v>
      </c>
      <c r="AY34" s="141">
        <v>0</v>
      </c>
      <c r="AZ34" s="144">
        <v>0</v>
      </c>
      <c r="BA34" s="2629"/>
      <c r="BB34" s="545" t="s">
        <v>627</v>
      </c>
      <c r="BC34" s="868">
        <v>0</v>
      </c>
      <c r="BD34" s="545" t="s">
        <v>627</v>
      </c>
      <c r="BE34" s="868">
        <v>0</v>
      </c>
      <c r="BF34" s="545" t="s">
        <v>2233</v>
      </c>
      <c r="BG34" s="141">
        <v>0</v>
      </c>
      <c r="BH34" s="545" t="s">
        <v>2233</v>
      </c>
      <c r="BI34" s="141">
        <v>0</v>
      </c>
      <c r="BJ34" s="545" t="s">
        <v>2233</v>
      </c>
      <c r="BK34" s="141">
        <v>0</v>
      </c>
      <c r="BL34" s="545" t="s">
        <v>2233</v>
      </c>
      <c r="BM34" s="141">
        <v>0</v>
      </c>
      <c r="BN34" s="545" t="s">
        <v>2233</v>
      </c>
      <c r="BO34" s="141">
        <v>0</v>
      </c>
      <c r="BP34" s="2629"/>
      <c r="BQ34" s="545" t="s">
        <v>627</v>
      </c>
      <c r="BR34" s="868">
        <v>0</v>
      </c>
      <c r="BS34" s="545" t="s">
        <v>627</v>
      </c>
      <c r="BT34" s="868">
        <v>0</v>
      </c>
      <c r="BU34" s="545" t="s">
        <v>2233</v>
      </c>
      <c r="BV34" s="141">
        <v>0</v>
      </c>
      <c r="BW34" s="545" t="s">
        <v>2233</v>
      </c>
      <c r="BX34" s="141">
        <v>0</v>
      </c>
      <c r="BY34" s="545" t="s">
        <v>2233</v>
      </c>
      <c r="BZ34" s="141">
        <v>0</v>
      </c>
      <c r="CA34" s="545" t="s">
        <v>2233</v>
      </c>
      <c r="CB34" s="141">
        <v>0</v>
      </c>
      <c r="CC34" s="545" t="s">
        <v>2233</v>
      </c>
      <c r="CD34" s="141">
        <v>0</v>
      </c>
    </row>
    <row r="35" spans="1:82" s="98" customFormat="1" ht="15" customHeight="1">
      <c r="A35" s="99"/>
      <c r="B35" s="161"/>
      <c r="C35" s="162"/>
      <c r="D35" s="162" t="s">
        <v>2704</v>
      </c>
      <c r="E35" s="162"/>
      <c r="F35" s="162"/>
      <c r="G35" s="163"/>
      <c r="H35" s="163"/>
      <c r="I35" s="164" t="s">
        <v>498</v>
      </c>
      <c r="J35" s="143">
        <v>0</v>
      </c>
      <c r="K35" s="141">
        <v>0</v>
      </c>
      <c r="L35" s="141">
        <v>0</v>
      </c>
      <c r="M35" s="141">
        <v>0</v>
      </c>
      <c r="N35" s="141">
        <v>0</v>
      </c>
      <c r="O35" s="141">
        <v>0</v>
      </c>
      <c r="P35" s="141">
        <v>0</v>
      </c>
      <c r="Q35" s="144">
        <v>0</v>
      </c>
      <c r="R35" s="143">
        <v>0</v>
      </c>
      <c r="S35" s="141">
        <v>0</v>
      </c>
      <c r="T35" s="141">
        <v>0</v>
      </c>
      <c r="U35" s="141">
        <v>0</v>
      </c>
      <c r="V35" s="144">
        <v>0</v>
      </c>
      <c r="W35" s="2629"/>
      <c r="X35" s="607" t="s">
        <v>498</v>
      </c>
      <c r="Y35" s="143">
        <v>0</v>
      </c>
      <c r="Z35" s="141">
        <v>0</v>
      </c>
      <c r="AA35" s="141">
        <v>0</v>
      </c>
      <c r="AB35" s="141">
        <v>0</v>
      </c>
      <c r="AC35" s="141">
        <v>0</v>
      </c>
      <c r="AD35" s="141">
        <v>0</v>
      </c>
      <c r="AE35" s="141">
        <v>0</v>
      </c>
      <c r="AF35" s="144">
        <v>0</v>
      </c>
      <c r="AG35" s="143">
        <v>0</v>
      </c>
      <c r="AH35" s="141">
        <v>0</v>
      </c>
      <c r="AI35" s="141">
        <v>0</v>
      </c>
      <c r="AJ35" s="141">
        <v>0</v>
      </c>
      <c r="AK35" s="144">
        <v>0</v>
      </c>
      <c r="AL35" s="2629"/>
      <c r="AM35" s="607" t="s">
        <v>2233</v>
      </c>
      <c r="AN35" s="143">
        <v>0</v>
      </c>
      <c r="AO35" s="141">
        <v>0</v>
      </c>
      <c r="AP35" s="141">
        <v>0</v>
      </c>
      <c r="AQ35" s="141">
        <v>0</v>
      </c>
      <c r="AR35" s="141">
        <v>0</v>
      </c>
      <c r="AS35" s="141">
        <v>0</v>
      </c>
      <c r="AT35" s="141">
        <v>0</v>
      </c>
      <c r="AU35" s="144">
        <v>0</v>
      </c>
      <c r="AV35" s="143">
        <v>0</v>
      </c>
      <c r="AW35" s="141">
        <v>0</v>
      </c>
      <c r="AX35" s="141">
        <v>0</v>
      </c>
      <c r="AY35" s="141">
        <v>0</v>
      </c>
      <c r="AZ35" s="144">
        <v>0</v>
      </c>
      <c r="BA35" s="2629"/>
      <c r="BB35" s="545" t="s">
        <v>627</v>
      </c>
      <c r="BC35" s="868">
        <v>0</v>
      </c>
      <c r="BD35" s="545" t="s">
        <v>627</v>
      </c>
      <c r="BE35" s="868">
        <v>0</v>
      </c>
      <c r="BF35" s="545" t="s">
        <v>2233</v>
      </c>
      <c r="BG35" s="141">
        <v>0</v>
      </c>
      <c r="BH35" s="545" t="s">
        <v>2233</v>
      </c>
      <c r="BI35" s="141">
        <v>0</v>
      </c>
      <c r="BJ35" s="545" t="s">
        <v>2233</v>
      </c>
      <c r="BK35" s="141">
        <v>0</v>
      </c>
      <c r="BL35" s="545" t="s">
        <v>2233</v>
      </c>
      <c r="BM35" s="141">
        <v>0</v>
      </c>
      <c r="BN35" s="545" t="s">
        <v>2233</v>
      </c>
      <c r="BO35" s="141">
        <v>0</v>
      </c>
      <c r="BP35" s="2629"/>
      <c r="BQ35" s="545" t="s">
        <v>627</v>
      </c>
      <c r="BR35" s="868">
        <v>0</v>
      </c>
      <c r="BS35" s="545" t="s">
        <v>627</v>
      </c>
      <c r="BT35" s="868">
        <v>0</v>
      </c>
      <c r="BU35" s="545" t="s">
        <v>2233</v>
      </c>
      <c r="BV35" s="141">
        <v>0</v>
      </c>
      <c r="BW35" s="545" t="s">
        <v>2233</v>
      </c>
      <c r="BX35" s="141">
        <v>0</v>
      </c>
      <c r="BY35" s="545" t="s">
        <v>2233</v>
      </c>
      <c r="BZ35" s="141">
        <v>0</v>
      </c>
      <c r="CA35" s="545" t="s">
        <v>2233</v>
      </c>
      <c r="CB35" s="141">
        <v>0</v>
      </c>
      <c r="CC35" s="545" t="s">
        <v>2233</v>
      </c>
      <c r="CD35" s="141">
        <v>0</v>
      </c>
    </row>
    <row r="36" spans="1:82" s="98" customFormat="1" ht="15" customHeight="1">
      <c r="A36" s="99"/>
      <c r="B36" s="161"/>
      <c r="C36" s="162"/>
      <c r="D36" s="162" t="s">
        <v>2705</v>
      </c>
      <c r="E36" s="162"/>
      <c r="F36" s="162"/>
      <c r="G36" s="163"/>
      <c r="H36" s="163"/>
      <c r="I36" s="164" t="s">
        <v>498</v>
      </c>
      <c r="J36" s="143">
        <v>0</v>
      </c>
      <c r="K36" s="141">
        <v>0</v>
      </c>
      <c r="L36" s="141">
        <v>0</v>
      </c>
      <c r="M36" s="141">
        <v>0</v>
      </c>
      <c r="N36" s="141">
        <v>0</v>
      </c>
      <c r="O36" s="141">
        <v>0</v>
      </c>
      <c r="P36" s="141">
        <v>0</v>
      </c>
      <c r="Q36" s="144">
        <v>0</v>
      </c>
      <c r="R36" s="143">
        <v>0</v>
      </c>
      <c r="S36" s="141">
        <v>0</v>
      </c>
      <c r="T36" s="141">
        <v>0</v>
      </c>
      <c r="U36" s="141">
        <v>0</v>
      </c>
      <c r="V36" s="144">
        <v>0</v>
      </c>
      <c r="W36" s="2629"/>
      <c r="X36" s="607" t="s">
        <v>498</v>
      </c>
      <c r="Y36" s="143">
        <v>0</v>
      </c>
      <c r="Z36" s="141">
        <v>0</v>
      </c>
      <c r="AA36" s="141">
        <v>0</v>
      </c>
      <c r="AB36" s="141">
        <v>0</v>
      </c>
      <c r="AC36" s="141">
        <v>0</v>
      </c>
      <c r="AD36" s="141">
        <v>0</v>
      </c>
      <c r="AE36" s="141">
        <v>0</v>
      </c>
      <c r="AF36" s="144">
        <v>0</v>
      </c>
      <c r="AG36" s="143">
        <v>0</v>
      </c>
      <c r="AH36" s="141">
        <v>0</v>
      </c>
      <c r="AI36" s="141">
        <v>0</v>
      </c>
      <c r="AJ36" s="141">
        <v>0</v>
      </c>
      <c r="AK36" s="144">
        <v>0</v>
      </c>
      <c r="AL36" s="2629"/>
      <c r="AM36" s="607" t="s">
        <v>2233</v>
      </c>
      <c r="AN36" s="143">
        <v>0</v>
      </c>
      <c r="AO36" s="141">
        <v>0</v>
      </c>
      <c r="AP36" s="141">
        <v>0</v>
      </c>
      <c r="AQ36" s="141">
        <v>0</v>
      </c>
      <c r="AR36" s="141">
        <v>0</v>
      </c>
      <c r="AS36" s="141">
        <v>0</v>
      </c>
      <c r="AT36" s="141">
        <v>0</v>
      </c>
      <c r="AU36" s="144">
        <v>0</v>
      </c>
      <c r="AV36" s="143">
        <v>0</v>
      </c>
      <c r="AW36" s="141">
        <v>0</v>
      </c>
      <c r="AX36" s="141">
        <v>0</v>
      </c>
      <c r="AY36" s="141">
        <v>0</v>
      </c>
      <c r="AZ36" s="144">
        <v>0</v>
      </c>
      <c r="BA36" s="2629"/>
      <c r="BB36" s="545" t="s">
        <v>627</v>
      </c>
      <c r="BC36" s="868">
        <v>0</v>
      </c>
      <c r="BD36" s="545" t="s">
        <v>627</v>
      </c>
      <c r="BE36" s="868">
        <v>0</v>
      </c>
      <c r="BF36" s="545" t="s">
        <v>2233</v>
      </c>
      <c r="BG36" s="141">
        <v>0</v>
      </c>
      <c r="BH36" s="545" t="s">
        <v>2233</v>
      </c>
      <c r="BI36" s="141">
        <v>0</v>
      </c>
      <c r="BJ36" s="545" t="s">
        <v>2233</v>
      </c>
      <c r="BK36" s="141">
        <v>0</v>
      </c>
      <c r="BL36" s="545" t="s">
        <v>2233</v>
      </c>
      <c r="BM36" s="141">
        <v>0</v>
      </c>
      <c r="BN36" s="545" t="s">
        <v>2233</v>
      </c>
      <c r="BO36" s="141">
        <v>0</v>
      </c>
      <c r="BP36" s="2629"/>
      <c r="BQ36" s="545" t="s">
        <v>627</v>
      </c>
      <c r="BR36" s="868">
        <v>0</v>
      </c>
      <c r="BS36" s="545" t="s">
        <v>627</v>
      </c>
      <c r="BT36" s="868">
        <v>0</v>
      </c>
      <c r="BU36" s="545" t="s">
        <v>2233</v>
      </c>
      <c r="BV36" s="141">
        <v>0</v>
      </c>
      <c r="BW36" s="545" t="s">
        <v>2233</v>
      </c>
      <c r="BX36" s="141">
        <v>0</v>
      </c>
      <c r="BY36" s="545" t="s">
        <v>2233</v>
      </c>
      <c r="BZ36" s="141">
        <v>0</v>
      </c>
      <c r="CA36" s="545" t="s">
        <v>2233</v>
      </c>
      <c r="CB36" s="141">
        <v>0</v>
      </c>
      <c r="CC36" s="545" t="s">
        <v>2233</v>
      </c>
      <c r="CD36" s="141">
        <v>0</v>
      </c>
    </row>
    <row r="37" spans="1:82" s="98" customFormat="1" ht="15" customHeight="1">
      <c r="A37" s="99"/>
      <c r="B37" s="161"/>
      <c r="C37" s="162"/>
      <c r="D37" s="162" t="s">
        <v>2706</v>
      </c>
      <c r="E37" s="162"/>
      <c r="F37" s="162"/>
      <c r="G37" s="163"/>
      <c r="H37" s="163"/>
      <c r="I37" s="164" t="s">
        <v>498</v>
      </c>
      <c r="J37" s="143">
        <v>0</v>
      </c>
      <c r="K37" s="141">
        <v>0</v>
      </c>
      <c r="L37" s="141">
        <v>0</v>
      </c>
      <c r="M37" s="141">
        <v>0</v>
      </c>
      <c r="N37" s="141">
        <v>0</v>
      </c>
      <c r="O37" s="141">
        <v>0</v>
      </c>
      <c r="P37" s="141">
        <v>0</v>
      </c>
      <c r="Q37" s="144">
        <v>0</v>
      </c>
      <c r="R37" s="143">
        <v>0</v>
      </c>
      <c r="S37" s="141">
        <v>0</v>
      </c>
      <c r="T37" s="141">
        <v>0</v>
      </c>
      <c r="U37" s="141">
        <v>0</v>
      </c>
      <c r="V37" s="144">
        <v>0</v>
      </c>
      <c r="W37" s="2629"/>
      <c r="X37" s="607" t="s">
        <v>498</v>
      </c>
      <c r="Y37" s="143">
        <v>0</v>
      </c>
      <c r="Z37" s="141">
        <v>0</v>
      </c>
      <c r="AA37" s="141">
        <v>0</v>
      </c>
      <c r="AB37" s="141">
        <v>0</v>
      </c>
      <c r="AC37" s="141">
        <v>0</v>
      </c>
      <c r="AD37" s="141">
        <v>0</v>
      </c>
      <c r="AE37" s="141">
        <v>0</v>
      </c>
      <c r="AF37" s="144">
        <v>0</v>
      </c>
      <c r="AG37" s="143">
        <v>0</v>
      </c>
      <c r="AH37" s="141">
        <v>0</v>
      </c>
      <c r="AI37" s="141">
        <v>0</v>
      </c>
      <c r="AJ37" s="141">
        <v>0</v>
      </c>
      <c r="AK37" s="144">
        <v>0</v>
      </c>
      <c r="AL37" s="2629"/>
      <c r="AM37" s="607" t="s">
        <v>2233</v>
      </c>
      <c r="AN37" s="143">
        <v>0</v>
      </c>
      <c r="AO37" s="141">
        <v>0</v>
      </c>
      <c r="AP37" s="141">
        <v>0</v>
      </c>
      <c r="AQ37" s="141">
        <v>0</v>
      </c>
      <c r="AR37" s="141">
        <v>0</v>
      </c>
      <c r="AS37" s="141">
        <v>0</v>
      </c>
      <c r="AT37" s="141">
        <v>0</v>
      </c>
      <c r="AU37" s="144">
        <v>0</v>
      </c>
      <c r="AV37" s="143">
        <v>0</v>
      </c>
      <c r="AW37" s="141">
        <v>0</v>
      </c>
      <c r="AX37" s="141">
        <v>0</v>
      </c>
      <c r="AY37" s="141">
        <v>0</v>
      </c>
      <c r="AZ37" s="144">
        <v>0</v>
      </c>
      <c r="BA37" s="2629"/>
      <c r="BB37" s="545" t="s">
        <v>627</v>
      </c>
      <c r="BC37" s="868">
        <v>0</v>
      </c>
      <c r="BD37" s="545" t="s">
        <v>627</v>
      </c>
      <c r="BE37" s="868">
        <v>0</v>
      </c>
      <c r="BF37" s="545" t="s">
        <v>2233</v>
      </c>
      <c r="BG37" s="141">
        <v>0</v>
      </c>
      <c r="BH37" s="545" t="s">
        <v>2233</v>
      </c>
      <c r="BI37" s="141">
        <v>0</v>
      </c>
      <c r="BJ37" s="545" t="s">
        <v>2233</v>
      </c>
      <c r="BK37" s="141">
        <v>0</v>
      </c>
      <c r="BL37" s="545" t="s">
        <v>2233</v>
      </c>
      <c r="BM37" s="141">
        <v>0</v>
      </c>
      <c r="BN37" s="545" t="s">
        <v>2233</v>
      </c>
      <c r="BO37" s="141">
        <v>0</v>
      </c>
      <c r="BP37" s="2629"/>
      <c r="BQ37" s="545" t="s">
        <v>627</v>
      </c>
      <c r="BR37" s="868">
        <v>0</v>
      </c>
      <c r="BS37" s="545" t="s">
        <v>627</v>
      </c>
      <c r="BT37" s="868">
        <v>0</v>
      </c>
      <c r="BU37" s="545" t="s">
        <v>2233</v>
      </c>
      <c r="BV37" s="141">
        <v>0</v>
      </c>
      <c r="BW37" s="545" t="s">
        <v>2233</v>
      </c>
      <c r="BX37" s="141">
        <v>0</v>
      </c>
      <c r="BY37" s="545" t="s">
        <v>2233</v>
      </c>
      <c r="BZ37" s="141">
        <v>0</v>
      </c>
      <c r="CA37" s="545" t="s">
        <v>2233</v>
      </c>
      <c r="CB37" s="141">
        <v>0</v>
      </c>
      <c r="CC37" s="545" t="s">
        <v>2233</v>
      </c>
      <c r="CD37" s="141">
        <v>0</v>
      </c>
    </row>
    <row r="38" spans="1:82" s="98" customFormat="1" ht="15" customHeight="1">
      <c r="A38" s="99"/>
      <c r="B38" s="161"/>
      <c r="C38" s="162"/>
      <c r="D38" s="162" t="s">
        <v>2707</v>
      </c>
      <c r="E38" s="162"/>
      <c r="F38" s="162"/>
      <c r="G38" s="163"/>
      <c r="H38" s="163"/>
      <c r="I38" s="164" t="s">
        <v>498</v>
      </c>
      <c r="J38" s="143">
        <v>0</v>
      </c>
      <c r="K38" s="141">
        <v>0</v>
      </c>
      <c r="L38" s="141">
        <v>0</v>
      </c>
      <c r="M38" s="141">
        <v>0</v>
      </c>
      <c r="N38" s="141">
        <v>0</v>
      </c>
      <c r="O38" s="141">
        <v>0</v>
      </c>
      <c r="P38" s="141">
        <v>0</v>
      </c>
      <c r="Q38" s="144">
        <v>0</v>
      </c>
      <c r="R38" s="143">
        <v>0</v>
      </c>
      <c r="S38" s="141">
        <v>0</v>
      </c>
      <c r="T38" s="141">
        <v>0</v>
      </c>
      <c r="U38" s="141">
        <v>0</v>
      </c>
      <c r="V38" s="144">
        <v>0</v>
      </c>
      <c r="W38" s="2629"/>
      <c r="X38" s="607" t="s">
        <v>498</v>
      </c>
      <c r="Y38" s="143">
        <v>0</v>
      </c>
      <c r="Z38" s="141">
        <v>0</v>
      </c>
      <c r="AA38" s="141">
        <v>0</v>
      </c>
      <c r="AB38" s="141">
        <v>0</v>
      </c>
      <c r="AC38" s="141">
        <v>0</v>
      </c>
      <c r="AD38" s="141">
        <v>0</v>
      </c>
      <c r="AE38" s="141">
        <v>0</v>
      </c>
      <c r="AF38" s="144">
        <v>0</v>
      </c>
      <c r="AG38" s="143">
        <v>0</v>
      </c>
      <c r="AH38" s="141">
        <v>0</v>
      </c>
      <c r="AI38" s="141">
        <v>0</v>
      </c>
      <c r="AJ38" s="141">
        <v>0</v>
      </c>
      <c r="AK38" s="144">
        <v>0</v>
      </c>
      <c r="AL38" s="2629"/>
      <c r="AM38" s="607" t="s">
        <v>2233</v>
      </c>
      <c r="AN38" s="143">
        <v>0</v>
      </c>
      <c r="AO38" s="141">
        <v>0</v>
      </c>
      <c r="AP38" s="141">
        <v>0</v>
      </c>
      <c r="AQ38" s="141">
        <v>0</v>
      </c>
      <c r="AR38" s="141">
        <v>0</v>
      </c>
      <c r="AS38" s="141">
        <v>0</v>
      </c>
      <c r="AT38" s="141">
        <v>0</v>
      </c>
      <c r="AU38" s="144">
        <v>0</v>
      </c>
      <c r="AV38" s="143">
        <v>0</v>
      </c>
      <c r="AW38" s="141">
        <v>0</v>
      </c>
      <c r="AX38" s="141">
        <v>0</v>
      </c>
      <c r="AY38" s="141">
        <v>0</v>
      </c>
      <c r="AZ38" s="144">
        <v>0</v>
      </c>
      <c r="BA38" s="2629"/>
      <c r="BB38" s="545" t="s">
        <v>627</v>
      </c>
      <c r="BC38" s="868">
        <v>0</v>
      </c>
      <c r="BD38" s="545" t="s">
        <v>627</v>
      </c>
      <c r="BE38" s="868">
        <v>0</v>
      </c>
      <c r="BF38" s="545" t="s">
        <v>2233</v>
      </c>
      <c r="BG38" s="141">
        <v>0</v>
      </c>
      <c r="BH38" s="545" t="s">
        <v>2233</v>
      </c>
      <c r="BI38" s="141">
        <v>0</v>
      </c>
      <c r="BJ38" s="545" t="s">
        <v>2233</v>
      </c>
      <c r="BK38" s="141">
        <v>0</v>
      </c>
      <c r="BL38" s="545" t="s">
        <v>2233</v>
      </c>
      <c r="BM38" s="141">
        <v>0</v>
      </c>
      <c r="BN38" s="545" t="s">
        <v>2233</v>
      </c>
      <c r="BO38" s="141">
        <v>0</v>
      </c>
      <c r="BP38" s="2629"/>
      <c r="BQ38" s="545" t="s">
        <v>627</v>
      </c>
      <c r="BR38" s="868">
        <v>0</v>
      </c>
      <c r="BS38" s="545" t="s">
        <v>627</v>
      </c>
      <c r="BT38" s="868">
        <v>0</v>
      </c>
      <c r="BU38" s="545" t="s">
        <v>2233</v>
      </c>
      <c r="BV38" s="141">
        <v>0</v>
      </c>
      <c r="BW38" s="545" t="s">
        <v>2233</v>
      </c>
      <c r="BX38" s="141">
        <v>0</v>
      </c>
      <c r="BY38" s="545" t="s">
        <v>2233</v>
      </c>
      <c r="BZ38" s="141">
        <v>0</v>
      </c>
      <c r="CA38" s="545" t="s">
        <v>2233</v>
      </c>
      <c r="CB38" s="141">
        <v>0</v>
      </c>
      <c r="CC38" s="545" t="s">
        <v>2233</v>
      </c>
      <c r="CD38" s="141">
        <v>0</v>
      </c>
    </row>
    <row r="39" spans="1:82" s="98" customFormat="1" ht="15" customHeight="1">
      <c r="A39" s="99"/>
      <c r="B39" s="161"/>
      <c r="C39" s="162"/>
      <c r="D39" s="162" t="s">
        <v>2708</v>
      </c>
      <c r="E39" s="162"/>
      <c r="F39" s="162"/>
      <c r="G39" s="163"/>
      <c r="H39" s="163"/>
      <c r="I39" s="164" t="s">
        <v>498</v>
      </c>
      <c r="J39" s="143">
        <v>0</v>
      </c>
      <c r="K39" s="141">
        <v>0</v>
      </c>
      <c r="L39" s="141">
        <v>0</v>
      </c>
      <c r="M39" s="141">
        <v>0</v>
      </c>
      <c r="N39" s="141">
        <v>0</v>
      </c>
      <c r="O39" s="141">
        <v>0</v>
      </c>
      <c r="P39" s="141">
        <v>0</v>
      </c>
      <c r="Q39" s="144">
        <v>0</v>
      </c>
      <c r="R39" s="143">
        <v>0</v>
      </c>
      <c r="S39" s="141">
        <v>0</v>
      </c>
      <c r="T39" s="141">
        <v>0</v>
      </c>
      <c r="U39" s="141">
        <v>0</v>
      </c>
      <c r="V39" s="144">
        <v>0</v>
      </c>
      <c r="W39" s="2629"/>
      <c r="X39" s="607" t="s">
        <v>498</v>
      </c>
      <c r="Y39" s="143">
        <v>0</v>
      </c>
      <c r="Z39" s="141">
        <v>0</v>
      </c>
      <c r="AA39" s="141">
        <v>0</v>
      </c>
      <c r="AB39" s="141">
        <v>0</v>
      </c>
      <c r="AC39" s="141">
        <v>0</v>
      </c>
      <c r="AD39" s="141">
        <v>0</v>
      </c>
      <c r="AE39" s="141">
        <v>0</v>
      </c>
      <c r="AF39" s="144">
        <v>0</v>
      </c>
      <c r="AG39" s="143">
        <v>0</v>
      </c>
      <c r="AH39" s="141">
        <v>0</v>
      </c>
      <c r="AI39" s="141">
        <v>0</v>
      </c>
      <c r="AJ39" s="141">
        <v>0</v>
      </c>
      <c r="AK39" s="144">
        <v>0</v>
      </c>
      <c r="AL39" s="2629"/>
      <c r="AM39" s="607" t="s">
        <v>2233</v>
      </c>
      <c r="AN39" s="143">
        <v>0</v>
      </c>
      <c r="AO39" s="141">
        <v>0</v>
      </c>
      <c r="AP39" s="141">
        <v>0</v>
      </c>
      <c r="AQ39" s="141">
        <v>0</v>
      </c>
      <c r="AR39" s="141">
        <v>0</v>
      </c>
      <c r="AS39" s="141">
        <v>0</v>
      </c>
      <c r="AT39" s="141">
        <v>0</v>
      </c>
      <c r="AU39" s="144">
        <v>0</v>
      </c>
      <c r="AV39" s="143">
        <v>0</v>
      </c>
      <c r="AW39" s="141">
        <v>0</v>
      </c>
      <c r="AX39" s="141">
        <v>0</v>
      </c>
      <c r="AY39" s="141">
        <v>0</v>
      </c>
      <c r="AZ39" s="144">
        <v>0</v>
      </c>
      <c r="BA39" s="2629"/>
      <c r="BB39" s="545" t="s">
        <v>627</v>
      </c>
      <c r="BC39" s="868">
        <v>0</v>
      </c>
      <c r="BD39" s="545" t="s">
        <v>627</v>
      </c>
      <c r="BE39" s="868">
        <v>0</v>
      </c>
      <c r="BF39" s="545" t="s">
        <v>2233</v>
      </c>
      <c r="BG39" s="141">
        <v>0</v>
      </c>
      <c r="BH39" s="545" t="s">
        <v>2233</v>
      </c>
      <c r="BI39" s="141">
        <v>0</v>
      </c>
      <c r="BJ39" s="545" t="s">
        <v>2233</v>
      </c>
      <c r="BK39" s="141">
        <v>0</v>
      </c>
      <c r="BL39" s="545" t="s">
        <v>2233</v>
      </c>
      <c r="BM39" s="141">
        <v>0</v>
      </c>
      <c r="BN39" s="545" t="s">
        <v>2233</v>
      </c>
      <c r="BO39" s="141">
        <v>0</v>
      </c>
      <c r="BP39" s="2629"/>
      <c r="BQ39" s="545" t="s">
        <v>627</v>
      </c>
      <c r="BR39" s="868">
        <v>0</v>
      </c>
      <c r="BS39" s="545" t="s">
        <v>627</v>
      </c>
      <c r="BT39" s="868">
        <v>0</v>
      </c>
      <c r="BU39" s="545" t="s">
        <v>2233</v>
      </c>
      <c r="BV39" s="141">
        <v>0</v>
      </c>
      <c r="BW39" s="545" t="s">
        <v>2233</v>
      </c>
      <c r="BX39" s="141">
        <v>0</v>
      </c>
      <c r="BY39" s="545" t="s">
        <v>2233</v>
      </c>
      <c r="BZ39" s="141">
        <v>0</v>
      </c>
      <c r="CA39" s="545" t="s">
        <v>2233</v>
      </c>
      <c r="CB39" s="141">
        <v>0</v>
      </c>
      <c r="CC39" s="545" t="s">
        <v>2233</v>
      </c>
      <c r="CD39" s="141">
        <v>0</v>
      </c>
    </row>
    <row r="40" spans="1:82" s="98" customFormat="1" ht="15" customHeight="1">
      <c r="A40" s="99"/>
      <c r="B40" s="161"/>
      <c r="C40" s="162" t="s">
        <v>1710</v>
      </c>
      <c r="D40" s="162"/>
      <c r="E40" s="162"/>
      <c r="F40" s="162"/>
      <c r="G40" s="163"/>
      <c r="H40" s="163"/>
      <c r="I40" s="164" t="s">
        <v>498</v>
      </c>
      <c r="J40" s="641">
        <f>SUM(J32:J39)</f>
        <v>0</v>
      </c>
      <c r="K40" s="642">
        <f t="shared" ref="K40:V40" si="7">SUM(K32:K39)</f>
        <v>0</v>
      </c>
      <c r="L40" s="642">
        <f t="shared" si="7"/>
        <v>0</v>
      </c>
      <c r="M40" s="642">
        <f t="shared" si="7"/>
        <v>0</v>
      </c>
      <c r="N40" s="642">
        <f t="shared" si="7"/>
        <v>0</v>
      </c>
      <c r="O40" s="642">
        <f t="shared" si="7"/>
        <v>0</v>
      </c>
      <c r="P40" s="642">
        <f t="shared" si="7"/>
        <v>0</v>
      </c>
      <c r="Q40" s="643">
        <f t="shared" si="7"/>
        <v>0</v>
      </c>
      <c r="R40" s="641">
        <f t="shared" si="7"/>
        <v>0</v>
      </c>
      <c r="S40" s="642">
        <f t="shared" si="7"/>
        <v>0</v>
      </c>
      <c r="T40" s="642">
        <f t="shared" si="7"/>
        <v>0</v>
      </c>
      <c r="U40" s="642">
        <f t="shared" si="7"/>
        <v>0</v>
      </c>
      <c r="V40" s="643">
        <f t="shared" si="7"/>
        <v>0</v>
      </c>
      <c r="W40" s="2629"/>
      <c r="X40" s="607" t="s">
        <v>498</v>
      </c>
      <c r="Y40" s="641">
        <f>SUM(Y32:Y39)</f>
        <v>0</v>
      </c>
      <c r="Z40" s="642">
        <f t="shared" ref="Z40:AK40" si="8">SUM(Z32:Z39)</f>
        <v>0</v>
      </c>
      <c r="AA40" s="642">
        <f t="shared" si="8"/>
        <v>0</v>
      </c>
      <c r="AB40" s="642">
        <f t="shared" si="8"/>
        <v>0</v>
      </c>
      <c r="AC40" s="642">
        <f t="shared" si="8"/>
        <v>0</v>
      </c>
      <c r="AD40" s="642">
        <f t="shared" si="8"/>
        <v>0</v>
      </c>
      <c r="AE40" s="642">
        <f t="shared" si="8"/>
        <v>0</v>
      </c>
      <c r="AF40" s="643">
        <f t="shared" si="8"/>
        <v>0</v>
      </c>
      <c r="AG40" s="641">
        <f t="shared" si="8"/>
        <v>0</v>
      </c>
      <c r="AH40" s="642">
        <f t="shared" si="8"/>
        <v>0</v>
      </c>
      <c r="AI40" s="642">
        <f t="shared" si="8"/>
        <v>0</v>
      </c>
      <c r="AJ40" s="642">
        <f t="shared" si="8"/>
        <v>0</v>
      </c>
      <c r="AK40" s="643">
        <f t="shared" si="8"/>
        <v>0</v>
      </c>
      <c r="AL40" s="2629"/>
      <c r="AM40" s="607" t="s">
        <v>2233</v>
      </c>
      <c r="AN40" s="641">
        <f>SUM(AN32:AN39)</f>
        <v>0</v>
      </c>
      <c r="AO40" s="642">
        <f t="shared" ref="AO40:AZ40" si="9">SUM(AO32:AO39)</f>
        <v>0</v>
      </c>
      <c r="AP40" s="642">
        <f t="shared" si="9"/>
        <v>0</v>
      </c>
      <c r="AQ40" s="642">
        <f t="shared" si="9"/>
        <v>0</v>
      </c>
      <c r="AR40" s="642">
        <f t="shared" si="9"/>
        <v>0</v>
      </c>
      <c r="AS40" s="642">
        <f t="shared" si="9"/>
        <v>0</v>
      </c>
      <c r="AT40" s="642">
        <f t="shared" si="9"/>
        <v>0</v>
      </c>
      <c r="AU40" s="643">
        <f t="shared" si="9"/>
        <v>0</v>
      </c>
      <c r="AV40" s="641">
        <f t="shared" si="9"/>
        <v>0</v>
      </c>
      <c r="AW40" s="642">
        <f t="shared" si="9"/>
        <v>0</v>
      </c>
      <c r="AX40" s="642">
        <f t="shared" si="9"/>
        <v>0</v>
      </c>
      <c r="AY40" s="642">
        <f t="shared" si="9"/>
        <v>0</v>
      </c>
      <c r="AZ40" s="643">
        <f t="shared" si="9"/>
        <v>0</v>
      </c>
      <c r="BA40" s="2629"/>
      <c r="BB40" s="542"/>
      <c r="BC40" s="542"/>
      <c r="BD40" s="542"/>
      <c r="BE40" s="542"/>
      <c r="BF40" s="545" t="s">
        <v>2233</v>
      </c>
      <c r="BG40" s="642">
        <f>SUM(BG32:BG39)</f>
        <v>0</v>
      </c>
      <c r="BH40" s="545" t="s">
        <v>2233</v>
      </c>
      <c r="BI40" s="642">
        <f>SUM(BI32:BI39)</f>
        <v>0</v>
      </c>
      <c r="BJ40" s="545" t="s">
        <v>2233</v>
      </c>
      <c r="BK40" s="642">
        <f>SUM(BK32:BK39)</f>
        <v>0</v>
      </c>
      <c r="BL40" s="545" t="s">
        <v>2233</v>
      </c>
      <c r="BM40" s="642">
        <f>SUM(BM32:BM39)</f>
        <v>0</v>
      </c>
      <c r="BN40" s="545" t="s">
        <v>2233</v>
      </c>
      <c r="BO40" s="642">
        <f>SUM(BO32:BO39)</f>
        <v>0</v>
      </c>
      <c r="BP40" s="2629"/>
      <c r="BQ40" s="542"/>
      <c r="BR40" s="542"/>
      <c r="BS40" s="542"/>
      <c r="BT40" s="542"/>
      <c r="BU40" s="545" t="s">
        <v>2233</v>
      </c>
      <c r="BV40" s="642">
        <f>SUM(BV32:BV39)</f>
        <v>0</v>
      </c>
      <c r="BW40" s="545" t="s">
        <v>2233</v>
      </c>
      <c r="BX40" s="642">
        <f>SUM(BX32:BX39)</f>
        <v>0</v>
      </c>
      <c r="BY40" s="545" t="s">
        <v>2233</v>
      </c>
      <c r="BZ40" s="642">
        <f>SUM(BZ32:BZ39)</f>
        <v>0</v>
      </c>
      <c r="CA40" s="545" t="s">
        <v>2233</v>
      </c>
      <c r="CB40" s="642">
        <f>SUM(CB32:CB39)</f>
        <v>0</v>
      </c>
      <c r="CC40" s="545" t="s">
        <v>2233</v>
      </c>
      <c r="CD40" s="642">
        <f>SUM(CD32:CD39)</f>
        <v>0</v>
      </c>
    </row>
    <row r="41" spans="1:82" s="98" customFormat="1" ht="15" customHeight="1">
      <c r="A41" s="99"/>
      <c r="B41" s="123"/>
      <c r="C41" s="127"/>
      <c r="D41" s="127"/>
      <c r="E41" s="127"/>
      <c r="F41" s="127"/>
      <c r="G41" s="117"/>
      <c r="H41" s="117"/>
      <c r="I41" s="117"/>
      <c r="J41" s="713"/>
      <c r="K41" s="2649"/>
      <c r="L41" s="2649"/>
      <c r="M41" s="2649"/>
      <c r="N41" s="2649"/>
      <c r="O41" s="2649"/>
      <c r="P41" s="2649"/>
      <c r="Q41" s="715"/>
      <c r="R41" s="713"/>
      <c r="S41" s="2649"/>
      <c r="T41" s="2649"/>
      <c r="U41" s="2649"/>
      <c r="V41" s="715"/>
      <c r="W41" s="2629"/>
      <c r="X41" s="94"/>
      <c r="Y41" s="713"/>
      <c r="Z41" s="2649"/>
      <c r="AA41" s="2649"/>
      <c r="AB41" s="2649"/>
      <c r="AC41" s="2649"/>
      <c r="AD41" s="2649"/>
      <c r="AE41" s="2649"/>
      <c r="AF41" s="715"/>
      <c r="AG41" s="713"/>
      <c r="AH41" s="2649"/>
      <c r="AI41" s="2649"/>
      <c r="AJ41" s="2649"/>
      <c r="AK41" s="715"/>
      <c r="AL41" s="2629"/>
      <c r="AM41" s="94"/>
      <c r="AN41" s="713"/>
      <c r="AO41" s="2649"/>
      <c r="AP41" s="2649"/>
      <c r="AQ41" s="2649"/>
      <c r="AR41" s="2649"/>
      <c r="AS41" s="2649"/>
      <c r="AT41" s="2649"/>
      <c r="AU41" s="715"/>
      <c r="AV41" s="713"/>
      <c r="AW41" s="2649"/>
      <c r="AX41" s="2649"/>
      <c r="AY41" s="2649"/>
      <c r="AZ41" s="715"/>
      <c r="BA41" s="2629"/>
      <c r="BB41" s="542"/>
      <c r="BC41" s="542"/>
      <c r="BD41" s="542"/>
      <c r="BE41" s="542"/>
      <c r="BF41" s="542"/>
      <c r="BG41" s="542"/>
      <c r="BH41" s="542"/>
      <c r="BI41" s="542"/>
      <c r="BJ41" s="542"/>
      <c r="BK41" s="542"/>
      <c r="BL41" s="542"/>
      <c r="BM41" s="542"/>
      <c r="BN41" s="542"/>
      <c r="BO41" s="542"/>
      <c r="BP41" s="2629"/>
      <c r="BQ41" s="542"/>
      <c r="BR41" s="542"/>
      <c r="BS41" s="542"/>
      <c r="BT41" s="542"/>
      <c r="BU41" s="542"/>
      <c r="BV41" s="542"/>
      <c r="BW41" s="542"/>
      <c r="BX41" s="542"/>
      <c r="BY41" s="542"/>
      <c r="BZ41" s="542"/>
      <c r="CA41" s="542"/>
      <c r="CB41" s="542"/>
      <c r="CC41" s="542"/>
      <c r="CD41" s="542"/>
    </row>
    <row r="42" spans="1:82" s="98" customFormat="1" ht="15" customHeight="1" thickBot="1">
      <c r="A42" s="99"/>
      <c r="B42" s="191" t="s">
        <v>1701</v>
      </c>
      <c r="C42" s="193"/>
      <c r="D42" s="193"/>
      <c r="E42" s="193"/>
      <c r="F42" s="193"/>
      <c r="G42" s="194"/>
      <c r="H42" s="194"/>
      <c r="I42" s="195" t="s">
        <v>498</v>
      </c>
      <c r="J42" s="717">
        <f>SUM(J29,J40)</f>
        <v>0.85456260960523567</v>
      </c>
      <c r="K42" s="717">
        <f t="shared" ref="K42:V42" si="10">SUM(K29,K40)</f>
        <v>1.3677072268578057</v>
      </c>
      <c r="L42" s="717">
        <f t="shared" si="10"/>
        <v>2.6013025438551538</v>
      </c>
      <c r="M42" s="717">
        <f t="shared" si="10"/>
        <v>1.2544095221114517</v>
      </c>
      <c r="N42" s="717">
        <f t="shared" si="10"/>
        <v>2.6504355425839736</v>
      </c>
      <c r="O42" s="717">
        <f t="shared" si="10"/>
        <v>1.5588520284357523</v>
      </c>
      <c r="P42" s="717">
        <f t="shared" si="10"/>
        <v>0.94204793506418938</v>
      </c>
      <c r="Q42" s="717">
        <f t="shared" si="10"/>
        <v>0.88474765637891828</v>
      </c>
      <c r="R42" s="717">
        <f t="shared" si="10"/>
        <v>2.6293493912465249</v>
      </c>
      <c r="S42" s="717">
        <f t="shared" si="10"/>
        <v>2.6162026442902917</v>
      </c>
      <c r="T42" s="717">
        <f t="shared" si="10"/>
        <v>2.6031216310688405</v>
      </c>
      <c r="U42" s="717">
        <f t="shared" si="10"/>
        <v>2.5901060229134969</v>
      </c>
      <c r="V42" s="717">
        <f t="shared" si="10"/>
        <v>2.5771554927989291</v>
      </c>
      <c r="W42" s="2630"/>
      <c r="X42" s="1083" t="s">
        <v>498</v>
      </c>
      <c r="Y42" s="717">
        <f t="shared" ref="Y42:AK42" si="11">SUM(Y29,Y40)</f>
        <v>0</v>
      </c>
      <c r="Z42" s="717">
        <f t="shared" si="11"/>
        <v>0</v>
      </c>
      <c r="AA42" s="717">
        <f t="shared" si="11"/>
        <v>0</v>
      </c>
      <c r="AB42" s="717">
        <f t="shared" si="11"/>
        <v>0</v>
      </c>
      <c r="AC42" s="717">
        <f t="shared" si="11"/>
        <v>0</v>
      </c>
      <c r="AD42" s="717">
        <f t="shared" si="11"/>
        <v>0</v>
      </c>
      <c r="AE42" s="717">
        <f t="shared" si="11"/>
        <v>0</v>
      </c>
      <c r="AF42" s="717">
        <f t="shared" si="11"/>
        <v>0</v>
      </c>
      <c r="AG42" s="717">
        <f t="shared" si="11"/>
        <v>0</v>
      </c>
      <c r="AH42" s="717">
        <f t="shared" si="11"/>
        <v>0</v>
      </c>
      <c r="AI42" s="717">
        <f t="shared" si="11"/>
        <v>0</v>
      </c>
      <c r="AJ42" s="717">
        <f t="shared" si="11"/>
        <v>0</v>
      </c>
      <c r="AK42" s="717">
        <f t="shared" si="11"/>
        <v>0</v>
      </c>
      <c r="AL42" s="2630"/>
      <c r="AM42" s="1083" t="s">
        <v>2233</v>
      </c>
      <c r="AN42" s="717">
        <f t="shared" ref="AN42:AZ42" si="12">SUM(AN29,AN40)</f>
        <v>5.5780000000000003</v>
      </c>
      <c r="AO42" s="717">
        <f t="shared" si="12"/>
        <v>5.4705000000000004</v>
      </c>
      <c r="AP42" s="717">
        <f t="shared" si="12"/>
        <v>6.2694999999999999</v>
      </c>
      <c r="AQ42" s="717">
        <f t="shared" si="12"/>
        <v>7.3650000000000002</v>
      </c>
      <c r="AR42" s="717">
        <f t="shared" si="12"/>
        <v>3.8420000000000001</v>
      </c>
      <c r="AS42" s="717">
        <f t="shared" si="12"/>
        <v>6.4300000000000006</v>
      </c>
      <c r="AT42" s="717">
        <f t="shared" si="12"/>
        <v>2.9005720128936492</v>
      </c>
      <c r="AU42" s="717">
        <f t="shared" si="12"/>
        <v>2.9005720128936492</v>
      </c>
      <c r="AV42" s="717">
        <f t="shared" si="12"/>
        <v>8.1462500000000002</v>
      </c>
      <c r="AW42" s="717">
        <f t="shared" si="12"/>
        <v>8.1462500000000002</v>
      </c>
      <c r="AX42" s="717">
        <f t="shared" si="12"/>
        <v>8.1462500000000002</v>
      </c>
      <c r="AY42" s="717">
        <f t="shared" si="12"/>
        <v>8.1462500000000002</v>
      </c>
      <c r="AZ42" s="717">
        <f t="shared" si="12"/>
        <v>8.1462500000000002</v>
      </c>
      <c r="BA42" s="2650"/>
      <c r="BB42" s="548"/>
      <c r="BC42" s="548"/>
      <c r="BD42" s="548"/>
      <c r="BE42" s="1537"/>
      <c r="BF42" s="1081" t="s">
        <v>2233</v>
      </c>
      <c r="BG42" s="717">
        <f>SUM(BG29,BG40)</f>
        <v>0</v>
      </c>
      <c r="BH42" s="1081" t="s">
        <v>2233</v>
      </c>
      <c r="BI42" s="717">
        <f>SUM(BI29,BI40)</f>
        <v>0</v>
      </c>
      <c r="BJ42" s="1081" t="s">
        <v>2233</v>
      </c>
      <c r="BK42" s="717">
        <f>SUM(BK29,BK40)</f>
        <v>0</v>
      </c>
      <c r="BL42" s="1081" t="s">
        <v>2233</v>
      </c>
      <c r="BM42" s="717">
        <f>SUM(BM29,BM40)</f>
        <v>0</v>
      </c>
      <c r="BN42" s="1081" t="s">
        <v>2233</v>
      </c>
      <c r="BO42" s="717">
        <f>SUM(BO29,BO40)</f>
        <v>0</v>
      </c>
      <c r="BP42" s="2630"/>
      <c r="BQ42" s="548"/>
      <c r="BR42" s="548"/>
      <c r="BS42" s="548"/>
      <c r="BT42" s="1537"/>
      <c r="BU42" s="1081" t="s">
        <v>2233</v>
      </c>
      <c r="BV42" s="717">
        <f>SUM(BV29,BV40)</f>
        <v>0</v>
      </c>
      <c r="BW42" s="1081" t="s">
        <v>2233</v>
      </c>
      <c r="BX42" s="717">
        <f>SUM(BX29,BX40)</f>
        <v>0</v>
      </c>
      <c r="BY42" s="1081" t="s">
        <v>2233</v>
      </c>
      <c r="BZ42" s="717">
        <f>SUM(BZ29,BZ40)</f>
        <v>0</v>
      </c>
      <c r="CA42" s="1081" t="s">
        <v>2233</v>
      </c>
      <c r="CB42" s="717">
        <f>SUM(CB29,CB40)</f>
        <v>0</v>
      </c>
      <c r="CC42" s="1081" t="s">
        <v>2233</v>
      </c>
      <c r="CD42" s="717">
        <f>SUM(CD29,CD40)</f>
        <v>0</v>
      </c>
    </row>
    <row r="43" spans="1:82" s="99" customFormat="1" ht="15" customHeight="1" thickBot="1">
      <c r="B43" s="150"/>
      <c r="C43" s="150"/>
      <c r="D43" s="150"/>
      <c r="E43" s="150"/>
      <c r="F43" s="150"/>
      <c r="G43" s="97"/>
      <c r="H43" s="97"/>
      <c r="I43" s="98"/>
      <c r="J43" s="2629"/>
      <c r="K43" s="2629"/>
      <c r="L43" s="2629"/>
      <c r="M43" s="2629"/>
      <c r="N43" s="2629"/>
      <c r="O43" s="2629"/>
      <c r="P43" s="2629"/>
      <c r="Q43" s="2629"/>
      <c r="R43" s="2629"/>
      <c r="S43" s="2629"/>
      <c r="T43" s="2629"/>
      <c r="U43" s="2629"/>
      <c r="V43" s="2629"/>
      <c r="W43" s="2629"/>
      <c r="X43" s="2629"/>
      <c r="Y43" s="2631"/>
      <c r="Z43" s="2631"/>
      <c r="AA43" s="2631"/>
      <c r="AB43" s="2631"/>
      <c r="AC43" s="2631"/>
      <c r="AD43" s="2631"/>
      <c r="AE43" s="2631"/>
      <c r="AF43" s="2631"/>
      <c r="AG43" s="2631"/>
      <c r="AH43" s="2631"/>
      <c r="AI43" s="2631"/>
      <c r="AJ43" s="2631"/>
      <c r="AK43" s="2631"/>
      <c r="AL43" s="2631"/>
      <c r="AM43" s="2631"/>
      <c r="AN43" s="2631"/>
      <c r="AO43" s="2631"/>
      <c r="AP43" s="2631"/>
      <c r="AQ43" s="2631"/>
      <c r="AR43" s="2631"/>
      <c r="AS43" s="359"/>
      <c r="AT43" s="542"/>
      <c r="AU43" s="542"/>
      <c r="AV43" s="542"/>
      <c r="AW43" s="542"/>
      <c r="AX43" s="542"/>
      <c r="AY43" s="542"/>
      <c r="AZ43" s="542"/>
      <c r="BA43" s="2631"/>
      <c r="BB43" s="542"/>
      <c r="BC43" s="2631"/>
      <c r="BD43" s="2631"/>
      <c r="BE43" s="2631"/>
      <c r="BF43" s="2631"/>
      <c r="BG43" s="2631"/>
      <c r="BH43" s="2631"/>
      <c r="BI43" s="2631"/>
      <c r="BJ43" s="2631"/>
      <c r="BK43" s="2631"/>
      <c r="BL43" s="2631"/>
      <c r="BM43" s="2631"/>
      <c r="BN43" s="2631"/>
      <c r="BO43" s="2631"/>
      <c r="BP43" s="2631"/>
      <c r="BQ43" s="2631"/>
      <c r="BR43" s="2631"/>
      <c r="BS43" s="2631"/>
      <c r="BT43" s="2631"/>
      <c r="BU43" s="2631"/>
      <c r="BV43" s="2631"/>
      <c r="BW43" s="2631"/>
      <c r="BX43" s="2631"/>
      <c r="BY43" s="2631"/>
      <c r="BZ43" s="2631"/>
      <c r="CA43" s="2631"/>
      <c r="CB43" s="2631"/>
      <c r="CC43" s="2631"/>
      <c r="CD43" s="2631"/>
    </row>
    <row r="44" spans="1:82" s="100" customFormat="1" ht="30" customHeight="1" thickBot="1">
      <c r="A44" s="89"/>
      <c r="B44" s="621" t="s">
        <v>2743</v>
      </c>
      <c r="C44" s="101"/>
      <c r="D44" s="102"/>
      <c r="E44" s="102"/>
      <c r="F44" s="102"/>
      <c r="G44" s="103"/>
      <c r="H44" s="103"/>
      <c r="I44" s="105" t="s">
        <v>1864</v>
      </c>
      <c r="J44" s="106"/>
      <c r="K44" s="106"/>
      <c r="L44" s="106"/>
      <c r="M44" s="106"/>
      <c r="N44" s="106"/>
      <c r="O44" s="106"/>
      <c r="P44" s="106"/>
      <c r="Q44" s="106"/>
      <c r="R44" s="105"/>
      <c r="S44" s="105"/>
      <c r="T44" s="105"/>
      <c r="U44" s="105"/>
      <c r="V44" s="105"/>
      <c r="W44" s="103"/>
      <c r="X44" s="105" t="s">
        <v>2202</v>
      </c>
      <c r="Y44" s="106"/>
      <c r="Z44" s="106"/>
      <c r="AA44" s="106"/>
      <c r="AB44" s="106"/>
      <c r="AC44" s="106"/>
      <c r="AD44" s="106"/>
      <c r="AE44" s="106"/>
      <c r="AF44" s="106"/>
      <c r="AG44" s="105"/>
      <c r="AH44" s="105"/>
      <c r="AI44" s="105"/>
      <c r="AJ44" s="105"/>
      <c r="AK44" s="105"/>
      <c r="AL44" s="103"/>
      <c r="AM44" s="105" t="s">
        <v>2231</v>
      </c>
      <c r="AN44" s="106"/>
      <c r="AO44" s="106"/>
      <c r="AP44" s="106"/>
      <c r="AQ44" s="106"/>
      <c r="AR44" s="106"/>
      <c r="AS44" s="106"/>
      <c r="AT44" s="106"/>
      <c r="AU44" s="106"/>
      <c r="AV44" s="105"/>
      <c r="AW44" s="105"/>
      <c r="AX44" s="105"/>
      <c r="AY44" s="105"/>
      <c r="AZ44" s="105"/>
      <c r="BA44" s="103"/>
      <c r="BB44" s="105" t="s">
        <v>2690</v>
      </c>
      <c r="BC44" s="105"/>
      <c r="BD44" s="105"/>
      <c r="BE44" s="105"/>
      <c r="BF44" s="105"/>
      <c r="BG44" s="105"/>
      <c r="BH44" s="105"/>
      <c r="BI44" s="105"/>
      <c r="BJ44" s="105"/>
      <c r="BK44" s="105"/>
      <c r="BL44" s="105"/>
      <c r="BM44" s="105"/>
      <c r="BN44" s="105"/>
      <c r="BO44" s="105"/>
      <c r="BP44" s="103"/>
      <c r="BQ44" s="105" t="s">
        <v>2691</v>
      </c>
      <c r="BR44" s="105"/>
      <c r="BS44" s="105"/>
      <c r="BT44" s="105"/>
      <c r="BU44" s="105"/>
      <c r="BV44" s="105"/>
      <c r="BW44" s="105"/>
      <c r="BX44" s="105"/>
      <c r="BY44" s="105"/>
      <c r="BZ44" s="105"/>
      <c r="CA44" s="105"/>
      <c r="CB44" s="105"/>
      <c r="CC44" s="105"/>
      <c r="CD44" s="187"/>
    </row>
    <row r="45" spans="1:82" s="157" customFormat="1" ht="30" customHeight="1">
      <c r="A45" s="99"/>
      <c r="B45" s="109"/>
      <c r="C45" s="110"/>
      <c r="D45" s="110"/>
      <c r="E45" s="110"/>
      <c r="F45" s="110"/>
      <c r="G45" s="111"/>
      <c r="H45" s="111"/>
      <c r="I45" s="117"/>
      <c r="J45" s="695" t="s">
        <v>1666</v>
      </c>
      <c r="K45" s="152"/>
      <c r="L45" s="152"/>
      <c r="M45" s="152"/>
      <c r="N45" s="152"/>
      <c r="O45" s="152"/>
      <c r="P45" s="152"/>
      <c r="Q45" s="153"/>
      <c r="R45" s="696" t="s">
        <v>2</v>
      </c>
      <c r="S45" s="155"/>
      <c r="T45" s="155"/>
      <c r="U45" s="155"/>
      <c r="V45" s="156"/>
      <c r="W45" s="2632"/>
      <c r="X45" s="94"/>
      <c r="Y45" s="695" t="s">
        <v>1666</v>
      </c>
      <c r="Z45" s="152"/>
      <c r="AA45" s="152"/>
      <c r="AB45" s="152"/>
      <c r="AC45" s="152"/>
      <c r="AD45" s="152"/>
      <c r="AE45" s="152"/>
      <c r="AF45" s="153"/>
      <c r="AG45" s="696" t="s">
        <v>2</v>
      </c>
      <c r="AH45" s="155"/>
      <c r="AI45" s="155"/>
      <c r="AJ45" s="155"/>
      <c r="AK45" s="156"/>
      <c r="AL45" s="2632"/>
      <c r="AM45" s="94"/>
      <c r="AN45" s="695" t="s">
        <v>1666</v>
      </c>
      <c r="AO45" s="152"/>
      <c r="AP45" s="152"/>
      <c r="AQ45" s="152"/>
      <c r="AR45" s="152"/>
      <c r="AS45" s="152"/>
      <c r="AT45" s="152"/>
      <c r="AU45" s="153"/>
      <c r="AV45" s="696" t="s">
        <v>2</v>
      </c>
      <c r="AW45" s="155"/>
      <c r="AX45" s="155"/>
      <c r="AY45" s="155"/>
      <c r="AZ45" s="156"/>
      <c r="BA45" s="2632"/>
      <c r="BB45" s="2633" t="s">
        <v>2693</v>
      </c>
      <c r="BC45" s="2633"/>
      <c r="BD45" s="2633" t="s">
        <v>2694</v>
      </c>
      <c r="BE45" s="2633"/>
      <c r="BF45" s="2633" t="s">
        <v>2695</v>
      </c>
      <c r="BG45" s="2633"/>
      <c r="BH45" s="2633" t="s">
        <v>2696</v>
      </c>
      <c r="BI45" s="2633"/>
      <c r="BJ45" s="2633" t="s">
        <v>2697</v>
      </c>
      <c r="BK45" s="2633"/>
      <c r="BL45" s="2633" t="s">
        <v>2698</v>
      </c>
      <c r="BM45" s="2633"/>
      <c r="BN45" s="2633" t="s">
        <v>2699</v>
      </c>
      <c r="BO45" s="2633"/>
      <c r="BP45" s="2632"/>
      <c r="BQ45" s="2633" t="s">
        <v>2693</v>
      </c>
      <c r="BR45" s="2633"/>
      <c r="BS45" s="2633" t="s">
        <v>2694</v>
      </c>
      <c r="BT45" s="2633"/>
      <c r="BU45" s="2633" t="s">
        <v>2695</v>
      </c>
      <c r="BV45" s="2633"/>
      <c r="BW45" s="2633" t="s">
        <v>2696</v>
      </c>
      <c r="BX45" s="2633"/>
      <c r="BY45" s="2633" t="s">
        <v>2697</v>
      </c>
      <c r="BZ45" s="2633"/>
      <c r="CA45" s="2633" t="s">
        <v>2698</v>
      </c>
      <c r="CB45" s="2633"/>
      <c r="CC45" s="2633" t="s">
        <v>2699</v>
      </c>
      <c r="CD45" s="2634"/>
    </row>
    <row r="46" spans="1:82" s="98" customFormat="1" ht="15" customHeight="1">
      <c r="A46" s="99"/>
      <c r="B46" s="115"/>
      <c r="C46" s="116"/>
      <c r="D46" s="116"/>
      <c r="E46" s="116"/>
      <c r="F46" s="116"/>
      <c r="G46" s="117"/>
      <c r="H46" s="117"/>
      <c r="I46" s="119" t="s">
        <v>1667</v>
      </c>
      <c r="J46" s="158" t="s">
        <v>453</v>
      </c>
      <c r="K46" s="137" t="s">
        <v>455</v>
      </c>
      <c r="L46" s="137" t="s">
        <v>457</v>
      </c>
      <c r="M46" s="137" t="s">
        <v>459</v>
      </c>
      <c r="N46" s="137" t="s">
        <v>461</v>
      </c>
      <c r="O46" s="137" t="s">
        <v>463</v>
      </c>
      <c r="P46" s="137" t="s">
        <v>465</v>
      </c>
      <c r="Q46" s="138" t="s">
        <v>467</v>
      </c>
      <c r="R46" s="120" t="s">
        <v>469</v>
      </c>
      <c r="S46" s="121" t="s">
        <v>471</v>
      </c>
      <c r="T46" s="121" t="s">
        <v>473</v>
      </c>
      <c r="U46" s="121" t="s">
        <v>475</v>
      </c>
      <c r="V46" s="122" t="s">
        <v>477</v>
      </c>
      <c r="W46" s="2629"/>
      <c r="X46" s="119" t="s">
        <v>1667</v>
      </c>
      <c r="Y46" s="158" t="s">
        <v>453</v>
      </c>
      <c r="Z46" s="137" t="s">
        <v>455</v>
      </c>
      <c r="AA46" s="137" t="s">
        <v>457</v>
      </c>
      <c r="AB46" s="137" t="s">
        <v>459</v>
      </c>
      <c r="AC46" s="137" t="s">
        <v>461</v>
      </c>
      <c r="AD46" s="137" t="s">
        <v>463</v>
      </c>
      <c r="AE46" s="137" t="s">
        <v>465</v>
      </c>
      <c r="AF46" s="138" t="s">
        <v>467</v>
      </c>
      <c r="AG46" s="120" t="s">
        <v>469</v>
      </c>
      <c r="AH46" s="121" t="s">
        <v>471</v>
      </c>
      <c r="AI46" s="121" t="s">
        <v>473</v>
      </c>
      <c r="AJ46" s="121" t="s">
        <v>475</v>
      </c>
      <c r="AK46" s="122" t="s">
        <v>477</v>
      </c>
      <c r="AL46" s="2629"/>
      <c r="AM46" s="119" t="s">
        <v>1667</v>
      </c>
      <c r="AN46" s="158" t="s">
        <v>453</v>
      </c>
      <c r="AO46" s="137" t="s">
        <v>455</v>
      </c>
      <c r="AP46" s="137" t="s">
        <v>457</v>
      </c>
      <c r="AQ46" s="137" t="s">
        <v>459</v>
      </c>
      <c r="AR46" s="137" t="s">
        <v>461</v>
      </c>
      <c r="AS46" s="137" t="s">
        <v>463</v>
      </c>
      <c r="AT46" s="137" t="s">
        <v>465</v>
      </c>
      <c r="AU46" s="138" t="s">
        <v>467</v>
      </c>
      <c r="AV46" s="120" t="s">
        <v>469</v>
      </c>
      <c r="AW46" s="121" t="s">
        <v>471</v>
      </c>
      <c r="AX46" s="121" t="s">
        <v>473</v>
      </c>
      <c r="AY46" s="121" t="s">
        <v>475</v>
      </c>
      <c r="AZ46" s="122" t="s">
        <v>477</v>
      </c>
      <c r="BA46" s="2629"/>
      <c r="BB46" s="2635" t="s">
        <v>1667</v>
      </c>
      <c r="BC46" s="2635" t="s">
        <v>2142</v>
      </c>
      <c r="BD46" s="2635" t="s">
        <v>1667</v>
      </c>
      <c r="BE46" s="2635" t="s">
        <v>2142</v>
      </c>
      <c r="BF46" s="2635" t="s">
        <v>1667</v>
      </c>
      <c r="BG46" s="2635" t="s">
        <v>2142</v>
      </c>
      <c r="BH46" s="2635" t="s">
        <v>1667</v>
      </c>
      <c r="BI46" s="2635" t="s">
        <v>2142</v>
      </c>
      <c r="BJ46" s="2635" t="s">
        <v>1667</v>
      </c>
      <c r="BK46" s="2635" t="s">
        <v>2142</v>
      </c>
      <c r="BL46" s="2635" t="s">
        <v>1667</v>
      </c>
      <c r="BM46" s="2635" t="s">
        <v>2142</v>
      </c>
      <c r="BN46" s="2635" t="s">
        <v>1667</v>
      </c>
      <c r="BO46" s="2635" t="s">
        <v>2142</v>
      </c>
      <c r="BP46" s="2629"/>
      <c r="BQ46" s="2635" t="s">
        <v>1667</v>
      </c>
      <c r="BR46" s="2635" t="s">
        <v>2142</v>
      </c>
      <c r="BS46" s="2635" t="s">
        <v>1667</v>
      </c>
      <c r="BT46" s="2635" t="s">
        <v>2142</v>
      </c>
      <c r="BU46" s="2635" t="s">
        <v>1667</v>
      </c>
      <c r="BV46" s="2635" t="s">
        <v>2142</v>
      </c>
      <c r="BW46" s="2635" t="s">
        <v>1667</v>
      </c>
      <c r="BX46" s="2635" t="s">
        <v>2142</v>
      </c>
      <c r="BY46" s="2635" t="s">
        <v>1667</v>
      </c>
      <c r="BZ46" s="2635" t="s">
        <v>2142</v>
      </c>
      <c r="CA46" s="2635" t="s">
        <v>1667</v>
      </c>
      <c r="CB46" s="2635" t="s">
        <v>2142</v>
      </c>
      <c r="CC46" s="2635" t="s">
        <v>1667</v>
      </c>
      <c r="CD46" s="2636" t="s">
        <v>2142</v>
      </c>
    </row>
    <row r="47" spans="1:82" s="98" customFormat="1" ht="15" customHeight="1">
      <c r="A47" s="99"/>
      <c r="B47" s="123"/>
      <c r="C47" s="127"/>
      <c r="D47" s="127"/>
      <c r="E47" s="127"/>
      <c r="F47" s="127"/>
      <c r="G47" s="117"/>
      <c r="H47" s="117"/>
      <c r="I47" s="117"/>
      <c r="J47" s="159"/>
      <c r="K47" s="94"/>
      <c r="L47" s="94"/>
      <c r="M47" s="94"/>
      <c r="N47" s="94"/>
      <c r="O47" s="94"/>
      <c r="P47" s="94"/>
      <c r="Q47" s="160"/>
      <c r="R47" s="159"/>
      <c r="S47" s="94"/>
      <c r="T47" s="94"/>
      <c r="U47" s="94"/>
      <c r="V47" s="160"/>
      <c r="W47" s="2629"/>
      <c r="X47" s="94"/>
      <c r="Y47" s="159"/>
      <c r="Z47" s="94"/>
      <c r="AA47" s="94"/>
      <c r="AB47" s="94"/>
      <c r="AC47" s="94"/>
      <c r="AD47" s="94"/>
      <c r="AE47" s="94"/>
      <c r="AF47" s="160"/>
      <c r="AG47" s="159"/>
      <c r="AH47" s="94"/>
      <c r="AI47" s="94"/>
      <c r="AJ47" s="94"/>
      <c r="AK47" s="160"/>
      <c r="AL47" s="2629"/>
      <c r="AM47" s="94"/>
      <c r="AN47" s="159"/>
      <c r="AO47" s="94"/>
      <c r="AP47" s="94"/>
      <c r="AQ47" s="94"/>
      <c r="AR47" s="94"/>
      <c r="AS47" s="94"/>
      <c r="AT47" s="94"/>
      <c r="AU47" s="160"/>
      <c r="AV47" s="159"/>
      <c r="AW47" s="94"/>
      <c r="AX47" s="94"/>
      <c r="AY47" s="94"/>
      <c r="AZ47" s="160"/>
      <c r="BA47" s="2629"/>
      <c r="BB47" s="542"/>
      <c r="BC47" s="542"/>
      <c r="BD47" s="542"/>
      <c r="BE47" s="542"/>
      <c r="BF47" s="542"/>
      <c r="BG47" s="542"/>
      <c r="BH47" s="542"/>
      <c r="BI47" s="542"/>
      <c r="BJ47" s="542"/>
      <c r="BK47" s="542"/>
      <c r="BL47" s="542"/>
      <c r="BM47" s="542"/>
      <c r="BN47" s="542"/>
      <c r="BO47" s="542"/>
      <c r="BP47" s="2629"/>
      <c r="BQ47" s="542"/>
      <c r="BR47" s="542"/>
      <c r="BS47" s="542"/>
      <c r="BT47" s="542"/>
      <c r="BU47" s="542"/>
      <c r="BV47" s="542"/>
      <c r="BW47" s="542"/>
      <c r="BX47" s="542"/>
      <c r="BY47" s="542"/>
      <c r="BZ47" s="542"/>
      <c r="CA47" s="542"/>
      <c r="CB47" s="542"/>
      <c r="CC47" s="542"/>
      <c r="CD47" s="542"/>
    </row>
    <row r="48" spans="1:82" s="98" customFormat="1" ht="15" customHeight="1">
      <c r="A48" s="99"/>
      <c r="B48" s="161"/>
      <c r="C48" s="116" t="s">
        <v>2740</v>
      </c>
      <c r="D48" s="116"/>
      <c r="E48" s="116"/>
      <c r="F48" s="116"/>
      <c r="G48" s="117"/>
      <c r="H48" s="117"/>
      <c r="I48" s="117"/>
      <c r="J48" s="159"/>
      <c r="K48" s="94"/>
      <c r="L48" s="94"/>
      <c r="M48" s="94"/>
      <c r="N48" s="94"/>
      <c r="O48" s="94"/>
      <c r="P48" s="94"/>
      <c r="Q48" s="160"/>
      <c r="R48" s="159"/>
      <c r="S48" s="94"/>
      <c r="T48" s="94"/>
      <c r="U48" s="94"/>
      <c r="V48" s="160"/>
      <c r="W48" s="2629"/>
      <c r="X48" s="94"/>
      <c r="Y48" s="159"/>
      <c r="Z48" s="94"/>
      <c r="AA48" s="94"/>
      <c r="AB48" s="94"/>
      <c r="AC48" s="94"/>
      <c r="AD48" s="94"/>
      <c r="AE48" s="94"/>
      <c r="AF48" s="160"/>
      <c r="AG48" s="159"/>
      <c r="AH48" s="94"/>
      <c r="AI48" s="94"/>
      <c r="AJ48" s="94"/>
      <c r="AK48" s="160"/>
      <c r="AL48" s="2629"/>
      <c r="AM48" s="94"/>
      <c r="AN48" s="159"/>
      <c r="AO48" s="94"/>
      <c r="AP48" s="94"/>
      <c r="AQ48" s="94"/>
      <c r="AR48" s="94"/>
      <c r="AS48" s="94"/>
      <c r="AT48" s="94"/>
      <c r="AU48" s="160"/>
      <c r="AV48" s="159"/>
      <c r="AW48" s="94"/>
      <c r="AX48" s="94"/>
      <c r="AY48" s="94"/>
      <c r="AZ48" s="160"/>
      <c r="BA48" s="2629"/>
      <c r="BB48" s="542"/>
      <c r="BC48" s="542"/>
      <c r="BD48" s="542"/>
      <c r="BE48" s="542"/>
      <c r="BF48" s="542"/>
      <c r="BG48" s="542"/>
      <c r="BH48" s="542"/>
      <c r="BI48" s="542"/>
      <c r="BJ48" s="542"/>
      <c r="BK48" s="542"/>
      <c r="BL48" s="542"/>
      <c r="BM48" s="542"/>
      <c r="BN48" s="542"/>
      <c r="BO48" s="542"/>
      <c r="BP48" s="2629"/>
      <c r="BQ48" s="542"/>
      <c r="BR48" s="542"/>
      <c r="BS48" s="542"/>
      <c r="BT48" s="542"/>
      <c r="BU48" s="542"/>
      <c r="BV48" s="542"/>
      <c r="BW48" s="542"/>
      <c r="BX48" s="542"/>
      <c r="BY48" s="542"/>
      <c r="BZ48" s="542"/>
      <c r="CA48" s="542"/>
      <c r="CB48" s="542"/>
      <c r="CC48" s="542"/>
      <c r="CD48" s="542"/>
    </row>
    <row r="49" spans="1:82" s="98" customFormat="1" ht="15" customHeight="1">
      <c r="A49" s="99"/>
      <c r="B49" s="161"/>
      <c r="C49" s="162"/>
      <c r="D49" s="162" t="s">
        <v>2701</v>
      </c>
      <c r="E49" s="162"/>
      <c r="F49" s="162"/>
      <c r="G49" s="163"/>
      <c r="H49" s="163"/>
      <c r="I49" s="164" t="s">
        <v>498</v>
      </c>
      <c r="J49" s="143">
        <v>0.1638269214985634</v>
      </c>
      <c r="K49" s="141">
        <v>0.13677072268578055</v>
      </c>
      <c r="L49" s="141">
        <v>0.31160443390462939</v>
      </c>
      <c r="M49" s="141">
        <v>0.82738239000661806</v>
      </c>
      <c r="N49" s="141">
        <v>0.4734799524125457</v>
      </c>
      <c r="O49" s="141">
        <v>0.39893754028378525</v>
      </c>
      <c r="P49" s="141">
        <v>0.38332879173900147</v>
      </c>
      <c r="Q49" s="144">
        <v>0.38128862409335618</v>
      </c>
      <c r="R49" s="143">
        <v>0.4576679851006803</v>
      </c>
      <c r="S49" s="141">
        <v>0.45537964517517687</v>
      </c>
      <c r="T49" s="141">
        <v>0.45310274694930097</v>
      </c>
      <c r="U49" s="141">
        <v>0.45083723321455449</v>
      </c>
      <c r="V49" s="144">
        <v>0.44858304704848173</v>
      </c>
      <c r="W49" s="2629"/>
      <c r="X49" s="607" t="s">
        <v>498</v>
      </c>
      <c r="Y49" s="143">
        <v>0</v>
      </c>
      <c r="Z49" s="141">
        <v>0</v>
      </c>
      <c r="AA49" s="141">
        <v>0</v>
      </c>
      <c r="AB49" s="141">
        <v>0</v>
      </c>
      <c r="AC49" s="141">
        <v>0</v>
      </c>
      <c r="AD49" s="141">
        <v>0</v>
      </c>
      <c r="AE49" s="141">
        <v>0</v>
      </c>
      <c r="AF49" s="144">
        <v>0</v>
      </c>
      <c r="AG49" s="143">
        <v>0</v>
      </c>
      <c r="AH49" s="141">
        <v>0</v>
      </c>
      <c r="AI49" s="141">
        <v>0</v>
      </c>
      <c r="AJ49" s="141">
        <v>0</v>
      </c>
      <c r="AK49" s="144">
        <v>0</v>
      </c>
      <c r="AL49" s="2629"/>
      <c r="AM49" s="607" t="s">
        <v>2233</v>
      </c>
      <c r="AN49" s="143">
        <v>1.92021</v>
      </c>
      <c r="AO49" s="141">
        <v>3.0569999999999999</v>
      </c>
      <c r="AP49" s="141">
        <v>1.1045</v>
      </c>
      <c r="AQ49" s="141">
        <v>3.3189999999999955</v>
      </c>
      <c r="AR49" s="141">
        <v>4.0779999999999994</v>
      </c>
      <c r="AS49" s="141">
        <v>3.726999999999999</v>
      </c>
      <c r="AT49" s="141">
        <v>2.8094918702258407</v>
      </c>
      <c r="AU49" s="144">
        <v>3.1638909137203362</v>
      </c>
      <c r="AV49" s="143">
        <v>4.6585188303304284</v>
      </c>
      <c r="AW49" s="141">
        <v>4.6585188303304284</v>
      </c>
      <c r="AX49" s="141">
        <v>4.6585188303304284</v>
      </c>
      <c r="AY49" s="141">
        <v>4.6585188303304284</v>
      </c>
      <c r="AZ49" s="144">
        <v>4.6585188303304284</v>
      </c>
      <c r="BA49" s="2629"/>
      <c r="BB49" s="545" t="s">
        <v>627</v>
      </c>
      <c r="BC49" s="868">
        <v>0</v>
      </c>
      <c r="BD49" s="545" t="s">
        <v>627</v>
      </c>
      <c r="BE49" s="868">
        <v>0</v>
      </c>
      <c r="BF49" s="545" t="s">
        <v>2233</v>
      </c>
      <c r="BG49" s="141">
        <v>0</v>
      </c>
      <c r="BH49" s="545" t="s">
        <v>2233</v>
      </c>
      <c r="BI49" s="141">
        <v>0</v>
      </c>
      <c r="BJ49" s="545" t="s">
        <v>2233</v>
      </c>
      <c r="BK49" s="141">
        <v>0</v>
      </c>
      <c r="BL49" s="545" t="s">
        <v>2233</v>
      </c>
      <c r="BM49" s="141">
        <v>0</v>
      </c>
      <c r="BN49" s="545" t="s">
        <v>2233</v>
      </c>
      <c r="BO49" s="141">
        <v>0</v>
      </c>
      <c r="BP49" s="2629"/>
      <c r="BQ49" s="545" t="s">
        <v>627</v>
      </c>
      <c r="BR49" s="868">
        <v>0</v>
      </c>
      <c r="BS49" s="545" t="s">
        <v>627</v>
      </c>
      <c r="BT49" s="868">
        <v>0</v>
      </c>
      <c r="BU49" s="545" t="s">
        <v>2233</v>
      </c>
      <c r="BV49" s="141">
        <v>0</v>
      </c>
      <c r="BW49" s="545" t="s">
        <v>2233</v>
      </c>
      <c r="BX49" s="141">
        <v>0</v>
      </c>
      <c r="BY49" s="545" t="s">
        <v>2233</v>
      </c>
      <c r="BZ49" s="141">
        <v>0</v>
      </c>
      <c r="CA49" s="545" t="s">
        <v>2233</v>
      </c>
      <c r="CB49" s="141">
        <v>0</v>
      </c>
      <c r="CC49" s="545" t="s">
        <v>2233</v>
      </c>
      <c r="CD49" s="141">
        <v>0</v>
      </c>
    </row>
    <row r="50" spans="1:82" s="98" customFormat="1" ht="15" customHeight="1">
      <c r="A50" s="99"/>
      <c r="B50" s="161"/>
      <c r="C50" s="162"/>
      <c r="D50" s="162" t="s">
        <v>2702</v>
      </c>
      <c r="E50" s="162"/>
      <c r="F50" s="162"/>
      <c r="G50" s="163"/>
      <c r="H50" s="163"/>
      <c r="I50" s="164" t="s">
        <v>498</v>
      </c>
      <c r="J50" s="143">
        <v>0.79251815248306878</v>
      </c>
      <c r="K50" s="141">
        <v>0.48862443669194183</v>
      </c>
      <c r="L50" s="141">
        <v>0.58493507442389459</v>
      </c>
      <c r="M50" s="141">
        <v>0.99624884466967223</v>
      </c>
      <c r="N50" s="141">
        <v>0.80299859629881276</v>
      </c>
      <c r="O50" s="141">
        <v>0.77976474374960336</v>
      </c>
      <c r="P50" s="141">
        <v>0.7017830705609166</v>
      </c>
      <c r="Q50" s="144">
        <v>0.63407666394609485</v>
      </c>
      <c r="R50" s="143">
        <v>1.5979302203520607</v>
      </c>
      <c r="S50" s="141">
        <v>1.5899405692503004</v>
      </c>
      <c r="T50" s="141">
        <v>1.581990866404049</v>
      </c>
      <c r="U50" s="141">
        <v>1.5740809120720287</v>
      </c>
      <c r="V50" s="144">
        <v>1.5662105075116686</v>
      </c>
      <c r="W50" s="2629"/>
      <c r="X50" s="607" t="s">
        <v>498</v>
      </c>
      <c r="Y50" s="143">
        <v>0</v>
      </c>
      <c r="Z50" s="141">
        <v>0</v>
      </c>
      <c r="AA50" s="141">
        <v>0</v>
      </c>
      <c r="AB50" s="141">
        <v>0</v>
      </c>
      <c r="AC50" s="141">
        <v>0</v>
      </c>
      <c r="AD50" s="141">
        <v>0</v>
      </c>
      <c r="AE50" s="141">
        <v>0</v>
      </c>
      <c r="AF50" s="144">
        <v>0</v>
      </c>
      <c r="AG50" s="143">
        <v>0</v>
      </c>
      <c r="AH50" s="141">
        <v>0</v>
      </c>
      <c r="AI50" s="141">
        <v>0</v>
      </c>
      <c r="AJ50" s="141">
        <v>0</v>
      </c>
      <c r="AK50" s="144">
        <v>0</v>
      </c>
      <c r="AL50" s="2629"/>
      <c r="AM50" s="607" t="s">
        <v>2233</v>
      </c>
      <c r="AN50" s="143">
        <v>9.2245000000000008</v>
      </c>
      <c r="AO50" s="141">
        <v>11.065</v>
      </c>
      <c r="AP50" s="141">
        <v>1.94</v>
      </c>
      <c r="AQ50" s="141">
        <v>8.0029999999999966</v>
      </c>
      <c r="AR50" s="141">
        <v>6.041999999999998</v>
      </c>
      <c r="AS50" s="141">
        <v>6.6299999999999972</v>
      </c>
      <c r="AT50" s="141">
        <v>6.6710950358937779</v>
      </c>
      <c r="AU50" s="144">
        <v>6.8241305098551184</v>
      </c>
      <c r="AV50" s="143">
        <v>16.394153117376689</v>
      </c>
      <c r="AW50" s="141">
        <v>16.394153117376689</v>
      </c>
      <c r="AX50" s="141">
        <v>16.394153117376689</v>
      </c>
      <c r="AY50" s="141">
        <v>16.394153117376689</v>
      </c>
      <c r="AZ50" s="144">
        <v>16.394153117376689</v>
      </c>
      <c r="BA50" s="2629"/>
      <c r="BB50" s="545" t="s">
        <v>627</v>
      </c>
      <c r="BC50" s="868">
        <v>0</v>
      </c>
      <c r="BD50" s="545" t="s">
        <v>627</v>
      </c>
      <c r="BE50" s="868">
        <v>0</v>
      </c>
      <c r="BF50" s="545" t="s">
        <v>2233</v>
      </c>
      <c r="BG50" s="141">
        <v>0</v>
      </c>
      <c r="BH50" s="545" t="s">
        <v>2233</v>
      </c>
      <c r="BI50" s="141">
        <v>0</v>
      </c>
      <c r="BJ50" s="545" t="s">
        <v>2233</v>
      </c>
      <c r="BK50" s="141">
        <v>0</v>
      </c>
      <c r="BL50" s="545" t="s">
        <v>2233</v>
      </c>
      <c r="BM50" s="141">
        <v>0</v>
      </c>
      <c r="BN50" s="545" t="s">
        <v>2233</v>
      </c>
      <c r="BO50" s="141">
        <v>0</v>
      </c>
      <c r="BP50" s="2629"/>
      <c r="BQ50" s="545" t="s">
        <v>627</v>
      </c>
      <c r="BR50" s="868">
        <v>0</v>
      </c>
      <c r="BS50" s="545" t="s">
        <v>627</v>
      </c>
      <c r="BT50" s="868">
        <v>0</v>
      </c>
      <c r="BU50" s="545" t="s">
        <v>2233</v>
      </c>
      <c r="BV50" s="141">
        <v>0</v>
      </c>
      <c r="BW50" s="545" t="s">
        <v>2233</v>
      </c>
      <c r="BX50" s="141">
        <v>0</v>
      </c>
      <c r="BY50" s="545" t="s">
        <v>2233</v>
      </c>
      <c r="BZ50" s="141">
        <v>0</v>
      </c>
      <c r="CA50" s="545" t="s">
        <v>2233</v>
      </c>
      <c r="CB50" s="141">
        <v>0</v>
      </c>
      <c r="CC50" s="545" t="s">
        <v>2233</v>
      </c>
      <c r="CD50" s="141">
        <v>0</v>
      </c>
    </row>
    <row r="51" spans="1:82" s="98" customFormat="1" ht="15" customHeight="1">
      <c r="A51" s="99"/>
      <c r="B51" s="161"/>
      <c r="C51" s="162"/>
      <c r="D51" s="162" t="s">
        <v>2703</v>
      </c>
      <c r="E51" s="162"/>
      <c r="F51" s="162"/>
      <c r="G51" s="163"/>
      <c r="H51" s="163"/>
      <c r="I51" s="164" t="s">
        <v>498</v>
      </c>
      <c r="J51" s="143">
        <v>0.24755016232395446</v>
      </c>
      <c r="K51" s="141">
        <v>8.7136186227231169E-2</v>
      </c>
      <c r="L51" s="141">
        <v>5.1081659379711541E-2</v>
      </c>
      <c r="M51" s="141">
        <v>0.10744486923575736</v>
      </c>
      <c r="N51" s="141">
        <v>0.40572607103792302</v>
      </c>
      <c r="O51" s="141">
        <v>0.2131281334766475</v>
      </c>
      <c r="P51" s="141">
        <v>0.16480553740604623</v>
      </c>
      <c r="Q51" s="144">
        <v>0.15043453244871891</v>
      </c>
      <c r="R51" s="143">
        <v>0.89378337609625214</v>
      </c>
      <c r="S51" s="141">
        <v>0.8893144592157709</v>
      </c>
      <c r="T51" s="141">
        <v>0.88486788691969209</v>
      </c>
      <c r="U51" s="141">
        <v>0.88044354748509368</v>
      </c>
      <c r="V51" s="144">
        <v>0.87604132974766824</v>
      </c>
      <c r="W51" s="2629"/>
      <c r="X51" s="607" t="s">
        <v>498</v>
      </c>
      <c r="Y51" s="143">
        <v>0</v>
      </c>
      <c r="Z51" s="141">
        <v>0</v>
      </c>
      <c r="AA51" s="141">
        <v>0</v>
      </c>
      <c r="AB51" s="141">
        <v>0</v>
      </c>
      <c r="AC51" s="141">
        <v>0</v>
      </c>
      <c r="AD51" s="141">
        <v>0</v>
      </c>
      <c r="AE51" s="141">
        <v>0</v>
      </c>
      <c r="AF51" s="144">
        <v>0</v>
      </c>
      <c r="AG51" s="143">
        <v>0</v>
      </c>
      <c r="AH51" s="141">
        <v>0</v>
      </c>
      <c r="AI51" s="141">
        <v>0</v>
      </c>
      <c r="AJ51" s="141">
        <v>0</v>
      </c>
      <c r="AK51" s="144">
        <v>0</v>
      </c>
      <c r="AL51" s="2629"/>
      <c r="AM51" s="607" t="s">
        <v>2233</v>
      </c>
      <c r="AN51" s="143">
        <v>1.8919999999999999</v>
      </c>
      <c r="AO51" s="141">
        <v>2.024</v>
      </c>
      <c r="AP51" s="141">
        <v>0.20250000000000001</v>
      </c>
      <c r="AQ51" s="141">
        <v>0.82400000000000007</v>
      </c>
      <c r="AR51" s="141">
        <v>2.2159999999999993</v>
      </c>
      <c r="AS51" s="141">
        <v>1.0619999999999998</v>
      </c>
      <c r="AT51" s="141">
        <v>1.1998058826204845</v>
      </c>
      <c r="AU51" s="144">
        <v>1.2399324941555543</v>
      </c>
      <c r="AV51" s="143">
        <v>5.6449252018005502</v>
      </c>
      <c r="AW51" s="141">
        <v>5.6449252018005502</v>
      </c>
      <c r="AX51" s="141">
        <v>5.6449252018005502</v>
      </c>
      <c r="AY51" s="141">
        <v>5.6449252018005502</v>
      </c>
      <c r="AZ51" s="144">
        <v>5.6449252018005502</v>
      </c>
      <c r="BA51" s="2629"/>
      <c r="BB51" s="545" t="s">
        <v>627</v>
      </c>
      <c r="BC51" s="868">
        <v>0</v>
      </c>
      <c r="BD51" s="545" t="s">
        <v>627</v>
      </c>
      <c r="BE51" s="868">
        <v>0</v>
      </c>
      <c r="BF51" s="545" t="s">
        <v>2233</v>
      </c>
      <c r="BG51" s="141">
        <v>0</v>
      </c>
      <c r="BH51" s="545" t="s">
        <v>2233</v>
      </c>
      <c r="BI51" s="141">
        <v>0</v>
      </c>
      <c r="BJ51" s="545" t="s">
        <v>2233</v>
      </c>
      <c r="BK51" s="141">
        <v>0</v>
      </c>
      <c r="BL51" s="545" t="s">
        <v>2233</v>
      </c>
      <c r="BM51" s="141">
        <v>0</v>
      </c>
      <c r="BN51" s="545" t="s">
        <v>2233</v>
      </c>
      <c r="BO51" s="141">
        <v>0</v>
      </c>
      <c r="BP51" s="2629"/>
      <c r="BQ51" s="545" t="s">
        <v>627</v>
      </c>
      <c r="BR51" s="868">
        <v>0</v>
      </c>
      <c r="BS51" s="545" t="s">
        <v>627</v>
      </c>
      <c r="BT51" s="868">
        <v>0</v>
      </c>
      <c r="BU51" s="545" t="s">
        <v>2233</v>
      </c>
      <c r="BV51" s="141">
        <v>0</v>
      </c>
      <c r="BW51" s="545" t="s">
        <v>2233</v>
      </c>
      <c r="BX51" s="141">
        <v>0</v>
      </c>
      <c r="BY51" s="545" t="s">
        <v>2233</v>
      </c>
      <c r="BZ51" s="141">
        <v>0</v>
      </c>
      <c r="CA51" s="545" t="s">
        <v>2233</v>
      </c>
      <c r="CB51" s="141">
        <v>0</v>
      </c>
      <c r="CC51" s="545" t="s">
        <v>2233</v>
      </c>
      <c r="CD51" s="141">
        <v>0</v>
      </c>
    </row>
    <row r="52" spans="1:82" s="98" customFormat="1" ht="15" customHeight="1">
      <c r="A52" s="99"/>
      <c r="B52" s="161"/>
      <c r="C52" s="162"/>
      <c r="D52" s="162" t="s">
        <v>2704</v>
      </c>
      <c r="E52" s="162"/>
      <c r="F52" s="162"/>
      <c r="G52" s="163"/>
      <c r="H52" s="163"/>
      <c r="I52" s="164" t="s">
        <v>498</v>
      </c>
      <c r="J52" s="143">
        <v>0.15939082949687552</v>
      </c>
      <c r="K52" s="141">
        <v>0.1489036093756482</v>
      </c>
      <c r="L52" s="141">
        <v>0.19046652823963456</v>
      </c>
      <c r="M52" s="141">
        <v>9.2706116731948715E-2</v>
      </c>
      <c r="N52" s="141">
        <v>0.36545340242402152</v>
      </c>
      <c r="O52" s="141">
        <v>0.34647560897210589</v>
      </c>
      <c r="P52" s="141">
        <v>0.23574564392254646</v>
      </c>
      <c r="Q52" s="144">
        <v>0.2310259679705943</v>
      </c>
      <c r="R52" s="143">
        <v>0.41810521954848306</v>
      </c>
      <c r="S52" s="141">
        <v>0.41601469345074066</v>
      </c>
      <c r="T52" s="141">
        <v>0.41393461998348696</v>
      </c>
      <c r="U52" s="141">
        <v>0.4118649468835695</v>
      </c>
      <c r="V52" s="144">
        <v>0.40980562214915167</v>
      </c>
      <c r="W52" s="2629"/>
      <c r="X52" s="607" t="s">
        <v>498</v>
      </c>
      <c r="Y52" s="143">
        <v>0</v>
      </c>
      <c r="Z52" s="141">
        <v>0</v>
      </c>
      <c r="AA52" s="141">
        <v>0</v>
      </c>
      <c r="AB52" s="141">
        <v>0</v>
      </c>
      <c r="AC52" s="141">
        <v>0</v>
      </c>
      <c r="AD52" s="141">
        <v>0</v>
      </c>
      <c r="AE52" s="141">
        <v>0</v>
      </c>
      <c r="AF52" s="144">
        <v>0</v>
      </c>
      <c r="AG52" s="143">
        <v>0</v>
      </c>
      <c r="AH52" s="141">
        <v>0</v>
      </c>
      <c r="AI52" s="141">
        <v>0</v>
      </c>
      <c r="AJ52" s="141">
        <v>0</v>
      </c>
      <c r="AK52" s="144">
        <v>0</v>
      </c>
      <c r="AL52" s="2629"/>
      <c r="AM52" s="607" t="s">
        <v>2233</v>
      </c>
      <c r="AN52" s="143">
        <v>0.64</v>
      </c>
      <c r="AO52" s="141">
        <v>1.0469999999999999</v>
      </c>
      <c r="AP52" s="141">
        <v>0.58499999999999996</v>
      </c>
      <c r="AQ52" s="141">
        <v>0.14500000000000002</v>
      </c>
      <c r="AR52" s="141">
        <v>1.0449999999999999</v>
      </c>
      <c r="AS52" s="141">
        <v>1.4989999999999999</v>
      </c>
      <c r="AT52" s="141">
        <v>0.88370726832847868</v>
      </c>
      <c r="AU52" s="144">
        <v>0.98047576308736328</v>
      </c>
      <c r="AV52" s="143">
        <v>1.4102381237642441</v>
      </c>
      <c r="AW52" s="141">
        <v>1.4102381237642441</v>
      </c>
      <c r="AX52" s="141">
        <v>1.4102381237642441</v>
      </c>
      <c r="AY52" s="141">
        <v>1.4102381237642441</v>
      </c>
      <c r="AZ52" s="144">
        <v>1.4102381237642441</v>
      </c>
      <c r="BA52" s="2629"/>
      <c r="BB52" s="545" t="s">
        <v>627</v>
      </c>
      <c r="BC52" s="868">
        <v>0</v>
      </c>
      <c r="BD52" s="545" t="s">
        <v>627</v>
      </c>
      <c r="BE52" s="868">
        <v>0</v>
      </c>
      <c r="BF52" s="545" t="s">
        <v>2233</v>
      </c>
      <c r="BG52" s="141">
        <v>0</v>
      </c>
      <c r="BH52" s="545" t="s">
        <v>2233</v>
      </c>
      <c r="BI52" s="141">
        <v>0</v>
      </c>
      <c r="BJ52" s="545" t="s">
        <v>2233</v>
      </c>
      <c r="BK52" s="141">
        <v>0</v>
      </c>
      <c r="BL52" s="545" t="s">
        <v>2233</v>
      </c>
      <c r="BM52" s="141">
        <v>0</v>
      </c>
      <c r="BN52" s="545" t="s">
        <v>2233</v>
      </c>
      <c r="BO52" s="141">
        <v>0</v>
      </c>
      <c r="BP52" s="2629"/>
      <c r="BQ52" s="545" t="s">
        <v>627</v>
      </c>
      <c r="BR52" s="868">
        <v>0</v>
      </c>
      <c r="BS52" s="545" t="s">
        <v>627</v>
      </c>
      <c r="BT52" s="868">
        <v>0</v>
      </c>
      <c r="BU52" s="545" t="s">
        <v>2233</v>
      </c>
      <c r="BV52" s="141">
        <v>0</v>
      </c>
      <c r="BW52" s="545" t="s">
        <v>2233</v>
      </c>
      <c r="BX52" s="141">
        <v>0</v>
      </c>
      <c r="BY52" s="545" t="s">
        <v>2233</v>
      </c>
      <c r="BZ52" s="141">
        <v>0</v>
      </c>
      <c r="CA52" s="545" t="s">
        <v>2233</v>
      </c>
      <c r="CB52" s="141">
        <v>0</v>
      </c>
      <c r="CC52" s="545" t="s">
        <v>2233</v>
      </c>
      <c r="CD52" s="141">
        <v>0</v>
      </c>
    </row>
    <row r="53" spans="1:82" s="98" customFormat="1" ht="15" customHeight="1">
      <c r="A53" s="99"/>
      <c r="B53" s="161"/>
      <c r="C53" s="162"/>
      <c r="D53" s="162" t="s">
        <v>2705</v>
      </c>
      <c r="E53" s="162"/>
      <c r="F53" s="162"/>
      <c r="G53" s="163"/>
      <c r="H53" s="163"/>
      <c r="I53" s="164" t="s">
        <v>498</v>
      </c>
      <c r="J53" s="143">
        <v>0.10280842128363644</v>
      </c>
      <c r="K53" s="141">
        <v>0.13897670208393828</v>
      </c>
      <c r="L53" s="141">
        <v>0.25656470287344124</v>
      </c>
      <c r="M53" s="141">
        <v>6.3704399824690269E-2</v>
      </c>
      <c r="N53" s="141">
        <v>0.98625348810352131</v>
      </c>
      <c r="O53" s="141">
        <v>0.23701689993862915</v>
      </c>
      <c r="P53" s="141">
        <v>0.32141585324239952</v>
      </c>
      <c r="Q53" s="144">
        <v>0.32433144683478804</v>
      </c>
      <c r="R53" s="143">
        <v>0.65915849531149018</v>
      </c>
      <c r="S53" s="141">
        <v>0.65586270283493275</v>
      </c>
      <c r="T53" s="141">
        <v>0.6525833893207581</v>
      </c>
      <c r="U53" s="141">
        <v>0.64932047237415436</v>
      </c>
      <c r="V53" s="144">
        <v>0.64607387001228356</v>
      </c>
      <c r="W53" s="2629"/>
      <c r="X53" s="607" t="s">
        <v>498</v>
      </c>
      <c r="Y53" s="143">
        <v>0</v>
      </c>
      <c r="Z53" s="141">
        <v>0</v>
      </c>
      <c r="AA53" s="141">
        <v>0</v>
      </c>
      <c r="AB53" s="141">
        <v>0</v>
      </c>
      <c r="AC53" s="141">
        <v>0</v>
      </c>
      <c r="AD53" s="141">
        <v>0</v>
      </c>
      <c r="AE53" s="141">
        <v>0</v>
      </c>
      <c r="AF53" s="144">
        <v>0</v>
      </c>
      <c r="AG53" s="143">
        <v>0</v>
      </c>
      <c r="AH53" s="141">
        <v>0</v>
      </c>
      <c r="AI53" s="141">
        <v>0</v>
      </c>
      <c r="AJ53" s="141">
        <v>0</v>
      </c>
      <c r="AK53" s="144">
        <v>0</v>
      </c>
      <c r="AL53" s="2629"/>
      <c r="AM53" s="607" t="s">
        <v>2233</v>
      </c>
      <c r="AN53" s="143">
        <v>0.20699999999999999</v>
      </c>
      <c r="AO53" s="141">
        <v>0.57399999999999995</v>
      </c>
      <c r="AP53" s="141">
        <v>0.502</v>
      </c>
      <c r="AQ53" s="141">
        <v>0.39100000000000001</v>
      </c>
      <c r="AR53" s="141">
        <v>2.0329999999999995</v>
      </c>
      <c r="AS53" s="141">
        <v>0.496</v>
      </c>
      <c r="AT53" s="141">
        <v>0.74521472898628072</v>
      </c>
      <c r="AU53" s="144">
        <v>0.85136248537701076</v>
      </c>
      <c r="AV53" s="143">
        <v>1.2583483797830264</v>
      </c>
      <c r="AW53" s="141">
        <v>1.2583483797830264</v>
      </c>
      <c r="AX53" s="141">
        <v>1.2583483797830264</v>
      </c>
      <c r="AY53" s="141">
        <v>1.2583483797830264</v>
      </c>
      <c r="AZ53" s="144">
        <v>1.2583483797830264</v>
      </c>
      <c r="BA53" s="2629"/>
      <c r="BB53" s="545" t="s">
        <v>627</v>
      </c>
      <c r="BC53" s="868">
        <v>0</v>
      </c>
      <c r="BD53" s="545" t="s">
        <v>627</v>
      </c>
      <c r="BE53" s="868">
        <v>0</v>
      </c>
      <c r="BF53" s="545" t="s">
        <v>2233</v>
      </c>
      <c r="BG53" s="141">
        <v>0</v>
      </c>
      <c r="BH53" s="545" t="s">
        <v>2233</v>
      </c>
      <c r="BI53" s="141">
        <v>0</v>
      </c>
      <c r="BJ53" s="545" t="s">
        <v>2233</v>
      </c>
      <c r="BK53" s="141">
        <v>0</v>
      </c>
      <c r="BL53" s="545" t="s">
        <v>2233</v>
      </c>
      <c r="BM53" s="141">
        <v>0</v>
      </c>
      <c r="BN53" s="545" t="s">
        <v>2233</v>
      </c>
      <c r="BO53" s="141">
        <v>0</v>
      </c>
      <c r="BP53" s="2629"/>
      <c r="BQ53" s="545" t="s">
        <v>627</v>
      </c>
      <c r="BR53" s="868">
        <v>0</v>
      </c>
      <c r="BS53" s="545" t="s">
        <v>627</v>
      </c>
      <c r="BT53" s="868">
        <v>0</v>
      </c>
      <c r="BU53" s="545" t="s">
        <v>2233</v>
      </c>
      <c r="BV53" s="141">
        <v>0</v>
      </c>
      <c r="BW53" s="545" t="s">
        <v>2233</v>
      </c>
      <c r="BX53" s="141">
        <v>0</v>
      </c>
      <c r="BY53" s="545" t="s">
        <v>2233</v>
      </c>
      <c r="BZ53" s="141">
        <v>0</v>
      </c>
      <c r="CA53" s="545" t="s">
        <v>2233</v>
      </c>
      <c r="CB53" s="141">
        <v>0</v>
      </c>
      <c r="CC53" s="545" t="s">
        <v>2233</v>
      </c>
      <c r="CD53" s="141">
        <v>0</v>
      </c>
    </row>
    <row r="54" spans="1:82" s="98" customFormat="1" ht="15" customHeight="1">
      <c r="A54" s="99"/>
      <c r="B54" s="161"/>
      <c r="C54" s="162"/>
      <c r="D54" s="162" t="s">
        <v>2706</v>
      </c>
      <c r="E54" s="162"/>
      <c r="F54" s="162"/>
      <c r="G54" s="163"/>
      <c r="H54" s="163"/>
      <c r="I54" s="164" t="s">
        <v>498</v>
      </c>
      <c r="J54" s="143">
        <v>0</v>
      </c>
      <c r="K54" s="141">
        <v>4.9634536458549393E-2</v>
      </c>
      <c r="L54" s="141">
        <v>0</v>
      </c>
      <c r="M54" s="141">
        <v>0</v>
      </c>
      <c r="N54" s="141">
        <v>0</v>
      </c>
      <c r="O54" s="141">
        <v>9.5095331551557485E-2</v>
      </c>
      <c r="P54" s="141">
        <v>1.9073375927266108E-2</v>
      </c>
      <c r="Q54" s="144">
        <v>1.9090895337297124E-2</v>
      </c>
      <c r="R54" s="143">
        <v>0.2305970523318864</v>
      </c>
      <c r="S54" s="141">
        <v>0.22944406707022696</v>
      </c>
      <c r="T54" s="141">
        <v>0.22829684673487582</v>
      </c>
      <c r="U54" s="141">
        <v>0.22715536250120144</v>
      </c>
      <c r="V54" s="144">
        <v>0.22601958568869543</v>
      </c>
      <c r="W54" s="2629"/>
      <c r="X54" s="607" t="s">
        <v>498</v>
      </c>
      <c r="Y54" s="143">
        <v>0</v>
      </c>
      <c r="Z54" s="141">
        <v>0</v>
      </c>
      <c r="AA54" s="141">
        <v>0</v>
      </c>
      <c r="AB54" s="141">
        <v>0</v>
      </c>
      <c r="AC54" s="141">
        <v>0</v>
      </c>
      <c r="AD54" s="141">
        <v>0</v>
      </c>
      <c r="AE54" s="141">
        <v>0</v>
      </c>
      <c r="AF54" s="144">
        <v>0</v>
      </c>
      <c r="AG54" s="143">
        <v>0</v>
      </c>
      <c r="AH54" s="141">
        <v>0</v>
      </c>
      <c r="AI54" s="141">
        <v>0</v>
      </c>
      <c r="AJ54" s="141">
        <v>0</v>
      </c>
      <c r="AK54" s="144">
        <v>0</v>
      </c>
      <c r="AL54" s="2629"/>
      <c r="AM54" s="607" t="s">
        <v>2233</v>
      </c>
      <c r="AN54" s="143">
        <v>0</v>
      </c>
      <c r="AO54" s="141">
        <v>0.18099999999999999</v>
      </c>
      <c r="AP54" s="141">
        <v>0</v>
      </c>
      <c r="AQ54" s="141">
        <v>0</v>
      </c>
      <c r="AR54" s="141">
        <v>0</v>
      </c>
      <c r="AS54" s="141">
        <v>0.123</v>
      </c>
      <c r="AT54" s="141">
        <v>3.945616990546498E-2</v>
      </c>
      <c r="AU54" s="144">
        <v>4.471208959218391E-2</v>
      </c>
      <c r="AV54" s="143">
        <v>0.3052548371372894</v>
      </c>
      <c r="AW54" s="141">
        <v>0.3052548371372894</v>
      </c>
      <c r="AX54" s="141">
        <v>0.3052548371372894</v>
      </c>
      <c r="AY54" s="141">
        <v>0.3052548371372894</v>
      </c>
      <c r="AZ54" s="144">
        <v>0.3052548371372894</v>
      </c>
      <c r="BA54" s="2629"/>
      <c r="BB54" s="545" t="s">
        <v>627</v>
      </c>
      <c r="BC54" s="868">
        <v>0</v>
      </c>
      <c r="BD54" s="545" t="s">
        <v>627</v>
      </c>
      <c r="BE54" s="868">
        <v>0</v>
      </c>
      <c r="BF54" s="545" t="s">
        <v>2233</v>
      </c>
      <c r="BG54" s="141">
        <v>0</v>
      </c>
      <c r="BH54" s="545" t="s">
        <v>2233</v>
      </c>
      <c r="BI54" s="141">
        <v>0</v>
      </c>
      <c r="BJ54" s="545" t="s">
        <v>2233</v>
      </c>
      <c r="BK54" s="141">
        <v>0</v>
      </c>
      <c r="BL54" s="545" t="s">
        <v>2233</v>
      </c>
      <c r="BM54" s="141">
        <v>0</v>
      </c>
      <c r="BN54" s="545" t="s">
        <v>2233</v>
      </c>
      <c r="BO54" s="141">
        <v>0</v>
      </c>
      <c r="BP54" s="2629"/>
      <c r="BQ54" s="545" t="s">
        <v>627</v>
      </c>
      <c r="BR54" s="868">
        <v>0</v>
      </c>
      <c r="BS54" s="545" t="s">
        <v>627</v>
      </c>
      <c r="BT54" s="868">
        <v>0</v>
      </c>
      <c r="BU54" s="545" t="s">
        <v>2233</v>
      </c>
      <c r="BV54" s="141">
        <v>0</v>
      </c>
      <c r="BW54" s="545" t="s">
        <v>2233</v>
      </c>
      <c r="BX54" s="141">
        <v>0</v>
      </c>
      <c r="BY54" s="545" t="s">
        <v>2233</v>
      </c>
      <c r="BZ54" s="141">
        <v>0</v>
      </c>
      <c r="CA54" s="545" t="s">
        <v>2233</v>
      </c>
      <c r="CB54" s="141">
        <v>0</v>
      </c>
      <c r="CC54" s="545" t="s">
        <v>2233</v>
      </c>
      <c r="CD54" s="141">
        <v>0</v>
      </c>
    </row>
    <row r="55" spans="1:82" s="98" customFormat="1" ht="15" customHeight="1">
      <c r="A55" s="99"/>
      <c r="B55" s="161"/>
      <c r="C55" s="162"/>
      <c r="D55" s="162" t="s">
        <v>2707</v>
      </c>
      <c r="E55" s="162"/>
      <c r="F55" s="162"/>
      <c r="G55" s="163"/>
      <c r="H55" s="163"/>
      <c r="I55" s="164" t="s">
        <v>498</v>
      </c>
      <c r="J55" s="143">
        <v>0</v>
      </c>
      <c r="K55" s="141">
        <v>0</v>
      </c>
      <c r="L55" s="141">
        <v>0</v>
      </c>
      <c r="M55" s="141">
        <v>0</v>
      </c>
      <c r="N55" s="141">
        <v>0</v>
      </c>
      <c r="O55" s="141">
        <v>0</v>
      </c>
      <c r="P55" s="141">
        <v>0</v>
      </c>
      <c r="Q55" s="144">
        <v>0</v>
      </c>
      <c r="R55" s="143">
        <v>0.26554317646985781</v>
      </c>
      <c r="S55" s="141">
        <v>0.2642154605875085</v>
      </c>
      <c r="T55" s="141">
        <v>0.26289438328457093</v>
      </c>
      <c r="U55" s="141">
        <v>0.26157991136814807</v>
      </c>
      <c r="V55" s="144">
        <v>0.26027201181130732</v>
      </c>
      <c r="W55" s="2629"/>
      <c r="X55" s="607" t="s">
        <v>498</v>
      </c>
      <c r="Y55" s="143">
        <v>0</v>
      </c>
      <c r="Z55" s="141">
        <v>0</v>
      </c>
      <c r="AA55" s="141">
        <v>0</v>
      </c>
      <c r="AB55" s="141">
        <v>0</v>
      </c>
      <c r="AC55" s="141">
        <v>0</v>
      </c>
      <c r="AD55" s="141">
        <v>0</v>
      </c>
      <c r="AE55" s="141">
        <v>0</v>
      </c>
      <c r="AF55" s="144">
        <v>0</v>
      </c>
      <c r="AG55" s="143">
        <v>0</v>
      </c>
      <c r="AH55" s="141">
        <v>0</v>
      </c>
      <c r="AI55" s="141">
        <v>0</v>
      </c>
      <c r="AJ55" s="141">
        <v>0</v>
      </c>
      <c r="AK55" s="144">
        <v>0</v>
      </c>
      <c r="AL55" s="2629"/>
      <c r="AM55" s="607" t="s">
        <v>2233</v>
      </c>
      <c r="AN55" s="143">
        <v>0</v>
      </c>
      <c r="AO55" s="141">
        <v>0</v>
      </c>
      <c r="AP55" s="141">
        <v>0</v>
      </c>
      <c r="AQ55" s="141">
        <v>0</v>
      </c>
      <c r="AR55" s="141">
        <v>0</v>
      </c>
      <c r="AS55" s="141"/>
      <c r="AT55" s="141">
        <v>0</v>
      </c>
      <c r="AU55" s="144">
        <v>0</v>
      </c>
      <c r="AV55" s="143">
        <v>0.31656150980776682</v>
      </c>
      <c r="AW55" s="141">
        <v>0.31656150980776682</v>
      </c>
      <c r="AX55" s="141">
        <v>0.31656150980776682</v>
      </c>
      <c r="AY55" s="141">
        <v>0.31656150980776682</v>
      </c>
      <c r="AZ55" s="144">
        <v>0.31656150980776682</v>
      </c>
      <c r="BA55" s="2629"/>
      <c r="BB55" s="545" t="s">
        <v>627</v>
      </c>
      <c r="BC55" s="868">
        <v>0</v>
      </c>
      <c r="BD55" s="545" t="s">
        <v>627</v>
      </c>
      <c r="BE55" s="868">
        <v>0</v>
      </c>
      <c r="BF55" s="545" t="s">
        <v>2233</v>
      </c>
      <c r="BG55" s="141">
        <v>0</v>
      </c>
      <c r="BH55" s="545" t="s">
        <v>2233</v>
      </c>
      <c r="BI55" s="141">
        <v>0</v>
      </c>
      <c r="BJ55" s="545" t="s">
        <v>2233</v>
      </c>
      <c r="BK55" s="141">
        <v>0</v>
      </c>
      <c r="BL55" s="545" t="s">
        <v>2233</v>
      </c>
      <c r="BM55" s="141">
        <v>0</v>
      </c>
      <c r="BN55" s="545" t="s">
        <v>2233</v>
      </c>
      <c r="BO55" s="141">
        <v>0</v>
      </c>
      <c r="BP55" s="2629"/>
      <c r="BQ55" s="545" t="s">
        <v>627</v>
      </c>
      <c r="BR55" s="868">
        <v>0</v>
      </c>
      <c r="BS55" s="545" t="s">
        <v>627</v>
      </c>
      <c r="BT55" s="868">
        <v>0</v>
      </c>
      <c r="BU55" s="545" t="s">
        <v>2233</v>
      </c>
      <c r="BV55" s="141">
        <v>0</v>
      </c>
      <c r="BW55" s="545" t="s">
        <v>2233</v>
      </c>
      <c r="BX55" s="141">
        <v>0</v>
      </c>
      <c r="BY55" s="545" t="s">
        <v>2233</v>
      </c>
      <c r="BZ55" s="141">
        <v>0</v>
      </c>
      <c r="CA55" s="545" t="s">
        <v>2233</v>
      </c>
      <c r="CB55" s="141">
        <v>0</v>
      </c>
      <c r="CC55" s="545" t="s">
        <v>2233</v>
      </c>
      <c r="CD55" s="141">
        <v>0</v>
      </c>
    </row>
    <row r="56" spans="1:82" s="98" customFormat="1" ht="15" customHeight="1">
      <c r="A56" s="99"/>
      <c r="B56" s="161"/>
      <c r="C56" s="162"/>
      <c r="D56" s="162" t="s">
        <v>2708</v>
      </c>
      <c r="E56" s="162"/>
      <c r="F56" s="162"/>
      <c r="G56" s="163"/>
      <c r="H56" s="163"/>
      <c r="I56" s="164" t="s">
        <v>498</v>
      </c>
      <c r="J56" s="143">
        <v>0</v>
      </c>
      <c r="K56" s="141">
        <v>0</v>
      </c>
      <c r="L56" s="141">
        <v>0</v>
      </c>
      <c r="M56" s="141">
        <v>0</v>
      </c>
      <c r="N56" s="141">
        <v>0</v>
      </c>
      <c r="O56" s="141">
        <v>0</v>
      </c>
      <c r="P56" s="141">
        <v>0</v>
      </c>
      <c r="Q56" s="144">
        <v>0</v>
      </c>
      <c r="R56" s="143">
        <v>0</v>
      </c>
      <c r="S56" s="141">
        <v>0</v>
      </c>
      <c r="T56" s="141">
        <v>0</v>
      </c>
      <c r="U56" s="141">
        <v>0</v>
      </c>
      <c r="V56" s="144">
        <v>0</v>
      </c>
      <c r="W56" s="2629"/>
      <c r="X56" s="607" t="s">
        <v>498</v>
      </c>
      <c r="Y56" s="143">
        <v>0</v>
      </c>
      <c r="Z56" s="141">
        <v>0</v>
      </c>
      <c r="AA56" s="141">
        <v>0</v>
      </c>
      <c r="AB56" s="141">
        <v>0</v>
      </c>
      <c r="AC56" s="141">
        <v>0</v>
      </c>
      <c r="AD56" s="141">
        <v>0</v>
      </c>
      <c r="AE56" s="141">
        <v>0</v>
      </c>
      <c r="AF56" s="144">
        <v>0</v>
      </c>
      <c r="AG56" s="143">
        <v>0</v>
      </c>
      <c r="AH56" s="141">
        <v>0</v>
      </c>
      <c r="AI56" s="141">
        <v>0</v>
      </c>
      <c r="AJ56" s="141">
        <v>0</v>
      </c>
      <c r="AK56" s="144">
        <v>0</v>
      </c>
      <c r="AL56" s="2629"/>
      <c r="AM56" s="607" t="s">
        <v>2233</v>
      </c>
      <c r="AN56" s="143">
        <v>0</v>
      </c>
      <c r="AO56" s="141">
        <v>0</v>
      </c>
      <c r="AP56" s="141">
        <v>0</v>
      </c>
      <c r="AQ56" s="141">
        <v>0</v>
      </c>
      <c r="AR56" s="141">
        <v>0</v>
      </c>
      <c r="AS56" s="141"/>
      <c r="AT56" s="141">
        <v>0</v>
      </c>
      <c r="AU56" s="144">
        <v>0</v>
      </c>
      <c r="AV56" s="143">
        <v>0</v>
      </c>
      <c r="AW56" s="141">
        <v>0</v>
      </c>
      <c r="AX56" s="141">
        <v>0</v>
      </c>
      <c r="AY56" s="141">
        <v>0</v>
      </c>
      <c r="AZ56" s="144">
        <v>0</v>
      </c>
      <c r="BA56" s="2629"/>
      <c r="BB56" s="545" t="s">
        <v>627</v>
      </c>
      <c r="BC56" s="868">
        <v>0</v>
      </c>
      <c r="BD56" s="545" t="s">
        <v>627</v>
      </c>
      <c r="BE56" s="868">
        <v>0</v>
      </c>
      <c r="BF56" s="545" t="s">
        <v>2233</v>
      </c>
      <c r="BG56" s="141">
        <v>0</v>
      </c>
      <c r="BH56" s="545" t="s">
        <v>2233</v>
      </c>
      <c r="BI56" s="141">
        <v>0</v>
      </c>
      <c r="BJ56" s="545" t="s">
        <v>2233</v>
      </c>
      <c r="BK56" s="141">
        <v>0</v>
      </c>
      <c r="BL56" s="545" t="s">
        <v>2233</v>
      </c>
      <c r="BM56" s="141">
        <v>0</v>
      </c>
      <c r="BN56" s="545" t="s">
        <v>2233</v>
      </c>
      <c r="BO56" s="141">
        <v>0</v>
      </c>
      <c r="BP56" s="2629"/>
      <c r="BQ56" s="545" t="s">
        <v>627</v>
      </c>
      <c r="BR56" s="868">
        <v>0</v>
      </c>
      <c r="BS56" s="545" t="s">
        <v>627</v>
      </c>
      <c r="BT56" s="868">
        <v>0</v>
      </c>
      <c r="BU56" s="545" t="s">
        <v>2233</v>
      </c>
      <c r="BV56" s="141">
        <v>0</v>
      </c>
      <c r="BW56" s="545" t="s">
        <v>2233</v>
      </c>
      <c r="BX56" s="141">
        <v>0</v>
      </c>
      <c r="BY56" s="545" t="s">
        <v>2233</v>
      </c>
      <c r="BZ56" s="141">
        <v>0</v>
      </c>
      <c r="CA56" s="545" t="s">
        <v>2233</v>
      </c>
      <c r="CB56" s="141">
        <v>0</v>
      </c>
      <c r="CC56" s="545" t="s">
        <v>2233</v>
      </c>
      <c r="CD56" s="141">
        <v>0</v>
      </c>
    </row>
    <row r="57" spans="1:82" s="98" customFormat="1" ht="15" customHeight="1">
      <c r="A57" s="99"/>
      <c r="B57" s="161"/>
      <c r="C57" s="162" t="s">
        <v>1710</v>
      </c>
      <c r="D57" s="162"/>
      <c r="E57" s="162"/>
      <c r="F57" s="162"/>
      <c r="G57" s="163"/>
      <c r="H57" s="163"/>
      <c r="I57" s="164" t="s">
        <v>498</v>
      </c>
      <c r="J57" s="641">
        <f>SUM(J49:J56)</f>
        <v>1.4660944870860986</v>
      </c>
      <c r="K57" s="642">
        <f t="shared" ref="K57:V57" si="13">SUM(K49:K56)</f>
        <v>1.0500461935230894</v>
      </c>
      <c r="L57" s="642">
        <f t="shared" si="13"/>
        <v>1.3946523988213113</v>
      </c>
      <c r="M57" s="642">
        <f t="shared" si="13"/>
        <v>2.0874866204686864</v>
      </c>
      <c r="N57" s="642">
        <f t="shared" si="13"/>
        <v>3.0339115102768246</v>
      </c>
      <c r="O57" s="642">
        <f t="shared" si="13"/>
        <v>2.0704182579723289</v>
      </c>
      <c r="P57" s="642">
        <f t="shared" si="13"/>
        <v>1.8261522727981763</v>
      </c>
      <c r="Q57" s="643">
        <f t="shared" si="13"/>
        <v>1.7402481306308493</v>
      </c>
      <c r="R57" s="641">
        <f t="shared" si="13"/>
        <v>4.5227855252107103</v>
      </c>
      <c r="S57" s="642">
        <f t="shared" si="13"/>
        <v>4.5001715975846563</v>
      </c>
      <c r="T57" s="642">
        <f t="shared" si="13"/>
        <v>4.4776707395967339</v>
      </c>
      <c r="U57" s="642">
        <f t="shared" si="13"/>
        <v>4.4552823858987507</v>
      </c>
      <c r="V57" s="643">
        <f t="shared" si="13"/>
        <v>4.433005973969256</v>
      </c>
      <c r="W57" s="2629"/>
      <c r="X57" s="607" t="s">
        <v>498</v>
      </c>
      <c r="Y57" s="641">
        <f>SUM(Y49:Y56)</f>
        <v>0</v>
      </c>
      <c r="Z57" s="642">
        <f t="shared" ref="Z57:AK57" si="14">SUM(Z49:Z56)</f>
        <v>0</v>
      </c>
      <c r="AA57" s="642">
        <f t="shared" si="14"/>
        <v>0</v>
      </c>
      <c r="AB57" s="642">
        <f t="shared" si="14"/>
        <v>0</v>
      </c>
      <c r="AC57" s="642">
        <f t="shared" si="14"/>
        <v>0</v>
      </c>
      <c r="AD57" s="642">
        <f t="shared" si="14"/>
        <v>0</v>
      </c>
      <c r="AE57" s="642">
        <f t="shared" si="14"/>
        <v>0</v>
      </c>
      <c r="AF57" s="643">
        <f t="shared" si="14"/>
        <v>0</v>
      </c>
      <c r="AG57" s="641">
        <f t="shared" si="14"/>
        <v>0</v>
      </c>
      <c r="AH57" s="642">
        <f t="shared" si="14"/>
        <v>0</v>
      </c>
      <c r="AI57" s="642">
        <f t="shared" si="14"/>
        <v>0</v>
      </c>
      <c r="AJ57" s="642">
        <f t="shared" si="14"/>
        <v>0</v>
      </c>
      <c r="AK57" s="643">
        <f t="shared" si="14"/>
        <v>0</v>
      </c>
      <c r="AL57" s="2629"/>
      <c r="AM57" s="607" t="s">
        <v>2233</v>
      </c>
      <c r="AN57" s="641">
        <f>SUM(AN49:AN56)</f>
        <v>13.883710000000001</v>
      </c>
      <c r="AO57" s="642">
        <f t="shared" ref="AO57:AZ57" si="15">SUM(AO49:AO56)</f>
        <v>17.948000000000004</v>
      </c>
      <c r="AP57" s="642">
        <f t="shared" si="15"/>
        <v>4.3340000000000005</v>
      </c>
      <c r="AQ57" s="642">
        <f t="shared" si="15"/>
        <v>12.681999999999992</v>
      </c>
      <c r="AR57" s="642">
        <f t="shared" si="15"/>
        <v>15.413999999999996</v>
      </c>
      <c r="AS57" s="642">
        <f t="shared" si="15"/>
        <v>13.536999999999995</v>
      </c>
      <c r="AT57" s="642">
        <f t="shared" si="15"/>
        <v>12.348770955960328</v>
      </c>
      <c r="AU57" s="643">
        <f t="shared" si="15"/>
        <v>13.104504255787564</v>
      </c>
      <c r="AV57" s="641">
        <f t="shared" si="15"/>
        <v>29.987999999999996</v>
      </c>
      <c r="AW57" s="642">
        <f t="shared" si="15"/>
        <v>29.987999999999996</v>
      </c>
      <c r="AX57" s="642">
        <f t="shared" si="15"/>
        <v>29.987999999999996</v>
      </c>
      <c r="AY57" s="642">
        <f t="shared" si="15"/>
        <v>29.987999999999996</v>
      </c>
      <c r="AZ57" s="643">
        <f t="shared" si="15"/>
        <v>29.987999999999996</v>
      </c>
      <c r="BA57" s="2629"/>
      <c r="BB57" s="542"/>
      <c r="BC57" s="542"/>
      <c r="BD57" s="542"/>
      <c r="BE57" s="542"/>
      <c r="BF57" s="545" t="s">
        <v>2233</v>
      </c>
      <c r="BG57" s="642">
        <f>SUM(BG49:BG56)</f>
        <v>0</v>
      </c>
      <c r="BH57" s="545" t="s">
        <v>2233</v>
      </c>
      <c r="BI57" s="642">
        <f>SUM(BI49:BI56)</f>
        <v>0</v>
      </c>
      <c r="BJ57" s="545" t="s">
        <v>2233</v>
      </c>
      <c r="BK57" s="642">
        <f>SUM(BK49:BK56)</f>
        <v>0</v>
      </c>
      <c r="BL57" s="545" t="s">
        <v>2233</v>
      </c>
      <c r="BM57" s="642">
        <f>SUM(BM49:BM56)</f>
        <v>0</v>
      </c>
      <c r="BN57" s="545" t="s">
        <v>2233</v>
      </c>
      <c r="BO57" s="642">
        <f>SUM(BO49:BO56)</f>
        <v>0</v>
      </c>
      <c r="BP57" s="2629"/>
      <c r="BQ57" s="542"/>
      <c r="BR57" s="542"/>
      <c r="BS57" s="542"/>
      <c r="BT57" s="542"/>
      <c r="BU57" s="545" t="s">
        <v>2233</v>
      </c>
      <c r="BV57" s="642">
        <f>SUM(BV49:BV56)</f>
        <v>0</v>
      </c>
      <c r="BW57" s="545" t="s">
        <v>2233</v>
      </c>
      <c r="BX57" s="642">
        <f>SUM(BX49:BX56)</f>
        <v>0</v>
      </c>
      <c r="BY57" s="545" t="s">
        <v>2233</v>
      </c>
      <c r="BZ57" s="642">
        <f>SUM(BZ49:BZ56)</f>
        <v>0</v>
      </c>
      <c r="CA57" s="545" t="s">
        <v>2233</v>
      </c>
      <c r="CB57" s="642">
        <f>SUM(CB49:CB56)</f>
        <v>0</v>
      </c>
      <c r="CC57" s="545" t="s">
        <v>2233</v>
      </c>
      <c r="CD57" s="642">
        <f>SUM(CD49:CD56)</f>
        <v>0</v>
      </c>
    </row>
    <row r="58" spans="1:82" s="98" customFormat="1" ht="15" customHeight="1">
      <c r="A58" s="99"/>
      <c r="B58" s="123"/>
      <c r="C58" s="127"/>
      <c r="D58" s="127"/>
      <c r="E58" s="127"/>
      <c r="F58" s="127"/>
      <c r="G58" s="117"/>
      <c r="H58" s="117"/>
      <c r="I58" s="117"/>
      <c r="J58" s="159"/>
      <c r="K58" s="94"/>
      <c r="L58" s="94"/>
      <c r="M58" s="94"/>
      <c r="N58" s="94"/>
      <c r="O58" s="94"/>
      <c r="P58" s="94"/>
      <c r="Q58" s="160"/>
      <c r="R58" s="159"/>
      <c r="S58" s="94"/>
      <c r="T58" s="94"/>
      <c r="U58" s="94"/>
      <c r="V58" s="160"/>
      <c r="W58" s="2629"/>
      <c r="X58" s="94"/>
      <c r="Y58" s="159"/>
      <c r="Z58" s="94"/>
      <c r="AA58" s="94"/>
      <c r="AB58" s="94"/>
      <c r="AC58" s="94"/>
      <c r="AD58" s="94"/>
      <c r="AE58" s="94"/>
      <c r="AF58" s="160"/>
      <c r="AG58" s="159"/>
      <c r="AH58" s="94"/>
      <c r="AI58" s="94"/>
      <c r="AJ58" s="94"/>
      <c r="AK58" s="160"/>
      <c r="AL58" s="2629"/>
      <c r="AM58" s="94"/>
      <c r="AN58" s="159"/>
      <c r="AO58" s="94"/>
      <c r="AP58" s="94"/>
      <c r="AQ58" s="94"/>
      <c r="AR58" s="94"/>
      <c r="AS58" s="94"/>
      <c r="AT58" s="94"/>
      <c r="AU58" s="160"/>
      <c r="AV58" s="159"/>
      <c r="AW58" s="94"/>
      <c r="AX58" s="94"/>
      <c r="AY58" s="94"/>
      <c r="AZ58" s="160"/>
      <c r="BA58" s="2629"/>
      <c r="BB58" s="542"/>
      <c r="BC58" s="542"/>
      <c r="BD58" s="542"/>
      <c r="BE58" s="542"/>
      <c r="BF58" s="542"/>
      <c r="BG58" s="542"/>
      <c r="BH58" s="542"/>
      <c r="BI58" s="542"/>
      <c r="BJ58" s="542"/>
      <c r="BK58" s="542"/>
      <c r="BL58" s="542"/>
      <c r="BM58" s="542"/>
      <c r="BN58" s="542"/>
      <c r="BO58" s="542"/>
      <c r="BP58" s="2629"/>
      <c r="BQ58" s="542"/>
      <c r="BR58" s="542"/>
      <c r="BS58" s="542"/>
      <c r="BT58" s="542"/>
      <c r="BU58" s="542"/>
      <c r="BV58" s="542"/>
      <c r="BW58" s="542"/>
      <c r="BX58" s="542"/>
      <c r="BY58" s="542"/>
      <c r="BZ58" s="542"/>
      <c r="CA58" s="542"/>
      <c r="CB58" s="542"/>
      <c r="CC58" s="542"/>
      <c r="CD58" s="544"/>
    </row>
    <row r="59" spans="1:82" s="98" customFormat="1" ht="15" customHeight="1" thickBot="1">
      <c r="A59" s="99"/>
      <c r="B59" s="191" t="s">
        <v>1701</v>
      </c>
      <c r="C59" s="193"/>
      <c r="D59" s="193"/>
      <c r="E59" s="193"/>
      <c r="F59" s="193"/>
      <c r="G59" s="194"/>
      <c r="H59" s="194"/>
      <c r="I59" s="195" t="s">
        <v>498</v>
      </c>
      <c r="J59" s="717">
        <f>J57</f>
        <v>1.4660944870860986</v>
      </c>
      <c r="K59" s="717">
        <f t="shared" ref="K59:V59" si="16">K57</f>
        <v>1.0500461935230894</v>
      </c>
      <c r="L59" s="717">
        <f t="shared" si="16"/>
        <v>1.3946523988213113</v>
      </c>
      <c r="M59" s="717">
        <f t="shared" si="16"/>
        <v>2.0874866204686864</v>
      </c>
      <c r="N59" s="717">
        <f t="shared" si="16"/>
        <v>3.0339115102768246</v>
      </c>
      <c r="O59" s="717">
        <f t="shared" si="16"/>
        <v>2.0704182579723289</v>
      </c>
      <c r="P59" s="717">
        <f t="shared" si="16"/>
        <v>1.8261522727981763</v>
      </c>
      <c r="Q59" s="717">
        <f t="shared" si="16"/>
        <v>1.7402481306308493</v>
      </c>
      <c r="R59" s="717">
        <f t="shared" si="16"/>
        <v>4.5227855252107103</v>
      </c>
      <c r="S59" s="717">
        <f t="shared" si="16"/>
        <v>4.5001715975846563</v>
      </c>
      <c r="T59" s="717">
        <f t="shared" si="16"/>
        <v>4.4776707395967339</v>
      </c>
      <c r="U59" s="717">
        <f t="shared" si="16"/>
        <v>4.4552823858987507</v>
      </c>
      <c r="V59" s="717">
        <f t="shared" si="16"/>
        <v>4.433005973969256</v>
      </c>
      <c r="W59" s="2630"/>
      <c r="X59" s="1083" t="s">
        <v>498</v>
      </c>
      <c r="Y59" s="717">
        <f t="shared" ref="Y59:AK59" si="17">Y57</f>
        <v>0</v>
      </c>
      <c r="Z59" s="717">
        <f t="shared" si="17"/>
        <v>0</v>
      </c>
      <c r="AA59" s="717">
        <f t="shared" si="17"/>
        <v>0</v>
      </c>
      <c r="AB59" s="717">
        <f t="shared" si="17"/>
        <v>0</v>
      </c>
      <c r="AC59" s="717">
        <f t="shared" si="17"/>
        <v>0</v>
      </c>
      <c r="AD59" s="717">
        <f t="shared" si="17"/>
        <v>0</v>
      </c>
      <c r="AE59" s="717">
        <f t="shared" si="17"/>
        <v>0</v>
      </c>
      <c r="AF59" s="717">
        <f t="shared" si="17"/>
        <v>0</v>
      </c>
      <c r="AG59" s="717">
        <f t="shared" si="17"/>
        <v>0</v>
      </c>
      <c r="AH59" s="717">
        <f t="shared" si="17"/>
        <v>0</v>
      </c>
      <c r="AI59" s="717">
        <f t="shared" si="17"/>
        <v>0</v>
      </c>
      <c r="AJ59" s="717">
        <f t="shared" si="17"/>
        <v>0</v>
      </c>
      <c r="AK59" s="717">
        <f t="shared" si="17"/>
        <v>0</v>
      </c>
      <c r="AL59" s="2630"/>
      <c r="AM59" s="1083" t="s">
        <v>2233</v>
      </c>
      <c r="AN59" s="717">
        <f t="shared" ref="AN59:AZ59" si="18">AN57</f>
        <v>13.883710000000001</v>
      </c>
      <c r="AO59" s="717">
        <f t="shared" si="18"/>
        <v>17.948000000000004</v>
      </c>
      <c r="AP59" s="717">
        <f t="shared" si="18"/>
        <v>4.3340000000000005</v>
      </c>
      <c r="AQ59" s="717">
        <f t="shared" si="18"/>
        <v>12.681999999999992</v>
      </c>
      <c r="AR59" s="717">
        <f t="shared" si="18"/>
        <v>15.413999999999996</v>
      </c>
      <c r="AS59" s="717">
        <f t="shared" si="18"/>
        <v>13.536999999999995</v>
      </c>
      <c r="AT59" s="717">
        <f t="shared" si="18"/>
        <v>12.348770955960328</v>
      </c>
      <c r="AU59" s="717">
        <f t="shared" si="18"/>
        <v>13.104504255787564</v>
      </c>
      <c r="AV59" s="717">
        <f t="shared" si="18"/>
        <v>29.987999999999996</v>
      </c>
      <c r="AW59" s="717">
        <f t="shared" si="18"/>
        <v>29.987999999999996</v>
      </c>
      <c r="AX59" s="717">
        <f t="shared" si="18"/>
        <v>29.987999999999996</v>
      </c>
      <c r="AY59" s="717">
        <f t="shared" si="18"/>
        <v>29.987999999999996</v>
      </c>
      <c r="AZ59" s="717">
        <f t="shared" si="18"/>
        <v>29.987999999999996</v>
      </c>
      <c r="BA59" s="2630"/>
      <c r="BB59" s="548"/>
      <c r="BC59" s="548"/>
      <c r="BD59" s="548"/>
      <c r="BE59" s="1537"/>
      <c r="BF59" s="1081" t="s">
        <v>2233</v>
      </c>
      <c r="BG59" s="717">
        <f>BG57</f>
        <v>0</v>
      </c>
      <c r="BH59" s="1081" t="s">
        <v>2233</v>
      </c>
      <c r="BI59" s="717">
        <f>BI57</f>
        <v>0</v>
      </c>
      <c r="BJ59" s="1081" t="s">
        <v>2233</v>
      </c>
      <c r="BK59" s="717">
        <f>BK57</f>
        <v>0</v>
      </c>
      <c r="BL59" s="1081" t="s">
        <v>2233</v>
      </c>
      <c r="BM59" s="717">
        <f>BM57</f>
        <v>0</v>
      </c>
      <c r="BN59" s="1081" t="s">
        <v>2233</v>
      </c>
      <c r="BO59" s="717">
        <f>BO57</f>
        <v>0</v>
      </c>
      <c r="BP59" s="2630"/>
      <c r="BQ59" s="548"/>
      <c r="BR59" s="548"/>
      <c r="BS59" s="548"/>
      <c r="BT59" s="1537"/>
      <c r="BU59" s="1081" t="s">
        <v>2233</v>
      </c>
      <c r="BV59" s="717">
        <f>BV57</f>
        <v>0</v>
      </c>
      <c r="BW59" s="1081" t="s">
        <v>2233</v>
      </c>
      <c r="BX59" s="717">
        <f>BX57</f>
        <v>0</v>
      </c>
      <c r="BY59" s="1081" t="s">
        <v>2233</v>
      </c>
      <c r="BZ59" s="717">
        <f>BZ57</f>
        <v>0</v>
      </c>
      <c r="CA59" s="1081" t="s">
        <v>2233</v>
      </c>
      <c r="CB59" s="717">
        <f>CB57</f>
        <v>0</v>
      </c>
      <c r="CC59" s="1081" t="s">
        <v>2233</v>
      </c>
      <c r="CD59" s="717">
        <f>CD57</f>
        <v>0</v>
      </c>
    </row>
    <row r="60" spans="1:82" s="99" customFormat="1" ht="15" customHeight="1" thickBot="1">
      <c r="B60" s="150"/>
      <c r="C60" s="150"/>
      <c r="D60" s="150"/>
      <c r="E60" s="150"/>
      <c r="F60" s="150"/>
      <c r="G60" s="97"/>
      <c r="H60" s="97"/>
      <c r="I60" s="98"/>
      <c r="J60" s="2629"/>
      <c r="K60" s="2629"/>
      <c r="L60" s="2629"/>
      <c r="M60" s="2629"/>
      <c r="N60" s="2629"/>
      <c r="O60" s="2629"/>
      <c r="P60" s="2629"/>
      <c r="Q60" s="2629"/>
      <c r="R60" s="2629"/>
      <c r="S60" s="2629"/>
      <c r="T60" s="2629"/>
      <c r="U60" s="2629"/>
      <c r="V60" s="2629"/>
      <c r="W60" s="2629"/>
      <c r="X60" s="2629"/>
      <c r="Y60" s="2631"/>
      <c r="Z60" s="2631"/>
      <c r="AA60" s="2631"/>
      <c r="AB60" s="2631"/>
      <c r="AC60" s="2631"/>
      <c r="AD60" s="2631"/>
      <c r="AE60" s="2631"/>
      <c r="AF60" s="2631"/>
      <c r="AG60" s="2631"/>
      <c r="AH60" s="2631"/>
      <c r="AI60" s="2631"/>
      <c r="AJ60" s="2631"/>
      <c r="AK60" s="2631"/>
      <c r="AL60" s="2631"/>
      <c r="AM60" s="2631"/>
      <c r="AN60" s="2631"/>
      <c r="AO60" s="2631"/>
      <c r="AP60" s="2631"/>
      <c r="AQ60" s="2631"/>
      <c r="AR60" s="2631"/>
      <c r="AS60" s="359"/>
      <c r="AT60" s="542"/>
      <c r="AU60" s="542"/>
      <c r="AV60" s="542"/>
      <c r="AW60" s="542"/>
      <c r="AX60" s="542"/>
      <c r="AY60" s="542"/>
      <c r="AZ60" s="542"/>
      <c r="BA60" s="2631"/>
      <c r="BB60" s="542"/>
      <c r="BC60" s="2631"/>
      <c r="BD60" s="2631"/>
      <c r="BE60" s="2631"/>
      <c r="BF60" s="2631"/>
      <c r="BG60" s="2631"/>
      <c r="BH60" s="2631"/>
      <c r="BI60" s="2631"/>
      <c r="BJ60" s="2631"/>
      <c r="BK60" s="2631"/>
      <c r="BL60" s="2631"/>
      <c r="BM60" s="2631"/>
      <c r="BN60" s="2631"/>
      <c r="BO60" s="2631"/>
      <c r="BP60" s="2631"/>
      <c r="BQ60" s="2631"/>
      <c r="BR60" s="2631"/>
      <c r="BS60" s="2631"/>
      <c r="BT60" s="2631"/>
      <c r="BU60" s="2631"/>
      <c r="BV60" s="2631"/>
      <c r="BW60" s="2631"/>
      <c r="BX60" s="2631"/>
      <c r="BY60" s="2631"/>
      <c r="BZ60" s="2631"/>
      <c r="CA60" s="2631"/>
      <c r="CB60" s="2631"/>
      <c r="CC60" s="2631"/>
      <c r="CD60" s="2631"/>
    </row>
    <row r="61" spans="1:82" s="100" customFormat="1" ht="30" customHeight="1" thickBot="1">
      <c r="A61" s="89"/>
      <c r="B61" s="621" t="s">
        <v>2744</v>
      </c>
      <c r="C61" s="101"/>
      <c r="D61" s="102"/>
      <c r="E61" s="102"/>
      <c r="F61" s="102"/>
      <c r="G61" s="103"/>
      <c r="H61" s="103"/>
      <c r="I61" s="105" t="s">
        <v>1864</v>
      </c>
      <c r="J61" s="106"/>
      <c r="K61" s="106"/>
      <c r="L61" s="106"/>
      <c r="M61" s="106"/>
      <c r="N61" s="106"/>
      <c r="O61" s="106"/>
      <c r="P61" s="106"/>
      <c r="Q61" s="106"/>
      <c r="R61" s="105"/>
      <c r="S61" s="105"/>
      <c r="T61" s="105"/>
      <c r="U61" s="105"/>
      <c r="V61" s="105"/>
      <c r="W61" s="103"/>
      <c r="X61" s="105" t="s">
        <v>2202</v>
      </c>
      <c r="Y61" s="106"/>
      <c r="Z61" s="106"/>
      <c r="AA61" s="106"/>
      <c r="AB61" s="106"/>
      <c r="AC61" s="106"/>
      <c r="AD61" s="106"/>
      <c r="AE61" s="106"/>
      <c r="AF61" s="106"/>
      <c r="AG61" s="105"/>
      <c r="AH61" s="105"/>
      <c r="AI61" s="105"/>
      <c r="AJ61" s="105"/>
      <c r="AK61" s="105"/>
      <c r="AL61" s="103"/>
      <c r="AM61" s="105" t="s">
        <v>2231</v>
      </c>
      <c r="AN61" s="106"/>
      <c r="AO61" s="106"/>
      <c r="AP61" s="106"/>
      <c r="AQ61" s="106"/>
      <c r="AR61" s="106"/>
      <c r="AS61" s="106"/>
      <c r="AT61" s="106"/>
      <c r="AU61" s="106"/>
      <c r="AV61" s="105"/>
      <c r="AW61" s="105"/>
      <c r="AX61" s="105"/>
      <c r="AY61" s="105"/>
      <c r="AZ61" s="105"/>
      <c r="BA61" s="103"/>
      <c r="BB61" s="105" t="s">
        <v>2690</v>
      </c>
      <c r="BC61" s="105"/>
      <c r="BD61" s="105"/>
      <c r="BE61" s="105"/>
      <c r="BF61" s="105"/>
      <c r="BG61" s="105"/>
      <c r="BH61" s="105"/>
      <c r="BI61" s="105"/>
      <c r="BJ61" s="105"/>
      <c r="BK61" s="105"/>
      <c r="BL61" s="105"/>
      <c r="BM61" s="105"/>
      <c r="BN61" s="105"/>
      <c r="BO61" s="105"/>
      <c r="BP61" s="103"/>
      <c r="BQ61" s="105" t="s">
        <v>2691</v>
      </c>
      <c r="BR61" s="105"/>
      <c r="BS61" s="105"/>
      <c r="BT61" s="105"/>
      <c r="BU61" s="105"/>
      <c r="BV61" s="105"/>
      <c r="BW61" s="105"/>
      <c r="BX61" s="105"/>
      <c r="BY61" s="105"/>
      <c r="BZ61" s="105"/>
      <c r="CA61" s="105"/>
      <c r="CB61" s="105"/>
      <c r="CC61" s="105"/>
      <c r="CD61" s="187"/>
    </row>
    <row r="62" spans="1:82" s="157" customFormat="1" ht="30" customHeight="1">
      <c r="A62" s="99"/>
      <c r="B62" s="109"/>
      <c r="C62" s="110"/>
      <c r="D62" s="110"/>
      <c r="E62" s="110"/>
      <c r="F62" s="110"/>
      <c r="G62" s="111"/>
      <c r="H62" s="111"/>
      <c r="I62" s="117"/>
      <c r="J62" s="695" t="s">
        <v>1666</v>
      </c>
      <c r="K62" s="152"/>
      <c r="L62" s="152"/>
      <c r="M62" s="152"/>
      <c r="N62" s="152"/>
      <c r="O62" s="152"/>
      <c r="P62" s="152"/>
      <c r="Q62" s="153"/>
      <c r="R62" s="696" t="s">
        <v>2</v>
      </c>
      <c r="S62" s="155"/>
      <c r="T62" s="155"/>
      <c r="U62" s="155"/>
      <c r="V62" s="156"/>
      <c r="W62" s="2632"/>
      <c r="X62" s="94"/>
      <c r="Y62" s="695" t="s">
        <v>1666</v>
      </c>
      <c r="Z62" s="152"/>
      <c r="AA62" s="152"/>
      <c r="AB62" s="152"/>
      <c r="AC62" s="152"/>
      <c r="AD62" s="152"/>
      <c r="AE62" s="152"/>
      <c r="AF62" s="153"/>
      <c r="AG62" s="696" t="s">
        <v>2</v>
      </c>
      <c r="AH62" s="155"/>
      <c r="AI62" s="155"/>
      <c r="AJ62" s="155"/>
      <c r="AK62" s="156"/>
      <c r="AL62" s="2632"/>
      <c r="AM62" s="94"/>
      <c r="AN62" s="695" t="s">
        <v>1666</v>
      </c>
      <c r="AO62" s="152"/>
      <c r="AP62" s="152"/>
      <c r="AQ62" s="152"/>
      <c r="AR62" s="152"/>
      <c r="AS62" s="152"/>
      <c r="AT62" s="152"/>
      <c r="AU62" s="153"/>
      <c r="AV62" s="696" t="s">
        <v>2</v>
      </c>
      <c r="AW62" s="155"/>
      <c r="AX62" s="155"/>
      <c r="AY62" s="155"/>
      <c r="AZ62" s="156"/>
      <c r="BA62" s="2632"/>
      <c r="BB62" s="2633" t="s">
        <v>2693</v>
      </c>
      <c r="BC62" s="2633"/>
      <c r="BD62" s="2633" t="s">
        <v>2694</v>
      </c>
      <c r="BE62" s="2633"/>
      <c r="BF62" s="2633" t="s">
        <v>2695</v>
      </c>
      <c r="BG62" s="2633"/>
      <c r="BH62" s="2633" t="s">
        <v>2696</v>
      </c>
      <c r="BI62" s="2633"/>
      <c r="BJ62" s="2633" t="s">
        <v>2697</v>
      </c>
      <c r="BK62" s="2633"/>
      <c r="BL62" s="2633" t="s">
        <v>2698</v>
      </c>
      <c r="BM62" s="2633"/>
      <c r="BN62" s="2633" t="s">
        <v>2699</v>
      </c>
      <c r="BO62" s="2633"/>
      <c r="BP62" s="2632"/>
      <c r="BQ62" s="2633" t="s">
        <v>2693</v>
      </c>
      <c r="BR62" s="2633"/>
      <c r="BS62" s="2633" t="s">
        <v>2694</v>
      </c>
      <c r="BT62" s="2633"/>
      <c r="BU62" s="2633" t="s">
        <v>2695</v>
      </c>
      <c r="BV62" s="2633"/>
      <c r="BW62" s="2633" t="s">
        <v>2696</v>
      </c>
      <c r="BX62" s="2633"/>
      <c r="BY62" s="2633" t="s">
        <v>2697</v>
      </c>
      <c r="BZ62" s="2633"/>
      <c r="CA62" s="2633" t="s">
        <v>2698</v>
      </c>
      <c r="CB62" s="2633"/>
      <c r="CC62" s="2633" t="s">
        <v>2699</v>
      </c>
      <c r="CD62" s="2634"/>
    </row>
    <row r="63" spans="1:82" s="98" customFormat="1" ht="15" customHeight="1">
      <c r="A63" s="99"/>
      <c r="B63" s="115"/>
      <c r="C63" s="116"/>
      <c r="D63" s="116"/>
      <c r="E63" s="116"/>
      <c r="F63" s="116"/>
      <c r="G63" s="117"/>
      <c r="H63" s="117"/>
      <c r="I63" s="119" t="s">
        <v>1667</v>
      </c>
      <c r="J63" s="158" t="s">
        <v>453</v>
      </c>
      <c r="K63" s="137" t="s">
        <v>455</v>
      </c>
      <c r="L63" s="137" t="s">
        <v>457</v>
      </c>
      <c r="M63" s="137" t="s">
        <v>459</v>
      </c>
      <c r="N63" s="137" t="s">
        <v>461</v>
      </c>
      <c r="O63" s="137" t="s">
        <v>463</v>
      </c>
      <c r="P63" s="137" t="s">
        <v>465</v>
      </c>
      <c r="Q63" s="138" t="s">
        <v>467</v>
      </c>
      <c r="R63" s="120" t="s">
        <v>469</v>
      </c>
      <c r="S63" s="121" t="s">
        <v>471</v>
      </c>
      <c r="T63" s="121" t="s">
        <v>473</v>
      </c>
      <c r="U63" s="121" t="s">
        <v>475</v>
      </c>
      <c r="V63" s="122" t="s">
        <v>477</v>
      </c>
      <c r="W63" s="2629"/>
      <c r="X63" s="119" t="s">
        <v>1667</v>
      </c>
      <c r="Y63" s="158" t="s">
        <v>453</v>
      </c>
      <c r="Z63" s="137" t="s">
        <v>455</v>
      </c>
      <c r="AA63" s="137" t="s">
        <v>457</v>
      </c>
      <c r="AB63" s="137" t="s">
        <v>459</v>
      </c>
      <c r="AC63" s="137" t="s">
        <v>461</v>
      </c>
      <c r="AD63" s="137" t="s">
        <v>463</v>
      </c>
      <c r="AE63" s="137" t="s">
        <v>465</v>
      </c>
      <c r="AF63" s="138" t="s">
        <v>467</v>
      </c>
      <c r="AG63" s="120" t="s">
        <v>469</v>
      </c>
      <c r="AH63" s="121" t="s">
        <v>471</v>
      </c>
      <c r="AI63" s="121" t="s">
        <v>473</v>
      </c>
      <c r="AJ63" s="121" t="s">
        <v>475</v>
      </c>
      <c r="AK63" s="122" t="s">
        <v>477</v>
      </c>
      <c r="AL63" s="2629"/>
      <c r="AM63" s="119" t="s">
        <v>1667</v>
      </c>
      <c r="AN63" s="158" t="s">
        <v>453</v>
      </c>
      <c r="AO63" s="137" t="s">
        <v>455</v>
      </c>
      <c r="AP63" s="137" t="s">
        <v>457</v>
      </c>
      <c r="AQ63" s="137" t="s">
        <v>459</v>
      </c>
      <c r="AR63" s="137" t="s">
        <v>461</v>
      </c>
      <c r="AS63" s="137" t="s">
        <v>463</v>
      </c>
      <c r="AT63" s="137" t="s">
        <v>465</v>
      </c>
      <c r="AU63" s="138" t="s">
        <v>467</v>
      </c>
      <c r="AV63" s="120" t="s">
        <v>469</v>
      </c>
      <c r="AW63" s="121" t="s">
        <v>471</v>
      </c>
      <c r="AX63" s="121" t="s">
        <v>473</v>
      </c>
      <c r="AY63" s="121" t="s">
        <v>475</v>
      </c>
      <c r="AZ63" s="122" t="s">
        <v>477</v>
      </c>
      <c r="BA63" s="2629"/>
      <c r="BB63" s="2635" t="s">
        <v>1667</v>
      </c>
      <c r="BC63" s="2635" t="s">
        <v>2142</v>
      </c>
      <c r="BD63" s="2635" t="s">
        <v>1667</v>
      </c>
      <c r="BE63" s="2635" t="s">
        <v>2142</v>
      </c>
      <c r="BF63" s="2635" t="s">
        <v>1667</v>
      </c>
      <c r="BG63" s="2635" t="s">
        <v>2142</v>
      </c>
      <c r="BH63" s="2635" t="s">
        <v>1667</v>
      </c>
      <c r="BI63" s="2635" t="s">
        <v>2142</v>
      </c>
      <c r="BJ63" s="2635" t="s">
        <v>1667</v>
      </c>
      <c r="BK63" s="2635" t="s">
        <v>2142</v>
      </c>
      <c r="BL63" s="2635" t="s">
        <v>1667</v>
      </c>
      <c r="BM63" s="2635" t="s">
        <v>2142</v>
      </c>
      <c r="BN63" s="2635" t="s">
        <v>1667</v>
      </c>
      <c r="BO63" s="2635" t="s">
        <v>2142</v>
      </c>
      <c r="BP63" s="2629"/>
      <c r="BQ63" s="2635" t="s">
        <v>1667</v>
      </c>
      <c r="BR63" s="2635" t="s">
        <v>2142</v>
      </c>
      <c r="BS63" s="2635" t="s">
        <v>1667</v>
      </c>
      <c r="BT63" s="2635" t="s">
        <v>2142</v>
      </c>
      <c r="BU63" s="2635" t="s">
        <v>1667</v>
      </c>
      <c r="BV63" s="2635" t="s">
        <v>2142</v>
      </c>
      <c r="BW63" s="2635" t="s">
        <v>1667</v>
      </c>
      <c r="BX63" s="2635" t="s">
        <v>2142</v>
      </c>
      <c r="BY63" s="2635" t="s">
        <v>1667</v>
      </c>
      <c r="BZ63" s="2635" t="s">
        <v>2142</v>
      </c>
      <c r="CA63" s="2635" t="s">
        <v>1667</v>
      </c>
      <c r="CB63" s="2635" t="s">
        <v>2142</v>
      </c>
      <c r="CC63" s="2635" t="s">
        <v>1667</v>
      </c>
      <c r="CD63" s="2636" t="s">
        <v>2142</v>
      </c>
    </row>
    <row r="64" spans="1:82" s="98" customFormat="1" ht="15" customHeight="1">
      <c r="A64" s="99"/>
      <c r="B64" s="161"/>
      <c r="C64" s="116" t="s">
        <v>2745</v>
      </c>
      <c r="D64" s="116"/>
      <c r="E64" s="116"/>
      <c r="F64" s="116"/>
      <c r="G64" s="117"/>
      <c r="H64" s="117"/>
      <c r="I64" s="117"/>
      <c r="J64" s="159"/>
      <c r="K64" s="94"/>
      <c r="L64" s="94"/>
      <c r="M64" s="94"/>
      <c r="N64" s="94"/>
      <c r="O64" s="94"/>
      <c r="P64" s="94"/>
      <c r="Q64" s="160"/>
      <c r="R64" s="159"/>
      <c r="S64" s="94"/>
      <c r="T64" s="94"/>
      <c r="U64" s="94"/>
      <c r="V64" s="160"/>
      <c r="W64" s="2629"/>
      <c r="X64" s="94"/>
      <c r="Y64" s="159"/>
      <c r="Z64" s="94"/>
      <c r="AA64" s="94"/>
      <c r="AB64" s="94"/>
      <c r="AC64" s="94"/>
      <c r="AD64" s="94"/>
      <c r="AE64" s="94"/>
      <c r="AF64" s="160"/>
      <c r="AG64" s="159"/>
      <c r="AH64" s="94"/>
      <c r="AI64" s="94"/>
      <c r="AJ64" s="94"/>
      <c r="AK64" s="160"/>
      <c r="AL64" s="2629"/>
      <c r="AM64" s="94"/>
      <c r="AN64" s="159"/>
      <c r="AO64" s="94"/>
      <c r="AP64" s="94"/>
      <c r="AQ64" s="94"/>
      <c r="AR64" s="94"/>
      <c r="AS64" s="94"/>
      <c r="AT64" s="94"/>
      <c r="AU64" s="160"/>
      <c r="AV64" s="159"/>
      <c r="AW64" s="94"/>
      <c r="AX64" s="94"/>
      <c r="AY64" s="94"/>
      <c r="AZ64" s="160"/>
      <c r="BA64" s="2629"/>
      <c r="BB64" s="542"/>
      <c r="BC64" s="542"/>
      <c r="BD64" s="542"/>
      <c r="BE64" s="542"/>
      <c r="BF64" s="542"/>
      <c r="BG64" s="542"/>
      <c r="BH64" s="542"/>
      <c r="BI64" s="542"/>
      <c r="BJ64" s="542"/>
      <c r="BK64" s="542"/>
      <c r="BL64" s="542"/>
      <c r="BM64" s="542"/>
      <c r="BN64" s="542"/>
      <c r="BO64" s="542"/>
      <c r="BP64" s="2629"/>
      <c r="BQ64" s="542"/>
      <c r="BR64" s="542"/>
      <c r="BS64" s="542"/>
      <c r="BT64" s="542"/>
      <c r="BU64" s="542"/>
      <c r="BV64" s="542"/>
      <c r="BW64" s="542"/>
      <c r="BX64" s="542"/>
      <c r="BY64" s="542"/>
      <c r="BZ64" s="542"/>
      <c r="CA64" s="542"/>
      <c r="CB64" s="542"/>
      <c r="CC64" s="542"/>
      <c r="CD64" s="544"/>
    </row>
    <row r="65" spans="1:82" s="98" customFormat="1" ht="15" customHeight="1">
      <c r="A65" s="99"/>
      <c r="B65" s="161"/>
      <c r="C65" s="162"/>
      <c r="D65" s="162" t="s">
        <v>2701</v>
      </c>
      <c r="E65" s="162"/>
      <c r="F65" s="162"/>
      <c r="G65" s="163"/>
      <c r="H65" s="163"/>
      <c r="I65" s="164" t="s">
        <v>498</v>
      </c>
      <c r="J65" s="143">
        <v>2.7528937947175834E-2</v>
      </c>
      <c r="K65" s="141">
        <v>0.11140195960696642</v>
      </c>
      <c r="L65" s="141">
        <v>0.15267154236954217</v>
      </c>
      <c r="M65" s="141">
        <v>8.3324235565856525E-2</v>
      </c>
      <c r="N65" s="141">
        <v>3.2942419804810892E-2</v>
      </c>
      <c r="O65" s="141">
        <v>4.1061505728628114E-2</v>
      </c>
      <c r="P65" s="141">
        <v>7.7244418623342762E-2</v>
      </c>
      <c r="Q65" s="144">
        <v>7.4689374715625159E-2</v>
      </c>
      <c r="R65" s="143">
        <v>2.1650073964563963</v>
      </c>
      <c r="S65" s="141">
        <v>2.1541823594741141</v>
      </c>
      <c r="T65" s="141">
        <v>2.1434114476767436</v>
      </c>
      <c r="U65" s="141">
        <v>2.1326943904383597</v>
      </c>
      <c r="V65" s="144">
        <v>2.1220309184861676</v>
      </c>
      <c r="W65" s="2629"/>
      <c r="X65" s="607" t="s">
        <v>498</v>
      </c>
      <c r="Y65" s="143">
        <v>0</v>
      </c>
      <c r="Z65" s="141">
        <v>0</v>
      </c>
      <c r="AA65" s="141">
        <v>0</v>
      </c>
      <c r="AB65" s="141">
        <v>0</v>
      </c>
      <c r="AC65" s="141">
        <v>0</v>
      </c>
      <c r="AD65" s="141">
        <v>0</v>
      </c>
      <c r="AE65" s="141">
        <v>0</v>
      </c>
      <c r="AF65" s="144">
        <v>0</v>
      </c>
      <c r="AG65" s="143">
        <v>0</v>
      </c>
      <c r="AH65" s="141">
        <v>0</v>
      </c>
      <c r="AI65" s="141">
        <v>0</v>
      </c>
      <c r="AJ65" s="141">
        <v>0</v>
      </c>
      <c r="AK65" s="144">
        <v>0</v>
      </c>
      <c r="AL65" s="2629"/>
      <c r="AM65" s="607" t="s">
        <v>2233</v>
      </c>
      <c r="AN65" s="143">
        <v>0</v>
      </c>
      <c r="AO65" s="141">
        <v>0.35649999999999998</v>
      </c>
      <c r="AP65" s="141">
        <v>0.24349999999999999</v>
      </c>
      <c r="AQ65" s="141">
        <v>0.37600000000000017</v>
      </c>
      <c r="AR65" s="141">
        <v>0.25400000000000006</v>
      </c>
      <c r="AS65" s="141">
        <v>0.45600000000000018</v>
      </c>
      <c r="AT65" s="141">
        <v>0.28570471540726505</v>
      </c>
      <c r="AU65" s="144">
        <v>0.31276664873629823</v>
      </c>
      <c r="AV65" s="143">
        <v>0.54527525599490101</v>
      </c>
      <c r="AW65" s="141">
        <v>0.54527525599490101</v>
      </c>
      <c r="AX65" s="141">
        <v>0.54527525599490101</v>
      </c>
      <c r="AY65" s="141">
        <v>0.54527525599490101</v>
      </c>
      <c r="AZ65" s="144">
        <v>0.54527525599490101</v>
      </c>
      <c r="BA65" s="2629"/>
      <c r="BB65" s="545" t="s">
        <v>627</v>
      </c>
      <c r="BC65" s="868">
        <v>0</v>
      </c>
      <c r="BD65" s="545" t="s">
        <v>627</v>
      </c>
      <c r="BE65" s="868">
        <v>0</v>
      </c>
      <c r="BF65" s="545" t="s">
        <v>2233</v>
      </c>
      <c r="BG65" s="141">
        <v>0</v>
      </c>
      <c r="BH65" s="545" t="s">
        <v>2233</v>
      </c>
      <c r="BI65" s="141">
        <v>0</v>
      </c>
      <c r="BJ65" s="545" t="s">
        <v>2233</v>
      </c>
      <c r="BK65" s="141">
        <v>0</v>
      </c>
      <c r="BL65" s="545" t="s">
        <v>2233</v>
      </c>
      <c r="BM65" s="141">
        <v>0</v>
      </c>
      <c r="BN65" s="545" t="s">
        <v>2233</v>
      </c>
      <c r="BO65" s="141">
        <v>0</v>
      </c>
      <c r="BP65" s="2629"/>
      <c r="BQ65" s="545" t="s">
        <v>627</v>
      </c>
      <c r="BR65" s="868">
        <v>0</v>
      </c>
      <c r="BS65" s="545" t="s">
        <v>627</v>
      </c>
      <c r="BT65" s="868">
        <v>0</v>
      </c>
      <c r="BU65" s="545" t="s">
        <v>2233</v>
      </c>
      <c r="BV65" s="141">
        <v>0</v>
      </c>
      <c r="BW65" s="545" t="s">
        <v>2233</v>
      </c>
      <c r="BX65" s="141">
        <v>0</v>
      </c>
      <c r="BY65" s="545" t="s">
        <v>2233</v>
      </c>
      <c r="BZ65" s="141">
        <v>0</v>
      </c>
      <c r="CA65" s="545" t="s">
        <v>2233</v>
      </c>
      <c r="CB65" s="141">
        <v>0</v>
      </c>
      <c r="CC65" s="545" t="s">
        <v>2233</v>
      </c>
      <c r="CD65" s="144">
        <v>0</v>
      </c>
    </row>
    <row r="66" spans="1:82" s="98" customFormat="1" ht="15" customHeight="1">
      <c r="A66" s="99"/>
      <c r="B66" s="161"/>
      <c r="C66" s="162"/>
      <c r="D66" s="162" t="s">
        <v>2702</v>
      </c>
      <c r="E66" s="162"/>
      <c r="F66" s="162"/>
      <c r="G66" s="163"/>
      <c r="H66" s="163"/>
      <c r="I66" s="164" t="s">
        <v>498</v>
      </c>
      <c r="J66" s="143">
        <v>7.6065897463173271E-2</v>
      </c>
      <c r="K66" s="141">
        <v>0.30221917754761185</v>
      </c>
      <c r="L66" s="141">
        <v>0.39503438679481634</v>
      </c>
      <c r="M66" s="141">
        <v>7.3205008851194533E-2</v>
      </c>
      <c r="N66" s="141">
        <v>0.13203061559824791</v>
      </c>
      <c r="O66" s="141">
        <v>9.0177179740354316E-2</v>
      </c>
      <c r="P66" s="141">
        <v>0.12712258341142518</v>
      </c>
      <c r="Q66" s="144">
        <v>0.11286461403316256</v>
      </c>
      <c r="R66" s="143">
        <v>4.5827669101878303</v>
      </c>
      <c r="S66" s="141">
        <v>4.5598530756368909</v>
      </c>
      <c r="T66" s="141">
        <v>4.5370538102587066</v>
      </c>
      <c r="U66" s="141">
        <v>4.5143685412074133</v>
      </c>
      <c r="V66" s="144">
        <v>4.4917966985013766</v>
      </c>
      <c r="W66" s="2629"/>
      <c r="X66" s="607" t="s">
        <v>498</v>
      </c>
      <c r="Y66" s="143">
        <v>0</v>
      </c>
      <c r="Z66" s="141">
        <v>0</v>
      </c>
      <c r="AA66" s="141">
        <v>0</v>
      </c>
      <c r="AB66" s="141">
        <v>0</v>
      </c>
      <c r="AC66" s="141">
        <v>0</v>
      </c>
      <c r="AD66" s="141">
        <v>0</v>
      </c>
      <c r="AE66" s="141">
        <v>0</v>
      </c>
      <c r="AF66" s="144">
        <v>0</v>
      </c>
      <c r="AG66" s="143">
        <v>0</v>
      </c>
      <c r="AH66" s="141">
        <v>0</v>
      </c>
      <c r="AI66" s="141">
        <v>0</v>
      </c>
      <c r="AJ66" s="141">
        <v>0</v>
      </c>
      <c r="AK66" s="144">
        <v>0</v>
      </c>
      <c r="AL66" s="2629"/>
      <c r="AM66" s="607" t="s">
        <v>2233</v>
      </c>
      <c r="AN66" s="143">
        <v>0</v>
      </c>
      <c r="AO66" s="141">
        <v>0.54500000000000004</v>
      </c>
      <c r="AP66" s="141">
        <v>0.503</v>
      </c>
      <c r="AQ66" s="141">
        <v>0.4850000000000001</v>
      </c>
      <c r="AR66" s="141">
        <v>0.4220000000000001</v>
      </c>
      <c r="AS66" s="141">
        <v>1.1960000000000002</v>
      </c>
      <c r="AT66" s="141">
        <v>0.36912557021272646</v>
      </c>
      <c r="AU66" s="144">
        <v>0.37103983242754718</v>
      </c>
      <c r="AV66" s="143">
        <v>1.2108470133874063</v>
      </c>
      <c r="AW66" s="141">
        <v>1.2108470133874063</v>
      </c>
      <c r="AX66" s="141">
        <v>1.2108470133874063</v>
      </c>
      <c r="AY66" s="141">
        <v>1.2108470133874063</v>
      </c>
      <c r="AZ66" s="144">
        <v>1.2108470133874063</v>
      </c>
      <c r="BA66" s="2629"/>
      <c r="BB66" s="545" t="s">
        <v>627</v>
      </c>
      <c r="BC66" s="868">
        <v>0</v>
      </c>
      <c r="BD66" s="545" t="s">
        <v>627</v>
      </c>
      <c r="BE66" s="868">
        <v>0</v>
      </c>
      <c r="BF66" s="545" t="s">
        <v>2233</v>
      </c>
      <c r="BG66" s="141">
        <v>0</v>
      </c>
      <c r="BH66" s="545" t="s">
        <v>2233</v>
      </c>
      <c r="BI66" s="141">
        <v>0</v>
      </c>
      <c r="BJ66" s="545" t="s">
        <v>2233</v>
      </c>
      <c r="BK66" s="141">
        <v>0</v>
      </c>
      <c r="BL66" s="545" t="s">
        <v>2233</v>
      </c>
      <c r="BM66" s="141">
        <v>0</v>
      </c>
      <c r="BN66" s="545" t="s">
        <v>2233</v>
      </c>
      <c r="BO66" s="141">
        <v>0</v>
      </c>
      <c r="BP66" s="2629"/>
      <c r="BQ66" s="545" t="s">
        <v>627</v>
      </c>
      <c r="BR66" s="868">
        <v>0</v>
      </c>
      <c r="BS66" s="545" t="s">
        <v>627</v>
      </c>
      <c r="BT66" s="868">
        <v>0</v>
      </c>
      <c r="BU66" s="545" t="s">
        <v>2233</v>
      </c>
      <c r="BV66" s="141">
        <v>0</v>
      </c>
      <c r="BW66" s="545" t="s">
        <v>2233</v>
      </c>
      <c r="BX66" s="141">
        <v>0</v>
      </c>
      <c r="BY66" s="545" t="s">
        <v>2233</v>
      </c>
      <c r="BZ66" s="141">
        <v>0</v>
      </c>
      <c r="CA66" s="545" t="s">
        <v>2233</v>
      </c>
      <c r="CB66" s="141">
        <v>0</v>
      </c>
      <c r="CC66" s="545" t="s">
        <v>2233</v>
      </c>
      <c r="CD66" s="144">
        <v>0</v>
      </c>
    </row>
    <row r="67" spans="1:82" s="98" customFormat="1" ht="15" customHeight="1">
      <c r="A67" s="99"/>
      <c r="B67" s="161"/>
      <c r="C67" s="162"/>
      <c r="D67" s="162" t="s">
        <v>2703</v>
      </c>
      <c r="E67" s="162"/>
      <c r="F67" s="162"/>
      <c r="G67" s="163"/>
      <c r="H67" s="163"/>
      <c r="I67" s="164" t="s">
        <v>498</v>
      </c>
      <c r="J67" s="143">
        <v>1.6408151375348633E-2</v>
      </c>
      <c r="K67" s="141">
        <v>2.3162783680656385E-2</v>
      </c>
      <c r="L67" s="141">
        <v>2.3026348876256427E-2</v>
      </c>
      <c r="M67" s="141">
        <v>7.7511466404180759E-2</v>
      </c>
      <c r="N67" s="141">
        <v>9.9426252077204763E-3</v>
      </c>
      <c r="O67" s="141">
        <v>3.0499140147729698E-2</v>
      </c>
      <c r="P67" s="141">
        <v>3.2050631251734435E-2</v>
      </c>
      <c r="Q67" s="144">
        <v>3.0833714741951419E-2</v>
      </c>
      <c r="R67" s="143">
        <v>2.467473712340694</v>
      </c>
      <c r="S67" s="141">
        <v>2.4551363437789906</v>
      </c>
      <c r="T67" s="141">
        <v>2.4428606620600957</v>
      </c>
      <c r="U67" s="141">
        <v>2.4306463587497951</v>
      </c>
      <c r="V67" s="144">
        <v>2.4184931269560459</v>
      </c>
      <c r="W67" s="2629"/>
      <c r="X67" s="607" t="s">
        <v>498</v>
      </c>
      <c r="Y67" s="143">
        <v>0</v>
      </c>
      <c r="Z67" s="141">
        <v>0</v>
      </c>
      <c r="AA67" s="141">
        <v>0</v>
      </c>
      <c r="AB67" s="141">
        <v>0</v>
      </c>
      <c r="AC67" s="141">
        <v>0</v>
      </c>
      <c r="AD67" s="141">
        <v>0</v>
      </c>
      <c r="AE67" s="141">
        <v>0</v>
      </c>
      <c r="AF67" s="144">
        <v>0</v>
      </c>
      <c r="AG67" s="143">
        <v>0</v>
      </c>
      <c r="AH67" s="141">
        <v>0</v>
      </c>
      <c r="AI67" s="141">
        <v>0</v>
      </c>
      <c r="AJ67" s="141">
        <v>0</v>
      </c>
      <c r="AK67" s="144">
        <v>0</v>
      </c>
      <c r="AL67" s="2629"/>
      <c r="AM67" s="607" t="s">
        <v>2233</v>
      </c>
      <c r="AN67" s="143">
        <v>0</v>
      </c>
      <c r="AO67" s="141">
        <v>0.1235</v>
      </c>
      <c r="AP67" s="141">
        <v>7.4499999999999997E-2</v>
      </c>
      <c r="AQ67" s="141">
        <v>0.19100000000000003</v>
      </c>
      <c r="AR67" s="141">
        <v>5.9000000000000004E-2</v>
      </c>
      <c r="AS67" s="141">
        <v>0.16000000000000003</v>
      </c>
      <c r="AT67" s="141">
        <v>0.10629513125378282</v>
      </c>
      <c r="AU67" s="144">
        <v>0.11577477585290484</v>
      </c>
      <c r="AV67" s="143">
        <v>0.59361601407478748</v>
      </c>
      <c r="AW67" s="141">
        <v>0.59361601407478748</v>
      </c>
      <c r="AX67" s="141">
        <v>0.59361601407478748</v>
      </c>
      <c r="AY67" s="141">
        <v>0.59361601407478748</v>
      </c>
      <c r="AZ67" s="144">
        <v>0.59361601407478748</v>
      </c>
      <c r="BA67" s="2629"/>
      <c r="BB67" s="545" t="s">
        <v>627</v>
      </c>
      <c r="BC67" s="868">
        <v>0</v>
      </c>
      <c r="BD67" s="545" t="s">
        <v>627</v>
      </c>
      <c r="BE67" s="868">
        <v>0</v>
      </c>
      <c r="BF67" s="545" t="s">
        <v>2233</v>
      </c>
      <c r="BG67" s="141">
        <v>0</v>
      </c>
      <c r="BH67" s="545" t="s">
        <v>2233</v>
      </c>
      <c r="BI67" s="141">
        <v>0</v>
      </c>
      <c r="BJ67" s="545" t="s">
        <v>2233</v>
      </c>
      <c r="BK67" s="141">
        <v>0</v>
      </c>
      <c r="BL67" s="545" t="s">
        <v>2233</v>
      </c>
      <c r="BM67" s="141">
        <v>0</v>
      </c>
      <c r="BN67" s="545" t="s">
        <v>2233</v>
      </c>
      <c r="BO67" s="141">
        <v>0</v>
      </c>
      <c r="BP67" s="2629"/>
      <c r="BQ67" s="545" t="s">
        <v>627</v>
      </c>
      <c r="BR67" s="868">
        <v>0</v>
      </c>
      <c r="BS67" s="545" t="s">
        <v>627</v>
      </c>
      <c r="BT67" s="868">
        <v>0</v>
      </c>
      <c r="BU67" s="545" t="s">
        <v>2233</v>
      </c>
      <c r="BV67" s="141">
        <v>0</v>
      </c>
      <c r="BW67" s="545" t="s">
        <v>2233</v>
      </c>
      <c r="BX67" s="141">
        <v>0</v>
      </c>
      <c r="BY67" s="545" t="s">
        <v>2233</v>
      </c>
      <c r="BZ67" s="141">
        <v>0</v>
      </c>
      <c r="CA67" s="545" t="s">
        <v>2233</v>
      </c>
      <c r="CB67" s="141">
        <v>0</v>
      </c>
      <c r="CC67" s="545" t="s">
        <v>2233</v>
      </c>
      <c r="CD67" s="144">
        <v>0</v>
      </c>
    </row>
    <row r="68" spans="1:82" s="98" customFormat="1" ht="15" customHeight="1">
      <c r="A68" s="99"/>
      <c r="B68" s="161"/>
      <c r="C68" s="162"/>
      <c r="D68" s="162" t="s">
        <v>2704</v>
      </c>
      <c r="E68" s="162"/>
      <c r="F68" s="162"/>
      <c r="G68" s="163"/>
      <c r="H68" s="163"/>
      <c r="I68" s="164" t="s">
        <v>498</v>
      </c>
      <c r="J68" s="143">
        <v>0</v>
      </c>
      <c r="K68" s="141">
        <v>0.37501649768681766</v>
      </c>
      <c r="L68" s="141">
        <v>0.47087863094680971</v>
      </c>
      <c r="M68" s="141">
        <v>0.15146425487203363</v>
      </c>
      <c r="N68" s="141">
        <v>2.3734266530133427E-2</v>
      </c>
      <c r="O68" s="141">
        <v>1.878565996883599E-2</v>
      </c>
      <c r="P68" s="141">
        <v>0.14321705816444313</v>
      </c>
      <c r="Q68" s="144">
        <v>0.10519877176465593</v>
      </c>
      <c r="R68" s="143">
        <v>0.77903435824657108</v>
      </c>
      <c r="S68" s="141">
        <v>0.7751391864553383</v>
      </c>
      <c r="T68" s="141">
        <v>0.77126349052306153</v>
      </c>
      <c r="U68" s="141">
        <v>0.76740717307044637</v>
      </c>
      <c r="V68" s="144">
        <v>0.76357013720509415</v>
      </c>
      <c r="W68" s="2629"/>
      <c r="X68" s="607" t="s">
        <v>498</v>
      </c>
      <c r="Y68" s="143">
        <v>0</v>
      </c>
      <c r="Z68" s="141">
        <v>0</v>
      </c>
      <c r="AA68" s="141">
        <v>0</v>
      </c>
      <c r="AB68" s="141">
        <v>0</v>
      </c>
      <c r="AC68" s="141">
        <v>0</v>
      </c>
      <c r="AD68" s="141">
        <v>0</v>
      </c>
      <c r="AE68" s="141">
        <v>0</v>
      </c>
      <c r="AF68" s="144">
        <v>0</v>
      </c>
      <c r="AG68" s="143">
        <v>0</v>
      </c>
      <c r="AH68" s="141">
        <v>0</v>
      </c>
      <c r="AI68" s="141">
        <v>0</v>
      </c>
      <c r="AJ68" s="141">
        <v>0</v>
      </c>
      <c r="AK68" s="144">
        <v>0</v>
      </c>
      <c r="AL68" s="2629"/>
      <c r="AM68" s="607" t="s">
        <v>2233</v>
      </c>
      <c r="AN68" s="143">
        <v>0</v>
      </c>
      <c r="AO68" s="141">
        <v>0.09</v>
      </c>
      <c r="AP68" s="141">
        <v>0.73250000000000004</v>
      </c>
      <c r="AQ68" s="141">
        <v>3.6000000000000004E-2</v>
      </c>
      <c r="AR68" s="141">
        <v>3.6000000000000004E-2</v>
      </c>
      <c r="AS68" s="141">
        <v>6.0999999999999999E-2</v>
      </c>
      <c r="AT68" s="141">
        <v>0.12960281707462848</v>
      </c>
      <c r="AU68" s="144">
        <v>0.10778086777752213</v>
      </c>
      <c r="AV68" s="143">
        <v>0.52469423568755369</v>
      </c>
      <c r="AW68" s="141">
        <v>0.52469423568755369</v>
      </c>
      <c r="AX68" s="141">
        <v>0.52469423568755369</v>
      </c>
      <c r="AY68" s="141">
        <v>0.52469423568755369</v>
      </c>
      <c r="AZ68" s="144">
        <v>0.52469423568755369</v>
      </c>
      <c r="BA68" s="2629"/>
      <c r="BB68" s="545" t="s">
        <v>627</v>
      </c>
      <c r="BC68" s="868">
        <v>0</v>
      </c>
      <c r="BD68" s="545" t="s">
        <v>627</v>
      </c>
      <c r="BE68" s="868">
        <v>0</v>
      </c>
      <c r="BF68" s="545" t="s">
        <v>2233</v>
      </c>
      <c r="BG68" s="141">
        <v>0</v>
      </c>
      <c r="BH68" s="545" t="s">
        <v>2233</v>
      </c>
      <c r="BI68" s="141">
        <v>0</v>
      </c>
      <c r="BJ68" s="545" t="s">
        <v>2233</v>
      </c>
      <c r="BK68" s="141">
        <v>0</v>
      </c>
      <c r="BL68" s="545" t="s">
        <v>2233</v>
      </c>
      <c r="BM68" s="141">
        <v>0</v>
      </c>
      <c r="BN68" s="545" t="s">
        <v>2233</v>
      </c>
      <c r="BO68" s="141">
        <v>0</v>
      </c>
      <c r="BP68" s="2629"/>
      <c r="BQ68" s="545" t="s">
        <v>627</v>
      </c>
      <c r="BR68" s="868">
        <v>0</v>
      </c>
      <c r="BS68" s="545" t="s">
        <v>627</v>
      </c>
      <c r="BT68" s="868">
        <v>0</v>
      </c>
      <c r="BU68" s="545" t="s">
        <v>2233</v>
      </c>
      <c r="BV68" s="141">
        <v>0</v>
      </c>
      <c r="BW68" s="545" t="s">
        <v>2233</v>
      </c>
      <c r="BX68" s="141">
        <v>0</v>
      </c>
      <c r="BY68" s="545" t="s">
        <v>2233</v>
      </c>
      <c r="BZ68" s="141">
        <v>0</v>
      </c>
      <c r="CA68" s="545" t="s">
        <v>2233</v>
      </c>
      <c r="CB68" s="141">
        <v>0</v>
      </c>
      <c r="CC68" s="545" t="s">
        <v>2233</v>
      </c>
      <c r="CD68" s="144">
        <v>0</v>
      </c>
    </row>
    <row r="69" spans="1:82" s="98" customFormat="1" ht="15" customHeight="1">
      <c r="A69" s="99"/>
      <c r="B69" s="161"/>
      <c r="C69" s="162"/>
      <c r="D69" s="162" t="s">
        <v>2705</v>
      </c>
      <c r="E69" s="162"/>
      <c r="F69" s="162"/>
      <c r="G69" s="163"/>
      <c r="H69" s="163"/>
      <c r="I69" s="164" t="s">
        <v>498</v>
      </c>
      <c r="J69" s="143">
        <v>0</v>
      </c>
      <c r="K69" s="141">
        <v>0.62208619028048573</v>
      </c>
      <c r="L69" s="141">
        <v>5.8093772835531195E-2</v>
      </c>
      <c r="M69" s="141">
        <v>5.809641813984575E-2</v>
      </c>
      <c r="N69" s="141">
        <v>0.26804370449261911</v>
      </c>
      <c r="O69" s="141">
        <v>0.23484658608865389</v>
      </c>
      <c r="P69" s="141">
        <v>0.12791997749222717</v>
      </c>
      <c r="Q69" s="144">
        <v>0.10067811408739664</v>
      </c>
      <c r="R69" s="143">
        <v>0.32489927630149151</v>
      </c>
      <c r="S69" s="141">
        <v>0.3232747799199841</v>
      </c>
      <c r="T69" s="141">
        <v>0.32165840602038415</v>
      </c>
      <c r="U69" s="141">
        <v>0.32005011399028221</v>
      </c>
      <c r="V69" s="144">
        <v>0.31844986342033083</v>
      </c>
      <c r="W69" s="2629"/>
      <c r="X69" s="607" t="s">
        <v>498</v>
      </c>
      <c r="Y69" s="143">
        <v>0</v>
      </c>
      <c r="Z69" s="141">
        <v>0</v>
      </c>
      <c r="AA69" s="141">
        <v>0</v>
      </c>
      <c r="AB69" s="141">
        <v>0</v>
      </c>
      <c r="AC69" s="141">
        <v>0</v>
      </c>
      <c r="AD69" s="141">
        <v>0</v>
      </c>
      <c r="AE69" s="141">
        <v>0</v>
      </c>
      <c r="AF69" s="144">
        <v>0</v>
      </c>
      <c r="AG69" s="143">
        <v>0</v>
      </c>
      <c r="AH69" s="141">
        <v>0</v>
      </c>
      <c r="AI69" s="141">
        <v>0</v>
      </c>
      <c r="AJ69" s="141">
        <v>0</v>
      </c>
      <c r="AK69" s="144">
        <v>0</v>
      </c>
      <c r="AL69" s="2629"/>
      <c r="AM69" s="607" t="s">
        <v>2233</v>
      </c>
      <c r="AN69" s="143">
        <v>0</v>
      </c>
      <c r="AO69" s="141">
        <v>0.53800000000000003</v>
      </c>
      <c r="AP69" s="141">
        <v>6.6500000000000004E-2</v>
      </c>
      <c r="AQ69" s="141">
        <v>4.2000000000000003E-2</v>
      </c>
      <c r="AR69" s="141">
        <v>0.42100000000000004</v>
      </c>
      <c r="AS69" s="141">
        <v>0.49099999999999999</v>
      </c>
      <c r="AT69" s="141">
        <v>0.1581929098127571</v>
      </c>
      <c r="AU69" s="144">
        <v>0.14095971909767152</v>
      </c>
      <c r="AV69" s="143">
        <v>0.52111620352964749</v>
      </c>
      <c r="AW69" s="141">
        <v>0.52111620352964749</v>
      </c>
      <c r="AX69" s="141">
        <v>0.52111620352964749</v>
      </c>
      <c r="AY69" s="141">
        <v>0.52111620352964749</v>
      </c>
      <c r="AZ69" s="144">
        <v>0.52111620352964749</v>
      </c>
      <c r="BA69" s="2629"/>
      <c r="BB69" s="545" t="s">
        <v>627</v>
      </c>
      <c r="BC69" s="868">
        <v>0</v>
      </c>
      <c r="BD69" s="545" t="s">
        <v>627</v>
      </c>
      <c r="BE69" s="868">
        <v>0</v>
      </c>
      <c r="BF69" s="545" t="s">
        <v>2233</v>
      </c>
      <c r="BG69" s="141">
        <v>0</v>
      </c>
      <c r="BH69" s="545" t="s">
        <v>2233</v>
      </c>
      <c r="BI69" s="141">
        <v>0</v>
      </c>
      <c r="BJ69" s="545" t="s">
        <v>2233</v>
      </c>
      <c r="BK69" s="141">
        <v>0</v>
      </c>
      <c r="BL69" s="545" t="s">
        <v>2233</v>
      </c>
      <c r="BM69" s="141">
        <v>0</v>
      </c>
      <c r="BN69" s="545" t="s">
        <v>2233</v>
      </c>
      <c r="BO69" s="141">
        <v>0</v>
      </c>
      <c r="BP69" s="2629"/>
      <c r="BQ69" s="545" t="s">
        <v>627</v>
      </c>
      <c r="BR69" s="868">
        <v>0</v>
      </c>
      <c r="BS69" s="545" t="s">
        <v>627</v>
      </c>
      <c r="BT69" s="868">
        <v>0</v>
      </c>
      <c r="BU69" s="545" t="s">
        <v>2233</v>
      </c>
      <c r="BV69" s="141">
        <v>0</v>
      </c>
      <c r="BW69" s="545" t="s">
        <v>2233</v>
      </c>
      <c r="BX69" s="141">
        <v>0</v>
      </c>
      <c r="BY69" s="545" t="s">
        <v>2233</v>
      </c>
      <c r="BZ69" s="141">
        <v>0</v>
      </c>
      <c r="CA69" s="545" t="s">
        <v>2233</v>
      </c>
      <c r="CB69" s="141">
        <v>0</v>
      </c>
      <c r="CC69" s="545" t="s">
        <v>2233</v>
      </c>
      <c r="CD69" s="144">
        <v>0</v>
      </c>
    </row>
    <row r="70" spans="1:82" s="98" customFormat="1" ht="15" customHeight="1">
      <c r="A70" s="99"/>
      <c r="B70" s="161"/>
      <c r="C70" s="162"/>
      <c r="D70" s="162" t="s">
        <v>2706</v>
      </c>
      <c r="E70" s="162"/>
      <c r="F70" s="162"/>
      <c r="G70" s="163"/>
      <c r="H70" s="163"/>
      <c r="I70" s="164" t="s">
        <v>498</v>
      </c>
      <c r="J70" s="143">
        <v>0</v>
      </c>
      <c r="K70" s="141">
        <v>0</v>
      </c>
      <c r="L70" s="141">
        <v>2.7030204272468248E-2</v>
      </c>
      <c r="M70" s="141">
        <v>0</v>
      </c>
      <c r="N70" s="141">
        <v>0.2119364921353771</v>
      </c>
      <c r="O70" s="141">
        <v>0</v>
      </c>
      <c r="P70" s="141">
        <v>3.7276775763974195E-2</v>
      </c>
      <c r="Q70" s="144">
        <v>3.4041958761320094E-2</v>
      </c>
      <c r="R70" s="143">
        <v>0.21304189945947413</v>
      </c>
      <c r="S70" s="141">
        <v>0.21197668996217675</v>
      </c>
      <c r="T70" s="141">
        <v>0.21091680651236586</v>
      </c>
      <c r="U70" s="141">
        <v>0.20986222247980402</v>
      </c>
      <c r="V70" s="144">
        <v>0.20881291136740499</v>
      </c>
      <c r="W70" s="2629"/>
      <c r="X70" s="607" t="s">
        <v>498</v>
      </c>
      <c r="Y70" s="143">
        <v>0</v>
      </c>
      <c r="Z70" s="141">
        <v>0</v>
      </c>
      <c r="AA70" s="141">
        <v>0</v>
      </c>
      <c r="AB70" s="141">
        <v>0</v>
      </c>
      <c r="AC70" s="141">
        <v>0</v>
      </c>
      <c r="AD70" s="141">
        <v>0</v>
      </c>
      <c r="AE70" s="141">
        <v>0</v>
      </c>
      <c r="AF70" s="144">
        <v>0</v>
      </c>
      <c r="AG70" s="143">
        <v>0</v>
      </c>
      <c r="AH70" s="141">
        <v>0</v>
      </c>
      <c r="AI70" s="141">
        <v>0</v>
      </c>
      <c r="AJ70" s="141">
        <v>0</v>
      </c>
      <c r="AK70" s="144">
        <v>0</v>
      </c>
      <c r="AL70" s="2629"/>
      <c r="AM70" s="607" t="s">
        <v>2233</v>
      </c>
      <c r="AN70" s="143">
        <v>0</v>
      </c>
      <c r="AO70" s="141">
        <v>0.04</v>
      </c>
      <c r="AP70" s="141">
        <v>0</v>
      </c>
      <c r="AQ70" s="141">
        <v>0</v>
      </c>
      <c r="AR70" s="141">
        <v>7.4999999999999997E-2</v>
      </c>
      <c r="AS70" s="141"/>
      <c r="AT70" s="141">
        <v>1.7667322663653836E-2</v>
      </c>
      <c r="AU70" s="144">
        <v>1.8266622532869894E-2</v>
      </c>
      <c r="AV70" s="143">
        <v>0.28272488941967766</v>
      </c>
      <c r="AW70" s="141">
        <v>0.28272488941967766</v>
      </c>
      <c r="AX70" s="141">
        <v>0.28272488941967766</v>
      </c>
      <c r="AY70" s="141">
        <v>0.28272488941967766</v>
      </c>
      <c r="AZ70" s="144">
        <v>0.28272488941967766</v>
      </c>
      <c r="BA70" s="2629"/>
      <c r="BB70" s="545" t="s">
        <v>627</v>
      </c>
      <c r="BC70" s="868">
        <v>0</v>
      </c>
      <c r="BD70" s="545" t="s">
        <v>627</v>
      </c>
      <c r="BE70" s="868">
        <v>0</v>
      </c>
      <c r="BF70" s="545" t="s">
        <v>2233</v>
      </c>
      <c r="BG70" s="141">
        <v>0</v>
      </c>
      <c r="BH70" s="545" t="s">
        <v>2233</v>
      </c>
      <c r="BI70" s="141">
        <v>0</v>
      </c>
      <c r="BJ70" s="545" t="s">
        <v>2233</v>
      </c>
      <c r="BK70" s="141">
        <v>0</v>
      </c>
      <c r="BL70" s="545" t="s">
        <v>2233</v>
      </c>
      <c r="BM70" s="141">
        <v>0</v>
      </c>
      <c r="BN70" s="545" t="s">
        <v>2233</v>
      </c>
      <c r="BO70" s="141">
        <v>0</v>
      </c>
      <c r="BP70" s="2629"/>
      <c r="BQ70" s="545" t="s">
        <v>627</v>
      </c>
      <c r="BR70" s="868">
        <v>0</v>
      </c>
      <c r="BS70" s="545" t="s">
        <v>627</v>
      </c>
      <c r="BT70" s="868">
        <v>0</v>
      </c>
      <c r="BU70" s="545" t="s">
        <v>2233</v>
      </c>
      <c r="BV70" s="141">
        <v>0</v>
      </c>
      <c r="BW70" s="545" t="s">
        <v>2233</v>
      </c>
      <c r="BX70" s="141">
        <v>0</v>
      </c>
      <c r="BY70" s="545" t="s">
        <v>2233</v>
      </c>
      <c r="BZ70" s="141">
        <v>0</v>
      </c>
      <c r="CA70" s="545" t="s">
        <v>2233</v>
      </c>
      <c r="CB70" s="141">
        <v>0</v>
      </c>
      <c r="CC70" s="545" t="s">
        <v>2233</v>
      </c>
      <c r="CD70" s="144">
        <v>0</v>
      </c>
    </row>
    <row r="71" spans="1:82" s="98" customFormat="1" ht="15" customHeight="1">
      <c r="A71" s="99"/>
      <c r="B71" s="161"/>
      <c r="C71" s="162"/>
      <c r="D71" s="162" t="s">
        <v>2707</v>
      </c>
      <c r="E71" s="162"/>
      <c r="F71" s="162"/>
      <c r="G71" s="163"/>
      <c r="H71" s="163"/>
      <c r="I71" s="164" t="s">
        <v>498</v>
      </c>
      <c r="J71" s="143">
        <v>0</v>
      </c>
      <c r="K71" s="141">
        <v>0</v>
      </c>
      <c r="L71" s="141">
        <v>0</v>
      </c>
      <c r="M71" s="141">
        <v>0</v>
      </c>
      <c r="N71" s="141">
        <v>0</v>
      </c>
      <c r="O71" s="141">
        <v>0</v>
      </c>
      <c r="P71" s="141">
        <v>0</v>
      </c>
      <c r="Q71" s="144">
        <v>0</v>
      </c>
      <c r="R71" s="143">
        <v>9.5009814185012132E-3</v>
      </c>
      <c r="S71" s="141">
        <v>9.4534765114087076E-3</v>
      </c>
      <c r="T71" s="141">
        <v>9.4062091288516642E-3</v>
      </c>
      <c r="U71" s="141">
        <v>9.3591780832074055E-3</v>
      </c>
      <c r="V71" s="144">
        <v>9.3123821927913689E-3</v>
      </c>
      <c r="W71" s="2629"/>
      <c r="X71" s="607" t="s">
        <v>498</v>
      </c>
      <c r="Y71" s="143">
        <v>0</v>
      </c>
      <c r="Z71" s="141">
        <v>0</v>
      </c>
      <c r="AA71" s="141">
        <v>0</v>
      </c>
      <c r="AB71" s="141">
        <v>0</v>
      </c>
      <c r="AC71" s="141">
        <v>0</v>
      </c>
      <c r="AD71" s="141">
        <v>0</v>
      </c>
      <c r="AE71" s="141">
        <v>0</v>
      </c>
      <c r="AF71" s="144">
        <v>0</v>
      </c>
      <c r="AG71" s="143">
        <v>0</v>
      </c>
      <c r="AH71" s="141">
        <v>0</v>
      </c>
      <c r="AI71" s="141">
        <v>0</v>
      </c>
      <c r="AJ71" s="141">
        <v>0</v>
      </c>
      <c r="AK71" s="144">
        <v>0</v>
      </c>
      <c r="AL71" s="2629"/>
      <c r="AM71" s="607" t="s">
        <v>2233</v>
      </c>
      <c r="AN71" s="143">
        <v>0</v>
      </c>
      <c r="AO71" s="141">
        <v>0</v>
      </c>
      <c r="AP71" s="141">
        <v>0</v>
      </c>
      <c r="AQ71" s="141">
        <v>0</v>
      </c>
      <c r="AR71" s="141">
        <v>0</v>
      </c>
      <c r="AS71" s="141"/>
      <c r="AT71" s="141">
        <v>0</v>
      </c>
      <c r="AU71" s="144">
        <v>0</v>
      </c>
      <c r="AV71" s="143">
        <v>1.1326387906027344E-2</v>
      </c>
      <c r="AW71" s="141">
        <v>1.1326387906027344E-2</v>
      </c>
      <c r="AX71" s="141">
        <v>1.1326387906027344E-2</v>
      </c>
      <c r="AY71" s="141">
        <v>1.1326387906027344E-2</v>
      </c>
      <c r="AZ71" s="144">
        <v>1.1326387906027344E-2</v>
      </c>
      <c r="BA71" s="2629"/>
      <c r="BB71" s="545" t="s">
        <v>627</v>
      </c>
      <c r="BC71" s="868">
        <v>0</v>
      </c>
      <c r="BD71" s="545" t="s">
        <v>627</v>
      </c>
      <c r="BE71" s="868">
        <v>0</v>
      </c>
      <c r="BF71" s="545" t="s">
        <v>2233</v>
      </c>
      <c r="BG71" s="141">
        <v>0</v>
      </c>
      <c r="BH71" s="545" t="s">
        <v>2233</v>
      </c>
      <c r="BI71" s="141">
        <v>0</v>
      </c>
      <c r="BJ71" s="545" t="s">
        <v>2233</v>
      </c>
      <c r="BK71" s="141">
        <v>0</v>
      </c>
      <c r="BL71" s="545" t="s">
        <v>2233</v>
      </c>
      <c r="BM71" s="141">
        <v>0</v>
      </c>
      <c r="BN71" s="545" t="s">
        <v>2233</v>
      </c>
      <c r="BO71" s="141">
        <v>0</v>
      </c>
      <c r="BP71" s="2629"/>
      <c r="BQ71" s="545" t="s">
        <v>627</v>
      </c>
      <c r="BR71" s="868">
        <v>0</v>
      </c>
      <c r="BS71" s="545" t="s">
        <v>627</v>
      </c>
      <c r="BT71" s="868">
        <v>0</v>
      </c>
      <c r="BU71" s="545" t="s">
        <v>2233</v>
      </c>
      <c r="BV71" s="141">
        <v>0</v>
      </c>
      <c r="BW71" s="545" t="s">
        <v>2233</v>
      </c>
      <c r="BX71" s="141">
        <v>0</v>
      </c>
      <c r="BY71" s="545" t="s">
        <v>2233</v>
      </c>
      <c r="BZ71" s="141">
        <v>0</v>
      </c>
      <c r="CA71" s="545" t="s">
        <v>2233</v>
      </c>
      <c r="CB71" s="141">
        <v>0</v>
      </c>
      <c r="CC71" s="545" t="s">
        <v>2233</v>
      </c>
      <c r="CD71" s="144">
        <v>0</v>
      </c>
    </row>
    <row r="72" spans="1:82" s="98" customFormat="1" ht="15" customHeight="1">
      <c r="A72" s="99"/>
      <c r="B72" s="161"/>
      <c r="C72" s="162"/>
      <c r="D72" s="162" t="s">
        <v>2708</v>
      </c>
      <c r="E72" s="162"/>
      <c r="F72" s="162"/>
      <c r="G72" s="163"/>
      <c r="H72" s="163"/>
      <c r="I72" s="164" t="s">
        <v>498</v>
      </c>
      <c r="J72" s="143">
        <v>0</v>
      </c>
      <c r="K72" s="141">
        <v>0</v>
      </c>
      <c r="L72" s="141">
        <v>0</v>
      </c>
      <c r="M72" s="141">
        <v>0</v>
      </c>
      <c r="N72" s="141">
        <v>0</v>
      </c>
      <c r="O72" s="141">
        <v>0</v>
      </c>
      <c r="P72" s="141">
        <v>0</v>
      </c>
      <c r="Q72" s="144">
        <v>0</v>
      </c>
      <c r="R72" s="143">
        <v>0</v>
      </c>
      <c r="S72" s="141">
        <v>0</v>
      </c>
      <c r="T72" s="141">
        <v>0</v>
      </c>
      <c r="U72" s="141">
        <v>0</v>
      </c>
      <c r="V72" s="144">
        <v>0</v>
      </c>
      <c r="W72" s="2629"/>
      <c r="X72" s="607" t="s">
        <v>498</v>
      </c>
      <c r="Y72" s="143">
        <v>0</v>
      </c>
      <c r="Z72" s="141">
        <v>0</v>
      </c>
      <c r="AA72" s="141">
        <v>0</v>
      </c>
      <c r="AB72" s="141">
        <v>0</v>
      </c>
      <c r="AC72" s="141">
        <v>0</v>
      </c>
      <c r="AD72" s="141">
        <v>0</v>
      </c>
      <c r="AE72" s="141">
        <v>0</v>
      </c>
      <c r="AF72" s="144">
        <v>0</v>
      </c>
      <c r="AG72" s="143">
        <v>0</v>
      </c>
      <c r="AH72" s="141">
        <v>0</v>
      </c>
      <c r="AI72" s="141">
        <v>0</v>
      </c>
      <c r="AJ72" s="141">
        <v>0</v>
      </c>
      <c r="AK72" s="144">
        <v>0</v>
      </c>
      <c r="AL72" s="2629"/>
      <c r="AM72" s="607" t="s">
        <v>2233</v>
      </c>
      <c r="AN72" s="143">
        <v>0</v>
      </c>
      <c r="AO72" s="141">
        <v>0</v>
      </c>
      <c r="AP72" s="141">
        <v>0</v>
      </c>
      <c r="AQ72" s="141">
        <v>0</v>
      </c>
      <c r="AR72" s="141">
        <v>0</v>
      </c>
      <c r="AS72" s="141"/>
      <c r="AT72" s="141">
        <v>0</v>
      </c>
      <c r="AU72" s="144">
        <v>0</v>
      </c>
      <c r="AV72" s="143">
        <v>0</v>
      </c>
      <c r="AW72" s="141">
        <v>0</v>
      </c>
      <c r="AX72" s="141">
        <v>0</v>
      </c>
      <c r="AY72" s="141">
        <v>0</v>
      </c>
      <c r="AZ72" s="144">
        <v>0</v>
      </c>
      <c r="BA72" s="2629"/>
      <c r="BB72" s="545" t="s">
        <v>627</v>
      </c>
      <c r="BC72" s="868">
        <v>0</v>
      </c>
      <c r="BD72" s="545" t="s">
        <v>627</v>
      </c>
      <c r="BE72" s="868">
        <v>0</v>
      </c>
      <c r="BF72" s="545" t="s">
        <v>2233</v>
      </c>
      <c r="BG72" s="141">
        <v>0</v>
      </c>
      <c r="BH72" s="545" t="s">
        <v>2233</v>
      </c>
      <c r="BI72" s="141">
        <v>0</v>
      </c>
      <c r="BJ72" s="545" t="s">
        <v>2233</v>
      </c>
      <c r="BK72" s="141">
        <v>0</v>
      </c>
      <c r="BL72" s="545" t="s">
        <v>2233</v>
      </c>
      <c r="BM72" s="141">
        <v>0</v>
      </c>
      <c r="BN72" s="545" t="s">
        <v>2233</v>
      </c>
      <c r="BO72" s="141">
        <v>0</v>
      </c>
      <c r="BP72" s="2629"/>
      <c r="BQ72" s="545" t="s">
        <v>627</v>
      </c>
      <c r="BR72" s="868">
        <v>0</v>
      </c>
      <c r="BS72" s="545" t="s">
        <v>627</v>
      </c>
      <c r="BT72" s="868">
        <v>0</v>
      </c>
      <c r="BU72" s="545" t="s">
        <v>2233</v>
      </c>
      <c r="BV72" s="141">
        <v>0</v>
      </c>
      <c r="BW72" s="545" t="s">
        <v>2233</v>
      </c>
      <c r="BX72" s="141">
        <v>0</v>
      </c>
      <c r="BY72" s="545" t="s">
        <v>2233</v>
      </c>
      <c r="BZ72" s="141">
        <v>0</v>
      </c>
      <c r="CA72" s="545" t="s">
        <v>2233</v>
      </c>
      <c r="CB72" s="141">
        <v>0</v>
      </c>
      <c r="CC72" s="545" t="s">
        <v>2233</v>
      </c>
      <c r="CD72" s="144">
        <v>0</v>
      </c>
    </row>
    <row r="73" spans="1:82" s="98" customFormat="1" ht="15" customHeight="1">
      <c r="A73" s="99"/>
      <c r="B73" s="161"/>
      <c r="C73" s="162" t="s">
        <v>1710</v>
      </c>
      <c r="D73" s="162"/>
      <c r="E73" s="162"/>
      <c r="F73" s="162"/>
      <c r="G73" s="163"/>
      <c r="H73" s="163"/>
      <c r="I73" s="164" t="s">
        <v>498</v>
      </c>
      <c r="J73" s="641">
        <f>SUM(J65:J72)</f>
        <v>0.12000298678569775</v>
      </c>
      <c r="K73" s="642">
        <f t="shared" ref="K73:V73" si="19">SUM(K65:K72)</f>
        <v>1.4338866088025379</v>
      </c>
      <c r="L73" s="642">
        <f t="shared" si="19"/>
        <v>1.126734886095424</v>
      </c>
      <c r="M73" s="642">
        <f t="shared" si="19"/>
        <v>0.44360138383311121</v>
      </c>
      <c r="N73" s="642">
        <f t="shared" si="19"/>
        <v>0.67863012376890897</v>
      </c>
      <c r="O73" s="642">
        <f t="shared" si="19"/>
        <v>0.41537007167420203</v>
      </c>
      <c r="P73" s="642">
        <f t="shared" si="19"/>
        <v>0.54483144470714684</v>
      </c>
      <c r="Q73" s="643">
        <f t="shared" si="19"/>
        <v>0.45830654810411181</v>
      </c>
      <c r="R73" s="641">
        <f t="shared" si="19"/>
        <v>10.541724534410958</v>
      </c>
      <c r="S73" s="642">
        <f t="shared" si="19"/>
        <v>10.489015911738903</v>
      </c>
      <c r="T73" s="642">
        <f t="shared" si="19"/>
        <v>10.436570832180209</v>
      </c>
      <c r="U73" s="642">
        <f t="shared" si="19"/>
        <v>10.384387978019307</v>
      </c>
      <c r="V73" s="643">
        <f t="shared" si="19"/>
        <v>10.33246603812921</v>
      </c>
      <c r="W73" s="2629"/>
      <c r="X73" s="607" t="s">
        <v>498</v>
      </c>
      <c r="Y73" s="641">
        <f>SUM(Y65:Y72)</f>
        <v>0</v>
      </c>
      <c r="Z73" s="642">
        <f t="shared" ref="Z73:AK73" si="20">SUM(Z65:Z72)</f>
        <v>0</v>
      </c>
      <c r="AA73" s="642">
        <f t="shared" si="20"/>
        <v>0</v>
      </c>
      <c r="AB73" s="642">
        <f t="shared" si="20"/>
        <v>0</v>
      </c>
      <c r="AC73" s="642">
        <f t="shared" si="20"/>
        <v>0</v>
      </c>
      <c r="AD73" s="642">
        <f t="shared" si="20"/>
        <v>0</v>
      </c>
      <c r="AE73" s="642">
        <f t="shared" si="20"/>
        <v>0</v>
      </c>
      <c r="AF73" s="643">
        <f t="shared" si="20"/>
        <v>0</v>
      </c>
      <c r="AG73" s="641">
        <f t="shared" si="20"/>
        <v>0</v>
      </c>
      <c r="AH73" s="642">
        <f t="shared" si="20"/>
        <v>0</v>
      </c>
      <c r="AI73" s="642">
        <f t="shared" si="20"/>
        <v>0</v>
      </c>
      <c r="AJ73" s="642">
        <f t="shared" si="20"/>
        <v>0</v>
      </c>
      <c r="AK73" s="643">
        <f t="shared" si="20"/>
        <v>0</v>
      </c>
      <c r="AL73" s="2629"/>
      <c r="AM73" s="607" t="s">
        <v>2233</v>
      </c>
      <c r="AN73" s="641">
        <f>SUM(AN65:AN72)</f>
        <v>0</v>
      </c>
      <c r="AO73" s="642">
        <f t="shared" ref="AO73:AZ73" si="21">SUM(AO65:AO72)</f>
        <v>1.6930000000000001</v>
      </c>
      <c r="AP73" s="642">
        <f t="shared" si="21"/>
        <v>1.62</v>
      </c>
      <c r="AQ73" s="642">
        <f t="shared" si="21"/>
        <v>1.1300000000000003</v>
      </c>
      <c r="AR73" s="642">
        <f t="shared" si="21"/>
        <v>1.2670000000000001</v>
      </c>
      <c r="AS73" s="642">
        <f t="shared" si="21"/>
        <v>2.3640000000000003</v>
      </c>
      <c r="AT73" s="642">
        <f t="shared" si="21"/>
        <v>1.0665884664248138</v>
      </c>
      <c r="AU73" s="643">
        <f t="shared" si="21"/>
        <v>1.0665884664248138</v>
      </c>
      <c r="AV73" s="641">
        <f t="shared" si="21"/>
        <v>3.6896000000000009</v>
      </c>
      <c r="AW73" s="642">
        <f t="shared" si="21"/>
        <v>3.6896000000000009</v>
      </c>
      <c r="AX73" s="642">
        <f t="shared" si="21"/>
        <v>3.6896000000000009</v>
      </c>
      <c r="AY73" s="642">
        <f t="shared" si="21"/>
        <v>3.6896000000000009</v>
      </c>
      <c r="AZ73" s="643">
        <f t="shared" si="21"/>
        <v>3.6896000000000009</v>
      </c>
      <c r="BA73" s="2629"/>
      <c r="BB73" s="542"/>
      <c r="BC73" s="542"/>
      <c r="BD73" s="542"/>
      <c r="BE73" s="542"/>
      <c r="BF73" s="545" t="s">
        <v>2233</v>
      </c>
      <c r="BG73" s="642">
        <f>SUM(BG65:BG72)</f>
        <v>0</v>
      </c>
      <c r="BH73" s="545" t="s">
        <v>2233</v>
      </c>
      <c r="BI73" s="642">
        <f>SUM(BI65:BI72)</f>
        <v>0</v>
      </c>
      <c r="BJ73" s="545" t="s">
        <v>2233</v>
      </c>
      <c r="BK73" s="642">
        <f>SUM(BK65:BK72)</f>
        <v>0</v>
      </c>
      <c r="BL73" s="545" t="s">
        <v>2233</v>
      </c>
      <c r="BM73" s="642">
        <f>SUM(BM65:BM72)</f>
        <v>0</v>
      </c>
      <c r="BN73" s="545" t="s">
        <v>2233</v>
      </c>
      <c r="BO73" s="642">
        <f>SUM(BO65:BO72)</f>
        <v>0</v>
      </c>
      <c r="BP73" s="2629"/>
      <c r="BQ73" s="542"/>
      <c r="BR73" s="542"/>
      <c r="BS73" s="542"/>
      <c r="BT73" s="542"/>
      <c r="BU73" s="545" t="s">
        <v>2233</v>
      </c>
      <c r="BV73" s="642">
        <f>SUM(BV65:BV72)</f>
        <v>0</v>
      </c>
      <c r="BW73" s="545" t="s">
        <v>2233</v>
      </c>
      <c r="BX73" s="642">
        <f>SUM(BX65:BX72)</f>
        <v>0</v>
      </c>
      <c r="BY73" s="545" t="s">
        <v>2233</v>
      </c>
      <c r="BZ73" s="642">
        <f>SUM(BZ65:BZ72)</f>
        <v>0</v>
      </c>
      <c r="CA73" s="545" t="s">
        <v>2233</v>
      </c>
      <c r="CB73" s="642">
        <f>SUM(CB65:CB72)</f>
        <v>0</v>
      </c>
      <c r="CC73" s="545" t="s">
        <v>2233</v>
      </c>
      <c r="CD73" s="643">
        <f>SUM(CD65:CD72)</f>
        <v>0</v>
      </c>
    </row>
    <row r="74" spans="1:82" s="98" customFormat="1" ht="15" customHeight="1">
      <c r="A74" s="99"/>
      <c r="B74" s="123"/>
      <c r="C74" s="127"/>
      <c r="D74" s="127"/>
      <c r="E74" s="127"/>
      <c r="F74" s="127"/>
      <c r="G74" s="117"/>
      <c r="H74" s="117"/>
      <c r="I74" s="117"/>
      <c r="J74" s="159"/>
      <c r="K74" s="94"/>
      <c r="L74" s="94"/>
      <c r="M74" s="94"/>
      <c r="N74" s="94"/>
      <c r="O74" s="94"/>
      <c r="P74" s="94"/>
      <c r="Q74" s="160"/>
      <c r="R74" s="159"/>
      <c r="S74" s="94"/>
      <c r="T74" s="94"/>
      <c r="U74" s="94"/>
      <c r="V74" s="160"/>
      <c r="W74" s="2629"/>
      <c r="X74" s="94"/>
      <c r="Y74" s="159"/>
      <c r="Z74" s="94"/>
      <c r="AA74" s="94"/>
      <c r="AB74" s="94"/>
      <c r="AC74" s="94"/>
      <c r="AD74" s="94"/>
      <c r="AE74" s="94"/>
      <c r="AF74" s="160"/>
      <c r="AG74" s="159"/>
      <c r="AH74" s="94"/>
      <c r="AI74" s="94"/>
      <c r="AJ74" s="94"/>
      <c r="AK74" s="160"/>
      <c r="AL74" s="2629"/>
      <c r="AM74" s="94"/>
      <c r="AN74" s="159"/>
      <c r="AO74" s="94"/>
      <c r="AP74" s="94"/>
      <c r="AQ74" s="94"/>
      <c r="AR74" s="94"/>
      <c r="AS74" s="94"/>
      <c r="AT74" s="94"/>
      <c r="AU74" s="160"/>
      <c r="AV74" s="159"/>
      <c r="AW74" s="94"/>
      <c r="AX74" s="94"/>
      <c r="AY74" s="94"/>
      <c r="AZ74" s="160"/>
      <c r="BA74" s="2629"/>
      <c r="BB74" s="542"/>
      <c r="BC74" s="542"/>
      <c r="BD74" s="542"/>
      <c r="BE74" s="542"/>
      <c r="BF74" s="542"/>
      <c r="BG74" s="542"/>
      <c r="BH74" s="542"/>
      <c r="BI74" s="542"/>
      <c r="BJ74" s="542"/>
      <c r="BK74" s="542"/>
      <c r="BL74" s="542"/>
      <c r="BM74" s="542"/>
      <c r="BN74" s="542"/>
      <c r="BO74" s="542"/>
      <c r="BP74" s="2629"/>
      <c r="BQ74" s="542"/>
      <c r="BR74" s="542"/>
      <c r="BS74" s="542"/>
      <c r="BT74" s="542"/>
      <c r="BU74" s="542"/>
      <c r="BV74" s="542"/>
      <c r="BW74" s="542"/>
      <c r="BX74" s="542"/>
      <c r="BY74" s="542"/>
      <c r="BZ74" s="542"/>
      <c r="CA74" s="542"/>
      <c r="CB74" s="542"/>
      <c r="CC74" s="542"/>
      <c r="CD74" s="544"/>
    </row>
    <row r="75" spans="1:82" s="98" customFormat="1" ht="15" customHeight="1">
      <c r="A75" s="99"/>
      <c r="B75" s="161"/>
      <c r="C75" s="116" t="s">
        <v>2746</v>
      </c>
      <c r="D75" s="116"/>
      <c r="E75" s="116"/>
      <c r="F75" s="116"/>
      <c r="G75" s="117"/>
      <c r="H75" s="117"/>
      <c r="I75" s="117"/>
      <c r="J75" s="159"/>
      <c r="K75" s="94"/>
      <c r="L75" s="94"/>
      <c r="M75" s="94"/>
      <c r="N75" s="94"/>
      <c r="O75" s="94"/>
      <c r="P75" s="94"/>
      <c r="Q75" s="160"/>
      <c r="R75" s="159"/>
      <c r="S75" s="94"/>
      <c r="T75" s="94"/>
      <c r="U75" s="94"/>
      <c r="V75" s="160"/>
      <c r="W75" s="2629"/>
      <c r="X75" s="94"/>
      <c r="Y75" s="159"/>
      <c r="Z75" s="94"/>
      <c r="AA75" s="94"/>
      <c r="AB75" s="94"/>
      <c r="AC75" s="94"/>
      <c r="AD75" s="94"/>
      <c r="AE75" s="94"/>
      <c r="AF75" s="160"/>
      <c r="AG75" s="159"/>
      <c r="AH75" s="94"/>
      <c r="AI75" s="94"/>
      <c r="AJ75" s="94"/>
      <c r="AK75" s="160"/>
      <c r="AL75" s="2629"/>
      <c r="AM75" s="94"/>
      <c r="AN75" s="159"/>
      <c r="AO75" s="94"/>
      <c r="AP75" s="94"/>
      <c r="AQ75" s="94"/>
      <c r="AR75" s="94"/>
      <c r="AS75" s="94"/>
      <c r="AT75" s="94"/>
      <c r="AU75" s="160"/>
      <c r="AV75" s="159"/>
      <c r="AW75" s="94"/>
      <c r="AX75" s="94"/>
      <c r="AY75" s="94"/>
      <c r="AZ75" s="160"/>
      <c r="BA75" s="2629"/>
      <c r="BB75" s="542"/>
      <c r="BC75" s="542"/>
      <c r="BD75" s="542"/>
      <c r="BE75" s="542"/>
      <c r="BF75" s="542"/>
      <c r="BG75" s="542"/>
      <c r="BH75" s="542"/>
      <c r="BI75" s="542"/>
      <c r="BJ75" s="542"/>
      <c r="BK75" s="542"/>
      <c r="BL75" s="542"/>
      <c r="BM75" s="542"/>
      <c r="BN75" s="542"/>
      <c r="BO75" s="542"/>
      <c r="BP75" s="2629"/>
      <c r="BQ75" s="542"/>
      <c r="BR75" s="542"/>
      <c r="BS75" s="542"/>
      <c r="BT75" s="542"/>
      <c r="BU75" s="542"/>
      <c r="BV75" s="542"/>
      <c r="BW75" s="542"/>
      <c r="BX75" s="542"/>
      <c r="BY75" s="542"/>
      <c r="BZ75" s="542"/>
      <c r="CA75" s="542"/>
      <c r="CB75" s="542"/>
      <c r="CC75" s="542"/>
      <c r="CD75" s="544"/>
    </row>
    <row r="76" spans="1:82" s="98" customFormat="1" ht="15" customHeight="1">
      <c r="A76" s="99"/>
      <c r="B76" s="161"/>
      <c r="C76" s="185"/>
      <c r="D76" s="116" t="s">
        <v>2747</v>
      </c>
      <c r="E76" s="116"/>
      <c r="F76" s="116"/>
      <c r="G76" s="117"/>
      <c r="H76" s="117"/>
      <c r="I76" s="117"/>
      <c r="J76" s="159"/>
      <c r="K76" s="94"/>
      <c r="L76" s="94"/>
      <c r="M76" s="94"/>
      <c r="N76" s="94"/>
      <c r="O76" s="94"/>
      <c r="P76" s="94"/>
      <c r="Q76" s="160"/>
      <c r="R76" s="159"/>
      <c r="S76" s="94"/>
      <c r="T76" s="94"/>
      <c r="U76" s="94"/>
      <c r="V76" s="160"/>
      <c r="W76" s="2629"/>
      <c r="X76" s="94"/>
      <c r="Y76" s="159"/>
      <c r="Z76" s="94"/>
      <c r="AA76" s="94"/>
      <c r="AB76" s="94"/>
      <c r="AC76" s="94"/>
      <c r="AD76" s="94"/>
      <c r="AE76" s="94"/>
      <c r="AF76" s="160"/>
      <c r="AG76" s="159"/>
      <c r="AH76" s="94"/>
      <c r="AI76" s="94"/>
      <c r="AJ76" s="94"/>
      <c r="AK76" s="160"/>
      <c r="AL76" s="2629"/>
      <c r="AM76" s="94"/>
      <c r="AN76" s="159"/>
      <c r="AO76" s="94"/>
      <c r="AP76" s="94"/>
      <c r="AQ76" s="94"/>
      <c r="AR76" s="94"/>
      <c r="AS76" s="94"/>
      <c r="AT76" s="94"/>
      <c r="AU76" s="160"/>
      <c r="AV76" s="159"/>
      <c r="AW76" s="94"/>
      <c r="AX76" s="94"/>
      <c r="AY76" s="94"/>
      <c r="AZ76" s="160"/>
      <c r="BA76" s="2629"/>
      <c r="BB76" s="542"/>
      <c r="BC76" s="542"/>
      <c r="BD76" s="542"/>
      <c r="BE76" s="542"/>
      <c r="BF76" s="542"/>
      <c r="BG76" s="542"/>
      <c r="BH76" s="542"/>
      <c r="BI76" s="542"/>
      <c r="BJ76" s="542"/>
      <c r="BK76" s="542"/>
      <c r="BL76" s="542"/>
      <c r="BM76" s="542"/>
      <c r="BN76" s="542"/>
      <c r="BO76" s="542"/>
      <c r="BP76" s="2629"/>
      <c r="BQ76" s="542"/>
      <c r="BR76" s="542"/>
      <c r="BS76" s="542"/>
      <c r="BT76" s="542"/>
      <c r="BU76" s="542"/>
      <c r="BV76" s="542"/>
      <c r="BW76" s="542"/>
      <c r="BX76" s="542"/>
      <c r="BY76" s="542"/>
      <c r="BZ76" s="542"/>
      <c r="CA76" s="542"/>
      <c r="CB76" s="542"/>
      <c r="CC76" s="542"/>
      <c r="CD76" s="544"/>
    </row>
    <row r="77" spans="1:82" s="98" customFormat="1" ht="15" customHeight="1">
      <c r="A77" s="99"/>
      <c r="B77" s="161"/>
      <c r="C77" s="185"/>
      <c r="D77" s="162"/>
      <c r="E77" s="162" t="s">
        <v>2701</v>
      </c>
      <c r="F77" s="162"/>
      <c r="G77" s="163"/>
      <c r="H77" s="163"/>
      <c r="I77" s="164" t="s">
        <v>498</v>
      </c>
      <c r="J77" s="143">
        <v>0</v>
      </c>
      <c r="K77" s="141">
        <v>0</v>
      </c>
      <c r="L77" s="141">
        <v>0</v>
      </c>
      <c r="M77" s="141">
        <v>0</v>
      </c>
      <c r="N77" s="141">
        <v>0</v>
      </c>
      <c r="O77" s="141">
        <v>0</v>
      </c>
      <c r="P77" s="141">
        <v>0</v>
      </c>
      <c r="Q77" s="144">
        <v>0</v>
      </c>
      <c r="R77" s="143">
        <v>0</v>
      </c>
      <c r="S77" s="141">
        <v>0</v>
      </c>
      <c r="T77" s="141">
        <v>0</v>
      </c>
      <c r="U77" s="141">
        <v>0</v>
      </c>
      <c r="V77" s="144">
        <v>0</v>
      </c>
      <c r="W77" s="2629"/>
      <c r="X77" s="607" t="s">
        <v>498</v>
      </c>
      <c r="Y77" s="143">
        <v>0</v>
      </c>
      <c r="Z77" s="141">
        <v>0</v>
      </c>
      <c r="AA77" s="141">
        <v>0</v>
      </c>
      <c r="AB77" s="141">
        <v>0</v>
      </c>
      <c r="AC77" s="141">
        <v>0</v>
      </c>
      <c r="AD77" s="141">
        <v>0</v>
      </c>
      <c r="AE77" s="141">
        <v>0</v>
      </c>
      <c r="AF77" s="144">
        <v>0</v>
      </c>
      <c r="AG77" s="143">
        <v>0</v>
      </c>
      <c r="AH77" s="141">
        <v>0</v>
      </c>
      <c r="AI77" s="141">
        <v>0</v>
      </c>
      <c r="AJ77" s="141">
        <v>0</v>
      </c>
      <c r="AK77" s="144">
        <v>0</v>
      </c>
      <c r="AL77" s="2629"/>
      <c r="AM77" s="607" t="s">
        <v>2233</v>
      </c>
      <c r="AN77" s="143">
        <v>0</v>
      </c>
      <c r="AO77" s="141">
        <v>0</v>
      </c>
      <c r="AP77" s="141">
        <v>0</v>
      </c>
      <c r="AQ77" s="141">
        <v>0</v>
      </c>
      <c r="AR77" s="141">
        <v>0</v>
      </c>
      <c r="AS77" s="141">
        <v>0</v>
      </c>
      <c r="AT77" s="141">
        <v>0</v>
      </c>
      <c r="AU77" s="144">
        <v>0</v>
      </c>
      <c r="AV77" s="143">
        <v>0</v>
      </c>
      <c r="AW77" s="141">
        <v>0</v>
      </c>
      <c r="AX77" s="141">
        <v>0</v>
      </c>
      <c r="AY77" s="141">
        <v>0</v>
      </c>
      <c r="AZ77" s="144">
        <v>0</v>
      </c>
      <c r="BA77" s="2629"/>
      <c r="BB77" s="545" t="s">
        <v>627</v>
      </c>
      <c r="BC77" s="868">
        <v>0</v>
      </c>
      <c r="BD77" s="545" t="s">
        <v>627</v>
      </c>
      <c r="BE77" s="868">
        <v>0</v>
      </c>
      <c r="BF77" s="545" t="s">
        <v>2233</v>
      </c>
      <c r="BG77" s="141">
        <v>0</v>
      </c>
      <c r="BH77" s="545" t="s">
        <v>2233</v>
      </c>
      <c r="BI77" s="141">
        <v>0</v>
      </c>
      <c r="BJ77" s="545" t="s">
        <v>2233</v>
      </c>
      <c r="BK77" s="141">
        <v>0</v>
      </c>
      <c r="BL77" s="545" t="s">
        <v>2233</v>
      </c>
      <c r="BM77" s="141">
        <v>0</v>
      </c>
      <c r="BN77" s="545" t="s">
        <v>2233</v>
      </c>
      <c r="BO77" s="141">
        <v>0</v>
      </c>
      <c r="BP77" s="2629"/>
      <c r="BQ77" s="545" t="s">
        <v>627</v>
      </c>
      <c r="BR77" s="868">
        <v>0</v>
      </c>
      <c r="BS77" s="545" t="s">
        <v>627</v>
      </c>
      <c r="BT77" s="868">
        <v>0</v>
      </c>
      <c r="BU77" s="545" t="s">
        <v>2233</v>
      </c>
      <c r="BV77" s="141">
        <v>0</v>
      </c>
      <c r="BW77" s="545" t="s">
        <v>2233</v>
      </c>
      <c r="BX77" s="141">
        <v>0</v>
      </c>
      <c r="BY77" s="545" t="s">
        <v>2233</v>
      </c>
      <c r="BZ77" s="141">
        <v>0</v>
      </c>
      <c r="CA77" s="545" t="s">
        <v>2233</v>
      </c>
      <c r="CB77" s="141">
        <v>0</v>
      </c>
      <c r="CC77" s="545" t="s">
        <v>2233</v>
      </c>
      <c r="CD77" s="144">
        <v>0</v>
      </c>
    </row>
    <row r="78" spans="1:82" s="98" customFormat="1" ht="15" customHeight="1">
      <c r="A78" s="99"/>
      <c r="B78" s="161"/>
      <c r="C78" s="185"/>
      <c r="D78" s="162"/>
      <c r="E78" s="162" t="s">
        <v>2702</v>
      </c>
      <c r="F78" s="162"/>
      <c r="G78" s="163"/>
      <c r="H78" s="163"/>
      <c r="I78" s="164" t="s">
        <v>498</v>
      </c>
      <c r="J78" s="143">
        <v>0</v>
      </c>
      <c r="K78" s="141">
        <v>0</v>
      </c>
      <c r="L78" s="141">
        <v>0</v>
      </c>
      <c r="M78" s="141">
        <v>0</v>
      </c>
      <c r="N78" s="141">
        <v>0</v>
      </c>
      <c r="O78" s="141">
        <v>0</v>
      </c>
      <c r="P78" s="141">
        <v>0</v>
      </c>
      <c r="Q78" s="144">
        <v>0</v>
      </c>
      <c r="R78" s="143">
        <v>0</v>
      </c>
      <c r="S78" s="141">
        <v>0</v>
      </c>
      <c r="T78" s="141">
        <v>0</v>
      </c>
      <c r="U78" s="141">
        <v>0</v>
      </c>
      <c r="V78" s="144">
        <v>0</v>
      </c>
      <c r="W78" s="2629"/>
      <c r="X78" s="607" t="s">
        <v>498</v>
      </c>
      <c r="Y78" s="143">
        <v>0</v>
      </c>
      <c r="Z78" s="141">
        <v>0</v>
      </c>
      <c r="AA78" s="141">
        <v>0</v>
      </c>
      <c r="AB78" s="141">
        <v>0</v>
      </c>
      <c r="AC78" s="141">
        <v>0</v>
      </c>
      <c r="AD78" s="141">
        <v>0</v>
      </c>
      <c r="AE78" s="141">
        <v>0</v>
      </c>
      <c r="AF78" s="144">
        <v>0</v>
      </c>
      <c r="AG78" s="143">
        <v>0</v>
      </c>
      <c r="AH78" s="141">
        <v>0</v>
      </c>
      <c r="AI78" s="141">
        <v>0</v>
      </c>
      <c r="AJ78" s="141">
        <v>0</v>
      </c>
      <c r="AK78" s="144">
        <v>0</v>
      </c>
      <c r="AL78" s="2629"/>
      <c r="AM78" s="607" t="s">
        <v>2233</v>
      </c>
      <c r="AN78" s="143">
        <v>0</v>
      </c>
      <c r="AO78" s="141">
        <v>0</v>
      </c>
      <c r="AP78" s="141">
        <v>0</v>
      </c>
      <c r="AQ78" s="141">
        <v>0</v>
      </c>
      <c r="AR78" s="141">
        <v>0</v>
      </c>
      <c r="AS78" s="141">
        <v>0</v>
      </c>
      <c r="AT78" s="141">
        <v>0</v>
      </c>
      <c r="AU78" s="144">
        <v>0</v>
      </c>
      <c r="AV78" s="143">
        <v>0</v>
      </c>
      <c r="AW78" s="141">
        <v>0</v>
      </c>
      <c r="AX78" s="141">
        <v>0</v>
      </c>
      <c r="AY78" s="141">
        <v>0</v>
      </c>
      <c r="AZ78" s="144">
        <v>0</v>
      </c>
      <c r="BA78" s="2629"/>
      <c r="BB78" s="545" t="s">
        <v>627</v>
      </c>
      <c r="BC78" s="868">
        <v>0</v>
      </c>
      <c r="BD78" s="545" t="s">
        <v>627</v>
      </c>
      <c r="BE78" s="868">
        <v>0</v>
      </c>
      <c r="BF78" s="545" t="s">
        <v>2233</v>
      </c>
      <c r="BG78" s="141">
        <v>0</v>
      </c>
      <c r="BH78" s="545" t="s">
        <v>2233</v>
      </c>
      <c r="BI78" s="141">
        <v>0</v>
      </c>
      <c r="BJ78" s="545" t="s">
        <v>2233</v>
      </c>
      <c r="BK78" s="141">
        <v>0</v>
      </c>
      <c r="BL78" s="545" t="s">
        <v>2233</v>
      </c>
      <c r="BM78" s="141">
        <v>0</v>
      </c>
      <c r="BN78" s="545" t="s">
        <v>2233</v>
      </c>
      <c r="BO78" s="141">
        <v>0</v>
      </c>
      <c r="BP78" s="2629"/>
      <c r="BQ78" s="545" t="s">
        <v>627</v>
      </c>
      <c r="BR78" s="868">
        <v>0</v>
      </c>
      <c r="BS78" s="545" t="s">
        <v>627</v>
      </c>
      <c r="BT78" s="868">
        <v>0</v>
      </c>
      <c r="BU78" s="545" t="s">
        <v>2233</v>
      </c>
      <c r="BV78" s="141">
        <v>0</v>
      </c>
      <c r="BW78" s="545" t="s">
        <v>2233</v>
      </c>
      <c r="BX78" s="141">
        <v>0</v>
      </c>
      <c r="BY78" s="545" t="s">
        <v>2233</v>
      </c>
      <c r="BZ78" s="141">
        <v>0</v>
      </c>
      <c r="CA78" s="545" t="s">
        <v>2233</v>
      </c>
      <c r="CB78" s="141">
        <v>0</v>
      </c>
      <c r="CC78" s="545" t="s">
        <v>2233</v>
      </c>
      <c r="CD78" s="144">
        <v>0</v>
      </c>
    </row>
    <row r="79" spans="1:82" s="98" customFormat="1" ht="15" customHeight="1">
      <c r="A79" s="99"/>
      <c r="B79" s="161"/>
      <c r="C79" s="185"/>
      <c r="D79" s="162"/>
      <c r="E79" s="162" t="s">
        <v>2703</v>
      </c>
      <c r="F79" s="162"/>
      <c r="G79" s="163"/>
      <c r="H79" s="163"/>
      <c r="I79" s="164" t="s">
        <v>498</v>
      </c>
      <c r="J79" s="143">
        <v>0</v>
      </c>
      <c r="K79" s="141">
        <v>0</v>
      </c>
      <c r="L79" s="141">
        <v>0</v>
      </c>
      <c r="M79" s="141">
        <v>0</v>
      </c>
      <c r="N79" s="141">
        <v>0</v>
      </c>
      <c r="O79" s="141">
        <v>0</v>
      </c>
      <c r="P79" s="141">
        <v>0</v>
      </c>
      <c r="Q79" s="144">
        <v>0</v>
      </c>
      <c r="R79" s="143">
        <v>0</v>
      </c>
      <c r="S79" s="141">
        <v>0</v>
      </c>
      <c r="T79" s="141">
        <v>0</v>
      </c>
      <c r="U79" s="141">
        <v>0</v>
      </c>
      <c r="V79" s="144">
        <v>0</v>
      </c>
      <c r="W79" s="2629"/>
      <c r="X79" s="607" t="s">
        <v>498</v>
      </c>
      <c r="Y79" s="143">
        <v>0</v>
      </c>
      <c r="Z79" s="141">
        <v>0</v>
      </c>
      <c r="AA79" s="141">
        <v>0</v>
      </c>
      <c r="AB79" s="141">
        <v>0</v>
      </c>
      <c r="AC79" s="141">
        <v>0</v>
      </c>
      <c r="AD79" s="141">
        <v>0</v>
      </c>
      <c r="AE79" s="141">
        <v>0</v>
      </c>
      <c r="AF79" s="144">
        <v>0</v>
      </c>
      <c r="AG79" s="143">
        <v>0</v>
      </c>
      <c r="AH79" s="141">
        <v>0</v>
      </c>
      <c r="AI79" s="141">
        <v>0</v>
      </c>
      <c r="AJ79" s="141">
        <v>0</v>
      </c>
      <c r="AK79" s="144">
        <v>0</v>
      </c>
      <c r="AL79" s="2629"/>
      <c r="AM79" s="607" t="s">
        <v>2233</v>
      </c>
      <c r="AN79" s="143">
        <v>0</v>
      </c>
      <c r="AO79" s="141">
        <v>0</v>
      </c>
      <c r="AP79" s="141">
        <v>0</v>
      </c>
      <c r="AQ79" s="141">
        <v>0</v>
      </c>
      <c r="AR79" s="141">
        <v>0</v>
      </c>
      <c r="AS79" s="141">
        <v>0</v>
      </c>
      <c r="AT79" s="141">
        <v>0</v>
      </c>
      <c r="AU79" s="144">
        <v>0</v>
      </c>
      <c r="AV79" s="143">
        <v>0</v>
      </c>
      <c r="AW79" s="141">
        <v>0</v>
      </c>
      <c r="AX79" s="141">
        <v>0</v>
      </c>
      <c r="AY79" s="141">
        <v>0</v>
      </c>
      <c r="AZ79" s="144">
        <v>0</v>
      </c>
      <c r="BA79" s="2629"/>
      <c r="BB79" s="545" t="s">
        <v>627</v>
      </c>
      <c r="BC79" s="868">
        <v>0</v>
      </c>
      <c r="BD79" s="545" t="s">
        <v>627</v>
      </c>
      <c r="BE79" s="868">
        <v>0</v>
      </c>
      <c r="BF79" s="545" t="s">
        <v>2233</v>
      </c>
      <c r="BG79" s="141">
        <v>0</v>
      </c>
      <c r="BH79" s="545" t="s">
        <v>2233</v>
      </c>
      <c r="BI79" s="141">
        <v>0</v>
      </c>
      <c r="BJ79" s="545" t="s">
        <v>2233</v>
      </c>
      <c r="BK79" s="141">
        <v>0</v>
      </c>
      <c r="BL79" s="545" t="s">
        <v>2233</v>
      </c>
      <c r="BM79" s="141">
        <v>0</v>
      </c>
      <c r="BN79" s="545" t="s">
        <v>2233</v>
      </c>
      <c r="BO79" s="141">
        <v>0</v>
      </c>
      <c r="BP79" s="2629"/>
      <c r="BQ79" s="545" t="s">
        <v>627</v>
      </c>
      <c r="BR79" s="868">
        <v>0</v>
      </c>
      <c r="BS79" s="545" t="s">
        <v>627</v>
      </c>
      <c r="BT79" s="868">
        <v>0</v>
      </c>
      <c r="BU79" s="545" t="s">
        <v>2233</v>
      </c>
      <c r="BV79" s="141">
        <v>0</v>
      </c>
      <c r="BW79" s="545" t="s">
        <v>2233</v>
      </c>
      <c r="BX79" s="141">
        <v>0</v>
      </c>
      <c r="BY79" s="545" t="s">
        <v>2233</v>
      </c>
      <c r="BZ79" s="141">
        <v>0</v>
      </c>
      <c r="CA79" s="545" t="s">
        <v>2233</v>
      </c>
      <c r="CB79" s="141">
        <v>0</v>
      </c>
      <c r="CC79" s="545" t="s">
        <v>2233</v>
      </c>
      <c r="CD79" s="144">
        <v>0</v>
      </c>
    </row>
    <row r="80" spans="1:82" s="98" customFormat="1" ht="15" customHeight="1">
      <c r="A80" s="99"/>
      <c r="B80" s="161"/>
      <c r="C80" s="185"/>
      <c r="D80" s="162"/>
      <c r="E80" s="162" t="s">
        <v>2704</v>
      </c>
      <c r="F80" s="162"/>
      <c r="G80" s="163"/>
      <c r="H80" s="163"/>
      <c r="I80" s="164" t="s">
        <v>498</v>
      </c>
      <c r="J80" s="143">
        <v>0</v>
      </c>
      <c r="K80" s="141">
        <v>0</v>
      </c>
      <c r="L80" s="141">
        <v>0</v>
      </c>
      <c r="M80" s="141">
        <v>0</v>
      </c>
      <c r="N80" s="141">
        <v>0</v>
      </c>
      <c r="O80" s="141">
        <v>0</v>
      </c>
      <c r="P80" s="141">
        <v>0</v>
      </c>
      <c r="Q80" s="144">
        <v>0</v>
      </c>
      <c r="R80" s="143">
        <v>0</v>
      </c>
      <c r="S80" s="141">
        <v>0</v>
      </c>
      <c r="T80" s="141">
        <v>0</v>
      </c>
      <c r="U80" s="141">
        <v>0</v>
      </c>
      <c r="V80" s="144">
        <v>0</v>
      </c>
      <c r="W80" s="2629"/>
      <c r="X80" s="607" t="s">
        <v>498</v>
      </c>
      <c r="Y80" s="143">
        <v>0</v>
      </c>
      <c r="Z80" s="141">
        <v>0</v>
      </c>
      <c r="AA80" s="141">
        <v>0</v>
      </c>
      <c r="AB80" s="141">
        <v>0</v>
      </c>
      <c r="AC80" s="141">
        <v>0</v>
      </c>
      <c r="AD80" s="141">
        <v>0</v>
      </c>
      <c r="AE80" s="141">
        <v>0</v>
      </c>
      <c r="AF80" s="144">
        <v>0</v>
      </c>
      <c r="AG80" s="143">
        <v>0</v>
      </c>
      <c r="AH80" s="141">
        <v>0</v>
      </c>
      <c r="AI80" s="141">
        <v>0</v>
      </c>
      <c r="AJ80" s="141">
        <v>0</v>
      </c>
      <c r="AK80" s="144">
        <v>0</v>
      </c>
      <c r="AL80" s="2629"/>
      <c r="AM80" s="607" t="s">
        <v>2233</v>
      </c>
      <c r="AN80" s="143">
        <v>0</v>
      </c>
      <c r="AO80" s="141">
        <v>0</v>
      </c>
      <c r="AP80" s="141">
        <v>0</v>
      </c>
      <c r="AQ80" s="141">
        <v>0</v>
      </c>
      <c r="AR80" s="141">
        <v>0</v>
      </c>
      <c r="AS80" s="141">
        <v>0</v>
      </c>
      <c r="AT80" s="141">
        <v>0</v>
      </c>
      <c r="AU80" s="144">
        <v>0</v>
      </c>
      <c r="AV80" s="143">
        <v>0</v>
      </c>
      <c r="AW80" s="141">
        <v>0</v>
      </c>
      <c r="AX80" s="141">
        <v>0</v>
      </c>
      <c r="AY80" s="141">
        <v>0</v>
      </c>
      <c r="AZ80" s="144">
        <v>0</v>
      </c>
      <c r="BA80" s="2629"/>
      <c r="BB80" s="545" t="s">
        <v>627</v>
      </c>
      <c r="BC80" s="868">
        <v>0</v>
      </c>
      <c r="BD80" s="545" t="s">
        <v>627</v>
      </c>
      <c r="BE80" s="868">
        <v>0</v>
      </c>
      <c r="BF80" s="545" t="s">
        <v>2233</v>
      </c>
      <c r="BG80" s="141">
        <v>0</v>
      </c>
      <c r="BH80" s="545" t="s">
        <v>2233</v>
      </c>
      <c r="BI80" s="141">
        <v>0</v>
      </c>
      <c r="BJ80" s="545" t="s">
        <v>2233</v>
      </c>
      <c r="BK80" s="141">
        <v>0</v>
      </c>
      <c r="BL80" s="545" t="s">
        <v>2233</v>
      </c>
      <c r="BM80" s="141">
        <v>0</v>
      </c>
      <c r="BN80" s="545" t="s">
        <v>2233</v>
      </c>
      <c r="BO80" s="141">
        <v>0</v>
      </c>
      <c r="BP80" s="2629"/>
      <c r="BQ80" s="545" t="s">
        <v>627</v>
      </c>
      <c r="BR80" s="868">
        <v>0</v>
      </c>
      <c r="BS80" s="545" t="s">
        <v>627</v>
      </c>
      <c r="BT80" s="868">
        <v>0</v>
      </c>
      <c r="BU80" s="545" t="s">
        <v>2233</v>
      </c>
      <c r="BV80" s="141">
        <v>0</v>
      </c>
      <c r="BW80" s="545" t="s">
        <v>2233</v>
      </c>
      <c r="BX80" s="141">
        <v>0</v>
      </c>
      <c r="BY80" s="545" t="s">
        <v>2233</v>
      </c>
      <c r="BZ80" s="141">
        <v>0</v>
      </c>
      <c r="CA80" s="545" t="s">
        <v>2233</v>
      </c>
      <c r="CB80" s="141">
        <v>0</v>
      </c>
      <c r="CC80" s="545" t="s">
        <v>2233</v>
      </c>
      <c r="CD80" s="144">
        <v>0</v>
      </c>
    </row>
    <row r="81" spans="1:82" s="98" customFormat="1" ht="15" customHeight="1">
      <c r="A81" s="99"/>
      <c r="B81" s="161"/>
      <c r="C81" s="185"/>
      <c r="D81" s="162"/>
      <c r="E81" s="162" t="s">
        <v>2705</v>
      </c>
      <c r="F81" s="162"/>
      <c r="G81" s="163"/>
      <c r="H81" s="163"/>
      <c r="I81" s="164" t="s">
        <v>498</v>
      </c>
      <c r="J81" s="143">
        <v>0</v>
      </c>
      <c r="K81" s="141">
        <v>0</v>
      </c>
      <c r="L81" s="141">
        <v>0</v>
      </c>
      <c r="M81" s="141">
        <v>0</v>
      </c>
      <c r="N81" s="141">
        <v>0</v>
      </c>
      <c r="O81" s="141">
        <v>0</v>
      </c>
      <c r="P81" s="141">
        <v>0</v>
      </c>
      <c r="Q81" s="144">
        <v>0</v>
      </c>
      <c r="R81" s="143">
        <v>0</v>
      </c>
      <c r="S81" s="141">
        <v>0</v>
      </c>
      <c r="T81" s="141">
        <v>0</v>
      </c>
      <c r="U81" s="141">
        <v>0</v>
      </c>
      <c r="V81" s="144">
        <v>0</v>
      </c>
      <c r="W81" s="2629"/>
      <c r="X81" s="607" t="s">
        <v>498</v>
      </c>
      <c r="Y81" s="143">
        <v>0</v>
      </c>
      <c r="Z81" s="141">
        <v>0</v>
      </c>
      <c r="AA81" s="141">
        <v>0</v>
      </c>
      <c r="AB81" s="141">
        <v>0</v>
      </c>
      <c r="AC81" s="141">
        <v>0</v>
      </c>
      <c r="AD81" s="141">
        <v>0</v>
      </c>
      <c r="AE81" s="141">
        <v>0</v>
      </c>
      <c r="AF81" s="144">
        <v>0</v>
      </c>
      <c r="AG81" s="143">
        <v>0</v>
      </c>
      <c r="AH81" s="141">
        <v>0</v>
      </c>
      <c r="AI81" s="141">
        <v>0</v>
      </c>
      <c r="AJ81" s="141">
        <v>0</v>
      </c>
      <c r="AK81" s="144">
        <v>0</v>
      </c>
      <c r="AL81" s="2629"/>
      <c r="AM81" s="607" t="s">
        <v>2233</v>
      </c>
      <c r="AN81" s="143">
        <v>0</v>
      </c>
      <c r="AO81" s="141">
        <v>0</v>
      </c>
      <c r="AP81" s="141">
        <v>0</v>
      </c>
      <c r="AQ81" s="141">
        <v>0</v>
      </c>
      <c r="AR81" s="141">
        <v>0</v>
      </c>
      <c r="AS81" s="141">
        <v>0</v>
      </c>
      <c r="AT81" s="141">
        <v>0</v>
      </c>
      <c r="AU81" s="144">
        <v>0</v>
      </c>
      <c r="AV81" s="143">
        <v>0</v>
      </c>
      <c r="AW81" s="141">
        <v>0</v>
      </c>
      <c r="AX81" s="141">
        <v>0</v>
      </c>
      <c r="AY81" s="141">
        <v>0</v>
      </c>
      <c r="AZ81" s="144">
        <v>0</v>
      </c>
      <c r="BA81" s="2629"/>
      <c r="BB81" s="545" t="s">
        <v>627</v>
      </c>
      <c r="BC81" s="868">
        <v>0</v>
      </c>
      <c r="BD81" s="545" t="s">
        <v>627</v>
      </c>
      <c r="BE81" s="868">
        <v>0</v>
      </c>
      <c r="BF81" s="545" t="s">
        <v>2233</v>
      </c>
      <c r="BG81" s="141">
        <v>0</v>
      </c>
      <c r="BH81" s="545" t="s">
        <v>2233</v>
      </c>
      <c r="BI81" s="141">
        <v>0</v>
      </c>
      <c r="BJ81" s="545" t="s">
        <v>2233</v>
      </c>
      <c r="BK81" s="141">
        <v>0</v>
      </c>
      <c r="BL81" s="545" t="s">
        <v>2233</v>
      </c>
      <c r="BM81" s="141">
        <v>0</v>
      </c>
      <c r="BN81" s="545" t="s">
        <v>2233</v>
      </c>
      <c r="BO81" s="141">
        <v>0</v>
      </c>
      <c r="BP81" s="2629"/>
      <c r="BQ81" s="545" t="s">
        <v>627</v>
      </c>
      <c r="BR81" s="868">
        <v>0</v>
      </c>
      <c r="BS81" s="545" t="s">
        <v>627</v>
      </c>
      <c r="BT81" s="868">
        <v>0</v>
      </c>
      <c r="BU81" s="545" t="s">
        <v>2233</v>
      </c>
      <c r="BV81" s="141">
        <v>0</v>
      </c>
      <c r="BW81" s="545" t="s">
        <v>2233</v>
      </c>
      <c r="BX81" s="141">
        <v>0</v>
      </c>
      <c r="BY81" s="545" t="s">
        <v>2233</v>
      </c>
      <c r="BZ81" s="141">
        <v>0</v>
      </c>
      <c r="CA81" s="545" t="s">
        <v>2233</v>
      </c>
      <c r="CB81" s="141">
        <v>0</v>
      </c>
      <c r="CC81" s="545" t="s">
        <v>2233</v>
      </c>
      <c r="CD81" s="144">
        <v>0</v>
      </c>
    </row>
    <row r="82" spans="1:82" s="98" customFormat="1" ht="15" customHeight="1">
      <c r="A82" s="99"/>
      <c r="B82" s="161"/>
      <c r="C82" s="185"/>
      <c r="D82" s="162"/>
      <c r="E82" s="162" t="s">
        <v>2706</v>
      </c>
      <c r="F82" s="162"/>
      <c r="G82" s="163"/>
      <c r="H82" s="163"/>
      <c r="I82" s="164" t="s">
        <v>498</v>
      </c>
      <c r="J82" s="143">
        <v>0</v>
      </c>
      <c r="K82" s="141">
        <v>0</v>
      </c>
      <c r="L82" s="141">
        <v>0</v>
      </c>
      <c r="M82" s="141">
        <v>0</v>
      </c>
      <c r="N82" s="141">
        <v>0</v>
      </c>
      <c r="O82" s="141">
        <v>0</v>
      </c>
      <c r="P82" s="141">
        <v>0</v>
      </c>
      <c r="Q82" s="144">
        <v>0</v>
      </c>
      <c r="R82" s="143">
        <v>0</v>
      </c>
      <c r="S82" s="141">
        <v>0</v>
      </c>
      <c r="T82" s="141">
        <v>0</v>
      </c>
      <c r="U82" s="141">
        <v>0</v>
      </c>
      <c r="V82" s="144">
        <v>0</v>
      </c>
      <c r="W82" s="2629"/>
      <c r="X82" s="607" t="s">
        <v>498</v>
      </c>
      <c r="Y82" s="143">
        <v>0</v>
      </c>
      <c r="Z82" s="141">
        <v>0</v>
      </c>
      <c r="AA82" s="141">
        <v>0</v>
      </c>
      <c r="AB82" s="141">
        <v>0</v>
      </c>
      <c r="AC82" s="141">
        <v>0</v>
      </c>
      <c r="AD82" s="141">
        <v>0</v>
      </c>
      <c r="AE82" s="141">
        <v>0</v>
      </c>
      <c r="AF82" s="144">
        <v>0</v>
      </c>
      <c r="AG82" s="143">
        <v>0</v>
      </c>
      <c r="AH82" s="141">
        <v>0</v>
      </c>
      <c r="AI82" s="141">
        <v>0</v>
      </c>
      <c r="AJ82" s="141">
        <v>0</v>
      </c>
      <c r="AK82" s="144">
        <v>0</v>
      </c>
      <c r="AL82" s="2629"/>
      <c r="AM82" s="607" t="s">
        <v>2233</v>
      </c>
      <c r="AN82" s="143">
        <v>0</v>
      </c>
      <c r="AO82" s="141">
        <v>0</v>
      </c>
      <c r="AP82" s="141">
        <v>0</v>
      </c>
      <c r="AQ82" s="141">
        <v>0</v>
      </c>
      <c r="AR82" s="141">
        <v>0</v>
      </c>
      <c r="AS82" s="141">
        <v>0</v>
      </c>
      <c r="AT82" s="141">
        <v>0</v>
      </c>
      <c r="AU82" s="144">
        <v>0</v>
      </c>
      <c r="AV82" s="143">
        <v>0</v>
      </c>
      <c r="AW82" s="141">
        <v>0</v>
      </c>
      <c r="AX82" s="141">
        <v>0</v>
      </c>
      <c r="AY82" s="141">
        <v>0</v>
      </c>
      <c r="AZ82" s="144">
        <v>0</v>
      </c>
      <c r="BA82" s="2629"/>
      <c r="BB82" s="545" t="s">
        <v>627</v>
      </c>
      <c r="BC82" s="868">
        <v>0</v>
      </c>
      <c r="BD82" s="545" t="s">
        <v>627</v>
      </c>
      <c r="BE82" s="868">
        <v>0</v>
      </c>
      <c r="BF82" s="545" t="s">
        <v>2233</v>
      </c>
      <c r="BG82" s="141">
        <v>0</v>
      </c>
      <c r="BH82" s="545" t="s">
        <v>2233</v>
      </c>
      <c r="BI82" s="141">
        <v>0</v>
      </c>
      <c r="BJ82" s="545" t="s">
        <v>2233</v>
      </c>
      <c r="BK82" s="141">
        <v>0</v>
      </c>
      <c r="BL82" s="545" t="s">
        <v>2233</v>
      </c>
      <c r="BM82" s="141">
        <v>0</v>
      </c>
      <c r="BN82" s="545" t="s">
        <v>2233</v>
      </c>
      <c r="BO82" s="141">
        <v>0</v>
      </c>
      <c r="BP82" s="2629"/>
      <c r="BQ82" s="545" t="s">
        <v>627</v>
      </c>
      <c r="BR82" s="868">
        <v>0</v>
      </c>
      <c r="BS82" s="545" t="s">
        <v>627</v>
      </c>
      <c r="BT82" s="868">
        <v>0</v>
      </c>
      <c r="BU82" s="545" t="s">
        <v>2233</v>
      </c>
      <c r="BV82" s="141">
        <v>0</v>
      </c>
      <c r="BW82" s="545" t="s">
        <v>2233</v>
      </c>
      <c r="BX82" s="141">
        <v>0</v>
      </c>
      <c r="BY82" s="545" t="s">
        <v>2233</v>
      </c>
      <c r="BZ82" s="141">
        <v>0</v>
      </c>
      <c r="CA82" s="545" t="s">
        <v>2233</v>
      </c>
      <c r="CB82" s="141">
        <v>0</v>
      </c>
      <c r="CC82" s="545" t="s">
        <v>2233</v>
      </c>
      <c r="CD82" s="144">
        <v>0</v>
      </c>
    </row>
    <row r="83" spans="1:82" s="98" customFormat="1" ht="15" customHeight="1">
      <c r="A83" s="99"/>
      <c r="B83" s="161"/>
      <c r="C83" s="185"/>
      <c r="D83" s="162"/>
      <c r="E83" s="162" t="s">
        <v>2707</v>
      </c>
      <c r="F83" s="162"/>
      <c r="G83" s="163"/>
      <c r="H83" s="163"/>
      <c r="I83" s="164" t="s">
        <v>498</v>
      </c>
      <c r="J83" s="143">
        <v>0</v>
      </c>
      <c r="K83" s="141">
        <v>0</v>
      </c>
      <c r="L83" s="141">
        <v>0</v>
      </c>
      <c r="M83" s="141">
        <v>0</v>
      </c>
      <c r="N83" s="141">
        <v>0</v>
      </c>
      <c r="O83" s="141">
        <v>0</v>
      </c>
      <c r="P83" s="141">
        <v>0</v>
      </c>
      <c r="Q83" s="144">
        <v>0</v>
      </c>
      <c r="R83" s="143">
        <v>0</v>
      </c>
      <c r="S83" s="141">
        <v>0</v>
      </c>
      <c r="T83" s="141">
        <v>0</v>
      </c>
      <c r="U83" s="141">
        <v>0</v>
      </c>
      <c r="V83" s="144">
        <v>0</v>
      </c>
      <c r="W83" s="2629"/>
      <c r="X83" s="607" t="s">
        <v>498</v>
      </c>
      <c r="Y83" s="143">
        <v>0</v>
      </c>
      <c r="Z83" s="141">
        <v>0</v>
      </c>
      <c r="AA83" s="141">
        <v>0</v>
      </c>
      <c r="AB83" s="141">
        <v>0</v>
      </c>
      <c r="AC83" s="141">
        <v>0</v>
      </c>
      <c r="AD83" s="141">
        <v>0</v>
      </c>
      <c r="AE83" s="141">
        <v>0</v>
      </c>
      <c r="AF83" s="144">
        <v>0</v>
      </c>
      <c r="AG83" s="143">
        <v>0</v>
      </c>
      <c r="AH83" s="141">
        <v>0</v>
      </c>
      <c r="AI83" s="141">
        <v>0</v>
      </c>
      <c r="AJ83" s="141">
        <v>0</v>
      </c>
      <c r="AK83" s="144">
        <v>0</v>
      </c>
      <c r="AL83" s="2629"/>
      <c r="AM83" s="607" t="s">
        <v>2233</v>
      </c>
      <c r="AN83" s="143">
        <v>0</v>
      </c>
      <c r="AO83" s="141">
        <v>0</v>
      </c>
      <c r="AP83" s="141">
        <v>0</v>
      </c>
      <c r="AQ83" s="141">
        <v>0</v>
      </c>
      <c r="AR83" s="141">
        <v>0</v>
      </c>
      <c r="AS83" s="141">
        <v>0</v>
      </c>
      <c r="AT83" s="141">
        <v>0</v>
      </c>
      <c r="AU83" s="144">
        <v>0</v>
      </c>
      <c r="AV83" s="143">
        <v>0</v>
      </c>
      <c r="AW83" s="141">
        <v>0</v>
      </c>
      <c r="AX83" s="141">
        <v>0</v>
      </c>
      <c r="AY83" s="141">
        <v>0</v>
      </c>
      <c r="AZ83" s="144">
        <v>0</v>
      </c>
      <c r="BA83" s="2629"/>
      <c r="BB83" s="545" t="s">
        <v>627</v>
      </c>
      <c r="BC83" s="868">
        <v>0</v>
      </c>
      <c r="BD83" s="545" t="s">
        <v>627</v>
      </c>
      <c r="BE83" s="868">
        <v>0</v>
      </c>
      <c r="BF83" s="545" t="s">
        <v>2233</v>
      </c>
      <c r="BG83" s="141">
        <v>0</v>
      </c>
      <c r="BH83" s="545" t="s">
        <v>2233</v>
      </c>
      <c r="BI83" s="141">
        <v>0</v>
      </c>
      <c r="BJ83" s="545" t="s">
        <v>2233</v>
      </c>
      <c r="BK83" s="141">
        <v>0</v>
      </c>
      <c r="BL83" s="545" t="s">
        <v>2233</v>
      </c>
      <c r="BM83" s="141">
        <v>0</v>
      </c>
      <c r="BN83" s="545" t="s">
        <v>2233</v>
      </c>
      <c r="BO83" s="141">
        <v>0</v>
      </c>
      <c r="BP83" s="2629"/>
      <c r="BQ83" s="545" t="s">
        <v>627</v>
      </c>
      <c r="BR83" s="868">
        <v>0</v>
      </c>
      <c r="BS83" s="545" t="s">
        <v>627</v>
      </c>
      <c r="BT83" s="868">
        <v>0</v>
      </c>
      <c r="BU83" s="545" t="s">
        <v>2233</v>
      </c>
      <c r="BV83" s="141">
        <v>0</v>
      </c>
      <c r="BW83" s="545" t="s">
        <v>2233</v>
      </c>
      <c r="BX83" s="141">
        <v>0</v>
      </c>
      <c r="BY83" s="545" t="s">
        <v>2233</v>
      </c>
      <c r="BZ83" s="141">
        <v>0</v>
      </c>
      <c r="CA83" s="545" t="s">
        <v>2233</v>
      </c>
      <c r="CB83" s="141">
        <v>0</v>
      </c>
      <c r="CC83" s="545" t="s">
        <v>2233</v>
      </c>
      <c r="CD83" s="144">
        <v>0</v>
      </c>
    </row>
    <row r="84" spans="1:82" s="98" customFormat="1" ht="15" customHeight="1">
      <c r="A84" s="99"/>
      <c r="B84" s="161"/>
      <c r="C84" s="185"/>
      <c r="D84" s="162"/>
      <c r="E84" s="162" t="s">
        <v>2708</v>
      </c>
      <c r="F84" s="162"/>
      <c r="G84" s="163"/>
      <c r="H84" s="163"/>
      <c r="I84" s="164" t="s">
        <v>498</v>
      </c>
      <c r="J84" s="143">
        <v>0</v>
      </c>
      <c r="K84" s="141">
        <v>0</v>
      </c>
      <c r="L84" s="141">
        <v>0</v>
      </c>
      <c r="M84" s="141">
        <v>0</v>
      </c>
      <c r="N84" s="141">
        <v>0</v>
      </c>
      <c r="O84" s="141">
        <v>0</v>
      </c>
      <c r="P84" s="141">
        <v>0</v>
      </c>
      <c r="Q84" s="144">
        <v>0</v>
      </c>
      <c r="R84" s="143">
        <v>0</v>
      </c>
      <c r="S84" s="141">
        <v>0</v>
      </c>
      <c r="T84" s="141">
        <v>0</v>
      </c>
      <c r="U84" s="141">
        <v>0</v>
      </c>
      <c r="V84" s="144">
        <v>0</v>
      </c>
      <c r="W84" s="2629"/>
      <c r="X84" s="607" t="s">
        <v>498</v>
      </c>
      <c r="Y84" s="143">
        <v>0</v>
      </c>
      <c r="Z84" s="141">
        <v>0</v>
      </c>
      <c r="AA84" s="141">
        <v>0</v>
      </c>
      <c r="AB84" s="141">
        <v>0</v>
      </c>
      <c r="AC84" s="141">
        <v>0</v>
      </c>
      <c r="AD84" s="141">
        <v>0</v>
      </c>
      <c r="AE84" s="141">
        <v>0</v>
      </c>
      <c r="AF84" s="144">
        <v>0</v>
      </c>
      <c r="AG84" s="143">
        <v>0</v>
      </c>
      <c r="AH84" s="141">
        <v>0</v>
      </c>
      <c r="AI84" s="141">
        <v>0</v>
      </c>
      <c r="AJ84" s="141">
        <v>0</v>
      </c>
      <c r="AK84" s="144">
        <v>0</v>
      </c>
      <c r="AL84" s="2629"/>
      <c r="AM84" s="607" t="s">
        <v>2233</v>
      </c>
      <c r="AN84" s="143">
        <v>0</v>
      </c>
      <c r="AO84" s="141">
        <v>0</v>
      </c>
      <c r="AP84" s="141">
        <v>0</v>
      </c>
      <c r="AQ84" s="141">
        <v>0</v>
      </c>
      <c r="AR84" s="141">
        <v>0</v>
      </c>
      <c r="AS84" s="141">
        <v>0</v>
      </c>
      <c r="AT84" s="141">
        <v>0</v>
      </c>
      <c r="AU84" s="144">
        <v>0</v>
      </c>
      <c r="AV84" s="143">
        <v>0</v>
      </c>
      <c r="AW84" s="141">
        <v>0</v>
      </c>
      <c r="AX84" s="141">
        <v>0</v>
      </c>
      <c r="AY84" s="141">
        <v>0</v>
      </c>
      <c r="AZ84" s="144">
        <v>0</v>
      </c>
      <c r="BA84" s="2629"/>
      <c r="BB84" s="545" t="s">
        <v>627</v>
      </c>
      <c r="BC84" s="868">
        <v>0</v>
      </c>
      <c r="BD84" s="545" t="s">
        <v>627</v>
      </c>
      <c r="BE84" s="868">
        <v>0</v>
      </c>
      <c r="BF84" s="545" t="s">
        <v>2233</v>
      </c>
      <c r="BG84" s="141">
        <v>0</v>
      </c>
      <c r="BH84" s="545" t="s">
        <v>2233</v>
      </c>
      <c r="BI84" s="141">
        <v>0</v>
      </c>
      <c r="BJ84" s="545" t="s">
        <v>2233</v>
      </c>
      <c r="BK84" s="141">
        <v>0</v>
      </c>
      <c r="BL84" s="545" t="s">
        <v>2233</v>
      </c>
      <c r="BM84" s="141">
        <v>0</v>
      </c>
      <c r="BN84" s="545" t="s">
        <v>2233</v>
      </c>
      <c r="BO84" s="141">
        <v>0</v>
      </c>
      <c r="BP84" s="2629"/>
      <c r="BQ84" s="545" t="s">
        <v>627</v>
      </c>
      <c r="BR84" s="868">
        <v>0</v>
      </c>
      <c r="BS84" s="545" t="s">
        <v>627</v>
      </c>
      <c r="BT84" s="868">
        <v>0</v>
      </c>
      <c r="BU84" s="545" t="s">
        <v>2233</v>
      </c>
      <c r="BV84" s="141">
        <v>0</v>
      </c>
      <c r="BW84" s="545" t="s">
        <v>2233</v>
      </c>
      <c r="BX84" s="141">
        <v>0</v>
      </c>
      <c r="BY84" s="545" t="s">
        <v>2233</v>
      </c>
      <c r="BZ84" s="141">
        <v>0</v>
      </c>
      <c r="CA84" s="545" t="s">
        <v>2233</v>
      </c>
      <c r="CB84" s="141">
        <v>0</v>
      </c>
      <c r="CC84" s="545" t="s">
        <v>2233</v>
      </c>
      <c r="CD84" s="144">
        <v>0</v>
      </c>
    </row>
    <row r="85" spans="1:82" s="98" customFormat="1" ht="15" customHeight="1">
      <c r="A85" s="99"/>
      <c r="B85" s="161"/>
      <c r="C85" s="185"/>
      <c r="D85" s="162" t="s">
        <v>1710</v>
      </c>
      <c r="E85" s="162"/>
      <c r="F85" s="162"/>
      <c r="G85" s="163"/>
      <c r="H85" s="163"/>
      <c r="I85" s="164" t="s">
        <v>498</v>
      </c>
      <c r="J85" s="641">
        <f>SUM(J77:J84)</f>
        <v>0</v>
      </c>
      <c r="K85" s="642">
        <f t="shared" ref="K85:V85" si="22">SUM(K77:K84)</f>
        <v>0</v>
      </c>
      <c r="L85" s="642">
        <f t="shared" si="22"/>
        <v>0</v>
      </c>
      <c r="M85" s="642">
        <f t="shared" si="22"/>
        <v>0</v>
      </c>
      <c r="N85" s="642">
        <f t="shared" si="22"/>
        <v>0</v>
      </c>
      <c r="O85" s="642">
        <f t="shared" si="22"/>
        <v>0</v>
      </c>
      <c r="P85" s="642">
        <f t="shared" si="22"/>
        <v>0</v>
      </c>
      <c r="Q85" s="643">
        <f t="shared" si="22"/>
        <v>0</v>
      </c>
      <c r="R85" s="641">
        <f t="shared" si="22"/>
        <v>0</v>
      </c>
      <c r="S85" s="642">
        <f t="shared" si="22"/>
        <v>0</v>
      </c>
      <c r="T85" s="642">
        <f t="shared" si="22"/>
        <v>0</v>
      </c>
      <c r="U85" s="642">
        <f t="shared" si="22"/>
        <v>0</v>
      </c>
      <c r="V85" s="643">
        <f t="shared" si="22"/>
        <v>0</v>
      </c>
      <c r="W85" s="2629"/>
      <c r="X85" s="607" t="s">
        <v>498</v>
      </c>
      <c r="Y85" s="641">
        <f>SUM(Y77:Y84)</f>
        <v>0</v>
      </c>
      <c r="Z85" s="642">
        <f t="shared" ref="Z85:AK85" si="23">SUM(Z77:Z84)</f>
        <v>0</v>
      </c>
      <c r="AA85" s="642">
        <f t="shared" si="23"/>
        <v>0</v>
      </c>
      <c r="AB85" s="642">
        <f t="shared" si="23"/>
        <v>0</v>
      </c>
      <c r="AC85" s="642">
        <f t="shared" si="23"/>
        <v>0</v>
      </c>
      <c r="AD85" s="642">
        <f t="shared" si="23"/>
        <v>0</v>
      </c>
      <c r="AE85" s="642">
        <f t="shared" si="23"/>
        <v>0</v>
      </c>
      <c r="AF85" s="643">
        <f t="shared" si="23"/>
        <v>0</v>
      </c>
      <c r="AG85" s="641">
        <f t="shared" si="23"/>
        <v>0</v>
      </c>
      <c r="AH85" s="642">
        <f t="shared" si="23"/>
        <v>0</v>
      </c>
      <c r="AI85" s="642">
        <f t="shared" si="23"/>
        <v>0</v>
      </c>
      <c r="AJ85" s="642">
        <f t="shared" si="23"/>
        <v>0</v>
      </c>
      <c r="AK85" s="643">
        <f t="shared" si="23"/>
        <v>0</v>
      </c>
      <c r="AL85" s="2629"/>
      <c r="AM85" s="607" t="s">
        <v>2233</v>
      </c>
      <c r="AN85" s="641">
        <f>SUM(AN77:AN84)</f>
        <v>0</v>
      </c>
      <c r="AO85" s="642">
        <f t="shared" ref="AO85:AZ85" si="24">SUM(AO77:AO84)</f>
        <v>0</v>
      </c>
      <c r="AP85" s="642">
        <f t="shared" si="24"/>
        <v>0</v>
      </c>
      <c r="AQ85" s="642">
        <f t="shared" si="24"/>
        <v>0</v>
      </c>
      <c r="AR85" s="642">
        <f t="shared" si="24"/>
        <v>0</v>
      </c>
      <c r="AS85" s="642">
        <f t="shared" si="24"/>
        <v>0</v>
      </c>
      <c r="AT85" s="642">
        <f t="shared" si="24"/>
        <v>0</v>
      </c>
      <c r="AU85" s="643">
        <f t="shared" si="24"/>
        <v>0</v>
      </c>
      <c r="AV85" s="641">
        <f t="shared" si="24"/>
        <v>0</v>
      </c>
      <c r="AW85" s="642">
        <f t="shared" si="24"/>
        <v>0</v>
      </c>
      <c r="AX85" s="642">
        <f t="shared" si="24"/>
        <v>0</v>
      </c>
      <c r="AY85" s="642">
        <f t="shared" si="24"/>
        <v>0</v>
      </c>
      <c r="AZ85" s="643">
        <f t="shared" si="24"/>
        <v>0</v>
      </c>
      <c r="BA85" s="2629"/>
      <c r="BB85" s="542"/>
      <c r="BC85" s="542"/>
      <c r="BD85" s="542"/>
      <c r="BE85" s="542"/>
      <c r="BF85" s="545" t="s">
        <v>2233</v>
      </c>
      <c r="BG85" s="642">
        <f>SUM(BG77:BG84)</f>
        <v>0</v>
      </c>
      <c r="BH85" s="545" t="s">
        <v>2233</v>
      </c>
      <c r="BI85" s="642">
        <f>SUM(BI77:BI84)</f>
        <v>0</v>
      </c>
      <c r="BJ85" s="545" t="s">
        <v>2233</v>
      </c>
      <c r="BK85" s="642">
        <f>SUM(BK77:BK84)</f>
        <v>0</v>
      </c>
      <c r="BL85" s="545" t="s">
        <v>2233</v>
      </c>
      <c r="BM85" s="642">
        <f>SUM(BM77:BM84)</f>
        <v>0</v>
      </c>
      <c r="BN85" s="545" t="s">
        <v>2233</v>
      </c>
      <c r="BO85" s="642">
        <f>SUM(BO77:BO84)</f>
        <v>0</v>
      </c>
      <c r="BP85" s="2629"/>
      <c r="BQ85" s="542"/>
      <c r="BR85" s="542"/>
      <c r="BS85" s="542"/>
      <c r="BT85" s="542"/>
      <c r="BU85" s="545" t="s">
        <v>2233</v>
      </c>
      <c r="BV85" s="642">
        <f>SUM(BV77:BV84)</f>
        <v>0</v>
      </c>
      <c r="BW85" s="545" t="s">
        <v>2233</v>
      </c>
      <c r="BX85" s="642">
        <f>SUM(BX77:BX84)</f>
        <v>0</v>
      </c>
      <c r="BY85" s="545" t="s">
        <v>2233</v>
      </c>
      <c r="BZ85" s="642">
        <f>SUM(BZ77:BZ84)</f>
        <v>0</v>
      </c>
      <c r="CA85" s="545" t="s">
        <v>2233</v>
      </c>
      <c r="CB85" s="642">
        <f>SUM(CB77:CB84)</f>
        <v>0</v>
      </c>
      <c r="CC85" s="545" t="s">
        <v>2233</v>
      </c>
      <c r="CD85" s="643">
        <f>SUM(CD77:CD84)</f>
        <v>0</v>
      </c>
    </row>
    <row r="86" spans="1:82" s="98" customFormat="1" ht="15" customHeight="1">
      <c r="A86" s="99"/>
      <c r="B86" s="123"/>
      <c r="C86" s="127"/>
      <c r="D86" s="127"/>
      <c r="E86" s="127"/>
      <c r="F86" s="127"/>
      <c r="G86" s="117"/>
      <c r="H86" s="117"/>
      <c r="I86" s="117"/>
      <c r="J86" s="159"/>
      <c r="K86" s="94"/>
      <c r="L86" s="94"/>
      <c r="M86" s="94"/>
      <c r="N86" s="94"/>
      <c r="O86" s="94"/>
      <c r="P86" s="94"/>
      <c r="Q86" s="160"/>
      <c r="R86" s="159"/>
      <c r="S86" s="94"/>
      <c r="T86" s="94"/>
      <c r="U86" s="94"/>
      <c r="V86" s="160"/>
      <c r="W86" s="2629"/>
      <c r="X86" s="94"/>
      <c r="Y86" s="159"/>
      <c r="Z86" s="94"/>
      <c r="AA86" s="94"/>
      <c r="AB86" s="94"/>
      <c r="AC86" s="94"/>
      <c r="AD86" s="94"/>
      <c r="AE86" s="94"/>
      <c r="AF86" s="160"/>
      <c r="AG86" s="159"/>
      <c r="AH86" s="94"/>
      <c r="AI86" s="94"/>
      <c r="AJ86" s="94"/>
      <c r="AK86" s="160"/>
      <c r="AL86" s="2629"/>
      <c r="AM86" s="94"/>
      <c r="AN86" s="159"/>
      <c r="AO86" s="94"/>
      <c r="AP86" s="94"/>
      <c r="AQ86" s="94"/>
      <c r="AR86" s="94"/>
      <c r="AS86" s="94"/>
      <c r="AT86" s="94"/>
      <c r="AU86" s="160"/>
      <c r="AV86" s="159"/>
      <c r="AW86" s="94"/>
      <c r="AX86" s="94"/>
      <c r="AY86" s="94"/>
      <c r="AZ86" s="160"/>
      <c r="BA86" s="2629"/>
      <c r="BB86" s="542"/>
      <c r="BC86" s="542"/>
      <c r="BD86" s="542"/>
      <c r="BE86" s="542"/>
      <c r="BF86" s="542"/>
      <c r="BG86" s="542"/>
      <c r="BH86" s="542"/>
      <c r="BI86" s="542"/>
      <c r="BJ86" s="542"/>
      <c r="BK86" s="542"/>
      <c r="BL86" s="542"/>
      <c r="BM86" s="542"/>
      <c r="BN86" s="542"/>
      <c r="BO86" s="542"/>
      <c r="BP86" s="2629"/>
      <c r="BQ86" s="542"/>
      <c r="BR86" s="542"/>
      <c r="BS86" s="542"/>
      <c r="BT86" s="542"/>
      <c r="BU86" s="542"/>
      <c r="BV86" s="542"/>
      <c r="BW86" s="542"/>
      <c r="BX86" s="542"/>
      <c r="BY86" s="542"/>
      <c r="BZ86" s="542"/>
      <c r="CA86" s="542"/>
      <c r="CB86" s="542"/>
      <c r="CC86" s="542"/>
      <c r="CD86" s="544"/>
    </row>
    <row r="87" spans="1:82" s="98" customFormat="1" ht="15" customHeight="1">
      <c r="A87" s="99"/>
      <c r="B87" s="161"/>
      <c r="C87" s="185"/>
      <c r="D87" s="116" t="s">
        <v>2748</v>
      </c>
      <c r="E87" s="116"/>
      <c r="F87" s="116"/>
      <c r="G87" s="117"/>
      <c r="H87" s="117"/>
      <c r="I87" s="117"/>
      <c r="J87" s="159"/>
      <c r="K87" s="94"/>
      <c r="L87" s="94"/>
      <c r="M87" s="94"/>
      <c r="N87" s="94"/>
      <c r="O87" s="94"/>
      <c r="P87" s="94"/>
      <c r="Q87" s="160"/>
      <c r="R87" s="159"/>
      <c r="S87" s="94"/>
      <c r="T87" s="94"/>
      <c r="U87" s="94"/>
      <c r="V87" s="160"/>
      <c r="W87" s="2629"/>
      <c r="X87" s="94"/>
      <c r="Y87" s="159"/>
      <c r="Z87" s="94"/>
      <c r="AA87" s="94"/>
      <c r="AB87" s="94"/>
      <c r="AC87" s="94"/>
      <c r="AD87" s="94"/>
      <c r="AE87" s="94"/>
      <c r="AF87" s="160"/>
      <c r="AG87" s="159"/>
      <c r="AH87" s="94"/>
      <c r="AI87" s="94"/>
      <c r="AJ87" s="94"/>
      <c r="AK87" s="160"/>
      <c r="AL87" s="2629"/>
      <c r="AM87" s="94"/>
      <c r="AN87" s="159"/>
      <c r="AO87" s="94"/>
      <c r="AP87" s="94"/>
      <c r="AQ87" s="94"/>
      <c r="AR87" s="94"/>
      <c r="AS87" s="94"/>
      <c r="AT87" s="94"/>
      <c r="AU87" s="160"/>
      <c r="AV87" s="159"/>
      <c r="AW87" s="94"/>
      <c r="AX87" s="94"/>
      <c r="AY87" s="94"/>
      <c r="AZ87" s="160"/>
      <c r="BA87" s="2629"/>
      <c r="BB87" s="542"/>
      <c r="BC87" s="542"/>
      <c r="BD87" s="542"/>
      <c r="BE87" s="542"/>
      <c r="BF87" s="542"/>
      <c r="BG87" s="542"/>
      <c r="BH87" s="542"/>
      <c r="BI87" s="542"/>
      <c r="BJ87" s="542"/>
      <c r="BK87" s="542"/>
      <c r="BL87" s="542"/>
      <c r="BM87" s="542"/>
      <c r="BN87" s="542"/>
      <c r="BO87" s="542"/>
      <c r="BP87" s="2629"/>
      <c r="BQ87" s="542"/>
      <c r="BR87" s="542"/>
      <c r="BS87" s="542"/>
      <c r="BT87" s="542"/>
      <c r="BU87" s="542"/>
      <c r="BV87" s="542"/>
      <c r="BW87" s="542"/>
      <c r="BX87" s="542"/>
      <c r="BY87" s="542"/>
      <c r="BZ87" s="542"/>
      <c r="CA87" s="542"/>
      <c r="CB87" s="542"/>
      <c r="CC87" s="542"/>
      <c r="CD87" s="544"/>
    </row>
    <row r="88" spans="1:82" s="98" customFormat="1" ht="15" customHeight="1">
      <c r="A88" s="99"/>
      <c r="B88" s="161"/>
      <c r="C88" s="185"/>
      <c r="D88" s="162"/>
      <c r="E88" s="162" t="s">
        <v>2701</v>
      </c>
      <c r="F88" s="162"/>
      <c r="G88" s="163"/>
      <c r="H88" s="163"/>
      <c r="I88" s="164" t="s">
        <v>498</v>
      </c>
      <c r="J88" s="143">
        <v>0</v>
      </c>
      <c r="K88" s="141">
        <v>0</v>
      </c>
      <c r="L88" s="141">
        <v>0</v>
      </c>
      <c r="M88" s="141">
        <v>0</v>
      </c>
      <c r="N88" s="141">
        <v>0</v>
      </c>
      <c r="O88" s="141">
        <v>0</v>
      </c>
      <c r="P88" s="141">
        <v>0</v>
      </c>
      <c r="Q88" s="144">
        <v>0</v>
      </c>
      <c r="R88" s="143">
        <v>0</v>
      </c>
      <c r="S88" s="141">
        <v>0</v>
      </c>
      <c r="T88" s="141">
        <v>0</v>
      </c>
      <c r="U88" s="141">
        <v>0</v>
      </c>
      <c r="V88" s="144">
        <v>0</v>
      </c>
      <c r="W88" s="2629"/>
      <c r="X88" s="607" t="s">
        <v>498</v>
      </c>
      <c r="Y88" s="143">
        <v>0</v>
      </c>
      <c r="Z88" s="141">
        <v>0</v>
      </c>
      <c r="AA88" s="141">
        <v>0</v>
      </c>
      <c r="AB88" s="141">
        <v>0</v>
      </c>
      <c r="AC88" s="141">
        <v>0</v>
      </c>
      <c r="AD88" s="141">
        <v>0</v>
      </c>
      <c r="AE88" s="141">
        <v>0</v>
      </c>
      <c r="AF88" s="144">
        <v>0</v>
      </c>
      <c r="AG88" s="143">
        <v>0</v>
      </c>
      <c r="AH88" s="141">
        <v>0</v>
      </c>
      <c r="AI88" s="141">
        <v>0</v>
      </c>
      <c r="AJ88" s="141">
        <v>0</v>
      </c>
      <c r="AK88" s="144">
        <v>0</v>
      </c>
      <c r="AL88" s="2629"/>
      <c r="AM88" s="607" t="s">
        <v>2233</v>
      </c>
      <c r="AN88" s="143">
        <v>0</v>
      </c>
      <c r="AO88" s="141">
        <v>0</v>
      </c>
      <c r="AP88" s="141">
        <v>0</v>
      </c>
      <c r="AQ88" s="141">
        <v>0</v>
      </c>
      <c r="AR88" s="141">
        <v>0</v>
      </c>
      <c r="AS88" s="141">
        <v>0</v>
      </c>
      <c r="AT88" s="141">
        <v>0</v>
      </c>
      <c r="AU88" s="144">
        <v>0</v>
      </c>
      <c r="AV88" s="143">
        <v>0</v>
      </c>
      <c r="AW88" s="141">
        <v>0</v>
      </c>
      <c r="AX88" s="141">
        <v>0</v>
      </c>
      <c r="AY88" s="141">
        <v>0</v>
      </c>
      <c r="AZ88" s="144">
        <v>0</v>
      </c>
      <c r="BA88" s="2629"/>
      <c r="BB88" s="545" t="s">
        <v>627</v>
      </c>
      <c r="BC88" s="868">
        <v>0</v>
      </c>
      <c r="BD88" s="545" t="s">
        <v>627</v>
      </c>
      <c r="BE88" s="868">
        <v>0</v>
      </c>
      <c r="BF88" s="545" t="s">
        <v>2233</v>
      </c>
      <c r="BG88" s="141">
        <v>0</v>
      </c>
      <c r="BH88" s="545" t="s">
        <v>2233</v>
      </c>
      <c r="BI88" s="141">
        <v>0</v>
      </c>
      <c r="BJ88" s="545" t="s">
        <v>2233</v>
      </c>
      <c r="BK88" s="141">
        <v>0</v>
      </c>
      <c r="BL88" s="545" t="s">
        <v>2233</v>
      </c>
      <c r="BM88" s="141">
        <v>0</v>
      </c>
      <c r="BN88" s="545" t="s">
        <v>2233</v>
      </c>
      <c r="BO88" s="141">
        <v>0</v>
      </c>
      <c r="BP88" s="2629"/>
      <c r="BQ88" s="545" t="s">
        <v>627</v>
      </c>
      <c r="BR88" s="868">
        <v>0</v>
      </c>
      <c r="BS88" s="545" t="s">
        <v>627</v>
      </c>
      <c r="BT88" s="868">
        <v>0</v>
      </c>
      <c r="BU88" s="545" t="s">
        <v>2233</v>
      </c>
      <c r="BV88" s="141">
        <v>0</v>
      </c>
      <c r="BW88" s="545" t="s">
        <v>2233</v>
      </c>
      <c r="BX88" s="141">
        <v>0</v>
      </c>
      <c r="BY88" s="545" t="s">
        <v>2233</v>
      </c>
      <c r="BZ88" s="141">
        <v>0</v>
      </c>
      <c r="CA88" s="545" t="s">
        <v>2233</v>
      </c>
      <c r="CB88" s="141">
        <v>0</v>
      </c>
      <c r="CC88" s="545" t="s">
        <v>2233</v>
      </c>
      <c r="CD88" s="144">
        <v>0</v>
      </c>
    </row>
    <row r="89" spans="1:82" s="98" customFormat="1" ht="15" customHeight="1">
      <c r="A89" s="99"/>
      <c r="B89" s="161"/>
      <c r="C89" s="185"/>
      <c r="D89" s="162"/>
      <c r="E89" s="162" t="s">
        <v>2702</v>
      </c>
      <c r="F89" s="162"/>
      <c r="G89" s="163"/>
      <c r="H89" s="163"/>
      <c r="I89" s="164" t="s">
        <v>498</v>
      </c>
      <c r="J89" s="143">
        <v>0</v>
      </c>
      <c r="K89" s="141">
        <v>0</v>
      </c>
      <c r="L89" s="141">
        <v>0</v>
      </c>
      <c r="M89" s="141">
        <v>0</v>
      </c>
      <c r="N89" s="141">
        <v>0</v>
      </c>
      <c r="O89" s="141">
        <v>0</v>
      </c>
      <c r="P89" s="141">
        <v>0</v>
      </c>
      <c r="Q89" s="144">
        <v>0</v>
      </c>
      <c r="R89" s="143">
        <v>0</v>
      </c>
      <c r="S89" s="141">
        <v>0</v>
      </c>
      <c r="T89" s="141">
        <v>0</v>
      </c>
      <c r="U89" s="141">
        <v>0</v>
      </c>
      <c r="V89" s="144">
        <v>0</v>
      </c>
      <c r="W89" s="2629"/>
      <c r="X89" s="607" t="s">
        <v>498</v>
      </c>
      <c r="Y89" s="143">
        <v>0</v>
      </c>
      <c r="Z89" s="141">
        <v>0</v>
      </c>
      <c r="AA89" s="141">
        <v>0</v>
      </c>
      <c r="AB89" s="141">
        <v>0</v>
      </c>
      <c r="AC89" s="141">
        <v>0</v>
      </c>
      <c r="AD89" s="141">
        <v>0</v>
      </c>
      <c r="AE89" s="141">
        <v>0</v>
      </c>
      <c r="AF89" s="144">
        <v>0</v>
      </c>
      <c r="AG89" s="143">
        <v>0</v>
      </c>
      <c r="AH89" s="141">
        <v>0</v>
      </c>
      <c r="AI89" s="141">
        <v>0</v>
      </c>
      <c r="AJ89" s="141">
        <v>0</v>
      </c>
      <c r="AK89" s="144">
        <v>0</v>
      </c>
      <c r="AL89" s="2629"/>
      <c r="AM89" s="607" t="s">
        <v>2233</v>
      </c>
      <c r="AN89" s="143">
        <v>0</v>
      </c>
      <c r="AO89" s="141">
        <v>0</v>
      </c>
      <c r="AP89" s="141">
        <v>0</v>
      </c>
      <c r="AQ89" s="141">
        <v>0</v>
      </c>
      <c r="AR89" s="141">
        <v>0</v>
      </c>
      <c r="AS89" s="141">
        <v>0</v>
      </c>
      <c r="AT89" s="141">
        <v>0</v>
      </c>
      <c r="AU89" s="144">
        <v>0</v>
      </c>
      <c r="AV89" s="143">
        <v>0</v>
      </c>
      <c r="AW89" s="141">
        <v>0</v>
      </c>
      <c r="AX89" s="141">
        <v>0</v>
      </c>
      <c r="AY89" s="141">
        <v>0</v>
      </c>
      <c r="AZ89" s="144">
        <v>0</v>
      </c>
      <c r="BA89" s="2629"/>
      <c r="BB89" s="545" t="s">
        <v>627</v>
      </c>
      <c r="BC89" s="868">
        <v>0</v>
      </c>
      <c r="BD89" s="545" t="s">
        <v>627</v>
      </c>
      <c r="BE89" s="868">
        <v>0</v>
      </c>
      <c r="BF89" s="545" t="s">
        <v>2233</v>
      </c>
      <c r="BG89" s="141">
        <v>0</v>
      </c>
      <c r="BH89" s="545" t="s">
        <v>2233</v>
      </c>
      <c r="BI89" s="141">
        <v>0</v>
      </c>
      <c r="BJ89" s="545" t="s">
        <v>2233</v>
      </c>
      <c r="BK89" s="141">
        <v>0</v>
      </c>
      <c r="BL89" s="545" t="s">
        <v>2233</v>
      </c>
      <c r="BM89" s="141">
        <v>0</v>
      </c>
      <c r="BN89" s="545" t="s">
        <v>2233</v>
      </c>
      <c r="BO89" s="141">
        <v>0</v>
      </c>
      <c r="BP89" s="2629"/>
      <c r="BQ89" s="545" t="s">
        <v>627</v>
      </c>
      <c r="BR89" s="868">
        <v>0</v>
      </c>
      <c r="BS89" s="545" t="s">
        <v>627</v>
      </c>
      <c r="BT89" s="868">
        <v>0</v>
      </c>
      <c r="BU89" s="545" t="s">
        <v>2233</v>
      </c>
      <c r="BV89" s="141">
        <v>0</v>
      </c>
      <c r="BW89" s="545" t="s">
        <v>2233</v>
      </c>
      <c r="BX89" s="141">
        <v>0</v>
      </c>
      <c r="BY89" s="545" t="s">
        <v>2233</v>
      </c>
      <c r="BZ89" s="141">
        <v>0</v>
      </c>
      <c r="CA89" s="545" t="s">
        <v>2233</v>
      </c>
      <c r="CB89" s="141">
        <v>0</v>
      </c>
      <c r="CC89" s="545" t="s">
        <v>2233</v>
      </c>
      <c r="CD89" s="144">
        <v>0</v>
      </c>
    </row>
    <row r="90" spans="1:82" s="98" customFormat="1" ht="15" customHeight="1">
      <c r="A90" s="99"/>
      <c r="B90" s="161"/>
      <c r="C90" s="185"/>
      <c r="D90" s="162"/>
      <c r="E90" s="162" t="s">
        <v>2703</v>
      </c>
      <c r="F90" s="162"/>
      <c r="G90" s="163"/>
      <c r="H90" s="163"/>
      <c r="I90" s="164" t="s">
        <v>498</v>
      </c>
      <c r="J90" s="143">
        <v>0</v>
      </c>
      <c r="K90" s="141">
        <v>0</v>
      </c>
      <c r="L90" s="141">
        <v>0</v>
      </c>
      <c r="M90" s="141">
        <v>0</v>
      </c>
      <c r="N90" s="141">
        <v>0</v>
      </c>
      <c r="O90" s="141">
        <v>0</v>
      </c>
      <c r="P90" s="141">
        <v>0</v>
      </c>
      <c r="Q90" s="144">
        <v>0</v>
      </c>
      <c r="R90" s="143">
        <v>0</v>
      </c>
      <c r="S90" s="141">
        <v>0</v>
      </c>
      <c r="T90" s="141">
        <v>0</v>
      </c>
      <c r="U90" s="141">
        <v>0</v>
      </c>
      <c r="V90" s="144">
        <v>0</v>
      </c>
      <c r="W90" s="2629"/>
      <c r="X90" s="607" t="s">
        <v>498</v>
      </c>
      <c r="Y90" s="143">
        <v>0</v>
      </c>
      <c r="Z90" s="141">
        <v>0</v>
      </c>
      <c r="AA90" s="141">
        <v>0</v>
      </c>
      <c r="AB90" s="141">
        <v>0</v>
      </c>
      <c r="AC90" s="141">
        <v>0</v>
      </c>
      <c r="AD90" s="141">
        <v>0</v>
      </c>
      <c r="AE90" s="141">
        <v>0</v>
      </c>
      <c r="AF90" s="144">
        <v>0</v>
      </c>
      <c r="AG90" s="143">
        <v>0</v>
      </c>
      <c r="AH90" s="141">
        <v>0</v>
      </c>
      <c r="AI90" s="141">
        <v>0</v>
      </c>
      <c r="AJ90" s="141">
        <v>0</v>
      </c>
      <c r="AK90" s="144">
        <v>0</v>
      </c>
      <c r="AL90" s="2629"/>
      <c r="AM90" s="607" t="s">
        <v>2233</v>
      </c>
      <c r="AN90" s="143">
        <v>0</v>
      </c>
      <c r="AO90" s="141">
        <v>0</v>
      </c>
      <c r="AP90" s="141">
        <v>0</v>
      </c>
      <c r="AQ90" s="141">
        <v>0</v>
      </c>
      <c r="AR90" s="141">
        <v>0</v>
      </c>
      <c r="AS90" s="141">
        <v>0</v>
      </c>
      <c r="AT90" s="141">
        <v>0</v>
      </c>
      <c r="AU90" s="144">
        <v>0</v>
      </c>
      <c r="AV90" s="143">
        <v>0</v>
      </c>
      <c r="AW90" s="141">
        <v>0</v>
      </c>
      <c r="AX90" s="141">
        <v>0</v>
      </c>
      <c r="AY90" s="141">
        <v>0</v>
      </c>
      <c r="AZ90" s="144">
        <v>0</v>
      </c>
      <c r="BA90" s="2629"/>
      <c r="BB90" s="545" t="s">
        <v>627</v>
      </c>
      <c r="BC90" s="868">
        <v>0</v>
      </c>
      <c r="BD90" s="545" t="s">
        <v>627</v>
      </c>
      <c r="BE90" s="868">
        <v>0</v>
      </c>
      <c r="BF90" s="545" t="s">
        <v>2233</v>
      </c>
      <c r="BG90" s="141">
        <v>0</v>
      </c>
      <c r="BH90" s="545" t="s">
        <v>2233</v>
      </c>
      <c r="BI90" s="141">
        <v>0</v>
      </c>
      <c r="BJ90" s="545" t="s">
        <v>2233</v>
      </c>
      <c r="BK90" s="141">
        <v>0</v>
      </c>
      <c r="BL90" s="545" t="s">
        <v>2233</v>
      </c>
      <c r="BM90" s="141">
        <v>0</v>
      </c>
      <c r="BN90" s="545" t="s">
        <v>2233</v>
      </c>
      <c r="BO90" s="141">
        <v>0</v>
      </c>
      <c r="BP90" s="2629"/>
      <c r="BQ90" s="545" t="s">
        <v>627</v>
      </c>
      <c r="BR90" s="868">
        <v>0</v>
      </c>
      <c r="BS90" s="545" t="s">
        <v>627</v>
      </c>
      <c r="BT90" s="868">
        <v>0</v>
      </c>
      <c r="BU90" s="545" t="s">
        <v>2233</v>
      </c>
      <c r="BV90" s="141">
        <v>0</v>
      </c>
      <c r="BW90" s="545" t="s">
        <v>2233</v>
      </c>
      <c r="BX90" s="141">
        <v>0</v>
      </c>
      <c r="BY90" s="545" t="s">
        <v>2233</v>
      </c>
      <c r="BZ90" s="141">
        <v>0</v>
      </c>
      <c r="CA90" s="545" t="s">
        <v>2233</v>
      </c>
      <c r="CB90" s="141">
        <v>0</v>
      </c>
      <c r="CC90" s="545" t="s">
        <v>2233</v>
      </c>
      <c r="CD90" s="144">
        <v>0</v>
      </c>
    </row>
    <row r="91" spans="1:82" s="98" customFormat="1" ht="15" customHeight="1">
      <c r="A91" s="99"/>
      <c r="B91" s="161"/>
      <c r="C91" s="185"/>
      <c r="D91" s="162"/>
      <c r="E91" s="162" t="s">
        <v>2704</v>
      </c>
      <c r="F91" s="162"/>
      <c r="G91" s="163"/>
      <c r="H91" s="163"/>
      <c r="I91" s="164" t="s">
        <v>498</v>
      </c>
      <c r="J91" s="143">
        <v>0</v>
      </c>
      <c r="K91" s="141">
        <v>0</v>
      </c>
      <c r="L91" s="141">
        <v>0</v>
      </c>
      <c r="M91" s="141">
        <v>0</v>
      </c>
      <c r="N91" s="141">
        <v>0</v>
      </c>
      <c r="O91" s="141">
        <v>0</v>
      </c>
      <c r="P91" s="141">
        <v>0</v>
      </c>
      <c r="Q91" s="144">
        <v>0</v>
      </c>
      <c r="R91" s="143">
        <v>0</v>
      </c>
      <c r="S91" s="141">
        <v>0</v>
      </c>
      <c r="T91" s="141">
        <v>0</v>
      </c>
      <c r="U91" s="141">
        <v>0</v>
      </c>
      <c r="V91" s="144">
        <v>0</v>
      </c>
      <c r="W91" s="2629"/>
      <c r="X91" s="607" t="s">
        <v>498</v>
      </c>
      <c r="Y91" s="143">
        <v>0</v>
      </c>
      <c r="Z91" s="141">
        <v>0</v>
      </c>
      <c r="AA91" s="141">
        <v>0</v>
      </c>
      <c r="AB91" s="141">
        <v>0</v>
      </c>
      <c r="AC91" s="141">
        <v>0</v>
      </c>
      <c r="AD91" s="141">
        <v>0</v>
      </c>
      <c r="AE91" s="141">
        <v>0</v>
      </c>
      <c r="AF91" s="144">
        <v>0</v>
      </c>
      <c r="AG91" s="143">
        <v>0</v>
      </c>
      <c r="AH91" s="141">
        <v>0</v>
      </c>
      <c r="AI91" s="141">
        <v>0</v>
      </c>
      <c r="AJ91" s="141">
        <v>0</v>
      </c>
      <c r="AK91" s="144">
        <v>0</v>
      </c>
      <c r="AL91" s="2629"/>
      <c r="AM91" s="607" t="s">
        <v>2233</v>
      </c>
      <c r="AN91" s="143">
        <v>0</v>
      </c>
      <c r="AO91" s="141">
        <v>0</v>
      </c>
      <c r="AP91" s="141">
        <v>0</v>
      </c>
      <c r="AQ91" s="141">
        <v>0</v>
      </c>
      <c r="AR91" s="141">
        <v>0</v>
      </c>
      <c r="AS91" s="141">
        <v>0</v>
      </c>
      <c r="AT91" s="141">
        <v>0</v>
      </c>
      <c r="AU91" s="144">
        <v>0</v>
      </c>
      <c r="AV91" s="143">
        <v>0</v>
      </c>
      <c r="AW91" s="141">
        <v>0</v>
      </c>
      <c r="AX91" s="141">
        <v>0</v>
      </c>
      <c r="AY91" s="141">
        <v>0</v>
      </c>
      <c r="AZ91" s="144">
        <v>0</v>
      </c>
      <c r="BA91" s="2629"/>
      <c r="BB91" s="545" t="s">
        <v>627</v>
      </c>
      <c r="BC91" s="868">
        <v>0</v>
      </c>
      <c r="BD91" s="545" t="s">
        <v>627</v>
      </c>
      <c r="BE91" s="868">
        <v>0</v>
      </c>
      <c r="BF91" s="545" t="s">
        <v>2233</v>
      </c>
      <c r="BG91" s="141">
        <v>0</v>
      </c>
      <c r="BH91" s="545" t="s">
        <v>2233</v>
      </c>
      <c r="BI91" s="141">
        <v>0</v>
      </c>
      <c r="BJ91" s="545" t="s">
        <v>2233</v>
      </c>
      <c r="BK91" s="141">
        <v>0</v>
      </c>
      <c r="BL91" s="545" t="s">
        <v>2233</v>
      </c>
      <c r="BM91" s="141">
        <v>0</v>
      </c>
      <c r="BN91" s="545" t="s">
        <v>2233</v>
      </c>
      <c r="BO91" s="141">
        <v>0</v>
      </c>
      <c r="BP91" s="2629"/>
      <c r="BQ91" s="545" t="s">
        <v>627</v>
      </c>
      <c r="BR91" s="868">
        <v>0</v>
      </c>
      <c r="BS91" s="545" t="s">
        <v>627</v>
      </c>
      <c r="BT91" s="868">
        <v>0</v>
      </c>
      <c r="BU91" s="545" t="s">
        <v>2233</v>
      </c>
      <c r="BV91" s="141">
        <v>0</v>
      </c>
      <c r="BW91" s="545" t="s">
        <v>2233</v>
      </c>
      <c r="BX91" s="141">
        <v>0</v>
      </c>
      <c r="BY91" s="545" t="s">
        <v>2233</v>
      </c>
      <c r="BZ91" s="141">
        <v>0</v>
      </c>
      <c r="CA91" s="545" t="s">
        <v>2233</v>
      </c>
      <c r="CB91" s="141">
        <v>0</v>
      </c>
      <c r="CC91" s="545" t="s">
        <v>2233</v>
      </c>
      <c r="CD91" s="144">
        <v>0</v>
      </c>
    </row>
    <row r="92" spans="1:82" s="98" customFormat="1" ht="15" customHeight="1">
      <c r="A92" s="99"/>
      <c r="B92" s="161"/>
      <c r="C92" s="185"/>
      <c r="D92" s="162"/>
      <c r="E92" s="162" t="s">
        <v>2705</v>
      </c>
      <c r="F92" s="162"/>
      <c r="G92" s="163"/>
      <c r="H92" s="163"/>
      <c r="I92" s="164" t="s">
        <v>498</v>
      </c>
      <c r="J92" s="143">
        <v>0</v>
      </c>
      <c r="K92" s="141">
        <v>0</v>
      </c>
      <c r="L92" s="141">
        <v>0</v>
      </c>
      <c r="M92" s="141">
        <v>0</v>
      </c>
      <c r="N92" s="141">
        <v>0</v>
      </c>
      <c r="O92" s="141">
        <v>0</v>
      </c>
      <c r="P92" s="141">
        <v>0</v>
      </c>
      <c r="Q92" s="144">
        <v>0</v>
      </c>
      <c r="R92" s="143">
        <v>0</v>
      </c>
      <c r="S92" s="141">
        <v>0</v>
      </c>
      <c r="T92" s="141">
        <v>0</v>
      </c>
      <c r="U92" s="141">
        <v>0</v>
      </c>
      <c r="V92" s="144">
        <v>0</v>
      </c>
      <c r="W92" s="2629"/>
      <c r="X92" s="607" t="s">
        <v>498</v>
      </c>
      <c r="Y92" s="143">
        <v>0</v>
      </c>
      <c r="Z92" s="141">
        <v>0</v>
      </c>
      <c r="AA92" s="141">
        <v>0</v>
      </c>
      <c r="AB92" s="141">
        <v>0</v>
      </c>
      <c r="AC92" s="141">
        <v>0</v>
      </c>
      <c r="AD92" s="141">
        <v>0</v>
      </c>
      <c r="AE92" s="141">
        <v>0</v>
      </c>
      <c r="AF92" s="144">
        <v>0</v>
      </c>
      <c r="AG92" s="143">
        <v>0</v>
      </c>
      <c r="AH92" s="141">
        <v>0</v>
      </c>
      <c r="AI92" s="141">
        <v>0</v>
      </c>
      <c r="AJ92" s="141">
        <v>0</v>
      </c>
      <c r="AK92" s="144">
        <v>0</v>
      </c>
      <c r="AL92" s="2629"/>
      <c r="AM92" s="607" t="s">
        <v>2233</v>
      </c>
      <c r="AN92" s="143">
        <v>0</v>
      </c>
      <c r="AO92" s="141">
        <v>0</v>
      </c>
      <c r="AP92" s="141">
        <v>0</v>
      </c>
      <c r="AQ92" s="141">
        <v>0</v>
      </c>
      <c r="AR92" s="141">
        <v>0</v>
      </c>
      <c r="AS92" s="141">
        <v>0</v>
      </c>
      <c r="AT92" s="141">
        <v>0</v>
      </c>
      <c r="AU92" s="144">
        <v>0</v>
      </c>
      <c r="AV92" s="143">
        <v>0</v>
      </c>
      <c r="AW92" s="141">
        <v>0</v>
      </c>
      <c r="AX92" s="141">
        <v>0</v>
      </c>
      <c r="AY92" s="141">
        <v>0</v>
      </c>
      <c r="AZ92" s="144">
        <v>0</v>
      </c>
      <c r="BA92" s="2629"/>
      <c r="BB92" s="545" t="s">
        <v>627</v>
      </c>
      <c r="BC92" s="868">
        <v>0</v>
      </c>
      <c r="BD92" s="545" t="s">
        <v>627</v>
      </c>
      <c r="BE92" s="868">
        <v>0</v>
      </c>
      <c r="BF92" s="545" t="s">
        <v>2233</v>
      </c>
      <c r="BG92" s="141">
        <v>0</v>
      </c>
      <c r="BH92" s="545" t="s">
        <v>2233</v>
      </c>
      <c r="BI92" s="141">
        <v>0</v>
      </c>
      <c r="BJ92" s="545" t="s">
        <v>2233</v>
      </c>
      <c r="BK92" s="141">
        <v>0</v>
      </c>
      <c r="BL92" s="545" t="s">
        <v>2233</v>
      </c>
      <c r="BM92" s="141">
        <v>0</v>
      </c>
      <c r="BN92" s="545" t="s">
        <v>2233</v>
      </c>
      <c r="BO92" s="141">
        <v>0</v>
      </c>
      <c r="BP92" s="2629"/>
      <c r="BQ92" s="545" t="s">
        <v>627</v>
      </c>
      <c r="BR92" s="868">
        <v>0</v>
      </c>
      <c r="BS92" s="545" t="s">
        <v>627</v>
      </c>
      <c r="BT92" s="868">
        <v>0</v>
      </c>
      <c r="BU92" s="545" t="s">
        <v>2233</v>
      </c>
      <c r="BV92" s="141">
        <v>0</v>
      </c>
      <c r="BW92" s="545" t="s">
        <v>2233</v>
      </c>
      <c r="BX92" s="141">
        <v>0</v>
      </c>
      <c r="BY92" s="545" t="s">
        <v>2233</v>
      </c>
      <c r="BZ92" s="141">
        <v>0</v>
      </c>
      <c r="CA92" s="545" t="s">
        <v>2233</v>
      </c>
      <c r="CB92" s="141">
        <v>0</v>
      </c>
      <c r="CC92" s="545" t="s">
        <v>2233</v>
      </c>
      <c r="CD92" s="144">
        <v>0</v>
      </c>
    </row>
    <row r="93" spans="1:82" s="98" customFormat="1" ht="15" customHeight="1">
      <c r="A93" s="99"/>
      <c r="B93" s="161"/>
      <c r="C93" s="185"/>
      <c r="D93" s="162"/>
      <c r="E93" s="162" t="s">
        <v>2706</v>
      </c>
      <c r="F93" s="162"/>
      <c r="G93" s="163"/>
      <c r="H93" s="163"/>
      <c r="I93" s="164" t="s">
        <v>498</v>
      </c>
      <c r="J93" s="143">
        <v>0</v>
      </c>
      <c r="K93" s="141">
        <v>0</v>
      </c>
      <c r="L93" s="141">
        <v>0</v>
      </c>
      <c r="M93" s="141">
        <v>0</v>
      </c>
      <c r="N93" s="141">
        <v>0</v>
      </c>
      <c r="O93" s="141">
        <v>0</v>
      </c>
      <c r="P93" s="141">
        <v>0</v>
      </c>
      <c r="Q93" s="144">
        <v>0</v>
      </c>
      <c r="R93" s="143">
        <v>0</v>
      </c>
      <c r="S93" s="141">
        <v>0</v>
      </c>
      <c r="T93" s="141">
        <v>0</v>
      </c>
      <c r="U93" s="141">
        <v>0</v>
      </c>
      <c r="V93" s="144">
        <v>0</v>
      </c>
      <c r="W93" s="2629"/>
      <c r="X93" s="607" t="s">
        <v>498</v>
      </c>
      <c r="Y93" s="143">
        <v>0</v>
      </c>
      <c r="Z93" s="141">
        <v>0</v>
      </c>
      <c r="AA93" s="141">
        <v>0</v>
      </c>
      <c r="AB93" s="141">
        <v>0</v>
      </c>
      <c r="AC93" s="141">
        <v>0</v>
      </c>
      <c r="AD93" s="141">
        <v>0</v>
      </c>
      <c r="AE93" s="141">
        <v>0</v>
      </c>
      <c r="AF93" s="144">
        <v>0</v>
      </c>
      <c r="AG93" s="143">
        <v>0</v>
      </c>
      <c r="AH93" s="141">
        <v>0</v>
      </c>
      <c r="AI93" s="141">
        <v>0</v>
      </c>
      <c r="AJ93" s="141">
        <v>0</v>
      </c>
      <c r="AK93" s="144">
        <v>0</v>
      </c>
      <c r="AL93" s="2629"/>
      <c r="AM93" s="607" t="s">
        <v>2233</v>
      </c>
      <c r="AN93" s="143">
        <v>0</v>
      </c>
      <c r="AO93" s="141">
        <v>0</v>
      </c>
      <c r="AP93" s="141">
        <v>0</v>
      </c>
      <c r="AQ93" s="141">
        <v>0</v>
      </c>
      <c r="AR93" s="141">
        <v>0</v>
      </c>
      <c r="AS93" s="141">
        <v>0</v>
      </c>
      <c r="AT93" s="141">
        <v>0</v>
      </c>
      <c r="AU93" s="144">
        <v>0</v>
      </c>
      <c r="AV93" s="143">
        <v>0</v>
      </c>
      <c r="AW93" s="141">
        <v>0</v>
      </c>
      <c r="AX93" s="141">
        <v>0</v>
      </c>
      <c r="AY93" s="141">
        <v>0</v>
      </c>
      <c r="AZ93" s="144">
        <v>0</v>
      </c>
      <c r="BA93" s="2629"/>
      <c r="BB93" s="545" t="s">
        <v>627</v>
      </c>
      <c r="BC93" s="868">
        <v>0</v>
      </c>
      <c r="BD93" s="545" t="s">
        <v>627</v>
      </c>
      <c r="BE93" s="868">
        <v>0</v>
      </c>
      <c r="BF93" s="545" t="s">
        <v>2233</v>
      </c>
      <c r="BG93" s="141">
        <v>0</v>
      </c>
      <c r="BH93" s="545" t="s">
        <v>2233</v>
      </c>
      <c r="BI93" s="141">
        <v>0</v>
      </c>
      <c r="BJ93" s="545" t="s">
        <v>2233</v>
      </c>
      <c r="BK93" s="141">
        <v>0</v>
      </c>
      <c r="BL93" s="545" t="s">
        <v>2233</v>
      </c>
      <c r="BM93" s="141">
        <v>0</v>
      </c>
      <c r="BN93" s="545" t="s">
        <v>2233</v>
      </c>
      <c r="BO93" s="141">
        <v>0</v>
      </c>
      <c r="BP93" s="2629"/>
      <c r="BQ93" s="545" t="s">
        <v>627</v>
      </c>
      <c r="BR93" s="868">
        <v>0</v>
      </c>
      <c r="BS93" s="545" t="s">
        <v>627</v>
      </c>
      <c r="BT93" s="868">
        <v>0</v>
      </c>
      <c r="BU93" s="545" t="s">
        <v>2233</v>
      </c>
      <c r="BV93" s="141">
        <v>0</v>
      </c>
      <c r="BW93" s="545" t="s">
        <v>2233</v>
      </c>
      <c r="BX93" s="141">
        <v>0</v>
      </c>
      <c r="BY93" s="545" t="s">
        <v>2233</v>
      </c>
      <c r="BZ93" s="141">
        <v>0</v>
      </c>
      <c r="CA93" s="545" t="s">
        <v>2233</v>
      </c>
      <c r="CB93" s="141">
        <v>0</v>
      </c>
      <c r="CC93" s="545" t="s">
        <v>2233</v>
      </c>
      <c r="CD93" s="144">
        <v>0</v>
      </c>
    </row>
    <row r="94" spans="1:82" s="98" customFormat="1" ht="15" customHeight="1">
      <c r="A94" s="99"/>
      <c r="B94" s="161"/>
      <c r="C94" s="185"/>
      <c r="D94" s="162"/>
      <c r="E94" s="162" t="s">
        <v>2707</v>
      </c>
      <c r="F94" s="162"/>
      <c r="G94" s="163"/>
      <c r="H94" s="163"/>
      <c r="I94" s="164" t="s">
        <v>498</v>
      </c>
      <c r="J94" s="143">
        <v>0</v>
      </c>
      <c r="K94" s="141">
        <v>0</v>
      </c>
      <c r="L94" s="141">
        <v>0</v>
      </c>
      <c r="M94" s="141">
        <v>0</v>
      </c>
      <c r="N94" s="141">
        <v>0</v>
      </c>
      <c r="O94" s="141">
        <v>0</v>
      </c>
      <c r="P94" s="141">
        <v>0</v>
      </c>
      <c r="Q94" s="144">
        <v>0</v>
      </c>
      <c r="R94" s="143">
        <v>0</v>
      </c>
      <c r="S94" s="141">
        <v>0</v>
      </c>
      <c r="T94" s="141">
        <v>0</v>
      </c>
      <c r="U94" s="141">
        <v>0</v>
      </c>
      <c r="V94" s="144">
        <v>0</v>
      </c>
      <c r="W94" s="2629"/>
      <c r="X94" s="607" t="s">
        <v>498</v>
      </c>
      <c r="Y94" s="143">
        <v>0</v>
      </c>
      <c r="Z94" s="141">
        <v>0</v>
      </c>
      <c r="AA94" s="141">
        <v>0</v>
      </c>
      <c r="AB94" s="141">
        <v>0</v>
      </c>
      <c r="AC94" s="141">
        <v>0</v>
      </c>
      <c r="AD94" s="141">
        <v>0</v>
      </c>
      <c r="AE94" s="141">
        <v>0</v>
      </c>
      <c r="AF94" s="144">
        <v>0</v>
      </c>
      <c r="AG94" s="143">
        <v>0</v>
      </c>
      <c r="AH94" s="141">
        <v>0</v>
      </c>
      <c r="AI94" s="141">
        <v>0</v>
      </c>
      <c r="AJ94" s="141">
        <v>0</v>
      </c>
      <c r="AK94" s="144">
        <v>0</v>
      </c>
      <c r="AL94" s="2629"/>
      <c r="AM94" s="607" t="s">
        <v>2233</v>
      </c>
      <c r="AN94" s="143">
        <v>0</v>
      </c>
      <c r="AO94" s="141">
        <v>0</v>
      </c>
      <c r="AP94" s="141">
        <v>0</v>
      </c>
      <c r="AQ94" s="141">
        <v>0</v>
      </c>
      <c r="AR94" s="141">
        <v>0</v>
      </c>
      <c r="AS94" s="141">
        <v>0</v>
      </c>
      <c r="AT94" s="141">
        <v>0</v>
      </c>
      <c r="AU94" s="144">
        <v>0</v>
      </c>
      <c r="AV94" s="143">
        <v>0</v>
      </c>
      <c r="AW94" s="141">
        <v>0</v>
      </c>
      <c r="AX94" s="141">
        <v>0</v>
      </c>
      <c r="AY94" s="141">
        <v>0</v>
      </c>
      <c r="AZ94" s="144">
        <v>0</v>
      </c>
      <c r="BA94" s="2629"/>
      <c r="BB94" s="545" t="s">
        <v>627</v>
      </c>
      <c r="BC94" s="868">
        <v>0</v>
      </c>
      <c r="BD94" s="545" t="s">
        <v>627</v>
      </c>
      <c r="BE94" s="868">
        <v>0</v>
      </c>
      <c r="BF94" s="545" t="s">
        <v>2233</v>
      </c>
      <c r="BG94" s="141">
        <v>0</v>
      </c>
      <c r="BH94" s="545" t="s">
        <v>2233</v>
      </c>
      <c r="BI94" s="141">
        <v>0</v>
      </c>
      <c r="BJ94" s="545" t="s">
        <v>2233</v>
      </c>
      <c r="BK94" s="141">
        <v>0</v>
      </c>
      <c r="BL94" s="545" t="s">
        <v>2233</v>
      </c>
      <c r="BM94" s="141">
        <v>0</v>
      </c>
      <c r="BN94" s="545" t="s">
        <v>2233</v>
      </c>
      <c r="BO94" s="141">
        <v>0</v>
      </c>
      <c r="BP94" s="2629"/>
      <c r="BQ94" s="545" t="s">
        <v>627</v>
      </c>
      <c r="BR94" s="868">
        <v>0</v>
      </c>
      <c r="BS94" s="545" t="s">
        <v>627</v>
      </c>
      <c r="BT94" s="868">
        <v>0</v>
      </c>
      <c r="BU94" s="545" t="s">
        <v>2233</v>
      </c>
      <c r="BV94" s="141">
        <v>0</v>
      </c>
      <c r="BW94" s="545" t="s">
        <v>2233</v>
      </c>
      <c r="BX94" s="141">
        <v>0</v>
      </c>
      <c r="BY94" s="545" t="s">
        <v>2233</v>
      </c>
      <c r="BZ94" s="141">
        <v>0</v>
      </c>
      <c r="CA94" s="545" t="s">
        <v>2233</v>
      </c>
      <c r="CB94" s="141">
        <v>0</v>
      </c>
      <c r="CC94" s="545" t="s">
        <v>2233</v>
      </c>
      <c r="CD94" s="144">
        <v>0</v>
      </c>
    </row>
    <row r="95" spans="1:82" s="98" customFormat="1" ht="15" customHeight="1">
      <c r="A95" s="99"/>
      <c r="B95" s="161"/>
      <c r="C95" s="185"/>
      <c r="D95" s="162"/>
      <c r="E95" s="162" t="s">
        <v>2708</v>
      </c>
      <c r="F95" s="162"/>
      <c r="G95" s="163"/>
      <c r="H95" s="163"/>
      <c r="I95" s="164" t="s">
        <v>498</v>
      </c>
      <c r="J95" s="143">
        <v>0</v>
      </c>
      <c r="K95" s="141">
        <v>0</v>
      </c>
      <c r="L95" s="141">
        <v>0</v>
      </c>
      <c r="M95" s="141">
        <v>0</v>
      </c>
      <c r="N95" s="141">
        <v>0</v>
      </c>
      <c r="O95" s="141">
        <v>0</v>
      </c>
      <c r="P95" s="141">
        <v>0</v>
      </c>
      <c r="Q95" s="144">
        <v>0</v>
      </c>
      <c r="R95" s="143">
        <v>0</v>
      </c>
      <c r="S95" s="141">
        <v>0</v>
      </c>
      <c r="T95" s="141">
        <v>0</v>
      </c>
      <c r="U95" s="141">
        <v>0</v>
      </c>
      <c r="V95" s="144">
        <v>0</v>
      </c>
      <c r="W95" s="2629"/>
      <c r="X95" s="607" t="s">
        <v>498</v>
      </c>
      <c r="Y95" s="143">
        <v>0</v>
      </c>
      <c r="Z95" s="141">
        <v>0</v>
      </c>
      <c r="AA95" s="141">
        <v>0</v>
      </c>
      <c r="AB95" s="141">
        <v>0</v>
      </c>
      <c r="AC95" s="141">
        <v>0</v>
      </c>
      <c r="AD95" s="141">
        <v>0</v>
      </c>
      <c r="AE95" s="141">
        <v>0</v>
      </c>
      <c r="AF95" s="144">
        <v>0</v>
      </c>
      <c r="AG95" s="143">
        <v>0</v>
      </c>
      <c r="AH95" s="141">
        <v>0</v>
      </c>
      <c r="AI95" s="141">
        <v>0</v>
      </c>
      <c r="AJ95" s="141">
        <v>0</v>
      </c>
      <c r="AK95" s="144">
        <v>0</v>
      </c>
      <c r="AL95" s="2629"/>
      <c r="AM95" s="607" t="s">
        <v>2233</v>
      </c>
      <c r="AN95" s="143">
        <v>0</v>
      </c>
      <c r="AO95" s="141">
        <v>0</v>
      </c>
      <c r="AP95" s="141">
        <v>0</v>
      </c>
      <c r="AQ95" s="141">
        <v>0</v>
      </c>
      <c r="AR95" s="141">
        <v>0</v>
      </c>
      <c r="AS95" s="141">
        <v>0</v>
      </c>
      <c r="AT95" s="141">
        <v>0</v>
      </c>
      <c r="AU95" s="144">
        <v>0</v>
      </c>
      <c r="AV95" s="143">
        <v>0</v>
      </c>
      <c r="AW95" s="141">
        <v>0</v>
      </c>
      <c r="AX95" s="141">
        <v>0</v>
      </c>
      <c r="AY95" s="141">
        <v>0</v>
      </c>
      <c r="AZ95" s="144">
        <v>0</v>
      </c>
      <c r="BA95" s="2629"/>
      <c r="BB95" s="545" t="s">
        <v>627</v>
      </c>
      <c r="BC95" s="868">
        <v>0</v>
      </c>
      <c r="BD95" s="545" t="s">
        <v>627</v>
      </c>
      <c r="BE95" s="868">
        <v>0</v>
      </c>
      <c r="BF95" s="545" t="s">
        <v>2233</v>
      </c>
      <c r="BG95" s="141">
        <v>0</v>
      </c>
      <c r="BH95" s="545" t="s">
        <v>2233</v>
      </c>
      <c r="BI95" s="141">
        <v>0</v>
      </c>
      <c r="BJ95" s="545" t="s">
        <v>2233</v>
      </c>
      <c r="BK95" s="141">
        <v>0</v>
      </c>
      <c r="BL95" s="545" t="s">
        <v>2233</v>
      </c>
      <c r="BM95" s="141">
        <v>0</v>
      </c>
      <c r="BN95" s="545" t="s">
        <v>2233</v>
      </c>
      <c r="BO95" s="141">
        <v>0</v>
      </c>
      <c r="BP95" s="2629"/>
      <c r="BQ95" s="545" t="s">
        <v>627</v>
      </c>
      <c r="BR95" s="868">
        <v>0</v>
      </c>
      <c r="BS95" s="545" t="s">
        <v>627</v>
      </c>
      <c r="BT95" s="868">
        <v>0</v>
      </c>
      <c r="BU95" s="545" t="s">
        <v>2233</v>
      </c>
      <c r="BV95" s="141">
        <v>0</v>
      </c>
      <c r="BW95" s="545" t="s">
        <v>2233</v>
      </c>
      <c r="BX95" s="141">
        <v>0</v>
      </c>
      <c r="BY95" s="545" t="s">
        <v>2233</v>
      </c>
      <c r="BZ95" s="141">
        <v>0</v>
      </c>
      <c r="CA95" s="545" t="s">
        <v>2233</v>
      </c>
      <c r="CB95" s="141">
        <v>0</v>
      </c>
      <c r="CC95" s="545" t="s">
        <v>2233</v>
      </c>
      <c r="CD95" s="144">
        <v>0</v>
      </c>
    </row>
    <row r="96" spans="1:82" s="98" customFormat="1" ht="15" customHeight="1">
      <c r="A96" s="99"/>
      <c r="B96" s="161"/>
      <c r="C96" s="185"/>
      <c r="D96" s="162" t="s">
        <v>1710</v>
      </c>
      <c r="E96" s="162"/>
      <c r="F96" s="162"/>
      <c r="G96" s="163"/>
      <c r="H96" s="163"/>
      <c r="I96" s="164" t="s">
        <v>498</v>
      </c>
      <c r="J96" s="641">
        <f>SUM(J88:J95)</f>
        <v>0</v>
      </c>
      <c r="K96" s="642">
        <f t="shared" ref="K96:V96" si="25">SUM(K88:K95)</f>
        <v>0</v>
      </c>
      <c r="L96" s="642">
        <f t="shared" si="25"/>
        <v>0</v>
      </c>
      <c r="M96" s="642">
        <f t="shared" si="25"/>
        <v>0</v>
      </c>
      <c r="N96" s="642">
        <f t="shared" si="25"/>
        <v>0</v>
      </c>
      <c r="O96" s="642">
        <f t="shared" si="25"/>
        <v>0</v>
      </c>
      <c r="P96" s="642">
        <f t="shared" si="25"/>
        <v>0</v>
      </c>
      <c r="Q96" s="643">
        <f t="shared" si="25"/>
        <v>0</v>
      </c>
      <c r="R96" s="641">
        <f t="shared" si="25"/>
        <v>0</v>
      </c>
      <c r="S96" s="642">
        <f t="shared" si="25"/>
        <v>0</v>
      </c>
      <c r="T96" s="642">
        <f t="shared" si="25"/>
        <v>0</v>
      </c>
      <c r="U96" s="642">
        <f t="shared" si="25"/>
        <v>0</v>
      </c>
      <c r="V96" s="643">
        <f t="shared" si="25"/>
        <v>0</v>
      </c>
      <c r="W96" s="2629"/>
      <c r="X96" s="607" t="s">
        <v>498</v>
      </c>
      <c r="Y96" s="641">
        <f>SUM(Y88:Y95)</f>
        <v>0</v>
      </c>
      <c r="Z96" s="642">
        <f t="shared" ref="Z96:AK96" si="26">SUM(Z88:Z95)</f>
        <v>0</v>
      </c>
      <c r="AA96" s="642">
        <f t="shared" si="26"/>
        <v>0</v>
      </c>
      <c r="AB96" s="642">
        <f t="shared" si="26"/>
        <v>0</v>
      </c>
      <c r="AC96" s="642">
        <f t="shared" si="26"/>
        <v>0</v>
      </c>
      <c r="AD96" s="642">
        <f t="shared" si="26"/>
        <v>0</v>
      </c>
      <c r="AE96" s="642">
        <f t="shared" si="26"/>
        <v>0</v>
      </c>
      <c r="AF96" s="643">
        <f t="shared" si="26"/>
        <v>0</v>
      </c>
      <c r="AG96" s="641">
        <f t="shared" si="26"/>
        <v>0</v>
      </c>
      <c r="AH96" s="642">
        <f t="shared" si="26"/>
        <v>0</v>
      </c>
      <c r="AI96" s="642">
        <f t="shared" si="26"/>
        <v>0</v>
      </c>
      <c r="AJ96" s="642">
        <f t="shared" si="26"/>
        <v>0</v>
      </c>
      <c r="AK96" s="643">
        <f t="shared" si="26"/>
        <v>0</v>
      </c>
      <c r="AL96" s="2629"/>
      <c r="AM96" s="607" t="s">
        <v>2233</v>
      </c>
      <c r="AN96" s="641">
        <f>SUM(AN88:AN95)</f>
        <v>0</v>
      </c>
      <c r="AO96" s="642">
        <f t="shared" ref="AO96:AZ96" si="27">SUM(AO88:AO95)</f>
        <v>0</v>
      </c>
      <c r="AP96" s="642">
        <f t="shared" si="27"/>
        <v>0</v>
      </c>
      <c r="AQ96" s="642">
        <f t="shared" si="27"/>
        <v>0</v>
      </c>
      <c r="AR96" s="642">
        <f t="shared" si="27"/>
        <v>0</v>
      </c>
      <c r="AS96" s="642">
        <f t="shared" si="27"/>
        <v>0</v>
      </c>
      <c r="AT96" s="642">
        <f t="shared" si="27"/>
        <v>0</v>
      </c>
      <c r="AU96" s="643">
        <f t="shared" si="27"/>
        <v>0</v>
      </c>
      <c r="AV96" s="641">
        <f t="shared" si="27"/>
        <v>0</v>
      </c>
      <c r="AW96" s="642">
        <f t="shared" si="27"/>
        <v>0</v>
      </c>
      <c r="AX96" s="642">
        <f t="shared" si="27"/>
        <v>0</v>
      </c>
      <c r="AY96" s="642">
        <f t="shared" si="27"/>
        <v>0</v>
      </c>
      <c r="AZ96" s="643">
        <f t="shared" si="27"/>
        <v>0</v>
      </c>
      <c r="BA96" s="2629"/>
      <c r="BB96" s="542"/>
      <c r="BC96" s="542"/>
      <c r="BD96" s="542"/>
      <c r="BE96" s="542"/>
      <c r="BF96" s="545" t="s">
        <v>2233</v>
      </c>
      <c r="BG96" s="642">
        <f>SUM(BG88:BG95)</f>
        <v>0</v>
      </c>
      <c r="BH96" s="545" t="s">
        <v>2233</v>
      </c>
      <c r="BI96" s="642">
        <f>SUM(BI88:BI95)</f>
        <v>0</v>
      </c>
      <c r="BJ96" s="545" t="s">
        <v>2233</v>
      </c>
      <c r="BK96" s="642">
        <f>SUM(BK88:BK95)</f>
        <v>0</v>
      </c>
      <c r="BL96" s="545" t="s">
        <v>2233</v>
      </c>
      <c r="BM96" s="642">
        <f>SUM(BM88:BM95)</f>
        <v>0</v>
      </c>
      <c r="BN96" s="545" t="s">
        <v>2233</v>
      </c>
      <c r="BO96" s="642">
        <f>SUM(BO88:BO95)</f>
        <v>0</v>
      </c>
      <c r="BP96" s="2629"/>
      <c r="BQ96" s="542"/>
      <c r="BR96" s="542"/>
      <c r="BS96" s="542"/>
      <c r="BT96" s="542"/>
      <c r="BU96" s="545" t="s">
        <v>2233</v>
      </c>
      <c r="BV96" s="642">
        <f>SUM(BV88:BV95)</f>
        <v>0</v>
      </c>
      <c r="BW96" s="545" t="s">
        <v>2233</v>
      </c>
      <c r="BX96" s="642">
        <f>SUM(BX88:BX95)</f>
        <v>0</v>
      </c>
      <c r="BY96" s="545" t="s">
        <v>2233</v>
      </c>
      <c r="BZ96" s="642">
        <f>SUM(BZ88:BZ95)</f>
        <v>0</v>
      </c>
      <c r="CA96" s="545" t="s">
        <v>2233</v>
      </c>
      <c r="CB96" s="642">
        <f>SUM(CB88:CB95)</f>
        <v>0</v>
      </c>
      <c r="CC96" s="545" t="s">
        <v>2233</v>
      </c>
      <c r="CD96" s="643">
        <f>SUM(CD88:CD95)</f>
        <v>0</v>
      </c>
    </row>
    <row r="97" spans="1:82" s="98" customFormat="1" ht="15" customHeight="1">
      <c r="A97" s="99"/>
      <c r="B97" s="123"/>
      <c r="C97" s="127"/>
      <c r="D97" s="127"/>
      <c r="E97" s="127"/>
      <c r="F97" s="127"/>
      <c r="G97" s="117"/>
      <c r="H97" s="117"/>
      <c r="I97" s="117"/>
      <c r="J97" s="159"/>
      <c r="K97" s="94"/>
      <c r="L97" s="94"/>
      <c r="M97" s="94"/>
      <c r="N97" s="94"/>
      <c r="O97" s="94"/>
      <c r="P97" s="94"/>
      <c r="Q97" s="160"/>
      <c r="R97" s="159"/>
      <c r="S97" s="94"/>
      <c r="T97" s="94"/>
      <c r="U97" s="94"/>
      <c r="V97" s="160"/>
      <c r="W97" s="2629"/>
      <c r="X97" s="94"/>
      <c r="Y97" s="159"/>
      <c r="Z97" s="94"/>
      <c r="AA97" s="94"/>
      <c r="AB97" s="94"/>
      <c r="AC97" s="94"/>
      <c r="AD97" s="94"/>
      <c r="AE97" s="94"/>
      <c r="AF97" s="160"/>
      <c r="AG97" s="159"/>
      <c r="AH97" s="94"/>
      <c r="AI97" s="94"/>
      <c r="AJ97" s="94"/>
      <c r="AK97" s="160"/>
      <c r="AL97" s="2629"/>
      <c r="AM97" s="94"/>
      <c r="AN97" s="159"/>
      <c r="AO97" s="94"/>
      <c r="AP97" s="94"/>
      <c r="AQ97" s="94"/>
      <c r="AR97" s="94"/>
      <c r="AS97" s="94"/>
      <c r="AT97" s="94"/>
      <c r="AU97" s="160"/>
      <c r="AV97" s="159"/>
      <c r="AW97" s="94"/>
      <c r="AX97" s="94"/>
      <c r="AY97" s="94"/>
      <c r="AZ97" s="160"/>
      <c r="BA97" s="2629"/>
      <c r="BB97" s="542"/>
      <c r="BC97" s="542"/>
      <c r="BD97" s="542"/>
      <c r="BE97" s="542"/>
      <c r="BF97" s="542"/>
      <c r="BG97" s="542"/>
      <c r="BH97" s="542"/>
      <c r="BI97" s="542"/>
      <c r="BJ97" s="542"/>
      <c r="BK97" s="542"/>
      <c r="BL97" s="542"/>
      <c r="BM97" s="542"/>
      <c r="BN97" s="542"/>
      <c r="BO97" s="542"/>
      <c r="BP97" s="2629"/>
      <c r="BQ97" s="542"/>
      <c r="BR97" s="542"/>
      <c r="BS97" s="542"/>
      <c r="BT97" s="542"/>
      <c r="BU97" s="542"/>
      <c r="BV97" s="542"/>
      <c r="BW97" s="542"/>
      <c r="BX97" s="542"/>
      <c r="BY97" s="542"/>
      <c r="BZ97" s="542"/>
      <c r="CA97" s="542"/>
      <c r="CB97" s="542"/>
      <c r="CC97" s="542"/>
      <c r="CD97" s="544"/>
    </row>
    <row r="98" spans="1:82" s="98" customFormat="1" ht="15" customHeight="1">
      <c r="A98" s="99"/>
      <c r="B98" s="161"/>
      <c r="C98" s="185"/>
      <c r="D98" s="116" t="s">
        <v>2749</v>
      </c>
      <c r="E98" s="116"/>
      <c r="F98" s="116"/>
      <c r="G98" s="117"/>
      <c r="H98" s="117"/>
      <c r="I98" s="117"/>
      <c r="J98" s="159"/>
      <c r="K98" s="94"/>
      <c r="L98" s="94"/>
      <c r="M98" s="94"/>
      <c r="N98" s="94"/>
      <c r="O98" s="94"/>
      <c r="P98" s="94"/>
      <c r="Q98" s="160"/>
      <c r="R98" s="159"/>
      <c r="S98" s="94"/>
      <c r="T98" s="94"/>
      <c r="U98" s="94"/>
      <c r="V98" s="160"/>
      <c r="W98" s="2629"/>
      <c r="X98" s="94"/>
      <c r="Y98" s="159"/>
      <c r="Z98" s="94"/>
      <c r="AA98" s="94"/>
      <c r="AB98" s="94"/>
      <c r="AC98" s="94"/>
      <c r="AD98" s="94"/>
      <c r="AE98" s="94"/>
      <c r="AF98" s="160"/>
      <c r="AG98" s="159"/>
      <c r="AH98" s="94"/>
      <c r="AI98" s="94"/>
      <c r="AJ98" s="94"/>
      <c r="AK98" s="160"/>
      <c r="AL98" s="2629"/>
      <c r="AM98" s="94"/>
      <c r="AN98" s="159"/>
      <c r="AO98" s="94"/>
      <c r="AP98" s="94"/>
      <c r="AQ98" s="94"/>
      <c r="AR98" s="94"/>
      <c r="AS98" s="94"/>
      <c r="AT98" s="94"/>
      <c r="AU98" s="160"/>
      <c r="AV98" s="159"/>
      <c r="AW98" s="94"/>
      <c r="AX98" s="94"/>
      <c r="AY98" s="94"/>
      <c r="AZ98" s="160"/>
      <c r="BA98" s="2629"/>
      <c r="BB98" s="542"/>
      <c r="BC98" s="542"/>
      <c r="BD98" s="542"/>
      <c r="BE98" s="542"/>
      <c r="BF98" s="542"/>
      <c r="BG98" s="542"/>
      <c r="BH98" s="542"/>
      <c r="BI98" s="542"/>
      <c r="BJ98" s="542"/>
      <c r="BK98" s="542"/>
      <c r="BL98" s="542"/>
      <c r="BM98" s="542"/>
      <c r="BN98" s="542"/>
      <c r="BO98" s="542"/>
      <c r="BP98" s="2629"/>
      <c r="BQ98" s="542"/>
      <c r="BR98" s="542"/>
      <c r="BS98" s="542"/>
      <c r="BT98" s="542"/>
      <c r="BU98" s="542"/>
      <c r="BV98" s="542"/>
      <c r="BW98" s="542"/>
      <c r="BX98" s="542"/>
      <c r="BY98" s="542"/>
      <c r="BZ98" s="542"/>
      <c r="CA98" s="542"/>
      <c r="CB98" s="542"/>
      <c r="CC98" s="542"/>
      <c r="CD98" s="544"/>
    </row>
    <row r="99" spans="1:82" s="98" customFormat="1" ht="15" customHeight="1">
      <c r="A99" s="99"/>
      <c r="B99" s="161"/>
      <c r="C99" s="185"/>
      <c r="D99" s="162"/>
      <c r="E99" s="162" t="s">
        <v>2701</v>
      </c>
      <c r="F99" s="162"/>
      <c r="G99" s="163"/>
      <c r="H99" s="163"/>
      <c r="I99" s="164" t="s">
        <v>498</v>
      </c>
      <c r="J99" s="143">
        <v>0</v>
      </c>
      <c r="K99" s="141">
        <v>0</v>
      </c>
      <c r="L99" s="141">
        <v>0</v>
      </c>
      <c r="M99" s="141">
        <v>0</v>
      </c>
      <c r="N99" s="141">
        <v>0</v>
      </c>
      <c r="O99" s="141">
        <v>0</v>
      </c>
      <c r="P99" s="141">
        <v>0</v>
      </c>
      <c r="Q99" s="144">
        <v>0</v>
      </c>
      <c r="R99" s="143">
        <v>0</v>
      </c>
      <c r="S99" s="141">
        <v>0</v>
      </c>
      <c r="T99" s="141">
        <v>0</v>
      </c>
      <c r="U99" s="141">
        <v>0</v>
      </c>
      <c r="V99" s="144">
        <v>0</v>
      </c>
      <c r="W99" s="2629"/>
      <c r="X99" s="607" t="s">
        <v>498</v>
      </c>
      <c r="Y99" s="143">
        <v>0</v>
      </c>
      <c r="Z99" s="141">
        <v>0</v>
      </c>
      <c r="AA99" s="141">
        <v>0</v>
      </c>
      <c r="AB99" s="141">
        <v>0</v>
      </c>
      <c r="AC99" s="141">
        <v>0</v>
      </c>
      <c r="AD99" s="141">
        <v>0</v>
      </c>
      <c r="AE99" s="141">
        <v>0</v>
      </c>
      <c r="AF99" s="144">
        <v>0</v>
      </c>
      <c r="AG99" s="143">
        <v>0</v>
      </c>
      <c r="AH99" s="141">
        <v>0</v>
      </c>
      <c r="AI99" s="141">
        <v>0</v>
      </c>
      <c r="AJ99" s="141">
        <v>0</v>
      </c>
      <c r="AK99" s="144">
        <v>0</v>
      </c>
      <c r="AL99" s="2629"/>
      <c r="AM99" s="607" t="s">
        <v>2233</v>
      </c>
      <c r="AN99" s="143">
        <v>0</v>
      </c>
      <c r="AO99" s="141">
        <v>0</v>
      </c>
      <c r="AP99" s="141">
        <v>0</v>
      </c>
      <c r="AQ99" s="141">
        <v>0</v>
      </c>
      <c r="AR99" s="141">
        <v>0</v>
      </c>
      <c r="AS99" s="141">
        <v>0</v>
      </c>
      <c r="AT99" s="141">
        <v>0</v>
      </c>
      <c r="AU99" s="144">
        <v>0</v>
      </c>
      <c r="AV99" s="143">
        <v>0</v>
      </c>
      <c r="AW99" s="141">
        <v>0</v>
      </c>
      <c r="AX99" s="141">
        <v>0</v>
      </c>
      <c r="AY99" s="141">
        <v>0</v>
      </c>
      <c r="AZ99" s="144">
        <v>0</v>
      </c>
      <c r="BA99" s="2629"/>
      <c r="BB99" s="545" t="s">
        <v>627</v>
      </c>
      <c r="BC99" s="868">
        <v>0</v>
      </c>
      <c r="BD99" s="545" t="s">
        <v>627</v>
      </c>
      <c r="BE99" s="868">
        <v>0</v>
      </c>
      <c r="BF99" s="545" t="s">
        <v>2233</v>
      </c>
      <c r="BG99" s="141">
        <v>0</v>
      </c>
      <c r="BH99" s="545" t="s">
        <v>2233</v>
      </c>
      <c r="BI99" s="141">
        <v>0</v>
      </c>
      <c r="BJ99" s="545" t="s">
        <v>2233</v>
      </c>
      <c r="BK99" s="141">
        <v>0</v>
      </c>
      <c r="BL99" s="545" t="s">
        <v>2233</v>
      </c>
      <c r="BM99" s="141">
        <v>0</v>
      </c>
      <c r="BN99" s="545" t="s">
        <v>2233</v>
      </c>
      <c r="BO99" s="141">
        <v>0</v>
      </c>
      <c r="BP99" s="2629"/>
      <c r="BQ99" s="545" t="s">
        <v>627</v>
      </c>
      <c r="BR99" s="868">
        <v>0</v>
      </c>
      <c r="BS99" s="545" t="s">
        <v>627</v>
      </c>
      <c r="BT99" s="868">
        <v>0</v>
      </c>
      <c r="BU99" s="545" t="s">
        <v>2233</v>
      </c>
      <c r="BV99" s="141">
        <v>0</v>
      </c>
      <c r="BW99" s="545" t="s">
        <v>2233</v>
      </c>
      <c r="BX99" s="141">
        <v>0</v>
      </c>
      <c r="BY99" s="545" t="s">
        <v>2233</v>
      </c>
      <c r="BZ99" s="141">
        <v>0</v>
      </c>
      <c r="CA99" s="545" t="s">
        <v>2233</v>
      </c>
      <c r="CB99" s="141">
        <v>0</v>
      </c>
      <c r="CC99" s="545" t="s">
        <v>2233</v>
      </c>
      <c r="CD99" s="144">
        <v>0</v>
      </c>
    </row>
    <row r="100" spans="1:82" s="98" customFormat="1" ht="15" customHeight="1">
      <c r="A100" s="99"/>
      <c r="B100" s="161"/>
      <c r="C100" s="185"/>
      <c r="D100" s="162"/>
      <c r="E100" s="162" t="s">
        <v>2702</v>
      </c>
      <c r="F100" s="162"/>
      <c r="G100" s="163"/>
      <c r="H100" s="163"/>
      <c r="I100" s="164" t="s">
        <v>498</v>
      </c>
      <c r="J100" s="143">
        <v>0</v>
      </c>
      <c r="K100" s="141">
        <v>0</v>
      </c>
      <c r="L100" s="141">
        <v>0</v>
      </c>
      <c r="M100" s="141">
        <v>0</v>
      </c>
      <c r="N100" s="141">
        <v>0</v>
      </c>
      <c r="O100" s="141">
        <v>0</v>
      </c>
      <c r="P100" s="141">
        <v>0</v>
      </c>
      <c r="Q100" s="144">
        <v>0</v>
      </c>
      <c r="R100" s="143">
        <v>0</v>
      </c>
      <c r="S100" s="141">
        <v>0</v>
      </c>
      <c r="T100" s="141">
        <v>0</v>
      </c>
      <c r="U100" s="141">
        <v>0</v>
      </c>
      <c r="V100" s="144">
        <v>0</v>
      </c>
      <c r="W100" s="2629"/>
      <c r="X100" s="607" t="s">
        <v>498</v>
      </c>
      <c r="Y100" s="143">
        <v>0</v>
      </c>
      <c r="Z100" s="141">
        <v>0</v>
      </c>
      <c r="AA100" s="141">
        <v>0</v>
      </c>
      <c r="AB100" s="141">
        <v>0</v>
      </c>
      <c r="AC100" s="141">
        <v>0</v>
      </c>
      <c r="AD100" s="141">
        <v>0</v>
      </c>
      <c r="AE100" s="141">
        <v>0</v>
      </c>
      <c r="AF100" s="144">
        <v>0</v>
      </c>
      <c r="AG100" s="143">
        <v>0</v>
      </c>
      <c r="AH100" s="141">
        <v>0</v>
      </c>
      <c r="AI100" s="141">
        <v>0</v>
      </c>
      <c r="AJ100" s="141">
        <v>0</v>
      </c>
      <c r="AK100" s="144">
        <v>0</v>
      </c>
      <c r="AL100" s="2629"/>
      <c r="AM100" s="607" t="s">
        <v>2233</v>
      </c>
      <c r="AN100" s="143">
        <v>0</v>
      </c>
      <c r="AO100" s="141">
        <v>0</v>
      </c>
      <c r="AP100" s="141">
        <v>0</v>
      </c>
      <c r="AQ100" s="141">
        <v>0</v>
      </c>
      <c r="AR100" s="141">
        <v>0</v>
      </c>
      <c r="AS100" s="141">
        <v>0</v>
      </c>
      <c r="AT100" s="141">
        <v>0</v>
      </c>
      <c r="AU100" s="144">
        <v>0</v>
      </c>
      <c r="AV100" s="143">
        <v>0</v>
      </c>
      <c r="AW100" s="141">
        <v>0</v>
      </c>
      <c r="AX100" s="141">
        <v>0</v>
      </c>
      <c r="AY100" s="141">
        <v>0</v>
      </c>
      <c r="AZ100" s="144">
        <v>0</v>
      </c>
      <c r="BA100" s="2629"/>
      <c r="BB100" s="545" t="s">
        <v>627</v>
      </c>
      <c r="BC100" s="868">
        <v>0</v>
      </c>
      <c r="BD100" s="545" t="s">
        <v>627</v>
      </c>
      <c r="BE100" s="868">
        <v>0</v>
      </c>
      <c r="BF100" s="545" t="s">
        <v>2233</v>
      </c>
      <c r="BG100" s="141">
        <v>0</v>
      </c>
      <c r="BH100" s="545" t="s">
        <v>2233</v>
      </c>
      <c r="BI100" s="141">
        <v>0</v>
      </c>
      <c r="BJ100" s="545" t="s">
        <v>2233</v>
      </c>
      <c r="BK100" s="141">
        <v>0</v>
      </c>
      <c r="BL100" s="545" t="s">
        <v>2233</v>
      </c>
      <c r="BM100" s="141">
        <v>0</v>
      </c>
      <c r="BN100" s="545" t="s">
        <v>2233</v>
      </c>
      <c r="BO100" s="141">
        <v>0</v>
      </c>
      <c r="BP100" s="2629"/>
      <c r="BQ100" s="545" t="s">
        <v>627</v>
      </c>
      <c r="BR100" s="868">
        <v>0</v>
      </c>
      <c r="BS100" s="545" t="s">
        <v>627</v>
      </c>
      <c r="BT100" s="868">
        <v>0</v>
      </c>
      <c r="BU100" s="545" t="s">
        <v>2233</v>
      </c>
      <c r="BV100" s="141">
        <v>0</v>
      </c>
      <c r="BW100" s="545" t="s">
        <v>2233</v>
      </c>
      <c r="BX100" s="141">
        <v>0</v>
      </c>
      <c r="BY100" s="545" t="s">
        <v>2233</v>
      </c>
      <c r="BZ100" s="141">
        <v>0</v>
      </c>
      <c r="CA100" s="545" t="s">
        <v>2233</v>
      </c>
      <c r="CB100" s="141">
        <v>0</v>
      </c>
      <c r="CC100" s="545" t="s">
        <v>2233</v>
      </c>
      <c r="CD100" s="144">
        <v>0</v>
      </c>
    </row>
    <row r="101" spans="1:82" s="98" customFormat="1" ht="15" customHeight="1">
      <c r="A101" s="99"/>
      <c r="B101" s="161"/>
      <c r="C101" s="185"/>
      <c r="D101" s="162"/>
      <c r="E101" s="162" t="s">
        <v>2703</v>
      </c>
      <c r="F101" s="162"/>
      <c r="G101" s="163"/>
      <c r="H101" s="163"/>
      <c r="I101" s="164" t="s">
        <v>498</v>
      </c>
      <c r="J101" s="143">
        <v>0</v>
      </c>
      <c r="K101" s="141">
        <v>0</v>
      </c>
      <c r="L101" s="141">
        <v>0</v>
      </c>
      <c r="M101" s="141">
        <v>0</v>
      </c>
      <c r="N101" s="141">
        <v>0</v>
      </c>
      <c r="O101" s="141">
        <v>0</v>
      </c>
      <c r="P101" s="141">
        <v>0</v>
      </c>
      <c r="Q101" s="144">
        <v>0</v>
      </c>
      <c r="R101" s="143">
        <v>0</v>
      </c>
      <c r="S101" s="141">
        <v>0</v>
      </c>
      <c r="T101" s="141">
        <v>0</v>
      </c>
      <c r="U101" s="141">
        <v>0</v>
      </c>
      <c r="V101" s="144">
        <v>0</v>
      </c>
      <c r="W101" s="2629"/>
      <c r="X101" s="607" t="s">
        <v>498</v>
      </c>
      <c r="Y101" s="143">
        <v>0</v>
      </c>
      <c r="Z101" s="141">
        <v>0</v>
      </c>
      <c r="AA101" s="141">
        <v>0</v>
      </c>
      <c r="AB101" s="141">
        <v>0</v>
      </c>
      <c r="AC101" s="141">
        <v>0</v>
      </c>
      <c r="AD101" s="141">
        <v>0</v>
      </c>
      <c r="AE101" s="141">
        <v>0</v>
      </c>
      <c r="AF101" s="144">
        <v>0</v>
      </c>
      <c r="AG101" s="143">
        <v>0</v>
      </c>
      <c r="AH101" s="141">
        <v>0</v>
      </c>
      <c r="AI101" s="141">
        <v>0</v>
      </c>
      <c r="AJ101" s="141">
        <v>0</v>
      </c>
      <c r="AK101" s="144">
        <v>0</v>
      </c>
      <c r="AL101" s="2629"/>
      <c r="AM101" s="607" t="s">
        <v>2233</v>
      </c>
      <c r="AN101" s="143">
        <v>0</v>
      </c>
      <c r="AO101" s="141">
        <v>0</v>
      </c>
      <c r="AP101" s="141">
        <v>0</v>
      </c>
      <c r="AQ101" s="141">
        <v>0</v>
      </c>
      <c r="AR101" s="141">
        <v>0</v>
      </c>
      <c r="AS101" s="141">
        <v>0</v>
      </c>
      <c r="AT101" s="141">
        <v>0</v>
      </c>
      <c r="AU101" s="144">
        <v>0</v>
      </c>
      <c r="AV101" s="143">
        <v>0</v>
      </c>
      <c r="AW101" s="141">
        <v>0</v>
      </c>
      <c r="AX101" s="141">
        <v>0</v>
      </c>
      <c r="AY101" s="141">
        <v>0</v>
      </c>
      <c r="AZ101" s="144">
        <v>0</v>
      </c>
      <c r="BA101" s="2629"/>
      <c r="BB101" s="545" t="s">
        <v>627</v>
      </c>
      <c r="BC101" s="868">
        <v>0</v>
      </c>
      <c r="BD101" s="545" t="s">
        <v>627</v>
      </c>
      <c r="BE101" s="868">
        <v>0</v>
      </c>
      <c r="BF101" s="545" t="s">
        <v>2233</v>
      </c>
      <c r="BG101" s="141">
        <v>0</v>
      </c>
      <c r="BH101" s="545" t="s">
        <v>2233</v>
      </c>
      <c r="BI101" s="141">
        <v>0</v>
      </c>
      <c r="BJ101" s="545" t="s">
        <v>2233</v>
      </c>
      <c r="BK101" s="141">
        <v>0</v>
      </c>
      <c r="BL101" s="545" t="s">
        <v>2233</v>
      </c>
      <c r="BM101" s="141">
        <v>0</v>
      </c>
      <c r="BN101" s="545" t="s">
        <v>2233</v>
      </c>
      <c r="BO101" s="141">
        <v>0</v>
      </c>
      <c r="BP101" s="2629"/>
      <c r="BQ101" s="545" t="s">
        <v>627</v>
      </c>
      <c r="BR101" s="868">
        <v>0</v>
      </c>
      <c r="BS101" s="545" t="s">
        <v>627</v>
      </c>
      <c r="BT101" s="868">
        <v>0</v>
      </c>
      <c r="BU101" s="545" t="s">
        <v>2233</v>
      </c>
      <c r="BV101" s="141">
        <v>0</v>
      </c>
      <c r="BW101" s="545" t="s">
        <v>2233</v>
      </c>
      <c r="BX101" s="141">
        <v>0</v>
      </c>
      <c r="BY101" s="545" t="s">
        <v>2233</v>
      </c>
      <c r="BZ101" s="141">
        <v>0</v>
      </c>
      <c r="CA101" s="545" t="s">
        <v>2233</v>
      </c>
      <c r="CB101" s="141">
        <v>0</v>
      </c>
      <c r="CC101" s="545" t="s">
        <v>2233</v>
      </c>
      <c r="CD101" s="144">
        <v>0</v>
      </c>
    </row>
    <row r="102" spans="1:82" s="98" customFormat="1" ht="15" customHeight="1">
      <c r="A102" s="99"/>
      <c r="B102" s="161"/>
      <c r="C102" s="185"/>
      <c r="D102" s="162"/>
      <c r="E102" s="162" t="s">
        <v>2704</v>
      </c>
      <c r="F102" s="162"/>
      <c r="G102" s="163"/>
      <c r="H102" s="163"/>
      <c r="I102" s="164" t="s">
        <v>498</v>
      </c>
      <c r="J102" s="143">
        <v>0</v>
      </c>
      <c r="K102" s="141">
        <v>0</v>
      </c>
      <c r="L102" s="141">
        <v>0</v>
      </c>
      <c r="M102" s="141">
        <v>0</v>
      </c>
      <c r="N102" s="141">
        <v>0</v>
      </c>
      <c r="O102" s="141">
        <v>0</v>
      </c>
      <c r="P102" s="141">
        <v>0</v>
      </c>
      <c r="Q102" s="144">
        <v>0</v>
      </c>
      <c r="R102" s="143">
        <v>0</v>
      </c>
      <c r="S102" s="141">
        <v>0</v>
      </c>
      <c r="T102" s="141">
        <v>0</v>
      </c>
      <c r="U102" s="141">
        <v>0</v>
      </c>
      <c r="V102" s="144">
        <v>0</v>
      </c>
      <c r="W102" s="2629"/>
      <c r="X102" s="607" t="s">
        <v>498</v>
      </c>
      <c r="Y102" s="143">
        <v>0</v>
      </c>
      <c r="Z102" s="141">
        <v>0</v>
      </c>
      <c r="AA102" s="141">
        <v>0</v>
      </c>
      <c r="AB102" s="141">
        <v>0</v>
      </c>
      <c r="AC102" s="141">
        <v>0</v>
      </c>
      <c r="AD102" s="141">
        <v>0</v>
      </c>
      <c r="AE102" s="141">
        <v>0</v>
      </c>
      <c r="AF102" s="144">
        <v>0</v>
      </c>
      <c r="AG102" s="143">
        <v>0</v>
      </c>
      <c r="AH102" s="141">
        <v>0</v>
      </c>
      <c r="AI102" s="141">
        <v>0</v>
      </c>
      <c r="AJ102" s="141">
        <v>0</v>
      </c>
      <c r="AK102" s="144">
        <v>0</v>
      </c>
      <c r="AL102" s="2629"/>
      <c r="AM102" s="607" t="s">
        <v>2233</v>
      </c>
      <c r="AN102" s="143">
        <v>0</v>
      </c>
      <c r="AO102" s="141">
        <v>0</v>
      </c>
      <c r="AP102" s="141">
        <v>0</v>
      </c>
      <c r="AQ102" s="141">
        <v>0</v>
      </c>
      <c r="AR102" s="141">
        <v>0</v>
      </c>
      <c r="AS102" s="141">
        <v>0</v>
      </c>
      <c r="AT102" s="141">
        <v>0</v>
      </c>
      <c r="AU102" s="144">
        <v>0</v>
      </c>
      <c r="AV102" s="143">
        <v>0</v>
      </c>
      <c r="AW102" s="141">
        <v>0</v>
      </c>
      <c r="AX102" s="141">
        <v>0</v>
      </c>
      <c r="AY102" s="141">
        <v>0</v>
      </c>
      <c r="AZ102" s="144">
        <v>0</v>
      </c>
      <c r="BA102" s="2629"/>
      <c r="BB102" s="545" t="s">
        <v>627</v>
      </c>
      <c r="BC102" s="868">
        <v>0</v>
      </c>
      <c r="BD102" s="545" t="s">
        <v>627</v>
      </c>
      <c r="BE102" s="868">
        <v>0</v>
      </c>
      <c r="BF102" s="545" t="s">
        <v>2233</v>
      </c>
      <c r="BG102" s="141">
        <v>0</v>
      </c>
      <c r="BH102" s="545" t="s">
        <v>2233</v>
      </c>
      <c r="BI102" s="141">
        <v>0</v>
      </c>
      <c r="BJ102" s="545" t="s">
        <v>2233</v>
      </c>
      <c r="BK102" s="141">
        <v>0</v>
      </c>
      <c r="BL102" s="545" t="s">
        <v>2233</v>
      </c>
      <c r="BM102" s="141">
        <v>0</v>
      </c>
      <c r="BN102" s="545" t="s">
        <v>2233</v>
      </c>
      <c r="BO102" s="141">
        <v>0</v>
      </c>
      <c r="BP102" s="2629"/>
      <c r="BQ102" s="545" t="s">
        <v>627</v>
      </c>
      <c r="BR102" s="868">
        <v>0</v>
      </c>
      <c r="BS102" s="545" t="s">
        <v>627</v>
      </c>
      <c r="BT102" s="868">
        <v>0</v>
      </c>
      <c r="BU102" s="545" t="s">
        <v>2233</v>
      </c>
      <c r="BV102" s="141">
        <v>0</v>
      </c>
      <c r="BW102" s="545" t="s">
        <v>2233</v>
      </c>
      <c r="BX102" s="141">
        <v>0</v>
      </c>
      <c r="BY102" s="545" t="s">
        <v>2233</v>
      </c>
      <c r="BZ102" s="141">
        <v>0</v>
      </c>
      <c r="CA102" s="545" t="s">
        <v>2233</v>
      </c>
      <c r="CB102" s="141">
        <v>0</v>
      </c>
      <c r="CC102" s="545" t="s">
        <v>2233</v>
      </c>
      <c r="CD102" s="144">
        <v>0</v>
      </c>
    </row>
    <row r="103" spans="1:82" s="98" customFormat="1" ht="15" customHeight="1">
      <c r="A103" s="99"/>
      <c r="B103" s="161"/>
      <c r="C103" s="185"/>
      <c r="D103" s="162"/>
      <c r="E103" s="162" t="s">
        <v>2705</v>
      </c>
      <c r="F103" s="162"/>
      <c r="G103" s="163"/>
      <c r="H103" s="163"/>
      <c r="I103" s="164" t="s">
        <v>498</v>
      </c>
      <c r="J103" s="143">
        <v>0</v>
      </c>
      <c r="K103" s="141">
        <v>0</v>
      </c>
      <c r="L103" s="141">
        <v>0</v>
      </c>
      <c r="M103" s="141">
        <v>0</v>
      </c>
      <c r="N103" s="141">
        <v>0</v>
      </c>
      <c r="O103" s="141">
        <v>0</v>
      </c>
      <c r="P103" s="141">
        <v>0</v>
      </c>
      <c r="Q103" s="144">
        <v>0</v>
      </c>
      <c r="R103" s="143">
        <v>0</v>
      </c>
      <c r="S103" s="141">
        <v>0</v>
      </c>
      <c r="T103" s="141">
        <v>0</v>
      </c>
      <c r="U103" s="141">
        <v>0</v>
      </c>
      <c r="V103" s="144">
        <v>0</v>
      </c>
      <c r="W103" s="2629"/>
      <c r="X103" s="607" t="s">
        <v>498</v>
      </c>
      <c r="Y103" s="143">
        <v>0</v>
      </c>
      <c r="Z103" s="141">
        <v>0</v>
      </c>
      <c r="AA103" s="141">
        <v>0</v>
      </c>
      <c r="AB103" s="141">
        <v>0</v>
      </c>
      <c r="AC103" s="141">
        <v>0</v>
      </c>
      <c r="AD103" s="141">
        <v>0</v>
      </c>
      <c r="AE103" s="141">
        <v>0</v>
      </c>
      <c r="AF103" s="144">
        <v>0</v>
      </c>
      <c r="AG103" s="143">
        <v>0</v>
      </c>
      <c r="AH103" s="141">
        <v>0</v>
      </c>
      <c r="AI103" s="141">
        <v>0</v>
      </c>
      <c r="AJ103" s="141">
        <v>0</v>
      </c>
      <c r="AK103" s="144">
        <v>0</v>
      </c>
      <c r="AL103" s="2629"/>
      <c r="AM103" s="607" t="s">
        <v>2233</v>
      </c>
      <c r="AN103" s="143">
        <v>0</v>
      </c>
      <c r="AO103" s="141">
        <v>0</v>
      </c>
      <c r="AP103" s="141">
        <v>0</v>
      </c>
      <c r="AQ103" s="141">
        <v>0</v>
      </c>
      <c r="AR103" s="141">
        <v>0</v>
      </c>
      <c r="AS103" s="141">
        <v>0</v>
      </c>
      <c r="AT103" s="141">
        <v>0</v>
      </c>
      <c r="AU103" s="144">
        <v>0</v>
      </c>
      <c r="AV103" s="143">
        <v>0</v>
      </c>
      <c r="AW103" s="141">
        <v>0</v>
      </c>
      <c r="AX103" s="141">
        <v>0</v>
      </c>
      <c r="AY103" s="141">
        <v>0</v>
      </c>
      <c r="AZ103" s="144">
        <v>0</v>
      </c>
      <c r="BA103" s="2629"/>
      <c r="BB103" s="545" t="s">
        <v>627</v>
      </c>
      <c r="BC103" s="868">
        <v>0</v>
      </c>
      <c r="BD103" s="545" t="s">
        <v>627</v>
      </c>
      <c r="BE103" s="868">
        <v>0</v>
      </c>
      <c r="BF103" s="545" t="s">
        <v>2233</v>
      </c>
      <c r="BG103" s="141">
        <v>0</v>
      </c>
      <c r="BH103" s="545" t="s">
        <v>2233</v>
      </c>
      <c r="BI103" s="141">
        <v>0</v>
      </c>
      <c r="BJ103" s="545" t="s">
        <v>2233</v>
      </c>
      <c r="BK103" s="141">
        <v>0</v>
      </c>
      <c r="BL103" s="545" t="s">
        <v>2233</v>
      </c>
      <c r="BM103" s="141">
        <v>0</v>
      </c>
      <c r="BN103" s="545" t="s">
        <v>2233</v>
      </c>
      <c r="BO103" s="141">
        <v>0</v>
      </c>
      <c r="BP103" s="2629"/>
      <c r="BQ103" s="545" t="s">
        <v>627</v>
      </c>
      <c r="BR103" s="868">
        <v>0</v>
      </c>
      <c r="BS103" s="545" t="s">
        <v>627</v>
      </c>
      <c r="BT103" s="868">
        <v>0</v>
      </c>
      <c r="BU103" s="545" t="s">
        <v>2233</v>
      </c>
      <c r="BV103" s="141">
        <v>0</v>
      </c>
      <c r="BW103" s="545" t="s">
        <v>2233</v>
      </c>
      <c r="BX103" s="141">
        <v>0</v>
      </c>
      <c r="BY103" s="545" t="s">
        <v>2233</v>
      </c>
      <c r="BZ103" s="141">
        <v>0</v>
      </c>
      <c r="CA103" s="545" t="s">
        <v>2233</v>
      </c>
      <c r="CB103" s="141">
        <v>0</v>
      </c>
      <c r="CC103" s="545" t="s">
        <v>2233</v>
      </c>
      <c r="CD103" s="144">
        <v>0</v>
      </c>
    </row>
    <row r="104" spans="1:82" s="98" customFormat="1" ht="15" customHeight="1">
      <c r="A104" s="99"/>
      <c r="B104" s="161"/>
      <c r="C104" s="185"/>
      <c r="D104" s="162"/>
      <c r="E104" s="162" t="s">
        <v>2706</v>
      </c>
      <c r="F104" s="162"/>
      <c r="G104" s="163"/>
      <c r="H104" s="163"/>
      <c r="I104" s="164" t="s">
        <v>498</v>
      </c>
      <c r="J104" s="143">
        <v>0</v>
      </c>
      <c r="K104" s="141">
        <v>0</v>
      </c>
      <c r="L104" s="141">
        <v>0</v>
      </c>
      <c r="M104" s="141">
        <v>0</v>
      </c>
      <c r="N104" s="141">
        <v>0</v>
      </c>
      <c r="O104" s="141">
        <v>0</v>
      </c>
      <c r="P104" s="141">
        <v>0</v>
      </c>
      <c r="Q104" s="144">
        <v>0</v>
      </c>
      <c r="R104" s="143">
        <v>0</v>
      </c>
      <c r="S104" s="141">
        <v>0</v>
      </c>
      <c r="T104" s="141">
        <v>0</v>
      </c>
      <c r="U104" s="141">
        <v>0</v>
      </c>
      <c r="V104" s="144">
        <v>0</v>
      </c>
      <c r="W104" s="2629"/>
      <c r="X104" s="607" t="s">
        <v>498</v>
      </c>
      <c r="Y104" s="143">
        <v>0</v>
      </c>
      <c r="Z104" s="141">
        <v>0</v>
      </c>
      <c r="AA104" s="141">
        <v>0</v>
      </c>
      <c r="AB104" s="141">
        <v>0</v>
      </c>
      <c r="AC104" s="141">
        <v>0</v>
      </c>
      <c r="AD104" s="141">
        <v>0</v>
      </c>
      <c r="AE104" s="141">
        <v>0</v>
      </c>
      <c r="AF104" s="144">
        <v>0</v>
      </c>
      <c r="AG104" s="143">
        <v>0</v>
      </c>
      <c r="AH104" s="141">
        <v>0</v>
      </c>
      <c r="AI104" s="141">
        <v>0</v>
      </c>
      <c r="AJ104" s="141">
        <v>0</v>
      </c>
      <c r="AK104" s="144">
        <v>0</v>
      </c>
      <c r="AL104" s="2629"/>
      <c r="AM104" s="607" t="s">
        <v>2233</v>
      </c>
      <c r="AN104" s="143">
        <v>0</v>
      </c>
      <c r="AO104" s="141">
        <v>0</v>
      </c>
      <c r="AP104" s="141">
        <v>0</v>
      </c>
      <c r="AQ104" s="141">
        <v>0</v>
      </c>
      <c r="AR104" s="141">
        <v>0</v>
      </c>
      <c r="AS104" s="141">
        <v>0</v>
      </c>
      <c r="AT104" s="141">
        <v>0</v>
      </c>
      <c r="AU104" s="144">
        <v>0</v>
      </c>
      <c r="AV104" s="143">
        <v>0</v>
      </c>
      <c r="AW104" s="141">
        <v>0</v>
      </c>
      <c r="AX104" s="141">
        <v>0</v>
      </c>
      <c r="AY104" s="141">
        <v>0</v>
      </c>
      <c r="AZ104" s="144">
        <v>0</v>
      </c>
      <c r="BA104" s="2629"/>
      <c r="BB104" s="545" t="s">
        <v>627</v>
      </c>
      <c r="BC104" s="868">
        <v>0</v>
      </c>
      <c r="BD104" s="545" t="s">
        <v>627</v>
      </c>
      <c r="BE104" s="868">
        <v>0</v>
      </c>
      <c r="BF104" s="545" t="s">
        <v>2233</v>
      </c>
      <c r="BG104" s="141">
        <v>0</v>
      </c>
      <c r="BH104" s="545" t="s">
        <v>2233</v>
      </c>
      <c r="BI104" s="141">
        <v>0</v>
      </c>
      <c r="BJ104" s="545" t="s">
        <v>2233</v>
      </c>
      <c r="BK104" s="141">
        <v>0</v>
      </c>
      <c r="BL104" s="545" t="s">
        <v>2233</v>
      </c>
      <c r="BM104" s="141">
        <v>0</v>
      </c>
      <c r="BN104" s="545" t="s">
        <v>2233</v>
      </c>
      <c r="BO104" s="141">
        <v>0</v>
      </c>
      <c r="BP104" s="2629"/>
      <c r="BQ104" s="545" t="s">
        <v>627</v>
      </c>
      <c r="BR104" s="868">
        <v>0</v>
      </c>
      <c r="BS104" s="545" t="s">
        <v>627</v>
      </c>
      <c r="BT104" s="868">
        <v>0</v>
      </c>
      <c r="BU104" s="545" t="s">
        <v>2233</v>
      </c>
      <c r="BV104" s="141">
        <v>0</v>
      </c>
      <c r="BW104" s="545" t="s">
        <v>2233</v>
      </c>
      <c r="BX104" s="141">
        <v>0</v>
      </c>
      <c r="BY104" s="545" t="s">
        <v>2233</v>
      </c>
      <c r="BZ104" s="141">
        <v>0</v>
      </c>
      <c r="CA104" s="545" t="s">
        <v>2233</v>
      </c>
      <c r="CB104" s="141">
        <v>0</v>
      </c>
      <c r="CC104" s="545" t="s">
        <v>2233</v>
      </c>
      <c r="CD104" s="144">
        <v>0</v>
      </c>
    </row>
    <row r="105" spans="1:82" s="98" customFormat="1" ht="15" customHeight="1">
      <c r="A105" s="99"/>
      <c r="B105" s="161"/>
      <c r="C105" s="185"/>
      <c r="D105" s="162"/>
      <c r="E105" s="162" t="s">
        <v>2707</v>
      </c>
      <c r="F105" s="162"/>
      <c r="G105" s="163"/>
      <c r="H105" s="163"/>
      <c r="I105" s="164" t="s">
        <v>498</v>
      </c>
      <c r="J105" s="143">
        <v>0</v>
      </c>
      <c r="K105" s="141">
        <v>0</v>
      </c>
      <c r="L105" s="141">
        <v>0</v>
      </c>
      <c r="M105" s="141">
        <v>0</v>
      </c>
      <c r="N105" s="141">
        <v>0</v>
      </c>
      <c r="O105" s="141">
        <v>0</v>
      </c>
      <c r="P105" s="141">
        <v>0</v>
      </c>
      <c r="Q105" s="144">
        <v>0</v>
      </c>
      <c r="R105" s="143">
        <v>0</v>
      </c>
      <c r="S105" s="141">
        <v>0</v>
      </c>
      <c r="T105" s="141">
        <v>0</v>
      </c>
      <c r="U105" s="141">
        <v>0</v>
      </c>
      <c r="V105" s="144">
        <v>0</v>
      </c>
      <c r="W105" s="2629"/>
      <c r="X105" s="607" t="s">
        <v>498</v>
      </c>
      <c r="Y105" s="143">
        <v>0</v>
      </c>
      <c r="Z105" s="141">
        <v>0</v>
      </c>
      <c r="AA105" s="141">
        <v>0</v>
      </c>
      <c r="AB105" s="141">
        <v>0</v>
      </c>
      <c r="AC105" s="141">
        <v>0</v>
      </c>
      <c r="AD105" s="141">
        <v>0</v>
      </c>
      <c r="AE105" s="141">
        <v>0</v>
      </c>
      <c r="AF105" s="144">
        <v>0</v>
      </c>
      <c r="AG105" s="143">
        <v>0</v>
      </c>
      <c r="AH105" s="141">
        <v>0</v>
      </c>
      <c r="AI105" s="141">
        <v>0</v>
      </c>
      <c r="AJ105" s="141">
        <v>0</v>
      </c>
      <c r="AK105" s="144">
        <v>0</v>
      </c>
      <c r="AL105" s="2629"/>
      <c r="AM105" s="607" t="s">
        <v>2233</v>
      </c>
      <c r="AN105" s="143">
        <v>0</v>
      </c>
      <c r="AO105" s="141">
        <v>0</v>
      </c>
      <c r="AP105" s="141">
        <v>0</v>
      </c>
      <c r="AQ105" s="141">
        <v>0</v>
      </c>
      <c r="AR105" s="141">
        <v>0</v>
      </c>
      <c r="AS105" s="141">
        <v>0</v>
      </c>
      <c r="AT105" s="141">
        <v>0</v>
      </c>
      <c r="AU105" s="144">
        <v>0</v>
      </c>
      <c r="AV105" s="143">
        <v>0</v>
      </c>
      <c r="AW105" s="141">
        <v>0</v>
      </c>
      <c r="AX105" s="141">
        <v>0</v>
      </c>
      <c r="AY105" s="141">
        <v>0</v>
      </c>
      <c r="AZ105" s="144">
        <v>0</v>
      </c>
      <c r="BA105" s="2629"/>
      <c r="BB105" s="545" t="s">
        <v>627</v>
      </c>
      <c r="BC105" s="868">
        <v>0</v>
      </c>
      <c r="BD105" s="545" t="s">
        <v>627</v>
      </c>
      <c r="BE105" s="868">
        <v>0</v>
      </c>
      <c r="BF105" s="545" t="s">
        <v>2233</v>
      </c>
      <c r="BG105" s="141">
        <v>0</v>
      </c>
      <c r="BH105" s="545" t="s">
        <v>2233</v>
      </c>
      <c r="BI105" s="141">
        <v>0</v>
      </c>
      <c r="BJ105" s="545" t="s">
        <v>2233</v>
      </c>
      <c r="BK105" s="141">
        <v>0</v>
      </c>
      <c r="BL105" s="545" t="s">
        <v>2233</v>
      </c>
      <c r="BM105" s="141">
        <v>0</v>
      </c>
      <c r="BN105" s="545" t="s">
        <v>2233</v>
      </c>
      <c r="BO105" s="141">
        <v>0</v>
      </c>
      <c r="BP105" s="2629"/>
      <c r="BQ105" s="545" t="s">
        <v>627</v>
      </c>
      <c r="BR105" s="868">
        <v>0</v>
      </c>
      <c r="BS105" s="545" t="s">
        <v>627</v>
      </c>
      <c r="BT105" s="868">
        <v>0</v>
      </c>
      <c r="BU105" s="545" t="s">
        <v>2233</v>
      </c>
      <c r="BV105" s="141">
        <v>0</v>
      </c>
      <c r="BW105" s="545" t="s">
        <v>2233</v>
      </c>
      <c r="BX105" s="141">
        <v>0</v>
      </c>
      <c r="BY105" s="545" t="s">
        <v>2233</v>
      </c>
      <c r="BZ105" s="141">
        <v>0</v>
      </c>
      <c r="CA105" s="545" t="s">
        <v>2233</v>
      </c>
      <c r="CB105" s="141">
        <v>0</v>
      </c>
      <c r="CC105" s="545" t="s">
        <v>2233</v>
      </c>
      <c r="CD105" s="144">
        <v>0</v>
      </c>
    </row>
    <row r="106" spans="1:82" s="98" customFormat="1" ht="15" customHeight="1">
      <c r="A106" s="99"/>
      <c r="B106" s="161"/>
      <c r="C106" s="185"/>
      <c r="D106" s="162"/>
      <c r="E106" s="162" t="s">
        <v>2708</v>
      </c>
      <c r="F106" s="162"/>
      <c r="G106" s="163"/>
      <c r="H106" s="163"/>
      <c r="I106" s="164" t="s">
        <v>498</v>
      </c>
      <c r="J106" s="143">
        <v>0</v>
      </c>
      <c r="K106" s="141">
        <v>0</v>
      </c>
      <c r="L106" s="141">
        <v>0</v>
      </c>
      <c r="M106" s="141">
        <v>0</v>
      </c>
      <c r="N106" s="141">
        <v>0</v>
      </c>
      <c r="O106" s="141">
        <v>0</v>
      </c>
      <c r="P106" s="141">
        <v>0</v>
      </c>
      <c r="Q106" s="144">
        <v>0</v>
      </c>
      <c r="R106" s="143">
        <v>0</v>
      </c>
      <c r="S106" s="141">
        <v>0</v>
      </c>
      <c r="T106" s="141">
        <v>0</v>
      </c>
      <c r="U106" s="141">
        <v>0</v>
      </c>
      <c r="V106" s="144">
        <v>0</v>
      </c>
      <c r="W106" s="2629"/>
      <c r="X106" s="607" t="s">
        <v>498</v>
      </c>
      <c r="Y106" s="143">
        <v>0</v>
      </c>
      <c r="Z106" s="141">
        <v>0</v>
      </c>
      <c r="AA106" s="141">
        <v>0</v>
      </c>
      <c r="AB106" s="141">
        <v>0</v>
      </c>
      <c r="AC106" s="141">
        <v>0</v>
      </c>
      <c r="AD106" s="141">
        <v>0</v>
      </c>
      <c r="AE106" s="141">
        <v>0</v>
      </c>
      <c r="AF106" s="144">
        <v>0</v>
      </c>
      <c r="AG106" s="143">
        <v>0</v>
      </c>
      <c r="AH106" s="141">
        <v>0</v>
      </c>
      <c r="AI106" s="141">
        <v>0</v>
      </c>
      <c r="AJ106" s="141">
        <v>0</v>
      </c>
      <c r="AK106" s="144">
        <v>0</v>
      </c>
      <c r="AL106" s="2629"/>
      <c r="AM106" s="607" t="s">
        <v>2233</v>
      </c>
      <c r="AN106" s="143">
        <v>0</v>
      </c>
      <c r="AO106" s="141">
        <v>0</v>
      </c>
      <c r="AP106" s="141">
        <v>0</v>
      </c>
      <c r="AQ106" s="141">
        <v>0</v>
      </c>
      <c r="AR106" s="141">
        <v>0</v>
      </c>
      <c r="AS106" s="141">
        <v>0</v>
      </c>
      <c r="AT106" s="141">
        <v>0</v>
      </c>
      <c r="AU106" s="144">
        <v>0</v>
      </c>
      <c r="AV106" s="143">
        <v>0</v>
      </c>
      <c r="AW106" s="141">
        <v>0</v>
      </c>
      <c r="AX106" s="141">
        <v>0</v>
      </c>
      <c r="AY106" s="141">
        <v>0</v>
      </c>
      <c r="AZ106" s="144">
        <v>0</v>
      </c>
      <c r="BA106" s="2629"/>
      <c r="BB106" s="545" t="s">
        <v>627</v>
      </c>
      <c r="BC106" s="868">
        <v>0</v>
      </c>
      <c r="BD106" s="545" t="s">
        <v>627</v>
      </c>
      <c r="BE106" s="868">
        <v>0</v>
      </c>
      <c r="BF106" s="545" t="s">
        <v>2233</v>
      </c>
      <c r="BG106" s="141">
        <v>0</v>
      </c>
      <c r="BH106" s="545" t="s">
        <v>2233</v>
      </c>
      <c r="BI106" s="141">
        <v>0</v>
      </c>
      <c r="BJ106" s="545" t="s">
        <v>2233</v>
      </c>
      <c r="BK106" s="141">
        <v>0</v>
      </c>
      <c r="BL106" s="545" t="s">
        <v>2233</v>
      </c>
      <c r="BM106" s="141">
        <v>0</v>
      </c>
      <c r="BN106" s="545" t="s">
        <v>2233</v>
      </c>
      <c r="BO106" s="141">
        <v>0</v>
      </c>
      <c r="BP106" s="2629"/>
      <c r="BQ106" s="545" t="s">
        <v>627</v>
      </c>
      <c r="BR106" s="868">
        <v>0</v>
      </c>
      <c r="BS106" s="545" t="s">
        <v>627</v>
      </c>
      <c r="BT106" s="868">
        <v>0</v>
      </c>
      <c r="BU106" s="545" t="s">
        <v>2233</v>
      </c>
      <c r="BV106" s="141">
        <v>0</v>
      </c>
      <c r="BW106" s="545" t="s">
        <v>2233</v>
      </c>
      <c r="BX106" s="141">
        <v>0</v>
      </c>
      <c r="BY106" s="545" t="s">
        <v>2233</v>
      </c>
      <c r="BZ106" s="141">
        <v>0</v>
      </c>
      <c r="CA106" s="545" t="s">
        <v>2233</v>
      </c>
      <c r="CB106" s="141">
        <v>0</v>
      </c>
      <c r="CC106" s="545" t="s">
        <v>2233</v>
      </c>
      <c r="CD106" s="144">
        <v>0</v>
      </c>
    </row>
    <row r="107" spans="1:82" s="98" customFormat="1" ht="15" customHeight="1">
      <c r="A107" s="99"/>
      <c r="B107" s="161"/>
      <c r="C107" s="185"/>
      <c r="D107" s="162" t="s">
        <v>1710</v>
      </c>
      <c r="E107" s="162"/>
      <c r="F107" s="162"/>
      <c r="G107" s="163"/>
      <c r="H107" s="163"/>
      <c r="I107" s="164" t="s">
        <v>498</v>
      </c>
      <c r="J107" s="641">
        <f>SUM(J99:J106)</f>
        <v>0</v>
      </c>
      <c r="K107" s="642">
        <f t="shared" ref="K107:V107" si="28">SUM(K99:K106)</f>
        <v>0</v>
      </c>
      <c r="L107" s="642">
        <f t="shared" si="28"/>
        <v>0</v>
      </c>
      <c r="M107" s="642">
        <f t="shared" si="28"/>
        <v>0</v>
      </c>
      <c r="N107" s="642">
        <f t="shared" si="28"/>
        <v>0</v>
      </c>
      <c r="O107" s="642">
        <f t="shared" si="28"/>
        <v>0</v>
      </c>
      <c r="P107" s="642">
        <f t="shared" si="28"/>
        <v>0</v>
      </c>
      <c r="Q107" s="643">
        <f t="shared" si="28"/>
        <v>0</v>
      </c>
      <c r="R107" s="641">
        <f t="shared" si="28"/>
        <v>0</v>
      </c>
      <c r="S107" s="642">
        <f t="shared" si="28"/>
        <v>0</v>
      </c>
      <c r="T107" s="642">
        <f t="shared" si="28"/>
        <v>0</v>
      </c>
      <c r="U107" s="642">
        <f t="shared" si="28"/>
        <v>0</v>
      </c>
      <c r="V107" s="643">
        <f t="shared" si="28"/>
        <v>0</v>
      </c>
      <c r="W107" s="2629"/>
      <c r="X107" s="607" t="s">
        <v>498</v>
      </c>
      <c r="Y107" s="641">
        <f>SUM(Y99:Y106)</f>
        <v>0</v>
      </c>
      <c r="Z107" s="642">
        <f t="shared" ref="Z107:AK107" si="29">SUM(Z99:Z106)</f>
        <v>0</v>
      </c>
      <c r="AA107" s="642">
        <f t="shared" si="29"/>
        <v>0</v>
      </c>
      <c r="AB107" s="642">
        <f t="shared" si="29"/>
        <v>0</v>
      </c>
      <c r="AC107" s="642">
        <f t="shared" si="29"/>
        <v>0</v>
      </c>
      <c r="AD107" s="642">
        <f t="shared" si="29"/>
        <v>0</v>
      </c>
      <c r="AE107" s="642">
        <f t="shared" si="29"/>
        <v>0</v>
      </c>
      <c r="AF107" s="643">
        <f t="shared" si="29"/>
        <v>0</v>
      </c>
      <c r="AG107" s="641">
        <f t="shared" si="29"/>
        <v>0</v>
      </c>
      <c r="AH107" s="642">
        <f t="shared" si="29"/>
        <v>0</v>
      </c>
      <c r="AI107" s="642">
        <f t="shared" si="29"/>
        <v>0</v>
      </c>
      <c r="AJ107" s="642">
        <f t="shared" si="29"/>
        <v>0</v>
      </c>
      <c r="AK107" s="643">
        <f t="shared" si="29"/>
        <v>0</v>
      </c>
      <c r="AL107" s="2629"/>
      <c r="AM107" s="607" t="s">
        <v>2233</v>
      </c>
      <c r="AN107" s="641">
        <f>SUM(AN99:AN106)</f>
        <v>0</v>
      </c>
      <c r="AO107" s="642">
        <f t="shared" ref="AO107:AZ107" si="30">SUM(AO99:AO106)</f>
        <v>0</v>
      </c>
      <c r="AP107" s="642">
        <f t="shared" si="30"/>
        <v>0</v>
      </c>
      <c r="AQ107" s="642">
        <f t="shared" si="30"/>
        <v>0</v>
      </c>
      <c r="AR107" s="642">
        <f t="shared" si="30"/>
        <v>0</v>
      </c>
      <c r="AS107" s="642">
        <f t="shared" si="30"/>
        <v>0</v>
      </c>
      <c r="AT107" s="642">
        <f t="shared" si="30"/>
        <v>0</v>
      </c>
      <c r="AU107" s="643">
        <f t="shared" si="30"/>
        <v>0</v>
      </c>
      <c r="AV107" s="641">
        <f t="shared" si="30"/>
        <v>0</v>
      </c>
      <c r="AW107" s="642">
        <f t="shared" si="30"/>
        <v>0</v>
      </c>
      <c r="AX107" s="642">
        <f t="shared" si="30"/>
        <v>0</v>
      </c>
      <c r="AY107" s="642">
        <f t="shared" si="30"/>
        <v>0</v>
      </c>
      <c r="AZ107" s="643">
        <f t="shared" si="30"/>
        <v>0</v>
      </c>
      <c r="BA107" s="2629"/>
      <c r="BB107" s="542"/>
      <c r="BC107" s="542"/>
      <c r="BD107" s="542"/>
      <c r="BE107" s="542"/>
      <c r="BF107" s="545" t="s">
        <v>2233</v>
      </c>
      <c r="BG107" s="642">
        <f>SUM(BG99:BG106)</f>
        <v>0</v>
      </c>
      <c r="BH107" s="545" t="s">
        <v>2233</v>
      </c>
      <c r="BI107" s="642">
        <f>SUM(BI99:BI106)</f>
        <v>0</v>
      </c>
      <c r="BJ107" s="545" t="s">
        <v>2233</v>
      </c>
      <c r="BK107" s="642">
        <f>SUM(BK99:BK106)</f>
        <v>0</v>
      </c>
      <c r="BL107" s="545" t="s">
        <v>2233</v>
      </c>
      <c r="BM107" s="642">
        <f>SUM(BM99:BM106)</f>
        <v>0</v>
      </c>
      <c r="BN107" s="545" t="s">
        <v>2233</v>
      </c>
      <c r="BO107" s="642">
        <f>SUM(BO99:BO106)</f>
        <v>0</v>
      </c>
      <c r="BP107" s="2629"/>
      <c r="BQ107" s="542"/>
      <c r="BR107" s="542"/>
      <c r="BS107" s="542"/>
      <c r="BT107" s="542"/>
      <c r="BU107" s="545" t="s">
        <v>2233</v>
      </c>
      <c r="BV107" s="642">
        <f>SUM(BV99:BV106)</f>
        <v>0</v>
      </c>
      <c r="BW107" s="545" t="s">
        <v>2233</v>
      </c>
      <c r="BX107" s="642">
        <f>SUM(BX99:BX106)</f>
        <v>0</v>
      </c>
      <c r="BY107" s="545" t="s">
        <v>2233</v>
      </c>
      <c r="BZ107" s="642">
        <f>SUM(BZ99:BZ106)</f>
        <v>0</v>
      </c>
      <c r="CA107" s="545" t="s">
        <v>2233</v>
      </c>
      <c r="CB107" s="642">
        <f>SUM(CB99:CB106)</f>
        <v>0</v>
      </c>
      <c r="CC107" s="545" t="s">
        <v>2233</v>
      </c>
      <c r="CD107" s="643">
        <f>SUM(CD99:CD106)</f>
        <v>0</v>
      </c>
    </row>
    <row r="108" spans="1:82" s="98" customFormat="1" ht="15" customHeight="1">
      <c r="A108" s="99"/>
      <c r="B108" s="123"/>
      <c r="C108" s="127"/>
      <c r="D108" s="127"/>
      <c r="E108" s="127"/>
      <c r="F108" s="127"/>
      <c r="G108" s="117"/>
      <c r="H108" s="117"/>
      <c r="I108" s="117"/>
      <c r="J108" s="159"/>
      <c r="K108" s="94"/>
      <c r="L108" s="94"/>
      <c r="M108" s="94"/>
      <c r="N108" s="94"/>
      <c r="O108" s="94"/>
      <c r="P108" s="94"/>
      <c r="Q108" s="160"/>
      <c r="R108" s="159"/>
      <c r="S108" s="94"/>
      <c r="T108" s="94"/>
      <c r="U108" s="94"/>
      <c r="V108" s="160"/>
      <c r="W108" s="2629"/>
      <c r="X108" s="94"/>
      <c r="Y108" s="159"/>
      <c r="Z108" s="94"/>
      <c r="AA108" s="94"/>
      <c r="AB108" s="94"/>
      <c r="AC108" s="94"/>
      <c r="AD108" s="94"/>
      <c r="AE108" s="94"/>
      <c r="AF108" s="160"/>
      <c r="AG108" s="159"/>
      <c r="AH108" s="94"/>
      <c r="AI108" s="94"/>
      <c r="AJ108" s="94"/>
      <c r="AK108" s="160"/>
      <c r="AL108" s="2629"/>
      <c r="AM108" s="94"/>
      <c r="AN108" s="159"/>
      <c r="AO108" s="94"/>
      <c r="AP108" s="94"/>
      <c r="AQ108" s="94"/>
      <c r="AR108" s="94"/>
      <c r="AS108" s="94"/>
      <c r="AT108" s="94"/>
      <c r="AU108" s="160"/>
      <c r="AV108" s="159"/>
      <c r="AW108" s="94"/>
      <c r="AX108" s="94"/>
      <c r="AY108" s="94"/>
      <c r="AZ108" s="160"/>
      <c r="BA108" s="2629"/>
      <c r="BB108" s="542"/>
      <c r="BC108" s="542"/>
      <c r="BD108" s="542"/>
      <c r="BE108" s="542"/>
      <c r="BF108" s="542"/>
      <c r="BG108" s="542"/>
      <c r="BH108" s="542"/>
      <c r="BI108" s="542"/>
      <c r="BJ108" s="542"/>
      <c r="BK108" s="542"/>
      <c r="BL108" s="542"/>
      <c r="BM108" s="542"/>
      <c r="BN108" s="542"/>
      <c r="BO108" s="542"/>
      <c r="BP108" s="2629"/>
      <c r="BQ108" s="542"/>
      <c r="BR108" s="542"/>
      <c r="BS108" s="542"/>
      <c r="BT108" s="542"/>
      <c r="BU108" s="542"/>
      <c r="BV108" s="542"/>
      <c r="BW108" s="542"/>
      <c r="BX108" s="542"/>
      <c r="BY108" s="542"/>
      <c r="BZ108" s="542"/>
      <c r="CA108" s="542"/>
      <c r="CB108" s="542"/>
      <c r="CC108" s="542"/>
      <c r="CD108" s="544"/>
    </row>
    <row r="109" spans="1:82" s="98" customFormat="1" ht="15" customHeight="1">
      <c r="A109" s="99"/>
      <c r="B109" s="161"/>
      <c r="C109" s="185"/>
      <c r="D109" s="116" t="s">
        <v>2750</v>
      </c>
      <c r="E109" s="116"/>
      <c r="F109" s="116"/>
      <c r="G109" s="117"/>
      <c r="H109" s="117"/>
      <c r="I109" s="117"/>
      <c r="J109" s="159"/>
      <c r="K109" s="94"/>
      <c r="L109" s="94"/>
      <c r="M109" s="94"/>
      <c r="N109" s="94"/>
      <c r="O109" s="94"/>
      <c r="P109" s="94"/>
      <c r="Q109" s="160"/>
      <c r="R109" s="159"/>
      <c r="S109" s="94"/>
      <c r="T109" s="94"/>
      <c r="U109" s="94"/>
      <c r="V109" s="160"/>
      <c r="W109" s="2629"/>
      <c r="X109" s="94"/>
      <c r="Y109" s="159"/>
      <c r="Z109" s="94"/>
      <c r="AA109" s="94"/>
      <c r="AB109" s="94"/>
      <c r="AC109" s="94"/>
      <c r="AD109" s="94"/>
      <c r="AE109" s="94"/>
      <c r="AF109" s="160"/>
      <c r="AG109" s="159"/>
      <c r="AH109" s="94"/>
      <c r="AI109" s="94"/>
      <c r="AJ109" s="94"/>
      <c r="AK109" s="160"/>
      <c r="AL109" s="2629"/>
      <c r="AM109" s="94"/>
      <c r="AN109" s="159"/>
      <c r="AO109" s="94"/>
      <c r="AP109" s="94"/>
      <c r="AQ109" s="94"/>
      <c r="AR109" s="94"/>
      <c r="AS109" s="94"/>
      <c r="AT109" s="94"/>
      <c r="AU109" s="160"/>
      <c r="AV109" s="159"/>
      <c r="AW109" s="94"/>
      <c r="AX109" s="94"/>
      <c r="AY109" s="94"/>
      <c r="AZ109" s="160"/>
      <c r="BA109" s="2629"/>
      <c r="BB109" s="542"/>
      <c r="BC109" s="542"/>
      <c r="BD109" s="542"/>
      <c r="BE109" s="542"/>
      <c r="BF109" s="542"/>
      <c r="BG109" s="542"/>
      <c r="BH109" s="542"/>
      <c r="BI109" s="542"/>
      <c r="BJ109" s="542"/>
      <c r="BK109" s="542"/>
      <c r="BL109" s="542"/>
      <c r="BM109" s="542"/>
      <c r="BN109" s="542"/>
      <c r="BO109" s="542"/>
      <c r="BP109" s="2629"/>
      <c r="BQ109" s="542"/>
      <c r="BR109" s="542"/>
      <c r="BS109" s="542"/>
      <c r="BT109" s="542"/>
      <c r="BU109" s="542"/>
      <c r="BV109" s="542"/>
      <c r="BW109" s="542"/>
      <c r="BX109" s="542"/>
      <c r="BY109" s="542"/>
      <c r="BZ109" s="542"/>
      <c r="CA109" s="542"/>
      <c r="CB109" s="542"/>
      <c r="CC109" s="542"/>
      <c r="CD109" s="544"/>
    </row>
    <row r="110" spans="1:82" s="98" customFormat="1" ht="15" customHeight="1">
      <c r="A110" s="99"/>
      <c r="B110" s="161"/>
      <c r="C110" s="185"/>
      <c r="D110" s="162"/>
      <c r="E110" s="162" t="s">
        <v>2701</v>
      </c>
      <c r="F110" s="162"/>
      <c r="G110" s="163"/>
      <c r="H110" s="163"/>
      <c r="I110" s="164" t="s">
        <v>498</v>
      </c>
      <c r="J110" s="143">
        <v>0</v>
      </c>
      <c r="K110" s="141">
        <v>0</v>
      </c>
      <c r="L110" s="141">
        <v>0</v>
      </c>
      <c r="M110" s="141">
        <v>0</v>
      </c>
      <c r="N110" s="141">
        <v>0</v>
      </c>
      <c r="O110" s="141">
        <v>0</v>
      </c>
      <c r="P110" s="141">
        <v>0</v>
      </c>
      <c r="Q110" s="144">
        <v>0</v>
      </c>
      <c r="R110" s="143">
        <v>0</v>
      </c>
      <c r="S110" s="141">
        <v>0</v>
      </c>
      <c r="T110" s="141">
        <v>0</v>
      </c>
      <c r="U110" s="141">
        <v>0</v>
      </c>
      <c r="V110" s="144">
        <v>0</v>
      </c>
      <c r="W110" s="2629"/>
      <c r="X110" s="607" t="s">
        <v>498</v>
      </c>
      <c r="Y110" s="143">
        <v>0</v>
      </c>
      <c r="Z110" s="141">
        <v>0</v>
      </c>
      <c r="AA110" s="141">
        <v>0</v>
      </c>
      <c r="AB110" s="141">
        <v>0</v>
      </c>
      <c r="AC110" s="141">
        <v>0</v>
      </c>
      <c r="AD110" s="141">
        <v>0</v>
      </c>
      <c r="AE110" s="141">
        <v>0</v>
      </c>
      <c r="AF110" s="144">
        <v>0</v>
      </c>
      <c r="AG110" s="143">
        <v>0</v>
      </c>
      <c r="AH110" s="141">
        <v>0</v>
      </c>
      <c r="AI110" s="141">
        <v>0</v>
      </c>
      <c r="AJ110" s="141">
        <v>0</v>
      </c>
      <c r="AK110" s="144">
        <v>0</v>
      </c>
      <c r="AL110" s="2629"/>
      <c r="AM110" s="607" t="s">
        <v>2233</v>
      </c>
      <c r="AN110" s="143">
        <v>0</v>
      </c>
      <c r="AO110" s="141">
        <v>0</v>
      </c>
      <c r="AP110" s="141">
        <v>0</v>
      </c>
      <c r="AQ110" s="141">
        <v>0</v>
      </c>
      <c r="AR110" s="141">
        <v>0</v>
      </c>
      <c r="AS110" s="141">
        <v>0</v>
      </c>
      <c r="AT110" s="141">
        <v>0</v>
      </c>
      <c r="AU110" s="144">
        <v>0</v>
      </c>
      <c r="AV110" s="143">
        <v>0</v>
      </c>
      <c r="AW110" s="141">
        <v>0</v>
      </c>
      <c r="AX110" s="141">
        <v>0</v>
      </c>
      <c r="AY110" s="141">
        <v>0</v>
      </c>
      <c r="AZ110" s="144">
        <v>0</v>
      </c>
      <c r="BA110" s="2629"/>
      <c r="BB110" s="545" t="s">
        <v>627</v>
      </c>
      <c r="BC110" s="868">
        <v>0</v>
      </c>
      <c r="BD110" s="545" t="s">
        <v>627</v>
      </c>
      <c r="BE110" s="868">
        <v>0</v>
      </c>
      <c r="BF110" s="545" t="s">
        <v>2233</v>
      </c>
      <c r="BG110" s="141">
        <v>0</v>
      </c>
      <c r="BH110" s="545" t="s">
        <v>2233</v>
      </c>
      <c r="BI110" s="141">
        <v>0</v>
      </c>
      <c r="BJ110" s="545" t="s">
        <v>2233</v>
      </c>
      <c r="BK110" s="141">
        <v>0</v>
      </c>
      <c r="BL110" s="545" t="s">
        <v>2233</v>
      </c>
      <c r="BM110" s="141">
        <v>0</v>
      </c>
      <c r="BN110" s="545" t="s">
        <v>2233</v>
      </c>
      <c r="BO110" s="141">
        <v>0</v>
      </c>
      <c r="BP110" s="2629"/>
      <c r="BQ110" s="545" t="s">
        <v>627</v>
      </c>
      <c r="BR110" s="868">
        <v>0</v>
      </c>
      <c r="BS110" s="545" t="s">
        <v>627</v>
      </c>
      <c r="BT110" s="868">
        <v>0</v>
      </c>
      <c r="BU110" s="545" t="s">
        <v>2233</v>
      </c>
      <c r="BV110" s="141">
        <v>0</v>
      </c>
      <c r="BW110" s="545" t="s">
        <v>2233</v>
      </c>
      <c r="BX110" s="141">
        <v>0</v>
      </c>
      <c r="BY110" s="545" t="s">
        <v>2233</v>
      </c>
      <c r="BZ110" s="141">
        <v>0</v>
      </c>
      <c r="CA110" s="545" t="s">
        <v>2233</v>
      </c>
      <c r="CB110" s="141">
        <v>0</v>
      </c>
      <c r="CC110" s="545" t="s">
        <v>2233</v>
      </c>
      <c r="CD110" s="144">
        <v>0</v>
      </c>
    </row>
    <row r="111" spans="1:82" s="98" customFormat="1" ht="15" customHeight="1">
      <c r="A111" s="99"/>
      <c r="B111" s="161"/>
      <c r="C111" s="185"/>
      <c r="D111" s="162"/>
      <c r="E111" s="162" t="s">
        <v>2702</v>
      </c>
      <c r="F111" s="162"/>
      <c r="G111" s="163"/>
      <c r="H111" s="163"/>
      <c r="I111" s="164" t="s">
        <v>498</v>
      </c>
      <c r="J111" s="143">
        <v>0</v>
      </c>
      <c r="K111" s="141">
        <v>0</v>
      </c>
      <c r="L111" s="141">
        <v>0</v>
      </c>
      <c r="M111" s="141">
        <v>0</v>
      </c>
      <c r="N111" s="141">
        <v>0</v>
      </c>
      <c r="O111" s="141">
        <v>0</v>
      </c>
      <c r="P111" s="141">
        <v>0</v>
      </c>
      <c r="Q111" s="144">
        <v>0</v>
      </c>
      <c r="R111" s="143">
        <v>0</v>
      </c>
      <c r="S111" s="141">
        <v>0</v>
      </c>
      <c r="T111" s="141">
        <v>0</v>
      </c>
      <c r="U111" s="141">
        <v>0</v>
      </c>
      <c r="V111" s="144">
        <v>0</v>
      </c>
      <c r="W111" s="2629"/>
      <c r="X111" s="607" t="s">
        <v>498</v>
      </c>
      <c r="Y111" s="143">
        <v>0</v>
      </c>
      <c r="Z111" s="141">
        <v>0</v>
      </c>
      <c r="AA111" s="141">
        <v>0</v>
      </c>
      <c r="AB111" s="141">
        <v>0</v>
      </c>
      <c r="AC111" s="141">
        <v>0</v>
      </c>
      <c r="AD111" s="141">
        <v>0</v>
      </c>
      <c r="AE111" s="141">
        <v>0</v>
      </c>
      <c r="AF111" s="144">
        <v>0</v>
      </c>
      <c r="AG111" s="143">
        <v>0</v>
      </c>
      <c r="AH111" s="141">
        <v>0</v>
      </c>
      <c r="AI111" s="141">
        <v>0</v>
      </c>
      <c r="AJ111" s="141">
        <v>0</v>
      </c>
      <c r="AK111" s="144">
        <v>0</v>
      </c>
      <c r="AL111" s="2629"/>
      <c r="AM111" s="607" t="s">
        <v>2233</v>
      </c>
      <c r="AN111" s="143">
        <v>0</v>
      </c>
      <c r="AO111" s="141">
        <v>0</v>
      </c>
      <c r="AP111" s="141">
        <v>0</v>
      </c>
      <c r="AQ111" s="141">
        <v>0</v>
      </c>
      <c r="AR111" s="141">
        <v>0</v>
      </c>
      <c r="AS111" s="141">
        <v>0</v>
      </c>
      <c r="AT111" s="141">
        <v>0</v>
      </c>
      <c r="AU111" s="144">
        <v>0</v>
      </c>
      <c r="AV111" s="143">
        <v>0</v>
      </c>
      <c r="AW111" s="141">
        <v>0</v>
      </c>
      <c r="AX111" s="141">
        <v>0</v>
      </c>
      <c r="AY111" s="141">
        <v>0</v>
      </c>
      <c r="AZ111" s="144">
        <v>0</v>
      </c>
      <c r="BA111" s="2629"/>
      <c r="BB111" s="545" t="s">
        <v>627</v>
      </c>
      <c r="BC111" s="868">
        <v>0</v>
      </c>
      <c r="BD111" s="545" t="s">
        <v>627</v>
      </c>
      <c r="BE111" s="868">
        <v>0</v>
      </c>
      <c r="BF111" s="545" t="s">
        <v>2233</v>
      </c>
      <c r="BG111" s="141">
        <v>0</v>
      </c>
      <c r="BH111" s="545" t="s">
        <v>2233</v>
      </c>
      <c r="BI111" s="141">
        <v>0</v>
      </c>
      <c r="BJ111" s="545" t="s">
        <v>2233</v>
      </c>
      <c r="BK111" s="141">
        <v>0</v>
      </c>
      <c r="BL111" s="545" t="s">
        <v>2233</v>
      </c>
      <c r="BM111" s="141">
        <v>0</v>
      </c>
      <c r="BN111" s="545" t="s">
        <v>2233</v>
      </c>
      <c r="BO111" s="141">
        <v>0</v>
      </c>
      <c r="BP111" s="2629"/>
      <c r="BQ111" s="545" t="s">
        <v>627</v>
      </c>
      <c r="BR111" s="868">
        <v>0</v>
      </c>
      <c r="BS111" s="545" t="s">
        <v>627</v>
      </c>
      <c r="BT111" s="868">
        <v>0</v>
      </c>
      <c r="BU111" s="545" t="s">
        <v>2233</v>
      </c>
      <c r="BV111" s="141">
        <v>0</v>
      </c>
      <c r="BW111" s="545" t="s">
        <v>2233</v>
      </c>
      <c r="BX111" s="141">
        <v>0</v>
      </c>
      <c r="BY111" s="545" t="s">
        <v>2233</v>
      </c>
      <c r="BZ111" s="141">
        <v>0</v>
      </c>
      <c r="CA111" s="545" t="s">
        <v>2233</v>
      </c>
      <c r="CB111" s="141">
        <v>0</v>
      </c>
      <c r="CC111" s="545" t="s">
        <v>2233</v>
      </c>
      <c r="CD111" s="144">
        <v>0</v>
      </c>
    </row>
    <row r="112" spans="1:82" s="98" customFormat="1" ht="15" customHeight="1">
      <c r="A112" s="99"/>
      <c r="B112" s="161"/>
      <c r="C112" s="185"/>
      <c r="D112" s="162"/>
      <c r="E112" s="162" t="s">
        <v>2703</v>
      </c>
      <c r="F112" s="162"/>
      <c r="G112" s="163"/>
      <c r="H112" s="163"/>
      <c r="I112" s="164" t="s">
        <v>498</v>
      </c>
      <c r="J112" s="143">
        <v>0</v>
      </c>
      <c r="K112" s="141">
        <v>0</v>
      </c>
      <c r="L112" s="141">
        <v>0</v>
      </c>
      <c r="M112" s="141">
        <v>0</v>
      </c>
      <c r="N112" s="141">
        <v>0</v>
      </c>
      <c r="O112" s="141">
        <v>0</v>
      </c>
      <c r="P112" s="141">
        <v>0</v>
      </c>
      <c r="Q112" s="144">
        <v>0</v>
      </c>
      <c r="R112" s="143">
        <v>0</v>
      </c>
      <c r="S112" s="141">
        <v>0</v>
      </c>
      <c r="T112" s="141">
        <v>0</v>
      </c>
      <c r="U112" s="141">
        <v>0</v>
      </c>
      <c r="V112" s="144">
        <v>0</v>
      </c>
      <c r="W112" s="2629"/>
      <c r="X112" s="607" t="s">
        <v>498</v>
      </c>
      <c r="Y112" s="143">
        <v>0</v>
      </c>
      <c r="Z112" s="141">
        <v>0</v>
      </c>
      <c r="AA112" s="141">
        <v>0</v>
      </c>
      <c r="AB112" s="141">
        <v>0</v>
      </c>
      <c r="AC112" s="141">
        <v>0</v>
      </c>
      <c r="AD112" s="141">
        <v>0</v>
      </c>
      <c r="AE112" s="141">
        <v>0</v>
      </c>
      <c r="AF112" s="144">
        <v>0</v>
      </c>
      <c r="AG112" s="143">
        <v>0</v>
      </c>
      <c r="AH112" s="141">
        <v>0</v>
      </c>
      <c r="AI112" s="141">
        <v>0</v>
      </c>
      <c r="AJ112" s="141">
        <v>0</v>
      </c>
      <c r="AK112" s="144">
        <v>0</v>
      </c>
      <c r="AL112" s="2629"/>
      <c r="AM112" s="607" t="s">
        <v>2233</v>
      </c>
      <c r="AN112" s="143">
        <v>0</v>
      </c>
      <c r="AO112" s="141">
        <v>0</v>
      </c>
      <c r="AP112" s="141">
        <v>0</v>
      </c>
      <c r="AQ112" s="141">
        <v>0</v>
      </c>
      <c r="AR112" s="141">
        <v>0</v>
      </c>
      <c r="AS112" s="141">
        <v>0</v>
      </c>
      <c r="AT112" s="141">
        <v>0</v>
      </c>
      <c r="AU112" s="144">
        <v>0</v>
      </c>
      <c r="AV112" s="143">
        <v>0</v>
      </c>
      <c r="AW112" s="141">
        <v>0</v>
      </c>
      <c r="AX112" s="141">
        <v>0</v>
      </c>
      <c r="AY112" s="141">
        <v>0</v>
      </c>
      <c r="AZ112" s="144">
        <v>0</v>
      </c>
      <c r="BA112" s="2629"/>
      <c r="BB112" s="545" t="s">
        <v>627</v>
      </c>
      <c r="BC112" s="868">
        <v>0</v>
      </c>
      <c r="BD112" s="545" t="s">
        <v>627</v>
      </c>
      <c r="BE112" s="868">
        <v>0</v>
      </c>
      <c r="BF112" s="545" t="s">
        <v>2233</v>
      </c>
      <c r="BG112" s="141">
        <v>0</v>
      </c>
      <c r="BH112" s="545" t="s">
        <v>2233</v>
      </c>
      <c r="BI112" s="141">
        <v>0</v>
      </c>
      <c r="BJ112" s="545" t="s">
        <v>2233</v>
      </c>
      <c r="BK112" s="141">
        <v>0</v>
      </c>
      <c r="BL112" s="545" t="s">
        <v>2233</v>
      </c>
      <c r="BM112" s="141">
        <v>0</v>
      </c>
      <c r="BN112" s="545" t="s">
        <v>2233</v>
      </c>
      <c r="BO112" s="141">
        <v>0</v>
      </c>
      <c r="BP112" s="2629"/>
      <c r="BQ112" s="545" t="s">
        <v>627</v>
      </c>
      <c r="BR112" s="868">
        <v>0</v>
      </c>
      <c r="BS112" s="545" t="s">
        <v>627</v>
      </c>
      <c r="BT112" s="868">
        <v>0</v>
      </c>
      <c r="BU112" s="545" t="s">
        <v>2233</v>
      </c>
      <c r="BV112" s="141">
        <v>0</v>
      </c>
      <c r="BW112" s="545" t="s">
        <v>2233</v>
      </c>
      <c r="BX112" s="141">
        <v>0</v>
      </c>
      <c r="BY112" s="545" t="s">
        <v>2233</v>
      </c>
      <c r="BZ112" s="141">
        <v>0</v>
      </c>
      <c r="CA112" s="545" t="s">
        <v>2233</v>
      </c>
      <c r="CB112" s="141">
        <v>0</v>
      </c>
      <c r="CC112" s="545" t="s">
        <v>2233</v>
      </c>
      <c r="CD112" s="144">
        <v>0</v>
      </c>
    </row>
    <row r="113" spans="1:82" s="98" customFormat="1" ht="15" customHeight="1">
      <c r="A113" s="99"/>
      <c r="B113" s="161"/>
      <c r="C113" s="185"/>
      <c r="D113" s="162"/>
      <c r="E113" s="162" t="s">
        <v>2704</v>
      </c>
      <c r="F113" s="162"/>
      <c r="G113" s="163"/>
      <c r="H113" s="163"/>
      <c r="I113" s="164" t="s">
        <v>498</v>
      </c>
      <c r="J113" s="143">
        <v>0</v>
      </c>
      <c r="K113" s="141">
        <v>0</v>
      </c>
      <c r="L113" s="141">
        <v>0</v>
      </c>
      <c r="M113" s="141">
        <v>0</v>
      </c>
      <c r="N113" s="141">
        <v>0</v>
      </c>
      <c r="O113" s="141">
        <v>0</v>
      </c>
      <c r="P113" s="141">
        <v>0</v>
      </c>
      <c r="Q113" s="144">
        <v>0</v>
      </c>
      <c r="R113" s="143">
        <v>0</v>
      </c>
      <c r="S113" s="141">
        <v>0</v>
      </c>
      <c r="T113" s="141">
        <v>0</v>
      </c>
      <c r="U113" s="141">
        <v>0</v>
      </c>
      <c r="V113" s="144">
        <v>0</v>
      </c>
      <c r="W113" s="2629"/>
      <c r="X113" s="607" t="s">
        <v>498</v>
      </c>
      <c r="Y113" s="143">
        <v>0</v>
      </c>
      <c r="Z113" s="141">
        <v>0</v>
      </c>
      <c r="AA113" s="141">
        <v>0</v>
      </c>
      <c r="AB113" s="141">
        <v>0</v>
      </c>
      <c r="AC113" s="141">
        <v>0</v>
      </c>
      <c r="AD113" s="141">
        <v>0</v>
      </c>
      <c r="AE113" s="141">
        <v>0</v>
      </c>
      <c r="AF113" s="144">
        <v>0</v>
      </c>
      <c r="AG113" s="143">
        <v>0</v>
      </c>
      <c r="AH113" s="141">
        <v>0</v>
      </c>
      <c r="AI113" s="141">
        <v>0</v>
      </c>
      <c r="AJ113" s="141">
        <v>0</v>
      </c>
      <c r="AK113" s="144">
        <v>0</v>
      </c>
      <c r="AL113" s="2629"/>
      <c r="AM113" s="607" t="s">
        <v>2233</v>
      </c>
      <c r="AN113" s="143">
        <v>0</v>
      </c>
      <c r="AO113" s="141">
        <v>0</v>
      </c>
      <c r="AP113" s="141">
        <v>0</v>
      </c>
      <c r="AQ113" s="141">
        <v>0</v>
      </c>
      <c r="AR113" s="141">
        <v>0</v>
      </c>
      <c r="AS113" s="141">
        <v>0</v>
      </c>
      <c r="AT113" s="141">
        <v>0</v>
      </c>
      <c r="AU113" s="144">
        <v>0</v>
      </c>
      <c r="AV113" s="143">
        <v>0</v>
      </c>
      <c r="AW113" s="141">
        <v>0</v>
      </c>
      <c r="AX113" s="141">
        <v>0</v>
      </c>
      <c r="AY113" s="141">
        <v>0</v>
      </c>
      <c r="AZ113" s="144">
        <v>0</v>
      </c>
      <c r="BA113" s="2629"/>
      <c r="BB113" s="545" t="s">
        <v>627</v>
      </c>
      <c r="BC113" s="868">
        <v>0</v>
      </c>
      <c r="BD113" s="545" t="s">
        <v>627</v>
      </c>
      <c r="BE113" s="868">
        <v>0</v>
      </c>
      <c r="BF113" s="545" t="s">
        <v>2233</v>
      </c>
      <c r="BG113" s="141">
        <v>0</v>
      </c>
      <c r="BH113" s="545" t="s">
        <v>2233</v>
      </c>
      <c r="BI113" s="141">
        <v>0</v>
      </c>
      <c r="BJ113" s="545" t="s">
        <v>2233</v>
      </c>
      <c r="BK113" s="141">
        <v>0</v>
      </c>
      <c r="BL113" s="545" t="s">
        <v>2233</v>
      </c>
      <c r="BM113" s="141">
        <v>0</v>
      </c>
      <c r="BN113" s="545" t="s">
        <v>2233</v>
      </c>
      <c r="BO113" s="141">
        <v>0</v>
      </c>
      <c r="BP113" s="2629"/>
      <c r="BQ113" s="545" t="s">
        <v>627</v>
      </c>
      <c r="BR113" s="868">
        <v>0</v>
      </c>
      <c r="BS113" s="545" t="s">
        <v>627</v>
      </c>
      <c r="BT113" s="868">
        <v>0</v>
      </c>
      <c r="BU113" s="545" t="s">
        <v>2233</v>
      </c>
      <c r="BV113" s="141">
        <v>0</v>
      </c>
      <c r="BW113" s="545" t="s">
        <v>2233</v>
      </c>
      <c r="BX113" s="141">
        <v>0</v>
      </c>
      <c r="BY113" s="545" t="s">
        <v>2233</v>
      </c>
      <c r="BZ113" s="141">
        <v>0</v>
      </c>
      <c r="CA113" s="545" t="s">
        <v>2233</v>
      </c>
      <c r="CB113" s="141">
        <v>0</v>
      </c>
      <c r="CC113" s="545" t="s">
        <v>2233</v>
      </c>
      <c r="CD113" s="144">
        <v>0</v>
      </c>
    </row>
    <row r="114" spans="1:82" s="98" customFormat="1" ht="15" customHeight="1">
      <c r="A114" s="99"/>
      <c r="B114" s="161"/>
      <c r="C114" s="185"/>
      <c r="D114" s="162"/>
      <c r="E114" s="162" t="s">
        <v>2705</v>
      </c>
      <c r="F114" s="162"/>
      <c r="G114" s="163"/>
      <c r="H114" s="163"/>
      <c r="I114" s="164" t="s">
        <v>498</v>
      </c>
      <c r="J114" s="143">
        <v>0</v>
      </c>
      <c r="K114" s="141">
        <v>0</v>
      </c>
      <c r="L114" s="141">
        <v>0</v>
      </c>
      <c r="M114" s="141">
        <v>0</v>
      </c>
      <c r="N114" s="141">
        <v>0</v>
      </c>
      <c r="O114" s="141">
        <v>0</v>
      </c>
      <c r="P114" s="141">
        <v>0</v>
      </c>
      <c r="Q114" s="144">
        <v>0</v>
      </c>
      <c r="R114" s="143">
        <v>0</v>
      </c>
      <c r="S114" s="141">
        <v>0</v>
      </c>
      <c r="T114" s="141">
        <v>0</v>
      </c>
      <c r="U114" s="141">
        <v>0</v>
      </c>
      <c r="V114" s="144">
        <v>0</v>
      </c>
      <c r="W114" s="2629"/>
      <c r="X114" s="607" t="s">
        <v>498</v>
      </c>
      <c r="Y114" s="143">
        <v>0</v>
      </c>
      <c r="Z114" s="141">
        <v>0</v>
      </c>
      <c r="AA114" s="141">
        <v>0</v>
      </c>
      <c r="AB114" s="141">
        <v>0</v>
      </c>
      <c r="AC114" s="141">
        <v>0</v>
      </c>
      <c r="AD114" s="141">
        <v>0</v>
      </c>
      <c r="AE114" s="141">
        <v>0</v>
      </c>
      <c r="AF114" s="144">
        <v>0</v>
      </c>
      <c r="AG114" s="143">
        <v>0</v>
      </c>
      <c r="AH114" s="141">
        <v>0</v>
      </c>
      <c r="AI114" s="141">
        <v>0</v>
      </c>
      <c r="AJ114" s="141">
        <v>0</v>
      </c>
      <c r="AK114" s="144">
        <v>0</v>
      </c>
      <c r="AL114" s="2629"/>
      <c r="AM114" s="607" t="s">
        <v>2233</v>
      </c>
      <c r="AN114" s="143">
        <v>0</v>
      </c>
      <c r="AO114" s="141">
        <v>0</v>
      </c>
      <c r="AP114" s="141">
        <v>0</v>
      </c>
      <c r="AQ114" s="141">
        <v>0</v>
      </c>
      <c r="AR114" s="141">
        <v>0</v>
      </c>
      <c r="AS114" s="141">
        <v>0</v>
      </c>
      <c r="AT114" s="141">
        <v>0</v>
      </c>
      <c r="AU114" s="144">
        <v>0</v>
      </c>
      <c r="AV114" s="143">
        <v>0</v>
      </c>
      <c r="AW114" s="141">
        <v>0</v>
      </c>
      <c r="AX114" s="141">
        <v>0</v>
      </c>
      <c r="AY114" s="141">
        <v>0</v>
      </c>
      <c r="AZ114" s="144">
        <v>0</v>
      </c>
      <c r="BA114" s="2629"/>
      <c r="BB114" s="545" t="s">
        <v>627</v>
      </c>
      <c r="BC114" s="868">
        <v>0</v>
      </c>
      <c r="BD114" s="545" t="s">
        <v>627</v>
      </c>
      <c r="BE114" s="868">
        <v>0</v>
      </c>
      <c r="BF114" s="545" t="s">
        <v>2233</v>
      </c>
      <c r="BG114" s="141">
        <v>0</v>
      </c>
      <c r="BH114" s="545" t="s">
        <v>2233</v>
      </c>
      <c r="BI114" s="141">
        <v>0</v>
      </c>
      <c r="BJ114" s="545" t="s">
        <v>2233</v>
      </c>
      <c r="BK114" s="141">
        <v>0</v>
      </c>
      <c r="BL114" s="545" t="s">
        <v>2233</v>
      </c>
      <c r="BM114" s="141">
        <v>0</v>
      </c>
      <c r="BN114" s="545" t="s">
        <v>2233</v>
      </c>
      <c r="BO114" s="141">
        <v>0</v>
      </c>
      <c r="BP114" s="2629"/>
      <c r="BQ114" s="545" t="s">
        <v>627</v>
      </c>
      <c r="BR114" s="868">
        <v>0</v>
      </c>
      <c r="BS114" s="545" t="s">
        <v>627</v>
      </c>
      <c r="BT114" s="868">
        <v>0</v>
      </c>
      <c r="BU114" s="545" t="s">
        <v>2233</v>
      </c>
      <c r="BV114" s="141">
        <v>0</v>
      </c>
      <c r="BW114" s="545" t="s">
        <v>2233</v>
      </c>
      <c r="BX114" s="141">
        <v>0</v>
      </c>
      <c r="BY114" s="545" t="s">
        <v>2233</v>
      </c>
      <c r="BZ114" s="141">
        <v>0</v>
      </c>
      <c r="CA114" s="545" t="s">
        <v>2233</v>
      </c>
      <c r="CB114" s="141">
        <v>0</v>
      </c>
      <c r="CC114" s="545" t="s">
        <v>2233</v>
      </c>
      <c r="CD114" s="144">
        <v>0</v>
      </c>
    </row>
    <row r="115" spans="1:82" s="98" customFormat="1" ht="15" customHeight="1">
      <c r="A115" s="99"/>
      <c r="B115" s="161"/>
      <c r="C115" s="185"/>
      <c r="D115" s="162"/>
      <c r="E115" s="162" t="s">
        <v>2706</v>
      </c>
      <c r="F115" s="162"/>
      <c r="G115" s="163"/>
      <c r="H115" s="163"/>
      <c r="I115" s="164" t="s">
        <v>498</v>
      </c>
      <c r="J115" s="143">
        <v>0</v>
      </c>
      <c r="K115" s="141">
        <v>0</v>
      </c>
      <c r="L115" s="141">
        <v>0</v>
      </c>
      <c r="M115" s="141">
        <v>0</v>
      </c>
      <c r="N115" s="141">
        <v>0</v>
      </c>
      <c r="O115" s="141">
        <v>0</v>
      </c>
      <c r="P115" s="141">
        <v>0</v>
      </c>
      <c r="Q115" s="144">
        <v>0</v>
      </c>
      <c r="R115" s="143">
        <v>0</v>
      </c>
      <c r="S115" s="141">
        <v>0</v>
      </c>
      <c r="T115" s="141">
        <v>0</v>
      </c>
      <c r="U115" s="141">
        <v>0</v>
      </c>
      <c r="V115" s="144">
        <v>0</v>
      </c>
      <c r="W115" s="2629"/>
      <c r="X115" s="607" t="s">
        <v>498</v>
      </c>
      <c r="Y115" s="143">
        <v>0</v>
      </c>
      <c r="Z115" s="141">
        <v>0</v>
      </c>
      <c r="AA115" s="141">
        <v>0</v>
      </c>
      <c r="AB115" s="141">
        <v>0</v>
      </c>
      <c r="AC115" s="141">
        <v>0</v>
      </c>
      <c r="AD115" s="141">
        <v>0</v>
      </c>
      <c r="AE115" s="141">
        <v>0</v>
      </c>
      <c r="AF115" s="144">
        <v>0</v>
      </c>
      <c r="AG115" s="143">
        <v>0</v>
      </c>
      <c r="AH115" s="141">
        <v>0</v>
      </c>
      <c r="AI115" s="141">
        <v>0</v>
      </c>
      <c r="AJ115" s="141">
        <v>0</v>
      </c>
      <c r="AK115" s="144">
        <v>0</v>
      </c>
      <c r="AL115" s="2629"/>
      <c r="AM115" s="607" t="s">
        <v>2233</v>
      </c>
      <c r="AN115" s="143">
        <v>0</v>
      </c>
      <c r="AO115" s="141">
        <v>0</v>
      </c>
      <c r="AP115" s="141">
        <v>0</v>
      </c>
      <c r="AQ115" s="141">
        <v>0</v>
      </c>
      <c r="AR115" s="141">
        <v>0</v>
      </c>
      <c r="AS115" s="141">
        <v>0</v>
      </c>
      <c r="AT115" s="141">
        <v>0</v>
      </c>
      <c r="AU115" s="144">
        <v>0</v>
      </c>
      <c r="AV115" s="143">
        <v>0</v>
      </c>
      <c r="AW115" s="141">
        <v>0</v>
      </c>
      <c r="AX115" s="141">
        <v>0</v>
      </c>
      <c r="AY115" s="141">
        <v>0</v>
      </c>
      <c r="AZ115" s="144">
        <v>0</v>
      </c>
      <c r="BA115" s="2629"/>
      <c r="BB115" s="545" t="s">
        <v>627</v>
      </c>
      <c r="BC115" s="868">
        <v>0</v>
      </c>
      <c r="BD115" s="545" t="s">
        <v>627</v>
      </c>
      <c r="BE115" s="868">
        <v>0</v>
      </c>
      <c r="BF115" s="545" t="s">
        <v>2233</v>
      </c>
      <c r="BG115" s="141">
        <v>0</v>
      </c>
      <c r="BH115" s="545" t="s">
        <v>2233</v>
      </c>
      <c r="BI115" s="141">
        <v>0</v>
      </c>
      <c r="BJ115" s="545" t="s">
        <v>2233</v>
      </c>
      <c r="BK115" s="141">
        <v>0</v>
      </c>
      <c r="BL115" s="545" t="s">
        <v>2233</v>
      </c>
      <c r="BM115" s="141">
        <v>0</v>
      </c>
      <c r="BN115" s="545" t="s">
        <v>2233</v>
      </c>
      <c r="BO115" s="141">
        <v>0</v>
      </c>
      <c r="BP115" s="2629"/>
      <c r="BQ115" s="545" t="s">
        <v>627</v>
      </c>
      <c r="BR115" s="868">
        <v>0</v>
      </c>
      <c r="BS115" s="545" t="s">
        <v>627</v>
      </c>
      <c r="BT115" s="868">
        <v>0</v>
      </c>
      <c r="BU115" s="545" t="s">
        <v>2233</v>
      </c>
      <c r="BV115" s="141">
        <v>0</v>
      </c>
      <c r="BW115" s="545" t="s">
        <v>2233</v>
      </c>
      <c r="BX115" s="141">
        <v>0</v>
      </c>
      <c r="BY115" s="545" t="s">
        <v>2233</v>
      </c>
      <c r="BZ115" s="141">
        <v>0</v>
      </c>
      <c r="CA115" s="545" t="s">
        <v>2233</v>
      </c>
      <c r="CB115" s="141">
        <v>0</v>
      </c>
      <c r="CC115" s="545" t="s">
        <v>2233</v>
      </c>
      <c r="CD115" s="144">
        <v>0</v>
      </c>
    </row>
    <row r="116" spans="1:82" s="98" customFormat="1" ht="15" customHeight="1">
      <c r="A116" s="99"/>
      <c r="B116" s="161"/>
      <c r="C116" s="185"/>
      <c r="D116" s="162"/>
      <c r="E116" s="162" t="s">
        <v>2707</v>
      </c>
      <c r="F116" s="162"/>
      <c r="G116" s="163"/>
      <c r="H116" s="163"/>
      <c r="I116" s="164" t="s">
        <v>498</v>
      </c>
      <c r="J116" s="143">
        <v>0</v>
      </c>
      <c r="K116" s="141">
        <v>0</v>
      </c>
      <c r="L116" s="141">
        <v>0</v>
      </c>
      <c r="M116" s="141">
        <v>0</v>
      </c>
      <c r="N116" s="141">
        <v>0</v>
      </c>
      <c r="O116" s="141">
        <v>0</v>
      </c>
      <c r="P116" s="141">
        <v>0</v>
      </c>
      <c r="Q116" s="144">
        <v>0</v>
      </c>
      <c r="R116" s="143">
        <v>0</v>
      </c>
      <c r="S116" s="141">
        <v>0</v>
      </c>
      <c r="T116" s="141">
        <v>0</v>
      </c>
      <c r="U116" s="141">
        <v>0</v>
      </c>
      <c r="V116" s="144">
        <v>0</v>
      </c>
      <c r="W116" s="2629"/>
      <c r="X116" s="607" t="s">
        <v>498</v>
      </c>
      <c r="Y116" s="143">
        <v>0</v>
      </c>
      <c r="Z116" s="141">
        <v>0</v>
      </c>
      <c r="AA116" s="141">
        <v>0</v>
      </c>
      <c r="AB116" s="141">
        <v>0</v>
      </c>
      <c r="AC116" s="141">
        <v>0</v>
      </c>
      <c r="AD116" s="141">
        <v>0</v>
      </c>
      <c r="AE116" s="141">
        <v>0</v>
      </c>
      <c r="AF116" s="144">
        <v>0</v>
      </c>
      <c r="AG116" s="143">
        <v>0</v>
      </c>
      <c r="AH116" s="141">
        <v>0</v>
      </c>
      <c r="AI116" s="141">
        <v>0</v>
      </c>
      <c r="AJ116" s="141">
        <v>0</v>
      </c>
      <c r="AK116" s="144">
        <v>0</v>
      </c>
      <c r="AL116" s="2629"/>
      <c r="AM116" s="607" t="s">
        <v>2233</v>
      </c>
      <c r="AN116" s="143">
        <v>0</v>
      </c>
      <c r="AO116" s="141">
        <v>0</v>
      </c>
      <c r="AP116" s="141">
        <v>0</v>
      </c>
      <c r="AQ116" s="141">
        <v>0</v>
      </c>
      <c r="AR116" s="141">
        <v>0</v>
      </c>
      <c r="AS116" s="141">
        <v>0</v>
      </c>
      <c r="AT116" s="141">
        <v>0</v>
      </c>
      <c r="AU116" s="144">
        <v>0</v>
      </c>
      <c r="AV116" s="143">
        <v>0</v>
      </c>
      <c r="AW116" s="141">
        <v>0</v>
      </c>
      <c r="AX116" s="141">
        <v>0</v>
      </c>
      <c r="AY116" s="141">
        <v>0</v>
      </c>
      <c r="AZ116" s="144">
        <v>0</v>
      </c>
      <c r="BA116" s="2629"/>
      <c r="BB116" s="545" t="s">
        <v>627</v>
      </c>
      <c r="BC116" s="868">
        <v>0</v>
      </c>
      <c r="BD116" s="545" t="s">
        <v>627</v>
      </c>
      <c r="BE116" s="868">
        <v>0</v>
      </c>
      <c r="BF116" s="545" t="s">
        <v>2233</v>
      </c>
      <c r="BG116" s="141">
        <v>0</v>
      </c>
      <c r="BH116" s="545" t="s">
        <v>2233</v>
      </c>
      <c r="BI116" s="141">
        <v>0</v>
      </c>
      <c r="BJ116" s="545" t="s">
        <v>2233</v>
      </c>
      <c r="BK116" s="141">
        <v>0</v>
      </c>
      <c r="BL116" s="545" t="s">
        <v>2233</v>
      </c>
      <c r="BM116" s="141">
        <v>0</v>
      </c>
      <c r="BN116" s="545" t="s">
        <v>2233</v>
      </c>
      <c r="BO116" s="141">
        <v>0</v>
      </c>
      <c r="BP116" s="2629"/>
      <c r="BQ116" s="545" t="s">
        <v>627</v>
      </c>
      <c r="BR116" s="868">
        <v>0</v>
      </c>
      <c r="BS116" s="545" t="s">
        <v>627</v>
      </c>
      <c r="BT116" s="868">
        <v>0</v>
      </c>
      <c r="BU116" s="545" t="s">
        <v>2233</v>
      </c>
      <c r="BV116" s="141">
        <v>0</v>
      </c>
      <c r="BW116" s="545" t="s">
        <v>2233</v>
      </c>
      <c r="BX116" s="141">
        <v>0</v>
      </c>
      <c r="BY116" s="545" t="s">
        <v>2233</v>
      </c>
      <c r="BZ116" s="141">
        <v>0</v>
      </c>
      <c r="CA116" s="545" t="s">
        <v>2233</v>
      </c>
      <c r="CB116" s="141">
        <v>0</v>
      </c>
      <c r="CC116" s="545" t="s">
        <v>2233</v>
      </c>
      <c r="CD116" s="144">
        <v>0</v>
      </c>
    </row>
    <row r="117" spans="1:82" s="98" customFormat="1" ht="15" customHeight="1">
      <c r="A117" s="99"/>
      <c r="B117" s="161"/>
      <c r="C117" s="185"/>
      <c r="D117" s="162"/>
      <c r="E117" s="162" t="s">
        <v>2708</v>
      </c>
      <c r="F117" s="162"/>
      <c r="G117" s="163"/>
      <c r="H117" s="163"/>
      <c r="I117" s="164" t="s">
        <v>498</v>
      </c>
      <c r="J117" s="143">
        <v>0</v>
      </c>
      <c r="K117" s="141">
        <v>0</v>
      </c>
      <c r="L117" s="141">
        <v>0</v>
      </c>
      <c r="M117" s="141">
        <v>0</v>
      </c>
      <c r="N117" s="141">
        <v>0</v>
      </c>
      <c r="O117" s="141">
        <v>0</v>
      </c>
      <c r="P117" s="141">
        <v>0</v>
      </c>
      <c r="Q117" s="144">
        <v>0</v>
      </c>
      <c r="R117" s="143">
        <v>0</v>
      </c>
      <c r="S117" s="141">
        <v>0</v>
      </c>
      <c r="T117" s="141">
        <v>0</v>
      </c>
      <c r="U117" s="141">
        <v>0</v>
      </c>
      <c r="V117" s="144">
        <v>0</v>
      </c>
      <c r="W117" s="2629"/>
      <c r="X117" s="607" t="s">
        <v>498</v>
      </c>
      <c r="Y117" s="143">
        <v>0</v>
      </c>
      <c r="Z117" s="141">
        <v>0</v>
      </c>
      <c r="AA117" s="141">
        <v>0</v>
      </c>
      <c r="AB117" s="141">
        <v>0</v>
      </c>
      <c r="AC117" s="141">
        <v>0</v>
      </c>
      <c r="AD117" s="141">
        <v>0</v>
      </c>
      <c r="AE117" s="141">
        <v>0</v>
      </c>
      <c r="AF117" s="144">
        <v>0</v>
      </c>
      <c r="AG117" s="143">
        <v>0</v>
      </c>
      <c r="AH117" s="141">
        <v>0</v>
      </c>
      <c r="AI117" s="141">
        <v>0</v>
      </c>
      <c r="AJ117" s="141">
        <v>0</v>
      </c>
      <c r="AK117" s="144">
        <v>0</v>
      </c>
      <c r="AL117" s="2629"/>
      <c r="AM117" s="607" t="s">
        <v>2233</v>
      </c>
      <c r="AN117" s="143">
        <v>0</v>
      </c>
      <c r="AO117" s="141">
        <v>0</v>
      </c>
      <c r="AP117" s="141">
        <v>0</v>
      </c>
      <c r="AQ117" s="141">
        <v>0</v>
      </c>
      <c r="AR117" s="141">
        <v>0</v>
      </c>
      <c r="AS117" s="141">
        <v>0</v>
      </c>
      <c r="AT117" s="141">
        <v>0</v>
      </c>
      <c r="AU117" s="144">
        <v>0</v>
      </c>
      <c r="AV117" s="143">
        <v>0</v>
      </c>
      <c r="AW117" s="141">
        <v>0</v>
      </c>
      <c r="AX117" s="141">
        <v>0</v>
      </c>
      <c r="AY117" s="141">
        <v>0</v>
      </c>
      <c r="AZ117" s="144">
        <v>0</v>
      </c>
      <c r="BA117" s="2629"/>
      <c r="BB117" s="545" t="s">
        <v>627</v>
      </c>
      <c r="BC117" s="868">
        <v>0</v>
      </c>
      <c r="BD117" s="545" t="s">
        <v>627</v>
      </c>
      <c r="BE117" s="868">
        <v>0</v>
      </c>
      <c r="BF117" s="545" t="s">
        <v>2233</v>
      </c>
      <c r="BG117" s="141">
        <v>0</v>
      </c>
      <c r="BH117" s="545" t="s">
        <v>2233</v>
      </c>
      <c r="BI117" s="141">
        <v>0</v>
      </c>
      <c r="BJ117" s="545" t="s">
        <v>2233</v>
      </c>
      <c r="BK117" s="141">
        <v>0</v>
      </c>
      <c r="BL117" s="545" t="s">
        <v>2233</v>
      </c>
      <c r="BM117" s="141">
        <v>0</v>
      </c>
      <c r="BN117" s="545" t="s">
        <v>2233</v>
      </c>
      <c r="BO117" s="141">
        <v>0</v>
      </c>
      <c r="BP117" s="2629"/>
      <c r="BQ117" s="545" t="s">
        <v>627</v>
      </c>
      <c r="BR117" s="868">
        <v>0</v>
      </c>
      <c r="BS117" s="545" t="s">
        <v>627</v>
      </c>
      <c r="BT117" s="868">
        <v>0</v>
      </c>
      <c r="BU117" s="545" t="s">
        <v>2233</v>
      </c>
      <c r="BV117" s="141">
        <v>0</v>
      </c>
      <c r="BW117" s="545" t="s">
        <v>2233</v>
      </c>
      <c r="BX117" s="141">
        <v>0</v>
      </c>
      <c r="BY117" s="545" t="s">
        <v>2233</v>
      </c>
      <c r="BZ117" s="141">
        <v>0</v>
      </c>
      <c r="CA117" s="545" t="s">
        <v>2233</v>
      </c>
      <c r="CB117" s="141">
        <v>0</v>
      </c>
      <c r="CC117" s="545" t="s">
        <v>2233</v>
      </c>
      <c r="CD117" s="144">
        <v>0</v>
      </c>
    </row>
    <row r="118" spans="1:82" s="98" customFormat="1" ht="15" customHeight="1">
      <c r="A118" s="99"/>
      <c r="B118" s="161"/>
      <c r="C118" s="185"/>
      <c r="D118" s="162" t="s">
        <v>1710</v>
      </c>
      <c r="E118" s="162"/>
      <c r="F118" s="162"/>
      <c r="G118" s="163"/>
      <c r="H118" s="163"/>
      <c r="I118" s="164" t="s">
        <v>498</v>
      </c>
      <c r="J118" s="641">
        <f>SUM(J110:J117)</f>
        <v>0</v>
      </c>
      <c r="K118" s="642">
        <f t="shared" ref="K118:V118" si="31">SUM(K110:K117)</f>
        <v>0</v>
      </c>
      <c r="L118" s="642">
        <f t="shared" si="31"/>
        <v>0</v>
      </c>
      <c r="M118" s="642">
        <f t="shared" si="31"/>
        <v>0</v>
      </c>
      <c r="N118" s="642">
        <f t="shared" si="31"/>
        <v>0</v>
      </c>
      <c r="O118" s="642">
        <f t="shared" si="31"/>
        <v>0</v>
      </c>
      <c r="P118" s="642">
        <f t="shared" si="31"/>
        <v>0</v>
      </c>
      <c r="Q118" s="643">
        <f t="shared" si="31"/>
        <v>0</v>
      </c>
      <c r="R118" s="641">
        <f t="shared" si="31"/>
        <v>0</v>
      </c>
      <c r="S118" s="642">
        <f t="shared" si="31"/>
        <v>0</v>
      </c>
      <c r="T118" s="642">
        <f t="shared" si="31"/>
        <v>0</v>
      </c>
      <c r="U118" s="642">
        <f t="shared" si="31"/>
        <v>0</v>
      </c>
      <c r="V118" s="643">
        <f t="shared" si="31"/>
        <v>0</v>
      </c>
      <c r="W118" s="2629"/>
      <c r="X118" s="607" t="s">
        <v>498</v>
      </c>
      <c r="Y118" s="641">
        <f>SUM(Y110:Y117)</f>
        <v>0</v>
      </c>
      <c r="Z118" s="642">
        <f t="shared" ref="Z118:AK118" si="32">SUM(Z110:Z117)</f>
        <v>0</v>
      </c>
      <c r="AA118" s="642">
        <f t="shared" si="32"/>
        <v>0</v>
      </c>
      <c r="AB118" s="642">
        <f t="shared" si="32"/>
        <v>0</v>
      </c>
      <c r="AC118" s="642">
        <f t="shared" si="32"/>
        <v>0</v>
      </c>
      <c r="AD118" s="642">
        <f t="shared" si="32"/>
        <v>0</v>
      </c>
      <c r="AE118" s="642">
        <f t="shared" si="32"/>
        <v>0</v>
      </c>
      <c r="AF118" s="643">
        <f t="shared" si="32"/>
        <v>0</v>
      </c>
      <c r="AG118" s="641">
        <f t="shared" si="32"/>
        <v>0</v>
      </c>
      <c r="AH118" s="642">
        <f t="shared" si="32"/>
        <v>0</v>
      </c>
      <c r="AI118" s="642">
        <f t="shared" si="32"/>
        <v>0</v>
      </c>
      <c r="AJ118" s="642">
        <f t="shared" si="32"/>
        <v>0</v>
      </c>
      <c r="AK118" s="643">
        <f t="shared" si="32"/>
        <v>0</v>
      </c>
      <c r="AL118" s="2629"/>
      <c r="AM118" s="607" t="s">
        <v>2233</v>
      </c>
      <c r="AN118" s="641">
        <f>SUM(AN110:AN117)</f>
        <v>0</v>
      </c>
      <c r="AO118" s="642">
        <f t="shared" ref="AO118:AZ118" si="33">SUM(AO110:AO117)</f>
        <v>0</v>
      </c>
      <c r="AP118" s="642">
        <f t="shared" si="33"/>
        <v>0</v>
      </c>
      <c r="AQ118" s="642">
        <f t="shared" si="33"/>
        <v>0</v>
      </c>
      <c r="AR118" s="642">
        <f t="shared" si="33"/>
        <v>0</v>
      </c>
      <c r="AS118" s="642">
        <f t="shared" si="33"/>
        <v>0</v>
      </c>
      <c r="AT118" s="642">
        <f t="shared" si="33"/>
        <v>0</v>
      </c>
      <c r="AU118" s="643">
        <f t="shared" si="33"/>
        <v>0</v>
      </c>
      <c r="AV118" s="641">
        <f t="shared" si="33"/>
        <v>0</v>
      </c>
      <c r="AW118" s="642">
        <f t="shared" si="33"/>
        <v>0</v>
      </c>
      <c r="AX118" s="642">
        <f t="shared" si="33"/>
        <v>0</v>
      </c>
      <c r="AY118" s="642">
        <f t="shared" si="33"/>
        <v>0</v>
      </c>
      <c r="AZ118" s="643">
        <f t="shared" si="33"/>
        <v>0</v>
      </c>
      <c r="BA118" s="2629"/>
      <c r="BB118" s="542"/>
      <c r="BC118" s="542"/>
      <c r="BD118" s="542"/>
      <c r="BE118" s="542"/>
      <c r="BF118" s="545" t="s">
        <v>2233</v>
      </c>
      <c r="BG118" s="642">
        <f>SUM(BG110:BG117)</f>
        <v>0</v>
      </c>
      <c r="BH118" s="545" t="s">
        <v>2233</v>
      </c>
      <c r="BI118" s="642">
        <f>SUM(BI110:BI117)</f>
        <v>0</v>
      </c>
      <c r="BJ118" s="545" t="s">
        <v>2233</v>
      </c>
      <c r="BK118" s="642">
        <f>SUM(BK110:BK117)</f>
        <v>0</v>
      </c>
      <c r="BL118" s="545" t="s">
        <v>2233</v>
      </c>
      <c r="BM118" s="642">
        <f>SUM(BM110:BM117)</f>
        <v>0</v>
      </c>
      <c r="BN118" s="545" t="s">
        <v>2233</v>
      </c>
      <c r="BO118" s="642">
        <f>SUM(BO110:BO117)</f>
        <v>0</v>
      </c>
      <c r="BP118" s="2629"/>
      <c r="BQ118" s="542"/>
      <c r="BR118" s="542"/>
      <c r="BS118" s="542"/>
      <c r="BT118" s="542"/>
      <c r="BU118" s="545" t="s">
        <v>2233</v>
      </c>
      <c r="BV118" s="642">
        <f>SUM(BV110:BV117)</f>
        <v>0</v>
      </c>
      <c r="BW118" s="545" t="s">
        <v>2233</v>
      </c>
      <c r="BX118" s="642">
        <f>SUM(BX110:BX117)</f>
        <v>0</v>
      </c>
      <c r="BY118" s="545" t="s">
        <v>2233</v>
      </c>
      <c r="BZ118" s="642">
        <f>SUM(BZ110:BZ117)</f>
        <v>0</v>
      </c>
      <c r="CA118" s="545" t="s">
        <v>2233</v>
      </c>
      <c r="CB118" s="642">
        <f>SUM(CB110:CB117)</f>
        <v>0</v>
      </c>
      <c r="CC118" s="545" t="s">
        <v>2233</v>
      </c>
      <c r="CD118" s="643">
        <f>SUM(CD110:CD117)</f>
        <v>0</v>
      </c>
    </row>
    <row r="119" spans="1:82" s="98" customFormat="1" ht="15" customHeight="1">
      <c r="A119" s="99"/>
      <c r="B119" s="123"/>
      <c r="C119" s="127"/>
      <c r="D119" s="127"/>
      <c r="E119" s="127"/>
      <c r="F119" s="127"/>
      <c r="G119" s="117"/>
      <c r="H119" s="117"/>
      <c r="I119" s="117"/>
      <c r="J119" s="159"/>
      <c r="K119" s="94"/>
      <c r="L119" s="94"/>
      <c r="M119" s="94"/>
      <c r="N119" s="94"/>
      <c r="O119" s="94"/>
      <c r="P119" s="94"/>
      <c r="Q119" s="160"/>
      <c r="R119" s="159"/>
      <c r="S119" s="94"/>
      <c r="T119" s="94"/>
      <c r="U119" s="94"/>
      <c r="V119" s="160"/>
      <c r="W119" s="2629"/>
      <c r="X119" s="94"/>
      <c r="Y119" s="159"/>
      <c r="Z119" s="94"/>
      <c r="AA119" s="94"/>
      <c r="AB119" s="94"/>
      <c r="AC119" s="94"/>
      <c r="AD119" s="94"/>
      <c r="AE119" s="94"/>
      <c r="AF119" s="160"/>
      <c r="AG119" s="159"/>
      <c r="AH119" s="94"/>
      <c r="AI119" s="94"/>
      <c r="AJ119" s="94"/>
      <c r="AK119" s="160"/>
      <c r="AL119" s="2629"/>
      <c r="AM119" s="94"/>
      <c r="AN119" s="159"/>
      <c r="AO119" s="94"/>
      <c r="AP119" s="94"/>
      <c r="AQ119" s="94"/>
      <c r="AR119" s="94"/>
      <c r="AS119" s="94"/>
      <c r="AT119" s="94"/>
      <c r="AU119" s="160"/>
      <c r="AV119" s="159"/>
      <c r="AW119" s="94"/>
      <c r="AX119" s="94"/>
      <c r="AY119" s="94"/>
      <c r="AZ119" s="160"/>
      <c r="BA119" s="2629"/>
      <c r="BB119" s="542"/>
      <c r="BC119" s="542"/>
      <c r="BD119" s="542"/>
      <c r="BE119" s="542"/>
      <c r="BF119" s="542"/>
      <c r="BG119" s="542"/>
      <c r="BH119" s="542"/>
      <c r="BI119" s="542"/>
      <c r="BJ119" s="542"/>
      <c r="BK119" s="542"/>
      <c r="BL119" s="542"/>
      <c r="BM119" s="542"/>
      <c r="BN119" s="542"/>
      <c r="BO119" s="542"/>
      <c r="BP119" s="2629"/>
      <c r="BQ119" s="542"/>
      <c r="BR119" s="542"/>
      <c r="BS119" s="542"/>
      <c r="BT119" s="542"/>
      <c r="BU119" s="542"/>
      <c r="BV119" s="542"/>
      <c r="BW119" s="542"/>
      <c r="BX119" s="542"/>
      <c r="BY119" s="542"/>
      <c r="BZ119" s="542"/>
      <c r="CA119" s="542"/>
      <c r="CB119" s="542"/>
      <c r="CC119" s="542"/>
      <c r="CD119" s="544"/>
    </row>
    <row r="120" spans="1:82" s="98" customFormat="1" ht="15" customHeight="1">
      <c r="A120" s="99"/>
      <c r="B120" s="161"/>
      <c r="C120" s="185"/>
      <c r="D120" s="116" t="s">
        <v>2751</v>
      </c>
      <c r="E120" s="116"/>
      <c r="F120" s="116"/>
      <c r="G120" s="117"/>
      <c r="H120" s="117"/>
      <c r="I120" s="117"/>
      <c r="J120" s="159"/>
      <c r="K120" s="94"/>
      <c r="L120" s="94"/>
      <c r="M120" s="94"/>
      <c r="N120" s="94"/>
      <c r="O120" s="94"/>
      <c r="P120" s="94"/>
      <c r="Q120" s="160"/>
      <c r="R120" s="159"/>
      <c r="S120" s="94"/>
      <c r="T120" s="94"/>
      <c r="U120" s="94"/>
      <c r="V120" s="160"/>
      <c r="W120" s="2629"/>
      <c r="X120" s="94"/>
      <c r="Y120" s="159"/>
      <c r="Z120" s="94"/>
      <c r="AA120" s="94"/>
      <c r="AB120" s="94"/>
      <c r="AC120" s="94"/>
      <c r="AD120" s="94"/>
      <c r="AE120" s="94"/>
      <c r="AF120" s="160"/>
      <c r="AG120" s="159"/>
      <c r="AH120" s="94"/>
      <c r="AI120" s="94"/>
      <c r="AJ120" s="94"/>
      <c r="AK120" s="160"/>
      <c r="AL120" s="2629"/>
      <c r="AM120" s="94"/>
      <c r="AN120" s="159"/>
      <c r="AO120" s="94"/>
      <c r="AP120" s="94"/>
      <c r="AQ120" s="94"/>
      <c r="AR120" s="94"/>
      <c r="AS120" s="94"/>
      <c r="AT120" s="94"/>
      <c r="AU120" s="160"/>
      <c r="AV120" s="159"/>
      <c r="AW120" s="94"/>
      <c r="AX120" s="94"/>
      <c r="AY120" s="94"/>
      <c r="AZ120" s="160"/>
      <c r="BA120" s="2629"/>
      <c r="BB120" s="542"/>
      <c r="BC120" s="542"/>
      <c r="BD120" s="542"/>
      <c r="BE120" s="542"/>
      <c r="BF120" s="542"/>
      <c r="BG120" s="542"/>
      <c r="BH120" s="542"/>
      <c r="BI120" s="542"/>
      <c r="BJ120" s="542"/>
      <c r="BK120" s="542"/>
      <c r="BL120" s="542"/>
      <c r="BM120" s="542"/>
      <c r="BN120" s="542"/>
      <c r="BO120" s="542"/>
      <c r="BP120" s="2629"/>
      <c r="BQ120" s="542"/>
      <c r="BR120" s="542"/>
      <c r="BS120" s="542"/>
      <c r="BT120" s="542"/>
      <c r="BU120" s="542"/>
      <c r="BV120" s="542"/>
      <c r="BW120" s="542"/>
      <c r="BX120" s="542"/>
      <c r="BY120" s="542"/>
      <c r="BZ120" s="542"/>
      <c r="CA120" s="542"/>
      <c r="CB120" s="542"/>
      <c r="CC120" s="542"/>
      <c r="CD120" s="544"/>
    </row>
    <row r="121" spans="1:82" s="98" customFormat="1" ht="15" customHeight="1">
      <c r="A121" s="99"/>
      <c r="B121" s="161"/>
      <c r="C121" s="185"/>
      <c r="D121" s="162"/>
      <c r="E121" s="162" t="s">
        <v>2701</v>
      </c>
      <c r="F121" s="162"/>
      <c r="G121" s="163"/>
      <c r="H121" s="163"/>
      <c r="I121" s="164" t="s">
        <v>498</v>
      </c>
      <c r="J121" s="143">
        <v>0</v>
      </c>
      <c r="K121" s="141">
        <v>0</v>
      </c>
      <c r="L121" s="141">
        <v>0</v>
      </c>
      <c r="M121" s="141">
        <v>0</v>
      </c>
      <c r="N121" s="141">
        <v>0</v>
      </c>
      <c r="O121" s="141">
        <v>0</v>
      </c>
      <c r="P121" s="141">
        <v>0</v>
      </c>
      <c r="Q121" s="144">
        <v>0</v>
      </c>
      <c r="R121" s="143">
        <v>0</v>
      </c>
      <c r="S121" s="141">
        <v>0</v>
      </c>
      <c r="T121" s="141">
        <v>0</v>
      </c>
      <c r="U121" s="141">
        <v>0</v>
      </c>
      <c r="V121" s="144">
        <v>0</v>
      </c>
      <c r="W121" s="2629"/>
      <c r="X121" s="607" t="s">
        <v>498</v>
      </c>
      <c r="Y121" s="143">
        <v>0</v>
      </c>
      <c r="Z121" s="141">
        <v>0</v>
      </c>
      <c r="AA121" s="141">
        <v>0</v>
      </c>
      <c r="AB121" s="141">
        <v>0</v>
      </c>
      <c r="AC121" s="141">
        <v>0</v>
      </c>
      <c r="AD121" s="141">
        <v>0</v>
      </c>
      <c r="AE121" s="141">
        <v>0</v>
      </c>
      <c r="AF121" s="144">
        <v>0</v>
      </c>
      <c r="AG121" s="143">
        <v>0</v>
      </c>
      <c r="AH121" s="141">
        <v>0</v>
      </c>
      <c r="AI121" s="141">
        <v>0</v>
      </c>
      <c r="AJ121" s="141">
        <v>0</v>
      </c>
      <c r="AK121" s="144">
        <v>0</v>
      </c>
      <c r="AL121" s="2629"/>
      <c r="AM121" s="607" t="s">
        <v>2233</v>
      </c>
      <c r="AN121" s="143">
        <v>0</v>
      </c>
      <c r="AO121" s="141">
        <v>0</v>
      </c>
      <c r="AP121" s="141">
        <v>0</v>
      </c>
      <c r="AQ121" s="141">
        <v>0</v>
      </c>
      <c r="AR121" s="141">
        <v>0</v>
      </c>
      <c r="AS121" s="141">
        <v>0</v>
      </c>
      <c r="AT121" s="141">
        <v>0</v>
      </c>
      <c r="AU121" s="144">
        <v>0</v>
      </c>
      <c r="AV121" s="143">
        <v>0</v>
      </c>
      <c r="AW121" s="141">
        <v>0</v>
      </c>
      <c r="AX121" s="141">
        <v>0</v>
      </c>
      <c r="AY121" s="141">
        <v>0</v>
      </c>
      <c r="AZ121" s="144">
        <v>0</v>
      </c>
      <c r="BA121" s="2629"/>
      <c r="BB121" s="545" t="s">
        <v>627</v>
      </c>
      <c r="BC121" s="868">
        <v>0</v>
      </c>
      <c r="BD121" s="545" t="s">
        <v>627</v>
      </c>
      <c r="BE121" s="868">
        <v>0</v>
      </c>
      <c r="BF121" s="545" t="s">
        <v>2233</v>
      </c>
      <c r="BG121" s="141">
        <v>0</v>
      </c>
      <c r="BH121" s="545" t="s">
        <v>2233</v>
      </c>
      <c r="BI121" s="141">
        <v>0</v>
      </c>
      <c r="BJ121" s="545" t="s">
        <v>2233</v>
      </c>
      <c r="BK121" s="141">
        <v>0</v>
      </c>
      <c r="BL121" s="545" t="s">
        <v>2233</v>
      </c>
      <c r="BM121" s="141">
        <v>0</v>
      </c>
      <c r="BN121" s="545" t="s">
        <v>2233</v>
      </c>
      <c r="BO121" s="141">
        <v>0</v>
      </c>
      <c r="BP121" s="2629"/>
      <c r="BQ121" s="545" t="s">
        <v>627</v>
      </c>
      <c r="BR121" s="868">
        <v>0</v>
      </c>
      <c r="BS121" s="545" t="s">
        <v>627</v>
      </c>
      <c r="BT121" s="868">
        <v>0</v>
      </c>
      <c r="BU121" s="545" t="s">
        <v>2233</v>
      </c>
      <c r="BV121" s="141">
        <v>0</v>
      </c>
      <c r="BW121" s="545" t="s">
        <v>2233</v>
      </c>
      <c r="BX121" s="141">
        <v>0</v>
      </c>
      <c r="BY121" s="545" t="s">
        <v>2233</v>
      </c>
      <c r="BZ121" s="141">
        <v>0</v>
      </c>
      <c r="CA121" s="545" t="s">
        <v>2233</v>
      </c>
      <c r="CB121" s="141">
        <v>0</v>
      </c>
      <c r="CC121" s="545" t="s">
        <v>2233</v>
      </c>
      <c r="CD121" s="144">
        <v>0</v>
      </c>
    </row>
    <row r="122" spans="1:82" s="98" customFormat="1" ht="15" customHeight="1">
      <c r="A122" s="99"/>
      <c r="B122" s="161"/>
      <c r="C122" s="185"/>
      <c r="D122" s="162"/>
      <c r="E122" s="162" t="s">
        <v>2702</v>
      </c>
      <c r="F122" s="162"/>
      <c r="G122" s="163"/>
      <c r="H122" s="163"/>
      <c r="I122" s="164" t="s">
        <v>498</v>
      </c>
      <c r="J122" s="143">
        <v>0</v>
      </c>
      <c r="K122" s="141">
        <v>0</v>
      </c>
      <c r="L122" s="141">
        <v>0</v>
      </c>
      <c r="M122" s="141">
        <v>0</v>
      </c>
      <c r="N122" s="141">
        <v>0</v>
      </c>
      <c r="O122" s="141">
        <v>0</v>
      </c>
      <c r="P122" s="141">
        <v>0</v>
      </c>
      <c r="Q122" s="144">
        <v>0</v>
      </c>
      <c r="R122" s="143">
        <v>0</v>
      </c>
      <c r="S122" s="141">
        <v>0</v>
      </c>
      <c r="T122" s="141">
        <v>0</v>
      </c>
      <c r="U122" s="141">
        <v>0</v>
      </c>
      <c r="V122" s="144">
        <v>0</v>
      </c>
      <c r="W122" s="2629"/>
      <c r="X122" s="607" t="s">
        <v>498</v>
      </c>
      <c r="Y122" s="143">
        <v>0</v>
      </c>
      <c r="Z122" s="141">
        <v>0</v>
      </c>
      <c r="AA122" s="141">
        <v>0</v>
      </c>
      <c r="AB122" s="141">
        <v>0</v>
      </c>
      <c r="AC122" s="141">
        <v>0</v>
      </c>
      <c r="AD122" s="141">
        <v>0</v>
      </c>
      <c r="AE122" s="141">
        <v>0</v>
      </c>
      <c r="AF122" s="144">
        <v>0</v>
      </c>
      <c r="AG122" s="143">
        <v>0</v>
      </c>
      <c r="AH122" s="141">
        <v>0</v>
      </c>
      <c r="AI122" s="141">
        <v>0</v>
      </c>
      <c r="AJ122" s="141">
        <v>0</v>
      </c>
      <c r="AK122" s="144">
        <v>0</v>
      </c>
      <c r="AL122" s="2629"/>
      <c r="AM122" s="607" t="s">
        <v>2233</v>
      </c>
      <c r="AN122" s="143">
        <v>0</v>
      </c>
      <c r="AO122" s="141">
        <v>0</v>
      </c>
      <c r="AP122" s="141">
        <v>0</v>
      </c>
      <c r="AQ122" s="141">
        <v>0</v>
      </c>
      <c r="AR122" s="141">
        <v>0</v>
      </c>
      <c r="AS122" s="141">
        <v>0</v>
      </c>
      <c r="AT122" s="141">
        <v>0</v>
      </c>
      <c r="AU122" s="144">
        <v>0</v>
      </c>
      <c r="AV122" s="143">
        <v>0</v>
      </c>
      <c r="AW122" s="141">
        <v>0</v>
      </c>
      <c r="AX122" s="141">
        <v>0</v>
      </c>
      <c r="AY122" s="141">
        <v>0</v>
      </c>
      <c r="AZ122" s="144">
        <v>0</v>
      </c>
      <c r="BA122" s="2629"/>
      <c r="BB122" s="545" t="s">
        <v>627</v>
      </c>
      <c r="BC122" s="868">
        <v>0</v>
      </c>
      <c r="BD122" s="545" t="s">
        <v>627</v>
      </c>
      <c r="BE122" s="868">
        <v>0</v>
      </c>
      <c r="BF122" s="545" t="s">
        <v>2233</v>
      </c>
      <c r="BG122" s="141">
        <v>0</v>
      </c>
      <c r="BH122" s="545" t="s">
        <v>2233</v>
      </c>
      <c r="BI122" s="141">
        <v>0</v>
      </c>
      <c r="BJ122" s="545" t="s">
        <v>2233</v>
      </c>
      <c r="BK122" s="141">
        <v>0</v>
      </c>
      <c r="BL122" s="545" t="s">
        <v>2233</v>
      </c>
      <c r="BM122" s="141">
        <v>0</v>
      </c>
      <c r="BN122" s="545" t="s">
        <v>2233</v>
      </c>
      <c r="BO122" s="141">
        <v>0</v>
      </c>
      <c r="BP122" s="2629"/>
      <c r="BQ122" s="545" t="s">
        <v>627</v>
      </c>
      <c r="BR122" s="868">
        <v>0</v>
      </c>
      <c r="BS122" s="545" t="s">
        <v>627</v>
      </c>
      <c r="BT122" s="868">
        <v>0</v>
      </c>
      <c r="BU122" s="545" t="s">
        <v>2233</v>
      </c>
      <c r="BV122" s="141">
        <v>0</v>
      </c>
      <c r="BW122" s="545" t="s">
        <v>2233</v>
      </c>
      <c r="BX122" s="141">
        <v>0</v>
      </c>
      <c r="BY122" s="545" t="s">
        <v>2233</v>
      </c>
      <c r="BZ122" s="141">
        <v>0</v>
      </c>
      <c r="CA122" s="545" t="s">
        <v>2233</v>
      </c>
      <c r="CB122" s="141">
        <v>0</v>
      </c>
      <c r="CC122" s="545" t="s">
        <v>2233</v>
      </c>
      <c r="CD122" s="144">
        <v>0</v>
      </c>
    </row>
    <row r="123" spans="1:82" s="98" customFormat="1" ht="15" customHeight="1">
      <c r="A123" s="99"/>
      <c r="B123" s="161"/>
      <c r="C123" s="185"/>
      <c r="D123" s="162"/>
      <c r="E123" s="162" t="s">
        <v>2703</v>
      </c>
      <c r="F123" s="162"/>
      <c r="G123" s="163"/>
      <c r="H123" s="163"/>
      <c r="I123" s="164" t="s">
        <v>498</v>
      </c>
      <c r="J123" s="143">
        <v>0</v>
      </c>
      <c r="K123" s="141">
        <v>0</v>
      </c>
      <c r="L123" s="141">
        <v>0</v>
      </c>
      <c r="M123" s="141">
        <v>0</v>
      </c>
      <c r="N123" s="141">
        <v>0</v>
      </c>
      <c r="O123" s="141">
        <v>0</v>
      </c>
      <c r="P123" s="141">
        <v>0</v>
      </c>
      <c r="Q123" s="144">
        <v>0</v>
      </c>
      <c r="R123" s="143">
        <v>0</v>
      </c>
      <c r="S123" s="141">
        <v>0</v>
      </c>
      <c r="T123" s="141">
        <v>0</v>
      </c>
      <c r="U123" s="141">
        <v>0</v>
      </c>
      <c r="V123" s="144">
        <v>0</v>
      </c>
      <c r="W123" s="2629"/>
      <c r="X123" s="607" t="s">
        <v>498</v>
      </c>
      <c r="Y123" s="143">
        <v>0</v>
      </c>
      <c r="Z123" s="141">
        <v>0</v>
      </c>
      <c r="AA123" s="141">
        <v>0</v>
      </c>
      <c r="AB123" s="141">
        <v>0</v>
      </c>
      <c r="AC123" s="141">
        <v>0</v>
      </c>
      <c r="AD123" s="141">
        <v>0</v>
      </c>
      <c r="AE123" s="141">
        <v>0</v>
      </c>
      <c r="AF123" s="144">
        <v>0</v>
      </c>
      <c r="AG123" s="143">
        <v>0</v>
      </c>
      <c r="AH123" s="141">
        <v>0</v>
      </c>
      <c r="AI123" s="141">
        <v>0</v>
      </c>
      <c r="AJ123" s="141">
        <v>0</v>
      </c>
      <c r="AK123" s="144">
        <v>0</v>
      </c>
      <c r="AL123" s="2629"/>
      <c r="AM123" s="607" t="s">
        <v>2233</v>
      </c>
      <c r="AN123" s="143">
        <v>0</v>
      </c>
      <c r="AO123" s="141">
        <v>0</v>
      </c>
      <c r="AP123" s="141">
        <v>0</v>
      </c>
      <c r="AQ123" s="141">
        <v>0</v>
      </c>
      <c r="AR123" s="141">
        <v>0</v>
      </c>
      <c r="AS123" s="141">
        <v>0</v>
      </c>
      <c r="AT123" s="141">
        <v>0</v>
      </c>
      <c r="AU123" s="144">
        <v>0</v>
      </c>
      <c r="AV123" s="143">
        <v>0</v>
      </c>
      <c r="AW123" s="141">
        <v>0</v>
      </c>
      <c r="AX123" s="141">
        <v>0</v>
      </c>
      <c r="AY123" s="141">
        <v>0</v>
      </c>
      <c r="AZ123" s="144">
        <v>0</v>
      </c>
      <c r="BA123" s="2629"/>
      <c r="BB123" s="545" t="s">
        <v>627</v>
      </c>
      <c r="BC123" s="868">
        <v>0</v>
      </c>
      <c r="BD123" s="545" t="s">
        <v>627</v>
      </c>
      <c r="BE123" s="868">
        <v>0</v>
      </c>
      <c r="BF123" s="545" t="s">
        <v>2233</v>
      </c>
      <c r="BG123" s="141">
        <v>0</v>
      </c>
      <c r="BH123" s="545" t="s">
        <v>2233</v>
      </c>
      <c r="BI123" s="141">
        <v>0</v>
      </c>
      <c r="BJ123" s="545" t="s">
        <v>2233</v>
      </c>
      <c r="BK123" s="141">
        <v>0</v>
      </c>
      <c r="BL123" s="545" t="s">
        <v>2233</v>
      </c>
      <c r="BM123" s="141">
        <v>0</v>
      </c>
      <c r="BN123" s="545" t="s">
        <v>2233</v>
      </c>
      <c r="BO123" s="141">
        <v>0</v>
      </c>
      <c r="BP123" s="2629"/>
      <c r="BQ123" s="545" t="s">
        <v>627</v>
      </c>
      <c r="BR123" s="868">
        <v>0</v>
      </c>
      <c r="BS123" s="545" t="s">
        <v>627</v>
      </c>
      <c r="BT123" s="868">
        <v>0</v>
      </c>
      <c r="BU123" s="545" t="s">
        <v>2233</v>
      </c>
      <c r="BV123" s="141">
        <v>0</v>
      </c>
      <c r="BW123" s="545" t="s">
        <v>2233</v>
      </c>
      <c r="BX123" s="141">
        <v>0</v>
      </c>
      <c r="BY123" s="545" t="s">
        <v>2233</v>
      </c>
      <c r="BZ123" s="141">
        <v>0</v>
      </c>
      <c r="CA123" s="545" t="s">
        <v>2233</v>
      </c>
      <c r="CB123" s="141">
        <v>0</v>
      </c>
      <c r="CC123" s="545" t="s">
        <v>2233</v>
      </c>
      <c r="CD123" s="144">
        <v>0</v>
      </c>
    </row>
    <row r="124" spans="1:82" s="98" customFormat="1" ht="15" customHeight="1">
      <c r="A124" s="99"/>
      <c r="B124" s="161"/>
      <c r="C124" s="185"/>
      <c r="D124" s="162"/>
      <c r="E124" s="162" t="s">
        <v>2704</v>
      </c>
      <c r="F124" s="162"/>
      <c r="G124" s="163"/>
      <c r="H124" s="163"/>
      <c r="I124" s="164" t="s">
        <v>498</v>
      </c>
      <c r="J124" s="143">
        <v>0</v>
      </c>
      <c r="K124" s="141">
        <v>0</v>
      </c>
      <c r="L124" s="141">
        <v>0</v>
      </c>
      <c r="M124" s="141">
        <v>0</v>
      </c>
      <c r="N124" s="141">
        <v>0</v>
      </c>
      <c r="O124" s="141">
        <v>0</v>
      </c>
      <c r="P124" s="141">
        <v>0</v>
      </c>
      <c r="Q124" s="144">
        <v>0</v>
      </c>
      <c r="R124" s="143">
        <v>0</v>
      </c>
      <c r="S124" s="141">
        <v>0</v>
      </c>
      <c r="T124" s="141">
        <v>0</v>
      </c>
      <c r="U124" s="141">
        <v>0</v>
      </c>
      <c r="V124" s="144">
        <v>0</v>
      </c>
      <c r="W124" s="2629"/>
      <c r="X124" s="607" t="s">
        <v>498</v>
      </c>
      <c r="Y124" s="143">
        <v>0</v>
      </c>
      <c r="Z124" s="141">
        <v>0</v>
      </c>
      <c r="AA124" s="141">
        <v>0</v>
      </c>
      <c r="AB124" s="141">
        <v>0</v>
      </c>
      <c r="AC124" s="141">
        <v>0</v>
      </c>
      <c r="AD124" s="141">
        <v>0</v>
      </c>
      <c r="AE124" s="141">
        <v>0</v>
      </c>
      <c r="AF124" s="144">
        <v>0</v>
      </c>
      <c r="AG124" s="143">
        <v>0</v>
      </c>
      <c r="AH124" s="141">
        <v>0</v>
      </c>
      <c r="AI124" s="141">
        <v>0</v>
      </c>
      <c r="AJ124" s="141">
        <v>0</v>
      </c>
      <c r="AK124" s="144">
        <v>0</v>
      </c>
      <c r="AL124" s="2629"/>
      <c r="AM124" s="607" t="s">
        <v>2233</v>
      </c>
      <c r="AN124" s="143">
        <v>0</v>
      </c>
      <c r="AO124" s="141">
        <v>0</v>
      </c>
      <c r="AP124" s="141">
        <v>0</v>
      </c>
      <c r="AQ124" s="141">
        <v>0</v>
      </c>
      <c r="AR124" s="141">
        <v>0</v>
      </c>
      <c r="AS124" s="141">
        <v>0</v>
      </c>
      <c r="AT124" s="141">
        <v>0</v>
      </c>
      <c r="AU124" s="144">
        <v>0</v>
      </c>
      <c r="AV124" s="143">
        <v>0</v>
      </c>
      <c r="AW124" s="141">
        <v>0</v>
      </c>
      <c r="AX124" s="141">
        <v>0</v>
      </c>
      <c r="AY124" s="141">
        <v>0</v>
      </c>
      <c r="AZ124" s="144">
        <v>0</v>
      </c>
      <c r="BA124" s="2629"/>
      <c r="BB124" s="545" t="s">
        <v>627</v>
      </c>
      <c r="BC124" s="868">
        <v>0</v>
      </c>
      <c r="BD124" s="545" t="s">
        <v>627</v>
      </c>
      <c r="BE124" s="868">
        <v>0</v>
      </c>
      <c r="BF124" s="545" t="s">
        <v>2233</v>
      </c>
      <c r="BG124" s="141">
        <v>0</v>
      </c>
      <c r="BH124" s="545" t="s">
        <v>2233</v>
      </c>
      <c r="BI124" s="141">
        <v>0</v>
      </c>
      <c r="BJ124" s="545" t="s">
        <v>2233</v>
      </c>
      <c r="BK124" s="141">
        <v>0</v>
      </c>
      <c r="BL124" s="545" t="s">
        <v>2233</v>
      </c>
      <c r="BM124" s="141">
        <v>0</v>
      </c>
      <c r="BN124" s="545" t="s">
        <v>2233</v>
      </c>
      <c r="BO124" s="141">
        <v>0</v>
      </c>
      <c r="BP124" s="2629"/>
      <c r="BQ124" s="545" t="s">
        <v>627</v>
      </c>
      <c r="BR124" s="868">
        <v>0</v>
      </c>
      <c r="BS124" s="545" t="s">
        <v>627</v>
      </c>
      <c r="BT124" s="868">
        <v>0</v>
      </c>
      <c r="BU124" s="545" t="s">
        <v>2233</v>
      </c>
      <c r="BV124" s="141">
        <v>0</v>
      </c>
      <c r="BW124" s="545" t="s">
        <v>2233</v>
      </c>
      <c r="BX124" s="141">
        <v>0</v>
      </c>
      <c r="BY124" s="545" t="s">
        <v>2233</v>
      </c>
      <c r="BZ124" s="141">
        <v>0</v>
      </c>
      <c r="CA124" s="545" t="s">
        <v>2233</v>
      </c>
      <c r="CB124" s="141">
        <v>0</v>
      </c>
      <c r="CC124" s="545" t="s">
        <v>2233</v>
      </c>
      <c r="CD124" s="144">
        <v>0</v>
      </c>
    </row>
    <row r="125" spans="1:82" s="98" customFormat="1" ht="15" customHeight="1">
      <c r="A125" s="99"/>
      <c r="B125" s="161"/>
      <c r="C125" s="185"/>
      <c r="D125" s="162"/>
      <c r="E125" s="162" t="s">
        <v>2705</v>
      </c>
      <c r="F125" s="162"/>
      <c r="G125" s="163"/>
      <c r="H125" s="163"/>
      <c r="I125" s="164" t="s">
        <v>498</v>
      </c>
      <c r="J125" s="143">
        <v>0</v>
      </c>
      <c r="K125" s="141">
        <v>0</v>
      </c>
      <c r="L125" s="141">
        <v>0</v>
      </c>
      <c r="M125" s="141">
        <v>0</v>
      </c>
      <c r="N125" s="141">
        <v>0</v>
      </c>
      <c r="O125" s="141">
        <v>0</v>
      </c>
      <c r="P125" s="141">
        <v>0</v>
      </c>
      <c r="Q125" s="144">
        <v>0</v>
      </c>
      <c r="R125" s="143">
        <v>0</v>
      </c>
      <c r="S125" s="141">
        <v>0</v>
      </c>
      <c r="T125" s="141">
        <v>0</v>
      </c>
      <c r="U125" s="141">
        <v>0</v>
      </c>
      <c r="V125" s="144">
        <v>0</v>
      </c>
      <c r="W125" s="2629"/>
      <c r="X125" s="607" t="s">
        <v>498</v>
      </c>
      <c r="Y125" s="143">
        <v>0</v>
      </c>
      <c r="Z125" s="141">
        <v>0</v>
      </c>
      <c r="AA125" s="141">
        <v>0</v>
      </c>
      <c r="AB125" s="141">
        <v>0</v>
      </c>
      <c r="AC125" s="141">
        <v>0</v>
      </c>
      <c r="AD125" s="141">
        <v>0</v>
      </c>
      <c r="AE125" s="141">
        <v>0</v>
      </c>
      <c r="AF125" s="144">
        <v>0</v>
      </c>
      <c r="AG125" s="143">
        <v>0</v>
      </c>
      <c r="AH125" s="141">
        <v>0</v>
      </c>
      <c r="AI125" s="141">
        <v>0</v>
      </c>
      <c r="AJ125" s="141">
        <v>0</v>
      </c>
      <c r="AK125" s="144">
        <v>0</v>
      </c>
      <c r="AL125" s="2629"/>
      <c r="AM125" s="607" t="s">
        <v>2233</v>
      </c>
      <c r="AN125" s="143">
        <v>0</v>
      </c>
      <c r="AO125" s="141">
        <v>0</v>
      </c>
      <c r="AP125" s="141">
        <v>0</v>
      </c>
      <c r="AQ125" s="141">
        <v>0</v>
      </c>
      <c r="AR125" s="141">
        <v>0</v>
      </c>
      <c r="AS125" s="141">
        <v>0</v>
      </c>
      <c r="AT125" s="141">
        <v>0</v>
      </c>
      <c r="AU125" s="144">
        <v>0</v>
      </c>
      <c r="AV125" s="143">
        <v>0</v>
      </c>
      <c r="AW125" s="141">
        <v>0</v>
      </c>
      <c r="AX125" s="141">
        <v>0</v>
      </c>
      <c r="AY125" s="141">
        <v>0</v>
      </c>
      <c r="AZ125" s="144">
        <v>0</v>
      </c>
      <c r="BA125" s="2629"/>
      <c r="BB125" s="545" t="s">
        <v>627</v>
      </c>
      <c r="BC125" s="868">
        <v>0</v>
      </c>
      <c r="BD125" s="545" t="s">
        <v>627</v>
      </c>
      <c r="BE125" s="868">
        <v>0</v>
      </c>
      <c r="BF125" s="545" t="s">
        <v>2233</v>
      </c>
      <c r="BG125" s="141">
        <v>0</v>
      </c>
      <c r="BH125" s="545" t="s">
        <v>2233</v>
      </c>
      <c r="BI125" s="141">
        <v>0</v>
      </c>
      <c r="BJ125" s="545" t="s">
        <v>2233</v>
      </c>
      <c r="BK125" s="141">
        <v>0</v>
      </c>
      <c r="BL125" s="545" t="s">
        <v>2233</v>
      </c>
      <c r="BM125" s="141">
        <v>0</v>
      </c>
      <c r="BN125" s="545" t="s">
        <v>2233</v>
      </c>
      <c r="BO125" s="141">
        <v>0</v>
      </c>
      <c r="BP125" s="2629"/>
      <c r="BQ125" s="545" t="s">
        <v>627</v>
      </c>
      <c r="BR125" s="868">
        <v>0</v>
      </c>
      <c r="BS125" s="545" t="s">
        <v>627</v>
      </c>
      <c r="BT125" s="868">
        <v>0</v>
      </c>
      <c r="BU125" s="545" t="s">
        <v>2233</v>
      </c>
      <c r="BV125" s="141">
        <v>0</v>
      </c>
      <c r="BW125" s="545" t="s">
        <v>2233</v>
      </c>
      <c r="BX125" s="141">
        <v>0</v>
      </c>
      <c r="BY125" s="545" t="s">
        <v>2233</v>
      </c>
      <c r="BZ125" s="141">
        <v>0</v>
      </c>
      <c r="CA125" s="545" t="s">
        <v>2233</v>
      </c>
      <c r="CB125" s="141">
        <v>0</v>
      </c>
      <c r="CC125" s="545" t="s">
        <v>2233</v>
      </c>
      <c r="CD125" s="144">
        <v>0</v>
      </c>
    </row>
    <row r="126" spans="1:82" s="98" customFormat="1" ht="15" customHeight="1">
      <c r="A126" s="99"/>
      <c r="B126" s="161"/>
      <c r="C126" s="185"/>
      <c r="D126" s="162"/>
      <c r="E126" s="162" t="s">
        <v>2706</v>
      </c>
      <c r="F126" s="162"/>
      <c r="G126" s="163"/>
      <c r="H126" s="163"/>
      <c r="I126" s="164" t="s">
        <v>498</v>
      </c>
      <c r="J126" s="143">
        <v>0</v>
      </c>
      <c r="K126" s="141">
        <v>0</v>
      </c>
      <c r="L126" s="141">
        <v>0</v>
      </c>
      <c r="M126" s="141">
        <v>0</v>
      </c>
      <c r="N126" s="141">
        <v>0</v>
      </c>
      <c r="O126" s="141">
        <v>0</v>
      </c>
      <c r="P126" s="141">
        <v>0</v>
      </c>
      <c r="Q126" s="144">
        <v>0</v>
      </c>
      <c r="R126" s="143">
        <v>0</v>
      </c>
      <c r="S126" s="141">
        <v>0</v>
      </c>
      <c r="T126" s="141">
        <v>0</v>
      </c>
      <c r="U126" s="141">
        <v>0</v>
      </c>
      <c r="V126" s="144">
        <v>0</v>
      </c>
      <c r="W126" s="2629"/>
      <c r="X126" s="607" t="s">
        <v>498</v>
      </c>
      <c r="Y126" s="143">
        <v>0</v>
      </c>
      <c r="Z126" s="141">
        <v>0</v>
      </c>
      <c r="AA126" s="141">
        <v>0</v>
      </c>
      <c r="AB126" s="141">
        <v>0</v>
      </c>
      <c r="AC126" s="141">
        <v>0</v>
      </c>
      <c r="AD126" s="141">
        <v>0</v>
      </c>
      <c r="AE126" s="141">
        <v>0</v>
      </c>
      <c r="AF126" s="144">
        <v>0</v>
      </c>
      <c r="AG126" s="143">
        <v>0</v>
      </c>
      <c r="AH126" s="141">
        <v>0</v>
      </c>
      <c r="AI126" s="141">
        <v>0</v>
      </c>
      <c r="AJ126" s="141">
        <v>0</v>
      </c>
      <c r="AK126" s="144">
        <v>0</v>
      </c>
      <c r="AL126" s="2629"/>
      <c r="AM126" s="607" t="s">
        <v>2233</v>
      </c>
      <c r="AN126" s="143">
        <v>0</v>
      </c>
      <c r="AO126" s="141">
        <v>0</v>
      </c>
      <c r="AP126" s="141">
        <v>0</v>
      </c>
      <c r="AQ126" s="141">
        <v>0</v>
      </c>
      <c r="AR126" s="141">
        <v>0</v>
      </c>
      <c r="AS126" s="141">
        <v>0</v>
      </c>
      <c r="AT126" s="141">
        <v>0</v>
      </c>
      <c r="AU126" s="144">
        <v>0</v>
      </c>
      <c r="AV126" s="143">
        <v>0</v>
      </c>
      <c r="AW126" s="141">
        <v>0</v>
      </c>
      <c r="AX126" s="141">
        <v>0</v>
      </c>
      <c r="AY126" s="141">
        <v>0</v>
      </c>
      <c r="AZ126" s="144">
        <v>0</v>
      </c>
      <c r="BA126" s="2629"/>
      <c r="BB126" s="545" t="s">
        <v>627</v>
      </c>
      <c r="BC126" s="868">
        <v>0</v>
      </c>
      <c r="BD126" s="545" t="s">
        <v>627</v>
      </c>
      <c r="BE126" s="868">
        <v>0</v>
      </c>
      <c r="BF126" s="545" t="s">
        <v>2233</v>
      </c>
      <c r="BG126" s="141">
        <v>0</v>
      </c>
      <c r="BH126" s="545" t="s">
        <v>2233</v>
      </c>
      <c r="BI126" s="141">
        <v>0</v>
      </c>
      <c r="BJ126" s="545" t="s">
        <v>2233</v>
      </c>
      <c r="BK126" s="141">
        <v>0</v>
      </c>
      <c r="BL126" s="545" t="s">
        <v>2233</v>
      </c>
      <c r="BM126" s="141">
        <v>0</v>
      </c>
      <c r="BN126" s="545" t="s">
        <v>2233</v>
      </c>
      <c r="BO126" s="141">
        <v>0</v>
      </c>
      <c r="BP126" s="2629"/>
      <c r="BQ126" s="545" t="s">
        <v>627</v>
      </c>
      <c r="BR126" s="868">
        <v>0</v>
      </c>
      <c r="BS126" s="545" t="s">
        <v>627</v>
      </c>
      <c r="BT126" s="868">
        <v>0</v>
      </c>
      <c r="BU126" s="545" t="s">
        <v>2233</v>
      </c>
      <c r="BV126" s="141">
        <v>0</v>
      </c>
      <c r="BW126" s="545" t="s">
        <v>2233</v>
      </c>
      <c r="BX126" s="141">
        <v>0</v>
      </c>
      <c r="BY126" s="545" t="s">
        <v>2233</v>
      </c>
      <c r="BZ126" s="141">
        <v>0</v>
      </c>
      <c r="CA126" s="545" t="s">
        <v>2233</v>
      </c>
      <c r="CB126" s="141">
        <v>0</v>
      </c>
      <c r="CC126" s="545" t="s">
        <v>2233</v>
      </c>
      <c r="CD126" s="144">
        <v>0</v>
      </c>
    </row>
    <row r="127" spans="1:82" s="98" customFormat="1" ht="15" customHeight="1">
      <c r="A127" s="99"/>
      <c r="B127" s="161"/>
      <c r="C127" s="185"/>
      <c r="D127" s="162"/>
      <c r="E127" s="162" t="s">
        <v>2707</v>
      </c>
      <c r="F127" s="162"/>
      <c r="G127" s="163"/>
      <c r="H127" s="163"/>
      <c r="I127" s="164" t="s">
        <v>498</v>
      </c>
      <c r="J127" s="143">
        <v>0</v>
      </c>
      <c r="K127" s="141">
        <v>0</v>
      </c>
      <c r="L127" s="141">
        <v>0</v>
      </c>
      <c r="M127" s="141">
        <v>0</v>
      </c>
      <c r="N127" s="141">
        <v>0</v>
      </c>
      <c r="O127" s="141">
        <v>0</v>
      </c>
      <c r="P127" s="141">
        <v>0</v>
      </c>
      <c r="Q127" s="144">
        <v>0</v>
      </c>
      <c r="R127" s="143">
        <v>0</v>
      </c>
      <c r="S127" s="141">
        <v>0</v>
      </c>
      <c r="T127" s="141">
        <v>0</v>
      </c>
      <c r="U127" s="141">
        <v>0</v>
      </c>
      <c r="V127" s="144">
        <v>0</v>
      </c>
      <c r="W127" s="2629"/>
      <c r="X127" s="607" t="s">
        <v>498</v>
      </c>
      <c r="Y127" s="143">
        <v>0</v>
      </c>
      <c r="Z127" s="141">
        <v>0</v>
      </c>
      <c r="AA127" s="141">
        <v>0</v>
      </c>
      <c r="AB127" s="141">
        <v>0</v>
      </c>
      <c r="AC127" s="141">
        <v>0</v>
      </c>
      <c r="AD127" s="141">
        <v>0</v>
      </c>
      <c r="AE127" s="141">
        <v>0</v>
      </c>
      <c r="AF127" s="144">
        <v>0</v>
      </c>
      <c r="AG127" s="143">
        <v>0</v>
      </c>
      <c r="AH127" s="141">
        <v>0</v>
      </c>
      <c r="AI127" s="141">
        <v>0</v>
      </c>
      <c r="AJ127" s="141">
        <v>0</v>
      </c>
      <c r="AK127" s="144">
        <v>0</v>
      </c>
      <c r="AL127" s="2629"/>
      <c r="AM127" s="607" t="s">
        <v>2233</v>
      </c>
      <c r="AN127" s="143">
        <v>0</v>
      </c>
      <c r="AO127" s="141">
        <v>0</v>
      </c>
      <c r="AP127" s="141">
        <v>0</v>
      </c>
      <c r="AQ127" s="141">
        <v>0</v>
      </c>
      <c r="AR127" s="141">
        <v>0</v>
      </c>
      <c r="AS127" s="141">
        <v>0</v>
      </c>
      <c r="AT127" s="141">
        <v>0</v>
      </c>
      <c r="AU127" s="144">
        <v>0</v>
      </c>
      <c r="AV127" s="143">
        <v>0</v>
      </c>
      <c r="AW127" s="141">
        <v>0</v>
      </c>
      <c r="AX127" s="141">
        <v>0</v>
      </c>
      <c r="AY127" s="141">
        <v>0</v>
      </c>
      <c r="AZ127" s="144">
        <v>0</v>
      </c>
      <c r="BA127" s="2629"/>
      <c r="BB127" s="545" t="s">
        <v>627</v>
      </c>
      <c r="BC127" s="868">
        <v>0</v>
      </c>
      <c r="BD127" s="545" t="s">
        <v>627</v>
      </c>
      <c r="BE127" s="868">
        <v>0</v>
      </c>
      <c r="BF127" s="545" t="s">
        <v>2233</v>
      </c>
      <c r="BG127" s="141">
        <v>0</v>
      </c>
      <c r="BH127" s="545" t="s">
        <v>2233</v>
      </c>
      <c r="BI127" s="141">
        <v>0</v>
      </c>
      <c r="BJ127" s="545" t="s">
        <v>2233</v>
      </c>
      <c r="BK127" s="141">
        <v>0</v>
      </c>
      <c r="BL127" s="545" t="s">
        <v>2233</v>
      </c>
      <c r="BM127" s="141">
        <v>0</v>
      </c>
      <c r="BN127" s="545" t="s">
        <v>2233</v>
      </c>
      <c r="BO127" s="141">
        <v>0</v>
      </c>
      <c r="BP127" s="2629"/>
      <c r="BQ127" s="545" t="s">
        <v>627</v>
      </c>
      <c r="BR127" s="868">
        <v>0</v>
      </c>
      <c r="BS127" s="545" t="s">
        <v>627</v>
      </c>
      <c r="BT127" s="868">
        <v>0</v>
      </c>
      <c r="BU127" s="545" t="s">
        <v>2233</v>
      </c>
      <c r="BV127" s="141">
        <v>0</v>
      </c>
      <c r="BW127" s="545" t="s">
        <v>2233</v>
      </c>
      <c r="BX127" s="141">
        <v>0</v>
      </c>
      <c r="BY127" s="545" t="s">
        <v>2233</v>
      </c>
      <c r="BZ127" s="141">
        <v>0</v>
      </c>
      <c r="CA127" s="545" t="s">
        <v>2233</v>
      </c>
      <c r="CB127" s="141">
        <v>0</v>
      </c>
      <c r="CC127" s="545" t="s">
        <v>2233</v>
      </c>
      <c r="CD127" s="144">
        <v>0</v>
      </c>
    </row>
    <row r="128" spans="1:82" s="98" customFormat="1" ht="15" customHeight="1">
      <c r="A128" s="99"/>
      <c r="B128" s="161"/>
      <c r="C128" s="185"/>
      <c r="D128" s="162"/>
      <c r="E128" s="162" t="s">
        <v>2708</v>
      </c>
      <c r="F128" s="162"/>
      <c r="G128" s="163"/>
      <c r="H128" s="163"/>
      <c r="I128" s="164" t="s">
        <v>498</v>
      </c>
      <c r="J128" s="143">
        <v>0</v>
      </c>
      <c r="K128" s="141">
        <v>0</v>
      </c>
      <c r="L128" s="141">
        <v>0</v>
      </c>
      <c r="M128" s="141">
        <v>0</v>
      </c>
      <c r="N128" s="141">
        <v>0</v>
      </c>
      <c r="O128" s="141">
        <v>0</v>
      </c>
      <c r="P128" s="141">
        <v>0</v>
      </c>
      <c r="Q128" s="144">
        <v>0</v>
      </c>
      <c r="R128" s="143">
        <v>0</v>
      </c>
      <c r="S128" s="141">
        <v>0</v>
      </c>
      <c r="T128" s="141">
        <v>0</v>
      </c>
      <c r="U128" s="141">
        <v>0</v>
      </c>
      <c r="V128" s="144">
        <v>0</v>
      </c>
      <c r="W128" s="2629"/>
      <c r="X128" s="607" t="s">
        <v>498</v>
      </c>
      <c r="Y128" s="143">
        <v>0</v>
      </c>
      <c r="Z128" s="141">
        <v>0</v>
      </c>
      <c r="AA128" s="141">
        <v>0</v>
      </c>
      <c r="AB128" s="141">
        <v>0</v>
      </c>
      <c r="AC128" s="141">
        <v>0</v>
      </c>
      <c r="AD128" s="141">
        <v>0</v>
      </c>
      <c r="AE128" s="141">
        <v>0</v>
      </c>
      <c r="AF128" s="144">
        <v>0</v>
      </c>
      <c r="AG128" s="143">
        <v>0</v>
      </c>
      <c r="AH128" s="141">
        <v>0</v>
      </c>
      <c r="AI128" s="141">
        <v>0</v>
      </c>
      <c r="AJ128" s="141">
        <v>0</v>
      </c>
      <c r="AK128" s="144">
        <v>0</v>
      </c>
      <c r="AL128" s="2629"/>
      <c r="AM128" s="607" t="s">
        <v>2233</v>
      </c>
      <c r="AN128" s="143">
        <v>0</v>
      </c>
      <c r="AO128" s="141">
        <v>0</v>
      </c>
      <c r="AP128" s="141">
        <v>0</v>
      </c>
      <c r="AQ128" s="141">
        <v>0</v>
      </c>
      <c r="AR128" s="141">
        <v>0</v>
      </c>
      <c r="AS128" s="141">
        <v>0</v>
      </c>
      <c r="AT128" s="141">
        <v>0</v>
      </c>
      <c r="AU128" s="144">
        <v>0</v>
      </c>
      <c r="AV128" s="143">
        <v>0</v>
      </c>
      <c r="AW128" s="141">
        <v>0</v>
      </c>
      <c r="AX128" s="141">
        <v>0</v>
      </c>
      <c r="AY128" s="141">
        <v>0</v>
      </c>
      <c r="AZ128" s="144">
        <v>0</v>
      </c>
      <c r="BA128" s="2629"/>
      <c r="BB128" s="545" t="s">
        <v>627</v>
      </c>
      <c r="BC128" s="868">
        <v>0</v>
      </c>
      <c r="BD128" s="545" t="s">
        <v>627</v>
      </c>
      <c r="BE128" s="868">
        <v>0</v>
      </c>
      <c r="BF128" s="545" t="s">
        <v>2233</v>
      </c>
      <c r="BG128" s="141">
        <v>0</v>
      </c>
      <c r="BH128" s="545" t="s">
        <v>2233</v>
      </c>
      <c r="BI128" s="141">
        <v>0</v>
      </c>
      <c r="BJ128" s="545" t="s">
        <v>2233</v>
      </c>
      <c r="BK128" s="141">
        <v>0</v>
      </c>
      <c r="BL128" s="545" t="s">
        <v>2233</v>
      </c>
      <c r="BM128" s="141">
        <v>0</v>
      </c>
      <c r="BN128" s="545" t="s">
        <v>2233</v>
      </c>
      <c r="BO128" s="141">
        <v>0</v>
      </c>
      <c r="BP128" s="2629"/>
      <c r="BQ128" s="545" t="s">
        <v>627</v>
      </c>
      <c r="BR128" s="868">
        <v>0</v>
      </c>
      <c r="BS128" s="545" t="s">
        <v>627</v>
      </c>
      <c r="BT128" s="868">
        <v>0</v>
      </c>
      <c r="BU128" s="545" t="s">
        <v>2233</v>
      </c>
      <c r="BV128" s="141">
        <v>0</v>
      </c>
      <c r="BW128" s="545" t="s">
        <v>2233</v>
      </c>
      <c r="BX128" s="141">
        <v>0</v>
      </c>
      <c r="BY128" s="545" t="s">
        <v>2233</v>
      </c>
      <c r="BZ128" s="141">
        <v>0</v>
      </c>
      <c r="CA128" s="545" t="s">
        <v>2233</v>
      </c>
      <c r="CB128" s="141">
        <v>0</v>
      </c>
      <c r="CC128" s="545" t="s">
        <v>2233</v>
      </c>
      <c r="CD128" s="144">
        <v>0</v>
      </c>
    </row>
    <row r="129" spans="1:82" s="98" customFormat="1" ht="15" customHeight="1">
      <c r="A129" s="99"/>
      <c r="B129" s="161"/>
      <c r="C129" s="185"/>
      <c r="D129" s="162" t="s">
        <v>1710</v>
      </c>
      <c r="E129" s="162"/>
      <c r="F129" s="162"/>
      <c r="G129" s="163"/>
      <c r="H129" s="163"/>
      <c r="I129" s="164" t="s">
        <v>498</v>
      </c>
      <c r="J129" s="641">
        <f>SUM(J121:J128)</f>
        <v>0</v>
      </c>
      <c r="K129" s="642">
        <f t="shared" ref="K129:V129" si="34">SUM(K121:K128)</f>
        <v>0</v>
      </c>
      <c r="L129" s="642">
        <f t="shared" si="34"/>
        <v>0</v>
      </c>
      <c r="M129" s="642">
        <f t="shared" si="34"/>
        <v>0</v>
      </c>
      <c r="N129" s="642">
        <f t="shared" si="34"/>
        <v>0</v>
      </c>
      <c r="O129" s="642">
        <f t="shared" si="34"/>
        <v>0</v>
      </c>
      <c r="P129" s="642">
        <f t="shared" si="34"/>
        <v>0</v>
      </c>
      <c r="Q129" s="643">
        <f t="shared" si="34"/>
        <v>0</v>
      </c>
      <c r="R129" s="641">
        <f t="shared" si="34"/>
        <v>0</v>
      </c>
      <c r="S129" s="642">
        <f t="shared" si="34"/>
        <v>0</v>
      </c>
      <c r="T129" s="642">
        <f t="shared" si="34"/>
        <v>0</v>
      </c>
      <c r="U129" s="642">
        <f t="shared" si="34"/>
        <v>0</v>
      </c>
      <c r="V129" s="643">
        <f t="shared" si="34"/>
        <v>0</v>
      </c>
      <c r="W129" s="2629"/>
      <c r="X129" s="607" t="s">
        <v>498</v>
      </c>
      <c r="Y129" s="641">
        <f>SUM(Y121:Y128)</f>
        <v>0</v>
      </c>
      <c r="Z129" s="642">
        <f t="shared" ref="Z129:AK129" si="35">SUM(Z121:Z128)</f>
        <v>0</v>
      </c>
      <c r="AA129" s="642">
        <f t="shared" si="35"/>
        <v>0</v>
      </c>
      <c r="AB129" s="642">
        <f t="shared" si="35"/>
        <v>0</v>
      </c>
      <c r="AC129" s="642">
        <f t="shared" si="35"/>
        <v>0</v>
      </c>
      <c r="AD129" s="642">
        <f t="shared" si="35"/>
        <v>0</v>
      </c>
      <c r="AE129" s="642">
        <f t="shared" si="35"/>
        <v>0</v>
      </c>
      <c r="AF129" s="643">
        <f t="shared" si="35"/>
        <v>0</v>
      </c>
      <c r="AG129" s="641">
        <f t="shared" si="35"/>
        <v>0</v>
      </c>
      <c r="AH129" s="642">
        <f t="shared" si="35"/>
        <v>0</v>
      </c>
      <c r="AI129" s="642">
        <f t="shared" si="35"/>
        <v>0</v>
      </c>
      <c r="AJ129" s="642">
        <f t="shared" si="35"/>
        <v>0</v>
      </c>
      <c r="AK129" s="643">
        <f t="shared" si="35"/>
        <v>0</v>
      </c>
      <c r="AL129" s="2629"/>
      <c r="AM129" s="607" t="s">
        <v>2233</v>
      </c>
      <c r="AN129" s="641">
        <f>SUM(AN121:AN128)</f>
        <v>0</v>
      </c>
      <c r="AO129" s="642">
        <f t="shared" ref="AO129:AZ129" si="36">SUM(AO121:AO128)</f>
        <v>0</v>
      </c>
      <c r="AP129" s="642">
        <f t="shared" si="36"/>
        <v>0</v>
      </c>
      <c r="AQ129" s="642">
        <f t="shared" si="36"/>
        <v>0</v>
      </c>
      <c r="AR129" s="642">
        <f t="shared" si="36"/>
        <v>0</v>
      </c>
      <c r="AS129" s="642">
        <f t="shared" si="36"/>
        <v>0</v>
      </c>
      <c r="AT129" s="642">
        <f t="shared" si="36"/>
        <v>0</v>
      </c>
      <c r="AU129" s="643">
        <f t="shared" si="36"/>
        <v>0</v>
      </c>
      <c r="AV129" s="641">
        <f t="shared" si="36"/>
        <v>0</v>
      </c>
      <c r="AW129" s="642">
        <f t="shared" si="36"/>
        <v>0</v>
      </c>
      <c r="AX129" s="642">
        <f t="shared" si="36"/>
        <v>0</v>
      </c>
      <c r="AY129" s="642">
        <f t="shared" si="36"/>
        <v>0</v>
      </c>
      <c r="AZ129" s="643">
        <f t="shared" si="36"/>
        <v>0</v>
      </c>
      <c r="BA129" s="2629"/>
      <c r="BB129" s="542"/>
      <c r="BC129" s="542"/>
      <c r="BD129" s="542"/>
      <c r="BE129" s="542"/>
      <c r="BF129" s="545" t="s">
        <v>2233</v>
      </c>
      <c r="BG129" s="642">
        <f>SUM(BG121:BG128)</f>
        <v>0</v>
      </c>
      <c r="BH129" s="545" t="s">
        <v>2233</v>
      </c>
      <c r="BI129" s="642">
        <f>SUM(BI121:BI128)</f>
        <v>0</v>
      </c>
      <c r="BJ129" s="545" t="s">
        <v>2233</v>
      </c>
      <c r="BK129" s="642">
        <f>SUM(BK121:BK128)</f>
        <v>0</v>
      </c>
      <c r="BL129" s="545" t="s">
        <v>2233</v>
      </c>
      <c r="BM129" s="642">
        <f>SUM(BM121:BM128)</f>
        <v>0</v>
      </c>
      <c r="BN129" s="545" t="s">
        <v>2233</v>
      </c>
      <c r="BO129" s="642">
        <f>SUM(BO121:BO128)</f>
        <v>0</v>
      </c>
      <c r="BP129" s="2629"/>
      <c r="BQ129" s="542"/>
      <c r="BR129" s="542"/>
      <c r="BS129" s="542"/>
      <c r="BT129" s="542"/>
      <c r="BU129" s="545" t="s">
        <v>2233</v>
      </c>
      <c r="BV129" s="642">
        <f>SUM(BV121:BV128)</f>
        <v>0</v>
      </c>
      <c r="BW129" s="545" t="s">
        <v>2233</v>
      </c>
      <c r="BX129" s="642">
        <f>SUM(BX121:BX128)</f>
        <v>0</v>
      </c>
      <c r="BY129" s="545" t="s">
        <v>2233</v>
      </c>
      <c r="BZ129" s="642">
        <f>SUM(BZ121:BZ128)</f>
        <v>0</v>
      </c>
      <c r="CA129" s="545" t="s">
        <v>2233</v>
      </c>
      <c r="CB129" s="642">
        <f>SUM(CB121:CB128)</f>
        <v>0</v>
      </c>
      <c r="CC129" s="545" t="s">
        <v>2233</v>
      </c>
      <c r="CD129" s="643">
        <f>SUM(CD121:CD128)</f>
        <v>0</v>
      </c>
    </row>
    <row r="130" spans="1:82" s="98" customFormat="1" ht="15" customHeight="1">
      <c r="A130" s="99"/>
      <c r="B130" s="123"/>
      <c r="C130" s="127"/>
      <c r="D130" s="127"/>
      <c r="E130" s="127"/>
      <c r="F130" s="127"/>
      <c r="G130" s="117"/>
      <c r="H130" s="117"/>
      <c r="I130" s="117"/>
      <c r="J130" s="159"/>
      <c r="K130" s="94"/>
      <c r="L130" s="94"/>
      <c r="M130" s="94"/>
      <c r="N130" s="94"/>
      <c r="O130" s="94"/>
      <c r="P130" s="94"/>
      <c r="Q130" s="160"/>
      <c r="R130" s="159"/>
      <c r="S130" s="94"/>
      <c r="T130" s="94"/>
      <c r="U130" s="94"/>
      <c r="V130" s="160"/>
      <c r="W130" s="2629"/>
      <c r="X130" s="94"/>
      <c r="Y130" s="159"/>
      <c r="Z130" s="94"/>
      <c r="AA130" s="94"/>
      <c r="AB130" s="94"/>
      <c r="AC130" s="94"/>
      <c r="AD130" s="94"/>
      <c r="AE130" s="94"/>
      <c r="AF130" s="160"/>
      <c r="AG130" s="159"/>
      <c r="AH130" s="94"/>
      <c r="AI130" s="94"/>
      <c r="AJ130" s="94"/>
      <c r="AK130" s="160"/>
      <c r="AL130" s="2629"/>
      <c r="AM130" s="94"/>
      <c r="AN130" s="159"/>
      <c r="AO130" s="94"/>
      <c r="AP130" s="94"/>
      <c r="AQ130" s="94"/>
      <c r="AR130" s="94"/>
      <c r="AS130" s="94"/>
      <c r="AT130" s="94"/>
      <c r="AU130" s="160"/>
      <c r="AV130" s="159"/>
      <c r="AW130" s="94"/>
      <c r="AX130" s="94"/>
      <c r="AY130" s="94"/>
      <c r="AZ130" s="160"/>
      <c r="BA130" s="2629"/>
      <c r="BB130" s="542"/>
      <c r="BC130" s="542"/>
      <c r="BD130" s="542"/>
      <c r="BE130" s="542"/>
      <c r="BF130" s="542"/>
      <c r="BG130" s="542"/>
      <c r="BH130" s="542"/>
      <c r="BI130" s="542"/>
      <c r="BJ130" s="542"/>
      <c r="BK130" s="542"/>
      <c r="BL130" s="542"/>
      <c r="BM130" s="542"/>
      <c r="BN130" s="542"/>
      <c r="BO130" s="542"/>
      <c r="BP130" s="2629"/>
      <c r="BQ130" s="542"/>
      <c r="BR130" s="542"/>
      <c r="BS130" s="542"/>
      <c r="BT130" s="542"/>
      <c r="BU130" s="542"/>
      <c r="BV130" s="542"/>
      <c r="BW130" s="542"/>
      <c r="BX130" s="542"/>
      <c r="BY130" s="542"/>
      <c r="BZ130" s="542"/>
      <c r="CA130" s="542"/>
      <c r="CB130" s="542"/>
      <c r="CC130" s="542"/>
      <c r="CD130" s="544"/>
    </row>
    <row r="131" spans="1:82" s="98" customFormat="1" ht="15" customHeight="1" thickBot="1">
      <c r="A131" s="99"/>
      <c r="B131" s="191" t="s">
        <v>1701</v>
      </c>
      <c r="C131" s="193"/>
      <c r="D131" s="193"/>
      <c r="E131" s="193"/>
      <c r="F131" s="193"/>
      <c r="G131" s="194"/>
      <c r="H131" s="194"/>
      <c r="I131" s="195" t="s">
        <v>498</v>
      </c>
      <c r="J131" s="717">
        <f>SUM(J73,J85,J96,J107,J118,J129)</f>
        <v>0.12000298678569775</v>
      </c>
      <c r="K131" s="718">
        <f t="shared" ref="K131:V131" si="37">SUM(K73,K85,K96,K107,K118,K129)</f>
        <v>1.4338866088025379</v>
      </c>
      <c r="L131" s="718">
        <f t="shared" si="37"/>
        <v>1.126734886095424</v>
      </c>
      <c r="M131" s="718">
        <f t="shared" si="37"/>
        <v>0.44360138383311121</v>
      </c>
      <c r="N131" s="718">
        <f t="shared" si="37"/>
        <v>0.67863012376890897</v>
      </c>
      <c r="O131" s="718">
        <f t="shared" si="37"/>
        <v>0.41537007167420203</v>
      </c>
      <c r="P131" s="718">
        <f t="shared" si="37"/>
        <v>0.54483144470714684</v>
      </c>
      <c r="Q131" s="719">
        <f t="shared" si="37"/>
        <v>0.45830654810411181</v>
      </c>
      <c r="R131" s="717">
        <f t="shared" si="37"/>
        <v>10.541724534410958</v>
      </c>
      <c r="S131" s="718">
        <f t="shared" si="37"/>
        <v>10.489015911738903</v>
      </c>
      <c r="T131" s="718">
        <f t="shared" si="37"/>
        <v>10.436570832180209</v>
      </c>
      <c r="U131" s="718">
        <f t="shared" si="37"/>
        <v>10.384387978019307</v>
      </c>
      <c r="V131" s="719">
        <f t="shared" si="37"/>
        <v>10.33246603812921</v>
      </c>
      <c r="W131" s="2630"/>
      <c r="X131" s="1083" t="s">
        <v>498</v>
      </c>
      <c r="Y131" s="717">
        <f>SUM(Y73,Y85,Y96,Y107,Y118,Y129)</f>
        <v>0</v>
      </c>
      <c r="Z131" s="718">
        <f t="shared" ref="Z131:AK131" si="38">SUM(Z73,Z85,Z96,Z107,Z118,Z129)</f>
        <v>0</v>
      </c>
      <c r="AA131" s="718">
        <f t="shared" si="38"/>
        <v>0</v>
      </c>
      <c r="AB131" s="718">
        <f t="shared" si="38"/>
        <v>0</v>
      </c>
      <c r="AC131" s="718">
        <f t="shared" si="38"/>
        <v>0</v>
      </c>
      <c r="AD131" s="718">
        <f t="shared" si="38"/>
        <v>0</v>
      </c>
      <c r="AE131" s="718">
        <f t="shared" si="38"/>
        <v>0</v>
      </c>
      <c r="AF131" s="719">
        <f t="shared" si="38"/>
        <v>0</v>
      </c>
      <c r="AG131" s="717">
        <f t="shared" si="38"/>
        <v>0</v>
      </c>
      <c r="AH131" s="718">
        <f t="shared" si="38"/>
        <v>0</v>
      </c>
      <c r="AI131" s="718">
        <f t="shared" si="38"/>
        <v>0</v>
      </c>
      <c r="AJ131" s="718">
        <f t="shared" si="38"/>
        <v>0</v>
      </c>
      <c r="AK131" s="719">
        <f t="shared" si="38"/>
        <v>0</v>
      </c>
      <c r="AL131" s="2630"/>
      <c r="AM131" s="1083" t="s">
        <v>2233</v>
      </c>
      <c r="AN131" s="717">
        <f>SUM(AN73,AN85,AN96,AN107,AN118,AN129)</f>
        <v>0</v>
      </c>
      <c r="AO131" s="718">
        <f t="shared" ref="AO131:AZ131" si="39">SUM(AO73,AO85,AO96,AO107,AO118,AO129)</f>
        <v>1.6930000000000001</v>
      </c>
      <c r="AP131" s="718">
        <f t="shared" si="39"/>
        <v>1.62</v>
      </c>
      <c r="AQ131" s="718">
        <f t="shared" si="39"/>
        <v>1.1300000000000003</v>
      </c>
      <c r="AR131" s="718">
        <f t="shared" si="39"/>
        <v>1.2670000000000001</v>
      </c>
      <c r="AS131" s="718">
        <f t="shared" si="39"/>
        <v>2.3640000000000003</v>
      </c>
      <c r="AT131" s="718">
        <f t="shared" si="39"/>
        <v>1.0665884664248138</v>
      </c>
      <c r="AU131" s="719">
        <f t="shared" si="39"/>
        <v>1.0665884664248138</v>
      </c>
      <c r="AV131" s="717">
        <f t="shared" si="39"/>
        <v>3.6896000000000009</v>
      </c>
      <c r="AW131" s="718">
        <f t="shared" si="39"/>
        <v>3.6896000000000009</v>
      </c>
      <c r="AX131" s="718">
        <f t="shared" si="39"/>
        <v>3.6896000000000009</v>
      </c>
      <c r="AY131" s="718">
        <f t="shared" si="39"/>
        <v>3.6896000000000009</v>
      </c>
      <c r="AZ131" s="719">
        <f t="shared" si="39"/>
        <v>3.6896000000000009</v>
      </c>
      <c r="BA131" s="2630"/>
      <c r="BB131" s="548"/>
      <c r="BC131" s="548"/>
      <c r="BD131" s="548"/>
      <c r="BE131" s="1537"/>
      <c r="BF131" s="1081" t="s">
        <v>2233</v>
      </c>
      <c r="BG131" s="702">
        <f>SUM(BG73,BG85,BG96,BG107,BG118,BG129)</f>
        <v>0</v>
      </c>
      <c r="BH131" s="1081" t="s">
        <v>2233</v>
      </c>
      <c r="BI131" s="702">
        <f>SUM(BI73,BI85,BI96,BI107,BI118,BI129)</f>
        <v>0</v>
      </c>
      <c r="BJ131" s="1081" t="s">
        <v>2233</v>
      </c>
      <c r="BK131" s="702">
        <f>SUM(BK73,BK85,BK96,BK107,BK118,BK129)</f>
        <v>0</v>
      </c>
      <c r="BL131" s="1081" t="s">
        <v>2233</v>
      </c>
      <c r="BM131" s="702">
        <f>SUM(BM73,BM85,BM96,BM107,BM118,BM129)</f>
        <v>0</v>
      </c>
      <c r="BN131" s="1081" t="s">
        <v>2233</v>
      </c>
      <c r="BO131" s="702">
        <f>SUM(BO73,BO85,BO96,BO107,BO118,BO129)</f>
        <v>0</v>
      </c>
      <c r="BP131" s="2630"/>
      <c r="BQ131" s="548"/>
      <c r="BR131" s="548"/>
      <c r="BS131" s="548"/>
      <c r="BT131" s="1537"/>
      <c r="BU131" s="1081" t="s">
        <v>2233</v>
      </c>
      <c r="BV131" s="702">
        <f>SUM(BV73,BV85,BV96,BV107,BV118,BV129)</f>
        <v>0</v>
      </c>
      <c r="BW131" s="1081" t="s">
        <v>2233</v>
      </c>
      <c r="BX131" s="702">
        <f>SUM(BX73,BX85,BX96,BX107,BX118,BX129)</f>
        <v>0</v>
      </c>
      <c r="BY131" s="1081" t="s">
        <v>2233</v>
      </c>
      <c r="BZ131" s="702">
        <f>SUM(BZ73,BZ85,BZ96,BZ107,BZ118,BZ129)</f>
        <v>0</v>
      </c>
      <c r="CA131" s="1081" t="s">
        <v>2233</v>
      </c>
      <c r="CB131" s="702">
        <f>SUM(CB73,CB85,CB96,CB107,CB118,CB129)</f>
        <v>0</v>
      </c>
      <c r="CC131" s="1081" t="s">
        <v>2233</v>
      </c>
      <c r="CD131" s="703">
        <f>SUM(CD73,CD85,CD96,CD107,CD118,CD129)</f>
        <v>0</v>
      </c>
    </row>
    <row r="132" spans="1:82" s="99" customFormat="1" ht="15" customHeight="1" thickBot="1">
      <c r="B132" s="150"/>
      <c r="C132" s="150"/>
      <c r="D132" s="150"/>
      <c r="E132" s="150"/>
      <c r="F132" s="150"/>
      <c r="G132" s="97"/>
      <c r="H132" s="97"/>
      <c r="I132" s="98"/>
      <c r="J132" s="2629"/>
      <c r="K132" s="2629"/>
      <c r="L132" s="2629"/>
      <c r="M132" s="2629"/>
      <c r="N132" s="2629"/>
      <c r="O132" s="2629"/>
      <c r="P132" s="2629"/>
      <c r="Q132" s="2629"/>
      <c r="R132" s="2629"/>
      <c r="S132" s="2629"/>
      <c r="T132" s="2629"/>
      <c r="U132" s="2629"/>
      <c r="V132" s="2629"/>
      <c r="W132" s="2629"/>
      <c r="X132" s="2629"/>
      <c r="Y132" s="2631"/>
      <c r="Z132" s="2631"/>
      <c r="AA132" s="2631"/>
      <c r="AB132" s="2631"/>
      <c r="AC132" s="2631"/>
      <c r="AD132" s="2631"/>
      <c r="AE132" s="2631"/>
      <c r="AF132" s="2631"/>
      <c r="AG132" s="2631"/>
      <c r="AH132" s="2631"/>
      <c r="AI132" s="2631"/>
      <c r="AJ132" s="2631"/>
      <c r="AK132" s="2631"/>
      <c r="AL132" s="2631"/>
      <c r="AM132" s="2631"/>
      <c r="AN132" s="2631"/>
      <c r="AO132" s="2631"/>
      <c r="AP132" s="2631"/>
      <c r="AQ132" s="2631"/>
      <c r="AR132" s="2631"/>
      <c r="AS132" s="359"/>
      <c r="AT132" s="542"/>
      <c r="AU132" s="542"/>
      <c r="AV132" s="542"/>
      <c r="AW132" s="542"/>
      <c r="AX132" s="542"/>
      <c r="AY132" s="542"/>
      <c r="AZ132" s="542"/>
      <c r="BA132" s="542"/>
      <c r="BB132" s="542"/>
      <c r="BC132" s="2631"/>
      <c r="BD132" s="542"/>
      <c r="BE132" s="542"/>
      <c r="BF132" s="542"/>
      <c r="BG132" s="2631"/>
      <c r="BH132" s="542"/>
      <c r="BI132" s="2631"/>
      <c r="BJ132" s="2631"/>
      <c r="BK132" s="2631"/>
      <c r="BL132" s="2631"/>
      <c r="BM132" s="2631"/>
      <c r="BN132" s="2631"/>
      <c r="BO132" s="2631"/>
      <c r="BP132" s="2631"/>
      <c r="BQ132" s="2631"/>
      <c r="BR132" s="2631"/>
      <c r="BS132" s="2631"/>
      <c r="BT132" s="2631"/>
      <c r="BU132" s="2631"/>
      <c r="BV132" s="2631"/>
      <c r="BW132" s="2631"/>
      <c r="BX132" s="2631"/>
      <c r="BY132" s="2631"/>
      <c r="BZ132" s="2631"/>
      <c r="CA132" s="2631"/>
      <c r="CB132" s="2631"/>
      <c r="CC132" s="2631"/>
      <c r="CD132" s="2631"/>
    </row>
    <row r="133" spans="1:82" s="100" customFormat="1" ht="30" customHeight="1" thickBot="1">
      <c r="A133" s="89"/>
      <c r="B133" s="621" t="s">
        <v>2752</v>
      </c>
      <c r="C133" s="101"/>
      <c r="D133" s="102"/>
      <c r="E133" s="102"/>
      <c r="F133" s="102"/>
      <c r="G133" s="103"/>
      <c r="H133" s="103"/>
      <c r="I133" s="1689"/>
      <c r="J133" s="1689"/>
      <c r="K133" s="1689"/>
      <c r="L133" s="1689"/>
      <c r="M133" s="1689"/>
      <c r="N133" s="1689"/>
      <c r="O133" s="1689"/>
      <c r="P133" s="1689"/>
      <c r="Q133" s="1689"/>
      <c r="R133" s="1689"/>
      <c r="S133" s="1689"/>
      <c r="T133" s="1689"/>
      <c r="U133" s="1689"/>
      <c r="V133" s="1689"/>
      <c r="W133" s="103"/>
      <c r="X133" s="1689"/>
      <c r="Y133" s="1689"/>
      <c r="Z133" s="1689"/>
      <c r="AA133" s="1689"/>
      <c r="AB133" s="1689"/>
      <c r="AC133" s="1689"/>
      <c r="AD133" s="1689"/>
      <c r="AE133" s="1689"/>
      <c r="AF133" s="1689"/>
      <c r="AG133" s="1689"/>
      <c r="AH133" s="1689"/>
      <c r="AI133" s="1689"/>
      <c r="AJ133" s="1689"/>
      <c r="AK133" s="1689"/>
      <c r="AL133" s="1354"/>
      <c r="AM133" s="105" t="s">
        <v>2231</v>
      </c>
      <c r="AN133" s="106"/>
      <c r="AO133" s="106"/>
      <c r="AP133" s="106"/>
      <c r="AQ133" s="106"/>
      <c r="AR133" s="106"/>
      <c r="AS133" s="106"/>
      <c r="AT133" s="106"/>
      <c r="AU133" s="106"/>
      <c r="AV133" s="105"/>
      <c r="AW133" s="105"/>
      <c r="AX133" s="105"/>
      <c r="AY133" s="105"/>
      <c r="AZ133" s="105"/>
      <c r="BA133" s="103"/>
      <c r="BB133" s="105" t="s">
        <v>2690</v>
      </c>
      <c r="BC133" s="105"/>
      <c r="BD133" s="105"/>
      <c r="BE133" s="105"/>
      <c r="BF133" s="105"/>
      <c r="BG133" s="105"/>
      <c r="BH133" s="603"/>
      <c r="BI133" s="105"/>
      <c r="BJ133" s="103"/>
      <c r="BK133" s="103"/>
      <c r="BL133" s="103"/>
      <c r="BM133" s="103"/>
      <c r="BN133" s="103"/>
      <c r="BO133" s="103"/>
      <c r="BP133" s="1354"/>
      <c r="BQ133" s="105" t="s">
        <v>2691</v>
      </c>
      <c r="BR133" s="105"/>
      <c r="BS133" s="105"/>
      <c r="BT133" s="105"/>
      <c r="BU133" s="105"/>
      <c r="BV133" s="105"/>
      <c r="BW133" s="105"/>
      <c r="BX133" s="187"/>
    </row>
    <row r="134" spans="1:82" s="157" customFormat="1" ht="30" customHeight="1">
      <c r="A134" s="99"/>
      <c r="B134" s="109"/>
      <c r="C134" s="110"/>
      <c r="D134" s="110"/>
      <c r="E134" s="110"/>
      <c r="F134" s="110"/>
      <c r="G134" s="111"/>
      <c r="H134" s="111"/>
      <c r="I134" s="2502"/>
      <c r="J134" s="2502"/>
      <c r="K134" s="2502"/>
      <c r="L134" s="2502"/>
      <c r="M134" s="2502"/>
      <c r="N134" s="2502"/>
      <c r="O134" s="2502"/>
      <c r="P134" s="2502"/>
      <c r="Q134" s="2502"/>
      <c r="R134" s="2502"/>
      <c r="S134" s="2502"/>
      <c r="T134" s="2502"/>
      <c r="U134" s="2502"/>
      <c r="V134" s="2502"/>
      <c r="W134" s="113"/>
      <c r="X134" s="2502"/>
      <c r="Y134" s="2502"/>
      <c r="Z134" s="2502"/>
      <c r="AA134" s="2502"/>
      <c r="AB134" s="2502"/>
      <c r="AC134" s="2502"/>
      <c r="AD134" s="2502"/>
      <c r="AE134" s="2502"/>
      <c r="AF134" s="2502"/>
      <c r="AG134" s="2502"/>
      <c r="AH134" s="2502"/>
      <c r="AI134" s="2502"/>
      <c r="AJ134" s="2502"/>
      <c r="AK134" s="2502"/>
      <c r="AL134" s="2632"/>
      <c r="AM134" s="94"/>
      <c r="AN134" s="695" t="s">
        <v>1666</v>
      </c>
      <c r="AO134" s="152"/>
      <c r="AP134" s="152"/>
      <c r="AQ134" s="152"/>
      <c r="AR134" s="152"/>
      <c r="AS134" s="152"/>
      <c r="AT134" s="152"/>
      <c r="AU134" s="153"/>
      <c r="AV134" s="696" t="s">
        <v>2</v>
      </c>
      <c r="AW134" s="155"/>
      <c r="AX134" s="155"/>
      <c r="AY134" s="155"/>
      <c r="AZ134" s="156"/>
      <c r="BA134" s="2632"/>
      <c r="BB134" s="2633" t="s">
        <v>2711</v>
      </c>
      <c r="BC134" s="2633"/>
      <c r="BD134" s="2633" t="s">
        <v>2712</v>
      </c>
      <c r="BE134" s="2633"/>
      <c r="BF134" s="2633" t="s">
        <v>2713</v>
      </c>
      <c r="BG134" s="2633"/>
      <c r="BH134" s="2633" t="s">
        <v>2714</v>
      </c>
      <c r="BI134" s="2639"/>
      <c r="BJ134" s="2632"/>
      <c r="BK134" s="2632"/>
      <c r="BL134" s="2632"/>
      <c r="BM134" s="2632"/>
      <c r="BN134" s="2632"/>
      <c r="BO134" s="2632"/>
      <c r="BP134" s="2632"/>
      <c r="BQ134" s="2633" t="s">
        <v>2711</v>
      </c>
      <c r="BR134" s="2633"/>
      <c r="BS134" s="2633" t="s">
        <v>2712</v>
      </c>
      <c r="BT134" s="2633"/>
      <c r="BU134" s="2633" t="s">
        <v>2713</v>
      </c>
      <c r="BV134" s="2633"/>
      <c r="BW134" s="2633" t="s">
        <v>2714</v>
      </c>
      <c r="BX134" s="2634"/>
      <c r="BY134" s="2632"/>
      <c r="BZ134" s="2632"/>
      <c r="CA134" s="2632"/>
      <c r="CB134" s="2632"/>
      <c r="CC134" s="2632"/>
      <c r="CD134" s="2632"/>
    </row>
    <row r="135" spans="1:82" s="98" customFormat="1" ht="15" customHeight="1">
      <c r="A135" s="99"/>
      <c r="B135" s="115"/>
      <c r="C135" s="116"/>
      <c r="D135" s="116"/>
      <c r="E135" s="116"/>
      <c r="F135" s="116"/>
      <c r="G135" s="117"/>
      <c r="H135" s="117"/>
      <c r="I135" s="2503"/>
      <c r="J135" s="2503"/>
      <c r="K135" s="2503"/>
      <c r="L135" s="2503"/>
      <c r="M135" s="2503"/>
      <c r="N135" s="2503"/>
      <c r="O135" s="2503"/>
      <c r="P135" s="2503"/>
      <c r="Q135" s="2503"/>
      <c r="R135" s="2503"/>
      <c r="S135" s="2503"/>
      <c r="T135" s="2503"/>
      <c r="U135" s="2503"/>
      <c r="V135" s="2503"/>
      <c r="W135" s="94"/>
      <c r="X135" s="2503"/>
      <c r="Y135" s="2503"/>
      <c r="Z135" s="2503"/>
      <c r="AA135" s="2503"/>
      <c r="AB135" s="2503"/>
      <c r="AC135" s="2503"/>
      <c r="AD135" s="2503"/>
      <c r="AE135" s="2503"/>
      <c r="AF135" s="2503"/>
      <c r="AG135" s="2503"/>
      <c r="AH135" s="2503"/>
      <c r="AI135" s="2503"/>
      <c r="AJ135" s="2503"/>
      <c r="AK135" s="2503"/>
      <c r="AL135" s="2629"/>
      <c r="AM135" s="119" t="s">
        <v>1667</v>
      </c>
      <c r="AN135" s="158" t="s">
        <v>453</v>
      </c>
      <c r="AO135" s="137" t="s">
        <v>455</v>
      </c>
      <c r="AP135" s="137" t="s">
        <v>457</v>
      </c>
      <c r="AQ135" s="137" t="s">
        <v>459</v>
      </c>
      <c r="AR135" s="137" t="s">
        <v>461</v>
      </c>
      <c r="AS135" s="137" t="s">
        <v>463</v>
      </c>
      <c r="AT135" s="137" t="s">
        <v>465</v>
      </c>
      <c r="AU135" s="138" t="s">
        <v>467</v>
      </c>
      <c r="AV135" s="120" t="s">
        <v>469</v>
      </c>
      <c r="AW135" s="121" t="s">
        <v>471</v>
      </c>
      <c r="AX135" s="121" t="s">
        <v>473</v>
      </c>
      <c r="AY135" s="121" t="s">
        <v>475</v>
      </c>
      <c r="AZ135" s="122" t="s">
        <v>477</v>
      </c>
      <c r="BA135" s="2629"/>
      <c r="BB135" s="2635" t="s">
        <v>1667</v>
      </c>
      <c r="BC135" s="2635" t="s">
        <v>2142</v>
      </c>
      <c r="BD135" s="2635" t="s">
        <v>1667</v>
      </c>
      <c r="BE135" s="2635" t="s">
        <v>2142</v>
      </c>
      <c r="BF135" s="2635" t="s">
        <v>1667</v>
      </c>
      <c r="BG135" s="2635" t="s">
        <v>2142</v>
      </c>
      <c r="BH135" s="2642" t="s">
        <v>1667</v>
      </c>
      <c r="BI135" s="2635" t="s">
        <v>2142</v>
      </c>
      <c r="BJ135" s="2629"/>
      <c r="BK135" s="2629"/>
      <c r="BL135" s="2629"/>
      <c r="BM135" s="2629"/>
      <c r="BN135" s="2629"/>
      <c r="BO135" s="2629"/>
      <c r="BP135" s="2629"/>
      <c r="BQ135" s="2635" t="s">
        <v>1667</v>
      </c>
      <c r="BR135" s="2635" t="s">
        <v>2142</v>
      </c>
      <c r="BS135" s="2635" t="s">
        <v>1667</v>
      </c>
      <c r="BT135" s="2635" t="s">
        <v>2142</v>
      </c>
      <c r="BU135" s="2635" t="s">
        <v>1667</v>
      </c>
      <c r="BV135" s="2635" t="s">
        <v>2142</v>
      </c>
      <c r="BW135" s="2635" t="s">
        <v>1667</v>
      </c>
      <c r="BX135" s="2636" t="s">
        <v>2142</v>
      </c>
      <c r="BY135" s="2629"/>
      <c r="BZ135" s="2629"/>
      <c r="CA135" s="2629"/>
      <c r="CB135" s="2629"/>
      <c r="CC135" s="2629"/>
      <c r="CD135" s="2629"/>
    </row>
    <row r="136" spans="1:82" s="98" customFormat="1" ht="15" customHeight="1">
      <c r="A136" s="99"/>
      <c r="B136" s="161"/>
      <c r="C136" s="116" t="s">
        <v>2753</v>
      </c>
      <c r="D136" s="116"/>
      <c r="E136" s="116"/>
      <c r="F136" s="116"/>
      <c r="G136" s="117"/>
      <c r="H136" s="117"/>
      <c r="I136" s="2503"/>
      <c r="J136" s="2503"/>
      <c r="K136" s="2503"/>
      <c r="L136" s="2503"/>
      <c r="M136" s="2503"/>
      <c r="N136" s="2503"/>
      <c r="O136" s="2503"/>
      <c r="P136" s="2503"/>
      <c r="Q136" s="2503"/>
      <c r="R136" s="2503"/>
      <c r="S136" s="2503"/>
      <c r="T136" s="2503"/>
      <c r="U136" s="2503"/>
      <c r="V136" s="2503"/>
      <c r="W136" s="94"/>
      <c r="X136" s="2503"/>
      <c r="Y136" s="2503"/>
      <c r="Z136" s="2503"/>
      <c r="AA136" s="2503"/>
      <c r="AB136" s="2503"/>
      <c r="AC136" s="2503"/>
      <c r="AD136" s="2503"/>
      <c r="AE136" s="2503"/>
      <c r="AF136" s="2503"/>
      <c r="AG136" s="2503"/>
      <c r="AH136" s="2503"/>
      <c r="AI136" s="2503"/>
      <c r="AJ136" s="2503"/>
      <c r="AK136" s="2503"/>
      <c r="AL136" s="2629"/>
      <c r="AM136" s="94"/>
      <c r="AN136" s="159"/>
      <c r="AO136" s="94"/>
      <c r="AP136" s="94"/>
      <c r="AQ136" s="94"/>
      <c r="AR136" s="94"/>
      <c r="AS136" s="94"/>
      <c r="AT136" s="94"/>
      <c r="AU136" s="160"/>
      <c r="AV136" s="159"/>
      <c r="AW136" s="94"/>
      <c r="AX136" s="94"/>
      <c r="AY136" s="94"/>
      <c r="AZ136" s="160"/>
      <c r="BA136" s="2629"/>
      <c r="BB136" s="542"/>
      <c r="BC136" s="542"/>
      <c r="BD136" s="542"/>
      <c r="BE136" s="542"/>
      <c r="BF136" s="542"/>
      <c r="BG136" s="542"/>
      <c r="BH136" s="542"/>
      <c r="BI136" s="542"/>
      <c r="BJ136" s="2629"/>
      <c r="BK136" s="2629"/>
      <c r="BL136" s="2629"/>
      <c r="BM136" s="2629"/>
      <c r="BN136" s="2629"/>
      <c r="BO136" s="2629"/>
      <c r="BP136" s="2629"/>
      <c r="BQ136" s="542"/>
      <c r="BR136" s="542"/>
      <c r="BS136" s="542"/>
      <c r="BT136" s="542"/>
      <c r="BU136" s="542"/>
      <c r="BV136" s="542"/>
      <c r="BW136" s="542"/>
      <c r="BX136" s="544"/>
      <c r="BY136" s="2629"/>
      <c r="BZ136" s="2629"/>
      <c r="CA136" s="2629"/>
      <c r="CB136" s="2629"/>
      <c r="CC136" s="2629"/>
      <c r="CD136" s="2629"/>
    </row>
    <row r="137" spans="1:82" s="98" customFormat="1" ht="15" customHeight="1">
      <c r="A137" s="99"/>
      <c r="B137" s="161"/>
      <c r="C137" s="162"/>
      <c r="D137" s="162" t="s">
        <v>2716</v>
      </c>
      <c r="E137" s="162"/>
      <c r="F137" s="162"/>
      <c r="G137" s="163"/>
      <c r="H137" s="163"/>
      <c r="I137" s="2503"/>
      <c r="J137" s="2503"/>
      <c r="K137" s="2503"/>
      <c r="L137" s="2503"/>
      <c r="M137" s="2503"/>
      <c r="N137" s="2503"/>
      <c r="O137" s="2503"/>
      <c r="P137" s="2503"/>
      <c r="Q137" s="2503"/>
      <c r="R137" s="2503"/>
      <c r="S137" s="2503"/>
      <c r="T137" s="2503"/>
      <c r="U137" s="2503"/>
      <c r="V137" s="2503"/>
      <c r="W137" s="2645"/>
      <c r="X137" s="2503"/>
      <c r="Y137" s="2503"/>
      <c r="Z137" s="2503"/>
      <c r="AA137" s="2503"/>
      <c r="AB137" s="2503"/>
      <c r="AC137" s="2503"/>
      <c r="AD137" s="2503"/>
      <c r="AE137" s="2503"/>
      <c r="AF137" s="2503"/>
      <c r="AG137" s="2503"/>
      <c r="AH137" s="2503"/>
      <c r="AI137" s="2503"/>
      <c r="AJ137" s="2503"/>
      <c r="AK137" s="2503"/>
      <c r="AL137" s="2629"/>
      <c r="AM137" s="607" t="s">
        <v>2233</v>
      </c>
      <c r="AN137" s="143">
        <v>-7.0999999999999994E-2</v>
      </c>
      <c r="AO137" s="141">
        <v>-0.59199999999999997</v>
      </c>
      <c r="AP137" s="141">
        <v>-4.0000000000000001E-3</v>
      </c>
      <c r="AQ137" s="141">
        <v>-0.161</v>
      </c>
      <c r="AR137" s="141">
        <v>-5.6999999999999995E-2</v>
      </c>
      <c r="AS137" s="141">
        <v>-6.4000000000000001E-2</v>
      </c>
      <c r="AT137" s="141">
        <v>-7.6651865239685923E-2</v>
      </c>
      <c r="AU137" s="144">
        <v>-7.119648442429688E-2</v>
      </c>
      <c r="AV137" s="143">
        <v>-0.14315418027693236</v>
      </c>
      <c r="AW137" s="141">
        <v>-0.14315418027693236</v>
      </c>
      <c r="AX137" s="141">
        <v>-0.14315418027693236</v>
      </c>
      <c r="AY137" s="141">
        <v>-0.14315418027693236</v>
      </c>
      <c r="AZ137" s="144">
        <v>-0.14315418027693236</v>
      </c>
      <c r="BA137" s="2629"/>
      <c r="BB137" s="545" t="s">
        <v>2233</v>
      </c>
      <c r="BC137" s="141">
        <v>0</v>
      </c>
      <c r="BD137" s="545" t="s">
        <v>2233</v>
      </c>
      <c r="BE137" s="141">
        <v>0</v>
      </c>
      <c r="BF137" s="545" t="s">
        <v>2233</v>
      </c>
      <c r="BG137" s="141">
        <v>0</v>
      </c>
      <c r="BH137" s="607" t="s">
        <v>627</v>
      </c>
      <c r="BI137" s="868">
        <v>0</v>
      </c>
      <c r="BJ137" s="2629"/>
      <c r="BK137" s="2629"/>
      <c r="BL137" s="2629"/>
      <c r="BM137" s="2629"/>
      <c r="BN137" s="2629"/>
      <c r="BO137" s="2629"/>
      <c r="BP137" s="2629"/>
      <c r="BQ137" s="545" t="s">
        <v>2233</v>
      </c>
      <c r="BR137" s="141">
        <v>0</v>
      </c>
      <c r="BS137" s="545" t="s">
        <v>2233</v>
      </c>
      <c r="BT137" s="141">
        <v>0</v>
      </c>
      <c r="BU137" s="545" t="s">
        <v>2233</v>
      </c>
      <c r="BV137" s="141">
        <v>0</v>
      </c>
      <c r="BW137" s="607" t="s">
        <v>627</v>
      </c>
      <c r="BX137" s="872">
        <v>0</v>
      </c>
      <c r="BY137" s="2629"/>
      <c r="BZ137" s="2629"/>
      <c r="CA137" s="2629"/>
      <c r="CB137" s="2629"/>
      <c r="CC137" s="2629"/>
      <c r="CD137" s="2629"/>
    </row>
    <row r="138" spans="1:82" s="98" customFormat="1" ht="15" customHeight="1">
      <c r="A138" s="99"/>
      <c r="B138" s="161"/>
      <c r="C138" s="162"/>
      <c r="D138" s="162" t="s">
        <v>2717</v>
      </c>
      <c r="E138" s="162"/>
      <c r="F138" s="162"/>
      <c r="G138" s="163"/>
      <c r="H138" s="163"/>
      <c r="I138" s="2503"/>
      <c r="J138" s="2503"/>
      <c r="K138" s="2503"/>
      <c r="L138" s="2503"/>
      <c r="M138" s="2503"/>
      <c r="N138" s="2503"/>
      <c r="O138" s="2503"/>
      <c r="P138" s="2503"/>
      <c r="Q138" s="2503"/>
      <c r="R138" s="2503"/>
      <c r="S138" s="2503"/>
      <c r="T138" s="2503"/>
      <c r="U138" s="2503"/>
      <c r="V138" s="2503"/>
      <c r="W138" s="2645"/>
      <c r="X138" s="2503"/>
      <c r="Y138" s="2503"/>
      <c r="Z138" s="2503"/>
      <c r="AA138" s="2503"/>
      <c r="AB138" s="2503"/>
      <c r="AC138" s="2503"/>
      <c r="AD138" s="2503"/>
      <c r="AE138" s="2503"/>
      <c r="AF138" s="2503"/>
      <c r="AG138" s="2503"/>
      <c r="AH138" s="2503"/>
      <c r="AI138" s="2503"/>
      <c r="AJ138" s="2503"/>
      <c r="AK138" s="2503"/>
      <c r="AL138" s="2629"/>
      <c r="AM138" s="607" t="s">
        <v>2233</v>
      </c>
      <c r="AN138" s="143">
        <v>-0.79700000000000004</v>
      </c>
      <c r="AO138" s="141">
        <v>-0.81699999999999995</v>
      </c>
      <c r="AP138" s="141">
        <v>-0.57100000000000006</v>
      </c>
      <c r="AQ138" s="141">
        <v>-0.41200000000000003</v>
      </c>
      <c r="AR138" s="141">
        <v>-5.0000000000000001E-3</v>
      </c>
      <c r="AS138" s="141">
        <v>-0.114</v>
      </c>
      <c r="AT138" s="141">
        <v>-0.17731264592759521</v>
      </c>
      <c r="AU138" s="144">
        <v>-0.1515881690714391</v>
      </c>
      <c r="AV138" s="143">
        <v>-2.43493154052483</v>
      </c>
      <c r="AW138" s="141">
        <v>-2.43493154052483</v>
      </c>
      <c r="AX138" s="141">
        <v>-2.43493154052483</v>
      </c>
      <c r="AY138" s="141">
        <v>-2.43493154052483</v>
      </c>
      <c r="AZ138" s="144">
        <v>-2.43493154052483</v>
      </c>
      <c r="BA138" s="2629"/>
      <c r="BB138" s="545" t="s">
        <v>2233</v>
      </c>
      <c r="BC138" s="141">
        <v>0</v>
      </c>
      <c r="BD138" s="545" t="s">
        <v>2233</v>
      </c>
      <c r="BE138" s="141">
        <v>0</v>
      </c>
      <c r="BF138" s="545" t="s">
        <v>2233</v>
      </c>
      <c r="BG138" s="141">
        <v>0</v>
      </c>
      <c r="BH138" s="607" t="s">
        <v>627</v>
      </c>
      <c r="BI138" s="868">
        <v>0</v>
      </c>
      <c r="BJ138" s="2629"/>
      <c r="BK138" s="2629"/>
      <c r="BL138" s="2629"/>
      <c r="BM138" s="2629"/>
      <c r="BN138" s="2629"/>
      <c r="BO138" s="2629"/>
      <c r="BP138" s="2629"/>
      <c r="BQ138" s="545" t="s">
        <v>2233</v>
      </c>
      <c r="BR138" s="141">
        <v>0</v>
      </c>
      <c r="BS138" s="545" t="s">
        <v>2233</v>
      </c>
      <c r="BT138" s="141">
        <v>0</v>
      </c>
      <c r="BU138" s="545" t="s">
        <v>2233</v>
      </c>
      <c r="BV138" s="141">
        <v>0</v>
      </c>
      <c r="BW138" s="607" t="s">
        <v>627</v>
      </c>
      <c r="BX138" s="872">
        <v>0</v>
      </c>
      <c r="BY138" s="2629"/>
      <c r="BZ138" s="2629"/>
      <c r="CA138" s="2629"/>
      <c r="CB138" s="2629"/>
      <c r="CC138" s="2629"/>
      <c r="CD138" s="2629"/>
    </row>
    <row r="139" spans="1:82" s="98" customFormat="1" ht="15" customHeight="1">
      <c r="A139" s="99"/>
      <c r="B139" s="161"/>
      <c r="C139" s="162"/>
      <c r="D139" s="162" t="s">
        <v>2718</v>
      </c>
      <c r="E139" s="162"/>
      <c r="F139" s="162"/>
      <c r="G139" s="163"/>
      <c r="H139" s="163"/>
      <c r="I139" s="2503"/>
      <c r="J139" s="2503"/>
      <c r="K139" s="2503"/>
      <c r="L139" s="2503"/>
      <c r="M139" s="2503"/>
      <c r="N139" s="2503"/>
      <c r="O139" s="2503"/>
      <c r="P139" s="2503"/>
      <c r="Q139" s="2503"/>
      <c r="R139" s="2503"/>
      <c r="S139" s="2503"/>
      <c r="T139" s="2503"/>
      <c r="U139" s="2503"/>
      <c r="V139" s="2503"/>
      <c r="W139" s="2645"/>
      <c r="X139" s="2503"/>
      <c r="Y139" s="2503"/>
      <c r="Z139" s="2503"/>
      <c r="AA139" s="2503"/>
      <c r="AB139" s="2503"/>
      <c r="AC139" s="2503"/>
      <c r="AD139" s="2503"/>
      <c r="AE139" s="2503"/>
      <c r="AF139" s="2503"/>
      <c r="AG139" s="2503"/>
      <c r="AH139" s="2503"/>
      <c r="AI139" s="2503"/>
      <c r="AJ139" s="2503"/>
      <c r="AK139" s="2503"/>
      <c r="AL139" s="2629"/>
      <c r="AM139" s="607" t="s">
        <v>2233</v>
      </c>
      <c r="AN139" s="143">
        <v>-6.8390000000000004</v>
      </c>
      <c r="AO139" s="141">
        <v>-1.585</v>
      </c>
      <c r="AP139" s="141">
        <v>-6.5604999999999993</v>
      </c>
      <c r="AQ139" s="141">
        <v>-5.907</v>
      </c>
      <c r="AR139" s="141">
        <v>-0.32300000000000006</v>
      </c>
      <c r="AS139" s="141">
        <v>-3.609999999999999</v>
      </c>
      <c r="AT139" s="141">
        <v>-1.6440949407198659</v>
      </c>
      <c r="AU139" s="144">
        <v>-1.5540663131230432</v>
      </c>
      <c r="AV139" s="143">
        <v>-2.2541528116553939</v>
      </c>
      <c r="AW139" s="141">
        <v>-2.2541528116553939</v>
      </c>
      <c r="AX139" s="141">
        <v>-2.2541528116553939</v>
      </c>
      <c r="AY139" s="141">
        <v>-2.2541528116553939</v>
      </c>
      <c r="AZ139" s="144">
        <v>-2.2541528116553939</v>
      </c>
      <c r="BA139" s="2629"/>
      <c r="BB139" s="545" t="s">
        <v>2233</v>
      </c>
      <c r="BC139" s="141">
        <v>0</v>
      </c>
      <c r="BD139" s="545" t="s">
        <v>2233</v>
      </c>
      <c r="BE139" s="141">
        <v>0</v>
      </c>
      <c r="BF139" s="545" t="s">
        <v>2233</v>
      </c>
      <c r="BG139" s="141">
        <v>0</v>
      </c>
      <c r="BH139" s="607" t="s">
        <v>627</v>
      </c>
      <c r="BI139" s="868">
        <v>0</v>
      </c>
      <c r="BJ139" s="2629"/>
      <c r="BK139" s="2629"/>
      <c r="BL139" s="2629"/>
      <c r="BM139" s="2629"/>
      <c r="BN139" s="2629"/>
      <c r="BO139" s="2629"/>
      <c r="BP139" s="2629"/>
      <c r="BQ139" s="545" t="s">
        <v>2233</v>
      </c>
      <c r="BR139" s="141">
        <v>0</v>
      </c>
      <c r="BS139" s="545" t="s">
        <v>2233</v>
      </c>
      <c r="BT139" s="141">
        <v>0</v>
      </c>
      <c r="BU139" s="545" t="s">
        <v>2233</v>
      </c>
      <c r="BV139" s="141">
        <v>0</v>
      </c>
      <c r="BW139" s="607" t="s">
        <v>627</v>
      </c>
      <c r="BX139" s="872">
        <v>0</v>
      </c>
      <c r="BY139" s="2629"/>
      <c r="BZ139" s="2629"/>
      <c r="CA139" s="2629"/>
      <c r="CB139" s="2629"/>
      <c r="CC139" s="2629"/>
      <c r="CD139" s="2629"/>
    </row>
    <row r="140" spans="1:82" s="98" customFormat="1" ht="15" customHeight="1">
      <c r="A140" s="99"/>
      <c r="B140" s="161"/>
      <c r="C140" s="162"/>
      <c r="D140" s="162" t="s">
        <v>2719</v>
      </c>
      <c r="E140" s="162"/>
      <c r="F140" s="162"/>
      <c r="G140" s="163"/>
      <c r="H140" s="163"/>
      <c r="I140" s="2503"/>
      <c r="J140" s="2503"/>
      <c r="K140" s="2503"/>
      <c r="L140" s="2503"/>
      <c r="M140" s="2503"/>
      <c r="N140" s="2503"/>
      <c r="O140" s="2503"/>
      <c r="P140" s="2503"/>
      <c r="Q140" s="2503"/>
      <c r="R140" s="2503"/>
      <c r="S140" s="2503"/>
      <c r="T140" s="2503"/>
      <c r="U140" s="2503"/>
      <c r="V140" s="2503"/>
      <c r="W140" s="2645"/>
      <c r="X140" s="2503"/>
      <c r="Y140" s="2503"/>
      <c r="Z140" s="2503"/>
      <c r="AA140" s="2503"/>
      <c r="AB140" s="2503"/>
      <c r="AC140" s="2503"/>
      <c r="AD140" s="2503"/>
      <c r="AE140" s="2503"/>
      <c r="AF140" s="2503"/>
      <c r="AG140" s="2503"/>
      <c r="AH140" s="2503"/>
      <c r="AI140" s="2503"/>
      <c r="AJ140" s="2503"/>
      <c r="AK140" s="2503"/>
      <c r="AL140" s="2629"/>
      <c r="AM140" s="607" t="s">
        <v>2233</v>
      </c>
      <c r="AN140" s="143">
        <v>-0.74099999999999999</v>
      </c>
      <c r="AO140" s="141">
        <v>-2.1379999999999999</v>
      </c>
      <c r="AP140" s="141">
        <v>-3.0474999999999994</v>
      </c>
      <c r="AQ140" s="141">
        <v>-1.7040000000000002</v>
      </c>
      <c r="AR140" s="141">
        <v>-0.17699999999999999</v>
      </c>
      <c r="AS140" s="141">
        <v>-0.192</v>
      </c>
      <c r="AT140" s="141">
        <v>-0.51470640005424018</v>
      </c>
      <c r="AU140" s="144">
        <v>-0.46432357843941069</v>
      </c>
      <c r="AV140" s="143">
        <v>-0.54437344815680744</v>
      </c>
      <c r="AW140" s="141">
        <v>-0.54437344815680744</v>
      </c>
      <c r="AX140" s="141">
        <v>-0.54437344815680744</v>
      </c>
      <c r="AY140" s="141">
        <v>-0.54437344815680744</v>
      </c>
      <c r="AZ140" s="144">
        <v>-0.54437344815680744</v>
      </c>
      <c r="BA140" s="2629"/>
      <c r="BB140" s="545" t="s">
        <v>2233</v>
      </c>
      <c r="BC140" s="141">
        <v>0</v>
      </c>
      <c r="BD140" s="545" t="s">
        <v>2233</v>
      </c>
      <c r="BE140" s="141">
        <v>0</v>
      </c>
      <c r="BF140" s="545" t="s">
        <v>2233</v>
      </c>
      <c r="BG140" s="141">
        <v>0</v>
      </c>
      <c r="BH140" s="607" t="s">
        <v>627</v>
      </c>
      <c r="BI140" s="868">
        <v>0</v>
      </c>
      <c r="BJ140" s="2629"/>
      <c r="BK140" s="2629"/>
      <c r="BL140" s="2629"/>
      <c r="BM140" s="2629"/>
      <c r="BN140" s="2629"/>
      <c r="BO140" s="2629"/>
      <c r="BP140" s="2629"/>
      <c r="BQ140" s="545" t="s">
        <v>2233</v>
      </c>
      <c r="BR140" s="141">
        <v>0</v>
      </c>
      <c r="BS140" s="545" t="s">
        <v>2233</v>
      </c>
      <c r="BT140" s="141">
        <v>0</v>
      </c>
      <c r="BU140" s="545" t="s">
        <v>2233</v>
      </c>
      <c r="BV140" s="141">
        <v>0</v>
      </c>
      <c r="BW140" s="607" t="s">
        <v>627</v>
      </c>
      <c r="BX140" s="872">
        <v>0</v>
      </c>
      <c r="BY140" s="2629"/>
      <c r="BZ140" s="2629"/>
      <c r="CA140" s="2629"/>
      <c r="CB140" s="2629"/>
      <c r="CC140" s="2629"/>
      <c r="CD140" s="2629"/>
    </row>
    <row r="141" spans="1:82" s="98" customFormat="1" ht="15" customHeight="1">
      <c r="A141" s="99"/>
      <c r="B141" s="161"/>
      <c r="C141" s="162"/>
      <c r="D141" s="162" t="s">
        <v>2726</v>
      </c>
      <c r="E141" s="162"/>
      <c r="F141" s="162"/>
      <c r="G141" s="163"/>
      <c r="H141" s="163"/>
      <c r="I141" s="2503"/>
      <c r="J141" s="2503"/>
      <c r="K141" s="2503"/>
      <c r="L141" s="2503"/>
      <c r="M141" s="2503"/>
      <c r="N141" s="2503"/>
      <c r="O141" s="2503"/>
      <c r="P141" s="2503"/>
      <c r="Q141" s="2503"/>
      <c r="R141" s="2503"/>
      <c r="S141" s="2503"/>
      <c r="T141" s="2503"/>
      <c r="U141" s="2503"/>
      <c r="V141" s="2503"/>
      <c r="W141" s="2645"/>
      <c r="X141" s="2503"/>
      <c r="Y141" s="2503"/>
      <c r="Z141" s="2503"/>
      <c r="AA141" s="2503"/>
      <c r="AB141" s="2503"/>
      <c r="AC141" s="2503"/>
      <c r="AD141" s="2503"/>
      <c r="AE141" s="2503"/>
      <c r="AF141" s="2503"/>
      <c r="AG141" s="2503"/>
      <c r="AH141" s="2503"/>
      <c r="AI141" s="2503"/>
      <c r="AJ141" s="2503"/>
      <c r="AK141" s="2503"/>
      <c r="AL141" s="2629"/>
      <c r="AM141" s="607" t="s">
        <v>2233</v>
      </c>
      <c r="AN141" s="143">
        <v>0</v>
      </c>
      <c r="AO141" s="141">
        <v>0</v>
      </c>
      <c r="AP141" s="141">
        <v>0</v>
      </c>
      <c r="AQ141" s="141">
        <v>0</v>
      </c>
      <c r="AR141" s="141">
        <v>0</v>
      </c>
      <c r="AS141" s="141">
        <v>0</v>
      </c>
      <c r="AT141" s="141">
        <v>0</v>
      </c>
      <c r="AU141" s="144">
        <v>0</v>
      </c>
      <c r="AV141" s="143">
        <v>-0.12552046476382397</v>
      </c>
      <c r="AW141" s="141">
        <v>-0.12552046476382397</v>
      </c>
      <c r="AX141" s="141">
        <v>-0.12552046476382397</v>
      </c>
      <c r="AY141" s="141">
        <v>-0.12552046476382397</v>
      </c>
      <c r="AZ141" s="144">
        <v>-0.12552046476382397</v>
      </c>
      <c r="BA141" s="2629"/>
      <c r="BB141" s="545" t="s">
        <v>2233</v>
      </c>
      <c r="BC141" s="141">
        <v>0</v>
      </c>
      <c r="BD141" s="545" t="s">
        <v>2233</v>
      </c>
      <c r="BE141" s="141">
        <v>0</v>
      </c>
      <c r="BF141" s="545" t="s">
        <v>2233</v>
      </c>
      <c r="BG141" s="141">
        <v>0</v>
      </c>
      <c r="BH141" s="607" t="s">
        <v>627</v>
      </c>
      <c r="BI141" s="868">
        <v>0</v>
      </c>
      <c r="BJ141" s="2629"/>
      <c r="BK141" s="2629"/>
      <c r="BL141" s="2629"/>
      <c r="BM141" s="2629"/>
      <c r="BN141" s="2629"/>
      <c r="BO141" s="2629"/>
      <c r="BP141" s="2629"/>
      <c r="BQ141" s="545" t="s">
        <v>2233</v>
      </c>
      <c r="BR141" s="141">
        <v>0</v>
      </c>
      <c r="BS141" s="545" t="s">
        <v>2233</v>
      </c>
      <c r="BT141" s="141">
        <v>0</v>
      </c>
      <c r="BU141" s="545" t="s">
        <v>2233</v>
      </c>
      <c r="BV141" s="141">
        <v>0</v>
      </c>
      <c r="BW141" s="607" t="s">
        <v>627</v>
      </c>
      <c r="BX141" s="872">
        <v>0</v>
      </c>
      <c r="BY141" s="2629"/>
      <c r="BZ141" s="2629"/>
      <c r="CA141" s="2629"/>
      <c r="CB141" s="2629"/>
      <c r="CC141" s="2629"/>
      <c r="CD141" s="2629"/>
    </row>
    <row r="142" spans="1:82" s="98" customFormat="1" ht="15" customHeight="1">
      <c r="A142" s="99"/>
      <c r="B142" s="161"/>
      <c r="C142" s="162"/>
      <c r="D142" s="162" t="s">
        <v>2727</v>
      </c>
      <c r="E142" s="162"/>
      <c r="F142" s="162"/>
      <c r="G142" s="163"/>
      <c r="H142" s="163"/>
      <c r="I142" s="2503"/>
      <c r="J142" s="2503"/>
      <c r="K142" s="2503"/>
      <c r="L142" s="2503"/>
      <c r="M142" s="2503"/>
      <c r="N142" s="2503"/>
      <c r="O142" s="2503"/>
      <c r="P142" s="2503"/>
      <c r="Q142" s="2503"/>
      <c r="R142" s="2503"/>
      <c r="S142" s="2503"/>
      <c r="T142" s="2503"/>
      <c r="U142" s="2503"/>
      <c r="V142" s="2503"/>
      <c r="W142" s="2645"/>
      <c r="X142" s="2503"/>
      <c r="Y142" s="2503"/>
      <c r="Z142" s="2503"/>
      <c r="AA142" s="2503"/>
      <c r="AB142" s="2503"/>
      <c r="AC142" s="2503"/>
      <c r="AD142" s="2503"/>
      <c r="AE142" s="2503"/>
      <c r="AF142" s="2503"/>
      <c r="AG142" s="2503"/>
      <c r="AH142" s="2503"/>
      <c r="AI142" s="2503"/>
      <c r="AJ142" s="2503"/>
      <c r="AK142" s="2503"/>
      <c r="AL142" s="2629"/>
      <c r="AM142" s="607" t="s">
        <v>2233</v>
      </c>
      <c r="AN142" s="143">
        <v>-0.17699999999999999</v>
      </c>
      <c r="AO142" s="141">
        <v>-2.3554999999999997</v>
      </c>
      <c r="AP142" s="141">
        <v>-1.038</v>
      </c>
      <c r="AQ142" s="141">
        <v>-2.6020000000000003</v>
      </c>
      <c r="AR142" s="141">
        <v>-2.0059999999999998</v>
      </c>
      <c r="AS142" s="141">
        <v>-2.306</v>
      </c>
      <c r="AT142" s="141">
        <v>-1.0447224605615768</v>
      </c>
      <c r="AU142" s="144">
        <v>-1.2110716521633347</v>
      </c>
      <c r="AV142" s="143">
        <v>-2.0129706930882589</v>
      </c>
      <c r="AW142" s="141">
        <v>-2.0129706930882589</v>
      </c>
      <c r="AX142" s="141">
        <v>-2.0129706930882589</v>
      </c>
      <c r="AY142" s="141">
        <v>-2.0129706930882589</v>
      </c>
      <c r="AZ142" s="144">
        <v>-2.0129706930882589</v>
      </c>
      <c r="BA142" s="2629"/>
      <c r="BB142" s="545" t="s">
        <v>2233</v>
      </c>
      <c r="BC142" s="141">
        <v>0</v>
      </c>
      <c r="BD142" s="545" t="s">
        <v>2233</v>
      </c>
      <c r="BE142" s="141">
        <v>0</v>
      </c>
      <c r="BF142" s="545" t="s">
        <v>2233</v>
      </c>
      <c r="BG142" s="141">
        <v>0</v>
      </c>
      <c r="BH142" s="607" t="s">
        <v>627</v>
      </c>
      <c r="BI142" s="868">
        <v>0</v>
      </c>
      <c r="BJ142" s="2629"/>
      <c r="BK142" s="2629"/>
      <c r="BL142" s="2629"/>
      <c r="BM142" s="2629"/>
      <c r="BN142" s="2629"/>
      <c r="BO142" s="2629"/>
      <c r="BP142" s="2629"/>
      <c r="BQ142" s="545" t="s">
        <v>2233</v>
      </c>
      <c r="BR142" s="141">
        <v>0</v>
      </c>
      <c r="BS142" s="545" t="s">
        <v>2233</v>
      </c>
      <c r="BT142" s="141">
        <v>0</v>
      </c>
      <c r="BU142" s="545" t="s">
        <v>2233</v>
      </c>
      <c r="BV142" s="141">
        <v>0</v>
      </c>
      <c r="BW142" s="607" t="s">
        <v>627</v>
      </c>
      <c r="BX142" s="872">
        <v>0</v>
      </c>
      <c r="BY142" s="2629"/>
      <c r="BZ142" s="2629"/>
      <c r="CA142" s="2629"/>
      <c r="CB142" s="2629"/>
      <c r="CC142" s="2629"/>
      <c r="CD142" s="2629"/>
    </row>
    <row r="143" spans="1:82" s="98" customFormat="1" ht="15" customHeight="1">
      <c r="A143" s="99"/>
      <c r="B143" s="161"/>
      <c r="C143" s="162"/>
      <c r="D143" s="162" t="s">
        <v>2728</v>
      </c>
      <c r="E143" s="162"/>
      <c r="F143" s="162"/>
      <c r="G143" s="163"/>
      <c r="H143" s="163"/>
      <c r="I143" s="2503"/>
      <c r="J143" s="2503"/>
      <c r="K143" s="2503"/>
      <c r="L143" s="2503"/>
      <c r="M143" s="2503"/>
      <c r="N143" s="2503"/>
      <c r="O143" s="2503"/>
      <c r="P143" s="2503"/>
      <c r="Q143" s="2503"/>
      <c r="R143" s="2503"/>
      <c r="S143" s="2503"/>
      <c r="T143" s="2503"/>
      <c r="U143" s="2503"/>
      <c r="V143" s="2503"/>
      <c r="W143" s="2645"/>
      <c r="X143" s="2503"/>
      <c r="Y143" s="2503"/>
      <c r="Z143" s="2503"/>
      <c r="AA143" s="2503"/>
      <c r="AB143" s="2503"/>
      <c r="AC143" s="2503"/>
      <c r="AD143" s="2503"/>
      <c r="AE143" s="2503"/>
      <c r="AF143" s="2503"/>
      <c r="AG143" s="2503"/>
      <c r="AH143" s="2503"/>
      <c r="AI143" s="2503"/>
      <c r="AJ143" s="2503"/>
      <c r="AK143" s="2503"/>
      <c r="AL143" s="2629"/>
      <c r="AM143" s="607" t="s">
        <v>2233</v>
      </c>
      <c r="AN143" s="143">
        <v>0</v>
      </c>
      <c r="AO143" s="141">
        <v>-1.129</v>
      </c>
      <c r="AP143" s="141">
        <v>-2.5000000000000001E-2</v>
      </c>
      <c r="AQ143" s="141">
        <v>0</v>
      </c>
      <c r="AR143" s="141">
        <v>-2.6000000000000002E-2</v>
      </c>
      <c r="AS143" s="141">
        <v>-0.192</v>
      </c>
      <c r="AT143" s="141">
        <v>-0.10872464283197966</v>
      </c>
      <c r="AU143" s="144">
        <v>-9.9041091574855522E-2</v>
      </c>
      <c r="AV143" s="143">
        <v>-0.35863498703993729</v>
      </c>
      <c r="AW143" s="141">
        <v>-0.35863498703993729</v>
      </c>
      <c r="AX143" s="141">
        <v>-0.35863498703993729</v>
      </c>
      <c r="AY143" s="141">
        <v>-0.35863498703993729</v>
      </c>
      <c r="AZ143" s="144">
        <v>-0.35863498703993729</v>
      </c>
      <c r="BA143" s="2629"/>
      <c r="BB143" s="545" t="s">
        <v>2233</v>
      </c>
      <c r="BC143" s="141">
        <v>0</v>
      </c>
      <c r="BD143" s="545" t="s">
        <v>2233</v>
      </c>
      <c r="BE143" s="141">
        <v>0</v>
      </c>
      <c r="BF143" s="545" t="s">
        <v>2233</v>
      </c>
      <c r="BG143" s="141">
        <v>0</v>
      </c>
      <c r="BH143" s="607" t="s">
        <v>627</v>
      </c>
      <c r="BI143" s="868">
        <v>0</v>
      </c>
      <c r="BJ143" s="2629"/>
      <c r="BK143" s="2629"/>
      <c r="BL143" s="2629"/>
      <c r="BM143" s="2629"/>
      <c r="BN143" s="2629"/>
      <c r="BO143" s="2629"/>
      <c r="BP143" s="2629"/>
      <c r="BQ143" s="545" t="s">
        <v>2233</v>
      </c>
      <c r="BR143" s="141">
        <v>0</v>
      </c>
      <c r="BS143" s="545" t="s">
        <v>2233</v>
      </c>
      <c r="BT143" s="141">
        <v>0</v>
      </c>
      <c r="BU143" s="545" t="s">
        <v>2233</v>
      </c>
      <c r="BV143" s="141">
        <v>0</v>
      </c>
      <c r="BW143" s="607" t="s">
        <v>627</v>
      </c>
      <c r="BX143" s="872">
        <v>0</v>
      </c>
      <c r="BY143" s="2629"/>
      <c r="BZ143" s="2629"/>
      <c r="CA143" s="2629"/>
      <c r="CB143" s="2629"/>
      <c r="CC143" s="2629"/>
      <c r="CD143" s="2629"/>
    </row>
    <row r="144" spans="1:82" s="98" customFormat="1" ht="15" customHeight="1">
      <c r="A144" s="99"/>
      <c r="B144" s="161"/>
      <c r="C144" s="162"/>
      <c r="D144" s="162" t="s">
        <v>2736</v>
      </c>
      <c r="E144" s="162"/>
      <c r="F144" s="162"/>
      <c r="G144" s="163"/>
      <c r="H144" s="163"/>
      <c r="I144" s="2503"/>
      <c r="J144" s="2503"/>
      <c r="K144" s="2503"/>
      <c r="L144" s="2503"/>
      <c r="M144" s="2503"/>
      <c r="N144" s="2503"/>
      <c r="O144" s="2503"/>
      <c r="P144" s="2503"/>
      <c r="Q144" s="2503"/>
      <c r="R144" s="2503"/>
      <c r="S144" s="2503"/>
      <c r="T144" s="2503"/>
      <c r="U144" s="2503"/>
      <c r="V144" s="2503"/>
      <c r="W144" s="2645"/>
      <c r="X144" s="2503"/>
      <c r="Y144" s="2503"/>
      <c r="Z144" s="2503"/>
      <c r="AA144" s="2503"/>
      <c r="AB144" s="2503"/>
      <c r="AC144" s="2503"/>
      <c r="AD144" s="2503"/>
      <c r="AE144" s="2503"/>
      <c r="AF144" s="2503"/>
      <c r="AG144" s="2503"/>
      <c r="AH144" s="2503"/>
      <c r="AI144" s="2503"/>
      <c r="AJ144" s="2503"/>
      <c r="AK144" s="2503"/>
      <c r="AL144" s="2629"/>
      <c r="AM144" s="607" t="s">
        <v>2233</v>
      </c>
      <c r="AN144" s="143">
        <v>-2.7E-2</v>
      </c>
      <c r="AO144" s="141">
        <v>0</v>
      </c>
      <c r="AP144" s="141">
        <v>-0.186</v>
      </c>
      <c r="AQ144" s="141">
        <v>0</v>
      </c>
      <c r="AR144" s="141">
        <v>-0.14599999999999999</v>
      </c>
      <c r="AS144" s="141">
        <v>0</v>
      </c>
      <c r="AT144" s="141">
        <v>-6.3787044665056233E-2</v>
      </c>
      <c r="AU144" s="144">
        <v>-7.8712711203620375E-2</v>
      </c>
      <c r="AV144" s="143">
        <v>-0.42260845880004783</v>
      </c>
      <c r="AW144" s="141">
        <v>-0.42260845880004783</v>
      </c>
      <c r="AX144" s="141">
        <v>-0.42260845880004783</v>
      </c>
      <c r="AY144" s="141">
        <v>-0.42260845880004783</v>
      </c>
      <c r="AZ144" s="144">
        <v>-0.42260845880004783</v>
      </c>
      <c r="BA144" s="2629"/>
      <c r="BB144" s="545" t="s">
        <v>2233</v>
      </c>
      <c r="BC144" s="141">
        <v>0</v>
      </c>
      <c r="BD144" s="545" t="s">
        <v>2233</v>
      </c>
      <c r="BE144" s="141">
        <v>0</v>
      </c>
      <c r="BF144" s="545" t="s">
        <v>2233</v>
      </c>
      <c r="BG144" s="141">
        <v>0</v>
      </c>
      <c r="BH144" s="607" t="s">
        <v>627</v>
      </c>
      <c r="BI144" s="868">
        <v>0</v>
      </c>
      <c r="BJ144" s="2629"/>
      <c r="BK144" s="2629"/>
      <c r="BL144" s="2629"/>
      <c r="BM144" s="2629"/>
      <c r="BN144" s="2629"/>
      <c r="BO144" s="2629"/>
      <c r="BP144" s="2629"/>
      <c r="BQ144" s="545" t="s">
        <v>2233</v>
      </c>
      <c r="BR144" s="141">
        <v>0</v>
      </c>
      <c r="BS144" s="545" t="s">
        <v>2233</v>
      </c>
      <c r="BT144" s="141">
        <v>0</v>
      </c>
      <c r="BU144" s="545" t="s">
        <v>2233</v>
      </c>
      <c r="BV144" s="141">
        <v>0</v>
      </c>
      <c r="BW144" s="607" t="s">
        <v>627</v>
      </c>
      <c r="BX144" s="872">
        <v>0</v>
      </c>
      <c r="BY144" s="2629"/>
      <c r="BZ144" s="2629"/>
      <c r="CA144" s="2629"/>
      <c r="CB144" s="2629"/>
      <c r="CC144" s="2629"/>
      <c r="CD144" s="2629"/>
    </row>
    <row r="145" spans="1:82" s="98" customFormat="1" ht="15" customHeight="1">
      <c r="A145" s="99"/>
      <c r="B145" s="161"/>
      <c r="C145" s="162"/>
      <c r="D145" s="162" t="s">
        <v>2737</v>
      </c>
      <c r="E145" s="162"/>
      <c r="F145" s="162"/>
      <c r="G145" s="163"/>
      <c r="H145" s="163"/>
      <c r="I145" s="2503"/>
      <c r="J145" s="2503"/>
      <c r="K145" s="2503"/>
      <c r="L145" s="2503"/>
      <c r="M145" s="2503"/>
      <c r="N145" s="2503"/>
      <c r="O145" s="2503"/>
      <c r="P145" s="2503"/>
      <c r="Q145" s="2503"/>
      <c r="R145" s="2503"/>
      <c r="S145" s="2503"/>
      <c r="T145" s="2503"/>
      <c r="U145" s="2503"/>
      <c r="V145" s="2503"/>
      <c r="W145" s="2645"/>
      <c r="X145" s="2503"/>
      <c r="Y145" s="2503"/>
      <c r="Z145" s="2503"/>
      <c r="AA145" s="2503"/>
      <c r="AB145" s="2503"/>
      <c r="AC145" s="2503"/>
      <c r="AD145" s="2503"/>
      <c r="AE145" s="2503"/>
      <c r="AF145" s="2503"/>
      <c r="AG145" s="2503"/>
      <c r="AH145" s="2503"/>
      <c r="AI145" s="2503"/>
      <c r="AJ145" s="2503"/>
      <c r="AK145" s="2503"/>
      <c r="AL145" s="2629"/>
      <c r="AM145" s="607" t="s">
        <v>2233</v>
      </c>
      <c r="AN145" s="143">
        <v>0</v>
      </c>
      <c r="AO145" s="141">
        <v>0</v>
      </c>
      <c r="AP145" s="141">
        <v>0</v>
      </c>
      <c r="AQ145" s="141">
        <v>0</v>
      </c>
      <c r="AR145" s="141">
        <v>0</v>
      </c>
      <c r="AS145" s="141">
        <v>0</v>
      </c>
      <c r="AT145" s="141">
        <v>0</v>
      </c>
      <c r="AU145" s="144">
        <v>0</v>
      </c>
      <c r="AV145" s="143">
        <v>-1.6153415693967884E-2</v>
      </c>
      <c r="AW145" s="141">
        <v>-1.6153415693967884E-2</v>
      </c>
      <c r="AX145" s="141">
        <v>-1.6153415693967884E-2</v>
      </c>
      <c r="AY145" s="141">
        <v>-1.6153415693967884E-2</v>
      </c>
      <c r="AZ145" s="144">
        <v>-1.6153415693967884E-2</v>
      </c>
      <c r="BA145" s="2629"/>
      <c r="BB145" s="545" t="s">
        <v>2233</v>
      </c>
      <c r="BC145" s="141">
        <v>0</v>
      </c>
      <c r="BD145" s="545" t="s">
        <v>2233</v>
      </c>
      <c r="BE145" s="141">
        <v>0</v>
      </c>
      <c r="BF145" s="545" t="s">
        <v>2233</v>
      </c>
      <c r="BG145" s="141">
        <v>0</v>
      </c>
      <c r="BH145" s="607" t="s">
        <v>627</v>
      </c>
      <c r="BI145" s="868">
        <v>0</v>
      </c>
      <c r="BJ145" s="2629"/>
      <c r="BK145" s="2629"/>
      <c r="BL145" s="2629"/>
      <c r="BM145" s="2629"/>
      <c r="BN145" s="2629"/>
      <c r="BO145" s="2629"/>
      <c r="BP145" s="2629"/>
      <c r="BQ145" s="545" t="s">
        <v>2233</v>
      </c>
      <c r="BR145" s="141">
        <v>0</v>
      </c>
      <c r="BS145" s="545" t="s">
        <v>2233</v>
      </c>
      <c r="BT145" s="141">
        <v>0</v>
      </c>
      <c r="BU145" s="545" t="s">
        <v>2233</v>
      </c>
      <c r="BV145" s="141">
        <v>0</v>
      </c>
      <c r="BW145" s="607" t="s">
        <v>627</v>
      </c>
      <c r="BX145" s="872">
        <v>0</v>
      </c>
      <c r="BY145" s="2629"/>
      <c r="BZ145" s="2629"/>
      <c r="CA145" s="2629"/>
      <c r="CB145" s="2629"/>
      <c r="CC145" s="2629"/>
      <c r="CD145" s="2629"/>
    </row>
    <row r="146" spans="1:82" s="98" customFormat="1" ht="15" customHeight="1">
      <c r="A146" s="99"/>
      <c r="B146" s="161"/>
      <c r="C146" s="162" t="s">
        <v>1710</v>
      </c>
      <c r="D146" s="162"/>
      <c r="E146" s="162"/>
      <c r="F146" s="162"/>
      <c r="G146" s="163"/>
      <c r="H146" s="163"/>
      <c r="I146" s="2503"/>
      <c r="J146" s="2503"/>
      <c r="K146" s="2503"/>
      <c r="L146" s="2503"/>
      <c r="M146" s="2503"/>
      <c r="N146" s="2503"/>
      <c r="O146" s="2503"/>
      <c r="P146" s="2503"/>
      <c r="Q146" s="2503"/>
      <c r="R146" s="2503"/>
      <c r="S146" s="2503"/>
      <c r="T146" s="2503"/>
      <c r="U146" s="2503"/>
      <c r="V146" s="2503"/>
      <c r="W146" s="2645"/>
      <c r="X146" s="2503"/>
      <c r="Y146" s="2503"/>
      <c r="Z146" s="2503"/>
      <c r="AA146" s="2503"/>
      <c r="AB146" s="2503"/>
      <c r="AC146" s="2503"/>
      <c r="AD146" s="2503"/>
      <c r="AE146" s="2503"/>
      <c r="AF146" s="2503"/>
      <c r="AG146" s="2503"/>
      <c r="AH146" s="2503"/>
      <c r="AI146" s="2503"/>
      <c r="AJ146" s="2503"/>
      <c r="AK146" s="2503"/>
      <c r="AL146" s="2629"/>
      <c r="AM146" s="607" t="s">
        <v>2233</v>
      </c>
      <c r="AN146" s="641">
        <f>SUM(AN137:AN145)</f>
        <v>-8.6519999999999992</v>
      </c>
      <c r="AO146" s="642">
        <f t="shared" ref="AO146:AZ146" si="40">SUM(AO137:AO145)</f>
        <v>-8.6164999999999985</v>
      </c>
      <c r="AP146" s="642">
        <f t="shared" si="40"/>
        <v>-11.432</v>
      </c>
      <c r="AQ146" s="642">
        <f t="shared" si="40"/>
        <v>-10.786000000000001</v>
      </c>
      <c r="AR146" s="642">
        <f t="shared" si="40"/>
        <v>-2.7399999999999993</v>
      </c>
      <c r="AS146" s="642">
        <f t="shared" si="40"/>
        <v>-6.4779999999999998</v>
      </c>
      <c r="AT146" s="642">
        <f t="shared" si="40"/>
        <v>-3.6300000000000003</v>
      </c>
      <c r="AU146" s="643">
        <f t="shared" si="40"/>
        <v>-3.6300000000000008</v>
      </c>
      <c r="AV146" s="641">
        <f t="shared" si="40"/>
        <v>-8.3124999999999982</v>
      </c>
      <c r="AW146" s="642">
        <f t="shared" si="40"/>
        <v>-8.3124999999999982</v>
      </c>
      <c r="AX146" s="642">
        <f t="shared" si="40"/>
        <v>-8.3124999999999982</v>
      </c>
      <c r="AY146" s="642">
        <f t="shared" si="40"/>
        <v>-8.3124999999999982</v>
      </c>
      <c r="AZ146" s="643">
        <f t="shared" si="40"/>
        <v>-8.3124999999999982</v>
      </c>
      <c r="BA146" s="2629"/>
      <c r="BB146" s="545" t="s">
        <v>2233</v>
      </c>
      <c r="BC146" s="642">
        <f>SUM(BC137:BC145)</f>
        <v>0</v>
      </c>
      <c r="BD146" s="545" t="s">
        <v>2233</v>
      </c>
      <c r="BE146" s="642">
        <f>SUM(BE137:BE145)</f>
        <v>0</v>
      </c>
      <c r="BF146" s="545" t="s">
        <v>2233</v>
      </c>
      <c r="BG146" s="642">
        <f>SUM(BG137:BG145)</f>
        <v>0</v>
      </c>
      <c r="BH146" s="542"/>
      <c r="BI146" s="542"/>
      <c r="BJ146" s="2629"/>
      <c r="BK146" s="2629"/>
      <c r="BL146" s="2629"/>
      <c r="BM146" s="2629"/>
      <c r="BN146" s="2629"/>
      <c r="BO146" s="2629"/>
      <c r="BP146" s="2629"/>
      <c r="BQ146" s="545" t="s">
        <v>2233</v>
      </c>
      <c r="BR146" s="642">
        <f>SUM(BR137:BR145)</f>
        <v>0</v>
      </c>
      <c r="BS146" s="545" t="s">
        <v>2233</v>
      </c>
      <c r="BT146" s="642">
        <f>SUM(BT137:BT145)</f>
        <v>0</v>
      </c>
      <c r="BU146" s="545" t="s">
        <v>2233</v>
      </c>
      <c r="BV146" s="642">
        <f>SUM(BV137:BV145)</f>
        <v>0</v>
      </c>
      <c r="BW146" s="542"/>
      <c r="BX146" s="544"/>
      <c r="BY146" s="2629"/>
      <c r="BZ146" s="2629"/>
      <c r="CA146" s="2629"/>
      <c r="CB146" s="2629"/>
      <c r="CC146" s="2629"/>
      <c r="CD146" s="2629"/>
    </row>
    <row r="147" spans="1:82" s="98" customFormat="1" ht="15" customHeight="1">
      <c r="A147" s="99"/>
      <c r="B147" s="123"/>
      <c r="C147" s="127"/>
      <c r="D147" s="127"/>
      <c r="E147" s="127"/>
      <c r="F147" s="127"/>
      <c r="G147" s="117"/>
      <c r="H147" s="117"/>
      <c r="I147" s="2503"/>
      <c r="J147" s="2503"/>
      <c r="K147" s="2503"/>
      <c r="L147" s="2503"/>
      <c r="M147" s="2503"/>
      <c r="N147" s="2503"/>
      <c r="O147" s="2503"/>
      <c r="P147" s="2503"/>
      <c r="Q147" s="2503"/>
      <c r="R147" s="2503"/>
      <c r="S147" s="2503"/>
      <c r="T147" s="2503"/>
      <c r="U147" s="2503"/>
      <c r="V147" s="2503"/>
      <c r="W147" s="94"/>
      <c r="X147" s="2503"/>
      <c r="Y147" s="2503"/>
      <c r="Z147" s="2503"/>
      <c r="AA147" s="2503"/>
      <c r="AB147" s="2503"/>
      <c r="AC147" s="2503"/>
      <c r="AD147" s="2503"/>
      <c r="AE147" s="2503"/>
      <c r="AF147" s="2503"/>
      <c r="AG147" s="2503"/>
      <c r="AH147" s="2503"/>
      <c r="AI147" s="2503"/>
      <c r="AJ147" s="2503"/>
      <c r="AK147" s="2503"/>
      <c r="AL147" s="2629"/>
      <c r="AM147" s="94"/>
      <c r="AN147" s="159"/>
      <c r="AO147" s="94"/>
      <c r="AP147" s="94"/>
      <c r="AQ147" s="94"/>
      <c r="AR147" s="94"/>
      <c r="AS147" s="94"/>
      <c r="AT147" s="94"/>
      <c r="AU147" s="160"/>
      <c r="AV147" s="159"/>
      <c r="AW147" s="94"/>
      <c r="AX147" s="94"/>
      <c r="AY147" s="94"/>
      <c r="AZ147" s="160"/>
      <c r="BA147" s="2629"/>
      <c r="BB147" s="542"/>
      <c r="BC147" s="542"/>
      <c r="BD147" s="542"/>
      <c r="BE147" s="542"/>
      <c r="BF147" s="542"/>
      <c r="BG147" s="542"/>
      <c r="BH147" s="542"/>
      <c r="BI147" s="542"/>
      <c r="BJ147" s="542"/>
      <c r="BK147" s="2629"/>
      <c r="BL147" s="2629"/>
      <c r="BM147" s="2629"/>
      <c r="BN147" s="2629"/>
      <c r="BO147" s="2629"/>
      <c r="BP147" s="2629"/>
      <c r="BQ147" s="542"/>
      <c r="BR147" s="542"/>
      <c r="BS147" s="542"/>
      <c r="BT147" s="542"/>
      <c r="BU147" s="542"/>
      <c r="BV147" s="542"/>
      <c r="BW147" s="542"/>
      <c r="BX147" s="544"/>
      <c r="BY147" s="2629"/>
      <c r="BZ147" s="2629"/>
      <c r="CA147" s="2629"/>
      <c r="CB147" s="2629"/>
      <c r="CC147" s="2629"/>
      <c r="CD147" s="2629"/>
    </row>
    <row r="148" spans="1:82" s="98" customFormat="1" ht="15" customHeight="1">
      <c r="A148" s="99"/>
      <c r="B148" s="161"/>
      <c r="C148" s="116" t="s">
        <v>2721</v>
      </c>
      <c r="D148" s="116"/>
      <c r="E148" s="116"/>
      <c r="F148" s="116"/>
      <c r="G148" s="117"/>
      <c r="H148" s="117"/>
      <c r="I148" s="2503"/>
      <c r="J148" s="2503"/>
      <c r="K148" s="2503"/>
      <c r="L148" s="2503"/>
      <c r="M148" s="2503"/>
      <c r="N148" s="2503"/>
      <c r="O148" s="2503"/>
      <c r="P148" s="2503"/>
      <c r="Q148" s="2503"/>
      <c r="R148" s="2503"/>
      <c r="S148" s="2503"/>
      <c r="T148" s="2503"/>
      <c r="U148" s="2503"/>
      <c r="V148" s="2503"/>
      <c r="W148" s="94"/>
      <c r="X148" s="2503"/>
      <c r="Y148" s="2503"/>
      <c r="Z148" s="2503"/>
      <c r="AA148" s="2503"/>
      <c r="AB148" s="2503"/>
      <c r="AC148" s="2503"/>
      <c r="AD148" s="2503"/>
      <c r="AE148" s="2503"/>
      <c r="AF148" s="2503"/>
      <c r="AG148" s="2503"/>
      <c r="AH148" s="2503"/>
      <c r="AI148" s="2503"/>
      <c r="AJ148" s="2503"/>
      <c r="AK148" s="2503"/>
      <c r="AL148" s="2629"/>
      <c r="AM148" s="94"/>
      <c r="AN148" s="159"/>
      <c r="AO148" s="94"/>
      <c r="AP148" s="94"/>
      <c r="AQ148" s="94"/>
      <c r="AR148" s="94"/>
      <c r="AS148" s="94"/>
      <c r="AT148" s="94"/>
      <c r="AU148" s="160"/>
      <c r="AV148" s="159"/>
      <c r="AW148" s="94"/>
      <c r="AX148" s="94"/>
      <c r="AY148" s="94"/>
      <c r="AZ148" s="160"/>
      <c r="BA148" s="2629"/>
      <c r="BB148" s="542"/>
      <c r="BC148" s="542"/>
      <c r="BD148" s="542"/>
      <c r="BE148" s="542"/>
      <c r="BF148" s="542"/>
      <c r="BG148" s="542"/>
      <c r="BH148" s="542"/>
      <c r="BI148" s="542"/>
      <c r="BJ148" s="542"/>
      <c r="BK148" s="2629"/>
      <c r="BL148" s="2629"/>
      <c r="BM148" s="2629"/>
      <c r="BN148" s="2629"/>
      <c r="BO148" s="2629"/>
      <c r="BP148" s="2629"/>
      <c r="BQ148" s="542"/>
      <c r="BR148" s="542"/>
      <c r="BS148" s="542"/>
      <c r="BT148" s="542"/>
      <c r="BU148" s="542"/>
      <c r="BV148" s="542"/>
      <c r="BW148" s="542"/>
      <c r="BX148" s="544"/>
      <c r="BY148" s="2629"/>
      <c r="BZ148" s="2629"/>
      <c r="CA148" s="2629"/>
      <c r="CB148" s="2629"/>
      <c r="CC148" s="2629"/>
      <c r="CD148" s="2629"/>
    </row>
    <row r="149" spans="1:82" s="98" customFormat="1" ht="15" customHeight="1">
      <c r="A149" s="99"/>
      <c r="B149" s="161"/>
      <c r="C149" s="162"/>
      <c r="D149" s="162" t="s">
        <v>2716</v>
      </c>
      <c r="E149" s="162"/>
      <c r="F149" s="162"/>
      <c r="G149" s="163"/>
      <c r="H149" s="163"/>
      <c r="I149" s="2503"/>
      <c r="J149" s="2503"/>
      <c r="K149" s="2503"/>
      <c r="L149" s="2503"/>
      <c r="M149" s="2503"/>
      <c r="N149" s="2503"/>
      <c r="O149" s="2503"/>
      <c r="P149" s="2503"/>
      <c r="Q149" s="2503"/>
      <c r="R149" s="2503"/>
      <c r="S149" s="2503"/>
      <c r="T149" s="2503"/>
      <c r="U149" s="2503"/>
      <c r="V149" s="2503"/>
      <c r="W149" s="2645"/>
      <c r="X149" s="2503"/>
      <c r="Y149" s="2503"/>
      <c r="Z149" s="2503"/>
      <c r="AA149" s="2503"/>
      <c r="AB149" s="2503"/>
      <c r="AC149" s="2503"/>
      <c r="AD149" s="2503"/>
      <c r="AE149" s="2503"/>
      <c r="AF149" s="2503"/>
      <c r="AG149" s="2503"/>
      <c r="AH149" s="2503"/>
      <c r="AI149" s="2503"/>
      <c r="AJ149" s="2503"/>
      <c r="AK149" s="2503"/>
      <c r="AL149" s="2629"/>
      <c r="AM149" s="607" t="s">
        <v>2233</v>
      </c>
      <c r="AN149" s="143">
        <v>0</v>
      </c>
      <c r="AO149" s="141">
        <v>0</v>
      </c>
      <c r="AP149" s="141">
        <v>0</v>
      </c>
      <c r="AQ149" s="141">
        <v>0</v>
      </c>
      <c r="AR149" s="141">
        <v>0</v>
      </c>
      <c r="AS149" s="141">
        <v>0</v>
      </c>
      <c r="AT149" s="141">
        <v>0</v>
      </c>
      <c r="AU149" s="144">
        <v>0</v>
      </c>
      <c r="AV149" s="143">
        <v>0</v>
      </c>
      <c r="AW149" s="141">
        <v>0</v>
      </c>
      <c r="AX149" s="141">
        <v>0</v>
      </c>
      <c r="AY149" s="141">
        <v>0</v>
      </c>
      <c r="AZ149" s="144">
        <v>0</v>
      </c>
      <c r="BA149" s="2629"/>
      <c r="BB149" s="545" t="s">
        <v>2233</v>
      </c>
      <c r="BC149" s="141">
        <v>0</v>
      </c>
      <c r="BD149" s="545" t="s">
        <v>2233</v>
      </c>
      <c r="BE149" s="141">
        <v>0</v>
      </c>
      <c r="BF149" s="545" t="s">
        <v>2233</v>
      </c>
      <c r="BG149" s="141">
        <v>0</v>
      </c>
      <c r="BH149" s="607" t="s">
        <v>627</v>
      </c>
      <c r="BI149" s="868">
        <v>0</v>
      </c>
      <c r="BJ149" s="2629"/>
      <c r="BK149" s="2629"/>
      <c r="BL149" s="2629"/>
      <c r="BM149" s="2629"/>
      <c r="BN149" s="2629"/>
      <c r="BO149" s="2629"/>
      <c r="BP149" s="2629"/>
      <c r="BQ149" s="545" t="s">
        <v>2233</v>
      </c>
      <c r="BR149" s="141">
        <v>0</v>
      </c>
      <c r="BS149" s="545" t="s">
        <v>2233</v>
      </c>
      <c r="BT149" s="141">
        <v>0</v>
      </c>
      <c r="BU149" s="545" t="s">
        <v>2233</v>
      </c>
      <c r="BV149" s="141">
        <v>0</v>
      </c>
      <c r="BW149" s="607" t="s">
        <v>627</v>
      </c>
      <c r="BX149" s="872">
        <v>0</v>
      </c>
      <c r="BY149" s="2629"/>
      <c r="BZ149" s="2629"/>
      <c r="CA149" s="2629"/>
      <c r="CB149" s="2629"/>
      <c r="CC149" s="2629"/>
      <c r="CD149" s="2629"/>
    </row>
    <row r="150" spans="1:82" s="98" customFormat="1" ht="15" customHeight="1">
      <c r="A150" s="99"/>
      <c r="B150" s="161"/>
      <c r="C150" s="162"/>
      <c r="D150" s="162" t="s">
        <v>2717</v>
      </c>
      <c r="E150" s="162"/>
      <c r="F150" s="162"/>
      <c r="G150" s="163"/>
      <c r="H150" s="163"/>
      <c r="I150" s="2503"/>
      <c r="J150" s="2503"/>
      <c r="K150" s="2503"/>
      <c r="L150" s="2503"/>
      <c r="M150" s="2503"/>
      <c r="N150" s="2503"/>
      <c r="O150" s="2503"/>
      <c r="P150" s="2503"/>
      <c r="Q150" s="2503"/>
      <c r="R150" s="2503"/>
      <c r="S150" s="2503"/>
      <c r="T150" s="2503"/>
      <c r="U150" s="2503"/>
      <c r="V150" s="2503"/>
      <c r="W150" s="2645"/>
      <c r="X150" s="2503"/>
      <c r="Y150" s="2503"/>
      <c r="Z150" s="2503"/>
      <c r="AA150" s="2503"/>
      <c r="AB150" s="2503"/>
      <c r="AC150" s="2503"/>
      <c r="AD150" s="2503"/>
      <c r="AE150" s="2503"/>
      <c r="AF150" s="2503"/>
      <c r="AG150" s="2503"/>
      <c r="AH150" s="2503"/>
      <c r="AI150" s="2503"/>
      <c r="AJ150" s="2503"/>
      <c r="AK150" s="2503"/>
      <c r="AL150" s="2629"/>
      <c r="AM150" s="607" t="s">
        <v>2233</v>
      </c>
      <c r="AN150" s="143">
        <v>0</v>
      </c>
      <c r="AO150" s="141">
        <v>0</v>
      </c>
      <c r="AP150" s="141">
        <v>0</v>
      </c>
      <c r="AQ150" s="141">
        <v>0</v>
      </c>
      <c r="AR150" s="141">
        <v>0</v>
      </c>
      <c r="AS150" s="141">
        <v>0</v>
      </c>
      <c r="AT150" s="141">
        <v>0</v>
      </c>
      <c r="AU150" s="144">
        <v>0</v>
      </c>
      <c r="AV150" s="143">
        <v>0</v>
      </c>
      <c r="AW150" s="141">
        <v>0</v>
      </c>
      <c r="AX150" s="141">
        <v>0</v>
      </c>
      <c r="AY150" s="141">
        <v>0</v>
      </c>
      <c r="AZ150" s="144">
        <v>0</v>
      </c>
      <c r="BA150" s="2629"/>
      <c r="BB150" s="545" t="s">
        <v>2233</v>
      </c>
      <c r="BC150" s="141">
        <v>0</v>
      </c>
      <c r="BD150" s="545" t="s">
        <v>2233</v>
      </c>
      <c r="BE150" s="141">
        <v>0</v>
      </c>
      <c r="BF150" s="545" t="s">
        <v>2233</v>
      </c>
      <c r="BG150" s="141">
        <v>0</v>
      </c>
      <c r="BH150" s="607" t="s">
        <v>627</v>
      </c>
      <c r="BI150" s="868">
        <v>0</v>
      </c>
      <c r="BJ150" s="2629"/>
      <c r="BK150" s="2629"/>
      <c r="BL150" s="2629"/>
      <c r="BM150" s="2629"/>
      <c r="BN150" s="2629"/>
      <c r="BO150" s="2629"/>
      <c r="BP150" s="2629"/>
      <c r="BQ150" s="545" t="s">
        <v>2233</v>
      </c>
      <c r="BR150" s="141">
        <v>0</v>
      </c>
      <c r="BS150" s="545" t="s">
        <v>2233</v>
      </c>
      <c r="BT150" s="141">
        <v>0</v>
      </c>
      <c r="BU150" s="545" t="s">
        <v>2233</v>
      </c>
      <c r="BV150" s="141">
        <v>0</v>
      </c>
      <c r="BW150" s="607" t="s">
        <v>627</v>
      </c>
      <c r="BX150" s="872">
        <v>0</v>
      </c>
      <c r="BY150" s="2629"/>
      <c r="BZ150" s="2629"/>
      <c r="CA150" s="2629"/>
      <c r="CB150" s="2629"/>
      <c r="CC150" s="2629"/>
      <c r="CD150" s="2629"/>
    </row>
    <row r="151" spans="1:82" s="98" customFormat="1" ht="15" customHeight="1">
      <c r="A151" s="99"/>
      <c r="B151" s="161"/>
      <c r="C151" s="162"/>
      <c r="D151" s="162" t="s">
        <v>2718</v>
      </c>
      <c r="E151" s="162"/>
      <c r="F151" s="162"/>
      <c r="G151" s="163"/>
      <c r="H151" s="163"/>
      <c r="I151" s="2503"/>
      <c r="J151" s="2503"/>
      <c r="K151" s="2503"/>
      <c r="L151" s="2503"/>
      <c r="M151" s="2503"/>
      <c r="N151" s="2503"/>
      <c r="O151" s="2503"/>
      <c r="P151" s="2503"/>
      <c r="Q151" s="2503"/>
      <c r="R151" s="2503"/>
      <c r="S151" s="2503"/>
      <c r="T151" s="2503"/>
      <c r="U151" s="2503"/>
      <c r="V151" s="2503"/>
      <c r="W151" s="2645"/>
      <c r="X151" s="2503"/>
      <c r="Y151" s="2503"/>
      <c r="Z151" s="2503"/>
      <c r="AA151" s="2503"/>
      <c r="AB151" s="2503"/>
      <c r="AC151" s="2503"/>
      <c r="AD151" s="2503"/>
      <c r="AE151" s="2503"/>
      <c r="AF151" s="2503"/>
      <c r="AG151" s="2503"/>
      <c r="AH151" s="2503"/>
      <c r="AI151" s="2503"/>
      <c r="AJ151" s="2503"/>
      <c r="AK151" s="2503"/>
      <c r="AL151" s="2629"/>
      <c r="AM151" s="607" t="s">
        <v>2233</v>
      </c>
      <c r="AN151" s="143">
        <v>0</v>
      </c>
      <c r="AO151" s="141">
        <v>0</v>
      </c>
      <c r="AP151" s="141">
        <v>0</v>
      </c>
      <c r="AQ151" s="141">
        <v>0</v>
      </c>
      <c r="AR151" s="141">
        <v>0</v>
      </c>
      <c r="AS151" s="141">
        <v>0</v>
      </c>
      <c r="AT151" s="141">
        <v>0</v>
      </c>
      <c r="AU151" s="144">
        <v>0</v>
      </c>
      <c r="AV151" s="143">
        <v>0</v>
      </c>
      <c r="AW151" s="141">
        <v>0</v>
      </c>
      <c r="AX151" s="141">
        <v>0</v>
      </c>
      <c r="AY151" s="141">
        <v>0</v>
      </c>
      <c r="AZ151" s="144">
        <v>0</v>
      </c>
      <c r="BA151" s="2629"/>
      <c r="BB151" s="545" t="s">
        <v>2233</v>
      </c>
      <c r="BC151" s="141">
        <v>0</v>
      </c>
      <c r="BD151" s="545" t="s">
        <v>2233</v>
      </c>
      <c r="BE151" s="141">
        <v>0</v>
      </c>
      <c r="BF151" s="545" t="s">
        <v>2233</v>
      </c>
      <c r="BG151" s="141">
        <v>0</v>
      </c>
      <c r="BH151" s="607" t="s">
        <v>627</v>
      </c>
      <c r="BI151" s="868">
        <v>0</v>
      </c>
      <c r="BJ151" s="2629"/>
      <c r="BK151" s="2629"/>
      <c r="BL151" s="2629"/>
      <c r="BM151" s="2629"/>
      <c r="BN151" s="2629"/>
      <c r="BO151" s="2629"/>
      <c r="BP151" s="2629"/>
      <c r="BQ151" s="545" t="s">
        <v>2233</v>
      </c>
      <c r="BR151" s="141">
        <v>0</v>
      </c>
      <c r="BS151" s="545" t="s">
        <v>2233</v>
      </c>
      <c r="BT151" s="141">
        <v>0</v>
      </c>
      <c r="BU151" s="545" t="s">
        <v>2233</v>
      </c>
      <c r="BV151" s="141">
        <v>0</v>
      </c>
      <c r="BW151" s="607" t="s">
        <v>627</v>
      </c>
      <c r="BX151" s="872">
        <v>0</v>
      </c>
      <c r="BY151" s="2629"/>
      <c r="BZ151" s="2629"/>
      <c r="CA151" s="2629"/>
      <c r="CB151" s="2629"/>
      <c r="CC151" s="2629"/>
      <c r="CD151" s="2629"/>
    </row>
    <row r="152" spans="1:82" s="98" customFormat="1" ht="15" customHeight="1">
      <c r="A152" s="99"/>
      <c r="B152" s="161"/>
      <c r="C152" s="162"/>
      <c r="D152" s="162" t="s">
        <v>2719</v>
      </c>
      <c r="E152" s="162"/>
      <c r="F152" s="162"/>
      <c r="G152" s="163"/>
      <c r="H152" s="163"/>
      <c r="I152" s="2503"/>
      <c r="J152" s="2503"/>
      <c r="K152" s="2503"/>
      <c r="L152" s="2503"/>
      <c r="M152" s="2503"/>
      <c r="N152" s="2503"/>
      <c r="O152" s="2503"/>
      <c r="P152" s="2503"/>
      <c r="Q152" s="2503"/>
      <c r="R152" s="2503"/>
      <c r="S152" s="2503"/>
      <c r="T152" s="2503"/>
      <c r="U152" s="2503"/>
      <c r="V152" s="2503"/>
      <c r="W152" s="2645"/>
      <c r="X152" s="2503"/>
      <c r="Y152" s="2503"/>
      <c r="Z152" s="2503"/>
      <c r="AA152" s="2503"/>
      <c r="AB152" s="2503"/>
      <c r="AC152" s="2503"/>
      <c r="AD152" s="2503"/>
      <c r="AE152" s="2503"/>
      <c r="AF152" s="2503"/>
      <c r="AG152" s="2503"/>
      <c r="AH152" s="2503"/>
      <c r="AI152" s="2503"/>
      <c r="AJ152" s="2503"/>
      <c r="AK152" s="2503"/>
      <c r="AL152" s="2629"/>
      <c r="AM152" s="607" t="s">
        <v>2233</v>
      </c>
      <c r="AN152" s="143">
        <v>0</v>
      </c>
      <c r="AO152" s="141">
        <v>0</v>
      </c>
      <c r="AP152" s="141">
        <v>0</v>
      </c>
      <c r="AQ152" s="141">
        <v>0</v>
      </c>
      <c r="AR152" s="141">
        <v>0</v>
      </c>
      <c r="AS152" s="141">
        <v>0</v>
      </c>
      <c r="AT152" s="141">
        <v>0</v>
      </c>
      <c r="AU152" s="144">
        <v>0</v>
      </c>
      <c r="AV152" s="143">
        <v>0</v>
      </c>
      <c r="AW152" s="141">
        <v>0</v>
      </c>
      <c r="AX152" s="141">
        <v>0</v>
      </c>
      <c r="AY152" s="141">
        <v>0</v>
      </c>
      <c r="AZ152" s="144">
        <v>0</v>
      </c>
      <c r="BA152" s="2629"/>
      <c r="BB152" s="545" t="s">
        <v>2233</v>
      </c>
      <c r="BC152" s="141">
        <v>0</v>
      </c>
      <c r="BD152" s="545" t="s">
        <v>2233</v>
      </c>
      <c r="BE152" s="141">
        <v>0</v>
      </c>
      <c r="BF152" s="545" t="s">
        <v>2233</v>
      </c>
      <c r="BG152" s="141">
        <v>0</v>
      </c>
      <c r="BH152" s="607" t="s">
        <v>627</v>
      </c>
      <c r="BI152" s="868">
        <v>0</v>
      </c>
      <c r="BJ152" s="2629"/>
      <c r="BK152" s="2629"/>
      <c r="BL152" s="2629"/>
      <c r="BM152" s="2629"/>
      <c r="BN152" s="2629"/>
      <c r="BO152" s="2629"/>
      <c r="BP152" s="2629"/>
      <c r="BQ152" s="545" t="s">
        <v>2233</v>
      </c>
      <c r="BR152" s="141">
        <v>0</v>
      </c>
      <c r="BS152" s="545" t="s">
        <v>2233</v>
      </c>
      <c r="BT152" s="141">
        <v>0</v>
      </c>
      <c r="BU152" s="545" t="s">
        <v>2233</v>
      </c>
      <c r="BV152" s="141">
        <v>0</v>
      </c>
      <c r="BW152" s="607" t="s">
        <v>627</v>
      </c>
      <c r="BX152" s="872">
        <v>0</v>
      </c>
      <c r="BY152" s="2629"/>
      <c r="BZ152" s="2629"/>
      <c r="CA152" s="2629"/>
      <c r="CB152" s="2629"/>
      <c r="CC152" s="2629"/>
      <c r="CD152" s="2629"/>
    </row>
    <row r="153" spans="1:82" s="98" customFormat="1" ht="15" customHeight="1">
      <c r="A153" s="99"/>
      <c r="B153" s="161"/>
      <c r="C153" s="162"/>
      <c r="D153" s="162" t="s">
        <v>2726</v>
      </c>
      <c r="E153" s="162"/>
      <c r="F153" s="162"/>
      <c r="G153" s="163"/>
      <c r="H153" s="163"/>
      <c r="I153" s="2503"/>
      <c r="J153" s="2503"/>
      <c r="K153" s="2503"/>
      <c r="L153" s="2503"/>
      <c r="M153" s="2503"/>
      <c r="N153" s="2503"/>
      <c r="O153" s="2503"/>
      <c r="P153" s="2503"/>
      <c r="Q153" s="2503"/>
      <c r="R153" s="2503"/>
      <c r="S153" s="2503"/>
      <c r="T153" s="2503"/>
      <c r="U153" s="2503"/>
      <c r="V153" s="2503"/>
      <c r="W153" s="2645"/>
      <c r="X153" s="2503"/>
      <c r="Y153" s="2503"/>
      <c r="Z153" s="2503"/>
      <c r="AA153" s="2503"/>
      <c r="AB153" s="2503"/>
      <c r="AC153" s="2503"/>
      <c r="AD153" s="2503"/>
      <c r="AE153" s="2503"/>
      <c r="AF153" s="2503"/>
      <c r="AG153" s="2503"/>
      <c r="AH153" s="2503"/>
      <c r="AI153" s="2503"/>
      <c r="AJ153" s="2503"/>
      <c r="AK153" s="2503"/>
      <c r="AL153" s="2629"/>
      <c r="AM153" s="607" t="s">
        <v>2233</v>
      </c>
      <c r="AN153" s="143">
        <v>0</v>
      </c>
      <c r="AO153" s="141">
        <v>0</v>
      </c>
      <c r="AP153" s="141">
        <v>0</v>
      </c>
      <c r="AQ153" s="141">
        <v>0</v>
      </c>
      <c r="AR153" s="141">
        <v>0</v>
      </c>
      <c r="AS153" s="141">
        <v>0</v>
      </c>
      <c r="AT153" s="141">
        <v>0</v>
      </c>
      <c r="AU153" s="144">
        <v>0</v>
      </c>
      <c r="AV153" s="143">
        <v>0</v>
      </c>
      <c r="AW153" s="141">
        <v>0</v>
      </c>
      <c r="AX153" s="141">
        <v>0</v>
      </c>
      <c r="AY153" s="141">
        <v>0</v>
      </c>
      <c r="AZ153" s="144">
        <v>0</v>
      </c>
      <c r="BA153" s="2629"/>
      <c r="BB153" s="545" t="s">
        <v>2233</v>
      </c>
      <c r="BC153" s="141">
        <v>0</v>
      </c>
      <c r="BD153" s="545" t="s">
        <v>2233</v>
      </c>
      <c r="BE153" s="141">
        <v>0</v>
      </c>
      <c r="BF153" s="545" t="s">
        <v>2233</v>
      </c>
      <c r="BG153" s="141">
        <v>0</v>
      </c>
      <c r="BH153" s="607" t="s">
        <v>627</v>
      </c>
      <c r="BI153" s="868">
        <v>0</v>
      </c>
      <c r="BJ153" s="2629"/>
      <c r="BK153" s="2629"/>
      <c r="BL153" s="2629"/>
      <c r="BM153" s="2629"/>
      <c r="BN153" s="2629"/>
      <c r="BO153" s="2629"/>
      <c r="BP153" s="2629"/>
      <c r="BQ153" s="545" t="s">
        <v>2233</v>
      </c>
      <c r="BR153" s="141">
        <v>0</v>
      </c>
      <c r="BS153" s="545" t="s">
        <v>2233</v>
      </c>
      <c r="BT153" s="141">
        <v>0</v>
      </c>
      <c r="BU153" s="545" t="s">
        <v>2233</v>
      </c>
      <c r="BV153" s="141">
        <v>0</v>
      </c>
      <c r="BW153" s="607" t="s">
        <v>627</v>
      </c>
      <c r="BX153" s="872">
        <v>0</v>
      </c>
      <c r="BY153" s="2629"/>
      <c r="BZ153" s="2629"/>
      <c r="CA153" s="2629"/>
      <c r="CB153" s="2629"/>
      <c r="CC153" s="2629"/>
      <c r="CD153" s="2629"/>
    </row>
    <row r="154" spans="1:82" s="98" customFormat="1" ht="15" customHeight="1">
      <c r="A154" s="99"/>
      <c r="B154" s="161"/>
      <c r="C154" s="162"/>
      <c r="D154" s="162" t="s">
        <v>2727</v>
      </c>
      <c r="E154" s="162"/>
      <c r="F154" s="162"/>
      <c r="G154" s="163"/>
      <c r="H154" s="163"/>
      <c r="I154" s="2503"/>
      <c r="J154" s="2503"/>
      <c r="K154" s="2503"/>
      <c r="L154" s="2503"/>
      <c r="M154" s="2503"/>
      <c r="N154" s="2503"/>
      <c r="O154" s="2503"/>
      <c r="P154" s="2503"/>
      <c r="Q154" s="2503"/>
      <c r="R154" s="2503"/>
      <c r="S154" s="2503"/>
      <c r="T154" s="2503"/>
      <c r="U154" s="2503"/>
      <c r="V154" s="2503"/>
      <c r="W154" s="2645"/>
      <c r="X154" s="2503"/>
      <c r="Y154" s="2503"/>
      <c r="Z154" s="2503"/>
      <c r="AA154" s="2503"/>
      <c r="AB154" s="2503"/>
      <c r="AC154" s="2503"/>
      <c r="AD154" s="2503"/>
      <c r="AE154" s="2503"/>
      <c r="AF154" s="2503"/>
      <c r="AG154" s="2503"/>
      <c r="AH154" s="2503"/>
      <c r="AI154" s="2503"/>
      <c r="AJ154" s="2503"/>
      <c r="AK154" s="2503"/>
      <c r="AL154" s="2629"/>
      <c r="AM154" s="607" t="s">
        <v>2233</v>
      </c>
      <c r="AN154" s="143">
        <v>0</v>
      </c>
      <c r="AO154" s="141">
        <v>0</v>
      </c>
      <c r="AP154" s="141">
        <v>0</v>
      </c>
      <c r="AQ154" s="141">
        <v>0</v>
      </c>
      <c r="AR154" s="141">
        <v>0</v>
      </c>
      <c r="AS154" s="141">
        <v>0</v>
      </c>
      <c r="AT154" s="141">
        <v>0</v>
      </c>
      <c r="AU154" s="144">
        <v>0</v>
      </c>
      <c r="AV154" s="143">
        <v>0</v>
      </c>
      <c r="AW154" s="141">
        <v>0</v>
      </c>
      <c r="AX154" s="141">
        <v>0</v>
      </c>
      <c r="AY154" s="141">
        <v>0</v>
      </c>
      <c r="AZ154" s="144">
        <v>0</v>
      </c>
      <c r="BA154" s="2629"/>
      <c r="BB154" s="545" t="s">
        <v>2233</v>
      </c>
      <c r="BC154" s="141">
        <v>0</v>
      </c>
      <c r="BD154" s="545" t="s">
        <v>2233</v>
      </c>
      <c r="BE154" s="141">
        <v>0</v>
      </c>
      <c r="BF154" s="545" t="s">
        <v>2233</v>
      </c>
      <c r="BG154" s="141">
        <v>0</v>
      </c>
      <c r="BH154" s="607" t="s">
        <v>627</v>
      </c>
      <c r="BI154" s="868">
        <v>0</v>
      </c>
      <c r="BJ154" s="2629"/>
      <c r="BK154" s="2629"/>
      <c r="BL154" s="2629"/>
      <c r="BM154" s="2629"/>
      <c r="BN154" s="2629"/>
      <c r="BO154" s="2629"/>
      <c r="BP154" s="2629"/>
      <c r="BQ154" s="545" t="s">
        <v>2233</v>
      </c>
      <c r="BR154" s="141">
        <v>0</v>
      </c>
      <c r="BS154" s="545" t="s">
        <v>2233</v>
      </c>
      <c r="BT154" s="141">
        <v>0</v>
      </c>
      <c r="BU154" s="545" t="s">
        <v>2233</v>
      </c>
      <c r="BV154" s="141">
        <v>0</v>
      </c>
      <c r="BW154" s="607" t="s">
        <v>627</v>
      </c>
      <c r="BX154" s="872">
        <v>0</v>
      </c>
      <c r="BY154" s="2629"/>
      <c r="BZ154" s="2629"/>
      <c r="CA154" s="2629"/>
      <c r="CB154" s="2629"/>
      <c r="CC154" s="2629"/>
      <c r="CD154" s="2629"/>
    </row>
    <row r="155" spans="1:82" s="98" customFormat="1" ht="15" customHeight="1">
      <c r="A155" s="99"/>
      <c r="B155" s="161"/>
      <c r="C155" s="162"/>
      <c r="D155" s="162" t="s">
        <v>2728</v>
      </c>
      <c r="E155" s="162"/>
      <c r="F155" s="162"/>
      <c r="G155" s="163"/>
      <c r="H155" s="163"/>
      <c r="I155" s="2503"/>
      <c r="J155" s="2503"/>
      <c r="K155" s="2503"/>
      <c r="L155" s="2503"/>
      <c r="M155" s="2503"/>
      <c r="N155" s="2503"/>
      <c r="O155" s="2503"/>
      <c r="P155" s="2503"/>
      <c r="Q155" s="2503"/>
      <c r="R155" s="2503"/>
      <c r="S155" s="2503"/>
      <c r="T155" s="2503"/>
      <c r="U155" s="2503"/>
      <c r="V155" s="2503"/>
      <c r="W155" s="2645"/>
      <c r="X155" s="2503"/>
      <c r="Y155" s="2503"/>
      <c r="Z155" s="2503"/>
      <c r="AA155" s="2503"/>
      <c r="AB155" s="2503"/>
      <c r="AC155" s="2503"/>
      <c r="AD155" s="2503"/>
      <c r="AE155" s="2503"/>
      <c r="AF155" s="2503"/>
      <c r="AG155" s="2503"/>
      <c r="AH155" s="2503"/>
      <c r="AI155" s="2503"/>
      <c r="AJ155" s="2503"/>
      <c r="AK155" s="2503"/>
      <c r="AL155" s="2629"/>
      <c r="AM155" s="607" t="s">
        <v>2233</v>
      </c>
      <c r="AN155" s="143">
        <v>0</v>
      </c>
      <c r="AO155" s="141">
        <v>0</v>
      </c>
      <c r="AP155" s="141">
        <v>0</v>
      </c>
      <c r="AQ155" s="141">
        <v>0</v>
      </c>
      <c r="AR155" s="141">
        <v>0</v>
      </c>
      <c r="AS155" s="141">
        <v>0</v>
      </c>
      <c r="AT155" s="141">
        <v>0</v>
      </c>
      <c r="AU155" s="144">
        <v>0</v>
      </c>
      <c r="AV155" s="143">
        <v>0</v>
      </c>
      <c r="AW155" s="141">
        <v>0</v>
      </c>
      <c r="AX155" s="141">
        <v>0</v>
      </c>
      <c r="AY155" s="141">
        <v>0</v>
      </c>
      <c r="AZ155" s="144">
        <v>0</v>
      </c>
      <c r="BA155" s="2629"/>
      <c r="BB155" s="545" t="s">
        <v>2233</v>
      </c>
      <c r="BC155" s="141">
        <v>0</v>
      </c>
      <c r="BD155" s="545" t="s">
        <v>2233</v>
      </c>
      <c r="BE155" s="141">
        <v>0</v>
      </c>
      <c r="BF155" s="545" t="s">
        <v>2233</v>
      </c>
      <c r="BG155" s="141">
        <v>0</v>
      </c>
      <c r="BH155" s="607" t="s">
        <v>627</v>
      </c>
      <c r="BI155" s="868">
        <v>0</v>
      </c>
      <c r="BJ155" s="2629"/>
      <c r="BK155" s="2629"/>
      <c r="BL155" s="2629"/>
      <c r="BM155" s="2629"/>
      <c r="BN155" s="2629"/>
      <c r="BO155" s="2629"/>
      <c r="BP155" s="2629"/>
      <c r="BQ155" s="545" t="s">
        <v>2233</v>
      </c>
      <c r="BR155" s="141">
        <v>0</v>
      </c>
      <c r="BS155" s="545" t="s">
        <v>2233</v>
      </c>
      <c r="BT155" s="141">
        <v>0</v>
      </c>
      <c r="BU155" s="545" t="s">
        <v>2233</v>
      </c>
      <c r="BV155" s="141">
        <v>0</v>
      </c>
      <c r="BW155" s="607" t="s">
        <v>627</v>
      </c>
      <c r="BX155" s="872">
        <v>0</v>
      </c>
      <c r="BY155" s="2629"/>
      <c r="BZ155" s="2629"/>
      <c r="CA155" s="2629"/>
      <c r="CB155" s="2629"/>
      <c r="CC155" s="2629"/>
      <c r="CD155" s="2629"/>
    </row>
    <row r="156" spans="1:82" s="98" customFormat="1" ht="15" customHeight="1">
      <c r="A156" s="99"/>
      <c r="B156" s="161"/>
      <c r="C156" s="162"/>
      <c r="D156" s="162" t="s">
        <v>2736</v>
      </c>
      <c r="E156" s="162"/>
      <c r="F156" s="162"/>
      <c r="G156" s="163"/>
      <c r="H156" s="163"/>
      <c r="I156" s="2503"/>
      <c r="J156" s="2503"/>
      <c r="K156" s="2503"/>
      <c r="L156" s="2503"/>
      <c r="M156" s="2503"/>
      <c r="N156" s="2503"/>
      <c r="O156" s="2503"/>
      <c r="P156" s="2503"/>
      <c r="Q156" s="2503"/>
      <c r="R156" s="2503"/>
      <c r="S156" s="2503"/>
      <c r="T156" s="2503"/>
      <c r="U156" s="2503"/>
      <c r="V156" s="2503"/>
      <c r="W156" s="2645"/>
      <c r="X156" s="2503"/>
      <c r="Y156" s="2503"/>
      <c r="Z156" s="2503"/>
      <c r="AA156" s="2503"/>
      <c r="AB156" s="2503"/>
      <c r="AC156" s="2503"/>
      <c r="AD156" s="2503"/>
      <c r="AE156" s="2503"/>
      <c r="AF156" s="2503"/>
      <c r="AG156" s="2503"/>
      <c r="AH156" s="2503"/>
      <c r="AI156" s="2503"/>
      <c r="AJ156" s="2503"/>
      <c r="AK156" s="2503"/>
      <c r="AL156" s="2629"/>
      <c r="AM156" s="607" t="s">
        <v>2233</v>
      </c>
      <c r="AN156" s="143">
        <v>0</v>
      </c>
      <c r="AO156" s="141">
        <v>0</v>
      </c>
      <c r="AP156" s="141">
        <v>0</v>
      </c>
      <c r="AQ156" s="141">
        <v>0</v>
      </c>
      <c r="AR156" s="141">
        <v>0</v>
      </c>
      <c r="AS156" s="141">
        <v>0</v>
      </c>
      <c r="AT156" s="141">
        <v>0</v>
      </c>
      <c r="AU156" s="144">
        <v>0</v>
      </c>
      <c r="AV156" s="143">
        <v>0</v>
      </c>
      <c r="AW156" s="141">
        <v>0</v>
      </c>
      <c r="AX156" s="141">
        <v>0</v>
      </c>
      <c r="AY156" s="141">
        <v>0</v>
      </c>
      <c r="AZ156" s="144">
        <v>0</v>
      </c>
      <c r="BA156" s="2629"/>
      <c r="BB156" s="545" t="s">
        <v>2233</v>
      </c>
      <c r="BC156" s="141">
        <v>0</v>
      </c>
      <c r="BD156" s="545" t="s">
        <v>2233</v>
      </c>
      <c r="BE156" s="141">
        <v>0</v>
      </c>
      <c r="BF156" s="545" t="s">
        <v>2233</v>
      </c>
      <c r="BG156" s="141">
        <v>0</v>
      </c>
      <c r="BH156" s="607" t="s">
        <v>627</v>
      </c>
      <c r="BI156" s="868">
        <v>0</v>
      </c>
      <c r="BJ156" s="2629"/>
      <c r="BK156" s="2629"/>
      <c r="BL156" s="2629"/>
      <c r="BM156" s="2629"/>
      <c r="BN156" s="2629"/>
      <c r="BO156" s="2629"/>
      <c r="BP156" s="2629"/>
      <c r="BQ156" s="545" t="s">
        <v>2233</v>
      </c>
      <c r="BR156" s="141">
        <v>0</v>
      </c>
      <c r="BS156" s="545" t="s">
        <v>2233</v>
      </c>
      <c r="BT156" s="141">
        <v>0</v>
      </c>
      <c r="BU156" s="545" t="s">
        <v>2233</v>
      </c>
      <c r="BV156" s="141">
        <v>0</v>
      </c>
      <c r="BW156" s="607" t="s">
        <v>627</v>
      </c>
      <c r="BX156" s="872">
        <v>0</v>
      </c>
      <c r="BY156" s="2629"/>
      <c r="BZ156" s="2629"/>
      <c r="CA156" s="2629"/>
      <c r="CB156" s="2629"/>
      <c r="CC156" s="2629"/>
      <c r="CD156" s="2629"/>
    </row>
    <row r="157" spans="1:82" s="98" customFormat="1" ht="15" customHeight="1">
      <c r="A157" s="99"/>
      <c r="B157" s="161"/>
      <c r="C157" s="162"/>
      <c r="D157" s="162" t="s">
        <v>2737</v>
      </c>
      <c r="E157" s="162"/>
      <c r="F157" s="162"/>
      <c r="G157" s="163"/>
      <c r="H157" s="163"/>
      <c r="I157" s="2503"/>
      <c r="J157" s="2503"/>
      <c r="K157" s="2503"/>
      <c r="L157" s="2503"/>
      <c r="M157" s="2503"/>
      <c r="N157" s="2503"/>
      <c r="O157" s="2503"/>
      <c r="P157" s="2503"/>
      <c r="Q157" s="2503"/>
      <c r="R157" s="2503"/>
      <c r="S157" s="2503"/>
      <c r="T157" s="2503"/>
      <c r="U157" s="2503"/>
      <c r="V157" s="2503"/>
      <c r="W157" s="2645"/>
      <c r="X157" s="2503"/>
      <c r="Y157" s="2503"/>
      <c r="Z157" s="2503"/>
      <c r="AA157" s="2503"/>
      <c r="AB157" s="2503"/>
      <c r="AC157" s="2503"/>
      <c r="AD157" s="2503"/>
      <c r="AE157" s="2503"/>
      <c r="AF157" s="2503"/>
      <c r="AG157" s="2503"/>
      <c r="AH157" s="2503"/>
      <c r="AI157" s="2503"/>
      <c r="AJ157" s="2503"/>
      <c r="AK157" s="2503"/>
      <c r="AL157" s="2629"/>
      <c r="AM157" s="607" t="s">
        <v>2233</v>
      </c>
      <c r="AN157" s="143">
        <v>0</v>
      </c>
      <c r="AO157" s="141">
        <v>0</v>
      </c>
      <c r="AP157" s="141">
        <v>0</v>
      </c>
      <c r="AQ157" s="141">
        <v>0</v>
      </c>
      <c r="AR157" s="141">
        <v>0</v>
      </c>
      <c r="AS157" s="141">
        <v>0</v>
      </c>
      <c r="AT157" s="141">
        <v>0</v>
      </c>
      <c r="AU157" s="144">
        <v>0</v>
      </c>
      <c r="AV157" s="143">
        <v>0</v>
      </c>
      <c r="AW157" s="141">
        <v>0</v>
      </c>
      <c r="AX157" s="141">
        <v>0</v>
      </c>
      <c r="AY157" s="141">
        <v>0</v>
      </c>
      <c r="AZ157" s="144">
        <v>0</v>
      </c>
      <c r="BA157" s="2629"/>
      <c r="BB157" s="545" t="s">
        <v>2233</v>
      </c>
      <c r="BC157" s="141">
        <v>0</v>
      </c>
      <c r="BD157" s="545" t="s">
        <v>2233</v>
      </c>
      <c r="BE157" s="141">
        <v>0</v>
      </c>
      <c r="BF157" s="545" t="s">
        <v>2233</v>
      </c>
      <c r="BG157" s="141">
        <v>0</v>
      </c>
      <c r="BH157" s="607" t="s">
        <v>627</v>
      </c>
      <c r="BI157" s="868">
        <v>0</v>
      </c>
      <c r="BJ157" s="2629"/>
      <c r="BK157" s="2629"/>
      <c r="BL157" s="2629"/>
      <c r="BM157" s="2629"/>
      <c r="BN157" s="2629"/>
      <c r="BO157" s="2629"/>
      <c r="BP157" s="2629"/>
      <c r="BQ157" s="545" t="s">
        <v>2233</v>
      </c>
      <c r="BR157" s="141">
        <v>0</v>
      </c>
      <c r="BS157" s="545" t="s">
        <v>2233</v>
      </c>
      <c r="BT157" s="141">
        <v>0</v>
      </c>
      <c r="BU157" s="545" t="s">
        <v>2233</v>
      </c>
      <c r="BV157" s="141">
        <v>0</v>
      </c>
      <c r="BW157" s="607" t="s">
        <v>627</v>
      </c>
      <c r="BX157" s="872">
        <v>0</v>
      </c>
      <c r="BY157" s="2629"/>
      <c r="BZ157" s="2629"/>
      <c r="CA157" s="2629"/>
      <c r="CB157" s="2629"/>
      <c r="CC157" s="2629"/>
      <c r="CD157" s="2629"/>
    </row>
    <row r="158" spans="1:82" s="98" customFormat="1" ht="15" customHeight="1">
      <c r="A158" s="99"/>
      <c r="B158" s="161"/>
      <c r="C158" s="162" t="s">
        <v>1710</v>
      </c>
      <c r="D158" s="162"/>
      <c r="E158" s="162"/>
      <c r="F158" s="162"/>
      <c r="G158" s="163"/>
      <c r="H158" s="163"/>
      <c r="I158" s="2503"/>
      <c r="J158" s="2503"/>
      <c r="K158" s="2503"/>
      <c r="L158" s="2503"/>
      <c r="M158" s="2503"/>
      <c r="N158" s="2503"/>
      <c r="O158" s="2503"/>
      <c r="P158" s="2503"/>
      <c r="Q158" s="2503"/>
      <c r="R158" s="2503"/>
      <c r="S158" s="2503"/>
      <c r="T158" s="2503"/>
      <c r="U158" s="2503"/>
      <c r="V158" s="2503"/>
      <c r="W158" s="2645"/>
      <c r="X158" s="2503"/>
      <c r="Y158" s="2503"/>
      <c r="Z158" s="2503"/>
      <c r="AA158" s="2503"/>
      <c r="AB158" s="2503"/>
      <c r="AC158" s="2503"/>
      <c r="AD158" s="2503"/>
      <c r="AE158" s="2503"/>
      <c r="AF158" s="2503"/>
      <c r="AG158" s="2503"/>
      <c r="AH158" s="2503"/>
      <c r="AI158" s="2503"/>
      <c r="AJ158" s="2503"/>
      <c r="AK158" s="2503"/>
      <c r="AL158" s="2629"/>
      <c r="AM158" s="607" t="s">
        <v>2233</v>
      </c>
      <c r="AN158" s="641">
        <f>SUM(AN149:AN157)</f>
        <v>0</v>
      </c>
      <c r="AO158" s="642">
        <f t="shared" ref="AO158:AZ158" si="41">SUM(AO149:AO157)</f>
        <v>0</v>
      </c>
      <c r="AP158" s="642">
        <f t="shared" si="41"/>
        <v>0</v>
      </c>
      <c r="AQ158" s="642">
        <f t="shared" si="41"/>
        <v>0</v>
      </c>
      <c r="AR158" s="642">
        <f t="shared" si="41"/>
        <v>0</v>
      </c>
      <c r="AS158" s="642">
        <f t="shared" si="41"/>
        <v>0</v>
      </c>
      <c r="AT158" s="642">
        <f t="shared" si="41"/>
        <v>0</v>
      </c>
      <c r="AU158" s="643">
        <f t="shared" si="41"/>
        <v>0</v>
      </c>
      <c r="AV158" s="641">
        <f t="shared" si="41"/>
        <v>0</v>
      </c>
      <c r="AW158" s="642">
        <f t="shared" si="41"/>
        <v>0</v>
      </c>
      <c r="AX158" s="642">
        <f t="shared" si="41"/>
        <v>0</v>
      </c>
      <c r="AY158" s="642">
        <f t="shared" si="41"/>
        <v>0</v>
      </c>
      <c r="AZ158" s="643">
        <f t="shared" si="41"/>
        <v>0</v>
      </c>
      <c r="BA158" s="2629"/>
      <c r="BB158" s="545" t="s">
        <v>2233</v>
      </c>
      <c r="BC158" s="642">
        <f>SUM(BC149:BC157)</f>
        <v>0</v>
      </c>
      <c r="BD158" s="545" t="s">
        <v>2233</v>
      </c>
      <c r="BE158" s="642">
        <f>SUM(BE149:BE157)</f>
        <v>0</v>
      </c>
      <c r="BF158" s="545" t="s">
        <v>2233</v>
      </c>
      <c r="BG158" s="642">
        <f>SUM(BG149:BG157)</f>
        <v>0</v>
      </c>
      <c r="BH158" s="542"/>
      <c r="BI158" s="542"/>
      <c r="BJ158" s="2629"/>
      <c r="BK158" s="2629"/>
      <c r="BL158" s="2629"/>
      <c r="BM158" s="2629"/>
      <c r="BN158" s="2629"/>
      <c r="BO158" s="2629"/>
      <c r="BP158" s="2629"/>
      <c r="BQ158" s="545" t="s">
        <v>2233</v>
      </c>
      <c r="BR158" s="642">
        <f>SUM(BR149:BR157)</f>
        <v>0</v>
      </c>
      <c r="BS158" s="545" t="s">
        <v>2233</v>
      </c>
      <c r="BT158" s="642">
        <f>SUM(BT149:BT157)</f>
        <v>0</v>
      </c>
      <c r="BU158" s="545" t="s">
        <v>2233</v>
      </c>
      <c r="BV158" s="642">
        <f>SUM(BV149:BV157)</f>
        <v>0</v>
      </c>
      <c r="BW158" s="542"/>
      <c r="BX158" s="544"/>
      <c r="BY158" s="2629"/>
      <c r="BZ158" s="2629"/>
      <c r="CA158" s="2629"/>
      <c r="CB158" s="2629"/>
      <c r="CC158" s="2629"/>
      <c r="CD158" s="2629"/>
    </row>
    <row r="159" spans="1:82" s="98" customFormat="1" ht="15" customHeight="1">
      <c r="A159" s="99"/>
      <c r="B159" s="123"/>
      <c r="C159" s="127"/>
      <c r="D159" s="127"/>
      <c r="E159" s="127"/>
      <c r="F159" s="127"/>
      <c r="G159" s="117"/>
      <c r="H159" s="117"/>
      <c r="I159" s="2503"/>
      <c r="J159" s="2503"/>
      <c r="K159" s="2503"/>
      <c r="L159" s="2503"/>
      <c r="M159" s="2503"/>
      <c r="N159" s="2503"/>
      <c r="O159" s="2503"/>
      <c r="P159" s="2503"/>
      <c r="Q159" s="2503"/>
      <c r="R159" s="2503"/>
      <c r="S159" s="2503"/>
      <c r="T159" s="2503"/>
      <c r="U159" s="2503"/>
      <c r="V159" s="2503"/>
      <c r="W159" s="2645"/>
      <c r="X159" s="2503"/>
      <c r="Y159" s="2503"/>
      <c r="Z159" s="2503"/>
      <c r="AA159" s="2503"/>
      <c r="AB159" s="2503"/>
      <c r="AC159" s="2503"/>
      <c r="AD159" s="2503"/>
      <c r="AE159" s="2503"/>
      <c r="AF159" s="2503"/>
      <c r="AG159" s="2503"/>
      <c r="AH159" s="2503"/>
      <c r="AI159" s="2503"/>
      <c r="AJ159" s="2503"/>
      <c r="AK159" s="2503"/>
      <c r="AL159" s="2629"/>
      <c r="AM159" s="94"/>
      <c r="AN159" s="159"/>
      <c r="AO159" s="94"/>
      <c r="AP159" s="94"/>
      <c r="AQ159" s="94"/>
      <c r="AR159" s="94"/>
      <c r="AS159" s="94"/>
      <c r="AT159" s="94"/>
      <c r="AU159" s="160"/>
      <c r="AV159" s="159"/>
      <c r="AW159" s="94"/>
      <c r="AX159" s="94"/>
      <c r="AY159" s="94"/>
      <c r="AZ159" s="160"/>
      <c r="BA159" s="2629"/>
      <c r="BB159" s="542"/>
      <c r="BC159" s="542"/>
      <c r="BD159" s="542"/>
      <c r="BE159" s="542"/>
      <c r="BF159" s="542"/>
      <c r="BG159" s="542"/>
      <c r="BH159" s="542"/>
      <c r="BI159" s="542"/>
      <c r="BJ159" s="542"/>
      <c r="BK159" s="2629"/>
      <c r="BL159" s="2629"/>
      <c r="BM159" s="2629"/>
      <c r="BN159" s="2629"/>
      <c r="BO159" s="2629"/>
      <c r="BP159" s="2629"/>
      <c r="BQ159" s="542"/>
      <c r="BR159" s="542"/>
      <c r="BS159" s="542"/>
      <c r="BT159" s="542"/>
      <c r="BU159" s="542"/>
      <c r="BV159" s="542"/>
      <c r="BW159" s="542"/>
      <c r="BX159" s="544"/>
      <c r="BY159" s="2629"/>
      <c r="BZ159" s="2629"/>
      <c r="CA159" s="2629"/>
      <c r="CB159" s="2629"/>
      <c r="CC159" s="2629"/>
      <c r="CD159" s="2629"/>
    </row>
    <row r="160" spans="1:82" s="98" customFormat="1" ht="15" customHeight="1" thickBot="1">
      <c r="A160" s="99"/>
      <c r="B160" s="191" t="s">
        <v>1701</v>
      </c>
      <c r="C160" s="193"/>
      <c r="D160" s="193"/>
      <c r="E160" s="193"/>
      <c r="F160" s="193"/>
      <c r="G160" s="194"/>
      <c r="H160" s="194"/>
      <c r="I160" s="2503"/>
      <c r="J160" s="2503"/>
      <c r="K160" s="2503"/>
      <c r="L160" s="2503"/>
      <c r="M160" s="2503"/>
      <c r="N160" s="2503"/>
      <c r="O160" s="2503"/>
      <c r="P160" s="2503"/>
      <c r="Q160" s="2503"/>
      <c r="R160" s="2503"/>
      <c r="S160" s="2503"/>
      <c r="T160" s="2503"/>
      <c r="U160" s="2503"/>
      <c r="V160" s="2503"/>
      <c r="W160" s="2645"/>
      <c r="X160" s="2503"/>
      <c r="Y160" s="2503"/>
      <c r="Z160" s="2503"/>
      <c r="AA160" s="2503"/>
      <c r="AB160" s="2503"/>
      <c r="AC160" s="2503"/>
      <c r="AD160" s="2503"/>
      <c r="AE160" s="2503"/>
      <c r="AF160" s="2503"/>
      <c r="AG160" s="2503"/>
      <c r="AH160" s="2503"/>
      <c r="AI160" s="2503"/>
      <c r="AJ160" s="2503"/>
      <c r="AK160" s="2503"/>
      <c r="AL160" s="2629"/>
      <c r="AM160" s="1083" t="s">
        <v>2233</v>
      </c>
      <c r="AN160" s="701">
        <f>SUM(AN146,AN158)</f>
        <v>-8.6519999999999992</v>
      </c>
      <c r="AO160" s="701">
        <f t="shared" ref="AO160:AZ160" si="42">SUM(AO146,AO158)</f>
        <v>-8.6164999999999985</v>
      </c>
      <c r="AP160" s="701">
        <f t="shared" si="42"/>
        <v>-11.432</v>
      </c>
      <c r="AQ160" s="701">
        <f t="shared" si="42"/>
        <v>-10.786000000000001</v>
      </c>
      <c r="AR160" s="701">
        <f t="shared" si="42"/>
        <v>-2.7399999999999993</v>
      </c>
      <c r="AS160" s="701">
        <f t="shared" si="42"/>
        <v>-6.4779999999999998</v>
      </c>
      <c r="AT160" s="701">
        <f t="shared" si="42"/>
        <v>-3.6300000000000003</v>
      </c>
      <c r="AU160" s="701">
        <f t="shared" si="42"/>
        <v>-3.6300000000000008</v>
      </c>
      <c r="AV160" s="701">
        <f t="shared" si="42"/>
        <v>-8.3124999999999982</v>
      </c>
      <c r="AW160" s="701">
        <f t="shared" si="42"/>
        <v>-8.3124999999999982</v>
      </c>
      <c r="AX160" s="701">
        <f t="shared" si="42"/>
        <v>-8.3124999999999982</v>
      </c>
      <c r="AY160" s="701">
        <f t="shared" si="42"/>
        <v>-8.3124999999999982</v>
      </c>
      <c r="AZ160" s="701">
        <f t="shared" si="42"/>
        <v>-8.3124999999999982</v>
      </c>
      <c r="BA160" s="2630"/>
      <c r="BB160" s="1081" t="s">
        <v>2233</v>
      </c>
      <c r="BC160" s="701">
        <f>SUM(BC146,BC158)</f>
        <v>0</v>
      </c>
      <c r="BD160" s="1081" t="s">
        <v>2233</v>
      </c>
      <c r="BE160" s="701">
        <f>SUM(BE146,BE158)</f>
        <v>0</v>
      </c>
      <c r="BF160" s="1081" t="s">
        <v>2233</v>
      </c>
      <c r="BG160" s="701">
        <f>SUM(BG146,BG158)</f>
        <v>0</v>
      </c>
      <c r="BH160" s="2630"/>
      <c r="BI160" s="2630"/>
      <c r="BJ160" s="2630"/>
      <c r="BK160" s="2629"/>
      <c r="BL160" s="2629"/>
      <c r="BM160" s="2629"/>
      <c r="BN160" s="2629"/>
      <c r="BO160" s="2629"/>
      <c r="BP160" s="2629"/>
      <c r="BQ160" s="1081" t="s">
        <v>2233</v>
      </c>
      <c r="BR160" s="701">
        <f>SUM(BR146,BR158)</f>
        <v>0</v>
      </c>
      <c r="BS160" s="1081" t="s">
        <v>2233</v>
      </c>
      <c r="BT160" s="701">
        <f>SUM(BT146,BT158)</f>
        <v>0</v>
      </c>
      <c r="BU160" s="1081" t="s">
        <v>2233</v>
      </c>
      <c r="BV160" s="701">
        <f>SUM(BV146,BV158)</f>
        <v>0</v>
      </c>
      <c r="BW160" s="2630"/>
      <c r="BX160" s="2651"/>
      <c r="BY160" s="2629"/>
      <c r="BZ160" s="2629"/>
      <c r="CA160" s="2629"/>
      <c r="CB160" s="2629"/>
      <c r="CC160" s="2629"/>
      <c r="CD160" s="2629"/>
    </row>
    <row r="161" spans="1:82" s="99" customFormat="1" ht="15" customHeight="1" thickBot="1">
      <c r="B161" s="150"/>
      <c r="C161" s="150"/>
      <c r="D161" s="150"/>
      <c r="E161" s="150"/>
      <c r="F161" s="150"/>
      <c r="G161" s="97"/>
      <c r="H161" s="97"/>
      <c r="I161" s="1362"/>
      <c r="J161" s="2652"/>
      <c r="K161" s="2652"/>
      <c r="L161" s="2652"/>
      <c r="M161" s="2652"/>
      <c r="N161" s="2652"/>
      <c r="O161" s="2652"/>
      <c r="P161" s="2652"/>
      <c r="Q161" s="2652"/>
      <c r="R161" s="2652"/>
      <c r="S161" s="2652"/>
      <c r="T161" s="2652"/>
      <c r="U161" s="2652"/>
      <c r="V161" s="2652"/>
      <c r="W161" s="1363"/>
      <c r="X161" s="2652"/>
      <c r="Y161" s="2652"/>
      <c r="Z161" s="2652"/>
      <c r="AA161" s="2652"/>
      <c r="AB161" s="2652"/>
      <c r="AC161" s="2652"/>
      <c r="AD161" s="2652"/>
      <c r="AE161" s="2652"/>
      <c r="AF161" s="2652"/>
      <c r="AG161" s="2652"/>
      <c r="AH161" s="2652"/>
      <c r="AI161" s="2652"/>
      <c r="AJ161" s="2652"/>
      <c r="AK161" s="2652"/>
      <c r="AL161" s="2652"/>
      <c r="AM161" s="2629"/>
      <c r="AN161" s="2629"/>
      <c r="AO161" s="2629"/>
      <c r="AP161" s="2629"/>
      <c r="AQ161" s="2629"/>
      <c r="AR161" s="2629"/>
      <c r="AS161" s="2629"/>
      <c r="AT161" s="2629"/>
      <c r="AU161" s="2629"/>
      <c r="AV161" s="2629"/>
      <c r="AW161" s="2629"/>
      <c r="AX161" s="2629"/>
      <c r="AY161" s="2629"/>
      <c r="AZ161" s="2629"/>
      <c r="BA161" s="2631"/>
      <c r="BB161" s="359"/>
      <c r="BC161" s="542"/>
      <c r="BD161" s="100"/>
      <c r="BE161" s="100"/>
      <c r="BF161" s="100"/>
      <c r="BG161" s="100"/>
      <c r="BH161" s="100"/>
      <c r="BI161" s="100"/>
      <c r="BJ161" s="100"/>
      <c r="BK161" s="1360"/>
      <c r="BL161" s="1360"/>
      <c r="BM161" s="1360"/>
      <c r="BN161" s="1360"/>
      <c r="BO161" s="1360"/>
      <c r="BP161" s="1360"/>
      <c r="BQ161" s="173"/>
      <c r="BR161" s="100"/>
      <c r="BS161" s="100"/>
      <c r="BT161" s="100"/>
      <c r="BU161" s="100"/>
      <c r="BV161" s="100"/>
      <c r="BW161" s="100"/>
      <c r="BX161" s="100"/>
      <c r="BY161" s="2631"/>
      <c r="BZ161" s="2631"/>
      <c r="CA161" s="2631"/>
      <c r="CB161" s="2631"/>
      <c r="CC161" s="2631"/>
      <c r="CD161" s="2631"/>
    </row>
    <row r="162" spans="1:82" s="100" customFormat="1" ht="30" customHeight="1" thickBot="1">
      <c r="A162" s="89"/>
      <c r="B162" s="621" t="s">
        <v>2754</v>
      </c>
      <c r="C162" s="101"/>
      <c r="D162" s="102"/>
      <c r="E162" s="102"/>
      <c r="F162" s="102"/>
      <c r="G162" s="103"/>
      <c r="H162" s="103"/>
      <c r="I162" s="2506"/>
      <c r="J162" s="2506"/>
      <c r="K162" s="2506"/>
      <c r="L162" s="2506"/>
      <c r="M162" s="2506"/>
      <c r="N162" s="2506"/>
      <c r="O162" s="2506"/>
      <c r="P162" s="2506"/>
      <c r="Q162" s="2506"/>
      <c r="R162" s="2506"/>
      <c r="S162" s="2506"/>
      <c r="T162" s="2506"/>
      <c r="U162" s="2506"/>
      <c r="V162" s="2506"/>
      <c r="W162" s="2645"/>
      <c r="X162" s="2506"/>
      <c r="Y162" s="2506"/>
      <c r="Z162" s="2506"/>
      <c r="AA162" s="2506"/>
      <c r="AB162" s="2506"/>
      <c r="AC162" s="2506"/>
      <c r="AD162" s="2506"/>
      <c r="AE162" s="2506"/>
      <c r="AF162" s="2506"/>
      <c r="AG162" s="2506"/>
      <c r="AH162" s="2506"/>
      <c r="AI162" s="2506"/>
      <c r="AJ162" s="2506"/>
      <c r="AK162" s="2506"/>
      <c r="AM162" s="105" t="s">
        <v>2231</v>
      </c>
      <c r="AN162" s="106"/>
      <c r="AO162" s="106"/>
      <c r="AP162" s="106"/>
      <c r="AQ162" s="106"/>
      <c r="AR162" s="106"/>
      <c r="AS162" s="106"/>
      <c r="AT162" s="106"/>
      <c r="AU162" s="106"/>
      <c r="AV162" s="105"/>
      <c r="AW162" s="105"/>
      <c r="AX162" s="105"/>
      <c r="AY162" s="105"/>
      <c r="AZ162" s="105"/>
      <c r="BA162" s="103"/>
      <c r="BB162" s="105" t="s">
        <v>2690</v>
      </c>
      <c r="BC162" s="105"/>
      <c r="BD162" s="105"/>
      <c r="BE162" s="105"/>
      <c r="BF162" s="105"/>
      <c r="BG162" s="105"/>
      <c r="BH162" s="603"/>
      <c r="BI162" s="105"/>
      <c r="BJ162" s="103"/>
      <c r="BQ162" s="105" t="s">
        <v>2691</v>
      </c>
      <c r="BR162" s="105"/>
      <c r="BS162" s="105"/>
      <c r="BT162" s="105"/>
      <c r="BU162" s="105"/>
      <c r="BV162" s="105"/>
      <c r="BW162" s="105"/>
      <c r="BX162" s="187"/>
    </row>
    <row r="163" spans="1:82" s="157" customFormat="1" ht="30" customHeight="1">
      <c r="A163" s="99"/>
      <c r="B163" s="109"/>
      <c r="C163" s="110"/>
      <c r="D163" s="110"/>
      <c r="E163" s="110"/>
      <c r="F163" s="110"/>
      <c r="G163" s="111"/>
      <c r="H163" s="111"/>
      <c r="I163" s="2502"/>
      <c r="J163" s="2502"/>
      <c r="K163" s="2502"/>
      <c r="L163" s="2502"/>
      <c r="M163" s="2502"/>
      <c r="N163" s="2502"/>
      <c r="O163" s="2502"/>
      <c r="P163" s="2502"/>
      <c r="Q163" s="2502"/>
      <c r="R163" s="2502"/>
      <c r="S163" s="2502"/>
      <c r="T163" s="2502"/>
      <c r="U163" s="2502"/>
      <c r="V163" s="2502"/>
      <c r="W163" s="2645"/>
      <c r="X163" s="2502"/>
      <c r="Y163" s="2502"/>
      <c r="Z163" s="2502"/>
      <c r="AA163" s="2502"/>
      <c r="AB163" s="2502"/>
      <c r="AC163" s="2502"/>
      <c r="AD163" s="2502"/>
      <c r="AE163" s="2502"/>
      <c r="AF163" s="2502"/>
      <c r="AG163" s="2502"/>
      <c r="AH163" s="2502"/>
      <c r="AI163" s="2502"/>
      <c r="AJ163" s="2502"/>
      <c r="AK163" s="2502"/>
      <c r="AL163" s="2632"/>
      <c r="AM163" s="94"/>
      <c r="AN163" s="695" t="s">
        <v>1666</v>
      </c>
      <c r="AO163" s="152"/>
      <c r="AP163" s="152"/>
      <c r="AQ163" s="152"/>
      <c r="AR163" s="152"/>
      <c r="AS163" s="152"/>
      <c r="AT163" s="152"/>
      <c r="AU163" s="153"/>
      <c r="AV163" s="696" t="s">
        <v>2</v>
      </c>
      <c r="AW163" s="155"/>
      <c r="AX163" s="155"/>
      <c r="AY163" s="155"/>
      <c r="AZ163" s="156"/>
      <c r="BA163" s="2632"/>
      <c r="BB163" s="2633" t="s">
        <v>2711</v>
      </c>
      <c r="BC163" s="2633"/>
      <c r="BD163" s="2633" t="s">
        <v>2712</v>
      </c>
      <c r="BE163" s="2633"/>
      <c r="BF163" s="2633" t="s">
        <v>2713</v>
      </c>
      <c r="BG163" s="2633"/>
      <c r="BH163" s="2633" t="s">
        <v>2714</v>
      </c>
      <c r="BI163" s="2639"/>
      <c r="BJ163" s="2632"/>
      <c r="BK163" s="2632"/>
      <c r="BL163" s="2632"/>
      <c r="BM163" s="2632"/>
      <c r="BN163" s="2632"/>
      <c r="BO163" s="2632"/>
      <c r="BP163" s="2632"/>
      <c r="BQ163" s="2633" t="s">
        <v>2711</v>
      </c>
      <c r="BR163" s="2633"/>
      <c r="BS163" s="2633" t="s">
        <v>2712</v>
      </c>
      <c r="BT163" s="2633"/>
      <c r="BU163" s="2633" t="s">
        <v>2713</v>
      </c>
      <c r="BV163" s="2633"/>
      <c r="BW163" s="2633" t="s">
        <v>2714</v>
      </c>
      <c r="BX163" s="2634"/>
      <c r="BY163" s="2632"/>
      <c r="BZ163" s="2632"/>
      <c r="CA163" s="2632"/>
      <c r="CB163" s="2632"/>
      <c r="CC163" s="2632"/>
      <c r="CD163" s="2632"/>
    </row>
    <row r="164" spans="1:82" s="98" customFormat="1" ht="15" customHeight="1">
      <c r="A164" s="99"/>
      <c r="B164" s="115"/>
      <c r="C164" s="116"/>
      <c r="D164" s="116"/>
      <c r="E164" s="116"/>
      <c r="F164" s="116"/>
      <c r="G164" s="117"/>
      <c r="H164" s="117"/>
      <c r="I164" s="2503"/>
      <c r="J164" s="2503"/>
      <c r="K164" s="2503"/>
      <c r="L164" s="2503"/>
      <c r="M164" s="2503"/>
      <c r="N164" s="2503"/>
      <c r="O164" s="2503"/>
      <c r="P164" s="2503"/>
      <c r="Q164" s="2503"/>
      <c r="R164" s="2503"/>
      <c r="S164" s="2503"/>
      <c r="T164" s="2503"/>
      <c r="U164" s="2503"/>
      <c r="V164" s="2503"/>
      <c r="W164" s="2645"/>
      <c r="X164" s="2503"/>
      <c r="Y164" s="2503"/>
      <c r="Z164" s="2503"/>
      <c r="AA164" s="2503"/>
      <c r="AB164" s="2503"/>
      <c r="AC164" s="2503"/>
      <c r="AD164" s="2503"/>
      <c r="AE164" s="2503"/>
      <c r="AF164" s="2503"/>
      <c r="AG164" s="2503"/>
      <c r="AH164" s="2503"/>
      <c r="AI164" s="2503"/>
      <c r="AJ164" s="2503"/>
      <c r="AK164" s="2503"/>
      <c r="AL164" s="2629"/>
      <c r="AM164" s="119" t="s">
        <v>1667</v>
      </c>
      <c r="AN164" s="158" t="s">
        <v>453</v>
      </c>
      <c r="AO164" s="137" t="s">
        <v>455</v>
      </c>
      <c r="AP164" s="137" t="s">
        <v>457</v>
      </c>
      <c r="AQ164" s="137" t="s">
        <v>459</v>
      </c>
      <c r="AR164" s="137" t="s">
        <v>461</v>
      </c>
      <c r="AS164" s="137" t="s">
        <v>463</v>
      </c>
      <c r="AT164" s="137" t="s">
        <v>465</v>
      </c>
      <c r="AU164" s="138" t="s">
        <v>467</v>
      </c>
      <c r="AV164" s="120" t="s">
        <v>469</v>
      </c>
      <c r="AW164" s="121" t="s">
        <v>471</v>
      </c>
      <c r="AX164" s="121" t="s">
        <v>473</v>
      </c>
      <c r="AY164" s="121" t="s">
        <v>475</v>
      </c>
      <c r="AZ164" s="122" t="s">
        <v>477</v>
      </c>
      <c r="BA164" s="2629"/>
      <c r="BB164" s="2635" t="s">
        <v>1667</v>
      </c>
      <c r="BC164" s="2635" t="s">
        <v>2142</v>
      </c>
      <c r="BD164" s="2635" t="s">
        <v>1667</v>
      </c>
      <c r="BE164" s="2635" t="s">
        <v>2142</v>
      </c>
      <c r="BF164" s="2635" t="s">
        <v>1667</v>
      </c>
      <c r="BG164" s="2635" t="s">
        <v>2142</v>
      </c>
      <c r="BH164" s="2642" t="s">
        <v>1667</v>
      </c>
      <c r="BI164" s="2635" t="s">
        <v>2142</v>
      </c>
      <c r="BJ164" s="2629"/>
      <c r="BK164" s="2629"/>
      <c r="BL164" s="2629"/>
      <c r="BM164" s="2629"/>
      <c r="BN164" s="2629"/>
      <c r="BO164" s="2629"/>
      <c r="BP164" s="2629"/>
      <c r="BQ164" s="2635" t="s">
        <v>1667</v>
      </c>
      <c r="BR164" s="2635" t="s">
        <v>2142</v>
      </c>
      <c r="BS164" s="2635" t="s">
        <v>1667</v>
      </c>
      <c r="BT164" s="2635" t="s">
        <v>2142</v>
      </c>
      <c r="BU164" s="2635" t="s">
        <v>1667</v>
      </c>
      <c r="BV164" s="2635" t="s">
        <v>2142</v>
      </c>
      <c r="BW164" s="2635" t="s">
        <v>1667</v>
      </c>
      <c r="BX164" s="2636" t="s">
        <v>2142</v>
      </c>
      <c r="BY164" s="2629"/>
      <c r="BZ164" s="2629"/>
      <c r="CA164" s="2629"/>
      <c r="CB164" s="2629"/>
      <c r="CC164" s="2629"/>
      <c r="CD164" s="2629"/>
    </row>
    <row r="165" spans="1:82" s="98" customFormat="1" ht="15" customHeight="1">
      <c r="A165" s="99"/>
      <c r="B165" s="161"/>
      <c r="C165" s="116" t="s">
        <v>2755</v>
      </c>
      <c r="D165" s="116"/>
      <c r="E165" s="116"/>
      <c r="F165" s="116"/>
      <c r="G165" s="117"/>
      <c r="H165" s="117"/>
      <c r="I165" s="2503"/>
      <c r="J165" s="2503"/>
      <c r="K165" s="2503"/>
      <c r="L165" s="2503"/>
      <c r="M165" s="2503"/>
      <c r="N165" s="2503"/>
      <c r="O165" s="2503"/>
      <c r="P165" s="2503"/>
      <c r="Q165" s="2503"/>
      <c r="R165" s="2503"/>
      <c r="S165" s="2503"/>
      <c r="T165" s="2503"/>
      <c r="U165" s="2503"/>
      <c r="V165" s="2503"/>
      <c r="W165" s="2645"/>
      <c r="X165" s="2503"/>
      <c r="Y165" s="2503"/>
      <c r="Z165" s="2503"/>
      <c r="AA165" s="2503"/>
      <c r="AB165" s="2503"/>
      <c r="AC165" s="2503"/>
      <c r="AD165" s="2503"/>
      <c r="AE165" s="2503"/>
      <c r="AF165" s="2503"/>
      <c r="AG165" s="2503"/>
      <c r="AH165" s="2503"/>
      <c r="AI165" s="2503"/>
      <c r="AJ165" s="2503"/>
      <c r="AK165" s="2503"/>
      <c r="AL165" s="2629"/>
      <c r="AM165" s="94"/>
      <c r="AN165" s="713"/>
      <c r="AO165" s="2649"/>
      <c r="AP165" s="2649"/>
      <c r="AQ165" s="2649"/>
      <c r="AR165" s="2649"/>
      <c r="AS165" s="2649"/>
      <c r="AT165" s="2649"/>
      <c r="AU165" s="715"/>
      <c r="AV165" s="713"/>
      <c r="AW165" s="2649"/>
      <c r="AX165" s="2649"/>
      <c r="AY165" s="2649"/>
      <c r="AZ165" s="715"/>
      <c r="BA165" s="2629"/>
      <c r="BB165" s="542"/>
      <c r="BC165" s="542"/>
      <c r="BD165" s="542"/>
      <c r="BE165" s="542"/>
      <c r="BF165" s="542"/>
      <c r="BG165" s="542"/>
      <c r="BH165" s="542"/>
      <c r="BI165" s="542"/>
      <c r="BJ165" s="542"/>
      <c r="BK165" s="2629"/>
      <c r="BL165" s="2629"/>
      <c r="BM165" s="2629"/>
      <c r="BN165" s="2629"/>
      <c r="BO165" s="2629"/>
      <c r="BP165" s="2629"/>
      <c r="BQ165" s="542"/>
      <c r="BR165" s="542"/>
      <c r="BS165" s="542"/>
      <c r="BT165" s="542"/>
      <c r="BU165" s="542"/>
      <c r="BV165" s="542"/>
      <c r="BW165" s="542"/>
      <c r="BX165" s="2653"/>
      <c r="BY165" s="2629"/>
      <c r="BZ165" s="2629"/>
      <c r="CA165" s="2629"/>
      <c r="CB165" s="2629"/>
      <c r="CC165" s="2629"/>
      <c r="CD165" s="2629"/>
    </row>
    <row r="166" spans="1:82" s="98" customFormat="1" ht="15" customHeight="1">
      <c r="A166" s="99"/>
      <c r="B166" s="161"/>
      <c r="C166" s="162"/>
      <c r="D166" s="162" t="s">
        <v>2716</v>
      </c>
      <c r="E166" s="162"/>
      <c r="F166" s="162"/>
      <c r="G166" s="163"/>
      <c r="H166" s="163"/>
      <c r="I166" s="2503"/>
      <c r="J166" s="2503"/>
      <c r="K166" s="2503"/>
      <c r="L166" s="2503"/>
      <c r="M166" s="2503"/>
      <c r="N166" s="2503"/>
      <c r="O166" s="2503"/>
      <c r="P166" s="2503"/>
      <c r="Q166" s="2503"/>
      <c r="R166" s="2503"/>
      <c r="S166" s="2503"/>
      <c r="T166" s="2503"/>
      <c r="U166" s="2503"/>
      <c r="V166" s="2503"/>
      <c r="W166" s="2645"/>
      <c r="X166" s="2503"/>
      <c r="Y166" s="2503"/>
      <c r="Z166" s="2503"/>
      <c r="AA166" s="2503"/>
      <c r="AB166" s="2503"/>
      <c r="AC166" s="2503"/>
      <c r="AD166" s="2503"/>
      <c r="AE166" s="2503"/>
      <c r="AF166" s="2503"/>
      <c r="AG166" s="2503"/>
      <c r="AH166" s="2503"/>
      <c r="AI166" s="2503"/>
      <c r="AJ166" s="2503"/>
      <c r="AK166" s="2503"/>
      <c r="AL166" s="2629"/>
      <c r="AM166" s="607" t="s">
        <v>2233</v>
      </c>
      <c r="AN166" s="143">
        <v>-1.5349999999999999</v>
      </c>
      <c r="AO166" s="141">
        <v>-1.9889999999999997</v>
      </c>
      <c r="AP166" s="141">
        <v>-0.90600000000000036</v>
      </c>
      <c r="AQ166" s="141">
        <v>-1.8629999999999991</v>
      </c>
      <c r="AR166" s="141">
        <v>-3.4069999999999974</v>
      </c>
      <c r="AS166" s="141">
        <v>-3.2459999999999987</v>
      </c>
      <c r="AT166" s="141">
        <v>-2.413962298222843</v>
      </c>
      <c r="AU166" s="144">
        <v>-2.5956923851621552</v>
      </c>
      <c r="AV166" s="143">
        <v>-0.30599999999999999</v>
      </c>
      <c r="AW166" s="141">
        <v>-0.30599999999999999</v>
      </c>
      <c r="AX166" s="141">
        <v>-0.30599999999999999</v>
      </c>
      <c r="AY166" s="141">
        <v>-0.30599999999999999</v>
      </c>
      <c r="AZ166" s="144">
        <v>-0.30599999999999999</v>
      </c>
      <c r="BA166" s="2629"/>
      <c r="BB166" s="545" t="s">
        <v>2233</v>
      </c>
      <c r="BC166" s="141">
        <v>0</v>
      </c>
      <c r="BD166" s="545" t="s">
        <v>2233</v>
      </c>
      <c r="BE166" s="141">
        <v>0</v>
      </c>
      <c r="BF166" s="545" t="s">
        <v>2233</v>
      </c>
      <c r="BG166" s="141">
        <v>0</v>
      </c>
      <c r="BH166" s="607" t="s">
        <v>627</v>
      </c>
      <c r="BI166" s="868">
        <v>0</v>
      </c>
      <c r="BJ166" s="2629"/>
      <c r="BK166" s="2629"/>
      <c r="BL166" s="2629"/>
      <c r="BM166" s="2629"/>
      <c r="BN166" s="2629"/>
      <c r="BO166" s="2629"/>
      <c r="BP166" s="2629"/>
      <c r="BQ166" s="545" t="s">
        <v>2233</v>
      </c>
      <c r="BR166" s="141">
        <v>0</v>
      </c>
      <c r="BS166" s="545" t="s">
        <v>2233</v>
      </c>
      <c r="BT166" s="141">
        <v>0</v>
      </c>
      <c r="BU166" s="545" t="s">
        <v>2233</v>
      </c>
      <c r="BV166" s="141">
        <v>0</v>
      </c>
      <c r="BW166" s="607" t="s">
        <v>627</v>
      </c>
      <c r="BX166" s="872">
        <v>0</v>
      </c>
      <c r="BY166" s="2629"/>
      <c r="BZ166" s="2629"/>
      <c r="CA166" s="2629"/>
      <c r="CB166" s="2629"/>
      <c r="CC166" s="2629"/>
      <c r="CD166" s="2629"/>
    </row>
    <row r="167" spans="1:82" s="98" customFormat="1" ht="15" customHeight="1">
      <c r="A167" s="99"/>
      <c r="B167" s="161"/>
      <c r="C167" s="162"/>
      <c r="D167" s="162" t="s">
        <v>2717</v>
      </c>
      <c r="E167" s="162"/>
      <c r="F167" s="162"/>
      <c r="G167" s="163"/>
      <c r="H167" s="163"/>
      <c r="I167" s="2503"/>
      <c r="J167" s="2503"/>
      <c r="K167" s="2503"/>
      <c r="L167" s="2503"/>
      <c r="M167" s="2503"/>
      <c r="N167" s="2503"/>
      <c r="O167" s="2503"/>
      <c r="P167" s="2503"/>
      <c r="Q167" s="2503"/>
      <c r="R167" s="2503"/>
      <c r="S167" s="2503"/>
      <c r="T167" s="2503"/>
      <c r="U167" s="2503"/>
      <c r="V167" s="2503"/>
      <c r="W167" s="2645"/>
      <c r="X167" s="2503"/>
      <c r="Y167" s="2503"/>
      <c r="Z167" s="2503"/>
      <c r="AA167" s="2503"/>
      <c r="AB167" s="2503"/>
      <c r="AC167" s="2503"/>
      <c r="AD167" s="2503"/>
      <c r="AE167" s="2503"/>
      <c r="AF167" s="2503"/>
      <c r="AG167" s="2503"/>
      <c r="AH167" s="2503"/>
      <c r="AI167" s="2503"/>
      <c r="AJ167" s="2503"/>
      <c r="AK167" s="2503"/>
      <c r="AL167" s="2629"/>
      <c r="AM167" s="607" t="s">
        <v>2233</v>
      </c>
      <c r="AN167" s="143">
        <v>-7.7450000000000001</v>
      </c>
      <c r="AO167" s="141">
        <v>-9.0609999999999982</v>
      </c>
      <c r="AP167" s="141">
        <v>-1.6969999999999998</v>
      </c>
      <c r="AQ167" s="141">
        <v>-8.913000000000002</v>
      </c>
      <c r="AR167" s="141">
        <v>-4.8079999999999981</v>
      </c>
      <c r="AS167" s="141">
        <v>-5.4719999999999986</v>
      </c>
      <c r="AT167" s="141">
        <v>-6.6916254329873039</v>
      </c>
      <c r="AU167" s="144">
        <v>-6.444557479997636</v>
      </c>
      <c r="AV167" s="143">
        <v>-9.4860000000000024</v>
      </c>
      <c r="AW167" s="141">
        <v>-9.4860000000000024</v>
      </c>
      <c r="AX167" s="141">
        <v>-9.4860000000000024</v>
      </c>
      <c r="AY167" s="141">
        <v>-9.4860000000000024</v>
      </c>
      <c r="AZ167" s="144">
        <v>-9.4860000000000024</v>
      </c>
      <c r="BA167" s="2629"/>
      <c r="BB167" s="545" t="s">
        <v>2233</v>
      </c>
      <c r="BC167" s="141">
        <v>0</v>
      </c>
      <c r="BD167" s="545" t="s">
        <v>2233</v>
      </c>
      <c r="BE167" s="141">
        <v>0</v>
      </c>
      <c r="BF167" s="545" t="s">
        <v>2233</v>
      </c>
      <c r="BG167" s="141">
        <v>0</v>
      </c>
      <c r="BH167" s="607" t="s">
        <v>627</v>
      </c>
      <c r="BI167" s="868">
        <v>0</v>
      </c>
      <c r="BJ167" s="2629"/>
      <c r="BK167" s="2629"/>
      <c r="BL167" s="2629"/>
      <c r="BM167" s="2629"/>
      <c r="BN167" s="2629"/>
      <c r="BO167" s="2629"/>
      <c r="BP167" s="2629"/>
      <c r="BQ167" s="545" t="s">
        <v>2233</v>
      </c>
      <c r="BR167" s="141">
        <v>0</v>
      </c>
      <c r="BS167" s="545" t="s">
        <v>2233</v>
      </c>
      <c r="BT167" s="141">
        <v>0</v>
      </c>
      <c r="BU167" s="545" t="s">
        <v>2233</v>
      </c>
      <c r="BV167" s="141">
        <v>0</v>
      </c>
      <c r="BW167" s="607" t="s">
        <v>627</v>
      </c>
      <c r="BX167" s="872">
        <v>0</v>
      </c>
      <c r="BY167" s="2629"/>
      <c r="BZ167" s="2629"/>
      <c r="CA167" s="2629"/>
      <c r="CB167" s="2629"/>
      <c r="CC167" s="2629"/>
      <c r="CD167" s="2629"/>
    </row>
    <row r="168" spans="1:82" s="98" customFormat="1" ht="15" customHeight="1">
      <c r="A168" s="99"/>
      <c r="B168" s="161"/>
      <c r="C168" s="162"/>
      <c r="D168" s="162" t="s">
        <v>2718</v>
      </c>
      <c r="E168" s="162"/>
      <c r="F168" s="162"/>
      <c r="G168" s="163"/>
      <c r="H168" s="163"/>
      <c r="I168" s="2503"/>
      <c r="J168" s="2503"/>
      <c r="K168" s="2503"/>
      <c r="L168" s="2503"/>
      <c r="M168" s="2503"/>
      <c r="N168" s="2503"/>
      <c r="O168" s="2503"/>
      <c r="P168" s="2503"/>
      <c r="Q168" s="2503"/>
      <c r="R168" s="2503"/>
      <c r="S168" s="2503"/>
      <c r="T168" s="2503"/>
      <c r="U168" s="2503"/>
      <c r="V168" s="2503"/>
      <c r="W168" s="2645"/>
      <c r="X168" s="2503"/>
      <c r="Y168" s="2503"/>
      <c r="Z168" s="2503"/>
      <c r="AA168" s="2503"/>
      <c r="AB168" s="2503"/>
      <c r="AC168" s="2503"/>
      <c r="AD168" s="2503"/>
      <c r="AE168" s="2503"/>
      <c r="AF168" s="2503"/>
      <c r="AG168" s="2503"/>
      <c r="AH168" s="2503"/>
      <c r="AI168" s="2503"/>
      <c r="AJ168" s="2503"/>
      <c r="AK168" s="2503"/>
      <c r="AL168" s="2629"/>
      <c r="AM168" s="607" t="s">
        <v>2233</v>
      </c>
      <c r="AN168" s="143">
        <v>-3.1495000000000002</v>
      </c>
      <c r="AO168" s="141">
        <v>-4.1060000000000008</v>
      </c>
      <c r="AP168" s="141">
        <v>-0.93700000000000006</v>
      </c>
      <c r="AQ168" s="141">
        <v>-1.8669999999999995</v>
      </c>
      <c r="AR168" s="141">
        <v>-4.012999999999999</v>
      </c>
      <c r="AS168" s="141">
        <v>-2.2249999999999983</v>
      </c>
      <c r="AT168" s="141">
        <v>-2.9214997721455229</v>
      </c>
      <c r="AU168" s="144">
        <v>-2.8533713191968983</v>
      </c>
      <c r="AV168" s="143">
        <v>-15.606000000000002</v>
      </c>
      <c r="AW168" s="141">
        <v>-15.606000000000002</v>
      </c>
      <c r="AX168" s="141">
        <v>-15.606000000000002</v>
      </c>
      <c r="AY168" s="141">
        <v>-15.606000000000002</v>
      </c>
      <c r="AZ168" s="144">
        <v>-15.606000000000002</v>
      </c>
      <c r="BA168" s="2629"/>
      <c r="BB168" s="545" t="s">
        <v>2233</v>
      </c>
      <c r="BC168" s="141">
        <v>0</v>
      </c>
      <c r="BD168" s="545" t="s">
        <v>2233</v>
      </c>
      <c r="BE168" s="141">
        <v>0</v>
      </c>
      <c r="BF168" s="545" t="s">
        <v>2233</v>
      </c>
      <c r="BG168" s="141">
        <v>0</v>
      </c>
      <c r="BH168" s="607" t="s">
        <v>627</v>
      </c>
      <c r="BI168" s="868">
        <v>0</v>
      </c>
      <c r="BJ168" s="2629"/>
      <c r="BK168" s="2629"/>
      <c r="BL168" s="2629"/>
      <c r="BM168" s="2629"/>
      <c r="BN168" s="2629"/>
      <c r="BO168" s="2629"/>
      <c r="BP168" s="2629"/>
      <c r="BQ168" s="545" t="s">
        <v>2233</v>
      </c>
      <c r="BR168" s="141">
        <v>0</v>
      </c>
      <c r="BS168" s="545" t="s">
        <v>2233</v>
      </c>
      <c r="BT168" s="141">
        <v>0</v>
      </c>
      <c r="BU168" s="545" t="s">
        <v>2233</v>
      </c>
      <c r="BV168" s="141">
        <v>0</v>
      </c>
      <c r="BW168" s="607" t="s">
        <v>627</v>
      </c>
      <c r="BX168" s="872">
        <v>0</v>
      </c>
      <c r="BY168" s="2629"/>
      <c r="BZ168" s="2629"/>
      <c r="CA168" s="2629"/>
      <c r="CB168" s="2629"/>
      <c r="CC168" s="2629"/>
      <c r="CD168" s="2629"/>
    </row>
    <row r="169" spans="1:82" s="98" customFormat="1" ht="15" customHeight="1">
      <c r="A169" s="99"/>
      <c r="B169" s="161"/>
      <c r="C169" s="162"/>
      <c r="D169" s="162" t="s">
        <v>2719</v>
      </c>
      <c r="E169" s="162"/>
      <c r="F169" s="162"/>
      <c r="G169" s="163"/>
      <c r="H169" s="163"/>
      <c r="I169" s="2503"/>
      <c r="J169" s="2503"/>
      <c r="K169" s="2503"/>
      <c r="L169" s="2503"/>
      <c r="M169" s="2503"/>
      <c r="N169" s="2503"/>
      <c r="O169" s="2503"/>
      <c r="P169" s="2503"/>
      <c r="Q169" s="2503"/>
      <c r="R169" s="2503"/>
      <c r="S169" s="2503"/>
      <c r="T169" s="2503"/>
      <c r="U169" s="2503"/>
      <c r="V169" s="2503"/>
      <c r="W169" s="2645"/>
      <c r="X169" s="2503"/>
      <c r="Y169" s="2503"/>
      <c r="Z169" s="2503"/>
      <c r="AA169" s="2503"/>
      <c r="AB169" s="2503"/>
      <c r="AC169" s="2503"/>
      <c r="AD169" s="2503"/>
      <c r="AE169" s="2503"/>
      <c r="AF169" s="2503"/>
      <c r="AG169" s="2503"/>
      <c r="AH169" s="2503"/>
      <c r="AI169" s="2503"/>
      <c r="AJ169" s="2503"/>
      <c r="AK169" s="2503"/>
      <c r="AL169" s="2629"/>
      <c r="AM169" s="607" t="s">
        <v>2233</v>
      </c>
      <c r="AN169" s="143">
        <v>-0.88300000000000001</v>
      </c>
      <c r="AO169" s="141">
        <v>-2.0290000000000004</v>
      </c>
      <c r="AP169" s="141">
        <v>-0.32</v>
      </c>
      <c r="AQ169" s="141">
        <v>-0.253</v>
      </c>
      <c r="AR169" s="141">
        <v>-1.286</v>
      </c>
      <c r="AS169" s="141">
        <v>-1.5</v>
      </c>
      <c r="AT169" s="141">
        <v>-1.0957896565205991</v>
      </c>
      <c r="AU169" s="144">
        <v>-1.1117876851967721</v>
      </c>
      <c r="AV169" s="143">
        <v>-0.91800000000000015</v>
      </c>
      <c r="AW169" s="141">
        <v>-0.91800000000000015</v>
      </c>
      <c r="AX169" s="141">
        <v>-0.91800000000000015</v>
      </c>
      <c r="AY169" s="141">
        <v>-0.91800000000000015</v>
      </c>
      <c r="AZ169" s="144">
        <v>-0.91800000000000015</v>
      </c>
      <c r="BA169" s="2629"/>
      <c r="BB169" s="545" t="s">
        <v>2233</v>
      </c>
      <c r="BC169" s="141">
        <v>0</v>
      </c>
      <c r="BD169" s="545" t="s">
        <v>2233</v>
      </c>
      <c r="BE169" s="141">
        <v>0</v>
      </c>
      <c r="BF169" s="545" t="s">
        <v>2233</v>
      </c>
      <c r="BG169" s="141">
        <v>0</v>
      </c>
      <c r="BH169" s="607" t="s">
        <v>627</v>
      </c>
      <c r="BI169" s="868">
        <v>0</v>
      </c>
      <c r="BJ169" s="2629"/>
      <c r="BK169" s="2629"/>
      <c r="BL169" s="2629"/>
      <c r="BM169" s="2629"/>
      <c r="BN169" s="2629"/>
      <c r="BO169" s="2629"/>
      <c r="BP169" s="2629"/>
      <c r="BQ169" s="545" t="s">
        <v>2233</v>
      </c>
      <c r="BR169" s="141">
        <v>0</v>
      </c>
      <c r="BS169" s="545" t="s">
        <v>2233</v>
      </c>
      <c r="BT169" s="141">
        <v>0</v>
      </c>
      <c r="BU169" s="545" t="s">
        <v>2233</v>
      </c>
      <c r="BV169" s="141">
        <v>0</v>
      </c>
      <c r="BW169" s="607" t="s">
        <v>627</v>
      </c>
      <c r="BX169" s="872">
        <v>0</v>
      </c>
      <c r="BY169" s="2629"/>
      <c r="BZ169" s="2629"/>
      <c r="CA169" s="2629"/>
      <c r="CB169" s="2629"/>
      <c r="CC169" s="2629"/>
      <c r="CD169" s="2629"/>
    </row>
    <row r="170" spans="1:82" s="98" customFormat="1" ht="15" customHeight="1">
      <c r="A170" s="99"/>
      <c r="B170" s="161"/>
      <c r="C170" s="162"/>
      <c r="D170" s="162" t="s">
        <v>2726</v>
      </c>
      <c r="E170" s="162"/>
      <c r="F170" s="162"/>
      <c r="G170" s="163"/>
      <c r="H170" s="163"/>
      <c r="I170" s="2503"/>
      <c r="J170" s="2503"/>
      <c r="K170" s="2503"/>
      <c r="L170" s="2503"/>
      <c r="M170" s="2503"/>
      <c r="N170" s="2503"/>
      <c r="O170" s="2503"/>
      <c r="P170" s="2503"/>
      <c r="Q170" s="2503"/>
      <c r="R170" s="2503"/>
      <c r="S170" s="2503"/>
      <c r="T170" s="2503"/>
      <c r="U170" s="2503"/>
      <c r="V170" s="2503"/>
      <c r="W170" s="2645"/>
      <c r="X170" s="2503"/>
      <c r="Y170" s="2503"/>
      <c r="Z170" s="2503"/>
      <c r="AA170" s="2503"/>
      <c r="AB170" s="2503"/>
      <c r="AC170" s="2503"/>
      <c r="AD170" s="2503"/>
      <c r="AE170" s="2503"/>
      <c r="AF170" s="2503"/>
      <c r="AG170" s="2503"/>
      <c r="AH170" s="2503"/>
      <c r="AI170" s="2503"/>
      <c r="AJ170" s="2503"/>
      <c r="AK170" s="2503"/>
      <c r="AL170" s="2629"/>
      <c r="AM170" s="607" t="s">
        <v>2233</v>
      </c>
      <c r="AN170" s="143">
        <v>0</v>
      </c>
      <c r="AO170" s="141">
        <v>0</v>
      </c>
      <c r="AP170" s="141">
        <v>-0.01</v>
      </c>
      <c r="AQ170" s="141">
        <v>0</v>
      </c>
      <c r="AR170" s="141">
        <v>-7.0000000000000001E-3</v>
      </c>
      <c r="AS170" s="141">
        <v>0</v>
      </c>
      <c r="AT170" s="141">
        <v>-6.0793245561944808E-3</v>
      </c>
      <c r="AU170" s="144">
        <v>-5.9362060019295419E-3</v>
      </c>
      <c r="AV170" s="143">
        <v>-3.0600000000000002E-2</v>
      </c>
      <c r="AW170" s="141">
        <v>-3.0600000000000002E-2</v>
      </c>
      <c r="AX170" s="141">
        <v>-3.0600000000000002E-2</v>
      </c>
      <c r="AY170" s="141">
        <v>-3.0600000000000002E-2</v>
      </c>
      <c r="AZ170" s="144">
        <v>-3.0600000000000002E-2</v>
      </c>
      <c r="BA170" s="2629"/>
      <c r="BB170" s="545" t="s">
        <v>2233</v>
      </c>
      <c r="BC170" s="141">
        <v>0</v>
      </c>
      <c r="BD170" s="545" t="s">
        <v>2233</v>
      </c>
      <c r="BE170" s="141">
        <v>0</v>
      </c>
      <c r="BF170" s="545" t="s">
        <v>2233</v>
      </c>
      <c r="BG170" s="141">
        <v>0</v>
      </c>
      <c r="BH170" s="607" t="s">
        <v>627</v>
      </c>
      <c r="BI170" s="868">
        <v>0</v>
      </c>
      <c r="BJ170" s="2629"/>
      <c r="BK170" s="2629"/>
      <c r="BL170" s="2629"/>
      <c r="BM170" s="2629"/>
      <c r="BN170" s="2629"/>
      <c r="BO170" s="2629"/>
      <c r="BP170" s="2629"/>
      <c r="BQ170" s="545" t="s">
        <v>2233</v>
      </c>
      <c r="BR170" s="141">
        <v>0</v>
      </c>
      <c r="BS170" s="545" t="s">
        <v>2233</v>
      </c>
      <c r="BT170" s="141">
        <v>0</v>
      </c>
      <c r="BU170" s="545" t="s">
        <v>2233</v>
      </c>
      <c r="BV170" s="141">
        <v>0</v>
      </c>
      <c r="BW170" s="607" t="s">
        <v>627</v>
      </c>
      <c r="BX170" s="872">
        <v>0</v>
      </c>
      <c r="BY170" s="2629"/>
      <c r="BZ170" s="2629"/>
      <c r="CA170" s="2629"/>
      <c r="CB170" s="2629"/>
      <c r="CC170" s="2629"/>
      <c r="CD170" s="2629"/>
    </row>
    <row r="171" spans="1:82" s="98" customFormat="1" ht="15" customHeight="1">
      <c r="A171" s="99"/>
      <c r="B171" s="161"/>
      <c r="C171" s="162"/>
      <c r="D171" s="162" t="s">
        <v>2727</v>
      </c>
      <c r="E171" s="162"/>
      <c r="F171" s="162"/>
      <c r="G171" s="163"/>
      <c r="H171" s="163"/>
      <c r="I171" s="2503"/>
      <c r="J171" s="2503"/>
      <c r="K171" s="2503"/>
      <c r="L171" s="2503"/>
      <c r="M171" s="2503"/>
      <c r="N171" s="2503"/>
      <c r="O171" s="2503"/>
      <c r="P171" s="2503"/>
      <c r="Q171" s="2503"/>
      <c r="R171" s="2503"/>
      <c r="S171" s="2503"/>
      <c r="T171" s="2503"/>
      <c r="U171" s="2503"/>
      <c r="V171" s="2503"/>
      <c r="W171" s="2645"/>
      <c r="X171" s="2503"/>
      <c r="Y171" s="2503"/>
      <c r="Z171" s="2503"/>
      <c r="AA171" s="2503"/>
      <c r="AB171" s="2503"/>
      <c r="AC171" s="2503"/>
      <c r="AD171" s="2503"/>
      <c r="AE171" s="2503"/>
      <c r="AF171" s="2503"/>
      <c r="AG171" s="2503"/>
      <c r="AH171" s="2503"/>
      <c r="AI171" s="2503"/>
      <c r="AJ171" s="2503"/>
      <c r="AK171" s="2503"/>
      <c r="AL171" s="2629"/>
      <c r="AM171" s="607" t="s">
        <v>2233</v>
      </c>
      <c r="AN171" s="143">
        <v>-0.83499999999999996</v>
      </c>
      <c r="AO171" s="141">
        <v>-1.7865</v>
      </c>
      <c r="AP171" s="141">
        <v>-1.2979999999999998</v>
      </c>
      <c r="AQ171" s="141">
        <v>-1.7059999999999995</v>
      </c>
      <c r="AR171" s="141">
        <v>-0.26400000000000001</v>
      </c>
      <c r="AS171" s="141">
        <v>-2.2149999999999999</v>
      </c>
      <c r="AT171" s="141">
        <v>-1.7551014250348702</v>
      </c>
      <c r="AU171" s="144">
        <v>-1.774691708712367</v>
      </c>
      <c r="AV171" s="143">
        <v>-3.2130000000000005</v>
      </c>
      <c r="AW171" s="141">
        <v>-3.2130000000000005</v>
      </c>
      <c r="AX171" s="141">
        <v>-3.2130000000000005</v>
      </c>
      <c r="AY171" s="141">
        <v>-3.2130000000000005</v>
      </c>
      <c r="AZ171" s="144">
        <v>-3.2130000000000005</v>
      </c>
      <c r="BA171" s="2629"/>
      <c r="BB171" s="545" t="s">
        <v>2233</v>
      </c>
      <c r="BC171" s="141">
        <v>0</v>
      </c>
      <c r="BD171" s="545" t="s">
        <v>2233</v>
      </c>
      <c r="BE171" s="141">
        <v>0</v>
      </c>
      <c r="BF171" s="545" t="s">
        <v>2233</v>
      </c>
      <c r="BG171" s="141">
        <v>0</v>
      </c>
      <c r="BH171" s="607" t="s">
        <v>627</v>
      </c>
      <c r="BI171" s="868">
        <v>0</v>
      </c>
      <c r="BJ171" s="2629"/>
      <c r="BK171" s="2629"/>
      <c r="BL171" s="2629"/>
      <c r="BM171" s="2629"/>
      <c r="BN171" s="2629"/>
      <c r="BO171" s="2629"/>
      <c r="BP171" s="2629"/>
      <c r="BQ171" s="545" t="s">
        <v>2233</v>
      </c>
      <c r="BR171" s="141">
        <v>0</v>
      </c>
      <c r="BS171" s="545" t="s">
        <v>2233</v>
      </c>
      <c r="BT171" s="141">
        <v>0</v>
      </c>
      <c r="BU171" s="545" t="s">
        <v>2233</v>
      </c>
      <c r="BV171" s="141">
        <v>0</v>
      </c>
      <c r="BW171" s="607" t="s">
        <v>627</v>
      </c>
      <c r="BX171" s="872">
        <v>0</v>
      </c>
      <c r="BY171" s="2629"/>
      <c r="BZ171" s="2629"/>
      <c r="CA171" s="2629"/>
      <c r="CB171" s="2629"/>
      <c r="CC171" s="2629"/>
      <c r="CD171" s="2629"/>
    </row>
    <row r="172" spans="1:82" s="98" customFormat="1" ht="15" customHeight="1">
      <c r="A172" s="99"/>
      <c r="B172" s="161"/>
      <c r="C172" s="162"/>
      <c r="D172" s="162" t="s">
        <v>2728</v>
      </c>
      <c r="E172" s="162"/>
      <c r="F172" s="162"/>
      <c r="G172" s="163"/>
      <c r="H172" s="163"/>
      <c r="I172" s="2503"/>
      <c r="J172" s="2503"/>
      <c r="K172" s="2503"/>
      <c r="L172" s="2503"/>
      <c r="M172" s="2503"/>
      <c r="N172" s="2503"/>
      <c r="O172" s="2503"/>
      <c r="P172" s="2503"/>
      <c r="Q172" s="2503"/>
      <c r="R172" s="2503"/>
      <c r="S172" s="2503"/>
      <c r="T172" s="2503"/>
      <c r="U172" s="2503"/>
      <c r="V172" s="2503"/>
      <c r="W172" s="2645"/>
      <c r="X172" s="2503"/>
      <c r="Y172" s="2503"/>
      <c r="Z172" s="2503"/>
      <c r="AA172" s="2503"/>
      <c r="AB172" s="2503"/>
      <c r="AC172" s="2503"/>
      <c r="AD172" s="2503"/>
      <c r="AE172" s="2503"/>
      <c r="AF172" s="2503"/>
      <c r="AG172" s="2503"/>
      <c r="AH172" s="2503"/>
      <c r="AI172" s="2503"/>
      <c r="AJ172" s="2503"/>
      <c r="AK172" s="2503"/>
      <c r="AL172" s="2629"/>
      <c r="AM172" s="607" t="s">
        <v>2233</v>
      </c>
      <c r="AN172" s="143">
        <v>-1.2E-2</v>
      </c>
      <c r="AO172" s="141">
        <v>-0.315</v>
      </c>
      <c r="AP172" s="141">
        <v>0</v>
      </c>
      <c r="AQ172" s="141">
        <v>0</v>
      </c>
      <c r="AR172" s="141">
        <v>-2.5849999999999995</v>
      </c>
      <c r="AS172" s="141">
        <v>-9.1999999999999998E-2</v>
      </c>
      <c r="AT172" s="141">
        <v>-0.46733792882872177</v>
      </c>
      <c r="AU172" s="144">
        <v>-0.56711464705005565</v>
      </c>
      <c r="AV172" s="143">
        <v>-0.4284</v>
      </c>
      <c r="AW172" s="141">
        <v>-0.4284</v>
      </c>
      <c r="AX172" s="141">
        <v>-0.4284</v>
      </c>
      <c r="AY172" s="141">
        <v>-0.4284</v>
      </c>
      <c r="AZ172" s="144">
        <v>-0.4284</v>
      </c>
      <c r="BA172" s="2629"/>
      <c r="BB172" s="545" t="s">
        <v>2233</v>
      </c>
      <c r="BC172" s="141">
        <v>0</v>
      </c>
      <c r="BD172" s="545" t="s">
        <v>2233</v>
      </c>
      <c r="BE172" s="141">
        <v>0</v>
      </c>
      <c r="BF172" s="545" t="s">
        <v>2233</v>
      </c>
      <c r="BG172" s="141">
        <v>0</v>
      </c>
      <c r="BH172" s="607" t="s">
        <v>627</v>
      </c>
      <c r="BI172" s="868">
        <v>0</v>
      </c>
      <c r="BJ172" s="2629"/>
      <c r="BK172" s="2629"/>
      <c r="BL172" s="2629"/>
      <c r="BM172" s="2629"/>
      <c r="BN172" s="2629"/>
      <c r="BO172" s="2629"/>
      <c r="BP172" s="2629"/>
      <c r="BQ172" s="545" t="s">
        <v>2233</v>
      </c>
      <c r="BR172" s="141">
        <v>0</v>
      </c>
      <c r="BS172" s="545" t="s">
        <v>2233</v>
      </c>
      <c r="BT172" s="141">
        <v>0</v>
      </c>
      <c r="BU172" s="545" t="s">
        <v>2233</v>
      </c>
      <c r="BV172" s="141">
        <v>0</v>
      </c>
      <c r="BW172" s="607" t="s">
        <v>627</v>
      </c>
      <c r="BX172" s="872">
        <v>0</v>
      </c>
      <c r="BY172" s="2629"/>
      <c r="BZ172" s="2629"/>
      <c r="CA172" s="2629"/>
      <c r="CB172" s="2629"/>
      <c r="CC172" s="2629"/>
      <c r="CD172" s="2629"/>
    </row>
    <row r="173" spans="1:82" s="98" customFormat="1" ht="15" customHeight="1">
      <c r="A173" s="99"/>
      <c r="B173" s="161"/>
      <c r="C173" s="162"/>
      <c r="D173" s="162" t="s">
        <v>2736</v>
      </c>
      <c r="E173" s="162"/>
      <c r="F173" s="162"/>
      <c r="G173" s="163"/>
      <c r="H173" s="163"/>
      <c r="I173" s="2503"/>
      <c r="J173" s="2503"/>
      <c r="K173" s="2503"/>
      <c r="L173" s="2503"/>
      <c r="M173" s="2503"/>
      <c r="N173" s="2503"/>
      <c r="O173" s="2503"/>
      <c r="P173" s="2503"/>
      <c r="Q173" s="2503"/>
      <c r="R173" s="2503"/>
      <c r="S173" s="2503"/>
      <c r="T173" s="2503"/>
      <c r="U173" s="2503"/>
      <c r="V173" s="2503"/>
      <c r="W173" s="2645"/>
      <c r="X173" s="2503"/>
      <c r="Y173" s="2503"/>
      <c r="Z173" s="2503"/>
      <c r="AA173" s="2503"/>
      <c r="AB173" s="2503"/>
      <c r="AC173" s="2503"/>
      <c r="AD173" s="2503"/>
      <c r="AE173" s="2503"/>
      <c r="AF173" s="2503"/>
      <c r="AG173" s="2503"/>
      <c r="AH173" s="2503"/>
      <c r="AI173" s="2503"/>
      <c r="AJ173" s="2503"/>
      <c r="AK173" s="2503"/>
      <c r="AL173" s="2629"/>
      <c r="AM173" s="607" t="s">
        <v>2233</v>
      </c>
      <c r="AN173" s="143">
        <v>-0.18</v>
      </c>
      <c r="AO173" s="141">
        <v>0</v>
      </c>
      <c r="AP173" s="141">
        <v>-1.2E-2</v>
      </c>
      <c r="AQ173" s="141">
        <v>-0.35599999999999998</v>
      </c>
      <c r="AR173" s="141">
        <v>0</v>
      </c>
      <c r="AS173" s="141">
        <v>-9.9000000000000005E-2</v>
      </c>
      <c r="AT173" s="141">
        <v>-0.11687939660494853</v>
      </c>
      <c r="AU173" s="144">
        <v>-0.11512380358319438</v>
      </c>
      <c r="AV173" s="143">
        <v>-0.61199999999999999</v>
      </c>
      <c r="AW173" s="141">
        <v>-0.61199999999999999</v>
      </c>
      <c r="AX173" s="141">
        <v>-0.61199999999999999</v>
      </c>
      <c r="AY173" s="141">
        <v>-0.61199999999999999</v>
      </c>
      <c r="AZ173" s="144">
        <v>-0.61199999999999999</v>
      </c>
      <c r="BA173" s="2629"/>
      <c r="BB173" s="545" t="s">
        <v>2233</v>
      </c>
      <c r="BC173" s="141">
        <v>0</v>
      </c>
      <c r="BD173" s="545" t="s">
        <v>2233</v>
      </c>
      <c r="BE173" s="141">
        <v>0</v>
      </c>
      <c r="BF173" s="545" t="s">
        <v>2233</v>
      </c>
      <c r="BG173" s="141">
        <v>0</v>
      </c>
      <c r="BH173" s="607" t="s">
        <v>627</v>
      </c>
      <c r="BI173" s="868">
        <v>0</v>
      </c>
      <c r="BJ173" s="2629"/>
      <c r="BK173" s="2629"/>
      <c r="BL173" s="2629"/>
      <c r="BM173" s="2629"/>
      <c r="BN173" s="2629"/>
      <c r="BO173" s="2629"/>
      <c r="BP173" s="2629"/>
      <c r="BQ173" s="545" t="s">
        <v>2233</v>
      </c>
      <c r="BR173" s="141">
        <v>0</v>
      </c>
      <c r="BS173" s="545" t="s">
        <v>2233</v>
      </c>
      <c r="BT173" s="141">
        <v>0</v>
      </c>
      <c r="BU173" s="545" t="s">
        <v>2233</v>
      </c>
      <c r="BV173" s="141">
        <v>0</v>
      </c>
      <c r="BW173" s="607" t="s">
        <v>627</v>
      </c>
      <c r="BX173" s="872">
        <v>0</v>
      </c>
      <c r="BY173" s="2629"/>
      <c r="BZ173" s="2629"/>
      <c r="CA173" s="2629"/>
      <c r="CB173" s="2629"/>
      <c r="CC173" s="2629"/>
      <c r="CD173" s="2629"/>
    </row>
    <row r="174" spans="1:82" s="98" customFormat="1" ht="15" customHeight="1">
      <c r="A174" s="99"/>
      <c r="B174" s="161"/>
      <c r="C174" s="162"/>
      <c r="D174" s="162" t="s">
        <v>2737</v>
      </c>
      <c r="E174" s="162"/>
      <c r="F174" s="162"/>
      <c r="G174" s="163"/>
      <c r="H174" s="163"/>
      <c r="I174" s="2503"/>
      <c r="J174" s="2503"/>
      <c r="K174" s="2503"/>
      <c r="L174" s="2503"/>
      <c r="M174" s="2503"/>
      <c r="N174" s="2503"/>
      <c r="O174" s="2503"/>
      <c r="P174" s="2503"/>
      <c r="Q174" s="2503"/>
      <c r="R174" s="2503"/>
      <c r="S174" s="2503"/>
      <c r="T174" s="2503"/>
      <c r="U174" s="2503"/>
      <c r="V174" s="2503"/>
      <c r="W174" s="2645"/>
      <c r="X174" s="2503"/>
      <c r="Y174" s="2503"/>
      <c r="Z174" s="2503"/>
      <c r="AA174" s="2503"/>
      <c r="AB174" s="2503"/>
      <c r="AC174" s="2503"/>
      <c r="AD174" s="2503"/>
      <c r="AE174" s="2503"/>
      <c r="AF174" s="2503"/>
      <c r="AG174" s="2503"/>
      <c r="AH174" s="2503"/>
      <c r="AI174" s="2503"/>
      <c r="AJ174" s="2503"/>
      <c r="AK174" s="2503"/>
      <c r="AL174" s="2629"/>
      <c r="AM174" s="607" t="s">
        <v>2233</v>
      </c>
      <c r="AN174" s="143">
        <v>0</v>
      </c>
      <c r="AO174" s="141">
        <v>0</v>
      </c>
      <c r="AP174" s="141">
        <v>0</v>
      </c>
      <c r="AQ174" s="141">
        <v>0</v>
      </c>
      <c r="AR174" s="141">
        <v>0</v>
      </c>
      <c r="AS174" s="141">
        <v>0</v>
      </c>
      <c r="AT174" s="141">
        <v>0</v>
      </c>
      <c r="AU174" s="144">
        <v>0</v>
      </c>
      <c r="AV174" s="143">
        <v>0</v>
      </c>
      <c r="AW174" s="141">
        <v>0</v>
      </c>
      <c r="AX174" s="141">
        <v>0</v>
      </c>
      <c r="AY174" s="141">
        <v>0</v>
      </c>
      <c r="AZ174" s="144">
        <v>0</v>
      </c>
      <c r="BA174" s="2629"/>
      <c r="BB174" s="545" t="s">
        <v>2233</v>
      </c>
      <c r="BC174" s="141">
        <v>0</v>
      </c>
      <c r="BD174" s="545" t="s">
        <v>2233</v>
      </c>
      <c r="BE174" s="141">
        <v>0</v>
      </c>
      <c r="BF174" s="545" t="s">
        <v>2233</v>
      </c>
      <c r="BG174" s="141">
        <v>0</v>
      </c>
      <c r="BH174" s="607" t="s">
        <v>627</v>
      </c>
      <c r="BI174" s="868">
        <v>0</v>
      </c>
      <c r="BJ174" s="2629"/>
      <c r="BK174" s="2629"/>
      <c r="BL174" s="2629"/>
      <c r="BM174" s="2629"/>
      <c r="BN174" s="2629"/>
      <c r="BO174" s="2629"/>
      <c r="BP174" s="2629"/>
      <c r="BQ174" s="545" t="s">
        <v>2233</v>
      </c>
      <c r="BR174" s="141">
        <v>0</v>
      </c>
      <c r="BS174" s="545" t="s">
        <v>2233</v>
      </c>
      <c r="BT174" s="141">
        <v>0</v>
      </c>
      <c r="BU174" s="545" t="s">
        <v>2233</v>
      </c>
      <c r="BV174" s="141">
        <v>0</v>
      </c>
      <c r="BW174" s="607" t="s">
        <v>627</v>
      </c>
      <c r="BX174" s="872">
        <v>0</v>
      </c>
      <c r="BY174" s="2629"/>
      <c r="BZ174" s="2629"/>
      <c r="CA174" s="2629"/>
      <c r="CB174" s="2629"/>
      <c r="CC174" s="2629"/>
      <c r="CD174" s="2629"/>
    </row>
    <row r="175" spans="1:82" s="98" customFormat="1" ht="15" customHeight="1">
      <c r="A175" s="99"/>
      <c r="B175" s="161"/>
      <c r="C175" s="162" t="s">
        <v>1710</v>
      </c>
      <c r="D175" s="162"/>
      <c r="E175" s="162"/>
      <c r="F175" s="162"/>
      <c r="G175" s="163"/>
      <c r="H175" s="163"/>
      <c r="I175" s="2503"/>
      <c r="J175" s="2503"/>
      <c r="K175" s="2503"/>
      <c r="L175" s="2503"/>
      <c r="M175" s="2503"/>
      <c r="N175" s="2503"/>
      <c r="O175" s="2503"/>
      <c r="P175" s="2503"/>
      <c r="Q175" s="2503"/>
      <c r="R175" s="2503"/>
      <c r="S175" s="2503"/>
      <c r="T175" s="2503"/>
      <c r="U175" s="2503"/>
      <c r="V175" s="2503"/>
      <c r="W175" s="2645"/>
      <c r="X175" s="2503"/>
      <c r="Y175" s="2503"/>
      <c r="Z175" s="2503"/>
      <c r="AA175" s="2503"/>
      <c r="AB175" s="2503"/>
      <c r="AC175" s="2503"/>
      <c r="AD175" s="2503"/>
      <c r="AE175" s="2503"/>
      <c r="AF175" s="2503"/>
      <c r="AG175" s="2503"/>
      <c r="AH175" s="2503"/>
      <c r="AI175" s="2503"/>
      <c r="AJ175" s="2503"/>
      <c r="AK175" s="2503"/>
      <c r="AL175" s="2629"/>
      <c r="AM175" s="607" t="s">
        <v>2233</v>
      </c>
      <c r="AN175" s="641">
        <f>SUM(AN166:AN174)</f>
        <v>-14.339500000000001</v>
      </c>
      <c r="AO175" s="642">
        <f t="shared" ref="AO175:AZ175" si="43">SUM(AO166:AO174)</f>
        <v>-19.2865</v>
      </c>
      <c r="AP175" s="642">
        <f t="shared" si="43"/>
        <v>-5.1799999999999988</v>
      </c>
      <c r="AQ175" s="642">
        <f t="shared" si="43"/>
        <v>-14.958</v>
      </c>
      <c r="AR175" s="642">
        <f t="shared" si="43"/>
        <v>-16.369999999999994</v>
      </c>
      <c r="AS175" s="642">
        <f t="shared" si="43"/>
        <v>-14.848999999999995</v>
      </c>
      <c r="AT175" s="642">
        <f t="shared" si="43"/>
        <v>-15.468275234901004</v>
      </c>
      <c r="AU175" s="643">
        <f t="shared" si="43"/>
        <v>-15.468275234901011</v>
      </c>
      <c r="AV175" s="641">
        <f t="shared" si="43"/>
        <v>-30.6</v>
      </c>
      <c r="AW175" s="642">
        <f t="shared" si="43"/>
        <v>-30.6</v>
      </c>
      <c r="AX175" s="642">
        <f t="shared" si="43"/>
        <v>-30.6</v>
      </c>
      <c r="AY175" s="642">
        <f t="shared" si="43"/>
        <v>-30.6</v>
      </c>
      <c r="AZ175" s="643">
        <f t="shared" si="43"/>
        <v>-30.6</v>
      </c>
      <c r="BA175" s="2629"/>
      <c r="BB175" s="545" t="s">
        <v>2233</v>
      </c>
      <c r="BC175" s="642">
        <f>SUM(BC166:BC174)</f>
        <v>0</v>
      </c>
      <c r="BD175" s="545" t="s">
        <v>2233</v>
      </c>
      <c r="BE175" s="642">
        <f>SUM(BE166:BE174)</f>
        <v>0</v>
      </c>
      <c r="BF175" s="545" t="s">
        <v>2233</v>
      </c>
      <c r="BG175" s="642">
        <f>SUM(BG166:BG174)</f>
        <v>0</v>
      </c>
      <c r="BH175" s="2629"/>
      <c r="BI175" s="2629"/>
      <c r="BJ175" s="2629"/>
      <c r="BK175" s="2629"/>
      <c r="BL175" s="2629"/>
      <c r="BM175" s="2629"/>
      <c r="BN175" s="2629"/>
      <c r="BO175" s="2629"/>
      <c r="BP175" s="2629"/>
      <c r="BQ175" s="545" t="s">
        <v>2233</v>
      </c>
      <c r="BR175" s="642">
        <f>SUM(BR166:BR174)</f>
        <v>0</v>
      </c>
      <c r="BS175" s="545" t="s">
        <v>2233</v>
      </c>
      <c r="BT175" s="642">
        <f>SUM(BT166:BT174)</f>
        <v>0</v>
      </c>
      <c r="BU175" s="545" t="s">
        <v>2233</v>
      </c>
      <c r="BV175" s="642">
        <f>SUM(BV166:BV174)</f>
        <v>0</v>
      </c>
      <c r="BW175" s="542"/>
      <c r="BX175" s="544"/>
      <c r="BY175" s="2629"/>
      <c r="BZ175" s="2629"/>
      <c r="CA175" s="2629"/>
      <c r="CB175" s="2629"/>
      <c r="CC175" s="2629"/>
      <c r="CD175" s="2629"/>
    </row>
    <row r="176" spans="1:82" s="98" customFormat="1" ht="15" customHeight="1">
      <c r="A176" s="99"/>
      <c r="B176" s="123"/>
      <c r="C176" s="127"/>
      <c r="D176" s="127"/>
      <c r="E176" s="127"/>
      <c r="F176" s="127"/>
      <c r="G176" s="117"/>
      <c r="H176" s="117"/>
      <c r="I176" s="2503"/>
      <c r="J176" s="2503"/>
      <c r="K176" s="2503"/>
      <c r="L176" s="2503"/>
      <c r="M176" s="2503"/>
      <c r="N176" s="2503"/>
      <c r="O176" s="2503"/>
      <c r="P176" s="2503"/>
      <c r="Q176" s="2503"/>
      <c r="R176" s="2503"/>
      <c r="S176" s="2503"/>
      <c r="T176" s="2503"/>
      <c r="U176" s="2503"/>
      <c r="V176" s="2503"/>
      <c r="W176" s="2645"/>
      <c r="X176" s="2503"/>
      <c r="Y176" s="2503"/>
      <c r="Z176" s="2503"/>
      <c r="AA176" s="2503"/>
      <c r="AB176" s="2503"/>
      <c r="AC176" s="2503"/>
      <c r="AD176" s="2503"/>
      <c r="AE176" s="2503"/>
      <c r="AF176" s="2503"/>
      <c r="AG176" s="2503"/>
      <c r="AH176" s="2503"/>
      <c r="AI176" s="2503"/>
      <c r="AJ176" s="2503"/>
      <c r="AK176" s="2503"/>
      <c r="AL176" s="2629"/>
      <c r="AM176" s="94"/>
      <c r="AN176" s="713"/>
      <c r="AO176" s="2649"/>
      <c r="AP176" s="2649"/>
      <c r="AQ176" s="2649"/>
      <c r="AR176" s="2649"/>
      <c r="AS176" s="2649"/>
      <c r="AT176" s="2649"/>
      <c r="AU176" s="715"/>
      <c r="AV176" s="713"/>
      <c r="AW176" s="2649"/>
      <c r="AX176" s="2649"/>
      <c r="AY176" s="2649"/>
      <c r="AZ176" s="715"/>
      <c r="BA176" s="2629"/>
      <c r="BB176" s="542"/>
      <c r="BC176" s="542"/>
      <c r="BD176" s="542"/>
      <c r="BE176" s="542"/>
      <c r="BF176" s="542"/>
      <c r="BG176" s="542"/>
      <c r="BH176" s="542"/>
      <c r="BI176" s="542"/>
      <c r="BJ176" s="542"/>
      <c r="BK176" s="2629"/>
      <c r="BL176" s="2629"/>
      <c r="BM176" s="2629"/>
      <c r="BN176" s="2629"/>
      <c r="BO176" s="2629"/>
      <c r="BP176" s="2629"/>
      <c r="BQ176" s="542"/>
      <c r="BR176" s="542"/>
      <c r="BS176" s="542"/>
      <c r="BT176" s="542"/>
      <c r="BU176" s="542"/>
      <c r="BV176" s="542"/>
      <c r="BW176" s="542"/>
      <c r="BX176" s="544"/>
      <c r="BY176" s="2629"/>
      <c r="BZ176" s="2629"/>
      <c r="CA176" s="2629"/>
      <c r="CB176" s="2629"/>
      <c r="CC176" s="2629"/>
      <c r="CD176" s="2629"/>
    </row>
    <row r="177" spans="1:82" s="98" customFormat="1" ht="15" customHeight="1" thickBot="1">
      <c r="A177" s="99"/>
      <c r="B177" s="191" t="s">
        <v>1701</v>
      </c>
      <c r="C177" s="193"/>
      <c r="D177" s="193"/>
      <c r="E177" s="193"/>
      <c r="F177" s="193"/>
      <c r="G177" s="194"/>
      <c r="H177" s="194"/>
      <c r="I177" s="2503"/>
      <c r="J177" s="2503"/>
      <c r="K177" s="2503"/>
      <c r="L177" s="2503"/>
      <c r="M177" s="2503"/>
      <c r="N177" s="2503"/>
      <c r="O177" s="2503"/>
      <c r="P177" s="2503"/>
      <c r="Q177" s="2503"/>
      <c r="R177" s="2503"/>
      <c r="S177" s="2503"/>
      <c r="T177" s="2503"/>
      <c r="U177" s="2503"/>
      <c r="V177" s="2503"/>
      <c r="W177" s="2645"/>
      <c r="X177" s="2503"/>
      <c r="Y177" s="2503"/>
      <c r="Z177" s="2503"/>
      <c r="AA177" s="2503"/>
      <c r="AB177" s="2503"/>
      <c r="AC177" s="2503"/>
      <c r="AD177" s="2503"/>
      <c r="AE177" s="2503"/>
      <c r="AF177" s="2503"/>
      <c r="AG177" s="2503"/>
      <c r="AH177" s="2503"/>
      <c r="AI177" s="2503"/>
      <c r="AJ177" s="2503"/>
      <c r="AK177" s="2503"/>
      <c r="AL177" s="2629"/>
      <c r="AM177" s="1083" t="s">
        <v>2233</v>
      </c>
      <c r="AN177" s="701">
        <f>AN175</f>
        <v>-14.339500000000001</v>
      </c>
      <c r="AO177" s="701">
        <f t="shared" ref="AO177:AZ177" si="44">AO175</f>
        <v>-19.2865</v>
      </c>
      <c r="AP177" s="701">
        <f t="shared" si="44"/>
        <v>-5.1799999999999988</v>
      </c>
      <c r="AQ177" s="701">
        <f t="shared" si="44"/>
        <v>-14.958</v>
      </c>
      <c r="AR177" s="701">
        <f t="shared" si="44"/>
        <v>-16.369999999999994</v>
      </c>
      <c r="AS177" s="701">
        <f t="shared" si="44"/>
        <v>-14.848999999999995</v>
      </c>
      <c r="AT177" s="701">
        <f t="shared" si="44"/>
        <v>-15.468275234901004</v>
      </c>
      <c r="AU177" s="701">
        <f t="shared" si="44"/>
        <v>-15.468275234901011</v>
      </c>
      <c r="AV177" s="701">
        <f t="shared" si="44"/>
        <v>-30.6</v>
      </c>
      <c r="AW177" s="701">
        <f t="shared" si="44"/>
        <v>-30.6</v>
      </c>
      <c r="AX177" s="701">
        <f t="shared" si="44"/>
        <v>-30.6</v>
      </c>
      <c r="AY177" s="701">
        <f t="shared" si="44"/>
        <v>-30.6</v>
      </c>
      <c r="AZ177" s="701">
        <f t="shared" si="44"/>
        <v>-30.6</v>
      </c>
      <c r="BA177" s="2630"/>
      <c r="BB177" s="1081" t="s">
        <v>2233</v>
      </c>
      <c r="BC177" s="701">
        <f>BC175</f>
        <v>0</v>
      </c>
      <c r="BD177" s="1081" t="s">
        <v>2233</v>
      </c>
      <c r="BE177" s="701">
        <f>BE175</f>
        <v>0</v>
      </c>
      <c r="BF177" s="1081" t="s">
        <v>2233</v>
      </c>
      <c r="BG177" s="701">
        <f>BG175</f>
        <v>0</v>
      </c>
      <c r="BH177" s="2630"/>
      <c r="BI177" s="2630"/>
      <c r="BJ177" s="2630"/>
      <c r="BK177" s="2630"/>
      <c r="BL177" s="2630"/>
      <c r="BM177" s="2630"/>
      <c r="BN177" s="2630"/>
      <c r="BO177" s="2630"/>
      <c r="BP177" s="2654"/>
      <c r="BQ177" s="1081" t="s">
        <v>2233</v>
      </c>
      <c r="BR177" s="701">
        <f>BR175</f>
        <v>0</v>
      </c>
      <c r="BS177" s="1081" t="s">
        <v>2233</v>
      </c>
      <c r="BT177" s="701">
        <f>BT175</f>
        <v>0</v>
      </c>
      <c r="BU177" s="1081" t="s">
        <v>2233</v>
      </c>
      <c r="BV177" s="701">
        <f>BV175</f>
        <v>0</v>
      </c>
      <c r="BW177" s="548"/>
      <c r="BX177" s="1135"/>
      <c r="BY177" s="2629"/>
      <c r="BZ177" s="2629"/>
      <c r="CA177" s="2629"/>
      <c r="CB177" s="2629"/>
      <c r="CC177" s="2629"/>
      <c r="CD177" s="2629"/>
    </row>
    <row r="178" spans="1:82" ht="15" thickBot="1">
      <c r="I178" s="1364"/>
      <c r="J178" s="1360"/>
      <c r="K178" s="1360"/>
      <c r="L178" s="1360"/>
      <c r="M178" s="1360"/>
      <c r="N178" s="1360"/>
      <c r="O178" s="1360"/>
      <c r="P178" s="1360"/>
      <c r="Q178" s="1360"/>
      <c r="R178" s="1360"/>
      <c r="S178" s="1360"/>
      <c r="T178" s="1360"/>
      <c r="U178" s="1360"/>
      <c r="V178" s="1360"/>
      <c r="W178" s="1363"/>
      <c r="X178" s="1360"/>
      <c r="Y178" s="1360"/>
      <c r="Z178" s="1360"/>
      <c r="AA178" s="1360"/>
      <c r="AB178" s="1360"/>
      <c r="AC178" s="1364"/>
      <c r="AD178" s="1360"/>
      <c r="AE178" s="1360"/>
      <c r="AF178" s="1360"/>
      <c r="AG178" s="1360"/>
      <c r="AH178" s="1360"/>
      <c r="AI178" s="1360"/>
      <c r="AJ178" s="1360"/>
      <c r="AK178" s="1360"/>
      <c r="AL178" s="1360"/>
      <c r="AN178" s="175"/>
    </row>
    <row r="179" spans="1:82" s="100" customFormat="1" ht="30" customHeight="1" thickBot="1">
      <c r="A179" s="89"/>
      <c r="B179" s="621" t="s">
        <v>2756</v>
      </c>
      <c r="C179" s="101"/>
      <c r="D179" s="102"/>
      <c r="E179" s="102"/>
      <c r="F179" s="102"/>
      <c r="G179" s="103"/>
      <c r="H179" s="103"/>
      <c r="I179" s="2506"/>
      <c r="J179" s="2506"/>
      <c r="K179" s="2506"/>
      <c r="L179" s="2506"/>
      <c r="M179" s="2506"/>
      <c r="N179" s="2506"/>
      <c r="O179" s="2506"/>
      <c r="P179" s="2506"/>
      <c r="Q179" s="2506"/>
      <c r="R179" s="2506"/>
      <c r="S179" s="2506"/>
      <c r="T179" s="2506"/>
      <c r="U179" s="2506"/>
      <c r="V179" s="2506"/>
      <c r="W179" s="2645"/>
      <c r="X179" s="2506"/>
      <c r="Y179" s="2506"/>
      <c r="Z179" s="2506"/>
      <c r="AA179" s="2506"/>
      <c r="AB179" s="2506"/>
      <c r="AC179" s="2506"/>
      <c r="AD179" s="2506"/>
      <c r="AE179" s="2506"/>
      <c r="AF179" s="2506"/>
      <c r="AG179" s="2506"/>
      <c r="AH179" s="2506"/>
      <c r="AI179" s="2506"/>
      <c r="AJ179" s="2506"/>
      <c r="AK179" s="2506"/>
      <c r="AM179" s="105" t="s">
        <v>2231</v>
      </c>
      <c r="AN179" s="106"/>
      <c r="AO179" s="106"/>
      <c r="AP179" s="106"/>
      <c r="AQ179" s="106"/>
      <c r="AR179" s="106"/>
      <c r="AS179" s="106"/>
      <c r="AT179" s="106"/>
      <c r="AU179" s="106"/>
      <c r="AV179" s="105"/>
      <c r="AW179" s="105"/>
      <c r="AX179" s="105"/>
      <c r="AY179" s="105"/>
      <c r="AZ179" s="105"/>
      <c r="BA179" s="103"/>
      <c r="BB179" s="105" t="s">
        <v>2690</v>
      </c>
      <c r="BC179" s="105"/>
      <c r="BD179" s="105"/>
      <c r="BE179" s="105"/>
      <c r="BF179" s="105"/>
      <c r="BG179" s="105"/>
      <c r="BH179" s="603"/>
      <c r="BI179" s="105"/>
      <c r="BJ179" s="103"/>
      <c r="BK179" s="103"/>
      <c r="BL179" s="103"/>
      <c r="BM179" s="103"/>
      <c r="BN179" s="103"/>
      <c r="BO179" s="103"/>
      <c r="BP179" s="1354"/>
      <c r="BQ179" s="105" t="s">
        <v>2691</v>
      </c>
      <c r="BR179" s="105"/>
      <c r="BS179" s="105"/>
      <c r="BT179" s="105"/>
      <c r="BU179" s="105"/>
      <c r="BV179" s="105"/>
      <c r="BW179" s="105"/>
      <c r="BX179" s="187"/>
    </row>
    <row r="180" spans="1:82" s="157" customFormat="1" ht="30" customHeight="1">
      <c r="A180" s="99"/>
      <c r="B180" s="109"/>
      <c r="C180" s="110"/>
      <c r="D180" s="110"/>
      <c r="E180" s="110"/>
      <c r="F180" s="110"/>
      <c r="G180" s="111"/>
      <c r="H180" s="111"/>
      <c r="I180" s="2502"/>
      <c r="J180" s="2502"/>
      <c r="K180" s="2502"/>
      <c r="L180" s="2502"/>
      <c r="M180" s="2502"/>
      <c r="N180" s="2502"/>
      <c r="O180" s="2502"/>
      <c r="P180" s="2502"/>
      <c r="Q180" s="2502"/>
      <c r="R180" s="2502"/>
      <c r="S180" s="2502"/>
      <c r="T180" s="2502"/>
      <c r="U180" s="2502"/>
      <c r="V180" s="2502"/>
      <c r="W180" s="2645"/>
      <c r="X180" s="2502"/>
      <c r="Y180" s="2502"/>
      <c r="Z180" s="2502"/>
      <c r="AA180" s="2502"/>
      <c r="AB180" s="2502"/>
      <c r="AC180" s="2502"/>
      <c r="AD180" s="2502"/>
      <c r="AE180" s="2502"/>
      <c r="AF180" s="2502"/>
      <c r="AG180" s="2502"/>
      <c r="AH180" s="2502"/>
      <c r="AI180" s="2502"/>
      <c r="AJ180" s="2502"/>
      <c r="AK180" s="2502"/>
      <c r="AL180" s="2632"/>
      <c r="AM180" s="94"/>
      <c r="AN180" s="695" t="s">
        <v>1666</v>
      </c>
      <c r="AO180" s="152"/>
      <c r="AP180" s="152"/>
      <c r="AQ180" s="152"/>
      <c r="AR180" s="152"/>
      <c r="AS180" s="152"/>
      <c r="AT180" s="152"/>
      <c r="AU180" s="153"/>
      <c r="AV180" s="696" t="s">
        <v>2</v>
      </c>
      <c r="AW180" s="155"/>
      <c r="AX180" s="155"/>
      <c r="AY180" s="155"/>
      <c r="AZ180" s="156"/>
      <c r="BA180" s="2632"/>
      <c r="BB180" s="2633" t="s">
        <v>2711</v>
      </c>
      <c r="BC180" s="2633"/>
      <c r="BD180" s="2633" t="s">
        <v>2712</v>
      </c>
      <c r="BE180" s="2633"/>
      <c r="BF180" s="2633" t="s">
        <v>2713</v>
      </c>
      <c r="BG180" s="2633"/>
      <c r="BH180" s="2633" t="s">
        <v>2714</v>
      </c>
      <c r="BI180" s="2639"/>
      <c r="BJ180" s="2632"/>
      <c r="BK180" s="2632"/>
      <c r="BL180" s="2632"/>
      <c r="BM180" s="2632"/>
      <c r="BN180" s="2632"/>
      <c r="BO180" s="2632"/>
      <c r="BP180" s="2632"/>
      <c r="BQ180" s="2633" t="s">
        <v>2711</v>
      </c>
      <c r="BR180" s="2633"/>
      <c r="BS180" s="2633" t="s">
        <v>2712</v>
      </c>
      <c r="BT180" s="2633"/>
      <c r="BU180" s="2633" t="s">
        <v>2713</v>
      </c>
      <c r="BV180" s="2633"/>
      <c r="BW180" s="2633" t="s">
        <v>2714</v>
      </c>
      <c r="BX180" s="2634"/>
      <c r="BY180" s="2632"/>
      <c r="BZ180" s="2632"/>
      <c r="CA180" s="2632"/>
      <c r="CB180" s="2632"/>
      <c r="CC180" s="2632"/>
      <c r="CD180" s="2632"/>
    </row>
    <row r="181" spans="1:82" s="98" customFormat="1" ht="15" customHeight="1">
      <c r="A181" s="99"/>
      <c r="B181" s="115"/>
      <c r="C181" s="116"/>
      <c r="D181" s="116"/>
      <c r="E181" s="116"/>
      <c r="F181" s="116"/>
      <c r="G181" s="117"/>
      <c r="H181" s="117"/>
      <c r="I181" s="2503"/>
      <c r="J181" s="2503"/>
      <c r="K181" s="2503"/>
      <c r="L181" s="2503"/>
      <c r="M181" s="2503"/>
      <c r="N181" s="2503"/>
      <c r="O181" s="2503"/>
      <c r="P181" s="2503"/>
      <c r="Q181" s="2503"/>
      <c r="R181" s="2503"/>
      <c r="S181" s="2503"/>
      <c r="T181" s="2503"/>
      <c r="U181" s="2503"/>
      <c r="V181" s="2503"/>
      <c r="W181" s="2645"/>
      <c r="X181" s="2503"/>
      <c r="Y181" s="2503"/>
      <c r="Z181" s="2503"/>
      <c r="AA181" s="2503"/>
      <c r="AB181" s="2503"/>
      <c r="AC181" s="2503"/>
      <c r="AD181" s="2503"/>
      <c r="AE181" s="2503"/>
      <c r="AF181" s="2503"/>
      <c r="AG181" s="2503"/>
      <c r="AH181" s="2503"/>
      <c r="AI181" s="2503"/>
      <c r="AJ181" s="2503"/>
      <c r="AK181" s="2503"/>
      <c r="AL181" s="2629"/>
      <c r="AM181" s="119" t="s">
        <v>1667</v>
      </c>
      <c r="AN181" s="158" t="s">
        <v>453</v>
      </c>
      <c r="AO181" s="137" t="s">
        <v>455</v>
      </c>
      <c r="AP181" s="137" t="s">
        <v>457</v>
      </c>
      <c r="AQ181" s="137" t="s">
        <v>459</v>
      </c>
      <c r="AR181" s="137" t="s">
        <v>461</v>
      </c>
      <c r="AS181" s="137" t="s">
        <v>463</v>
      </c>
      <c r="AT181" s="137" t="s">
        <v>465</v>
      </c>
      <c r="AU181" s="138" t="s">
        <v>467</v>
      </c>
      <c r="AV181" s="120" t="s">
        <v>469</v>
      </c>
      <c r="AW181" s="121" t="s">
        <v>471</v>
      </c>
      <c r="AX181" s="121" t="s">
        <v>473</v>
      </c>
      <c r="AY181" s="121" t="s">
        <v>475</v>
      </c>
      <c r="AZ181" s="122" t="s">
        <v>477</v>
      </c>
      <c r="BA181" s="2629"/>
      <c r="BB181" s="2635" t="s">
        <v>1667</v>
      </c>
      <c r="BC181" s="2635" t="s">
        <v>2142</v>
      </c>
      <c r="BD181" s="2635" t="s">
        <v>1667</v>
      </c>
      <c r="BE181" s="2635" t="s">
        <v>2142</v>
      </c>
      <c r="BF181" s="2635" t="s">
        <v>1667</v>
      </c>
      <c r="BG181" s="2635" t="s">
        <v>2142</v>
      </c>
      <c r="BH181" s="2642" t="s">
        <v>1667</v>
      </c>
      <c r="BI181" s="2635" t="s">
        <v>2142</v>
      </c>
      <c r="BJ181" s="2629"/>
      <c r="BK181" s="2629"/>
      <c r="BL181" s="2629"/>
      <c r="BM181" s="2629"/>
      <c r="BN181" s="2629"/>
      <c r="BO181" s="2629"/>
      <c r="BP181" s="2629"/>
      <c r="BQ181" s="2635" t="s">
        <v>1667</v>
      </c>
      <c r="BR181" s="2635" t="s">
        <v>2142</v>
      </c>
      <c r="BS181" s="2635" t="s">
        <v>1667</v>
      </c>
      <c r="BT181" s="2635" t="s">
        <v>2142</v>
      </c>
      <c r="BU181" s="2635" t="s">
        <v>1667</v>
      </c>
      <c r="BV181" s="2635" t="s">
        <v>2142</v>
      </c>
      <c r="BW181" s="2635" t="s">
        <v>1667</v>
      </c>
      <c r="BX181" s="2636" t="s">
        <v>2142</v>
      </c>
      <c r="BY181" s="2629"/>
      <c r="BZ181" s="2629"/>
      <c r="CA181" s="2629"/>
      <c r="CB181" s="2629"/>
      <c r="CC181" s="2629"/>
      <c r="CD181" s="2629"/>
    </row>
    <row r="182" spans="1:82" s="98" customFormat="1" ht="15" customHeight="1">
      <c r="A182" s="99"/>
      <c r="B182" s="161"/>
      <c r="C182" s="116" t="s">
        <v>2757</v>
      </c>
      <c r="D182" s="116"/>
      <c r="E182" s="116"/>
      <c r="F182" s="116"/>
      <c r="G182" s="117"/>
      <c r="H182" s="117"/>
      <c r="I182" s="2503"/>
      <c r="J182" s="2503"/>
      <c r="K182" s="2503"/>
      <c r="L182" s="2503"/>
      <c r="M182" s="2503"/>
      <c r="N182" s="2503"/>
      <c r="O182" s="2503"/>
      <c r="P182" s="2503"/>
      <c r="Q182" s="2503"/>
      <c r="R182" s="2503"/>
      <c r="S182" s="2503"/>
      <c r="T182" s="2503"/>
      <c r="U182" s="2503"/>
      <c r="V182" s="2503"/>
      <c r="W182" s="2645"/>
      <c r="X182" s="2503"/>
      <c r="Y182" s="2503"/>
      <c r="Z182" s="2503"/>
      <c r="AA182" s="2503"/>
      <c r="AB182" s="2503"/>
      <c r="AC182" s="2503"/>
      <c r="AD182" s="2503"/>
      <c r="AE182" s="2503"/>
      <c r="AF182" s="2503"/>
      <c r="AG182" s="2503"/>
      <c r="AH182" s="2503"/>
      <c r="AI182" s="2503"/>
      <c r="AJ182" s="2503"/>
      <c r="AK182" s="2503"/>
      <c r="AL182" s="2629"/>
      <c r="AM182" s="94"/>
      <c r="AN182" s="159"/>
      <c r="AO182" s="94"/>
      <c r="AP182" s="94"/>
      <c r="AQ182" s="94"/>
      <c r="AR182" s="94"/>
      <c r="AS182" s="94"/>
      <c r="AT182" s="94"/>
      <c r="AU182" s="160"/>
      <c r="AV182" s="159"/>
      <c r="AW182" s="94"/>
      <c r="AX182" s="94"/>
      <c r="AY182" s="94"/>
      <c r="AZ182" s="160"/>
      <c r="BA182" s="2629"/>
      <c r="BB182" s="542"/>
      <c r="BC182" s="542"/>
      <c r="BD182" s="542"/>
      <c r="BE182" s="542"/>
      <c r="BF182" s="542"/>
      <c r="BG182" s="542"/>
      <c r="BH182" s="542"/>
      <c r="BI182" s="542"/>
      <c r="BJ182" s="2629"/>
      <c r="BK182" s="2629"/>
      <c r="BL182" s="2629"/>
      <c r="BM182" s="2629"/>
      <c r="BN182" s="2629"/>
      <c r="BO182" s="2629"/>
      <c r="BP182" s="2629"/>
      <c r="BQ182" s="542"/>
      <c r="BR182" s="542"/>
      <c r="BS182" s="542"/>
      <c r="BT182" s="542"/>
      <c r="BU182" s="542"/>
      <c r="BV182" s="542"/>
      <c r="BW182" s="542"/>
      <c r="BX182" s="544"/>
      <c r="BY182" s="2629"/>
      <c r="BZ182" s="2629"/>
      <c r="CA182" s="2629"/>
      <c r="CB182" s="2629"/>
      <c r="CC182" s="2629"/>
      <c r="CD182" s="2629"/>
    </row>
    <row r="183" spans="1:82" s="98" customFormat="1" ht="15" customHeight="1">
      <c r="A183" s="99"/>
      <c r="B183" s="161"/>
      <c r="C183" s="162"/>
      <c r="D183" s="162" t="s">
        <v>2716</v>
      </c>
      <c r="E183" s="162"/>
      <c r="F183" s="162"/>
      <c r="G183" s="163"/>
      <c r="H183" s="163"/>
      <c r="I183" s="2503"/>
      <c r="J183" s="2503"/>
      <c r="K183" s="2503"/>
      <c r="L183" s="2503"/>
      <c r="M183" s="2503"/>
      <c r="N183" s="2503"/>
      <c r="O183" s="2503"/>
      <c r="P183" s="2503"/>
      <c r="Q183" s="2503"/>
      <c r="R183" s="2503"/>
      <c r="S183" s="2503"/>
      <c r="T183" s="2503"/>
      <c r="U183" s="2503"/>
      <c r="V183" s="2503"/>
      <c r="W183" s="2645"/>
      <c r="X183" s="2503"/>
      <c r="Y183" s="2503"/>
      <c r="Z183" s="2503"/>
      <c r="AA183" s="2503"/>
      <c r="AB183" s="2503"/>
      <c r="AC183" s="2503"/>
      <c r="AD183" s="2503"/>
      <c r="AE183" s="2503"/>
      <c r="AF183" s="2503"/>
      <c r="AG183" s="2503"/>
      <c r="AH183" s="2503"/>
      <c r="AI183" s="2503"/>
      <c r="AJ183" s="2503"/>
      <c r="AK183" s="2503"/>
      <c r="AL183" s="2629"/>
      <c r="AM183" s="607" t="s">
        <v>2233</v>
      </c>
      <c r="AN183" s="143">
        <v>-2.0527500000000001</v>
      </c>
      <c r="AO183" s="141">
        <v>-1.6953999999999969</v>
      </c>
      <c r="AP183" s="141">
        <v>-1.5363999999999991</v>
      </c>
      <c r="AQ183" s="141">
        <v>-1.9059999999999893</v>
      </c>
      <c r="AR183" s="141">
        <v>-2.2969999999999926</v>
      </c>
      <c r="AS183" s="141">
        <v>-1.2469999999999963</v>
      </c>
      <c r="AT183" s="141">
        <v>-1.3747865640192432</v>
      </c>
      <c r="AU183" s="144">
        <v>-1.4113601355318686</v>
      </c>
      <c r="AV183" s="143">
        <v>-0.1454299817793448</v>
      </c>
      <c r="AW183" s="141">
        <v>-0.1454299817793448</v>
      </c>
      <c r="AX183" s="141">
        <v>-0.1454299817793448</v>
      </c>
      <c r="AY183" s="141">
        <v>-0.1454299817793448</v>
      </c>
      <c r="AZ183" s="144">
        <v>-0.1454299817793448</v>
      </c>
      <c r="BA183" s="2629"/>
      <c r="BB183" s="545" t="s">
        <v>2233</v>
      </c>
      <c r="BC183" s="141">
        <v>0</v>
      </c>
      <c r="BD183" s="545" t="s">
        <v>2233</v>
      </c>
      <c r="BE183" s="141">
        <v>0</v>
      </c>
      <c r="BF183" s="545" t="s">
        <v>2233</v>
      </c>
      <c r="BG183" s="141">
        <v>0</v>
      </c>
      <c r="BH183" s="607" t="s">
        <v>627</v>
      </c>
      <c r="BI183" s="868">
        <v>0</v>
      </c>
      <c r="BJ183" s="2629"/>
      <c r="BK183" s="2629"/>
      <c r="BL183" s="2629"/>
      <c r="BM183" s="2629"/>
      <c r="BN183" s="2629"/>
      <c r="BO183" s="2629"/>
      <c r="BP183" s="2629"/>
      <c r="BQ183" s="545" t="s">
        <v>2233</v>
      </c>
      <c r="BR183" s="141">
        <v>0</v>
      </c>
      <c r="BS183" s="545" t="s">
        <v>2233</v>
      </c>
      <c r="BT183" s="141">
        <v>0</v>
      </c>
      <c r="BU183" s="545" t="s">
        <v>2233</v>
      </c>
      <c r="BV183" s="141">
        <v>0</v>
      </c>
      <c r="BW183" s="607" t="s">
        <v>627</v>
      </c>
      <c r="BX183" s="872">
        <v>0</v>
      </c>
      <c r="BY183" s="2629"/>
      <c r="BZ183" s="2629"/>
      <c r="CA183" s="2629"/>
      <c r="CB183" s="2629"/>
      <c r="CC183" s="2629"/>
      <c r="CD183" s="2629"/>
    </row>
    <row r="184" spans="1:82" s="98" customFormat="1" ht="15" customHeight="1">
      <c r="A184" s="99"/>
      <c r="B184" s="161"/>
      <c r="C184" s="162"/>
      <c r="D184" s="162" t="s">
        <v>2717</v>
      </c>
      <c r="E184" s="162"/>
      <c r="F184" s="162"/>
      <c r="G184" s="163"/>
      <c r="H184" s="163"/>
      <c r="I184" s="2503"/>
      <c r="J184" s="2503"/>
      <c r="K184" s="2503"/>
      <c r="L184" s="2503"/>
      <c r="M184" s="2503"/>
      <c r="N184" s="2503"/>
      <c r="O184" s="2503"/>
      <c r="P184" s="2503"/>
      <c r="Q184" s="2503"/>
      <c r="R184" s="2503"/>
      <c r="S184" s="2503"/>
      <c r="T184" s="2503"/>
      <c r="U184" s="2503"/>
      <c r="V184" s="2503"/>
      <c r="W184" s="2645"/>
      <c r="X184" s="2503"/>
      <c r="Y184" s="2503"/>
      <c r="Z184" s="2503"/>
      <c r="AA184" s="2503"/>
      <c r="AB184" s="2503"/>
      <c r="AC184" s="2503"/>
      <c r="AD184" s="2503"/>
      <c r="AE184" s="2503"/>
      <c r="AF184" s="2503"/>
      <c r="AG184" s="2503"/>
      <c r="AH184" s="2503"/>
      <c r="AI184" s="2503"/>
      <c r="AJ184" s="2503"/>
      <c r="AK184" s="2503"/>
      <c r="AL184" s="2629"/>
      <c r="AM184" s="607" t="s">
        <v>2233</v>
      </c>
      <c r="AN184" s="143">
        <v>-1.0130000000000001</v>
      </c>
      <c r="AO184" s="141">
        <v>-3.3120000000000003</v>
      </c>
      <c r="AP184" s="141">
        <v>-1.3270000000000002</v>
      </c>
      <c r="AQ184" s="141">
        <v>-0.46200000000000024</v>
      </c>
      <c r="AR184" s="141">
        <v>-1.1090000000000002</v>
      </c>
      <c r="AS184" s="141">
        <v>-0.84800000000000009</v>
      </c>
      <c r="AT184" s="141">
        <v>-0.92979665702045966</v>
      </c>
      <c r="AU184" s="144">
        <v>-0.88983778693924787</v>
      </c>
      <c r="AV184" s="143">
        <v>-2.0000866990744153</v>
      </c>
      <c r="AW184" s="141">
        <v>-2.0000866990744153</v>
      </c>
      <c r="AX184" s="141">
        <v>-2.0000866990744153</v>
      </c>
      <c r="AY184" s="141">
        <v>-2.0000866990744153</v>
      </c>
      <c r="AZ184" s="144">
        <v>-2.0000866990744153</v>
      </c>
      <c r="BA184" s="2629"/>
      <c r="BB184" s="545" t="s">
        <v>2233</v>
      </c>
      <c r="BC184" s="141">
        <v>0</v>
      </c>
      <c r="BD184" s="545" t="s">
        <v>2233</v>
      </c>
      <c r="BE184" s="141">
        <v>0</v>
      </c>
      <c r="BF184" s="545" t="s">
        <v>2233</v>
      </c>
      <c r="BG184" s="141">
        <v>0</v>
      </c>
      <c r="BH184" s="607" t="s">
        <v>627</v>
      </c>
      <c r="BI184" s="868">
        <v>0</v>
      </c>
      <c r="BJ184" s="2629"/>
      <c r="BK184" s="2629"/>
      <c r="BL184" s="2629"/>
      <c r="BM184" s="2629"/>
      <c r="BN184" s="2629"/>
      <c r="BO184" s="2629"/>
      <c r="BP184" s="2629"/>
      <c r="BQ184" s="545" t="s">
        <v>2233</v>
      </c>
      <c r="BR184" s="141">
        <v>0</v>
      </c>
      <c r="BS184" s="545" t="s">
        <v>2233</v>
      </c>
      <c r="BT184" s="141">
        <v>0</v>
      </c>
      <c r="BU184" s="545" t="s">
        <v>2233</v>
      </c>
      <c r="BV184" s="141">
        <v>0</v>
      </c>
      <c r="BW184" s="607" t="s">
        <v>627</v>
      </c>
      <c r="BX184" s="872">
        <v>0</v>
      </c>
      <c r="BY184" s="2629"/>
      <c r="BZ184" s="2629"/>
      <c r="CA184" s="2629"/>
      <c r="CB184" s="2629"/>
      <c r="CC184" s="2629"/>
      <c r="CD184" s="2629"/>
    </row>
    <row r="185" spans="1:82" s="98" customFormat="1" ht="15" customHeight="1">
      <c r="A185" s="99"/>
      <c r="B185" s="161"/>
      <c r="C185" s="162"/>
      <c r="D185" s="162" t="s">
        <v>2718</v>
      </c>
      <c r="E185" s="162"/>
      <c r="F185" s="162"/>
      <c r="G185" s="163"/>
      <c r="H185" s="163"/>
      <c r="I185" s="2503"/>
      <c r="J185" s="2503"/>
      <c r="K185" s="2503"/>
      <c r="L185" s="2503"/>
      <c r="M185" s="2503"/>
      <c r="N185" s="2503"/>
      <c r="O185" s="2503"/>
      <c r="P185" s="2503"/>
      <c r="Q185" s="2503"/>
      <c r="R185" s="2503"/>
      <c r="S185" s="2503"/>
      <c r="T185" s="2503"/>
      <c r="U185" s="2503"/>
      <c r="V185" s="2503"/>
      <c r="W185" s="2645"/>
      <c r="X185" s="2503"/>
      <c r="Y185" s="2503"/>
      <c r="Z185" s="2503"/>
      <c r="AA185" s="2503"/>
      <c r="AB185" s="2503"/>
      <c r="AC185" s="2503"/>
      <c r="AD185" s="2503"/>
      <c r="AE185" s="2503"/>
      <c r="AF185" s="2503"/>
      <c r="AG185" s="2503"/>
      <c r="AH185" s="2503"/>
      <c r="AI185" s="2503"/>
      <c r="AJ185" s="2503"/>
      <c r="AK185" s="2503"/>
      <c r="AL185" s="2629"/>
      <c r="AM185" s="607" t="s">
        <v>2233</v>
      </c>
      <c r="AN185" s="143">
        <v>-2.4539999999999997</v>
      </c>
      <c r="AO185" s="141">
        <v>-0.70350000000000013</v>
      </c>
      <c r="AP185" s="141">
        <v>-0.60750000000000015</v>
      </c>
      <c r="AQ185" s="141">
        <v>-0.62900000000000011</v>
      </c>
      <c r="AR185" s="141">
        <v>-0.94900000000000007</v>
      </c>
      <c r="AS185" s="141">
        <v>-1.4370000000000003</v>
      </c>
      <c r="AT185" s="141">
        <v>-0.82586860379494376</v>
      </c>
      <c r="AU185" s="144">
        <v>-0.83280647648849015</v>
      </c>
      <c r="AV185" s="143">
        <v>-1.0967418402611837</v>
      </c>
      <c r="AW185" s="141">
        <v>-1.0967418402611837</v>
      </c>
      <c r="AX185" s="141">
        <v>-1.0967418402611837</v>
      </c>
      <c r="AY185" s="141">
        <v>-1.0967418402611837</v>
      </c>
      <c r="AZ185" s="144">
        <v>-1.0967418402611837</v>
      </c>
      <c r="BA185" s="2629"/>
      <c r="BB185" s="545" t="s">
        <v>2233</v>
      </c>
      <c r="BC185" s="141">
        <v>0</v>
      </c>
      <c r="BD185" s="545" t="s">
        <v>2233</v>
      </c>
      <c r="BE185" s="141">
        <v>0</v>
      </c>
      <c r="BF185" s="545" t="s">
        <v>2233</v>
      </c>
      <c r="BG185" s="141">
        <v>0</v>
      </c>
      <c r="BH185" s="607" t="s">
        <v>627</v>
      </c>
      <c r="BI185" s="868">
        <v>0</v>
      </c>
      <c r="BJ185" s="2629"/>
      <c r="BK185" s="2629"/>
      <c r="BL185" s="2629"/>
      <c r="BM185" s="2629"/>
      <c r="BN185" s="2629"/>
      <c r="BO185" s="2629"/>
      <c r="BP185" s="2629"/>
      <c r="BQ185" s="545" t="s">
        <v>2233</v>
      </c>
      <c r="BR185" s="141">
        <v>0</v>
      </c>
      <c r="BS185" s="545" t="s">
        <v>2233</v>
      </c>
      <c r="BT185" s="141">
        <v>0</v>
      </c>
      <c r="BU185" s="545" t="s">
        <v>2233</v>
      </c>
      <c r="BV185" s="141">
        <v>0</v>
      </c>
      <c r="BW185" s="607" t="s">
        <v>627</v>
      </c>
      <c r="BX185" s="872">
        <v>0</v>
      </c>
      <c r="BY185" s="2629"/>
      <c r="BZ185" s="2629"/>
      <c r="CA185" s="2629"/>
      <c r="CB185" s="2629"/>
      <c r="CC185" s="2629"/>
      <c r="CD185" s="2629"/>
    </row>
    <row r="186" spans="1:82" s="98" customFormat="1" ht="15" customHeight="1">
      <c r="A186" s="99"/>
      <c r="B186" s="161"/>
      <c r="C186" s="162"/>
      <c r="D186" s="162" t="s">
        <v>2719</v>
      </c>
      <c r="E186" s="162"/>
      <c r="F186" s="162"/>
      <c r="G186" s="163"/>
      <c r="H186" s="163"/>
      <c r="I186" s="2503"/>
      <c r="J186" s="2503"/>
      <c r="K186" s="2503"/>
      <c r="L186" s="2503"/>
      <c r="M186" s="2503"/>
      <c r="N186" s="2503"/>
      <c r="O186" s="2503"/>
      <c r="P186" s="2503"/>
      <c r="Q186" s="2503"/>
      <c r="R186" s="2503"/>
      <c r="S186" s="2503"/>
      <c r="T186" s="2503"/>
      <c r="U186" s="2503"/>
      <c r="V186" s="2503"/>
      <c r="W186" s="2645"/>
      <c r="X186" s="2503"/>
      <c r="Y186" s="2503"/>
      <c r="Z186" s="2503"/>
      <c r="AA186" s="2503"/>
      <c r="AB186" s="2503"/>
      <c r="AC186" s="2503"/>
      <c r="AD186" s="2503"/>
      <c r="AE186" s="2503"/>
      <c r="AF186" s="2503"/>
      <c r="AG186" s="2503"/>
      <c r="AH186" s="2503"/>
      <c r="AI186" s="2503"/>
      <c r="AJ186" s="2503"/>
      <c r="AK186" s="2503"/>
      <c r="AL186" s="2629"/>
      <c r="AM186" s="607" t="s">
        <v>2233</v>
      </c>
      <c r="AN186" s="143">
        <v>-0.34300000000000003</v>
      </c>
      <c r="AO186" s="141">
        <v>0</v>
      </c>
      <c r="AP186" s="141">
        <v>0</v>
      </c>
      <c r="AQ186" s="141">
        <v>0</v>
      </c>
      <c r="AR186" s="141">
        <v>-7.0000000000000001E-3</v>
      </c>
      <c r="AS186" s="141">
        <v>0</v>
      </c>
      <c r="AT186" s="141">
        <v>-3.3144308267830921E-2</v>
      </c>
      <c r="AU186" s="144">
        <v>-2.8336238920608638E-2</v>
      </c>
      <c r="AV186" s="143">
        <v>-0.58019724218793933</v>
      </c>
      <c r="AW186" s="141">
        <v>-0.58019724218793933</v>
      </c>
      <c r="AX186" s="141">
        <v>-0.58019724218793933</v>
      </c>
      <c r="AY186" s="141">
        <v>-0.58019724218793933</v>
      </c>
      <c r="AZ186" s="144">
        <v>-0.58019724218793933</v>
      </c>
      <c r="BA186" s="2629"/>
      <c r="BB186" s="545" t="s">
        <v>2233</v>
      </c>
      <c r="BC186" s="141">
        <v>0</v>
      </c>
      <c r="BD186" s="545" t="s">
        <v>2233</v>
      </c>
      <c r="BE186" s="141">
        <v>0</v>
      </c>
      <c r="BF186" s="545" t="s">
        <v>2233</v>
      </c>
      <c r="BG186" s="141">
        <v>0</v>
      </c>
      <c r="BH186" s="607" t="s">
        <v>627</v>
      </c>
      <c r="BI186" s="868">
        <v>0</v>
      </c>
      <c r="BJ186" s="2629"/>
      <c r="BK186" s="2629"/>
      <c r="BL186" s="2629"/>
      <c r="BM186" s="2629"/>
      <c r="BN186" s="2629"/>
      <c r="BO186" s="2629"/>
      <c r="BP186" s="2629"/>
      <c r="BQ186" s="545" t="s">
        <v>2233</v>
      </c>
      <c r="BR186" s="141">
        <v>0</v>
      </c>
      <c r="BS186" s="545" t="s">
        <v>2233</v>
      </c>
      <c r="BT186" s="141">
        <v>0</v>
      </c>
      <c r="BU186" s="545" t="s">
        <v>2233</v>
      </c>
      <c r="BV186" s="141">
        <v>0</v>
      </c>
      <c r="BW186" s="607" t="s">
        <v>627</v>
      </c>
      <c r="BX186" s="872">
        <v>0</v>
      </c>
      <c r="BY186" s="2629"/>
      <c r="BZ186" s="2629"/>
      <c r="CA186" s="2629"/>
      <c r="CB186" s="2629"/>
      <c r="CC186" s="2629"/>
      <c r="CD186" s="2629"/>
    </row>
    <row r="187" spans="1:82" s="98" customFormat="1" ht="15" customHeight="1">
      <c r="A187" s="99"/>
      <c r="B187" s="161"/>
      <c r="C187" s="162"/>
      <c r="D187" s="162" t="s">
        <v>2726</v>
      </c>
      <c r="E187" s="162"/>
      <c r="F187" s="162"/>
      <c r="G187" s="163"/>
      <c r="H187" s="163"/>
      <c r="I187" s="2503"/>
      <c r="J187" s="2503"/>
      <c r="K187" s="2503"/>
      <c r="L187" s="2503"/>
      <c r="M187" s="2503"/>
      <c r="N187" s="2503"/>
      <c r="O187" s="2503"/>
      <c r="P187" s="2503"/>
      <c r="Q187" s="2503"/>
      <c r="R187" s="2503"/>
      <c r="S187" s="2503"/>
      <c r="T187" s="2503"/>
      <c r="U187" s="2503"/>
      <c r="V187" s="2503"/>
      <c r="W187" s="2645"/>
      <c r="X187" s="2503"/>
      <c r="Y187" s="2503"/>
      <c r="Z187" s="2503"/>
      <c r="AA187" s="2503"/>
      <c r="AB187" s="2503"/>
      <c r="AC187" s="2503"/>
      <c r="AD187" s="2503"/>
      <c r="AE187" s="2503"/>
      <c r="AF187" s="2503"/>
      <c r="AG187" s="2503"/>
      <c r="AH187" s="2503"/>
      <c r="AI187" s="2503"/>
      <c r="AJ187" s="2503"/>
      <c r="AK187" s="2503"/>
      <c r="AL187" s="2629"/>
      <c r="AM187" s="607" t="s">
        <v>2233</v>
      </c>
      <c r="AN187" s="143">
        <v>-0.16769999999999999</v>
      </c>
      <c r="AO187" s="141">
        <v>-0.38800000000000012</v>
      </c>
      <c r="AP187" s="141">
        <v>-0.53599999999999992</v>
      </c>
      <c r="AQ187" s="141">
        <v>-0.19400000000000003</v>
      </c>
      <c r="AR187" s="141">
        <v>-0.31200000000000011</v>
      </c>
      <c r="AS187" s="141">
        <v>-0.11100000000000004</v>
      </c>
      <c r="AT187" s="141">
        <v>-0.2172046149130353</v>
      </c>
      <c r="AU187" s="144">
        <v>-0.214143761288453</v>
      </c>
      <c r="AV187" s="143">
        <v>-6.5622347294556724E-2</v>
      </c>
      <c r="AW187" s="141">
        <v>-6.5622347294556724E-2</v>
      </c>
      <c r="AX187" s="141">
        <v>-6.5622347294556724E-2</v>
      </c>
      <c r="AY187" s="141">
        <v>-6.5622347294556724E-2</v>
      </c>
      <c r="AZ187" s="144">
        <v>-6.5622347294556724E-2</v>
      </c>
      <c r="BA187" s="2629"/>
      <c r="BB187" s="545" t="s">
        <v>2233</v>
      </c>
      <c r="BC187" s="141">
        <v>0</v>
      </c>
      <c r="BD187" s="545" t="s">
        <v>2233</v>
      </c>
      <c r="BE187" s="141">
        <v>0</v>
      </c>
      <c r="BF187" s="545" t="s">
        <v>2233</v>
      </c>
      <c r="BG187" s="141">
        <v>0</v>
      </c>
      <c r="BH187" s="607" t="s">
        <v>627</v>
      </c>
      <c r="BI187" s="868">
        <v>0</v>
      </c>
      <c r="BJ187" s="2629"/>
      <c r="BK187" s="2629"/>
      <c r="BL187" s="2629"/>
      <c r="BM187" s="2629"/>
      <c r="BN187" s="2629"/>
      <c r="BO187" s="2629"/>
      <c r="BP187" s="2629"/>
      <c r="BQ187" s="545" t="s">
        <v>2233</v>
      </c>
      <c r="BR187" s="141">
        <v>0</v>
      </c>
      <c r="BS187" s="545" t="s">
        <v>2233</v>
      </c>
      <c r="BT187" s="141">
        <v>0</v>
      </c>
      <c r="BU187" s="545" t="s">
        <v>2233</v>
      </c>
      <c r="BV187" s="141">
        <v>0</v>
      </c>
      <c r="BW187" s="607" t="s">
        <v>627</v>
      </c>
      <c r="BX187" s="872">
        <v>0</v>
      </c>
      <c r="BY187" s="2629"/>
      <c r="BZ187" s="2629"/>
      <c r="CA187" s="2629"/>
      <c r="CB187" s="2629"/>
      <c r="CC187" s="2629"/>
      <c r="CD187" s="2629"/>
    </row>
    <row r="188" spans="1:82" s="98" customFormat="1" ht="15" customHeight="1">
      <c r="A188" s="99"/>
      <c r="B188" s="161"/>
      <c r="C188" s="162"/>
      <c r="D188" s="162" t="s">
        <v>2727</v>
      </c>
      <c r="E188" s="162"/>
      <c r="F188" s="162"/>
      <c r="G188" s="163"/>
      <c r="H188" s="163"/>
      <c r="I188" s="2503"/>
      <c r="J188" s="2503"/>
      <c r="K188" s="2503"/>
      <c r="L188" s="2503"/>
      <c r="M188" s="2503"/>
      <c r="N188" s="2503"/>
      <c r="O188" s="2503"/>
      <c r="P188" s="2503"/>
      <c r="Q188" s="2503"/>
      <c r="R188" s="2503"/>
      <c r="S188" s="2503"/>
      <c r="T188" s="2503"/>
      <c r="U188" s="2503"/>
      <c r="V188" s="2503"/>
      <c r="W188" s="2645"/>
      <c r="X188" s="2503"/>
      <c r="Y188" s="2503"/>
      <c r="Z188" s="2503"/>
      <c r="AA188" s="2503"/>
      <c r="AB188" s="2503"/>
      <c r="AC188" s="2503"/>
      <c r="AD188" s="2503"/>
      <c r="AE188" s="2503"/>
      <c r="AF188" s="2503"/>
      <c r="AG188" s="2503"/>
      <c r="AH188" s="2503"/>
      <c r="AI188" s="2503"/>
      <c r="AJ188" s="2503"/>
      <c r="AK188" s="2503"/>
      <c r="AL188" s="2629"/>
      <c r="AM188" s="607" t="s">
        <v>2233</v>
      </c>
      <c r="AN188" s="143">
        <v>-0.104</v>
      </c>
      <c r="AO188" s="141">
        <v>-0.29100000000000004</v>
      </c>
      <c r="AP188" s="141">
        <v>-2.9500000000000002E-2</v>
      </c>
      <c r="AQ188" s="141">
        <v>-4.8000000000000001E-2</v>
      </c>
      <c r="AR188" s="141">
        <v>-0.11900000000000004</v>
      </c>
      <c r="AS188" s="141">
        <v>-0.4920000000000001</v>
      </c>
      <c r="AT188" s="141">
        <v>-9.5047439427073624E-2</v>
      </c>
      <c r="AU188" s="144">
        <v>-0.1015333912822925</v>
      </c>
      <c r="AV188" s="143">
        <v>-1.4838970665463409</v>
      </c>
      <c r="AW188" s="141">
        <v>-1.4838970665463409</v>
      </c>
      <c r="AX188" s="141">
        <v>-1.4838970665463409</v>
      </c>
      <c r="AY188" s="141">
        <v>-1.4838970665463409</v>
      </c>
      <c r="AZ188" s="144">
        <v>-1.4838970665463409</v>
      </c>
      <c r="BA188" s="2629"/>
      <c r="BB188" s="545" t="s">
        <v>2233</v>
      </c>
      <c r="BC188" s="141">
        <v>0</v>
      </c>
      <c r="BD188" s="545" t="s">
        <v>2233</v>
      </c>
      <c r="BE188" s="141">
        <v>0</v>
      </c>
      <c r="BF188" s="545" t="s">
        <v>2233</v>
      </c>
      <c r="BG188" s="141">
        <v>0</v>
      </c>
      <c r="BH188" s="607" t="s">
        <v>627</v>
      </c>
      <c r="BI188" s="868">
        <v>0</v>
      </c>
      <c r="BJ188" s="2629"/>
      <c r="BK188" s="2629"/>
      <c r="BL188" s="2629"/>
      <c r="BM188" s="2629"/>
      <c r="BN188" s="2629"/>
      <c r="BO188" s="2629"/>
      <c r="BP188" s="2629"/>
      <c r="BQ188" s="545" t="s">
        <v>2233</v>
      </c>
      <c r="BR188" s="141">
        <v>0</v>
      </c>
      <c r="BS188" s="545" t="s">
        <v>2233</v>
      </c>
      <c r="BT188" s="141">
        <v>0</v>
      </c>
      <c r="BU188" s="545" t="s">
        <v>2233</v>
      </c>
      <c r="BV188" s="141">
        <v>0</v>
      </c>
      <c r="BW188" s="607" t="s">
        <v>627</v>
      </c>
      <c r="BX188" s="872">
        <v>0</v>
      </c>
      <c r="BY188" s="2629"/>
      <c r="BZ188" s="2629"/>
      <c r="CA188" s="2629"/>
      <c r="CB188" s="2629"/>
      <c r="CC188" s="2629"/>
      <c r="CD188" s="2629"/>
    </row>
    <row r="189" spans="1:82" s="98" customFormat="1" ht="15" customHeight="1">
      <c r="A189" s="99"/>
      <c r="B189" s="161"/>
      <c r="C189" s="162"/>
      <c r="D189" s="162" t="s">
        <v>2728</v>
      </c>
      <c r="E189" s="162"/>
      <c r="F189" s="162"/>
      <c r="G189" s="163"/>
      <c r="H189" s="163"/>
      <c r="I189" s="2503"/>
      <c r="J189" s="2503"/>
      <c r="K189" s="2503"/>
      <c r="L189" s="2503"/>
      <c r="M189" s="2503"/>
      <c r="N189" s="2503"/>
      <c r="O189" s="2503"/>
      <c r="P189" s="2503"/>
      <c r="Q189" s="2503"/>
      <c r="R189" s="2503"/>
      <c r="S189" s="2503"/>
      <c r="T189" s="2503"/>
      <c r="U189" s="2503"/>
      <c r="V189" s="2503"/>
      <c r="W189" s="2645"/>
      <c r="X189" s="2503"/>
      <c r="Y189" s="2503"/>
      <c r="Z189" s="2503"/>
      <c r="AA189" s="2503"/>
      <c r="AB189" s="2503"/>
      <c r="AC189" s="2503"/>
      <c r="AD189" s="2503"/>
      <c r="AE189" s="2503"/>
      <c r="AF189" s="2503"/>
      <c r="AG189" s="2503"/>
      <c r="AH189" s="2503"/>
      <c r="AI189" s="2503"/>
      <c r="AJ189" s="2503"/>
      <c r="AK189" s="2503"/>
      <c r="AL189" s="2629"/>
      <c r="AM189" s="607" t="s">
        <v>2233</v>
      </c>
      <c r="AN189" s="143">
        <v>-2.9000000000000001E-2</v>
      </c>
      <c r="AO189" s="141">
        <v>-8.1000000000000003E-2</v>
      </c>
      <c r="AP189" s="141">
        <v>-1.6E-2</v>
      </c>
      <c r="AQ189" s="141">
        <v>-4.0000000000000001E-3</v>
      </c>
      <c r="AR189" s="141">
        <v>-1.3999999999999999E-2</v>
      </c>
      <c r="AS189" s="141">
        <v>-2.3E-2</v>
      </c>
      <c r="AT189" s="141">
        <v>-1.8210551316819552E-2</v>
      </c>
      <c r="AU189" s="144">
        <v>-1.6902815625870846E-2</v>
      </c>
      <c r="AV189" s="143">
        <v>-2.7748228562193482E-3</v>
      </c>
      <c r="AW189" s="141">
        <v>-2.7748228562193482E-3</v>
      </c>
      <c r="AX189" s="141">
        <v>-2.7748228562193482E-3</v>
      </c>
      <c r="AY189" s="141">
        <v>-2.7748228562193482E-3</v>
      </c>
      <c r="AZ189" s="144">
        <v>-2.7748228562193482E-3</v>
      </c>
      <c r="BA189" s="2629"/>
      <c r="BB189" s="545" t="s">
        <v>2233</v>
      </c>
      <c r="BC189" s="141">
        <v>0</v>
      </c>
      <c r="BD189" s="545" t="s">
        <v>2233</v>
      </c>
      <c r="BE189" s="141">
        <v>0</v>
      </c>
      <c r="BF189" s="545" t="s">
        <v>2233</v>
      </c>
      <c r="BG189" s="141">
        <v>0</v>
      </c>
      <c r="BH189" s="607" t="s">
        <v>627</v>
      </c>
      <c r="BI189" s="868">
        <v>0</v>
      </c>
      <c r="BJ189" s="2629"/>
      <c r="BK189" s="2629"/>
      <c r="BL189" s="2629"/>
      <c r="BM189" s="2629"/>
      <c r="BN189" s="2629"/>
      <c r="BO189" s="2629"/>
      <c r="BP189" s="2629"/>
      <c r="BQ189" s="545" t="s">
        <v>2233</v>
      </c>
      <c r="BR189" s="141">
        <v>0</v>
      </c>
      <c r="BS189" s="545" t="s">
        <v>2233</v>
      </c>
      <c r="BT189" s="141">
        <v>0</v>
      </c>
      <c r="BU189" s="545" t="s">
        <v>2233</v>
      </c>
      <c r="BV189" s="141">
        <v>0</v>
      </c>
      <c r="BW189" s="607" t="s">
        <v>627</v>
      </c>
      <c r="BX189" s="872">
        <v>0</v>
      </c>
      <c r="BY189" s="2629"/>
      <c r="BZ189" s="2629"/>
      <c r="CA189" s="2629"/>
      <c r="CB189" s="2629"/>
      <c r="CC189" s="2629"/>
      <c r="CD189" s="2629"/>
    </row>
    <row r="190" spans="1:82" s="98" customFormat="1" ht="15" customHeight="1">
      <c r="A190" s="99"/>
      <c r="B190" s="161"/>
      <c r="C190" s="162"/>
      <c r="D190" s="162" t="s">
        <v>2736</v>
      </c>
      <c r="E190" s="162"/>
      <c r="F190" s="162"/>
      <c r="G190" s="163"/>
      <c r="H190" s="163"/>
      <c r="I190" s="2503"/>
      <c r="J190" s="2503"/>
      <c r="K190" s="2503"/>
      <c r="L190" s="2503"/>
      <c r="M190" s="2503"/>
      <c r="N190" s="2503"/>
      <c r="O190" s="2503"/>
      <c r="P190" s="2503"/>
      <c r="Q190" s="2503"/>
      <c r="R190" s="2503"/>
      <c r="S190" s="2503"/>
      <c r="T190" s="2503"/>
      <c r="U190" s="2503"/>
      <c r="V190" s="2503"/>
      <c r="W190" s="2645"/>
      <c r="X190" s="2503"/>
      <c r="Y190" s="2503"/>
      <c r="Z190" s="2503"/>
      <c r="AA190" s="2503"/>
      <c r="AB190" s="2503"/>
      <c r="AC190" s="2503"/>
      <c r="AD190" s="2503"/>
      <c r="AE190" s="2503"/>
      <c r="AF190" s="2503"/>
      <c r="AG190" s="2503"/>
      <c r="AH190" s="2503"/>
      <c r="AI190" s="2503"/>
      <c r="AJ190" s="2503"/>
      <c r="AK190" s="2503"/>
      <c r="AL190" s="2629"/>
      <c r="AM190" s="607" t="s">
        <v>2233</v>
      </c>
      <c r="AN190" s="143">
        <v>-3.2000000000000001E-2</v>
      </c>
      <c r="AO190" s="141">
        <v>0</v>
      </c>
      <c r="AP190" s="141">
        <v>0</v>
      </c>
      <c r="AQ190" s="141">
        <v>-1.4999999999999999E-2</v>
      </c>
      <c r="AR190" s="141">
        <v>-2E-3</v>
      </c>
      <c r="AS190" s="141">
        <v>0</v>
      </c>
      <c r="AT190" s="141">
        <v>-5.9412612405947505E-3</v>
      </c>
      <c r="AU190" s="144">
        <v>-5.0793939231685205E-3</v>
      </c>
      <c r="AV190" s="143">
        <v>-0.22860000000000005</v>
      </c>
      <c r="AW190" s="141">
        <v>-0.22860000000000005</v>
      </c>
      <c r="AX190" s="141">
        <v>-0.22860000000000005</v>
      </c>
      <c r="AY190" s="141">
        <v>-0.22860000000000005</v>
      </c>
      <c r="AZ190" s="144">
        <v>-0.22860000000000005</v>
      </c>
      <c r="BA190" s="2629"/>
      <c r="BB190" s="545" t="s">
        <v>2233</v>
      </c>
      <c r="BC190" s="141">
        <v>0</v>
      </c>
      <c r="BD190" s="545" t="s">
        <v>2233</v>
      </c>
      <c r="BE190" s="141">
        <v>0</v>
      </c>
      <c r="BF190" s="545" t="s">
        <v>2233</v>
      </c>
      <c r="BG190" s="141">
        <v>0</v>
      </c>
      <c r="BH190" s="607" t="s">
        <v>627</v>
      </c>
      <c r="BI190" s="868">
        <v>0</v>
      </c>
      <c r="BJ190" s="2629"/>
      <c r="BK190" s="2629"/>
      <c r="BL190" s="2629"/>
      <c r="BM190" s="2629"/>
      <c r="BN190" s="2629"/>
      <c r="BO190" s="2629"/>
      <c r="BP190" s="2629"/>
      <c r="BQ190" s="545" t="s">
        <v>2233</v>
      </c>
      <c r="BR190" s="141">
        <v>0</v>
      </c>
      <c r="BS190" s="545" t="s">
        <v>2233</v>
      </c>
      <c r="BT190" s="141">
        <v>0</v>
      </c>
      <c r="BU190" s="545" t="s">
        <v>2233</v>
      </c>
      <c r="BV190" s="141">
        <v>0</v>
      </c>
      <c r="BW190" s="607" t="s">
        <v>627</v>
      </c>
      <c r="BX190" s="872">
        <v>0</v>
      </c>
      <c r="BY190" s="2629"/>
      <c r="BZ190" s="2629"/>
      <c r="CA190" s="2629"/>
      <c r="CB190" s="2629"/>
      <c r="CC190" s="2629"/>
      <c r="CD190" s="2629"/>
    </row>
    <row r="191" spans="1:82" s="98" customFormat="1" ht="15" customHeight="1">
      <c r="A191" s="99"/>
      <c r="B191" s="161"/>
      <c r="C191" s="162"/>
      <c r="D191" s="162" t="s">
        <v>2737</v>
      </c>
      <c r="E191" s="162"/>
      <c r="F191" s="162"/>
      <c r="G191" s="163"/>
      <c r="H191" s="163"/>
      <c r="I191" s="2503"/>
      <c r="J191" s="2503"/>
      <c r="K191" s="2503"/>
      <c r="L191" s="2503"/>
      <c r="M191" s="2503"/>
      <c r="N191" s="2503"/>
      <c r="O191" s="2503"/>
      <c r="P191" s="2503"/>
      <c r="Q191" s="2503"/>
      <c r="R191" s="2503"/>
      <c r="S191" s="2503"/>
      <c r="T191" s="2503"/>
      <c r="U191" s="2503"/>
      <c r="V191" s="2503"/>
      <c r="W191" s="2645"/>
      <c r="X191" s="2503"/>
      <c r="Y191" s="2503"/>
      <c r="Z191" s="2503"/>
      <c r="AA191" s="2503"/>
      <c r="AB191" s="2503"/>
      <c r="AC191" s="2503"/>
      <c r="AD191" s="2503"/>
      <c r="AE191" s="2503"/>
      <c r="AF191" s="2503"/>
      <c r="AG191" s="2503"/>
      <c r="AH191" s="2503"/>
      <c r="AI191" s="2503"/>
      <c r="AJ191" s="2503"/>
      <c r="AK191" s="2503"/>
      <c r="AL191" s="2629"/>
      <c r="AM191" s="607" t="s">
        <v>2233</v>
      </c>
      <c r="AN191" s="143">
        <v>0</v>
      </c>
      <c r="AO191" s="141">
        <v>0</v>
      </c>
      <c r="AP191" s="141">
        <v>0</v>
      </c>
      <c r="AQ191" s="141">
        <v>0</v>
      </c>
      <c r="AR191" s="141">
        <v>0</v>
      </c>
      <c r="AS191" s="141">
        <v>0</v>
      </c>
      <c r="AT191" s="141">
        <v>0</v>
      </c>
      <c r="AU191" s="144">
        <v>0</v>
      </c>
      <c r="AV191" s="143">
        <v>0</v>
      </c>
      <c r="AW191" s="141">
        <v>0</v>
      </c>
      <c r="AX191" s="141">
        <v>0</v>
      </c>
      <c r="AY191" s="141">
        <v>0</v>
      </c>
      <c r="AZ191" s="144">
        <v>0</v>
      </c>
      <c r="BA191" s="2629"/>
      <c r="BB191" s="545" t="s">
        <v>2233</v>
      </c>
      <c r="BC191" s="141">
        <v>0</v>
      </c>
      <c r="BD191" s="545" t="s">
        <v>2233</v>
      </c>
      <c r="BE191" s="141">
        <v>0</v>
      </c>
      <c r="BF191" s="545" t="s">
        <v>2233</v>
      </c>
      <c r="BG191" s="141">
        <v>0</v>
      </c>
      <c r="BH191" s="607" t="s">
        <v>627</v>
      </c>
      <c r="BI191" s="868">
        <v>0</v>
      </c>
      <c r="BJ191" s="2629"/>
      <c r="BK191" s="2629"/>
      <c r="BL191" s="2629"/>
      <c r="BM191" s="2629"/>
      <c r="BN191" s="2629"/>
      <c r="BO191" s="2629"/>
      <c r="BP191" s="2629"/>
      <c r="BQ191" s="545" t="s">
        <v>2233</v>
      </c>
      <c r="BR191" s="141">
        <v>0</v>
      </c>
      <c r="BS191" s="545" t="s">
        <v>2233</v>
      </c>
      <c r="BT191" s="141">
        <v>0</v>
      </c>
      <c r="BU191" s="545" t="s">
        <v>2233</v>
      </c>
      <c r="BV191" s="141">
        <v>0</v>
      </c>
      <c r="BW191" s="607" t="s">
        <v>627</v>
      </c>
      <c r="BX191" s="872">
        <v>0</v>
      </c>
      <c r="BY191" s="2629"/>
      <c r="BZ191" s="2629"/>
      <c r="CA191" s="2629"/>
      <c r="CB191" s="2629"/>
      <c r="CC191" s="2629"/>
      <c r="CD191" s="2629"/>
    </row>
    <row r="192" spans="1:82" s="98" customFormat="1" ht="15" customHeight="1">
      <c r="A192" s="99"/>
      <c r="B192" s="161"/>
      <c r="C192" s="162" t="s">
        <v>1710</v>
      </c>
      <c r="D192" s="162"/>
      <c r="E192" s="162"/>
      <c r="F192" s="162"/>
      <c r="G192" s="163"/>
      <c r="H192" s="163"/>
      <c r="I192" s="2503"/>
      <c r="J192" s="2503"/>
      <c r="K192" s="2503"/>
      <c r="L192" s="2503"/>
      <c r="M192" s="2503"/>
      <c r="N192" s="2503"/>
      <c r="O192" s="2503"/>
      <c r="P192" s="2503"/>
      <c r="Q192" s="2503"/>
      <c r="R192" s="2503"/>
      <c r="S192" s="2503"/>
      <c r="T192" s="2503"/>
      <c r="U192" s="2503"/>
      <c r="V192" s="2503"/>
      <c r="W192" s="2645"/>
      <c r="X192" s="2503"/>
      <c r="Y192" s="2503"/>
      <c r="Z192" s="2503"/>
      <c r="AA192" s="2503"/>
      <c r="AB192" s="2503"/>
      <c r="AC192" s="2503"/>
      <c r="AD192" s="2503"/>
      <c r="AE192" s="2503"/>
      <c r="AF192" s="2503"/>
      <c r="AG192" s="2503"/>
      <c r="AH192" s="2503"/>
      <c r="AI192" s="2503"/>
      <c r="AJ192" s="2503"/>
      <c r="AK192" s="2503"/>
      <c r="AL192" s="2629"/>
      <c r="AM192" s="607" t="s">
        <v>2233</v>
      </c>
      <c r="AN192" s="641">
        <f>SUM(AN183:AN191)</f>
        <v>-6.1954500000000001</v>
      </c>
      <c r="AO192" s="642">
        <f t="shared" ref="AO192:AZ192" si="45">SUM(AO183:AO191)</f>
        <v>-6.4708999999999977</v>
      </c>
      <c r="AP192" s="642">
        <f t="shared" si="45"/>
        <v>-4.0523999999999987</v>
      </c>
      <c r="AQ192" s="642">
        <f t="shared" si="45"/>
        <v>-3.2579999999999898</v>
      </c>
      <c r="AR192" s="642">
        <f t="shared" si="45"/>
        <v>-4.8089999999999922</v>
      </c>
      <c r="AS192" s="642">
        <f t="shared" si="45"/>
        <v>-4.1579999999999968</v>
      </c>
      <c r="AT192" s="642">
        <f t="shared" si="45"/>
        <v>-3.5000000000000009</v>
      </c>
      <c r="AU192" s="643">
        <f t="shared" si="45"/>
        <v>-3.5000000000000004</v>
      </c>
      <c r="AV192" s="641">
        <f t="shared" si="45"/>
        <v>-5.6033499999999998</v>
      </c>
      <c r="AW192" s="642">
        <f t="shared" si="45"/>
        <v>-5.6033499999999998</v>
      </c>
      <c r="AX192" s="642">
        <f t="shared" si="45"/>
        <v>-5.6033499999999998</v>
      </c>
      <c r="AY192" s="642">
        <f t="shared" si="45"/>
        <v>-5.6033499999999998</v>
      </c>
      <c r="AZ192" s="643">
        <f t="shared" si="45"/>
        <v>-5.6033499999999998</v>
      </c>
      <c r="BA192" s="2629"/>
      <c r="BB192" s="545" t="s">
        <v>2233</v>
      </c>
      <c r="BC192" s="642">
        <f>SUM(BC183:BC191)</f>
        <v>0</v>
      </c>
      <c r="BD192" s="545" t="s">
        <v>2233</v>
      </c>
      <c r="BE192" s="642">
        <f>SUM(BE183:BE191)</f>
        <v>0</v>
      </c>
      <c r="BF192" s="545" t="s">
        <v>2233</v>
      </c>
      <c r="BG192" s="642">
        <f>SUM(BG183:BG191)</f>
        <v>0</v>
      </c>
      <c r="BH192" s="2629"/>
      <c r="BI192" s="2629"/>
      <c r="BJ192" s="2629"/>
      <c r="BK192" s="2629"/>
      <c r="BL192" s="2629"/>
      <c r="BM192" s="2629"/>
      <c r="BN192" s="2629"/>
      <c r="BO192" s="2629"/>
      <c r="BP192" s="2629"/>
      <c r="BQ192" s="545" t="s">
        <v>2233</v>
      </c>
      <c r="BR192" s="642">
        <f>SUM(BR183:BR191)</f>
        <v>0</v>
      </c>
      <c r="BS192" s="545" t="s">
        <v>2233</v>
      </c>
      <c r="BT192" s="642">
        <f>SUM(BT183:BT191)</f>
        <v>0</v>
      </c>
      <c r="BU192" s="545" t="s">
        <v>2233</v>
      </c>
      <c r="BV192" s="642">
        <f>SUM(BV183:BV191)</f>
        <v>0</v>
      </c>
      <c r="BW192" s="2629"/>
      <c r="BX192" s="2653"/>
      <c r="BY192" s="2629"/>
      <c r="BZ192" s="2629"/>
      <c r="CA192" s="2629"/>
      <c r="CB192" s="2629"/>
      <c r="CC192" s="2629"/>
      <c r="CD192" s="2629"/>
    </row>
    <row r="193" spans="1:82" s="98" customFormat="1" ht="15" customHeight="1">
      <c r="A193" s="99"/>
      <c r="B193" s="123"/>
      <c r="C193" s="127"/>
      <c r="D193" s="127"/>
      <c r="E193" s="127"/>
      <c r="F193" s="127"/>
      <c r="G193" s="117"/>
      <c r="H193" s="117"/>
      <c r="I193" s="2503"/>
      <c r="J193" s="2503"/>
      <c r="K193" s="2503"/>
      <c r="L193" s="2503"/>
      <c r="M193" s="2503"/>
      <c r="N193" s="2503"/>
      <c r="O193" s="2503"/>
      <c r="P193" s="2503"/>
      <c r="Q193" s="2503"/>
      <c r="R193" s="2503"/>
      <c r="S193" s="2503"/>
      <c r="T193" s="2503"/>
      <c r="U193" s="2503"/>
      <c r="V193" s="2503"/>
      <c r="W193" s="2645"/>
      <c r="X193" s="2503"/>
      <c r="Y193" s="2503"/>
      <c r="Z193" s="2503"/>
      <c r="AA193" s="2503"/>
      <c r="AB193" s="2503"/>
      <c r="AC193" s="2503"/>
      <c r="AD193" s="2503"/>
      <c r="AE193" s="2503"/>
      <c r="AF193" s="2503"/>
      <c r="AG193" s="2503"/>
      <c r="AH193" s="2503"/>
      <c r="AI193" s="2503"/>
      <c r="AJ193" s="2503"/>
      <c r="AK193" s="2503"/>
      <c r="AL193" s="2629"/>
      <c r="AM193" s="94"/>
      <c r="AN193" s="713"/>
      <c r="AO193" s="2649"/>
      <c r="AP193" s="2649"/>
      <c r="AQ193" s="2649"/>
      <c r="AR193" s="2649"/>
      <c r="AS193" s="2649"/>
      <c r="AT193" s="2649"/>
      <c r="AU193" s="715"/>
      <c r="AV193" s="713"/>
      <c r="AW193" s="2649"/>
      <c r="AX193" s="2649"/>
      <c r="AY193" s="2649"/>
      <c r="AZ193" s="715"/>
      <c r="BA193" s="2629"/>
      <c r="BB193" s="542"/>
      <c r="BC193" s="542"/>
      <c r="BD193" s="542"/>
      <c r="BE193" s="542"/>
      <c r="BF193" s="542"/>
      <c r="BG193" s="542"/>
      <c r="BH193" s="542"/>
      <c r="BI193" s="542"/>
      <c r="BJ193" s="542"/>
      <c r="BK193" s="2629"/>
      <c r="BL193" s="2629"/>
      <c r="BM193" s="2629"/>
      <c r="BN193" s="2629"/>
      <c r="BO193" s="2629"/>
      <c r="BP193" s="2629"/>
      <c r="BQ193" s="542"/>
      <c r="BR193" s="542"/>
      <c r="BS193" s="542"/>
      <c r="BT193" s="542"/>
      <c r="BU193" s="542"/>
      <c r="BV193" s="542"/>
      <c r="BW193" s="542"/>
      <c r="BX193" s="544"/>
      <c r="BY193" s="2629"/>
      <c r="BZ193" s="2629"/>
      <c r="CA193" s="2629"/>
      <c r="CB193" s="2629"/>
      <c r="CC193" s="2629"/>
      <c r="CD193" s="2629"/>
    </row>
    <row r="194" spans="1:82" s="98" customFormat="1" ht="15" customHeight="1">
      <c r="A194" s="99"/>
      <c r="B194" s="161"/>
      <c r="C194" s="116" t="s">
        <v>2758</v>
      </c>
      <c r="D194" s="116"/>
      <c r="E194" s="116"/>
      <c r="F194" s="116"/>
      <c r="G194" s="117"/>
      <c r="H194" s="117"/>
      <c r="I194" s="2503"/>
      <c r="J194" s="2503"/>
      <c r="K194" s="2503"/>
      <c r="L194" s="2503"/>
      <c r="M194" s="2503"/>
      <c r="N194" s="2503"/>
      <c r="O194" s="2503"/>
      <c r="P194" s="2503"/>
      <c r="Q194" s="2503"/>
      <c r="R194" s="2503"/>
      <c r="S194" s="2503"/>
      <c r="T194" s="2503"/>
      <c r="U194" s="2503"/>
      <c r="V194" s="2503"/>
      <c r="W194" s="2645"/>
      <c r="X194" s="2503"/>
      <c r="Y194" s="2503"/>
      <c r="Z194" s="2503"/>
      <c r="AA194" s="2503"/>
      <c r="AB194" s="2503"/>
      <c r="AC194" s="2503"/>
      <c r="AD194" s="2503"/>
      <c r="AE194" s="2503"/>
      <c r="AF194" s="2503"/>
      <c r="AG194" s="2503"/>
      <c r="AH194" s="2503"/>
      <c r="AI194" s="2503"/>
      <c r="AJ194" s="2503"/>
      <c r="AK194" s="2503"/>
      <c r="AL194" s="2629"/>
      <c r="AM194" s="94"/>
      <c r="AN194" s="713"/>
      <c r="AO194" s="2649"/>
      <c r="AP194" s="2649"/>
      <c r="AQ194" s="2649"/>
      <c r="AR194" s="2649"/>
      <c r="AS194" s="2649"/>
      <c r="AT194" s="2649"/>
      <c r="AU194" s="715"/>
      <c r="AV194" s="713"/>
      <c r="AW194" s="2649"/>
      <c r="AX194" s="2649"/>
      <c r="AY194" s="2649"/>
      <c r="AZ194" s="715"/>
      <c r="BA194" s="2629"/>
      <c r="BB194" s="542"/>
      <c r="BC194" s="542"/>
      <c r="BD194" s="542"/>
      <c r="BE194" s="542"/>
      <c r="BF194" s="542"/>
      <c r="BG194" s="542"/>
      <c r="BH194" s="542"/>
      <c r="BI194" s="542"/>
      <c r="BJ194" s="542"/>
      <c r="BK194" s="2629"/>
      <c r="BL194" s="2629"/>
      <c r="BM194" s="2629"/>
      <c r="BN194" s="2629"/>
      <c r="BO194" s="2629"/>
      <c r="BP194" s="2629"/>
      <c r="BQ194" s="542"/>
      <c r="BR194" s="542"/>
      <c r="BS194" s="542"/>
      <c r="BT194" s="542"/>
      <c r="BU194" s="542"/>
      <c r="BV194" s="542"/>
      <c r="BW194" s="542"/>
      <c r="BX194" s="544"/>
      <c r="BY194" s="2629"/>
      <c r="BZ194" s="2629"/>
      <c r="CA194" s="2629"/>
      <c r="CB194" s="2629"/>
      <c r="CC194" s="2629"/>
      <c r="CD194" s="2629"/>
    </row>
    <row r="195" spans="1:82" s="98" customFormat="1" ht="15" customHeight="1">
      <c r="A195" s="99"/>
      <c r="B195" s="161"/>
      <c r="D195" s="116" t="s">
        <v>2759</v>
      </c>
      <c r="E195" s="116"/>
      <c r="F195" s="116"/>
      <c r="G195" s="117"/>
      <c r="H195" s="117"/>
      <c r="I195" s="2503"/>
      <c r="J195" s="2503"/>
      <c r="K195" s="2503"/>
      <c r="L195" s="2503"/>
      <c r="M195" s="2503"/>
      <c r="N195" s="2503"/>
      <c r="O195" s="2503"/>
      <c r="P195" s="2503"/>
      <c r="Q195" s="2503"/>
      <c r="R195" s="2503"/>
      <c r="S195" s="2503"/>
      <c r="T195" s="2503"/>
      <c r="U195" s="2503"/>
      <c r="V195" s="2503"/>
      <c r="W195" s="2645"/>
      <c r="X195" s="2503"/>
      <c r="Y195" s="2503"/>
      <c r="Z195" s="2503"/>
      <c r="AA195" s="2503"/>
      <c r="AB195" s="2503"/>
      <c r="AC195" s="2503"/>
      <c r="AD195" s="2503"/>
      <c r="AE195" s="2503"/>
      <c r="AF195" s="2503"/>
      <c r="AG195" s="2503"/>
      <c r="AH195" s="2503"/>
      <c r="AI195" s="2503"/>
      <c r="AJ195" s="2503"/>
      <c r="AK195" s="2503"/>
      <c r="AL195" s="2629"/>
      <c r="AM195" s="94"/>
      <c r="AN195" s="713"/>
      <c r="AO195" s="2649"/>
      <c r="AP195" s="2649"/>
      <c r="AQ195" s="2649"/>
      <c r="AR195" s="2649"/>
      <c r="AS195" s="2649"/>
      <c r="AT195" s="2649"/>
      <c r="AU195" s="715"/>
      <c r="AV195" s="713"/>
      <c r="AW195" s="2649"/>
      <c r="AX195" s="2649"/>
      <c r="AY195" s="2649"/>
      <c r="AZ195" s="715"/>
      <c r="BA195" s="2629"/>
      <c r="BB195" s="542"/>
      <c r="BC195" s="542"/>
      <c r="BD195" s="542"/>
      <c r="BE195" s="542"/>
      <c r="BF195" s="542"/>
      <c r="BG195" s="542"/>
      <c r="BH195" s="542"/>
      <c r="BI195" s="542"/>
      <c r="BJ195" s="542"/>
      <c r="BK195" s="2629"/>
      <c r="BL195" s="2629"/>
      <c r="BM195" s="2629"/>
      <c r="BN195" s="2629"/>
      <c r="BO195" s="2629"/>
      <c r="BP195" s="2629"/>
      <c r="BQ195" s="542"/>
      <c r="BR195" s="542"/>
      <c r="BS195" s="542"/>
      <c r="BT195" s="542"/>
      <c r="BU195" s="542"/>
      <c r="BV195" s="542"/>
      <c r="BW195" s="542"/>
      <c r="BX195" s="544"/>
      <c r="BY195" s="2629"/>
      <c r="BZ195" s="2629"/>
      <c r="CA195" s="2629"/>
      <c r="CB195" s="2629"/>
      <c r="CC195" s="2629"/>
      <c r="CD195" s="2629"/>
    </row>
    <row r="196" spans="1:82" s="98" customFormat="1" ht="15" customHeight="1">
      <c r="A196" s="99"/>
      <c r="B196" s="161"/>
      <c r="D196" s="162"/>
      <c r="E196" s="162" t="s">
        <v>2716</v>
      </c>
      <c r="F196" s="162"/>
      <c r="G196" s="163"/>
      <c r="H196" s="163"/>
      <c r="I196" s="2503"/>
      <c r="J196" s="2503"/>
      <c r="K196" s="2503"/>
      <c r="L196" s="2503"/>
      <c r="M196" s="2503"/>
      <c r="N196" s="2503"/>
      <c r="O196" s="2503"/>
      <c r="P196" s="2503"/>
      <c r="Q196" s="2503"/>
      <c r="R196" s="2503"/>
      <c r="S196" s="2503"/>
      <c r="T196" s="2503"/>
      <c r="U196" s="2503"/>
      <c r="V196" s="2503"/>
      <c r="W196" s="2645"/>
      <c r="X196" s="2503"/>
      <c r="Y196" s="2503"/>
      <c r="Z196" s="2503"/>
      <c r="AA196" s="2503"/>
      <c r="AB196" s="2503"/>
      <c r="AC196" s="2503"/>
      <c r="AD196" s="2503"/>
      <c r="AE196" s="2503"/>
      <c r="AF196" s="2503"/>
      <c r="AG196" s="2503"/>
      <c r="AH196" s="2503"/>
      <c r="AI196" s="2503"/>
      <c r="AJ196" s="2503"/>
      <c r="AK196" s="2503"/>
      <c r="AL196" s="2629"/>
      <c r="AM196" s="607" t="s">
        <v>2233</v>
      </c>
      <c r="AN196" s="143">
        <v>0</v>
      </c>
      <c r="AO196" s="141">
        <v>0</v>
      </c>
      <c r="AP196" s="141">
        <v>0</v>
      </c>
      <c r="AQ196" s="141">
        <v>0</v>
      </c>
      <c r="AR196" s="141">
        <v>0</v>
      </c>
      <c r="AS196" s="141">
        <v>0</v>
      </c>
      <c r="AT196" s="141">
        <v>0</v>
      </c>
      <c r="AU196" s="144">
        <v>0</v>
      </c>
      <c r="AV196" s="143">
        <v>0</v>
      </c>
      <c r="AW196" s="141">
        <v>0</v>
      </c>
      <c r="AX196" s="141">
        <v>0</v>
      </c>
      <c r="AY196" s="141">
        <v>0</v>
      </c>
      <c r="AZ196" s="144">
        <v>0</v>
      </c>
      <c r="BA196" s="2629"/>
      <c r="BB196" s="545" t="s">
        <v>2233</v>
      </c>
      <c r="BC196" s="141">
        <v>0</v>
      </c>
      <c r="BD196" s="545" t="s">
        <v>2233</v>
      </c>
      <c r="BE196" s="141">
        <v>0</v>
      </c>
      <c r="BF196" s="545" t="s">
        <v>2233</v>
      </c>
      <c r="BG196" s="141">
        <v>0</v>
      </c>
      <c r="BH196" s="607" t="s">
        <v>627</v>
      </c>
      <c r="BI196" s="868">
        <v>0</v>
      </c>
      <c r="BJ196" s="2629"/>
      <c r="BK196" s="2629"/>
      <c r="BL196" s="2629"/>
      <c r="BM196" s="2629"/>
      <c r="BN196" s="2629"/>
      <c r="BO196" s="2629"/>
      <c r="BP196" s="2629"/>
      <c r="BQ196" s="545" t="s">
        <v>2233</v>
      </c>
      <c r="BR196" s="141">
        <v>0</v>
      </c>
      <c r="BS196" s="545" t="s">
        <v>2233</v>
      </c>
      <c r="BT196" s="141">
        <v>0</v>
      </c>
      <c r="BU196" s="545" t="s">
        <v>2233</v>
      </c>
      <c r="BV196" s="141">
        <v>0</v>
      </c>
      <c r="BW196" s="607" t="s">
        <v>627</v>
      </c>
      <c r="BX196" s="872">
        <v>0</v>
      </c>
      <c r="BY196" s="2629"/>
      <c r="BZ196" s="2629"/>
      <c r="CA196" s="2629"/>
      <c r="CB196" s="2629"/>
      <c r="CC196" s="2629"/>
      <c r="CD196" s="2629"/>
    </row>
    <row r="197" spans="1:82" s="98" customFormat="1" ht="15" customHeight="1">
      <c r="A197" s="99"/>
      <c r="B197" s="161"/>
      <c r="D197" s="162"/>
      <c r="E197" s="162" t="s">
        <v>2717</v>
      </c>
      <c r="F197" s="162"/>
      <c r="G197" s="163"/>
      <c r="H197" s="163"/>
      <c r="I197" s="2503"/>
      <c r="J197" s="2503"/>
      <c r="K197" s="2503"/>
      <c r="L197" s="2503"/>
      <c r="M197" s="2503"/>
      <c r="N197" s="2503"/>
      <c r="O197" s="2503"/>
      <c r="P197" s="2503"/>
      <c r="Q197" s="2503"/>
      <c r="R197" s="2503"/>
      <c r="S197" s="2503"/>
      <c r="T197" s="2503"/>
      <c r="U197" s="2503"/>
      <c r="V197" s="2503"/>
      <c r="W197" s="2645"/>
      <c r="X197" s="2503"/>
      <c r="Y197" s="2503"/>
      <c r="Z197" s="2503"/>
      <c r="AA197" s="2503"/>
      <c r="AB197" s="2503"/>
      <c r="AC197" s="2503"/>
      <c r="AD197" s="2503"/>
      <c r="AE197" s="2503"/>
      <c r="AF197" s="2503"/>
      <c r="AG197" s="2503"/>
      <c r="AH197" s="2503"/>
      <c r="AI197" s="2503"/>
      <c r="AJ197" s="2503"/>
      <c r="AK197" s="2503"/>
      <c r="AL197" s="2629"/>
      <c r="AM197" s="607" t="s">
        <v>2233</v>
      </c>
      <c r="AN197" s="143">
        <v>0</v>
      </c>
      <c r="AO197" s="141">
        <v>0</v>
      </c>
      <c r="AP197" s="141">
        <v>0</v>
      </c>
      <c r="AQ197" s="141">
        <v>0</v>
      </c>
      <c r="AR197" s="141">
        <v>0</v>
      </c>
      <c r="AS197" s="141">
        <v>0</v>
      </c>
      <c r="AT197" s="141">
        <v>0</v>
      </c>
      <c r="AU197" s="144">
        <v>0</v>
      </c>
      <c r="AV197" s="143">
        <v>0</v>
      </c>
      <c r="AW197" s="141">
        <v>0</v>
      </c>
      <c r="AX197" s="141">
        <v>0</v>
      </c>
      <c r="AY197" s="141">
        <v>0</v>
      </c>
      <c r="AZ197" s="144">
        <v>0</v>
      </c>
      <c r="BA197" s="2629"/>
      <c r="BB197" s="545" t="s">
        <v>2233</v>
      </c>
      <c r="BC197" s="141">
        <v>0</v>
      </c>
      <c r="BD197" s="545" t="s">
        <v>2233</v>
      </c>
      <c r="BE197" s="141">
        <v>0</v>
      </c>
      <c r="BF197" s="545" t="s">
        <v>2233</v>
      </c>
      <c r="BG197" s="141">
        <v>0</v>
      </c>
      <c r="BH197" s="607" t="s">
        <v>627</v>
      </c>
      <c r="BI197" s="868">
        <v>0</v>
      </c>
      <c r="BJ197" s="2629"/>
      <c r="BK197" s="2629"/>
      <c r="BL197" s="2629"/>
      <c r="BM197" s="2629"/>
      <c r="BN197" s="2629"/>
      <c r="BO197" s="2629"/>
      <c r="BP197" s="2629"/>
      <c r="BQ197" s="545" t="s">
        <v>2233</v>
      </c>
      <c r="BR197" s="141">
        <v>0</v>
      </c>
      <c r="BS197" s="545" t="s">
        <v>2233</v>
      </c>
      <c r="BT197" s="141">
        <v>0</v>
      </c>
      <c r="BU197" s="545" t="s">
        <v>2233</v>
      </c>
      <c r="BV197" s="141">
        <v>0</v>
      </c>
      <c r="BW197" s="607" t="s">
        <v>627</v>
      </c>
      <c r="BX197" s="872">
        <v>0</v>
      </c>
      <c r="BY197" s="2629"/>
      <c r="BZ197" s="2629"/>
      <c r="CA197" s="2629"/>
      <c r="CB197" s="2629"/>
      <c r="CC197" s="2629"/>
      <c r="CD197" s="2629"/>
    </row>
    <row r="198" spans="1:82" s="98" customFormat="1" ht="15" customHeight="1">
      <c r="A198" s="99"/>
      <c r="B198" s="161"/>
      <c r="D198" s="162"/>
      <c r="E198" s="162" t="s">
        <v>2718</v>
      </c>
      <c r="F198" s="162"/>
      <c r="G198" s="163"/>
      <c r="H198" s="163"/>
      <c r="I198" s="2503"/>
      <c r="J198" s="2503"/>
      <c r="K198" s="2503"/>
      <c r="L198" s="2503"/>
      <c r="M198" s="2503"/>
      <c r="N198" s="2503"/>
      <c r="O198" s="2503"/>
      <c r="P198" s="2503"/>
      <c r="Q198" s="2503"/>
      <c r="R198" s="2503"/>
      <c r="S198" s="2503"/>
      <c r="T198" s="2503"/>
      <c r="U198" s="2503"/>
      <c r="V198" s="2503"/>
      <c r="W198" s="2645"/>
      <c r="X198" s="2503"/>
      <c r="Y198" s="2503"/>
      <c r="Z198" s="2503"/>
      <c r="AA198" s="2503"/>
      <c r="AB198" s="2503"/>
      <c r="AC198" s="2503"/>
      <c r="AD198" s="2503"/>
      <c r="AE198" s="2503"/>
      <c r="AF198" s="2503"/>
      <c r="AG198" s="2503"/>
      <c r="AH198" s="2503"/>
      <c r="AI198" s="2503"/>
      <c r="AJ198" s="2503"/>
      <c r="AK198" s="2503"/>
      <c r="AL198" s="2629"/>
      <c r="AM198" s="607" t="s">
        <v>2233</v>
      </c>
      <c r="AN198" s="143">
        <v>0</v>
      </c>
      <c r="AO198" s="141">
        <v>0</v>
      </c>
      <c r="AP198" s="141">
        <v>0</v>
      </c>
      <c r="AQ198" s="141">
        <v>0</v>
      </c>
      <c r="AR198" s="141">
        <v>0</v>
      </c>
      <c r="AS198" s="141">
        <v>0</v>
      </c>
      <c r="AT198" s="141">
        <v>0</v>
      </c>
      <c r="AU198" s="144">
        <v>0</v>
      </c>
      <c r="AV198" s="143">
        <v>0</v>
      </c>
      <c r="AW198" s="141">
        <v>0</v>
      </c>
      <c r="AX198" s="141">
        <v>0</v>
      </c>
      <c r="AY198" s="141">
        <v>0</v>
      </c>
      <c r="AZ198" s="144">
        <v>0</v>
      </c>
      <c r="BA198" s="2629"/>
      <c r="BB198" s="545" t="s">
        <v>2233</v>
      </c>
      <c r="BC198" s="141">
        <v>0</v>
      </c>
      <c r="BD198" s="545" t="s">
        <v>2233</v>
      </c>
      <c r="BE198" s="141">
        <v>0</v>
      </c>
      <c r="BF198" s="545" t="s">
        <v>2233</v>
      </c>
      <c r="BG198" s="141">
        <v>0</v>
      </c>
      <c r="BH198" s="607" t="s">
        <v>627</v>
      </c>
      <c r="BI198" s="868">
        <v>0</v>
      </c>
      <c r="BJ198" s="2629"/>
      <c r="BK198" s="2629"/>
      <c r="BL198" s="2629"/>
      <c r="BM198" s="2629"/>
      <c r="BN198" s="2629"/>
      <c r="BO198" s="2629"/>
      <c r="BP198" s="2629"/>
      <c r="BQ198" s="545" t="s">
        <v>2233</v>
      </c>
      <c r="BR198" s="141">
        <v>0</v>
      </c>
      <c r="BS198" s="545" t="s">
        <v>2233</v>
      </c>
      <c r="BT198" s="141">
        <v>0</v>
      </c>
      <c r="BU198" s="545" t="s">
        <v>2233</v>
      </c>
      <c r="BV198" s="141">
        <v>0</v>
      </c>
      <c r="BW198" s="607" t="s">
        <v>627</v>
      </c>
      <c r="BX198" s="872">
        <v>0</v>
      </c>
      <c r="BY198" s="2629"/>
      <c r="BZ198" s="2629"/>
      <c r="CA198" s="2629"/>
      <c r="CB198" s="2629"/>
      <c r="CC198" s="2629"/>
      <c r="CD198" s="2629"/>
    </row>
    <row r="199" spans="1:82" s="98" customFormat="1" ht="15" customHeight="1">
      <c r="A199" s="99"/>
      <c r="B199" s="161"/>
      <c r="D199" s="162"/>
      <c r="E199" s="162" t="s">
        <v>2719</v>
      </c>
      <c r="F199" s="162"/>
      <c r="G199" s="163"/>
      <c r="H199" s="163"/>
      <c r="I199" s="2503"/>
      <c r="J199" s="2503"/>
      <c r="K199" s="2503"/>
      <c r="L199" s="2503"/>
      <c r="M199" s="2503"/>
      <c r="N199" s="2503"/>
      <c r="O199" s="2503"/>
      <c r="P199" s="2503"/>
      <c r="Q199" s="2503"/>
      <c r="R199" s="2503"/>
      <c r="S199" s="2503"/>
      <c r="T199" s="2503"/>
      <c r="U199" s="2503"/>
      <c r="V199" s="2503"/>
      <c r="W199" s="2645"/>
      <c r="X199" s="2503"/>
      <c r="Y199" s="2503"/>
      <c r="Z199" s="2503"/>
      <c r="AA199" s="2503"/>
      <c r="AB199" s="2503"/>
      <c r="AC199" s="2503"/>
      <c r="AD199" s="2503"/>
      <c r="AE199" s="2503"/>
      <c r="AF199" s="2503"/>
      <c r="AG199" s="2503"/>
      <c r="AH199" s="2503"/>
      <c r="AI199" s="2503"/>
      <c r="AJ199" s="2503"/>
      <c r="AK199" s="2503"/>
      <c r="AL199" s="2629"/>
      <c r="AM199" s="607" t="s">
        <v>2233</v>
      </c>
      <c r="AN199" s="143">
        <v>0</v>
      </c>
      <c r="AO199" s="141">
        <v>0</v>
      </c>
      <c r="AP199" s="141">
        <v>0</v>
      </c>
      <c r="AQ199" s="141">
        <v>0</v>
      </c>
      <c r="AR199" s="141">
        <v>0</v>
      </c>
      <c r="AS199" s="141">
        <v>0</v>
      </c>
      <c r="AT199" s="141">
        <v>0</v>
      </c>
      <c r="AU199" s="144">
        <v>0</v>
      </c>
      <c r="AV199" s="143">
        <v>0</v>
      </c>
      <c r="AW199" s="141">
        <v>0</v>
      </c>
      <c r="AX199" s="141">
        <v>0</v>
      </c>
      <c r="AY199" s="141">
        <v>0</v>
      </c>
      <c r="AZ199" s="144">
        <v>0</v>
      </c>
      <c r="BA199" s="2629"/>
      <c r="BB199" s="545" t="s">
        <v>2233</v>
      </c>
      <c r="BC199" s="141">
        <v>0</v>
      </c>
      <c r="BD199" s="545" t="s">
        <v>2233</v>
      </c>
      <c r="BE199" s="141">
        <v>0</v>
      </c>
      <c r="BF199" s="545" t="s">
        <v>2233</v>
      </c>
      <c r="BG199" s="141">
        <v>0</v>
      </c>
      <c r="BH199" s="607" t="s">
        <v>627</v>
      </c>
      <c r="BI199" s="868">
        <v>0</v>
      </c>
      <c r="BJ199" s="2629"/>
      <c r="BK199" s="2629"/>
      <c r="BL199" s="2629"/>
      <c r="BM199" s="2629"/>
      <c r="BN199" s="2629"/>
      <c r="BO199" s="2629"/>
      <c r="BP199" s="2629"/>
      <c r="BQ199" s="545" t="s">
        <v>2233</v>
      </c>
      <c r="BR199" s="141">
        <v>0</v>
      </c>
      <c r="BS199" s="545" t="s">
        <v>2233</v>
      </c>
      <c r="BT199" s="141">
        <v>0</v>
      </c>
      <c r="BU199" s="545" t="s">
        <v>2233</v>
      </c>
      <c r="BV199" s="141">
        <v>0</v>
      </c>
      <c r="BW199" s="607" t="s">
        <v>627</v>
      </c>
      <c r="BX199" s="872">
        <v>0</v>
      </c>
      <c r="BY199" s="2629"/>
      <c r="BZ199" s="2629"/>
      <c r="CA199" s="2629"/>
      <c r="CB199" s="2629"/>
      <c r="CC199" s="2629"/>
      <c r="CD199" s="2629"/>
    </row>
    <row r="200" spans="1:82" s="98" customFormat="1" ht="15" customHeight="1">
      <c r="A200" s="99"/>
      <c r="B200" s="161"/>
      <c r="D200" s="162" t="s">
        <v>1710</v>
      </c>
      <c r="E200" s="162"/>
      <c r="F200" s="162"/>
      <c r="G200" s="163"/>
      <c r="H200" s="163"/>
      <c r="I200" s="2503"/>
      <c r="J200" s="2503"/>
      <c r="K200" s="2503"/>
      <c r="L200" s="2503"/>
      <c r="M200" s="2503"/>
      <c r="N200" s="2503"/>
      <c r="O200" s="2503"/>
      <c r="P200" s="2503"/>
      <c r="Q200" s="2503"/>
      <c r="R200" s="2503"/>
      <c r="S200" s="2503"/>
      <c r="T200" s="2503"/>
      <c r="U200" s="2503"/>
      <c r="V200" s="2503"/>
      <c r="W200" s="2645"/>
      <c r="X200" s="2503"/>
      <c r="Y200" s="2503"/>
      <c r="Z200" s="2503"/>
      <c r="AA200" s="2503"/>
      <c r="AB200" s="2503"/>
      <c r="AC200" s="2503"/>
      <c r="AD200" s="2503"/>
      <c r="AE200" s="2503"/>
      <c r="AF200" s="2503"/>
      <c r="AG200" s="2503"/>
      <c r="AH200" s="2503"/>
      <c r="AI200" s="2503"/>
      <c r="AJ200" s="2503"/>
      <c r="AK200" s="2503"/>
      <c r="AL200" s="2629"/>
      <c r="AM200" s="607" t="s">
        <v>2233</v>
      </c>
      <c r="AN200" s="641">
        <f t="shared" ref="AN200:AZ200" si="46">SUM(AN196:AN199)</f>
        <v>0</v>
      </c>
      <c r="AO200" s="642">
        <f t="shared" si="46"/>
        <v>0</v>
      </c>
      <c r="AP200" s="642">
        <f t="shared" si="46"/>
        <v>0</v>
      </c>
      <c r="AQ200" s="642">
        <f t="shared" si="46"/>
        <v>0</v>
      </c>
      <c r="AR200" s="642">
        <f t="shared" si="46"/>
        <v>0</v>
      </c>
      <c r="AS200" s="642">
        <f t="shared" si="46"/>
        <v>0</v>
      </c>
      <c r="AT200" s="642">
        <f t="shared" si="46"/>
        <v>0</v>
      </c>
      <c r="AU200" s="643">
        <f t="shared" si="46"/>
        <v>0</v>
      </c>
      <c r="AV200" s="641">
        <f t="shared" si="46"/>
        <v>0</v>
      </c>
      <c r="AW200" s="642">
        <f t="shared" si="46"/>
        <v>0</v>
      </c>
      <c r="AX200" s="642">
        <f t="shared" si="46"/>
        <v>0</v>
      </c>
      <c r="AY200" s="642">
        <f t="shared" si="46"/>
        <v>0</v>
      </c>
      <c r="AZ200" s="643">
        <f t="shared" si="46"/>
        <v>0</v>
      </c>
      <c r="BA200" s="2629"/>
      <c r="BB200" s="545" t="s">
        <v>2233</v>
      </c>
      <c r="BC200" s="642">
        <f>SUM(BC196:BC199)</f>
        <v>0</v>
      </c>
      <c r="BD200" s="545" t="s">
        <v>2233</v>
      </c>
      <c r="BE200" s="642">
        <f>SUM(BE196:BE199)</f>
        <v>0</v>
      </c>
      <c r="BF200" s="545" t="s">
        <v>2233</v>
      </c>
      <c r="BG200" s="642">
        <f>SUM(BG196:BG199)</f>
        <v>0</v>
      </c>
      <c r="BH200" s="2629"/>
      <c r="BI200" s="2629"/>
      <c r="BJ200" s="2629"/>
      <c r="BK200" s="2629"/>
      <c r="BL200" s="2629"/>
      <c r="BM200" s="2629"/>
      <c r="BN200" s="2629"/>
      <c r="BO200" s="2629"/>
      <c r="BP200" s="2629"/>
      <c r="BQ200" s="545" t="s">
        <v>2233</v>
      </c>
      <c r="BR200" s="642">
        <f>SUM(BR196:BR199)</f>
        <v>0</v>
      </c>
      <c r="BS200" s="545" t="s">
        <v>2233</v>
      </c>
      <c r="BT200" s="642">
        <f>SUM(BT196:BT199)</f>
        <v>0</v>
      </c>
      <c r="BU200" s="545" t="s">
        <v>2233</v>
      </c>
      <c r="BV200" s="642">
        <f>SUM(BV196:BV199)</f>
        <v>0</v>
      </c>
      <c r="BW200" s="2629"/>
      <c r="BX200" s="2653"/>
      <c r="BY200" s="2629"/>
      <c r="BZ200" s="2629"/>
      <c r="CA200" s="2629"/>
      <c r="CB200" s="2629"/>
      <c r="CC200" s="2629"/>
      <c r="CD200" s="2629"/>
    </row>
    <row r="201" spans="1:82" s="98" customFormat="1" ht="15" customHeight="1">
      <c r="A201" s="99"/>
      <c r="B201" s="123"/>
      <c r="C201" s="127"/>
      <c r="D201" s="127"/>
      <c r="E201" s="127"/>
      <c r="F201" s="127"/>
      <c r="G201" s="117"/>
      <c r="H201" s="117"/>
      <c r="I201" s="2503"/>
      <c r="J201" s="2503"/>
      <c r="K201" s="2503"/>
      <c r="L201" s="2503"/>
      <c r="M201" s="2503"/>
      <c r="N201" s="2503"/>
      <c r="O201" s="2503"/>
      <c r="P201" s="2503"/>
      <c r="Q201" s="2503"/>
      <c r="R201" s="2503"/>
      <c r="S201" s="2503"/>
      <c r="T201" s="2503"/>
      <c r="U201" s="2503"/>
      <c r="V201" s="2503"/>
      <c r="W201" s="2645"/>
      <c r="X201" s="2503"/>
      <c r="Y201" s="2503"/>
      <c r="Z201" s="2503"/>
      <c r="AA201" s="2503"/>
      <c r="AB201" s="2503"/>
      <c r="AC201" s="2503"/>
      <c r="AD201" s="2503"/>
      <c r="AE201" s="2503"/>
      <c r="AF201" s="2503"/>
      <c r="AG201" s="2503"/>
      <c r="AH201" s="2503"/>
      <c r="AI201" s="2503"/>
      <c r="AJ201" s="2503"/>
      <c r="AK201" s="2503"/>
      <c r="AL201" s="2629"/>
      <c r="AM201" s="94"/>
      <c r="AN201" s="713"/>
      <c r="AO201" s="2649"/>
      <c r="AP201" s="2649"/>
      <c r="AQ201" s="2649"/>
      <c r="AR201" s="2649"/>
      <c r="AS201" s="2649"/>
      <c r="AT201" s="2649"/>
      <c r="AU201" s="715"/>
      <c r="AV201" s="713"/>
      <c r="AW201" s="2649"/>
      <c r="AX201" s="2649"/>
      <c r="AY201" s="2649"/>
      <c r="AZ201" s="715"/>
      <c r="BA201" s="2629"/>
      <c r="BB201" s="542"/>
      <c r="BC201" s="542"/>
      <c r="BD201" s="542"/>
      <c r="BE201" s="542"/>
      <c r="BF201" s="542"/>
      <c r="BG201" s="542"/>
      <c r="BH201" s="542"/>
      <c r="BI201" s="542"/>
      <c r="BJ201" s="542"/>
      <c r="BK201" s="2629"/>
      <c r="BL201" s="2629"/>
      <c r="BM201" s="2629"/>
      <c r="BN201" s="2629"/>
      <c r="BO201" s="2629"/>
      <c r="BP201" s="2629"/>
      <c r="BQ201" s="542"/>
      <c r="BR201" s="542"/>
      <c r="BS201" s="542"/>
      <c r="BT201" s="542"/>
      <c r="BU201" s="542"/>
      <c r="BV201" s="542"/>
      <c r="BW201" s="542"/>
      <c r="BX201" s="544"/>
      <c r="BY201" s="2629"/>
      <c r="BZ201" s="2629"/>
      <c r="CA201" s="2629"/>
      <c r="CB201" s="2629"/>
      <c r="CC201" s="2629"/>
      <c r="CD201" s="2629"/>
    </row>
    <row r="202" spans="1:82" s="98" customFormat="1" ht="15" customHeight="1">
      <c r="A202" s="99"/>
      <c r="B202" s="161"/>
      <c r="D202" s="116" t="s">
        <v>2760</v>
      </c>
      <c r="E202" s="116"/>
      <c r="F202" s="116"/>
      <c r="G202" s="117"/>
      <c r="H202" s="117"/>
      <c r="I202" s="2503"/>
      <c r="J202" s="2503"/>
      <c r="K202" s="2503"/>
      <c r="L202" s="2503"/>
      <c r="M202" s="2503"/>
      <c r="N202" s="2503"/>
      <c r="O202" s="2503"/>
      <c r="P202" s="2503"/>
      <c r="Q202" s="2503"/>
      <c r="R202" s="2503"/>
      <c r="S202" s="2503"/>
      <c r="T202" s="2503"/>
      <c r="U202" s="2503"/>
      <c r="V202" s="2503"/>
      <c r="W202" s="2645"/>
      <c r="X202" s="2503"/>
      <c r="Y202" s="2503"/>
      <c r="Z202" s="2503"/>
      <c r="AA202" s="2503"/>
      <c r="AB202" s="2503"/>
      <c r="AC202" s="2503"/>
      <c r="AD202" s="2503"/>
      <c r="AE202" s="2503"/>
      <c r="AF202" s="2503"/>
      <c r="AG202" s="2503"/>
      <c r="AH202" s="2503"/>
      <c r="AI202" s="2503"/>
      <c r="AJ202" s="2503"/>
      <c r="AK202" s="2503"/>
      <c r="AL202" s="2629"/>
      <c r="AM202" s="94"/>
      <c r="AN202" s="713"/>
      <c r="AO202" s="2649"/>
      <c r="AP202" s="2649"/>
      <c r="AQ202" s="2649"/>
      <c r="AR202" s="2649"/>
      <c r="AS202" s="2649"/>
      <c r="AT202" s="2649"/>
      <c r="AU202" s="715"/>
      <c r="AV202" s="713"/>
      <c r="AW202" s="2649"/>
      <c r="AX202" s="2649"/>
      <c r="AY202" s="2649"/>
      <c r="AZ202" s="715"/>
      <c r="BA202" s="2629"/>
      <c r="BB202" s="542"/>
      <c r="BC202" s="542"/>
      <c r="BD202" s="542"/>
      <c r="BE202" s="542"/>
      <c r="BF202" s="542"/>
      <c r="BG202" s="542"/>
      <c r="BH202" s="542"/>
      <c r="BI202" s="542"/>
      <c r="BJ202" s="542"/>
      <c r="BK202" s="2629"/>
      <c r="BL202" s="2629"/>
      <c r="BM202" s="2629"/>
      <c r="BN202" s="2629"/>
      <c r="BO202" s="2629"/>
      <c r="BP202" s="2629"/>
      <c r="BQ202" s="542"/>
      <c r="BR202" s="542"/>
      <c r="BS202" s="542"/>
      <c r="BT202" s="542"/>
      <c r="BU202" s="542"/>
      <c r="BV202" s="542"/>
      <c r="BW202" s="542"/>
      <c r="BX202" s="544"/>
      <c r="BY202" s="2629"/>
      <c r="BZ202" s="2629"/>
      <c r="CA202" s="2629"/>
      <c r="CB202" s="2629"/>
      <c r="CC202" s="2629"/>
      <c r="CD202" s="2629"/>
    </row>
    <row r="203" spans="1:82" s="98" customFormat="1" ht="15" customHeight="1">
      <c r="A203" s="99"/>
      <c r="B203" s="161"/>
      <c r="D203" s="162"/>
      <c r="E203" s="162" t="s">
        <v>2726</v>
      </c>
      <c r="F203" s="162"/>
      <c r="G203" s="163"/>
      <c r="H203" s="163"/>
      <c r="I203" s="2503"/>
      <c r="J203" s="2503"/>
      <c r="K203" s="2503"/>
      <c r="L203" s="2503"/>
      <c r="M203" s="2503"/>
      <c r="N203" s="2503"/>
      <c r="O203" s="2503"/>
      <c r="P203" s="2503"/>
      <c r="Q203" s="2503"/>
      <c r="R203" s="2503"/>
      <c r="S203" s="2503"/>
      <c r="T203" s="2503"/>
      <c r="U203" s="2503"/>
      <c r="V203" s="2503"/>
      <c r="W203" s="2645"/>
      <c r="X203" s="2503"/>
      <c r="Y203" s="2503"/>
      <c r="Z203" s="2503"/>
      <c r="AA203" s="2503"/>
      <c r="AB203" s="2503"/>
      <c r="AC203" s="2503"/>
      <c r="AD203" s="2503"/>
      <c r="AE203" s="2503"/>
      <c r="AF203" s="2503"/>
      <c r="AG203" s="2503"/>
      <c r="AH203" s="2503"/>
      <c r="AI203" s="2503"/>
      <c r="AJ203" s="2503"/>
      <c r="AK203" s="2503"/>
      <c r="AL203" s="2629"/>
      <c r="AM203" s="607" t="s">
        <v>2233</v>
      </c>
      <c r="AN203" s="143">
        <v>0</v>
      </c>
      <c r="AO203" s="141">
        <v>0</v>
      </c>
      <c r="AP203" s="141">
        <v>0</v>
      </c>
      <c r="AQ203" s="141">
        <v>0</v>
      </c>
      <c r="AR203" s="141">
        <v>0</v>
      </c>
      <c r="AS203" s="141">
        <v>0</v>
      </c>
      <c r="AT203" s="141">
        <v>0</v>
      </c>
      <c r="AU203" s="144">
        <v>0</v>
      </c>
      <c r="AV203" s="143">
        <v>0</v>
      </c>
      <c r="AW203" s="141">
        <v>0</v>
      </c>
      <c r="AX203" s="141">
        <v>0</v>
      </c>
      <c r="AY203" s="141">
        <v>0</v>
      </c>
      <c r="AZ203" s="144">
        <v>0</v>
      </c>
      <c r="BA203" s="2629"/>
      <c r="BB203" s="545" t="s">
        <v>2233</v>
      </c>
      <c r="BC203" s="141">
        <v>0</v>
      </c>
      <c r="BD203" s="545" t="s">
        <v>2233</v>
      </c>
      <c r="BE203" s="141">
        <v>0</v>
      </c>
      <c r="BF203" s="545" t="s">
        <v>2233</v>
      </c>
      <c r="BG203" s="141">
        <v>0</v>
      </c>
      <c r="BH203" s="607" t="s">
        <v>627</v>
      </c>
      <c r="BI203" s="868">
        <v>0</v>
      </c>
      <c r="BJ203" s="2629"/>
      <c r="BK203" s="2629"/>
      <c r="BL203" s="2629"/>
      <c r="BM203" s="2629"/>
      <c r="BN203" s="2629"/>
      <c r="BO203" s="2629"/>
      <c r="BP203" s="2629"/>
      <c r="BQ203" s="545" t="s">
        <v>2233</v>
      </c>
      <c r="BR203" s="141">
        <v>0</v>
      </c>
      <c r="BS203" s="545" t="s">
        <v>2233</v>
      </c>
      <c r="BT203" s="141">
        <v>0</v>
      </c>
      <c r="BU203" s="545" t="s">
        <v>2233</v>
      </c>
      <c r="BV203" s="141">
        <v>0</v>
      </c>
      <c r="BW203" s="607" t="s">
        <v>627</v>
      </c>
      <c r="BX203" s="872">
        <v>0</v>
      </c>
      <c r="BY203" s="2629"/>
      <c r="BZ203" s="2629"/>
      <c r="CA203" s="2629"/>
      <c r="CB203" s="2629"/>
      <c r="CC203" s="2629"/>
      <c r="CD203" s="2629"/>
    </row>
    <row r="204" spans="1:82" s="98" customFormat="1" ht="15" customHeight="1">
      <c r="A204" s="99"/>
      <c r="B204" s="161"/>
      <c r="D204" s="162"/>
      <c r="E204" s="162" t="s">
        <v>2727</v>
      </c>
      <c r="F204" s="162"/>
      <c r="G204" s="163"/>
      <c r="H204" s="163"/>
      <c r="I204" s="2503"/>
      <c r="J204" s="2503"/>
      <c r="K204" s="2503"/>
      <c r="L204" s="2503"/>
      <c r="M204" s="2503"/>
      <c r="N204" s="2503"/>
      <c r="O204" s="2503"/>
      <c r="P204" s="2503"/>
      <c r="Q204" s="2503"/>
      <c r="R204" s="2503"/>
      <c r="S204" s="2503"/>
      <c r="T204" s="2503"/>
      <c r="U204" s="2503"/>
      <c r="V204" s="2503"/>
      <c r="W204" s="2645"/>
      <c r="X204" s="2503"/>
      <c r="Y204" s="2503"/>
      <c r="Z204" s="2503"/>
      <c r="AA204" s="2503"/>
      <c r="AB204" s="2503"/>
      <c r="AC204" s="2503"/>
      <c r="AD204" s="2503"/>
      <c r="AE204" s="2503"/>
      <c r="AF204" s="2503"/>
      <c r="AG204" s="2503"/>
      <c r="AH204" s="2503"/>
      <c r="AI204" s="2503"/>
      <c r="AJ204" s="2503"/>
      <c r="AK204" s="2503"/>
      <c r="AL204" s="2629"/>
      <c r="AM204" s="607" t="s">
        <v>2233</v>
      </c>
      <c r="AN204" s="143">
        <v>0</v>
      </c>
      <c r="AO204" s="141">
        <v>0</v>
      </c>
      <c r="AP204" s="141">
        <v>0</v>
      </c>
      <c r="AQ204" s="141">
        <v>0</v>
      </c>
      <c r="AR204" s="141">
        <v>0</v>
      </c>
      <c r="AS204" s="141">
        <v>0</v>
      </c>
      <c r="AT204" s="141">
        <v>0</v>
      </c>
      <c r="AU204" s="144">
        <v>0</v>
      </c>
      <c r="AV204" s="143">
        <v>0</v>
      </c>
      <c r="AW204" s="141">
        <v>0</v>
      </c>
      <c r="AX204" s="141">
        <v>0</v>
      </c>
      <c r="AY204" s="141">
        <v>0</v>
      </c>
      <c r="AZ204" s="144">
        <v>0</v>
      </c>
      <c r="BA204" s="2629"/>
      <c r="BB204" s="545" t="s">
        <v>2233</v>
      </c>
      <c r="BC204" s="141">
        <v>0</v>
      </c>
      <c r="BD204" s="545" t="s">
        <v>2233</v>
      </c>
      <c r="BE204" s="141">
        <v>0</v>
      </c>
      <c r="BF204" s="545" t="s">
        <v>2233</v>
      </c>
      <c r="BG204" s="141">
        <v>0</v>
      </c>
      <c r="BH204" s="607" t="s">
        <v>627</v>
      </c>
      <c r="BI204" s="868">
        <v>0</v>
      </c>
      <c r="BJ204" s="2629"/>
      <c r="BK204" s="2629"/>
      <c r="BL204" s="2629"/>
      <c r="BM204" s="2629"/>
      <c r="BN204" s="2629"/>
      <c r="BO204" s="2629"/>
      <c r="BP204" s="2629"/>
      <c r="BQ204" s="545" t="s">
        <v>2233</v>
      </c>
      <c r="BR204" s="141">
        <v>0</v>
      </c>
      <c r="BS204" s="545" t="s">
        <v>2233</v>
      </c>
      <c r="BT204" s="141">
        <v>0</v>
      </c>
      <c r="BU204" s="545" t="s">
        <v>2233</v>
      </c>
      <c r="BV204" s="141">
        <v>0</v>
      </c>
      <c r="BW204" s="607" t="s">
        <v>627</v>
      </c>
      <c r="BX204" s="872">
        <v>0</v>
      </c>
      <c r="BY204" s="2629"/>
      <c r="BZ204" s="2629"/>
      <c r="CA204" s="2629"/>
      <c r="CB204" s="2629"/>
      <c r="CC204" s="2629"/>
      <c r="CD204" s="2629"/>
    </row>
    <row r="205" spans="1:82" s="98" customFormat="1" ht="15" customHeight="1">
      <c r="A205" s="99"/>
      <c r="B205" s="161"/>
      <c r="D205" s="162"/>
      <c r="E205" s="162" t="s">
        <v>2728</v>
      </c>
      <c r="F205" s="162"/>
      <c r="G205" s="163"/>
      <c r="H205" s="163"/>
      <c r="I205" s="2503"/>
      <c r="J205" s="2503"/>
      <c r="K205" s="2503"/>
      <c r="L205" s="2503"/>
      <c r="M205" s="2503"/>
      <c r="N205" s="2503"/>
      <c r="O205" s="2503"/>
      <c r="P205" s="2503"/>
      <c r="Q205" s="2503"/>
      <c r="R205" s="2503"/>
      <c r="S205" s="2503"/>
      <c r="T205" s="2503"/>
      <c r="U205" s="2503"/>
      <c r="V205" s="2503"/>
      <c r="W205" s="2645"/>
      <c r="X205" s="2503"/>
      <c r="Y205" s="2503"/>
      <c r="Z205" s="2503"/>
      <c r="AA205" s="2503"/>
      <c r="AB205" s="2503"/>
      <c r="AC205" s="2503"/>
      <c r="AD205" s="2503"/>
      <c r="AE205" s="2503"/>
      <c r="AF205" s="2503"/>
      <c r="AG205" s="2503"/>
      <c r="AH205" s="2503"/>
      <c r="AI205" s="2503"/>
      <c r="AJ205" s="2503"/>
      <c r="AK205" s="2503"/>
      <c r="AL205" s="2629"/>
      <c r="AM205" s="607" t="s">
        <v>2233</v>
      </c>
      <c r="AN205" s="143">
        <v>0</v>
      </c>
      <c r="AO205" s="141">
        <v>0</v>
      </c>
      <c r="AP205" s="141">
        <v>0</v>
      </c>
      <c r="AQ205" s="141">
        <v>0</v>
      </c>
      <c r="AR205" s="141">
        <v>0</v>
      </c>
      <c r="AS205" s="141">
        <v>0</v>
      </c>
      <c r="AT205" s="141">
        <v>0</v>
      </c>
      <c r="AU205" s="144">
        <v>0</v>
      </c>
      <c r="AV205" s="143">
        <v>0</v>
      </c>
      <c r="AW205" s="141">
        <v>0</v>
      </c>
      <c r="AX205" s="141">
        <v>0</v>
      </c>
      <c r="AY205" s="141">
        <v>0</v>
      </c>
      <c r="AZ205" s="144">
        <v>0</v>
      </c>
      <c r="BA205" s="2629"/>
      <c r="BB205" s="545" t="s">
        <v>2233</v>
      </c>
      <c r="BC205" s="141">
        <v>0</v>
      </c>
      <c r="BD205" s="545" t="s">
        <v>2233</v>
      </c>
      <c r="BE205" s="141">
        <v>0</v>
      </c>
      <c r="BF205" s="545" t="s">
        <v>2233</v>
      </c>
      <c r="BG205" s="141">
        <v>0</v>
      </c>
      <c r="BH205" s="607" t="s">
        <v>627</v>
      </c>
      <c r="BI205" s="868">
        <v>0</v>
      </c>
      <c r="BJ205" s="2629"/>
      <c r="BK205" s="2629"/>
      <c r="BL205" s="2629"/>
      <c r="BM205" s="2629"/>
      <c r="BN205" s="2629"/>
      <c r="BO205" s="2629"/>
      <c r="BP205" s="2629"/>
      <c r="BQ205" s="545" t="s">
        <v>2233</v>
      </c>
      <c r="BR205" s="141">
        <v>0</v>
      </c>
      <c r="BS205" s="545" t="s">
        <v>2233</v>
      </c>
      <c r="BT205" s="141">
        <v>0</v>
      </c>
      <c r="BU205" s="545" t="s">
        <v>2233</v>
      </c>
      <c r="BV205" s="141">
        <v>0</v>
      </c>
      <c r="BW205" s="607" t="s">
        <v>627</v>
      </c>
      <c r="BX205" s="872">
        <v>0</v>
      </c>
      <c r="BY205" s="2629"/>
      <c r="BZ205" s="2629"/>
      <c r="CA205" s="2629"/>
      <c r="CB205" s="2629"/>
      <c r="CC205" s="2629"/>
      <c r="CD205" s="2629"/>
    </row>
    <row r="206" spans="1:82" s="98" customFormat="1" ht="15" customHeight="1">
      <c r="A206" s="99"/>
      <c r="B206" s="161"/>
      <c r="D206" s="162" t="s">
        <v>1710</v>
      </c>
      <c r="E206" s="162"/>
      <c r="F206" s="162"/>
      <c r="G206" s="163"/>
      <c r="H206" s="163"/>
      <c r="I206" s="2503"/>
      <c r="J206" s="2503"/>
      <c r="K206" s="2503"/>
      <c r="L206" s="2503"/>
      <c r="M206" s="2503"/>
      <c r="N206" s="2503"/>
      <c r="O206" s="2503"/>
      <c r="P206" s="2503"/>
      <c r="Q206" s="2503"/>
      <c r="R206" s="2503"/>
      <c r="S206" s="2503"/>
      <c r="T206" s="2503"/>
      <c r="U206" s="2503"/>
      <c r="V206" s="2503"/>
      <c r="W206" s="2645"/>
      <c r="X206" s="2503"/>
      <c r="Y206" s="2503"/>
      <c r="Z206" s="2503"/>
      <c r="AA206" s="2503"/>
      <c r="AB206" s="2503"/>
      <c r="AC206" s="2503"/>
      <c r="AD206" s="2503"/>
      <c r="AE206" s="2503"/>
      <c r="AF206" s="2503"/>
      <c r="AG206" s="2503"/>
      <c r="AH206" s="2503"/>
      <c r="AI206" s="2503"/>
      <c r="AJ206" s="2503"/>
      <c r="AK206" s="2503"/>
      <c r="AL206" s="2629"/>
      <c r="AM206" s="607" t="s">
        <v>2233</v>
      </c>
      <c r="AN206" s="641">
        <f t="shared" ref="AN206:AZ206" si="47">SUM(AN203:AN205)</f>
        <v>0</v>
      </c>
      <c r="AO206" s="642">
        <f t="shared" si="47"/>
        <v>0</v>
      </c>
      <c r="AP206" s="642">
        <f t="shared" si="47"/>
        <v>0</v>
      </c>
      <c r="AQ206" s="642">
        <f t="shared" si="47"/>
        <v>0</v>
      </c>
      <c r="AR206" s="642">
        <f t="shared" si="47"/>
        <v>0</v>
      </c>
      <c r="AS206" s="642">
        <f t="shared" si="47"/>
        <v>0</v>
      </c>
      <c r="AT206" s="642">
        <f t="shared" si="47"/>
        <v>0</v>
      </c>
      <c r="AU206" s="643">
        <f t="shared" si="47"/>
        <v>0</v>
      </c>
      <c r="AV206" s="641">
        <f t="shared" si="47"/>
        <v>0</v>
      </c>
      <c r="AW206" s="642">
        <f t="shared" si="47"/>
        <v>0</v>
      </c>
      <c r="AX206" s="642">
        <f t="shared" si="47"/>
        <v>0</v>
      </c>
      <c r="AY206" s="642">
        <f t="shared" si="47"/>
        <v>0</v>
      </c>
      <c r="AZ206" s="643">
        <f t="shared" si="47"/>
        <v>0</v>
      </c>
      <c r="BA206" s="2629"/>
      <c r="BB206" s="545" t="s">
        <v>2233</v>
      </c>
      <c r="BC206" s="642">
        <f>SUM(BC203:BC205)</f>
        <v>0</v>
      </c>
      <c r="BD206" s="545" t="s">
        <v>2233</v>
      </c>
      <c r="BE206" s="642">
        <f>SUM(BE203:BE205)</f>
        <v>0</v>
      </c>
      <c r="BF206" s="545" t="s">
        <v>2233</v>
      </c>
      <c r="BG206" s="642">
        <f>SUM(BG203:BG205)</f>
        <v>0</v>
      </c>
      <c r="BH206" s="2629"/>
      <c r="BI206" s="2629"/>
      <c r="BJ206" s="2629"/>
      <c r="BK206" s="2629"/>
      <c r="BL206" s="2629"/>
      <c r="BM206" s="2629"/>
      <c r="BN206" s="2629"/>
      <c r="BO206" s="2629"/>
      <c r="BP206" s="2629"/>
      <c r="BQ206" s="545" t="s">
        <v>2233</v>
      </c>
      <c r="BR206" s="642">
        <f>SUM(BR203:BR205)</f>
        <v>0</v>
      </c>
      <c r="BS206" s="545" t="s">
        <v>2233</v>
      </c>
      <c r="BT206" s="642">
        <f>SUM(BT203:BT205)</f>
        <v>0</v>
      </c>
      <c r="BU206" s="545" t="s">
        <v>2233</v>
      </c>
      <c r="BV206" s="642">
        <f>SUM(BV203:BV205)</f>
        <v>0</v>
      </c>
      <c r="BW206" s="2629"/>
      <c r="BX206" s="2653"/>
      <c r="BY206" s="2629"/>
      <c r="BZ206" s="2629"/>
      <c r="CA206" s="2629"/>
      <c r="CB206" s="2629"/>
      <c r="CC206" s="2629"/>
      <c r="CD206" s="2629"/>
    </row>
    <row r="207" spans="1:82" s="98" customFormat="1" ht="15" customHeight="1">
      <c r="A207" s="99"/>
      <c r="B207" s="123"/>
      <c r="C207" s="127"/>
      <c r="D207" s="127"/>
      <c r="E207" s="127"/>
      <c r="F207" s="127"/>
      <c r="G207" s="117"/>
      <c r="H207" s="117"/>
      <c r="I207" s="2503"/>
      <c r="J207" s="2503"/>
      <c r="K207" s="2503"/>
      <c r="L207" s="2503"/>
      <c r="M207" s="2503"/>
      <c r="N207" s="2503"/>
      <c r="O207" s="2503"/>
      <c r="P207" s="2503"/>
      <c r="Q207" s="2503"/>
      <c r="R207" s="2503"/>
      <c r="S207" s="2503"/>
      <c r="T207" s="2503"/>
      <c r="U207" s="2503"/>
      <c r="V207" s="2503"/>
      <c r="W207" s="2645"/>
      <c r="X207" s="2503"/>
      <c r="Y207" s="2503"/>
      <c r="Z207" s="2503"/>
      <c r="AA207" s="2503"/>
      <c r="AB207" s="2503"/>
      <c r="AC207" s="2503"/>
      <c r="AD207" s="2503"/>
      <c r="AE207" s="2503"/>
      <c r="AF207" s="2503"/>
      <c r="AG207" s="2503"/>
      <c r="AH207" s="2503"/>
      <c r="AI207" s="2503"/>
      <c r="AJ207" s="2503"/>
      <c r="AK207" s="2503"/>
      <c r="AL207" s="2629"/>
      <c r="AM207" s="94"/>
      <c r="AN207" s="713"/>
      <c r="AO207" s="2649"/>
      <c r="AP207" s="2649"/>
      <c r="AQ207" s="2649"/>
      <c r="AR207" s="2649"/>
      <c r="AS207" s="2649"/>
      <c r="AT207" s="2649"/>
      <c r="AU207" s="715"/>
      <c r="AV207" s="713"/>
      <c r="AW207" s="2649"/>
      <c r="AX207" s="2649"/>
      <c r="AY207" s="2649"/>
      <c r="AZ207" s="715"/>
      <c r="BA207" s="2629"/>
      <c r="BB207" s="542"/>
      <c r="BC207" s="542"/>
      <c r="BD207" s="542"/>
      <c r="BE207" s="542"/>
      <c r="BF207" s="542"/>
      <c r="BG207" s="542"/>
      <c r="BH207" s="542"/>
      <c r="BI207" s="542"/>
      <c r="BJ207" s="542"/>
      <c r="BK207" s="2629"/>
      <c r="BL207" s="2629"/>
      <c r="BM207" s="2629"/>
      <c r="BN207" s="2629"/>
      <c r="BO207" s="2629"/>
      <c r="BP207" s="2629"/>
      <c r="BQ207" s="542"/>
      <c r="BR207" s="542"/>
      <c r="BS207" s="542"/>
      <c r="BT207" s="542"/>
      <c r="BU207" s="542"/>
      <c r="BV207" s="542"/>
      <c r="BW207" s="542"/>
      <c r="BX207" s="544"/>
      <c r="BY207" s="2629"/>
      <c r="BZ207" s="2629"/>
      <c r="CA207" s="2629"/>
      <c r="CB207" s="2629"/>
      <c r="CC207" s="2629"/>
      <c r="CD207" s="2629"/>
    </row>
    <row r="208" spans="1:82" s="98" customFormat="1" ht="15" customHeight="1">
      <c r="A208" s="99"/>
      <c r="B208" s="161"/>
      <c r="D208" s="116" t="s">
        <v>2761</v>
      </c>
      <c r="E208" s="116"/>
      <c r="F208" s="116"/>
      <c r="G208" s="117"/>
      <c r="H208" s="117"/>
      <c r="I208" s="2503"/>
      <c r="J208" s="2503"/>
      <c r="K208" s="2503"/>
      <c r="L208" s="2503"/>
      <c r="M208" s="2503"/>
      <c r="N208" s="2503"/>
      <c r="O208" s="2503"/>
      <c r="P208" s="2503"/>
      <c r="Q208" s="2503"/>
      <c r="R208" s="2503"/>
      <c r="S208" s="2503"/>
      <c r="T208" s="2503"/>
      <c r="U208" s="2503"/>
      <c r="V208" s="2503"/>
      <c r="W208" s="2645"/>
      <c r="X208" s="2503"/>
      <c r="Y208" s="2503"/>
      <c r="Z208" s="2503"/>
      <c r="AA208" s="2503"/>
      <c r="AB208" s="2503"/>
      <c r="AC208" s="2503"/>
      <c r="AD208" s="2503"/>
      <c r="AE208" s="2503"/>
      <c r="AF208" s="2503"/>
      <c r="AG208" s="2503"/>
      <c r="AH208" s="2503"/>
      <c r="AI208" s="2503"/>
      <c r="AJ208" s="2503"/>
      <c r="AK208" s="2503"/>
      <c r="AL208" s="2629"/>
      <c r="AM208" s="94"/>
      <c r="AN208" s="713"/>
      <c r="AO208" s="2649"/>
      <c r="AP208" s="2649"/>
      <c r="AQ208" s="2649"/>
      <c r="AR208" s="2649"/>
      <c r="AS208" s="2649"/>
      <c r="AT208" s="2649"/>
      <c r="AU208" s="715"/>
      <c r="AV208" s="713"/>
      <c r="AW208" s="2649"/>
      <c r="AX208" s="2649"/>
      <c r="AY208" s="2649"/>
      <c r="AZ208" s="715"/>
      <c r="BA208" s="2629"/>
      <c r="BB208" s="542"/>
      <c r="BC208" s="542"/>
      <c r="BD208" s="542"/>
      <c r="BE208" s="542"/>
      <c r="BF208" s="542"/>
      <c r="BG208" s="542"/>
      <c r="BH208" s="542"/>
      <c r="BI208" s="542"/>
      <c r="BJ208" s="542"/>
      <c r="BK208" s="2629"/>
      <c r="BL208" s="2629"/>
      <c r="BM208" s="2629"/>
      <c r="BN208" s="2629"/>
      <c r="BO208" s="2629"/>
      <c r="BP208" s="2629"/>
      <c r="BQ208" s="542"/>
      <c r="BR208" s="542"/>
      <c r="BS208" s="542"/>
      <c r="BT208" s="542"/>
      <c r="BU208" s="542"/>
      <c r="BV208" s="542"/>
      <c r="BW208" s="542"/>
      <c r="BX208" s="544"/>
      <c r="BY208" s="2629"/>
      <c r="BZ208" s="2629"/>
      <c r="CA208" s="2629"/>
      <c r="CB208" s="2629"/>
      <c r="CC208" s="2629"/>
      <c r="CD208" s="2629"/>
    </row>
    <row r="209" spans="1:82" s="98" customFormat="1" ht="15" customHeight="1">
      <c r="A209" s="99"/>
      <c r="B209" s="161"/>
      <c r="D209" s="162"/>
      <c r="E209" s="162" t="s">
        <v>2726</v>
      </c>
      <c r="F209" s="162"/>
      <c r="G209" s="163"/>
      <c r="H209" s="163"/>
      <c r="I209" s="2503"/>
      <c r="J209" s="2503"/>
      <c r="K209" s="2503"/>
      <c r="L209" s="2503"/>
      <c r="M209" s="2503"/>
      <c r="N209" s="2503"/>
      <c r="O209" s="2503"/>
      <c r="P209" s="2503"/>
      <c r="Q209" s="2503"/>
      <c r="R209" s="2503"/>
      <c r="S209" s="2503"/>
      <c r="T209" s="2503"/>
      <c r="U209" s="2503"/>
      <c r="V209" s="2503"/>
      <c r="W209" s="2645"/>
      <c r="X209" s="2503"/>
      <c r="Y209" s="2503"/>
      <c r="Z209" s="2503"/>
      <c r="AA209" s="2503"/>
      <c r="AB209" s="2503"/>
      <c r="AC209" s="2503"/>
      <c r="AD209" s="2503"/>
      <c r="AE209" s="2503"/>
      <c r="AF209" s="2503"/>
      <c r="AG209" s="2503"/>
      <c r="AH209" s="2503"/>
      <c r="AI209" s="2503"/>
      <c r="AJ209" s="2503"/>
      <c r="AK209" s="2503"/>
      <c r="AL209" s="2629"/>
      <c r="AM209" s="607" t="s">
        <v>2233</v>
      </c>
      <c r="AN209" s="143">
        <v>0</v>
      </c>
      <c r="AO209" s="141">
        <v>0</v>
      </c>
      <c r="AP209" s="141">
        <v>0</v>
      </c>
      <c r="AQ209" s="141">
        <v>0</v>
      </c>
      <c r="AR209" s="141">
        <v>0</v>
      </c>
      <c r="AS209" s="141">
        <v>0</v>
      </c>
      <c r="AT209" s="141">
        <v>0</v>
      </c>
      <c r="AU209" s="144">
        <v>0</v>
      </c>
      <c r="AV209" s="143">
        <v>0</v>
      </c>
      <c r="AW209" s="141">
        <v>0</v>
      </c>
      <c r="AX209" s="141">
        <v>0</v>
      </c>
      <c r="AY209" s="141">
        <v>0</v>
      </c>
      <c r="AZ209" s="144">
        <v>0</v>
      </c>
      <c r="BA209" s="2629"/>
      <c r="BB209" s="545" t="s">
        <v>2233</v>
      </c>
      <c r="BC209" s="141">
        <v>0</v>
      </c>
      <c r="BD209" s="545" t="s">
        <v>2233</v>
      </c>
      <c r="BE209" s="141">
        <v>0</v>
      </c>
      <c r="BF209" s="545" t="s">
        <v>2233</v>
      </c>
      <c r="BG209" s="141">
        <v>0</v>
      </c>
      <c r="BH209" s="607" t="s">
        <v>627</v>
      </c>
      <c r="BI209" s="868">
        <v>0</v>
      </c>
      <c r="BJ209" s="2629"/>
      <c r="BK209" s="2629"/>
      <c r="BL209" s="2629"/>
      <c r="BM209" s="2629"/>
      <c r="BN209" s="2629"/>
      <c r="BO209" s="2629"/>
      <c r="BP209" s="2629"/>
      <c r="BQ209" s="545" t="s">
        <v>2233</v>
      </c>
      <c r="BR209" s="141">
        <v>0</v>
      </c>
      <c r="BS209" s="545" t="s">
        <v>2233</v>
      </c>
      <c r="BT209" s="141">
        <v>0</v>
      </c>
      <c r="BU209" s="545" t="s">
        <v>2233</v>
      </c>
      <c r="BV209" s="141">
        <v>0</v>
      </c>
      <c r="BW209" s="607" t="s">
        <v>627</v>
      </c>
      <c r="BX209" s="872">
        <v>0</v>
      </c>
      <c r="BY209" s="2629"/>
      <c r="BZ209" s="2629"/>
      <c r="CA209" s="2629"/>
      <c r="CB209" s="2629"/>
      <c r="CC209" s="2629"/>
      <c r="CD209" s="2629"/>
    </row>
    <row r="210" spans="1:82" s="98" customFormat="1" ht="15" customHeight="1">
      <c r="A210" s="99"/>
      <c r="B210" s="161"/>
      <c r="D210" s="162"/>
      <c r="E210" s="162" t="s">
        <v>2727</v>
      </c>
      <c r="F210" s="162"/>
      <c r="G210" s="163"/>
      <c r="H210" s="163"/>
      <c r="I210" s="2503"/>
      <c r="J210" s="2503"/>
      <c r="K210" s="2503"/>
      <c r="L210" s="2503"/>
      <c r="M210" s="2503"/>
      <c r="N210" s="2503"/>
      <c r="O210" s="2503"/>
      <c r="P210" s="2503"/>
      <c r="Q210" s="2503"/>
      <c r="R210" s="2503"/>
      <c r="S210" s="2503"/>
      <c r="T210" s="2503"/>
      <c r="U210" s="2503"/>
      <c r="V210" s="2503"/>
      <c r="W210" s="2645"/>
      <c r="X210" s="2503"/>
      <c r="Y210" s="2503"/>
      <c r="Z210" s="2503"/>
      <c r="AA210" s="2503"/>
      <c r="AB210" s="2503"/>
      <c r="AC210" s="2503"/>
      <c r="AD210" s="2503"/>
      <c r="AE210" s="2503"/>
      <c r="AF210" s="2503"/>
      <c r="AG210" s="2503"/>
      <c r="AH210" s="2503"/>
      <c r="AI210" s="2503"/>
      <c r="AJ210" s="2503"/>
      <c r="AK210" s="2503"/>
      <c r="AL210" s="2629"/>
      <c r="AM210" s="607" t="s">
        <v>2233</v>
      </c>
      <c r="AN210" s="143">
        <v>0</v>
      </c>
      <c r="AO210" s="141">
        <v>0</v>
      </c>
      <c r="AP210" s="141">
        <v>0</v>
      </c>
      <c r="AQ210" s="141">
        <v>0</v>
      </c>
      <c r="AR210" s="141">
        <v>0</v>
      </c>
      <c r="AS210" s="141">
        <v>0</v>
      </c>
      <c r="AT210" s="141">
        <v>0</v>
      </c>
      <c r="AU210" s="144">
        <v>0</v>
      </c>
      <c r="AV210" s="143">
        <v>0</v>
      </c>
      <c r="AW210" s="141">
        <v>0</v>
      </c>
      <c r="AX210" s="141">
        <v>0</v>
      </c>
      <c r="AY210" s="141">
        <v>0</v>
      </c>
      <c r="AZ210" s="144">
        <v>0</v>
      </c>
      <c r="BA210" s="2629"/>
      <c r="BB210" s="545" t="s">
        <v>2233</v>
      </c>
      <c r="BC210" s="141">
        <v>0</v>
      </c>
      <c r="BD210" s="545" t="s">
        <v>2233</v>
      </c>
      <c r="BE210" s="141">
        <v>0</v>
      </c>
      <c r="BF210" s="545" t="s">
        <v>2233</v>
      </c>
      <c r="BG210" s="141">
        <v>0</v>
      </c>
      <c r="BH210" s="607" t="s">
        <v>627</v>
      </c>
      <c r="BI210" s="868">
        <v>0</v>
      </c>
      <c r="BJ210" s="2629"/>
      <c r="BK210" s="2629"/>
      <c r="BL210" s="2629"/>
      <c r="BM210" s="2629"/>
      <c r="BN210" s="2629"/>
      <c r="BO210" s="2629"/>
      <c r="BP210" s="2629"/>
      <c r="BQ210" s="545" t="s">
        <v>2233</v>
      </c>
      <c r="BR210" s="141">
        <v>0</v>
      </c>
      <c r="BS210" s="545" t="s">
        <v>2233</v>
      </c>
      <c r="BT210" s="141">
        <v>0</v>
      </c>
      <c r="BU210" s="545" t="s">
        <v>2233</v>
      </c>
      <c r="BV210" s="141">
        <v>0</v>
      </c>
      <c r="BW210" s="607" t="s">
        <v>627</v>
      </c>
      <c r="BX210" s="872">
        <v>0</v>
      </c>
      <c r="BY210" s="2629"/>
      <c r="BZ210" s="2629"/>
      <c r="CA210" s="2629"/>
      <c r="CB210" s="2629"/>
      <c r="CC210" s="2629"/>
      <c r="CD210" s="2629"/>
    </row>
    <row r="211" spans="1:82" s="98" customFormat="1" ht="15" customHeight="1">
      <c r="A211" s="99"/>
      <c r="B211" s="161"/>
      <c r="D211" s="162"/>
      <c r="E211" s="162" t="s">
        <v>2728</v>
      </c>
      <c r="F211" s="162"/>
      <c r="G211" s="163"/>
      <c r="H211" s="163"/>
      <c r="I211" s="2503"/>
      <c r="J211" s="2503"/>
      <c r="K211" s="2503"/>
      <c r="L211" s="2503"/>
      <c r="M211" s="2503"/>
      <c r="N211" s="2503"/>
      <c r="O211" s="2503"/>
      <c r="P211" s="2503"/>
      <c r="Q211" s="2503"/>
      <c r="R211" s="2503"/>
      <c r="S211" s="2503"/>
      <c r="T211" s="2503"/>
      <c r="U211" s="2503"/>
      <c r="V211" s="2503"/>
      <c r="W211" s="2645"/>
      <c r="X211" s="2503"/>
      <c r="Y211" s="2503"/>
      <c r="Z211" s="2503"/>
      <c r="AA211" s="2503"/>
      <c r="AB211" s="2503"/>
      <c r="AC211" s="2503"/>
      <c r="AD211" s="2503"/>
      <c r="AE211" s="2503"/>
      <c r="AF211" s="2503"/>
      <c r="AG211" s="2503"/>
      <c r="AH211" s="2503"/>
      <c r="AI211" s="2503"/>
      <c r="AJ211" s="2503"/>
      <c r="AK211" s="2503"/>
      <c r="AL211" s="2629"/>
      <c r="AM211" s="607" t="s">
        <v>2233</v>
      </c>
      <c r="AN211" s="143">
        <v>0</v>
      </c>
      <c r="AO211" s="141">
        <v>0</v>
      </c>
      <c r="AP211" s="141">
        <v>0</v>
      </c>
      <c r="AQ211" s="141">
        <v>0</v>
      </c>
      <c r="AR211" s="141">
        <v>0</v>
      </c>
      <c r="AS211" s="141">
        <v>0</v>
      </c>
      <c r="AT211" s="141">
        <v>0</v>
      </c>
      <c r="AU211" s="144">
        <v>0</v>
      </c>
      <c r="AV211" s="143">
        <v>0</v>
      </c>
      <c r="AW211" s="141">
        <v>0</v>
      </c>
      <c r="AX211" s="141">
        <v>0</v>
      </c>
      <c r="AY211" s="141">
        <v>0</v>
      </c>
      <c r="AZ211" s="144">
        <v>0</v>
      </c>
      <c r="BA211" s="2629"/>
      <c r="BB211" s="545" t="s">
        <v>2233</v>
      </c>
      <c r="BC211" s="141">
        <v>0</v>
      </c>
      <c r="BD211" s="545" t="s">
        <v>2233</v>
      </c>
      <c r="BE211" s="141">
        <v>0</v>
      </c>
      <c r="BF211" s="545" t="s">
        <v>2233</v>
      </c>
      <c r="BG211" s="141">
        <v>0</v>
      </c>
      <c r="BH211" s="607" t="s">
        <v>627</v>
      </c>
      <c r="BI211" s="868">
        <v>0</v>
      </c>
      <c r="BJ211" s="2629"/>
      <c r="BK211" s="2629"/>
      <c r="BL211" s="2629"/>
      <c r="BM211" s="2629"/>
      <c r="BN211" s="2629"/>
      <c r="BO211" s="2629"/>
      <c r="BP211" s="2629"/>
      <c r="BQ211" s="545" t="s">
        <v>2233</v>
      </c>
      <c r="BR211" s="141">
        <v>0</v>
      </c>
      <c r="BS211" s="545" t="s">
        <v>2233</v>
      </c>
      <c r="BT211" s="141">
        <v>0</v>
      </c>
      <c r="BU211" s="545" t="s">
        <v>2233</v>
      </c>
      <c r="BV211" s="141">
        <v>0</v>
      </c>
      <c r="BW211" s="607" t="s">
        <v>627</v>
      </c>
      <c r="BX211" s="872">
        <v>0</v>
      </c>
      <c r="BY211" s="2629"/>
      <c r="BZ211" s="2629"/>
      <c r="CA211" s="2629"/>
      <c r="CB211" s="2629"/>
      <c r="CC211" s="2629"/>
      <c r="CD211" s="2629"/>
    </row>
    <row r="212" spans="1:82" s="98" customFormat="1" ht="15" customHeight="1">
      <c r="A212" s="99"/>
      <c r="B212" s="161"/>
      <c r="D212" s="162" t="s">
        <v>1710</v>
      </c>
      <c r="E212" s="162"/>
      <c r="F212" s="162"/>
      <c r="G212" s="163"/>
      <c r="H212" s="163"/>
      <c r="I212" s="2503"/>
      <c r="J212" s="2503"/>
      <c r="K212" s="2503"/>
      <c r="L212" s="2503"/>
      <c r="M212" s="2503"/>
      <c r="N212" s="2503"/>
      <c r="O212" s="2503"/>
      <c r="P212" s="2503"/>
      <c r="Q212" s="2503"/>
      <c r="R212" s="2503"/>
      <c r="S212" s="2503"/>
      <c r="T212" s="2503"/>
      <c r="U212" s="2503"/>
      <c r="V212" s="2503"/>
      <c r="W212" s="2645"/>
      <c r="X212" s="2503"/>
      <c r="Y212" s="2503"/>
      <c r="Z212" s="2503"/>
      <c r="AA212" s="2503"/>
      <c r="AB212" s="2503"/>
      <c r="AC212" s="2503"/>
      <c r="AD212" s="2503"/>
      <c r="AE212" s="2503"/>
      <c r="AF212" s="2503"/>
      <c r="AG212" s="2503"/>
      <c r="AH212" s="2503"/>
      <c r="AI212" s="2503"/>
      <c r="AJ212" s="2503"/>
      <c r="AK212" s="2503"/>
      <c r="AL212" s="2629"/>
      <c r="AM212" s="607" t="s">
        <v>2233</v>
      </c>
      <c r="AN212" s="641">
        <f t="shared" ref="AN212:AZ212" si="48">SUM(AN209:AN211)</f>
        <v>0</v>
      </c>
      <c r="AO212" s="642">
        <f t="shared" si="48"/>
        <v>0</v>
      </c>
      <c r="AP212" s="642">
        <f t="shared" si="48"/>
        <v>0</v>
      </c>
      <c r="AQ212" s="642">
        <f t="shared" si="48"/>
        <v>0</v>
      </c>
      <c r="AR212" s="642">
        <f t="shared" si="48"/>
        <v>0</v>
      </c>
      <c r="AS212" s="642">
        <f t="shared" si="48"/>
        <v>0</v>
      </c>
      <c r="AT212" s="642">
        <f t="shared" si="48"/>
        <v>0</v>
      </c>
      <c r="AU212" s="643">
        <f t="shared" si="48"/>
        <v>0</v>
      </c>
      <c r="AV212" s="641">
        <f t="shared" si="48"/>
        <v>0</v>
      </c>
      <c r="AW212" s="642">
        <f t="shared" si="48"/>
        <v>0</v>
      </c>
      <c r="AX212" s="642">
        <f t="shared" si="48"/>
        <v>0</v>
      </c>
      <c r="AY212" s="642">
        <f t="shared" si="48"/>
        <v>0</v>
      </c>
      <c r="AZ212" s="643">
        <f t="shared" si="48"/>
        <v>0</v>
      </c>
      <c r="BA212" s="2629"/>
      <c r="BB212" s="545" t="s">
        <v>2233</v>
      </c>
      <c r="BC212" s="642">
        <f>SUM(BC209:BC211)</f>
        <v>0</v>
      </c>
      <c r="BD212" s="545" t="s">
        <v>2233</v>
      </c>
      <c r="BE212" s="642">
        <f>SUM(BE209:BE211)</f>
        <v>0</v>
      </c>
      <c r="BF212" s="545" t="s">
        <v>2233</v>
      </c>
      <c r="BG212" s="642">
        <f>SUM(BG209:BG211)</f>
        <v>0</v>
      </c>
      <c r="BH212" s="2629"/>
      <c r="BI212" s="2629"/>
      <c r="BJ212" s="2629"/>
      <c r="BK212" s="2629"/>
      <c r="BL212" s="2629"/>
      <c r="BM212" s="2629"/>
      <c r="BN212" s="2629"/>
      <c r="BO212" s="2629"/>
      <c r="BP212" s="2629"/>
      <c r="BQ212" s="545" t="s">
        <v>2233</v>
      </c>
      <c r="BR212" s="642">
        <f>SUM(BR209:BR211)</f>
        <v>0</v>
      </c>
      <c r="BS212" s="545" t="s">
        <v>2233</v>
      </c>
      <c r="BT212" s="642">
        <f>SUM(BT209:BT211)</f>
        <v>0</v>
      </c>
      <c r="BU212" s="545" t="s">
        <v>2233</v>
      </c>
      <c r="BV212" s="642">
        <f>SUM(BV209:BV211)</f>
        <v>0</v>
      </c>
      <c r="BW212" s="2629"/>
      <c r="BX212" s="2653"/>
      <c r="BY212" s="2629"/>
      <c r="BZ212" s="2629"/>
      <c r="CA212" s="2629"/>
      <c r="CB212" s="2629"/>
      <c r="CC212" s="2629"/>
      <c r="CD212" s="2629"/>
    </row>
    <row r="213" spans="1:82" s="98" customFormat="1" ht="15" customHeight="1">
      <c r="A213" s="99"/>
      <c r="B213" s="123"/>
      <c r="C213" s="127"/>
      <c r="D213" s="127"/>
      <c r="E213" s="127"/>
      <c r="F213" s="127"/>
      <c r="G213" s="117"/>
      <c r="H213" s="117"/>
      <c r="I213" s="2503"/>
      <c r="J213" s="2503"/>
      <c r="K213" s="2503"/>
      <c r="L213" s="2503"/>
      <c r="M213" s="2503"/>
      <c r="N213" s="2503"/>
      <c r="O213" s="2503"/>
      <c r="P213" s="2503"/>
      <c r="Q213" s="2503"/>
      <c r="R213" s="2503"/>
      <c r="S213" s="2503"/>
      <c r="T213" s="2503"/>
      <c r="U213" s="2503"/>
      <c r="V213" s="2503"/>
      <c r="W213" s="2645"/>
      <c r="X213" s="2503"/>
      <c r="Y213" s="2503"/>
      <c r="Z213" s="2503"/>
      <c r="AA213" s="2503"/>
      <c r="AB213" s="2503"/>
      <c r="AC213" s="2503"/>
      <c r="AD213" s="2503"/>
      <c r="AE213" s="2503"/>
      <c r="AF213" s="2503"/>
      <c r="AG213" s="2503"/>
      <c r="AH213" s="2503"/>
      <c r="AI213" s="2503"/>
      <c r="AJ213" s="2503"/>
      <c r="AK213" s="2503"/>
      <c r="AL213" s="2629"/>
      <c r="AM213" s="94"/>
      <c r="AN213" s="713"/>
      <c r="AO213" s="2649"/>
      <c r="AP213" s="2649"/>
      <c r="AQ213" s="2649"/>
      <c r="AR213" s="2649"/>
      <c r="AS213" s="2649"/>
      <c r="AT213" s="2649"/>
      <c r="AU213" s="715"/>
      <c r="AV213" s="713"/>
      <c r="AW213" s="2649"/>
      <c r="AX213" s="2649"/>
      <c r="AY213" s="2649"/>
      <c r="AZ213" s="715"/>
      <c r="BA213" s="2629"/>
      <c r="BB213" s="542"/>
      <c r="BC213" s="542"/>
      <c r="BD213" s="542"/>
      <c r="BE213" s="542"/>
      <c r="BF213" s="542"/>
      <c r="BG213" s="542"/>
      <c r="BH213" s="542"/>
      <c r="BI213" s="542"/>
      <c r="BJ213" s="542"/>
      <c r="BK213" s="2629"/>
      <c r="BL213" s="2629"/>
      <c r="BM213" s="2629"/>
      <c r="BN213" s="2629"/>
      <c r="BO213" s="2629"/>
      <c r="BP213" s="2629"/>
      <c r="BQ213" s="542"/>
      <c r="BR213" s="542"/>
      <c r="BS213" s="542"/>
      <c r="BT213" s="542"/>
      <c r="BU213" s="542"/>
      <c r="BV213" s="542"/>
      <c r="BW213" s="542"/>
      <c r="BX213" s="544"/>
      <c r="BY213" s="2629"/>
      <c r="BZ213" s="2629"/>
      <c r="CA213" s="2629"/>
      <c r="CB213" s="2629"/>
      <c r="CC213" s="2629"/>
      <c r="CD213" s="2629"/>
    </row>
    <row r="214" spans="1:82" s="98" customFormat="1" ht="15" customHeight="1">
      <c r="A214" s="99"/>
      <c r="B214" s="161"/>
      <c r="D214" s="116" t="s">
        <v>2762</v>
      </c>
      <c r="E214" s="116"/>
      <c r="F214" s="116"/>
      <c r="G214" s="117"/>
      <c r="H214" s="117"/>
      <c r="I214" s="2503"/>
      <c r="J214" s="2503"/>
      <c r="K214" s="2503"/>
      <c r="L214" s="2503"/>
      <c r="M214" s="2503"/>
      <c r="N214" s="2503"/>
      <c r="O214" s="2503"/>
      <c r="P214" s="2503"/>
      <c r="Q214" s="2503"/>
      <c r="R214" s="2503"/>
      <c r="S214" s="2503"/>
      <c r="T214" s="2503"/>
      <c r="U214" s="2503"/>
      <c r="V214" s="2503"/>
      <c r="W214" s="2645"/>
      <c r="X214" s="2503"/>
      <c r="Y214" s="2503"/>
      <c r="Z214" s="2503"/>
      <c r="AA214" s="2503"/>
      <c r="AB214" s="2503"/>
      <c r="AC214" s="2503"/>
      <c r="AD214" s="2503"/>
      <c r="AE214" s="2503"/>
      <c r="AF214" s="2503"/>
      <c r="AG214" s="2503"/>
      <c r="AH214" s="2503"/>
      <c r="AI214" s="2503"/>
      <c r="AJ214" s="2503"/>
      <c r="AK214" s="2503"/>
      <c r="AL214" s="2629"/>
      <c r="AM214" s="94"/>
      <c r="AN214" s="713"/>
      <c r="AO214" s="2649"/>
      <c r="AP214" s="2649"/>
      <c r="AQ214" s="2649"/>
      <c r="AR214" s="2649"/>
      <c r="AS214" s="2649"/>
      <c r="AT214" s="2649"/>
      <c r="AU214" s="715"/>
      <c r="AV214" s="713"/>
      <c r="AW214" s="2649"/>
      <c r="AX214" s="2649"/>
      <c r="AY214" s="2649"/>
      <c r="AZ214" s="715"/>
      <c r="BA214" s="2629"/>
      <c r="BB214" s="542"/>
      <c r="BC214" s="542"/>
      <c r="BD214" s="542"/>
      <c r="BE214" s="542"/>
      <c r="BF214" s="542"/>
      <c r="BG214" s="542"/>
      <c r="BH214" s="542"/>
      <c r="BI214" s="542"/>
      <c r="BJ214" s="542"/>
      <c r="BK214" s="2629"/>
      <c r="BL214" s="2629"/>
      <c r="BM214" s="2629"/>
      <c r="BN214" s="2629"/>
      <c r="BO214" s="2629"/>
      <c r="BP214" s="2629"/>
      <c r="BQ214" s="542"/>
      <c r="BR214" s="542"/>
      <c r="BS214" s="542"/>
      <c r="BT214" s="542"/>
      <c r="BU214" s="542"/>
      <c r="BV214" s="542"/>
      <c r="BW214" s="542"/>
      <c r="BX214" s="544"/>
      <c r="BY214" s="2629"/>
      <c r="BZ214" s="2629"/>
      <c r="CA214" s="2629"/>
      <c r="CB214" s="2629"/>
      <c r="CC214" s="2629"/>
      <c r="CD214" s="2629"/>
    </row>
    <row r="215" spans="1:82" s="98" customFormat="1" ht="15" customHeight="1">
      <c r="A215" s="99"/>
      <c r="B215" s="161"/>
      <c r="D215" s="162"/>
      <c r="E215" s="162" t="s">
        <v>2736</v>
      </c>
      <c r="F215" s="162"/>
      <c r="G215" s="163"/>
      <c r="H215" s="163"/>
      <c r="I215" s="2503"/>
      <c r="J215" s="2503"/>
      <c r="K215" s="2503"/>
      <c r="L215" s="2503"/>
      <c r="M215" s="2503"/>
      <c r="N215" s="2503"/>
      <c r="O215" s="2503"/>
      <c r="P215" s="2503"/>
      <c r="Q215" s="2503"/>
      <c r="R215" s="2503"/>
      <c r="S215" s="2503"/>
      <c r="T215" s="2503"/>
      <c r="U215" s="2503"/>
      <c r="V215" s="2503"/>
      <c r="W215" s="2645"/>
      <c r="X215" s="2503"/>
      <c r="Y215" s="2503"/>
      <c r="Z215" s="2503"/>
      <c r="AA215" s="2503"/>
      <c r="AB215" s="2503"/>
      <c r="AC215" s="2503"/>
      <c r="AD215" s="2503"/>
      <c r="AE215" s="2503"/>
      <c r="AF215" s="2503"/>
      <c r="AG215" s="2503"/>
      <c r="AH215" s="2503"/>
      <c r="AI215" s="2503"/>
      <c r="AJ215" s="2503"/>
      <c r="AK215" s="2503"/>
      <c r="AL215" s="2629"/>
      <c r="AM215" s="607" t="s">
        <v>2233</v>
      </c>
      <c r="AN215" s="143">
        <v>0</v>
      </c>
      <c r="AO215" s="141">
        <v>0</v>
      </c>
      <c r="AP215" s="141">
        <v>0</v>
      </c>
      <c r="AQ215" s="141">
        <v>0</v>
      </c>
      <c r="AR215" s="141">
        <v>0</v>
      </c>
      <c r="AS215" s="141">
        <v>0</v>
      </c>
      <c r="AT215" s="141">
        <v>0</v>
      </c>
      <c r="AU215" s="144">
        <v>0</v>
      </c>
      <c r="AV215" s="143">
        <v>0</v>
      </c>
      <c r="AW215" s="141">
        <v>0</v>
      </c>
      <c r="AX215" s="141">
        <v>0</v>
      </c>
      <c r="AY215" s="141">
        <v>0</v>
      </c>
      <c r="AZ215" s="144">
        <v>0</v>
      </c>
      <c r="BA215" s="2629"/>
      <c r="BB215" s="545" t="s">
        <v>2233</v>
      </c>
      <c r="BC215" s="141">
        <v>0</v>
      </c>
      <c r="BD215" s="545" t="s">
        <v>2233</v>
      </c>
      <c r="BE215" s="141">
        <v>0</v>
      </c>
      <c r="BF215" s="545" t="s">
        <v>2233</v>
      </c>
      <c r="BG215" s="141">
        <v>0</v>
      </c>
      <c r="BH215" s="607" t="s">
        <v>627</v>
      </c>
      <c r="BI215" s="868">
        <v>0</v>
      </c>
      <c r="BJ215" s="2629"/>
      <c r="BK215" s="2629"/>
      <c r="BL215" s="2629"/>
      <c r="BM215" s="2629"/>
      <c r="BN215" s="2629"/>
      <c r="BO215" s="2629"/>
      <c r="BP215" s="2629"/>
      <c r="BQ215" s="545" t="s">
        <v>2233</v>
      </c>
      <c r="BR215" s="141">
        <v>0</v>
      </c>
      <c r="BS215" s="545" t="s">
        <v>2233</v>
      </c>
      <c r="BT215" s="141">
        <v>0</v>
      </c>
      <c r="BU215" s="545" t="s">
        <v>2233</v>
      </c>
      <c r="BV215" s="141">
        <v>0</v>
      </c>
      <c r="BW215" s="607" t="s">
        <v>627</v>
      </c>
      <c r="BX215" s="872">
        <v>0</v>
      </c>
      <c r="BY215" s="2629"/>
      <c r="BZ215" s="2629"/>
      <c r="CA215" s="2629"/>
      <c r="CB215" s="2629"/>
      <c r="CC215" s="2629"/>
      <c r="CD215" s="2629"/>
    </row>
    <row r="216" spans="1:82" s="98" customFormat="1" ht="15" customHeight="1">
      <c r="A216" s="99"/>
      <c r="B216" s="161"/>
      <c r="D216" s="162"/>
      <c r="E216" s="162" t="s">
        <v>2737</v>
      </c>
      <c r="F216" s="162"/>
      <c r="G216" s="163"/>
      <c r="H216" s="163"/>
      <c r="I216" s="2503"/>
      <c r="J216" s="2503"/>
      <c r="K216" s="2503"/>
      <c r="L216" s="2503"/>
      <c r="M216" s="2503"/>
      <c r="N216" s="2503"/>
      <c r="O216" s="2503"/>
      <c r="P216" s="2503"/>
      <c r="Q216" s="2503"/>
      <c r="R216" s="2503"/>
      <c r="S216" s="2503"/>
      <c r="T216" s="2503"/>
      <c r="U216" s="2503"/>
      <c r="V216" s="2503"/>
      <c r="W216" s="2645"/>
      <c r="X216" s="2503"/>
      <c r="Y216" s="2503"/>
      <c r="Z216" s="2503"/>
      <c r="AA216" s="2503"/>
      <c r="AB216" s="2503"/>
      <c r="AC216" s="2503"/>
      <c r="AD216" s="2503"/>
      <c r="AE216" s="2503"/>
      <c r="AF216" s="2503"/>
      <c r="AG216" s="2503"/>
      <c r="AH216" s="2503"/>
      <c r="AI216" s="2503"/>
      <c r="AJ216" s="2503"/>
      <c r="AK216" s="2503"/>
      <c r="AL216" s="2629"/>
      <c r="AM216" s="607" t="s">
        <v>2233</v>
      </c>
      <c r="AN216" s="143">
        <v>0</v>
      </c>
      <c r="AO216" s="141">
        <v>0</v>
      </c>
      <c r="AP216" s="141">
        <v>0</v>
      </c>
      <c r="AQ216" s="141">
        <v>0</v>
      </c>
      <c r="AR216" s="141">
        <v>0</v>
      </c>
      <c r="AS216" s="141">
        <v>0</v>
      </c>
      <c r="AT216" s="141">
        <v>0</v>
      </c>
      <c r="AU216" s="144">
        <v>0</v>
      </c>
      <c r="AV216" s="143">
        <v>0</v>
      </c>
      <c r="AW216" s="141">
        <v>0</v>
      </c>
      <c r="AX216" s="141">
        <v>0</v>
      </c>
      <c r="AY216" s="141">
        <v>0</v>
      </c>
      <c r="AZ216" s="144">
        <v>0</v>
      </c>
      <c r="BA216" s="2629"/>
      <c r="BB216" s="545" t="s">
        <v>2233</v>
      </c>
      <c r="BC216" s="141">
        <v>0</v>
      </c>
      <c r="BD216" s="545" t="s">
        <v>2233</v>
      </c>
      <c r="BE216" s="141">
        <v>0</v>
      </c>
      <c r="BF216" s="545" t="s">
        <v>2233</v>
      </c>
      <c r="BG216" s="141">
        <v>0</v>
      </c>
      <c r="BH216" s="607" t="s">
        <v>627</v>
      </c>
      <c r="BI216" s="868">
        <v>0</v>
      </c>
      <c r="BJ216" s="2629"/>
      <c r="BK216" s="2629"/>
      <c r="BL216" s="2629"/>
      <c r="BM216" s="2629"/>
      <c r="BN216" s="2629"/>
      <c r="BO216" s="2629"/>
      <c r="BP216" s="2629"/>
      <c r="BQ216" s="545" t="s">
        <v>2233</v>
      </c>
      <c r="BR216" s="141">
        <v>0</v>
      </c>
      <c r="BS216" s="545" t="s">
        <v>2233</v>
      </c>
      <c r="BT216" s="141">
        <v>0</v>
      </c>
      <c r="BU216" s="545" t="s">
        <v>2233</v>
      </c>
      <c r="BV216" s="141">
        <v>0</v>
      </c>
      <c r="BW216" s="607" t="s">
        <v>627</v>
      </c>
      <c r="BX216" s="872">
        <v>0</v>
      </c>
      <c r="BY216" s="2629"/>
      <c r="BZ216" s="2629"/>
      <c r="CA216" s="2629"/>
      <c r="CB216" s="2629"/>
      <c r="CC216" s="2629"/>
      <c r="CD216" s="2629"/>
    </row>
    <row r="217" spans="1:82" s="98" customFormat="1" ht="15" customHeight="1">
      <c r="A217" s="99"/>
      <c r="B217" s="161"/>
      <c r="D217" s="162" t="s">
        <v>1710</v>
      </c>
      <c r="E217" s="162"/>
      <c r="F217" s="162"/>
      <c r="G217" s="163"/>
      <c r="H217" s="163"/>
      <c r="I217" s="2503"/>
      <c r="J217" s="2503"/>
      <c r="K217" s="2503"/>
      <c r="L217" s="2503"/>
      <c r="M217" s="2503"/>
      <c r="N217" s="2503"/>
      <c r="O217" s="2503"/>
      <c r="P217" s="2503"/>
      <c r="Q217" s="2503"/>
      <c r="R217" s="2503"/>
      <c r="S217" s="2503"/>
      <c r="T217" s="2503"/>
      <c r="U217" s="2503"/>
      <c r="V217" s="2503"/>
      <c r="W217" s="2645"/>
      <c r="X217" s="2503"/>
      <c r="Y217" s="2503"/>
      <c r="Z217" s="2503"/>
      <c r="AA217" s="2503"/>
      <c r="AB217" s="2503"/>
      <c r="AC217" s="2503"/>
      <c r="AD217" s="2503"/>
      <c r="AE217" s="2503"/>
      <c r="AF217" s="2503"/>
      <c r="AG217" s="2503"/>
      <c r="AH217" s="2503"/>
      <c r="AI217" s="2503"/>
      <c r="AJ217" s="2503"/>
      <c r="AK217" s="2503"/>
      <c r="AL217" s="2629"/>
      <c r="AM217" s="607" t="s">
        <v>2233</v>
      </c>
      <c r="AN217" s="641">
        <f t="shared" ref="AN217:AZ217" si="49">SUM(AN215:AN216)</f>
        <v>0</v>
      </c>
      <c r="AO217" s="642">
        <f t="shared" si="49"/>
        <v>0</v>
      </c>
      <c r="AP217" s="642">
        <f t="shared" si="49"/>
        <v>0</v>
      </c>
      <c r="AQ217" s="642">
        <f t="shared" si="49"/>
        <v>0</v>
      </c>
      <c r="AR217" s="642">
        <f t="shared" si="49"/>
        <v>0</v>
      </c>
      <c r="AS217" s="642">
        <f t="shared" si="49"/>
        <v>0</v>
      </c>
      <c r="AT217" s="642">
        <f t="shared" si="49"/>
        <v>0</v>
      </c>
      <c r="AU217" s="643">
        <f t="shared" si="49"/>
        <v>0</v>
      </c>
      <c r="AV217" s="641">
        <f t="shared" si="49"/>
        <v>0</v>
      </c>
      <c r="AW217" s="642">
        <f t="shared" si="49"/>
        <v>0</v>
      </c>
      <c r="AX217" s="642">
        <f t="shared" si="49"/>
        <v>0</v>
      </c>
      <c r="AY217" s="642">
        <f t="shared" si="49"/>
        <v>0</v>
      </c>
      <c r="AZ217" s="643">
        <f t="shared" si="49"/>
        <v>0</v>
      </c>
      <c r="BA217" s="2629"/>
      <c r="BB217" s="545" t="s">
        <v>2233</v>
      </c>
      <c r="BC217" s="642">
        <f>SUM(BC215:BC216)</f>
        <v>0</v>
      </c>
      <c r="BD217" s="545" t="s">
        <v>2233</v>
      </c>
      <c r="BE217" s="642">
        <f>SUM(BE215:BE216)</f>
        <v>0</v>
      </c>
      <c r="BF217" s="545" t="s">
        <v>2233</v>
      </c>
      <c r="BG217" s="642">
        <f>SUM(BG215:BG216)</f>
        <v>0</v>
      </c>
      <c r="BH217" s="2629"/>
      <c r="BI217" s="2629"/>
      <c r="BJ217" s="2629"/>
      <c r="BK217" s="2629"/>
      <c r="BL217" s="2629"/>
      <c r="BM217" s="2629"/>
      <c r="BN217" s="2629"/>
      <c r="BO217" s="2629"/>
      <c r="BP217" s="2629"/>
      <c r="BQ217" s="545" t="s">
        <v>2233</v>
      </c>
      <c r="BR217" s="642">
        <f>SUM(BR215:BR216)</f>
        <v>0</v>
      </c>
      <c r="BS217" s="545" t="s">
        <v>2233</v>
      </c>
      <c r="BT217" s="642">
        <f>SUM(BT215:BT216)</f>
        <v>0</v>
      </c>
      <c r="BU217" s="545" t="s">
        <v>2233</v>
      </c>
      <c r="BV217" s="642">
        <f>SUM(BV215:BV216)</f>
        <v>0</v>
      </c>
      <c r="BW217" s="2629"/>
      <c r="BX217" s="2653"/>
      <c r="BY217" s="2629"/>
      <c r="BZ217" s="2629"/>
      <c r="CA217" s="2629"/>
      <c r="CB217" s="2629"/>
      <c r="CC217" s="2629"/>
      <c r="CD217" s="2629"/>
    </row>
    <row r="218" spans="1:82" s="98" customFormat="1" ht="15" customHeight="1">
      <c r="A218" s="99"/>
      <c r="B218" s="123"/>
      <c r="C218" s="127"/>
      <c r="D218" s="127"/>
      <c r="E218" s="127"/>
      <c r="F218" s="127"/>
      <c r="G218" s="117"/>
      <c r="H218" s="117"/>
      <c r="I218" s="2503"/>
      <c r="J218" s="2503"/>
      <c r="K218" s="2503"/>
      <c r="L218" s="2503"/>
      <c r="M218" s="2503"/>
      <c r="N218" s="2503"/>
      <c r="O218" s="2503"/>
      <c r="P218" s="2503"/>
      <c r="Q218" s="2503"/>
      <c r="R218" s="2503"/>
      <c r="S218" s="2503"/>
      <c r="T218" s="2503"/>
      <c r="U218" s="2503"/>
      <c r="V218" s="2503"/>
      <c r="W218" s="2645"/>
      <c r="X218" s="2503"/>
      <c r="Y218" s="2503"/>
      <c r="Z218" s="2503"/>
      <c r="AA218" s="2503"/>
      <c r="AB218" s="2503"/>
      <c r="AC218" s="2503"/>
      <c r="AD218" s="2503"/>
      <c r="AE218" s="2503"/>
      <c r="AF218" s="2503"/>
      <c r="AG218" s="2503"/>
      <c r="AH218" s="2503"/>
      <c r="AI218" s="2503"/>
      <c r="AJ218" s="2503"/>
      <c r="AK218" s="2503"/>
      <c r="AL218" s="2629"/>
      <c r="AM218" s="94"/>
      <c r="AN218" s="713"/>
      <c r="AO218" s="2649"/>
      <c r="AP218" s="2649"/>
      <c r="AQ218" s="2649"/>
      <c r="AR218" s="2649"/>
      <c r="AS218" s="2649"/>
      <c r="AT218" s="2649"/>
      <c r="AU218" s="715"/>
      <c r="AV218" s="713"/>
      <c r="AW218" s="2649"/>
      <c r="AX218" s="2649"/>
      <c r="AY218" s="2649"/>
      <c r="AZ218" s="715"/>
      <c r="BA218" s="2629"/>
      <c r="BB218" s="542"/>
      <c r="BC218" s="542"/>
      <c r="BD218" s="542"/>
      <c r="BE218" s="542"/>
      <c r="BF218" s="542"/>
      <c r="BG218" s="542"/>
      <c r="BH218" s="542"/>
      <c r="BI218" s="542"/>
      <c r="BJ218" s="542"/>
      <c r="BK218" s="2629"/>
      <c r="BL218" s="2629"/>
      <c r="BM218" s="2629"/>
      <c r="BN218" s="2629"/>
      <c r="BO218" s="2629"/>
      <c r="BP218" s="2629"/>
      <c r="BQ218" s="542"/>
      <c r="BR218" s="542"/>
      <c r="BS218" s="542"/>
      <c r="BT218" s="542"/>
      <c r="BU218" s="542"/>
      <c r="BV218" s="542"/>
      <c r="BW218" s="542"/>
      <c r="BX218" s="544"/>
      <c r="BY218" s="2629"/>
      <c r="BZ218" s="2629"/>
      <c r="CA218" s="2629"/>
      <c r="CB218" s="2629"/>
      <c r="CC218" s="2629"/>
      <c r="CD218" s="2629"/>
    </row>
    <row r="219" spans="1:82" s="98" customFormat="1" ht="15" customHeight="1">
      <c r="A219" s="99"/>
      <c r="B219" s="161"/>
      <c r="D219" s="116" t="s">
        <v>2763</v>
      </c>
      <c r="E219" s="116"/>
      <c r="F219" s="116"/>
      <c r="G219" s="117"/>
      <c r="H219" s="117"/>
      <c r="I219" s="2503"/>
      <c r="J219" s="2503"/>
      <c r="K219" s="2503"/>
      <c r="L219" s="2503"/>
      <c r="M219" s="2503"/>
      <c r="N219" s="2503"/>
      <c r="O219" s="2503"/>
      <c r="P219" s="2503"/>
      <c r="Q219" s="2503"/>
      <c r="R219" s="2503"/>
      <c r="S219" s="2503"/>
      <c r="T219" s="2503"/>
      <c r="U219" s="2503"/>
      <c r="V219" s="2503"/>
      <c r="W219" s="2645"/>
      <c r="X219" s="2503"/>
      <c r="Y219" s="2503"/>
      <c r="Z219" s="2503"/>
      <c r="AA219" s="2503"/>
      <c r="AB219" s="2503"/>
      <c r="AC219" s="2503"/>
      <c r="AD219" s="2503"/>
      <c r="AE219" s="2503"/>
      <c r="AF219" s="2503"/>
      <c r="AG219" s="2503"/>
      <c r="AH219" s="2503"/>
      <c r="AI219" s="2503"/>
      <c r="AJ219" s="2503"/>
      <c r="AK219" s="2503"/>
      <c r="AL219" s="2629"/>
      <c r="AM219" s="94"/>
      <c r="AN219" s="713"/>
      <c r="AO219" s="2649"/>
      <c r="AP219" s="2649"/>
      <c r="AQ219" s="2649"/>
      <c r="AR219" s="2649"/>
      <c r="AS219" s="2649"/>
      <c r="AT219" s="2649"/>
      <c r="AU219" s="715"/>
      <c r="AV219" s="713"/>
      <c r="AW219" s="2649"/>
      <c r="AX219" s="2649"/>
      <c r="AY219" s="2649"/>
      <c r="AZ219" s="715"/>
      <c r="BA219" s="2629"/>
      <c r="BB219" s="542"/>
      <c r="BC219" s="542"/>
      <c r="BD219" s="542"/>
      <c r="BE219" s="542"/>
      <c r="BF219" s="542"/>
      <c r="BG219" s="542"/>
      <c r="BH219" s="542"/>
      <c r="BI219" s="542"/>
      <c r="BJ219" s="542"/>
      <c r="BK219" s="2629"/>
      <c r="BL219" s="2629"/>
      <c r="BM219" s="2629"/>
      <c r="BN219" s="2629"/>
      <c r="BO219" s="2629"/>
      <c r="BP219" s="2629"/>
      <c r="BQ219" s="542"/>
      <c r="BR219" s="542"/>
      <c r="BS219" s="542"/>
      <c r="BT219" s="542"/>
      <c r="BU219" s="542"/>
      <c r="BV219" s="542"/>
      <c r="BW219" s="542"/>
      <c r="BX219" s="544"/>
      <c r="BY219" s="2629"/>
      <c r="BZ219" s="2629"/>
      <c r="CA219" s="2629"/>
      <c r="CB219" s="2629"/>
      <c r="CC219" s="2629"/>
      <c r="CD219" s="2629"/>
    </row>
    <row r="220" spans="1:82" s="98" customFormat="1" ht="15" customHeight="1">
      <c r="A220" s="99"/>
      <c r="B220" s="161"/>
      <c r="D220" s="162"/>
      <c r="E220" s="162" t="s">
        <v>2716</v>
      </c>
      <c r="F220" s="162"/>
      <c r="G220" s="163"/>
      <c r="H220" s="163"/>
      <c r="I220" s="2503"/>
      <c r="J220" s="2503"/>
      <c r="K220" s="2503"/>
      <c r="L220" s="2503"/>
      <c r="M220" s="2503"/>
      <c r="N220" s="2503"/>
      <c r="O220" s="2503"/>
      <c r="P220" s="2503"/>
      <c r="Q220" s="2503"/>
      <c r="R220" s="2503"/>
      <c r="S220" s="2503"/>
      <c r="T220" s="2503"/>
      <c r="U220" s="2503"/>
      <c r="V220" s="2503"/>
      <c r="W220" s="2645"/>
      <c r="X220" s="2503"/>
      <c r="Y220" s="2503"/>
      <c r="Z220" s="2503"/>
      <c r="AA220" s="2503"/>
      <c r="AB220" s="2503"/>
      <c r="AC220" s="2503"/>
      <c r="AD220" s="2503"/>
      <c r="AE220" s="2503"/>
      <c r="AF220" s="2503"/>
      <c r="AG220" s="2503"/>
      <c r="AH220" s="2503"/>
      <c r="AI220" s="2503"/>
      <c r="AJ220" s="2503"/>
      <c r="AK220" s="2503"/>
      <c r="AL220" s="2629"/>
      <c r="AM220" s="607" t="s">
        <v>2233</v>
      </c>
      <c r="AN220" s="143">
        <v>0</v>
      </c>
      <c r="AO220" s="141">
        <v>0</v>
      </c>
      <c r="AP220" s="141">
        <v>0</v>
      </c>
      <c r="AQ220" s="141">
        <v>0</v>
      </c>
      <c r="AR220" s="141">
        <v>0</v>
      </c>
      <c r="AS220" s="141">
        <v>0</v>
      </c>
      <c r="AT220" s="141">
        <v>0</v>
      </c>
      <c r="AU220" s="144">
        <v>0</v>
      </c>
      <c r="AV220" s="143">
        <v>0</v>
      </c>
      <c r="AW220" s="141">
        <v>0</v>
      </c>
      <c r="AX220" s="141">
        <v>0</v>
      </c>
      <c r="AY220" s="141">
        <v>0</v>
      </c>
      <c r="AZ220" s="144">
        <v>0</v>
      </c>
      <c r="BA220" s="2629"/>
      <c r="BB220" s="545" t="s">
        <v>2233</v>
      </c>
      <c r="BC220" s="141">
        <v>0</v>
      </c>
      <c r="BD220" s="545" t="s">
        <v>2233</v>
      </c>
      <c r="BE220" s="141">
        <v>0</v>
      </c>
      <c r="BF220" s="545" t="s">
        <v>2233</v>
      </c>
      <c r="BG220" s="141">
        <v>0</v>
      </c>
      <c r="BH220" s="607" t="s">
        <v>627</v>
      </c>
      <c r="BI220" s="868">
        <v>0</v>
      </c>
      <c r="BJ220" s="2629"/>
      <c r="BK220" s="2629"/>
      <c r="BL220" s="2629"/>
      <c r="BM220" s="2629"/>
      <c r="BN220" s="2629"/>
      <c r="BO220" s="2629"/>
      <c r="BP220" s="2629"/>
      <c r="BQ220" s="545" t="s">
        <v>2233</v>
      </c>
      <c r="BR220" s="141">
        <v>0</v>
      </c>
      <c r="BS220" s="545" t="s">
        <v>2233</v>
      </c>
      <c r="BT220" s="141">
        <v>0</v>
      </c>
      <c r="BU220" s="545" t="s">
        <v>2233</v>
      </c>
      <c r="BV220" s="141">
        <v>0</v>
      </c>
      <c r="BW220" s="607" t="s">
        <v>627</v>
      </c>
      <c r="BX220" s="872">
        <v>0</v>
      </c>
      <c r="BY220" s="2629"/>
      <c r="BZ220" s="2629"/>
      <c r="CA220" s="2629"/>
      <c r="CB220" s="2629"/>
      <c r="CC220" s="2629"/>
      <c r="CD220" s="2629"/>
    </row>
    <row r="221" spans="1:82" s="98" customFormat="1" ht="15" customHeight="1">
      <c r="A221" s="99"/>
      <c r="B221" s="161"/>
      <c r="D221" s="162"/>
      <c r="E221" s="162" t="s">
        <v>2717</v>
      </c>
      <c r="F221" s="162"/>
      <c r="G221" s="163"/>
      <c r="H221" s="163"/>
      <c r="I221" s="2503"/>
      <c r="J221" s="2503"/>
      <c r="K221" s="2503"/>
      <c r="L221" s="2503"/>
      <c r="M221" s="2503"/>
      <c r="N221" s="2503"/>
      <c r="O221" s="2503"/>
      <c r="P221" s="2503"/>
      <c r="Q221" s="2503"/>
      <c r="R221" s="2503"/>
      <c r="S221" s="2503"/>
      <c r="T221" s="2503"/>
      <c r="U221" s="2503"/>
      <c r="V221" s="2503"/>
      <c r="W221" s="2645"/>
      <c r="X221" s="2503"/>
      <c r="Y221" s="2503"/>
      <c r="Z221" s="2503"/>
      <c r="AA221" s="2503"/>
      <c r="AB221" s="2503"/>
      <c r="AC221" s="2503"/>
      <c r="AD221" s="2503"/>
      <c r="AE221" s="2503"/>
      <c r="AF221" s="2503"/>
      <c r="AG221" s="2503"/>
      <c r="AH221" s="2503"/>
      <c r="AI221" s="2503"/>
      <c r="AJ221" s="2503"/>
      <c r="AK221" s="2503"/>
      <c r="AL221" s="2629"/>
      <c r="AM221" s="607" t="s">
        <v>2233</v>
      </c>
      <c r="AN221" s="143">
        <v>0</v>
      </c>
      <c r="AO221" s="141">
        <v>0</v>
      </c>
      <c r="AP221" s="141">
        <v>0</v>
      </c>
      <c r="AQ221" s="141">
        <v>0</v>
      </c>
      <c r="AR221" s="141">
        <v>0</v>
      </c>
      <c r="AS221" s="141">
        <v>0</v>
      </c>
      <c r="AT221" s="141">
        <v>0</v>
      </c>
      <c r="AU221" s="144">
        <v>0</v>
      </c>
      <c r="AV221" s="143">
        <v>0</v>
      </c>
      <c r="AW221" s="141">
        <v>0</v>
      </c>
      <c r="AX221" s="141">
        <v>0</v>
      </c>
      <c r="AY221" s="141">
        <v>0</v>
      </c>
      <c r="AZ221" s="144">
        <v>0</v>
      </c>
      <c r="BA221" s="2629"/>
      <c r="BB221" s="545" t="s">
        <v>2233</v>
      </c>
      <c r="BC221" s="141">
        <v>0</v>
      </c>
      <c r="BD221" s="545" t="s">
        <v>2233</v>
      </c>
      <c r="BE221" s="141">
        <v>0</v>
      </c>
      <c r="BF221" s="545" t="s">
        <v>2233</v>
      </c>
      <c r="BG221" s="141">
        <v>0</v>
      </c>
      <c r="BH221" s="607" t="s">
        <v>627</v>
      </c>
      <c r="BI221" s="868">
        <v>0</v>
      </c>
      <c r="BJ221" s="2629"/>
      <c r="BK221" s="2629"/>
      <c r="BL221" s="2629"/>
      <c r="BM221" s="2629"/>
      <c r="BN221" s="2629"/>
      <c r="BO221" s="2629"/>
      <c r="BP221" s="2629"/>
      <c r="BQ221" s="545" t="s">
        <v>2233</v>
      </c>
      <c r="BR221" s="141">
        <v>0</v>
      </c>
      <c r="BS221" s="545" t="s">
        <v>2233</v>
      </c>
      <c r="BT221" s="141">
        <v>0</v>
      </c>
      <c r="BU221" s="545" t="s">
        <v>2233</v>
      </c>
      <c r="BV221" s="141">
        <v>0</v>
      </c>
      <c r="BW221" s="607" t="s">
        <v>627</v>
      </c>
      <c r="BX221" s="872">
        <v>0</v>
      </c>
      <c r="BY221" s="2629"/>
      <c r="BZ221" s="2629"/>
      <c r="CA221" s="2629"/>
      <c r="CB221" s="2629"/>
      <c r="CC221" s="2629"/>
      <c r="CD221" s="2629"/>
    </row>
    <row r="222" spans="1:82" s="98" customFormat="1" ht="15" customHeight="1">
      <c r="A222" s="99"/>
      <c r="B222" s="161"/>
      <c r="D222" s="162"/>
      <c r="E222" s="162" t="s">
        <v>2718</v>
      </c>
      <c r="F222" s="162"/>
      <c r="G222" s="163"/>
      <c r="H222" s="163"/>
      <c r="I222" s="2503"/>
      <c r="J222" s="2503"/>
      <c r="K222" s="2503"/>
      <c r="L222" s="2503"/>
      <c r="M222" s="2503"/>
      <c r="N222" s="2503"/>
      <c r="O222" s="2503"/>
      <c r="P222" s="2503"/>
      <c r="Q222" s="2503"/>
      <c r="R222" s="2503"/>
      <c r="S222" s="2503"/>
      <c r="T222" s="2503"/>
      <c r="U222" s="2503"/>
      <c r="V222" s="2503"/>
      <c r="W222" s="2645"/>
      <c r="X222" s="2503"/>
      <c r="Y222" s="2503"/>
      <c r="Z222" s="2503"/>
      <c r="AA222" s="2503"/>
      <c r="AB222" s="2503"/>
      <c r="AC222" s="2503"/>
      <c r="AD222" s="2503"/>
      <c r="AE222" s="2503"/>
      <c r="AF222" s="2503"/>
      <c r="AG222" s="2503"/>
      <c r="AH222" s="2503"/>
      <c r="AI222" s="2503"/>
      <c r="AJ222" s="2503"/>
      <c r="AK222" s="2503"/>
      <c r="AL222" s="2629"/>
      <c r="AM222" s="607" t="s">
        <v>2233</v>
      </c>
      <c r="AN222" s="143">
        <v>0</v>
      </c>
      <c r="AO222" s="141">
        <v>0</v>
      </c>
      <c r="AP222" s="141">
        <v>0</v>
      </c>
      <c r="AQ222" s="141">
        <v>0</v>
      </c>
      <c r="AR222" s="141">
        <v>0</v>
      </c>
      <c r="AS222" s="141">
        <v>0</v>
      </c>
      <c r="AT222" s="141">
        <v>0</v>
      </c>
      <c r="AU222" s="144">
        <v>0</v>
      </c>
      <c r="AV222" s="143">
        <v>0</v>
      </c>
      <c r="AW222" s="141">
        <v>0</v>
      </c>
      <c r="AX222" s="141">
        <v>0</v>
      </c>
      <c r="AY222" s="141">
        <v>0</v>
      </c>
      <c r="AZ222" s="144">
        <v>0</v>
      </c>
      <c r="BA222" s="2629"/>
      <c r="BB222" s="545" t="s">
        <v>2233</v>
      </c>
      <c r="BC222" s="141">
        <v>0</v>
      </c>
      <c r="BD222" s="545" t="s">
        <v>2233</v>
      </c>
      <c r="BE222" s="141">
        <v>0</v>
      </c>
      <c r="BF222" s="545" t="s">
        <v>2233</v>
      </c>
      <c r="BG222" s="141">
        <v>0</v>
      </c>
      <c r="BH222" s="607" t="s">
        <v>627</v>
      </c>
      <c r="BI222" s="868">
        <v>0</v>
      </c>
      <c r="BJ222" s="2629"/>
      <c r="BK222" s="2629"/>
      <c r="BL222" s="2629"/>
      <c r="BM222" s="2629"/>
      <c r="BN222" s="2629"/>
      <c r="BO222" s="2629"/>
      <c r="BP222" s="2629"/>
      <c r="BQ222" s="545" t="s">
        <v>2233</v>
      </c>
      <c r="BR222" s="141">
        <v>0</v>
      </c>
      <c r="BS222" s="545" t="s">
        <v>2233</v>
      </c>
      <c r="BT222" s="141">
        <v>0</v>
      </c>
      <c r="BU222" s="545" t="s">
        <v>2233</v>
      </c>
      <c r="BV222" s="141">
        <v>0</v>
      </c>
      <c r="BW222" s="607" t="s">
        <v>627</v>
      </c>
      <c r="BX222" s="872">
        <v>0</v>
      </c>
      <c r="BY222" s="2629"/>
      <c r="BZ222" s="2629"/>
      <c r="CA222" s="2629"/>
      <c r="CB222" s="2629"/>
      <c r="CC222" s="2629"/>
      <c r="CD222" s="2629"/>
    </row>
    <row r="223" spans="1:82" s="98" customFormat="1" ht="15" customHeight="1">
      <c r="A223" s="99"/>
      <c r="B223" s="161"/>
      <c r="D223" s="162"/>
      <c r="E223" s="162" t="s">
        <v>2719</v>
      </c>
      <c r="F223" s="162"/>
      <c r="G223" s="163"/>
      <c r="H223" s="163"/>
      <c r="I223" s="2503"/>
      <c r="J223" s="2503"/>
      <c r="K223" s="2503"/>
      <c r="L223" s="2503"/>
      <c r="M223" s="2503"/>
      <c r="N223" s="2503"/>
      <c r="O223" s="2503"/>
      <c r="P223" s="2503"/>
      <c r="Q223" s="2503"/>
      <c r="R223" s="2503"/>
      <c r="S223" s="2503"/>
      <c r="T223" s="2503"/>
      <c r="U223" s="2503"/>
      <c r="V223" s="2503"/>
      <c r="W223" s="2645"/>
      <c r="X223" s="2503"/>
      <c r="Y223" s="2503"/>
      <c r="Z223" s="2503"/>
      <c r="AA223" s="2503"/>
      <c r="AB223" s="2503"/>
      <c r="AC223" s="2503"/>
      <c r="AD223" s="2503"/>
      <c r="AE223" s="2503"/>
      <c r="AF223" s="2503"/>
      <c r="AG223" s="2503"/>
      <c r="AH223" s="2503"/>
      <c r="AI223" s="2503"/>
      <c r="AJ223" s="2503"/>
      <c r="AK223" s="2503"/>
      <c r="AL223" s="2629"/>
      <c r="AM223" s="607" t="s">
        <v>2233</v>
      </c>
      <c r="AN223" s="143">
        <v>0</v>
      </c>
      <c r="AO223" s="141">
        <v>0</v>
      </c>
      <c r="AP223" s="141">
        <v>0</v>
      </c>
      <c r="AQ223" s="141">
        <v>0</v>
      </c>
      <c r="AR223" s="141">
        <v>0</v>
      </c>
      <c r="AS223" s="141">
        <v>0</v>
      </c>
      <c r="AT223" s="141">
        <v>0</v>
      </c>
      <c r="AU223" s="144">
        <v>0</v>
      </c>
      <c r="AV223" s="143">
        <v>0</v>
      </c>
      <c r="AW223" s="141">
        <v>0</v>
      </c>
      <c r="AX223" s="141">
        <v>0</v>
      </c>
      <c r="AY223" s="141">
        <v>0</v>
      </c>
      <c r="AZ223" s="144">
        <v>0</v>
      </c>
      <c r="BA223" s="2629"/>
      <c r="BB223" s="545" t="s">
        <v>2233</v>
      </c>
      <c r="BC223" s="141">
        <v>0</v>
      </c>
      <c r="BD223" s="545" t="s">
        <v>2233</v>
      </c>
      <c r="BE223" s="141">
        <v>0</v>
      </c>
      <c r="BF223" s="545" t="s">
        <v>2233</v>
      </c>
      <c r="BG223" s="141">
        <v>0</v>
      </c>
      <c r="BH223" s="607" t="s">
        <v>627</v>
      </c>
      <c r="BI223" s="868">
        <v>0</v>
      </c>
      <c r="BJ223" s="2629"/>
      <c r="BK223" s="2629"/>
      <c r="BL223" s="2629"/>
      <c r="BM223" s="2629"/>
      <c r="BN223" s="2629"/>
      <c r="BO223" s="2629"/>
      <c r="BP223" s="2629"/>
      <c r="BQ223" s="545" t="s">
        <v>2233</v>
      </c>
      <c r="BR223" s="141">
        <v>0</v>
      </c>
      <c r="BS223" s="545" t="s">
        <v>2233</v>
      </c>
      <c r="BT223" s="141">
        <v>0</v>
      </c>
      <c r="BU223" s="545" t="s">
        <v>2233</v>
      </c>
      <c r="BV223" s="141">
        <v>0</v>
      </c>
      <c r="BW223" s="607" t="s">
        <v>627</v>
      </c>
      <c r="BX223" s="872">
        <v>0</v>
      </c>
      <c r="BY223" s="2629"/>
      <c r="BZ223" s="2629"/>
      <c r="CA223" s="2629"/>
      <c r="CB223" s="2629"/>
      <c r="CC223" s="2629"/>
      <c r="CD223" s="2629"/>
    </row>
    <row r="224" spans="1:82" s="98" customFormat="1" ht="15" customHeight="1">
      <c r="A224" s="99"/>
      <c r="B224" s="161"/>
      <c r="D224" s="162"/>
      <c r="E224" s="162" t="s">
        <v>2726</v>
      </c>
      <c r="F224" s="162"/>
      <c r="G224" s="163"/>
      <c r="H224" s="163"/>
      <c r="I224" s="2503"/>
      <c r="J224" s="2503"/>
      <c r="K224" s="2503"/>
      <c r="L224" s="2503"/>
      <c r="M224" s="2503"/>
      <c r="N224" s="2503"/>
      <c r="O224" s="2503"/>
      <c r="P224" s="2503"/>
      <c r="Q224" s="2503"/>
      <c r="R224" s="2503"/>
      <c r="S224" s="2503"/>
      <c r="T224" s="2503"/>
      <c r="U224" s="2503"/>
      <c r="V224" s="2503"/>
      <c r="W224" s="2645"/>
      <c r="X224" s="2503"/>
      <c r="Y224" s="2503"/>
      <c r="Z224" s="2503"/>
      <c r="AA224" s="2503"/>
      <c r="AB224" s="2503"/>
      <c r="AC224" s="2503"/>
      <c r="AD224" s="2503"/>
      <c r="AE224" s="2503"/>
      <c r="AF224" s="2503"/>
      <c r="AG224" s="2503"/>
      <c r="AH224" s="2503"/>
      <c r="AI224" s="2503"/>
      <c r="AJ224" s="2503"/>
      <c r="AK224" s="2503"/>
      <c r="AL224" s="2629"/>
      <c r="AM224" s="607" t="s">
        <v>2233</v>
      </c>
      <c r="AN224" s="143">
        <v>0</v>
      </c>
      <c r="AO224" s="141">
        <v>0</v>
      </c>
      <c r="AP224" s="141">
        <v>0</v>
      </c>
      <c r="AQ224" s="141">
        <v>0</v>
      </c>
      <c r="AR224" s="141">
        <v>0</v>
      </c>
      <c r="AS224" s="141">
        <v>0</v>
      </c>
      <c r="AT224" s="141">
        <v>0</v>
      </c>
      <c r="AU224" s="144">
        <v>0</v>
      </c>
      <c r="AV224" s="143">
        <v>0</v>
      </c>
      <c r="AW224" s="141">
        <v>0</v>
      </c>
      <c r="AX224" s="141">
        <v>0</v>
      </c>
      <c r="AY224" s="141">
        <v>0</v>
      </c>
      <c r="AZ224" s="144">
        <v>0</v>
      </c>
      <c r="BA224" s="2629"/>
      <c r="BB224" s="545" t="s">
        <v>2233</v>
      </c>
      <c r="BC224" s="141">
        <v>0</v>
      </c>
      <c r="BD224" s="545" t="s">
        <v>2233</v>
      </c>
      <c r="BE224" s="141">
        <v>0</v>
      </c>
      <c r="BF224" s="545" t="s">
        <v>2233</v>
      </c>
      <c r="BG224" s="141">
        <v>0</v>
      </c>
      <c r="BH224" s="607" t="s">
        <v>627</v>
      </c>
      <c r="BI224" s="868">
        <v>0</v>
      </c>
      <c r="BJ224" s="2629"/>
      <c r="BK224" s="2629"/>
      <c r="BL224" s="2629"/>
      <c r="BM224" s="2629"/>
      <c r="BN224" s="2629"/>
      <c r="BO224" s="2629"/>
      <c r="BP224" s="2629"/>
      <c r="BQ224" s="545" t="s">
        <v>2233</v>
      </c>
      <c r="BR224" s="141">
        <v>0</v>
      </c>
      <c r="BS224" s="545" t="s">
        <v>2233</v>
      </c>
      <c r="BT224" s="141">
        <v>0</v>
      </c>
      <c r="BU224" s="545" t="s">
        <v>2233</v>
      </c>
      <c r="BV224" s="141">
        <v>0</v>
      </c>
      <c r="BW224" s="607" t="s">
        <v>627</v>
      </c>
      <c r="BX224" s="872">
        <v>0</v>
      </c>
      <c r="BY224" s="2629"/>
      <c r="BZ224" s="2629"/>
      <c r="CA224" s="2629"/>
      <c r="CB224" s="2629"/>
      <c r="CC224" s="2629"/>
      <c r="CD224" s="2629"/>
    </row>
    <row r="225" spans="1:82" s="98" customFormat="1" ht="15" customHeight="1">
      <c r="A225" s="99"/>
      <c r="B225" s="161"/>
      <c r="D225" s="162"/>
      <c r="E225" s="162" t="s">
        <v>2727</v>
      </c>
      <c r="F225" s="162"/>
      <c r="G225" s="163"/>
      <c r="H225" s="163"/>
      <c r="I225" s="2503"/>
      <c r="J225" s="2503"/>
      <c r="K225" s="2503"/>
      <c r="L225" s="2503"/>
      <c r="M225" s="2503"/>
      <c r="N225" s="2503"/>
      <c r="O225" s="2503"/>
      <c r="P225" s="2503"/>
      <c r="Q225" s="2503"/>
      <c r="R225" s="2503"/>
      <c r="S225" s="2503"/>
      <c r="T225" s="2503"/>
      <c r="U225" s="2503"/>
      <c r="V225" s="2503"/>
      <c r="W225" s="2645"/>
      <c r="X225" s="2503"/>
      <c r="Y225" s="2503"/>
      <c r="Z225" s="2503"/>
      <c r="AA225" s="2503"/>
      <c r="AB225" s="2503"/>
      <c r="AC225" s="2503"/>
      <c r="AD225" s="2503"/>
      <c r="AE225" s="2503"/>
      <c r="AF225" s="2503"/>
      <c r="AG225" s="2503"/>
      <c r="AH225" s="2503"/>
      <c r="AI225" s="2503"/>
      <c r="AJ225" s="2503"/>
      <c r="AK225" s="2503"/>
      <c r="AL225" s="2629"/>
      <c r="AM225" s="607" t="s">
        <v>2233</v>
      </c>
      <c r="AN225" s="143">
        <v>0</v>
      </c>
      <c r="AO225" s="141">
        <v>0</v>
      </c>
      <c r="AP225" s="141">
        <v>0</v>
      </c>
      <c r="AQ225" s="141">
        <v>0</v>
      </c>
      <c r="AR225" s="141">
        <v>0</v>
      </c>
      <c r="AS225" s="141">
        <v>0</v>
      </c>
      <c r="AT225" s="141">
        <v>0</v>
      </c>
      <c r="AU225" s="144">
        <v>0</v>
      </c>
      <c r="AV225" s="143">
        <v>0</v>
      </c>
      <c r="AW225" s="141">
        <v>0</v>
      </c>
      <c r="AX225" s="141">
        <v>0</v>
      </c>
      <c r="AY225" s="141">
        <v>0</v>
      </c>
      <c r="AZ225" s="144">
        <v>0</v>
      </c>
      <c r="BA225" s="2629"/>
      <c r="BB225" s="545" t="s">
        <v>2233</v>
      </c>
      <c r="BC225" s="141">
        <v>0</v>
      </c>
      <c r="BD225" s="545" t="s">
        <v>2233</v>
      </c>
      <c r="BE225" s="141">
        <v>0</v>
      </c>
      <c r="BF225" s="545" t="s">
        <v>2233</v>
      </c>
      <c r="BG225" s="141">
        <v>0</v>
      </c>
      <c r="BH225" s="607" t="s">
        <v>627</v>
      </c>
      <c r="BI225" s="868">
        <v>0</v>
      </c>
      <c r="BJ225" s="2629"/>
      <c r="BK225" s="2629"/>
      <c r="BL225" s="2629"/>
      <c r="BM225" s="2629"/>
      <c r="BN225" s="2629"/>
      <c r="BO225" s="2629"/>
      <c r="BP225" s="2629"/>
      <c r="BQ225" s="545" t="s">
        <v>2233</v>
      </c>
      <c r="BR225" s="141">
        <v>0</v>
      </c>
      <c r="BS225" s="545" t="s">
        <v>2233</v>
      </c>
      <c r="BT225" s="141">
        <v>0</v>
      </c>
      <c r="BU225" s="545" t="s">
        <v>2233</v>
      </c>
      <c r="BV225" s="141">
        <v>0</v>
      </c>
      <c r="BW225" s="607" t="s">
        <v>627</v>
      </c>
      <c r="BX225" s="872">
        <v>0</v>
      </c>
      <c r="BY225" s="2629"/>
      <c r="BZ225" s="2629"/>
      <c r="CA225" s="2629"/>
      <c r="CB225" s="2629"/>
      <c r="CC225" s="2629"/>
      <c r="CD225" s="2629"/>
    </row>
    <row r="226" spans="1:82" s="98" customFormat="1" ht="15" customHeight="1">
      <c r="A226" s="99"/>
      <c r="B226" s="161"/>
      <c r="D226" s="162"/>
      <c r="E226" s="162" t="s">
        <v>2728</v>
      </c>
      <c r="F226" s="162"/>
      <c r="G226" s="163"/>
      <c r="H226" s="163"/>
      <c r="I226" s="2503"/>
      <c r="J226" s="2503"/>
      <c r="K226" s="2503"/>
      <c r="L226" s="2503"/>
      <c r="M226" s="2503"/>
      <c r="N226" s="2503"/>
      <c r="O226" s="2503"/>
      <c r="P226" s="2503"/>
      <c r="Q226" s="2503"/>
      <c r="R226" s="2503"/>
      <c r="S226" s="2503"/>
      <c r="T226" s="2503"/>
      <c r="U226" s="2503"/>
      <c r="V226" s="2503"/>
      <c r="W226" s="2645"/>
      <c r="X226" s="2503"/>
      <c r="Y226" s="2503"/>
      <c r="Z226" s="2503"/>
      <c r="AA226" s="2503"/>
      <c r="AB226" s="2503"/>
      <c r="AC226" s="2503"/>
      <c r="AD226" s="2503"/>
      <c r="AE226" s="2503"/>
      <c r="AF226" s="2503"/>
      <c r="AG226" s="2503"/>
      <c r="AH226" s="2503"/>
      <c r="AI226" s="2503"/>
      <c r="AJ226" s="2503"/>
      <c r="AK226" s="2503"/>
      <c r="AL226" s="2629"/>
      <c r="AM226" s="607" t="s">
        <v>2233</v>
      </c>
      <c r="AN226" s="143">
        <v>0</v>
      </c>
      <c r="AO226" s="141">
        <v>0</v>
      </c>
      <c r="AP226" s="141">
        <v>0</v>
      </c>
      <c r="AQ226" s="141">
        <v>0</v>
      </c>
      <c r="AR226" s="141">
        <v>0</v>
      </c>
      <c r="AS226" s="141">
        <v>0</v>
      </c>
      <c r="AT226" s="141">
        <v>0</v>
      </c>
      <c r="AU226" s="144">
        <v>0</v>
      </c>
      <c r="AV226" s="143">
        <v>0</v>
      </c>
      <c r="AW226" s="141">
        <v>0</v>
      </c>
      <c r="AX226" s="141">
        <v>0</v>
      </c>
      <c r="AY226" s="141">
        <v>0</v>
      </c>
      <c r="AZ226" s="144">
        <v>0</v>
      </c>
      <c r="BA226" s="2629"/>
      <c r="BB226" s="545" t="s">
        <v>2233</v>
      </c>
      <c r="BC226" s="141">
        <v>0</v>
      </c>
      <c r="BD226" s="545" t="s">
        <v>2233</v>
      </c>
      <c r="BE226" s="141">
        <v>0</v>
      </c>
      <c r="BF226" s="545" t="s">
        <v>2233</v>
      </c>
      <c r="BG226" s="141">
        <v>0</v>
      </c>
      <c r="BH226" s="607" t="s">
        <v>627</v>
      </c>
      <c r="BI226" s="868">
        <v>0</v>
      </c>
      <c r="BJ226" s="2629"/>
      <c r="BK226" s="2629"/>
      <c r="BL226" s="2629"/>
      <c r="BM226" s="2629"/>
      <c r="BN226" s="2629"/>
      <c r="BO226" s="2629"/>
      <c r="BP226" s="2629"/>
      <c r="BQ226" s="545" t="s">
        <v>2233</v>
      </c>
      <c r="BR226" s="141">
        <v>0</v>
      </c>
      <c r="BS226" s="545" t="s">
        <v>2233</v>
      </c>
      <c r="BT226" s="141">
        <v>0</v>
      </c>
      <c r="BU226" s="545" t="s">
        <v>2233</v>
      </c>
      <c r="BV226" s="141">
        <v>0</v>
      </c>
      <c r="BW226" s="607" t="s">
        <v>627</v>
      </c>
      <c r="BX226" s="872">
        <v>0</v>
      </c>
      <c r="BY226" s="2629"/>
      <c r="BZ226" s="2629"/>
      <c r="CA226" s="2629"/>
      <c r="CB226" s="2629"/>
      <c r="CC226" s="2629"/>
      <c r="CD226" s="2629"/>
    </row>
    <row r="227" spans="1:82" s="98" customFormat="1" ht="15" customHeight="1">
      <c r="A227" s="99"/>
      <c r="B227" s="161"/>
      <c r="D227" s="162"/>
      <c r="E227" s="162" t="s">
        <v>2736</v>
      </c>
      <c r="F227" s="162"/>
      <c r="G227" s="163"/>
      <c r="H227" s="163"/>
      <c r="I227" s="2503"/>
      <c r="J227" s="2503"/>
      <c r="K227" s="2503"/>
      <c r="L227" s="2503"/>
      <c r="M227" s="2503"/>
      <c r="N227" s="2503"/>
      <c r="O227" s="2503"/>
      <c r="P227" s="2503"/>
      <c r="Q227" s="2503"/>
      <c r="R227" s="2503"/>
      <c r="S227" s="2503"/>
      <c r="T227" s="2503"/>
      <c r="U227" s="2503"/>
      <c r="V227" s="2503"/>
      <c r="W227" s="2645"/>
      <c r="X227" s="2503"/>
      <c r="Y227" s="2503"/>
      <c r="Z227" s="2503"/>
      <c r="AA227" s="2503"/>
      <c r="AB227" s="2503"/>
      <c r="AC227" s="2503"/>
      <c r="AD227" s="2503"/>
      <c r="AE227" s="2503"/>
      <c r="AF227" s="2503"/>
      <c r="AG227" s="2503"/>
      <c r="AH227" s="2503"/>
      <c r="AI227" s="2503"/>
      <c r="AJ227" s="2503"/>
      <c r="AK227" s="2503"/>
      <c r="AL227" s="2629"/>
      <c r="AM227" s="607" t="s">
        <v>2233</v>
      </c>
      <c r="AN227" s="143">
        <v>0</v>
      </c>
      <c r="AO227" s="141">
        <v>0</v>
      </c>
      <c r="AP227" s="141">
        <v>0</v>
      </c>
      <c r="AQ227" s="141">
        <v>0</v>
      </c>
      <c r="AR227" s="141">
        <v>0</v>
      </c>
      <c r="AS227" s="141">
        <v>0</v>
      </c>
      <c r="AT227" s="141">
        <v>0</v>
      </c>
      <c r="AU227" s="144">
        <v>0</v>
      </c>
      <c r="AV227" s="143">
        <v>0</v>
      </c>
      <c r="AW227" s="141">
        <v>0</v>
      </c>
      <c r="AX227" s="141">
        <v>0</v>
      </c>
      <c r="AY227" s="141">
        <v>0</v>
      </c>
      <c r="AZ227" s="144">
        <v>0</v>
      </c>
      <c r="BA227" s="2629"/>
      <c r="BB227" s="545" t="s">
        <v>2233</v>
      </c>
      <c r="BC227" s="141">
        <v>0</v>
      </c>
      <c r="BD227" s="545" t="s">
        <v>2233</v>
      </c>
      <c r="BE227" s="141">
        <v>0</v>
      </c>
      <c r="BF227" s="545" t="s">
        <v>2233</v>
      </c>
      <c r="BG227" s="141">
        <v>0</v>
      </c>
      <c r="BH227" s="607" t="s">
        <v>627</v>
      </c>
      <c r="BI227" s="868">
        <v>0</v>
      </c>
      <c r="BJ227" s="2629"/>
      <c r="BK227" s="2629"/>
      <c r="BL227" s="2629"/>
      <c r="BM227" s="2629"/>
      <c r="BN227" s="2629"/>
      <c r="BO227" s="2629"/>
      <c r="BP227" s="2629"/>
      <c r="BQ227" s="545" t="s">
        <v>2233</v>
      </c>
      <c r="BR227" s="141">
        <v>0</v>
      </c>
      <c r="BS227" s="545" t="s">
        <v>2233</v>
      </c>
      <c r="BT227" s="141">
        <v>0</v>
      </c>
      <c r="BU227" s="545" t="s">
        <v>2233</v>
      </c>
      <c r="BV227" s="141">
        <v>0</v>
      </c>
      <c r="BW227" s="607" t="s">
        <v>627</v>
      </c>
      <c r="BX227" s="872">
        <v>0</v>
      </c>
      <c r="BY227" s="2629"/>
      <c r="BZ227" s="2629"/>
      <c r="CA227" s="2629"/>
      <c r="CB227" s="2629"/>
      <c r="CC227" s="2629"/>
      <c r="CD227" s="2629"/>
    </row>
    <row r="228" spans="1:82" s="98" customFormat="1" ht="15" customHeight="1">
      <c r="A228" s="99"/>
      <c r="B228" s="161"/>
      <c r="D228" s="162"/>
      <c r="E228" s="162" t="s">
        <v>2737</v>
      </c>
      <c r="F228" s="162"/>
      <c r="G228" s="163"/>
      <c r="H228" s="163"/>
      <c r="I228" s="2503"/>
      <c r="J228" s="2503"/>
      <c r="K228" s="2503"/>
      <c r="L228" s="2503"/>
      <c r="M228" s="2503"/>
      <c r="N228" s="2503"/>
      <c r="O228" s="2503"/>
      <c r="P228" s="2503"/>
      <c r="Q228" s="2503"/>
      <c r="R228" s="2503"/>
      <c r="S228" s="2503"/>
      <c r="T228" s="2503"/>
      <c r="U228" s="2503"/>
      <c r="V228" s="2503"/>
      <c r="W228" s="2645"/>
      <c r="X228" s="2503"/>
      <c r="Y228" s="2503"/>
      <c r="Z228" s="2503"/>
      <c r="AA228" s="2503"/>
      <c r="AB228" s="2503"/>
      <c r="AC228" s="2503"/>
      <c r="AD228" s="2503"/>
      <c r="AE228" s="2503"/>
      <c r="AF228" s="2503"/>
      <c r="AG228" s="2503"/>
      <c r="AH228" s="2503"/>
      <c r="AI228" s="2503"/>
      <c r="AJ228" s="2503"/>
      <c r="AK228" s="2503"/>
      <c r="AL228" s="2629"/>
      <c r="AM228" s="607" t="s">
        <v>2233</v>
      </c>
      <c r="AN228" s="143">
        <v>0</v>
      </c>
      <c r="AO228" s="141">
        <v>0</v>
      </c>
      <c r="AP228" s="141">
        <v>0</v>
      </c>
      <c r="AQ228" s="141">
        <v>0</v>
      </c>
      <c r="AR228" s="141">
        <v>0</v>
      </c>
      <c r="AS228" s="141">
        <v>0</v>
      </c>
      <c r="AT228" s="141">
        <v>0</v>
      </c>
      <c r="AU228" s="144">
        <v>0</v>
      </c>
      <c r="AV228" s="143">
        <v>0</v>
      </c>
      <c r="AW228" s="141">
        <v>0</v>
      </c>
      <c r="AX228" s="141">
        <v>0</v>
      </c>
      <c r="AY228" s="141">
        <v>0</v>
      </c>
      <c r="AZ228" s="144">
        <v>0</v>
      </c>
      <c r="BA228" s="2629"/>
      <c r="BB228" s="545" t="s">
        <v>2233</v>
      </c>
      <c r="BC228" s="141">
        <v>0</v>
      </c>
      <c r="BD228" s="545" t="s">
        <v>2233</v>
      </c>
      <c r="BE228" s="141">
        <v>0</v>
      </c>
      <c r="BF228" s="545" t="s">
        <v>2233</v>
      </c>
      <c r="BG228" s="141">
        <v>0</v>
      </c>
      <c r="BH228" s="607" t="s">
        <v>627</v>
      </c>
      <c r="BI228" s="868">
        <v>0</v>
      </c>
      <c r="BJ228" s="2629"/>
      <c r="BK228" s="2629"/>
      <c r="BL228" s="2629"/>
      <c r="BM228" s="2629"/>
      <c r="BN228" s="2629"/>
      <c r="BO228" s="2629"/>
      <c r="BP228" s="2629"/>
      <c r="BQ228" s="545" t="s">
        <v>2233</v>
      </c>
      <c r="BR228" s="141">
        <v>0</v>
      </c>
      <c r="BS228" s="545" t="s">
        <v>2233</v>
      </c>
      <c r="BT228" s="141">
        <v>0</v>
      </c>
      <c r="BU228" s="545" t="s">
        <v>2233</v>
      </c>
      <c r="BV228" s="141">
        <v>0</v>
      </c>
      <c r="BW228" s="607" t="s">
        <v>627</v>
      </c>
      <c r="BX228" s="872">
        <v>0</v>
      </c>
      <c r="BY228" s="2629"/>
      <c r="BZ228" s="2629"/>
      <c r="CA228" s="2629"/>
      <c r="CB228" s="2629"/>
      <c r="CC228" s="2629"/>
      <c r="CD228" s="2629"/>
    </row>
    <row r="229" spans="1:82" s="98" customFormat="1" ht="15" customHeight="1">
      <c r="A229" s="99"/>
      <c r="B229" s="161"/>
      <c r="D229" s="162" t="s">
        <v>1710</v>
      </c>
      <c r="E229" s="162"/>
      <c r="F229" s="162"/>
      <c r="G229" s="163"/>
      <c r="H229" s="163"/>
      <c r="I229" s="2503"/>
      <c r="J229" s="2503"/>
      <c r="K229" s="2503"/>
      <c r="L229" s="2503"/>
      <c r="M229" s="2503"/>
      <c r="N229" s="2503"/>
      <c r="O229" s="2503"/>
      <c r="P229" s="2503"/>
      <c r="Q229" s="2503"/>
      <c r="R229" s="2503"/>
      <c r="S229" s="2503"/>
      <c r="T229" s="2503"/>
      <c r="U229" s="2503"/>
      <c r="V229" s="2503"/>
      <c r="W229" s="2645"/>
      <c r="X229" s="2503"/>
      <c r="Y229" s="2503"/>
      <c r="Z229" s="2503"/>
      <c r="AA229" s="2503"/>
      <c r="AB229" s="2503"/>
      <c r="AC229" s="2503"/>
      <c r="AD229" s="2503"/>
      <c r="AE229" s="2503"/>
      <c r="AF229" s="2503"/>
      <c r="AG229" s="2503"/>
      <c r="AH229" s="2503"/>
      <c r="AI229" s="2503"/>
      <c r="AJ229" s="2503"/>
      <c r="AK229" s="2503"/>
      <c r="AL229" s="2629"/>
      <c r="AM229" s="607" t="s">
        <v>2233</v>
      </c>
      <c r="AN229" s="641">
        <f>SUM(AN220:AN228)</f>
        <v>0</v>
      </c>
      <c r="AO229" s="642">
        <f t="shared" ref="AO229:AZ229" si="50">SUM(AO220:AO228)</f>
        <v>0</v>
      </c>
      <c r="AP229" s="642">
        <f t="shared" si="50"/>
        <v>0</v>
      </c>
      <c r="AQ229" s="642">
        <f t="shared" si="50"/>
        <v>0</v>
      </c>
      <c r="AR229" s="642">
        <f t="shared" si="50"/>
        <v>0</v>
      </c>
      <c r="AS229" s="642">
        <f t="shared" si="50"/>
        <v>0</v>
      </c>
      <c r="AT229" s="642">
        <f t="shared" si="50"/>
        <v>0</v>
      </c>
      <c r="AU229" s="643">
        <f t="shared" si="50"/>
        <v>0</v>
      </c>
      <c r="AV229" s="641">
        <f t="shared" si="50"/>
        <v>0</v>
      </c>
      <c r="AW229" s="642">
        <f t="shared" si="50"/>
        <v>0</v>
      </c>
      <c r="AX229" s="642">
        <f t="shared" si="50"/>
        <v>0</v>
      </c>
      <c r="AY229" s="642">
        <f t="shared" si="50"/>
        <v>0</v>
      </c>
      <c r="AZ229" s="643">
        <f t="shared" si="50"/>
        <v>0</v>
      </c>
      <c r="BA229" s="2629"/>
      <c r="BB229" s="545" t="s">
        <v>2233</v>
      </c>
      <c r="BC229" s="642">
        <f>SUM(BC220:BC228)</f>
        <v>0</v>
      </c>
      <c r="BD229" s="545" t="s">
        <v>2233</v>
      </c>
      <c r="BE229" s="642">
        <f>SUM(BE220:BE228)</f>
        <v>0</v>
      </c>
      <c r="BF229" s="545" t="s">
        <v>2233</v>
      </c>
      <c r="BG229" s="642">
        <f>SUM(BG220:BG228)</f>
        <v>0</v>
      </c>
      <c r="BH229" s="2629"/>
      <c r="BI229" s="2629"/>
      <c r="BJ229" s="2629"/>
      <c r="BK229" s="2629"/>
      <c r="BL229" s="2629"/>
      <c r="BM229" s="2629"/>
      <c r="BN229" s="2629"/>
      <c r="BO229" s="2629"/>
      <c r="BP229" s="2629"/>
      <c r="BQ229" s="545" t="s">
        <v>2233</v>
      </c>
      <c r="BR229" s="642">
        <f>SUM(BR220:BR228)</f>
        <v>0</v>
      </c>
      <c r="BS229" s="545" t="s">
        <v>2233</v>
      </c>
      <c r="BT229" s="642">
        <f>SUM(BT220:BT228)</f>
        <v>0</v>
      </c>
      <c r="BU229" s="545" t="s">
        <v>2233</v>
      </c>
      <c r="BV229" s="642">
        <f>SUM(BV220:BV228)</f>
        <v>0</v>
      </c>
      <c r="BW229" s="2629"/>
      <c r="BX229" s="2653"/>
      <c r="BY229" s="2629"/>
      <c r="BZ229" s="2629"/>
      <c r="CA229" s="2629"/>
      <c r="CB229" s="2629"/>
      <c r="CC229" s="2629"/>
      <c r="CD229" s="2629"/>
    </row>
    <row r="230" spans="1:82" s="98" customFormat="1" ht="15" customHeight="1">
      <c r="A230" s="99"/>
      <c r="B230" s="123"/>
      <c r="C230" s="127"/>
      <c r="D230" s="127"/>
      <c r="E230" s="127"/>
      <c r="F230" s="127"/>
      <c r="G230" s="117"/>
      <c r="H230" s="117"/>
      <c r="I230" s="1691"/>
      <c r="J230" s="2503"/>
      <c r="K230" s="2503"/>
      <c r="L230" s="2503"/>
      <c r="M230" s="2503"/>
      <c r="N230" s="2503"/>
      <c r="O230" s="2503"/>
      <c r="P230" s="2503"/>
      <c r="Q230" s="2503"/>
      <c r="R230" s="2503"/>
      <c r="S230" s="2503"/>
      <c r="T230" s="2503"/>
      <c r="U230" s="2503"/>
      <c r="V230" s="2503"/>
      <c r="W230" s="2645"/>
      <c r="X230" s="2503"/>
      <c r="Y230" s="2503"/>
      <c r="Z230" s="2503"/>
      <c r="AA230" s="2503"/>
      <c r="AB230" s="2503"/>
      <c r="AC230" s="2503"/>
      <c r="AD230" s="2503"/>
      <c r="AE230" s="2503"/>
      <c r="AF230" s="2503"/>
      <c r="AG230" s="2503"/>
      <c r="AH230" s="2503"/>
      <c r="AI230" s="2503"/>
      <c r="AJ230" s="2503"/>
      <c r="AK230" s="2503"/>
      <c r="AL230" s="2629"/>
      <c r="AM230" s="94"/>
      <c r="AN230" s="713"/>
      <c r="AO230" s="2649"/>
      <c r="AP230" s="2649"/>
      <c r="AQ230" s="2649"/>
      <c r="AR230" s="2649"/>
      <c r="AS230" s="2649"/>
      <c r="AT230" s="2649"/>
      <c r="AU230" s="715"/>
      <c r="AV230" s="713"/>
      <c r="AW230" s="2649"/>
      <c r="AX230" s="2649"/>
      <c r="AY230" s="2649"/>
      <c r="AZ230" s="715"/>
      <c r="BA230" s="2629"/>
      <c r="BB230" s="542"/>
      <c r="BC230" s="542"/>
      <c r="BD230" s="542"/>
      <c r="BE230" s="542"/>
      <c r="BF230" s="542"/>
      <c r="BG230" s="542"/>
      <c r="BH230" s="542"/>
      <c r="BI230" s="542"/>
      <c r="BJ230" s="542"/>
      <c r="BK230" s="2629"/>
      <c r="BL230" s="2629"/>
      <c r="BM230" s="2629"/>
      <c r="BN230" s="2629"/>
      <c r="BO230" s="2629"/>
      <c r="BP230" s="2629"/>
      <c r="BQ230" s="542"/>
      <c r="BR230" s="542"/>
      <c r="BS230" s="542"/>
      <c r="BT230" s="542"/>
      <c r="BU230" s="542"/>
      <c r="BV230" s="542"/>
      <c r="BW230" s="542"/>
      <c r="BX230" s="544"/>
      <c r="BY230" s="2629"/>
      <c r="BZ230" s="2629"/>
      <c r="CA230" s="2629"/>
      <c r="CB230" s="2629"/>
      <c r="CC230" s="2629"/>
      <c r="CD230" s="2629"/>
    </row>
    <row r="231" spans="1:82" s="98" customFormat="1" ht="15" customHeight="1" thickBot="1">
      <c r="A231" s="99"/>
      <c r="B231" s="191" t="s">
        <v>1701</v>
      </c>
      <c r="C231" s="193"/>
      <c r="D231" s="193"/>
      <c r="E231" s="193"/>
      <c r="F231" s="193"/>
      <c r="G231" s="194"/>
      <c r="H231" s="194"/>
      <c r="I231" s="1692"/>
      <c r="J231" s="1692"/>
      <c r="K231" s="1692"/>
      <c r="L231" s="1692"/>
      <c r="M231" s="1692"/>
      <c r="N231" s="1692"/>
      <c r="O231" s="1692"/>
      <c r="P231" s="1692"/>
      <c r="Q231" s="1692"/>
      <c r="R231" s="1692"/>
      <c r="S231" s="1692"/>
      <c r="T231" s="1692"/>
      <c r="U231" s="1692"/>
      <c r="V231" s="1692"/>
      <c r="W231" s="194"/>
      <c r="X231" s="1692"/>
      <c r="Y231" s="1692"/>
      <c r="Z231" s="1692"/>
      <c r="AA231" s="1692"/>
      <c r="AB231" s="1692"/>
      <c r="AC231" s="1692"/>
      <c r="AD231" s="1692"/>
      <c r="AE231" s="1692"/>
      <c r="AF231" s="1692"/>
      <c r="AG231" s="1692"/>
      <c r="AH231" s="1692"/>
      <c r="AI231" s="1692"/>
      <c r="AJ231" s="1692"/>
      <c r="AK231" s="1692"/>
      <c r="AL231" s="2654"/>
      <c r="AM231" s="1083" t="s">
        <v>2233</v>
      </c>
      <c r="AN231" s="701">
        <f t="shared" ref="AN231:AZ231" si="51">SUM(AN192,AN200,AN206,AN212,AN217,AN229)</f>
        <v>-6.1954500000000001</v>
      </c>
      <c r="AO231" s="702">
        <f t="shared" si="51"/>
        <v>-6.4708999999999977</v>
      </c>
      <c r="AP231" s="702">
        <f t="shared" si="51"/>
        <v>-4.0523999999999987</v>
      </c>
      <c r="AQ231" s="702">
        <f t="shared" si="51"/>
        <v>-3.2579999999999898</v>
      </c>
      <c r="AR231" s="702">
        <f t="shared" si="51"/>
        <v>-4.8089999999999922</v>
      </c>
      <c r="AS231" s="702">
        <f t="shared" si="51"/>
        <v>-4.1579999999999968</v>
      </c>
      <c r="AT231" s="702">
        <f t="shared" si="51"/>
        <v>-3.5000000000000009</v>
      </c>
      <c r="AU231" s="703">
        <f t="shared" si="51"/>
        <v>-3.5000000000000004</v>
      </c>
      <c r="AV231" s="701">
        <f t="shared" si="51"/>
        <v>-5.6033499999999998</v>
      </c>
      <c r="AW231" s="702">
        <f t="shared" si="51"/>
        <v>-5.6033499999999998</v>
      </c>
      <c r="AX231" s="702">
        <f t="shared" si="51"/>
        <v>-5.6033499999999998</v>
      </c>
      <c r="AY231" s="702">
        <f t="shared" si="51"/>
        <v>-5.6033499999999998</v>
      </c>
      <c r="AZ231" s="703">
        <f t="shared" si="51"/>
        <v>-5.6033499999999998</v>
      </c>
      <c r="BA231" s="2630"/>
      <c r="BB231" s="1081" t="s">
        <v>2233</v>
      </c>
      <c r="BC231" s="702">
        <f>SUM(BC192,BC200,BC206,BC212,BC217,BC229)</f>
        <v>0</v>
      </c>
      <c r="BD231" s="1081" t="s">
        <v>2233</v>
      </c>
      <c r="BE231" s="702">
        <f>SUM(BE192,BE200,BE206,BE212,BE217,BE229)</f>
        <v>0</v>
      </c>
      <c r="BF231" s="1081" t="s">
        <v>2233</v>
      </c>
      <c r="BG231" s="702">
        <f>SUM(BG192,BG200,BG206,BG212,BG217,BG229)</f>
        <v>0</v>
      </c>
      <c r="BH231" s="2630"/>
      <c r="BI231" s="2630"/>
      <c r="BJ231" s="2630"/>
      <c r="BK231" s="2630"/>
      <c r="BL231" s="2630"/>
      <c r="BM231" s="2630"/>
      <c r="BN231" s="2630"/>
      <c r="BO231" s="2630"/>
      <c r="BP231" s="2654"/>
      <c r="BQ231" s="1081" t="s">
        <v>2233</v>
      </c>
      <c r="BR231" s="702">
        <f>SUM(BR192,BR200,BR206,BR212,BR217,BR229)</f>
        <v>0</v>
      </c>
      <c r="BS231" s="1081" t="s">
        <v>2233</v>
      </c>
      <c r="BT231" s="702">
        <f>SUM(BT192,BT200,BT206,BT212,BT217,BT229)</f>
        <v>0</v>
      </c>
      <c r="BU231" s="1081" t="s">
        <v>2233</v>
      </c>
      <c r="BV231" s="702">
        <f>SUM(BV192,BV200,BV206,BV212,BV217,BV229)</f>
        <v>0</v>
      </c>
      <c r="BW231" s="2630"/>
      <c r="BX231" s="2651"/>
      <c r="BY231" s="2629"/>
      <c r="BZ231" s="2629"/>
      <c r="CA231" s="2629"/>
      <c r="CB231" s="2629"/>
      <c r="CC231" s="2629"/>
      <c r="CD231" s="2629"/>
    </row>
    <row r="232" spans="1:82" s="99" customFormat="1" ht="15" customHeight="1">
      <c r="B232" s="150"/>
      <c r="C232" s="150"/>
      <c r="D232" s="150"/>
      <c r="E232" s="150"/>
      <c r="F232" s="150"/>
      <c r="G232" s="97"/>
      <c r="H232" s="97"/>
      <c r="I232" s="98"/>
      <c r="J232" s="98"/>
      <c r="K232" s="98"/>
      <c r="L232" s="98"/>
      <c r="M232" s="98"/>
      <c r="N232" s="98"/>
      <c r="O232" s="98"/>
      <c r="P232" s="98"/>
      <c r="Q232" s="98"/>
      <c r="R232" s="98"/>
      <c r="S232" s="98"/>
      <c r="T232" s="98"/>
      <c r="U232" s="98"/>
      <c r="V232" s="98"/>
      <c r="W232" s="163"/>
      <c r="X232" s="98"/>
      <c r="AM232" s="173"/>
      <c r="AN232" s="173"/>
      <c r="AO232" s="173"/>
      <c r="AP232" s="173"/>
      <c r="AQ232" s="173"/>
      <c r="AR232" s="173"/>
      <c r="AS232" s="173"/>
      <c r="AT232" s="173"/>
      <c r="AU232" s="173"/>
      <c r="AV232" s="173"/>
      <c r="AW232" s="173"/>
      <c r="AX232" s="173"/>
      <c r="AY232" s="173"/>
      <c r="AZ232" s="173"/>
      <c r="BA232" s="173"/>
      <c r="BB232" s="173"/>
      <c r="BC232" s="173"/>
      <c r="BD232" s="100"/>
      <c r="BE232" s="100"/>
      <c r="BF232" s="100"/>
      <c r="BG232" s="100"/>
      <c r="BH232" s="100"/>
      <c r="BI232" s="100"/>
      <c r="BJ232" s="100"/>
    </row>
    <row r="233" spans="1:82">
      <c r="I233" s="173"/>
      <c r="J233" s="175"/>
      <c r="AC233" s="173"/>
    </row>
  </sheetData>
  <mergeCells count="2">
    <mergeCell ref="J9:Q9"/>
    <mergeCell ref="R9:V9"/>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rgb="FFFF6600"/>
  </sheetPr>
  <dimension ref="A1:CF327"/>
  <sheetViews>
    <sheetView showGridLines="0" topLeftCell="A256" zoomScale="60" zoomScaleNormal="60" workbookViewId="0">
      <pane xSplit="7" topLeftCell="AL1" activePane="topRight" state="frozen"/>
      <selection activeCell="G14" sqref="G14"/>
      <selection pane="topRight" activeCell="AN297" sqref="AN297"/>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5.625" style="173" customWidth="1"/>
    <col min="54" max="58" width="15.625" style="173" customWidth="1"/>
    <col min="59" max="59" width="11.875" style="173"/>
    <col min="60" max="67" width="13.625" style="173" customWidth="1"/>
    <col min="68" max="68" width="5.625" style="173" customWidth="1"/>
    <col min="69"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2764</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2682"/>
      <c r="AH8" s="2682"/>
      <c r="AI8" s="2682"/>
      <c r="AJ8" s="2682"/>
      <c r="AK8" s="2682"/>
      <c r="AL8" s="2682"/>
      <c r="AM8" s="2682"/>
      <c r="AN8" s="2682"/>
      <c r="AO8" s="2682"/>
      <c r="AP8" s="2682"/>
      <c r="AQ8" s="2682"/>
      <c r="AT8" s="2682"/>
      <c r="AU8" s="2682"/>
      <c r="AV8" s="2682"/>
      <c r="AW8" s="2682"/>
      <c r="AX8" s="2682"/>
      <c r="AY8" s="2682"/>
      <c r="AZ8" s="2682"/>
      <c r="BA8" s="2682"/>
      <c r="BB8" s="2682"/>
      <c r="BC8" s="2682"/>
      <c r="BD8" s="2682"/>
      <c r="BE8" s="2682"/>
      <c r="BF8" s="2682"/>
    </row>
    <row r="9" spans="1:59" s="113" customFormat="1" ht="30" customHeight="1">
      <c r="A9" s="89"/>
      <c r="B9" s="109"/>
      <c r="C9" s="2683"/>
      <c r="D9" s="2683"/>
      <c r="E9" s="2683"/>
      <c r="F9" s="2683"/>
      <c r="H9" s="2663"/>
      <c r="I9" s="2663"/>
      <c r="J9" s="3012" t="s">
        <v>1666</v>
      </c>
      <c r="K9" s="3013"/>
      <c r="L9" s="3013"/>
      <c r="M9" s="3013"/>
      <c r="N9" s="3013"/>
      <c r="O9" s="3013"/>
      <c r="P9" s="3013"/>
      <c r="Q9" s="3014"/>
      <c r="R9" s="3015" t="s">
        <v>2</v>
      </c>
      <c r="S9" s="3016"/>
      <c r="T9" s="3016"/>
      <c r="U9" s="3016"/>
      <c r="V9" s="3017"/>
      <c r="AG9" s="2684"/>
      <c r="AH9" s="2684"/>
      <c r="AI9" s="2684"/>
      <c r="AJ9" s="2684"/>
      <c r="AK9" s="2684"/>
      <c r="AL9" s="2684"/>
      <c r="AM9" s="2684"/>
      <c r="AN9" s="2684"/>
      <c r="AO9" s="2684"/>
      <c r="AP9" s="2684"/>
      <c r="AQ9" s="2684"/>
      <c r="AT9" s="2684"/>
      <c r="AU9" s="2684"/>
      <c r="AV9" s="2684"/>
      <c r="AW9" s="2684"/>
      <c r="AX9" s="2684"/>
      <c r="AY9" s="2684"/>
      <c r="AZ9" s="2684"/>
      <c r="BA9" s="2684"/>
      <c r="BB9" s="2684"/>
      <c r="BC9" s="2684"/>
      <c r="BD9" s="2684"/>
      <c r="BE9" s="2684"/>
      <c r="BF9" s="2684"/>
    </row>
    <row r="10" spans="1:59" s="89" customFormat="1" ht="15" customHeight="1">
      <c r="B10" s="115"/>
      <c r="C10" s="2685"/>
      <c r="D10" s="2685"/>
      <c r="E10" s="2685"/>
      <c r="F10" s="2685"/>
      <c r="G10" s="94"/>
      <c r="H10" s="2664"/>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3"/>
      <c r="X10" s="93"/>
      <c r="Y10" s="93"/>
      <c r="Z10" s="93"/>
      <c r="AG10" s="93"/>
      <c r="AH10" s="93"/>
      <c r="AI10" s="93"/>
      <c r="AJ10" s="93"/>
      <c r="AK10" s="93"/>
      <c r="AL10" s="93"/>
      <c r="AM10" s="93"/>
      <c r="AN10" s="93"/>
      <c r="AO10" s="93"/>
      <c r="AP10" s="93"/>
      <c r="AQ10" s="93"/>
      <c r="AR10" s="94"/>
      <c r="AS10" s="94"/>
      <c r="AT10" s="93"/>
      <c r="AU10" s="93"/>
      <c r="AV10" s="93"/>
      <c r="AW10" s="93"/>
      <c r="AX10" s="93"/>
      <c r="AY10" s="93"/>
      <c r="AZ10" s="93"/>
      <c r="BA10" s="93"/>
      <c r="BB10" s="93"/>
      <c r="BC10" s="93"/>
      <c r="BD10" s="93"/>
      <c r="BE10" s="93"/>
      <c r="BF10" s="93"/>
      <c r="BG10" s="94"/>
    </row>
    <row r="11" spans="1:59" s="89" customFormat="1" ht="15" customHeight="1">
      <c r="B11" s="115"/>
      <c r="C11" s="2685" t="s">
        <v>2270</v>
      </c>
      <c r="D11" s="2685"/>
      <c r="E11" s="2685"/>
      <c r="F11" s="2685"/>
      <c r="G11" s="94"/>
      <c r="H11" s="2664"/>
      <c r="I11" s="2664"/>
      <c r="J11" s="139"/>
      <c r="K11" s="2664"/>
      <c r="L11" s="2664"/>
      <c r="M11" s="2664"/>
      <c r="N11" s="2664"/>
      <c r="O11" s="2664"/>
      <c r="P11" s="2664"/>
      <c r="Q11" s="140"/>
      <c r="R11" s="139"/>
      <c r="S11" s="2664"/>
      <c r="T11" s="2664"/>
      <c r="U11" s="2664"/>
      <c r="V11" s="140"/>
      <c r="W11" s="93"/>
      <c r="X11" s="93"/>
      <c r="Y11" s="93"/>
      <c r="Z11" s="93"/>
      <c r="AG11" s="93"/>
      <c r="AH11" s="93"/>
      <c r="AI11" s="93"/>
      <c r="AJ11" s="93"/>
      <c r="AK11" s="93"/>
      <c r="AL11" s="93"/>
      <c r="AM11" s="93"/>
      <c r="AN11" s="93"/>
      <c r="AO11" s="93"/>
      <c r="AP11" s="93"/>
      <c r="AQ11" s="93"/>
      <c r="AR11" s="94"/>
      <c r="AS11" s="94"/>
      <c r="AT11" s="93"/>
      <c r="AU11" s="93"/>
      <c r="AV11" s="93"/>
      <c r="AW11" s="93"/>
      <c r="AX11" s="93"/>
      <c r="AY11" s="93"/>
      <c r="AZ11" s="93"/>
      <c r="BA11" s="93"/>
      <c r="BB11" s="93"/>
      <c r="BC11" s="93"/>
      <c r="BD11" s="93"/>
      <c r="BE11" s="93"/>
      <c r="BF11" s="93"/>
      <c r="BG11" s="94"/>
    </row>
    <row r="12" spans="1:59" s="89" customFormat="1" ht="15" customHeight="1">
      <c r="B12" s="123"/>
      <c r="C12" s="2686"/>
      <c r="D12" s="2686" t="s">
        <v>2765</v>
      </c>
      <c r="E12" s="2686"/>
      <c r="F12" s="2686"/>
      <c r="G12" s="94"/>
      <c r="H12" s="2664"/>
      <c r="I12" s="119" t="s">
        <v>498</v>
      </c>
      <c r="J12" s="128">
        <f>J34</f>
        <v>0.82310903960119397</v>
      </c>
      <c r="K12" s="129">
        <f t="shared" ref="K12:V12" si="0">K34</f>
        <v>0.63656232037239291</v>
      </c>
      <c r="L12" s="129">
        <f t="shared" si="0"/>
        <v>1.1260142144641918</v>
      </c>
      <c r="M12" s="129">
        <f t="shared" si="0"/>
        <v>6.4468245350761746E-2</v>
      </c>
      <c r="N12" s="129">
        <f t="shared" si="0"/>
        <v>0.13263535135645702</v>
      </c>
      <c r="O12" s="129">
        <f t="shared" si="0"/>
        <v>0.20942024916033314</v>
      </c>
      <c r="P12" s="129">
        <f t="shared" si="0"/>
        <v>0.43721688428126598</v>
      </c>
      <c r="Q12" s="130">
        <f t="shared" si="0"/>
        <v>0.40101596216667562</v>
      </c>
      <c r="R12" s="128">
        <f t="shared" si="0"/>
        <v>0.9958838607966537</v>
      </c>
      <c r="S12" s="129">
        <f t="shared" si="0"/>
        <v>0.99090444149267043</v>
      </c>
      <c r="T12" s="129">
        <f t="shared" si="0"/>
        <v>0.98594991928520714</v>
      </c>
      <c r="U12" s="129">
        <f t="shared" si="0"/>
        <v>0.98102016968878103</v>
      </c>
      <c r="V12" s="130">
        <f t="shared" si="0"/>
        <v>0.97611506884033716</v>
      </c>
      <c r="AG12" s="93"/>
      <c r="AH12" s="93"/>
      <c r="AI12" s="93"/>
      <c r="AJ12" s="93"/>
      <c r="AK12" s="93"/>
      <c r="AL12" s="93"/>
      <c r="AM12" s="93"/>
      <c r="AN12" s="93"/>
      <c r="AO12" s="93"/>
      <c r="AP12" s="93"/>
      <c r="AQ12" s="93"/>
      <c r="AR12" s="94"/>
      <c r="AS12" s="94"/>
      <c r="AT12" s="93"/>
      <c r="AU12" s="93"/>
      <c r="AV12" s="93"/>
      <c r="AW12" s="93"/>
      <c r="AX12" s="93"/>
      <c r="AY12" s="93"/>
      <c r="AZ12" s="93"/>
      <c r="BA12" s="93"/>
      <c r="BB12" s="93"/>
      <c r="BC12" s="93"/>
      <c r="BD12" s="93"/>
      <c r="BE12" s="93"/>
      <c r="BF12" s="93"/>
      <c r="BG12" s="94"/>
    </row>
    <row r="13" spans="1:59" s="89" customFormat="1" ht="15" customHeight="1">
      <c r="B13" s="123"/>
      <c r="C13" s="2686"/>
      <c r="D13" s="2686" t="s">
        <v>2766</v>
      </c>
      <c r="E13" s="2686"/>
      <c r="F13" s="2686"/>
      <c r="G13" s="94"/>
      <c r="H13" s="2664"/>
      <c r="I13" s="119" t="s">
        <v>498</v>
      </c>
      <c r="J13" s="128">
        <f>J45</f>
        <v>0</v>
      </c>
      <c r="K13" s="129">
        <f t="shared" ref="K13:V13" si="1">K45</f>
        <v>0</v>
      </c>
      <c r="L13" s="129">
        <f t="shared" si="1"/>
        <v>0</v>
      </c>
      <c r="M13" s="129">
        <f t="shared" si="1"/>
        <v>0</v>
      </c>
      <c r="N13" s="129">
        <f t="shared" si="1"/>
        <v>0</v>
      </c>
      <c r="O13" s="129">
        <f t="shared" si="1"/>
        <v>0</v>
      </c>
      <c r="P13" s="129">
        <f t="shared" si="1"/>
        <v>0</v>
      </c>
      <c r="Q13" s="130">
        <f t="shared" si="1"/>
        <v>0</v>
      </c>
      <c r="R13" s="128">
        <f t="shared" si="1"/>
        <v>0</v>
      </c>
      <c r="S13" s="129">
        <f t="shared" si="1"/>
        <v>0</v>
      </c>
      <c r="T13" s="129">
        <f t="shared" si="1"/>
        <v>0</v>
      </c>
      <c r="U13" s="129">
        <f t="shared" si="1"/>
        <v>0</v>
      </c>
      <c r="V13" s="130">
        <f t="shared" si="1"/>
        <v>0</v>
      </c>
      <c r="AG13" s="93"/>
      <c r="AH13" s="93"/>
      <c r="AI13" s="93"/>
      <c r="AJ13" s="93"/>
      <c r="AK13" s="93"/>
      <c r="AL13" s="93"/>
      <c r="AM13" s="93"/>
      <c r="AN13" s="93"/>
      <c r="AO13" s="93"/>
      <c r="AP13" s="93"/>
      <c r="AQ13" s="93"/>
      <c r="AR13" s="94"/>
      <c r="AS13" s="94"/>
      <c r="AT13" s="93"/>
      <c r="AU13" s="93"/>
      <c r="AV13" s="93"/>
      <c r="AW13" s="93"/>
      <c r="AX13" s="93"/>
      <c r="AY13" s="93"/>
      <c r="AZ13" s="93"/>
      <c r="BA13" s="93"/>
      <c r="BB13" s="93"/>
      <c r="BC13" s="93"/>
      <c r="BD13" s="93"/>
      <c r="BE13" s="93"/>
      <c r="BF13" s="93"/>
      <c r="BG13" s="94"/>
    </row>
    <row r="14" spans="1:59" s="89" customFormat="1" ht="15" customHeight="1">
      <c r="B14" s="123"/>
      <c r="C14" s="2686"/>
      <c r="D14" s="2686" t="s">
        <v>2767</v>
      </c>
      <c r="E14" s="2686"/>
      <c r="F14" s="2686"/>
      <c r="G14" s="94"/>
      <c r="H14" s="2664"/>
      <c r="I14" s="119" t="s">
        <v>498</v>
      </c>
      <c r="J14" s="128">
        <f>J56</f>
        <v>0.79967990110584719</v>
      </c>
      <c r="K14" s="129">
        <f t="shared" ref="K14:V14" si="2">K56</f>
        <v>5.2283910386901652E-2</v>
      </c>
      <c r="L14" s="129">
        <f t="shared" si="2"/>
        <v>0.12044855941833393</v>
      </c>
      <c r="M14" s="129">
        <f t="shared" si="2"/>
        <v>5.8966142527714573E-2</v>
      </c>
      <c r="N14" s="129">
        <f t="shared" si="2"/>
        <v>0</v>
      </c>
      <c r="O14" s="129">
        <f t="shared" si="2"/>
        <v>3.7745408610535526E-2</v>
      </c>
      <c r="P14" s="129">
        <f t="shared" si="2"/>
        <v>0.16481147283768116</v>
      </c>
      <c r="Q14" s="130">
        <f t="shared" si="2"/>
        <v>0.12500720532684104</v>
      </c>
      <c r="R14" s="128">
        <f t="shared" si="2"/>
        <v>0.54046725726429601</v>
      </c>
      <c r="S14" s="129">
        <f t="shared" si="2"/>
        <v>0.53776492097797435</v>
      </c>
      <c r="T14" s="129">
        <f t="shared" si="2"/>
        <v>0.53507609637308462</v>
      </c>
      <c r="U14" s="129">
        <f t="shared" si="2"/>
        <v>0.53240071589121918</v>
      </c>
      <c r="V14" s="130">
        <f t="shared" si="2"/>
        <v>0.52973871231176306</v>
      </c>
      <c r="AG14" s="93"/>
      <c r="AH14" s="93"/>
      <c r="AI14" s="93"/>
      <c r="AJ14" s="93"/>
      <c r="AK14" s="93"/>
      <c r="AL14" s="93"/>
      <c r="AM14" s="93"/>
      <c r="AN14" s="93"/>
      <c r="AO14" s="93"/>
      <c r="AP14" s="93"/>
      <c r="AQ14" s="93"/>
      <c r="AR14" s="94"/>
      <c r="AS14" s="94"/>
      <c r="AT14" s="93"/>
      <c r="AU14" s="93"/>
      <c r="AV14" s="93"/>
      <c r="AW14" s="93"/>
      <c r="AX14" s="93"/>
      <c r="AY14" s="93"/>
      <c r="AZ14" s="93"/>
      <c r="BA14" s="93"/>
      <c r="BB14" s="93"/>
      <c r="BC14" s="93"/>
      <c r="BD14" s="93"/>
      <c r="BE14" s="93"/>
      <c r="BF14" s="93"/>
      <c r="BG14" s="94"/>
    </row>
    <row r="15" spans="1:59" s="89" customFormat="1" ht="15" customHeight="1">
      <c r="B15" s="123"/>
      <c r="C15" s="2686"/>
      <c r="D15" s="2686" t="s">
        <v>2768</v>
      </c>
      <c r="E15" s="2686"/>
      <c r="F15" s="2686"/>
      <c r="G15" s="94"/>
      <c r="H15" s="2664"/>
      <c r="I15" s="119" t="s">
        <v>498</v>
      </c>
      <c r="J15" s="128">
        <f>J67</f>
        <v>0</v>
      </c>
      <c r="K15" s="129">
        <f t="shared" ref="K15:V15" si="3">K67</f>
        <v>0</v>
      </c>
      <c r="L15" s="129">
        <f t="shared" si="3"/>
        <v>0</v>
      </c>
      <c r="M15" s="129">
        <f t="shared" si="3"/>
        <v>0</v>
      </c>
      <c r="N15" s="129">
        <f t="shared" si="3"/>
        <v>0</v>
      </c>
      <c r="O15" s="129">
        <f t="shared" si="3"/>
        <v>0</v>
      </c>
      <c r="P15" s="129">
        <f t="shared" si="3"/>
        <v>0</v>
      </c>
      <c r="Q15" s="130">
        <f t="shared" si="3"/>
        <v>0</v>
      </c>
      <c r="R15" s="128">
        <f t="shared" si="3"/>
        <v>0</v>
      </c>
      <c r="S15" s="129">
        <f t="shared" si="3"/>
        <v>0</v>
      </c>
      <c r="T15" s="129">
        <f t="shared" si="3"/>
        <v>0</v>
      </c>
      <c r="U15" s="129">
        <f t="shared" si="3"/>
        <v>0</v>
      </c>
      <c r="V15" s="130">
        <f t="shared" si="3"/>
        <v>0</v>
      </c>
      <c r="AG15" s="93"/>
      <c r="AH15" s="93"/>
      <c r="AI15" s="93"/>
      <c r="AJ15" s="93"/>
      <c r="AK15" s="93"/>
      <c r="AL15" s="93"/>
      <c r="AM15" s="93"/>
      <c r="AN15" s="93"/>
      <c r="AO15" s="93"/>
      <c r="AP15" s="93"/>
      <c r="AQ15" s="93"/>
      <c r="AR15" s="94"/>
      <c r="AS15" s="94"/>
      <c r="AT15" s="93"/>
      <c r="AU15" s="93"/>
      <c r="AV15" s="93"/>
      <c r="AW15" s="93"/>
      <c r="AX15" s="93"/>
      <c r="AY15" s="93"/>
      <c r="AZ15" s="93"/>
      <c r="BA15" s="93"/>
      <c r="BB15" s="93"/>
      <c r="BC15" s="93"/>
      <c r="BD15" s="93"/>
      <c r="BE15" s="93"/>
      <c r="BF15" s="93"/>
      <c r="BG15" s="94"/>
    </row>
    <row r="16" spans="1:59" s="89" customFormat="1" ht="15" customHeight="1">
      <c r="B16" s="123"/>
      <c r="C16" s="2686"/>
      <c r="D16" s="2686" t="s">
        <v>2769</v>
      </c>
      <c r="E16" s="2686"/>
      <c r="F16" s="2686"/>
      <c r="G16" s="94"/>
      <c r="H16" s="2664"/>
      <c r="I16" s="119" t="s">
        <v>498</v>
      </c>
      <c r="J16" s="128">
        <f>J78</f>
        <v>0.10414203555893002</v>
      </c>
      <c r="K16" s="129">
        <f t="shared" ref="K16:V16" si="4">K78</f>
        <v>4.1848341277765537E-2</v>
      </c>
      <c r="L16" s="129">
        <f t="shared" si="4"/>
        <v>0.48104179884979953</v>
      </c>
      <c r="M16" s="129">
        <f t="shared" si="4"/>
        <v>0.25814042338730542</v>
      </c>
      <c r="N16" s="129">
        <f t="shared" si="4"/>
        <v>0.27255606072015254</v>
      </c>
      <c r="O16" s="129">
        <f t="shared" si="4"/>
        <v>0.22549930800196671</v>
      </c>
      <c r="P16" s="129">
        <f t="shared" si="4"/>
        <v>0</v>
      </c>
      <c r="Q16" s="130">
        <f t="shared" si="4"/>
        <v>0</v>
      </c>
      <c r="R16" s="128">
        <f t="shared" si="4"/>
        <v>0</v>
      </c>
      <c r="S16" s="129">
        <f t="shared" si="4"/>
        <v>0</v>
      </c>
      <c r="T16" s="129">
        <f t="shared" si="4"/>
        <v>0</v>
      </c>
      <c r="U16" s="129">
        <f t="shared" si="4"/>
        <v>0</v>
      </c>
      <c r="V16" s="130">
        <f t="shared" si="4"/>
        <v>0</v>
      </c>
      <c r="AG16" s="93"/>
      <c r="AH16" s="93"/>
      <c r="AI16" s="93"/>
      <c r="AJ16" s="93"/>
      <c r="AK16" s="93"/>
      <c r="AL16" s="93"/>
      <c r="AM16" s="93"/>
      <c r="AN16" s="93"/>
      <c r="AO16" s="93"/>
      <c r="AP16" s="93"/>
      <c r="AQ16" s="93"/>
      <c r="AR16" s="94"/>
      <c r="AS16" s="94"/>
      <c r="AT16" s="93"/>
      <c r="AU16" s="93"/>
      <c r="AV16" s="93"/>
      <c r="AW16" s="93"/>
      <c r="AX16" s="93"/>
      <c r="AY16" s="93"/>
      <c r="AZ16" s="93"/>
      <c r="BA16" s="93"/>
      <c r="BB16" s="93"/>
      <c r="BC16" s="93"/>
      <c r="BD16" s="93"/>
      <c r="BE16" s="93"/>
      <c r="BF16" s="93"/>
      <c r="BG16" s="94"/>
    </row>
    <row r="17" spans="1:84" s="89" customFormat="1" ht="15" customHeight="1">
      <c r="B17" s="123"/>
      <c r="C17" s="2686"/>
      <c r="D17" s="2686" t="s">
        <v>2770</v>
      </c>
      <c r="E17" s="2686"/>
      <c r="F17" s="2686"/>
      <c r="G17" s="94"/>
      <c r="H17" s="2664"/>
      <c r="I17" s="119" t="s">
        <v>498</v>
      </c>
      <c r="J17" s="128">
        <f>J81</f>
        <v>0.40929753961696891</v>
      </c>
      <c r="K17" s="129">
        <f t="shared" ref="K17:V17" si="5">K81</f>
        <v>0.16950906968089458</v>
      </c>
      <c r="L17" s="129">
        <f t="shared" si="5"/>
        <v>0.22760259070983427</v>
      </c>
      <c r="M17" s="129">
        <f t="shared" si="5"/>
        <v>9.719903018795395E-2</v>
      </c>
      <c r="N17" s="129">
        <f t="shared" si="5"/>
        <v>3.1107845692533678E-2</v>
      </c>
      <c r="O17" s="129">
        <f t="shared" si="5"/>
        <v>1.2155301077969069E-2</v>
      </c>
      <c r="P17" s="129">
        <f t="shared" si="5"/>
        <v>0</v>
      </c>
      <c r="Q17" s="130">
        <f t="shared" si="5"/>
        <v>0</v>
      </c>
      <c r="R17" s="128">
        <f t="shared" si="5"/>
        <v>0</v>
      </c>
      <c r="S17" s="129">
        <f t="shared" si="5"/>
        <v>0</v>
      </c>
      <c r="T17" s="129">
        <f t="shared" si="5"/>
        <v>0</v>
      </c>
      <c r="U17" s="129">
        <f t="shared" si="5"/>
        <v>0</v>
      </c>
      <c r="V17" s="130">
        <f t="shared" si="5"/>
        <v>0</v>
      </c>
      <c r="AG17" s="93"/>
      <c r="AH17" s="93"/>
      <c r="AI17" s="93"/>
      <c r="AJ17" s="93"/>
      <c r="AK17" s="93"/>
      <c r="AL17" s="93"/>
      <c r="AM17" s="93"/>
      <c r="AN17" s="93"/>
      <c r="AO17" s="93"/>
      <c r="AP17" s="93"/>
      <c r="AQ17" s="93"/>
      <c r="AR17" s="94"/>
      <c r="AS17" s="94"/>
      <c r="AT17" s="93"/>
      <c r="AU17" s="93"/>
      <c r="AV17" s="93"/>
      <c r="AW17" s="93"/>
      <c r="AX17" s="93"/>
      <c r="AY17" s="93"/>
      <c r="AZ17" s="93"/>
      <c r="BA17" s="93"/>
      <c r="BB17" s="93"/>
      <c r="BC17" s="93"/>
      <c r="BD17" s="93"/>
      <c r="BE17" s="93"/>
      <c r="BF17" s="93"/>
      <c r="BG17" s="94"/>
    </row>
    <row r="18" spans="1:84" s="89" customFormat="1" ht="15" customHeight="1">
      <c r="B18" s="123"/>
      <c r="C18" s="2686"/>
      <c r="D18" s="2686" t="s">
        <v>2771</v>
      </c>
      <c r="E18" s="2686"/>
      <c r="F18" s="2686"/>
      <c r="G18" s="94"/>
      <c r="H18" s="2664"/>
      <c r="I18" s="119" t="s">
        <v>498</v>
      </c>
      <c r="J18" s="128">
        <f>J92</f>
        <v>0.77045732803827793</v>
      </c>
      <c r="K18" s="129">
        <f t="shared" ref="K18:V18" si="6">K92</f>
        <v>9.1032648532332269E-3</v>
      </c>
      <c r="L18" s="129">
        <f t="shared" si="6"/>
        <v>5.3938482984514181E-2</v>
      </c>
      <c r="M18" s="129">
        <f t="shared" si="6"/>
        <v>0.15183063674710873</v>
      </c>
      <c r="N18" s="129">
        <f t="shared" si="6"/>
        <v>2.5643294828400814E-2</v>
      </c>
      <c r="O18" s="129">
        <f t="shared" si="6"/>
        <v>9.3836431816187699E-2</v>
      </c>
      <c r="P18" s="129">
        <f t="shared" si="6"/>
        <v>0</v>
      </c>
      <c r="Q18" s="130">
        <f t="shared" si="6"/>
        <v>0</v>
      </c>
      <c r="R18" s="128">
        <f t="shared" si="6"/>
        <v>0</v>
      </c>
      <c r="S18" s="129">
        <f t="shared" si="6"/>
        <v>0</v>
      </c>
      <c r="T18" s="129">
        <f t="shared" si="6"/>
        <v>0</v>
      </c>
      <c r="U18" s="129">
        <f t="shared" si="6"/>
        <v>0</v>
      </c>
      <c r="V18" s="130">
        <f t="shared" si="6"/>
        <v>0</v>
      </c>
      <c r="AG18" s="93"/>
      <c r="AH18" s="93"/>
      <c r="AI18" s="93"/>
      <c r="AJ18" s="93"/>
      <c r="AK18" s="93"/>
      <c r="AL18" s="93"/>
      <c r="AM18" s="93"/>
      <c r="AN18" s="93"/>
      <c r="AO18" s="93"/>
      <c r="AP18" s="93"/>
      <c r="AQ18" s="93"/>
      <c r="AR18" s="94"/>
      <c r="AS18" s="94"/>
      <c r="AT18" s="93"/>
      <c r="AU18" s="93"/>
      <c r="AV18" s="93"/>
      <c r="AW18" s="93"/>
      <c r="AX18" s="93"/>
      <c r="AY18" s="93"/>
      <c r="AZ18" s="93"/>
      <c r="BA18" s="93"/>
      <c r="BB18" s="93"/>
      <c r="BC18" s="93"/>
      <c r="BD18" s="93"/>
      <c r="BE18" s="93"/>
      <c r="BF18" s="93"/>
      <c r="BG18" s="94"/>
    </row>
    <row r="19" spans="1:84" s="89" customFormat="1" ht="15" customHeight="1">
      <c r="B19" s="123"/>
      <c r="C19" s="2686"/>
      <c r="D19" s="2686" t="s">
        <v>2772</v>
      </c>
      <c r="E19" s="2686"/>
      <c r="F19" s="2686"/>
      <c r="G19" s="94"/>
      <c r="H19" s="2664"/>
      <c r="I19" s="119" t="s">
        <v>498</v>
      </c>
      <c r="J19" s="128">
        <f>J103</f>
        <v>0</v>
      </c>
      <c r="K19" s="129">
        <f t="shared" ref="K19:V19" si="7">K103</f>
        <v>7.5662894706247916E-2</v>
      </c>
      <c r="L19" s="129">
        <f t="shared" si="7"/>
        <v>2.1439873470513952E-2</v>
      </c>
      <c r="M19" s="129">
        <f t="shared" si="7"/>
        <v>0</v>
      </c>
      <c r="N19" s="129">
        <f t="shared" si="7"/>
        <v>0</v>
      </c>
      <c r="O19" s="129">
        <f t="shared" si="7"/>
        <v>0</v>
      </c>
      <c r="P19" s="129">
        <f t="shared" si="7"/>
        <v>0</v>
      </c>
      <c r="Q19" s="130">
        <f t="shared" si="7"/>
        <v>0</v>
      </c>
      <c r="R19" s="128">
        <f t="shared" si="7"/>
        <v>0</v>
      </c>
      <c r="S19" s="129">
        <f t="shared" si="7"/>
        <v>0</v>
      </c>
      <c r="T19" s="129">
        <f t="shared" si="7"/>
        <v>0</v>
      </c>
      <c r="U19" s="129">
        <f t="shared" si="7"/>
        <v>0</v>
      </c>
      <c r="V19" s="130">
        <f t="shared" si="7"/>
        <v>0</v>
      </c>
      <c r="AG19" s="93"/>
      <c r="AH19" s="93"/>
      <c r="AI19" s="93"/>
      <c r="AJ19" s="93"/>
      <c r="AK19" s="93"/>
      <c r="AL19" s="93"/>
      <c r="AM19" s="93"/>
      <c r="AN19" s="93"/>
      <c r="AO19" s="93"/>
      <c r="AP19" s="93"/>
      <c r="AQ19" s="93"/>
      <c r="AR19" s="94"/>
      <c r="AS19" s="94"/>
      <c r="AT19" s="93"/>
      <c r="AU19" s="93"/>
      <c r="AV19" s="93"/>
      <c r="AW19" s="93"/>
      <c r="AX19" s="93"/>
      <c r="AY19" s="93"/>
      <c r="AZ19" s="93"/>
      <c r="BA19" s="93"/>
      <c r="BB19" s="93"/>
      <c r="BC19" s="93"/>
      <c r="BD19" s="93"/>
      <c r="BE19" s="93"/>
      <c r="BF19" s="93"/>
      <c r="BG19" s="94"/>
    </row>
    <row r="20" spans="1:84" s="89" customFormat="1" ht="15" customHeight="1" thickBot="1">
      <c r="B20" s="176" t="s">
        <v>1701</v>
      </c>
      <c r="C20" s="132"/>
      <c r="D20" s="132"/>
      <c r="E20" s="132"/>
      <c r="F20" s="132"/>
      <c r="G20" s="145"/>
      <c r="H20" s="133"/>
      <c r="I20" s="146" t="s">
        <v>498</v>
      </c>
      <c r="J20" s="148">
        <f>SUM(J12:J19)</f>
        <v>2.9066858439212178</v>
      </c>
      <c r="K20" s="147">
        <f t="shared" ref="K20:V20" si="8">SUM(K12:K19)</f>
        <v>0.98496980127743572</v>
      </c>
      <c r="L20" s="147">
        <f t="shared" si="8"/>
        <v>2.0304855198971876</v>
      </c>
      <c r="M20" s="147">
        <f t="shared" si="8"/>
        <v>0.63060447820084442</v>
      </c>
      <c r="N20" s="147">
        <f t="shared" si="8"/>
        <v>0.46194255259754408</v>
      </c>
      <c r="O20" s="147">
        <f t="shared" si="8"/>
        <v>0.5786566986669921</v>
      </c>
      <c r="P20" s="147">
        <f t="shared" si="8"/>
        <v>0.60202835711894709</v>
      </c>
      <c r="Q20" s="149">
        <f t="shared" si="8"/>
        <v>0.52602316749351663</v>
      </c>
      <c r="R20" s="148">
        <f t="shared" si="8"/>
        <v>1.5363511180609497</v>
      </c>
      <c r="S20" s="147">
        <f t="shared" si="8"/>
        <v>1.5286693624706449</v>
      </c>
      <c r="T20" s="147">
        <f t="shared" si="8"/>
        <v>1.5210260156582918</v>
      </c>
      <c r="U20" s="147">
        <f t="shared" si="8"/>
        <v>1.5134208855800002</v>
      </c>
      <c r="V20" s="149">
        <f t="shared" si="8"/>
        <v>1.5058537811521002</v>
      </c>
      <c r="AG20" s="93"/>
      <c r="AH20" s="93"/>
      <c r="AI20" s="93"/>
      <c r="AJ20" s="93"/>
      <c r="AK20" s="93"/>
      <c r="AL20" s="93"/>
      <c r="AM20" s="93"/>
      <c r="AN20" s="93"/>
      <c r="AO20" s="93"/>
      <c r="AP20" s="93"/>
      <c r="AQ20" s="93"/>
      <c r="AR20" s="94"/>
      <c r="AS20" s="94"/>
      <c r="AT20" s="93"/>
      <c r="AU20" s="93"/>
      <c r="AV20" s="93"/>
      <c r="AW20" s="93"/>
      <c r="AX20" s="93"/>
      <c r="AY20" s="93"/>
      <c r="AZ20" s="93"/>
      <c r="BA20" s="93"/>
      <c r="BB20" s="93"/>
      <c r="BC20" s="93"/>
      <c r="BD20" s="93"/>
      <c r="BE20" s="93"/>
      <c r="BF20" s="93"/>
      <c r="BG20" s="94"/>
    </row>
    <row r="21" spans="1:84" s="89" customFormat="1" ht="15" customHeight="1" thickBot="1">
      <c r="B21" s="134"/>
      <c r="C21" s="134"/>
      <c r="D21" s="134"/>
      <c r="E21" s="134"/>
      <c r="F21" s="134"/>
      <c r="H21" s="2684"/>
      <c r="I21" s="93"/>
      <c r="J21" s="93"/>
      <c r="P21" s="93"/>
      <c r="Q21" s="93"/>
      <c r="R21" s="93"/>
      <c r="S21" s="93"/>
      <c r="T21" s="93"/>
      <c r="U21" s="93"/>
      <c r="V21" s="93"/>
      <c r="AG21" s="93"/>
      <c r="AH21" s="93"/>
      <c r="AI21" s="93"/>
      <c r="AJ21" s="93"/>
      <c r="AK21" s="93"/>
      <c r="AL21" s="93"/>
      <c r="AM21" s="93"/>
      <c r="AN21" s="93"/>
      <c r="AO21" s="93"/>
      <c r="AP21" s="93"/>
      <c r="AQ21" s="93"/>
      <c r="AR21" s="94"/>
      <c r="AS21" s="94"/>
      <c r="AT21" s="93"/>
      <c r="AU21" s="93"/>
      <c r="AV21" s="93"/>
      <c r="AW21" s="93"/>
      <c r="AX21" s="93"/>
      <c r="AY21" s="93"/>
      <c r="AZ21" s="93"/>
      <c r="BA21" s="93"/>
      <c r="BB21" s="93"/>
      <c r="BC21" s="93"/>
      <c r="BD21" s="93"/>
      <c r="BE21" s="93"/>
      <c r="BF21" s="93"/>
      <c r="BG21" s="94"/>
    </row>
    <row r="22" spans="1:84" s="100" customFormat="1" ht="30" customHeight="1" thickBot="1">
      <c r="A22" s="89"/>
      <c r="B22" s="621" t="s">
        <v>2773</v>
      </c>
      <c r="C22" s="101"/>
      <c r="D22" s="102"/>
      <c r="E22" s="102"/>
      <c r="F22" s="102"/>
      <c r="G22" s="103"/>
      <c r="H22" s="103"/>
      <c r="I22" s="105" t="s">
        <v>1864</v>
      </c>
      <c r="J22" s="106"/>
      <c r="K22" s="106"/>
      <c r="L22" s="106"/>
      <c r="M22" s="106"/>
      <c r="N22" s="106"/>
      <c r="O22" s="106"/>
      <c r="P22" s="106"/>
      <c r="Q22" s="106"/>
      <c r="R22" s="105"/>
      <c r="S22" s="105"/>
      <c r="T22" s="105"/>
      <c r="U22" s="105"/>
      <c r="V22" s="105"/>
      <c r="W22" s="103"/>
      <c r="X22" s="1689"/>
      <c r="Y22" s="1689"/>
      <c r="Z22" s="1689"/>
      <c r="AA22" s="1689"/>
      <c r="AB22" s="1689"/>
      <c r="AC22" s="1689"/>
      <c r="AD22" s="1689"/>
      <c r="AE22" s="1689"/>
      <c r="AF22" s="1689"/>
      <c r="AG22" s="1689"/>
      <c r="AH22" s="1689"/>
      <c r="AI22" s="1689"/>
      <c r="AJ22" s="1689"/>
      <c r="AK22" s="1689"/>
      <c r="AL22" s="103"/>
      <c r="AM22" s="105" t="s">
        <v>2231</v>
      </c>
      <c r="AN22" s="106"/>
      <c r="AO22" s="106"/>
      <c r="AP22" s="106"/>
      <c r="AQ22" s="106"/>
      <c r="AR22" s="106"/>
      <c r="AS22" s="106"/>
      <c r="AT22" s="106"/>
      <c r="AU22" s="106"/>
      <c r="AV22" s="105"/>
      <c r="AW22" s="105"/>
      <c r="AX22" s="105"/>
      <c r="AY22" s="105"/>
      <c r="AZ22" s="105"/>
      <c r="BA22" s="1354"/>
      <c r="BB22" s="105" t="s">
        <v>2690</v>
      </c>
      <c r="BC22" s="105"/>
      <c r="BD22" s="105"/>
      <c r="BE22" s="105"/>
      <c r="BF22" s="105"/>
      <c r="BG22" s="105"/>
      <c r="BH22" s="105"/>
      <c r="BI22" s="105"/>
      <c r="BJ22" s="105"/>
      <c r="BK22" s="105"/>
      <c r="BL22" s="105"/>
      <c r="BM22" s="105"/>
      <c r="BN22" s="105"/>
      <c r="BO22" s="105"/>
      <c r="BP22" s="103"/>
      <c r="BQ22" s="105" t="s">
        <v>2691</v>
      </c>
      <c r="BR22" s="105"/>
      <c r="BS22" s="105"/>
      <c r="BT22" s="105"/>
      <c r="BU22" s="105"/>
      <c r="BV22" s="105"/>
      <c r="BW22" s="105"/>
      <c r="BX22" s="105"/>
      <c r="BY22" s="105"/>
      <c r="BZ22" s="105"/>
      <c r="CA22" s="105"/>
      <c r="CB22" s="105"/>
      <c r="CC22" s="105"/>
      <c r="CD22" s="187"/>
    </row>
    <row r="23" spans="1:84" s="157" customFormat="1" ht="30" customHeight="1">
      <c r="A23" s="99"/>
      <c r="B23" s="109"/>
      <c r="C23" s="2683"/>
      <c r="D23" s="2683"/>
      <c r="E23" s="2683"/>
      <c r="F23" s="2683"/>
      <c r="G23" s="113"/>
      <c r="H23" s="113"/>
      <c r="I23" s="94"/>
      <c r="J23" s="695" t="s">
        <v>1666</v>
      </c>
      <c r="K23" s="152"/>
      <c r="L23" s="152"/>
      <c r="M23" s="152"/>
      <c r="N23" s="152"/>
      <c r="O23" s="152"/>
      <c r="P23" s="152"/>
      <c r="Q23" s="153"/>
      <c r="R23" s="696" t="s">
        <v>2</v>
      </c>
      <c r="S23" s="155"/>
      <c r="T23" s="155"/>
      <c r="U23" s="155"/>
      <c r="V23" s="156"/>
      <c r="W23" s="2632"/>
      <c r="X23" s="2502"/>
      <c r="Y23" s="2502"/>
      <c r="Z23" s="2502"/>
      <c r="AA23" s="2502"/>
      <c r="AB23" s="2502"/>
      <c r="AC23" s="2502"/>
      <c r="AD23" s="2502"/>
      <c r="AE23" s="2502"/>
      <c r="AF23" s="2502"/>
      <c r="AG23" s="2502"/>
      <c r="AH23" s="2502"/>
      <c r="AI23" s="2502"/>
      <c r="AJ23" s="2502"/>
      <c r="AK23" s="2502"/>
      <c r="AL23" s="2632"/>
      <c r="AM23" s="94"/>
      <c r="AN23" s="695" t="s">
        <v>1666</v>
      </c>
      <c r="AO23" s="152"/>
      <c r="AP23" s="152"/>
      <c r="AQ23" s="152"/>
      <c r="AR23" s="152"/>
      <c r="AS23" s="152"/>
      <c r="AT23" s="152"/>
      <c r="AU23" s="153"/>
      <c r="AV23" s="696" t="s">
        <v>2</v>
      </c>
      <c r="AW23" s="155"/>
      <c r="AX23" s="155"/>
      <c r="AY23" s="155"/>
      <c r="AZ23" s="156"/>
      <c r="BA23" s="2632"/>
      <c r="BB23" s="2633" t="s">
        <v>2693</v>
      </c>
      <c r="BC23" s="2633"/>
      <c r="BD23" s="2633" t="s">
        <v>2694</v>
      </c>
      <c r="BE23" s="2633"/>
      <c r="BF23" s="2633" t="s">
        <v>2695</v>
      </c>
      <c r="BG23" s="2633"/>
      <c r="BH23" s="2633" t="s">
        <v>2696</v>
      </c>
      <c r="BI23" s="2633"/>
      <c r="BJ23" s="2633" t="s">
        <v>2697</v>
      </c>
      <c r="BK23" s="2633"/>
      <c r="BL23" s="2633" t="s">
        <v>2698</v>
      </c>
      <c r="BM23" s="2633"/>
      <c r="BN23" s="2639" t="s">
        <v>2699</v>
      </c>
      <c r="BO23" s="2639"/>
      <c r="BP23" s="2632"/>
      <c r="BQ23" s="2633" t="s">
        <v>2693</v>
      </c>
      <c r="BR23" s="2633"/>
      <c r="BS23" s="2633" t="s">
        <v>2694</v>
      </c>
      <c r="BT23" s="2633"/>
      <c r="BU23" s="2633" t="s">
        <v>2695</v>
      </c>
      <c r="BV23" s="2633"/>
      <c r="BW23" s="2633" t="s">
        <v>2696</v>
      </c>
      <c r="BX23" s="2633"/>
      <c r="BY23" s="2633" t="s">
        <v>2697</v>
      </c>
      <c r="BZ23" s="2633"/>
      <c r="CA23" s="2633" t="s">
        <v>2698</v>
      </c>
      <c r="CB23" s="2633"/>
      <c r="CC23" s="2633" t="s">
        <v>2699</v>
      </c>
      <c r="CD23" s="2634"/>
      <c r="CE23" s="2632"/>
      <c r="CF23" s="2632"/>
    </row>
    <row r="24" spans="1:84" s="98" customFormat="1" ht="15" customHeight="1">
      <c r="A24" s="99"/>
      <c r="B24" s="115"/>
      <c r="C24" s="2685"/>
      <c r="D24" s="2685"/>
      <c r="E24" s="2685"/>
      <c r="F24" s="2685"/>
      <c r="G24" s="94"/>
      <c r="H24" s="94"/>
      <c r="I24" s="119" t="s">
        <v>1667</v>
      </c>
      <c r="J24" s="158" t="s">
        <v>453</v>
      </c>
      <c r="K24" s="137" t="s">
        <v>455</v>
      </c>
      <c r="L24" s="137" t="s">
        <v>457</v>
      </c>
      <c r="M24" s="137" t="s">
        <v>459</v>
      </c>
      <c r="N24" s="137" t="s">
        <v>461</v>
      </c>
      <c r="O24" s="137" t="s">
        <v>463</v>
      </c>
      <c r="P24" s="137" t="s">
        <v>465</v>
      </c>
      <c r="Q24" s="138" t="s">
        <v>467</v>
      </c>
      <c r="R24" s="120" t="s">
        <v>469</v>
      </c>
      <c r="S24" s="121" t="s">
        <v>471</v>
      </c>
      <c r="T24" s="121" t="s">
        <v>473</v>
      </c>
      <c r="U24" s="121" t="s">
        <v>475</v>
      </c>
      <c r="V24" s="122" t="s">
        <v>477</v>
      </c>
      <c r="W24" s="2629"/>
      <c r="X24" s="2503"/>
      <c r="Y24" s="2503"/>
      <c r="Z24" s="2503"/>
      <c r="AA24" s="2503"/>
      <c r="AB24" s="2503"/>
      <c r="AC24" s="2503"/>
      <c r="AD24" s="2503"/>
      <c r="AE24" s="2503"/>
      <c r="AF24" s="2503"/>
      <c r="AG24" s="2503"/>
      <c r="AH24" s="2503"/>
      <c r="AI24" s="2503"/>
      <c r="AJ24" s="2503"/>
      <c r="AK24" s="2503"/>
      <c r="AL24" s="2629"/>
      <c r="AM24" s="119" t="s">
        <v>1667</v>
      </c>
      <c r="AN24" s="158" t="s">
        <v>453</v>
      </c>
      <c r="AO24" s="137" t="s">
        <v>455</v>
      </c>
      <c r="AP24" s="137" t="s">
        <v>457</v>
      </c>
      <c r="AQ24" s="137" t="s">
        <v>459</v>
      </c>
      <c r="AR24" s="137" t="s">
        <v>461</v>
      </c>
      <c r="AS24" s="137" t="s">
        <v>463</v>
      </c>
      <c r="AT24" s="137" t="s">
        <v>465</v>
      </c>
      <c r="AU24" s="138" t="s">
        <v>467</v>
      </c>
      <c r="AV24" s="120" t="s">
        <v>469</v>
      </c>
      <c r="AW24" s="121" t="s">
        <v>471</v>
      </c>
      <c r="AX24" s="121" t="s">
        <v>473</v>
      </c>
      <c r="AY24" s="121" t="s">
        <v>475</v>
      </c>
      <c r="AZ24" s="122" t="s">
        <v>477</v>
      </c>
      <c r="BA24" s="2629"/>
      <c r="BB24" s="2635" t="s">
        <v>1667</v>
      </c>
      <c r="BC24" s="2635" t="s">
        <v>2142</v>
      </c>
      <c r="BD24" s="2635" t="s">
        <v>1667</v>
      </c>
      <c r="BE24" s="2635" t="s">
        <v>2142</v>
      </c>
      <c r="BF24" s="2635" t="s">
        <v>1667</v>
      </c>
      <c r="BG24" s="2635" t="s">
        <v>2142</v>
      </c>
      <c r="BH24" s="2635" t="s">
        <v>1667</v>
      </c>
      <c r="BI24" s="2635" t="s">
        <v>2142</v>
      </c>
      <c r="BJ24" s="2635" t="s">
        <v>1667</v>
      </c>
      <c r="BK24" s="2635" t="s">
        <v>2142</v>
      </c>
      <c r="BL24" s="2635" t="s">
        <v>1667</v>
      </c>
      <c r="BM24" s="2635" t="s">
        <v>2142</v>
      </c>
      <c r="BN24" s="2635" t="s">
        <v>1667</v>
      </c>
      <c r="BO24" s="2635" t="s">
        <v>2142</v>
      </c>
      <c r="BP24" s="2629"/>
      <c r="BQ24" s="2635" t="s">
        <v>1667</v>
      </c>
      <c r="BR24" s="2635" t="s">
        <v>2142</v>
      </c>
      <c r="BS24" s="2635" t="s">
        <v>1667</v>
      </c>
      <c r="BT24" s="2635" t="s">
        <v>2142</v>
      </c>
      <c r="BU24" s="2635" t="s">
        <v>1667</v>
      </c>
      <c r="BV24" s="2635" t="s">
        <v>2142</v>
      </c>
      <c r="BW24" s="2635" t="s">
        <v>1667</v>
      </c>
      <c r="BX24" s="2635" t="s">
        <v>2142</v>
      </c>
      <c r="BY24" s="2635" t="s">
        <v>1667</v>
      </c>
      <c r="BZ24" s="2635" t="s">
        <v>2142</v>
      </c>
      <c r="CA24" s="2635" t="s">
        <v>1667</v>
      </c>
      <c r="CB24" s="2635" t="s">
        <v>2142</v>
      </c>
      <c r="CC24" s="2635" t="s">
        <v>1667</v>
      </c>
      <c r="CD24" s="2636" t="s">
        <v>2142</v>
      </c>
      <c r="CE24" s="2629"/>
      <c r="CF24" s="2629"/>
    </row>
    <row r="25" spans="1:84" s="98" customFormat="1" ht="15" customHeight="1">
      <c r="A25" s="99"/>
      <c r="B25" s="2687"/>
      <c r="C25" s="2685" t="s">
        <v>1682</v>
      </c>
      <c r="D25" s="2685"/>
      <c r="E25" s="2685"/>
      <c r="F25" s="2685"/>
      <c r="G25" s="94"/>
      <c r="H25" s="94"/>
      <c r="I25" s="94"/>
      <c r="J25" s="159"/>
      <c r="K25" s="94"/>
      <c r="L25" s="94"/>
      <c r="M25" s="94"/>
      <c r="N25" s="94"/>
      <c r="O25" s="94"/>
      <c r="P25" s="94"/>
      <c r="Q25" s="160"/>
      <c r="R25" s="159"/>
      <c r="S25" s="94"/>
      <c r="T25" s="94"/>
      <c r="U25" s="94"/>
      <c r="V25" s="160"/>
      <c r="W25" s="2629"/>
      <c r="X25" s="2503"/>
      <c r="Y25" s="2503"/>
      <c r="Z25" s="2503"/>
      <c r="AA25" s="2503"/>
      <c r="AB25" s="2503"/>
      <c r="AC25" s="2503"/>
      <c r="AD25" s="2503"/>
      <c r="AE25" s="2503"/>
      <c r="AF25" s="2503"/>
      <c r="AG25" s="2503"/>
      <c r="AH25" s="2503"/>
      <c r="AI25" s="2503"/>
      <c r="AJ25" s="2503"/>
      <c r="AK25" s="2503"/>
      <c r="AL25" s="2629"/>
      <c r="AM25" s="94"/>
      <c r="AN25" s="159"/>
      <c r="AO25" s="94"/>
      <c r="AP25" s="94"/>
      <c r="AQ25" s="94"/>
      <c r="AR25" s="94"/>
      <c r="AS25" s="94"/>
      <c r="AT25" s="94"/>
      <c r="AU25" s="160"/>
      <c r="AV25" s="159"/>
      <c r="AW25" s="94"/>
      <c r="AX25" s="94"/>
      <c r="AY25" s="94"/>
      <c r="AZ25" s="160"/>
      <c r="BA25" s="2629"/>
      <c r="BB25" s="542"/>
      <c r="BC25" s="542"/>
      <c r="BD25" s="542"/>
      <c r="BE25" s="542"/>
      <c r="BF25" s="542"/>
      <c r="BG25" s="542"/>
      <c r="BH25" s="542"/>
      <c r="BI25" s="542"/>
      <c r="BJ25" s="542"/>
      <c r="BK25" s="542"/>
      <c r="BL25" s="542"/>
      <c r="BM25" s="542"/>
      <c r="BN25" s="542"/>
      <c r="BO25" s="542"/>
      <c r="BP25" s="2629"/>
      <c r="BQ25" s="542"/>
      <c r="BR25" s="542"/>
      <c r="BS25" s="542"/>
      <c r="BT25" s="542"/>
      <c r="BU25" s="542"/>
      <c r="BV25" s="542"/>
      <c r="BW25" s="542"/>
      <c r="BX25" s="542"/>
      <c r="BY25" s="542"/>
      <c r="BZ25" s="542"/>
      <c r="CA25" s="542"/>
      <c r="CB25" s="542"/>
      <c r="CC25" s="542"/>
      <c r="CD25" s="544"/>
      <c r="CE25" s="2629"/>
      <c r="CF25" s="2629"/>
    </row>
    <row r="26" spans="1:84" s="98" customFormat="1" ht="15" customHeight="1">
      <c r="A26" s="99"/>
      <c r="B26" s="2687"/>
      <c r="C26" s="2688"/>
      <c r="D26" s="2688" t="s">
        <v>2701</v>
      </c>
      <c r="E26" s="2688"/>
      <c r="F26" s="2688"/>
      <c r="G26" s="2645"/>
      <c r="H26" s="2645"/>
      <c r="I26" s="607" t="s">
        <v>498</v>
      </c>
      <c r="J26" s="143">
        <v>0.34457141707289007</v>
      </c>
      <c r="K26" s="141">
        <v>0.15758065366631308</v>
      </c>
      <c r="L26" s="141">
        <v>0.19012000486557978</v>
      </c>
      <c r="M26" s="141">
        <v>0</v>
      </c>
      <c r="N26" s="141">
        <v>0.11853161893189557</v>
      </c>
      <c r="O26" s="141">
        <v>5.4698854850860817E-2</v>
      </c>
      <c r="P26" s="141">
        <v>0.24077314230440533</v>
      </c>
      <c r="Q26" s="144">
        <v>0.21828675176157797</v>
      </c>
      <c r="R26" s="143">
        <v>0.53268778655772608</v>
      </c>
      <c r="S26" s="141">
        <v>0.53002434762493744</v>
      </c>
      <c r="T26" s="141">
        <v>0.52737422588681271</v>
      </c>
      <c r="U26" s="141">
        <v>0.5247373547573787</v>
      </c>
      <c r="V26" s="144">
        <v>0.52211366798359182</v>
      </c>
      <c r="W26" s="2629"/>
      <c r="X26" s="2503"/>
      <c r="Y26" s="2503"/>
      <c r="Z26" s="2503"/>
      <c r="AA26" s="2503"/>
      <c r="AB26" s="2503"/>
      <c r="AC26" s="2503"/>
      <c r="AD26" s="2503"/>
      <c r="AE26" s="2503"/>
      <c r="AF26" s="2503"/>
      <c r="AG26" s="2503"/>
      <c r="AH26" s="2503"/>
      <c r="AI26" s="2503"/>
      <c r="AJ26" s="2503"/>
      <c r="AK26" s="2503"/>
      <c r="AL26" s="2629"/>
      <c r="AM26" s="607" t="s">
        <v>2233</v>
      </c>
      <c r="AN26" s="143">
        <v>0.72399999999999998</v>
      </c>
      <c r="AO26" s="141">
        <v>0.502</v>
      </c>
      <c r="AP26" s="141">
        <v>0.91300000000000003</v>
      </c>
      <c r="AQ26" s="141">
        <v>0</v>
      </c>
      <c r="AR26" s="141">
        <v>0.221</v>
      </c>
      <c r="AS26" s="141">
        <v>0.17100000000000001</v>
      </c>
      <c r="AT26" s="141">
        <v>0.74066865316811215</v>
      </c>
      <c r="AU26" s="144">
        <v>0.76024682653777642</v>
      </c>
      <c r="AV26" s="143">
        <v>1.6302150371890356</v>
      </c>
      <c r="AW26" s="141">
        <v>1.6302150371890356</v>
      </c>
      <c r="AX26" s="141">
        <v>1.6302150371890356</v>
      </c>
      <c r="AY26" s="141">
        <v>1.6302150371890356</v>
      </c>
      <c r="AZ26" s="144">
        <v>1.6302150371890356</v>
      </c>
      <c r="BA26" s="2629"/>
      <c r="BB26" s="545" t="s">
        <v>627</v>
      </c>
      <c r="BC26" s="868">
        <v>0</v>
      </c>
      <c r="BD26" s="545" t="s">
        <v>627</v>
      </c>
      <c r="BE26" s="868">
        <v>0</v>
      </c>
      <c r="BF26" s="545" t="s">
        <v>2233</v>
      </c>
      <c r="BG26" s="141">
        <v>0.93283824420842032</v>
      </c>
      <c r="BH26" s="545" t="s">
        <v>2233</v>
      </c>
      <c r="BI26" s="141">
        <v>0</v>
      </c>
      <c r="BJ26" s="545" t="s">
        <v>2233</v>
      </c>
      <c r="BK26" s="141">
        <v>0.99598162716476646</v>
      </c>
      <c r="BL26" s="545" t="s">
        <v>2233</v>
      </c>
      <c r="BM26" s="141">
        <v>1.3108566301737459</v>
      </c>
      <c r="BN26" s="545" t="s">
        <v>2233</v>
      </c>
      <c r="BO26" s="141">
        <v>0.79223897815895628</v>
      </c>
      <c r="BP26" s="2629"/>
      <c r="BQ26" s="545" t="s">
        <v>627</v>
      </c>
      <c r="BR26" s="868">
        <v>0</v>
      </c>
      <c r="BS26" s="545" t="s">
        <v>627</v>
      </c>
      <c r="BT26" s="868">
        <v>0</v>
      </c>
      <c r="BU26" s="545" t="s">
        <v>2233</v>
      </c>
      <c r="BV26" s="141">
        <v>1.8858616216386004</v>
      </c>
      <c r="BW26" s="545" t="s">
        <v>2233</v>
      </c>
      <c r="BX26" s="141">
        <v>0</v>
      </c>
      <c r="BY26" s="545" t="s">
        <v>2233</v>
      </c>
      <c r="BZ26" s="141">
        <v>2.0135147097459063</v>
      </c>
      <c r="CA26" s="545" t="s">
        <v>2233</v>
      </c>
      <c r="CB26" s="141">
        <v>2.6500781091076724</v>
      </c>
      <c r="CC26" s="545" t="s">
        <v>2233</v>
      </c>
      <c r="CD26" s="144">
        <v>1.6016207454529989</v>
      </c>
      <c r="CE26" s="2629"/>
      <c r="CF26" s="2629"/>
    </row>
    <row r="27" spans="1:84" s="98" customFormat="1" ht="15" customHeight="1">
      <c r="A27" s="99"/>
      <c r="B27" s="2687"/>
      <c r="C27" s="2688"/>
      <c r="D27" s="2688" t="s">
        <v>2702</v>
      </c>
      <c r="E27" s="2688"/>
      <c r="F27" s="2688"/>
      <c r="G27" s="2645"/>
      <c r="H27" s="2645"/>
      <c r="I27" s="607" t="s">
        <v>498</v>
      </c>
      <c r="J27" s="143">
        <v>0.30401880844840834</v>
      </c>
      <c r="K27" s="141">
        <v>0.20213125223728212</v>
      </c>
      <c r="L27" s="141">
        <v>0.85567547952345302</v>
      </c>
      <c r="M27" s="141">
        <v>3.6537694134929598E-2</v>
      </c>
      <c r="N27" s="141">
        <v>1.0257317931360324E-2</v>
      </c>
      <c r="O27" s="141">
        <v>0.14383248031615367</v>
      </c>
      <c r="P27" s="141">
        <v>0.13289680666900924</v>
      </c>
      <c r="Q27" s="144">
        <v>0.12185796108821451</v>
      </c>
      <c r="R27" s="143">
        <v>0.33103047397339003</v>
      </c>
      <c r="S27" s="141">
        <v>0.32937532160352306</v>
      </c>
      <c r="T27" s="141">
        <v>0.32772844499550552</v>
      </c>
      <c r="U27" s="141">
        <v>0.3260898027705279</v>
      </c>
      <c r="V27" s="144">
        <v>0.32445935375667528</v>
      </c>
      <c r="W27" s="2629"/>
      <c r="X27" s="2503"/>
      <c r="Y27" s="2503"/>
      <c r="Z27" s="2503"/>
      <c r="AA27" s="2503"/>
      <c r="AB27" s="2503"/>
      <c r="AC27" s="2503"/>
      <c r="AD27" s="2503"/>
      <c r="AE27" s="2503"/>
      <c r="AF27" s="2503"/>
      <c r="AG27" s="2503"/>
      <c r="AH27" s="2503"/>
      <c r="AI27" s="2503"/>
      <c r="AJ27" s="2503"/>
      <c r="AK27" s="2503"/>
      <c r="AL27" s="2629"/>
      <c r="AM27" s="607" t="s">
        <v>2233</v>
      </c>
      <c r="AN27" s="143">
        <v>0.88300000000000001</v>
      </c>
      <c r="AO27" s="141">
        <v>0.45400000000000001</v>
      </c>
      <c r="AP27" s="141">
        <v>1.5329999999999999</v>
      </c>
      <c r="AQ27" s="141">
        <v>8.3000000000000004E-2</v>
      </c>
      <c r="AR27" s="141">
        <v>1.4E-2</v>
      </c>
      <c r="AS27" s="141">
        <v>0.377</v>
      </c>
      <c r="AT27" s="141">
        <v>0.28435268469973107</v>
      </c>
      <c r="AU27" s="144">
        <v>0.29519432791216677</v>
      </c>
      <c r="AV27" s="143">
        <v>0.68280961051455302</v>
      </c>
      <c r="AW27" s="141">
        <v>0.68280961051455302</v>
      </c>
      <c r="AX27" s="141">
        <v>0.68280961051455302</v>
      </c>
      <c r="AY27" s="141">
        <v>0.68280961051455302</v>
      </c>
      <c r="AZ27" s="144">
        <v>0.68280961051455302</v>
      </c>
      <c r="BA27" s="2629"/>
      <c r="BB27" s="545" t="s">
        <v>627</v>
      </c>
      <c r="BC27" s="868">
        <v>0</v>
      </c>
      <c r="BD27" s="545" t="s">
        <v>627</v>
      </c>
      <c r="BE27" s="868">
        <v>0</v>
      </c>
      <c r="BF27" s="545" t="s">
        <v>2233</v>
      </c>
      <c r="BG27" s="141">
        <v>0.90776573188013843</v>
      </c>
      <c r="BH27" s="545" t="s">
        <v>2233</v>
      </c>
      <c r="BI27" s="141">
        <v>0</v>
      </c>
      <c r="BJ27" s="545" t="s">
        <v>2233</v>
      </c>
      <c r="BK27" s="141">
        <v>0.96921196824386613</v>
      </c>
      <c r="BL27" s="545" t="s">
        <v>2233</v>
      </c>
      <c r="BM27" s="141">
        <v>1.2756238669109887</v>
      </c>
      <c r="BN27" s="545" t="s">
        <v>2233</v>
      </c>
      <c r="BO27" s="141">
        <v>0.77094544557690459</v>
      </c>
      <c r="BP27" s="2629"/>
      <c r="BQ27" s="545" t="s">
        <v>627</v>
      </c>
      <c r="BR27" s="868">
        <v>0</v>
      </c>
      <c r="BS27" s="545" t="s">
        <v>627</v>
      </c>
      <c r="BT27" s="868">
        <v>0</v>
      </c>
      <c r="BU27" s="545" t="s">
        <v>2233</v>
      </c>
      <c r="BV27" s="141">
        <v>0.78988624812082342</v>
      </c>
      <c r="BW27" s="545" t="s">
        <v>2233</v>
      </c>
      <c r="BX27" s="141">
        <v>0</v>
      </c>
      <c r="BY27" s="545" t="s">
        <v>2233</v>
      </c>
      <c r="BZ27" s="141">
        <v>0.84335327755138456</v>
      </c>
      <c r="CA27" s="545" t="s">
        <v>2233</v>
      </c>
      <c r="CB27" s="141">
        <v>1.1099755309784496</v>
      </c>
      <c r="CC27" s="545" t="s">
        <v>2233</v>
      </c>
      <c r="CD27" s="144">
        <v>0.67083299592210732</v>
      </c>
      <c r="CE27" s="2629"/>
      <c r="CF27" s="2629"/>
    </row>
    <row r="28" spans="1:84" s="98" customFormat="1" ht="15" customHeight="1">
      <c r="A28" s="99"/>
      <c r="B28" s="2687"/>
      <c r="C28" s="2688"/>
      <c r="D28" s="2688" t="s">
        <v>2703</v>
      </c>
      <c r="E28" s="2688"/>
      <c r="F28" s="2688"/>
      <c r="G28" s="2645"/>
      <c r="H28" s="2645"/>
      <c r="I28" s="607" t="s">
        <v>498</v>
      </c>
      <c r="J28" s="143">
        <v>0.15769819577899707</v>
      </c>
      <c r="K28" s="141">
        <v>0.27685041446879771</v>
      </c>
      <c r="L28" s="141">
        <v>9.0737744245308113E-4</v>
      </c>
      <c r="M28" s="141">
        <v>0</v>
      </c>
      <c r="N28" s="141">
        <v>3.8464144932011477E-3</v>
      </c>
      <c r="O28" s="141">
        <v>1.0888913993318636E-2</v>
      </c>
      <c r="P28" s="141">
        <v>6.1397744544956431E-2</v>
      </c>
      <c r="Q28" s="144">
        <v>5.9427554038832625E-2</v>
      </c>
      <c r="R28" s="143">
        <v>0.11992530901021894</v>
      </c>
      <c r="S28" s="141">
        <v>0.11932568246516785</v>
      </c>
      <c r="T28" s="141">
        <v>0.11872905405284202</v>
      </c>
      <c r="U28" s="141">
        <v>0.11813540878257781</v>
      </c>
      <c r="V28" s="144">
        <v>0.11754473173866491</v>
      </c>
      <c r="W28" s="2629"/>
      <c r="X28" s="2503"/>
      <c r="Y28" s="2503"/>
      <c r="Z28" s="2503"/>
      <c r="AA28" s="2503"/>
      <c r="AB28" s="2503"/>
      <c r="AC28" s="2503"/>
      <c r="AD28" s="2503"/>
      <c r="AE28" s="2503"/>
      <c r="AF28" s="2503"/>
      <c r="AG28" s="2503"/>
      <c r="AH28" s="2503"/>
      <c r="AI28" s="2503"/>
      <c r="AJ28" s="2503"/>
      <c r="AK28" s="2503"/>
      <c r="AL28" s="2629"/>
      <c r="AM28" s="607" t="s">
        <v>2233</v>
      </c>
      <c r="AN28" s="143">
        <v>0.25600000000000001</v>
      </c>
      <c r="AO28" s="141">
        <v>0.311</v>
      </c>
      <c r="AP28" s="141">
        <v>1E-3</v>
      </c>
      <c r="AQ28" s="141">
        <v>0</v>
      </c>
      <c r="AR28" s="141">
        <v>4.0000000000000001E-3</v>
      </c>
      <c r="AS28" s="141">
        <v>1.7000000000000001E-2</v>
      </c>
      <c r="AT28" s="141">
        <v>9.7151473319218071E-2</v>
      </c>
      <c r="AU28" s="144">
        <v>0.10646237316756556</v>
      </c>
      <c r="AV28" s="143">
        <v>0.18819529758444362</v>
      </c>
      <c r="AW28" s="141">
        <v>0.18819529758444362</v>
      </c>
      <c r="AX28" s="141">
        <v>0.18819529758444362</v>
      </c>
      <c r="AY28" s="141">
        <v>0.18819529758444362</v>
      </c>
      <c r="AZ28" s="144">
        <v>0.18819529758444362</v>
      </c>
      <c r="BA28" s="2629"/>
      <c r="BB28" s="545" t="s">
        <v>627</v>
      </c>
      <c r="BC28" s="868">
        <v>0</v>
      </c>
      <c r="BD28" s="545" t="s">
        <v>627</v>
      </c>
      <c r="BE28" s="868">
        <v>0</v>
      </c>
      <c r="BF28" s="545" t="s">
        <v>2233</v>
      </c>
      <c r="BG28" s="141">
        <v>0.18338194652481857</v>
      </c>
      <c r="BH28" s="545" t="s">
        <v>2233</v>
      </c>
      <c r="BI28" s="141">
        <v>0</v>
      </c>
      <c r="BJ28" s="545" t="s">
        <v>2233</v>
      </c>
      <c r="BK28" s="141">
        <v>0.19579498442135412</v>
      </c>
      <c r="BL28" s="545" t="s">
        <v>2233</v>
      </c>
      <c r="BM28" s="141">
        <v>0.25769466673207814</v>
      </c>
      <c r="BN28" s="545" t="s">
        <v>2233</v>
      </c>
      <c r="BO28" s="141">
        <v>0.15574224880853274</v>
      </c>
      <c r="BP28" s="2629"/>
      <c r="BQ28" s="545" t="s">
        <v>627</v>
      </c>
      <c r="BR28" s="868">
        <v>0</v>
      </c>
      <c r="BS28" s="545" t="s">
        <v>627</v>
      </c>
      <c r="BT28" s="868">
        <v>0</v>
      </c>
      <c r="BU28" s="545" t="s">
        <v>2233</v>
      </c>
      <c r="BV28" s="141">
        <v>0.21770765266607175</v>
      </c>
      <c r="BW28" s="545" t="s">
        <v>2233</v>
      </c>
      <c r="BX28" s="141">
        <v>0</v>
      </c>
      <c r="BY28" s="545" t="s">
        <v>2233</v>
      </c>
      <c r="BZ28" s="141">
        <v>0.23244418150177157</v>
      </c>
      <c r="CA28" s="545" t="s">
        <v>2233</v>
      </c>
      <c r="CB28" s="141">
        <v>0.30593033862912794</v>
      </c>
      <c r="CC28" s="545" t="s">
        <v>2233</v>
      </c>
      <c r="CD28" s="144">
        <v>0.18489431512524687</v>
      </c>
      <c r="CE28" s="2629"/>
      <c r="CF28" s="2629"/>
    </row>
    <row r="29" spans="1:84" s="98" customFormat="1" ht="15" customHeight="1">
      <c r="A29" s="99"/>
      <c r="B29" s="2687"/>
      <c r="C29" s="2688"/>
      <c r="D29" s="2688" t="s">
        <v>2704</v>
      </c>
      <c r="E29" s="2688"/>
      <c r="F29" s="2688"/>
      <c r="G29" s="2645"/>
      <c r="H29" s="2645"/>
      <c r="I29" s="607" t="s">
        <v>498</v>
      </c>
      <c r="J29" s="143">
        <v>1.68206183008985E-2</v>
      </c>
      <c r="K29" s="141">
        <v>0</v>
      </c>
      <c r="L29" s="141">
        <v>7.9311352632705778E-2</v>
      </c>
      <c r="M29" s="141">
        <v>2.7930551215832145E-2</v>
      </c>
      <c r="N29" s="141">
        <v>0</v>
      </c>
      <c r="O29" s="141">
        <v>0</v>
      </c>
      <c r="P29" s="141">
        <v>1.4587243985415238E-3</v>
      </c>
      <c r="Q29" s="144">
        <v>1.0055699606738378E-3</v>
      </c>
      <c r="R29" s="143">
        <v>7.7006412842415403E-3</v>
      </c>
      <c r="S29" s="141">
        <v>7.6621380778203324E-3</v>
      </c>
      <c r="T29" s="141">
        <v>7.6238273874312309E-3</v>
      </c>
      <c r="U29" s="141">
        <v>7.5857082504940752E-3</v>
      </c>
      <c r="V29" s="144">
        <v>7.5477797092416039E-3</v>
      </c>
      <c r="W29" s="2629"/>
      <c r="X29" s="2503"/>
      <c r="Y29" s="2503"/>
      <c r="Z29" s="2503"/>
      <c r="AA29" s="2503"/>
      <c r="AB29" s="2503"/>
      <c r="AC29" s="2503"/>
      <c r="AD29" s="2503"/>
      <c r="AE29" s="2503"/>
      <c r="AF29" s="2503"/>
      <c r="AG29" s="2503"/>
      <c r="AH29" s="2503"/>
      <c r="AI29" s="2503"/>
      <c r="AJ29" s="2503"/>
      <c r="AK29" s="2503"/>
      <c r="AL29" s="2629"/>
      <c r="AM29" s="607" t="s">
        <v>2233</v>
      </c>
      <c r="AN29" s="143">
        <v>5.2999999999999999E-2</v>
      </c>
      <c r="AO29" s="141">
        <v>0</v>
      </c>
      <c r="AP29" s="141">
        <v>0.26300000000000001</v>
      </c>
      <c r="AQ29" s="141">
        <v>2.1000000000000001E-2</v>
      </c>
      <c r="AR29" s="141">
        <v>0</v>
      </c>
      <c r="AS29" s="141"/>
      <c r="AT29" s="141">
        <v>3.9651631592357E-3</v>
      </c>
      <c r="AU29" s="144">
        <v>3.0946491606757749E-3</v>
      </c>
      <c r="AV29" s="143">
        <v>2.0842296151004643E-2</v>
      </c>
      <c r="AW29" s="141">
        <v>2.0842296151004643E-2</v>
      </c>
      <c r="AX29" s="141">
        <v>2.0842296151004643E-2</v>
      </c>
      <c r="AY29" s="141">
        <v>2.0842296151004643E-2</v>
      </c>
      <c r="AZ29" s="144">
        <v>2.0842296151004643E-2</v>
      </c>
      <c r="BA29" s="2629"/>
      <c r="BB29" s="545" t="s">
        <v>627</v>
      </c>
      <c r="BC29" s="868">
        <v>0</v>
      </c>
      <c r="BD29" s="545" t="s">
        <v>627</v>
      </c>
      <c r="BE29" s="868">
        <v>0</v>
      </c>
      <c r="BF29" s="545" t="s">
        <v>2233</v>
      </c>
      <c r="BG29" s="141">
        <v>7.9602896648666085E-2</v>
      </c>
      <c r="BH29" s="545" t="s">
        <v>2233</v>
      </c>
      <c r="BI29" s="141">
        <v>0</v>
      </c>
      <c r="BJ29" s="545" t="s">
        <v>2233</v>
      </c>
      <c r="BK29" s="141">
        <v>8.4991179364054134E-2</v>
      </c>
      <c r="BL29" s="545" t="s">
        <v>2233</v>
      </c>
      <c r="BM29" s="141">
        <v>0.11186074917145587</v>
      </c>
      <c r="BN29" s="545" t="s">
        <v>2233</v>
      </c>
      <c r="BO29" s="141">
        <v>6.7604987135735373E-2</v>
      </c>
      <c r="BP29" s="2629"/>
      <c r="BQ29" s="545" t="s">
        <v>627</v>
      </c>
      <c r="BR29" s="868">
        <v>0</v>
      </c>
      <c r="BS29" s="545" t="s">
        <v>627</v>
      </c>
      <c r="BT29" s="868">
        <v>0</v>
      </c>
      <c r="BU29" s="545" t="s">
        <v>2233</v>
      </c>
      <c r="BV29" s="141">
        <v>2.4110737247142557E-2</v>
      </c>
      <c r="BW29" s="545" t="s">
        <v>2233</v>
      </c>
      <c r="BX29" s="141">
        <v>0</v>
      </c>
      <c r="BY29" s="545" t="s">
        <v>2233</v>
      </c>
      <c r="BZ29" s="141">
        <v>2.5742781735893182E-2</v>
      </c>
      <c r="CA29" s="545" t="s">
        <v>2233</v>
      </c>
      <c r="CB29" s="141">
        <v>3.3881243586462967E-2</v>
      </c>
      <c r="CC29" s="545" t="s">
        <v>2233</v>
      </c>
      <c r="CD29" s="144">
        <v>2.04767181855245E-2</v>
      </c>
      <c r="CE29" s="2629"/>
      <c r="CF29" s="2629"/>
    </row>
    <row r="30" spans="1:84" s="98" customFormat="1" ht="15" customHeight="1">
      <c r="A30" s="99"/>
      <c r="B30" s="2687"/>
      <c r="C30" s="2688"/>
      <c r="D30" s="2688" t="s">
        <v>2705</v>
      </c>
      <c r="E30" s="2688"/>
      <c r="F30" s="2688"/>
      <c r="G30" s="2645"/>
      <c r="H30" s="2645"/>
      <c r="I30" s="607" t="s">
        <v>498</v>
      </c>
      <c r="J30" s="143">
        <v>0</v>
      </c>
      <c r="K30" s="141">
        <v>0</v>
      </c>
      <c r="L30" s="141">
        <v>0</v>
      </c>
      <c r="M30" s="141">
        <v>0</v>
      </c>
      <c r="N30" s="141">
        <v>0</v>
      </c>
      <c r="O30" s="141">
        <v>0</v>
      </c>
      <c r="P30" s="141">
        <v>6.9046636435351105E-4</v>
      </c>
      <c r="Q30" s="144">
        <v>4.3812531737662247E-4</v>
      </c>
      <c r="R30" s="143">
        <v>4.5396499710771716E-3</v>
      </c>
      <c r="S30" s="141">
        <v>4.5169517212217854E-3</v>
      </c>
      <c r="T30" s="141">
        <v>4.494366962615676E-3</v>
      </c>
      <c r="U30" s="141">
        <v>4.4718951278025984E-3</v>
      </c>
      <c r="V30" s="144">
        <v>4.4495356521635845E-3</v>
      </c>
      <c r="W30" s="2629"/>
      <c r="X30" s="2503"/>
      <c r="Y30" s="2503"/>
      <c r="Z30" s="2503"/>
      <c r="AA30" s="2503"/>
      <c r="AB30" s="2503"/>
      <c r="AC30" s="2503"/>
      <c r="AD30" s="2503"/>
      <c r="AE30" s="2503"/>
      <c r="AF30" s="2503"/>
      <c r="AG30" s="2503"/>
      <c r="AH30" s="2503"/>
      <c r="AI30" s="2503"/>
      <c r="AJ30" s="2503"/>
      <c r="AK30" s="2503"/>
      <c r="AL30" s="2629"/>
      <c r="AM30" s="607" t="s">
        <v>2233</v>
      </c>
      <c r="AN30" s="143">
        <v>0</v>
      </c>
      <c r="AO30" s="141">
        <v>0</v>
      </c>
      <c r="AP30" s="141">
        <v>0</v>
      </c>
      <c r="AQ30" s="141">
        <v>0</v>
      </c>
      <c r="AR30" s="141">
        <v>0</v>
      </c>
      <c r="AS30" s="141"/>
      <c r="AT30" s="141">
        <v>9.4014204255952398E-4</v>
      </c>
      <c r="AU30" s="144">
        <v>6.7539930752673891E-4</v>
      </c>
      <c r="AV30" s="143">
        <v>6.1683549925897127E-3</v>
      </c>
      <c r="AW30" s="141">
        <v>6.1683549925897127E-3</v>
      </c>
      <c r="AX30" s="141">
        <v>6.1683549925897127E-3</v>
      </c>
      <c r="AY30" s="141">
        <v>6.1683549925897127E-3</v>
      </c>
      <c r="AZ30" s="144">
        <v>6.1683549925897127E-3</v>
      </c>
      <c r="BA30" s="2629"/>
      <c r="BB30" s="545" t="s">
        <v>627</v>
      </c>
      <c r="BC30" s="868">
        <v>0</v>
      </c>
      <c r="BD30" s="545" t="s">
        <v>627</v>
      </c>
      <c r="BE30" s="868">
        <v>0</v>
      </c>
      <c r="BF30" s="545" t="s">
        <v>2233</v>
      </c>
      <c r="BG30" s="141">
        <v>3.7377736811350577E-4</v>
      </c>
      <c r="BH30" s="545" t="s">
        <v>2233</v>
      </c>
      <c r="BI30" s="141">
        <v>0</v>
      </c>
      <c r="BJ30" s="545" t="s">
        <v>2233</v>
      </c>
      <c r="BK30" s="141">
        <v>3.9907818274212756E-4</v>
      </c>
      <c r="BL30" s="545" t="s">
        <v>2233</v>
      </c>
      <c r="BM30" s="141">
        <v>5.252449116901882E-4</v>
      </c>
      <c r="BN30" s="545" t="s">
        <v>2233</v>
      </c>
      <c r="BO30" s="141">
        <v>3.1744088754044126E-4</v>
      </c>
      <c r="BP30" s="2629"/>
      <c r="BQ30" s="545" t="s">
        <v>627</v>
      </c>
      <c r="BR30" s="868">
        <v>0</v>
      </c>
      <c r="BS30" s="545" t="s">
        <v>627</v>
      </c>
      <c r="BT30" s="868">
        <v>0</v>
      </c>
      <c r="BU30" s="545" t="s">
        <v>2233</v>
      </c>
      <c r="BV30" s="141">
        <v>7.1356622800056394E-3</v>
      </c>
      <c r="BW30" s="545" t="s">
        <v>2233</v>
      </c>
      <c r="BX30" s="141">
        <v>0</v>
      </c>
      <c r="BY30" s="545" t="s">
        <v>2233</v>
      </c>
      <c r="BZ30" s="141">
        <v>7.6186719108724474E-3</v>
      </c>
      <c r="CA30" s="545" t="s">
        <v>2233</v>
      </c>
      <c r="CB30" s="141">
        <v>1.002727993679493E-2</v>
      </c>
      <c r="CC30" s="545" t="s">
        <v>2233</v>
      </c>
      <c r="CD30" s="144">
        <v>6.0601608352755477E-3</v>
      </c>
      <c r="CE30" s="2629"/>
      <c r="CF30" s="2629"/>
    </row>
    <row r="31" spans="1:84" s="98" customFormat="1" ht="15" customHeight="1">
      <c r="A31" s="99"/>
      <c r="B31" s="2687"/>
      <c r="C31" s="2688"/>
      <c r="D31" s="2688" t="s">
        <v>2706</v>
      </c>
      <c r="E31" s="2688"/>
      <c r="F31" s="2688"/>
      <c r="G31" s="2645"/>
      <c r="H31" s="2645"/>
      <c r="I31" s="607" t="s">
        <v>498</v>
      </c>
      <c r="J31" s="143">
        <v>0</v>
      </c>
      <c r="K31" s="141">
        <v>0</v>
      </c>
      <c r="L31" s="141">
        <v>0</v>
      </c>
      <c r="M31" s="141">
        <v>0</v>
      </c>
      <c r="N31" s="141">
        <v>0</v>
      </c>
      <c r="O31" s="141">
        <v>0</v>
      </c>
      <c r="P31" s="141">
        <v>0</v>
      </c>
      <c r="Q31" s="144">
        <v>0</v>
      </c>
      <c r="R31" s="143">
        <v>0</v>
      </c>
      <c r="S31" s="141">
        <v>0</v>
      </c>
      <c r="T31" s="141">
        <v>0</v>
      </c>
      <c r="U31" s="141">
        <v>0</v>
      </c>
      <c r="V31" s="144">
        <v>0</v>
      </c>
      <c r="W31" s="2629"/>
      <c r="X31" s="2503"/>
      <c r="Y31" s="2503"/>
      <c r="Z31" s="2503"/>
      <c r="AA31" s="2503"/>
      <c r="AB31" s="2503"/>
      <c r="AC31" s="2503"/>
      <c r="AD31" s="2503"/>
      <c r="AE31" s="2503"/>
      <c r="AF31" s="2503"/>
      <c r="AG31" s="2503"/>
      <c r="AH31" s="2503"/>
      <c r="AI31" s="2503"/>
      <c r="AJ31" s="2503"/>
      <c r="AK31" s="2503"/>
      <c r="AL31" s="2629"/>
      <c r="AM31" s="607" t="s">
        <v>2233</v>
      </c>
      <c r="AN31" s="143">
        <v>0</v>
      </c>
      <c r="AO31" s="141">
        <v>0</v>
      </c>
      <c r="AP31" s="141">
        <v>0</v>
      </c>
      <c r="AQ31" s="141">
        <v>0</v>
      </c>
      <c r="AR31" s="141">
        <v>0</v>
      </c>
      <c r="AS31" s="141"/>
      <c r="AT31" s="141">
        <v>0</v>
      </c>
      <c r="AU31" s="144">
        <v>0</v>
      </c>
      <c r="AV31" s="143">
        <v>0</v>
      </c>
      <c r="AW31" s="141">
        <v>0</v>
      </c>
      <c r="AX31" s="141">
        <v>0</v>
      </c>
      <c r="AY31" s="141">
        <v>0</v>
      </c>
      <c r="AZ31" s="144">
        <v>0</v>
      </c>
      <c r="BA31" s="2629"/>
      <c r="BB31" s="545" t="s">
        <v>627</v>
      </c>
      <c r="BC31" s="868">
        <v>0</v>
      </c>
      <c r="BD31" s="545" t="s">
        <v>627</v>
      </c>
      <c r="BE31" s="868">
        <v>0</v>
      </c>
      <c r="BF31" s="545" t="s">
        <v>2233</v>
      </c>
      <c r="BG31" s="141">
        <v>0</v>
      </c>
      <c r="BH31" s="545" t="s">
        <v>2233</v>
      </c>
      <c r="BI31" s="141">
        <v>0</v>
      </c>
      <c r="BJ31" s="545" t="s">
        <v>2233</v>
      </c>
      <c r="BK31" s="141">
        <v>0</v>
      </c>
      <c r="BL31" s="545" t="s">
        <v>2233</v>
      </c>
      <c r="BM31" s="141">
        <v>0</v>
      </c>
      <c r="BN31" s="545" t="s">
        <v>2233</v>
      </c>
      <c r="BO31" s="141">
        <v>0</v>
      </c>
      <c r="BP31" s="2629"/>
      <c r="BQ31" s="545" t="s">
        <v>627</v>
      </c>
      <c r="BR31" s="868">
        <v>0</v>
      </c>
      <c r="BS31" s="545" t="s">
        <v>627</v>
      </c>
      <c r="BT31" s="868">
        <v>0</v>
      </c>
      <c r="BU31" s="545" t="s">
        <v>2233</v>
      </c>
      <c r="BV31" s="141">
        <v>0</v>
      </c>
      <c r="BW31" s="545" t="s">
        <v>2233</v>
      </c>
      <c r="BX31" s="141">
        <v>0</v>
      </c>
      <c r="BY31" s="545" t="s">
        <v>2233</v>
      </c>
      <c r="BZ31" s="141">
        <v>0</v>
      </c>
      <c r="CA31" s="545" t="s">
        <v>2233</v>
      </c>
      <c r="CB31" s="141">
        <v>0</v>
      </c>
      <c r="CC31" s="545" t="s">
        <v>2233</v>
      </c>
      <c r="CD31" s="144">
        <v>0</v>
      </c>
      <c r="CE31" s="2629"/>
      <c r="CF31" s="2629"/>
    </row>
    <row r="32" spans="1:84" s="98" customFormat="1" ht="15" customHeight="1">
      <c r="A32" s="99"/>
      <c r="B32" s="2687"/>
      <c r="C32" s="2688"/>
      <c r="D32" s="2688" t="s">
        <v>2707</v>
      </c>
      <c r="E32" s="2688"/>
      <c r="F32" s="2688"/>
      <c r="G32" s="2645"/>
      <c r="H32" s="2645"/>
      <c r="I32" s="607" t="s">
        <v>498</v>
      </c>
      <c r="J32" s="143">
        <v>0</v>
      </c>
      <c r="K32" s="141">
        <v>0</v>
      </c>
      <c r="L32" s="141">
        <v>0</v>
      </c>
      <c r="M32" s="141">
        <v>0</v>
      </c>
      <c r="N32" s="141">
        <v>0</v>
      </c>
      <c r="O32" s="141">
        <v>0</v>
      </c>
      <c r="P32" s="141">
        <v>0</v>
      </c>
      <c r="Q32" s="144">
        <v>0</v>
      </c>
      <c r="R32" s="143">
        <v>0</v>
      </c>
      <c r="S32" s="141">
        <v>0</v>
      </c>
      <c r="T32" s="141">
        <v>0</v>
      </c>
      <c r="U32" s="141">
        <v>0</v>
      </c>
      <c r="V32" s="144">
        <v>0</v>
      </c>
      <c r="W32" s="2629"/>
      <c r="X32" s="2503"/>
      <c r="Y32" s="2503"/>
      <c r="Z32" s="2503"/>
      <c r="AA32" s="2503"/>
      <c r="AB32" s="2503"/>
      <c r="AC32" s="2503"/>
      <c r="AD32" s="2503"/>
      <c r="AE32" s="2503"/>
      <c r="AF32" s="2503"/>
      <c r="AG32" s="2503"/>
      <c r="AH32" s="2503"/>
      <c r="AI32" s="2503"/>
      <c r="AJ32" s="2503"/>
      <c r="AK32" s="2503"/>
      <c r="AL32" s="2629"/>
      <c r="AM32" s="607" t="s">
        <v>2233</v>
      </c>
      <c r="AN32" s="143">
        <v>0</v>
      </c>
      <c r="AO32" s="141">
        <v>0</v>
      </c>
      <c r="AP32" s="141">
        <v>0</v>
      </c>
      <c r="AQ32" s="141">
        <v>0</v>
      </c>
      <c r="AR32" s="141">
        <v>0</v>
      </c>
      <c r="AS32" s="141"/>
      <c r="AT32" s="141"/>
      <c r="AU32" s="144"/>
      <c r="AV32" s="143"/>
      <c r="AW32" s="141"/>
      <c r="AX32" s="141"/>
      <c r="AY32" s="141"/>
      <c r="AZ32" s="144"/>
      <c r="BA32" s="2629"/>
      <c r="BB32" s="545" t="s">
        <v>627</v>
      </c>
      <c r="BC32" s="868">
        <v>0</v>
      </c>
      <c r="BD32" s="545" t="s">
        <v>627</v>
      </c>
      <c r="BE32" s="868">
        <v>0</v>
      </c>
      <c r="BF32" s="545" t="s">
        <v>2233</v>
      </c>
      <c r="BG32" s="141">
        <v>0</v>
      </c>
      <c r="BH32" s="545" t="s">
        <v>2233</v>
      </c>
      <c r="BI32" s="141">
        <v>0</v>
      </c>
      <c r="BJ32" s="545" t="s">
        <v>2233</v>
      </c>
      <c r="BK32" s="141">
        <v>0</v>
      </c>
      <c r="BL32" s="545" t="s">
        <v>2233</v>
      </c>
      <c r="BM32" s="141">
        <v>0</v>
      </c>
      <c r="BN32" s="545" t="s">
        <v>2233</v>
      </c>
      <c r="BO32" s="141">
        <v>0</v>
      </c>
      <c r="BP32" s="2629"/>
      <c r="BQ32" s="545" t="s">
        <v>627</v>
      </c>
      <c r="BR32" s="868">
        <v>0</v>
      </c>
      <c r="BS32" s="545" t="s">
        <v>627</v>
      </c>
      <c r="BT32" s="868">
        <v>0</v>
      </c>
      <c r="BU32" s="545" t="s">
        <v>2233</v>
      </c>
      <c r="BV32" s="141">
        <v>0</v>
      </c>
      <c r="BW32" s="545" t="s">
        <v>2233</v>
      </c>
      <c r="BX32" s="141">
        <v>0</v>
      </c>
      <c r="BY32" s="545" t="s">
        <v>2233</v>
      </c>
      <c r="BZ32" s="141">
        <v>0</v>
      </c>
      <c r="CA32" s="545" t="s">
        <v>2233</v>
      </c>
      <c r="CB32" s="141">
        <v>0</v>
      </c>
      <c r="CC32" s="545" t="s">
        <v>2233</v>
      </c>
      <c r="CD32" s="144">
        <v>0</v>
      </c>
      <c r="CE32" s="2629"/>
      <c r="CF32" s="2629"/>
    </row>
    <row r="33" spans="1:84" s="98" customFormat="1" ht="15" customHeight="1">
      <c r="A33" s="99"/>
      <c r="B33" s="2687"/>
      <c r="C33" s="2688"/>
      <c r="D33" s="2688" t="s">
        <v>2708</v>
      </c>
      <c r="E33" s="2688"/>
      <c r="F33" s="2688"/>
      <c r="G33" s="2645"/>
      <c r="H33" s="2645"/>
      <c r="I33" s="607" t="s">
        <v>498</v>
      </c>
      <c r="J33" s="143">
        <v>0</v>
      </c>
      <c r="K33" s="141">
        <v>0</v>
      </c>
      <c r="L33" s="141">
        <v>0</v>
      </c>
      <c r="M33" s="141">
        <v>0</v>
      </c>
      <c r="N33" s="141">
        <v>0</v>
      </c>
      <c r="O33" s="141">
        <v>0</v>
      </c>
      <c r="P33" s="141">
        <v>0</v>
      </c>
      <c r="Q33" s="144">
        <v>0</v>
      </c>
      <c r="R33" s="143">
        <v>0</v>
      </c>
      <c r="S33" s="141">
        <v>0</v>
      </c>
      <c r="T33" s="141">
        <v>0</v>
      </c>
      <c r="U33" s="141">
        <v>0</v>
      </c>
      <c r="V33" s="144">
        <v>0</v>
      </c>
      <c r="W33" s="2629"/>
      <c r="X33" s="2503"/>
      <c r="Y33" s="2503"/>
      <c r="Z33" s="2503"/>
      <c r="AA33" s="2503"/>
      <c r="AB33" s="2503"/>
      <c r="AC33" s="2503"/>
      <c r="AD33" s="2503"/>
      <c r="AE33" s="2503"/>
      <c r="AF33" s="2503"/>
      <c r="AG33" s="2503"/>
      <c r="AH33" s="2503"/>
      <c r="AI33" s="2503"/>
      <c r="AJ33" s="2503"/>
      <c r="AK33" s="2503"/>
      <c r="AL33" s="2629"/>
      <c r="AM33" s="607" t="s">
        <v>2233</v>
      </c>
      <c r="AN33" s="143">
        <v>0</v>
      </c>
      <c r="AO33" s="141">
        <v>0</v>
      </c>
      <c r="AP33" s="141">
        <v>0</v>
      </c>
      <c r="AQ33" s="141">
        <v>0</v>
      </c>
      <c r="AR33" s="141">
        <v>0</v>
      </c>
      <c r="AS33" s="141"/>
      <c r="AT33" s="141"/>
      <c r="AU33" s="144"/>
      <c r="AV33" s="143"/>
      <c r="AW33" s="141"/>
      <c r="AX33" s="141"/>
      <c r="AY33" s="141"/>
      <c r="AZ33" s="144"/>
      <c r="BA33" s="2629"/>
      <c r="BB33" s="545" t="s">
        <v>627</v>
      </c>
      <c r="BC33" s="868">
        <v>0</v>
      </c>
      <c r="BD33" s="545" t="s">
        <v>627</v>
      </c>
      <c r="BE33" s="868">
        <v>0</v>
      </c>
      <c r="BF33" s="545" t="s">
        <v>2233</v>
      </c>
      <c r="BG33" s="141">
        <v>0</v>
      </c>
      <c r="BH33" s="545" t="s">
        <v>2233</v>
      </c>
      <c r="BI33" s="141">
        <v>0</v>
      </c>
      <c r="BJ33" s="545" t="s">
        <v>2233</v>
      </c>
      <c r="BK33" s="141">
        <v>0</v>
      </c>
      <c r="BL33" s="545" t="s">
        <v>2233</v>
      </c>
      <c r="BM33" s="141">
        <v>0</v>
      </c>
      <c r="BN33" s="545" t="s">
        <v>2233</v>
      </c>
      <c r="BO33" s="141">
        <v>0</v>
      </c>
      <c r="BP33" s="2629"/>
      <c r="BQ33" s="545" t="s">
        <v>627</v>
      </c>
      <c r="BR33" s="868">
        <v>0</v>
      </c>
      <c r="BS33" s="545" t="s">
        <v>627</v>
      </c>
      <c r="BT33" s="868">
        <v>0</v>
      </c>
      <c r="BU33" s="545" t="s">
        <v>2233</v>
      </c>
      <c r="BV33" s="141">
        <v>0</v>
      </c>
      <c r="BW33" s="545" t="s">
        <v>2233</v>
      </c>
      <c r="BX33" s="141">
        <v>0</v>
      </c>
      <c r="BY33" s="545" t="s">
        <v>2233</v>
      </c>
      <c r="BZ33" s="141">
        <v>0</v>
      </c>
      <c r="CA33" s="545" t="s">
        <v>2233</v>
      </c>
      <c r="CB33" s="141">
        <v>0</v>
      </c>
      <c r="CC33" s="545" t="s">
        <v>2233</v>
      </c>
      <c r="CD33" s="144">
        <v>0</v>
      </c>
      <c r="CE33" s="2629"/>
      <c r="CF33" s="2629"/>
    </row>
    <row r="34" spans="1:84" s="98" customFormat="1" ht="15" customHeight="1">
      <c r="A34" s="99"/>
      <c r="B34" s="2687"/>
      <c r="C34" s="2688" t="s">
        <v>1710</v>
      </c>
      <c r="D34" s="2688"/>
      <c r="E34" s="2688"/>
      <c r="F34" s="2688"/>
      <c r="G34" s="2645"/>
      <c r="H34" s="2645"/>
      <c r="I34" s="607" t="s">
        <v>498</v>
      </c>
      <c r="J34" s="641">
        <f>SUM(J26:J33)</f>
        <v>0.82310903960119397</v>
      </c>
      <c r="K34" s="642">
        <f t="shared" ref="K34:V34" si="9">SUM(K26:K33)</f>
        <v>0.63656232037239291</v>
      </c>
      <c r="L34" s="642">
        <f t="shared" si="9"/>
        <v>1.1260142144641918</v>
      </c>
      <c r="M34" s="642">
        <f t="shared" si="9"/>
        <v>6.4468245350761746E-2</v>
      </c>
      <c r="N34" s="642">
        <f t="shared" si="9"/>
        <v>0.13263535135645702</v>
      </c>
      <c r="O34" s="642">
        <f t="shared" si="9"/>
        <v>0.20942024916033314</v>
      </c>
      <c r="P34" s="642">
        <f t="shared" si="9"/>
        <v>0.43721688428126598</v>
      </c>
      <c r="Q34" s="643">
        <f t="shared" si="9"/>
        <v>0.40101596216667562</v>
      </c>
      <c r="R34" s="641">
        <f t="shared" si="9"/>
        <v>0.9958838607966537</v>
      </c>
      <c r="S34" s="642">
        <f t="shared" si="9"/>
        <v>0.99090444149267043</v>
      </c>
      <c r="T34" s="642">
        <f t="shared" si="9"/>
        <v>0.98594991928520714</v>
      </c>
      <c r="U34" s="642">
        <f t="shared" si="9"/>
        <v>0.98102016968878103</v>
      </c>
      <c r="V34" s="643">
        <f t="shared" si="9"/>
        <v>0.97611506884033716</v>
      </c>
      <c r="W34" s="2629"/>
      <c r="X34" s="2503"/>
      <c r="Y34" s="2503"/>
      <c r="Z34" s="2503"/>
      <c r="AA34" s="2503"/>
      <c r="AB34" s="2503"/>
      <c r="AC34" s="2503"/>
      <c r="AD34" s="2503"/>
      <c r="AE34" s="2503"/>
      <c r="AF34" s="2503"/>
      <c r="AG34" s="2503"/>
      <c r="AH34" s="2503"/>
      <c r="AI34" s="2503"/>
      <c r="AJ34" s="2503"/>
      <c r="AK34" s="2503"/>
      <c r="AL34" s="2629"/>
      <c r="AM34" s="607" t="s">
        <v>2233</v>
      </c>
      <c r="AN34" s="641">
        <f>SUM(AN26:AN33)</f>
        <v>1.9159999999999999</v>
      </c>
      <c r="AO34" s="642">
        <f t="shared" ref="AO34:AZ34" si="10">SUM(AO26:AO33)</f>
        <v>1.2669999999999999</v>
      </c>
      <c r="AP34" s="642">
        <f t="shared" si="10"/>
        <v>2.7099999999999995</v>
      </c>
      <c r="AQ34" s="642">
        <f t="shared" si="10"/>
        <v>0.10400000000000001</v>
      </c>
      <c r="AR34" s="642">
        <f t="shared" si="10"/>
        <v>0.23900000000000002</v>
      </c>
      <c r="AS34" s="642">
        <f t="shared" si="10"/>
        <v>0.56500000000000006</v>
      </c>
      <c r="AT34" s="642">
        <f t="shared" si="10"/>
        <v>1.1270781163888564</v>
      </c>
      <c r="AU34" s="643">
        <f t="shared" si="10"/>
        <v>1.1656735760857113</v>
      </c>
      <c r="AV34" s="641">
        <f t="shared" si="10"/>
        <v>2.5282305964316265</v>
      </c>
      <c r="AW34" s="642">
        <f t="shared" si="10"/>
        <v>2.5282305964316265</v>
      </c>
      <c r="AX34" s="642">
        <f t="shared" si="10"/>
        <v>2.5282305964316265</v>
      </c>
      <c r="AY34" s="642">
        <f t="shared" si="10"/>
        <v>2.5282305964316265</v>
      </c>
      <c r="AZ34" s="643">
        <f t="shared" si="10"/>
        <v>2.5282305964316265</v>
      </c>
      <c r="BA34" s="2629"/>
      <c r="BB34" s="542"/>
      <c r="BC34" s="542"/>
      <c r="BD34" s="542"/>
      <c r="BE34" s="542"/>
      <c r="BF34" s="545" t="s">
        <v>2233</v>
      </c>
      <c r="BG34" s="642">
        <f>SUM(BG26:BG33)</f>
        <v>2.1039625966301569</v>
      </c>
      <c r="BH34" s="545" t="s">
        <v>2233</v>
      </c>
      <c r="BI34" s="642">
        <f>SUM(BI26:BI33)</f>
        <v>0</v>
      </c>
      <c r="BJ34" s="545" t="s">
        <v>2233</v>
      </c>
      <c r="BK34" s="642">
        <f>SUM(BK26:BK33)</f>
        <v>2.2463788373767835</v>
      </c>
      <c r="BL34" s="545" t="s">
        <v>2233</v>
      </c>
      <c r="BM34" s="642">
        <f>SUM(BM26:BM33)</f>
        <v>2.9565611578999591</v>
      </c>
      <c r="BN34" s="545" t="s">
        <v>2233</v>
      </c>
      <c r="BO34" s="642">
        <f>SUM(BO26:BO33)</f>
        <v>1.7868491005676692</v>
      </c>
      <c r="BP34" s="2629"/>
      <c r="BQ34" s="542"/>
      <c r="BR34" s="542"/>
      <c r="BS34" s="542"/>
      <c r="BT34" s="542"/>
      <c r="BU34" s="545" t="s">
        <v>2233</v>
      </c>
      <c r="BV34" s="642">
        <f>SUM(BV26:BV33)</f>
        <v>2.9247019219526442</v>
      </c>
      <c r="BW34" s="545" t="s">
        <v>2233</v>
      </c>
      <c r="BX34" s="642">
        <f>SUM(BX26:BX33)</f>
        <v>0</v>
      </c>
      <c r="BY34" s="545" t="s">
        <v>2233</v>
      </c>
      <c r="BZ34" s="642">
        <f>SUM(BZ26:BZ33)</f>
        <v>3.122673622445828</v>
      </c>
      <c r="CA34" s="545" t="s">
        <v>2233</v>
      </c>
      <c r="CB34" s="642">
        <f>SUM(CB26:CB33)</f>
        <v>4.109892502238508</v>
      </c>
      <c r="CC34" s="545" t="s">
        <v>2233</v>
      </c>
      <c r="CD34" s="643">
        <f>SUM(CD26:CD33)</f>
        <v>2.4838849355211527</v>
      </c>
      <c r="CE34" s="2629"/>
      <c r="CF34" s="2629"/>
    </row>
    <row r="35" spans="1:84" s="98" customFormat="1" ht="15" customHeight="1">
      <c r="A35" s="99"/>
      <c r="B35" s="123"/>
      <c r="C35" s="2686"/>
      <c r="D35" s="2686"/>
      <c r="E35" s="2686"/>
      <c r="F35" s="2686"/>
      <c r="G35" s="94"/>
      <c r="H35" s="94"/>
      <c r="I35" s="94"/>
      <c r="J35" s="713"/>
      <c r="K35" s="2649"/>
      <c r="L35" s="2649"/>
      <c r="M35" s="2649"/>
      <c r="N35" s="2649"/>
      <c r="O35" s="2649"/>
      <c r="P35" s="2649"/>
      <c r="Q35" s="715"/>
      <c r="R35" s="713"/>
      <c r="S35" s="2649"/>
      <c r="T35" s="2649"/>
      <c r="U35" s="2649"/>
      <c r="V35" s="715"/>
      <c r="W35" s="2629"/>
      <c r="X35" s="2503"/>
      <c r="Y35" s="2503"/>
      <c r="Z35" s="2503"/>
      <c r="AA35" s="2503"/>
      <c r="AB35" s="2503"/>
      <c r="AC35" s="2503"/>
      <c r="AD35" s="2503"/>
      <c r="AE35" s="2503"/>
      <c r="AF35" s="2503"/>
      <c r="AG35" s="2503"/>
      <c r="AH35" s="2503"/>
      <c r="AI35" s="2503"/>
      <c r="AJ35" s="2503"/>
      <c r="AK35" s="2503"/>
      <c r="AL35" s="2629"/>
      <c r="AM35" s="94"/>
      <c r="AN35" s="713"/>
      <c r="AO35" s="2649"/>
      <c r="AP35" s="2649"/>
      <c r="AQ35" s="2649"/>
      <c r="AR35" s="2649"/>
      <c r="AS35" s="2649"/>
      <c r="AT35" s="2649"/>
      <c r="AU35" s="715"/>
      <c r="AV35" s="713"/>
      <c r="AW35" s="2649"/>
      <c r="AX35" s="2649"/>
      <c r="AY35" s="2649"/>
      <c r="AZ35" s="715"/>
      <c r="BA35" s="2629"/>
      <c r="BB35" s="542"/>
      <c r="BC35" s="542"/>
      <c r="BD35" s="542"/>
      <c r="BE35" s="542"/>
      <c r="BF35" s="542"/>
      <c r="BG35" s="542"/>
      <c r="BH35" s="542"/>
      <c r="BI35" s="542"/>
      <c r="BJ35" s="542"/>
      <c r="BK35" s="542"/>
      <c r="BL35" s="542"/>
      <c r="BM35" s="542"/>
      <c r="BN35" s="542"/>
      <c r="BO35" s="542"/>
      <c r="BP35" s="2629"/>
      <c r="BQ35" s="542"/>
      <c r="BR35" s="542"/>
      <c r="BS35" s="542"/>
      <c r="BT35" s="542"/>
      <c r="BU35" s="542"/>
      <c r="BV35" s="542"/>
      <c r="BW35" s="542"/>
      <c r="BX35" s="542"/>
      <c r="BY35" s="542"/>
      <c r="BZ35" s="542"/>
      <c r="CA35" s="542"/>
      <c r="CB35" s="542"/>
      <c r="CC35" s="542"/>
      <c r="CD35" s="544"/>
      <c r="CE35" s="2629"/>
      <c r="CF35" s="2629"/>
    </row>
    <row r="36" spans="1:84" s="98" customFormat="1" ht="15" customHeight="1">
      <c r="A36" s="99"/>
      <c r="B36" s="2687"/>
      <c r="C36" s="2685" t="s">
        <v>1683</v>
      </c>
      <c r="D36" s="2685"/>
      <c r="E36" s="2685"/>
      <c r="F36" s="2685"/>
      <c r="G36" s="94"/>
      <c r="H36" s="94"/>
      <c r="I36" s="94"/>
      <c r="J36" s="713"/>
      <c r="K36" s="2649"/>
      <c r="L36" s="2649"/>
      <c r="M36" s="2649"/>
      <c r="N36" s="2649"/>
      <c r="O36" s="2649"/>
      <c r="P36" s="2649"/>
      <c r="Q36" s="715"/>
      <c r="R36" s="713"/>
      <c r="S36" s="2649"/>
      <c r="T36" s="2649"/>
      <c r="U36" s="2649"/>
      <c r="V36" s="715"/>
      <c r="W36" s="2629"/>
      <c r="X36" s="2503"/>
      <c r="Y36" s="2503"/>
      <c r="Z36" s="2503"/>
      <c r="AA36" s="2503"/>
      <c r="AB36" s="2503"/>
      <c r="AC36" s="2503"/>
      <c r="AD36" s="2503"/>
      <c r="AE36" s="2503"/>
      <c r="AF36" s="2503"/>
      <c r="AG36" s="2503"/>
      <c r="AH36" s="2503"/>
      <c r="AI36" s="2503"/>
      <c r="AJ36" s="2503"/>
      <c r="AK36" s="2503"/>
      <c r="AL36" s="2629"/>
      <c r="AM36" s="94"/>
      <c r="AN36" s="713"/>
      <c r="AO36" s="2649"/>
      <c r="AP36" s="2649"/>
      <c r="AQ36" s="2649"/>
      <c r="AR36" s="2649"/>
      <c r="AS36" s="2649"/>
      <c r="AT36" s="2649"/>
      <c r="AU36" s="715"/>
      <c r="AV36" s="713"/>
      <c r="AW36" s="2649"/>
      <c r="AX36" s="2649"/>
      <c r="AY36" s="2649"/>
      <c r="AZ36" s="715"/>
      <c r="BA36" s="2629"/>
      <c r="BB36" s="542"/>
      <c r="BC36" s="542"/>
      <c r="BD36" s="542"/>
      <c r="BE36" s="542"/>
      <c r="BF36" s="542"/>
      <c r="BG36" s="542"/>
      <c r="BH36" s="542"/>
      <c r="BI36" s="542"/>
      <c r="BJ36" s="542"/>
      <c r="BK36" s="542"/>
      <c r="BL36" s="542"/>
      <c r="BM36" s="542"/>
      <c r="BN36" s="542"/>
      <c r="BO36" s="542"/>
      <c r="BP36" s="2629"/>
      <c r="BQ36" s="542"/>
      <c r="BR36" s="542"/>
      <c r="BS36" s="542"/>
      <c r="BT36" s="542"/>
      <c r="BU36" s="542"/>
      <c r="BV36" s="542"/>
      <c r="BW36" s="542"/>
      <c r="BX36" s="542"/>
      <c r="BY36" s="542"/>
      <c r="BZ36" s="542"/>
      <c r="CA36" s="542"/>
      <c r="CB36" s="542"/>
      <c r="CC36" s="542"/>
      <c r="CD36" s="544"/>
      <c r="CE36" s="2629"/>
      <c r="CF36" s="2629"/>
    </row>
    <row r="37" spans="1:84" s="98" customFormat="1" ht="15" customHeight="1">
      <c r="A37" s="99"/>
      <c r="B37" s="2687"/>
      <c r="C37" s="2688"/>
      <c r="D37" s="2688" t="s">
        <v>2701</v>
      </c>
      <c r="E37" s="2688"/>
      <c r="F37" s="2688"/>
      <c r="G37" s="2645"/>
      <c r="H37" s="2645"/>
      <c r="I37" s="607" t="s">
        <v>498</v>
      </c>
      <c r="J37" s="143">
        <v>0</v>
      </c>
      <c r="K37" s="141">
        <v>0</v>
      </c>
      <c r="L37" s="141">
        <v>0</v>
      </c>
      <c r="M37" s="141">
        <v>0</v>
      </c>
      <c r="N37" s="141">
        <v>0</v>
      </c>
      <c r="O37" s="141">
        <v>0</v>
      </c>
      <c r="P37" s="141">
        <v>0</v>
      </c>
      <c r="Q37" s="144">
        <v>0</v>
      </c>
      <c r="R37" s="143">
        <v>0</v>
      </c>
      <c r="S37" s="141">
        <v>0</v>
      </c>
      <c r="T37" s="141">
        <v>0</v>
      </c>
      <c r="U37" s="141">
        <v>0</v>
      </c>
      <c r="V37" s="144">
        <v>0</v>
      </c>
      <c r="W37" s="2629"/>
      <c r="X37" s="2503"/>
      <c r="Y37" s="2503"/>
      <c r="Z37" s="2503"/>
      <c r="AA37" s="2503"/>
      <c r="AB37" s="2503"/>
      <c r="AC37" s="2503"/>
      <c r="AD37" s="2503"/>
      <c r="AE37" s="2503"/>
      <c r="AF37" s="2503"/>
      <c r="AG37" s="2503"/>
      <c r="AH37" s="2503"/>
      <c r="AI37" s="2503"/>
      <c r="AJ37" s="2503"/>
      <c r="AK37" s="2503"/>
      <c r="AL37" s="2629"/>
      <c r="AM37" s="607" t="s">
        <v>2233</v>
      </c>
      <c r="AN37" s="143">
        <v>0</v>
      </c>
      <c r="AO37" s="141">
        <v>0</v>
      </c>
      <c r="AP37" s="141">
        <v>0</v>
      </c>
      <c r="AQ37" s="141">
        <v>0</v>
      </c>
      <c r="AR37" s="141">
        <v>0</v>
      </c>
      <c r="AS37" s="141">
        <v>0</v>
      </c>
      <c r="AT37" s="141">
        <v>0</v>
      </c>
      <c r="AU37" s="144">
        <v>0</v>
      </c>
      <c r="AV37" s="143">
        <v>0</v>
      </c>
      <c r="AW37" s="141">
        <v>0</v>
      </c>
      <c r="AX37" s="141">
        <v>0</v>
      </c>
      <c r="AY37" s="141">
        <v>0</v>
      </c>
      <c r="AZ37" s="144">
        <v>0</v>
      </c>
      <c r="BA37" s="2629"/>
      <c r="BB37" s="545" t="s">
        <v>627</v>
      </c>
      <c r="BC37" s="868">
        <v>0</v>
      </c>
      <c r="BD37" s="545" t="s">
        <v>627</v>
      </c>
      <c r="BE37" s="868">
        <v>0</v>
      </c>
      <c r="BF37" s="545" t="s">
        <v>2233</v>
      </c>
      <c r="BG37" s="141">
        <v>0</v>
      </c>
      <c r="BH37" s="545" t="s">
        <v>2233</v>
      </c>
      <c r="BI37" s="141">
        <v>0</v>
      </c>
      <c r="BJ37" s="545" t="s">
        <v>2233</v>
      </c>
      <c r="BK37" s="141">
        <v>0</v>
      </c>
      <c r="BL37" s="545" t="s">
        <v>2233</v>
      </c>
      <c r="BM37" s="141">
        <v>0</v>
      </c>
      <c r="BN37" s="545" t="s">
        <v>2233</v>
      </c>
      <c r="BO37" s="141">
        <v>0</v>
      </c>
      <c r="BP37" s="2629"/>
      <c r="BQ37" s="545" t="s">
        <v>627</v>
      </c>
      <c r="BR37" s="868">
        <v>0</v>
      </c>
      <c r="BS37" s="545" t="s">
        <v>627</v>
      </c>
      <c r="BT37" s="868">
        <v>0</v>
      </c>
      <c r="BU37" s="545" t="s">
        <v>2233</v>
      </c>
      <c r="BV37" s="141">
        <v>0</v>
      </c>
      <c r="BW37" s="545" t="s">
        <v>2233</v>
      </c>
      <c r="BX37" s="141">
        <v>0</v>
      </c>
      <c r="BY37" s="545" t="s">
        <v>2233</v>
      </c>
      <c r="BZ37" s="141">
        <v>0</v>
      </c>
      <c r="CA37" s="545" t="s">
        <v>2233</v>
      </c>
      <c r="CB37" s="141">
        <v>0</v>
      </c>
      <c r="CC37" s="545" t="s">
        <v>2233</v>
      </c>
      <c r="CD37" s="144">
        <v>0</v>
      </c>
      <c r="CE37" s="2629"/>
      <c r="CF37" s="2629"/>
    </row>
    <row r="38" spans="1:84" s="98" customFormat="1" ht="15" customHeight="1">
      <c r="A38" s="99"/>
      <c r="B38" s="2687"/>
      <c r="C38" s="2688"/>
      <c r="D38" s="2688" t="s">
        <v>2702</v>
      </c>
      <c r="E38" s="2688"/>
      <c r="F38" s="2688"/>
      <c r="G38" s="2645"/>
      <c r="H38" s="2645"/>
      <c r="I38" s="607" t="s">
        <v>498</v>
      </c>
      <c r="J38" s="143">
        <v>0</v>
      </c>
      <c r="K38" s="141">
        <v>0</v>
      </c>
      <c r="L38" s="141">
        <v>0</v>
      </c>
      <c r="M38" s="141">
        <v>0</v>
      </c>
      <c r="N38" s="141">
        <v>0</v>
      </c>
      <c r="O38" s="141">
        <v>0</v>
      </c>
      <c r="P38" s="141">
        <v>0</v>
      </c>
      <c r="Q38" s="144">
        <v>0</v>
      </c>
      <c r="R38" s="143">
        <v>0</v>
      </c>
      <c r="S38" s="141">
        <v>0</v>
      </c>
      <c r="T38" s="141">
        <v>0</v>
      </c>
      <c r="U38" s="141">
        <v>0</v>
      </c>
      <c r="V38" s="144">
        <v>0</v>
      </c>
      <c r="W38" s="2629"/>
      <c r="X38" s="2503"/>
      <c r="Y38" s="2503"/>
      <c r="Z38" s="2503"/>
      <c r="AA38" s="2503"/>
      <c r="AB38" s="2503"/>
      <c r="AC38" s="2503"/>
      <c r="AD38" s="2503"/>
      <c r="AE38" s="2503"/>
      <c r="AF38" s="2503"/>
      <c r="AG38" s="2503"/>
      <c r="AH38" s="2503"/>
      <c r="AI38" s="2503"/>
      <c r="AJ38" s="2503"/>
      <c r="AK38" s="2503"/>
      <c r="AL38" s="2629"/>
      <c r="AM38" s="607" t="s">
        <v>2233</v>
      </c>
      <c r="AN38" s="143">
        <v>0</v>
      </c>
      <c r="AO38" s="141">
        <v>0</v>
      </c>
      <c r="AP38" s="141">
        <v>0</v>
      </c>
      <c r="AQ38" s="141">
        <v>0</v>
      </c>
      <c r="AR38" s="141">
        <v>0</v>
      </c>
      <c r="AS38" s="141">
        <v>0</v>
      </c>
      <c r="AT38" s="141">
        <v>0</v>
      </c>
      <c r="AU38" s="144">
        <v>0</v>
      </c>
      <c r="AV38" s="143">
        <v>0</v>
      </c>
      <c r="AW38" s="141">
        <v>0</v>
      </c>
      <c r="AX38" s="141">
        <v>0</v>
      </c>
      <c r="AY38" s="141">
        <v>0</v>
      </c>
      <c r="AZ38" s="144">
        <v>0</v>
      </c>
      <c r="BA38" s="2629"/>
      <c r="BB38" s="545" t="s">
        <v>627</v>
      </c>
      <c r="BC38" s="868">
        <v>0</v>
      </c>
      <c r="BD38" s="545" t="s">
        <v>627</v>
      </c>
      <c r="BE38" s="868">
        <v>0</v>
      </c>
      <c r="BF38" s="545" t="s">
        <v>2233</v>
      </c>
      <c r="BG38" s="141">
        <v>0</v>
      </c>
      <c r="BH38" s="545" t="s">
        <v>2233</v>
      </c>
      <c r="BI38" s="141">
        <v>0</v>
      </c>
      <c r="BJ38" s="545" t="s">
        <v>2233</v>
      </c>
      <c r="BK38" s="141">
        <v>0</v>
      </c>
      <c r="BL38" s="545" t="s">
        <v>2233</v>
      </c>
      <c r="BM38" s="141">
        <v>0</v>
      </c>
      <c r="BN38" s="545" t="s">
        <v>2233</v>
      </c>
      <c r="BO38" s="141">
        <v>0</v>
      </c>
      <c r="BP38" s="2629"/>
      <c r="BQ38" s="545" t="s">
        <v>627</v>
      </c>
      <c r="BR38" s="868">
        <v>0</v>
      </c>
      <c r="BS38" s="545" t="s">
        <v>627</v>
      </c>
      <c r="BT38" s="868">
        <v>0</v>
      </c>
      <c r="BU38" s="545" t="s">
        <v>2233</v>
      </c>
      <c r="BV38" s="141">
        <v>0</v>
      </c>
      <c r="BW38" s="545" t="s">
        <v>2233</v>
      </c>
      <c r="BX38" s="141">
        <v>0</v>
      </c>
      <c r="BY38" s="545" t="s">
        <v>2233</v>
      </c>
      <c r="BZ38" s="141">
        <v>0</v>
      </c>
      <c r="CA38" s="545" t="s">
        <v>2233</v>
      </c>
      <c r="CB38" s="141">
        <v>0</v>
      </c>
      <c r="CC38" s="545" t="s">
        <v>2233</v>
      </c>
      <c r="CD38" s="144">
        <v>0</v>
      </c>
      <c r="CE38" s="2629"/>
      <c r="CF38" s="2629"/>
    </row>
    <row r="39" spans="1:84" s="98" customFormat="1" ht="15" customHeight="1">
      <c r="A39" s="99"/>
      <c r="B39" s="2687"/>
      <c r="C39" s="2688"/>
      <c r="D39" s="2688" t="s">
        <v>2703</v>
      </c>
      <c r="E39" s="2688"/>
      <c r="F39" s="2688"/>
      <c r="G39" s="2645"/>
      <c r="H39" s="2645"/>
      <c r="I39" s="607" t="s">
        <v>498</v>
      </c>
      <c r="J39" s="143">
        <v>0</v>
      </c>
      <c r="K39" s="141">
        <v>0</v>
      </c>
      <c r="L39" s="141">
        <v>0</v>
      </c>
      <c r="M39" s="141">
        <v>0</v>
      </c>
      <c r="N39" s="141">
        <v>0</v>
      </c>
      <c r="O39" s="141">
        <v>0</v>
      </c>
      <c r="P39" s="141">
        <v>0</v>
      </c>
      <c r="Q39" s="144">
        <v>0</v>
      </c>
      <c r="R39" s="143">
        <v>0</v>
      </c>
      <c r="S39" s="141">
        <v>0</v>
      </c>
      <c r="T39" s="141">
        <v>0</v>
      </c>
      <c r="U39" s="141">
        <v>0</v>
      </c>
      <c r="V39" s="144">
        <v>0</v>
      </c>
      <c r="W39" s="2629"/>
      <c r="X39" s="2503"/>
      <c r="Y39" s="2503"/>
      <c r="Z39" s="2503"/>
      <c r="AA39" s="2503"/>
      <c r="AB39" s="2503"/>
      <c r="AC39" s="2503"/>
      <c r="AD39" s="2503"/>
      <c r="AE39" s="2503"/>
      <c r="AF39" s="2503"/>
      <c r="AG39" s="2503"/>
      <c r="AH39" s="2503"/>
      <c r="AI39" s="2503"/>
      <c r="AJ39" s="2503"/>
      <c r="AK39" s="2503"/>
      <c r="AL39" s="2629"/>
      <c r="AM39" s="607" t="s">
        <v>2233</v>
      </c>
      <c r="AN39" s="143">
        <v>0</v>
      </c>
      <c r="AO39" s="141">
        <v>0</v>
      </c>
      <c r="AP39" s="141">
        <v>0</v>
      </c>
      <c r="AQ39" s="141">
        <v>0</v>
      </c>
      <c r="AR39" s="141">
        <v>0</v>
      </c>
      <c r="AS39" s="141">
        <v>0</v>
      </c>
      <c r="AT39" s="141">
        <v>0</v>
      </c>
      <c r="AU39" s="144">
        <v>0</v>
      </c>
      <c r="AV39" s="143">
        <v>0</v>
      </c>
      <c r="AW39" s="141">
        <v>0</v>
      </c>
      <c r="AX39" s="141">
        <v>0</v>
      </c>
      <c r="AY39" s="141">
        <v>0</v>
      </c>
      <c r="AZ39" s="144">
        <v>0</v>
      </c>
      <c r="BA39" s="2629"/>
      <c r="BB39" s="545" t="s">
        <v>627</v>
      </c>
      <c r="BC39" s="868">
        <v>0</v>
      </c>
      <c r="BD39" s="545" t="s">
        <v>627</v>
      </c>
      <c r="BE39" s="868">
        <v>0</v>
      </c>
      <c r="BF39" s="545" t="s">
        <v>2233</v>
      </c>
      <c r="BG39" s="141">
        <v>0</v>
      </c>
      <c r="BH39" s="545" t="s">
        <v>2233</v>
      </c>
      <c r="BI39" s="141">
        <v>0</v>
      </c>
      <c r="BJ39" s="545" t="s">
        <v>2233</v>
      </c>
      <c r="BK39" s="141">
        <v>0</v>
      </c>
      <c r="BL39" s="545" t="s">
        <v>2233</v>
      </c>
      <c r="BM39" s="141">
        <v>0</v>
      </c>
      <c r="BN39" s="545" t="s">
        <v>2233</v>
      </c>
      <c r="BO39" s="141">
        <v>0</v>
      </c>
      <c r="BP39" s="2629"/>
      <c r="BQ39" s="545" t="s">
        <v>627</v>
      </c>
      <c r="BR39" s="868">
        <v>0</v>
      </c>
      <c r="BS39" s="545" t="s">
        <v>627</v>
      </c>
      <c r="BT39" s="868">
        <v>0</v>
      </c>
      <c r="BU39" s="545" t="s">
        <v>2233</v>
      </c>
      <c r="BV39" s="141">
        <v>0</v>
      </c>
      <c r="BW39" s="545" t="s">
        <v>2233</v>
      </c>
      <c r="BX39" s="141">
        <v>0</v>
      </c>
      <c r="BY39" s="545" t="s">
        <v>2233</v>
      </c>
      <c r="BZ39" s="141">
        <v>0</v>
      </c>
      <c r="CA39" s="545" t="s">
        <v>2233</v>
      </c>
      <c r="CB39" s="141">
        <v>0</v>
      </c>
      <c r="CC39" s="545" t="s">
        <v>2233</v>
      </c>
      <c r="CD39" s="144">
        <v>0</v>
      </c>
      <c r="CE39" s="2629"/>
      <c r="CF39" s="2629"/>
    </row>
    <row r="40" spans="1:84" s="98" customFormat="1" ht="15" customHeight="1">
      <c r="A40" s="99"/>
      <c r="B40" s="2687"/>
      <c r="C40" s="2688"/>
      <c r="D40" s="2688" t="s">
        <v>2704</v>
      </c>
      <c r="E40" s="2688"/>
      <c r="F40" s="2688"/>
      <c r="G40" s="2645"/>
      <c r="H40" s="2645"/>
      <c r="I40" s="607" t="s">
        <v>498</v>
      </c>
      <c r="J40" s="143">
        <v>0</v>
      </c>
      <c r="K40" s="141">
        <v>0</v>
      </c>
      <c r="L40" s="141">
        <v>0</v>
      </c>
      <c r="M40" s="141">
        <v>0</v>
      </c>
      <c r="N40" s="141">
        <v>0</v>
      </c>
      <c r="O40" s="141">
        <v>0</v>
      </c>
      <c r="P40" s="141">
        <v>0</v>
      </c>
      <c r="Q40" s="144">
        <v>0</v>
      </c>
      <c r="R40" s="143">
        <v>0</v>
      </c>
      <c r="S40" s="141">
        <v>0</v>
      </c>
      <c r="T40" s="141">
        <v>0</v>
      </c>
      <c r="U40" s="141">
        <v>0</v>
      </c>
      <c r="V40" s="144">
        <v>0</v>
      </c>
      <c r="W40" s="2629"/>
      <c r="X40" s="2503"/>
      <c r="Y40" s="2503"/>
      <c r="Z40" s="2503"/>
      <c r="AA40" s="2503"/>
      <c r="AB40" s="2503"/>
      <c r="AC40" s="2503"/>
      <c r="AD40" s="2503"/>
      <c r="AE40" s="2503"/>
      <c r="AF40" s="2503"/>
      <c r="AG40" s="2503"/>
      <c r="AH40" s="2503"/>
      <c r="AI40" s="2503"/>
      <c r="AJ40" s="2503"/>
      <c r="AK40" s="2503"/>
      <c r="AL40" s="2629"/>
      <c r="AM40" s="607" t="s">
        <v>2233</v>
      </c>
      <c r="AN40" s="143">
        <v>0</v>
      </c>
      <c r="AO40" s="141">
        <v>0</v>
      </c>
      <c r="AP40" s="141">
        <v>0</v>
      </c>
      <c r="AQ40" s="141">
        <v>0</v>
      </c>
      <c r="AR40" s="141">
        <v>0</v>
      </c>
      <c r="AS40" s="141">
        <v>0</v>
      </c>
      <c r="AT40" s="141">
        <v>0</v>
      </c>
      <c r="AU40" s="144">
        <v>0</v>
      </c>
      <c r="AV40" s="143">
        <v>0</v>
      </c>
      <c r="AW40" s="141">
        <v>0</v>
      </c>
      <c r="AX40" s="141">
        <v>0</v>
      </c>
      <c r="AY40" s="141">
        <v>0</v>
      </c>
      <c r="AZ40" s="144">
        <v>0</v>
      </c>
      <c r="BA40" s="2629"/>
      <c r="BB40" s="545" t="s">
        <v>627</v>
      </c>
      <c r="BC40" s="868">
        <v>0</v>
      </c>
      <c r="BD40" s="545" t="s">
        <v>627</v>
      </c>
      <c r="BE40" s="868">
        <v>0</v>
      </c>
      <c r="BF40" s="545" t="s">
        <v>2233</v>
      </c>
      <c r="BG40" s="141">
        <v>0</v>
      </c>
      <c r="BH40" s="545" t="s">
        <v>2233</v>
      </c>
      <c r="BI40" s="141">
        <v>0</v>
      </c>
      <c r="BJ40" s="545" t="s">
        <v>2233</v>
      </c>
      <c r="BK40" s="141">
        <v>0</v>
      </c>
      <c r="BL40" s="545" t="s">
        <v>2233</v>
      </c>
      <c r="BM40" s="141">
        <v>0</v>
      </c>
      <c r="BN40" s="545" t="s">
        <v>2233</v>
      </c>
      <c r="BO40" s="141">
        <v>0</v>
      </c>
      <c r="BP40" s="2629"/>
      <c r="BQ40" s="545" t="s">
        <v>627</v>
      </c>
      <c r="BR40" s="868">
        <v>0</v>
      </c>
      <c r="BS40" s="545" t="s">
        <v>627</v>
      </c>
      <c r="BT40" s="868">
        <v>0</v>
      </c>
      <c r="BU40" s="545" t="s">
        <v>2233</v>
      </c>
      <c r="BV40" s="141">
        <v>0</v>
      </c>
      <c r="BW40" s="545" t="s">
        <v>2233</v>
      </c>
      <c r="BX40" s="141">
        <v>0</v>
      </c>
      <c r="BY40" s="545" t="s">
        <v>2233</v>
      </c>
      <c r="BZ40" s="141">
        <v>0</v>
      </c>
      <c r="CA40" s="545" t="s">
        <v>2233</v>
      </c>
      <c r="CB40" s="141">
        <v>0</v>
      </c>
      <c r="CC40" s="545" t="s">
        <v>2233</v>
      </c>
      <c r="CD40" s="144">
        <v>0</v>
      </c>
      <c r="CE40" s="2629"/>
      <c r="CF40" s="2629"/>
    </row>
    <row r="41" spans="1:84" s="98" customFormat="1" ht="15" customHeight="1">
      <c r="A41" s="99"/>
      <c r="B41" s="2687"/>
      <c r="C41" s="2688"/>
      <c r="D41" s="2688" t="s">
        <v>2705</v>
      </c>
      <c r="E41" s="2688"/>
      <c r="F41" s="2688"/>
      <c r="G41" s="2645"/>
      <c r="H41" s="2645"/>
      <c r="I41" s="607" t="s">
        <v>498</v>
      </c>
      <c r="J41" s="143">
        <v>0</v>
      </c>
      <c r="K41" s="141">
        <v>0</v>
      </c>
      <c r="L41" s="141">
        <v>0</v>
      </c>
      <c r="M41" s="141">
        <v>0</v>
      </c>
      <c r="N41" s="141">
        <v>0</v>
      </c>
      <c r="O41" s="141">
        <v>0</v>
      </c>
      <c r="P41" s="141">
        <v>0</v>
      </c>
      <c r="Q41" s="144">
        <v>0</v>
      </c>
      <c r="R41" s="143">
        <v>0</v>
      </c>
      <c r="S41" s="141">
        <v>0</v>
      </c>
      <c r="T41" s="141">
        <v>0</v>
      </c>
      <c r="U41" s="141">
        <v>0</v>
      </c>
      <c r="V41" s="144">
        <v>0</v>
      </c>
      <c r="W41" s="2629"/>
      <c r="X41" s="2503"/>
      <c r="Y41" s="2503"/>
      <c r="Z41" s="2503"/>
      <c r="AA41" s="2503"/>
      <c r="AB41" s="2503"/>
      <c r="AC41" s="2503"/>
      <c r="AD41" s="2503"/>
      <c r="AE41" s="2503"/>
      <c r="AF41" s="2503"/>
      <c r="AG41" s="2503"/>
      <c r="AH41" s="2503"/>
      <c r="AI41" s="2503"/>
      <c r="AJ41" s="2503"/>
      <c r="AK41" s="2503"/>
      <c r="AL41" s="2629"/>
      <c r="AM41" s="607" t="s">
        <v>2233</v>
      </c>
      <c r="AN41" s="143">
        <v>0</v>
      </c>
      <c r="AO41" s="141">
        <v>0</v>
      </c>
      <c r="AP41" s="141">
        <v>0</v>
      </c>
      <c r="AQ41" s="141">
        <v>0</v>
      </c>
      <c r="AR41" s="141">
        <v>0</v>
      </c>
      <c r="AS41" s="141">
        <v>0</v>
      </c>
      <c r="AT41" s="141">
        <v>0</v>
      </c>
      <c r="AU41" s="144">
        <v>0</v>
      </c>
      <c r="AV41" s="143">
        <v>0</v>
      </c>
      <c r="AW41" s="141">
        <v>0</v>
      </c>
      <c r="AX41" s="141">
        <v>0</v>
      </c>
      <c r="AY41" s="141">
        <v>0</v>
      </c>
      <c r="AZ41" s="144">
        <v>0</v>
      </c>
      <c r="BA41" s="2629"/>
      <c r="BB41" s="545" t="s">
        <v>627</v>
      </c>
      <c r="BC41" s="868">
        <v>0</v>
      </c>
      <c r="BD41" s="545" t="s">
        <v>627</v>
      </c>
      <c r="BE41" s="868">
        <v>0</v>
      </c>
      <c r="BF41" s="545" t="s">
        <v>2233</v>
      </c>
      <c r="BG41" s="141">
        <v>0</v>
      </c>
      <c r="BH41" s="545" t="s">
        <v>2233</v>
      </c>
      <c r="BI41" s="141">
        <v>0</v>
      </c>
      <c r="BJ41" s="545" t="s">
        <v>2233</v>
      </c>
      <c r="BK41" s="141">
        <v>0</v>
      </c>
      <c r="BL41" s="545" t="s">
        <v>2233</v>
      </c>
      <c r="BM41" s="141">
        <v>0</v>
      </c>
      <c r="BN41" s="545" t="s">
        <v>2233</v>
      </c>
      <c r="BO41" s="141">
        <v>0</v>
      </c>
      <c r="BP41" s="2629"/>
      <c r="BQ41" s="545" t="s">
        <v>627</v>
      </c>
      <c r="BR41" s="868">
        <v>0</v>
      </c>
      <c r="BS41" s="545" t="s">
        <v>627</v>
      </c>
      <c r="BT41" s="868">
        <v>0</v>
      </c>
      <c r="BU41" s="545" t="s">
        <v>2233</v>
      </c>
      <c r="BV41" s="141">
        <v>0</v>
      </c>
      <c r="BW41" s="545" t="s">
        <v>2233</v>
      </c>
      <c r="BX41" s="141">
        <v>0</v>
      </c>
      <c r="BY41" s="545" t="s">
        <v>2233</v>
      </c>
      <c r="BZ41" s="141">
        <v>0</v>
      </c>
      <c r="CA41" s="545" t="s">
        <v>2233</v>
      </c>
      <c r="CB41" s="141">
        <v>0</v>
      </c>
      <c r="CC41" s="545" t="s">
        <v>2233</v>
      </c>
      <c r="CD41" s="144">
        <v>0</v>
      </c>
      <c r="CE41" s="2629"/>
      <c r="CF41" s="2629"/>
    </row>
    <row r="42" spans="1:84" s="98" customFormat="1" ht="15" customHeight="1">
      <c r="A42" s="99"/>
      <c r="B42" s="2687"/>
      <c r="C42" s="2688"/>
      <c r="D42" s="2688" t="s">
        <v>2706</v>
      </c>
      <c r="E42" s="2688"/>
      <c r="F42" s="2688"/>
      <c r="G42" s="2645"/>
      <c r="H42" s="2645"/>
      <c r="I42" s="607" t="s">
        <v>498</v>
      </c>
      <c r="J42" s="143">
        <v>0</v>
      </c>
      <c r="K42" s="141">
        <v>0</v>
      </c>
      <c r="L42" s="141">
        <v>0</v>
      </c>
      <c r="M42" s="141">
        <v>0</v>
      </c>
      <c r="N42" s="141">
        <v>0</v>
      </c>
      <c r="O42" s="141">
        <v>0</v>
      </c>
      <c r="P42" s="141">
        <v>0</v>
      </c>
      <c r="Q42" s="144">
        <v>0</v>
      </c>
      <c r="R42" s="143">
        <v>0</v>
      </c>
      <c r="S42" s="141">
        <v>0</v>
      </c>
      <c r="T42" s="141">
        <v>0</v>
      </c>
      <c r="U42" s="141">
        <v>0</v>
      </c>
      <c r="V42" s="144">
        <v>0</v>
      </c>
      <c r="W42" s="2629"/>
      <c r="X42" s="2503"/>
      <c r="Y42" s="2503"/>
      <c r="Z42" s="2503"/>
      <c r="AA42" s="2503"/>
      <c r="AB42" s="2503"/>
      <c r="AC42" s="2503"/>
      <c r="AD42" s="2503"/>
      <c r="AE42" s="2503"/>
      <c r="AF42" s="2503"/>
      <c r="AG42" s="2503"/>
      <c r="AH42" s="2503"/>
      <c r="AI42" s="2503"/>
      <c r="AJ42" s="2503"/>
      <c r="AK42" s="2503"/>
      <c r="AL42" s="2629"/>
      <c r="AM42" s="607" t="s">
        <v>2233</v>
      </c>
      <c r="AN42" s="143">
        <v>0</v>
      </c>
      <c r="AO42" s="141">
        <v>0</v>
      </c>
      <c r="AP42" s="141">
        <v>0</v>
      </c>
      <c r="AQ42" s="141">
        <v>0</v>
      </c>
      <c r="AR42" s="141">
        <v>0</v>
      </c>
      <c r="AS42" s="141">
        <v>0</v>
      </c>
      <c r="AT42" s="141">
        <v>0</v>
      </c>
      <c r="AU42" s="144">
        <v>0</v>
      </c>
      <c r="AV42" s="143">
        <v>0</v>
      </c>
      <c r="AW42" s="141">
        <v>0</v>
      </c>
      <c r="AX42" s="141">
        <v>0</v>
      </c>
      <c r="AY42" s="141">
        <v>0</v>
      </c>
      <c r="AZ42" s="144">
        <v>0</v>
      </c>
      <c r="BA42" s="2629"/>
      <c r="BB42" s="545" t="s">
        <v>627</v>
      </c>
      <c r="BC42" s="868">
        <v>0</v>
      </c>
      <c r="BD42" s="545" t="s">
        <v>627</v>
      </c>
      <c r="BE42" s="868">
        <v>0</v>
      </c>
      <c r="BF42" s="545" t="s">
        <v>2233</v>
      </c>
      <c r="BG42" s="141">
        <v>0</v>
      </c>
      <c r="BH42" s="545" t="s">
        <v>2233</v>
      </c>
      <c r="BI42" s="141">
        <v>0</v>
      </c>
      <c r="BJ42" s="545" t="s">
        <v>2233</v>
      </c>
      <c r="BK42" s="141">
        <v>0</v>
      </c>
      <c r="BL42" s="545" t="s">
        <v>2233</v>
      </c>
      <c r="BM42" s="141">
        <v>0</v>
      </c>
      <c r="BN42" s="545" t="s">
        <v>2233</v>
      </c>
      <c r="BO42" s="141">
        <v>0</v>
      </c>
      <c r="BP42" s="2629"/>
      <c r="BQ42" s="545" t="s">
        <v>627</v>
      </c>
      <c r="BR42" s="868">
        <v>0</v>
      </c>
      <c r="BS42" s="545" t="s">
        <v>627</v>
      </c>
      <c r="BT42" s="868">
        <v>0</v>
      </c>
      <c r="BU42" s="545" t="s">
        <v>2233</v>
      </c>
      <c r="BV42" s="141">
        <v>0</v>
      </c>
      <c r="BW42" s="545" t="s">
        <v>2233</v>
      </c>
      <c r="BX42" s="141">
        <v>0</v>
      </c>
      <c r="BY42" s="545" t="s">
        <v>2233</v>
      </c>
      <c r="BZ42" s="141">
        <v>0</v>
      </c>
      <c r="CA42" s="545" t="s">
        <v>2233</v>
      </c>
      <c r="CB42" s="141">
        <v>0</v>
      </c>
      <c r="CC42" s="545" t="s">
        <v>2233</v>
      </c>
      <c r="CD42" s="144">
        <v>0</v>
      </c>
      <c r="CE42" s="2629"/>
      <c r="CF42" s="2629"/>
    </row>
    <row r="43" spans="1:84" s="98" customFormat="1" ht="15" customHeight="1">
      <c r="A43" s="99"/>
      <c r="B43" s="2687"/>
      <c r="C43" s="2688"/>
      <c r="D43" s="2688" t="s">
        <v>2707</v>
      </c>
      <c r="E43" s="2688"/>
      <c r="F43" s="2688"/>
      <c r="G43" s="2645"/>
      <c r="H43" s="2645"/>
      <c r="I43" s="607" t="s">
        <v>498</v>
      </c>
      <c r="J43" s="143">
        <v>0</v>
      </c>
      <c r="K43" s="141">
        <v>0</v>
      </c>
      <c r="L43" s="141">
        <v>0</v>
      </c>
      <c r="M43" s="141">
        <v>0</v>
      </c>
      <c r="N43" s="141">
        <v>0</v>
      </c>
      <c r="O43" s="141">
        <v>0</v>
      </c>
      <c r="P43" s="141">
        <v>0</v>
      </c>
      <c r="Q43" s="144">
        <v>0</v>
      </c>
      <c r="R43" s="143">
        <v>0</v>
      </c>
      <c r="S43" s="141">
        <v>0</v>
      </c>
      <c r="T43" s="141">
        <v>0</v>
      </c>
      <c r="U43" s="141">
        <v>0</v>
      </c>
      <c r="V43" s="144">
        <v>0</v>
      </c>
      <c r="W43" s="2629"/>
      <c r="X43" s="2503"/>
      <c r="Y43" s="2503"/>
      <c r="Z43" s="2503"/>
      <c r="AA43" s="2503"/>
      <c r="AB43" s="2503"/>
      <c r="AC43" s="2503"/>
      <c r="AD43" s="2503"/>
      <c r="AE43" s="2503"/>
      <c r="AF43" s="2503"/>
      <c r="AG43" s="2503"/>
      <c r="AH43" s="2503"/>
      <c r="AI43" s="2503"/>
      <c r="AJ43" s="2503"/>
      <c r="AK43" s="2503"/>
      <c r="AL43" s="2629"/>
      <c r="AM43" s="607" t="s">
        <v>2233</v>
      </c>
      <c r="AN43" s="143">
        <v>0</v>
      </c>
      <c r="AO43" s="141">
        <v>0</v>
      </c>
      <c r="AP43" s="141">
        <v>0</v>
      </c>
      <c r="AQ43" s="141">
        <v>0</v>
      </c>
      <c r="AR43" s="141">
        <v>0</v>
      </c>
      <c r="AS43" s="141">
        <v>0</v>
      </c>
      <c r="AT43" s="141">
        <v>0</v>
      </c>
      <c r="AU43" s="144">
        <v>0</v>
      </c>
      <c r="AV43" s="143">
        <v>0</v>
      </c>
      <c r="AW43" s="141">
        <v>0</v>
      </c>
      <c r="AX43" s="141">
        <v>0</v>
      </c>
      <c r="AY43" s="141">
        <v>0</v>
      </c>
      <c r="AZ43" s="144">
        <v>0</v>
      </c>
      <c r="BA43" s="2629"/>
      <c r="BB43" s="545" t="s">
        <v>627</v>
      </c>
      <c r="BC43" s="868">
        <v>0</v>
      </c>
      <c r="BD43" s="545" t="s">
        <v>627</v>
      </c>
      <c r="BE43" s="868">
        <v>0</v>
      </c>
      <c r="BF43" s="545" t="s">
        <v>2233</v>
      </c>
      <c r="BG43" s="141">
        <v>0</v>
      </c>
      <c r="BH43" s="545" t="s">
        <v>2233</v>
      </c>
      <c r="BI43" s="141">
        <v>0</v>
      </c>
      <c r="BJ43" s="545" t="s">
        <v>2233</v>
      </c>
      <c r="BK43" s="141">
        <v>0</v>
      </c>
      <c r="BL43" s="545" t="s">
        <v>2233</v>
      </c>
      <c r="BM43" s="141">
        <v>0</v>
      </c>
      <c r="BN43" s="545" t="s">
        <v>2233</v>
      </c>
      <c r="BO43" s="141">
        <v>0</v>
      </c>
      <c r="BP43" s="2629"/>
      <c r="BQ43" s="545" t="s">
        <v>627</v>
      </c>
      <c r="BR43" s="868">
        <v>0</v>
      </c>
      <c r="BS43" s="545" t="s">
        <v>627</v>
      </c>
      <c r="BT43" s="868">
        <v>0</v>
      </c>
      <c r="BU43" s="545" t="s">
        <v>2233</v>
      </c>
      <c r="BV43" s="141">
        <v>0</v>
      </c>
      <c r="BW43" s="545" t="s">
        <v>2233</v>
      </c>
      <c r="BX43" s="141">
        <v>0</v>
      </c>
      <c r="BY43" s="545" t="s">
        <v>2233</v>
      </c>
      <c r="BZ43" s="141">
        <v>0</v>
      </c>
      <c r="CA43" s="545" t="s">
        <v>2233</v>
      </c>
      <c r="CB43" s="141">
        <v>0</v>
      </c>
      <c r="CC43" s="545" t="s">
        <v>2233</v>
      </c>
      <c r="CD43" s="144">
        <v>0</v>
      </c>
      <c r="CE43" s="2629"/>
      <c r="CF43" s="2629"/>
    </row>
    <row r="44" spans="1:84" s="98" customFormat="1" ht="15" customHeight="1">
      <c r="A44" s="99"/>
      <c r="B44" s="2687"/>
      <c r="C44" s="2688"/>
      <c r="D44" s="2688" t="s">
        <v>2708</v>
      </c>
      <c r="E44" s="2688"/>
      <c r="F44" s="2688"/>
      <c r="G44" s="2645"/>
      <c r="H44" s="2645"/>
      <c r="I44" s="607" t="s">
        <v>498</v>
      </c>
      <c r="J44" s="143">
        <v>0</v>
      </c>
      <c r="K44" s="141">
        <v>0</v>
      </c>
      <c r="L44" s="141">
        <v>0</v>
      </c>
      <c r="M44" s="141">
        <v>0</v>
      </c>
      <c r="N44" s="141">
        <v>0</v>
      </c>
      <c r="O44" s="141">
        <v>0</v>
      </c>
      <c r="P44" s="141">
        <v>0</v>
      </c>
      <c r="Q44" s="144">
        <v>0</v>
      </c>
      <c r="R44" s="143">
        <v>0</v>
      </c>
      <c r="S44" s="141">
        <v>0</v>
      </c>
      <c r="T44" s="141">
        <v>0</v>
      </c>
      <c r="U44" s="141">
        <v>0</v>
      </c>
      <c r="V44" s="144">
        <v>0</v>
      </c>
      <c r="W44" s="2629"/>
      <c r="X44" s="2503"/>
      <c r="Y44" s="2503"/>
      <c r="Z44" s="2503"/>
      <c r="AA44" s="2503"/>
      <c r="AB44" s="2503"/>
      <c r="AC44" s="2503"/>
      <c r="AD44" s="2503"/>
      <c r="AE44" s="2503"/>
      <c r="AF44" s="2503"/>
      <c r="AG44" s="2503"/>
      <c r="AH44" s="2503"/>
      <c r="AI44" s="2503"/>
      <c r="AJ44" s="2503"/>
      <c r="AK44" s="2503"/>
      <c r="AL44" s="2629"/>
      <c r="AM44" s="607" t="s">
        <v>2233</v>
      </c>
      <c r="AN44" s="143">
        <v>0</v>
      </c>
      <c r="AO44" s="141">
        <v>0</v>
      </c>
      <c r="AP44" s="141">
        <v>0</v>
      </c>
      <c r="AQ44" s="141">
        <v>0</v>
      </c>
      <c r="AR44" s="141">
        <v>0</v>
      </c>
      <c r="AS44" s="141">
        <v>0</v>
      </c>
      <c r="AT44" s="141">
        <v>0</v>
      </c>
      <c r="AU44" s="144">
        <v>0</v>
      </c>
      <c r="AV44" s="143">
        <v>0</v>
      </c>
      <c r="AW44" s="141">
        <v>0</v>
      </c>
      <c r="AX44" s="141">
        <v>0</v>
      </c>
      <c r="AY44" s="141">
        <v>0</v>
      </c>
      <c r="AZ44" s="144">
        <v>0</v>
      </c>
      <c r="BA44" s="2629"/>
      <c r="BB44" s="545" t="s">
        <v>627</v>
      </c>
      <c r="BC44" s="868">
        <v>0</v>
      </c>
      <c r="BD44" s="545" t="s">
        <v>627</v>
      </c>
      <c r="BE44" s="868">
        <v>0</v>
      </c>
      <c r="BF44" s="545" t="s">
        <v>2233</v>
      </c>
      <c r="BG44" s="141">
        <v>0</v>
      </c>
      <c r="BH44" s="545" t="s">
        <v>2233</v>
      </c>
      <c r="BI44" s="141">
        <v>0</v>
      </c>
      <c r="BJ44" s="545" t="s">
        <v>2233</v>
      </c>
      <c r="BK44" s="141">
        <v>0</v>
      </c>
      <c r="BL44" s="545" t="s">
        <v>2233</v>
      </c>
      <c r="BM44" s="141">
        <v>0</v>
      </c>
      <c r="BN44" s="545" t="s">
        <v>2233</v>
      </c>
      <c r="BO44" s="141">
        <v>0</v>
      </c>
      <c r="BP44" s="2629"/>
      <c r="BQ44" s="545" t="s">
        <v>627</v>
      </c>
      <c r="BR44" s="868">
        <v>0</v>
      </c>
      <c r="BS44" s="545" t="s">
        <v>627</v>
      </c>
      <c r="BT44" s="868">
        <v>0</v>
      </c>
      <c r="BU44" s="545" t="s">
        <v>2233</v>
      </c>
      <c r="BV44" s="141">
        <v>0</v>
      </c>
      <c r="BW44" s="545" t="s">
        <v>2233</v>
      </c>
      <c r="BX44" s="141">
        <v>0</v>
      </c>
      <c r="BY44" s="545" t="s">
        <v>2233</v>
      </c>
      <c r="BZ44" s="141">
        <v>0</v>
      </c>
      <c r="CA44" s="545" t="s">
        <v>2233</v>
      </c>
      <c r="CB44" s="141">
        <v>0</v>
      </c>
      <c r="CC44" s="545" t="s">
        <v>2233</v>
      </c>
      <c r="CD44" s="144">
        <v>0</v>
      </c>
      <c r="CE44" s="2629"/>
      <c r="CF44" s="2629"/>
    </row>
    <row r="45" spans="1:84" s="98" customFormat="1" ht="15" customHeight="1">
      <c r="A45" s="99"/>
      <c r="B45" s="2687"/>
      <c r="C45" s="2688" t="s">
        <v>1710</v>
      </c>
      <c r="D45" s="2688"/>
      <c r="E45" s="2688"/>
      <c r="F45" s="2688"/>
      <c r="G45" s="2645"/>
      <c r="H45" s="2645"/>
      <c r="I45" s="607" t="s">
        <v>498</v>
      </c>
      <c r="J45" s="641">
        <f>SUM(J37:J44)</f>
        <v>0</v>
      </c>
      <c r="K45" s="642">
        <f t="shared" ref="K45:V45" si="11">SUM(K37:K44)</f>
        <v>0</v>
      </c>
      <c r="L45" s="642">
        <f t="shared" si="11"/>
        <v>0</v>
      </c>
      <c r="M45" s="642">
        <f t="shared" si="11"/>
        <v>0</v>
      </c>
      <c r="N45" s="642">
        <f t="shared" si="11"/>
        <v>0</v>
      </c>
      <c r="O45" s="642">
        <f t="shared" si="11"/>
        <v>0</v>
      </c>
      <c r="P45" s="642">
        <f t="shared" si="11"/>
        <v>0</v>
      </c>
      <c r="Q45" s="643">
        <f t="shared" si="11"/>
        <v>0</v>
      </c>
      <c r="R45" s="641">
        <f t="shared" si="11"/>
        <v>0</v>
      </c>
      <c r="S45" s="642">
        <f t="shared" si="11"/>
        <v>0</v>
      </c>
      <c r="T45" s="642">
        <f t="shared" si="11"/>
        <v>0</v>
      </c>
      <c r="U45" s="642">
        <f t="shared" si="11"/>
        <v>0</v>
      </c>
      <c r="V45" s="643">
        <f t="shared" si="11"/>
        <v>0</v>
      </c>
      <c r="W45" s="2629"/>
      <c r="X45" s="2503"/>
      <c r="Y45" s="2503"/>
      <c r="Z45" s="2503"/>
      <c r="AA45" s="2503"/>
      <c r="AB45" s="2503"/>
      <c r="AC45" s="2503"/>
      <c r="AD45" s="2503"/>
      <c r="AE45" s="2503"/>
      <c r="AF45" s="2503"/>
      <c r="AG45" s="2503"/>
      <c r="AH45" s="2503"/>
      <c r="AI45" s="2503"/>
      <c r="AJ45" s="2503"/>
      <c r="AK45" s="2503"/>
      <c r="AL45" s="2629"/>
      <c r="AM45" s="607" t="s">
        <v>2233</v>
      </c>
      <c r="AN45" s="641">
        <f>SUM(AN37:AN44)</f>
        <v>0</v>
      </c>
      <c r="AO45" s="642">
        <f t="shared" ref="AO45:AZ45" si="12">SUM(AO37:AO44)</f>
        <v>0</v>
      </c>
      <c r="AP45" s="642">
        <f t="shared" si="12"/>
        <v>0</v>
      </c>
      <c r="AQ45" s="642">
        <f t="shared" si="12"/>
        <v>0</v>
      </c>
      <c r="AR45" s="642">
        <f t="shared" si="12"/>
        <v>0</v>
      </c>
      <c r="AS45" s="642">
        <f t="shared" si="12"/>
        <v>0</v>
      </c>
      <c r="AT45" s="642">
        <f t="shared" si="12"/>
        <v>0</v>
      </c>
      <c r="AU45" s="643">
        <f t="shared" si="12"/>
        <v>0</v>
      </c>
      <c r="AV45" s="641">
        <f t="shared" si="12"/>
        <v>0</v>
      </c>
      <c r="AW45" s="642">
        <f t="shared" si="12"/>
        <v>0</v>
      </c>
      <c r="AX45" s="642">
        <f t="shared" si="12"/>
        <v>0</v>
      </c>
      <c r="AY45" s="642">
        <f t="shared" si="12"/>
        <v>0</v>
      </c>
      <c r="AZ45" s="643">
        <f t="shared" si="12"/>
        <v>0</v>
      </c>
      <c r="BA45" s="2629"/>
      <c r="BB45" s="542"/>
      <c r="BC45" s="542"/>
      <c r="BD45" s="542"/>
      <c r="BE45" s="542"/>
      <c r="BF45" s="545" t="s">
        <v>2233</v>
      </c>
      <c r="BG45" s="642">
        <f>SUM(BG37:BG44)</f>
        <v>0</v>
      </c>
      <c r="BH45" s="545" t="s">
        <v>2233</v>
      </c>
      <c r="BI45" s="642">
        <f>SUM(BI37:BI44)</f>
        <v>0</v>
      </c>
      <c r="BJ45" s="545" t="s">
        <v>2233</v>
      </c>
      <c r="BK45" s="642">
        <f>SUM(BK37:BK44)</f>
        <v>0</v>
      </c>
      <c r="BL45" s="545" t="s">
        <v>2233</v>
      </c>
      <c r="BM45" s="642">
        <f>SUM(BM37:BM44)</f>
        <v>0</v>
      </c>
      <c r="BN45" s="545" t="s">
        <v>2233</v>
      </c>
      <c r="BO45" s="642">
        <f>SUM(BO37:BO44)</f>
        <v>0</v>
      </c>
      <c r="BP45" s="2629"/>
      <c r="BQ45" s="542"/>
      <c r="BR45" s="542"/>
      <c r="BS45" s="542"/>
      <c r="BT45" s="542"/>
      <c r="BU45" s="545" t="s">
        <v>2233</v>
      </c>
      <c r="BV45" s="642">
        <f>SUM(BV37:BV44)</f>
        <v>0</v>
      </c>
      <c r="BW45" s="545" t="s">
        <v>2233</v>
      </c>
      <c r="BX45" s="642">
        <f>SUM(BX37:BX44)</f>
        <v>0</v>
      </c>
      <c r="BY45" s="545" t="s">
        <v>2233</v>
      </c>
      <c r="BZ45" s="642">
        <f>SUM(BZ37:BZ44)</f>
        <v>0</v>
      </c>
      <c r="CA45" s="545" t="s">
        <v>2233</v>
      </c>
      <c r="CB45" s="642">
        <f>SUM(CB37:CB44)</f>
        <v>0</v>
      </c>
      <c r="CC45" s="545" t="s">
        <v>2233</v>
      </c>
      <c r="CD45" s="643">
        <f>SUM(CD37:CD44)</f>
        <v>0</v>
      </c>
      <c r="CE45" s="2629"/>
      <c r="CF45" s="2629"/>
    </row>
    <row r="46" spans="1:84" s="98" customFormat="1" ht="15" customHeight="1">
      <c r="A46" s="99"/>
      <c r="B46" s="123"/>
      <c r="C46" s="2686"/>
      <c r="D46" s="2686"/>
      <c r="E46" s="2686"/>
      <c r="F46" s="2686"/>
      <c r="G46" s="94"/>
      <c r="H46" s="94"/>
      <c r="I46" s="94"/>
      <c r="J46" s="713"/>
      <c r="K46" s="2649"/>
      <c r="L46" s="2649"/>
      <c r="M46" s="2649"/>
      <c r="N46" s="2649"/>
      <c r="O46" s="2649"/>
      <c r="P46" s="2649"/>
      <c r="Q46" s="715"/>
      <c r="R46" s="713"/>
      <c r="S46" s="2649"/>
      <c r="T46" s="2649"/>
      <c r="U46" s="2649"/>
      <c r="V46" s="715"/>
      <c r="W46" s="2629"/>
      <c r="X46" s="2503"/>
      <c r="Y46" s="2503"/>
      <c r="Z46" s="2503"/>
      <c r="AA46" s="2503"/>
      <c r="AB46" s="2503"/>
      <c r="AC46" s="2503"/>
      <c r="AD46" s="2503"/>
      <c r="AE46" s="2503"/>
      <c r="AF46" s="2503"/>
      <c r="AG46" s="2503"/>
      <c r="AH46" s="2503"/>
      <c r="AI46" s="2503"/>
      <c r="AJ46" s="2503"/>
      <c r="AK46" s="2503"/>
      <c r="AL46" s="2629"/>
      <c r="AM46" s="94"/>
      <c r="AN46" s="713"/>
      <c r="AO46" s="2649"/>
      <c r="AP46" s="2649"/>
      <c r="AQ46" s="2649"/>
      <c r="AR46" s="2649"/>
      <c r="AS46" s="2649"/>
      <c r="AT46" s="2649"/>
      <c r="AU46" s="715"/>
      <c r="AV46" s="713"/>
      <c r="AW46" s="2649"/>
      <c r="AX46" s="2649"/>
      <c r="AY46" s="2649"/>
      <c r="AZ46" s="715"/>
      <c r="BA46" s="2629"/>
      <c r="BB46" s="542"/>
      <c r="BC46" s="542"/>
      <c r="BD46" s="542"/>
      <c r="BE46" s="542"/>
      <c r="BF46" s="542"/>
      <c r="BG46" s="542"/>
      <c r="BH46" s="542"/>
      <c r="BI46" s="542"/>
      <c r="BJ46" s="542"/>
      <c r="BK46" s="542"/>
      <c r="BL46" s="542"/>
      <c r="BM46" s="542"/>
      <c r="BN46" s="542"/>
      <c r="BO46" s="542"/>
      <c r="BP46" s="2629"/>
      <c r="BQ46" s="542"/>
      <c r="BR46" s="542"/>
      <c r="BS46" s="542"/>
      <c r="BT46" s="542"/>
      <c r="BU46" s="542"/>
      <c r="BV46" s="542"/>
      <c r="BW46" s="542"/>
      <c r="BX46" s="542"/>
      <c r="BY46" s="542"/>
      <c r="BZ46" s="542"/>
      <c r="CA46" s="542"/>
      <c r="CB46" s="542"/>
      <c r="CC46" s="542"/>
      <c r="CD46" s="544"/>
      <c r="CE46" s="2629"/>
      <c r="CF46" s="2629"/>
    </row>
    <row r="47" spans="1:84" s="98" customFormat="1" ht="15" customHeight="1">
      <c r="A47" s="99"/>
      <c r="B47" s="2687"/>
      <c r="C47" s="2685" t="s">
        <v>1684</v>
      </c>
      <c r="D47" s="2685"/>
      <c r="E47" s="2685"/>
      <c r="F47" s="2685"/>
      <c r="G47" s="94"/>
      <c r="H47" s="94"/>
      <c r="I47" s="94"/>
      <c r="J47" s="713"/>
      <c r="K47" s="2649"/>
      <c r="L47" s="2649"/>
      <c r="M47" s="2649"/>
      <c r="N47" s="2649"/>
      <c r="O47" s="2649"/>
      <c r="P47" s="2649"/>
      <c r="Q47" s="715"/>
      <c r="R47" s="713"/>
      <c r="S47" s="2649"/>
      <c r="T47" s="2649"/>
      <c r="U47" s="2649"/>
      <c r="V47" s="715"/>
      <c r="W47" s="2629"/>
      <c r="X47" s="2503"/>
      <c r="Y47" s="2503"/>
      <c r="Z47" s="2503"/>
      <c r="AA47" s="2503"/>
      <c r="AB47" s="2503"/>
      <c r="AC47" s="2503"/>
      <c r="AD47" s="2503"/>
      <c r="AE47" s="2503"/>
      <c r="AF47" s="2503"/>
      <c r="AG47" s="2503"/>
      <c r="AH47" s="2503"/>
      <c r="AI47" s="2503"/>
      <c r="AJ47" s="2503"/>
      <c r="AK47" s="2503"/>
      <c r="AL47" s="2629"/>
      <c r="AM47" s="94"/>
      <c r="AN47" s="713"/>
      <c r="AO47" s="2649"/>
      <c r="AP47" s="2649"/>
      <c r="AQ47" s="2649"/>
      <c r="AR47" s="2649"/>
      <c r="AS47" s="2649"/>
      <c r="AT47" s="2649"/>
      <c r="AU47" s="715"/>
      <c r="AV47" s="713"/>
      <c r="AW47" s="2649"/>
      <c r="AX47" s="2649"/>
      <c r="AY47" s="2649"/>
      <c r="AZ47" s="715"/>
      <c r="BA47" s="2629"/>
      <c r="BB47" s="542"/>
      <c r="BC47" s="542"/>
      <c r="BD47" s="542"/>
      <c r="BE47" s="542"/>
      <c r="BF47" s="542"/>
      <c r="BG47" s="542"/>
      <c r="BH47" s="542"/>
      <c r="BI47" s="542"/>
      <c r="BJ47" s="542"/>
      <c r="BK47" s="542"/>
      <c r="BL47" s="542"/>
      <c r="BM47" s="542"/>
      <c r="BN47" s="542"/>
      <c r="BO47" s="542"/>
      <c r="BP47" s="2629"/>
      <c r="BQ47" s="542"/>
      <c r="BR47" s="542"/>
      <c r="BS47" s="542"/>
      <c r="BT47" s="542"/>
      <c r="BU47" s="542"/>
      <c r="BV47" s="542"/>
      <c r="BW47" s="542"/>
      <c r="BX47" s="542"/>
      <c r="BY47" s="542"/>
      <c r="BZ47" s="542"/>
      <c r="CA47" s="542"/>
      <c r="CB47" s="542"/>
      <c r="CC47" s="542"/>
      <c r="CD47" s="544"/>
      <c r="CE47" s="2629"/>
      <c r="CF47" s="2629"/>
    </row>
    <row r="48" spans="1:84" s="98" customFormat="1" ht="15" customHeight="1">
      <c r="A48" s="99"/>
      <c r="B48" s="2687"/>
      <c r="C48" s="2688"/>
      <c r="D48" s="2688" t="s">
        <v>2701</v>
      </c>
      <c r="E48" s="2688"/>
      <c r="F48" s="2688"/>
      <c r="G48" s="2645"/>
      <c r="H48" s="2645"/>
      <c r="I48" s="607" t="s">
        <v>498</v>
      </c>
      <c r="J48" s="143">
        <v>0</v>
      </c>
      <c r="K48" s="141">
        <v>0</v>
      </c>
      <c r="L48" s="141">
        <v>0</v>
      </c>
      <c r="M48" s="141">
        <v>0</v>
      </c>
      <c r="N48" s="141">
        <v>0</v>
      </c>
      <c r="O48" s="141">
        <v>3.7745408610535526E-2</v>
      </c>
      <c r="P48" s="141">
        <v>1.1803439362956696E-3</v>
      </c>
      <c r="Q48" s="144">
        <v>1.1082138154449228E-3</v>
      </c>
      <c r="R48" s="143">
        <v>1.7982734819068625E-3</v>
      </c>
      <c r="S48" s="141">
        <v>1.7892821144973282E-3</v>
      </c>
      <c r="T48" s="141">
        <v>1.7803357039248415E-3</v>
      </c>
      <c r="U48" s="141">
        <v>1.7714340254052173E-3</v>
      </c>
      <c r="V48" s="144">
        <v>1.7625768552781917E-3</v>
      </c>
      <c r="W48" s="2629"/>
      <c r="X48" s="2503"/>
      <c r="Y48" s="2503"/>
      <c r="Z48" s="2503"/>
      <c r="AA48" s="2503"/>
      <c r="AB48" s="2503"/>
      <c r="AC48" s="2503"/>
      <c r="AD48" s="2503"/>
      <c r="AE48" s="2503"/>
      <c r="AF48" s="2503"/>
      <c r="AG48" s="2503"/>
      <c r="AH48" s="2503"/>
      <c r="AI48" s="2503"/>
      <c r="AJ48" s="2503"/>
      <c r="AK48" s="2503"/>
      <c r="AL48" s="2629"/>
      <c r="AM48" s="607" t="s">
        <v>2233</v>
      </c>
      <c r="AN48" s="143">
        <v>0</v>
      </c>
      <c r="AO48" s="141"/>
      <c r="AP48" s="141">
        <v>0</v>
      </c>
      <c r="AQ48" s="141"/>
      <c r="AR48" s="141"/>
      <c r="AS48" s="141">
        <v>0.11799999999999999</v>
      </c>
      <c r="AT48" s="141">
        <v>3.6309853549444911E-3</v>
      </c>
      <c r="AU48" s="144">
        <v>3.8596755392537761E-3</v>
      </c>
      <c r="AV48" s="143">
        <v>5.5033596511136927E-3</v>
      </c>
      <c r="AW48" s="141">
        <v>5.5033596511136927E-3</v>
      </c>
      <c r="AX48" s="141">
        <v>5.5033596511136927E-3</v>
      </c>
      <c r="AY48" s="141">
        <v>5.5033596511136927E-3</v>
      </c>
      <c r="AZ48" s="144">
        <v>5.5033596511136927E-3</v>
      </c>
      <c r="BA48" s="2629"/>
      <c r="BB48" s="545" t="s">
        <v>627</v>
      </c>
      <c r="BC48" s="868">
        <v>0</v>
      </c>
      <c r="BD48" s="545" t="s">
        <v>627</v>
      </c>
      <c r="BE48" s="868">
        <v>0</v>
      </c>
      <c r="BF48" s="545" t="s">
        <v>2233</v>
      </c>
      <c r="BG48" s="141">
        <v>6.1136475820250443E-3</v>
      </c>
      <c r="BH48" s="545" t="s">
        <v>2233</v>
      </c>
      <c r="BI48" s="141">
        <v>0</v>
      </c>
      <c r="BJ48" s="545" t="s">
        <v>2233</v>
      </c>
      <c r="BK48" s="141">
        <v>5.9849392118771487E-2</v>
      </c>
      <c r="BL48" s="545" t="s">
        <v>2233</v>
      </c>
      <c r="BM48" s="141">
        <v>4.1973229598230417E-2</v>
      </c>
      <c r="BN48" s="545" t="s">
        <v>2233</v>
      </c>
      <c r="BO48" s="141">
        <v>1.7554391595171328E-2</v>
      </c>
      <c r="BP48" s="2629"/>
      <c r="BQ48" s="545" t="s">
        <v>627</v>
      </c>
      <c r="BR48" s="868">
        <v>0</v>
      </c>
      <c r="BS48" s="545" t="s">
        <v>627</v>
      </c>
      <c r="BT48" s="868">
        <v>0</v>
      </c>
      <c r="BU48" s="545" t="s">
        <v>2233</v>
      </c>
      <c r="BV48" s="141">
        <v>1.3405619662969252E-3</v>
      </c>
      <c r="BW48" s="545" t="s">
        <v>2233</v>
      </c>
      <c r="BX48" s="141">
        <v>0</v>
      </c>
      <c r="BY48" s="545" t="s">
        <v>2233</v>
      </c>
      <c r="BZ48" s="141">
        <v>1.3123396091117269E-2</v>
      </c>
      <c r="CA48" s="545" t="s">
        <v>2233</v>
      </c>
      <c r="CB48" s="141">
        <v>9.2036242598397093E-3</v>
      </c>
      <c r="CC48" s="545" t="s">
        <v>2233</v>
      </c>
      <c r="CD48" s="144">
        <v>3.8492159383145632E-3</v>
      </c>
      <c r="CE48" s="2629"/>
      <c r="CF48" s="2629"/>
    </row>
    <row r="49" spans="1:84" s="98" customFormat="1" ht="15" customHeight="1">
      <c r="A49" s="99"/>
      <c r="B49" s="2687"/>
      <c r="C49" s="2688"/>
      <c r="D49" s="2688" t="s">
        <v>2702</v>
      </c>
      <c r="E49" s="2688"/>
      <c r="F49" s="2688"/>
      <c r="G49" s="2645"/>
      <c r="H49" s="2645"/>
      <c r="I49" s="607" t="s">
        <v>498</v>
      </c>
      <c r="J49" s="143">
        <v>0</v>
      </c>
      <c r="K49" s="141">
        <v>0</v>
      </c>
      <c r="L49" s="141">
        <v>0</v>
      </c>
      <c r="M49" s="141">
        <v>0</v>
      </c>
      <c r="N49" s="141">
        <v>0</v>
      </c>
      <c r="O49" s="141">
        <v>0</v>
      </c>
      <c r="P49" s="141">
        <v>1.174901794670854E-2</v>
      </c>
      <c r="Q49" s="144">
        <v>8.630761648571553E-3</v>
      </c>
      <c r="R49" s="143">
        <v>2.4815896885820112E-2</v>
      </c>
      <c r="S49" s="141">
        <v>2.4691817401391009E-2</v>
      </c>
      <c r="T49" s="141">
        <v>2.4568358314384055E-2</v>
      </c>
      <c r="U49" s="141">
        <v>2.4445516522812134E-2</v>
      </c>
      <c r="V49" s="144">
        <v>2.4323288940198071E-2</v>
      </c>
      <c r="W49" s="2629"/>
      <c r="X49" s="2503"/>
      <c r="Y49" s="2503"/>
      <c r="Z49" s="2503"/>
      <c r="AA49" s="2503"/>
      <c r="AB49" s="2503"/>
      <c r="AC49" s="2503"/>
      <c r="AD49" s="2503"/>
      <c r="AE49" s="2503"/>
      <c r="AF49" s="2503"/>
      <c r="AG49" s="2503"/>
      <c r="AH49" s="2503"/>
      <c r="AI49" s="2503"/>
      <c r="AJ49" s="2503"/>
      <c r="AK49" s="2503"/>
      <c r="AL49" s="2629"/>
      <c r="AM49" s="607" t="s">
        <v>2233</v>
      </c>
      <c r="AN49" s="143">
        <v>0</v>
      </c>
      <c r="AO49" s="141"/>
      <c r="AP49" s="141">
        <v>0</v>
      </c>
      <c r="AQ49" s="141"/>
      <c r="AR49" s="141"/>
      <c r="AS49" s="141"/>
      <c r="AT49" s="141">
        <v>2.5138789106141594E-2</v>
      </c>
      <c r="AU49" s="144">
        <v>2.0907553855885004E-2</v>
      </c>
      <c r="AV49" s="143">
        <v>5.1187229634146098E-2</v>
      </c>
      <c r="AW49" s="141">
        <v>5.1187229634146098E-2</v>
      </c>
      <c r="AX49" s="141">
        <v>5.1187229634146098E-2</v>
      </c>
      <c r="AY49" s="141">
        <v>5.1187229634146098E-2</v>
      </c>
      <c r="AZ49" s="144">
        <v>5.1187229634146098E-2</v>
      </c>
      <c r="BA49" s="2629"/>
      <c r="BB49" s="545" t="s">
        <v>627</v>
      </c>
      <c r="BC49" s="868">
        <v>0</v>
      </c>
      <c r="BD49" s="545" t="s">
        <v>627</v>
      </c>
      <c r="BE49" s="868">
        <v>0</v>
      </c>
      <c r="BF49" s="545" t="s">
        <v>2233</v>
      </c>
      <c r="BG49" s="141">
        <v>2.2432833750730906E-3</v>
      </c>
      <c r="BH49" s="545" t="s">
        <v>2233</v>
      </c>
      <c r="BI49" s="141">
        <v>0</v>
      </c>
      <c r="BJ49" s="545" t="s">
        <v>2233</v>
      </c>
      <c r="BK49" s="141">
        <v>2.1960563566504995E-2</v>
      </c>
      <c r="BL49" s="545" t="s">
        <v>2233</v>
      </c>
      <c r="BM49" s="141">
        <v>1.540125545225619E-2</v>
      </c>
      <c r="BN49" s="545" t="s">
        <v>2233</v>
      </c>
      <c r="BO49" s="141">
        <v>6.4412405681923256E-3</v>
      </c>
      <c r="BP49" s="2629"/>
      <c r="BQ49" s="545" t="s">
        <v>627</v>
      </c>
      <c r="BR49" s="868">
        <v>0</v>
      </c>
      <c r="BS49" s="545" t="s">
        <v>627</v>
      </c>
      <c r="BT49" s="868">
        <v>0</v>
      </c>
      <c r="BU49" s="545" t="s">
        <v>2233</v>
      </c>
      <c r="BV49" s="141">
        <v>1.2468684141650975E-2</v>
      </c>
      <c r="BW49" s="545" t="s">
        <v>2233</v>
      </c>
      <c r="BX49" s="141">
        <v>0</v>
      </c>
      <c r="BY49" s="545" t="s">
        <v>2233</v>
      </c>
      <c r="BZ49" s="141">
        <v>0.12206185528142532</v>
      </c>
      <c r="CA49" s="545" t="s">
        <v>2233</v>
      </c>
      <c r="CB49" s="141">
        <v>8.5603714516363991E-2</v>
      </c>
      <c r="CC49" s="545" t="s">
        <v>2233</v>
      </c>
      <c r="CD49" s="144">
        <v>3.5801894231290224E-2</v>
      </c>
      <c r="CE49" s="2629"/>
      <c r="CF49" s="2629"/>
    </row>
    <row r="50" spans="1:84" s="98" customFormat="1" ht="15" customHeight="1">
      <c r="A50" s="99"/>
      <c r="B50" s="2687"/>
      <c r="C50" s="2688"/>
      <c r="D50" s="2688" t="s">
        <v>2703</v>
      </c>
      <c r="E50" s="2688"/>
      <c r="F50" s="2688"/>
      <c r="G50" s="2645"/>
      <c r="H50" s="2645"/>
      <c r="I50" s="607" t="s">
        <v>498</v>
      </c>
      <c r="J50" s="143">
        <v>0</v>
      </c>
      <c r="K50" s="141">
        <v>0</v>
      </c>
      <c r="L50" s="141">
        <v>0</v>
      </c>
      <c r="M50" s="141">
        <v>3.3782316676231688E-2</v>
      </c>
      <c r="N50" s="141">
        <v>0</v>
      </c>
      <c r="O50" s="141">
        <v>0</v>
      </c>
      <c r="P50" s="141">
        <v>4.7470514194903619E-2</v>
      </c>
      <c r="Q50" s="144">
        <v>3.7722406514697403E-2</v>
      </c>
      <c r="R50" s="143">
        <v>9.2864999220944863E-2</v>
      </c>
      <c r="S50" s="141">
        <v>9.2400674224840149E-2</v>
      </c>
      <c r="T50" s="141">
        <v>9.1938670853715945E-2</v>
      </c>
      <c r="U50" s="141">
        <v>9.1478977499447375E-2</v>
      </c>
      <c r="V50" s="144">
        <v>9.1021582611950133E-2</v>
      </c>
      <c r="W50" s="2629"/>
      <c r="X50" s="2503"/>
      <c r="Y50" s="2503"/>
      <c r="Z50" s="2503"/>
      <c r="AA50" s="2503"/>
      <c r="AB50" s="2503"/>
      <c r="AC50" s="2503"/>
      <c r="AD50" s="2503"/>
      <c r="AE50" s="2503"/>
      <c r="AF50" s="2503"/>
      <c r="AG50" s="2503"/>
      <c r="AH50" s="2503"/>
      <c r="AI50" s="2503"/>
      <c r="AJ50" s="2503"/>
      <c r="AK50" s="2503"/>
      <c r="AL50" s="2629"/>
      <c r="AM50" s="607" t="s">
        <v>2233</v>
      </c>
      <c r="AN50" s="143">
        <v>0</v>
      </c>
      <c r="AO50" s="141"/>
      <c r="AP50" s="141">
        <v>0</v>
      </c>
      <c r="AQ50" s="141">
        <v>8.8999999999999996E-2</v>
      </c>
      <c r="AR50" s="141"/>
      <c r="AS50" s="141"/>
      <c r="AT50" s="141">
        <v>7.5114003412273297E-2</v>
      </c>
      <c r="AU50" s="144">
        <v>6.7578364684538011E-2</v>
      </c>
      <c r="AV50" s="143">
        <v>0.14573034089139295</v>
      </c>
      <c r="AW50" s="141">
        <v>0.14573034089139295</v>
      </c>
      <c r="AX50" s="141">
        <v>0.14573034089139295</v>
      </c>
      <c r="AY50" s="141">
        <v>0.14573034089139295</v>
      </c>
      <c r="AZ50" s="144">
        <v>0.14573034089139295</v>
      </c>
      <c r="BA50" s="2629"/>
      <c r="BB50" s="545" t="s">
        <v>627</v>
      </c>
      <c r="BC50" s="868">
        <v>0</v>
      </c>
      <c r="BD50" s="545" t="s">
        <v>627</v>
      </c>
      <c r="BE50" s="868">
        <v>0</v>
      </c>
      <c r="BF50" s="545" t="s">
        <v>2233</v>
      </c>
      <c r="BG50" s="141">
        <v>1.128757690728055E-2</v>
      </c>
      <c r="BH50" s="545" t="s">
        <v>2233</v>
      </c>
      <c r="BI50" s="141">
        <v>0</v>
      </c>
      <c r="BJ50" s="545" t="s">
        <v>2233</v>
      </c>
      <c r="BK50" s="141">
        <v>0.11049943709232539</v>
      </c>
      <c r="BL50" s="545" t="s">
        <v>2233</v>
      </c>
      <c r="BM50" s="141">
        <v>7.7494826252323776E-2</v>
      </c>
      <c r="BN50" s="545" t="s">
        <v>2233</v>
      </c>
      <c r="BO50" s="141">
        <v>3.2410527844881583E-2</v>
      </c>
      <c r="BP50" s="2629"/>
      <c r="BQ50" s="545" t="s">
        <v>627</v>
      </c>
      <c r="BR50" s="868">
        <v>0</v>
      </c>
      <c r="BS50" s="545" t="s">
        <v>627</v>
      </c>
      <c r="BT50" s="868">
        <v>0</v>
      </c>
      <c r="BU50" s="545" t="s">
        <v>2233</v>
      </c>
      <c r="BV50" s="141">
        <v>3.5498416370980335E-2</v>
      </c>
      <c r="BW50" s="545" t="s">
        <v>2233</v>
      </c>
      <c r="BX50" s="141">
        <v>0</v>
      </c>
      <c r="BY50" s="545" t="s">
        <v>2233</v>
      </c>
      <c r="BZ50" s="141">
        <v>0.34751081289486013</v>
      </c>
      <c r="CA50" s="545" t="s">
        <v>2233</v>
      </c>
      <c r="CB50" s="141">
        <v>0.24371427379842636</v>
      </c>
      <c r="CC50" s="545" t="s">
        <v>2233</v>
      </c>
      <c r="CD50" s="144">
        <v>0.10192820139269793</v>
      </c>
      <c r="CE50" s="2629"/>
      <c r="CF50" s="2629"/>
    </row>
    <row r="51" spans="1:84" s="98" customFormat="1" ht="15" customHeight="1">
      <c r="A51" s="99"/>
      <c r="B51" s="2687"/>
      <c r="C51" s="2688"/>
      <c r="D51" s="2688" t="s">
        <v>2704</v>
      </c>
      <c r="E51" s="2688"/>
      <c r="F51" s="2688"/>
      <c r="G51" s="2645"/>
      <c r="H51" s="2645"/>
      <c r="I51" s="607" t="s">
        <v>498</v>
      </c>
      <c r="J51" s="143">
        <v>4.6018672710005329E-2</v>
      </c>
      <c r="K51" s="141">
        <v>5.2283910386901652E-2</v>
      </c>
      <c r="L51" s="141">
        <v>7.0264430279165194E-2</v>
      </c>
      <c r="M51" s="141">
        <v>0</v>
      </c>
      <c r="N51" s="141">
        <v>0</v>
      </c>
      <c r="O51" s="141">
        <v>0</v>
      </c>
      <c r="P51" s="141">
        <v>2.079372007783744E-2</v>
      </c>
      <c r="Q51" s="144">
        <v>1.54855646760679E-2</v>
      </c>
      <c r="R51" s="143">
        <v>7.3101635653282454E-2</v>
      </c>
      <c r="S51" s="141">
        <v>7.2736127475016038E-2</v>
      </c>
      <c r="T51" s="141">
        <v>7.2372446837640964E-2</v>
      </c>
      <c r="U51" s="141">
        <v>7.2010584603452762E-2</v>
      </c>
      <c r="V51" s="144">
        <v>7.1650531680435489E-2</v>
      </c>
      <c r="W51" s="2629"/>
      <c r="X51" s="2503"/>
      <c r="Y51" s="2503"/>
      <c r="Z51" s="2503"/>
      <c r="AA51" s="2503"/>
      <c r="AB51" s="2503"/>
      <c r="AC51" s="2503"/>
      <c r="AD51" s="2503"/>
      <c r="AE51" s="2503"/>
      <c r="AF51" s="2503"/>
      <c r="AG51" s="2503"/>
      <c r="AH51" s="2503"/>
      <c r="AI51" s="2503"/>
      <c r="AJ51" s="2503"/>
      <c r="AK51" s="2503"/>
      <c r="AL51" s="2629"/>
      <c r="AM51" s="607" t="s">
        <v>2233</v>
      </c>
      <c r="AN51" s="143">
        <v>0.14499999999999999</v>
      </c>
      <c r="AO51" s="141">
        <v>0.123</v>
      </c>
      <c r="AP51" s="141">
        <v>0.23300000000000001</v>
      </c>
      <c r="AQ51" s="141"/>
      <c r="AR51" s="141"/>
      <c r="AS51" s="141"/>
      <c r="AT51" s="141">
        <v>5.6522323804645461E-2</v>
      </c>
      <c r="AU51" s="144">
        <v>4.7656942432201241E-2</v>
      </c>
      <c r="AV51" s="143">
        <v>0.19785442317985044</v>
      </c>
      <c r="AW51" s="141">
        <v>0.19785442317985044</v>
      </c>
      <c r="AX51" s="141">
        <v>0.19785442317985044</v>
      </c>
      <c r="AY51" s="141">
        <v>0.19785442317985044</v>
      </c>
      <c r="AZ51" s="144">
        <v>0.19785442317985044</v>
      </c>
      <c r="BA51" s="2629"/>
      <c r="BB51" s="545" t="s">
        <v>627</v>
      </c>
      <c r="BC51" s="868">
        <v>0</v>
      </c>
      <c r="BD51" s="545" t="s">
        <v>627</v>
      </c>
      <c r="BE51" s="868">
        <v>0</v>
      </c>
      <c r="BF51" s="545" t="s">
        <v>2233</v>
      </c>
      <c r="BG51" s="141">
        <v>2.9483092457692532E-2</v>
      </c>
      <c r="BH51" s="545" t="s">
        <v>2233</v>
      </c>
      <c r="BI51" s="141">
        <v>0</v>
      </c>
      <c r="BJ51" s="545" t="s">
        <v>2233</v>
      </c>
      <c r="BK51" s="141">
        <v>0.2886239577437269</v>
      </c>
      <c r="BL51" s="545" t="s">
        <v>2233</v>
      </c>
      <c r="BM51" s="141">
        <v>0.20241608506041539</v>
      </c>
      <c r="BN51" s="545" t="s">
        <v>2233</v>
      </c>
      <c r="BO51" s="141">
        <v>8.4656130975011901E-2</v>
      </c>
      <c r="BP51" s="2629"/>
      <c r="BQ51" s="545" t="s">
        <v>627</v>
      </c>
      <c r="BR51" s="868">
        <v>0</v>
      </c>
      <c r="BS51" s="545" t="s">
        <v>627</v>
      </c>
      <c r="BT51" s="868">
        <v>0</v>
      </c>
      <c r="BU51" s="545" t="s">
        <v>2233</v>
      </c>
      <c r="BV51" s="141">
        <v>4.8195308210476392E-2</v>
      </c>
      <c r="BW51" s="545" t="s">
        <v>2233</v>
      </c>
      <c r="BX51" s="141">
        <v>0</v>
      </c>
      <c r="BY51" s="545" t="s">
        <v>2233</v>
      </c>
      <c r="BZ51" s="141">
        <v>0.47180670142887415</v>
      </c>
      <c r="CA51" s="545" t="s">
        <v>2233</v>
      </c>
      <c r="CB51" s="141">
        <v>0.33088474759707182</v>
      </c>
      <c r="CC51" s="545" t="s">
        <v>2233</v>
      </c>
      <c r="CD51" s="144">
        <v>0.13838535866282989</v>
      </c>
      <c r="CE51" s="2629"/>
      <c r="CF51" s="2629"/>
    </row>
    <row r="52" spans="1:84" s="98" customFormat="1" ht="15" customHeight="1">
      <c r="A52" s="99"/>
      <c r="B52" s="2687"/>
      <c r="C52" s="2688"/>
      <c r="D52" s="2688" t="s">
        <v>2705</v>
      </c>
      <c r="E52" s="2688"/>
      <c r="F52" s="2688"/>
      <c r="G52" s="2645"/>
      <c r="H52" s="2645"/>
      <c r="I52" s="607" t="s">
        <v>498</v>
      </c>
      <c r="J52" s="143">
        <v>0.75366122839584182</v>
      </c>
      <c r="K52" s="141">
        <v>0</v>
      </c>
      <c r="L52" s="141">
        <v>4.1320483415899611E-2</v>
      </c>
      <c r="M52" s="141">
        <v>2.5183825851482884E-2</v>
      </c>
      <c r="N52" s="141">
        <v>0</v>
      </c>
      <c r="O52" s="141">
        <v>0</v>
      </c>
      <c r="P52" s="141">
        <v>8.3252604594648547E-2</v>
      </c>
      <c r="Q52" s="144">
        <v>6.1771511312698979E-2</v>
      </c>
      <c r="R52" s="143">
        <v>0.34595258012752739</v>
      </c>
      <c r="S52" s="141">
        <v>0.34422281722688969</v>
      </c>
      <c r="T52" s="141">
        <v>0.34250170314075529</v>
      </c>
      <c r="U52" s="141">
        <v>0.34078919462505153</v>
      </c>
      <c r="V52" s="144">
        <v>0.33908524865192624</v>
      </c>
      <c r="W52" s="2629"/>
      <c r="X52" s="2503"/>
      <c r="Y52" s="2503"/>
      <c r="Z52" s="2503"/>
      <c r="AA52" s="2503"/>
      <c r="AB52" s="2503"/>
      <c r="AC52" s="2503"/>
      <c r="AD52" s="2503"/>
      <c r="AE52" s="2503"/>
      <c r="AF52" s="2503"/>
      <c r="AG52" s="2503"/>
      <c r="AH52" s="2503"/>
      <c r="AI52" s="2503"/>
      <c r="AJ52" s="2503"/>
      <c r="AK52" s="2503"/>
      <c r="AL52" s="2629"/>
      <c r="AM52" s="607" t="s">
        <v>2233</v>
      </c>
      <c r="AN52" s="143">
        <v>0.89700000000000002</v>
      </c>
      <c r="AO52" s="141"/>
      <c r="AP52" s="141">
        <v>0.106</v>
      </c>
      <c r="AQ52" s="141">
        <v>2E-3</v>
      </c>
      <c r="AR52" s="141"/>
      <c r="AS52" s="141"/>
      <c r="AT52" s="141">
        <v>0.11335711306559795</v>
      </c>
      <c r="AU52" s="144">
        <v>9.5224891853517735E-2</v>
      </c>
      <c r="AV52" s="143">
        <v>0.47007111526763351</v>
      </c>
      <c r="AW52" s="141">
        <v>0.47007111526763351</v>
      </c>
      <c r="AX52" s="141">
        <v>0.47007111526763351</v>
      </c>
      <c r="AY52" s="141">
        <v>0.47007111526763351</v>
      </c>
      <c r="AZ52" s="144">
        <v>0.47007111526763351</v>
      </c>
      <c r="BA52" s="2629"/>
      <c r="BB52" s="545" t="s">
        <v>627</v>
      </c>
      <c r="BC52" s="868">
        <v>0</v>
      </c>
      <c r="BD52" s="545" t="s">
        <v>627</v>
      </c>
      <c r="BE52" s="868">
        <v>0</v>
      </c>
      <c r="BF52" s="545" t="s">
        <v>2233</v>
      </c>
      <c r="BG52" s="141">
        <v>5.9123225880674868E-2</v>
      </c>
      <c r="BH52" s="545" t="s">
        <v>2233</v>
      </c>
      <c r="BI52" s="141">
        <v>0</v>
      </c>
      <c r="BJ52" s="545" t="s">
        <v>2233</v>
      </c>
      <c r="BK52" s="141">
        <v>0.57878526388450136</v>
      </c>
      <c r="BL52" s="545" t="s">
        <v>2233</v>
      </c>
      <c r="BM52" s="141">
        <v>0.40591033440884383</v>
      </c>
      <c r="BN52" s="545" t="s">
        <v>2233</v>
      </c>
      <c r="BO52" s="141">
        <v>0.16976318074509569</v>
      </c>
      <c r="BP52" s="2629"/>
      <c r="BQ52" s="545" t="s">
        <v>627</v>
      </c>
      <c r="BR52" s="868">
        <v>0</v>
      </c>
      <c r="BS52" s="545" t="s">
        <v>627</v>
      </c>
      <c r="BT52" s="868">
        <v>0</v>
      </c>
      <c r="BU52" s="545" t="s">
        <v>2233</v>
      </c>
      <c r="BV52" s="141">
        <v>0.11450450243698765</v>
      </c>
      <c r="BW52" s="545" t="s">
        <v>2233</v>
      </c>
      <c r="BX52" s="141">
        <v>0</v>
      </c>
      <c r="BY52" s="545" t="s">
        <v>2233</v>
      </c>
      <c r="BZ52" s="141">
        <v>1.1209388133305107</v>
      </c>
      <c r="CA52" s="545" t="s">
        <v>2233</v>
      </c>
      <c r="CB52" s="141">
        <v>0.78613032667265204</v>
      </c>
      <c r="CC52" s="545" t="s">
        <v>2233</v>
      </c>
      <c r="CD52" s="144">
        <v>0.32878193389801719</v>
      </c>
      <c r="CE52" s="2629"/>
      <c r="CF52" s="2629"/>
    </row>
    <row r="53" spans="1:84" s="98" customFormat="1" ht="15" customHeight="1">
      <c r="A53" s="99"/>
      <c r="B53" s="2687"/>
      <c r="C53" s="2688"/>
      <c r="D53" s="2688" t="s">
        <v>2706</v>
      </c>
      <c r="E53" s="2688"/>
      <c r="F53" s="2688"/>
      <c r="G53" s="2645"/>
      <c r="H53" s="2645"/>
      <c r="I53" s="607" t="s">
        <v>498</v>
      </c>
      <c r="J53" s="143">
        <v>0</v>
      </c>
      <c r="K53" s="141">
        <v>0</v>
      </c>
      <c r="L53" s="141">
        <v>8.8636457232691302E-3</v>
      </c>
      <c r="M53" s="141">
        <v>0</v>
      </c>
      <c r="N53" s="141">
        <v>0</v>
      </c>
      <c r="O53" s="141">
        <v>0</v>
      </c>
      <c r="P53" s="141">
        <v>3.6527208728733712E-4</v>
      </c>
      <c r="Q53" s="144">
        <v>2.8874735936028432E-4</v>
      </c>
      <c r="R53" s="143">
        <v>1.9338718948142904E-3</v>
      </c>
      <c r="S53" s="141">
        <v>1.9242025353402184E-3</v>
      </c>
      <c r="T53" s="141">
        <v>1.9145815226635176E-3</v>
      </c>
      <c r="U53" s="141">
        <v>1.9050086150501999E-3</v>
      </c>
      <c r="V53" s="144">
        <v>1.8954835719749488E-3</v>
      </c>
      <c r="W53" s="2629"/>
      <c r="X53" s="2503"/>
      <c r="Y53" s="2503"/>
      <c r="Z53" s="2503"/>
      <c r="AA53" s="2503"/>
      <c r="AB53" s="2503"/>
      <c r="AC53" s="2503"/>
      <c r="AD53" s="2503"/>
      <c r="AE53" s="2503"/>
      <c r="AF53" s="2503"/>
      <c r="AG53" s="2503"/>
      <c r="AH53" s="2503"/>
      <c r="AI53" s="2503"/>
      <c r="AJ53" s="2503"/>
      <c r="AK53" s="2503"/>
      <c r="AL53" s="2629"/>
      <c r="AM53" s="607" t="s">
        <v>2233</v>
      </c>
      <c r="AN53" s="143">
        <v>0</v>
      </c>
      <c r="AO53" s="141"/>
      <c r="AP53" s="141">
        <v>1.4E-2</v>
      </c>
      <c r="AQ53" s="141"/>
      <c r="AR53" s="141"/>
      <c r="AS53" s="141"/>
      <c r="AT53" s="141">
        <v>5.6820371879956282E-4</v>
      </c>
      <c r="AU53" s="144">
        <v>5.0853040015215348E-4</v>
      </c>
      <c r="AV53" s="143">
        <v>3.0046654275092946E-3</v>
      </c>
      <c r="AW53" s="141">
        <v>3.0046654275092946E-3</v>
      </c>
      <c r="AX53" s="141">
        <v>3.0046654275092946E-3</v>
      </c>
      <c r="AY53" s="141">
        <v>3.0046654275092946E-3</v>
      </c>
      <c r="AZ53" s="144">
        <v>3.0046654275092946E-3</v>
      </c>
      <c r="BA53" s="2629"/>
      <c r="BB53" s="545" t="s">
        <v>627</v>
      </c>
      <c r="BC53" s="868">
        <v>0</v>
      </c>
      <c r="BD53" s="545" t="s">
        <v>627</v>
      </c>
      <c r="BE53" s="868">
        <v>0</v>
      </c>
      <c r="BF53" s="545" t="s">
        <v>2233</v>
      </c>
      <c r="BG53" s="141">
        <v>7.3450755964123745E-4</v>
      </c>
      <c r="BH53" s="545" t="s">
        <v>2233</v>
      </c>
      <c r="BI53" s="141">
        <v>0</v>
      </c>
      <c r="BJ53" s="545" t="s">
        <v>2233</v>
      </c>
      <c r="BK53" s="141">
        <v>7.1904424259615881E-3</v>
      </c>
      <c r="BL53" s="545" t="s">
        <v>2233</v>
      </c>
      <c r="BM53" s="141">
        <v>5.0427595030339929E-3</v>
      </c>
      <c r="BN53" s="545" t="s">
        <v>2233</v>
      </c>
      <c r="BO53" s="141">
        <v>2.1090246303148985E-3</v>
      </c>
      <c r="BP53" s="2629"/>
      <c r="BQ53" s="545" t="s">
        <v>627</v>
      </c>
      <c r="BR53" s="868">
        <v>0</v>
      </c>
      <c r="BS53" s="545" t="s">
        <v>627</v>
      </c>
      <c r="BT53" s="868">
        <v>0</v>
      </c>
      <c r="BU53" s="545" t="s">
        <v>2233</v>
      </c>
      <c r="BV53" s="141">
        <v>7.319056810599564E-4</v>
      </c>
      <c r="BW53" s="545" t="s">
        <v>2233</v>
      </c>
      <c r="BX53" s="141">
        <v>0</v>
      </c>
      <c r="BY53" s="545" t="s">
        <v>2233</v>
      </c>
      <c r="BZ53" s="141">
        <v>7.1649714040606261E-3</v>
      </c>
      <c r="CA53" s="545" t="s">
        <v>2233</v>
      </c>
      <c r="CB53" s="141">
        <v>5.02489631324204E-3</v>
      </c>
      <c r="CC53" s="545" t="s">
        <v>2233</v>
      </c>
      <c r="CD53" s="144">
        <v>2.1015537391838516E-3</v>
      </c>
      <c r="CE53" s="2629"/>
      <c r="CF53" s="2629"/>
    </row>
    <row r="54" spans="1:84" s="98" customFormat="1" ht="15" customHeight="1">
      <c r="A54" s="99"/>
      <c r="B54" s="2687"/>
      <c r="C54" s="2688"/>
      <c r="D54" s="2688" t="s">
        <v>2707</v>
      </c>
      <c r="E54" s="2688"/>
      <c r="F54" s="2688"/>
      <c r="G54" s="2645"/>
      <c r="H54" s="2645"/>
      <c r="I54" s="607" t="s">
        <v>498</v>
      </c>
      <c r="J54" s="143">
        <v>0</v>
      </c>
      <c r="K54" s="141">
        <v>0</v>
      </c>
      <c r="L54" s="141">
        <v>0</v>
      </c>
      <c r="M54" s="141">
        <v>0</v>
      </c>
      <c r="N54" s="141">
        <v>0</v>
      </c>
      <c r="O54" s="141">
        <v>0</v>
      </c>
      <c r="P54" s="141">
        <v>0</v>
      </c>
      <c r="Q54" s="144">
        <v>0</v>
      </c>
      <c r="R54" s="143">
        <v>0</v>
      </c>
      <c r="S54" s="141">
        <v>0</v>
      </c>
      <c r="T54" s="141">
        <v>0</v>
      </c>
      <c r="U54" s="141">
        <v>0</v>
      </c>
      <c r="V54" s="144">
        <v>0</v>
      </c>
      <c r="W54" s="2629"/>
      <c r="X54" s="2503"/>
      <c r="Y54" s="2503"/>
      <c r="Z54" s="2503"/>
      <c r="AA54" s="2503"/>
      <c r="AB54" s="2503"/>
      <c r="AC54" s="2503"/>
      <c r="AD54" s="2503"/>
      <c r="AE54" s="2503"/>
      <c r="AF54" s="2503"/>
      <c r="AG54" s="2503"/>
      <c r="AH54" s="2503"/>
      <c r="AI54" s="2503"/>
      <c r="AJ54" s="2503"/>
      <c r="AK54" s="2503"/>
      <c r="AL54" s="2629"/>
      <c r="AM54" s="607" t="s">
        <v>2233</v>
      </c>
      <c r="AN54" s="143">
        <v>0</v>
      </c>
      <c r="AO54" s="141"/>
      <c r="AP54" s="141">
        <v>0</v>
      </c>
      <c r="AQ54" s="141"/>
      <c r="AR54" s="141"/>
      <c r="AS54" s="141"/>
      <c r="AT54" s="141"/>
      <c r="AU54" s="144"/>
      <c r="AV54" s="143"/>
      <c r="AW54" s="141"/>
      <c r="AX54" s="141"/>
      <c r="AY54" s="141"/>
      <c r="AZ54" s="144"/>
      <c r="BA54" s="2629"/>
      <c r="BB54" s="545" t="s">
        <v>627</v>
      </c>
      <c r="BC54" s="868">
        <v>0</v>
      </c>
      <c r="BD54" s="545" t="s">
        <v>627</v>
      </c>
      <c r="BE54" s="868">
        <v>0</v>
      </c>
      <c r="BF54" s="545" t="s">
        <v>2233</v>
      </c>
      <c r="BG54" s="141">
        <v>0</v>
      </c>
      <c r="BH54" s="545" t="s">
        <v>2233</v>
      </c>
      <c r="BI54" s="141">
        <v>0</v>
      </c>
      <c r="BJ54" s="545" t="s">
        <v>2233</v>
      </c>
      <c r="BK54" s="141">
        <v>0</v>
      </c>
      <c r="BL54" s="545" t="s">
        <v>2233</v>
      </c>
      <c r="BM54" s="141">
        <v>0</v>
      </c>
      <c r="BN54" s="545" t="s">
        <v>2233</v>
      </c>
      <c r="BO54" s="141">
        <v>0</v>
      </c>
      <c r="BP54" s="2629"/>
      <c r="BQ54" s="545" t="s">
        <v>627</v>
      </c>
      <c r="BR54" s="868">
        <v>0</v>
      </c>
      <c r="BS54" s="545" t="s">
        <v>627</v>
      </c>
      <c r="BT54" s="868">
        <v>0</v>
      </c>
      <c r="BU54" s="545" t="s">
        <v>2233</v>
      </c>
      <c r="BV54" s="141">
        <v>0</v>
      </c>
      <c r="BW54" s="545" t="s">
        <v>2233</v>
      </c>
      <c r="BX54" s="141">
        <v>0</v>
      </c>
      <c r="BY54" s="545" t="s">
        <v>2233</v>
      </c>
      <c r="BZ54" s="141">
        <v>0</v>
      </c>
      <c r="CA54" s="545" t="s">
        <v>2233</v>
      </c>
      <c r="CB54" s="141">
        <v>0</v>
      </c>
      <c r="CC54" s="545" t="s">
        <v>2233</v>
      </c>
      <c r="CD54" s="144">
        <v>0</v>
      </c>
      <c r="CE54" s="2629"/>
      <c r="CF54" s="2629"/>
    </row>
    <row r="55" spans="1:84" s="98" customFormat="1" ht="15" customHeight="1">
      <c r="A55" s="99"/>
      <c r="B55" s="2687"/>
      <c r="C55" s="2688"/>
      <c r="D55" s="2688" t="s">
        <v>2708</v>
      </c>
      <c r="E55" s="2688"/>
      <c r="F55" s="2688"/>
      <c r="G55" s="2645"/>
      <c r="H55" s="2645"/>
      <c r="I55" s="607" t="s">
        <v>498</v>
      </c>
      <c r="J55" s="143">
        <v>0</v>
      </c>
      <c r="K55" s="141">
        <v>0</v>
      </c>
      <c r="L55" s="141">
        <v>0</v>
      </c>
      <c r="M55" s="141">
        <v>0</v>
      </c>
      <c r="N55" s="141">
        <v>0</v>
      </c>
      <c r="O55" s="141">
        <v>0</v>
      </c>
      <c r="P55" s="141">
        <v>0</v>
      </c>
      <c r="Q55" s="144">
        <v>0</v>
      </c>
      <c r="R55" s="143">
        <v>0</v>
      </c>
      <c r="S55" s="141">
        <v>0</v>
      </c>
      <c r="T55" s="141">
        <v>0</v>
      </c>
      <c r="U55" s="141">
        <v>0</v>
      </c>
      <c r="V55" s="144">
        <v>0</v>
      </c>
      <c r="W55" s="2629"/>
      <c r="X55" s="2503"/>
      <c r="Y55" s="2503"/>
      <c r="Z55" s="2503"/>
      <c r="AA55" s="2503"/>
      <c r="AB55" s="2503"/>
      <c r="AC55" s="2503"/>
      <c r="AD55" s="2503"/>
      <c r="AE55" s="2503"/>
      <c r="AF55" s="2503"/>
      <c r="AG55" s="2503"/>
      <c r="AH55" s="2503"/>
      <c r="AI55" s="2503"/>
      <c r="AJ55" s="2503"/>
      <c r="AK55" s="2503"/>
      <c r="AL55" s="2629"/>
      <c r="AM55" s="607" t="s">
        <v>2233</v>
      </c>
      <c r="AN55" s="143">
        <v>0</v>
      </c>
      <c r="AO55" s="141"/>
      <c r="AP55" s="141">
        <v>0</v>
      </c>
      <c r="AQ55" s="141"/>
      <c r="AR55" s="141"/>
      <c r="AS55" s="141"/>
      <c r="AT55" s="141"/>
      <c r="AU55" s="144"/>
      <c r="AV55" s="143"/>
      <c r="AW55" s="141"/>
      <c r="AX55" s="141"/>
      <c r="AY55" s="141"/>
      <c r="AZ55" s="144"/>
      <c r="BA55" s="2629"/>
      <c r="BB55" s="545" t="s">
        <v>627</v>
      </c>
      <c r="BC55" s="868">
        <v>0</v>
      </c>
      <c r="BD55" s="545" t="s">
        <v>627</v>
      </c>
      <c r="BE55" s="868">
        <v>0</v>
      </c>
      <c r="BF55" s="545" t="s">
        <v>2233</v>
      </c>
      <c r="BG55" s="141">
        <v>0</v>
      </c>
      <c r="BH55" s="545" t="s">
        <v>2233</v>
      </c>
      <c r="BI55" s="141">
        <v>0</v>
      </c>
      <c r="BJ55" s="545" t="s">
        <v>2233</v>
      </c>
      <c r="BK55" s="141">
        <v>0</v>
      </c>
      <c r="BL55" s="545" t="s">
        <v>2233</v>
      </c>
      <c r="BM55" s="141">
        <v>0</v>
      </c>
      <c r="BN55" s="545" t="s">
        <v>2233</v>
      </c>
      <c r="BO55" s="141">
        <v>0</v>
      </c>
      <c r="BP55" s="2629"/>
      <c r="BQ55" s="545" t="s">
        <v>627</v>
      </c>
      <c r="BR55" s="868">
        <v>0</v>
      </c>
      <c r="BS55" s="545" t="s">
        <v>627</v>
      </c>
      <c r="BT55" s="868">
        <v>0</v>
      </c>
      <c r="BU55" s="545" t="s">
        <v>2233</v>
      </c>
      <c r="BV55" s="141">
        <v>0</v>
      </c>
      <c r="BW55" s="545" t="s">
        <v>2233</v>
      </c>
      <c r="BX55" s="141">
        <v>0</v>
      </c>
      <c r="BY55" s="545" t="s">
        <v>2233</v>
      </c>
      <c r="BZ55" s="141">
        <v>0</v>
      </c>
      <c r="CA55" s="545" t="s">
        <v>2233</v>
      </c>
      <c r="CB55" s="141">
        <v>0</v>
      </c>
      <c r="CC55" s="545" t="s">
        <v>2233</v>
      </c>
      <c r="CD55" s="144">
        <v>0</v>
      </c>
      <c r="CE55" s="2629"/>
      <c r="CF55" s="2629"/>
    </row>
    <row r="56" spans="1:84" s="98" customFormat="1" ht="15" customHeight="1">
      <c r="A56" s="99"/>
      <c r="B56" s="2687"/>
      <c r="C56" s="2688" t="s">
        <v>1710</v>
      </c>
      <c r="D56" s="2688"/>
      <c r="E56" s="2688"/>
      <c r="F56" s="2688"/>
      <c r="G56" s="2645"/>
      <c r="H56" s="2645"/>
      <c r="I56" s="607" t="s">
        <v>498</v>
      </c>
      <c r="J56" s="641">
        <f>SUM(J48:J55)</f>
        <v>0.79967990110584719</v>
      </c>
      <c r="K56" s="642">
        <f t="shared" ref="K56:V56" si="13">SUM(K48:K55)</f>
        <v>5.2283910386901652E-2</v>
      </c>
      <c r="L56" s="642">
        <f t="shared" si="13"/>
        <v>0.12044855941833393</v>
      </c>
      <c r="M56" s="642">
        <f t="shared" si="13"/>
        <v>5.8966142527714573E-2</v>
      </c>
      <c r="N56" s="642">
        <f t="shared" si="13"/>
        <v>0</v>
      </c>
      <c r="O56" s="642">
        <f t="shared" si="13"/>
        <v>3.7745408610535526E-2</v>
      </c>
      <c r="P56" s="642">
        <f t="shared" si="13"/>
        <v>0.16481147283768116</v>
      </c>
      <c r="Q56" s="643">
        <f t="shared" si="13"/>
        <v>0.12500720532684104</v>
      </c>
      <c r="R56" s="641">
        <f t="shared" si="13"/>
        <v>0.54046725726429601</v>
      </c>
      <c r="S56" s="642">
        <f t="shared" si="13"/>
        <v>0.53776492097797435</v>
      </c>
      <c r="T56" s="642">
        <f t="shared" si="13"/>
        <v>0.53507609637308462</v>
      </c>
      <c r="U56" s="642">
        <f t="shared" si="13"/>
        <v>0.53240071589121918</v>
      </c>
      <c r="V56" s="643">
        <f t="shared" si="13"/>
        <v>0.52973871231176306</v>
      </c>
      <c r="W56" s="2629"/>
      <c r="X56" s="2503"/>
      <c r="Y56" s="2503"/>
      <c r="Z56" s="2503"/>
      <c r="AA56" s="2503"/>
      <c r="AB56" s="2503"/>
      <c r="AC56" s="2503"/>
      <c r="AD56" s="2503"/>
      <c r="AE56" s="2503"/>
      <c r="AF56" s="2503"/>
      <c r="AG56" s="2503"/>
      <c r="AH56" s="2503"/>
      <c r="AI56" s="2503"/>
      <c r="AJ56" s="2503"/>
      <c r="AK56" s="2503"/>
      <c r="AL56" s="2629"/>
      <c r="AM56" s="607" t="s">
        <v>2233</v>
      </c>
      <c r="AN56" s="641">
        <f>SUM(AN48:AN55)</f>
        <v>1.042</v>
      </c>
      <c r="AO56" s="642">
        <f t="shared" ref="AO56:AZ56" si="14">SUM(AO48:AO55)</f>
        <v>0.123</v>
      </c>
      <c r="AP56" s="642">
        <f t="shared" si="14"/>
        <v>0.35300000000000004</v>
      </c>
      <c r="AQ56" s="642">
        <f t="shared" si="14"/>
        <v>9.0999999999999998E-2</v>
      </c>
      <c r="AR56" s="642">
        <f t="shared" si="14"/>
        <v>0</v>
      </c>
      <c r="AS56" s="642">
        <f t="shared" si="14"/>
        <v>0.11799999999999999</v>
      </c>
      <c r="AT56" s="642">
        <f t="shared" si="14"/>
        <v>0.27433141846240233</v>
      </c>
      <c r="AU56" s="643">
        <f t="shared" si="14"/>
        <v>0.23573595876554793</v>
      </c>
      <c r="AV56" s="641">
        <f t="shared" si="14"/>
        <v>0.87335113405164599</v>
      </c>
      <c r="AW56" s="642">
        <f t="shared" si="14"/>
        <v>0.87335113405164599</v>
      </c>
      <c r="AX56" s="642">
        <f t="shared" si="14"/>
        <v>0.87335113405164599</v>
      </c>
      <c r="AY56" s="642">
        <f t="shared" si="14"/>
        <v>0.87335113405164599</v>
      </c>
      <c r="AZ56" s="643">
        <f t="shared" si="14"/>
        <v>0.87335113405164599</v>
      </c>
      <c r="BA56" s="2629"/>
      <c r="BB56" s="542"/>
      <c r="BC56" s="542"/>
      <c r="BD56" s="542"/>
      <c r="BE56" s="542"/>
      <c r="BF56" s="545" t="s">
        <v>2233</v>
      </c>
      <c r="BG56" s="642">
        <f>SUM(BG48:BG55)</f>
        <v>0.10898533376238732</v>
      </c>
      <c r="BH56" s="545" t="s">
        <v>2233</v>
      </c>
      <c r="BI56" s="642">
        <f>SUM(BI48:BI55)</f>
        <v>0</v>
      </c>
      <c r="BJ56" s="545" t="s">
        <v>2233</v>
      </c>
      <c r="BK56" s="642">
        <f>SUM(BK48:BK55)</f>
        <v>1.0669090568317918</v>
      </c>
      <c r="BL56" s="545" t="s">
        <v>2233</v>
      </c>
      <c r="BM56" s="642">
        <f>SUM(BM48:BM55)</f>
        <v>0.74823849027510358</v>
      </c>
      <c r="BN56" s="545" t="s">
        <v>2233</v>
      </c>
      <c r="BO56" s="642">
        <f>SUM(BO48:BO55)</f>
        <v>0.31293449635866777</v>
      </c>
      <c r="BP56" s="2629"/>
      <c r="BQ56" s="542"/>
      <c r="BR56" s="542"/>
      <c r="BS56" s="542"/>
      <c r="BT56" s="542"/>
      <c r="BU56" s="545" t="s">
        <v>2233</v>
      </c>
      <c r="BV56" s="642">
        <f>SUM(BV48:BV55)</f>
        <v>0.21273937880745225</v>
      </c>
      <c r="BW56" s="545" t="s">
        <v>2233</v>
      </c>
      <c r="BX56" s="642">
        <f>SUM(BX48:BX55)</f>
        <v>0</v>
      </c>
      <c r="BY56" s="545" t="s">
        <v>2233</v>
      </c>
      <c r="BZ56" s="642">
        <f>SUM(BZ48:BZ55)</f>
        <v>2.0826065504308482</v>
      </c>
      <c r="CA56" s="545" t="s">
        <v>2233</v>
      </c>
      <c r="CB56" s="642">
        <f>SUM(CB48:CB55)</f>
        <v>1.460561583157596</v>
      </c>
      <c r="CC56" s="545" t="s">
        <v>2233</v>
      </c>
      <c r="CD56" s="643">
        <f>SUM(CD48:CD55)</f>
        <v>0.6108481578623336</v>
      </c>
      <c r="CE56" s="2629"/>
      <c r="CF56" s="2629"/>
    </row>
    <row r="57" spans="1:84" s="98" customFormat="1" ht="15" customHeight="1">
      <c r="A57" s="99"/>
      <c r="B57" s="123"/>
      <c r="C57" s="2686"/>
      <c r="D57" s="2686"/>
      <c r="E57" s="2686"/>
      <c r="F57" s="2686"/>
      <c r="G57" s="94"/>
      <c r="H57" s="94"/>
      <c r="I57" s="94"/>
      <c r="J57" s="713"/>
      <c r="K57" s="2649"/>
      <c r="L57" s="2649"/>
      <c r="M57" s="2649"/>
      <c r="N57" s="2649"/>
      <c r="O57" s="2649"/>
      <c r="P57" s="2649"/>
      <c r="Q57" s="715"/>
      <c r="R57" s="713"/>
      <c r="S57" s="2649"/>
      <c r="T57" s="2649"/>
      <c r="U57" s="2649"/>
      <c r="V57" s="715"/>
      <c r="W57" s="2629"/>
      <c r="X57" s="2503"/>
      <c r="Y57" s="2503"/>
      <c r="Z57" s="2503"/>
      <c r="AA57" s="2503"/>
      <c r="AB57" s="2503"/>
      <c r="AC57" s="2503"/>
      <c r="AD57" s="2503"/>
      <c r="AE57" s="2503"/>
      <c r="AF57" s="2503"/>
      <c r="AG57" s="2503"/>
      <c r="AH57" s="2503"/>
      <c r="AI57" s="2503"/>
      <c r="AJ57" s="2503"/>
      <c r="AK57" s="2503"/>
      <c r="AL57" s="2629"/>
      <c r="AM57" s="94"/>
      <c r="AN57" s="713"/>
      <c r="AO57" s="2649"/>
      <c r="AP57" s="2649"/>
      <c r="AQ57" s="2649"/>
      <c r="AR57" s="2649"/>
      <c r="AS57" s="2649"/>
      <c r="AT57" s="2649"/>
      <c r="AU57" s="715"/>
      <c r="AV57" s="713"/>
      <c r="AW57" s="2649"/>
      <c r="AX57" s="2649"/>
      <c r="AY57" s="2649"/>
      <c r="AZ57" s="715"/>
      <c r="BA57" s="2629"/>
      <c r="BB57" s="542"/>
      <c r="BC57" s="542"/>
      <c r="BD57" s="542"/>
      <c r="BE57" s="542"/>
      <c r="BF57" s="542"/>
      <c r="BG57" s="542"/>
      <c r="BH57" s="542"/>
      <c r="BI57" s="542"/>
      <c r="BJ57" s="542"/>
      <c r="BK57" s="542"/>
      <c r="BL57" s="542"/>
      <c r="BM57" s="542"/>
      <c r="BN57" s="542"/>
      <c r="BO57" s="542"/>
      <c r="BP57" s="2629"/>
      <c r="BQ57" s="542"/>
      <c r="BR57" s="542"/>
      <c r="BS57" s="542"/>
      <c r="BT57" s="542"/>
      <c r="BU57" s="542"/>
      <c r="BV57" s="542"/>
      <c r="BW57" s="542"/>
      <c r="BX57" s="542"/>
      <c r="BY57" s="542"/>
      <c r="BZ57" s="542"/>
      <c r="CA57" s="542"/>
      <c r="CB57" s="542"/>
      <c r="CC57" s="542"/>
      <c r="CD57" s="544"/>
      <c r="CE57" s="2629"/>
      <c r="CF57" s="2629"/>
    </row>
    <row r="58" spans="1:84" s="98" customFormat="1" ht="15" customHeight="1">
      <c r="A58" s="99"/>
      <c r="B58" s="2687"/>
      <c r="C58" s="2685" t="s">
        <v>1685</v>
      </c>
      <c r="D58" s="2685"/>
      <c r="E58" s="2685"/>
      <c r="F58" s="2685"/>
      <c r="G58" s="94"/>
      <c r="H58" s="94"/>
      <c r="I58" s="94"/>
      <c r="J58" s="713"/>
      <c r="K58" s="2649"/>
      <c r="L58" s="2649"/>
      <c r="M58" s="2649"/>
      <c r="N58" s="2649"/>
      <c r="O58" s="2649"/>
      <c r="P58" s="2649"/>
      <c r="Q58" s="715"/>
      <c r="R58" s="713"/>
      <c r="S58" s="2649"/>
      <c r="T58" s="2649"/>
      <c r="U58" s="2649"/>
      <c r="V58" s="715"/>
      <c r="W58" s="2629"/>
      <c r="X58" s="2503"/>
      <c r="Y58" s="2503"/>
      <c r="Z58" s="2503"/>
      <c r="AA58" s="2503"/>
      <c r="AB58" s="2503"/>
      <c r="AC58" s="2503"/>
      <c r="AD58" s="2503"/>
      <c r="AE58" s="2503"/>
      <c r="AF58" s="2503"/>
      <c r="AG58" s="2503"/>
      <c r="AH58" s="2503"/>
      <c r="AI58" s="2503"/>
      <c r="AJ58" s="2503"/>
      <c r="AK58" s="2503"/>
      <c r="AL58" s="2629"/>
      <c r="AM58" s="94"/>
      <c r="AN58" s="713"/>
      <c r="AO58" s="2649"/>
      <c r="AP58" s="2649"/>
      <c r="AQ58" s="2649"/>
      <c r="AR58" s="2649"/>
      <c r="AS58" s="2649"/>
      <c r="AT58" s="2649"/>
      <c r="AU58" s="715"/>
      <c r="AV58" s="713"/>
      <c r="AW58" s="2649"/>
      <c r="AX58" s="2649"/>
      <c r="AY58" s="2649"/>
      <c r="AZ58" s="715"/>
      <c r="BA58" s="2629"/>
      <c r="BB58" s="542"/>
      <c r="BC58" s="542"/>
      <c r="BD58" s="542"/>
      <c r="BE58" s="542"/>
      <c r="BF58" s="542"/>
      <c r="BG58" s="542"/>
      <c r="BH58" s="542"/>
      <c r="BI58" s="542"/>
      <c r="BJ58" s="542"/>
      <c r="BK58" s="542"/>
      <c r="BL58" s="542"/>
      <c r="BM58" s="542"/>
      <c r="BN58" s="542"/>
      <c r="BO58" s="542"/>
      <c r="BP58" s="2629"/>
      <c r="BQ58" s="542"/>
      <c r="BR58" s="542"/>
      <c r="BS58" s="542"/>
      <c r="BT58" s="542"/>
      <c r="BU58" s="542"/>
      <c r="BV58" s="542"/>
      <c r="BW58" s="542"/>
      <c r="BX58" s="542"/>
      <c r="BY58" s="542"/>
      <c r="BZ58" s="542"/>
      <c r="CA58" s="542"/>
      <c r="CB58" s="542"/>
      <c r="CC58" s="542"/>
      <c r="CD58" s="544"/>
      <c r="CE58" s="2629"/>
      <c r="CF58" s="2629"/>
    </row>
    <row r="59" spans="1:84" s="98" customFormat="1" ht="15" customHeight="1">
      <c r="A59" s="99"/>
      <c r="B59" s="2687"/>
      <c r="C59" s="2688"/>
      <c r="D59" s="2688" t="s">
        <v>2701</v>
      </c>
      <c r="E59" s="2688"/>
      <c r="F59" s="2688"/>
      <c r="G59" s="2645"/>
      <c r="H59" s="2645"/>
      <c r="I59" s="607" t="s">
        <v>498</v>
      </c>
      <c r="J59" s="143">
        <v>0</v>
      </c>
      <c r="K59" s="141">
        <v>0</v>
      </c>
      <c r="L59" s="141">
        <v>0</v>
      </c>
      <c r="M59" s="141">
        <v>0</v>
      </c>
      <c r="N59" s="141">
        <v>0</v>
      </c>
      <c r="O59" s="141">
        <v>0</v>
      </c>
      <c r="P59" s="141">
        <v>0</v>
      </c>
      <c r="Q59" s="144">
        <v>0</v>
      </c>
      <c r="R59" s="143">
        <v>0</v>
      </c>
      <c r="S59" s="141">
        <v>0</v>
      </c>
      <c r="T59" s="141">
        <v>0</v>
      </c>
      <c r="U59" s="141">
        <v>0</v>
      </c>
      <c r="V59" s="144">
        <v>0</v>
      </c>
      <c r="W59" s="2629"/>
      <c r="X59" s="2503"/>
      <c r="Y59" s="2503"/>
      <c r="Z59" s="2503"/>
      <c r="AA59" s="2503"/>
      <c r="AB59" s="2503"/>
      <c r="AC59" s="2503"/>
      <c r="AD59" s="2503"/>
      <c r="AE59" s="2503"/>
      <c r="AF59" s="2503"/>
      <c r="AG59" s="2503"/>
      <c r="AH59" s="2503"/>
      <c r="AI59" s="2503"/>
      <c r="AJ59" s="2503"/>
      <c r="AK59" s="2503"/>
      <c r="AL59" s="2629"/>
      <c r="AM59" s="607" t="s">
        <v>2233</v>
      </c>
      <c r="AN59" s="143">
        <v>0</v>
      </c>
      <c r="AO59" s="141">
        <v>0</v>
      </c>
      <c r="AP59" s="141">
        <v>0</v>
      </c>
      <c r="AQ59" s="141">
        <v>0</v>
      </c>
      <c r="AR59" s="141">
        <v>0</v>
      </c>
      <c r="AS59" s="141">
        <v>0</v>
      </c>
      <c r="AT59" s="141">
        <v>0</v>
      </c>
      <c r="AU59" s="144">
        <v>0</v>
      </c>
      <c r="AV59" s="143">
        <v>0</v>
      </c>
      <c r="AW59" s="141">
        <v>0</v>
      </c>
      <c r="AX59" s="141">
        <v>0</v>
      </c>
      <c r="AY59" s="141">
        <v>0</v>
      </c>
      <c r="AZ59" s="144">
        <v>0</v>
      </c>
      <c r="BA59" s="2629"/>
      <c r="BB59" s="545" t="s">
        <v>627</v>
      </c>
      <c r="BC59" s="868">
        <v>0</v>
      </c>
      <c r="BD59" s="545" t="s">
        <v>627</v>
      </c>
      <c r="BE59" s="868">
        <v>0</v>
      </c>
      <c r="BF59" s="545" t="s">
        <v>2233</v>
      </c>
      <c r="BG59" s="141">
        <v>0</v>
      </c>
      <c r="BH59" s="545" t="s">
        <v>2233</v>
      </c>
      <c r="BI59" s="141">
        <v>0</v>
      </c>
      <c r="BJ59" s="545" t="s">
        <v>2233</v>
      </c>
      <c r="BK59" s="141">
        <v>0</v>
      </c>
      <c r="BL59" s="545" t="s">
        <v>2233</v>
      </c>
      <c r="BM59" s="141">
        <v>0</v>
      </c>
      <c r="BN59" s="545" t="s">
        <v>2233</v>
      </c>
      <c r="BO59" s="141">
        <v>0</v>
      </c>
      <c r="BP59" s="2629"/>
      <c r="BQ59" s="545" t="s">
        <v>627</v>
      </c>
      <c r="BR59" s="868">
        <v>0</v>
      </c>
      <c r="BS59" s="545" t="s">
        <v>627</v>
      </c>
      <c r="BT59" s="868">
        <v>0</v>
      </c>
      <c r="BU59" s="545" t="s">
        <v>2233</v>
      </c>
      <c r="BV59" s="141">
        <v>0</v>
      </c>
      <c r="BW59" s="545" t="s">
        <v>2233</v>
      </c>
      <c r="BX59" s="141">
        <v>0</v>
      </c>
      <c r="BY59" s="545" t="s">
        <v>2233</v>
      </c>
      <c r="BZ59" s="141">
        <v>0</v>
      </c>
      <c r="CA59" s="545" t="s">
        <v>2233</v>
      </c>
      <c r="CB59" s="141">
        <v>0</v>
      </c>
      <c r="CC59" s="545" t="s">
        <v>2233</v>
      </c>
      <c r="CD59" s="144">
        <v>0</v>
      </c>
      <c r="CE59" s="2629"/>
      <c r="CF59" s="2629"/>
    </row>
    <row r="60" spans="1:84" s="98" customFormat="1" ht="15" customHeight="1">
      <c r="A60" s="99"/>
      <c r="B60" s="2687"/>
      <c r="C60" s="2688"/>
      <c r="D60" s="2688" t="s">
        <v>2702</v>
      </c>
      <c r="E60" s="2688"/>
      <c r="F60" s="2688"/>
      <c r="G60" s="2645"/>
      <c r="H60" s="2645"/>
      <c r="I60" s="607" t="s">
        <v>498</v>
      </c>
      <c r="J60" s="143">
        <v>0</v>
      </c>
      <c r="K60" s="141">
        <v>0</v>
      </c>
      <c r="L60" s="141">
        <v>0</v>
      </c>
      <c r="M60" s="141">
        <v>0</v>
      </c>
      <c r="N60" s="141">
        <v>0</v>
      </c>
      <c r="O60" s="141">
        <v>0</v>
      </c>
      <c r="P60" s="141">
        <v>0</v>
      </c>
      <c r="Q60" s="144">
        <v>0</v>
      </c>
      <c r="R60" s="143">
        <v>0</v>
      </c>
      <c r="S60" s="141">
        <v>0</v>
      </c>
      <c r="T60" s="141">
        <v>0</v>
      </c>
      <c r="U60" s="141">
        <v>0</v>
      </c>
      <c r="V60" s="144">
        <v>0</v>
      </c>
      <c r="W60" s="2629"/>
      <c r="X60" s="2503"/>
      <c r="Y60" s="2503"/>
      <c r="Z60" s="2503"/>
      <c r="AA60" s="2503"/>
      <c r="AB60" s="2503"/>
      <c r="AC60" s="2503"/>
      <c r="AD60" s="2503"/>
      <c r="AE60" s="2503"/>
      <c r="AF60" s="2503"/>
      <c r="AG60" s="2503"/>
      <c r="AH60" s="2503"/>
      <c r="AI60" s="2503"/>
      <c r="AJ60" s="2503"/>
      <c r="AK60" s="2503"/>
      <c r="AL60" s="2629"/>
      <c r="AM60" s="607" t="s">
        <v>2233</v>
      </c>
      <c r="AN60" s="143">
        <v>0</v>
      </c>
      <c r="AO60" s="141">
        <v>0</v>
      </c>
      <c r="AP60" s="141">
        <v>0</v>
      </c>
      <c r="AQ60" s="141">
        <v>0</v>
      </c>
      <c r="AR60" s="141">
        <v>0</v>
      </c>
      <c r="AS60" s="141">
        <v>0</v>
      </c>
      <c r="AT60" s="141">
        <v>0</v>
      </c>
      <c r="AU60" s="144">
        <v>0</v>
      </c>
      <c r="AV60" s="143">
        <v>0</v>
      </c>
      <c r="AW60" s="141">
        <v>0</v>
      </c>
      <c r="AX60" s="141">
        <v>0</v>
      </c>
      <c r="AY60" s="141">
        <v>0</v>
      </c>
      <c r="AZ60" s="144">
        <v>0</v>
      </c>
      <c r="BA60" s="2629"/>
      <c r="BB60" s="545" t="s">
        <v>627</v>
      </c>
      <c r="BC60" s="868">
        <v>0</v>
      </c>
      <c r="BD60" s="545" t="s">
        <v>627</v>
      </c>
      <c r="BE60" s="868">
        <v>0</v>
      </c>
      <c r="BF60" s="545" t="s">
        <v>2233</v>
      </c>
      <c r="BG60" s="141">
        <v>0</v>
      </c>
      <c r="BH60" s="545" t="s">
        <v>2233</v>
      </c>
      <c r="BI60" s="141">
        <v>0</v>
      </c>
      <c r="BJ60" s="545" t="s">
        <v>2233</v>
      </c>
      <c r="BK60" s="141">
        <v>0</v>
      </c>
      <c r="BL60" s="545" t="s">
        <v>2233</v>
      </c>
      <c r="BM60" s="141">
        <v>0</v>
      </c>
      <c r="BN60" s="545" t="s">
        <v>2233</v>
      </c>
      <c r="BO60" s="141">
        <v>0</v>
      </c>
      <c r="BP60" s="2629"/>
      <c r="BQ60" s="545" t="s">
        <v>627</v>
      </c>
      <c r="BR60" s="868">
        <v>0</v>
      </c>
      <c r="BS60" s="545" t="s">
        <v>627</v>
      </c>
      <c r="BT60" s="868">
        <v>0</v>
      </c>
      <c r="BU60" s="545" t="s">
        <v>2233</v>
      </c>
      <c r="BV60" s="141">
        <v>0</v>
      </c>
      <c r="BW60" s="545" t="s">
        <v>2233</v>
      </c>
      <c r="BX60" s="141">
        <v>0</v>
      </c>
      <c r="BY60" s="545" t="s">
        <v>2233</v>
      </c>
      <c r="BZ60" s="141">
        <v>0</v>
      </c>
      <c r="CA60" s="545" t="s">
        <v>2233</v>
      </c>
      <c r="CB60" s="141">
        <v>0</v>
      </c>
      <c r="CC60" s="545" t="s">
        <v>2233</v>
      </c>
      <c r="CD60" s="144">
        <v>0</v>
      </c>
      <c r="CE60" s="2629"/>
      <c r="CF60" s="2629"/>
    </row>
    <row r="61" spans="1:84" s="98" customFormat="1" ht="15" customHeight="1">
      <c r="A61" s="99"/>
      <c r="B61" s="2687"/>
      <c r="C61" s="2688"/>
      <c r="D61" s="2688" t="s">
        <v>2703</v>
      </c>
      <c r="E61" s="2688"/>
      <c r="F61" s="2688"/>
      <c r="G61" s="2645"/>
      <c r="H61" s="2645"/>
      <c r="I61" s="607" t="s">
        <v>498</v>
      </c>
      <c r="J61" s="143">
        <v>0</v>
      </c>
      <c r="K61" s="141">
        <v>0</v>
      </c>
      <c r="L61" s="141">
        <v>0</v>
      </c>
      <c r="M61" s="141">
        <v>0</v>
      </c>
      <c r="N61" s="141">
        <v>0</v>
      </c>
      <c r="O61" s="141">
        <v>0</v>
      </c>
      <c r="P61" s="141">
        <v>0</v>
      </c>
      <c r="Q61" s="144">
        <v>0</v>
      </c>
      <c r="R61" s="143">
        <v>0</v>
      </c>
      <c r="S61" s="141">
        <v>0</v>
      </c>
      <c r="T61" s="141">
        <v>0</v>
      </c>
      <c r="U61" s="141">
        <v>0</v>
      </c>
      <c r="V61" s="144">
        <v>0</v>
      </c>
      <c r="W61" s="2629"/>
      <c r="X61" s="2503"/>
      <c r="Y61" s="2503"/>
      <c r="Z61" s="2503"/>
      <c r="AA61" s="2503"/>
      <c r="AB61" s="2503"/>
      <c r="AC61" s="2503"/>
      <c r="AD61" s="2503"/>
      <c r="AE61" s="2503"/>
      <c r="AF61" s="2503"/>
      <c r="AG61" s="2503"/>
      <c r="AH61" s="2503"/>
      <c r="AI61" s="2503"/>
      <c r="AJ61" s="2503"/>
      <c r="AK61" s="2503"/>
      <c r="AL61" s="2629"/>
      <c r="AM61" s="607" t="s">
        <v>2233</v>
      </c>
      <c r="AN61" s="143">
        <v>0</v>
      </c>
      <c r="AO61" s="141">
        <v>0</v>
      </c>
      <c r="AP61" s="141">
        <v>0</v>
      </c>
      <c r="AQ61" s="141">
        <v>0</v>
      </c>
      <c r="AR61" s="141">
        <v>0</v>
      </c>
      <c r="AS61" s="141">
        <v>0</v>
      </c>
      <c r="AT61" s="141">
        <v>0</v>
      </c>
      <c r="AU61" s="144">
        <v>0</v>
      </c>
      <c r="AV61" s="143">
        <v>0</v>
      </c>
      <c r="AW61" s="141">
        <v>0</v>
      </c>
      <c r="AX61" s="141">
        <v>0</v>
      </c>
      <c r="AY61" s="141">
        <v>0</v>
      </c>
      <c r="AZ61" s="144">
        <v>0</v>
      </c>
      <c r="BA61" s="2629"/>
      <c r="BB61" s="545" t="s">
        <v>627</v>
      </c>
      <c r="BC61" s="868">
        <v>0</v>
      </c>
      <c r="BD61" s="545" t="s">
        <v>627</v>
      </c>
      <c r="BE61" s="868">
        <v>0</v>
      </c>
      <c r="BF61" s="545" t="s">
        <v>2233</v>
      </c>
      <c r="BG61" s="141">
        <v>0</v>
      </c>
      <c r="BH61" s="545" t="s">
        <v>2233</v>
      </c>
      <c r="BI61" s="141">
        <v>0</v>
      </c>
      <c r="BJ61" s="545" t="s">
        <v>2233</v>
      </c>
      <c r="BK61" s="141">
        <v>0</v>
      </c>
      <c r="BL61" s="545" t="s">
        <v>2233</v>
      </c>
      <c r="BM61" s="141">
        <v>0</v>
      </c>
      <c r="BN61" s="545" t="s">
        <v>2233</v>
      </c>
      <c r="BO61" s="141">
        <v>0</v>
      </c>
      <c r="BP61" s="2629"/>
      <c r="BQ61" s="545" t="s">
        <v>627</v>
      </c>
      <c r="BR61" s="868">
        <v>0</v>
      </c>
      <c r="BS61" s="545" t="s">
        <v>627</v>
      </c>
      <c r="BT61" s="868">
        <v>0</v>
      </c>
      <c r="BU61" s="545" t="s">
        <v>2233</v>
      </c>
      <c r="BV61" s="141">
        <v>0</v>
      </c>
      <c r="BW61" s="545" t="s">
        <v>2233</v>
      </c>
      <c r="BX61" s="141">
        <v>0</v>
      </c>
      <c r="BY61" s="545" t="s">
        <v>2233</v>
      </c>
      <c r="BZ61" s="141">
        <v>0</v>
      </c>
      <c r="CA61" s="545" t="s">
        <v>2233</v>
      </c>
      <c r="CB61" s="141">
        <v>0</v>
      </c>
      <c r="CC61" s="545" t="s">
        <v>2233</v>
      </c>
      <c r="CD61" s="144">
        <v>0</v>
      </c>
      <c r="CE61" s="2629"/>
      <c r="CF61" s="2629"/>
    </row>
    <row r="62" spans="1:84" s="98" customFormat="1" ht="15" customHeight="1">
      <c r="A62" s="99"/>
      <c r="B62" s="2687"/>
      <c r="C62" s="2688"/>
      <c r="D62" s="2688" t="s">
        <v>2704</v>
      </c>
      <c r="E62" s="2688"/>
      <c r="F62" s="2688"/>
      <c r="G62" s="2645"/>
      <c r="H62" s="2645"/>
      <c r="I62" s="607" t="s">
        <v>498</v>
      </c>
      <c r="J62" s="143">
        <v>0</v>
      </c>
      <c r="K62" s="141">
        <v>0</v>
      </c>
      <c r="L62" s="141">
        <v>0</v>
      </c>
      <c r="M62" s="141">
        <v>0</v>
      </c>
      <c r="N62" s="141">
        <v>0</v>
      </c>
      <c r="O62" s="141">
        <v>0</v>
      </c>
      <c r="P62" s="141">
        <v>0</v>
      </c>
      <c r="Q62" s="144">
        <v>0</v>
      </c>
      <c r="R62" s="143">
        <v>0</v>
      </c>
      <c r="S62" s="141">
        <v>0</v>
      </c>
      <c r="T62" s="141">
        <v>0</v>
      </c>
      <c r="U62" s="141">
        <v>0</v>
      </c>
      <c r="V62" s="144">
        <v>0</v>
      </c>
      <c r="W62" s="2629"/>
      <c r="X62" s="2503"/>
      <c r="Y62" s="2503"/>
      <c r="Z62" s="2503"/>
      <c r="AA62" s="2503"/>
      <c r="AB62" s="2503"/>
      <c r="AC62" s="2503"/>
      <c r="AD62" s="2503"/>
      <c r="AE62" s="2503"/>
      <c r="AF62" s="2503"/>
      <c r="AG62" s="2503"/>
      <c r="AH62" s="2503"/>
      <c r="AI62" s="2503"/>
      <c r="AJ62" s="2503"/>
      <c r="AK62" s="2503"/>
      <c r="AL62" s="2629"/>
      <c r="AM62" s="607" t="s">
        <v>2233</v>
      </c>
      <c r="AN62" s="143">
        <v>0</v>
      </c>
      <c r="AO62" s="141">
        <v>0</v>
      </c>
      <c r="AP62" s="141">
        <v>0</v>
      </c>
      <c r="AQ62" s="141">
        <v>0</v>
      </c>
      <c r="AR62" s="141">
        <v>0</v>
      </c>
      <c r="AS62" s="141">
        <v>0</v>
      </c>
      <c r="AT62" s="141">
        <v>0</v>
      </c>
      <c r="AU62" s="144">
        <v>0</v>
      </c>
      <c r="AV62" s="143">
        <v>0</v>
      </c>
      <c r="AW62" s="141">
        <v>0</v>
      </c>
      <c r="AX62" s="141">
        <v>0</v>
      </c>
      <c r="AY62" s="141">
        <v>0</v>
      </c>
      <c r="AZ62" s="144">
        <v>0</v>
      </c>
      <c r="BA62" s="2629"/>
      <c r="BB62" s="545" t="s">
        <v>627</v>
      </c>
      <c r="BC62" s="868">
        <v>0</v>
      </c>
      <c r="BD62" s="545" t="s">
        <v>627</v>
      </c>
      <c r="BE62" s="868">
        <v>0</v>
      </c>
      <c r="BF62" s="545" t="s">
        <v>2233</v>
      </c>
      <c r="BG62" s="141">
        <v>0</v>
      </c>
      <c r="BH62" s="545" t="s">
        <v>2233</v>
      </c>
      <c r="BI62" s="141">
        <v>0</v>
      </c>
      <c r="BJ62" s="545" t="s">
        <v>2233</v>
      </c>
      <c r="BK62" s="141">
        <v>0</v>
      </c>
      <c r="BL62" s="545" t="s">
        <v>2233</v>
      </c>
      <c r="BM62" s="141">
        <v>0</v>
      </c>
      <c r="BN62" s="545" t="s">
        <v>2233</v>
      </c>
      <c r="BO62" s="141">
        <v>0</v>
      </c>
      <c r="BP62" s="2629"/>
      <c r="BQ62" s="545" t="s">
        <v>627</v>
      </c>
      <c r="BR62" s="868">
        <v>0</v>
      </c>
      <c r="BS62" s="545" t="s">
        <v>627</v>
      </c>
      <c r="BT62" s="868">
        <v>0</v>
      </c>
      <c r="BU62" s="545" t="s">
        <v>2233</v>
      </c>
      <c r="BV62" s="141">
        <v>0</v>
      </c>
      <c r="BW62" s="545" t="s">
        <v>2233</v>
      </c>
      <c r="BX62" s="141">
        <v>0</v>
      </c>
      <c r="BY62" s="545" t="s">
        <v>2233</v>
      </c>
      <c r="BZ62" s="141">
        <v>0</v>
      </c>
      <c r="CA62" s="545" t="s">
        <v>2233</v>
      </c>
      <c r="CB62" s="141">
        <v>0</v>
      </c>
      <c r="CC62" s="545" t="s">
        <v>2233</v>
      </c>
      <c r="CD62" s="144">
        <v>0</v>
      </c>
      <c r="CE62" s="2629"/>
      <c r="CF62" s="2629"/>
    </row>
    <row r="63" spans="1:84" s="98" customFormat="1" ht="15" customHeight="1">
      <c r="A63" s="99"/>
      <c r="B63" s="2687"/>
      <c r="C63" s="2688"/>
      <c r="D63" s="2688" t="s">
        <v>2705</v>
      </c>
      <c r="E63" s="2688"/>
      <c r="F63" s="2688"/>
      <c r="G63" s="2645"/>
      <c r="H63" s="2645"/>
      <c r="I63" s="607" t="s">
        <v>498</v>
      </c>
      <c r="J63" s="143">
        <v>0</v>
      </c>
      <c r="K63" s="141">
        <v>0</v>
      </c>
      <c r="L63" s="141">
        <v>0</v>
      </c>
      <c r="M63" s="141">
        <v>0</v>
      </c>
      <c r="N63" s="141">
        <v>0</v>
      </c>
      <c r="O63" s="141">
        <v>0</v>
      </c>
      <c r="P63" s="141">
        <v>0</v>
      </c>
      <c r="Q63" s="144">
        <v>0</v>
      </c>
      <c r="R63" s="143">
        <v>0</v>
      </c>
      <c r="S63" s="141">
        <v>0</v>
      </c>
      <c r="T63" s="141">
        <v>0</v>
      </c>
      <c r="U63" s="141">
        <v>0</v>
      </c>
      <c r="V63" s="144">
        <v>0</v>
      </c>
      <c r="W63" s="2629"/>
      <c r="X63" s="2503"/>
      <c r="Y63" s="2503"/>
      <c r="Z63" s="2503"/>
      <c r="AA63" s="2503"/>
      <c r="AB63" s="2503"/>
      <c r="AC63" s="2503"/>
      <c r="AD63" s="2503"/>
      <c r="AE63" s="2503"/>
      <c r="AF63" s="2503"/>
      <c r="AG63" s="2503"/>
      <c r="AH63" s="2503"/>
      <c r="AI63" s="2503"/>
      <c r="AJ63" s="2503"/>
      <c r="AK63" s="2503"/>
      <c r="AL63" s="2629"/>
      <c r="AM63" s="607" t="s">
        <v>2233</v>
      </c>
      <c r="AN63" s="143">
        <v>0</v>
      </c>
      <c r="AO63" s="141">
        <v>0</v>
      </c>
      <c r="AP63" s="141">
        <v>0</v>
      </c>
      <c r="AQ63" s="141">
        <v>0</v>
      </c>
      <c r="AR63" s="141">
        <v>0</v>
      </c>
      <c r="AS63" s="141">
        <v>0</v>
      </c>
      <c r="AT63" s="141">
        <v>0</v>
      </c>
      <c r="AU63" s="144">
        <v>0</v>
      </c>
      <c r="AV63" s="143">
        <v>0</v>
      </c>
      <c r="AW63" s="141">
        <v>0</v>
      </c>
      <c r="AX63" s="141">
        <v>0</v>
      </c>
      <c r="AY63" s="141">
        <v>0</v>
      </c>
      <c r="AZ63" s="144">
        <v>0</v>
      </c>
      <c r="BA63" s="2629"/>
      <c r="BB63" s="545" t="s">
        <v>627</v>
      </c>
      <c r="BC63" s="868">
        <v>0</v>
      </c>
      <c r="BD63" s="545" t="s">
        <v>627</v>
      </c>
      <c r="BE63" s="868">
        <v>0</v>
      </c>
      <c r="BF63" s="545" t="s">
        <v>2233</v>
      </c>
      <c r="BG63" s="141">
        <v>0</v>
      </c>
      <c r="BH63" s="545" t="s">
        <v>2233</v>
      </c>
      <c r="BI63" s="141">
        <v>0</v>
      </c>
      <c r="BJ63" s="545" t="s">
        <v>2233</v>
      </c>
      <c r="BK63" s="141">
        <v>0</v>
      </c>
      <c r="BL63" s="545" t="s">
        <v>2233</v>
      </c>
      <c r="BM63" s="141">
        <v>0</v>
      </c>
      <c r="BN63" s="545" t="s">
        <v>2233</v>
      </c>
      <c r="BO63" s="141">
        <v>0</v>
      </c>
      <c r="BP63" s="2629"/>
      <c r="BQ63" s="545" t="s">
        <v>627</v>
      </c>
      <c r="BR63" s="868">
        <v>0</v>
      </c>
      <c r="BS63" s="545" t="s">
        <v>627</v>
      </c>
      <c r="BT63" s="868">
        <v>0</v>
      </c>
      <c r="BU63" s="545" t="s">
        <v>2233</v>
      </c>
      <c r="BV63" s="141">
        <v>0</v>
      </c>
      <c r="BW63" s="545" t="s">
        <v>2233</v>
      </c>
      <c r="BX63" s="141">
        <v>0</v>
      </c>
      <c r="BY63" s="545" t="s">
        <v>2233</v>
      </c>
      <c r="BZ63" s="141">
        <v>0</v>
      </c>
      <c r="CA63" s="545" t="s">
        <v>2233</v>
      </c>
      <c r="CB63" s="141">
        <v>0</v>
      </c>
      <c r="CC63" s="545" t="s">
        <v>2233</v>
      </c>
      <c r="CD63" s="144">
        <v>0</v>
      </c>
      <c r="CE63" s="2629"/>
      <c r="CF63" s="2629"/>
    </row>
    <row r="64" spans="1:84" s="98" customFormat="1" ht="15" customHeight="1">
      <c r="A64" s="99"/>
      <c r="B64" s="2687"/>
      <c r="C64" s="2688"/>
      <c r="D64" s="2688" t="s">
        <v>2706</v>
      </c>
      <c r="E64" s="2688"/>
      <c r="F64" s="2688"/>
      <c r="G64" s="2645"/>
      <c r="H64" s="2645"/>
      <c r="I64" s="607" t="s">
        <v>498</v>
      </c>
      <c r="J64" s="143">
        <v>0</v>
      </c>
      <c r="K64" s="141">
        <v>0</v>
      </c>
      <c r="L64" s="141">
        <v>0</v>
      </c>
      <c r="M64" s="141">
        <v>0</v>
      </c>
      <c r="N64" s="141">
        <v>0</v>
      </c>
      <c r="O64" s="141">
        <v>0</v>
      </c>
      <c r="P64" s="141">
        <v>0</v>
      </c>
      <c r="Q64" s="144">
        <v>0</v>
      </c>
      <c r="R64" s="143">
        <v>0</v>
      </c>
      <c r="S64" s="141">
        <v>0</v>
      </c>
      <c r="T64" s="141">
        <v>0</v>
      </c>
      <c r="U64" s="141">
        <v>0</v>
      </c>
      <c r="V64" s="144">
        <v>0</v>
      </c>
      <c r="W64" s="2629"/>
      <c r="X64" s="2503"/>
      <c r="Y64" s="2503"/>
      <c r="Z64" s="2503"/>
      <c r="AA64" s="2503"/>
      <c r="AB64" s="2503"/>
      <c r="AC64" s="2503"/>
      <c r="AD64" s="2503"/>
      <c r="AE64" s="2503"/>
      <c r="AF64" s="2503"/>
      <c r="AG64" s="2503"/>
      <c r="AH64" s="2503"/>
      <c r="AI64" s="2503"/>
      <c r="AJ64" s="2503"/>
      <c r="AK64" s="2503"/>
      <c r="AL64" s="2629"/>
      <c r="AM64" s="607" t="s">
        <v>2233</v>
      </c>
      <c r="AN64" s="143">
        <v>0</v>
      </c>
      <c r="AO64" s="141">
        <v>0</v>
      </c>
      <c r="AP64" s="141">
        <v>0</v>
      </c>
      <c r="AQ64" s="141">
        <v>0</v>
      </c>
      <c r="AR64" s="141">
        <v>0</v>
      </c>
      <c r="AS64" s="141">
        <v>0</v>
      </c>
      <c r="AT64" s="141">
        <v>0</v>
      </c>
      <c r="AU64" s="144">
        <v>0</v>
      </c>
      <c r="AV64" s="143">
        <v>0</v>
      </c>
      <c r="AW64" s="141">
        <v>0</v>
      </c>
      <c r="AX64" s="141">
        <v>0</v>
      </c>
      <c r="AY64" s="141">
        <v>0</v>
      </c>
      <c r="AZ64" s="144">
        <v>0</v>
      </c>
      <c r="BA64" s="2629"/>
      <c r="BB64" s="545" t="s">
        <v>627</v>
      </c>
      <c r="BC64" s="868">
        <v>0</v>
      </c>
      <c r="BD64" s="545" t="s">
        <v>627</v>
      </c>
      <c r="BE64" s="868">
        <v>0</v>
      </c>
      <c r="BF64" s="545" t="s">
        <v>2233</v>
      </c>
      <c r="BG64" s="141">
        <v>0</v>
      </c>
      <c r="BH64" s="545" t="s">
        <v>2233</v>
      </c>
      <c r="BI64" s="141">
        <v>0</v>
      </c>
      <c r="BJ64" s="545" t="s">
        <v>2233</v>
      </c>
      <c r="BK64" s="141">
        <v>0</v>
      </c>
      <c r="BL64" s="545" t="s">
        <v>2233</v>
      </c>
      <c r="BM64" s="141">
        <v>0</v>
      </c>
      <c r="BN64" s="545" t="s">
        <v>2233</v>
      </c>
      <c r="BO64" s="141">
        <v>0</v>
      </c>
      <c r="BP64" s="2629"/>
      <c r="BQ64" s="545" t="s">
        <v>627</v>
      </c>
      <c r="BR64" s="868">
        <v>0</v>
      </c>
      <c r="BS64" s="545" t="s">
        <v>627</v>
      </c>
      <c r="BT64" s="868">
        <v>0</v>
      </c>
      <c r="BU64" s="545" t="s">
        <v>2233</v>
      </c>
      <c r="BV64" s="141">
        <v>0</v>
      </c>
      <c r="BW64" s="545" t="s">
        <v>2233</v>
      </c>
      <c r="BX64" s="141">
        <v>0</v>
      </c>
      <c r="BY64" s="545" t="s">
        <v>2233</v>
      </c>
      <c r="BZ64" s="141">
        <v>0</v>
      </c>
      <c r="CA64" s="545" t="s">
        <v>2233</v>
      </c>
      <c r="CB64" s="141">
        <v>0</v>
      </c>
      <c r="CC64" s="545" t="s">
        <v>2233</v>
      </c>
      <c r="CD64" s="144">
        <v>0</v>
      </c>
      <c r="CE64" s="2629"/>
      <c r="CF64" s="2629"/>
    </row>
    <row r="65" spans="1:84" s="98" customFormat="1" ht="15" customHeight="1">
      <c r="A65" s="99"/>
      <c r="B65" s="2687"/>
      <c r="C65" s="2688"/>
      <c r="D65" s="2688" t="s">
        <v>2707</v>
      </c>
      <c r="E65" s="2688"/>
      <c r="F65" s="2688"/>
      <c r="G65" s="2645"/>
      <c r="H65" s="2645"/>
      <c r="I65" s="607" t="s">
        <v>498</v>
      </c>
      <c r="J65" s="143">
        <v>0</v>
      </c>
      <c r="K65" s="141">
        <v>0</v>
      </c>
      <c r="L65" s="141">
        <v>0</v>
      </c>
      <c r="M65" s="141">
        <v>0</v>
      </c>
      <c r="N65" s="141">
        <v>0</v>
      </c>
      <c r="O65" s="141">
        <v>0</v>
      </c>
      <c r="P65" s="141">
        <v>0</v>
      </c>
      <c r="Q65" s="144">
        <v>0</v>
      </c>
      <c r="R65" s="143">
        <v>0</v>
      </c>
      <c r="S65" s="141">
        <v>0</v>
      </c>
      <c r="T65" s="141">
        <v>0</v>
      </c>
      <c r="U65" s="141">
        <v>0</v>
      </c>
      <c r="V65" s="144">
        <v>0</v>
      </c>
      <c r="W65" s="2629"/>
      <c r="X65" s="2503"/>
      <c r="Y65" s="2503"/>
      <c r="Z65" s="2503"/>
      <c r="AA65" s="2503"/>
      <c r="AB65" s="2503"/>
      <c r="AC65" s="2503"/>
      <c r="AD65" s="2503"/>
      <c r="AE65" s="2503"/>
      <c r="AF65" s="2503"/>
      <c r="AG65" s="2503"/>
      <c r="AH65" s="2503"/>
      <c r="AI65" s="2503"/>
      <c r="AJ65" s="2503"/>
      <c r="AK65" s="2503"/>
      <c r="AL65" s="2629"/>
      <c r="AM65" s="607" t="s">
        <v>2233</v>
      </c>
      <c r="AN65" s="143">
        <v>0</v>
      </c>
      <c r="AO65" s="141">
        <v>0</v>
      </c>
      <c r="AP65" s="141">
        <v>0</v>
      </c>
      <c r="AQ65" s="141">
        <v>0</v>
      </c>
      <c r="AR65" s="141">
        <v>0</v>
      </c>
      <c r="AS65" s="141">
        <v>0</v>
      </c>
      <c r="AT65" s="141">
        <v>0</v>
      </c>
      <c r="AU65" s="144">
        <v>0</v>
      </c>
      <c r="AV65" s="143">
        <v>0</v>
      </c>
      <c r="AW65" s="141">
        <v>0</v>
      </c>
      <c r="AX65" s="141">
        <v>0</v>
      </c>
      <c r="AY65" s="141">
        <v>0</v>
      </c>
      <c r="AZ65" s="144">
        <v>0</v>
      </c>
      <c r="BA65" s="2629"/>
      <c r="BB65" s="545" t="s">
        <v>627</v>
      </c>
      <c r="BC65" s="868">
        <v>0</v>
      </c>
      <c r="BD65" s="545" t="s">
        <v>627</v>
      </c>
      <c r="BE65" s="868">
        <v>0</v>
      </c>
      <c r="BF65" s="545" t="s">
        <v>2233</v>
      </c>
      <c r="BG65" s="141">
        <v>0</v>
      </c>
      <c r="BH65" s="545" t="s">
        <v>2233</v>
      </c>
      <c r="BI65" s="141">
        <v>0</v>
      </c>
      <c r="BJ65" s="545" t="s">
        <v>2233</v>
      </c>
      <c r="BK65" s="141">
        <v>0</v>
      </c>
      <c r="BL65" s="545" t="s">
        <v>2233</v>
      </c>
      <c r="BM65" s="141">
        <v>0</v>
      </c>
      <c r="BN65" s="545" t="s">
        <v>2233</v>
      </c>
      <c r="BO65" s="141">
        <v>0</v>
      </c>
      <c r="BP65" s="2629"/>
      <c r="BQ65" s="545" t="s">
        <v>627</v>
      </c>
      <c r="BR65" s="868">
        <v>0</v>
      </c>
      <c r="BS65" s="545" t="s">
        <v>627</v>
      </c>
      <c r="BT65" s="868">
        <v>0</v>
      </c>
      <c r="BU65" s="545" t="s">
        <v>2233</v>
      </c>
      <c r="BV65" s="141">
        <v>0</v>
      </c>
      <c r="BW65" s="545" t="s">
        <v>2233</v>
      </c>
      <c r="BX65" s="141">
        <v>0</v>
      </c>
      <c r="BY65" s="545" t="s">
        <v>2233</v>
      </c>
      <c r="BZ65" s="141">
        <v>0</v>
      </c>
      <c r="CA65" s="545" t="s">
        <v>2233</v>
      </c>
      <c r="CB65" s="141">
        <v>0</v>
      </c>
      <c r="CC65" s="545" t="s">
        <v>2233</v>
      </c>
      <c r="CD65" s="144">
        <v>0</v>
      </c>
      <c r="CE65" s="2629"/>
      <c r="CF65" s="2629"/>
    </row>
    <row r="66" spans="1:84" s="98" customFormat="1" ht="15" customHeight="1">
      <c r="A66" s="99"/>
      <c r="B66" s="2687"/>
      <c r="C66" s="2688"/>
      <c r="D66" s="2688" t="s">
        <v>2708</v>
      </c>
      <c r="E66" s="2688"/>
      <c r="F66" s="2688"/>
      <c r="G66" s="2645"/>
      <c r="H66" s="2645"/>
      <c r="I66" s="607" t="s">
        <v>498</v>
      </c>
      <c r="J66" s="143">
        <v>0</v>
      </c>
      <c r="K66" s="141">
        <v>0</v>
      </c>
      <c r="L66" s="141">
        <v>0</v>
      </c>
      <c r="M66" s="141">
        <v>0</v>
      </c>
      <c r="N66" s="141">
        <v>0</v>
      </c>
      <c r="O66" s="141">
        <v>0</v>
      </c>
      <c r="P66" s="141">
        <v>0</v>
      </c>
      <c r="Q66" s="144">
        <v>0</v>
      </c>
      <c r="R66" s="143">
        <v>0</v>
      </c>
      <c r="S66" s="141">
        <v>0</v>
      </c>
      <c r="T66" s="141">
        <v>0</v>
      </c>
      <c r="U66" s="141">
        <v>0</v>
      </c>
      <c r="V66" s="144">
        <v>0</v>
      </c>
      <c r="W66" s="2629"/>
      <c r="X66" s="2503"/>
      <c r="Y66" s="2503"/>
      <c r="Z66" s="2503"/>
      <c r="AA66" s="2503"/>
      <c r="AB66" s="2503"/>
      <c r="AC66" s="2503"/>
      <c r="AD66" s="2503"/>
      <c r="AE66" s="2503"/>
      <c r="AF66" s="2503"/>
      <c r="AG66" s="2503"/>
      <c r="AH66" s="2503"/>
      <c r="AI66" s="2503"/>
      <c r="AJ66" s="2503"/>
      <c r="AK66" s="2503"/>
      <c r="AL66" s="2629"/>
      <c r="AM66" s="607" t="s">
        <v>2233</v>
      </c>
      <c r="AN66" s="143">
        <v>0</v>
      </c>
      <c r="AO66" s="141">
        <v>0</v>
      </c>
      <c r="AP66" s="141">
        <v>0</v>
      </c>
      <c r="AQ66" s="141">
        <v>0</v>
      </c>
      <c r="AR66" s="141">
        <v>0</v>
      </c>
      <c r="AS66" s="141">
        <v>0</v>
      </c>
      <c r="AT66" s="141">
        <v>0</v>
      </c>
      <c r="AU66" s="144">
        <v>0</v>
      </c>
      <c r="AV66" s="143">
        <v>0</v>
      </c>
      <c r="AW66" s="141">
        <v>0</v>
      </c>
      <c r="AX66" s="141">
        <v>0</v>
      </c>
      <c r="AY66" s="141">
        <v>0</v>
      </c>
      <c r="AZ66" s="144">
        <v>0</v>
      </c>
      <c r="BA66" s="2629"/>
      <c r="BB66" s="545" t="s">
        <v>627</v>
      </c>
      <c r="BC66" s="868">
        <v>0</v>
      </c>
      <c r="BD66" s="545" t="s">
        <v>627</v>
      </c>
      <c r="BE66" s="868">
        <v>0</v>
      </c>
      <c r="BF66" s="545" t="s">
        <v>2233</v>
      </c>
      <c r="BG66" s="141">
        <v>0</v>
      </c>
      <c r="BH66" s="545" t="s">
        <v>2233</v>
      </c>
      <c r="BI66" s="141">
        <v>0</v>
      </c>
      <c r="BJ66" s="545" t="s">
        <v>2233</v>
      </c>
      <c r="BK66" s="141">
        <v>0</v>
      </c>
      <c r="BL66" s="545" t="s">
        <v>2233</v>
      </c>
      <c r="BM66" s="141">
        <v>0</v>
      </c>
      <c r="BN66" s="545" t="s">
        <v>2233</v>
      </c>
      <c r="BO66" s="141">
        <v>0</v>
      </c>
      <c r="BP66" s="2629"/>
      <c r="BQ66" s="545" t="s">
        <v>627</v>
      </c>
      <c r="BR66" s="868">
        <v>0</v>
      </c>
      <c r="BS66" s="545" t="s">
        <v>627</v>
      </c>
      <c r="BT66" s="868">
        <v>0</v>
      </c>
      <c r="BU66" s="545" t="s">
        <v>2233</v>
      </c>
      <c r="BV66" s="141">
        <v>0</v>
      </c>
      <c r="BW66" s="545" t="s">
        <v>2233</v>
      </c>
      <c r="BX66" s="141">
        <v>0</v>
      </c>
      <c r="BY66" s="545" t="s">
        <v>2233</v>
      </c>
      <c r="BZ66" s="141">
        <v>0</v>
      </c>
      <c r="CA66" s="545" t="s">
        <v>2233</v>
      </c>
      <c r="CB66" s="141">
        <v>0</v>
      </c>
      <c r="CC66" s="545" t="s">
        <v>2233</v>
      </c>
      <c r="CD66" s="144">
        <v>0</v>
      </c>
      <c r="CE66" s="2629"/>
      <c r="CF66" s="2629"/>
    </row>
    <row r="67" spans="1:84" s="98" customFormat="1" ht="15" customHeight="1">
      <c r="A67" s="99"/>
      <c r="B67" s="2687"/>
      <c r="C67" s="2688" t="s">
        <v>1710</v>
      </c>
      <c r="D67" s="2688"/>
      <c r="E67" s="2688"/>
      <c r="F67" s="2688"/>
      <c r="G67" s="2645"/>
      <c r="H67" s="2645"/>
      <c r="I67" s="607" t="s">
        <v>498</v>
      </c>
      <c r="J67" s="641">
        <f>SUM(J59:J66)</f>
        <v>0</v>
      </c>
      <c r="K67" s="642">
        <f t="shared" ref="K67:V67" si="15">SUM(K59:K66)</f>
        <v>0</v>
      </c>
      <c r="L67" s="642">
        <f t="shared" si="15"/>
        <v>0</v>
      </c>
      <c r="M67" s="642">
        <f t="shared" si="15"/>
        <v>0</v>
      </c>
      <c r="N67" s="642">
        <f t="shared" si="15"/>
        <v>0</v>
      </c>
      <c r="O67" s="642">
        <f t="shared" si="15"/>
        <v>0</v>
      </c>
      <c r="P67" s="642">
        <f t="shared" si="15"/>
        <v>0</v>
      </c>
      <c r="Q67" s="643">
        <f t="shared" si="15"/>
        <v>0</v>
      </c>
      <c r="R67" s="641">
        <f t="shared" si="15"/>
        <v>0</v>
      </c>
      <c r="S67" s="642">
        <f t="shared" si="15"/>
        <v>0</v>
      </c>
      <c r="T67" s="642">
        <f t="shared" si="15"/>
        <v>0</v>
      </c>
      <c r="U67" s="642">
        <f t="shared" si="15"/>
        <v>0</v>
      </c>
      <c r="V67" s="643">
        <f t="shared" si="15"/>
        <v>0</v>
      </c>
      <c r="W67" s="2629"/>
      <c r="X67" s="2503"/>
      <c r="Y67" s="2503"/>
      <c r="Z67" s="2503"/>
      <c r="AA67" s="2503"/>
      <c r="AB67" s="2503"/>
      <c r="AC67" s="2503"/>
      <c r="AD67" s="2503"/>
      <c r="AE67" s="2503"/>
      <c r="AF67" s="2503"/>
      <c r="AG67" s="2503"/>
      <c r="AH67" s="2503"/>
      <c r="AI67" s="2503"/>
      <c r="AJ67" s="2503"/>
      <c r="AK67" s="2503"/>
      <c r="AL67" s="2629"/>
      <c r="AM67" s="607" t="s">
        <v>2233</v>
      </c>
      <c r="AN67" s="641">
        <f>SUM(AN59:AN66)</f>
        <v>0</v>
      </c>
      <c r="AO67" s="642">
        <f t="shared" ref="AO67:AZ67" si="16">SUM(AO59:AO66)</f>
        <v>0</v>
      </c>
      <c r="AP67" s="642">
        <f t="shared" si="16"/>
        <v>0</v>
      </c>
      <c r="AQ67" s="642">
        <f t="shared" si="16"/>
        <v>0</v>
      </c>
      <c r="AR67" s="642">
        <f t="shared" si="16"/>
        <v>0</v>
      </c>
      <c r="AS67" s="642">
        <f t="shared" si="16"/>
        <v>0</v>
      </c>
      <c r="AT67" s="642">
        <f t="shared" si="16"/>
        <v>0</v>
      </c>
      <c r="AU67" s="643">
        <f t="shared" si="16"/>
        <v>0</v>
      </c>
      <c r="AV67" s="641">
        <f t="shared" si="16"/>
        <v>0</v>
      </c>
      <c r="AW67" s="642">
        <f t="shared" si="16"/>
        <v>0</v>
      </c>
      <c r="AX67" s="642">
        <f t="shared" si="16"/>
        <v>0</v>
      </c>
      <c r="AY67" s="642">
        <f t="shared" si="16"/>
        <v>0</v>
      </c>
      <c r="AZ67" s="643">
        <f t="shared" si="16"/>
        <v>0</v>
      </c>
      <c r="BA67" s="2629"/>
      <c r="BB67" s="542"/>
      <c r="BC67" s="542"/>
      <c r="BD67" s="542"/>
      <c r="BE67" s="542"/>
      <c r="BF67" s="545" t="s">
        <v>2233</v>
      </c>
      <c r="BG67" s="642">
        <f>SUM(BG59:BG66)</f>
        <v>0</v>
      </c>
      <c r="BH67" s="545" t="s">
        <v>2233</v>
      </c>
      <c r="BI67" s="642">
        <f>SUM(BI59:BI66)</f>
        <v>0</v>
      </c>
      <c r="BJ67" s="545" t="s">
        <v>2233</v>
      </c>
      <c r="BK67" s="642">
        <f>SUM(BK59:BK66)</f>
        <v>0</v>
      </c>
      <c r="BL67" s="545" t="s">
        <v>2233</v>
      </c>
      <c r="BM67" s="642">
        <f>SUM(BM59:BM66)</f>
        <v>0</v>
      </c>
      <c r="BN67" s="545" t="s">
        <v>2233</v>
      </c>
      <c r="BO67" s="642">
        <f>SUM(BO59:BO66)</f>
        <v>0</v>
      </c>
      <c r="BP67" s="2629"/>
      <c r="BQ67" s="542"/>
      <c r="BR67" s="542"/>
      <c r="BS67" s="542"/>
      <c r="BT67" s="542"/>
      <c r="BU67" s="545" t="s">
        <v>2233</v>
      </c>
      <c r="BV67" s="642">
        <f>SUM(BV59:BV66)</f>
        <v>0</v>
      </c>
      <c r="BW67" s="545" t="s">
        <v>2233</v>
      </c>
      <c r="BX67" s="642">
        <f>SUM(BX59:BX66)</f>
        <v>0</v>
      </c>
      <c r="BY67" s="545" t="s">
        <v>2233</v>
      </c>
      <c r="BZ67" s="642">
        <f>SUM(BZ59:BZ66)</f>
        <v>0</v>
      </c>
      <c r="CA67" s="545" t="s">
        <v>2233</v>
      </c>
      <c r="CB67" s="642">
        <f>SUM(CB59:CB66)</f>
        <v>0</v>
      </c>
      <c r="CC67" s="545" t="s">
        <v>2233</v>
      </c>
      <c r="CD67" s="643">
        <f>SUM(CD59:CD66)</f>
        <v>0</v>
      </c>
      <c r="CE67" s="2629"/>
      <c r="CF67" s="2629"/>
    </row>
    <row r="68" spans="1:84" s="98" customFormat="1" ht="15" customHeight="1">
      <c r="A68" s="99"/>
      <c r="B68" s="123"/>
      <c r="C68" s="2686"/>
      <c r="D68" s="2686"/>
      <c r="E68" s="2686"/>
      <c r="F68" s="2686"/>
      <c r="G68" s="94"/>
      <c r="H68" s="94"/>
      <c r="I68" s="94"/>
      <c r="J68" s="713"/>
      <c r="K68" s="2649"/>
      <c r="L68" s="2649"/>
      <c r="M68" s="2649"/>
      <c r="N68" s="2649"/>
      <c r="O68" s="2649"/>
      <c r="P68" s="2649"/>
      <c r="Q68" s="715"/>
      <c r="R68" s="713"/>
      <c r="S68" s="2649"/>
      <c r="T68" s="2649"/>
      <c r="U68" s="2649"/>
      <c r="V68" s="715"/>
      <c r="W68" s="2629"/>
      <c r="X68" s="2503"/>
      <c r="Y68" s="2503"/>
      <c r="Z68" s="2503"/>
      <c r="AA68" s="2503"/>
      <c r="AB68" s="2503"/>
      <c r="AC68" s="2503"/>
      <c r="AD68" s="2503"/>
      <c r="AE68" s="2503"/>
      <c r="AF68" s="2503"/>
      <c r="AG68" s="2503"/>
      <c r="AH68" s="2503"/>
      <c r="AI68" s="2503"/>
      <c r="AJ68" s="2503"/>
      <c r="AK68" s="2503"/>
      <c r="AL68" s="2629"/>
      <c r="AM68" s="94"/>
      <c r="AN68" s="713"/>
      <c r="AO68" s="2649"/>
      <c r="AP68" s="2649"/>
      <c r="AQ68" s="2649"/>
      <c r="AR68" s="2649"/>
      <c r="AS68" s="2649"/>
      <c r="AT68" s="2649"/>
      <c r="AU68" s="715"/>
      <c r="AV68" s="713"/>
      <c r="AW68" s="2649"/>
      <c r="AX68" s="2649"/>
      <c r="AY68" s="2649"/>
      <c r="AZ68" s="715"/>
      <c r="BA68" s="2629"/>
      <c r="BB68" s="542"/>
      <c r="BC68" s="542"/>
      <c r="BD68" s="542"/>
      <c r="BE68" s="542"/>
      <c r="BF68" s="542"/>
      <c r="BG68" s="542"/>
      <c r="BH68" s="542"/>
      <c r="BI68" s="542"/>
      <c r="BJ68" s="542"/>
      <c r="BK68" s="542"/>
      <c r="BL68" s="542"/>
      <c r="BM68" s="542"/>
      <c r="BN68" s="542"/>
      <c r="BO68" s="542"/>
      <c r="BP68" s="2629"/>
      <c r="BQ68" s="542"/>
      <c r="BR68" s="542"/>
      <c r="BS68" s="542"/>
      <c r="BT68" s="542"/>
      <c r="BU68" s="542"/>
      <c r="BV68" s="542"/>
      <c r="BW68" s="542"/>
      <c r="BX68" s="542"/>
      <c r="BY68" s="542"/>
      <c r="BZ68" s="542"/>
      <c r="CA68" s="542"/>
      <c r="CB68" s="542"/>
      <c r="CC68" s="542"/>
      <c r="CD68" s="544"/>
      <c r="CE68" s="2629"/>
      <c r="CF68" s="2629"/>
    </row>
    <row r="69" spans="1:84" s="98" customFormat="1" ht="15" customHeight="1">
      <c r="A69" s="99"/>
      <c r="B69" s="2687"/>
      <c r="C69" s="2685" t="s">
        <v>2670</v>
      </c>
      <c r="D69" s="2685"/>
      <c r="E69" s="2685"/>
      <c r="F69" s="2685"/>
      <c r="G69" s="94"/>
      <c r="H69" s="94"/>
      <c r="I69" s="94"/>
      <c r="J69" s="713"/>
      <c r="K69" s="2649"/>
      <c r="L69" s="2649"/>
      <c r="M69" s="2649"/>
      <c r="N69" s="2649"/>
      <c r="O69" s="2649"/>
      <c r="P69" s="2649"/>
      <c r="Q69" s="715"/>
      <c r="R69" s="713"/>
      <c r="S69" s="2649"/>
      <c r="T69" s="2649"/>
      <c r="U69" s="2649"/>
      <c r="V69" s="715"/>
      <c r="W69" s="2629"/>
      <c r="X69" s="2503"/>
      <c r="Y69" s="2503"/>
      <c r="Z69" s="2503"/>
      <c r="AA69" s="2503"/>
      <c r="AB69" s="2503"/>
      <c r="AC69" s="2503"/>
      <c r="AD69" s="2503"/>
      <c r="AE69" s="2503"/>
      <c r="AF69" s="2503"/>
      <c r="AG69" s="2503"/>
      <c r="AH69" s="2503"/>
      <c r="AI69" s="2503"/>
      <c r="AJ69" s="2503"/>
      <c r="AK69" s="2503"/>
      <c r="AL69" s="2629"/>
      <c r="AM69" s="94"/>
      <c r="AN69" s="713"/>
      <c r="AO69" s="2649"/>
      <c r="AP69" s="2649"/>
      <c r="AQ69" s="2649"/>
      <c r="AR69" s="2649"/>
      <c r="AS69" s="2649"/>
      <c r="AT69" s="2649"/>
      <c r="AU69" s="715"/>
      <c r="AV69" s="713"/>
      <c r="AW69" s="2649"/>
      <c r="AX69" s="2649"/>
      <c r="AY69" s="2649"/>
      <c r="AZ69" s="715"/>
      <c r="BA69" s="2629"/>
      <c r="BB69" s="542"/>
      <c r="BC69" s="542"/>
      <c r="BD69" s="542"/>
      <c r="BE69" s="542"/>
      <c r="BF69" s="542"/>
      <c r="BG69" s="542"/>
      <c r="BH69" s="542"/>
      <c r="BI69" s="542"/>
      <c r="BJ69" s="542"/>
      <c r="BK69" s="542"/>
      <c r="BL69" s="542"/>
      <c r="BM69" s="542"/>
      <c r="BN69" s="542"/>
      <c r="BO69" s="542"/>
      <c r="BP69" s="2629"/>
      <c r="BQ69" s="542"/>
      <c r="BR69" s="542"/>
      <c r="BS69" s="542"/>
      <c r="BT69" s="542"/>
      <c r="BU69" s="542"/>
      <c r="BV69" s="542"/>
      <c r="BW69" s="542"/>
      <c r="BX69" s="542"/>
      <c r="BY69" s="542"/>
      <c r="BZ69" s="542"/>
      <c r="CA69" s="542"/>
      <c r="CB69" s="542"/>
      <c r="CC69" s="542"/>
      <c r="CD69" s="544"/>
      <c r="CE69" s="2629"/>
      <c r="CF69" s="2629"/>
    </row>
    <row r="70" spans="1:84" s="98" customFormat="1" ht="15" customHeight="1">
      <c r="A70" s="99"/>
      <c r="B70" s="2687"/>
      <c r="C70" s="2688"/>
      <c r="D70" s="2688" t="s">
        <v>2701</v>
      </c>
      <c r="E70" s="2688"/>
      <c r="F70" s="2688"/>
      <c r="G70" s="2645"/>
      <c r="H70" s="2645"/>
      <c r="I70" s="607" t="s">
        <v>498</v>
      </c>
      <c r="J70" s="143">
        <v>6.7105759402316986E-2</v>
      </c>
      <c r="K70" s="141">
        <v>2.4484643398351436E-2</v>
      </c>
      <c r="L70" s="141">
        <v>0.18939117680749704</v>
      </c>
      <c r="M70" s="141">
        <v>0.10221421356374519</v>
      </c>
      <c r="N70" s="141">
        <v>0.24993544987449473</v>
      </c>
      <c r="O70" s="141">
        <v>0.11867412368227696</v>
      </c>
      <c r="P70" s="141">
        <v>0</v>
      </c>
      <c r="Q70" s="144">
        <v>0</v>
      </c>
      <c r="R70" s="143">
        <v>0</v>
      </c>
      <c r="S70" s="141">
        <v>0</v>
      </c>
      <c r="T70" s="141">
        <v>0</v>
      </c>
      <c r="U70" s="141">
        <v>0</v>
      </c>
      <c r="V70" s="144">
        <v>0</v>
      </c>
      <c r="W70" s="2629"/>
      <c r="X70" s="2503"/>
      <c r="Y70" s="2503"/>
      <c r="Z70" s="2503"/>
      <c r="AA70" s="2503"/>
      <c r="AB70" s="2503"/>
      <c r="AC70" s="2503"/>
      <c r="AD70" s="2503"/>
      <c r="AE70" s="2503"/>
      <c r="AF70" s="2503"/>
      <c r="AG70" s="2503"/>
      <c r="AH70" s="2503"/>
      <c r="AI70" s="2503"/>
      <c r="AJ70" s="2503"/>
      <c r="AK70" s="2503"/>
      <c r="AL70" s="2629"/>
      <c r="AM70" s="607" t="s">
        <v>2233</v>
      </c>
      <c r="AN70" s="143">
        <v>0.14099999999999999</v>
      </c>
      <c r="AO70" s="141">
        <v>7.8E-2</v>
      </c>
      <c r="AP70" s="141">
        <v>0.90949999999999998</v>
      </c>
      <c r="AQ70" s="141">
        <v>0.42799999999999999</v>
      </c>
      <c r="AR70" s="141">
        <v>0.46600000000000003</v>
      </c>
      <c r="AS70" s="141">
        <v>0.371</v>
      </c>
      <c r="AT70" s="141">
        <v>0</v>
      </c>
      <c r="AU70" s="144">
        <v>0</v>
      </c>
      <c r="AV70" s="143">
        <v>0</v>
      </c>
      <c r="AW70" s="141">
        <v>0</v>
      </c>
      <c r="AX70" s="141">
        <v>0</v>
      </c>
      <c r="AY70" s="141">
        <v>0</v>
      </c>
      <c r="AZ70" s="144">
        <v>0</v>
      </c>
      <c r="BA70" s="2629"/>
      <c r="BB70" s="545" t="s">
        <v>627</v>
      </c>
      <c r="BC70" s="868">
        <v>0</v>
      </c>
      <c r="BD70" s="545" t="s">
        <v>627</v>
      </c>
      <c r="BE70" s="868">
        <v>0</v>
      </c>
      <c r="BF70" s="545" t="s">
        <v>2233</v>
      </c>
      <c r="BG70" s="141">
        <v>2.3341460016717747E-3</v>
      </c>
      <c r="BH70" s="545" t="s">
        <v>2233</v>
      </c>
      <c r="BI70" s="141">
        <v>0</v>
      </c>
      <c r="BJ70" s="545" t="s">
        <v>2233</v>
      </c>
      <c r="BK70" s="141">
        <v>0.58931629051732137</v>
      </c>
      <c r="BL70" s="545" t="s">
        <v>2233</v>
      </c>
      <c r="BM70" s="141">
        <v>0.74281417757964141</v>
      </c>
      <c r="BN70" s="545" t="s">
        <v>2233</v>
      </c>
      <c r="BO70" s="141">
        <v>1.0590353859013653</v>
      </c>
      <c r="BP70" s="2629"/>
      <c r="BQ70" s="545" t="s">
        <v>627</v>
      </c>
      <c r="BR70" s="868">
        <v>0</v>
      </c>
      <c r="BS70" s="545" t="s">
        <v>627</v>
      </c>
      <c r="BT70" s="868">
        <v>0</v>
      </c>
      <c r="BU70" s="545" t="s">
        <v>2233</v>
      </c>
      <c r="BV70" s="141">
        <v>0</v>
      </c>
      <c r="BW70" s="545" t="s">
        <v>2233</v>
      </c>
      <c r="BX70" s="141">
        <v>0</v>
      </c>
      <c r="BY70" s="545" t="s">
        <v>2233</v>
      </c>
      <c r="BZ70" s="141">
        <v>0</v>
      </c>
      <c r="CA70" s="545" t="s">
        <v>2233</v>
      </c>
      <c r="CB70" s="141">
        <v>0</v>
      </c>
      <c r="CC70" s="545" t="s">
        <v>2233</v>
      </c>
      <c r="CD70" s="144">
        <v>0</v>
      </c>
      <c r="CE70" s="2629"/>
      <c r="CF70" s="2629"/>
    </row>
    <row r="71" spans="1:84" s="98" customFormat="1" ht="15" customHeight="1">
      <c r="A71" s="99"/>
      <c r="B71" s="2687"/>
      <c r="C71" s="2688"/>
      <c r="D71" s="2688" t="s">
        <v>2702</v>
      </c>
      <c r="E71" s="2688"/>
      <c r="F71" s="2688"/>
      <c r="G71" s="2645"/>
      <c r="H71" s="2645"/>
      <c r="I71" s="607" t="s">
        <v>498</v>
      </c>
      <c r="J71" s="143">
        <v>1.8248014550130962E-2</v>
      </c>
      <c r="K71" s="141">
        <v>1.7363697879414101E-2</v>
      </c>
      <c r="L71" s="141">
        <v>6.195693295962381E-2</v>
      </c>
      <c r="M71" s="141">
        <v>8.7602423287361328E-2</v>
      </c>
      <c r="N71" s="141">
        <v>1.4653311330514748E-3</v>
      </c>
      <c r="O71" s="141">
        <v>0.10682518431968975</v>
      </c>
      <c r="P71" s="141">
        <v>0</v>
      </c>
      <c r="Q71" s="144">
        <v>0</v>
      </c>
      <c r="R71" s="143">
        <v>0</v>
      </c>
      <c r="S71" s="141">
        <v>0</v>
      </c>
      <c r="T71" s="141">
        <v>0</v>
      </c>
      <c r="U71" s="141">
        <v>0</v>
      </c>
      <c r="V71" s="144">
        <v>0</v>
      </c>
      <c r="W71" s="2629"/>
      <c r="X71" s="2503"/>
      <c r="Y71" s="2503"/>
      <c r="Z71" s="2503"/>
      <c r="AA71" s="2503"/>
      <c r="AB71" s="2503"/>
      <c r="AC71" s="2503"/>
      <c r="AD71" s="2503"/>
      <c r="AE71" s="2503"/>
      <c r="AF71" s="2503"/>
      <c r="AG71" s="2503"/>
      <c r="AH71" s="2503"/>
      <c r="AI71" s="2503"/>
      <c r="AJ71" s="2503"/>
      <c r="AK71" s="2503"/>
      <c r="AL71" s="2629"/>
      <c r="AM71" s="607" t="s">
        <v>2233</v>
      </c>
      <c r="AN71" s="143">
        <v>5.2999999999999999E-2</v>
      </c>
      <c r="AO71" s="141">
        <v>3.9E-2</v>
      </c>
      <c r="AP71" s="141">
        <v>0.111</v>
      </c>
      <c r="AQ71" s="141">
        <v>0.19900000000000001</v>
      </c>
      <c r="AR71" s="141">
        <v>2E-3</v>
      </c>
      <c r="AS71" s="141">
        <v>0.28000000000000003</v>
      </c>
      <c r="AT71" s="141">
        <v>0</v>
      </c>
      <c r="AU71" s="144">
        <v>0</v>
      </c>
      <c r="AV71" s="143">
        <v>0</v>
      </c>
      <c r="AW71" s="141">
        <v>0</v>
      </c>
      <c r="AX71" s="141">
        <v>0</v>
      </c>
      <c r="AY71" s="141">
        <v>0</v>
      </c>
      <c r="AZ71" s="144">
        <v>0</v>
      </c>
      <c r="BA71" s="2629"/>
      <c r="BB71" s="545" t="s">
        <v>627</v>
      </c>
      <c r="BC71" s="868">
        <v>0</v>
      </c>
      <c r="BD71" s="545" t="s">
        <v>627</v>
      </c>
      <c r="BE71" s="868">
        <v>0</v>
      </c>
      <c r="BF71" s="545" t="s">
        <v>2233</v>
      </c>
      <c r="BG71" s="141">
        <v>6.6703817219281145E-4</v>
      </c>
      <c r="BH71" s="545" t="s">
        <v>2233</v>
      </c>
      <c r="BI71" s="141">
        <v>0</v>
      </c>
      <c r="BJ71" s="545" t="s">
        <v>2233</v>
      </c>
      <c r="BK71" s="141">
        <v>0.16841125661744219</v>
      </c>
      <c r="BL71" s="545" t="s">
        <v>2233</v>
      </c>
      <c r="BM71" s="141">
        <v>0.21227695736974087</v>
      </c>
      <c r="BN71" s="545" t="s">
        <v>2233</v>
      </c>
      <c r="BO71" s="141">
        <v>0.30264474784062417</v>
      </c>
      <c r="BP71" s="2629"/>
      <c r="BQ71" s="545" t="s">
        <v>627</v>
      </c>
      <c r="BR71" s="868">
        <v>0</v>
      </c>
      <c r="BS71" s="545" t="s">
        <v>627</v>
      </c>
      <c r="BT71" s="868">
        <v>0</v>
      </c>
      <c r="BU71" s="545" t="s">
        <v>2233</v>
      </c>
      <c r="BV71" s="141">
        <v>0</v>
      </c>
      <c r="BW71" s="545" t="s">
        <v>2233</v>
      </c>
      <c r="BX71" s="141">
        <v>0</v>
      </c>
      <c r="BY71" s="545" t="s">
        <v>2233</v>
      </c>
      <c r="BZ71" s="141">
        <v>0</v>
      </c>
      <c r="CA71" s="545" t="s">
        <v>2233</v>
      </c>
      <c r="CB71" s="141">
        <v>0</v>
      </c>
      <c r="CC71" s="545" t="s">
        <v>2233</v>
      </c>
      <c r="CD71" s="144">
        <v>0</v>
      </c>
      <c r="CE71" s="2629"/>
      <c r="CF71" s="2629"/>
    </row>
    <row r="72" spans="1:84" s="98" customFormat="1" ht="15" customHeight="1">
      <c r="A72" s="99"/>
      <c r="B72" s="2687"/>
      <c r="C72" s="2688"/>
      <c r="D72" s="2688" t="s">
        <v>2703</v>
      </c>
      <c r="E72" s="2688"/>
      <c r="F72" s="2688"/>
      <c r="G72" s="2645"/>
      <c r="H72" s="2645"/>
      <c r="I72" s="607" t="s">
        <v>498</v>
      </c>
      <c r="J72" s="143">
        <v>1.8788261606482073E-2</v>
      </c>
      <c r="K72" s="141">
        <v>0</v>
      </c>
      <c r="L72" s="141">
        <v>0.21994829205062688</v>
      </c>
      <c r="M72" s="141">
        <v>6.832378653619893E-2</v>
      </c>
      <c r="N72" s="141">
        <v>2.115527971260631E-2</v>
      </c>
      <c r="O72" s="141">
        <v>0</v>
      </c>
      <c r="P72" s="141">
        <v>0</v>
      </c>
      <c r="Q72" s="144">
        <v>0</v>
      </c>
      <c r="R72" s="143">
        <v>0</v>
      </c>
      <c r="S72" s="141">
        <v>0</v>
      </c>
      <c r="T72" s="141">
        <v>0</v>
      </c>
      <c r="U72" s="141">
        <v>0</v>
      </c>
      <c r="V72" s="144">
        <v>0</v>
      </c>
      <c r="W72" s="2629"/>
      <c r="X72" s="2503"/>
      <c r="Y72" s="2503"/>
      <c r="Z72" s="2503"/>
      <c r="AA72" s="2503"/>
      <c r="AB72" s="2503"/>
      <c r="AC72" s="2503"/>
      <c r="AD72" s="2503"/>
      <c r="AE72" s="2503"/>
      <c r="AF72" s="2503"/>
      <c r="AG72" s="2503"/>
      <c r="AH72" s="2503"/>
      <c r="AI72" s="2503"/>
      <c r="AJ72" s="2503"/>
      <c r="AK72" s="2503"/>
      <c r="AL72" s="2629"/>
      <c r="AM72" s="607" t="s">
        <v>2233</v>
      </c>
      <c r="AN72" s="143">
        <v>3.0499999999999999E-2</v>
      </c>
      <c r="AO72" s="141">
        <v>0</v>
      </c>
      <c r="AP72" s="141">
        <v>0.2424</v>
      </c>
      <c r="AQ72" s="141">
        <v>0.18</v>
      </c>
      <c r="AR72" s="141">
        <v>2.1999999999999999E-2</v>
      </c>
      <c r="AS72" s="141"/>
      <c r="AT72" s="141">
        <v>0</v>
      </c>
      <c r="AU72" s="144">
        <v>0</v>
      </c>
      <c r="AV72" s="143">
        <v>0</v>
      </c>
      <c r="AW72" s="141">
        <v>0</v>
      </c>
      <c r="AX72" s="141">
        <v>0</v>
      </c>
      <c r="AY72" s="141">
        <v>0</v>
      </c>
      <c r="AZ72" s="144">
        <v>0</v>
      </c>
      <c r="BA72" s="2629"/>
      <c r="BB72" s="545" t="s">
        <v>627</v>
      </c>
      <c r="BC72" s="868">
        <v>0</v>
      </c>
      <c r="BD72" s="545" t="s">
        <v>627</v>
      </c>
      <c r="BE72" s="868">
        <v>0</v>
      </c>
      <c r="BF72" s="545" t="s">
        <v>2233</v>
      </c>
      <c r="BG72" s="141">
        <v>4.6312343271106161E-4</v>
      </c>
      <c r="BH72" s="545" t="s">
        <v>2233</v>
      </c>
      <c r="BI72" s="141">
        <v>0</v>
      </c>
      <c r="BJ72" s="545" t="s">
        <v>2233</v>
      </c>
      <c r="BK72" s="141">
        <v>0.11692764001114517</v>
      </c>
      <c r="BL72" s="545" t="s">
        <v>2233</v>
      </c>
      <c r="BM72" s="141">
        <v>0.1473835190860964</v>
      </c>
      <c r="BN72" s="545" t="s">
        <v>2233</v>
      </c>
      <c r="BO72" s="141">
        <v>0.21012571747004738</v>
      </c>
      <c r="BP72" s="2629"/>
      <c r="BQ72" s="545" t="s">
        <v>627</v>
      </c>
      <c r="BR72" s="868">
        <v>0</v>
      </c>
      <c r="BS72" s="545" t="s">
        <v>627</v>
      </c>
      <c r="BT72" s="868">
        <v>0</v>
      </c>
      <c r="BU72" s="545" t="s">
        <v>2233</v>
      </c>
      <c r="BV72" s="141">
        <v>0</v>
      </c>
      <c r="BW72" s="545" t="s">
        <v>2233</v>
      </c>
      <c r="BX72" s="141">
        <v>0</v>
      </c>
      <c r="BY72" s="545" t="s">
        <v>2233</v>
      </c>
      <c r="BZ72" s="141">
        <v>0</v>
      </c>
      <c r="CA72" s="545" t="s">
        <v>2233</v>
      </c>
      <c r="CB72" s="141">
        <v>0</v>
      </c>
      <c r="CC72" s="545" t="s">
        <v>2233</v>
      </c>
      <c r="CD72" s="144">
        <v>0</v>
      </c>
      <c r="CE72" s="2629"/>
      <c r="CF72" s="2629"/>
    </row>
    <row r="73" spans="1:84" s="98" customFormat="1" ht="15" customHeight="1">
      <c r="A73" s="99"/>
      <c r="B73" s="2687"/>
      <c r="C73" s="2688"/>
      <c r="D73" s="2688" t="s">
        <v>2704</v>
      </c>
      <c r="E73" s="2688"/>
      <c r="F73" s="2688"/>
      <c r="G73" s="2645"/>
      <c r="H73" s="2645"/>
      <c r="I73" s="607" t="s">
        <v>498</v>
      </c>
      <c r="J73" s="143">
        <v>0</v>
      </c>
      <c r="K73" s="141">
        <v>0</v>
      </c>
      <c r="L73" s="141">
        <v>0</v>
      </c>
      <c r="M73" s="141">
        <v>0</v>
      </c>
      <c r="N73" s="141">
        <v>0</v>
      </c>
      <c r="O73" s="141">
        <v>0</v>
      </c>
      <c r="P73" s="141">
        <v>0</v>
      </c>
      <c r="Q73" s="144">
        <v>0</v>
      </c>
      <c r="R73" s="143">
        <v>0</v>
      </c>
      <c r="S73" s="141">
        <v>0</v>
      </c>
      <c r="T73" s="141">
        <v>0</v>
      </c>
      <c r="U73" s="141">
        <v>0</v>
      </c>
      <c r="V73" s="144">
        <v>0</v>
      </c>
      <c r="W73" s="2629"/>
      <c r="X73" s="2503"/>
      <c r="Y73" s="2503"/>
      <c r="Z73" s="2503"/>
      <c r="AA73" s="2503"/>
      <c r="AB73" s="2503"/>
      <c r="AC73" s="2503"/>
      <c r="AD73" s="2503"/>
      <c r="AE73" s="2503"/>
      <c r="AF73" s="2503"/>
      <c r="AG73" s="2503"/>
      <c r="AH73" s="2503"/>
      <c r="AI73" s="2503"/>
      <c r="AJ73" s="2503"/>
      <c r="AK73" s="2503"/>
      <c r="AL73" s="2629"/>
      <c r="AM73" s="607" t="s">
        <v>2233</v>
      </c>
      <c r="AN73" s="143">
        <v>0</v>
      </c>
      <c r="AO73" s="141">
        <v>0</v>
      </c>
      <c r="AP73" s="141">
        <v>0</v>
      </c>
      <c r="AQ73" s="141">
        <v>0</v>
      </c>
      <c r="AR73" s="141">
        <v>0</v>
      </c>
      <c r="AS73" s="141"/>
      <c r="AT73" s="141">
        <v>0</v>
      </c>
      <c r="AU73" s="144">
        <v>0</v>
      </c>
      <c r="AV73" s="143">
        <v>0</v>
      </c>
      <c r="AW73" s="141">
        <v>0</v>
      </c>
      <c r="AX73" s="141">
        <v>0</v>
      </c>
      <c r="AY73" s="141">
        <v>0</v>
      </c>
      <c r="AZ73" s="144">
        <v>0</v>
      </c>
      <c r="BA73" s="2629"/>
      <c r="BB73" s="545" t="s">
        <v>627</v>
      </c>
      <c r="BC73" s="868">
        <v>0</v>
      </c>
      <c r="BD73" s="545" t="s">
        <v>627</v>
      </c>
      <c r="BE73" s="868">
        <v>0</v>
      </c>
      <c r="BF73" s="545" t="s">
        <v>2233</v>
      </c>
      <c r="BG73" s="141">
        <v>0</v>
      </c>
      <c r="BH73" s="545" t="s">
        <v>2233</v>
      </c>
      <c r="BI73" s="141">
        <v>0</v>
      </c>
      <c r="BJ73" s="545" t="s">
        <v>2233</v>
      </c>
      <c r="BK73" s="141">
        <v>0</v>
      </c>
      <c r="BL73" s="545" t="s">
        <v>2233</v>
      </c>
      <c r="BM73" s="141">
        <v>0</v>
      </c>
      <c r="BN73" s="545" t="s">
        <v>2233</v>
      </c>
      <c r="BO73" s="141">
        <v>0</v>
      </c>
      <c r="BP73" s="2629"/>
      <c r="BQ73" s="545" t="s">
        <v>627</v>
      </c>
      <c r="BR73" s="868">
        <v>0</v>
      </c>
      <c r="BS73" s="545" t="s">
        <v>627</v>
      </c>
      <c r="BT73" s="868">
        <v>0</v>
      </c>
      <c r="BU73" s="545" t="s">
        <v>2233</v>
      </c>
      <c r="BV73" s="141">
        <v>0</v>
      </c>
      <c r="BW73" s="545" t="s">
        <v>2233</v>
      </c>
      <c r="BX73" s="141">
        <v>0</v>
      </c>
      <c r="BY73" s="545" t="s">
        <v>2233</v>
      </c>
      <c r="BZ73" s="141">
        <v>0</v>
      </c>
      <c r="CA73" s="545" t="s">
        <v>2233</v>
      </c>
      <c r="CB73" s="141">
        <v>0</v>
      </c>
      <c r="CC73" s="545" t="s">
        <v>2233</v>
      </c>
      <c r="CD73" s="144">
        <v>0</v>
      </c>
      <c r="CE73" s="2629"/>
      <c r="CF73" s="2629"/>
    </row>
    <row r="74" spans="1:84" s="98" customFormat="1" ht="15" customHeight="1">
      <c r="A74" s="99"/>
      <c r="B74" s="2687"/>
      <c r="C74" s="2688"/>
      <c r="D74" s="2688" t="s">
        <v>2705</v>
      </c>
      <c r="E74" s="2688"/>
      <c r="F74" s="2688"/>
      <c r="G74" s="2645"/>
      <c r="H74" s="2645"/>
      <c r="I74" s="607" t="s">
        <v>498</v>
      </c>
      <c r="J74" s="143">
        <v>0</v>
      </c>
      <c r="K74" s="141">
        <v>0</v>
      </c>
      <c r="L74" s="141">
        <v>9.7453970320517964E-3</v>
      </c>
      <c r="M74" s="141">
        <v>0</v>
      </c>
      <c r="N74" s="141">
        <v>0</v>
      </c>
      <c r="O74" s="141">
        <v>0</v>
      </c>
      <c r="P74" s="141">
        <v>0</v>
      </c>
      <c r="Q74" s="144">
        <v>0</v>
      </c>
      <c r="R74" s="143">
        <v>0</v>
      </c>
      <c r="S74" s="141">
        <v>0</v>
      </c>
      <c r="T74" s="141">
        <v>0</v>
      </c>
      <c r="U74" s="141">
        <v>0</v>
      </c>
      <c r="V74" s="144">
        <v>0</v>
      </c>
      <c r="W74" s="2629"/>
      <c r="X74" s="2503"/>
      <c r="Y74" s="2503"/>
      <c r="Z74" s="2503"/>
      <c r="AA74" s="2503"/>
      <c r="AB74" s="2503"/>
      <c r="AC74" s="2503"/>
      <c r="AD74" s="2503"/>
      <c r="AE74" s="2503"/>
      <c r="AF74" s="2503"/>
      <c r="AG74" s="2503"/>
      <c r="AH74" s="2503"/>
      <c r="AI74" s="2503"/>
      <c r="AJ74" s="2503"/>
      <c r="AK74" s="2503"/>
      <c r="AL74" s="2629"/>
      <c r="AM74" s="607" t="s">
        <v>2233</v>
      </c>
      <c r="AN74" s="143">
        <v>0</v>
      </c>
      <c r="AO74" s="141">
        <v>0.23699999999999999</v>
      </c>
      <c r="AP74" s="141">
        <v>2.5000000000000001E-2</v>
      </c>
      <c r="AQ74" s="141">
        <v>0</v>
      </c>
      <c r="AR74" s="141">
        <v>0</v>
      </c>
      <c r="AS74" s="141"/>
      <c r="AT74" s="141">
        <v>0</v>
      </c>
      <c r="AU74" s="144">
        <v>0</v>
      </c>
      <c r="AV74" s="143">
        <v>0</v>
      </c>
      <c r="AW74" s="141">
        <v>0</v>
      </c>
      <c r="AX74" s="141">
        <v>0</v>
      </c>
      <c r="AY74" s="141">
        <v>0</v>
      </c>
      <c r="AZ74" s="144">
        <v>0</v>
      </c>
      <c r="BA74" s="2629"/>
      <c r="BB74" s="545" t="s">
        <v>627</v>
      </c>
      <c r="BC74" s="868">
        <v>0</v>
      </c>
      <c r="BD74" s="545" t="s">
        <v>627</v>
      </c>
      <c r="BE74" s="868">
        <v>0</v>
      </c>
      <c r="BF74" s="545" t="s">
        <v>2233</v>
      </c>
      <c r="BG74" s="141">
        <v>2.5550292560601838E-4</v>
      </c>
      <c r="BH74" s="545" t="s">
        <v>2233</v>
      </c>
      <c r="BI74" s="141">
        <v>0</v>
      </c>
      <c r="BJ74" s="545" t="s">
        <v>2233</v>
      </c>
      <c r="BK74" s="141">
        <v>6.4508405312529021E-2</v>
      </c>
      <c r="BL74" s="545" t="s">
        <v>2233</v>
      </c>
      <c r="BM74" s="141">
        <v>8.131076437262004E-2</v>
      </c>
      <c r="BN74" s="545" t="s">
        <v>2233</v>
      </c>
      <c r="BO74" s="141">
        <v>0.11592532738924492</v>
      </c>
      <c r="BP74" s="2629"/>
      <c r="BQ74" s="545" t="s">
        <v>627</v>
      </c>
      <c r="BR74" s="868">
        <v>0</v>
      </c>
      <c r="BS74" s="545" t="s">
        <v>627</v>
      </c>
      <c r="BT74" s="868">
        <v>0</v>
      </c>
      <c r="BU74" s="545" t="s">
        <v>2233</v>
      </c>
      <c r="BV74" s="141">
        <v>0</v>
      </c>
      <c r="BW74" s="545" t="s">
        <v>2233</v>
      </c>
      <c r="BX74" s="141">
        <v>0</v>
      </c>
      <c r="BY74" s="545" t="s">
        <v>2233</v>
      </c>
      <c r="BZ74" s="141">
        <v>0</v>
      </c>
      <c r="CA74" s="545" t="s">
        <v>2233</v>
      </c>
      <c r="CB74" s="141">
        <v>0</v>
      </c>
      <c r="CC74" s="545" t="s">
        <v>2233</v>
      </c>
      <c r="CD74" s="144">
        <v>0</v>
      </c>
      <c r="CE74" s="2629"/>
      <c r="CF74" s="2629"/>
    </row>
    <row r="75" spans="1:84" s="98" customFormat="1" ht="15" customHeight="1">
      <c r="A75" s="99"/>
      <c r="B75" s="2687"/>
      <c r="C75" s="2688"/>
      <c r="D75" s="2688" t="s">
        <v>2706</v>
      </c>
      <c r="E75" s="2688"/>
      <c r="F75" s="2688"/>
      <c r="G75" s="2645"/>
      <c r="H75" s="2645"/>
      <c r="I75" s="607" t="s">
        <v>498</v>
      </c>
      <c r="J75" s="143">
        <v>0</v>
      </c>
      <c r="K75" s="141">
        <v>0</v>
      </c>
      <c r="L75" s="141">
        <v>0</v>
      </c>
      <c r="M75" s="141">
        <v>0</v>
      </c>
      <c r="N75" s="141">
        <v>0</v>
      </c>
      <c r="O75" s="141">
        <v>0</v>
      </c>
      <c r="P75" s="141">
        <v>0</v>
      </c>
      <c r="Q75" s="144">
        <v>0</v>
      </c>
      <c r="R75" s="143">
        <v>0</v>
      </c>
      <c r="S75" s="141">
        <v>0</v>
      </c>
      <c r="T75" s="141">
        <v>0</v>
      </c>
      <c r="U75" s="141">
        <v>0</v>
      </c>
      <c r="V75" s="144">
        <v>0</v>
      </c>
      <c r="W75" s="2629"/>
      <c r="X75" s="2503"/>
      <c r="Y75" s="2503"/>
      <c r="Z75" s="2503"/>
      <c r="AA75" s="2503"/>
      <c r="AB75" s="2503"/>
      <c r="AC75" s="2503"/>
      <c r="AD75" s="2503"/>
      <c r="AE75" s="2503"/>
      <c r="AF75" s="2503"/>
      <c r="AG75" s="2503"/>
      <c r="AH75" s="2503"/>
      <c r="AI75" s="2503"/>
      <c r="AJ75" s="2503"/>
      <c r="AK75" s="2503"/>
      <c r="AL75" s="2629"/>
      <c r="AM75" s="607" t="s">
        <v>2233</v>
      </c>
      <c r="AN75" s="143">
        <v>0</v>
      </c>
      <c r="AO75" s="141">
        <v>0</v>
      </c>
      <c r="AP75" s="141">
        <v>0</v>
      </c>
      <c r="AQ75" s="141">
        <v>0</v>
      </c>
      <c r="AR75" s="141">
        <v>0</v>
      </c>
      <c r="AS75" s="141"/>
      <c r="AT75" s="141">
        <v>0</v>
      </c>
      <c r="AU75" s="144">
        <v>0</v>
      </c>
      <c r="AV75" s="143">
        <v>0</v>
      </c>
      <c r="AW75" s="141">
        <v>0</v>
      </c>
      <c r="AX75" s="141">
        <v>0</v>
      </c>
      <c r="AY75" s="141">
        <v>0</v>
      </c>
      <c r="AZ75" s="144">
        <v>0</v>
      </c>
      <c r="BA75" s="2629"/>
      <c r="BB75" s="545" t="s">
        <v>627</v>
      </c>
      <c r="BC75" s="868">
        <v>0</v>
      </c>
      <c r="BD75" s="545" t="s">
        <v>627</v>
      </c>
      <c r="BE75" s="868">
        <v>0</v>
      </c>
      <c r="BF75" s="545" t="s">
        <v>2233</v>
      </c>
      <c r="BG75" s="141">
        <v>0</v>
      </c>
      <c r="BH75" s="545" t="s">
        <v>2233</v>
      </c>
      <c r="BI75" s="141">
        <v>0</v>
      </c>
      <c r="BJ75" s="545" t="s">
        <v>2233</v>
      </c>
      <c r="BK75" s="141">
        <v>0</v>
      </c>
      <c r="BL75" s="545" t="s">
        <v>2233</v>
      </c>
      <c r="BM75" s="141">
        <v>0</v>
      </c>
      <c r="BN75" s="545" t="s">
        <v>2233</v>
      </c>
      <c r="BO75" s="141">
        <v>0</v>
      </c>
      <c r="BP75" s="2629"/>
      <c r="BQ75" s="545" t="s">
        <v>627</v>
      </c>
      <c r="BR75" s="868">
        <v>0</v>
      </c>
      <c r="BS75" s="545" t="s">
        <v>627</v>
      </c>
      <c r="BT75" s="868">
        <v>0</v>
      </c>
      <c r="BU75" s="545" t="s">
        <v>2233</v>
      </c>
      <c r="BV75" s="141">
        <v>0</v>
      </c>
      <c r="BW75" s="545" t="s">
        <v>2233</v>
      </c>
      <c r="BX75" s="141">
        <v>0</v>
      </c>
      <c r="BY75" s="545" t="s">
        <v>2233</v>
      </c>
      <c r="BZ75" s="141">
        <v>0</v>
      </c>
      <c r="CA75" s="545" t="s">
        <v>2233</v>
      </c>
      <c r="CB75" s="141">
        <v>0</v>
      </c>
      <c r="CC75" s="545" t="s">
        <v>2233</v>
      </c>
      <c r="CD75" s="144">
        <v>0</v>
      </c>
      <c r="CE75" s="2629"/>
      <c r="CF75" s="2629"/>
    </row>
    <row r="76" spans="1:84" s="98" customFormat="1" ht="15" customHeight="1">
      <c r="A76" s="99"/>
      <c r="B76" s="2687"/>
      <c r="C76" s="2688"/>
      <c r="D76" s="2688" t="s">
        <v>2707</v>
      </c>
      <c r="E76" s="2688"/>
      <c r="F76" s="2688"/>
      <c r="G76" s="2645"/>
      <c r="H76" s="2645"/>
      <c r="I76" s="607" t="s">
        <v>498</v>
      </c>
      <c r="J76" s="143">
        <v>0</v>
      </c>
      <c r="K76" s="141">
        <v>0</v>
      </c>
      <c r="L76" s="141">
        <v>0</v>
      </c>
      <c r="M76" s="141">
        <v>0</v>
      </c>
      <c r="N76" s="141">
        <v>0</v>
      </c>
      <c r="O76" s="141">
        <v>0</v>
      </c>
      <c r="P76" s="141">
        <v>0</v>
      </c>
      <c r="Q76" s="144">
        <v>0</v>
      </c>
      <c r="R76" s="143">
        <v>0</v>
      </c>
      <c r="S76" s="141">
        <v>0</v>
      </c>
      <c r="T76" s="141">
        <v>0</v>
      </c>
      <c r="U76" s="141">
        <v>0</v>
      </c>
      <c r="V76" s="144">
        <v>0</v>
      </c>
      <c r="W76" s="2629"/>
      <c r="X76" s="2503"/>
      <c r="Y76" s="2503"/>
      <c r="Z76" s="2503"/>
      <c r="AA76" s="2503"/>
      <c r="AB76" s="2503"/>
      <c r="AC76" s="2503"/>
      <c r="AD76" s="2503"/>
      <c r="AE76" s="2503"/>
      <c r="AF76" s="2503"/>
      <c r="AG76" s="2503"/>
      <c r="AH76" s="2503"/>
      <c r="AI76" s="2503"/>
      <c r="AJ76" s="2503"/>
      <c r="AK76" s="2503"/>
      <c r="AL76" s="2629"/>
      <c r="AM76" s="607" t="s">
        <v>2233</v>
      </c>
      <c r="AN76" s="143">
        <v>0</v>
      </c>
      <c r="AO76" s="141">
        <v>0</v>
      </c>
      <c r="AP76" s="141">
        <v>0</v>
      </c>
      <c r="AQ76" s="141">
        <v>0</v>
      </c>
      <c r="AR76" s="141">
        <v>0</v>
      </c>
      <c r="AS76" s="141"/>
      <c r="AT76" s="141">
        <v>0</v>
      </c>
      <c r="AU76" s="144">
        <v>0</v>
      </c>
      <c r="AV76" s="143">
        <v>0</v>
      </c>
      <c r="AW76" s="141">
        <v>0</v>
      </c>
      <c r="AX76" s="141">
        <v>0</v>
      </c>
      <c r="AY76" s="141">
        <v>0</v>
      </c>
      <c r="AZ76" s="144">
        <v>0</v>
      </c>
      <c r="BA76" s="2629"/>
      <c r="BB76" s="545" t="s">
        <v>627</v>
      </c>
      <c r="BC76" s="868">
        <v>0</v>
      </c>
      <c r="BD76" s="545" t="s">
        <v>627</v>
      </c>
      <c r="BE76" s="868">
        <v>0</v>
      </c>
      <c r="BF76" s="545" t="s">
        <v>2233</v>
      </c>
      <c r="BG76" s="141">
        <v>0</v>
      </c>
      <c r="BH76" s="545" t="s">
        <v>2233</v>
      </c>
      <c r="BI76" s="141">
        <v>0</v>
      </c>
      <c r="BJ76" s="545" t="s">
        <v>2233</v>
      </c>
      <c r="BK76" s="141">
        <v>0</v>
      </c>
      <c r="BL76" s="545" t="s">
        <v>2233</v>
      </c>
      <c r="BM76" s="141">
        <v>0</v>
      </c>
      <c r="BN76" s="545" t="s">
        <v>2233</v>
      </c>
      <c r="BO76" s="141">
        <v>0</v>
      </c>
      <c r="BP76" s="2629"/>
      <c r="BQ76" s="545" t="s">
        <v>627</v>
      </c>
      <c r="BR76" s="868">
        <v>0</v>
      </c>
      <c r="BS76" s="545" t="s">
        <v>627</v>
      </c>
      <c r="BT76" s="868">
        <v>0</v>
      </c>
      <c r="BU76" s="545" t="s">
        <v>2233</v>
      </c>
      <c r="BV76" s="141">
        <v>0</v>
      </c>
      <c r="BW76" s="545" t="s">
        <v>2233</v>
      </c>
      <c r="BX76" s="141">
        <v>0</v>
      </c>
      <c r="BY76" s="545" t="s">
        <v>2233</v>
      </c>
      <c r="BZ76" s="141">
        <v>0</v>
      </c>
      <c r="CA76" s="545" t="s">
        <v>2233</v>
      </c>
      <c r="CB76" s="141">
        <v>0</v>
      </c>
      <c r="CC76" s="545" t="s">
        <v>2233</v>
      </c>
      <c r="CD76" s="144">
        <v>0</v>
      </c>
      <c r="CE76" s="2629"/>
      <c r="CF76" s="2629"/>
    </row>
    <row r="77" spans="1:84" s="98" customFormat="1" ht="15" customHeight="1">
      <c r="A77" s="99"/>
      <c r="B77" s="2687"/>
      <c r="C77" s="2688"/>
      <c r="D77" s="2688" t="s">
        <v>2708</v>
      </c>
      <c r="E77" s="2688"/>
      <c r="F77" s="2688"/>
      <c r="G77" s="2645"/>
      <c r="H77" s="2645"/>
      <c r="I77" s="607" t="s">
        <v>498</v>
      </c>
      <c r="J77" s="143">
        <v>0</v>
      </c>
      <c r="K77" s="141">
        <v>0</v>
      </c>
      <c r="L77" s="141">
        <v>0</v>
      </c>
      <c r="M77" s="141">
        <v>0</v>
      </c>
      <c r="N77" s="141">
        <v>0</v>
      </c>
      <c r="O77" s="141">
        <v>0</v>
      </c>
      <c r="P77" s="141">
        <v>0</v>
      </c>
      <c r="Q77" s="144">
        <v>0</v>
      </c>
      <c r="R77" s="143">
        <v>0</v>
      </c>
      <c r="S77" s="141">
        <v>0</v>
      </c>
      <c r="T77" s="141">
        <v>0</v>
      </c>
      <c r="U77" s="141">
        <v>0</v>
      </c>
      <c r="V77" s="144">
        <v>0</v>
      </c>
      <c r="W77" s="2629"/>
      <c r="X77" s="2503"/>
      <c r="Y77" s="2503"/>
      <c r="Z77" s="2503"/>
      <c r="AA77" s="2503"/>
      <c r="AB77" s="2503"/>
      <c r="AC77" s="2503"/>
      <c r="AD77" s="2503"/>
      <c r="AE77" s="2503"/>
      <c r="AF77" s="2503"/>
      <c r="AG77" s="2503"/>
      <c r="AH77" s="2503"/>
      <c r="AI77" s="2503"/>
      <c r="AJ77" s="2503"/>
      <c r="AK77" s="2503"/>
      <c r="AL77" s="2629"/>
      <c r="AM77" s="607" t="s">
        <v>2233</v>
      </c>
      <c r="AN77" s="143">
        <v>0</v>
      </c>
      <c r="AO77" s="141">
        <v>0</v>
      </c>
      <c r="AP77" s="141">
        <v>0</v>
      </c>
      <c r="AQ77" s="141">
        <v>0</v>
      </c>
      <c r="AR77" s="141">
        <v>0</v>
      </c>
      <c r="AS77" s="141"/>
      <c r="AT77" s="141">
        <v>0</v>
      </c>
      <c r="AU77" s="144">
        <v>0</v>
      </c>
      <c r="AV77" s="143">
        <v>0</v>
      </c>
      <c r="AW77" s="141">
        <v>0</v>
      </c>
      <c r="AX77" s="141">
        <v>0</v>
      </c>
      <c r="AY77" s="141">
        <v>0</v>
      </c>
      <c r="AZ77" s="144">
        <v>0</v>
      </c>
      <c r="BA77" s="2629"/>
      <c r="BB77" s="545" t="s">
        <v>627</v>
      </c>
      <c r="BC77" s="868">
        <v>0</v>
      </c>
      <c r="BD77" s="545" t="s">
        <v>627</v>
      </c>
      <c r="BE77" s="868">
        <v>0</v>
      </c>
      <c r="BF77" s="545" t="s">
        <v>2233</v>
      </c>
      <c r="BG77" s="141">
        <v>0</v>
      </c>
      <c r="BH77" s="545" t="s">
        <v>2233</v>
      </c>
      <c r="BI77" s="141">
        <v>0</v>
      </c>
      <c r="BJ77" s="545" t="s">
        <v>2233</v>
      </c>
      <c r="BK77" s="141">
        <v>0</v>
      </c>
      <c r="BL77" s="545" t="s">
        <v>2233</v>
      </c>
      <c r="BM77" s="141">
        <v>0</v>
      </c>
      <c r="BN77" s="545" t="s">
        <v>2233</v>
      </c>
      <c r="BO77" s="141">
        <v>0</v>
      </c>
      <c r="BP77" s="2629"/>
      <c r="BQ77" s="545" t="s">
        <v>627</v>
      </c>
      <c r="BR77" s="868">
        <v>0</v>
      </c>
      <c r="BS77" s="545" t="s">
        <v>627</v>
      </c>
      <c r="BT77" s="868">
        <v>0</v>
      </c>
      <c r="BU77" s="545" t="s">
        <v>2233</v>
      </c>
      <c r="BV77" s="141">
        <v>0</v>
      </c>
      <c r="BW77" s="545" t="s">
        <v>2233</v>
      </c>
      <c r="BX77" s="141">
        <v>0</v>
      </c>
      <c r="BY77" s="545" t="s">
        <v>2233</v>
      </c>
      <c r="BZ77" s="141">
        <v>0</v>
      </c>
      <c r="CA77" s="545" t="s">
        <v>2233</v>
      </c>
      <c r="CB77" s="141">
        <v>0</v>
      </c>
      <c r="CC77" s="545" t="s">
        <v>2233</v>
      </c>
      <c r="CD77" s="144">
        <v>0</v>
      </c>
      <c r="CE77" s="2629"/>
      <c r="CF77" s="2629"/>
    </row>
    <row r="78" spans="1:84" s="98" customFormat="1" ht="15" customHeight="1">
      <c r="A78" s="99"/>
      <c r="B78" s="2687"/>
      <c r="C78" s="2688" t="s">
        <v>1710</v>
      </c>
      <c r="D78" s="2688"/>
      <c r="E78" s="2688"/>
      <c r="F78" s="2688"/>
      <c r="G78" s="2645"/>
      <c r="H78" s="2645"/>
      <c r="I78" s="607" t="s">
        <v>498</v>
      </c>
      <c r="J78" s="641">
        <f>SUM(J70:J77)</f>
        <v>0.10414203555893002</v>
      </c>
      <c r="K78" s="642">
        <f t="shared" ref="K78:V78" si="17">SUM(K70:K77)</f>
        <v>4.1848341277765537E-2</v>
      </c>
      <c r="L78" s="642">
        <f t="shared" si="17"/>
        <v>0.48104179884979953</v>
      </c>
      <c r="M78" s="642">
        <f t="shared" si="17"/>
        <v>0.25814042338730542</v>
      </c>
      <c r="N78" s="642">
        <f t="shared" si="17"/>
        <v>0.27255606072015254</v>
      </c>
      <c r="O78" s="642">
        <f t="shared" si="17"/>
        <v>0.22549930800196671</v>
      </c>
      <c r="P78" s="642">
        <f t="shared" si="17"/>
        <v>0</v>
      </c>
      <c r="Q78" s="643">
        <f t="shared" si="17"/>
        <v>0</v>
      </c>
      <c r="R78" s="641">
        <f t="shared" si="17"/>
        <v>0</v>
      </c>
      <c r="S78" s="642">
        <f t="shared" si="17"/>
        <v>0</v>
      </c>
      <c r="T78" s="642">
        <f t="shared" si="17"/>
        <v>0</v>
      </c>
      <c r="U78" s="642">
        <f t="shared" si="17"/>
        <v>0</v>
      </c>
      <c r="V78" s="643">
        <f t="shared" si="17"/>
        <v>0</v>
      </c>
      <c r="W78" s="2629"/>
      <c r="X78" s="2503"/>
      <c r="Y78" s="2503"/>
      <c r="Z78" s="2503"/>
      <c r="AA78" s="2503"/>
      <c r="AB78" s="2503"/>
      <c r="AC78" s="2503"/>
      <c r="AD78" s="2503"/>
      <c r="AE78" s="2503"/>
      <c r="AF78" s="2503"/>
      <c r="AG78" s="2503"/>
      <c r="AH78" s="2503"/>
      <c r="AI78" s="2503"/>
      <c r="AJ78" s="2503"/>
      <c r="AK78" s="2503"/>
      <c r="AL78" s="2629"/>
      <c r="AM78" s="607" t="s">
        <v>2233</v>
      </c>
      <c r="AN78" s="641">
        <f>SUM(AN70:AN77)</f>
        <v>0.22449999999999998</v>
      </c>
      <c r="AO78" s="642">
        <f t="shared" ref="AO78:AZ78" si="18">SUM(AO70:AO77)</f>
        <v>0.35399999999999998</v>
      </c>
      <c r="AP78" s="642">
        <f t="shared" si="18"/>
        <v>1.2878999999999998</v>
      </c>
      <c r="AQ78" s="642">
        <f t="shared" si="18"/>
        <v>0.80699999999999994</v>
      </c>
      <c r="AR78" s="642">
        <f t="shared" si="18"/>
        <v>0.49000000000000005</v>
      </c>
      <c r="AS78" s="642">
        <f t="shared" si="18"/>
        <v>0.65100000000000002</v>
      </c>
      <c r="AT78" s="642">
        <f t="shared" si="18"/>
        <v>0</v>
      </c>
      <c r="AU78" s="643">
        <f t="shared" si="18"/>
        <v>0</v>
      </c>
      <c r="AV78" s="641">
        <f t="shared" si="18"/>
        <v>0</v>
      </c>
      <c r="AW78" s="642">
        <f t="shared" si="18"/>
        <v>0</v>
      </c>
      <c r="AX78" s="642">
        <f t="shared" si="18"/>
        <v>0</v>
      </c>
      <c r="AY78" s="642">
        <f t="shared" si="18"/>
        <v>0</v>
      </c>
      <c r="AZ78" s="643">
        <f t="shared" si="18"/>
        <v>0</v>
      </c>
      <c r="BA78" s="2629"/>
      <c r="BB78" s="542"/>
      <c r="BC78" s="542"/>
      <c r="BD78" s="542"/>
      <c r="BE78" s="542"/>
      <c r="BF78" s="545" t="s">
        <v>2233</v>
      </c>
      <c r="BG78" s="642">
        <f>SUM(BG70:BG77)</f>
        <v>3.7198105321816664E-3</v>
      </c>
      <c r="BH78" s="545" t="s">
        <v>2233</v>
      </c>
      <c r="BI78" s="642">
        <f>SUM(BI70:BI77)</f>
        <v>0</v>
      </c>
      <c r="BJ78" s="545" t="s">
        <v>2233</v>
      </c>
      <c r="BK78" s="642">
        <f>SUM(BK70:BK77)</f>
        <v>0.93916359245843772</v>
      </c>
      <c r="BL78" s="545" t="s">
        <v>2233</v>
      </c>
      <c r="BM78" s="642">
        <f>SUM(BM70:BM77)</f>
        <v>1.1837854184080987</v>
      </c>
      <c r="BN78" s="545" t="s">
        <v>2233</v>
      </c>
      <c r="BO78" s="642">
        <f>SUM(BO70:BO77)</f>
        <v>1.6877311786012816</v>
      </c>
      <c r="BP78" s="2629"/>
      <c r="BQ78" s="542"/>
      <c r="BR78" s="542"/>
      <c r="BS78" s="542"/>
      <c r="BT78" s="542"/>
      <c r="BU78" s="545" t="s">
        <v>2233</v>
      </c>
      <c r="BV78" s="642">
        <f>SUM(BV70:BV77)</f>
        <v>0</v>
      </c>
      <c r="BW78" s="545" t="s">
        <v>2233</v>
      </c>
      <c r="BX78" s="642">
        <f>SUM(BX70:BX77)</f>
        <v>0</v>
      </c>
      <c r="BY78" s="545" t="s">
        <v>2233</v>
      </c>
      <c r="BZ78" s="642">
        <f>SUM(BZ70:BZ77)</f>
        <v>0</v>
      </c>
      <c r="CA78" s="545" t="s">
        <v>2233</v>
      </c>
      <c r="CB78" s="642">
        <f>SUM(CB70:CB77)</f>
        <v>0</v>
      </c>
      <c r="CC78" s="545" t="s">
        <v>2233</v>
      </c>
      <c r="CD78" s="643">
        <f>SUM(CD70:CD77)</f>
        <v>0</v>
      </c>
      <c r="CE78" s="2629"/>
      <c r="CF78" s="2629"/>
    </row>
    <row r="79" spans="1:84" s="98" customFormat="1" ht="15" customHeight="1">
      <c r="A79" s="99"/>
      <c r="B79" s="123"/>
      <c r="C79" s="2686"/>
      <c r="D79" s="2686"/>
      <c r="E79" s="2686"/>
      <c r="F79" s="2686"/>
      <c r="G79" s="94"/>
      <c r="H79" s="94"/>
      <c r="I79" s="94"/>
      <c r="J79" s="713"/>
      <c r="K79" s="2649"/>
      <c r="L79" s="2649"/>
      <c r="M79" s="2649"/>
      <c r="N79" s="2649"/>
      <c r="O79" s="2649"/>
      <c r="P79" s="2649"/>
      <c r="Q79" s="715"/>
      <c r="R79" s="713"/>
      <c r="S79" s="2649"/>
      <c r="T79" s="2649"/>
      <c r="U79" s="2649"/>
      <c r="V79" s="715"/>
      <c r="W79" s="2629"/>
      <c r="X79" s="2503"/>
      <c r="Y79" s="2503"/>
      <c r="Z79" s="2503"/>
      <c r="AA79" s="2503"/>
      <c r="AB79" s="2503"/>
      <c r="AC79" s="2503"/>
      <c r="AD79" s="2503"/>
      <c r="AE79" s="2503"/>
      <c r="AF79" s="2503"/>
      <c r="AG79" s="2503"/>
      <c r="AH79" s="2503"/>
      <c r="AI79" s="2503"/>
      <c r="AJ79" s="2503"/>
      <c r="AK79" s="2503"/>
      <c r="AL79" s="2629"/>
      <c r="AM79" s="94"/>
      <c r="AN79" s="713"/>
      <c r="AO79" s="2649"/>
      <c r="AP79" s="2649"/>
      <c r="AQ79" s="2649"/>
      <c r="AR79" s="2649"/>
      <c r="AS79" s="2649"/>
      <c r="AT79" s="2649"/>
      <c r="AU79" s="715"/>
      <c r="AV79" s="713"/>
      <c r="AW79" s="2649"/>
      <c r="AX79" s="2649"/>
      <c r="AY79" s="2649"/>
      <c r="AZ79" s="715"/>
      <c r="BA79" s="2629"/>
      <c r="BB79" s="542"/>
      <c r="BC79" s="542"/>
      <c r="BD79" s="542"/>
      <c r="BE79" s="542"/>
      <c r="BF79" s="542"/>
      <c r="BG79" s="542"/>
      <c r="BH79" s="542"/>
      <c r="BI79" s="542"/>
      <c r="BJ79" s="542"/>
      <c r="BK79" s="542"/>
      <c r="BL79" s="542"/>
      <c r="BM79" s="542"/>
      <c r="BN79" s="542"/>
      <c r="BO79" s="542"/>
      <c r="BP79" s="2629"/>
      <c r="BQ79" s="542"/>
      <c r="BR79" s="542"/>
      <c r="BS79" s="542"/>
      <c r="BT79" s="542"/>
      <c r="BU79" s="542"/>
      <c r="BV79" s="542"/>
      <c r="BW79" s="542"/>
      <c r="BX79" s="542"/>
      <c r="BY79" s="542"/>
      <c r="BZ79" s="542"/>
      <c r="CA79" s="542"/>
      <c r="CB79" s="542"/>
      <c r="CC79" s="542"/>
      <c r="CD79" s="544"/>
      <c r="CE79" s="2629"/>
      <c r="CF79" s="2629"/>
    </row>
    <row r="80" spans="1:84" s="98" customFormat="1" ht="15" customHeight="1">
      <c r="A80" s="99"/>
      <c r="B80" s="2687"/>
      <c r="C80" s="2685" t="s">
        <v>2722</v>
      </c>
      <c r="D80" s="2685"/>
      <c r="E80" s="2685"/>
      <c r="F80" s="2685"/>
      <c r="G80" s="94"/>
      <c r="H80" s="94"/>
      <c r="I80" s="94"/>
      <c r="J80" s="713"/>
      <c r="K80" s="2649"/>
      <c r="L80" s="2649"/>
      <c r="M80" s="2649"/>
      <c r="N80" s="2649"/>
      <c r="O80" s="2649"/>
      <c r="P80" s="2649"/>
      <c r="Q80" s="715"/>
      <c r="R80" s="713"/>
      <c r="S80" s="2649"/>
      <c r="T80" s="2649"/>
      <c r="U80" s="2649"/>
      <c r="V80" s="715"/>
      <c r="W80" s="2629"/>
      <c r="X80" s="2503"/>
      <c r="Y80" s="2503"/>
      <c r="Z80" s="2503"/>
      <c r="AA80" s="2503"/>
      <c r="AB80" s="2503"/>
      <c r="AC80" s="2503"/>
      <c r="AD80" s="2503"/>
      <c r="AE80" s="2503"/>
      <c r="AF80" s="2503"/>
      <c r="AG80" s="2503"/>
      <c r="AH80" s="2503"/>
      <c r="AI80" s="2503"/>
      <c r="AJ80" s="2503"/>
      <c r="AK80" s="2503"/>
      <c r="AL80" s="2629"/>
      <c r="AM80" s="94"/>
      <c r="AN80" s="713"/>
      <c r="AO80" s="2649"/>
      <c r="AP80" s="2649"/>
      <c r="AQ80" s="2649"/>
      <c r="AR80" s="2649"/>
      <c r="AS80" s="2649"/>
      <c r="AT80" s="2649"/>
      <c r="AU80" s="715"/>
      <c r="AV80" s="713"/>
      <c r="AW80" s="2649"/>
      <c r="AX80" s="2649"/>
      <c r="AY80" s="2649"/>
      <c r="AZ80" s="715"/>
      <c r="BA80" s="2629"/>
      <c r="BB80" s="542"/>
      <c r="BC80" s="542"/>
      <c r="BD80" s="542"/>
      <c r="BE80" s="542"/>
      <c r="BF80" s="542"/>
      <c r="BG80" s="542"/>
      <c r="BH80" s="542"/>
      <c r="BI80" s="542"/>
      <c r="BJ80" s="542"/>
      <c r="BK80" s="542"/>
      <c r="BL80" s="542"/>
      <c r="BM80" s="542"/>
      <c r="BN80" s="542"/>
      <c r="BO80" s="542"/>
      <c r="BP80" s="2629"/>
      <c r="BQ80" s="542"/>
      <c r="BR80" s="542"/>
      <c r="BS80" s="542"/>
      <c r="BT80" s="542"/>
      <c r="BU80" s="542"/>
      <c r="BV80" s="542"/>
      <c r="BW80" s="542"/>
      <c r="BX80" s="542"/>
      <c r="BY80" s="542"/>
      <c r="BZ80" s="542"/>
      <c r="CA80" s="542"/>
      <c r="CB80" s="542"/>
      <c r="CC80" s="542"/>
      <c r="CD80" s="544"/>
      <c r="CE80" s="2629"/>
      <c r="CF80" s="2629"/>
    </row>
    <row r="81" spans="1:84" s="98" customFormat="1" ht="15" customHeight="1">
      <c r="A81" s="99"/>
      <c r="B81" s="2687"/>
      <c r="C81" s="2688"/>
      <c r="D81" s="2688" t="s">
        <v>2701</v>
      </c>
      <c r="E81" s="2688"/>
      <c r="F81" s="2688"/>
      <c r="G81" s="2645"/>
      <c r="H81" s="2645"/>
      <c r="I81" s="607" t="s">
        <v>498</v>
      </c>
      <c r="J81" s="143">
        <v>0.40929753961696891</v>
      </c>
      <c r="K81" s="141">
        <v>0.16950906968089458</v>
      </c>
      <c r="L81" s="141">
        <v>0.22760259070983427</v>
      </c>
      <c r="M81" s="141">
        <v>9.719903018795395E-2</v>
      </c>
      <c r="N81" s="141">
        <v>3.1107845692533678E-2</v>
      </c>
      <c r="O81" s="141">
        <v>1.2155301077969069E-2</v>
      </c>
      <c r="P81" s="141">
        <v>0</v>
      </c>
      <c r="Q81" s="144">
        <v>0</v>
      </c>
      <c r="R81" s="143">
        <v>0</v>
      </c>
      <c r="S81" s="141">
        <v>0</v>
      </c>
      <c r="T81" s="141">
        <v>0</v>
      </c>
      <c r="U81" s="141">
        <v>0</v>
      </c>
      <c r="V81" s="144">
        <v>0</v>
      </c>
      <c r="W81" s="2629"/>
      <c r="X81" s="2503"/>
      <c r="Y81" s="2503"/>
      <c r="Z81" s="2503"/>
      <c r="AA81" s="2503"/>
      <c r="AB81" s="2503"/>
      <c r="AC81" s="2503"/>
      <c r="AD81" s="2503"/>
      <c r="AE81" s="2503"/>
      <c r="AF81" s="2503"/>
      <c r="AG81" s="2503"/>
      <c r="AH81" s="2503"/>
      <c r="AI81" s="2503"/>
      <c r="AJ81" s="2503"/>
      <c r="AK81" s="2503"/>
      <c r="AL81" s="2629"/>
      <c r="AM81" s="607" t="s">
        <v>2233</v>
      </c>
      <c r="AN81" s="143">
        <v>0.86</v>
      </c>
      <c r="AO81" s="141">
        <v>0.54</v>
      </c>
      <c r="AP81" s="141">
        <v>1.093</v>
      </c>
      <c r="AQ81" s="141">
        <v>0.40699999999999997</v>
      </c>
      <c r="AR81" s="141">
        <v>5.8000000000000003E-2</v>
      </c>
      <c r="AS81" s="141">
        <v>3.7999999999999999E-2</v>
      </c>
      <c r="AT81" s="141">
        <v>0</v>
      </c>
      <c r="AU81" s="144">
        <v>0</v>
      </c>
      <c r="AV81" s="143">
        <v>0</v>
      </c>
      <c r="AW81" s="141">
        <v>0</v>
      </c>
      <c r="AX81" s="141">
        <v>0</v>
      </c>
      <c r="AY81" s="141">
        <v>0</v>
      </c>
      <c r="AZ81" s="144">
        <v>0</v>
      </c>
      <c r="BA81" s="2629"/>
      <c r="BB81" s="545" t="s">
        <v>627</v>
      </c>
      <c r="BC81" s="868">
        <v>0</v>
      </c>
      <c r="BD81" s="545" t="s">
        <v>627</v>
      </c>
      <c r="BE81" s="868">
        <v>0</v>
      </c>
      <c r="BF81" s="545" t="s">
        <v>2233</v>
      </c>
      <c r="BG81" s="141">
        <v>0.85362442183163711</v>
      </c>
      <c r="BH81" s="545" t="s">
        <v>2233</v>
      </c>
      <c r="BI81" s="141">
        <v>0</v>
      </c>
      <c r="BJ81" s="545" t="s">
        <v>2233</v>
      </c>
      <c r="BK81" s="141">
        <v>0.27437927844588339</v>
      </c>
      <c r="BL81" s="545" t="s">
        <v>2233</v>
      </c>
      <c r="BM81" s="141">
        <v>0.41988344125809429</v>
      </c>
      <c r="BN81" s="545" t="s">
        <v>2233</v>
      </c>
      <c r="BO81" s="141">
        <v>1.4481128584643848</v>
      </c>
      <c r="BP81" s="2629"/>
      <c r="BQ81" s="545" t="s">
        <v>627</v>
      </c>
      <c r="BR81" s="868">
        <v>0</v>
      </c>
      <c r="BS81" s="545" t="s">
        <v>627</v>
      </c>
      <c r="BT81" s="868">
        <v>0</v>
      </c>
      <c r="BU81" s="545" t="s">
        <v>2233</v>
      </c>
      <c r="BV81" s="141">
        <v>0</v>
      </c>
      <c r="BW81" s="545" t="s">
        <v>2233</v>
      </c>
      <c r="BX81" s="141">
        <v>0</v>
      </c>
      <c r="BY81" s="545" t="s">
        <v>2233</v>
      </c>
      <c r="BZ81" s="141">
        <v>0</v>
      </c>
      <c r="CA81" s="545" t="s">
        <v>2233</v>
      </c>
      <c r="CB81" s="141">
        <v>0</v>
      </c>
      <c r="CC81" s="545" t="s">
        <v>2233</v>
      </c>
      <c r="CD81" s="144">
        <v>0</v>
      </c>
      <c r="CE81" s="2629"/>
      <c r="CF81" s="2629"/>
    </row>
    <row r="82" spans="1:84" s="98" customFormat="1" ht="15" customHeight="1">
      <c r="A82" s="99"/>
      <c r="B82" s="123"/>
      <c r="C82" s="2686"/>
      <c r="D82" s="2686"/>
      <c r="E82" s="2686"/>
      <c r="F82" s="2686"/>
      <c r="G82" s="94"/>
      <c r="H82" s="94"/>
      <c r="I82" s="94"/>
      <c r="J82" s="713"/>
      <c r="K82" s="2649"/>
      <c r="L82" s="2649"/>
      <c r="M82" s="2649"/>
      <c r="N82" s="2649"/>
      <c r="O82" s="2649"/>
      <c r="P82" s="2649"/>
      <c r="Q82" s="715"/>
      <c r="R82" s="713"/>
      <c r="S82" s="2649"/>
      <c r="T82" s="2649"/>
      <c r="U82" s="2649"/>
      <c r="V82" s="715"/>
      <c r="W82" s="2629"/>
      <c r="X82" s="2503"/>
      <c r="Y82" s="2503"/>
      <c r="Z82" s="2503"/>
      <c r="AA82" s="2503"/>
      <c r="AB82" s="2503"/>
      <c r="AC82" s="2503"/>
      <c r="AD82" s="2503"/>
      <c r="AE82" s="2503"/>
      <c r="AF82" s="2503"/>
      <c r="AG82" s="2503"/>
      <c r="AH82" s="2503"/>
      <c r="AI82" s="2503"/>
      <c r="AJ82" s="2503"/>
      <c r="AK82" s="2503"/>
      <c r="AL82" s="2629"/>
      <c r="AM82" s="94"/>
      <c r="AN82" s="713"/>
      <c r="AO82" s="2649"/>
      <c r="AP82" s="2649"/>
      <c r="AQ82" s="2649"/>
      <c r="AR82" s="2649"/>
      <c r="AS82" s="2649"/>
      <c r="AT82" s="2649"/>
      <c r="AU82" s="715"/>
      <c r="AV82" s="713"/>
      <c r="AW82" s="2649"/>
      <c r="AX82" s="2649"/>
      <c r="AY82" s="2649"/>
      <c r="AZ82" s="715"/>
      <c r="BA82" s="2629"/>
      <c r="BB82" s="542"/>
      <c r="BC82" s="542"/>
      <c r="BD82" s="542"/>
      <c r="BE82" s="542"/>
      <c r="BF82" s="542"/>
      <c r="BG82" s="542"/>
      <c r="BH82" s="542"/>
      <c r="BI82" s="542"/>
      <c r="BJ82" s="542"/>
      <c r="BK82" s="542"/>
      <c r="BL82" s="542"/>
      <c r="BM82" s="542"/>
      <c r="BN82" s="542"/>
      <c r="BO82" s="542"/>
      <c r="BP82" s="2629"/>
      <c r="BQ82" s="542"/>
      <c r="BR82" s="542"/>
      <c r="BS82" s="542"/>
      <c r="BT82" s="542"/>
      <c r="BU82" s="542"/>
      <c r="BV82" s="542"/>
      <c r="BW82" s="542"/>
      <c r="BX82" s="542"/>
      <c r="BY82" s="542"/>
      <c r="BZ82" s="542"/>
      <c r="CA82" s="542"/>
      <c r="CB82" s="542"/>
      <c r="CC82" s="542"/>
      <c r="CD82" s="544"/>
      <c r="CE82" s="2629"/>
      <c r="CF82" s="2629"/>
    </row>
    <row r="83" spans="1:84" s="98" customFormat="1" ht="15" customHeight="1">
      <c r="A83" s="99"/>
      <c r="B83" s="2687"/>
      <c r="C83" s="2685" t="s">
        <v>2755</v>
      </c>
      <c r="D83" s="2685"/>
      <c r="E83" s="2685"/>
      <c r="F83" s="2685"/>
      <c r="G83" s="94"/>
      <c r="H83" s="94"/>
      <c r="I83" s="94"/>
      <c r="J83" s="713"/>
      <c r="K83" s="2649"/>
      <c r="L83" s="2649"/>
      <c r="M83" s="2649"/>
      <c r="N83" s="2649"/>
      <c r="O83" s="2649"/>
      <c r="P83" s="2649"/>
      <c r="Q83" s="715"/>
      <c r="R83" s="713"/>
      <c r="S83" s="2649"/>
      <c r="T83" s="2649"/>
      <c r="U83" s="2649"/>
      <c r="V83" s="715"/>
      <c r="W83" s="2629"/>
      <c r="X83" s="2503"/>
      <c r="Y83" s="2503"/>
      <c r="Z83" s="2503"/>
      <c r="AA83" s="2503"/>
      <c r="AB83" s="2503"/>
      <c r="AC83" s="2503"/>
      <c r="AD83" s="2503"/>
      <c r="AE83" s="2503"/>
      <c r="AF83" s="2503"/>
      <c r="AG83" s="2503"/>
      <c r="AH83" s="2503"/>
      <c r="AI83" s="2503"/>
      <c r="AJ83" s="2503"/>
      <c r="AK83" s="2503"/>
      <c r="AL83" s="2629"/>
      <c r="AM83" s="94"/>
      <c r="AN83" s="713"/>
      <c r="AO83" s="2649"/>
      <c r="AP83" s="2649"/>
      <c r="AQ83" s="2649"/>
      <c r="AR83" s="2649"/>
      <c r="AS83" s="2649"/>
      <c r="AT83" s="2649"/>
      <c r="AU83" s="715"/>
      <c r="AV83" s="713"/>
      <c r="AW83" s="2649"/>
      <c r="AX83" s="2649"/>
      <c r="AY83" s="2649"/>
      <c r="AZ83" s="715"/>
      <c r="BA83" s="2629"/>
      <c r="BB83" s="542"/>
      <c r="BC83" s="542"/>
      <c r="BD83" s="542"/>
      <c r="BE83" s="542"/>
      <c r="BF83" s="542"/>
      <c r="BG83" s="542"/>
      <c r="BH83" s="542"/>
      <c r="BI83" s="542"/>
      <c r="BJ83" s="542"/>
      <c r="BK83" s="542"/>
      <c r="BL83" s="542"/>
      <c r="BM83" s="542"/>
      <c r="BN83" s="542"/>
      <c r="BO83" s="542"/>
      <c r="BP83" s="2629"/>
      <c r="BQ83" s="542"/>
      <c r="BR83" s="542"/>
      <c r="BS83" s="542"/>
      <c r="BT83" s="542"/>
      <c r="BU83" s="542"/>
      <c r="BV83" s="542"/>
      <c r="BW83" s="542"/>
      <c r="BX83" s="542"/>
      <c r="BY83" s="542"/>
      <c r="BZ83" s="542"/>
      <c r="CA83" s="542"/>
      <c r="CB83" s="542"/>
      <c r="CC83" s="542"/>
      <c r="CD83" s="544"/>
      <c r="CE83" s="2629"/>
      <c r="CF83" s="2629"/>
    </row>
    <row r="84" spans="1:84" s="98" customFormat="1" ht="15" customHeight="1">
      <c r="A84" s="99"/>
      <c r="B84" s="2687"/>
      <c r="C84" s="2688"/>
      <c r="D84" s="2688" t="s">
        <v>2701</v>
      </c>
      <c r="E84" s="2688"/>
      <c r="F84" s="2688"/>
      <c r="G84" s="2645"/>
      <c r="H84" s="2645"/>
      <c r="I84" s="607" t="s">
        <v>498</v>
      </c>
      <c r="J84" s="143">
        <v>0</v>
      </c>
      <c r="K84" s="141">
        <v>9.1032648532332269E-3</v>
      </c>
      <c r="L84" s="141">
        <v>5.2475620181956305E-2</v>
      </c>
      <c r="M84" s="141">
        <v>0</v>
      </c>
      <c r="N84" s="141">
        <v>0</v>
      </c>
      <c r="O84" s="141">
        <v>3.1987634415708079E-4</v>
      </c>
      <c r="P84" s="141">
        <v>0</v>
      </c>
      <c r="Q84" s="144">
        <v>0</v>
      </c>
      <c r="R84" s="143">
        <v>0</v>
      </c>
      <c r="S84" s="141">
        <v>0</v>
      </c>
      <c r="T84" s="141">
        <v>0</v>
      </c>
      <c r="U84" s="141">
        <v>0</v>
      </c>
      <c r="V84" s="144">
        <v>0</v>
      </c>
      <c r="W84" s="2629"/>
      <c r="X84" s="2503"/>
      <c r="Y84" s="2503"/>
      <c r="Z84" s="2503"/>
      <c r="AA84" s="2503"/>
      <c r="AB84" s="2503"/>
      <c r="AC84" s="2503"/>
      <c r="AD84" s="2503"/>
      <c r="AE84" s="2503"/>
      <c r="AF84" s="2503"/>
      <c r="AG84" s="2503"/>
      <c r="AH84" s="2503"/>
      <c r="AI84" s="2503"/>
      <c r="AJ84" s="2503"/>
      <c r="AK84" s="2503"/>
      <c r="AL84" s="2629"/>
      <c r="AM84" s="607" t="s">
        <v>2233</v>
      </c>
      <c r="AN84" s="143">
        <v>0</v>
      </c>
      <c r="AO84" s="141">
        <v>2.9000000000000001E-2</v>
      </c>
      <c r="AP84" s="141">
        <v>0.252</v>
      </c>
      <c r="AQ84" s="141">
        <v>0</v>
      </c>
      <c r="AR84" s="141">
        <v>0</v>
      </c>
      <c r="AS84" s="141">
        <v>1E-3</v>
      </c>
      <c r="AT84" s="141">
        <v>0</v>
      </c>
      <c r="AU84" s="144">
        <v>0</v>
      </c>
      <c r="AV84" s="143">
        <v>0</v>
      </c>
      <c r="AW84" s="141">
        <v>0</v>
      </c>
      <c r="AX84" s="141">
        <v>0</v>
      </c>
      <c r="AY84" s="141">
        <v>0</v>
      </c>
      <c r="AZ84" s="144">
        <v>0</v>
      </c>
      <c r="BA84" s="2629"/>
      <c r="BB84" s="545" t="s">
        <v>627</v>
      </c>
      <c r="BC84" s="868">
        <v>0</v>
      </c>
      <c r="BD84" s="545" t="s">
        <v>627</v>
      </c>
      <c r="BE84" s="868">
        <v>0</v>
      </c>
      <c r="BF84" s="545" t="s">
        <v>2233</v>
      </c>
      <c r="BG84" s="141">
        <v>5.802692307692308E-2</v>
      </c>
      <c r="BH84" s="545" t="s">
        <v>2233</v>
      </c>
      <c r="BI84" s="141">
        <v>0</v>
      </c>
      <c r="BJ84" s="545" t="s">
        <v>2233</v>
      </c>
      <c r="BK84" s="141">
        <v>1.6269230769230772E-3</v>
      </c>
      <c r="BL84" s="545" t="s">
        <v>2233</v>
      </c>
      <c r="BM84" s="141">
        <v>2.2505769230769232E-2</v>
      </c>
      <c r="BN84" s="545" t="s">
        <v>2233</v>
      </c>
      <c r="BO84" s="141">
        <v>0.19984038461538464</v>
      </c>
      <c r="BP84" s="2629"/>
      <c r="BQ84" s="545" t="s">
        <v>627</v>
      </c>
      <c r="BR84" s="868">
        <v>0</v>
      </c>
      <c r="BS84" s="545" t="s">
        <v>627</v>
      </c>
      <c r="BT84" s="868">
        <v>0</v>
      </c>
      <c r="BU84" s="545" t="s">
        <v>2233</v>
      </c>
      <c r="BV84" s="141">
        <v>0</v>
      </c>
      <c r="BW84" s="545" t="s">
        <v>2233</v>
      </c>
      <c r="BX84" s="141">
        <v>0</v>
      </c>
      <c r="BY84" s="545" t="s">
        <v>2233</v>
      </c>
      <c r="BZ84" s="141">
        <v>0</v>
      </c>
      <c r="CA84" s="545" t="s">
        <v>2233</v>
      </c>
      <c r="CB84" s="141">
        <v>0</v>
      </c>
      <c r="CC84" s="545" t="s">
        <v>2233</v>
      </c>
      <c r="CD84" s="144">
        <v>0</v>
      </c>
      <c r="CE84" s="2629"/>
      <c r="CF84" s="2629"/>
    </row>
    <row r="85" spans="1:84" s="98" customFormat="1" ht="15" customHeight="1">
      <c r="A85" s="99"/>
      <c r="B85" s="2687"/>
      <c r="C85" s="2688"/>
      <c r="D85" s="2688" t="s">
        <v>2702</v>
      </c>
      <c r="E85" s="2688"/>
      <c r="F85" s="2688"/>
      <c r="G85" s="2645"/>
      <c r="H85" s="2645"/>
      <c r="I85" s="607" t="s">
        <v>498</v>
      </c>
      <c r="J85" s="143">
        <v>4.4759280972019345E-3</v>
      </c>
      <c r="K85" s="141">
        <v>0</v>
      </c>
      <c r="L85" s="141">
        <v>5.5817056720381807E-4</v>
      </c>
      <c r="M85" s="141">
        <v>0</v>
      </c>
      <c r="N85" s="141">
        <v>2.5643294828400814E-2</v>
      </c>
      <c r="O85" s="141">
        <v>0</v>
      </c>
      <c r="P85" s="141">
        <v>0</v>
      </c>
      <c r="Q85" s="144">
        <v>0</v>
      </c>
      <c r="R85" s="143">
        <v>0</v>
      </c>
      <c r="S85" s="141">
        <v>0</v>
      </c>
      <c r="T85" s="141">
        <v>0</v>
      </c>
      <c r="U85" s="141">
        <v>0</v>
      </c>
      <c r="V85" s="144">
        <v>0</v>
      </c>
      <c r="W85" s="2629"/>
      <c r="X85" s="2503"/>
      <c r="Y85" s="2503"/>
      <c r="Z85" s="2503"/>
      <c r="AA85" s="2503"/>
      <c r="AB85" s="2503"/>
      <c r="AC85" s="2503"/>
      <c r="AD85" s="2503"/>
      <c r="AE85" s="2503"/>
      <c r="AF85" s="2503"/>
      <c r="AG85" s="2503"/>
      <c r="AH85" s="2503"/>
      <c r="AI85" s="2503"/>
      <c r="AJ85" s="2503"/>
      <c r="AK85" s="2503"/>
      <c r="AL85" s="2629"/>
      <c r="AM85" s="607" t="s">
        <v>2233</v>
      </c>
      <c r="AN85" s="143">
        <v>1.2999999999999999E-2</v>
      </c>
      <c r="AO85" s="141">
        <v>0</v>
      </c>
      <c r="AP85" s="141">
        <v>1E-3</v>
      </c>
      <c r="AQ85" s="141">
        <v>0</v>
      </c>
      <c r="AR85" s="141">
        <v>3.5000000000000003E-2</v>
      </c>
      <c r="AS85" s="141"/>
      <c r="AT85" s="141">
        <v>0</v>
      </c>
      <c r="AU85" s="144">
        <v>0</v>
      </c>
      <c r="AV85" s="143">
        <v>0</v>
      </c>
      <c r="AW85" s="141">
        <v>0</v>
      </c>
      <c r="AX85" s="141">
        <v>0</v>
      </c>
      <c r="AY85" s="141">
        <v>0</v>
      </c>
      <c r="AZ85" s="144">
        <v>0</v>
      </c>
      <c r="BA85" s="2629"/>
      <c r="BB85" s="545" t="s">
        <v>627</v>
      </c>
      <c r="BC85" s="868">
        <v>0</v>
      </c>
      <c r="BD85" s="545" t="s">
        <v>627</v>
      </c>
      <c r="BE85" s="868">
        <v>0</v>
      </c>
      <c r="BF85" s="545" t="s">
        <v>2233</v>
      </c>
      <c r="BG85" s="141">
        <v>1.0082692307692308E-2</v>
      </c>
      <c r="BH85" s="545" t="s">
        <v>2233</v>
      </c>
      <c r="BI85" s="141">
        <v>0</v>
      </c>
      <c r="BJ85" s="545" t="s">
        <v>2233</v>
      </c>
      <c r="BK85" s="141">
        <v>2.8269230769230775E-4</v>
      </c>
      <c r="BL85" s="545" t="s">
        <v>2233</v>
      </c>
      <c r="BM85" s="141">
        <v>3.9105769230769229E-3</v>
      </c>
      <c r="BN85" s="545" t="s">
        <v>2233</v>
      </c>
      <c r="BO85" s="141">
        <v>3.4724038461538466E-2</v>
      </c>
      <c r="BP85" s="2629"/>
      <c r="BQ85" s="545" t="s">
        <v>627</v>
      </c>
      <c r="BR85" s="868">
        <v>0</v>
      </c>
      <c r="BS85" s="545" t="s">
        <v>627</v>
      </c>
      <c r="BT85" s="868">
        <v>0</v>
      </c>
      <c r="BU85" s="545" t="s">
        <v>2233</v>
      </c>
      <c r="BV85" s="141">
        <v>0</v>
      </c>
      <c r="BW85" s="545" t="s">
        <v>2233</v>
      </c>
      <c r="BX85" s="141">
        <v>0</v>
      </c>
      <c r="BY85" s="545" t="s">
        <v>2233</v>
      </c>
      <c r="BZ85" s="141">
        <v>0</v>
      </c>
      <c r="CA85" s="545" t="s">
        <v>2233</v>
      </c>
      <c r="CB85" s="141">
        <v>0</v>
      </c>
      <c r="CC85" s="545" t="s">
        <v>2233</v>
      </c>
      <c r="CD85" s="144">
        <v>0</v>
      </c>
      <c r="CE85" s="2629"/>
      <c r="CF85" s="2629"/>
    </row>
    <row r="86" spans="1:84" s="98" customFormat="1" ht="15" customHeight="1">
      <c r="A86" s="99"/>
      <c r="B86" s="2687"/>
      <c r="C86" s="2688"/>
      <c r="D86" s="2688" t="s">
        <v>2703</v>
      </c>
      <c r="E86" s="2688"/>
      <c r="F86" s="2688"/>
      <c r="G86" s="2645"/>
      <c r="H86" s="2645"/>
      <c r="I86" s="607" t="s">
        <v>498</v>
      </c>
      <c r="J86" s="143">
        <v>1.2320171545234147E-2</v>
      </c>
      <c r="K86" s="141">
        <v>0</v>
      </c>
      <c r="L86" s="141">
        <v>0</v>
      </c>
      <c r="M86" s="141">
        <v>0.15183063674710873</v>
      </c>
      <c r="N86" s="141">
        <v>0</v>
      </c>
      <c r="O86" s="141">
        <v>9.3516555472030624E-2</v>
      </c>
      <c r="P86" s="141">
        <v>0</v>
      </c>
      <c r="Q86" s="144">
        <v>0</v>
      </c>
      <c r="R86" s="143">
        <v>0</v>
      </c>
      <c r="S86" s="141">
        <v>0</v>
      </c>
      <c r="T86" s="141">
        <v>0</v>
      </c>
      <c r="U86" s="141">
        <v>0</v>
      </c>
      <c r="V86" s="144">
        <v>0</v>
      </c>
      <c r="W86" s="2629"/>
      <c r="X86" s="2503"/>
      <c r="Y86" s="2503"/>
      <c r="Z86" s="2503"/>
      <c r="AA86" s="2503"/>
      <c r="AB86" s="2503"/>
      <c r="AC86" s="2503"/>
      <c r="AD86" s="2503"/>
      <c r="AE86" s="2503"/>
      <c r="AF86" s="2503"/>
      <c r="AG86" s="2503"/>
      <c r="AH86" s="2503"/>
      <c r="AI86" s="2503"/>
      <c r="AJ86" s="2503"/>
      <c r="AK86" s="2503"/>
      <c r="AL86" s="2629"/>
      <c r="AM86" s="607" t="s">
        <v>2233</v>
      </c>
      <c r="AN86" s="143">
        <v>0.02</v>
      </c>
      <c r="AO86" s="141">
        <v>0</v>
      </c>
      <c r="AP86" s="141">
        <v>0</v>
      </c>
      <c r="AQ86" s="141">
        <v>0.4</v>
      </c>
      <c r="AR86" s="141">
        <v>0</v>
      </c>
      <c r="AS86" s="141">
        <v>0.14599999999999999</v>
      </c>
      <c r="AT86" s="141">
        <v>0</v>
      </c>
      <c r="AU86" s="144">
        <v>0</v>
      </c>
      <c r="AV86" s="143">
        <v>0</v>
      </c>
      <c r="AW86" s="141">
        <v>0</v>
      </c>
      <c r="AX86" s="141">
        <v>0</v>
      </c>
      <c r="AY86" s="141">
        <v>0</v>
      </c>
      <c r="AZ86" s="144">
        <v>0</v>
      </c>
      <c r="BA86" s="2629"/>
      <c r="BB86" s="545" t="s">
        <v>627</v>
      </c>
      <c r="BC86" s="868">
        <v>0</v>
      </c>
      <c r="BD86" s="545" t="s">
        <v>627</v>
      </c>
      <c r="BE86" s="868">
        <v>0</v>
      </c>
      <c r="BF86" s="545" t="s">
        <v>2233</v>
      </c>
      <c r="BG86" s="141">
        <v>0.11646538461538462</v>
      </c>
      <c r="BH86" s="545" t="s">
        <v>2233</v>
      </c>
      <c r="BI86" s="141">
        <v>0</v>
      </c>
      <c r="BJ86" s="545" t="s">
        <v>2233</v>
      </c>
      <c r="BK86" s="141">
        <v>3.2653846153846157E-3</v>
      </c>
      <c r="BL86" s="545" t="s">
        <v>2233</v>
      </c>
      <c r="BM86" s="141">
        <v>4.5171153846153847E-2</v>
      </c>
      <c r="BN86" s="545" t="s">
        <v>2233</v>
      </c>
      <c r="BO86" s="141">
        <v>0.40109807692307697</v>
      </c>
      <c r="BP86" s="2629"/>
      <c r="BQ86" s="545" t="s">
        <v>627</v>
      </c>
      <c r="BR86" s="868">
        <v>0</v>
      </c>
      <c r="BS86" s="545" t="s">
        <v>627</v>
      </c>
      <c r="BT86" s="868">
        <v>0</v>
      </c>
      <c r="BU86" s="545" t="s">
        <v>2233</v>
      </c>
      <c r="BV86" s="141">
        <v>0</v>
      </c>
      <c r="BW86" s="545" t="s">
        <v>2233</v>
      </c>
      <c r="BX86" s="141">
        <v>0</v>
      </c>
      <c r="BY86" s="545" t="s">
        <v>2233</v>
      </c>
      <c r="BZ86" s="141">
        <v>0</v>
      </c>
      <c r="CA86" s="545" t="s">
        <v>2233</v>
      </c>
      <c r="CB86" s="141">
        <v>0</v>
      </c>
      <c r="CC86" s="545" t="s">
        <v>2233</v>
      </c>
      <c r="CD86" s="144">
        <v>0</v>
      </c>
      <c r="CE86" s="2629"/>
      <c r="CF86" s="2629"/>
    </row>
    <row r="87" spans="1:84" s="98" customFormat="1" ht="15" customHeight="1">
      <c r="A87" s="99"/>
      <c r="B87" s="2687"/>
      <c r="C87" s="2688"/>
      <c r="D87" s="2688" t="s">
        <v>2704</v>
      </c>
      <c r="E87" s="2688"/>
      <c r="F87" s="2688"/>
      <c r="G87" s="2645"/>
      <c r="H87" s="2645"/>
      <c r="I87" s="607" t="s">
        <v>498</v>
      </c>
      <c r="J87" s="143">
        <v>0</v>
      </c>
      <c r="K87" s="141">
        <v>0</v>
      </c>
      <c r="L87" s="141">
        <v>9.0469223535405831E-4</v>
      </c>
      <c r="M87" s="141">
        <v>0</v>
      </c>
      <c r="N87" s="141">
        <v>0</v>
      </c>
      <c r="O87" s="141">
        <v>0</v>
      </c>
      <c r="P87" s="141">
        <v>0</v>
      </c>
      <c r="Q87" s="144">
        <v>0</v>
      </c>
      <c r="R87" s="143">
        <v>0</v>
      </c>
      <c r="S87" s="141">
        <v>0</v>
      </c>
      <c r="T87" s="141">
        <v>0</v>
      </c>
      <c r="U87" s="141">
        <v>0</v>
      </c>
      <c r="V87" s="144">
        <v>0</v>
      </c>
      <c r="W87" s="2629"/>
      <c r="X87" s="2503"/>
      <c r="Y87" s="2503"/>
      <c r="Z87" s="2503"/>
      <c r="AA87" s="2503"/>
      <c r="AB87" s="2503"/>
      <c r="AC87" s="2503"/>
      <c r="AD87" s="2503"/>
      <c r="AE87" s="2503"/>
      <c r="AF87" s="2503"/>
      <c r="AG87" s="2503"/>
      <c r="AH87" s="2503"/>
      <c r="AI87" s="2503"/>
      <c r="AJ87" s="2503"/>
      <c r="AK87" s="2503"/>
      <c r="AL87" s="2629"/>
      <c r="AM87" s="607" t="s">
        <v>2233</v>
      </c>
      <c r="AN87" s="143">
        <v>0</v>
      </c>
      <c r="AO87" s="141">
        <v>0</v>
      </c>
      <c r="AP87" s="141">
        <v>3.0000000000000001E-3</v>
      </c>
      <c r="AQ87" s="141">
        <v>0</v>
      </c>
      <c r="AR87" s="141">
        <v>0</v>
      </c>
      <c r="AS87" s="141"/>
      <c r="AT87" s="141">
        <v>0</v>
      </c>
      <c r="AU87" s="144">
        <v>0</v>
      </c>
      <c r="AV87" s="143">
        <v>0</v>
      </c>
      <c r="AW87" s="141">
        <v>0</v>
      </c>
      <c r="AX87" s="141">
        <v>0</v>
      </c>
      <c r="AY87" s="141">
        <v>0</v>
      </c>
      <c r="AZ87" s="144">
        <v>0</v>
      </c>
      <c r="BA87" s="2629"/>
      <c r="BB87" s="545" t="s">
        <v>627</v>
      </c>
      <c r="BC87" s="868">
        <v>0</v>
      </c>
      <c r="BD87" s="545" t="s">
        <v>627</v>
      </c>
      <c r="BE87" s="868">
        <v>0</v>
      </c>
      <c r="BF87" s="545" t="s">
        <v>2233</v>
      </c>
      <c r="BG87" s="141">
        <v>6.1730769230769228E-4</v>
      </c>
      <c r="BH87" s="545" t="s">
        <v>2233</v>
      </c>
      <c r="BI87" s="141">
        <v>0</v>
      </c>
      <c r="BJ87" s="545" t="s">
        <v>2233</v>
      </c>
      <c r="BK87" s="141">
        <v>1.7307692307692309E-5</v>
      </c>
      <c r="BL87" s="545" t="s">
        <v>2233</v>
      </c>
      <c r="BM87" s="141">
        <v>2.394230769230769E-4</v>
      </c>
      <c r="BN87" s="545" t="s">
        <v>2233</v>
      </c>
      <c r="BO87" s="141">
        <v>2.1259615384615388E-3</v>
      </c>
      <c r="BP87" s="2629"/>
      <c r="BQ87" s="545" t="s">
        <v>627</v>
      </c>
      <c r="BR87" s="868">
        <v>0</v>
      </c>
      <c r="BS87" s="545" t="s">
        <v>627</v>
      </c>
      <c r="BT87" s="868">
        <v>0</v>
      </c>
      <c r="BU87" s="545" t="s">
        <v>2233</v>
      </c>
      <c r="BV87" s="141">
        <v>0</v>
      </c>
      <c r="BW87" s="545" t="s">
        <v>2233</v>
      </c>
      <c r="BX87" s="141">
        <v>0</v>
      </c>
      <c r="BY87" s="545" t="s">
        <v>2233</v>
      </c>
      <c r="BZ87" s="141">
        <v>0</v>
      </c>
      <c r="CA87" s="545" t="s">
        <v>2233</v>
      </c>
      <c r="CB87" s="141">
        <v>0</v>
      </c>
      <c r="CC87" s="545" t="s">
        <v>2233</v>
      </c>
      <c r="CD87" s="144">
        <v>0</v>
      </c>
      <c r="CE87" s="2629"/>
      <c r="CF87" s="2629"/>
    </row>
    <row r="88" spans="1:84" s="98" customFormat="1" ht="15" customHeight="1">
      <c r="A88" s="99"/>
      <c r="B88" s="2687"/>
      <c r="C88" s="2688"/>
      <c r="D88" s="2688" t="s">
        <v>2705</v>
      </c>
      <c r="E88" s="2688"/>
      <c r="F88" s="2688"/>
      <c r="G88" s="2645"/>
      <c r="H88" s="2645"/>
      <c r="I88" s="607" t="s">
        <v>498</v>
      </c>
      <c r="J88" s="143">
        <v>0.75366122839584182</v>
      </c>
      <c r="K88" s="141">
        <v>0</v>
      </c>
      <c r="L88" s="141">
        <v>0</v>
      </c>
      <c r="M88" s="141">
        <v>0</v>
      </c>
      <c r="N88" s="141">
        <v>0</v>
      </c>
      <c r="O88" s="141">
        <v>0</v>
      </c>
      <c r="P88" s="141">
        <v>0</v>
      </c>
      <c r="Q88" s="144">
        <v>0</v>
      </c>
      <c r="R88" s="143">
        <v>0</v>
      </c>
      <c r="S88" s="141">
        <v>0</v>
      </c>
      <c r="T88" s="141">
        <v>0</v>
      </c>
      <c r="U88" s="141">
        <v>0</v>
      </c>
      <c r="V88" s="144">
        <v>0</v>
      </c>
      <c r="W88" s="2629"/>
      <c r="X88" s="2503"/>
      <c r="Y88" s="2503"/>
      <c r="Z88" s="2503"/>
      <c r="AA88" s="2503"/>
      <c r="AB88" s="2503"/>
      <c r="AC88" s="2503"/>
      <c r="AD88" s="2503"/>
      <c r="AE88" s="2503"/>
      <c r="AF88" s="2503"/>
      <c r="AG88" s="2503"/>
      <c r="AH88" s="2503"/>
      <c r="AI88" s="2503"/>
      <c r="AJ88" s="2503"/>
      <c r="AK88" s="2503"/>
      <c r="AL88" s="2629"/>
      <c r="AM88" s="607" t="s">
        <v>2233</v>
      </c>
      <c r="AN88" s="143">
        <v>0.89700000000000002</v>
      </c>
      <c r="AO88" s="141">
        <v>0</v>
      </c>
      <c r="AP88" s="141">
        <v>0</v>
      </c>
      <c r="AQ88" s="141">
        <v>0</v>
      </c>
      <c r="AR88" s="141">
        <v>0</v>
      </c>
      <c r="AS88" s="141"/>
      <c r="AT88" s="141">
        <v>0</v>
      </c>
      <c r="AU88" s="144">
        <v>0</v>
      </c>
      <c r="AV88" s="143">
        <v>0</v>
      </c>
      <c r="AW88" s="141">
        <v>0</v>
      </c>
      <c r="AX88" s="141">
        <v>0</v>
      </c>
      <c r="AY88" s="141">
        <v>0</v>
      </c>
      <c r="AZ88" s="144">
        <v>0</v>
      </c>
      <c r="BA88" s="2629"/>
      <c r="BB88" s="545" t="s">
        <v>627</v>
      </c>
      <c r="BC88" s="868">
        <v>0</v>
      </c>
      <c r="BD88" s="545" t="s">
        <v>627</v>
      </c>
      <c r="BE88" s="868">
        <v>0</v>
      </c>
      <c r="BF88" s="545" t="s">
        <v>2233</v>
      </c>
      <c r="BG88" s="141">
        <v>0.18457499999999999</v>
      </c>
      <c r="BH88" s="545" t="s">
        <v>2233</v>
      </c>
      <c r="BI88" s="141">
        <v>0</v>
      </c>
      <c r="BJ88" s="545" t="s">
        <v>2233</v>
      </c>
      <c r="BK88" s="141">
        <v>5.1750000000000008E-3</v>
      </c>
      <c r="BL88" s="545" t="s">
        <v>2233</v>
      </c>
      <c r="BM88" s="141">
        <v>7.1587499999999998E-2</v>
      </c>
      <c r="BN88" s="545" t="s">
        <v>2233</v>
      </c>
      <c r="BO88" s="141">
        <v>0.63566250000000002</v>
      </c>
      <c r="BP88" s="2629"/>
      <c r="BQ88" s="545" t="s">
        <v>627</v>
      </c>
      <c r="BR88" s="868">
        <v>0</v>
      </c>
      <c r="BS88" s="545" t="s">
        <v>627</v>
      </c>
      <c r="BT88" s="868">
        <v>0</v>
      </c>
      <c r="BU88" s="545" t="s">
        <v>2233</v>
      </c>
      <c r="BV88" s="141">
        <v>0</v>
      </c>
      <c r="BW88" s="545" t="s">
        <v>2233</v>
      </c>
      <c r="BX88" s="141">
        <v>0</v>
      </c>
      <c r="BY88" s="545" t="s">
        <v>2233</v>
      </c>
      <c r="BZ88" s="141">
        <v>0</v>
      </c>
      <c r="CA88" s="545" t="s">
        <v>2233</v>
      </c>
      <c r="CB88" s="141">
        <v>0</v>
      </c>
      <c r="CC88" s="545" t="s">
        <v>2233</v>
      </c>
      <c r="CD88" s="144">
        <v>0</v>
      </c>
      <c r="CE88" s="2629"/>
      <c r="CF88" s="2629"/>
    </row>
    <row r="89" spans="1:84" s="98" customFormat="1" ht="15" customHeight="1">
      <c r="A89" s="99"/>
      <c r="B89" s="2687"/>
      <c r="C89" s="2688"/>
      <c r="D89" s="2688" t="s">
        <v>2706</v>
      </c>
      <c r="E89" s="2688"/>
      <c r="F89" s="2688"/>
      <c r="G89" s="2645"/>
      <c r="H89" s="2645"/>
      <c r="I89" s="607" t="s">
        <v>498</v>
      </c>
      <c r="J89" s="143">
        <v>0</v>
      </c>
      <c r="K89" s="141">
        <v>0</v>
      </c>
      <c r="L89" s="141">
        <v>0</v>
      </c>
      <c r="M89" s="141">
        <v>0</v>
      </c>
      <c r="N89" s="141">
        <v>0</v>
      </c>
      <c r="O89" s="141">
        <v>0</v>
      </c>
      <c r="P89" s="141">
        <v>0</v>
      </c>
      <c r="Q89" s="144">
        <v>0</v>
      </c>
      <c r="R89" s="143">
        <v>0</v>
      </c>
      <c r="S89" s="141">
        <v>0</v>
      </c>
      <c r="T89" s="141">
        <v>0</v>
      </c>
      <c r="U89" s="141">
        <v>0</v>
      </c>
      <c r="V89" s="144">
        <v>0</v>
      </c>
      <c r="W89" s="2629"/>
      <c r="X89" s="2503"/>
      <c r="Y89" s="2503"/>
      <c r="Z89" s="2503"/>
      <c r="AA89" s="2503"/>
      <c r="AB89" s="2503"/>
      <c r="AC89" s="2503"/>
      <c r="AD89" s="2503"/>
      <c r="AE89" s="2503"/>
      <c r="AF89" s="2503"/>
      <c r="AG89" s="2503"/>
      <c r="AH89" s="2503"/>
      <c r="AI89" s="2503"/>
      <c r="AJ89" s="2503"/>
      <c r="AK89" s="2503"/>
      <c r="AL89" s="2629"/>
      <c r="AM89" s="607" t="s">
        <v>2233</v>
      </c>
      <c r="AN89" s="143">
        <v>0</v>
      </c>
      <c r="AO89" s="141">
        <v>0</v>
      </c>
      <c r="AP89" s="141">
        <v>0</v>
      </c>
      <c r="AQ89" s="141">
        <v>0</v>
      </c>
      <c r="AR89" s="141">
        <v>0</v>
      </c>
      <c r="AS89" s="141"/>
      <c r="AT89" s="141">
        <v>0</v>
      </c>
      <c r="AU89" s="144">
        <v>0</v>
      </c>
      <c r="AV89" s="143">
        <v>0</v>
      </c>
      <c r="AW89" s="141">
        <v>0</v>
      </c>
      <c r="AX89" s="141">
        <v>0</v>
      </c>
      <c r="AY89" s="141">
        <v>0</v>
      </c>
      <c r="AZ89" s="144">
        <v>0</v>
      </c>
      <c r="BA89" s="2629"/>
      <c r="BB89" s="545" t="s">
        <v>627</v>
      </c>
      <c r="BC89" s="868">
        <v>0</v>
      </c>
      <c r="BD89" s="545" t="s">
        <v>627</v>
      </c>
      <c r="BE89" s="868">
        <v>0</v>
      </c>
      <c r="BF89" s="545" t="s">
        <v>2233</v>
      </c>
      <c r="BG89" s="141">
        <v>0</v>
      </c>
      <c r="BH89" s="545" t="s">
        <v>2233</v>
      </c>
      <c r="BI89" s="141">
        <v>0</v>
      </c>
      <c r="BJ89" s="545" t="s">
        <v>2233</v>
      </c>
      <c r="BK89" s="141">
        <v>0</v>
      </c>
      <c r="BL89" s="545" t="s">
        <v>2233</v>
      </c>
      <c r="BM89" s="141">
        <v>0</v>
      </c>
      <c r="BN89" s="545" t="s">
        <v>2233</v>
      </c>
      <c r="BO89" s="141">
        <v>0</v>
      </c>
      <c r="BP89" s="2629"/>
      <c r="BQ89" s="545" t="s">
        <v>627</v>
      </c>
      <c r="BR89" s="868">
        <v>0</v>
      </c>
      <c r="BS89" s="545" t="s">
        <v>627</v>
      </c>
      <c r="BT89" s="868">
        <v>0</v>
      </c>
      <c r="BU89" s="545" t="s">
        <v>2233</v>
      </c>
      <c r="BV89" s="141">
        <v>0</v>
      </c>
      <c r="BW89" s="545" t="s">
        <v>2233</v>
      </c>
      <c r="BX89" s="141">
        <v>0</v>
      </c>
      <c r="BY89" s="545" t="s">
        <v>2233</v>
      </c>
      <c r="BZ89" s="141">
        <v>0</v>
      </c>
      <c r="CA89" s="545" t="s">
        <v>2233</v>
      </c>
      <c r="CB89" s="141">
        <v>0</v>
      </c>
      <c r="CC89" s="545" t="s">
        <v>2233</v>
      </c>
      <c r="CD89" s="144">
        <v>0</v>
      </c>
      <c r="CE89" s="2629"/>
      <c r="CF89" s="2629"/>
    </row>
    <row r="90" spans="1:84" s="98" customFormat="1" ht="15" customHeight="1">
      <c r="A90" s="99"/>
      <c r="B90" s="2687"/>
      <c r="C90" s="2688"/>
      <c r="D90" s="2688" t="s">
        <v>2707</v>
      </c>
      <c r="E90" s="2688"/>
      <c r="F90" s="2688"/>
      <c r="G90" s="2645"/>
      <c r="H90" s="2645"/>
      <c r="I90" s="607" t="s">
        <v>498</v>
      </c>
      <c r="J90" s="143">
        <v>0</v>
      </c>
      <c r="K90" s="141">
        <v>0</v>
      </c>
      <c r="L90" s="141">
        <v>0</v>
      </c>
      <c r="M90" s="141">
        <v>0</v>
      </c>
      <c r="N90" s="141">
        <v>0</v>
      </c>
      <c r="O90" s="141">
        <v>0</v>
      </c>
      <c r="P90" s="141">
        <v>0</v>
      </c>
      <c r="Q90" s="144">
        <v>0</v>
      </c>
      <c r="R90" s="143">
        <v>0</v>
      </c>
      <c r="S90" s="141">
        <v>0</v>
      </c>
      <c r="T90" s="141">
        <v>0</v>
      </c>
      <c r="U90" s="141">
        <v>0</v>
      </c>
      <c r="V90" s="144">
        <v>0</v>
      </c>
      <c r="W90" s="2629"/>
      <c r="X90" s="2503"/>
      <c r="Y90" s="2503"/>
      <c r="Z90" s="2503"/>
      <c r="AA90" s="2503"/>
      <c r="AB90" s="2503"/>
      <c r="AC90" s="2503"/>
      <c r="AD90" s="2503"/>
      <c r="AE90" s="2503"/>
      <c r="AF90" s="2503"/>
      <c r="AG90" s="2503"/>
      <c r="AH90" s="2503"/>
      <c r="AI90" s="2503"/>
      <c r="AJ90" s="2503"/>
      <c r="AK90" s="2503"/>
      <c r="AL90" s="2629"/>
      <c r="AM90" s="607" t="s">
        <v>2233</v>
      </c>
      <c r="AN90" s="143">
        <v>0</v>
      </c>
      <c r="AO90" s="141">
        <v>0</v>
      </c>
      <c r="AP90" s="141">
        <v>0</v>
      </c>
      <c r="AQ90" s="141">
        <v>0</v>
      </c>
      <c r="AR90" s="141">
        <v>0</v>
      </c>
      <c r="AS90" s="141"/>
      <c r="AT90" s="141">
        <v>0</v>
      </c>
      <c r="AU90" s="144">
        <v>0</v>
      </c>
      <c r="AV90" s="143">
        <v>0</v>
      </c>
      <c r="AW90" s="141">
        <v>0</v>
      </c>
      <c r="AX90" s="141">
        <v>0</v>
      </c>
      <c r="AY90" s="141">
        <v>0</v>
      </c>
      <c r="AZ90" s="144">
        <v>0</v>
      </c>
      <c r="BA90" s="2629"/>
      <c r="BB90" s="545" t="s">
        <v>627</v>
      </c>
      <c r="BC90" s="868">
        <v>0</v>
      </c>
      <c r="BD90" s="545" t="s">
        <v>627</v>
      </c>
      <c r="BE90" s="868">
        <v>0</v>
      </c>
      <c r="BF90" s="545" t="s">
        <v>2233</v>
      </c>
      <c r="BG90" s="141">
        <v>0</v>
      </c>
      <c r="BH90" s="545" t="s">
        <v>2233</v>
      </c>
      <c r="BI90" s="141">
        <v>0</v>
      </c>
      <c r="BJ90" s="545" t="s">
        <v>2233</v>
      </c>
      <c r="BK90" s="141">
        <v>0</v>
      </c>
      <c r="BL90" s="545" t="s">
        <v>2233</v>
      </c>
      <c r="BM90" s="141">
        <v>0</v>
      </c>
      <c r="BN90" s="545" t="s">
        <v>2233</v>
      </c>
      <c r="BO90" s="141">
        <v>0</v>
      </c>
      <c r="BP90" s="2629"/>
      <c r="BQ90" s="545" t="s">
        <v>627</v>
      </c>
      <c r="BR90" s="868">
        <v>0</v>
      </c>
      <c r="BS90" s="545" t="s">
        <v>627</v>
      </c>
      <c r="BT90" s="868">
        <v>0</v>
      </c>
      <c r="BU90" s="545" t="s">
        <v>2233</v>
      </c>
      <c r="BV90" s="141">
        <v>0</v>
      </c>
      <c r="BW90" s="545" t="s">
        <v>2233</v>
      </c>
      <c r="BX90" s="141">
        <v>0</v>
      </c>
      <c r="BY90" s="545" t="s">
        <v>2233</v>
      </c>
      <c r="BZ90" s="141">
        <v>0</v>
      </c>
      <c r="CA90" s="545" t="s">
        <v>2233</v>
      </c>
      <c r="CB90" s="141">
        <v>0</v>
      </c>
      <c r="CC90" s="545" t="s">
        <v>2233</v>
      </c>
      <c r="CD90" s="144">
        <v>0</v>
      </c>
      <c r="CE90" s="2629"/>
      <c r="CF90" s="2629"/>
    </row>
    <row r="91" spans="1:84" s="98" customFormat="1" ht="15" customHeight="1">
      <c r="A91" s="99"/>
      <c r="B91" s="2687"/>
      <c r="C91" s="2688"/>
      <c r="D91" s="2688" t="s">
        <v>2708</v>
      </c>
      <c r="E91" s="2688"/>
      <c r="F91" s="2688"/>
      <c r="G91" s="2645"/>
      <c r="H91" s="2645"/>
      <c r="I91" s="607" t="s">
        <v>498</v>
      </c>
      <c r="J91" s="143">
        <v>0</v>
      </c>
      <c r="K91" s="141">
        <v>0</v>
      </c>
      <c r="L91" s="141">
        <v>0</v>
      </c>
      <c r="M91" s="141">
        <v>0</v>
      </c>
      <c r="N91" s="141">
        <v>0</v>
      </c>
      <c r="O91" s="141">
        <v>0</v>
      </c>
      <c r="P91" s="141">
        <v>0</v>
      </c>
      <c r="Q91" s="144">
        <v>0</v>
      </c>
      <c r="R91" s="143">
        <v>0</v>
      </c>
      <c r="S91" s="141">
        <v>0</v>
      </c>
      <c r="T91" s="141">
        <v>0</v>
      </c>
      <c r="U91" s="141">
        <v>0</v>
      </c>
      <c r="V91" s="144">
        <v>0</v>
      </c>
      <c r="W91" s="2629"/>
      <c r="X91" s="2503"/>
      <c r="Y91" s="2503"/>
      <c r="Z91" s="2503"/>
      <c r="AA91" s="2503"/>
      <c r="AB91" s="2503"/>
      <c r="AC91" s="2503"/>
      <c r="AD91" s="2503"/>
      <c r="AE91" s="2503"/>
      <c r="AF91" s="2503"/>
      <c r="AG91" s="2503"/>
      <c r="AH91" s="2503"/>
      <c r="AI91" s="2503"/>
      <c r="AJ91" s="2503"/>
      <c r="AK91" s="2503"/>
      <c r="AL91" s="2629"/>
      <c r="AM91" s="607" t="s">
        <v>2233</v>
      </c>
      <c r="AN91" s="143">
        <v>0</v>
      </c>
      <c r="AO91" s="141">
        <v>0</v>
      </c>
      <c r="AP91" s="141">
        <v>0</v>
      </c>
      <c r="AQ91" s="141">
        <v>0</v>
      </c>
      <c r="AR91" s="141">
        <v>0</v>
      </c>
      <c r="AS91" s="141"/>
      <c r="AT91" s="141">
        <v>0</v>
      </c>
      <c r="AU91" s="144">
        <v>0</v>
      </c>
      <c r="AV91" s="143">
        <v>0</v>
      </c>
      <c r="AW91" s="141">
        <v>0</v>
      </c>
      <c r="AX91" s="141">
        <v>0</v>
      </c>
      <c r="AY91" s="141">
        <v>0</v>
      </c>
      <c r="AZ91" s="144">
        <v>0</v>
      </c>
      <c r="BA91" s="2629"/>
      <c r="BB91" s="545" t="s">
        <v>627</v>
      </c>
      <c r="BC91" s="868">
        <v>0</v>
      </c>
      <c r="BD91" s="545" t="s">
        <v>627</v>
      </c>
      <c r="BE91" s="868">
        <v>0</v>
      </c>
      <c r="BF91" s="545" t="s">
        <v>2233</v>
      </c>
      <c r="BG91" s="141">
        <v>0</v>
      </c>
      <c r="BH91" s="545" t="s">
        <v>2233</v>
      </c>
      <c r="BI91" s="141">
        <v>0</v>
      </c>
      <c r="BJ91" s="545" t="s">
        <v>2233</v>
      </c>
      <c r="BK91" s="141">
        <v>0</v>
      </c>
      <c r="BL91" s="545" t="s">
        <v>2233</v>
      </c>
      <c r="BM91" s="141">
        <v>0</v>
      </c>
      <c r="BN91" s="545" t="s">
        <v>2233</v>
      </c>
      <c r="BO91" s="141">
        <v>0</v>
      </c>
      <c r="BP91" s="2629"/>
      <c r="BQ91" s="545" t="s">
        <v>627</v>
      </c>
      <c r="BR91" s="868">
        <v>0</v>
      </c>
      <c r="BS91" s="545" t="s">
        <v>627</v>
      </c>
      <c r="BT91" s="868">
        <v>0</v>
      </c>
      <c r="BU91" s="545" t="s">
        <v>2233</v>
      </c>
      <c r="BV91" s="141">
        <v>0</v>
      </c>
      <c r="BW91" s="545" t="s">
        <v>2233</v>
      </c>
      <c r="BX91" s="141">
        <v>0</v>
      </c>
      <c r="BY91" s="545" t="s">
        <v>2233</v>
      </c>
      <c r="BZ91" s="141">
        <v>0</v>
      </c>
      <c r="CA91" s="545" t="s">
        <v>2233</v>
      </c>
      <c r="CB91" s="141">
        <v>0</v>
      </c>
      <c r="CC91" s="545" t="s">
        <v>2233</v>
      </c>
      <c r="CD91" s="144">
        <v>0</v>
      </c>
      <c r="CE91" s="2629"/>
      <c r="CF91" s="2629"/>
    </row>
    <row r="92" spans="1:84" s="98" customFormat="1" ht="15" customHeight="1">
      <c r="A92" s="99"/>
      <c r="B92" s="2687"/>
      <c r="C92" s="2688" t="s">
        <v>1710</v>
      </c>
      <c r="D92" s="2688"/>
      <c r="E92" s="2688"/>
      <c r="F92" s="2688"/>
      <c r="G92" s="2645"/>
      <c r="H92" s="2645"/>
      <c r="I92" s="607" t="s">
        <v>498</v>
      </c>
      <c r="J92" s="641">
        <f>SUM(J84:J91)</f>
        <v>0.77045732803827793</v>
      </c>
      <c r="K92" s="642">
        <f t="shared" ref="K92:V92" si="19">SUM(K84:K91)</f>
        <v>9.1032648532332269E-3</v>
      </c>
      <c r="L92" s="642">
        <f t="shared" si="19"/>
        <v>5.3938482984514181E-2</v>
      </c>
      <c r="M92" s="642">
        <f t="shared" si="19"/>
        <v>0.15183063674710873</v>
      </c>
      <c r="N92" s="642">
        <f t="shared" si="19"/>
        <v>2.5643294828400814E-2</v>
      </c>
      <c r="O92" s="642">
        <f t="shared" si="19"/>
        <v>9.3836431816187699E-2</v>
      </c>
      <c r="P92" s="642">
        <f t="shared" si="19"/>
        <v>0</v>
      </c>
      <c r="Q92" s="643">
        <f t="shared" si="19"/>
        <v>0</v>
      </c>
      <c r="R92" s="641">
        <f t="shared" si="19"/>
        <v>0</v>
      </c>
      <c r="S92" s="642">
        <f t="shared" si="19"/>
        <v>0</v>
      </c>
      <c r="T92" s="642">
        <f t="shared" si="19"/>
        <v>0</v>
      </c>
      <c r="U92" s="642">
        <f t="shared" si="19"/>
        <v>0</v>
      </c>
      <c r="V92" s="643">
        <f t="shared" si="19"/>
        <v>0</v>
      </c>
      <c r="W92" s="2629"/>
      <c r="X92" s="2503"/>
      <c r="Y92" s="2503"/>
      <c r="Z92" s="2503"/>
      <c r="AA92" s="2503"/>
      <c r="AB92" s="2503"/>
      <c r="AC92" s="2503"/>
      <c r="AD92" s="2503"/>
      <c r="AE92" s="2503"/>
      <c r="AF92" s="2503"/>
      <c r="AG92" s="2503"/>
      <c r="AH92" s="2503"/>
      <c r="AI92" s="2503"/>
      <c r="AJ92" s="2503"/>
      <c r="AK92" s="2503"/>
      <c r="AL92" s="2629"/>
      <c r="AM92" s="607" t="s">
        <v>2233</v>
      </c>
      <c r="AN92" s="641">
        <f>SUM(AN84:AN91)</f>
        <v>0.93</v>
      </c>
      <c r="AO92" s="642">
        <f t="shared" ref="AO92:AZ92" si="20">SUM(AO84:AO91)</f>
        <v>2.9000000000000001E-2</v>
      </c>
      <c r="AP92" s="642">
        <f t="shared" si="20"/>
        <v>0.25600000000000001</v>
      </c>
      <c r="AQ92" s="642">
        <f t="shared" si="20"/>
        <v>0.4</v>
      </c>
      <c r="AR92" s="642">
        <f t="shared" si="20"/>
        <v>3.5000000000000003E-2</v>
      </c>
      <c r="AS92" s="642">
        <f t="shared" si="20"/>
        <v>0.14699999999999999</v>
      </c>
      <c r="AT92" s="642">
        <f t="shared" si="20"/>
        <v>0</v>
      </c>
      <c r="AU92" s="643">
        <f t="shared" si="20"/>
        <v>0</v>
      </c>
      <c r="AV92" s="641">
        <f t="shared" si="20"/>
        <v>0</v>
      </c>
      <c r="AW92" s="642">
        <f t="shared" si="20"/>
        <v>0</v>
      </c>
      <c r="AX92" s="642">
        <f t="shared" si="20"/>
        <v>0</v>
      </c>
      <c r="AY92" s="642">
        <f t="shared" si="20"/>
        <v>0</v>
      </c>
      <c r="AZ92" s="643">
        <f t="shared" si="20"/>
        <v>0</v>
      </c>
      <c r="BA92" s="2629"/>
      <c r="BB92" s="542"/>
      <c r="BC92" s="542"/>
      <c r="BD92" s="542"/>
      <c r="BE92" s="542"/>
      <c r="BF92" s="545" t="s">
        <v>2233</v>
      </c>
      <c r="BG92" s="642">
        <f>SUM(BG84:BG91)</f>
        <v>0.3697673076923077</v>
      </c>
      <c r="BH92" s="545" t="s">
        <v>2233</v>
      </c>
      <c r="BI92" s="642">
        <f>SUM(BI84:BI91)</f>
        <v>0</v>
      </c>
      <c r="BJ92" s="545" t="s">
        <v>2233</v>
      </c>
      <c r="BK92" s="642">
        <f>SUM(BK84:BK91)</f>
        <v>1.0367307692307693E-2</v>
      </c>
      <c r="BL92" s="545" t="s">
        <v>2233</v>
      </c>
      <c r="BM92" s="642">
        <f>SUM(BM84:BM91)</f>
        <v>0.14341442307692309</v>
      </c>
      <c r="BN92" s="545" t="s">
        <v>2233</v>
      </c>
      <c r="BO92" s="642">
        <f>SUM(BO84:BO91)</f>
        <v>1.2734509615384617</v>
      </c>
      <c r="BP92" s="2629"/>
      <c r="BQ92" s="542"/>
      <c r="BR92" s="542"/>
      <c r="BS92" s="542"/>
      <c r="BT92" s="542"/>
      <c r="BU92" s="545" t="s">
        <v>2233</v>
      </c>
      <c r="BV92" s="642">
        <f>SUM(BV84:BV91)</f>
        <v>0</v>
      </c>
      <c r="BW92" s="545" t="s">
        <v>2233</v>
      </c>
      <c r="BX92" s="642">
        <f>SUM(BX84:BX91)</f>
        <v>0</v>
      </c>
      <c r="BY92" s="545" t="s">
        <v>2233</v>
      </c>
      <c r="BZ92" s="642">
        <f>SUM(BZ84:BZ91)</f>
        <v>0</v>
      </c>
      <c r="CA92" s="545" t="s">
        <v>2233</v>
      </c>
      <c r="CB92" s="642">
        <f>SUM(CB84:CB91)</f>
        <v>0</v>
      </c>
      <c r="CC92" s="545" t="s">
        <v>2233</v>
      </c>
      <c r="CD92" s="643">
        <f>SUM(CD84:CD91)</f>
        <v>0</v>
      </c>
      <c r="CE92" s="2629"/>
      <c r="CF92" s="2629"/>
    </row>
    <row r="93" spans="1:84" s="98" customFormat="1" ht="15" customHeight="1">
      <c r="A93" s="99"/>
      <c r="B93" s="123"/>
      <c r="C93" s="2686"/>
      <c r="D93" s="2686"/>
      <c r="E93" s="2686"/>
      <c r="F93" s="2686"/>
      <c r="G93" s="94"/>
      <c r="H93" s="94"/>
      <c r="I93" s="94"/>
      <c r="J93" s="713"/>
      <c r="K93" s="2649"/>
      <c r="L93" s="2649"/>
      <c r="M93" s="2649"/>
      <c r="N93" s="2649"/>
      <c r="O93" s="2649"/>
      <c r="P93" s="2649"/>
      <c r="Q93" s="715"/>
      <c r="R93" s="713"/>
      <c r="S93" s="2649"/>
      <c r="T93" s="2649"/>
      <c r="U93" s="2649"/>
      <c r="V93" s="715"/>
      <c r="W93" s="2629"/>
      <c r="X93" s="2503"/>
      <c r="Y93" s="2503"/>
      <c r="Z93" s="2503"/>
      <c r="AA93" s="2503"/>
      <c r="AB93" s="2503"/>
      <c r="AC93" s="2503"/>
      <c r="AD93" s="2503"/>
      <c r="AE93" s="2503"/>
      <c r="AF93" s="2503"/>
      <c r="AG93" s="2503"/>
      <c r="AH93" s="2503"/>
      <c r="AI93" s="2503"/>
      <c r="AJ93" s="2503"/>
      <c r="AK93" s="2503"/>
      <c r="AL93" s="2629"/>
      <c r="AM93" s="94"/>
      <c r="AN93" s="713"/>
      <c r="AO93" s="2649"/>
      <c r="AP93" s="2649"/>
      <c r="AQ93" s="2649"/>
      <c r="AR93" s="2649"/>
      <c r="AS93" s="2649"/>
      <c r="AT93" s="2649"/>
      <c r="AU93" s="715"/>
      <c r="AV93" s="713"/>
      <c r="AW93" s="2649"/>
      <c r="AX93" s="2649"/>
      <c r="AY93" s="2649"/>
      <c r="AZ93" s="715"/>
      <c r="BA93" s="2629"/>
      <c r="BB93" s="542"/>
      <c r="BC93" s="542"/>
      <c r="BD93" s="542"/>
      <c r="BE93" s="542"/>
      <c r="BF93" s="542"/>
      <c r="BG93" s="542"/>
      <c r="BH93" s="542"/>
      <c r="BI93" s="542"/>
      <c r="BJ93" s="542"/>
      <c r="BK93" s="542"/>
      <c r="BL93" s="542"/>
      <c r="BM93" s="542"/>
      <c r="BN93" s="542"/>
      <c r="BO93" s="542"/>
      <c r="BP93" s="2629"/>
      <c r="BQ93" s="542"/>
      <c r="BR93" s="542"/>
      <c r="BS93" s="542"/>
      <c r="BT93" s="542"/>
      <c r="BU93" s="542"/>
      <c r="BV93" s="542"/>
      <c r="BW93" s="542"/>
      <c r="BX93" s="542"/>
      <c r="BY93" s="542"/>
      <c r="BZ93" s="542"/>
      <c r="CA93" s="542"/>
      <c r="CB93" s="542"/>
      <c r="CC93" s="542"/>
      <c r="CD93" s="544"/>
      <c r="CE93" s="2629"/>
      <c r="CF93" s="2629"/>
    </row>
    <row r="94" spans="1:84" s="98" customFormat="1" ht="15" customHeight="1">
      <c r="A94" s="99"/>
      <c r="B94" s="2687"/>
      <c r="C94" s="2685" t="s">
        <v>2774</v>
      </c>
      <c r="D94" s="2685"/>
      <c r="E94" s="2685"/>
      <c r="F94" s="2685"/>
      <c r="G94" s="94"/>
      <c r="H94" s="94"/>
      <c r="I94" s="94"/>
      <c r="J94" s="713"/>
      <c r="K94" s="2649"/>
      <c r="L94" s="2649"/>
      <c r="M94" s="2649"/>
      <c r="N94" s="2649"/>
      <c r="O94" s="2649"/>
      <c r="P94" s="2649"/>
      <c r="Q94" s="715"/>
      <c r="R94" s="713"/>
      <c r="S94" s="2649"/>
      <c r="T94" s="2649"/>
      <c r="U94" s="2649"/>
      <c r="V94" s="715"/>
      <c r="W94" s="2629"/>
      <c r="X94" s="2503"/>
      <c r="Y94" s="2503"/>
      <c r="Z94" s="2503"/>
      <c r="AA94" s="2503"/>
      <c r="AB94" s="2503"/>
      <c r="AC94" s="2503"/>
      <c r="AD94" s="2503"/>
      <c r="AE94" s="2503"/>
      <c r="AF94" s="2503"/>
      <c r="AG94" s="2503"/>
      <c r="AH94" s="2503"/>
      <c r="AI94" s="2503"/>
      <c r="AJ94" s="2503"/>
      <c r="AK94" s="2503"/>
      <c r="AL94" s="2629"/>
      <c r="AM94" s="94"/>
      <c r="AN94" s="713"/>
      <c r="AO94" s="2649"/>
      <c r="AP94" s="2649"/>
      <c r="AQ94" s="2649"/>
      <c r="AR94" s="2649"/>
      <c r="AS94" s="2649"/>
      <c r="AT94" s="2649"/>
      <c r="AU94" s="715"/>
      <c r="AV94" s="713"/>
      <c r="AW94" s="2649"/>
      <c r="AX94" s="2649"/>
      <c r="AY94" s="2649"/>
      <c r="AZ94" s="715"/>
      <c r="BA94" s="2629"/>
      <c r="BB94" s="542"/>
      <c r="BC94" s="542"/>
      <c r="BD94" s="542"/>
      <c r="BE94" s="542"/>
      <c r="BF94" s="542"/>
      <c r="BG94" s="542"/>
      <c r="BH94" s="542"/>
      <c r="BI94" s="542"/>
      <c r="BJ94" s="542"/>
      <c r="BK94" s="542"/>
      <c r="BL94" s="542"/>
      <c r="BM94" s="542"/>
      <c r="BN94" s="542"/>
      <c r="BO94" s="542"/>
      <c r="BP94" s="2629"/>
      <c r="BQ94" s="542"/>
      <c r="BR94" s="542"/>
      <c r="BS94" s="542"/>
      <c r="BT94" s="542"/>
      <c r="BU94" s="542"/>
      <c r="BV94" s="542"/>
      <c r="BW94" s="542"/>
      <c r="BX94" s="542"/>
      <c r="BY94" s="542"/>
      <c r="BZ94" s="542"/>
      <c r="CA94" s="542"/>
      <c r="CB94" s="542"/>
      <c r="CC94" s="542"/>
      <c r="CD94" s="544"/>
      <c r="CE94" s="2629"/>
      <c r="CF94" s="2629"/>
    </row>
    <row r="95" spans="1:84" s="98" customFormat="1" ht="15" customHeight="1">
      <c r="A95" s="99"/>
      <c r="B95" s="2687"/>
      <c r="C95" s="2688"/>
      <c r="D95" s="2688" t="s">
        <v>2701</v>
      </c>
      <c r="E95" s="2688"/>
      <c r="F95" s="2688"/>
      <c r="G95" s="2645"/>
      <c r="H95" s="2645"/>
      <c r="I95" s="607" t="s">
        <v>498</v>
      </c>
      <c r="J95" s="143">
        <v>0</v>
      </c>
      <c r="K95" s="141">
        <v>0</v>
      </c>
      <c r="L95" s="141">
        <v>0</v>
      </c>
      <c r="M95" s="141">
        <v>0</v>
      </c>
      <c r="N95" s="141">
        <v>0</v>
      </c>
      <c r="O95" s="141">
        <v>0</v>
      </c>
      <c r="P95" s="141">
        <v>0</v>
      </c>
      <c r="Q95" s="144">
        <v>0</v>
      </c>
      <c r="R95" s="143">
        <v>0</v>
      </c>
      <c r="S95" s="141">
        <v>0</v>
      </c>
      <c r="T95" s="141">
        <v>0</v>
      </c>
      <c r="U95" s="141">
        <v>0</v>
      </c>
      <c r="V95" s="144">
        <v>0</v>
      </c>
      <c r="W95" s="2629"/>
      <c r="X95" s="2503"/>
      <c r="Y95" s="2503"/>
      <c r="Z95" s="2503"/>
      <c r="AA95" s="2503"/>
      <c r="AB95" s="2503"/>
      <c r="AC95" s="2503"/>
      <c r="AD95" s="2503"/>
      <c r="AE95" s="2503"/>
      <c r="AF95" s="2503"/>
      <c r="AG95" s="2503"/>
      <c r="AH95" s="2503"/>
      <c r="AI95" s="2503"/>
      <c r="AJ95" s="2503"/>
      <c r="AK95" s="2503"/>
      <c r="AL95" s="2629"/>
      <c r="AM95" s="607" t="s">
        <v>2233</v>
      </c>
      <c r="AN95" s="143"/>
      <c r="AO95" s="141"/>
      <c r="AP95" s="141"/>
      <c r="AQ95" s="141"/>
      <c r="AR95" s="141"/>
      <c r="AS95" s="141"/>
      <c r="AT95" s="141">
        <v>0</v>
      </c>
      <c r="AU95" s="144">
        <v>0</v>
      </c>
      <c r="AV95" s="143">
        <v>0</v>
      </c>
      <c r="AW95" s="141">
        <v>0</v>
      </c>
      <c r="AX95" s="141">
        <v>0</v>
      </c>
      <c r="AY95" s="141">
        <v>0</v>
      </c>
      <c r="AZ95" s="144">
        <v>0</v>
      </c>
      <c r="BA95" s="2629"/>
      <c r="BB95" s="545" t="s">
        <v>627</v>
      </c>
      <c r="BC95" s="868">
        <v>0</v>
      </c>
      <c r="BD95" s="545" t="s">
        <v>627</v>
      </c>
      <c r="BE95" s="868">
        <v>0</v>
      </c>
      <c r="BF95" s="545" t="s">
        <v>2233</v>
      </c>
      <c r="BG95" s="141">
        <v>0</v>
      </c>
      <c r="BH95" s="545" t="s">
        <v>2233</v>
      </c>
      <c r="BI95" s="141">
        <v>0</v>
      </c>
      <c r="BJ95" s="545" t="s">
        <v>2233</v>
      </c>
      <c r="BK95" s="141">
        <v>0</v>
      </c>
      <c r="BL95" s="545" t="s">
        <v>2233</v>
      </c>
      <c r="BM95" s="141">
        <v>0</v>
      </c>
      <c r="BN95" s="545" t="s">
        <v>2233</v>
      </c>
      <c r="BO95" s="141">
        <v>0</v>
      </c>
      <c r="BP95" s="2629"/>
      <c r="BQ95" s="545" t="s">
        <v>627</v>
      </c>
      <c r="BR95" s="868">
        <v>0</v>
      </c>
      <c r="BS95" s="545" t="s">
        <v>627</v>
      </c>
      <c r="BT95" s="868">
        <v>0</v>
      </c>
      <c r="BU95" s="545" t="s">
        <v>2233</v>
      </c>
      <c r="BV95" s="141">
        <v>0</v>
      </c>
      <c r="BW95" s="545" t="s">
        <v>2233</v>
      </c>
      <c r="BX95" s="141">
        <v>0</v>
      </c>
      <c r="BY95" s="545" t="s">
        <v>2233</v>
      </c>
      <c r="BZ95" s="141">
        <v>0</v>
      </c>
      <c r="CA95" s="545" t="s">
        <v>2233</v>
      </c>
      <c r="CB95" s="141">
        <v>0</v>
      </c>
      <c r="CC95" s="545" t="s">
        <v>2233</v>
      </c>
      <c r="CD95" s="144">
        <v>0</v>
      </c>
      <c r="CE95" s="2629"/>
      <c r="CF95" s="2629"/>
    </row>
    <row r="96" spans="1:84" s="98" customFormat="1" ht="15" customHeight="1">
      <c r="A96" s="99"/>
      <c r="B96" s="2687"/>
      <c r="C96" s="2688"/>
      <c r="D96" s="2688" t="s">
        <v>2702</v>
      </c>
      <c r="E96" s="2688"/>
      <c r="F96" s="2688"/>
      <c r="G96" s="2645"/>
      <c r="H96" s="2645"/>
      <c r="I96" s="607" t="s">
        <v>498</v>
      </c>
      <c r="J96" s="143">
        <v>0</v>
      </c>
      <c r="K96" s="141">
        <v>0</v>
      </c>
      <c r="L96" s="141">
        <v>0</v>
      </c>
      <c r="M96" s="141">
        <v>0</v>
      </c>
      <c r="N96" s="141">
        <v>0</v>
      </c>
      <c r="O96" s="141">
        <v>0</v>
      </c>
      <c r="P96" s="141">
        <v>0</v>
      </c>
      <c r="Q96" s="144">
        <v>0</v>
      </c>
      <c r="R96" s="143">
        <v>0</v>
      </c>
      <c r="S96" s="141">
        <v>0</v>
      </c>
      <c r="T96" s="141">
        <v>0</v>
      </c>
      <c r="U96" s="141">
        <v>0</v>
      </c>
      <c r="V96" s="144">
        <v>0</v>
      </c>
      <c r="W96" s="2629"/>
      <c r="X96" s="2503"/>
      <c r="Y96" s="2503"/>
      <c r="Z96" s="2503"/>
      <c r="AA96" s="2503"/>
      <c r="AB96" s="2503"/>
      <c r="AC96" s="2503"/>
      <c r="AD96" s="2503"/>
      <c r="AE96" s="2503"/>
      <c r="AF96" s="2503"/>
      <c r="AG96" s="2503"/>
      <c r="AH96" s="2503"/>
      <c r="AI96" s="2503"/>
      <c r="AJ96" s="2503"/>
      <c r="AK96" s="2503"/>
      <c r="AL96" s="2629"/>
      <c r="AM96" s="607" t="s">
        <v>2233</v>
      </c>
      <c r="AN96" s="143"/>
      <c r="AO96" s="141"/>
      <c r="AP96" s="141"/>
      <c r="AQ96" s="141"/>
      <c r="AR96" s="141"/>
      <c r="AS96" s="141"/>
      <c r="AT96" s="141">
        <v>0</v>
      </c>
      <c r="AU96" s="144">
        <v>0</v>
      </c>
      <c r="AV96" s="143">
        <v>0</v>
      </c>
      <c r="AW96" s="141">
        <v>0</v>
      </c>
      <c r="AX96" s="141">
        <v>0</v>
      </c>
      <c r="AY96" s="141">
        <v>0</v>
      </c>
      <c r="AZ96" s="144">
        <v>0</v>
      </c>
      <c r="BA96" s="2629"/>
      <c r="BB96" s="545" t="s">
        <v>627</v>
      </c>
      <c r="BC96" s="868">
        <v>0</v>
      </c>
      <c r="BD96" s="545" t="s">
        <v>627</v>
      </c>
      <c r="BE96" s="868">
        <v>0</v>
      </c>
      <c r="BF96" s="545" t="s">
        <v>2233</v>
      </c>
      <c r="BG96" s="141">
        <v>0</v>
      </c>
      <c r="BH96" s="545" t="s">
        <v>2233</v>
      </c>
      <c r="BI96" s="141">
        <v>0</v>
      </c>
      <c r="BJ96" s="545" t="s">
        <v>2233</v>
      </c>
      <c r="BK96" s="141">
        <v>0</v>
      </c>
      <c r="BL96" s="545" t="s">
        <v>2233</v>
      </c>
      <c r="BM96" s="141">
        <v>0</v>
      </c>
      <c r="BN96" s="545" t="s">
        <v>2233</v>
      </c>
      <c r="BO96" s="141">
        <v>0</v>
      </c>
      <c r="BP96" s="2629"/>
      <c r="BQ96" s="545" t="s">
        <v>627</v>
      </c>
      <c r="BR96" s="868">
        <v>0</v>
      </c>
      <c r="BS96" s="545" t="s">
        <v>627</v>
      </c>
      <c r="BT96" s="868">
        <v>0</v>
      </c>
      <c r="BU96" s="545" t="s">
        <v>2233</v>
      </c>
      <c r="BV96" s="141">
        <v>0</v>
      </c>
      <c r="BW96" s="545" t="s">
        <v>2233</v>
      </c>
      <c r="BX96" s="141">
        <v>0</v>
      </c>
      <c r="BY96" s="545" t="s">
        <v>2233</v>
      </c>
      <c r="BZ96" s="141">
        <v>0</v>
      </c>
      <c r="CA96" s="545" t="s">
        <v>2233</v>
      </c>
      <c r="CB96" s="141">
        <v>0</v>
      </c>
      <c r="CC96" s="545" t="s">
        <v>2233</v>
      </c>
      <c r="CD96" s="144">
        <v>0</v>
      </c>
      <c r="CE96" s="2629"/>
      <c r="CF96" s="2629"/>
    </row>
    <row r="97" spans="1:84" s="98" customFormat="1" ht="15" customHeight="1">
      <c r="A97" s="99"/>
      <c r="B97" s="2687"/>
      <c r="C97" s="2688"/>
      <c r="D97" s="2688" t="s">
        <v>2703</v>
      </c>
      <c r="E97" s="2688"/>
      <c r="F97" s="2688"/>
      <c r="G97" s="2645"/>
      <c r="H97" s="2645"/>
      <c r="I97" s="607" t="s">
        <v>498</v>
      </c>
      <c r="J97" s="143">
        <v>0</v>
      </c>
      <c r="K97" s="141">
        <v>0</v>
      </c>
      <c r="L97" s="141">
        <v>0</v>
      </c>
      <c r="M97" s="141">
        <v>0</v>
      </c>
      <c r="N97" s="141">
        <v>0</v>
      </c>
      <c r="O97" s="141">
        <v>0</v>
      </c>
      <c r="P97" s="141">
        <v>0</v>
      </c>
      <c r="Q97" s="144">
        <v>0</v>
      </c>
      <c r="R97" s="143">
        <v>0</v>
      </c>
      <c r="S97" s="141">
        <v>0</v>
      </c>
      <c r="T97" s="141">
        <v>0</v>
      </c>
      <c r="U97" s="141">
        <v>0</v>
      </c>
      <c r="V97" s="144">
        <v>0</v>
      </c>
      <c r="W97" s="2629"/>
      <c r="X97" s="2503"/>
      <c r="Y97" s="2503"/>
      <c r="Z97" s="2503"/>
      <c r="AA97" s="2503"/>
      <c r="AB97" s="2503"/>
      <c r="AC97" s="2503"/>
      <c r="AD97" s="2503"/>
      <c r="AE97" s="2503"/>
      <c r="AF97" s="2503"/>
      <c r="AG97" s="2503"/>
      <c r="AH97" s="2503"/>
      <c r="AI97" s="2503"/>
      <c r="AJ97" s="2503"/>
      <c r="AK97" s="2503"/>
      <c r="AL97" s="2629"/>
      <c r="AM97" s="607" t="s">
        <v>2233</v>
      </c>
      <c r="AN97" s="143"/>
      <c r="AO97" s="141"/>
      <c r="AP97" s="141"/>
      <c r="AQ97" s="141"/>
      <c r="AR97" s="141"/>
      <c r="AS97" s="141"/>
      <c r="AT97" s="141">
        <v>0</v>
      </c>
      <c r="AU97" s="144">
        <v>0</v>
      </c>
      <c r="AV97" s="143">
        <v>0</v>
      </c>
      <c r="AW97" s="141">
        <v>0</v>
      </c>
      <c r="AX97" s="141">
        <v>0</v>
      </c>
      <c r="AY97" s="141">
        <v>0</v>
      </c>
      <c r="AZ97" s="144">
        <v>0</v>
      </c>
      <c r="BA97" s="2629"/>
      <c r="BB97" s="545" t="s">
        <v>627</v>
      </c>
      <c r="BC97" s="868">
        <v>0</v>
      </c>
      <c r="BD97" s="545" t="s">
        <v>627</v>
      </c>
      <c r="BE97" s="868">
        <v>0</v>
      </c>
      <c r="BF97" s="545" t="s">
        <v>2233</v>
      </c>
      <c r="BG97" s="141">
        <v>0</v>
      </c>
      <c r="BH97" s="545" t="s">
        <v>2233</v>
      </c>
      <c r="BI97" s="141">
        <v>0</v>
      </c>
      <c r="BJ97" s="545" t="s">
        <v>2233</v>
      </c>
      <c r="BK97" s="141">
        <v>0</v>
      </c>
      <c r="BL97" s="545" t="s">
        <v>2233</v>
      </c>
      <c r="BM97" s="141">
        <v>0</v>
      </c>
      <c r="BN97" s="545" t="s">
        <v>2233</v>
      </c>
      <c r="BO97" s="141">
        <v>0</v>
      </c>
      <c r="BP97" s="2629"/>
      <c r="BQ97" s="545" t="s">
        <v>627</v>
      </c>
      <c r="BR97" s="868">
        <v>0</v>
      </c>
      <c r="BS97" s="545" t="s">
        <v>627</v>
      </c>
      <c r="BT97" s="868">
        <v>0</v>
      </c>
      <c r="BU97" s="545" t="s">
        <v>2233</v>
      </c>
      <c r="BV97" s="141">
        <v>0</v>
      </c>
      <c r="BW97" s="545" t="s">
        <v>2233</v>
      </c>
      <c r="BX97" s="141">
        <v>0</v>
      </c>
      <c r="BY97" s="545" t="s">
        <v>2233</v>
      </c>
      <c r="BZ97" s="141">
        <v>0</v>
      </c>
      <c r="CA97" s="545" t="s">
        <v>2233</v>
      </c>
      <c r="CB97" s="141">
        <v>0</v>
      </c>
      <c r="CC97" s="545" t="s">
        <v>2233</v>
      </c>
      <c r="CD97" s="144">
        <v>0</v>
      </c>
      <c r="CE97" s="2629"/>
      <c r="CF97" s="2629"/>
    </row>
    <row r="98" spans="1:84" s="98" customFormat="1" ht="15" customHeight="1">
      <c r="A98" s="99"/>
      <c r="B98" s="2687"/>
      <c r="C98" s="2688"/>
      <c r="D98" s="2688" t="s">
        <v>2704</v>
      </c>
      <c r="E98" s="2688"/>
      <c r="F98" s="2688"/>
      <c r="G98" s="2645"/>
      <c r="H98" s="2645"/>
      <c r="I98" s="607" t="s">
        <v>498</v>
      </c>
      <c r="J98" s="143">
        <v>0</v>
      </c>
      <c r="K98" s="141">
        <v>7.5662894706247916E-2</v>
      </c>
      <c r="L98" s="141">
        <v>0</v>
      </c>
      <c r="M98" s="141">
        <v>0</v>
      </c>
      <c r="N98" s="141">
        <v>0</v>
      </c>
      <c r="O98" s="141">
        <v>0</v>
      </c>
      <c r="P98" s="141">
        <v>0</v>
      </c>
      <c r="Q98" s="144">
        <v>0</v>
      </c>
      <c r="R98" s="143">
        <v>0</v>
      </c>
      <c r="S98" s="141">
        <v>0</v>
      </c>
      <c r="T98" s="141">
        <v>0</v>
      </c>
      <c r="U98" s="141">
        <v>0</v>
      </c>
      <c r="V98" s="144">
        <v>0</v>
      </c>
      <c r="W98" s="2629"/>
      <c r="X98" s="2503"/>
      <c r="Y98" s="2503"/>
      <c r="Z98" s="2503"/>
      <c r="AA98" s="2503"/>
      <c r="AB98" s="2503"/>
      <c r="AC98" s="2503"/>
      <c r="AD98" s="2503"/>
      <c r="AE98" s="2503"/>
      <c r="AF98" s="2503"/>
      <c r="AG98" s="2503"/>
      <c r="AH98" s="2503"/>
      <c r="AI98" s="2503"/>
      <c r="AJ98" s="2503"/>
      <c r="AK98" s="2503"/>
      <c r="AL98" s="2629"/>
      <c r="AM98" s="607" t="s">
        <v>2233</v>
      </c>
      <c r="AN98" s="143"/>
      <c r="AO98" s="141">
        <v>0.17799999999999999</v>
      </c>
      <c r="AP98" s="141"/>
      <c r="AQ98" s="141"/>
      <c r="AR98" s="141"/>
      <c r="AS98" s="141"/>
      <c r="AT98" s="141">
        <v>0</v>
      </c>
      <c r="AU98" s="144">
        <v>0</v>
      </c>
      <c r="AV98" s="143">
        <v>0</v>
      </c>
      <c r="AW98" s="141">
        <v>0</v>
      </c>
      <c r="AX98" s="141">
        <v>0</v>
      </c>
      <c r="AY98" s="141">
        <v>0</v>
      </c>
      <c r="AZ98" s="144">
        <v>0</v>
      </c>
      <c r="BA98" s="2629"/>
      <c r="BB98" s="545" t="s">
        <v>627</v>
      </c>
      <c r="BC98" s="868">
        <v>0</v>
      </c>
      <c r="BD98" s="545" t="s">
        <v>627</v>
      </c>
      <c r="BE98" s="868">
        <v>0</v>
      </c>
      <c r="BF98" s="545" t="s">
        <v>2233</v>
      </c>
      <c r="BG98" s="141">
        <v>0</v>
      </c>
      <c r="BH98" s="545" t="s">
        <v>2233</v>
      </c>
      <c r="BI98" s="141">
        <v>0</v>
      </c>
      <c r="BJ98" s="545" t="s">
        <v>2233</v>
      </c>
      <c r="BK98" s="141">
        <v>4.2634730538922156E-3</v>
      </c>
      <c r="BL98" s="545" t="s">
        <v>2233</v>
      </c>
      <c r="BM98" s="141">
        <v>3.0377245508982038E-2</v>
      </c>
      <c r="BN98" s="545" t="s">
        <v>2233</v>
      </c>
      <c r="BO98" s="141">
        <v>0.14335928143712573</v>
      </c>
      <c r="BP98" s="2629"/>
      <c r="BQ98" s="545" t="s">
        <v>627</v>
      </c>
      <c r="BR98" s="868">
        <v>0</v>
      </c>
      <c r="BS98" s="545" t="s">
        <v>627</v>
      </c>
      <c r="BT98" s="868">
        <v>0</v>
      </c>
      <c r="BU98" s="545" t="s">
        <v>2233</v>
      </c>
      <c r="BV98" s="141">
        <v>0</v>
      </c>
      <c r="BW98" s="545" t="s">
        <v>2233</v>
      </c>
      <c r="BX98" s="141">
        <v>0</v>
      </c>
      <c r="BY98" s="545" t="s">
        <v>2233</v>
      </c>
      <c r="BZ98" s="141">
        <v>0</v>
      </c>
      <c r="CA98" s="545" t="s">
        <v>2233</v>
      </c>
      <c r="CB98" s="141">
        <v>0</v>
      </c>
      <c r="CC98" s="545" t="s">
        <v>2233</v>
      </c>
      <c r="CD98" s="144">
        <v>0</v>
      </c>
      <c r="CE98" s="2629"/>
      <c r="CF98" s="2629"/>
    </row>
    <row r="99" spans="1:84" s="98" customFormat="1" ht="15" customHeight="1">
      <c r="A99" s="99"/>
      <c r="B99" s="2687"/>
      <c r="C99" s="2688"/>
      <c r="D99" s="2688" t="s">
        <v>2705</v>
      </c>
      <c r="E99" s="2688"/>
      <c r="F99" s="2688"/>
      <c r="G99" s="2645"/>
      <c r="H99" s="2645"/>
      <c r="I99" s="607" t="s">
        <v>498</v>
      </c>
      <c r="J99" s="143">
        <v>0</v>
      </c>
      <c r="K99" s="141">
        <v>0</v>
      </c>
      <c r="L99" s="141">
        <v>2.1439873470513952E-2</v>
      </c>
      <c r="M99" s="141">
        <v>0</v>
      </c>
      <c r="N99" s="141">
        <v>0</v>
      </c>
      <c r="O99" s="141">
        <v>0</v>
      </c>
      <c r="P99" s="141">
        <v>0</v>
      </c>
      <c r="Q99" s="144">
        <v>0</v>
      </c>
      <c r="R99" s="143">
        <v>0</v>
      </c>
      <c r="S99" s="141">
        <v>0</v>
      </c>
      <c r="T99" s="141">
        <v>0</v>
      </c>
      <c r="U99" s="141">
        <v>0</v>
      </c>
      <c r="V99" s="144">
        <v>0</v>
      </c>
      <c r="W99" s="2629"/>
      <c r="X99" s="2503"/>
      <c r="Y99" s="2503"/>
      <c r="Z99" s="2503"/>
      <c r="AA99" s="2503"/>
      <c r="AB99" s="2503"/>
      <c r="AC99" s="2503"/>
      <c r="AD99" s="2503"/>
      <c r="AE99" s="2503"/>
      <c r="AF99" s="2503"/>
      <c r="AG99" s="2503"/>
      <c r="AH99" s="2503"/>
      <c r="AI99" s="2503"/>
      <c r="AJ99" s="2503"/>
      <c r="AK99" s="2503"/>
      <c r="AL99" s="2629"/>
      <c r="AM99" s="607" t="s">
        <v>2233</v>
      </c>
      <c r="AN99" s="143"/>
      <c r="AO99" s="141"/>
      <c r="AP99" s="141">
        <v>5.5E-2</v>
      </c>
      <c r="AQ99" s="141"/>
      <c r="AR99" s="141"/>
      <c r="AS99" s="141"/>
      <c r="AT99" s="141">
        <v>0</v>
      </c>
      <c r="AU99" s="144">
        <v>0</v>
      </c>
      <c r="AV99" s="143">
        <v>0</v>
      </c>
      <c r="AW99" s="141">
        <v>0</v>
      </c>
      <c r="AX99" s="141">
        <v>0</v>
      </c>
      <c r="AY99" s="141">
        <v>0</v>
      </c>
      <c r="AZ99" s="144">
        <v>0</v>
      </c>
      <c r="BA99" s="2629"/>
      <c r="BB99" s="545" t="s">
        <v>627</v>
      </c>
      <c r="BC99" s="868">
        <v>0</v>
      </c>
      <c r="BD99" s="545" t="s">
        <v>627</v>
      </c>
      <c r="BE99" s="868">
        <v>0</v>
      </c>
      <c r="BF99" s="545" t="s">
        <v>2233</v>
      </c>
      <c r="BG99" s="141">
        <v>0</v>
      </c>
      <c r="BH99" s="545" t="s">
        <v>2233</v>
      </c>
      <c r="BI99" s="141">
        <v>0</v>
      </c>
      <c r="BJ99" s="545" t="s">
        <v>2233</v>
      </c>
      <c r="BK99" s="141">
        <v>1.3173652694610778E-3</v>
      </c>
      <c r="BL99" s="545" t="s">
        <v>2233</v>
      </c>
      <c r="BM99" s="141">
        <v>9.3862275449101799E-3</v>
      </c>
      <c r="BN99" s="545" t="s">
        <v>2233</v>
      </c>
      <c r="BO99" s="141">
        <v>4.4296407185628738E-2</v>
      </c>
      <c r="BP99" s="2629"/>
      <c r="BQ99" s="545" t="s">
        <v>627</v>
      </c>
      <c r="BR99" s="868">
        <v>0</v>
      </c>
      <c r="BS99" s="545" t="s">
        <v>627</v>
      </c>
      <c r="BT99" s="868">
        <v>0</v>
      </c>
      <c r="BU99" s="545" t="s">
        <v>2233</v>
      </c>
      <c r="BV99" s="141">
        <v>0</v>
      </c>
      <c r="BW99" s="545" t="s">
        <v>2233</v>
      </c>
      <c r="BX99" s="141">
        <v>0</v>
      </c>
      <c r="BY99" s="545" t="s">
        <v>2233</v>
      </c>
      <c r="BZ99" s="141">
        <v>0</v>
      </c>
      <c r="CA99" s="545" t="s">
        <v>2233</v>
      </c>
      <c r="CB99" s="141">
        <v>0</v>
      </c>
      <c r="CC99" s="545" t="s">
        <v>2233</v>
      </c>
      <c r="CD99" s="144">
        <v>0</v>
      </c>
      <c r="CE99" s="2629"/>
      <c r="CF99" s="2629"/>
    </row>
    <row r="100" spans="1:84" s="98" customFormat="1" ht="15" customHeight="1">
      <c r="A100" s="99"/>
      <c r="B100" s="2687"/>
      <c r="C100" s="2688"/>
      <c r="D100" s="2688" t="s">
        <v>2706</v>
      </c>
      <c r="E100" s="2688"/>
      <c r="F100" s="2688"/>
      <c r="G100" s="2645"/>
      <c r="H100" s="2645"/>
      <c r="I100" s="607" t="s">
        <v>498</v>
      </c>
      <c r="J100" s="143">
        <v>0</v>
      </c>
      <c r="K100" s="141">
        <v>0</v>
      </c>
      <c r="L100" s="141">
        <v>0</v>
      </c>
      <c r="M100" s="141">
        <v>0</v>
      </c>
      <c r="N100" s="141">
        <v>0</v>
      </c>
      <c r="O100" s="141">
        <v>0</v>
      </c>
      <c r="P100" s="141">
        <v>0</v>
      </c>
      <c r="Q100" s="144">
        <v>0</v>
      </c>
      <c r="R100" s="143">
        <v>0</v>
      </c>
      <c r="S100" s="141">
        <v>0</v>
      </c>
      <c r="T100" s="141">
        <v>0</v>
      </c>
      <c r="U100" s="141">
        <v>0</v>
      </c>
      <c r="V100" s="144">
        <v>0</v>
      </c>
      <c r="W100" s="2629"/>
      <c r="X100" s="2503"/>
      <c r="Y100" s="2503"/>
      <c r="Z100" s="2503"/>
      <c r="AA100" s="2503"/>
      <c r="AB100" s="2503"/>
      <c r="AC100" s="2503"/>
      <c r="AD100" s="2503"/>
      <c r="AE100" s="2503"/>
      <c r="AF100" s="2503"/>
      <c r="AG100" s="2503"/>
      <c r="AH100" s="2503"/>
      <c r="AI100" s="2503"/>
      <c r="AJ100" s="2503"/>
      <c r="AK100" s="2503"/>
      <c r="AL100" s="2629"/>
      <c r="AM100" s="607" t="s">
        <v>2233</v>
      </c>
      <c r="AN100" s="143"/>
      <c r="AO100" s="141"/>
      <c r="AP100" s="141"/>
      <c r="AQ100" s="141"/>
      <c r="AR100" s="141"/>
      <c r="AS100" s="141"/>
      <c r="AT100" s="141">
        <v>0</v>
      </c>
      <c r="AU100" s="144">
        <v>0</v>
      </c>
      <c r="AV100" s="143">
        <v>0</v>
      </c>
      <c r="AW100" s="141">
        <v>0</v>
      </c>
      <c r="AX100" s="141">
        <v>0</v>
      </c>
      <c r="AY100" s="141">
        <v>0</v>
      </c>
      <c r="AZ100" s="144">
        <v>0</v>
      </c>
      <c r="BA100" s="2629"/>
      <c r="BB100" s="545" t="s">
        <v>627</v>
      </c>
      <c r="BC100" s="868">
        <v>0</v>
      </c>
      <c r="BD100" s="545" t="s">
        <v>627</v>
      </c>
      <c r="BE100" s="868">
        <v>0</v>
      </c>
      <c r="BF100" s="545" t="s">
        <v>2233</v>
      </c>
      <c r="BG100" s="141">
        <v>0</v>
      </c>
      <c r="BH100" s="545" t="s">
        <v>2233</v>
      </c>
      <c r="BI100" s="141">
        <v>0</v>
      </c>
      <c r="BJ100" s="545" t="s">
        <v>2233</v>
      </c>
      <c r="BK100" s="141">
        <v>0</v>
      </c>
      <c r="BL100" s="545" t="s">
        <v>2233</v>
      </c>
      <c r="BM100" s="141">
        <v>0</v>
      </c>
      <c r="BN100" s="545" t="s">
        <v>2233</v>
      </c>
      <c r="BO100" s="141">
        <v>0</v>
      </c>
      <c r="BP100" s="2629"/>
      <c r="BQ100" s="545" t="s">
        <v>627</v>
      </c>
      <c r="BR100" s="868">
        <v>0</v>
      </c>
      <c r="BS100" s="545" t="s">
        <v>627</v>
      </c>
      <c r="BT100" s="868">
        <v>0</v>
      </c>
      <c r="BU100" s="545" t="s">
        <v>2233</v>
      </c>
      <c r="BV100" s="141">
        <v>0</v>
      </c>
      <c r="BW100" s="545" t="s">
        <v>2233</v>
      </c>
      <c r="BX100" s="141">
        <v>0</v>
      </c>
      <c r="BY100" s="545" t="s">
        <v>2233</v>
      </c>
      <c r="BZ100" s="141">
        <v>0</v>
      </c>
      <c r="CA100" s="545" t="s">
        <v>2233</v>
      </c>
      <c r="CB100" s="141">
        <v>0</v>
      </c>
      <c r="CC100" s="545" t="s">
        <v>2233</v>
      </c>
      <c r="CD100" s="144">
        <v>0</v>
      </c>
      <c r="CE100" s="2629"/>
      <c r="CF100" s="2629"/>
    </row>
    <row r="101" spans="1:84" s="98" customFormat="1" ht="15" customHeight="1">
      <c r="A101" s="99"/>
      <c r="B101" s="2687"/>
      <c r="C101" s="2688"/>
      <c r="D101" s="2688" t="s">
        <v>2707</v>
      </c>
      <c r="E101" s="2688"/>
      <c r="F101" s="2688"/>
      <c r="G101" s="2645"/>
      <c r="H101" s="2645"/>
      <c r="I101" s="607" t="s">
        <v>498</v>
      </c>
      <c r="J101" s="143">
        <v>0</v>
      </c>
      <c r="K101" s="141">
        <v>0</v>
      </c>
      <c r="L101" s="141">
        <v>0</v>
      </c>
      <c r="M101" s="141">
        <v>0</v>
      </c>
      <c r="N101" s="141">
        <v>0</v>
      </c>
      <c r="O101" s="141">
        <v>0</v>
      </c>
      <c r="P101" s="141">
        <v>0</v>
      </c>
      <c r="Q101" s="144">
        <v>0</v>
      </c>
      <c r="R101" s="143">
        <v>0</v>
      </c>
      <c r="S101" s="141">
        <v>0</v>
      </c>
      <c r="T101" s="141">
        <v>0</v>
      </c>
      <c r="U101" s="141">
        <v>0</v>
      </c>
      <c r="V101" s="144">
        <v>0</v>
      </c>
      <c r="W101" s="2629"/>
      <c r="X101" s="2503"/>
      <c r="Y101" s="2503"/>
      <c r="Z101" s="2503"/>
      <c r="AA101" s="2503"/>
      <c r="AB101" s="2503"/>
      <c r="AC101" s="2503"/>
      <c r="AD101" s="2503"/>
      <c r="AE101" s="2503"/>
      <c r="AF101" s="2503"/>
      <c r="AG101" s="2503"/>
      <c r="AH101" s="2503"/>
      <c r="AI101" s="2503"/>
      <c r="AJ101" s="2503"/>
      <c r="AK101" s="2503"/>
      <c r="AL101" s="2629"/>
      <c r="AM101" s="607" t="s">
        <v>2233</v>
      </c>
      <c r="AN101" s="143"/>
      <c r="AO101" s="141"/>
      <c r="AP101" s="141"/>
      <c r="AQ101" s="141"/>
      <c r="AR101" s="141"/>
      <c r="AS101" s="141"/>
      <c r="AT101" s="141">
        <v>0</v>
      </c>
      <c r="AU101" s="144">
        <v>0</v>
      </c>
      <c r="AV101" s="143">
        <v>0</v>
      </c>
      <c r="AW101" s="141">
        <v>0</v>
      </c>
      <c r="AX101" s="141">
        <v>0</v>
      </c>
      <c r="AY101" s="141">
        <v>0</v>
      </c>
      <c r="AZ101" s="144">
        <v>0</v>
      </c>
      <c r="BA101" s="2629"/>
      <c r="BB101" s="545" t="s">
        <v>627</v>
      </c>
      <c r="BC101" s="868">
        <v>0</v>
      </c>
      <c r="BD101" s="545" t="s">
        <v>627</v>
      </c>
      <c r="BE101" s="868">
        <v>0</v>
      </c>
      <c r="BF101" s="545" t="s">
        <v>2233</v>
      </c>
      <c r="BG101" s="141">
        <v>0</v>
      </c>
      <c r="BH101" s="545" t="s">
        <v>2233</v>
      </c>
      <c r="BI101" s="141">
        <v>0</v>
      </c>
      <c r="BJ101" s="545" t="s">
        <v>2233</v>
      </c>
      <c r="BK101" s="141">
        <v>0</v>
      </c>
      <c r="BL101" s="545" t="s">
        <v>2233</v>
      </c>
      <c r="BM101" s="141">
        <v>0</v>
      </c>
      <c r="BN101" s="545" t="s">
        <v>2233</v>
      </c>
      <c r="BO101" s="141">
        <v>0</v>
      </c>
      <c r="BP101" s="2629"/>
      <c r="BQ101" s="545" t="s">
        <v>627</v>
      </c>
      <c r="BR101" s="868">
        <v>0</v>
      </c>
      <c r="BS101" s="545" t="s">
        <v>627</v>
      </c>
      <c r="BT101" s="868">
        <v>0</v>
      </c>
      <c r="BU101" s="545" t="s">
        <v>2233</v>
      </c>
      <c r="BV101" s="141">
        <v>0</v>
      </c>
      <c r="BW101" s="545" t="s">
        <v>2233</v>
      </c>
      <c r="BX101" s="141">
        <v>0</v>
      </c>
      <c r="BY101" s="545" t="s">
        <v>2233</v>
      </c>
      <c r="BZ101" s="141">
        <v>0</v>
      </c>
      <c r="CA101" s="545" t="s">
        <v>2233</v>
      </c>
      <c r="CB101" s="141">
        <v>0</v>
      </c>
      <c r="CC101" s="545" t="s">
        <v>2233</v>
      </c>
      <c r="CD101" s="144">
        <v>0</v>
      </c>
      <c r="CE101" s="2629"/>
      <c r="CF101" s="2629"/>
    </row>
    <row r="102" spans="1:84" s="98" customFormat="1" ht="15" customHeight="1">
      <c r="A102" s="99"/>
      <c r="B102" s="2687"/>
      <c r="C102" s="2688"/>
      <c r="D102" s="2688" t="s">
        <v>2708</v>
      </c>
      <c r="E102" s="2688"/>
      <c r="F102" s="2688"/>
      <c r="G102" s="2645"/>
      <c r="H102" s="2645"/>
      <c r="I102" s="607" t="s">
        <v>498</v>
      </c>
      <c r="J102" s="143">
        <v>0</v>
      </c>
      <c r="K102" s="141">
        <v>0</v>
      </c>
      <c r="L102" s="141">
        <v>0</v>
      </c>
      <c r="M102" s="141">
        <v>0</v>
      </c>
      <c r="N102" s="141">
        <v>0</v>
      </c>
      <c r="O102" s="141">
        <v>0</v>
      </c>
      <c r="P102" s="141">
        <v>0</v>
      </c>
      <c r="Q102" s="144">
        <v>0</v>
      </c>
      <c r="R102" s="143">
        <v>0</v>
      </c>
      <c r="S102" s="141">
        <v>0</v>
      </c>
      <c r="T102" s="141">
        <v>0</v>
      </c>
      <c r="U102" s="141">
        <v>0</v>
      </c>
      <c r="V102" s="144">
        <v>0</v>
      </c>
      <c r="W102" s="2629"/>
      <c r="X102" s="2503"/>
      <c r="Y102" s="2503"/>
      <c r="Z102" s="2503"/>
      <c r="AA102" s="2503"/>
      <c r="AB102" s="2503"/>
      <c r="AC102" s="2503"/>
      <c r="AD102" s="2503"/>
      <c r="AE102" s="2503"/>
      <c r="AF102" s="2503"/>
      <c r="AG102" s="2503"/>
      <c r="AH102" s="2503"/>
      <c r="AI102" s="2503"/>
      <c r="AJ102" s="2503"/>
      <c r="AK102" s="2503"/>
      <c r="AL102" s="2629"/>
      <c r="AM102" s="607" t="s">
        <v>2233</v>
      </c>
      <c r="AN102" s="143"/>
      <c r="AO102" s="141"/>
      <c r="AP102" s="141"/>
      <c r="AQ102" s="141"/>
      <c r="AR102" s="141"/>
      <c r="AS102" s="141"/>
      <c r="AT102" s="141">
        <v>0</v>
      </c>
      <c r="AU102" s="144">
        <v>0</v>
      </c>
      <c r="AV102" s="143">
        <v>0</v>
      </c>
      <c r="AW102" s="141">
        <v>0</v>
      </c>
      <c r="AX102" s="141">
        <v>0</v>
      </c>
      <c r="AY102" s="141">
        <v>0</v>
      </c>
      <c r="AZ102" s="144">
        <v>0</v>
      </c>
      <c r="BA102" s="2629"/>
      <c r="BB102" s="545" t="s">
        <v>627</v>
      </c>
      <c r="BC102" s="868">
        <v>0</v>
      </c>
      <c r="BD102" s="545" t="s">
        <v>627</v>
      </c>
      <c r="BE102" s="868">
        <v>0</v>
      </c>
      <c r="BF102" s="545" t="s">
        <v>2233</v>
      </c>
      <c r="BG102" s="141">
        <v>0</v>
      </c>
      <c r="BH102" s="545" t="s">
        <v>2233</v>
      </c>
      <c r="BI102" s="141">
        <v>0</v>
      </c>
      <c r="BJ102" s="545" t="s">
        <v>2233</v>
      </c>
      <c r="BK102" s="141">
        <v>0</v>
      </c>
      <c r="BL102" s="545" t="s">
        <v>2233</v>
      </c>
      <c r="BM102" s="141">
        <v>0</v>
      </c>
      <c r="BN102" s="545" t="s">
        <v>2233</v>
      </c>
      <c r="BO102" s="141">
        <v>0</v>
      </c>
      <c r="BP102" s="2629"/>
      <c r="BQ102" s="545" t="s">
        <v>627</v>
      </c>
      <c r="BR102" s="868">
        <v>0</v>
      </c>
      <c r="BS102" s="545" t="s">
        <v>627</v>
      </c>
      <c r="BT102" s="868">
        <v>0</v>
      </c>
      <c r="BU102" s="545" t="s">
        <v>2233</v>
      </c>
      <c r="BV102" s="141">
        <v>0</v>
      </c>
      <c r="BW102" s="545" t="s">
        <v>2233</v>
      </c>
      <c r="BX102" s="141">
        <v>0</v>
      </c>
      <c r="BY102" s="545" t="s">
        <v>2233</v>
      </c>
      <c r="BZ102" s="141">
        <v>0</v>
      </c>
      <c r="CA102" s="545" t="s">
        <v>2233</v>
      </c>
      <c r="CB102" s="141">
        <v>0</v>
      </c>
      <c r="CC102" s="545" t="s">
        <v>2233</v>
      </c>
      <c r="CD102" s="144">
        <v>0</v>
      </c>
      <c r="CE102" s="2629"/>
      <c r="CF102" s="2629"/>
    </row>
    <row r="103" spans="1:84" s="98" customFormat="1" ht="15" customHeight="1">
      <c r="A103" s="99"/>
      <c r="B103" s="2687"/>
      <c r="C103" s="2688" t="s">
        <v>1710</v>
      </c>
      <c r="D103" s="2688"/>
      <c r="E103" s="2688"/>
      <c r="F103" s="2688"/>
      <c r="G103" s="2645"/>
      <c r="H103" s="2645"/>
      <c r="I103" s="607" t="s">
        <v>498</v>
      </c>
      <c r="J103" s="641">
        <f>SUM(J95:J102)</f>
        <v>0</v>
      </c>
      <c r="K103" s="642">
        <f t="shared" ref="K103:V103" si="21">SUM(K95:K102)</f>
        <v>7.5662894706247916E-2</v>
      </c>
      <c r="L103" s="642">
        <f t="shared" si="21"/>
        <v>2.1439873470513952E-2</v>
      </c>
      <c r="M103" s="642">
        <f t="shared" si="21"/>
        <v>0</v>
      </c>
      <c r="N103" s="642">
        <f t="shared" si="21"/>
        <v>0</v>
      </c>
      <c r="O103" s="642">
        <f t="shared" si="21"/>
        <v>0</v>
      </c>
      <c r="P103" s="642">
        <f t="shared" si="21"/>
        <v>0</v>
      </c>
      <c r="Q103" s="643">
        <f t="shared" si="21"/>
        <v>0</v>
      </c>
      <c r="R103" s="641">
        <f t="shared" si="21"/>
        <v>0</v>
      </c>
      <c r="S103" s="642">
        <f t="shared" si="21"/>
        <v>0</v>
      </c>
      <c r="T103" s="642">
        <f t="shared" si="21"/>
        <v>0</v>
      </c>
      <c r="U103" s="642">
        <f t="shared" si="21"/>
        <v>0</v>
      </c>
      <c r="V103" s="643">
        <f t="shared" si="21"/>
        <v>0</v>
      </c>
      <c r="W103" s="2629"/>
      <c r="X103" s="2503"/>
      <c r="Y103" s="2503"/>
      <c r="Z103" s="2503"/>
      <c r="AA103" s="2503"/>
      <c r="AB103" s="2503"/>
      <c r="AC103" s="2503"/>
      <c r="AD103" s="2503"/>
      <c r="AE103" s="2503"/>
      <c r="AF103" s="2503"/>
      <c r="AG103" s="2503"/>
      <c r="AH103" s="2503"/>
      <c r="AI103" s="2503"/>
      <c r="AJ103" s="2503"/>
      <c r="AK103" s="2503"/>
      <c r="AL103" s="2629"/>
      <c r="AM103" s="607" t="s">
        <v>2233</v>
      </c>
      <c r="AN103" s="641">
        <f>SUM(AN95:AN102)</f>
        <v>0</v>
      </c>
      <c r="AO103" s="642">
        <f t="shared" ref="AO103:AZ103" si="22">SUM(AO95:AO102)</f>
        <v>0.17799999999999999</v>
      </c>
      <c r="AP103" s="642">
        <f t="shared" si="22"/>
        <v>5.5E-2</v>
      </c>
      <c r="AQ103" s="642">
        <f t="shared" si="22"/>
        <v>0</v>
      </c>
      <c r="AR103" s="642">
        <f t="shared" si="22"/>
        <v>0</v>
      </c>
      <c r="AS103" s="642">
        <f t="shared" si="22"/>
        <v>0</v>
      </c>
      <c r="AT103" s="642">
        <f t="shared" si="22"/>
        <v>0</v>
      </c>
      <c r="AU103" s="643">
        <f t="shared" si="22"/>
        <v>0</v>
      </c>
      <c r="AV103" s="641">
        <f t="shared" si="22"/>
        <v>0</v>
      </c>
      <c r="AW103" s="642">
        <f t="shared" si="22"/>
        <v>0</v>
      </c>
      <c r="AX103" s="642">
        <f t="shared" si="22"/>
        <v>0</v>
      </c>
      <c r="AY103" s="642">
        <f t="shared" si="22"/>
        <v>0</v>
      </c>
      <c r="AZ103" s="643">
        <f t="shared" si="22"/>
        <v>0</v>
      </c>
      <c r="BA103" s="2629"/>
      <c r="BB103" s="542"/>
      <c r="BC103" s="542"/>
      <c r="BD103" s="542"/>
      <c r="BE103" s="542"/>
      <c r="BF103" s="545" t="s">
        <v>2233</v>
      </c>
      <c r="BG103" s="642">
        <f>SUM(BG95:BG102)</f>
        <v>0</v>
      </c>
      <c r="BH103" s="545" t="s">
        <v>2233</v>
      </c>
      <c r="BI103" s="642">
        <f>SUM(BI95:BI102)</f>
        <v>0</v>
      </c>
      <c r="BJ103" s="545" t="s">
        <v>2233</v>
      </c>
      <c r="BK103" s="642">
        <f>SUM(BK95:BK102)</f>
        <v>5.5808383233532932E-3</v>
      </c>
      <c r="BL103" s="545" t="s">
        <v>2233</v>
      </c>
      <c r="BM103" s="642">
        <f>SUM(BM95:BM102)</f>
        <v>3.9763473053892218E-2</v>
      </c>
      <c r="BN103" s="545" t="s">
        <v>2233</v>
      </c>
      <c r="BO103" s="642">
        <f>SUM(BO95:BO102)</f>
        <v>0.18765568862275447</v>
      </c>
      <c r="BP103" s="2629"/>
      <c r="BQ103" s="542"/>
      <c r="BR103" s="542"/>
      <c r="BS103" s="542"/>
      <c r="BT103" s="542"/>
      <c r="BU103" s="545" t="s">
        <v>2233</v>
      </c>
      <c r="BV103" s="642">
        <f>SUM(BV95:BV102)</f>
        <v>0</v>
      </c>
      <c r="BW103" s="545" t="s">
        <v>2233</v>
      </c>
      <c r="BX103" s="642">
        <f>SUM(BX95:BX102)</f>
        <v>0</v>
      </c>
      <c r="BY103" s="545" t="s">
        <v>2233</v>
      </c>
      <c r="BZ103" s="642">
        <f>SUM(BZ95:BZ102)</f>
        <v>0</v>
      </c>
      <c r="CA103" s="545" t="s">
        <v>2233</v>
      </c>
      <c r="CB103" s="642">
        <f>SUM(CB95:CB102)</f>
        <v>0</v>
      </c>
      <c r="CC103" s="545" t="s">
        <v>2233</v>
      </c>
      <c r="CD103" s="643">
        <f>SUM(CD95:CD102)</f>
        <v>0</v>
      </c>
      <c r="CE103" s="2629"/>
      <c r="CF103" s="2629"/>
    </row>
    <row r="104" spans="1:84" s="98" customFormat="1" ht="15" customHeight="1">
      <c r="A104" s="99"/>
      <c r="B104" s="123"/>
      <c r="C104" s="2686"/>
      <c r="D104" s="2686"/>
      <c r="E104" s="2686"/>
      <c r="F104" s="2686"/>
      <c r="G104" s="94"/>
      <c r="H104" s="94"/>
      <c r="I104" s="94"/>
      <c r="J104" s="713"/>
      <c r="K104" s="2649"/>
      <c r="L104" s="2649"/>
      <c r="M104" s="2649"/>
      <c r="N104" s="2649"/>
      <c r="O104" s="2649"/>
      <c r="P104" s="2649"/>
      <c r="Q104" s="715"/>
      <c r="R104" s="713"/>
      <c r="S104" s="2649"/>
      <c r="T104" s="2649"/>
      <c r="U104" s="2649"/>
      <c r="V104" s="715"/>
      <c r="W104" s="2629"/>
      <c r="X104" s="2503"/>
      <c r="Y104" s="2503"/>
      <c r="Z104" s="2503"/>
      <c r="AA104" s="2503"/>
      <c r="AB104" s="2503"/>
      <c r="AC104" s="2503"/>
      <c r="AD104" s="2503"/>
      <c r="AE104" s="2503"/>
      <c r="AF104" s="2503"/>
      <c r="AG104" s="2503"/>
      <c r="AH104" s="2503"/>
      <c r="AI104" s="2503"/>
      <c r="AJ104" s="2503"/>
      <c r="AK104" s="2503"/>
      <c r="AL104" s="2629"/>
      <c r="AM104" s="94"/>
      <c r="AN104" s="713"/>
      <c r="AO104" s="2649"/>
      <c r="AP104" s="2649"/>
      <c r="AQ104" s="2649"/>
      <c r="AR104" s="2649"/>
      <c r="AS104" s="2649"/>
      <c r="AT104" s="2649"/>
      <c r="AU104" s="715"/>
      <c r="AV104" s="713"/>
      <c r="AW104" s="2649"/>
      <c r="AX104" s="2649"/>
      <c r="AY104" s="2649"/>
      <c r="AZ104" s="715"/>
      <c r="BA104" s="2629"/>
      <c r="BB104" s="542"/>
      <c r="BC104" s="542"/>
      <c r="BD104" s="542"/>
      <c r="BE104" s="542"/>
      <c r="BF104" s="542"/>
      <c r="BG104" s="542"/>
      <c r="BH104" s="542"/>
      <c r="BI104" s="542"/>
      <c r="BJ104" s="542"/>
      <c r="BK104" s="542"/>
      <c r="BL104" s="542"/>
      <c r="BM104" s="542"/>
      <c r="BN104" s="542"/>
      <c r="BO104" s="542"/>
      <c r="BP104" s="2629"/>
      <c r="BQ104" s="542"/>
      <c r="BR104" s="542"/>
      <c r="BS104" s="542"/>
      <c r="BT104" s="542"/>
      <c r="BU104" s="542"/>
      <c r="BV104" s="542"/>
      <c r="BW104" s="542"/>
      <c r="BX104" s="542"/>
      <c r="BY104" s="542"/>
      <c r="BZ104" s="542"/>
      <c r="CA104" s="542"/>
      <c r="CB104" s="542"/>
      <c r="CC104" s="542"/>
      <c r="CD104" s="544"/>
      <c r="CE104" s="2629"/>
      <c r="CF104" s="2629"/>
    </row>
    <row r="105" spans="1:84" s="98" customFormat="1" ht="15" customHeight="1" thickBot="1">
      <c r="A105" s="99"/>
      <c r="B105" s="2689" t="s">
        <v>1701</v>
      </c>
      <c r="C105" s="193"/>
      <c r="D105" s="193"/>
      <c r="E105" s="193"/>
      <c r="F105" s="193"/>
      <c r="G105" s="194"/>
      <c r="H105" s="194"/>
      <c r="I105" s="1083" t="s">
        <v>498</v>
      </c>
      <c r="J105" s="717">
        <f>SUM(J34,J45,J56,J67,J78,J81,J92,J103)</f>
        <v>2.9066858439212178</v>
      </c>
      <c r="K105" s="718">
        <f t="shared" ref="K105:V105" si="23">SUM(K34,K45,K56,K67,K78,K81,K92,K103)</f>
        <v>0.98496980127743572</v>
      </c>
      <c r="L105" s="718">
        <f t="shared" si="23"/>
        <v>2.0304855198971876</v>
      </c>
      <c r="M105" s="718">
        <f t="shared" si="23"/>
        <v>0.63060447820084442</v>
      </c>
      <c r="N105" s="718">
        <f t="shared" si="23"/>
        <v>0.46194255259754408</v>
      </c>
      <c r="O105" s="718">
        <f t="shared" si="23"/>
        <v>0.5786566986669921</v>
      </c>
      <c r="P105" s="718">
        <f t="shared" si="23"/>
        <v>0.60202835711894709</v>
      </c>
      <c r="Q105" s="719">
        <f t="shared" si="23"/>
        <v>0.52602316749351663</v>
      </c>
      <c r="R105" s="717">
        <f t="shared" si="23"/>
        <v>1.5363511180609497</v>
      </c>
      <c r="S105" s="718">
        <f t="shared" si="23"/>
        <v>1.5286693624706449</v>
      </c>
      <c r="T105" s="718">
        <f t="shared" si="23"/>
        <v>1.5210260156582918</v>
      </c>
      <c r="U105" s="718">
        <f t="shared" si="23"/>
        <v>1.5134208855800002</v>
      </c>
      <c r="V105" s="719">
        <f t="shared" si="23"/>
        <v>1.5058537811521002</v>
      </c>
      <c r="W105" s="2630"/>
      <c r="X105" s="2503"/>
      <c r="Y105" s="2503"/>
      <c r="Z105" s="2503"/>
      <c r="AA105" s="2503"/>
      <c r="AB105" s="2503"/>
      <c r="AC105" s="2503"/>
      <c r="AD105" s="2503"/>
      <c r="AE105" s="2503"/>
      <c r="AF105" s="2503"/>
      <c r="AG105" s="2503"/>
      <c r="AH105" s="2503"/>
      <c r="AI105" s="2503"/>
      <c r="AJ105" s="2503"/>
      <c r="AK105" s="2503"/>
      <c r="AL105" s="2630"/>
      <c r="AM105" s="1083" t="s">
        <v>2233</v>
      </c>
      <c r="AN105" s="717">
        <f>SUM(AN34,AN45,AN56,AN67,AN78,AN81,AN92,AN103)</f>
        <v>4.9725000000000001</v>
      </c>
      <c r="AO105" s="718">
        <f t="shared" ref="AO105:AZ105" si="24">SUM(AO34,AO45,AO56,AO67,AO78,AO81,AO92,AO103)</f>
        <v>2.4909999999999997</v>
      </c>
      <c r="AP105" s="718">
        <f t="shared" si="24"/>
        <v>5.7548999999999992</v>
      </c>
      <c r="AQ105" s="718">
        <f t="shared" si="24"/>
        <v>1.8090000000000002</v>
      </c>
      <c r="AR105" s="718">
        <f t="shared" si="24"/>
        <v>0.82200000000000017</v>
      </c>
      <c r="AS105" s="718">
        <f t="shared" si="24"/>
        <v>1.5190000000000001</v>
      </c>
      <c r="AT105" s="718">
        <f t="shared" si="24"/>
        <v>1.4014095348512587</v>
      </c>
      <c r="AU105" s="719">
        <f t="shared" si="24"/>
        <v>1.4014095348512592</v>
      </c>
      <c r="AV105" s="717">
        <f t="shared" si="24"/>
        <v>3.4015817304832723</v>
      </c>
      <c r="AW105" s="718">
        <f t="shared" si="24"/>
        <v>3.4015817304832723</v>
      </c>
      <c r="AX105" s="718">
        <f t="shared" si="24"/>
        <v>3.4015817304832723</v>
      </c>
      <c r="AY105" s="718">
        <f t="shared" si="24"/>
        <v>3.4015817304832723</v>
      </c>
      <c r="AZ105" s="719">
        <f t="shared" si="24"/>
        <v>3.4015817304832723</v>
      </c>
      <c r="BA105" s="2629"/>
      <c r="BB105" s="548"/>
      <c r="BC105" s="548"/>
      <c r="BD105" s="548"/>
      <c r="BE105" s="1537"/>
      <c r="BF105" s="1081" t="s">
        <v>2233</v>
      </c>
      <c r="BG105" s="702">
        <f>SUM(BG34,BG45,BG56,BG67,BG78,BG81,BG92,BG103)</f>
        <v>3.4400594704486704</v>
      </c>
      <c r="BH105" s="1081" t="s">
        <v>2233</v>
      </c>
      <c r="BI105" s="702">
        <f>SUM(BI34,BI45,BI56,BI67,BI78,BI81,BI92,BI103)</f>
        <v>0</v>
      </c>
      <c r="BJ105" s="1081" t="s">
        <v>2233</v>
      </c>
      <c r="BK105" s="702">
        <f>SUM(BK34,BK45,BK56,BK67,BK78,BK81,BK92,BK103)</f>
        <v>4.5427789111285568</v>
      </c>
      <c r="BL105" s="1081" t="s">
        <v>2233</v>
      </c>
      <c r="BM105" s="702">
        <f>SUM(BM34,BM45,BM56,BM67,BM78,BM81,BM92,BM103)</f>
        <v>5.4916464039720703</v>
      </c>
      <c r="BN105" s="1081" t="s">
        <v>2233</v>
      </c>
      <c r="BO105" s="702">
        <f>SUM(BO34,BO45,BO56,BO67,BO78,BO81,BO92,BO103)</f>
        <v>6.6967342841532203</v>
      </c>
      <c r="BP105" s="2630"/>
      <c r="BQ105" s="548"/>
      <c r="BR105" s="548"/>
      <c r="BS105" s="548"/>
      <c r="BT105" s="1537"/>
      <c r="BU105" s="1081" t="s">
        <v>2233</v>
      </c>
      <c r="BV105" s="702">
        <f>SUM(BV34,BV45,BV56,BV67,BV78,BV81,BV92,BV103)</f>
        <v>3.1374413007600963</v>
      </c>
      <c r="BW105" s="1081" t="s">
        <v>2233</v>
      </c>
      <c r="BX105" s="702">
        <f>SUM(BX34,BX45,BX56,BX67,BX78,BX81,BX92,BX103)</f>
        <v>0</v>
      </c>
      <c r="BY105" s="1081" t="s">
        <v>2233</v>
      </c>
      <c r="BZ105" s="702">
        <f>SUM(BZ34,BZ45,BZ56,BZ67,BZ78,BZ81,BZ92,BZ103)</f>
        <v>5.2052801728766767</v>
      </c>
      <c r="CA105" s="1081" t="s">
        <v>2233</v>
      </c>
      <c r="CB105" s="702">
        <f>SUM(CB34,CB45,CB56,CB67,CB78,CB81,CB92,CB103)</f>
        <v>5.5704540853961042</v>
      </c>
      <c r="CC105" s="1081" t="s">
        <v>2233</v>
      </c>
      <c r="CD105" s="703">
        <f>SUM(CD34,CD45,CD56,CD67,CD78,CD81,CD92,CD103)</f>
        <v>3.0947330933834865</v>
      </c>
      <c r="CE105" s="2629"/>
      <c r="CF105" s="2629"/>
    </row>
    <row r="106" spans="1:84" s="99" customFormat="1" ht="15" customHeight="1" thickBot="1">
      <c r="B106" s="2648"/>
      <c r="C106" s="2648"/>
      <c r="D106" s="2648"/>
      <c r="E106" s="2648"/>
      <c r="F106" s="2648"/>
      <c r="G106" s="542"/>
      <c r="H106" s="542"/>
      <c r="I106" s="2629"/>
      <c r="J106" s="2629"/>
      <c r="K106" s="2629"/>
      <c r="L106" s="2629"/>
      <c r="M106" s="2629"/>
      <c r="N106" s="2629"/>
      <c r="O106" s="2629"/>
      <c r="P106" s="2629"/>
      <c r="Q106" s="2629"/>
      <c r="R106" s="2629"/>
      <c r="S106" s="2629"/>
      <c r="T106" s="2629"/>
      <c r="U106" s="2629"/>
      <c r="V106" s="2629"/>
      <c r="W106" s="2629"/>
      <c r="X106" s="2655"/>
      <c r="Y106" s="2656"/>
      <c r="Z106" s="2656"/>
      <c r="AA106" s="2656"/>
      <c r="AB106" s="2656"/>
      <c r="AC106" s="2656"/>
      <c r="AD106" s="2656"/>
      <c r="AE106" s="2656"/>
      <c r="AF106" s="2656"/>
      <c r="AG106" s="2656"/>
      <c r="AH106" s="2656"/>
      <c r="AI106" s="2656"/>
      <c r="AJ106" s="2656"/>
      <c r="AK106" s="2656"/>
      <c r="AL106" s="2631"/>
      <c r="AM106" s="2656"/>
      <c r="AN106" s="2656"/>
      <c r="AO106" s="2656"/>
      <c r="AP106" s="2656"/>
      <c r="AQ106" s="2656"/>
      <c r="AR106" s="2656"/>
      <c r="AS106" s="2657"/>
      <c r="AT106" s="2658"/>
      <c r="AU106" s="2658"/>
      <c r="AV106" s="2658"/>
      <c r="AW106" s="2658"/>
      <c r="AX106" s="2658"/>
      <c r="AY106" s="2658"/>
      <c r="AZ106" s="2658"/>
      <c r="BA106" s="2658"/>
      <c r="BB106" s="2658"/>
      <c r="BC106" s="2631"/>
      <c r="BD106" s="2631"/>
      <c r="BE106" s="2631"/>
      <c r="BF106" s="2631"/>
      <c r="BG106" s="2631"/>
      <c r="BH106" s="2631"/>
      <c r="BI106" s="2631"/>
      <c r="BJ106" s="2631"/>
      <c r="BK106" s="2631"/>
      <c r="BL106" s="2631"/>
      <c r="BM106" s="2631"/>
      <c r="BN106" s="2631"/>
      <c r="BO106" s="2631"/>
      <c r="BP106" s="2631"/>
      <c r="BQ106" s="2631"/>
      <c r="BR106" s="2631"/>
      <c r="BS106" s="2631"/>
      <c r="BT106" s="2631"/>
      <c r="BU106" s="2631"/>
      <c r="BV106" s="2631"/>
      <c r="BW106" s="2631"/>
      <c r="BX106" s="2631"/>
      <c r="BY106" s="2631"/>
      <c r="BZ106" s="2631"/>
      <c r="CA106" s="2631"/>
      <c r="CB106" s="2631"/>
      <c r="CC106" s="2631"/>
      <c r="CD106" s="2631"/>
      <c r="CE106" s="2631"/>
      <c r="CF106" s="2631"/>
    </row>
    <row r="107" spans="1:84" s="100" customFormat="1" ht="30" customHeight="1" thickBot="1">
      <c r="A107" s="89"/>
      <c r="B107" s="621" t="s">
        <v>2775</v>
      </c>
      <c r="C107" s="101"/>
      <c r="D107" s="102"/>
      <c r="E107" s="102"/>
      <c r="F107" s="102"/>
      <c r="G107" s="103"/>
      <c r="H107" s="103"/>
      <c r="I107" s="105" t="s">
        <v>1864</v>
      </c>
      <c r="J107" s="106"/>
      <c r="K107" s="106"/>
      <c r="L107" s="106"/>
      <c r="M107" s="106"/>
      <c r="N107" s="106"/>
      <c r="O107" s="106"/>
      <c r="P107" s="106"/>
      <c r="Q107" s="106"/>
      <c r="R107" s="105"/>
      <c r="S107" s="105"/>
      <c r="T107" s="105"/>
      <c r="U107" s="105"/>
      <c r="V107" s="105"/>
      <c r="W107" s="103"/>
      <c r="X107" s="105" t="s">
        <v>2202</v>
      </c>
      <c r="Y107" s="106"/>
      <c r="Z107" s="106"/>
      <c r="AA107" s="106"/>
      <c r="AB107" s="106"/>
      <c r="AC107" s="106"/>
      <c r="AD107" s="106"/>
      <c r="AE107" s="106"/>
      <c r="AF107" s="106"/>
      <c r="AG107" s="105"/>
      <c r="AH107" s="105"/>
      <c r="AI107" s="105"/>
      <c r="AJ107" s="105"/>
      <c r="AK107" s="105"/>
      <c r="AL107" s="103"/>
      <c r="AM107" s="105" t="s">
        <v>2231</v>
      </c>
      <c r="AN107" s="106"/>
      <c r="AO107" s="106"/>
      <c r="AP107" s="106"/>
      <c r="AQ107" s="106"/>
      <c r="AR107" s="106"/>
      <c r="AS107" s="106"/>
      <c r="AT107" s="106"/>
      <c r="AU107" s="106"/>
      <c r="AV107" s="105"/>
      <c r="AW107" s="105"/>
      <c r="AX107" s="105"/>
      <c r="AY107" s="105"/>
      <c r="AZ107" s="105"/>
    </row>
    <row r="108" spans="1:84" s="157" customFormat="1" ht="30" customHeight="1">
      <c r="A108" s="99"/>
      <c r="B108" s="109"/>
      <c r="C108" s="2683"/>
      <c r="D108" s="2683"/>
      <c r="E108" s="2683"/>
      <c r="F108" s="2683"/>
      <c r="G108" s="113"/>
      <c r="H108" s="113"/>
      <c r="I108" s="94"/>
      <c r="J108" s="695" t="s">
        <v>1666</v>
      </c>
      <c r="K108" s="152"/>
      <c r="L108" s="152"/>
      <c r="M108" s="152"/>
      <c r="N108" s="152"/>
      <c r="O108" s="152"/>
      <c r="P108" s="152"/>
      <c r="Q108" s="153"/>
      <c r="R108" s="696" t="s">
        <v>2</v>
      </c>
      <c r="S108" s="155"/>
      <c r="T108" s="155"/>
      <c r="U108" s="155"/>
      <c r="V108" s="156"/>
      <c r="W108" s="2632"/>
      <c r="X108" s="94"/>
      <c r="Y108" s="695" t="s">
        <v>1666</v>
      </c>
      <c r="Z108" s="152"/>
      <c r="AA108" s="152"/>
      <c r="AB108" s="152"/>
      <c r="AC108" s="152"/>
      <c r="AD108" s="152"/>
      <c r="AE108" s="152"/>
      <c r="AF108" s="153"/>
      <c r="AG108" s="696" t="s">
        <v>2</v>
      </c>
      <c r="AH108" s="155"/>
      <c r="AI108" s="155"/>
      <c r="AJ108" s="155"/>
      <c r="AK108" s="156"/>
      <c r="AL108" s="2632"/>
      <c r="AM108" s="94"/>
      <c r="AN108" s="695" t="s">
        <v>1666</v>
      </c>
      <c r="AO108" s="152"/>
      <c r="AP108" s="152"/>
      <c r="AQ108" s="152"/>
      <c r="AR108" s="152"/>
      <c r="AS108" s="152"/>
      <c r="AT108" s="152"/>
      <c r="AU108" s="153"/>
      <c r="AV108" s="696" t="s">
        <v>2</v>
      </c>
      <c r="AW108" s="155"/>
      <c r="AX108" s="155"/>
      <c r="AY108" s="155"/>
      <c r="AZ108" s="156"/>
      <c r="BA108" s="2632"/>
      <c r="BB108" s="2632"/>
      <c r="BC108" s="2632"/>
      <c r="BD108" s="2632"/>
      <c r="BE108" s="2632"/>
      <c r="BF108" s="2632"/>
      <c r="BG108" s="2632"/>
      <c r="BH108" s="2632"/>
      <c r="BI108" s="2632"/>
      <c r="BJ108" s="2632"/>
      <c r="BK108" s="2632"/>
      <c r="BL108" s="2632"/>
      <c r="BM108" s="2632"/>
      <c r="BN108" s="2632"/>
      <c r="BO108" s="2632"/>
      <c r="BP108" s="2632"/>
      <c r="BQ108" s="2632"/>
      <c r="BR108" s="2632"/>
      <c r="BS108" s="2632"/>
      <c r="BT108" s="2632"/>
      <c r="BU108" s="2632"/>
      <c r="BV108" s="2632"/>
      <c r="BW108" s="2632"/>
      <c r="BX108" s="2632"/>
      <c r="BY108" s="2632"/>
      <c r="BZ108" s="2632"/>
      <c r="CA108" s="2632"/>
      <c r="CB108" s="2632"/>
      <c r="CC108" s="2632"/>
      <c r="CD108" s="2632"/>
      <c r="CE108" s="2632"/>
      <c r="CF108" s="2632"/>
    </row>
    <row r="109" spans="1:84" s="98" customFormat="1" ht="15" customHeight="1">
      <c r="A109" s="99"/>
      <c r="B109" s="115"/>
      <c r="C109" s="2685"/>
      <c r="D109" s="2685"/>
      <c r="E109" s="2685"/>
      <c r="F109" s="2685"/>
      <c r="G109" s="94"/>
      <c r="H109" s="94"/>
      <c r="I109" s="119" t="s">
        <v>1667</v>
      </c>
      <c r="J109" s="158" t="s">
        <v>453</v>
      </c>
      <c r="K109" s="137" t="s">
        <v>455</v>
      </c>
      <c r="L109" s="137" t="s">
        <v>457</v>
      </c>
      <c r="M109" s="137" t="s">
        <v>459</v>
      </c>
      <c r="N109" s="137" t="s">
        <v>461</v>
      </c>
      <c r="O109" s="137" t="s">
        <v>463</v>
      </c>
      <c r="P109" s="137" t="s">
        <v>465</v>
      </c>
      <c r="Q109" s="138" t="s">
        <v>467</v>
      </c>
      <c r="R109" s="120" t="s">
        <v>469</v>
      </c>
      <c r="S109" s="121" t="s">
        <v>471</v>
      </c>
      <c r="T109" s="121" t="s">
        <v>473</v>
      </c>
      <c r="U109" s="121" t="s">
        <v>475</v>
      </c>
      <c r="V109" s="122" t="s">
        <v>477</v>
      </c>
      <c r="W109" s="2629"/>
      <c r="X109" s="119" t="s">
        <v>1667</v>
      </c>
      <c r="Y109" s="158" t="s">
        <v>453</v>
      </c>
      <c r="Z109" s="137" t="s">
        <v>455</v>
      </c>
      <c r="AA109" s="137" t="s">
        <v>457</v>
      </c>
      <c r="AB109" s="137" t="s">
        <v>459</v>
      </c>
      <c r="AC109" s="137" t="s">
        <v>461</v>
      </c>
      <c r="AD109" s="137" t="s">
        <v>463</v>
      </c>
      <c r="AE109" s="137" t="s">
        <v>465</v>
      </c>
      <c r="AF109" s="138" t="s">
        <v>467</v>
      </c>
      <c r="AG109" s="120" t="s">
        <v>469</v>
      </c>
      <c r="AH109" s="121" t="s">
        <v>471</v>
      </c>
      <c r="AI109" s="121" t="s">
        <v>473</v>
      </c>
      <c r="AJ109" s="121" t="s">
        <v>475</v>
      </c>
      <c r="AK109" s="122" t="s">
        <v>477</v>
      </c>
      <c r="AL109" s="2629"/>
      <c r="AM109" s="119" t="s">
        <v>1667</v>
      </c>
      <c r="AN109" s="158" t="s">
        <v>453</v>
      </c>
      <c r="AO109" s="137" t="s">
        <v>455</v>
      </c>
      <c r="AP109" s="137" t="s">
        <v>457</v>
      </c>
      <c r="AQ109" s="137" t="s">
        <v>459</v>
      </c>
      <c r="AR109" s="137" t="s">
        <v>461</v>
      </c>
      <c r="AS109" s="137" t="s">
        <v>463</v>
      </c>
      <c r="AT109" s="137" t="s">
        <v>465</v>
      </c>
      <c r="AU109" s="138" t="s">
        <v>467</v>
      </c>
      <c r="AV109" s="120" t="s">
        <v>469</v>
      </c>
      <c r="AW109" s="121" t="s">
        <v>471</v>
      </c>
      <c r="AX109" s="121" t="s">
        <v>473</v>
      </c>
      <c r="AY109" s="121" t="s">
        <v>475</v>
      </c>
      <c r="AZ109" s="122" t="s">
        <v>477</v>
      </c>
      <c r="BA109" s="2629"/>
      <c r="BB109" s="2629"/>
      <c r="BC109" s="2629"/>
      <c r="BD109" s="2629"/>
      <c r="BE109" s="2629"/>
      <c r="BF109" s="2629"/>
      <c r="BG109" s="2629"/>
      <c r="BH109" s="2629"/>
      <c r="BI109" s="2629"/>
      <c r="BJ109" s="2629"/>
      <c r="BK109" s="2629"/>
      <c r="BL109" s="2629"/>
      <c r="BM109" s="2629"/>
      <c r="BN109" s="2629"/>
      <c r="BO109" s="2629"/>
      <c r="BP109" s="2629"/>
      <c r="BQ109" s="2629"/>
      <c r="BR109" s="2629"/>
      <c r="BS109" s="2629"/>
      <c r="BT109" s="2629"/>
      <c r="BU109" s="2629"/>
      <c r="BV109" s="2629"/>
      <c r="BW109" s="2629"/>
      <c r="BX109" s="2629"/>
      <c r="BY109" s="2629"/>
      <c r="BZ109" s="2629"/>
      <c r="CA109" s="2629"/>
      <c r="CB109" s="2629"/>
      <c r="CC109" s="2629"/>
      <c r="CD109" s="2629"/>
      <c r="CE109" s="2629"/>
      <c r="CF109" s="2629"/>
    </row>
    <row r="110" spans="1:84" s="98" customFormat="1" ht="15" customHeight="1">
      <c r="A110" s="99"/>
      <c r="B110" s="2687"/>
      <c r="C110" s="2685" t="s">
        <v>1682</v>
      </c>
      <c r="D110" s="2685"/>
      <c r="E110" s="2685"/>
      <c r="F110" s="2685"/>
      <c r="G110" s="94"/>
      <c r="H110" s="94"/>
      <c r="I110" s="94"/>
      <c r="J110" s="159"/>
      <c r="K110" s="94"/>
      <c r="L110" s="94"/>
      <c r="M110" s="94"/>
      <c r="N110" s="94"/>
      <c r="O110" s="94"/>
      <c r="P110" s="94"/>
      <c r="Q110" s="160"/>
      <c r="R110" s="159"/>
      <c r="S110" s="94"/>
      <c r="T110" s="94"/>
      <c r="U110" s="94"/>
      <c r="V110" s="160"/>
      <c r="W110" s="2629"/>
      <c r="X110" s="94"/>
      <c r="Y110" s="159"/>
      <c r="Z110" s="94"/>
      <c r="AA110" s="94"/>
      <c r="AB110" s="94"/>
      <c r="AC110" s="94"/>
      <c r="AD110" s="94"/>
      <c r="AE110" s="94"/>
      <c r="AF110" s="160"/>
      <c r="AG110" s="159"/>
      <c r="AH110" s="94"/>
      <c r="AI110" s="94"/>
      <c r="AJ110" s="94"/>
      <c r="AK110" s="160"/>
      <c r="AL110" s="2629"/>
      <c r="AM110" s="94"/>
      <c r="AN110" s="159"/>
      <c r="AO110" s="94"/>
      <c r="AP110" s="94"/>
      <c r="AQ110" s="94"/>
      <c r="AR110" s="94"/>
      <c r="AS110" s="94"/>
      <c r="AT110" s="94"/>
      <c r="AU110" s="160"/>
      <c r="AV110" s="159"/>
      <c r="AW110" s="94"/>
      <c r="AX110" s="94"/>
      <c r="AY110" s="94"/>
      <c r="AZ110" s="160"/>
      <c r="BA110" s="2629"/>
      <c r="BB110" s="2629"/>
      <c r="BC110" s="2629"/>
      <c r="BD110" s="2629"/>
      <c r="BE110" s="2629"/>
      <c r="BF110" s="2629"/>
      <c r="BG110" s="2629"/>
      <c r="BH110" s="2629"/>
      <c r="BI110" s="2629"/>
      <c r="BJ110" s="2629"/>
      <c r="BK110" s="2629"/>
      <c r="BL110" s="2629"/>
      <c r="BM110" s="2629"/>
      <c r="BN110" s="2629"/>
      <c r="BO110" s="2629"/>
      <c r="BP110" s="2629"/>
      <c r="BQ110" s="2629"/>
      <c r="BR110" s="2629"/>
      <c r="BS110" s="2629"/>
      <c r="BT110" s="2629"/>
      <c r="BU110" s="2629"/>
      <c r="BV110" s="2629"/>
      <c r="BW110" s="2629"/>
      <c r="BX110" s="2629"/>
      <c r="BY110" s="2629"/>
      <c r="BZ110" s="2629"/>
      <c r="CA110" s="2629"/>
      <c r="CB110" s="2629"/>
      <c r="CC110" s="2629"/>
      <c r="CD110" s="2629"/>
      <c r="CE110" s="2629"/>
      <c r="CF110" s="2629"/>
    </row>
    <row r="111" spans="1:84" s="98" customFormat="1" ht="15" customHeight="1">
      <c r="A111" s="99"/>
      <c r="B111" s="2687"/>
      <c r="C111" s="2688"/>
      <c r="D111" s="2688" t="s">
        <v>2701</v>
      </c>
      <c r="E111" s="2688"/>
      <c r="F111" s="2688"/>
      <c r="G111" s="2645"/>
      <c r="H111" s="2645"/>
      <c r="I111" s="607" t="s">
        <v>498</v>
      </c>
      <c r="J111" s="143">
        <v>1.5079966277056366E-2</v>
      </c>
      <c r="K111" s="141">
        <v>1.8095354710356851E-2</v>
      </c>
      <c r="L111" s="141">
        <v>9.3011099787625298E-2</v>
      </c>
      <c r="M111" s="141">
        <v>3.7428750233199849E-3</v>
      </c>
      <c r="N111" s="141">
        <v>0</v>
      </c>
      <c r="O111" s="141">
        <v>4.1903763095908512E-3</v>
      </c>
      <c r="P111" s="141">
        <v>7.3071015501180864E-2</v>
      </c>
      <c r="Q111" s="144">
        <v>6.7412754843316894E-2</v>
      </c>
      <c r="R111" s="143">
        <v>0.25313908108323691</v>
      </c>
      <c r="S111" s="141">
        <v>0.25187338567782075</v>
      </c>
      <c r="T111" s="141">
        <v>0.25061401874943162</v>
      </c>
      <c r="U111" s="141">
        <v>0.24936094865568451</v>
      </c>
      <c r="V111" s="144">
        <v>0.24811414391240605</v>
      </c>
      <c r="W111" s="2629"/>
      <c r="X111" s="607" t="s">
        <v>498</v>
      </c>
      <c r="Y111" s="143">
        <v>-1.3046992718705103E-2</v>
      </c>
      <c r="Z111" s="141">
        <v>-1.4374132572339918E-2</v>
      </c>
      <c r="AA111" s="141">
        <v>-7.4709533376396117E-2</v>
      </c>
      <c r="AB111" s="141">
        <v>-3.4780286269211029E-3</v>
      </c>
      <c r="AC111" s="141">
        <v>0</v>
      </c>
      <c r="AD111" s="141">
        <v>-3.6567678977351783E-3</v>
      </c>
      <c r="AE111" s="141">
        <v>-6.0759189344506206E-2</v>
      </c>
      <c r="AF111" s="144">
        <v>-5.6054296052498086E-2</v>
      </c>
      <c r="AG111" s="143">
        <v>-0.21263682810991902</v>
      </c>
      <c r="AH111" s="141">
        <v>-0.21157364396936942</v>
      </c>
      <c r="AI111" s="141">
        <v>-0.21051577574952257</v>
      </c>
      <c r="AJ111" s="141">
        <v>-0.20946319687077497</v>
      </c>
      <c r="AK111" s="144">
        <v>-0.20841588088642107</v>
      </c>
      <c r="AL111" s="2629"/>
      <c r="AM111" s="607" t="s">
        <v>2233</v>
      </c>
      <c r="AN111" s="143">
        <v>0.12</v>
      </c>
      <c r="AO111" s="141">
        <v>0.06</v>
      </c>
      <c r="AP111" s="141">
        <v>0.23899999999999999</v>
      </c>
      <c r="AQ111" s="141">
        <v>2.5999999999999999E-2</v>
      </c>
      <c r="AR111" s="141">
        <v>0</v>
      </c>
      <c r="AS111" s="141">
        <v>1.9E-2</v>
      </c>
      <c r="AT111" s="141">
        <v>0.29619475402722861</v>
      </c>
      <c r="AU111" s="144">
        <v>0.30937527914226287</v>
      </c>
      <c r="AV111" s="143">
        <v>0.99978553411111515</v>
      </c>
      <c r="AW111" s="141">
        <v>0.99978553411111515</v>
      </c>
      <c r="AX111" s="141">
        <v>0.99978553411111515</v>
      </c>
      <c r="AY111" s="141">
        <v>0.99978553411111515</v>
      </c>
      <c r="AZ111" s="144">
        <v>0.99978553411111515</v>
      </c>
      <c r="BA111" s="2629"/>
      <c r="BB111" s="2629"/>
      <c r="BC111" s="2629"/>
      <c r="BD111" s="2629"/>
      <c r="BE111" s="2629"/>
      <c r="BF111" s="2629"/>
      <c r="BG111" s="2629"/>
      <c r="BH111" s="2629"/>
      <c r="BI111" s="2629"/>
      <c r="BJ111" s="2629"/>
      <c r="BK111" s="2629"/>
      <c r="BL111" s="2629"/>
      <c r="BM111" s="2629"/>
      <c r="BN111" s="2629"/>
      <c r="BO111" s="2629"/>
      <c r="BP111" s="2629"/>
      <c r="BQ111" s="2629"/>
      <c r="BR111" s="2629"/>
      <c r="BS111" s="2629"/>
      <c r="BT111" s="2629"/>
      <c r="BU111" s="2629"/>
      <c r="BV111" s="2629"/>
      <c r="BW111" s="2629"/>
      <c r="BX111" s="2629"/>
      <c r="BY111" s="2629"/>
      <c r="BZ111" s="2629"/>
      <c r="CA111" s="2629"/>
      <c r="CB111" s="2629"/>
      <c r="CC111" s="2629"/>
      <c r="CD111" s="2629"/>
      <c r="CE111" s="2629"/>
      <c r="CF111" s="2629"/>
    </row>
    <row r="112" spans="1:84" s="98" customFormat="1" ht="15" customHeight="1">
      <c r="A112" s="99"/>
      <c r="B112" s="2687"/>
      <c r="C112" s="2688"/>
      <c r="D112" s="2688" t="s">
        <v>2702</v>
      </c>
      <c r="E112" s="2688"/>
      <c r="F112" s="2688"/>
      <c r="G112" s="2645"/>
      <c r="H112" s="2645"/>
      <c r="I112" s="607" t="s">
        <v>498</v>
      </c>
      <c r="J112" s="143">
        <v>0.12978026324641789</v>
      </c>
      <c r="K112" s="141">
        <v>0.1363399636979252</v>
      </c>
      <c r="L112" s="141">
        <v>0.31350519915526415</v>
      </c>
      <c r="M112" s="141">
        <v>9.4242255967221314E-3</v>
      </c>
      <c r="N112" s="141">
        <v>0.19730801276556231</v>
      </c>
      <c r="O112" s="141">
        <v>0.10554343950547197</v>
      </c>
      <c r="P112" s="141">
        <v>0.11969663604020273</v>
      </c>
      <c r="Q112" s="144">
        <v>0.1094138445789952</v>
      </c>
      <c r="R112" s="143">
        <v>0.43075049697383516</v>
      </c>
      <c r="S112" s="141">
        <v>0.42859674448896595</v>
      </c>
      <c r="T112" s="141">
        <v>0.42645376076652108</v>
      </c>
      <c r="U112" s="141">
        <v>0.42432149196268854</v>
      </c>
      <c r="V112" s="144">
        <v>0.42219988450287504</v>
      </c>
      <c r="W112" s="2629"/>
      <c r="X112" s="607" t="s">
        <v>498</v>
      </c>
      <c r="Y112" s="143">
        <v>-0.11228421327333159</v>
      </c>
      <c r="Z112" s="141">
        <v>-0.1083415782956727</v>
      </c>
      <c r="AA112" s="141">
        <v>-0.25181754858768041</v>
      </c>
      <c r="AB112" s="141">
        <v>-8.7573659841005975E-3</v>
      </c>
      <c r="AC112" s="141">
        <v>-0.1604558444817917</v>
      </c>
      <c r="AD112" s="141">
        <v>-9.2103389501514407E-2</v>
      </c>
      <c r="AE112" s="141">
        <v>-9.8797163728205004E-2</v>
      </c>
      <c r="AF112" s="144">
        <v>-9.0309785425988637E-2</v>
      </c>
      <c r="AG112" s="143">
        <v>-0.36183041745802147</v>
      </c>
      <c r="AH112" s="141">
        <v>-0.36002126537073137</v>
      </c>
      <c r="AI112" s="141">
        <v>-0.35822115904387769</v>
      </c>
      <c r="AJ112" s="141">
        <v>-0.35643005324865829</v>
      </c>
      <c r="AK112" s="144">
        <v>-0.35464790298241505</v>
      </c>
      <c r="AL112" s="2629"/>
      <c r="AM112" s="607" t="s">
        <v>2233</v>
      </c>
      <c r="AN112" s="143">
        <v>0.64</v>
      </c>
      <c r="AO112" s="141">
        <v>0.64149999999999996</v>
      </c>
      <c r="AP112" s="141">
        <v>0.44</v>
      </c>
      <c r="AQ112" s="141">
        <v>0.33200000000000002</v>
      </c>
      <c r="AR112" s="141">
        <v>0.82</v>
      </c>
      <c r="AS112" s="141">
        <v>0.39</v>
      </c>
      <c r="AT112" s="141">
        <v>0.46344456618140312</v>
      </c>
      <c r="AU112" s="144">
        <v>0.47962238187947298</v>
      </c>
      <c r="AV112" s="143">
        <v>1.6777282220838028</v>
      </c>
      <c r="AW112" s="141">
        <v>1.6777282220838028</v>
      </c>
      <c r="AX112" s="141">
        <v>1.6777282220838028</v>
      </c>
      <c r="AY112" s="141">
        <v>1.6777282220838028</v>
      </c>
      <c r="AZ112" s="144">
        <v>1.6777282220838028</v>
      </c>
      <c r="BA112" s="2629"/>
      <c r="BB112" s="2629"/>
      <c r="BC112" s="2629"/>
      <c r="BD112" s="2629"/>
      <c r="BE112" s="2629"/>
      <c r="BF112" s="2629"/>
      <c r="BG112" s="2629"/>
      <c r="BH112" s="2629"/>
      <c r="BI112" s="2629"/>
      <c r="BJ112" s="2629"/>
      <c r="BK112" s="2629"/>
      <c r="BL112" s="2629"/>
      <c r="BM112" s="2629"/>
      <c r="BN112" s="2629"/>
      <c r="BO112" s="2629"/>
      <c r="BP112" s="2629"/>
      <c r="BQ112" s="2629"/>
      <c r="BR112" s="2629"/>
      <c r="BS112" s="2629"/>
      <c r="BT112" s="2629"/>
      <c r="BU112" s="2629"/>
      <c r="BV112" s="2629"/>
      <c r="BW112" s="2629"/>
      <c r="BX112" s="2629"/>
      <c r="BY112" s="2629"/>
      <c r="BZ112" s="2629"/>
      <c r="CA112" s="2629"/>
      <c r="CB112" s="2629"/>
      <c r="CC112" s="2629"/>
      <c r="CD112" s="2629"/>
      <c r="CE112" s="2629"/>
      <c r="CF112" s="2629"/>
    </row>
    <row r="113" spans="1:84" s="98" customFormat="1" ht="15" customHeight="1">
      <c r="A113" s="99"/>
      <c r="B113" s="2687"/>
      <c r="C113" s="2688"/>
      <c r="D113" s="2688" t="s">
        <v>2703</v>
      </c>
      <c r="E113" s="2688"/>
      <c r="F113" s="2688"/>
      <c r="G113" s="2645"/>
      <c r="H113" s="2645"/>
      <c r="I113" s="607" t="s">
        <v>498</v>
      </c>
      <c r="J113" s="143">
        <v>6.5599942101760775E-2</v>
      </c>
      <c r="K113" s="141">
        <v>0.2047012586611166</v>
      </c>
      <c r="L113" s="141">
        <v>0.25027382056129427</v>
      </c>
      <c r="M113" s="141">
        <v>5.8701528437530943E-3</v>
      </c>
      <c r="N113" s="141">
        <v>0.29785079887672616</v>
      </c>
      <c r="O113" s="141">
        <v>0.16419225225077269</v>
      </c>
      <c r="P113" s="141">
        <v>0.20409389412128248</v>
      </c>
      <c r="Q113" s="144">
        <v>0.17739352786932533</v>
      </c>
      <c r="R113" s="143">
        <v>0.88947579541894051</v>
      </c>
      <c r="S113" s="141">
        <v>0.88502841644184582</v>
      </c>
      <c r="T113" s="141">
        <v>0.88060327435963648</v>
      </c>
      <c r="U113" s="141">
        <v>0.87620025798783818</v>
      </c>
      <c r="V113" s="144">
        <v>0.87181925669789895</v>
      </c>
      <c r="W113" s="2629"/>
      <c r="X113" s="607" t="s">
        <v>498</v>
      </c>
      <c r="Y113" s="143">
        <v>-5.6756225526269431E-2</v>
      </c>
      <c r="Z113" s="141">
        <v>-0.16277686626225329</v>
      </c>
      <c r="AA113" s="141">
        <v>-0.20102805356732109</v>
      </c>
      <c r="AB113" s="141">
        <v>-5.4547799506449437E-3</v>
      </c>
      <c r="AC113" s="141">
        <v>-0.24221976996001085</v>
      </c>
      <c r="AD113" s="141">
        <v>-0.1432837799586755</v>
      </c>
      <c r="AE113" s="141">
        <v>-0.1695950950238295</v>
      </c>
      <c r="AF113" s="144">
        <v>-0.14740799740796051</v>
      </c>
      <c r="AG113" s="143">
        <v>-0.74715966815190993</v>
      </c>
      <c r="AH113" s="141">
        <v>-0.74342386981115038</v>
      </c>
      <c r="AI113" s="141">
        <v>-0.73970675046209455</v>
      </c>
      <c r="AJ113" s="141">
        <v>-0.736008216709784</v>
      </c>
      <c r="AK113" s="144">
        <v>-0.73232817562623509</v>
      </c>
      <c r="AL113" s="2629"/>
      <c r="AM113" s="607" t="s">
        <v>2233</v>
      </c>
      <c r="AN113" s="143">
        <v>0.23200000000000001</v>
      </c>
      <c r="AO113" s="141">
        <v>0.61600999999999995</v>
      </c>
      <c r="AP113" s="141">
        <v>1.0329999999999999</v>
      </c>
      <c r="AQ113" s="141">
        <v>4.1000000000000002E-2</v>
      </c>
      <c r="AR113" s="141">
        <v>0.64600000000000002</v>
      </c>
      <c r="AS113" s="141">
        <v>0.36499999999999999</v>
      </c>
      <c r="AT113" s="141">
        <v>0.70053642836401164</v>
      </c>
      <c r="AU113" s="144">
        <v>0.6893658987001301</v>
      </c>
      <c r="AV113" s="143">
        <v>3.1977646513696101</v>
      </c>
      <c r="AW113" s="141">
        <v>3.1977646513696101</v>
      </c>
      <c r="AX113" s="141">
        <v>3.1977646513696101</v>
      </c>
      <c r="AY113" s="141">
        <v>3.1977646513696101</v>
      </c>
      <c r="AZ113" s="144">
        <v>3.1977646513696101</v>
      </c>
      <c r="BA113" s="2629"/>
      <c r="BB113" s="2629"/>
      <c r="BC113" s="2629"/>
      <c r="BD113" s="2629"/>
      <c r="BE113" s="2629"/>
      <c r="BF113" s="2629"/>
      <c r="BG113" s="2629"/>
      <c r="BH113" s="2629"/>
      <c r="BI113" s="2629"/>
      <c r="BJ113" s="2629"/>
      <c r="BK113" s="2629"/>
      <c r="BL113" s="2629"/>
      <c r="BM113" s="2629"/>
      <c r="BN113" s="2629"/>
      <c r="BO113" s="2629"/>
      <c r="BP113" s="2629"/>
      <c r="BQ113" s="2629"/>
      <c r="BR113" s="2629"/>
      <c r="BS113" s="2629"/>
      <c r="BT113" s="2629"/>
      <c r="BU113" s="2629"/>
      <c r="BV113" s="2629"/>
      <c r="BW113" s="2629"/>
      <c r="BX113" s="2629"/>
      <c r="BY113" s="2629"/>
      <c r="BZ113" s="2629"/>
      <c r="CA113" s="2629"/>
      <c r="CB113" s="2629"/>
      <c r="CC113" s="2629"/>
      <c r="CD113" s="2629"/>
      <c r="CE113" s="2629"/>
      <c r="CF113" s="2629"/>
    </row>
    <row r="114" spans="1:84" s="98" customFormat="1" ht="15" customHeight="1">
      <c r="A114" s="99"/>
      <c r="B114" s="2687"/>
      <c r="C114" s="2688"/>
      <c r="D114" s="2688" t="s">
        <v>2704</v>
      </c>
      <c r="E114" s="2688"/>
      <c r="F114" s="2688"/>
      <c r="G114" s="2645"/>
      <c r="H114" s="2645"/>
      <c r="I114" s="607" t="s">
        <v>498</v>
      </c>
      <c r="J114" s="143">
        <v>0.11891743419781826</v>
      </c>
      <c r="K114" s="141">
        <v>0.44811253118362099</v>
      </c>
      <c r="L114" s="141">
        <v>0.56326159527851638</v>
      </c>
      <c r="M114" s="141">
        <v>7.5924296557368251E-2</v>
      </c>
      <c r="N114" s="141">
        <v>0.1850467251219037</v>
      </c>
      <c r="O114" s="141">
        <v>0.74285007187371666</v>
      </c>
      <c r="P114" s="141">
        <v>4.2471986892885338E-2</v>
      </c>
      <c r="Q114" s="144">
        <v>3.8886248172476531E-2</v>
      </c>
      <c r="R114" s="143">
        <v>0.20112034858294331</v>
      </c>
      <c r="S114" s="141">
        <v>0.20011474684002858</v>
      </c>
      <c r="T114" s="141">
        <v>0.19911417310582846</v>
      </c>
      <c r="U114" s="141">
        <v>0.19811860224029931</v>
      </c>
      <c r="V114" s="144">
        <v>0.19712800922909782</v>
      </c>
      <c r="W114" s="2629"/>
      <c r="X114" s="607" t="s">
        <v>498</v>
      </c>
      <c r="Y114" s="143">
        <v>-0.10288583340312921</v>
      </c>
      <c r="Z114" s="141">
        <v>-0.35648002150887004</v>
      </c>
      <c r="AA114" s="141">
        <v>-0.45242999005696244</v>
      </c>
      <c r="AB114" s="141">
        <v>-7.0551881978453773E-2</v>
      </c>
      <c r="AC114" s="141">
        <v>-0.15048465661303023</v>
      </c>
      <c r="AD114" s="141">
        <v>-0.64825449911044131</v>
      </c>
      <c r="AE114" s="141">
        <v>-3.5279624401732837E-2</v>
      </c>
      <c r="AF114" s="144">
        <v>-3.2301107866167501E-2</v>
      </c>
      <c r="AG114" s="143">
        <v>-0.16894109280967234</v>
      </c>
      <c r="AH114" s="141">
        <v>-0.16809638734562402</v>
      </c>
      <c r="AI114" s="141">
        <v>-0.16725590540889587</v>
      </c>
      <c r="AJ114" s="141">
        <v>-0.16641962588185141</v>
      </c>
      <c r="AK114" s="144">
        <v>-0.16558752775244215</v>
      </c>
      <c r="AL114" s="2629"/>
      <c r="AM114" s="607" t="s">
        <v>2233</v>
      </c>
      <c r="AN114" s="143">
        <v>0.25900000000000001</v>
      </c>
      <c r="AO114" s="141">
        <v>0.94599999999999995</v>
      </c>
      <c r="AP114" s="141">
        <v>0.84799999999999998</v>
      </c>
      <c r="AQ114" s="141">
        <v>0.48</v>
      </c>
      <c r="AR114" s="141">
        <v>0.217</v>
      </c>
      <c r="AS114" s="141">
        <v>0.872</v>
      </c>
      <c r="AT114" s="141">
        <v>7.048206147650142E-2</v>
      </c>
      <c r="AU114" s="144">
        <v>7.3060623945431183E-2</v>
      </c>
      <c r="AV114" s="143">
        <v>0.36661422286687489</v>
      </c>
      <c r="AW114" s="141">
        <v>0.36661422286687489</v>
      </c>
      <c r="AX114" s="141">
        <v>0.36661422286687489</v>
      </c>
      <c r="AY114" s="141">
        <v>0.36661422286687489</v>
      </c>
      <c r="AZ114" s="144">
        <v>0.36661422286687489</v>
      </c>
      <c r="BA114" s="2629"/>
      <c r="BB114" s="2629"/>
      <c r="BC114" s="2629"/>
      <c r="BD114" s="2629"/>
      <c r="BE114" s="2629"/>
      <c r="BF114" s="2629"/>
      <c r="BG114" s="2629"/>
      <c r="BH114" s="2629"/>
      <c r="BI114" s="2629"/>
      <c r="BJ114" s="2629"/>
      <c r="BK114" s="2629"/>
      <c r="BL114" s="2629"/>
      <c r="BM114" s="2629"/>
      <c r="BN114" s="2629"/>
      <c r="BO114" s="2629"/>
      <c r="BP114" s="2629"/>
      <c r="BQ114" s="2629"/>
      <c r="BR114" s="2629"/>
      <c r="BS114" s="2629"/>
      <c r="BT114" s="2629"/>
      <c r="BU114" s="2629"/>
      <c r="BV114" s="2629"/>
      <c r="BW114" s="2629"/>
      <c r="BX114" s="2629"/>
      <c r="BY114" s="2629"/>
      <c r="BZ114" s="2629"/>
      <c r="CA114" s="2629"/>
      <c r="CB114" s="2629"/>
      <c r="CC114" s="2629"/>
      <c r="CD114" s="2629"/>
      <c r="CE114" s="2629"/>
      <c r="CF114" s="2629"/>
    </row>
    <row r="115" spans="1:84" s="98" customFormat="1" ht="15" customHeight="1">
      <c r="A115" s="99"/>
      <c r="B115" s="2687"/>
      <c r="C115" s="2688"/>
      <c r="D115" s="2688" t="s">
        <v>2705</v>
      </c>
      <c r="E115" s="2688"/>
      <c r="F115" s="2688"/>
      <c r="G115" s="2645"/>
      <c r="H115" s="2645"/>
      <c r="I115" s="607" t="s">
        <v>498</v>
      </c>
      <c r="J115" s="143">
        <v>3.2480370461965814E-2</v>
      </c>
      <c r="K115" s="141">
        <v>6.9027161898942258E-2</v>
      </c>
      <c r="L115" s="141">
        <v>0</v>
      </c>
      <c r="M115" s="141">
        <v>0</v>
      </c>
      <c r="N115" s="141">
        <v>0</v>
      </c>
      <c r="O115" s="141">
        <v>0.14374589976637353</v>
      </c>
      <c r="P115" s="141">
        <v>5.7455351492754552E-3</v>
      </c>
      <c r="Q115" s="144">
        <v>4.400208502325891E-3</v>
      </c>
      <c r="R115" s="143">
        <v>4.048448466117141E-2</v>
      </c>
      <c r="S115" s="141">
        <v>4.0282062237865554E-2</v>
      </c>
      <c r="T115" s="141">
        <v>4.0080651926676224E-2</v>
      </c>
      <c r="U115" s="141">
        <v>3.9880248667042845E-2</v>
      </c>
      <c r="V115" s="144">
        <v>3.968084742370763E-2</v>
      </c>
      <c r="W115" s="2629"/>
      <c r="X115" s="607" t="s">
        <v>498</v>
      </c>
      <c r="Y115" s="143">
        <v>-2.8101598447396056E-2</v>
      </c>
      <c r="Z115" s="141">
        <v>-5.4889068497954087E-2</v>
      </c>
      <c r="AA115" s="141">
        <v>0</v>
      </c>
      <c r="AB115" s="141">
        <v>0</v>
      </c>
      <c r="AC115" s="141">
        <v>0</v>
      </c>
      <c r="AD115" s="141">
        <v>-0.1254410947517163</v>
      </c>
      <c r="AE115" s="141">
        <v>-4.9640887672279576E-3</v>
      </c>
      <c r="AF115" s="144">
        <v>-3.8017390952018518E-3</v>
      </c>
      <c r="AG115" s="143">
        <v>-3.4006967115383986E-2</v>
      </c>
      <c r="AH115" s="141">
        <v>-3.3836932279807067E-2</v>
      </c>
      <c r="AI115" s="141">
        <v>-3.3667747618408024E-2</v>
      </c>
      <c r="AJ115" s="141">
        <v>-3.3499408880315981E-2</v>
      </c>
      <c r="AK115" s="144">
        <v>-3.3331911835914406E-2</v>
      </c>
      <c r="AL115" s="2629"/>
      <c r="AM115" s="607" t="s">
        <v>2233</v>
      </c>
      <c r="AN115" s="143">
        <v>4.4999999999999998E-2</v>
      </c>
      <c r="AO115" s="141">
        <v>9.9000000000000005E-2</v>
      </c>
      <c r="AP115" s="141">
        <v>0</v>
      </c>
      <c r="AQ115" s="141">
        <v>0</v>
      </c>
      <c r="AR115" s="141">
        <v>0</v>
      </c>
      <c r="AS115" s="141">
        <v>0.11</v>
      </c>
      <c r="AT115" s="141">
        <v>6.3238431974512203E-3</v>
      </c>
      <c r="AU115" s="144">
        <v>5.483213754822522E-3</v>
      </c>
      <c r="AV115" s="143">
        <v>4.5269956545286802E-2</v>
      </c>
      <c r="AW115" s="141">
        <v>4.5269956545286802E-2</v>
      </c>
      <c r="AX115" s="141">
        <v>4.5269956545286802E-2</v>
      </c>
      <c r="AY115" s="141">
        <v>4.5269956545286802E-2</v>
      </c>
      <c r="AZ115" s="144">
        <v>4.5269956545286802E-2</v>
      </c>
      <c r="BA115" s="2629"/>
      <c r="BB115" s="2629"/>
      <c r="BC115" s="2629"/>
      <c r="BD115" s="2629"/>
      <c r="BE115" s="2629"/>
      <c r="BF115" s="2629"/>
      <c r="BG115" s="2629"/>
      <c r="BH115" s="2629"/>
      <c r="BI115" s="2629"/>
      <c r="BJ115" s="2629"/>
      <c r="BK115" s="2629"/>
      <c r="BL115" s="2629"/>
      <c r="BM115" s="2629"/>
      <c r="BN115" s="2629"/>
      <c r="BO115" s="2629"/>
      <c r="BP115" s="2629"/>
      <c r="BQ115" s="2629"/>
      <c r="BR115" s="2629"/>
      <c r="BS115" s="2629"/>
      <c r="BT115" s="2629"/>
      <c r="BU115" s="2629"/>
      <c r="BV115" s="2629"/>
      <c r="BW115" s="2629"/>
      <c r="BX115" s="2629"/>
      <c r="BY115" s="2629"/>
      <c r="BZ115" s="2629"/>
      <c r="CA115" s="2629"/>
      <c r="CB115" s="2629"/>
      <c r="CC115" s="2629"/>
      <c r="CD115" s="2629"/>
      <c r="CE115" s="2629"/>
      <c r="CF115" s="2629"/>
    </row>
    <row r="116" spans="1:84" s="98" customFormat="1" ht="15" customHeight="1">
      <c r="A116" s="99"/>
      <c r="B116" s="2687"/>
      <c r="C116" s="2688"/>
      <c r="D116" s="2688" t="s">
        <v>2706</v>
      </c>
      <c r="E116" s="2688"/>
      <c r="F116" s="2688"/>
      <c r="G116" s="2645"/>
      <c r="H116" s="2645"/>
      <c r="I116" s="607" t="s">
        <v>498</v>
      </c>
      <c r="J116" s="143">
        <v>0</v>
      </c>
      <c r="K116" s="141">
        <v>0</v>
      </c>
      <c r="L116" s="141">
        <v>0</v>
      </c>
      <c r="M116" s="141">
        <v>0</v>
      </c>
      <c r="N116" s="141">
        <v>0</v>
      </c>
      <c r="O116" s="141">
        <v>0</v>
      </c>
      <c r="P116" s="141">
        <v>0</v>
      </c>
      <c r="Q116" s="144">
        <v>0</v>
      </c>
      <c r="R116" s="143">
        <v>0</v>
      </c>
      <c r="S116" s="141">
        <v>0</v>
      </c>
      <c r="T116" s="141">
        <v>0</v>
      </c>
      <c r="U116" s="141">
        <v>0</v>
      </c>
      <c r="V116" s="144">
        <v>0</v>
      </c>
      <c r="W116" s="2629"/>
      <c r="X116" s="607" t="s">
        <v>498</v>
      </c>
      <c r="Y116" s="143">
        <v>0</v>
      </c>
      <c r="Z116" s="141">
        <v>0</v>
      </c>
      <c r="AA116" s="141">
        <v>0</v>
      </c>
      <c r="AB116" s="141">
        <v>0</v>
      </c>
      <c r="AC116" s="141">
        <v>0</v>
      </c>
      <c r="AD116" s="141">
        <v>0</v>
      </c>
      <c r="AE116" s="141">
        <v>0</v>
      </c>
      <c r="AF116" s="144">
        <v>0</v>
      </c>
      <c r="AG116" s="143">
        <v>0</v>
      </c>
      <c r="AH116" s="141">
        <v>0</v>
      </c>
      <c r="AI116" s="141">
        <v>0</v>
      </c>
      <c r="AJ116" s="141">
        <v>0</v>
      </c>
      <c r="AK116" s="144">
        <v>0</v>
      </c>
      <c r="AL116" s="2629"/>
      <c r="AM116" s="607" t="s">
        <v>2233</v>
      </c>
      <c r="AN116" s="143">
        <v>0</v>
      </c>
      <c r="AO116" s="141">
        <v>0</v>
      </c>
      <c r="AP116" s="141">
        <v>0</v>
      </c>
      <c r="AQ116" s="141">
        <v>0</v>
      </c>
      <c r="AR116" s="141">
        <v>0</v>
      </c>
      <c r="AS116" s="141">
        <v>0</v>
      </c>
      <c r="AT116" s="141">
        <v>0</v>
      </c>
      <c r="AU116" s="144">
        <v>0</v>
      </c>
      <c r="AV116" s="143">
        <v>0</v>
      </c>
      <c r="AW116" s="141">
        <v>0</v>
      </c>
      <c r="AX116" s="141">
        <v>0</v>
      </c>
      <c r="AY116" s="141">
        <v>0</v>
      </c>
      <c r="AZ116" s="144">
        <v>0</v>
      </c>
      <c r="BA116" s="2629"/>
      <c r="BB116" s="2629"/>
      <c r="BC116" s="2629"/>
      <c r="BD116" s="2629"/>
      <c r="BE116" s="2629"/>
      <c r="BF116" s="2629"/>
      <c r="BG116" s="2629"/>
      <c r="BH116" s="2629"/>
      <c r="BI116" s="2629"/>
      <c r="BJ116" s="2629"/>
      <c r="BK116" s="2629"/>
      <c r="BL116" s="2629"/>
      <c r="BM116" s="2629"/>
      <c r="BN116" s="2629"/>
      <c r="BO116" s="2629"/>
      <c r="BP116" s="2629"/>
      <c r="BQ116" s="2629"/>
      <c r="BR116" s="2629"/>
      <c r="BS116" s="2629"/>
      <c r="BT116" s="2629"/>
      <c r="BU116" s="2629"/>
      <c r="BV116" s="2629"/>
      <c r="BW116" s="2629"/>
      <c r="BX116" s="2629"/>
      <c r="BY116" s="2629"/>
      <c r="BZ116" s="2629"/>
      <c r="CA116" s="2629"/>
      <c r="CB116" s="2629"/>
      <c r="CC116" s="2629"/>
      <c r="CD116" s="2629"/>
      <c r="CE116" s="2629"/>
      <c r="CF116" s="2629"/>
    </row>
    <row r="117" spans="1:84" s="98" customFormat="1" ht="15" customHeight="1">
      <c r="A117" s="99"/>
      <c r="B117" s="2687"/>
      <c r="C117" s="2688"/>
      <c r="D117" s="2688" t="s">
        <v>2707</v>
      </c>
      <c r="E117" s="2688"/>
      <c r="F117" s="2688"/>
      <c r="G117" s="2645"/>
      <c r="H117" s="2645"/>
      <c r="I117" s="607" t="s">
        <v>498</v>
      </c>
      <c r="J117" s="143">
        <v>0</v>
      </c>
      <c r="K117" s="141">
        <v>0</v>
      </c>
      <c r="L117" s="141">
        <v>0</v>
      </c>
      <c r="M117" s="141">
        <v>0</v>
      </c>
      <c r="N117" s="141">
        <v>0</v>
      </c>
      <c r="O117" s="141">
        <v>0</v>
      </c>
      <c r="P117" s="141">
        <v>0</v>
      </c>
      <c r="Q117" s="144">
        <v>0</v>
      </c>
      <c r="R117" s="143">
        <v>0</v>
      </c>
      <c r="S117" s="141">
        <v>0</v>
      </c>
      <c r="T117" s="141">
        <v>0</v>
      </c>
      <c r="U117" s="141">
        <v>0</v>
      </c>
      <c r="V117" s="144">
        <v>0</v>
      </c>
      <c r="W117" s="2629"/>
      <c r="X117" s="607" t="s">
        <v>498</v>
      </c>
      <c r="Y117" s="143">
        <v>0</v>
      </c>
      <c r="Z117" s="141">
        <v>0</v>
      </c>
      <c r="AA117" s="141">
        <v>0</v>
      </c>
      <c r="AB117" s="141">
        <v>0</v>
      </c>
      <c r="AC117" s="141">
        <v>0</v>
      </c>
      <c r="AD117" s="141">
        <v>0</v>
      </c>
      <c r="AE117" s="141">
        <v>0</v>
      </c>
      <c r="AF117" s="144">
        <v>0</v>
      </c>
      <c r="AG117" s="143">
        <v>0</v>
      </c>
      <c r="AH117" s="141">
        <v>0</v>
      </c>
      <c r="AI117" s="141">
        <v>0</v>
      </c>
      <c r="AJ117" s="141">
        <v>0</v>
      </c>
      <c r="AK117" s="144">
        <v>0</v>
      </c>
      <c r="AL117" s="2629"/>
      <c r="AM117" s="607" t="s">
        <v>2233</v>
      </c>
      <c r="AN117" s="143">
        <v>0</v>
      </c>
      <c r="AO117" s="141">
        <v>0</v>
      </c>
      <c r="AP117" s="141">
        <v>0</v>
      </c>
      <c r="AQ117" s="141">
        <v>0</v>
      </c>
      <c r="AR117" s="141">
        <v>0</v>
      </c>
      <c r="AS117" s="141">
        <v>0</v>
      </c>
      <c r="AT117" s="141">
        <v>0</v>
      </c>
      <c r="AU117" s="144">
        <v>0</v>
      </c>
      <c r="AV117" s="143">
        <v>0</v>
      </c>
      <c r="AW117" s="141">
        <v>0</v>
      </c>
      <c r="AX117" s="141">
        <v>0</v>
      </c>
      <c r="AY117" s="141">
        <v>0</v>
      </c>
      <c r="AZ117" s="144">
        <v>0</v>
      </c>
      <c r="BA117" s="2629"/>
      <c r="BB117" s="2629"/>
      <c r="BC117" s="2629"/>
      <c r="BD117" s="2629"/>
      <c r="BE117" s="2629"/>
      <c r="BF117" s="2629"/>
      <c r="BG117" s="2629"/>
      <c r="BH117" s="2629"/>
      <c r="BI117" s="2629"/>
      <c r="BJ117" s="2629"/>
      <c r="BK117" s="2629"/>
      <c r="BL117" s="2629"/>
      <c r="BM117" s="2629"/>
      <c r="BN117" s="2629"/>
      <c r="BO117" s="2629"/>
      <c r="BP117" s="2629"/>
      <c r="BQ117" s="2629"/>
      <c r="BR117" s="2629"/>
      <c r="BS117" s="2629"/>
      <c r="BT117" s="2629"/>
      <c r="BU117" s="2629"/>
      <c r="BV117" s="2629"/>
      <c r="BW117" s="2629"/>
      <c r="BX117" s="2629"/>
      <c r="BY117" s="2629"/>
      <c r="BZ117" s="2629"/>
      <c r="CA117" s="2629"/>
      <c r="CB117" s="2629"/>
      <c r="CC117" s="2629"/>
      <c r="CD117" s="2629"/>
      <c r="CE117" s="2629"/>
      <c r="CF117" s="2629"/>
    </row>
    <row r="118" spans="1:84" s="98" customFormat="1" ht="15" customHeight="1">
      <c r="A118" s="99"/>
      <c r="B118" s="2687"/>
      <c r="C118" s="2688"/>
      <c r="D118" s="2688" t="s">
        <v>2708</v>
      </c>
      <c r="E118" s="2688"/>
      <c r="F118" s="2688"/>
      <c r="G118" s="2645"/>
      <c r="H118" s="2645"/>
      <c r="I118" s="607" t="s">
        <v>498</v>
      </c>
      <c r="J118" s="143">
        <v>0</v>
      </c>
      <c r="K118" s="141">
        <v>0</v>
      </c>
      <c r="L118" s="141">
        <v>0</v>
      </c>
      <c r="M118" s="141">
        <v>0</v>
      </c>
      <c r="N118" s="141">
        <v>0</v>
      </c>
      <c r="O118" s="141">
        <v>0</v>
      </c>
      <c r="P118" s="141">
        <v>0</v>
      </c>
      <c r="Q118" s="144">
        <v>0</v>
      </c>
      <c r="R118" s="143">
        <v>0</v>
      </c>
      <c r="S118" s="141">
        <v>0</v>
      </c>
      <c r="T118" s="141">
        <v>0</v>
      </c>
      <c r="U118" s="141">
        <v>0</v>
      </c>
      <c r="V118" s="144">
        <v>0</v>
      </c>
      <c r="W118" s="2629"/>
      <c r="X118" s="607" t="s">
        <v>498</v>
      </c>
      <c r="Y118" s="143">
        <v>0</v>
      </c>
      <c r="Z118" s="141">
        <v>0</v>
      </c>
      <c r="AA118" s="141">
        <v>0</v>
      </c>
      <c r="AB118" s="141">
        <v>0</v>
      </c>
      <c r="AC118" s="141">
        <v>0</v>
      </c>
      <c r="AD118" s="141">
        <v>0</v>
      </c>
      <c r="AE118" s="141">
        <v>0</v>
      </c>
      <c r="AF118" s="144">
        <v>0</v>
      </c>
      <c r="AG118" s="143">
        <v>0</v>
      </c>
      <c r="AH118" s="141">
        <v>0</v>
      </c>
      <c r="AI118" s="141">
        <v>0</v>
      </c>
      <c r="AJ118" s="141">
        <v>0</v>
      </c>
      <c r="AK118" s="144">
        <v>0</v>
      </c>
      <c r="AL118" s="2629"/>
      <c r="AM118" s="607" t="s">
        <v>2233</v>
      </c>
      <c r="AN118" s="143">
        <v>0</v>
      </c>
      <c r="AO118" s="141">
        <v>0</v>
      </c>
      <c r="AP118" s="141">
        <v>0</v>
      </c>
      <c r="AQ118" s="141">
        <v>0</v>
      </c>
      <c r="AR118" s="141">
        <v>0</v>
      </c>
      <c r="AS118" s="141">
        <v>0</v>
      </c>
      <c r="AT118" s="141"/>
      <c r="AU118" s="144"/>
      <c r="AV118" s="143"/>
      <c r="AW118" s="141"/>
      <c r="AX118" s="141"/>
      <c r="AY118" s="141"/>
      <c r="AZ118" s="144"/>
      <c r="BA118" s="2629"/>
      <c r="BB118" s="2629"/>
      <c r="BC118" s="2629"/>
      <c r="BD118" s="2629"/>
      <c r="BE118" s="2629"/>
      <c r="BF118" s="2629"/>
      <c r="BG118" s="2629"/>
      <c r="BH118" s="2629"/>
      <c r="BI118" s="2629"/>
      <c r="BJ118" s="2629"/>
      <c r="BK118" s="2629"/>
      <c r="BL118" s="2629"/>
      <c r="BM118" s="2629"/>
      <c r="BN118" s="2629"/>
      <c r="BO118" s="2629"/>
      <c r="BP118" s="2629"/>
      <c r="BQ118" s="2629"/>
      <c r="BR118" s="2629"/>
      <c r="BS118" s="2629"/>
      <c r="BT118" s="2629"/>
      <c r="BU118" s="2629"/>
      <c r="BV118" s="2629"/>
      <c r="BW118" s="2629"/>
      <c r="BX118" s="2629"/>
      <c r="BY118" s="2629"/>
      <c r="BZ118" s="2629"/>
      <c r="CA118" s="2629"/>
      <c r="CB118" s="2629"/>
      <c r="CC118" s="2629"/>
      <c r="CD118" s="2629"/>
      <c r="CE118" s="2629"/>
      <c r="CF118" s="2629"/>
    </row>
    <row r="119" spans="1:84" s="98" customFormat="1" ht="15" customHeight="1">
      <c r="A119" s="99"/>
      <c r="B119" s="2687"/>
      <c r="C119" s="2688" t="s">
        <v>1710</v>
      </c>
      <c r="D119" s="2688"/>
      <c r="E119" s="2688"/>
      <c r="F119" s="2688"/>
      <c r="G119" s="2645"/>
      <c r="H119" s="2645"/>
      <c r="I119" s="607" t="s">
        <v>498</v>
      </c>
      <c r="J119" s="641">
        <f>SUM(J111:J118)</f>
        <v>0.36185797628501915</v>
      </c>
      <c r="K119" s="642">
        <f t="shared" ref="K119:V119" si="25">SUM(K111:K118)</f>
        <v>0.87627627015196197</v>
      </c>
      <c r="L119" s="642">
        <f t="shared" si="25"/>
        <v>1.2200517147826999</v>
      </c>
      <c r="M119" s="642">
        <f t="shared" si="25"/>
        <v>9.4961550021163466E-2</v>
      </c>
      <c r="N119" s="642">
        <f t="shared" si="25"/>
        <v>0.68020553676419215</v>
      </c>
      <c r="O119" s="642">
        <f t="shared" si="25"/>
        <v>1.1605220397059255</v>
      </c>
      <c r="P119" s="642">
        <f t="shared" si="25"/>
        <v>0.44507906770482686</v>
      </c>
      <c r="Q119" s="643">
        <f t="shared" si="25"/>
        <v>0.39750658396643984</v>
      </c>
      <c r="R119" s="641">
        <f t="shared" si="25"/>
        <v>1.8149702067201274</v>
      </c>
      <c r="S119" s="642">
        <f t="shared" si="25"/>
        <v>1.8058953556865265</v>
      </c>
      <c r="T119" s="642">
        <f t="shared" si="25"/>
        <v>1.7968658789080942</v>
      </c>
      <c r="U119" s="642">
        <f t="shared" si="25"/>
        <v>1.7878815495135536</v>
      </c>
      <c r="V119" s="643">
        <f t="shared" si="25"/>
        <v>1.7789421417659854</v>
      </c>
      <c r="W119" s="2629"/>
      <c r="X119" s="607" t="s">
        <v>498</v>
      </c>
      <c r="Y119" s="641">
        <f>SUM(Y111:Y118)</f>
        <v>-0.31307486336883139</v>
      </c>
      <c r="Z119" s="642">
        <f t="shared" ref="Z119:AK119" si="26">SUM(Z111:Z118)</f>
        <v>-0.69686166713709008</v>
      </c>
      <c r="AA119" s="642">
        <f t="shared" si="26"/>
        <v>-0.97998512558836004</v>
      </c>
      <c r="AB119" s="642">
        <f t="shared" si="26"/>
        <v>-8.824205654012042E-2</v>
      </c>
      <c r="AC119" s="642">
        <f t="shared" si="26"/>
        <v>-0.55316027105483279</v>
      </c>
      <c r="AD119" s="642">
        <f t="shared" si="26"/>
        <v>-1.0127395312200826</v>
      </c>
      <c r="AE119" s="642">
        <f t="shared" si="26"/>
        <v>-0.36939516126550154</v>
      </c>
      <c r="AF119" s="643">
        <f t="shared" si="26"/>
        <v>-0.32987492584781664</v>
      </c>
      <c r="AG119" s="641">
        <f t="shared" si="26"/>
        <v>-1.5245749736449068</v>
      </c>
      <c r="AH119" s="642">
        <f t="shared" si="26"/>
        <v>-1.5169520987766825</v>
      </c>
      <c r="AI119" s="642">
        <f t="shared" si="26"/>
        <v>-1.5093673382827986</v>
      </c>
      <c r="AJ119" s="642">
        <f t="shared" si="26"/>
        <v>-1.5018205015913846</v>
      </c>
      <c r="AK119" s="643">
        <f t="shared" si="26"/>
        <v>-1.4943113990834278</v>
      </c>
      <c r="AL119" s="2629"/>
      <c r="AM119" s="607" t="s">
        <v>2233</v>
      </c>
      <c r="AN119" s="641">
        <f>SUM(AN111:AN118)</f>
        <v>1.2959999999999998</v>
      </c>
      <c r="AO119" s="642">
        <f t="shared" ref="AO119:AZ119" si="27">SUM(AO111:AO118)</f>
        <v>2.3625100000000003</v>
      </c>
      <c r="AP119" s="642">
        <f t="shared" si="27"/>
        <v>2.56</v>
      </c>
      <c r="AQ119" s="642">
        <f t="shared" si="27"/>
        <v>0.879</v>
      </c>
      <c r="AR119" s="642">
        <f t="shared" si="27"/>
        <v>1.6830000000000001</v>
      </c>
      <c r="AS119" s="642">
        <f t="shared" si="27"/>
        <v>1.756</v>
      </c>
      <c r="AT119" s="642">
        <f t="shared" si="27"/>
        <v>1.5369816532465961</v>
      </c>
      <c r="AU119" s="643">
        <f t="shared" si="27"/>
        <v>1.5569073974221197</v>
      </c>
      <c r="AV119" s="641">
        <f t="shared" si="27"/>
        <v>6.2871625869766889</v>
      </c>
      <c r="AW119" s="642">
        <f t="shared" si="27"/>
        <v>6.2871625869766889</v>
      </c>
      <c r="AX119" s="642">
        <f t="shared" si="27"/>
        <v>6.2871625869766889</v>
      </c>
      <c r="AY119" s="642">
        <f t="shared" si="27"/>
        <v>6.2871625869766889</v>
      </c>
      <c r="AZ119" s="643">
        <f t="shared" si="27"/>
        <v>6.2871625869766889</v>
      </c>
      <c r="BA119" s="2629"/>
      <c r="BB119" s="2629"/>
      <c r="BC119" s="2629"/>
      <c r="BD119" s="2629"/>
      <c r="BE119" s="2629"/>
      <c r="BF119" s="2629"/>
      <c r="BG119" s="2629"/>
      <c r="BH119" s="2629"/>
      <c r="BI119" s="2629"/>
      <c r="BJ119" s="2629"/>
      <c r="BK119" s="2629"/>
      <c r="BL119" s="2629"/>
      <c r="BM119" s="2629"/>
      <c r="BN119" s="2629"/>
      <c r="BO119" s="2629"/>
      <c r="BP119" s="2629"/>
      <c r="BQ119" s="2629"/>
      <c r="BR119" s="2629"/>
      <c r="BS119" s="2629"/>
      <c r="BT119" s="2629"/>
      <c r="BU119" s="2629"/>
      <c r="BV119" s="2629"/>
      <c r="BW119" s="2629"/>
      <c r="BX119" s="2629"/>
      <c r="BY119" s="2629"/>
      <c r="BZ119" s="2629"/>
      <c r="CA119" s="2629"/>
      <c r="CB119" s="2629"/>
      <c r="CC119" s="2629"/>
      <c r="CD119" s="2629"/>
      <c r="CE119" s="2629"/>
      <c r="CF119" s="2629"/>
    </row>
    <row r="120" spans="1:84" s="98" customFormat="1" ht="15" customHeight="1">
      <c r="A120" s="99"/>
      <c r="B120" s="123"/>
      <c r="C120" s="2686"/>
      <c r="D120" s="2686"/>
      <c r="E120" s="2686"/>
      <c r="F120" s="2686"/>
      <c r="G120" s="94"/>
      <c r="H120" s="94"/>
      <c r="I120" s="94"/>
      <c r="J120" s="713"/>
      <c r="K120" s="2649"/>
      <c r="L120" s="2649"/>
      <c r="M120" s="2649"/>
      <c r="N120" s="2649"/>
      <c r="O120" s="2649"/>
      <c r="P120" s="2649"/>
      <c r="Q120" s="715"/>
      <c r="R120" s="713"/>
      <c r="S120" s="2649"/>
      <c r="T120" s="2649"/>
      <c r="U120" s="2649"/>
      <c r="V120" s="715"/>
      <c r="W120" s="2629"/>
      <c r="X120" s="94"/>
      <c r="Y120" s="713"/>
      <c r="Z120" s="2649"/>
      <c r="AA120" s="2649"/>
      <c r="AB120" s="2649"/>
      <c r="AC120" s="2649"/>
      <c r="AD120" s="2649"/>
      <c r="AE120" s="2649"/>
      <c r="AF120" s="715"/>
      <c r="AG120" s="713"/>
      <c r="AH120" s="2649"/>
      <c r="AI120" s="2649"/>
      <c r="AJ120" s="2649"/>
      <c r="AK120" s="715"/>
      <c r="AL120" s="2629"/>
      <c r="AM120" s="94"/>
      <c r="AN120" s="713"/>
      <c r="AO120" s="2649"/>
      <c r="AP120" s="2649"/>
      <c r="AQ120" s="2649"/>
      <c r="AR120" s="2649"/>
      <c r="AS120" s="2649"/>
      <c r="AT120" s="2649"/>
      <c r="AU120" s="715"/>
      <c r="AV120" s="713"/>
      <c r="AW120" s="2649"/>
      <c r="AX120" s="2649"/>
      <c r="AY120" s="2649"/>
      <c r="AZ120" s="715"/>
      <c r="BA120" s="2629"/>
      <c r="BB120" s="2629"/>
      <c r="BC120" s="2629"/>
      <c r="BD120" s="2629"/>
      <c r="BE120" s="2629"/>
      <c r="BF120" s="2629"/>
      <c r="BG120" s="2629"/>
      <c r="BH120" s="2629"/>
      <c r="BI120" s="2629"/>
      <c r="BJ120" s="2629"/>
      <c r="BK120" s="2629"/>
      <c r="BL120" s="2629"/>
      <c r="BM120" s="2629"/>
      <c r="BN120" s="2629"/>
      <c r="BO120" s="2629"/>
      <c r="BP120" s="2629"/>
      <c r="BQ120" s="2629"/>
      <c r="BR120" s="2629"/>
      <c r="BS120" s="2629"/>
      <c r="BT120" s="2629"/>
      <c r="BU120" s="2629"/>
      <c r="BV120" s="2629"/>
      <c r="BW120" s="2629"/>
      <c r="BX120" s="2629"/>
      <c r="BY120" s="2629"/>
      <c r="BZ120" s="2629"/>
      <c r="CA120" s="2629"/>
      <c r="CB120" s="2629"/>
      <c r="CC120" s="2629"/>
      <c r="CD120" s="2629"/>
      <c r="CE120" s="2629"/>
      <c r="CF120" s="2629"/>
    </row>
    <row r="121" spans="1:84" s="98" customFormat="1" ht="15" customHeight="1">
      <c r="A121" s="99"/>
      <c r="B121" s="2687"/>
      <c r="C121" s="2685" t="s">
        <v>1683</v>
      </c>
      <c r="D121" s="2685"/>
      <c r="E121" s="2685"/>
      <c r="F121" s="2685"/>
      <c r="G121" s="94"/>
      <c r="H121" s="94"/>
      <c r="I121" s="94"/>
      <c r="J121" s="713"/>
      <c r="K121" s="2649"/>
      <c r="L121" s="2649"/>
      <c r="M121" s="2649"/>
      <c r="N121" s="2649"/>
      <c r="O121" s="2649"/>
      <c r="P121" s="2649"/>
      <c r="Q121" s="715"/>
      <c r="R121" s="713"/>
      <c r="S121" s="2649"/>
      <c r="T121" s="2649"/>
      <c r="U121" s="2649"/>
      <c r="V121" s="715"/>
      <c r="W121" s="2629"/>
      <c r="X121" s="94"/>
      <c r="Y121" s="713"/>
      <c r="Z121" s="2649"/>
      <c r="AA121" s="2649"/>
      <c r="AB121" s="2649"/>
      <c r="AC121" s="2649"/>
      <c r="AD121" s="2649"/>
      <c r="AE121" s="2649"/>
      <c r="AF121" s="715"/>
      <c r="AG121" s="713"/>
      <c r="AH121" s="2649"/>
      <c r="AI121" s="2649"/>
      <c r="AJ121" s="2649"/>
      <c r="AK121" s="715"/>
      <c r="AL121" s="2629"/>
      <c r="AM121" s="94"/>
      <c r="AN121" s="713"/>
      <c r="AO121" s="2649"/>
      <c r="AP121" s="2649"/>
      <c r="AQ121" s="2649"/>
      <c r="AR121" s="2649"/>
      <c r="AS121" s="2649"/>
      <c r="AT121" s="2649"/>
      <c r="AU121" s="715"/>
      <c r="AV121" s="713"/>
      <c r="AW121" s="2649"/>
      <c r="AX121" s="2649"/>
      <c r="AY121" s="2649"/>
      <c r="AZ121" s="715"/>
      <c r="BA121" s="2629"/>
      <c r="BB121" s="2629"/>
      <c r="BC121" s="2629"/>
      <c r="BD121" s="2629"/>
      <c r="BE121" s="2629"/>
      <c r="BF121" s="2629"/>
      <c r="BG121" s="2629"/>
      <c r="BH121" s="2629"/>
      <c r="BI121" s="2629"/>
      <c r="BJ121" s="2629"/>
      <c r="BK121" s="2629"/>
      <c r="BL121" s="2629"/>
      <c r="BM121" s="2629"/>
      <c r="BN121" s="2629"/>
      <c r="BO121" s="2629"/>
      <c r="BP121" s="2629"/>
      <c r="BQ121" s="2629"/>
      <c r="BR121" s="2629"/>
      <c r="BS121" s="2629"/>
      <c r="BT121" s="2629"/>
      <c r="BU121" s="2629"/>
      <c r="BV121" s="2629"/>
      <c r="BW121" s="2629"/>
      <c r="BX121" s="2629"/>
      <c r="BY121" s="2629"/>
      <c r="BZ121" s="2629"/>
      <c r="CA121" s="2629"/>
      <c r="CB121" s="2629"/>
      <c r="CC121" s="2629"/>
      <c r="CD121" s="2629"/>
      <c r="CE121" s="2629"/>
      <c r="CF121" s="2629"/>
    </row>
    <row r="122" spans="1:84" s="98" customFormat="1" ht="15" customHeight="1">
      <c r="A122" s="99"/>
      <c r="B122" s="2687"/>
      <c r="C122" s="2688"/>
      <c r="D122" s="2688" t="s">
        <v>2701</v>
      </c>
      <c r="E122" s="2688"/>
      <c r="F122" s="2688"/>
      <c r="G122" s="2645"/>
      <c r="H122" s="2645"/>
      <c r="I122" s="607" t="s">
        <v>498</v>
      </c>
      <c r="J122" s="143">
        <v>0</v>
      </c>
      <c r="K122" s="141">
        <v>0</v>
      </c>
      <c r="L122" s="141">
        <v>0</v>
      </c>
      <c r="M122" s="141">
        <v>0</v>
      </c>
      <c r="N122" s="141">
        <v>0</v>
      </c>
      <c r="O122" s="141">
        <v>0</v>
      </c>
      <c r="P122" s="141">
        <v>0</v>
      </c>
      <c r="Q122" s="144">
        <v>0</v>
      </c>
      <c r="R122" s="143">
        <v>0</v>
      </c>
      <c r="S122" s="141">
        <v>0</v>
      </c>
      <c r="T122" s="141">
        <v>0</v>
      </c>
      <c r="U122" s="141">
        <v>0</v>
      </c>
      <c r="V122" s="144">
        <v>0</v>
      </c>
      <c r="W122" s="2629"/>
      <c r="X122" s="607" t="s">
        <v>498</v>
      </c>
      <c r="Y122" s="143">
        <v>0</v>
      </c>
      <c r="Z122" s="141">
        <v>0</v>
      </c>
      <c r="AA122" s="141">
        <v>0</v>
      </c>
      <c r="AB122" s="141">
        <v>0</v>
      </c>
      <c r="AC122" s="141">
        <v>0</v>
      </c>
      <c r="AD122" s="141">
        <v>0</v>
      </c>
      <c r="AE122" s="141">
        <v>0</v>
      </c>
      <c r="AF122" s="144">
        <v>0</v>
      </c>
      <c r="AG122" s="143">
        <v>0</v>
      </c>
      <c r="AH122" s="141">
        <v>0</v>
      </c>
      <c r="AI122" s="141">
        <v>0</v>
      </c>
      <c r="AJ122" s="141">
        <v>0</v>
      </c>
      <c r="AK122" s="144">
        <v>0</v>
      </c>
      <c r="AL122" s="2629"/>
      <c r="AM122" s="607" t="s">
        <v>2233</v>
      </c>
      <c r="AN122" s="143">
        <v>0</v>
      </c>
      <c r="AO122" s="141">
        <v>0</v>
      </c>
      <c r="AP122" s="141">
        <v>0</v>
      </c>
      <c r="AQ122" s="141">
        <v>0</v>
      </c>
      <c r="AR122" s="141">
        <v>0</v>
      </c>
      <c r="AS122" s="141">
        <v>0</v>
      </c>
      <c r="AT122" s="141">
        <v>0</v>
      </c>
      <c r="AU122" s="144">
        <v>0</v>
      </c>
      <c r="AV122" s="143">
        <v>0</v>
      </c>
      <c r="AW122" s="141">
        <v>0</v>
      </c>
      <c r="AX122" s="141">
        <v>0</v>
      </c>
      <c r="AY122" s="141">
        <v>0</v>
      </c>
      <c r="AZ122" s="144">
        <v>0</v>
      </c>
      <c r="BA122" s="2629"/>
      <c r="BB122" s="2629"/>
      <c r="BC122" s="2629"/>
      <c r="BD122" s="2629"/>
      <c r="BE122" s="2629"/>
      <c r="BF122" s="2629"/>
      <c r="BG122" s="2629"/>
      <c r="BH122" s="2629"/>
      <c r="BI122" s="2629"/>
      <c r="BJ122" s="2629"/>
      <c r="BK122" s="2629"/>
      <c r="BL122" s="2629"/>
      <c r="BM122" s="2629"/>
      <c r="BN122" s="2629"/>
      <c r="BO122" s="2629"/>
      <c r="BP122" s="2629"/>
      <c r="BQ122" s="2629"/>
      <c r="BR122" s="2629"/>
      <c r="BS122" s="2629"/>
      <c r="BT122" s="2629"/>
      <c r="BU122" s="2629"/>
      <c r="BV122" s="2629"/>
      <c r="BW122" s="2629"/>
      <c r="BX122" s="2629"/>
      <c r="BY122" s="2629"/>
      <c r="BZ122" s="2629"/>
      <c r="CA122" s="2629"/>
      <c r="CB122" s="2629"/>
      <c r="CC122" s="2629"/>
      <c r="CD122" s="2629"/>
      <c r="CE122" s="2629"/>
      <c r="CF122" s="2629"/>
    </row>
    <row r="123" spans="1:84" s="98" customFormat="1" ht="15" customHeight="1">
      <c r="A123" s="99"/>
      <c r="B123" s="2687"/>
      <c r="C123" s="2688"/>
      <c r="D123" s="2688" t="s">
        <v>2702</v>
      </c>
      <c r="E123" s="2688"/>
      <c r="F123" s="2688"/>
      <c r="G123" s="2645"/>
      <c r="H123" s="2645"/>
      <c r="I123" s="607" t="s">
        <v>498</v>
      </c>
      <c r="J123" s="143">
        <v>0</v>
      </c>
      <c r="K123" s="141">
        <v>0</v>
      </c>
      <c r="L123" s="141">
        <v>0</v>
      </c>
      <c r="M123" s="141">
        <v>0</v>
      </c>
      <c r="N123" s="141">
        <v>0</v>
      </c>
      <c r="O123" s="141">
        <v>0</v>
      </c>
      <c r="P123" s="141">
        <v>0</v>
      </c>
      <c r="Q123" s="144">
        <v>0</v>
      </c>
      <c r="R123" s="143">
        <v>0</v>
      </c>
      <c r="S123" s="141">
        <v>0</v>
      </c>
      <c r="T123" s="141">
        <v>0</v>
      </c>
      <c r="U123" s="141">
        <v>0</v>
      </c>
      <c r="V123" s="144">
        <v>0</v>
      </c>
      <c r="W123" s="2629"/>
      <c r="X123" s="607" t="s">
        <v>498</v>
      </c>
      <c r="Y123" s="143">
        <v>0</v>
      </c>
      <c r="Z123" s="141">
        <v>0</v>
      </c>
      <c r="AA123" s="141">
        <v>0</v>
      </c>
      <c r="AB123" s="141">
        <v>0</v>
      </c>
      <c r="AC123" s="141">
        <v>0</v>
      </c>
      <c r="AD123" s="141">
        <v>0</v>
      </c>
      <c r="AE123" s="141">
        <v>0</v>
      </c>
      <c r="AF123" s="144">
        <v>0</v>
      </c>
      <c r="AG123" s="143">
        <v>0</v>
      </c>
      <c r="AH123" s="141">
        <v>0</v>
      </c>
      <c r="AI123" s="141">
        <v>0</v>
      </c>
      <c r="AJ123" s="141">
        <v>0</v>
      </c>
      <c r="AK123" s="144">
        <v>0</v>
      </c>
      <c r="AL123" s="2629"/>
      <c r="AM123" s="607" t="s">
        <v>2233</v>
      </c>
      <c r="AN123" s="143">
        <v>0</v>
      </c>
      <c r="AO123" s="141">
        <v>0</v>
      </c>
      <c r="AP123" s="141">
        <v>0</v>
      </c>
      <c r="AQ123" s="141">
        <v>0</v>
      </c>
      <c r="AR123" s="141">
        <v>0</v>
      </c>
      <c r="AS123" s="141">
        <v>0</v>
      </c>
      <c r="AT123" s="141">
        <v>0</v>
      </c>
      <c r="AU123" s="144">
        <v>0</v>
      </c>
      <c r="AV123" s="143">
        <v>0</v>
      </c>
      <c r="AW123" s="141">
        <v>0</v>
      </c>
      <c r="AX123" s="141">
        <v>0</v>
      </c>
      <c r="AY123" s="141">
        <v>0</v>
      </c>
      <c r="AZ123" s="144">
        <v>0</v>
      </c>
      <c r="BA123" s="2629"/>
      <c r="BB123" s="2629"/>
      <c r="BC123" s="2629"/>
      <c r="BD123" s="2629"/>
      <c r="BE123" s="2629"/>
      <c r="BF123" s="2629"/>
      <c r="BG123" s="2629"/>
      <c r="BH123" s="2629"/>
      <c r="BI123" s="2629"/>
      <c r="BJ123" s="2629"/>
      <c r="BK123" s="2629"/>
      <c r="BL123" s="2629"/>
      <c r="BM123" s="2629"/>
      <c r="BN123" s="2629"/>
      <c r="BO123" s="2629"/>
      <c r="BP123" s="2629"/>
      <c r="BQ123" s="2629"/>
      <c r="BR123" s="2629"/>
      <c r="BS123" s="2629"/>
      <c r="BT123" s="2629"/>
      <c r="BU123" s="2629"/>
      <c r="BV123" s="2629"/>
      <c r="BW123" s="2629"/>
      <c r="BX123" s="2629"/>
      <c r="BY123" s="2629"/>
      <c r="BZ123" s="2629"/>
      <c r="CA123" s="2629"/>
      <c r="CB123" s="2629"/>
      <c r="CC123" s="2629"/>
      <c r="CD123" s="2629"/>
      <c r="CE123" s="2629"/>
      <c r="CF123" s="2629"/>
    </row>
    <row r="124" spans="1:84" s="98" customFormat="1" ht="15" customHeight="1">
      <c r="A124" s="99"/>
      <c r="B124" s="2687"/>
      <c r="C124" s="2688"/>
      <c r="D124" s="2688" t="s">
        <v>2703</v>
      </c>
      <c r="E124" s="2688"/>
      <c r="F124" s="2688"/>
      <c r="G124" s="2645"/>
      <c r="H124" s="2645"/>
      <c r="I124" s="607" t="s">
        <v>498</v>
      </c>
      <c r="J124" s="143">
        <v>0</v>
      </c>
      <c r="K124" s="141">
        <v>0</v>
      </c>
      <c r="L124" s="141">
        <v>0</v>
      </c>
      <c r="M124" s="141">
        <v>0</v>
      </c>
      <c r="N124" s="141">
        <v>0</v>
      </c>
      <c r="O124" s="141">
        <v>0</v>
      </c>
      <c r="P124" s="141">
        <v>0</v>
      </c>
      <c r="Q124" s="144">
        <v>0</v>
      </c>
      <c r="R124" s="143">
        <v>0</v>
      </c>
      <c r="S124" s="141">
        <v>0</v>
      </c>
      <c r="T124" s="141">
        <v>0</v>
      </c>
      <c r="U124" s="141">
        <v>0</v>
      </c>
      <c r="V124" s="144">
        <v>0</v>
      </c>
      <c r="W124" s="2629"/>
      <c r="X124" s="607" t="s">
        <v>498</v>
      </c>
      <c r="Y124" s="143">
        <v>0</v>
      </c>
      <c r="Z124" s="141">
        <v>0</v>
      </c>
      <c r="AA124" s="141">
        <v>0</v>
      </c>
      <c r="AB124" s="141">
        <v>0</v>
      </c>
      <c r="AC124" s="141">
        <v>0</v>
      </c>
      <c r="AD124" s="141">
        <v>0</v>
      </c>
      <c r="AE124" s="141">
        <v>0</v>
      </c>
      <c r="AF124" s="144">
        <v>0</v>
      </c>
      <c r="AG124" s="143">
        <v>0</v>
      </c>
      <c r="AH124" s="141">
        <v>0</v>
      </c>
      <c r="AI124" s="141">
        <v>0</v>
      </c>
      <c r="AJ124" s="141">
        <v>0</v>
      </c>
      <c r="AK124" s="144">
        <v>0</v>
      </c>
      <c r="AL124" s="2629"/>
      <c r="AM124" s="607" t="s">
        <v>2233</v>
      </c>
      <c r="AN124" s="143">
        <v>0</v>
      </c>
      <c r="AO124" s="141">
        <v>0</v>
      </c>
      <c r="AP124" s="141">
        <v>0</v>
      </c>
      <c r="AQ124" s="141">
        <v>0</v>
      </c>
      <c r="AR124" s="141">
        <v>0</v>
      </c>
      <c r="AS124" s="141">
        <v>0</v>
      </c>
      <c r="AT124" s="141">
        <v>0</v>
      </c>
      <c r="AU124" s="144">
        <v>0</v>
      </c>
      <c r="AV124" s="143">
        <v>0</v>
      </c>
      <c r="AW124" s="141">
        <v>0</v>
      </c>
      <c r="AX124" s="141">
        <v>0</v>
      </c>
      <c r="AY124" s="141">
        <v>0</v>
      </c>
      <c r="AZ124" s="144">
        <v>0</v>
      </c>
      <c r="BA124" s="2629"/>
      <c r="BB124" s="2629"/>
      <c r="BC124" s="2629"/>
      <c r="BD124" s="2629"/>
      <c r="BE124" s="2629"/>
      <c r="BF124" s="2629"/>
      <c r="BG124" s="2629"/>
      <c r="BH124" s="2629"/>
      <c r="BI124" s="2629"/>
      <c r="BJ124" s="2629"/>
      <c r="BK124" s="2629"/>
      <c r="BL124" s="2629"/>
      <c r="BM124" s="2629"/>
      <c r="BN124" s="2629"/>
      <c r="BO124" s="2629"/>
      <c r="BP124" s="2629"/>
      <c r="BQ124" s="2629"/>
      <c r="BR124" s="2629"/>
      <c r="BS124" s="2629"/>
      <c r="BT124" s="2629"/>
      <c r="BU124" s="2629"/>
      <c r="BV124" s="2629"/>
      <c r="BW124" s="2629"/>
      <c r="BX124" s="2629"/>
      <c r="BY124" s="2629"/>
      <c r="BZ124" s="2629"/>
      <c r="CA124" s="2629"/>
      <c r="CB124" s="2629"/>
      <c r="CC124" s="2629"/>
      <c r="CD124" s="2629"/>
      <c r="CE124" s="2629"/>
      <c r="CF124" s="2629"/>
    </row>
    <row r="125" spans="1:84" s="98" customFormat="1" ht="15" customHeight="1">
      <c r="A125" s="99"/>
      <c r="B125" s="2687"/>
      <c r="C125" s="2688"/>
      <c r="D125" s="2688" t="s">
        <v>2704</v>
      </c>
      <c r="E125" s="2688"/>
      <c r="F125" s="2688"/>
      <c r="G125" s="2645"/>
      <c r="H125" s="2645"/>
      <c r="I125" s="607" t="s">
        <v>498</v>
      </c>
      <c r="J125" s="143">
        <v>0</v>
      </c>
      <c r="K125" s="141">
        <v>0</v>
      </c>
      <c r="L125" s="141">
        <v>0</v>
      </c>
      <c r="M125" s="141">
        <v>0</v>
      </c>
      <c r="N125" s="141">
        <v>0</v>
      </c>
      <c r="O125" s="141">
        <v>0</v>
      </c>
      <c r="P125" s="141">
        <v>0</v>
      </c>
      <c r="Q125" s="144">
        <v>0</v>
      </c>
      <c r="R125" s="143">
        <v>0</v>
      </c>
      <c r="S125" s="141">
        <v>0</v>
      </c>
      <c r="T125" s="141">
        <v>0</v>
      </c>
      <c r="U125" s="141">
        <v>0</v>
      </c>
      <c r="V125" s="144">
        <v>0</v>
      </c>
      <c r="W125" s="2629"/>
      <c r="X125" s="607" t="s">
        <v>498</v>
      </c>
      <c r="Y125" s="143">
        <v>0</v>
      </c>
      <c r="Z125" s="141">
        <v>0</v>
      </c>
      <c r="AA125" s="141">
        <v>0</v>
      </c>
      <c r="AB125" s="141">
        <v>0</v>
      </c>
      <c r="AC125" s="141">
        <v>0</v>
      </c>
      <c r="AD125" s="141">
        <v>0</v>
      </c>
      <c r="AE125" s="141">
        <v>0</v>
      </c>
      <c r="AF125" s="144">
        <v>0</v>
      </c>
      <c r="AG125" s="143">
        <v>0</v>
      </c>
      <c r="AH125" s="141">
        <v>0</v>
      </c>
      <c r="AI125" s="141">
        <v>0</v>
      </c>
      <c r="AJ125" s="141">
        <v>0</v>
      </c>
      <c r="AK125" s="144">
        <v>0</v>
      </c>
      <c r="AL125" s="2629"/>
      <c r="AM125" s="607" t="s">
        <v>2233</v>
      </c>
      <c r="AN125" s="143">
        <v>0</v>
      </c>
      <c r="AO125" s="141">
        <v>0</v>
      </c>
      <c r="AP125" s="141">
        <v>0</v>
      </c>
      <c r="AQ125" s="141">
        <v>0</v>
      </c>
      <c r="AR125" s="141">
        <v>0</v>
      </c>
      <c r="AS125" s="141">
        <v>0</v>
      </c>
      <c r="AT125" s="141">
        <v>0</v>
      </c>
      <c r="AU125" s="144">
        <v>0</v>
      </c>
      <c r="AV125" s="143">
        <v>0</v>
      </c>
      <c r="AW125" s="141">
        <v>0</v>
      </c>
      <c r="AX125" s="141">
        <v>0</v>
      </c>
      <c r="AY125" s="141">
        <v>0</v>
      </c>
      <c r="AZ125" s="144">
        <v>0</v>
      </c>
      <c r="BA125" s="2629"/>
      <c r="BB125" s="2629"/>
      <c r="BC125" s="2629"/>
      <c r="BD125" s="2629"/>
      <c r="BE125" s="2629"/>
      <c r="BF125" s="2629"/>
      <c r="BG125" s="2629"/>
      <c r="BH125" s="2629"/>
      <c r="BI125" s="2629"/>
      <c r="BJ125" s="2629"/>
      <c r="BK125" s="2629"/>
      <c r="BL125" s="2629"/>
      <c r="BM125" s="2629"/>
      <c r="BN125" s="2629"/>
      <c r="BO125" s="2629"/>
      <c r="BP125" s="2629"/>
      <c r="BQ125" s="2629"/>
      <c r="BR125" s="2629"/>
      <c r="BS125" s="2629"/>
      <c r="BT125" s="2629"/>
      <c r="BU125" s="2629"/>
      <c r="BV125" s="2629"/>
      <c r="BW125" s="2629"/>
      <c r="BX125" s="2629"/>
      <c r="BY125" s="2629"/>
      <c r="BZ125" s="2629"/>
      <c r="CA125" s="2629"/>
      <c r="CB125" s="2629"/>
      <c r="CC125" s="2629"/>
      <c r="CD125" s="2629"/>
      <c r="CE125" s="2629"/>
      <c r="CF125" s="2629"/>
    </row>
    <row r="126" spans="1:84" s="98" customFormat="1" ht="15" customHeight="1">
      <c r="A126" s="99"/>
      <c r="B126" s="2687"/>
      <c r="C126" s="2688"/>
      <c r="D126" s="2688" t="s">
        <v>2705</v>
      </c>
      <c r="E126" s="2688"/>
      <c r="F126" s="2688"/>
      <c r="G126" s="2645"/>
      <c r="H126" s="2645"/>
      <c r="I126" s="607" t="s">
        <v>498</v>
      </c>
      <c r="J126" s="143">
        <v>0</v>
      </c>
      <c r="K126" s="141">
        <v>0</v>
      </c>
      <c r="L126" s="141">
        <v>0</v>
      </c>
      <c r="M126" s="141">
        <v>0</v>
      </c>
      <c r="N126" s="141">
        <v>0</v>
      </c>
      <c r="O126" s="141">
        <v>0</v>
      </c>
      <c r="P126" s="141">
        <v>0</v>
      </c>
      <c r="Q126" s="144">
        <v>0</v>
      </c>
      <c r="R126" s="143">
        <v>0</v>
      </c>
      <c r="S126" s="141">
        <v>0</v>
      </c>
      <c r="T126" s="141">
        <v>0</v>
      </c>
      <c r="U126" s="141">
        <v>0</v>
      </c>
      <c r="V126" s="144">
        <v>0</v>
      </c>
      <c r="W126" s="2629"/>
      <c r="X126" s="607" t="s">
        <v>498</v>
      </c>
      <c r="Y126" s="143">
        <v>0</v>
      </c>
      <c r="Z126" s="141">
        <v>0</v>
      </c>
      <c r="AA126" s="141">
        <v>0</v>
      </c>
      <c r="AB126" s="141">
        <v>0</v>
      </c>
      <c r="AC126" s="141">
        <v>0</v>
      </c>
      <c r="AD126" s="141">
        <v>0</v>
      </c>
      <c r="AE126" s="141">
        <v>0</v>
      </c>
      <c r="AF126" s="144">
        <v>0</v>
      </c>
      <c r="AG126" s="143">
        <v>0</v>
      </c>
      <c r="AH126" s="141">
        <v>0</v>
      </c>
      <c r="AI126" s="141">
        <v>0</v>
      </c>
      <c r="AJ126" s="141">
        <v>0</v>
      </c>
      <c r="AK126" s="144">
        <v>0</v>
      </c>
      <c r="AL126" s="2629"/>
      <c r="AM126" s="607" t="s">
        <v>2233</v>
      </c>
      <c r="AN126" s="143">
        <v>0</v>
      </c>
      <c r="AO126" s="141">
        <v>0</v>
      </c>
      <c r="AP126" s="141">
        <v>0</v>
      </c>
      <c r="AQ126" s="141">
        <v>0</v>
      </c>
      <c r="AR126" s="141">
        <v>0</v>
      </c>
      <c r="AS126" s="141">
        <v>0</v>
      </c>
      <c r="AT126" s="141">
        <v>0</v>
      </c>
      <c r="AU126" s="144">
        <v>0</v>
      </c>
      <c r="AV126" s="143">
        <v>0</v>
      </c>
      <c r="AW126" s="141">
        <v>0</v>
      </c>
      <c r="AX126" s="141">
        <v>0</v>
      </c>
      <c r="AY126" s="141">
        <v>0</v>
      </c>
      <c r="AZ126" s="144">
        <v>0</v>
      </c>
      <c r="BA126" s="2629"/>
      <c r="BB126" s="2629"/>
      <c r="BC126" s="2629"/>
      <c r="BD126" s="2629"/>
      <c r="BE126" s="2629"/>
      <c r="BF126" s="2629"/>
      <c r="BG126" s="2629"/>
      <c r="BH126" s="2629"/>
      <c r="BI126" s="2629"/>
      <c r="BJ126" s="2629"/>
      <c r="BK126" s="2629"/>
      <c r="BL126" s="2629"/>
      <c r="BM126" s="2629"/>
      <c r="BN126" s="2629"/>
      <c r="BO126" s="2629"/>
      <c r="BP126" s="2629"/>
      <c r="BQ126" s="2629"/>
      <c r="BR126" s="2629"/>
      <c r="BS126" s="2629"/>
      <c r="BT126" s="2629"/>
      <c r="BU126" s="2629"/>
      <c r="BV126" s="2629"/>
      <c r="BW126" s="2629"/>
      <c r="BX126" s="2629"/>
      <c r="BY126" s="2629"/>
      <c r="BZ126" s="2629"/>
      <c r="CA126" s="2629"/>
      <c r="CB126" s="2629"/>
      <c r="CC126" s="2629"/>
      <c r="CD126" s="2629"/>
      <c r="CE126" s="2629"/>
      <c r="CF126" s="2629"/>
    </row>
    <row r="127" spans="1:84" s="98" customFormat="1" ht="15" customHeight="1">
      <c r="A127" s="99"/>
      <c r="B127" s="2687"/>
      <c r="C127" s="2688"/>
      <c r="D127" s="2688" t="s">
        <v>2706</v>
      </c>
      <c r="E127" s="2688"/>
      <c r="F127" s="2688"/>
      <c r="G127" s="2645"/>
      <c r="H127" s="2645"/>
      <c r="I127" s="607" t="s">
        <v>498</v>
      </c>
      <c r="J127" s="143">
        <v>0</v>
      </c>
      <c r="K127" s="141">
        <v>0</v>
      </c>
      <c r="L127" s="141">
        <v>0</v>
      </c>
      <c r="M127" s="141">
        <v>0</v>
      </c>
      <c r="N127" s="141">
        <v>0</v>
      </c>
      <c r="O127" s="141">
        <v>0</v>
      </c>
      <c r="P127" s="141">
        <v>0</v>
      </c>
      <c r="Q127" s="144">
        <v>0</v>
      </c>
      <c r="R127" s="143">
        <v>0</v>
      </c>
      <c r="S127" s="141">
        <v>0</v>
      </c>
      <c r="T127" s="141">
        <v>0</v>
      </c>
      <c r="U127" s="141">
        <v>0</v>
      </c>
      <c r="V127" s="144">
        <v>0</v>
      </c>
      <c r="W127" s="2629"/>
      <c r="X127" s="607" t="s">
        <v>498</v>
      </c>
      <c r="Y127" s="143">
        <v>0</v>
      </c>
      <c r="Z127" s="141">
        <v>0</v>
      </c>
      <c r="AA127" s="141">
        <v>0</v>
      </c>
      <c r="AB127" s="141">
        <v>0</v>
      </c>
      <c r="AC127" s="141">
        <v>0</v>
      </c>
      <c r="AD127" s="141">
        <v>0</v>
      </c>
      <c r="AE127" s="141">
        <v>0</v>
      </c>
      <c r="AF127" s="144">
        <v>0</v>
      </c>
      <c r="AG127" s="143">
        <v>0</v>
      </c>
      <c r="AH127" s="141">
        <v>0</v>
      </c>
      <c r="AI127" s="141">
        <v>0</v>
      </c>
      <c r="AJ127" s="141">
        <v>0</v>
      </c>
      <c r="AK127" s="144">
        <v>0</v>
      </c>
      <c r="AL127" s="2629"/>
      <c r="AM127" s="607" t="s">
        <v>2233</v>
      </c>
      <c r="AN127" s="143">
        <v>0</v>
      </c>
      <c r="AO127" s="141">
        <v>0</v>
      </c>
      <c r="AP127" s="141">
        <v>0</v>
      </c>
      <c r="AQ127" s="141">
        <v>0</v>
      </c>
      <c r="AR127" s="141">
        <v>0</v>
      </c>
      <c r="AS127" s="141">
        <v>0</v>
      </c>
      <c r="AT127" s="141">
        <v>0</v>
      </c>
      <c r="AU127" s="144">
        <v>0</v>
      </c>
      <c r="AV127" s="143">
        <v>0</v>
      </c>
      <c r="AW127" s="141">
        <v>0</v>
      </c>
      <c r="AX127" s="141">
        <v>0</v>
      </c>
      <c r="AY127" s="141">
        <v>0</v>
      </c>
      <c r="AZ127" s="144">
        <v>0</v>
      </c>
      <c r="BA127" s="2629"/>
      <c r="BB127" s="2629"/>
      <c r="BC127" s="2629"/>
      <c r="BD127" s="2629"/>
      <c r="BE127" s="2629"/>
      <c r="BF127" s="2629"/>
      <c r="BG127" s="2629"/>
      <c r="BH127" s="2629"/>
      <c r="BI127" s="2629"/>
      <c r="BJ127" s="2629"/>
      <c r="BK127" s="2629"/>
      <c r="BL127" s="2629"/>
      <c r="BM127" s="2629"/>
      <c r="BN127" s="2629"/>
      <c r="BO127" s="2629"/>
      <c r="BP127" s="2629"/>
      <c r="BQ127" s="2629"/>
      <c r="BR127" s="2629"/>
      <c r="BS127" s="2629"/>
      <c r="BT127" s="2629"/>
      <c r="BU127" s="2629"/>
      <c r="BV127" s="2629"/>
      <c r="BW127" s="2629"/>
      <c r="BX127" s="2629"/>
      <c r="BY127" s="2629"/>
      <c r="BZ127" s="2629"/>
      <c r="CA127" s="2629"/>
      <c r="CB127" s="2629"/>
      <c r="CC127" s="2629"/>
      <c r="CD127" s="2629"/>
      <c r="CE127" s="2629"/>
      <c r="CF127" s="2629"/>
    </row>
    <row r="128" spans="1:84" s="98" customFormat="1" ht="15" customHeight="1">
      <c r="A128" s="99"/>
      <c r="B128" s="2687"/>
      <c r="C128" s="2688"/>
      <c r="D128" s="2688" t="s">
        <v>2707</v>
      </c>
      <c r="E128" s="2688"/>
      <c r="F128" s="2688"/>
      <c r="G128" s="2645"/>
      <c r="H128" s="2645"/>
      <c r="I128" s="607" t="s">
        <v>498</v>
      </c>
      <c r="J128" s="143">
        <v>0</v>
      </c>
      <c r="K128" s="141">
        <v>0</v>
      </c>
      <c r="L128" s="141">
        <v>0</v>
      </c>
      <c r="M128" s="141">
        <v>0</v>
      </c>
      <c r="N128" s="141">
        <v>0</v>
      </c>
      <c r="O128" s="141">
        <v>0</v>
      </c>
      <c r="P128" s="141">
        <v>0</v>
      </c>
      <c r="Q128" s="144">
        <v>0</v>
      </c>
      <c r="R128" s="143">
        <v>0</v>
      </c>
      <c r="S128" s="141">
        <v>0</v>
      </c>
      <c r="T128" s="141">
        <v>0</v>
      </c>
      <c r="U128" s="141">
        <v>0</v>
      </c>
      <c r="V128" s="144">
        <v>0</v>
      </c>
      <c r="W128" s="2629"/>
      <c r="X128" s="607" t="s">
        <v>498</v>
      </c>
      <c r="Y128" s="143">
        <v>0</v>
      </c>
      <c r="Z128" s="141">
        <v>0</v>
      </c>
      <c r="AA128" s="141">
        <v>0</v>
      </c>
      <c r="AB128" s="141">
        <v>0</v>
      </c>
      <c r="AC128" s="141">
        <v>0</v>
      </c>
      <c r="AD128" s="141">
        <v>0</v>
      </c>
      <c r="AE128" s="141">
        <v>0</v>
      </c>
      <c r="AF128" s="144">
        <v>0</v>
      </c>
      <c r="AG128" s="143">
        <v>0</v>
      </c>
      <c r="AH128" s="141">
        <v>0</v>
      </c>
      <c r="AI128" s="141">
        <v>0</v>
      </c>
      <c r="AJ128" s="141">
        <v>0</v>
      </c>
      <c r="AK128" s="144">
        <v>0</v>
      </c>
      <c r="AL128" s="2629"/>
      <c r="AM128" s="607" t="s">
        <v>2233</v>
      </c>
      <c r="AN128" s="143">
        <v>0</v>
      </c>
      <c r="AO128" s="141">
        <v>0</v>
      </c>
      <c r="AP128" s="141">
        <v>0</v>
      </c>
      <c r="AQ128" s="141">
        <v>0</v>
      </c>
      <c r="AR128" s="141">
        <v>0</v>
      </c>
      <c r="AS128" s="141">
        <v>0</v>
      </c>
      <c r="AT128" s="141">
        <v>0</v>
      </c>
      <c r="AU128" s="144">
        <v>0</v>
      </c>
      <c r="AV128" s="143">
        <v>0</v>
      </c>
      <c r="AW128" s="141">
        <v>0</v>
      </c>
      <c r="AX128" s="141">
        <v>0</v>
      </c>
      <c r="AY128" s="141">
        <v>0</v>
      </c>
      <c r="AZ128" s="144">
        <v>0</v>
      </c>
      <c r="BA128" s="2629"/>
      <c r="BB128" s="2629"/>
      <c r="BC128" s="2629"/>
      <c r="BD128" s="2629"/>
      <c r="BE128" s="2629"/>
      <c r="BF128" s="2629"/>
      <c r="BG128" s="2629"/>
      <c r="BH128" s="2629"/>
      <c r="BI128" s="2629"/>
      <c r="BJ128" s="2629"/>
      <c r="BK128" s="2629"/>
      <c r="BL128" s="2629"/>
      <c r="BM128" s="2629"/>
      <c r="BN128" s="2629"/>
      <c r="BO128" s="2629"/>
      <c r="BP128" s="2629"/>
      <c r="BQ128" s="2629"/>
      <c r="BR128" s="2629"/>
      <c r="BS128" s="2629"/>
      <c r="BT128" s="2629"/>
      <c r="BU128" s="2629"/>
      <c r="BV128" s="2629"/>
      <c r="BW128" s="2629"/>
      <c r="BX128" s="2629"/>
      <c r="BY128" s="2629"/>
      <c r="BZ128" s="2629"/>
      <c r="CA128" s="2629"/>
      <c r="CB128" s="2629"/>
      <c r="CC128" s="2629"/>
      <c r="CD128" s="2629"/>
      <c r="CE128" s="2629"/>
      <c r="CF128" s="2629"/>
    </row>
    <row r="129" spans="1:84" s="98" customFormat="1" ht="15" customHeight="1">
      <c r="A129" s="99"/>
      <c r="B129" s="2687"/>
      <c r="C129" s="2688"/>
      <c r="D129" s="2688" t="s">
        <v>2708</v>
      </c>
      <c r="E129" s="2688"/>
      <c r="F129" s="2688"/>
      <c r="G129" s="2645"/>
      <c r="H129" s="2645"/>
      <c r="I129" s="607" t="s">
        <v>498</v>
      </c>
      <c r="J129" s="143">
        <v>0</v>
      </c>
      <c r="K129" s="141">
        <v>0</v>
      </c>
      <c r="L129" s="141">
        <v>0</v>
      </c>
      <c r="M129" s="141">
        <v>0</v>
      </c>
      <c r="N129" s="141">
        <v>0</v>
      </c>
      <c r="O129" s="141">
        <v>0</v>
      </c>
      <c r="P129" s="141">
        <v>0</v>
      </c>
      <c r="Q129" s="144">
        <v>0</v>
      </c>
      <c r="R129" s="143">
        <v>0</v>
      </c>
      <c r="S129" s="141">
        <v>0</v>
      </c>
      <c r="T129" s="141">
        <v>0</v>
      </c>
      <c r="U129" s="141">
        <v>0</v>
      </c>
      <c r="V129" s="144">
        <v>0</v>
      </c>
      <c r="W129" s="2629"/>
      <c r="X129" s="607" t="s">
        <v>498</v>
      </c>
      <c r="Y129" s="143">
        <v>0</v>
      </c>
      <c r="Z129" s="141">
        <v>0</v>
      </c>
      <c r="AA129" s="141">
        <v>0</v>
      </c>
      <c r="AB129" s="141">
        <v>0</v>
      </c>
      <c r="AC129" s="141">
        <v>0</v>
      </c>
      <c r="AD129" s="141">
        <v>0</v>
      </c>
      <c r="AE129" s="141">
        <v>0</v>
      </c>
      <c r="AF129" s="144">
        <v>0</v>
      </c>
      <c r="AG129" s="143">
        <v>0</v>
      </c>
      <c r="AH129" s="141">
        <v>0</v>
      </c>
      <c r="AI129" s="141">
        <v>0</v>
      </c>
      <c r="AJ129" s="141">
        <v>0</v>
      </c>
      <c r="AK129" s="144">
        <v>0</v>
      </c>
      <c r="AL129" s="2629"/>
      <c r="AM129" s="607" t="s">
        <v>2233</v>
      </c>
      <c r="AN129" s="143">
        <v>0</v>
      </c>
      <c r="AO129" s="141">
        <v>0</v>
      </c>
      <c r="AP129" s="141">
        <v>0</v>
      </c>
      <c r="AQ129" s="141">
        <v>0</v>
      </c>
      <c r="AR129" s="141">
        <v>0</v>
      </c>
      <c r="AS129" s="141">
        <v>0</v>
      </c>
      <c r="AT129" s="141">
        <v>0</v>
      </c>
      <c r="AU129" s="144">
        <v>0</v>
      </c>
      <c r="AV129" s="143">
        <v>0</v>
      </c>
      <c r="AW129" s="141">
        <v>0</v>
      </c>
      <c r="AX129" s="141">
        <v>0</v>
      </c>
      <c r="AY129" s="141">
        <v>0</v>
      </c>
      <c r="AZ129" s="144">
        <v>0</v>
      </c>
      <c r="BA129" s="2629"/>
      <c r="BB129" s="2629"/>
      <c r="BC129" s="2629"/>
      <c r="BD129" s="2629"/>
      <c r="BE129" s="2629"/>
      <c r="BF129" s="2629"/>
      <c r="BG129" s="2629"/>
      <c r="BH129" s="2629"/>
      <c r="BI129" s="2629"/>
      <c r="BJ129" s="2629"/>
      <c r="BK129" s="2629"/>
      <c r="BL129" s="2629"/>
      <c r="BM129" s="2629"/>
      <c r="BN129" s="2629"/>
      <c r="BO129" s="2629"/>
      <c r="BP129" s="2629"/>
      <c r="BQ129" s="2629"/>
      <c r="BR129" s="2629"/>
      <c r="BS129" s="2629"/>
      <c r="BT129" s="2629"/>
      <c r="BU129" s="2629"/>
      <c r="BV129" s="2629"/>
      <c r="BW129" s="2629"/>
      <c r="BX129" s="2629"/>
      <c r="BY129" s="2629"/>
      <c r="BZ129" s="2629"/>
      <c r="CA129" s="2629"/>
      <c r="CB129" s="2629"/>
      <c r="CC129" s="2629"/>
      <c r="CD129" s="2629"/>
      <c r="CE129" s="2629"/>
      <c r="CF129" s="2629"/>
    </row>
    <row r="130" spans="1:84" s="98" customFormat="1" ht="15" customHeight="1">
      <c r="A130" s="99"/>
      <c r="B130" s="2687"/>
      <c r="C130" s="2688" t="s">
        <v>1710</v>
      </c>
      <c r="D130" s="2688"/>
      <c r="E130" s="2688"/>
      <c r="F130" s="2688"/>
      <c r="G130" s="2645"/>
      <c r="H130" s="2645"/>
      <c r="I130" s="607" t="s">
        <v>498</v>
      </c>
      <c r="J130" s="641">
        <f>SUM(J122:J129)</f>
        <v>0</v>
      </c>
      <c r="K130" s="642">
        <f t="shared" ref="K130:V130" si="28">SUM(K122:K129)</f>
        <v>0</v>
      </c>
      <c r="L130" s="642">
        <f t="shared" si="28"/>
        <v>0</v>
      </c>
      <c r="M130" s="642">
        <f t="shared" si="28"/>
        <v>0</v>
      </c>
      <c r="N130" s="642">
        <f t="shared" si="28"/>
        <v>0</v>
      </c>
      <c r="O130" s="642">
        <f t="shared" si="28"/>
        <v>0</v>
      </c>
      <c r="P130" s="642">
        <f t="shared" si="28"/>
        <v>0</v>
      </c>
      <c r="Q130" s="643">
        <f t="shared" si="28"/>
        <v>0</v>
      </c>
      <c r="R130" s="641">
        <f t="shared" si="28"/>
        <v>0</v>
      </c>
      <c r="S130" s="642">
        <f t="shared" si="28"/>
        <v>0</v>
      </c>
      <c r="T130" s="642">
        <f t="shared" si="28"/>
        <v>0</v>
      </c>
      <c r="U130" s="642">
        <f t="shared" si="28"/>
        <v>0</v>
      </c>
      <c r="V130" s="643">
        <f t="shared" si="28"/>
        <v>0</v>
      </c>
      <c r="W130" s="2629"/>
      <c r="X130" s="607" t="s">
        <v>498</v>
      </c>
      <c r="Y130" s="641">
        <f>SUM(Y122:Y129)</f>
        <v>0</v>
      </c>
      <c r="Z130" s="642">
        <f t="shared" ref="Z130:AK130" si="29">SUM(Z122:Z129)</f>
        <v>0</v>
      </c>
      <c r="AA130" s="642">
        <f t="shared" si="29"/>
        <v>0</v>
      </c>
      <c r="AB130" s="642">
        <f t="shared" si="29"/>
        <v>0</v>
      </c>
      <c r="AC130" s="642">
        <f t="shared" si="29"/>
        <v>0</v>
      </c>
      <c r="AD130" s="642">
        <f t="shared" si="29"/>
        <v>0</v>
      </c>
      <c r="AE130" s="642">
        <f t="shared" si="29"/>
        <v>0</v>
      </c>
      <c r="AF130" s="643">
        <f t="shared" si="29"/>
        <v>0</v>
      </c>
      <c r="AG130" s="641">
        <f t="shared" si="29"/>
        <v>0</v>
      </c>
      <c r="AH130" s="642">
        <f t="shared" si="29"/>
        <v>0</v>
      </c>
      <c r="AI130" s="642">
        <f t="shared" si="29"/>
        <v>0</v>
      </c>
      <c r="AJ130" s="642">
        <f t="shared" si="29"/>
        <v>0</v>
      </c>
      <c r="AK130" s="643">
        <f t="shared" si="29"/>
        <v>0</v>
      </c>
      <c r="AL130" s="2629"/>
      <c r="AM130" s="607" t="s">
        <v>2233</v>
      </c>
      <c r="AN130" s="641">
        <f>SUM(AN122:AN129)</f>
        <v>0</v>
      </c>
      <c r="AO130" s="642">
        <f t="shared" ref="AO130:AZ130" si="30">SUM(AO122:AO129)</f>
        <v>0</v>
      </c>
      <c r="AP130" s="642">
        <f t="shared" si="30"/>
        <v>0</v>
      </c>
      <c r="AQ130" s="642">
        <f t="shared" si="30"/>
        <v>0</v>
      </c>
      <c r="AR130" s="642">
        <f t="shared" si="30"/>
        <v>0</v>
      </c>
      <c r="AS130" s="642">
        <f t="shared" si="30"/>
        <v>0</v>
      </c>
      <c r="AT130" s="642">
        <f t="shared" si="30"/>
        <v>0</v>
      </c>
      <c r="AU130" s="643">
        <f t="shared" si="30"/>
        <v>0</v>
      </c>
      <c r="AV130" s="641">
        <f t="shared" si="30"/>
        <v>0</v>
      </c>
      <c r="AW130" s="642">
        <f t="shared" si="30"/>
        <v>0</v>
      </c>
      <c r="AX130" s="642">
        <f t="shared" si="30"/>
        <v>0</v>
      </c>
      <c r="AY130" s="642">
        <f t="shared" si="30"/>
        <v>0</v>
      </c>
      <c r="AZ130" s="643">
        <f t="shared" si="30"/>
        <v>0</v>
      </c>
      <c r="BA130" s="2629"/>
      <c r="BB130" s="2629"/>
      <c r="BC130" s="2629"/>
      <c r="BD130" s="2629"/>
      <c r="BE130" s="2629"/>
      <c r="BF130" s="2629"/>
      <c r="BG130" s="2629"/>
      <c r="BH130" s="2629"/>
      <c r="BI130" s="2629"/>
      <c r="BJ130" s="2629"/>
      <c r="BK130" s="2629"/>
      <c r="BL130" s="2629"/>
      <c r="BM130" s="2629"/>
      <c r="BN130" s="2629"/>
      <c r="BO130" s="2629"/>
      <c r="BP130" s="2629"/>
      <c r="BQ130" s="2629"/>
      <c r="BR130" s="2629"/>
      <c r="BS130" s="2629"/>
      <c r="BT130" s="2629"/>
      <c r="BU130" s="2629"/>
      <c r="BV130" s="2629"/>
      <c r="BW130" s="2629"/>
      <c r="BX130" s="2629"/>
      <c r="BY130" s="2629"/>
      <c r="BZ130" s="2629"/>
      <c r="CA130" s="2629"/>
      <c r="CB130" s="2629"/>
      <c r="CC130" s="2629"/>
      <c r="CD130" s="2629"/>
      <c r="CE130" s="2629"/>
      <c r="CF130" s="2629"/>
    </row>
    <row r="131" spans="1:84" s="98" customFormat="1" ht="15" customHeight="1">
      <c r="A131" s="99"/>
      <c r="B131" s="123"/>
      <c r="C131" s="2686"/>
      <c r="D131" s="2686"/>
      <c r="E131" s="2686"/>
      <c r="F131" s="2686"/>
      <c r="G131" s="94"/>
      <c r="H131" s="94"/>
      <c r="I131" s="94"/>
      <c r="J131" s="713"/>
      <c r="K131" s="2649"/>
      <c r="L131" s="2649"/>
      <c r="M131" s="2649"/>
      <c r="N131" s="2649"/>
      <c r="O131" s="2649"/>
      <c r="P131" s="2649"/>
      <c r="Q131" s="715"/>
      <c r="R131" s="713"/>
      <c r="S131" s="2649"/>
      <c r="T131" s="2649"/>
      <c r="U131" s="2649"/>
      <c r="V131" s="715"/>
      <c r="W131" s="2629"/>
      <c r="X131" s="94"/>
      <c r="Y131" s="713"/>
      <c r="Z131" s="2649"/>
      <c r="AA131" s="2649"/>
      <c r="AB131" s="2649"/>
      <c r="AC131" s="2649"/>
      <c r="AD131" s="2649"/>
      <c r="AE131" s="2649"/>
      <c r="AF131" s="715"/>
      <c r="AG131" s="713"/>
      <c r="AH131" s="2649"/>
      <c r="AI131" s="2649"/>
      <c r="AJ131" s="2649"/>
      <c r="AK131" s="715"/>
      <c r="AL131" s="2629"/>
      <c r="AM131" s="94"/>
      <c r="AN131" s="713"/>
      <c r="AO131" s="2649"/>
      <c r="AP131" s="2649"/>
      <c r="AQ131" s="2649"/>
      <c r="AR131" s="2649"/>
      <c r="AS131" s="2649"/>
      <c r="AT131" s="2649"/>
      <c r="AU131" s="715"/>
      <c r="AV131" s="713"/>
      <c r="AW131" s="2649"/>
      <c r="AX131" s="2649"/>
      <c r="AY131" s="2649"/>
      <c r="AZ131" s="715"/>
      <c r="BA131" s="2629"/>
      <c r="BB131" s="2629"/>
      <c r="BC131" s="2629"/>
      <c r="BD131" s="2629"/>
      <c r="BE131" s="2629"/>
      <c r="BF131" s="2629"/>
      <c r="BG131" s="2629"/>
      <c r="BH131" s="2629"/>
      <c r="BI131" s="2629"/>
      <c r="BJ131" s="2629"/>
      <c r="BK131" s="2629"/>
      <c r="BL131" s="2629"/>
      <c r="BM131" s="2629"/>
      <c r="BN131" s="2629"/>
      <c r="BO131" s="2629"/>
      <c r="BP131" s="2629"/>
      <c r="BQ131" s="2629"/>
      <c r="BR131" s="2629"/>
      <c r="BS131" s="2629"/>
      <c r="BT131" s="2629"/>
      <c r="BU131" s="2629"/>
      <c r="BV131" s="2629"/>
      <c r="BW131" s="2629"/>
      <c r="BX131" s="2629"/>
      <c r="BY131" s="2629"/>
      <c r="BZ131" s="2629"/>
      <c r="CA131" s="2629"/>
      <c r="CB131" s="2629"/>
      <c r="CC131" s="2629"/>
      <c r="CD131" s="2629"/>
      <c r="CE131" s="2629"/>
      <c r="CF131" s="2629"/>
    </row>
    <row r="132" spans="1:84" s="98" customFormat="1" ht="15" customHeight="1">
      <c r="A132" s="99"/>
      <c r="B132" s="2687"/>
      <c r="C132" s="2685" t="s">
        <v>1684</v>
      </c>
      <c r="D132" s="2685"/>
      <c r="E132" s="2685"/>
      <c r="F132" s="2685"/>
      <c r="G132" s="94"/>
      <c r="H132" s="94"/>
      <c r="I132" s="94"/>
      <c r="J132" s="713"/>
      <c r="K132" s="2649"/>
      <c r="L132" s="2649"/>
      <c r="M132" s="2649"/>
      <c r="N132" s="2649"/>
      <c r="O132" s="2649"/>
      <c r="P132" s="2649"/>
      <c r="Q132" s="715"/>
      <c r="R132" s="713"/>
      <c r="S132" s="2649"/>
      <c r="T132" s="2649"/>
      <c r="U132" s="2649"/>
      <c r="V132" s="715"/>
      <c r="W132" s="2629"/>
      <c r="X132" s="94"/>
      <c r="Y132" s="713"/>
      <c r="Z132" s="2649"/>
      <c r="AA132" s="2649"/>
      <c r="AB132" s="2649"/>
      <c r="AC132" s="2649"/>
      <c r="AD132" s="2649"/>
      <c r="AE132" s="2649"/>
      <c r="AF132" s="715"/>
      <c r="AG132" s="713"/>
      <c r="AH132" s="2649"/>
      <c r="AI132" s="2649"/>
      <c r="AJ132" s="2649"/>
      <c r="AK132" s="715"/>
      <c r="AL132" s="2629"/>
      <c r="AM132" s="94"/>
      <c r="AN132" s="713"/>
      <c r="AO132" s="2649"/>
      <c r="AP132" s="2649"/>
      <c r="AQ132" s="2649"/>
      <c r="AR132" s="2649"/>
      <c r="AS132" s="2649"/>
      <c r="AT132" s="2649"/>
      <c r="AU132" s="715"/>
      <c r="AV132" s="713"/>
      <c r="AW132" s="2649"/>
      <c r="AX132" s="2649"/>
      <c r="AY132" s="2649"/>
      <c r="AZ132" s="715"/>
      <c r="BA132" s="2629"/>
      <c r="BB132" s="2629"/>
      <c r="BC132" s="2629"/>
      <c r="BD132" s="2629"/>
      <c r="BE132" s="2629"/>
      <c r="BF132" s="2629"/>
      <c r="BG132" s="2629"/>
      <c r="BH132" s="2629"/>
      <c r="BI132" s="2629"/>
      <c r="BJ132" s="2629"/>
      <c r="BK132" s="2629"/>
      <c r="BL132" s="2629"/>
      <c r="BM132" s="2629"/>
      <c r="BN132" s="2629"/>
      <c r="BO132" s="2629"/>
      <c r="BP132" s="2629"/>
      <c r="BQ132" s="2629"/>
      <c r="BR132" s="2629"/>
      <c r="BS132" s="2629"/>
      <c r="BT132" s="2629"/>
      <c r="BU132" s="2629"/>
      <c r="BV132" s="2629"/>
      <c r="BW132" s="2629"/>
      <c r="BX132" s="2629"/>
      <c r="BY132" s="2629"/>
      <c r="BZ132" s="2629"/>
      <c r="CA132" s="2629"/>
      <c r="CB132" s="2629"/>
      <c r="CC132" s="2629"/>
      <c r="CD132" s="2629"/>
      <c r="CE132" s="2629"/>
      <c r="CF132" s="2629"/>
    </row>
    <row r="133" spans="1:84" s="98" customFormat="1" ht="15" customHeight="1">
      <c r="A133" s="99"/>
      <c r="B133" s="2687"/>
      <c r="C133" s="2688"/>
      <c r="D133" s="2688" t="s">
        <v>2701</v>
      </c>
      <c r="E133" s="2688"/>
      <c r="F133" s="2688"/>
      <c r="G133" s="2645"/>
      <c r="H133" s="2645"/>
      <c r="I133" s="607" t="s">
        <v>498</v>
      </c>
      <c r="J133" s="143">
        <v>0</v>
      </c>
      <c r="K133" s="141">
        <v>0</v>
      </c>
      <c r="L133" s="141">
        <v>0</v>
      </c>
      <c r="M133" s="141">
        <v>0</v>
      </c>
      <c r="N133" s="141">
        <v>0</v>
      </c>
      <c r="O133" s="141">
        <v>0</v>
      </c>
      <c r="P133" s="141">
        <v>4.9721067498765701E-4</v>
      </c>
      <c r="Q133" s="144">
        <v>4.5302268896200678E-4</v>
      </c>
      <c r="R133" s="143">
        <v>1.0551280406212054E-3</v>
      </c>
      <c r="S133" s="141">
        <v>1.0498524004180995E-3</v>
      </c>
      <c r="T133" s="141">
        <v>1.0446031384160088E-3</v>
      </c>
      <c r="U133" s="141">
        <v>1.0393801227239288E-3</v>
      </c>
      <c r="V133" s="144">
        <v>1.0341832221103092E-3</v>
      </c>
      <c r="W133" s="2629"/>
      <c r="X133" s="607" t="s">
        <v>498</v>
      </c>
      <c r="Y133" s="143">
        <v>0</v>
      </c>
      <c r="Z133" s="141">
        <v>0</v>
      </c>
      <c r="AA133" s="141">
        <v>0</v>
      </c>
      <c r="AB133" s="141">
        <v>0</v>
      </c>
      <c r="AC133" s="141">
        <v>0</v>
      </c>
      <c r="AD133" s="141">
        <v>0</v>
      </c>
      <c r="AE133" s="141">
        <v>-4.1343503081870509E-4</v>
      </c>
      <c r="AF133" s="144">
        <v>-3.7669233344040618E-4</v>
      </c>
      <c r="AG133" s="143">
        <v>-8.8630755412181248E-4</v>
      </c>
      <c r="AH133" s="141">
        <v>-8.8187601635120346E-4</v>
      </c>
      <c r="AI133" s="141">
        <v>-8.7746663626944743E-4</v>
      </c>
      <c r="AJ133" s="141">
        <v>-8.7307930308810021E-4</v>
      </c>
      <c r="AK133" s="144">
        <v>-8.6871390657265962E-4</v>
      </c>
      <c r="AL133" s="2629"/>
      <c r="AM133" s="607" t="s">
        <v>2233</v>
      </c>
      <c r="AN133" s="143">
        <v>0</v>
      </c>
      <c r="AO133" s="141">
        <v>0</v>
      </c>
      <c r="AP133" s="141">
        <v>0</v>
      </c>
      <c r="AQ133" s="141">
        <v>0</v>
      </c>
      <c r="AR133" s="141">
        <v>0</v>
      </c>
      <c r="AS133" s="141">
        <v>0</v>
      </c>
      <c r="AT133" s="141">
        <v>2.0154529476232802E-3</v>
      </c>
      <c r="AU133" s="144">
        <v>2.0790430710204665E-3</v>
      </c>
      <c r="AV133" s="143">
        <v>4.1672812713624986E-3</v>
      </c>
      <c r="AW133" s="141">
        <v>4.1672812713624986E-3</v>
      </c>
      <c r="AX133" s="141">
        <v>4.1672812713624986E-3</v>
      </c>
      <c r="AY133" s="141">
        <v>4.1672812713624986E-3</v>
      </c>
      <c r="AZ133" s="144">
        <v>4.1672812713624986E-3</v>
      </c>
      <c r="BA133" s="2629"/>
      <c r="BB133" s="2629"/>
      <c r="BC133" s="2629"/>
      <c r="BD133" s="2629"/>
      <c r="BE133" s="2629"/>
      <c r="BF133" s="2629"/>
      <c r="BG133" s="2629"/>
      <c r="BH133" s="2629"/>
      <c r="BI133" s="2629"/>
      <c r="BJ133" s="2629"/>
      <c r="BK133" s="2629"/>
      <c r="BL133" s="2629"/>
      <c r="BM133" s="2629"/>
      <c r="BN133" s="2629"/>
      <c r="BO133" s="2629"/>
      <c r="BP133" s="2629"/>
      <c r="BQ133" s="2629"/>
      <c r="BR133" s="2629"/>
      <c r="BS133" s="2629"/>
      <c r="BT133" s="2629"/>
      <c r="BU133" s="2629"/>
      <c r="BV133" s="2629"/>
      <c r="BW133" s="2629"/>
      <c r="BX133" s="2629"/>
      <c r="BY133" s="2629"/>
      <c r="BZ133" s="2629"/>
      <c r="CA133" s="2629"/>
      <c r="CB133" s="2629"/>
      <c r="CC133" s="2629"/>
      <c r="CD133" s="2629"/>
      <c r="CE133" s="2629"/>
      <c r="CF133" s="2629"/>
    </row>
    <row r="134" spans="1:84" s="98" customFormat="1" ht="15" customHeight="1">
      <c r="A134" s="99"/>
      <c r="B134" s="2687"/>
      <c r="C134" s="2688"/>
      <c r="D134" s="2688" t="s">
        <v>2702</v>
      </c>
      <c r="E134" s="2688"/>
      <c r="F134" s="2688"/>
      <c r="G134" s="2645"/>
      <c r="H134" s="2645"/>
      <c r="I134" s="607" t="s">
        <v>498</v>
      </c>
      <c r="J134" s="143">
        <v>0</v>
      </c>
      <c r="K134" s="141">
        <v>0</v>
      </c>
      <c r="L134" s="141">
        <v>1.068767724392946E-3</v>
      </c>
      <c r="M134" s="141">
        <v>0</v>
      </c>
      <c r="N134" s="141">
        <v>0</v>
      </c>
      <c r="O134" s="141">
        <v>1.0554343950547197E-2</v>
      </c>
      <c r="P134" s="141">
        <v>8.6581240576108533E-3</v>
      </c>
      <c r="Q134" s="144">
        <v>7.9849881427117193E-3</v>
      </c>
      <c r="R134" s="143">
        <v>1.8100355893791803E-2</v>
      </c>
      <c r="S134" s="141">
        <v>1.8009854114322842E-2</v>
      </c>
      <c r="T134" s="141">
        <v>1.7919804843751226E-2</v>
      </c>
      <c r="U134" s="141">
        <v>1.7830205819532471E-2</v>
      </c>
      <c r="V134" s="144">
        <v>1.7741054790434807E-2</v>
      </c>
      <c r="W134" s="2629"/>
      <c r="X134" s="607" t="s">
        <v>498</v>
      </c>
      <c r="Y134" s="143">
        <v>0</v>
      </c>
      <c r="Z134" s="141">
        <v>0</v>
      </c>
      <c r="AA134" s="141">
        <v>-8.5846891563981953E-4</v>
      </c>
      <c r="AB134" s="141">
        <v>0</v>
      </c>
      <c r="AC134" s="141">
        <v>0</v>
      </c>
      <c r="AD134" s="141">
        <v>-9.2103389501514404E-3</v>
      </c>
      <c r="AE134" s="141">
        <v>-7.1463837948761233E-3</v>
      </c>
      <c r="AF134" s="144">
        <v>-6.5907798832232686E-3</v>
      </c>
      <c r="AG134" s="143">
        <v>-1.520429895078511E-2</v>
      </c>
      <c r="AH134" s="141">
        <v>-1.5128277456031186E-2</v>
      </c>
      <c r="AI134" s="141">
        <v>-1.505263606875103E-2</v>
      </c>
      <c r="AJ134" s="141">
        <v>-1.4977372888407274E-2</v>
      </c>
      <c r="AK134" s="144">
        <v>-1.4902486023965239E-2</v>
      </c>
      <c r="AL134" s="2629"/>
      <c r="AM134" s="607" t="s">
        <v>2233</v>
      </c>
      <c r="AN134" s="143">
        <v>0</v>
      </c>
      <c r="AO134" s="141">
        <v>0</v>
      </c>
      <c r="AP134" s="141">
        <v>1.5E-3</v>
      </c>
      <c r="AQ134" s="141">
        <v>0</v>
      </c>
      <c r="AR134" s="141">
        <v>0</v>
      </c>
      <c r="AS134" s="141">
        <v>3.9E-2</v>
      </c>
      <c r="AT134" s="141">
        <v>3.3522751186395292E-2</v>
      </c>
      <c r="AU134" s="144">
        <v>3.5002691359791303E-2</v>
      </c>
      <c r="AV134" s="143">
        <v>7.0498996811650796E-2</v>
      </c>
      <c r="AW134" s="141">
        <v>7.0498996811650796E-2</v>
      </c>
      <c r="AX134" s="141">
        <v>7.0498996811650796E-2</v>
      </c>
      <c r="AY134" s="141">
        <v>7.0498996811650796E-2</v>
      </c>
      <c r="AZ134" s="144">
        <v>7.0498996811650796E-2</v>
      </c>
      <c r="BA134" s="2629"/>
      <c r="BB134" s="2629"/>
      <c r="BC134" s="2629"/>
      <c r="BD134" s="2629"/>
      <c r="BE134" s="2629"/>
      <c r="BF134" s="2629"/>
      <c r="BG134" s="2629"/>
      <c r="BH134" s="2629"/>
      <c r="BI134" s="2629"/>
      <c r="BJ134" s="2629"/>
      <c r="BK134" s="2629"/>
      <c r="BL134" s="2629"/>
      <c r="BM134" s="2629"/>
      <c r="BN134" s="2629"/>
      <c r="BO134" s="2629"/>
      <c r="BP134" s="2629"/>
      <c r="BQ134" s="2629"/>
      <c r="BR134" s="2629"/>
      <c r="BS134" s="2629"/>
      <c r="BT134" s="2629"/>
      <c r="BU134" s="2629"/>
      <c r="BV134" s="2629"/>
      <c r="BW134" s="2629"/>
      <c r="BX134" s="2629"/>
      <c r="BY134" s="2629"/>
      <c r="BZ134" s="2629"/>
      <c r="CA134" s="2629"/>
      <c r="CB134" s="2629"/>
      <c r="CC134" s="2629"/>
      <c r="CD134" s="2629"/>
      <c r="CE134" s="2629"/>
      <c r="CF134" s="2629"/>
    </row>
    <row r="135" spans="1:84" s="98" customFormat="1" ht="15" customHeight="1">
      <c r="A135" s="99"/>
      <c r="B135" s="2687"/>
      <c r="C135" s="2688"/>
      <c r="D135" s="2688" t="s">
        <v>2703</v>
      </c>
      <c r="E135" s="2688"/>
      <c r="F135" s="2688"/>
      <c r="G135" s="2645"/>
      <c r="H135" s="2645"/>
      <c r="I135" s="607" t="s">
        <v>498</v>
      </c>
      <c r="J135" s="143">
        <v>0</v>
      </c>
      <c r="K135" s="141">
        <v>5.4165200502852243E-2</v>
      </c>
      <c r="L135" s="141">
        <v>3.004254961239157E-2</v>
      </c>
      <c r="M135" s="141">
        <v>1.1310782308694986E-2</v>
      </c>
      <c r="N135" s="141">
        <v>9.8207771146660475E-2</v>
      </c>
      <c r="O135" s="141">
        <v>0</v>
      </c>
      <c r="P135" s="141">
        <v>7.9694870240479637E-2</v>
      </c>
      <c r="Q135" s="144">
        <v>7.0689656837371648E-2</v>
      </c>
      <c r="R135" s="143">
        <v>0.19965205480346979</v>
      </c>
      <c r="S135" s="141">
        <v>0.19865379452945245</v>
      </c>
      <c r="T135" s="141">
        <v>0.19766052555680516</v>
      </c>
      <c r="U135" s="141">
        <v>0.19667222292902112</v>
      </c>
      <c r="V135" s="144">
        <v>0.195688861814376</v>
      </c>
      <c r="W135" s="2629"/>
      <c r="X135" s="607" t="s">
        <v>498</v>
      </c>
      <c r="Y135" s="143">
        <v>0</v>
      </c>
      <c r="Z135" s="141">
        <v>-4.3071750784479619E-2</v>
      </c>
      <c r="AA135" s="141">
        <v>-2.4131150670230219E-2</v>
      </c>
      <c r="AB135" s="141">
        <v>-1.0510429660998792E-2</v>
      </c>
      <c r="AC135" s="141">
        <v>-7.9865032510034531E-2</v>
      </c>
      <c r="AD135" s="141">
        <v>0</v>
      </c>
      <c r="AE135" s="141">
        <v>-6.6223730746761716E-2</v>
      </c>
      <c r="AF135" s="144">
        <v>-5.8740704224163241E-2</v>
      </c>
      <c r="AG135" s="143">
        <v>-0.16770772603491463</v>
      </c>
      <c r="AH135" s="141">
        <v>-0.16686918740474002</v>
      </c>
      <c r="AI135" s="141">
        <v>-0.16603484146771633</v>
      </c>
      <c r="AJ135" s="141">
        <v>-0.16520466726037772</v>
      </c>
      <c r="AK135" s="144">
        <v>-0.16437864392407583</v>
      </c>
      <c r="AL135" s="2629"/>
      <c r="AM135" s="607" t="s">
        <v>2233</v>
      </c>
      <c r="AN135" s="143">
        <v>0</v>
      </c>
      <c r="AO135" s="141">
        <v>0.16300000000000001</v>
      </c>
      <c r="AP135" s="141">
        <v>0.124</v>
      </c>
      <c r="AQ135" s="141">
        <v>7.9000000000000001E-2</v>
      </c>
      <c r="AR135" s="141">
        <v>0.21299999999999999</v>
      </c>
      <c r="AS135" s="141">
        <v>0</v>
      </c>
      <c r="AT135" s="141">
        <v>0.27354644781299814</v>
      </c>
      <c r="AU135" s="144">
        <v>0.27470584411848215</v>
      </c>
      <c r="AV135" s="143">
        <v>0.71777139604247508</v>
      </c>
      <c r="AW135" s="141">
        <v>0.71777139604247508</v>
      </c>
      <c r="AX135" s="141">
        <v>0.71777139604247508</v>
      </c>
      <c r="AY135" s="141">
        <v>0.71777139604247508</v>
      </c>
      <c r="AZ135" s="144">
        <v>0.71777139604247508</v>
      </c>
      <c r="BA135" s="2629"/>
      <c r="BB135" s="2629"/>
      <c r="BC135" s="2629"/>
      <c r="BD135" s="2629"/>
      <c r="BE135" s="2629"/>
      <c r="BF135" s="2629"/>
      <c r="BG135" s="2629"/>
      <c r="BH135" s="2629"/>
      <c r="BI135" s="2629"/>
      <c r="BJ135" s="2629"/>
      <c r="BK135" s="2629"/>
      <c r="BL135" s="2629"/>
      <c r="BM135" s="2629"/>
      <c r="BN135" s="2629"/>
      <c r="BO135" s="2629"/>
      <c r="BP135" s="2629"/>
      <c r="BQ135" s="2629"/>
      <c r="BR135" s="2629"/>
      <c r="BS135" s="2629"/>
      <c r="BT135" s="2629"/>
      <c r="BU135" s="2629"/>
      <c r="BV135" s="2629"/>
      <c r="BW135" s="2629"/>
      <c r="BX135" s="2629"/>
      <c r="BY135" s="2629"/>
      <c r="BZ135" s="2629"/>
      <c r="CA135" s="2629"/>
      <c r="CB135" s="2629"/>
      <c r="CC135" s="2629"/>
      <c r="CD135" s="2629"/>
      <c r="CE135" s="2629"/>
      <c r="CF135" s="2629"/>
    </row>
    <row r="136" spans="1:84" s="98" customFormat="1" ht="15" customHeight="1">
      <c r="A136" s="99"/>
      <c r="B136" s="2687"/>
      <c r="C136" s="2688"/>
      <c r="D136" s="2688" t="s">
        <v>2704</v>
      </c>
      <c r="E136" s="2688"/>
      <c r="F136" s="2688"/>
      <c r="G136" s="2645"/>
      <c r="H136" s="2645"/>
      <c r="I136" s="607" t="s">
        <v>498</v>
      </c>
      <c r="J136" s="143">
        <v>6.6116256851296629E-2</v>
      </c>
      <c r="K136" s="141">
        <v>0.15631832483149571</v>
      </c>
      <c r="L136" s="141">
        <v>0.26137197846945309</v>
      </c>
      <c r="M136" s="141">
        <v>6.3270247131140208E-4</v>
      </c>
      <c r="N136" s="141">
        <v>0.11938498394961532</v>
      </c>
      <c r="O136" s="141">
        <v>0</v>
      </c>
      <c r="P136" s="141">
        <v>0.18813025802526553</v>
      </c>
      <c r="Q136" s="144">
        <v>0.17384160619494599</v>
      </c>
      <c r="R136" s="143">
        <v>0.50597672229132928</v>
      </c>
      <c r="S136" s="141">
        <v>0.50344683867987272</v>
      </c>
      <c r="T136" s="141">
        <v>0.50092960448647328</v>
      </c>
      <c r="U136" s="141">
        <v>0.49842495646404095</v>
      </c>
      <c r="V136" s="144">
        <v>0.49593283168172075</v>
      </c>
      <c r="W136" s="2629"/>
      <c r="X136" s="607" t="s">
        <v>498</v>
      </c>
      <c r="Y136" s="143">
        <v>-5.7202934401739791E-2</v>
      </c>
      <c r="Z136" s="141">
        <v>-0.12435349587518722</v>
      </c>
      <c r="AA136" s="141">
        <v>-0.20994245411251738</v>
      </c>
      <c r="AB136" s="141">
        <v>-5.8793234982044821E-4</v>
      </c>
      <c r="AC136" s="141">
        <v>-9.7086875234213069E-2</v>
      </c>
      <c r="AD136" s="141">
        <v>0</v>
      </c>
      <c r="AE136" s="141">
        <v>-0.15627158810515343</v>
      </c>
      <c r="AF136" s="144">
        <v>-0.14440262913574742</v>
      </c>
      <c r="AG136" s="143">
        <v>-0.42502044672471656</v>
      </c>
      <c r="AH136" s="141">
        <v>-0.42289534449109306</v>
      </c>
      <c r="AI136" s="141">
        <v>-0.42078086776863755</v>
      </c>
      <c r="AJ136" s="141">
        <v>-0.41867696342979438</v>
      </c>
      <c r="AK136" s="144">
        <v>-0.41658357861264539</v>
      </c>
      <c r="AL136" s="2629"/>
      <c r="AM136" s="607" t="s">
        <v>2233</v>
      </c>
      <c r="AN136" s="143">
        <v>0.14399999999999999</v>
      </c>
      <c r="AO136" s="141">
        <v>0.33</v>
      </c>
      <c r="AP136" s="141">
        <v>0.39350000000000002</v>
      </c>
      <c r="AQ136" s="141">
        <v>4.0000000000000001E-3</v>
      </c>
      <c r="AR136" s="141">
        <v>0.14000000000000001</v>
      </c>
      <c r="AS136" s="141">
        <v>0</v>
      </c>
      <c r="AT136" s="141">
        <v>0.31220127386948421</v>
      </c>
      <c r="AU136" s="144">
        <v>0.32661871003714804</v>
      </c>
      <c r="AV136" s="143">
        <v>0.9223246883696784</v>
      </c>
      <c r="AW136" s="141">
        <v>0.9223246883696784</v>
      </c>
      <c r="AX136" s="141">
        <v>0.9223246883696784</v>
      </c>
      <c r="AY136" s="141">
        <v>0.9223246883696784</v>
      </c>
      <c r="AZ136" s="144">
        <v>0.9223246883696784</v>
      </c>
      <c r="BA136" s="2629"/>
      <c r="BB136" s="2629"/>
      <c r="BC136" s="2629"/>
      <c r="BD136" s="2629"/>
      <c r="BE136" s="2629"/>
      <c r="BF136" s="2629"/>
      <c r="BG136" s="2629"/>
      <c r="BH136" s="2629"/>
      <c r="BI136" s="2629"/>
      <c r="BJ136" s="2629"/>
      <c r="BK136" s="2629"/>
      <c r="BL136" s="2629"/>
      <c r="BM136" s="2629"/>
      <c r="BN136" s="2629"/>
      <c r="BO136" s="2629"/>
      <c r="BP136" s="2629"/>
      <c r="BQ136" s="2629"/>
      <c r="BR136" s="2629"/>
      <c r="BS136" s="2629"/>
      <c r="BT136" s="2629"/>
      <c r="BU136" s="2629"/>
      <c r="BV136" s="2629"/>
      <c r="BW136" s="2629"/>
      <c r="BX136" s="2629"/>
      <c r="BY136" s="2629"/>
      <c r="BZ136" s="2629"/>
      <c r="CA136" s="2629"/>
      <c r="CB136" s="2629"/>
      <c r="CC136" s="2629"/>
      <c r="CD136" s="2629"/>
      <c r="CE136" s="2629"/>
      <c r="CF136" s="2629"/>
    </row>
    <row r="137" spans="1:84" s="98" customFormat="1" ht="15" customHeight="1">
      <c r="A137" s="99"/>
      <c r="B137" s="2687"/>
      <c r="C137" s="2688"/>
      <c r="D137" s="2688" t="s">
        <v>2705</v>
      </c>
      <c r="E137" s="2688"/>
      <c r="F137" s="2688"/>
      <c r="G137" s="2645"/>
      <c r="H137" s="2645"/>
      <c r="I137" s="607" t="s">
        <v>498</v>
      </c>
      <c r="J137" s="143">
        <v>0.333465136742849</v>
      </c>
      <c r="K137" s="141">
        <v>0.23148502778231142</v>
      </c>
      <c r="L137" s="141">
        <v>0.13115090834303672</v>
      </c>
      <c r="M137" s="141">
        <v>0.98969709770442504</v>
      </c>
      <c r="N137" s="141">
        <v>0.20009092782868831</v>
      </c>
      <c r="O137" s="141">
        <v>0.22868665871923058</v>
      </c>
      <c r="P137" s="141">
        <v>0.19664696261104581</v>
      </c>
      <c r="Q137" s="144">
        <v>0.14965388976550675</v>
      </c>
      <c r="R137" s="143">
        <v>0.79853259265186027</v>
      </c>
      <c r="S137" s="141">
        <v>0.79453992968860099</v>
      </c>
      <c r="T137" s="141">
        <v>0.79056723004015794</v>
      </c>
      <c r="U137" s="141">
        <v>0.78661439388995713</v>
      </c>
      <c r="V137" s="144">
        <v>0.78268132192050743</v>
      </c>
      <c r="W137" s="2629"/>
      <c r="X137" s="607" t="s">
        <v>498</v>
      </c>
      <c r="Y137" s="143">
        <v>-0.28850974405993285</v>
      </c>
      <c r="Z137" s="141">
        <v>-0.18407243173051269</v>
      </c>
      <c r="AA137" s="141">
        <v>-0.10534466516976265</v>
      </c>
      <c r="AB137" s="141">
        <v>-0.91966598306118241</v>
      </c>
      <c r="AC137" s="141">
        <v>-0.16271898108894783</v>
      </c>
      <c r="AD137" s="141">
        <v>-0.1995653780140941</v>
      </c>
      <c r="AE137" s="141">
        <v>-0.16990114112000335</v>
      </c>
      <c r="AF137" s="144">
        <v>-0.1292995645933184</v>
      </c>
      <c r="AG137" s="143">
        <v>-0.67076737782756268</v>
      </c>
      <c r="AH137" s="141">
        <v>-0.66741354093842487</v>
      </c>
      <c r="AI137" s="141">
        <v>-0.66407647323373264</v>
      </c>
      <c r="AJ137" s="141">
        <v>-0.66075609086756393</v>
      </c>
      <c r="AK137" s="144">
        <v>-0.65745231041322616</v>
      </c>
      <c r="AL137" s="2629"/>
      <c r="AM137" s="607" t="s">
        <v>2233</v>
      </c>
      <c r="AN137" s="143">
        <v>0.46200000000000002</v>
      </c>
      <c r="AO137" s="141">
        <v>0.33200000000000002</v>
      </c>
      <c r="AP137" s="141">
        <v>0.17849999999999999</v>
      </c>
      <c r="AQ137" s="141">
        <v>0.83799999999999997</v>
      </c>
      <c r="AR137" s="141">
        <v>0.19600000000000001</v>
      </c>
      <c r="AS137" s="141">
        <v>0.17499999999999999</v>
      </c>
      <c r="AT137" s="141">
        <v>0.21644016170784841</v>
      </c>
      <c r="AU137" s="144">
        <v>0.18648758721119019</v>
      </c>
      <c r="AV137" s="143">
        <v>0.89292320433106243</v>
      </c>
      <c r="AW137" s="141">
        <v>0.89292320433106243</v>
      </c>
      <c r="AX137" s="141">
        <v>0.89292320433106243</v>
      </c>
      <c r="AY137" s="141">
        <v>0.89292320433106243</v>
      </c>
      <c r="AZ137" s="144">
        <v>0.89292320433106243</v>
      </c>
      <c r="BA137" s="2629"/>
      <c r="BB137" s="2629"/>
      <c r="BC137" s="2629"/>
      <c r="BD137" s="2629"/>
      <c r="BE137" s="2629"/>
      <c r="BF137" s="2629"/>
      <c r="BG137" s="2629"/>
      <c r="BH137" s="2629"/>
      <c r="BI137" s="2629"/>
      <c r="BJ137" s="2629"/>
      <c r="BK137" s="2629"/>
      <c r="BL137" s="2629"/>
      <c r="BM137" s="2629"/>
      <c r="BN137" s="2629"/>
      <c r="BO137" s="2629"/>
      <c r="BP137" s="2629"/>
      <c r="BQ137" s="2629"/>
      <c r="BR137" s="2629"/>
      <c r="BS137" s="2629"/>
      <c r="BT137" s="2629"/>
      <c r="BU137" s="2629"/>
      <c r="BV137" s="2629"/>
      <c r="BW137" s="2629"/>
      <c r="BX137" s="2629"/>
      <c r="BY137" s="2629"/>
      <c r="BZ137" s="2629"/>
      <c r="CA137" s="2629"/>
      <c r="CB137" s="2629"/>
      <c r="CC137" s="2629"/>
      <c r="CD137" s="2629"/>
      <c r="CE137" s="2629"/>
      <c r="CF137" s="2629"/>
    </row>
    <row r="138" spans="1:84" s="98" customFormat="1" ht="15" customHeight="1">
      <c r="A138" s="99"/>
      <c r="B138" s="2687"/>
      <c r="C138" s="2688"/>
      <c r="D138" s="2688" t="s">
        <v>2706</v>
      </c>
      <c r="E138" s="2688"/>
      <c r="F138" s="2688"/>
      <c r="G138" s="2645"/>
      <c r="H138" s="2645"/>
      <c r="I138" s="607" t="s">
        <v>498</v>
      </c>
      <c r="J138" s="143">
        <v>0.10600238970621252</v>
      </c>
      <c r="K138" s="141">
        <v>6.9210047770831853E-2</v>
      </c>
      <c r="L138" s="141">
        <v>0</v>
      </c>
      <c r="M138" s="141">
        <v>0</v>
      </c>
      <c r="N138" s="141">
        <v>0</v>
      </c>
      <c r="O138" s="141">
        <v>0.32639633978986837</v>
      </c>
      <c r="P138" s="141">
        <v>5.1953694011250655E-2</v>
      </c>
      <c r="Q138" s="144">
        <v>4.4039262400156244E-2</v>
      </c>
      <c r="R138" s="143">
        <v>0.19941935807597874</v>
      </c>
      <c r="S138" s="141">
        <v>0.19842226128559881</v>
      </c>
      <c r="T138" s="141">
        <v>0.19743014997917085</v>
      </c>
      <c r="U138" s="141">
        <v>0.19644299922927502</v>
      </c>
      <c r="V138" s="144">
        <v>0.19546078423312863</v>
      </c>
      <c r="W138" s="2629"/>
      <c r="X138" s="607" t="s">
        <v>498</v>
      </c>
      <c r="Y138" s="143">
        <v>-9.1711903147058058E-2</v>
      </c>
      <c r="Z138" s="141">
        <v>-5.5106319548624522E-2</v>
      </c>
      <c r="AA138" s="141">
        <v>0</v>
      </c>
      <c r="AB138" s="141">
        <v>0</v>
      </c>
      <c r="AC138" s="141">
        <v>0</v>
      </c>
      <c r="AD138" s="141">
        <v>-0.28483257089585651</v>
      </c>
      <c r="AE138" s="141">
        <v>-4.4471325850825319E-2</v>
      </c>
      <c r="AF138" s="144">
        <v>-3.7696730246038625E-2</v>
      </c>
      <c r="AG138" s="143">
        <v>-0.16751226078382214</v>
      </c>
      <c r="AH138" s="141">
        <v>-0.16667469947990302</v>
      </c>
      <c r="AI138" s="141">
        <v>-0.16584132598250351</v>
      </c>
      <c r="AJ138" s="141">
        <v>-0.165012119352591</v>
      </c>
      <c r="AK138" s="144">
        <v>-0.16418705875582806</v>
      </c>
      <c r="AL138" s="2629"/>
      <c r="AM138" s="607" t="s">
        <v>2233</v>
      </c>
      <c r="AN138" s="143">
        <v>9.8000000000000004E-2</v>
      </c>
      <c r="AO138" s="141">
        <v>6.4000000000000001E-2</v>
      </c>
      <c r="AP138" s="141">
        <v>0</v>
      </c>
      <c r="AQ138" s="141">
        <v>0</v>
      </c>
      <c r="AR138" s="141">
        <v>0</v>
      </c>
      <c r="AS138" s="141">
        <v>0.10100000000000001</v>
      </c>
      <c r="AT138" s="141">
        <v>2.7117607859171507E-2</v>
      </c>
      <c r="AU138" s="144">
        <v>2.6024733695806723E-2</v>
      </c>
      <c r="AV138" s="143">
        <v>0.12466169930470537</v>
      </c>
      <c r="AW138" s="141">
        <v>0.12466169930470537</v>
      </c>
      <c r="AX138" s="141">
        <v>0.12466169930470537</v>
      </c>
      <c r="AY138" s="141">
        <v>0.12466169930470537</v>
      </c>
      <c r="AZ138" s="144">
        <v>0.12466169930470537</v>
      </c>
      <c r="BA138" s="2629"/>
      <c r="BB138" s="2629"/>
      <c r="BC138" s="2629"/>
      <c r="BD138" s="2629"/>
      <c r="BE138" s="2629"/>
      <c r="BF138" s="2629"/>
      <c r="BG138" s="2629"/>
      <c r="BH138" s="2629"/>
      <c r="BI138" s="2629"/>
      <c r="BJ138" s="2629"/>
      <c r="BK138" s="2629"/>
      <c r="BL138" s="2629"/>
      <c r="BM138" s="2629"/>
      <c r="BN138" s="2629"/>
      <c r="BO138" s="2629"/>
      <c r="BP138" s="2629"/>
      <c r="BQ138" s="2629"/>
      <c r="BR138" s="2629"/>
      <c r="BS138" s="2629"/>
      <c r="BT138" s="2629"/>
      <c r="BU138" s="2629"/>
      <c r="BV138" s="2629"/>
      <c r="BW138" s="2629"/>
      <c r="BX138" s="2629"/>
      <c r="BY138" s="2629"/>
      <c r="BZ138" s="2629"/>
      <c r="CA138" s="2629"/>
      <c r="CB138" s="2629"/>
      <c r="CC138" s="2629"/>
      <c r="CD138" s="2629"/>
      <c r="CE138" s="2629"/>
      <c r="CF138" s="2629"/>
    </row>
    <row r="139" spans="1:84" s="98" customFormat="1" ht="15" customHeight="1">
      <c r="A139" s="99"/>
      <c r="B139" s="2687"/>
      <c r="C139" s="2688"/>
      <c r="D139" s="2688" t="s">
        <v>2707</v>
      </c>
      <c r="E139" s="2688"/>
      <c r="F139" s="2688"/>
      <c r="G139" s="2645"/>
      <c r="H139" s="2645"/>
      <c r="I139" s="607" t="s">
        <v>498</v>
      </c>
      <c r="J139" s="143">
        <v>0</v>
      </c>
      <c r="K139" s="141">
        <v>0</v>
      </c>
      <c r="L139" s="141">
        <v>0</v>
      </c>
      <c r="M139" s="141">
        <v>0</v>
      </c>
      <c r="N139" s="141">
        <v>0</v>
      </c>
      <c r="O139" s="141">
        <v>0</v>
      </c>
      <c r="P139" s="141">
        <v>0</v>
      </c>
      <c r="Q139" s="144">
        <v>0</v>
      </c>
      <c r="R139" s="143">
        <v>0</v>
      </c>
      <c r="S139" s="141">
        <v>0</v>
      </c>
      <c r="T139" s="141">
        <v>0</v>
      </c>
      <c r="U139" s="141">
        <v>0</v>
      </c>
      <c r="V139" s="144">
        <v>0</v>
      </c>
      <c r="W139" s="2629"/>
      <c r="X139" s="607" t="s">
        <v>498</v>
      </c>
      <c r="Y139" s="143">
        <v>0</v>
      </c>
      <c r="Z139" s="141">
        <v>0</v>
      </c>
      <c r="AA139" s="141">
        <v>0</v>
      </c>
      <c r="AB139" s="141">
        <v>0</v>
      </c>
      <c r="AC139" s="141">
        <v>0</v>
      </c>
      <c r="AD139" s="141">
        <v>0</v>
      </c>
      <c r="AE139" s="141">
        <v>0</v>
      </c>
      <c r="AF139" s="144">
        <v>0</v>
      </c>
      <c r="AG139" s="143">
        <v>0</v>
      </c>
      <c r="AH139" s="141">
        <v>0</v>
      </c>
      <c r="AI139" s="141">
        <v>0</v>
      </c>
      <c r="AJ139" s="141">
        <v>0</v>
      </c>
      <c r="AK139" s="144">
        <v>0</v>
      </c>
      <c r="AL139" s="2629"/>
      <c r="AM139" s="607" t="s">
        <v>2233</v>
      </c>
      <c r="AN139" s="143">
        <v>0</v>
      </c>
      <c r="AO139" s="141">
        <v>0</v>
      </c>
      <c r="AP139" s="141">
        <v>0</v>
      </c>
      <c r="AQ139" s="141">
        <v>0</v>
      </c>
      <c r="AR139" s="141">
        <v>0</v>
      </c>
      <c r="AS139" s="141">
        <v>0</v>
      </c>
      <c r="AT139" s="141">
        <v>0</v>
      </c>
      <c r="AU139" s="144">
        <v>0</v>
      </c>
      <c r="AV139" s="143">
        <v>0</v>
      </c>
      <c r="AW139" s="141">
        <v>0</v>
      </c>
      <c r="AX139" s="141">
        <v>0</v>
      </c>
      <c r="AY139" s="141">
        <v>0</v>
      </c>
      <c r="AZ139" s="144">
        <v>0</v>
      </c>
      <c r="BA139" s="2629"/>
      <c r="BB139" s="2629"/>
      <c r="BC139" s="2629"/>
      <c r="BD139" s="2629"/>
      <c r="BE139" s="2629"/>
      <c r="BF139" s="2629"/>
      <c r="BG139" s="2629"/>
      <c r="BH139" s="2629"/>
      <c r="BI139" s="2629"/>
      <c r="BJ139" s="2629"/>
      <c r="BK139" s="2629"/>
      <c r="BL139" s="2629"/>
      <c r="BM139" s="2629"/>
      <c r="BN139" s="2629"/>
      <c r="BO139" s="2629"/>
      <c r="BP139" s="2629"/>
      <c r="BQ139" s="2629"/>
      <c r="BR139" s="2629"/>
      <c r="BS139" s="2629"/>
      <c r="BT139" s="2629"/>
      <c r="BU139" s="2629"/>
      <c r="BV139" s="2629"/>
      <c r="BW139" s="2629"/>
      <c r="BX139" s="2629"/>
      <c r="BY139" s="2629"/>
      <c r="BZ139" s="2629"/>
      <c r="CA139" s="2629"/>
      <c r="CB139" s="2629"/>
      <c r="CC139" s="2629"/>
      <c r="CD139" s="2629"/>
      <c r="CE139" s="2629"/>
      <c r="CF139" s="2629"/>
    </row>
    <row r="140" spans="1:84" s="98" customFormat="1" ht="15" customHeight="1">
      <c r="A140" s="99"/>
      <c r="B140" s="2687"/>
      <c r="C140" s="2688"/>
      <c r="D140" s="2688" t="s">
        <v>2708</v>
      </c>
      <c r="E140" s="2688"/>
      <c r="F140" s="2688"/>
      <c r="G140" s="2645"/>
      <c r="H140" s="2645"/>
      <c r="I140" s="607" t="s">
        <v>498</v>
      </c>
      <c r="J140" s="143">
        <v>0</v>
      </c>
      <c r="K140" s="141">
        <v>0</v>
      </c>
      <c r="L140" s="141">
        <v>0</v>
      </c>
      <c r="M140" s="141">
        <v>0</v>
      </c>
      <c r="N140" s="141">
        <v>0</v>
      </c>
      <c r="O140" s="141">
        <v>0</v>
      </c>
      <c r="P140" s="141">
        <v>0</v>
      </c>
      <c r="Q140" s="144">
        <v>0</v>
      </c>
      <c r="R140" s="143">
        <v>0</v>
      </c>
      <c r="S140" s="141">
        <v>0</v>
      </c>
      <c r="T140" s="141">
        <v>0</v>
      </c>
      <c r="U140" s="141">
        <v>0</v>
      </c>
      <c r="V140" s="144">
        <v>0</v>
      </c>
      <c r="W140" s="2629"/>
      <c r="X140" s="607" t="s">
        <v>498</v>
      </c>
      <c r="Y140" s="143">
        <v>0</v>
      </c>
      <c r="Z140" s="141">
        <v>0</v>
      </c>
      <c r="AA140" s="141">
        <v>0</v>
      </c>
      <c r="AB140" s="141">
        <v>0</v>
      </c>
      <c r="AC140" s="141">
        <v>0</v>
      </c>
      <c r="AD140" s="141">
        <v>0</v>
      </c>
      <c r="AE140" s="141">
        <v>0</v>
      </c>
      <c r="AF140" s="144">
        <v>0</v>
      </c>
      <c r="AG140" s="143">
        <v>0</v>
      </c>
      <c r="AH140" s="141">
        <v>0</v>
      </c>
      <c r="AI140" s="141">
        <v>0</v>
      </c>
      <c r="AJ140" s="141">
        <v>0</v>
      </c>
      <c r="AK140" s="144">
        <v>0</v>
      </c>
      <c r="AL140" s="2629"/>
      <c r="AM140" s="607" t="s">
        <v>2233</v>
      </c>
      <c r="AN140" s="143">
        <v>0</v>
      </c>
      <c r="AO140" s="141">
        <v>0</v>
      </c>
      <c r="AP140" s="141">
        <v>0</v>
      </c>
      <c r="AQ140" s="141">
        <v>0</v>
      </c>
      <c r="AR140" s="141">
        <v>0</v>
      </c>
      <c r="AS140" s="141">
        <v>0</v>
      </c>
      <c r="AT140" s="141"/>
      <c r="AU140" s="144"/>
      <c r="AV140" s="143"/>
      <c r="AW140" s="141"/>
      <c r="AX140" s="141"/>
      <c r="AY140" s="141"/>
      <c r="AZ140" s="144"/>
      <c r="BA140" s="2629"/>
      <c r="BB140" s="2629"/>
      <c r="BC140" s="2629"/>
      <c r="BD140" s="2629"/>
      <c r="BE140" s="2629"/>
      <c r="BF140" s="2629"/>
      <c r="BG140" s="2629"/>
      <c r="BH140" s="2629"/>
      <c r="BI140" s="2629"/>
      <c r="BJ140" s="2629"/>
      <c r="BK140" s="2629"/>
      <c r="BL140" s="2629"/>
      <c r="BM140" s="2629"/>
      <c r="BN140" s="2629"/>
      <c r="BO140" s="2629"/>
      <c r="BP140" s="2629"/>
      <c r="BQ140" s="2629"/>
      <c r="BR140" s="2629"/>
      <c r="BS140" s="2629"/>
      <c r="BT140" s="2629"/>
      <c r="BU140" s="2629"/>
      <c r="BV140" s="2629"/>
      <c r="BW140" s="2629"/>
      <c r="BX140" s="2629"/>
      <c r="BY140" s="2629"/>
      <c r="BZ140" s="2629"/>
      <c r="CA140" s="2629"/>
      <c r="CB140" s="2629"/>
      <c r="CC140" s="2629"/>
      <c r="CD140" s="2629"/>
      <c r="CE140" s="2629"/>
      <c r="CF140" s="2629"/>
    </row>
    <row r="141" spans="1:84" s="98" customFormat="1" ht="15" customHeight="1">
      <c r="A141" s="99"/>
      <c r="B141" s="2687"/>
      <c r="C141" s="2688" t="s">
        <v>1710</v>
      </c>
      <c r="D141" s="2688"/>
      <c r="E141" s="2688"/>
      <c r="F141" s="2688"/>
      <c r="G141" s="2645"/>
      <c r="H141" s="2645"/>
      <c r="I141" s="607" t="s">
        <v>498</v>
      </c>
      <c r="J141" s="641">
        <f>SUM(J133:J140)</f>
        <v>0.50558378330035814</v>
      </c>
      <c r="K141" s="642">
        <f t="shared" ref="K141:V141" si="31">SUM(K133:K140)</f>
        <v>0.51117860088749123</v>
      </c>
      <c r="L141" s="642">
        <f t="shared" si="31"/>
        <v>0.42363420414927433</v>
      </c>
      <c r="M141" s="642">
        <f t="shared" si="31"/>
        <v>1.0016405824844314</v>
      </c>
      <c r="N141" s="642">
        <f t="shared" si="31"/>
        <v>0.41768368292496411</v>
      </c>
      <c r="O141" s="642">
        <f t="shared" si="31"/>
        <v>0.56563734245964614</v>
      </c>
      <c r="P141" s="642">
        <f t="shared" si="31"/>
        <v>0.52558111962064014</v>
      </c>
      <c r="Q141" s="643">
        <f t="shared" si="31"/>
        <v>0.44666242602965439</v>
      </c>
      <c r="R141" s="641">
        <f t="shared" si="31"/>
        <v>1.7227362117570511</v>
      </c>
      <c r="S141" s="642">
        <f t="shared" si="31"/>
        <v>1.7141225306982659</v>
      </c>
      <c r="T141" s="642">
        <f t="shared" si="31"/>
        <v>1.7055519180447745</v>
      </c>
      <c r="U141" s="642">
        <f t="shared" si="31"/>
        <v>1.6970241584545507</v>
      </c>
      <c r="V141" s="643">
        <f t="shared" si="31"/>
        <v>1.688539037662278</v>
      </c>
      <c r="W141" s="2629"/>
      <c r="X141" s="607" t="s">
        <v>498</v>
      </c>
      <c r="Y141" s="641">
        <f>SUM(Y133:Y140)</f>
        <v>-0.43742458160873071</v>
      </c>
      <c r="Z141" s="642">
        <f t="shared" ref="Z141:AK141" si="32">SUM(Z133:Z140)</f>
        <v>-0.40660399793880408</v>
      </c>
      <c r="AA141" s="642">
        <f t="shared" si="32"/>
        <v>-0.34027673886815007</v>
      </c>
      <c r="AB141" s="642">
        <f t="shared" si="32"/>
        <v>-0.93076434507200168</v>
      </c>
      <c r="AC141" s="642">
        <f t="shared" si="32"/>
        <v>-0.33967088883319541</v>
      </c>
      <c r="AD141" s="642">
        <f t="shared" si="32"/>
        <v>-0.49360828786010202</v>
      </c>
      <c r="AE141" s="642">
        <f t="shared" si="32"/>
        <v>-0.44442760464843861</v>
      </c>
      <c r="AF141" s="643">
        <f t="shared" si="32"/>
        <v>-0.37710710041593137</v>
      </c>
      <c r="AG141" s="641">
        <f t="shared" si="32"/>
        <v>-1.447098417875923</v>
      </c>
      <c r="AH141" s="642">
        <f t="shared" si="32"/>
        <v>-1.4398629257865434</v>
      </c>
      <c r="AI141" s="642">
        <f t="shared" si="32"/>
        <v>-1.4326636111576105</v>
      </c>
      <c r="AJ141" s="642">
        <f t="shared" si="32"/>
        <v>-1.4255002931018226</v>
      </c>
      <c r="AK141" s="643">
        <f t="shared" si="32"/>
        <v>-1.4183727916363134</v>
      </c>
      <c r="AL141" s="2629"/>
      <c r="AM141" s="607" t="s">
        <v>2233</v>
      </c>
      <c r="AN141" s="641">
        <f>SUM(AN133:AN140)</f>
        <v>0.70399999999999996</v>
      </c>
      <c r="AO141" s="642">
        <f t="shared" ref="AO141:AZ141" si="33">SUM(AO133:AO140)</f>
        <v>0.88900000000000001</v>
      </c>
      <c r="AP141" s="642">
        <f t="shared" si="33"/>
        <v>0.69750000000000001</v>
      </c>
      <c r="AQ141" s="642">
        <f t="shared" si="33"/>
        <v>0.92099999999999993</v>
      </c>
      <c r="AR141" s="642">
        <f t="shared" si="33"/>
        <v>0.54899999999999993</v>
      </c>
      <c r="AS141" s="642">
        <f t="shared" si="33"/>
        <v>0.315</v>
      </c>
      <c r="AT141" s="642">
        <f t="shared" si="33"/>
        <v>0.86484369538352079</v>
      </c>
      <c r="AU141" s="643">
        <f t="shared" si="33"/>
        <v>0.85091860949343878</v>
      </c>
      <c r="AV141" s="641">
        <f t="shared" si="33"/>
        <v>2.7323472661309345</v>
      </c>
      <c r="AW141" s="642">
        <f t="shared" si="33"/>
        <v>2.7323472661309345</v>
      </c>
      <c r="AX141" s="642">
        <f t="shared" si="33"/>
        <v>2.7323472661309345</v>
      </c>
      <c r="AY141" s="642">
        <f t="shared" si="33"/>
        <v>2.7323472661309345</v>
      </c>
      <c r="AZ141" s="643">
        <f t="shared" si="33"/>
        <v>2.7323472661309345</v>
      </c>
      <c r="BA141" s="2629"/>
      <c r="BB141" s="2629"/>
      <c r="BC141" s="2629"/>
      <c r="BD141" s="2629"/>
      <c r="BE141" s="2629"/>
      <c r="BF141" s="2629"/>
      <c r="BG141" s="2629"/>
      <c r="BH141" s="2629"/>
      <c r="BI141" s="2629"/>
      <c r="BJ141" s="2629"/>
      <c r="BK141" s="2629"/>
      <c r="BL141" s="2629"/>
      <c r="BM141" s="2629"/>
      <c r="BN141" s="2629"/>
      <c r="BO141" s="2629"/>
      <c r="BP141" s="2629"/>
      <c r="BQ141" s="2629"/>
      <c r="BR141" s="2629"/>
      <c r="BS141" s="2629"/>
      <c r="BT141" s="2629"/>
      <c r="BU141" s="2629"/>
      <c r="BV141" s="2629"/>
      <c r="BW141" s="2629"/>
      <c r="BX141" s="2629"/>
      <c r="BY141" s="2629"/>
      <c r="BZ141" s="2629"/>
      <c r="CA141" s="2629"/>
      <c r="CB141" s="2629"/>
      <c r="CC141" s="2629"/>
      <c r="CD141" s="2629"/>
      <c r="CE141" s="2629"/>
      <c r="CF141" s="2629"/>
    </row>
    <row r="142" spans="1:84" s="98" customFormat="1" ht="15" customHeight="1">
      <c r="A142" s="99"/>
      <c r="B142" s="123"/>
      <c r="C142" s="2686"/>
      <c r="D142" s="2686"/>
      <c r="E142" s="2686"/>
      <c r="F142" s="2686"/>
      <c r="G142" s="94"/>
      <c r="H142" s="94"/>
      <c r="I142" s="94"/>
      <c r="J142" s="713"/>
      <c r="K142" s="2649"/>
      <c r="L142" s="2649"/>
      <c r="M142" s="2649"/>
      <c r="N142" s="2649"/>
      <c r="O142" s="2649"/>
      <c r="P142" s="2649"/>
      <c r="Q142" s="715"/>
      <c r="R142" s="713"/>
      <c r="S142" s="2649"/>
      <c r="T142" s="2649"/>
      <c r="U142" s="2649"/>
      <c r="V142" s="715"/>
      <c r="W142" s="2629"/>
      <c r="X142" s="94"/>
      <c r="Y142" s="713"/>
      <c r="Z142" s="2649"/>
      <c r="AA142" s="2649"/>
      <c r="AB142" s="2649"/>
      <c r="AC142" s="2649"/>
      <c r="AD142" s="2649"/>
      <c r="AE142" s="2649"/>
      <c r="AF142" s="715"/>
      <c r="AG142" s="713"/>
      <c r="AH142" s="2649"/>
      <c r="AI142" s="2649"/>
      <c r="AJ142" s="2649"/>
      <c r="AK142" s="715"/>
      <c r="AL142" s="2629"/>
      <c r="AM142" s="94"/>
      <c r="AN142" s="713"/>
      <c r="AO142" s="2649"/>
      <c r="AP142" s="2649"/>
      <c r="AQ142" s="2649"/>
      <c r="AR142" s="2649"/>
      <c r="AS142" s="2649"/>
      <c r="AT142" s="2649"/>
      <c r="AU142" s="715"/>
      <c r="AV142" s="713"/>
      <c r="AW142" s="2649"/>
      <c r="AX142" s="2649"/>
      <c r="AY142" s="2649"/>
      <c r="AZ142" s="715"/>
      <c r="BA142" s="2629"/>
      <c r="BB142" s="2629"/>
      <c r="BC142" s="2629"/>
      <c r="BD142" s="2629"/>
      <c r="BE142" s="2629"/>
      <c r="BF142" s="2629"/>
      <c r="BG142" s="2629"/>
      <c r="BH142" s="2629"/>
      <c r="BI142" s="2629"/>
      <c r="BJ142" s="2629"/>
      <c r="BK142" s="2629"/>
      <c r="BL142" s="2629"/>
      <c r="BM142" s="2629"/>
      <c r="BN142" s="2629"/>
      <c r="BO142" s="2629"/>
      <c r="BP142" s="2629"/>
      <c r="BQ142" s="2629"/>
      <c r="BR142" s="2629"/>
      <c r="BS142" s="2629"/>
      <c r="BT142" s="2629"/>
      <c r="BU142" s="2629"/>
      <c r="BV142" s="2629"/>
      <c r="BW142" s="2629"/>
      <c r="BX142" s="2629"/>
      <c r="BY142" s="2629"/>
      <c r="BZ142" s="2629"/>
      <c r="CA142" s="2629"/>
      <c r="CB142" s="2629"/>
      <c r="CC142" s="2629"/>
      <c r="CD142" s="2629"/>
      <c r="CE142" s="2629"/>
      <c r="CF142" s="2629"/>
    </row>
    <row r="143" spans="1:84" s="98" customFormat="1" ht="15" customHeight="1">
      <c r="A143" s="99"/>
      <c r="B143" s="2687"/>
      <c r="C143" s="2685" t="s">
        <v>1685</v>
      </c>
      <c r="D143" s="2685"/>
      <c r="E143" s="2685"/>
      <c r="F143" s="2685"/>
      <c r="G143" s="94"/>
      <c r="H143" s="94"/>
      <c r="I143" s="94"/>
      <c r="J143" s="713"/>
      <c r="K143" s="2649"/>
      <c r="L143" s="2649"/>
      <c r="M143" s="2649"/>
      <c r="N143" s="2649"/>
      <c r="O143" s="2649"/>
      <c r="P143" s="2649"/>
      <c r="Q143" s="715"/>
      <c r="R143" s="713"/>
      <c r="S143" s="2649"/>
      <c r="T143" s="2649"/>
      <c r="U143" s="2649"/>
      <c r="V143" s="715"/>
      <c r="W143" s="2629"/>
      <c r="X143" s="94"/>
      <c r="Y143" s="713"/>
      <c r="Z143" s="2649"/>
      <c r="AA143" s="2649"/>
      <c r="AB143" s="2649"/>
      <c r="AC143" s="2649"/>
      <c r="AD143" s="2649"/>
      <c r="AE143" s="2649"/>
      <c r="AF143" s="715"/>
      <c r="AG143" s="713"/>
      <c r="AH143" s="2649"/>
      <c r="AI143" s="2649"/>
      <c r="AJ143" s="2649"/>
      <c r="AK143" s="715"/>
      <c r="AL143" s="2629"/>
      <c r="AM143" s="94"/>
      <c r="AN143" s="713"/>
      <c r="AO143" s="2649"/>
      <c r="AP143" s="2649"/>
      <c r="AQ143" s="2649"/>
      <c r="AR143" s="2649"/>
      <c r="AS143" s="2649"/>
      <c r="AT143" s="2649"/>
      <c r="AU143" s="715"/>
      <c r="AV143" s="713"/>
      <c r="AW143" s="2649"/>
      <c r="AX143" s="2649"/>
      <c r="AY143" s="2649"/>
      <c r="AZ143" s="715"/>
      <c r="BA143" s="2629"/>
      <c r="BB143" s="2629"/>
      <c r="BC143" s="2629"/>
      <c r="BD143" s="2629"/>
      <c r="BE143" s="2629"/>
      <c r="BF143" s="2629"/>
      <c r="BG143" s="2629"/>
      <c r="BH143" s="2629"/>
      <c r="BI143" s="2629"/>
      <c r="BJ143" s="2629"/>
      <c r="BK143" s="2629"/>
      <c r="BL143" s="2629"/>
      <c r="BM143" s="2629"/>
      <c r="BN143" s="2629"/>
      <c r="BO143" s="2629"/>
      <c r="BP143" s="2629"/>
      <c r="BQ143" s="2629"/>
      <c r="BR143" s="2629"/>
      <c r="BS143" s="2629"/>
      <c r="BT143" s="2629"/>
      <c r="BU143" s="2629"/>
      <c r="BV143" s="2629"/>
      <c r="BW143" s="2629"/>
      <c r="BX143" s="2629"/>
      <c r="BY143" s="2629"/>
      <c r="BZ143" s="2629"/>
      <c r="CA143" s="2629"/>
      <c r="CB143" s="2629"/>
      <c r="CC143" s="2629"/>
      <c r="CD143" s="2629"/>
      <c r="CE143" s="2629"/>
      <c r="CF143" s="2629"/>
    </row>
    <row r="144" spans="1:84" s="98" customFormat="1" ht="15" customHeight="1">
      <c r="A144" s="99"/>
      <c r="B144" s="2687"/>
      <c r="C144" s="2688"/>
      <c r="D144" s="2688" t="s">
        <v>2701</v>
      </c>
      <c r="E144" s="2688"/>
      <c r="F144" s="2688"/>
      <c r="G144" s="2645"/>
      <c r="H144" s="2645"/>
      <c r="I144" s="607" t="s">
        <v>498</v>
      </c>
      <c r="J144" s="143">
        <v>0</v>
      </c>
      <c r="K144" s="141">
        <v>0</v>
      </c>
      <c r="L144" s="141">
        <v>0</v>
      </c>
      <c r="M144" s="141">
        <v>0</v>
      </c>
      <c r="N144" s="141">
        <v>0</v>
      </c>
      <c r="O144" s="141">
        <v>0</v>
      </c>
      <c r="P144" s="141">
        <v>4.7928612233456326E-4</v>
      </c>
      <c r="Q144" s="144">
        <v>4.5043793578146781E-4</v>
      </c>
      <c r="R144" s="143">
        <v>7.3432823297011631E-4</v>
      </c>
      <c r="S144" s="141">
        <v>7.3065659180526581E-4</v>
      </c>
      <c r="T144" s="141">
        <v>7.2700330884623943E-4</v>
      </c>
      <c r="U144" s="141">
        <v>7.2336829230200818E-4</v>
      </c>
      <c r="V144" s="144">
        <v>7.197514508404981E-4</v>
      </c>
      <c r="W144" s="2629"/>
      <c r="X144" s="607" t="s">
        <v>498</v>
      </c>
      <c r="Y144" s="143">
        <v>0</v>
      </c>
      <c r="Z144" s="141">
        <v>0</v>
      </c>
      <c r="AA144" s="141">
        <v>0</v>
      </c>
      <c r="AB144" s="141">
        <v>0</v>
      </c>
      <c r="AC144" s="141">
        <v>0</v>
      </c>
      <c r="AD144" s="141">
        <v>0</v>
      </c>
      <c r="AE144" s="141">
        <v>-3.9853060830459216E-4</v>
      </c>
      <c r="AF144" s="144">
        <v>-3.7454308853354369E-4</v>
      </c>
      <c r="AG144" s="143">
        <v>-6.168357156948977E-4</v>
      </c>
      <c r="AH144" s="141">
        <v>-6.1375153711642322E-4</v>
      </c>
      <c r="AI144" s="141">
        <v>-6.1068277943084103E-4</v>
      </c>
      <c r="AJ144" s="141">
        <v>-6.0762936553368692E-4</v>
      </c>
      <c r="AK144" s="144">
        <v>-6.0459121870601838E-4</v>
      </c>
      <c r="AL144" s="2629"/>
      <c r="AM144" s="607" t="s">
        <v>2233</v>
      </c>
      <c r="AN144" s="143">
        <v>0</v>
      </c>
      <c r="AO144" s="141">
        <v>0</v>
      </c>
      <c r="AP144" s="141">
        <v>0</v>
      </c>
      <c r="AQ144" s="141"/>
      <c r="AR144" s="141"/>
      <c r="AS144" s="141"/>
      <c r="AT144" s="141">
        <v>1.9427954318118924E-3</v>
      </c>
      <c r="AU144" s="144">
        <v>2.0671809428727339E-3</v>
      </c>
      <c r="AV144" s="143">
        <v>2.9002662942095845E-3</v>
      </c>
      <c r="AW144" s="141">
        <v>2.9002662942095845E-3</v>
      </c>
      <c r="AX144" s="141">
        <v>2.9002662942095845E-3</v>
      </c>
      <c r="AY144" s="141">
        <v>2.9002662942095845E-3</v>
      </c>
      <c r="AZ144" s="144">
        <v>2.9002662942095845E-3</v>
      </c>
      <c r="BA144" s="2629"/>
      <c r="BB144" s="2629"/>
      <c r="BC144" s="2629"/>
      <c r="BD144" s="2629"/>
      <c r="BE144" s="2629"/>
      <c r="BF144" s="2629"/>
      <c r="BG144" s="2629"/>
      <c r="BH144" s="2629"/>
      <c r="BI144" s="2629"/>
      <c r="BJ144" s="2629"/>
      <c r="BK144" s="2629"/>
      <c r="BL144" s="2629"/>
      <c r="BM144" s="2629"/>
      <c r="BN144" s="2629"/>
      <c r="BO144" s="2629"/>
      <c r="BP144" s="2629"/>
      <c r="BQ144" s="2629"/>
      <c r="BR144" s="2629"/>
      <c r="BS144" s="2629"/>
      <c r="BT144" s="2629"/>
      <c r="BU144" s="2629"/>
      <c r="BV144" s="2629"/>
      <c r="BW144" s="2629"/>
      <c r="BX144" s="2629"/>
      <c r="BY144" s="2629"/>
      <c r="BZ144" s="2629"/>
      <c r="CA144" s="2629"/>
      <c r="CB144" s="2629"/>
      <c r="CC144" s="2629"/>
      <c r="CD144" s="2629"/>
      <c r="CE144" s="2629"/>
      <c r="CF144" s="2629"/>
    </row>
    <row r="145" spans="1:84" s="98" customFormat="1" ht="15" customHeight="1">
      <c r="A145" s="99"/>
      <c r="B145" s="2687"/>
      <c r="C145" s="2688"/>
      <c r="D145" s="2688" t="s">
        <v>2702</v>
      </c>
      <c r="E145" s="2688"/>
      <c r="F145" s="2688"/>
      <c r="G145" s="2645"/>
      <c r="H145" s="2645"/>
      <c r="I145" s="607" t="s">
        <v>498</v>
      </c>
      <c r="J145" s="143">
        <v>0</v>
      </c>
      <c r="K145" s="141">
        <v>0</v>
      </c>
      <c r="L145" s="141">
        <v>0</v>
      </c>
      <c r="M145" s="141">
        <v>0</v>
      </c>
      <c r="N145" s="141">
        <v>0</v>
      </c>
      <c r="O145" s="141">
        <v>0</v>
      </c>
      <c r="P145" s="141">
        <v>2.3970769630943364E-4</v>
      </c>
      <c r="Q145" s="144">
        <v>2.2609007987083927E-4</v>
      </c>
      <c r="R145" s="143">
        <v>3.7276496355800805E-4</v>
      </c>
      <c r="S145" s="141">
        <v>3.7090113874021797E-4</v>
      </c>
      <c r="T145" s="141">
        <v>3.6904663304651689E-4</v>
      </c>
      <c r="U145" s="141">
        <v>3.6720139988128433E-4</v>
      </c>
      <c r="V145" s="144">
        <v>3.6536539288187784E-4</v>
      </c>
      <c r="W145" s="2629"/>
      <c r="X145" s="607" t="s">
        <v>498</v>
      </c>
      <c r="Y145" s="143">
        <v>0</v>
      </c>
      <c r="Z145" s="141">
        <v>0</v>
      </c>
      <c r="AA145" s="141">
        <v>0</v>
      </c>
      <c r="AB145" s="141">
        <v>0</v>
      </c>
      <c r="AC145" s="141">
        <v>0</v>
      </c>
      <c r="AD145" s="141">
        <v>0</v>
      </c>
      <c r="AE145" s="141">
        <v>-1.9785385206013388E-4</v>
      </c>
      <c r="AF145" s="144">
        <v>-1.8661392147077441E-4</v>
      </c>
      <c r="AG145" s="143">
        <v>-3.1312256938872669E-4</v>
      </c>
      <c r="AH145" s="141">
        <v>-3.1155695654178312E-4</v>
      </c>
      <c r="AI145" s="141">
        <v>-3.0999917175907418E-4</v>
      </c>
      <c r="AJ145" s="141">
        <v>-3.084491759002788E-4</v>
      </c>
      <c r="AK145" s="144">
        <v>-3.0690693002077742E-4</v>
      </c>
      <c r="AL145" s="2629"/>
      <c r="AM145" s="607" t="s">
        <v>2233</v>
      </c>
      <c r="AN145" s="143">
        <v>0</v>
      </c>
      <c r="AO145" s="141">
        <v>0</v>
      </c>
      <c r="AP145" s="141">
        <v>0</v>
      </c>
      <c r="AQ145" s="141"/>
      <c r="AR145" s="141"/>
      <c r="AS145" s="141"/>
      <c r="AT145" s="141">
        <v>9.2810652831677395E-4</v>
      </c>
      <c r="AU145" s="144">
        <v>9.9107990441448814E-4</v>
      </c>
      <c r="AV145" s="143">
        <v>1.4518806222138813E-3</v>
      </c>
      <c r="AW145" s="141">
        <v>1.4518806222138813E-3</v>
      </c>
      <c r="AX145" s="141">
        <v>1.4518806222138813E-3</v>
      </c>
      <c r="AY145" s="141">
        <v>1.4518806222138813E-3</v>
      </c>
      <c r="AZ145" s="144">
        <v>1.4518806222138813E-3</v>
      </c>
      <c r="BA145" s="2629"/>
      <c r="BB145" s="2629"/>
      <c r="BC145" s="2629"/>
      <c r="BD145" s="2629"/>
      <c r="BE145" s="2629"/>
      <c r="BF145" s="2629"/>
      <c r="BG145" s="2629"/>
      <c r="BH145" s="2629"/>
      <c r="BI145" s="2629"/>
      <c r="BJ145" s="2629"/>
      <c r="BK145" s="2629"/>
      <c r="BL145" s="2629"/>
      <c r="BM145" s="2629"/>
      <c r="BN145" s="2629"/>
      <c r="BO145" s="2629"/>
      <c r="BP145" s="2629"/>
      <c r="BQ145" s="2629"/>
      <c r="BR145" s="2629"/>
      <c r="BS145" s="2629"/>
      <c r="BT145" s="2629"/>
      <c r="BU145" s="2629"/>
      <c r="BV145" s="2629"/>
      <c r="BW145" s="2629"/>
      <c r="BX145" s="2629"/>
      <c r="BY145" s="2629"/>
      <c r="BZ145" s="2629"/>
      <c r="CA145" s="2629"/>
      <c r="CB145" s="2629"/>
      <c r="CC145" s="2629"/>
      <c r="CD145" s="2629"/>
      <c r="CE145" s="2629"/>
      <c r="CF145" s="2629"/>
    </row>
    <row r="146" spans="1:84" s="98" customFormat="1" ht="15" customHeight="1">
      <c r="A146" s="99"/>
      <c r="B146" s="2687"/>
      <c r="C146" s="2688"/>
      <c r="D146" s="2688" t="s">
        <v>2703</v>
      </c>
      <c r="E146" s="2688"/>
      <c r="F146" s="2688"/>
      <c r="G146" s="2645"/>
      <c r="H146" s="2645"/>
      <c r="I146" s="607" t="s">
        <v>498</v>
      </c>
      <c r="J146" s="143">
        <v>0</v>
      </c>
      <c r="K146" s="141">
        <v>0</v>
      </c>
      <c r="L146" s="141">
        <v>0</v>
      </c>
      <c r="M146" s="141">
        <v>0</v>
      </c>
      <c r="N146" s="141">
        <v>0</v>
      </c>
      <c r="O146" s="141">
        <v>0</v>
      </c>
      <c r="P146" s="141">
        <v>1.088351302840255E-4</v>
      </c>
      <c r="Q146" s="144">
        <v>9.775379369596355E-5</v>
      </c>
      <c r="R146" s="143">
        <v>1.9855053367820016E-4</v>
      </c>
      <c r="S146" s="141">
        <v>1.9755778100980916E-4</v>
      </c>
      <c r="T146" s="141">
        <v>1.9656999210476009E-4</v>
      </c>
      <c r="U146" s="141">
        <v>1.9558714214423626E-4</v>
      </c>
      <c r="V146" s="144">
        <v>1.9460920643351508E-4</v>
      </c>
      <c r="W146" s="2629"/>
      <c r="X146" s="607" t="s">
        <v>498</v>
      </c>
      <c r="Y146" s="143">
        <v>0</v>
      </c>
      <c r="Z146" s="141">
        <v>0</v>
      </c>
      <c r="AA146" s="141">
        <v>0</v>
      </c>
      <c r="AB146" s="141">
        <v>0</v>
      </c>
      <c r="AC146" s="141">
        <v>0</v>
      </c>
      <c r="AD146" s="141">
        <v>0</v>
      </c>
      <c r="AE146" s="141">
        <v>-9.0438297245098304E-5</v>
      </c>
      <c r="AF146" s="144">
        <v>-8.1230082860563063E-5</v>
      </c>
      <c r="AG146" s="143">
        <v>-1.6678244828968812E-4</v>
      </c>
      <c r="AH146" s="141">
        <v>-1.6594853604823967E-4</v>
      </c>
      <c r="AI146" s="141">
        <v>-1.6511879336799845E-4</v>
      </c>
      <c r="AJ146" s="141">
        <v>-1.6429319940115843E-4</v>
      </c>
      <c r="AK146" s="144">
        <v>-1.6347173340415267E-4</v>
      </c>
      <c r="AL146" s="2629"/>
      <c r="AM146" s="607" t="s">
        <v>2233</v>
      </c>
      <c r="AN146" s="143">
        <v>0</v>
      </c>
      <c r="AO146" s="141">
        <v>0</v>
      </c>
      <c r="AP146" s="141">
        <v>0</v>
      </c>
      <c r="AQ146" s="141"/>
      <c r="AR146" s="141"/>
      <c r="AS146" s="141"/>
      <c r="AT146" s="141">
        <v>3.7356812548441958E-4</v>
      </c>
      <c r="AU146" s="144">
        <v>3.7987931494437398E-4</v>
      </c>
      <c r="AV146" s="143">
        <v>7.1381130478955336E-4</v>
      </c>
      <c r="AW146" s="141">
        <v>7.1381130478955336E-4</v>
      </c>
      <c r="AX146" s="141">
        <v>7.1381130478955336E-4</v>
      </c>
      <c r="AY146" s="141">
        <v>7.1381130478955336E-4</v>
      </c>
      <c r="AZ146" s="144">
        <v>7.1381130478955336E-4</v>
      </c>
      <c r="BA146" s="2629"/>
      <c r="BB146" s="2629"/>
      <c r="BC146" s="2629"/>
      <c r="BD146" s="2629"/>
      <c r="BE146" s="2629"/>
      <c r="BF146" s="2629"/>
      <c r="BG146" s="2629"/>
      <c r="BH146" s="2629"/>
      <c r="BI146" s="2629"/>
      <c r="BJ146" s="2629"/>
      <c r="BK146" s="2629"/>
      <c r="BL146" s="2629"/>
      <c r="BM146" s="2629"/>
      <c r="BN146" s="2629"/>
      <c r="BO146" s="2629"/>
      <c r="BP146" s="2629"/>
      <c r="BQ146" s="2629"/>
      <c r="BR146" s="2629"/>
      <c r="BS146" s="2629"/>
      <c r="BT146" s="2629"/>
      <c r="BU146" s="2629"/>
      <c r="BV146" s="2629"/>
      <c r="BW146" s="2629"/>
      <c r="BX146" s="2629"/>
      <c r="BY146" s="2629"/>
      <c r="BZ146" s="2629"/>
      <c r="CA146" s="2629"/>
      <c r="CB146" s="2629"/>
      <c r="CC146" s="2629"/>
      <c r="CD146" s="2629"/>
      <c r="CE146" s="2629"/>
      <c r="CF146" s="2629"/>
    </row>
    <row r="147" spans="1:84" s="98" customFormat="1" ht="15" customHeight="1">
      <c r="A147" s="99"/>
      <c r="B147" s="2687"/>
      <c r="C147" s="2688"/>
      <c r="D147" s="2688" t="s">
        <v>2704</v>
      </c>
      <c r="E147" s="2688"/>
      <c r="F147" s="2688"/>
      <c r="G147" s="2645"/>
      <c r="H147" s="2645"/>
      <c r="I147" s="607" t="s">
        <v>498</v>
      </c>
      <c r="J147" s="143">
        <v>0</v>
      </c>
      <c r="K147" s="141">
        <v>2.5105670351725069E-2</v>
      </c>
      <c r="L147" s="141">
        <v>0</v>
      </c>
      <c r="M147" s="141">
        <v>0</v>
      </c>
      <c r="N147" s="141">
        <v>0</v>
      </c>
      <c r="O147" s="141">
        <v>0</v>
      </c>
      <c r="P147" s="141">
        <v>0</v>
      </c>
      <c r="Q147" s="144">
        <v>0</v>
      </c>
      <c r="R147" s="143">
        <v>0</v>
      </c>
      <c r="S147" s="141">
        <v>0</v>
      </c>
      <c r="T147" s="141">
        <v>0</v>
      </c>
      <c r="U147" s="141">
        <v>0</v>
      </c>
      <c r="V147" s="144">
        <v>0</v>
      </c>
      <c r="W147" s="2629"/>
      <c r="X147" s="607" t="s">
        <v>498</v>
      </c>
      <c r="Y147" s="143">
        <v>0</v>
      </c>
      <c r="Z147" s="141">
        <v>-1.9971925095105827E-2</v>
      </c>
      <c r="AA147" s="141">
        <v>0</v>
      </c>
      <c r="AB147" s="141">
        <v>0</v>
      </c>
      <c r="AC147" s="141">
        <v>0</v>
      </c>
      <c r="AD147" s="141">
        <v>0</v>
      </c>
      <c r="AE147" s="141">
        <v>0</v>
      </c>
      <c r="AF147" s="144">
        <v>0</v>
      </c>
      <c r="AG147" s="143">
        <v>0</v>
      </c>
      <c r="AH147" s="141">
        <v>0</v>
      </c>
      <c r="AI147" s="141">
        <v>0</v>
      </c>
      <c r="AJ147" s="141">
        <v>0</v>
      </c>
      <c r="AK147" s="144">
        <v>0</v>
      </c>
      <c r="AL147" s="2629"/>
      <c r="AM147" s="607" t="s">
        <v>2233</v>
      </c>
      <c r="AN147" s="143">
        <v>0</v>
      </c>
      <c r="AO147" s="141">
        <v>5.2999999999999999E-2</v>
      </c>
      <c r="AP147" s="141">
        <v>0</v>
      </c>
      <c r="AQ147" s="141"/>
      <c r="AR147" s="141"/>
      <c r="AS147" s="141"/>
      <c r="AT147" s="141">
        <v>0</v>
      </c>
      <c r="AU147" s="144">
        <v>0</v>
      </c>
      <c r="AV147" s="143">
        <v>0</v>
      </c>
      <c r="AW147" s="141">
        <v>0</v>
      </c>
      <c r="AX147" s="141">
        <v>0</v>
      </c>
      <c r="AY147" s="141">
        <v>0</v>
      </c>
      <c r="AZ147" s="144">
        <v>0</v>
      </c>
      <c r="BA147" s="2629"/>
      <c r="BB147" s="2629"/>
      <c r="BC147" s="2629"/>
      <c r="BD147" s="2629"/>
      <c r="BE147" s="2629"/>
      <c r="BF147" s="2629"/>
      <c r="BG147" s="2629"/>
      <c r="BH147" s="2629"/>
      <c r="BI147" s="2629"/>
      <c r="BJ147" s="2629"/>
      <c r="BK147" s="2629"/>
      <c r="BL147" s="2629"/>
      <c r="BM147" s="2629"/>
      <c r="BN147" s="2629"/>
      <c r="BO147" s="2629"/>
      <c r="BP147" s="2629"/>
      <c r="BQ147" s="2629"/>
      <c r="BR147" s="2629"/>
      <c r="BS147" s="2629"/>
      <c r="BT147" s="2629"/>
      <c r="BU147" s="2629"/>
      <c r="BV147" s="2629"/>
      <c r="BW147" s="2629"/>
      <c r="BX147" s="2629"/>
      <c r="BY147" s="2629"/>
      <c r="BZ147" s="2629"/>
      <c r="CA147" s="2629"/>
      <c r="CB147" s="2629"/>
      <c r="CC147" s="2629"/>
      <c r="CD147" s="2629"/>
      <c r="CE147" s="2629"/>
      <c r="CF147" s="2629"/>
    </row>
    <row r="148" spans="1:84" s="98" customFormat="1" ht="15" customHeight="1">
      <c r="A148" s="99"/>
      <c r="B148" s="2687"/>
      <c r="C148" s="2688"/>
      <c r="D148" s="2688" t="s">
        <v>2705</v>
      </c>
      <c r="E148" s="2688"/>
      <c r="F148" s="2688"/>
      <c r="G148" s="2645"/>
      <c r="H148" s="2645"/>
      <c r="I148" s="607" t="s">
        <v>498</v>
      </c>
      <c r="J148" s="143">
        <v>0</v>
      </c>
      <c r="K148" s="141">
        <v>0</v>
      </c>
      <c r="L148" s="141">
        <v>0.10212871854163647</v>
      </c>
      <c r="M148" s="141">
        <v>0</v>
      </c>
      <c r="N148" s="141">
        <v>0</v>
      </c>
      <c r="O148" s="141">
        <v>0</v>
      </c>
      <c r="P148" s="141">
        <v>9.6959372802705238E-2</v>
      </c>
      <c r="Q148" s="144">
        <v>7.6965861627528873E-2</v>
      </c>
      <c r="R148" s="143">
        <v>0.2861431806257636</v>
      </c>
      <c r="S148" s="141">
        <v>0.28471246472263478</v>
      </c>
      <c r="T148" s="141">
        <v>0.2832889023990216</v>
      </c>
      <c r="U148" s="141">
        <v>0.28187245788702653</v>
      </c>
      <c r="V148" s="144">
        <v>0.28046309559759136</v>
      </c>
      <c r="W148" s="2629"/>
      <c r="X148" s="607" t="s">
        <v>498</v>
      </c>
      <c r="Y148" s="143">
        <v>0</v>
      </c>
      <c r="Z148" s="141">
        <v>0</v>
      </c>
      <c r="AA148" s="141">
        <v>-8.2033100608386617E-2</v>
      </c>
      <c r="AB148" s="141">
        <v>0</v>
      </c>
      <c r="AC148" s="141">
        <v>0</v>
      </c>
      <c r="AD148" s="141">
        <v>0</v>
      </c>
      <c r="AE148" s="141">
        <v>-8.3771993539726863E-2</v>
      </c>
      <c r="AF148" s="144">
        <v>-6.6497786409577167E-2</v>
      </c>
      <c r="AG148" s="143">
        <v>-0.24036027172564145</v>
      </c>
      <c r="AH148" s="141">
        <v>-0.23915847036701321</v>
      </c>
      <c r="AI148" s="141">
        <v>-0.23796267801517812</v>
      </c>
      <c r="AJ148" s="141">
        <v>-0.23677286462510222</v>
      </c>
      <c r="AK148" s="144">
        <v>-0.23558900030197674</v>
      </c>
      <c r="AL148" s="2629"/>
      <c r="AM148" s="607" t="s">
        <v>2233</v>
      </c>
      <c r="AN148" s="143">
        <v>0</v>
      </c>
      <c r="AO148" s="141">
        <v>0</v>
      </c>
      <c r="AP148" s="141">
        <v>0.13900000000000001</v>
      </c>
      <c r="AQ148" s="141"/>
      <c r="AR148" s="141"/>
      <c r="AS148" s="141"/>
      <c r="AT148" s="141">
        <v>0.10671867009722269</v>
      </c>
      <c r="AU148" s="144">
        <v>9.5909153146892703E-2</v>
      </c>
      <c r="AV148" s="143">
        <v>0.31996675914420936</v>
      </c>
      <c r="AW148" s="141">
        <v>0.31996675914420936</v>
      </c>
      <c r="AX148" s="141">
        <v>0.31996675914420936</v>
      </c>
      <c r="AY148" s="141">
        <v>0.31996675914420936</v>
      </c>
      <c r="AZ148" s="144">
        <v>0.31996675914420936</v>
      </c>
      <c r="BA148" s="2629"/>
      <c r="BB148" s="2629"/>
      <c r="BC148" s="2629"/>
      <c r="BD148" s="2629"/>
      <c r="BE148" s="2629"/>
      <c r="BF148" s="2629"/>
      <c r="BG148" s="2629"/>
      <c r="BH148" s="2629"/>
      <c r="BI148" s="2629"/>
      <c r="BJ148" s="2629"/>
      <c r="BK148" s="2629"/>
      <c r="BL148" s="2629"/>
      <c r="BM148" s="2629"/>
      <c r="BN148" s="2629"/>
      <c r="BO148" s="2629"/>
      <c r="BP148" s="2629"/>
      <c r="BQ148" s="2629"/>
      <c r="BR148" s="2629"/>
      <c r="BS148" s="2629"/>
      <c r="BT148" s="2629"/>
      <c r="BU148" s="2629"/>
      <c r="BV148" s="2629"/>
      <c r="BW148" s="2629"/>
      <c r="BX148" s="2629"/>
      <c r="BY148" s="2629"/>
      <c r="BZ148" s="2629"/>
      <c r="CA148" s="2629"/>
      <c r="CB148" s="2629"/>
      <c r="CC148" s="2629"/>
      <c r="CD148" s="2629"/>
      <c r="CE148" s="2629"/>
      <c r="CF148" s="2629"/>
    </row>
    <row r="149" spans="1:84" s="98" customFormat="1" ht="15" customHeight="1">
      <c r="A149" s="99"/>
      <c r="B149" s="2687"/>
      <c r="C149" s="2688"/>
      <c r="D149" s="2688" t="s">
        <v>2706</v>
      </c>
      <c r="E149" s="2688"/>
      <c r="F149" s="2688"/>
      <c r="G149" s="2645"/>
      <c r="H149" s="2645"/>
      <c r="I149" s="607" t="s">
        <v>498</v>
      </c>
      <c r="J149" s="143">
        <v>3.4613025210191842E-2</v>
      </c>
      <c r="K149" s="141">
        <v>0</v>
      </c>
      <c r="L149" s="141">
        <v>0.28233271716689046</v>
      </c>
      <c r="M149" s="141">
        <v>0</v>
      </c>
      <c r="N149" s="141">
        <v>0</v>
      </c>
      <c r="O149" s="141">
        <v>0</v>
      </c>
      <c r="P149" s="141">
        <v>0.14761175342754215</v>
      </c>
      <c r="Q149" s="144">
        <v>0.14246584328193176</v>
      </c>
      <c r="R149" s="143">
        <v>0.34513607866471657</v>
      </c>
      <c r="S149" s="141">
        <v>0.34341039827139297</v>
      </c>
      <c r="T149" s="141">
        <v>0.34169334628003606</v>
      </c>
      <c r="U149" s="141">
        <v>0.33998487954863588</v>
      </c>
      <c r="V149" s="144">
        <v>0.33828495515089274</v>
      </c>
      <c r="W149" s="2629"/>
      <c r="X149" s="607" t="s">
        <v>498</v>
      </c>
      <c r="Y149" s="143">
        <v>-2.9946743884753654E-2</v>
      </c>
      <c r="Z149" s="141">
        <v>0</v>
      </c>
      <c r="AA149" s="141">
        <v>-0.22677879956898142</v>
      </c>
      <c r="AB149" s="141">
        <v>0</v>
      </c>
      <c r="AC149" s="141">
        <v>0</v>
      </c>
      <c r="AD149" s="141">
        <v>0</v>
      </c>
      <c r="AE149" s="141">
        <v>-0.12635271679943216</v>
      </c>
      <c r="AF149" s="144">
        <v>-0.1219479203505993</v>
      </c>
      <c r="AG149" s="143">
        <v>-0.28991430607836194</v>
      </c>
      <c r="AH149" s="141">
        <v>-0.28846473454797011</v>
      </c>
      <c r="AI149" s="141">
        <v>-0.28702241087523028</v>
      </c>
      <c r="AJ149" s="141">
        <v>-0.28558729882085415</v>
      </c>
      <c r="AK149" s="144">
        <v>-0.28415936232674993</v>
      </c>
      <c r="AL149" s="2629"/>
      <c r="AM149" s="607" t="s">
        <v>2233</v>
      </c>
      <c r="AN149" s="143">
        <v>3.2000000000000001E-2</v>
      </c>
      <c r="AO149" s="141">
        <v>0</v>
      </c>
      <c r="AP149" s="141">
        <v>0.28000000000000003</v>
      </c>
      <c r="AQ149" s="141"/>
      <c r="AR149" s="141"/>
      <c r="AS149" s="141"/>
      <c r="AT149" s="141">
        <v>7.7047026607693664E-2</v>
      </c>
      <c r="AU149" s="144">
        <v>8.4189321757297542E-2</v>
      </c>
      <c r="AV149" s="143">
        <v>0.21575262538611437</v>
      </c>
      <c r="AW149" s="141">
        <v>0.21575262538611437</v>
      </c>
      <c r="AX149" s="141">
        <v>0.21575262538611437</v>
      </c>
      <c r="AY149" s="141">
        <v>0.21575262538611437</v>
      </c>
      <c r="AZ149" s="144">
        <v>0.21575262538611437</v>
      </c>
      <c r="BA149" s="2629"/>
      <c r="BB149" s="2629"/>
      <c r="BC149" s="2629"/>
      <c r="BD149" s="2629"/>
      <c r="BE149" s="2629"/>
      <c r="BF149" s="2629"/>
      <c r="BG149" s="2629"/>
      <c r="BH149" s="2629"/>
      <c r="BI149" s="2629"/>
      <c r="BJ149" s="2629"/>
      <c r="BK149" s="2629"/>
      <c r="BL149" s="2629"/>
      <c r="BM149" s="2629"/>
      <c r="BN149" s="2629"/>
      <c r="BO149" s="2629"/>
      <c r="BP149" s="2629"/>
      <c r="BQ149" s="2629"/>
      <c r="BR149" s="2629"/>
      <c r="BS149" s="2629"/>
      <c r="BT149" s="2629"/>
      <c r="BU149" s="2629"/>
      <c r="BV149" s="2629"/>
      <c r="BW149" s="2629"/>
      <c r="BX149" s="2629"/>
      <c r="BY149" s="2629"/>
      <c r="BZ149" s="2629"/>
      <c r="CA149" s="2629"/>
      <c r="CB149" s="2629"/>
      <c r="CC149" s="2629"/>
      <c r="CD149" s="2629"/>
      <c r="CE149" s="2629"/>
      <c r="CF149" s="2629"/>
    </row>
    <row r="150" spans="1:84" s="98" customFormat="1" ht="15" customHeight="1">
      <c r="A150" s="99"/>
      <c r="B150" s="2687"/>
      <c r="C150" s="2688"/>
      <c r="D150" s="2688" t="s">
        <v>2707</v>
      </c>
      <c r="E150" s="2688"/>
      <c r="F150" s="2688"/>
      <c r="G150" s="2645"/>
      <c r="H150" s="2645"/>
      <c r="I150" s="607" t="s">
        <v>498</v>
      </c>
      <c r="J150" s="143">
        <v>0.47378965588284422</v>
      </c>
      <c r="K150" s="141">
        <v>0</v>
      </c>
      <c r="L150" s="141">
        <v>0</v>
      </c>
      <c r="M150" s="141">
        <v>0</v>
      </c>
      <c r="N150" s="141">
        <v>0</v>
      </c>
      <c r="O150" s="141">
        <v>0</v>
      </c>
      <c r="P150" s="141">
        <v>3.0594596441185028E-2</v>
      </c>
      <c r="Q150" s="144">
        <v>2.3118241371166321E-2</v>
      </c>
      <c r="R150" s="143">
        <v>0.10584913090539402</v>
      </c>
      <c r="S150" s="141">
        <v>0.10531988525086705</v>
      </c>
      <c r="T150" s="141">
        <v>0.10479328582461271</v>
      </c>
      <c r="U150" s="141">
        <v>0.10426931939548965</v>
      </c>
      <c r="V150" s="144">
        <v>0.10374797279851221</v>
      </c>
      <c r="W150" s="2629"/>
      <c r="X150" s="607" t="s">
        <v>498</v>
      </c>
      <c r="Y150" s="143">
        <v>-0.40991671181030703</v>
      </c>
      <c r="Z150" s="141">
        <v>0</v>
      </c>
      <c r="AA150" s="141">
        <v>0</v>
      </c>
      <c r="AB150" s="141">
        <v>0</v>
      </c>
      <c r="AC150" s="141">
        <v>0</v>
      </c>
      <c r="AD150" s="141">
        <v>0</v>
      </c>
      <c r="AE150" s="141">
        <v>-2.6470051037659228E-2</v>
      </c>
      <c r="AF150" s="144">
        <v>-2.000160486418219E-2</v>
      </c>
      <c r="AG150" s="143">
        <v>-8.8913269960530977E-2</v>
      </c>
      <c r="AH150" s="141">
        <v>-8.8468703610728325E-2</v>
      </c>
      <c r="AI150" s="141">
        <v>-8.8026360092674671E-2</v>
      </c>
      <c r="AJ150" s="141">
        <v>-8.7586228292211313E-2</v>
      </c>
      <c r="AK150" s="144">
        <v>-8.7148297150750245E-2</v>
      </c>
      <c r="AL150" s="2629"/>
      <c r="AM150" s="607" t="s">
        <v>2233</v>
      </c>
      <c r="AN150" s="143">
        <v>0.27500000000000002</v>
      </c>
      <c r="AO150" s="141">
        <v>0</v>
      </c>
      <c r="AP150" s="141">
        <v>0</v>
      </c>
      <c r="AQ150" s="141"/>
      <c r="AR150" s="141"/>
      <c r="AS150" s="141"/>
      <c r="AT150" s="141">
        <v>1.7488952051486404E-2</v>
      </c>
      <c r="AU150" s="144">
        <v>1.4961845490152691E-2</v>
      </c>
      <c r="AV150" s="143">
        <v>6.0415578760874757E-2</v>
      </c>
      <c r="AW150" s="141">
        <v>6.0415578760874757E-2</v>
      </c>
      <c r="AX150" s="141">
        <v>6.0415578760874757E-2</v>
      </c>
      <c r="AY150" s="141">
        <v>6.0415578760874757E-2</v>
      </c>
      <c r="AZ150" s="144">
        <v>6.0415578760874757E-2</v>
      </c>
      <c r="BA150" s="2629"/>
      <c r="BB150" s="2629"/>
      <c r="BC150" s="2629"/>
      <c r="BD150" s="2629"/>
      <c r="BE150" s="2629"/>
      <c r="BF150" s="2629"/>
      <c r="BG150" s="2629"/>
      <c r="BH150" s="2629"/>
      <c r="BI150" s="2629"/>
      <c r="BJ150" s="2629"/>
      <c r="BK150" s="2629"/>
      <c r="BL150" s="2629"/>
      <c r="BM150" s="2629"/>
      <c r="BN150" s="2629"/>
      <c r="BO150" s="2629"/>
      <c r="BP150" s="2629"/>
      <c r="BQ150" s="2629"/>
      <c r="BR150" s="2629"/>
      <c r="BS150" s="2629"/>
      <c r="BT150" s="2629"/>
      <c r="BU150" s="2629"/>
      <c r="BV150" s="2629"/>
      <c r="BW150" s="2629"/>
      <c r="BX150" s="2629"/>
      <c r="BY150" s="2629"/>
      <c r="BZ150" s="2629"/>
      <c r="CA150" s="2629"/>
      <c r="CB150" s="2629"/>
      <c r="CC150" s="2629"/>
      <c r="CD150" s="2629"/>
      <c r="CE150" s="2629"/>
      <c r="CF150" s="2629"/>
    </row>
    <row r="151" spans="1:84" s="98" customFormat="1" ht="15" customHeight="1">
      <c r="A151" s="99"/>
      <c r="B151" s="2687"/>
      <c r="C151" s="2688"/>
      <c r="D151" s="2688" t="s">
        <v>2708</v>
      </c>
      <c r="E151" s="2688"/>
      <c r="F151" s="2688"/>
      <c r="G151" s="2645"/>
      <c r="H151" s="2645"/>
      <c r="I151" s="607" t="s">
        <v>498</v>
      </c>
      <c r="J151" s="143">
        <v>0</v>
      </c>
      <c r="K151" s="141">
        <v>0</v>
      </c>
      <c r="L151" s="141">
        <v>0</v>
      </c>
      <c r="M151" s="141">
        <v>0</v>
      </c>
      <c r="N151" s="141">
        <v>0</v>
      </c>
      <c r="O151" s="141">
        <v>0</v>
      </c>
      <c r="P151" s="141">
        <v>0</v>
      </c>
      <c r="Q151" s="144">
        <v>0</v>
      </c>
      <c r="R151" s="143">
        <v>0</v>
      </c>
      <c r="S151" s="141">
        <v>0</v>
      </c>
      <c r="T151" s="141">
        <v>0</v>
      </c>
      <c r="U151" s="141">
        <v>0</v>
      </c>
      <c r="V151" s="144">
        <v>0</v>
      </c>
      <c r="W151" s="2629"/>
      <c r="X151" s="607" t="s">
        <v>498</v>
      </c>
      <c r="Y151" s="143">
        <v>0</v>
      </c>
      <c r="Z151" s="141">
        <v>0</v>
      </c>
      <c r="AA151" s="141">
        <v>0</v>
      </c>
      <c r="AB151" s="141">
        <v>0</v>
      </c>
      <c r="AC151" s="141">
        <v>0</v>
      </c>
      <c r="AD151" s="141">
        <v>0</v>
      </c>
      <c r="AE151" s="141">
        <v>0</v>
      </c>
      <c r="AF151" s="144">
        <v>0</v>
      </c>
      <c r="AG151" s="143">
        <v>0</v>
      </c>
      <c r="AH151" s="141">
        <v>0</v>
      </c>
      <c r="AI151" s="141">
        <v>0</v>
      </c>
      <c r="AJ151" s="141">
        <v>0</v>
      </c>
      <c r="AK151" s="144">
        <v>0</v>
      </c>
      <c r="AL151" s="2629"/>
      <c r="AM151" s="607" t="s">
        <v>2233</v>
      </c>
      <c r="AN151" s="143">
        <v>0</v>
      </c>
      <c r="AO151" s="141">
        <v>0</v>
      </c>
      <c r="AP151" s="141">
        <v>0</v>
      </c>
      <c r="AQ151" s="141"/>
      <c r="AR151" s="141"/>
      <c r="AS151" s="141"/>
      <c r="AT151" s="141"/>
      <c r="AU151" s="144"/>
      <c r="AV151" s="143"/>
      <c r="AW151" s="141"/>
      <c r="AX151" s="141"/>
      <c r="AY151" s="141"/>
      <c r="AZ151" s="144"/>
      <c r="BA151" s="2629"/>
      <c r="BB151" s="2629"/>
      <c r="BC151" s="2629"/>
      <c r="BD151" s="2629"/>
      <c r="BE151" s="2629"/>
      <c r="BF151" s="2629"/>
      <c r="BG151" s="2629"/>
      <c r="BH151" s="2629"/>
      <c r="BI151" s="2629"/>
      <c r="BJ151" s="2629"/>
      <c r="BK151" s="2629"/>
      <c r="BL151" s="2629"/>
      <c r="BM151" s="2629"/>
      <c r="BN151" s="2629"/>
      <c r="BO151" s="2629"/>
      <c r="BP151" s="2629"/>
      <c r="BQ151" s="2629"/>
      <c r="BR151" s="2629"/>
      <c r="BS151" s="2629"/>
      <c r="BT151" s="2629"/>
      <c r="BU151" s="2629"/>
      <c r="BV151" s="2629"/>
      <c r="BW151" s="2629"/>
      <c r="BX151" s="2629"/>
      <c r="BY151" s="2629"/>
      <c r="BZ151" s="2629"/>
      <c r="CA151" s="2629"/>
      <c r="CB151" s="2629"/>
      <c r="CC151" s="2629"/>
      <c r="CD151" s="2629"/>
      <c r="CE151" s="2629"/>
      <c r="CF151" s="2629"/>
    </row>
    <row r="152" spans="1:84" s="98" customFormat="1" ht="15" customHeight="1">
      <c r="A152" s="99"/>
      <c r="B152" s="2687"/>
      <c r="C152" s="2688" t="s">
        <v>1710</v>
      </c>
      <c r="D152" s="2688"/>
      <c r="E152" s="2688"/>
      <c r="F152" s="2688"/>
      <c r="G152" s="2645"/>
      <c r="H152" s="2645"/>
      <c r="I152" s="607" t="s">
        <v>498</v>
      </c>
      <c r="J152" s="641">
        <f>SUM(J144:J151)</f>
        <v>0.5084026810930361</v>
      </c>
      <c r="K152" s="642">
        <f t="shared" ref="K152:V152" si="34">SUM(K144:K151)</f>
        <v>2.5105670351725069E-2</v>
      </c>
      <c r="L152" s="642">
        <f t="shared" si="34"/>
        <v>0.38446143570852692</v>
      </c>
      <c r="M152" s="642">
        <f t="shared" si="34"/>
        <v>0</v>
      </c>
      <c r="N152" s="642">
        <f t="shared" si="34"/>
        <v>0</v>
      </c>
      <c r="O152" s="642">
        <f t="shared" si="34"/>
        <v>0</v>
      </c>
      <c r="P152" s="642">
        <f t="shared" si="34"/>
        <v>0.27599355162036043</v>
      </c>
      <c r="Q152" s="643">
        <f t="shared" si="34"/>
        <v>0.24332422808997525</v>
      </c>
      <c r="R152" s="641">
        <f t="shared" si="34"/>
        <v>0.73843403392608054</v>
      </c>
      <c r="S152" s="642">
        <f t="shared" si="34"/>
        <v>0.73474186375645001</v>
      </c>
      <c r="T152" s="642">
        <f t="shared" si="34"/>
        <v>0.73106815443766793</v>
      </c>
      <c r="U152" s="642">
        <f t="shared" si="34"/>
        <v>0.72741281366547961</v>
      </c>
      <c r="V152" s="643">
        <f t="shared" si="34"/>
        <v>0.72377574959715218</v>
      </c>
      <c r="W152" s="2629"/>
      <c r="X152" s="607" t="s">
        <v>498</v>
      </c>
      <c r="Y152" s="641">
        <f>SUM(Y144:Y151)</f>
        <v>-0.43986345569506069</v>
      </c>
      <c r="Z152" s="642">
        <f t="shared" ref="Z152:AK152" si="35">SUM(Z144:Z151)</f>
        <v>-1.9971925095105827E-2</v>
      </c>
      <c r="AA152" s="642">
        <f t="shared" si="35"/>
        <v>-0.30881190017736804</v>
      </c>
      <c r="AB152" s="642">
        <f t="shared" si="35"/>
        <v>0</v>
      </c>
      <c r="AC152" s="642">
        <f t="shared" si="35"/>
        <v>0</v>
      </c>
      <c r="AD152" s="642">
        <f t="shared" si="35"/>
        <v>0</v>
      </c>
      <c r="AE152" s="642">
        <f t="shared" si="35"/>
        <v>-0.2372815841344281</v>
      </c>
      <c r="AF152" s="643">
        <f t="shared" si="35"/>
        <v>-0.20908969871722355</v>
      </c>
      <c r="AG152" s="641">
        <f t="shared" si="35"/>
        <v>-0.62028458849790769</v>
      </c>
      <c r="AH152" s="642">
        <f t="shared" si="35"/>
        <v>-0.61718316555541808</v>
      </c>
      <c r="AI152" s="642">
        <f t="shared" si="35"/>
        <v>-0.6140972497276409</v>
      </c>
      <c r="AJ152" s="642">
        <f t="shared" si="35"/>
        <v>-0.61102676347900275</v>
      </c>
      <c r="AK152" s="643">
        <f t="shared" si="35"/>
        <v>-0.60797162966160789</v>
      </c>
      <c r="AL152" s="2629"/>
      <c r="AM152" s="607" t="s">
        <v>2233</v>
      </c>
      <c r="AN152" s="641">
        <f>SUM(AN144:AN151)</f>
        <v>0.30700000000000005</v>
      </c>
      <c r="AO152" s="642">
        <f t="shared" ref="AO152:AZ152" si="36">SUM(AO144:AO151)</f>
        <v>5.2999999999999999E-2</v>
      </c>
      <c r="AP152" s="642">
        <f t="shared" si="36"/>
        <v>0.41900000000000004</v>
      </c>
      <c r="AQ152" s="642">
        <f t="shared" si="36"/>
        <v>0</v>
      </c>
      <c r="AR152" s="642">
        <f t="shared" si="36"/>
        <v>0</v>
      </c>
      <c r="AS152" s="642">
        <f t="shared" si="36"/>
        <v>0</v>
      </c>
      <c r="AT152" s="642">
        <f t="shared" si="36"/>
        <v>0.20449911884201585</v>
      </c>
      <c r="AU152" s="643">
        <f t="shared" si="36"/>
        <v>0.19849846055657452</v>
      </c>
      <c r="AV152" s="641">
        <f t="shared" si="36"/>
        <v>0.60120092151241156</v>
      </c>
      <c r="AW152" s="642">
        <f t="shared" si="36"/>
        <v>0.60120092151241156</v>
      </c>
      <c r="AX152" s="642">
        <f t="shared" si="36"/>
        <v>0.60120092151241156</v>
      </c>
      <c r="AY152" s="642">
        <f t="shared" si="36"/>
        <v>0.60120092151241156</v>
      </c>
      <c r="AZ152" s="643">
        <f t="shared" si="36"/>
        <v>0.60120092151241156</v>
      </c>
      <c r="BA152" s="2629"/>
      <c r="BB152" s="2629"/>
      <c r="BC152" s="2629"/>
      <c r="BD152" s="2629"/>
      <c r="BE152" s="2629"/>
      <c r="BF152" s="2629"/>
      <c r="BG152" s="2629"/>
      <c r="BH152" s="2629"/>
      <c r="BI152" s="2629"/>
      <c r="BJ152" s="2629"/>
      <c r="BK152" s="2629"/>
      <c r="BL152" s="2629"/>
      <c r="BM152" s="2629"/>
      <c r="BN152" s="2629"/>
      <c r="BO152" s="2629"/>
      <c r="BP152" s="2629"/>
      <c r="BQ152" s="2629"/>
      <c r="BR152" s="2629"/>
      <c r="BS152" s="2629"/>
      <c r="BT152" s="2629"/>
      <c r="BU152" s="2629"/>
      <c r="BV152" s="2629"/>
      <c r="BW152" s="2629"/>
      <c r="BX152" s="2629"/>
      <c r="BY152" s="2629"/>
      <c r="BZ152" s="2629"/>
      <c r="CA152" s="2629"/>
      <c r="CB152" s="2629"/>
      <c r="CC152" s="2629"/>
      <c r="CD152" s="2629"/>
      <c r="CE152" s="2629"/>
      <c r="CF152" s="2629"/>
    </row>
    <row r="153" spans="1:84" s="98" customFormat="1" ht="15" customHeight="1">
      <c r="A153" s="99"/>
      <c r="B153" s="123"/>
      <c r="C153" s="2686"/>
      <c r="D153" s="2686"/>
      <c r="E153" s="2686"/>
      <c r="F153" s="2686"/>
      <c r="G153" s="94"/>
      <c r="H153" s="94"/>
      <c r="I153" s="94"/>
      <c r="J153" s="713"/>
      <c r="K153" s="2649"/>
      <c r="L153" s="2649"/>
      <c r="M153" s="2649"/>
      <c r="N153" s="2649"/>
      <c r="O153" s="2649"/>
      <c r="P153" s="2649"/>
      <c r="Q153" s="715"/>
      <c r="R153" s="713"/>
      <c r="S153" s="2649"/>
      <c r="T153" s="2649"/>
      <c r="U153" s="2649"/>
      <c r="V153" s="715"/>
      <c r="W153" s="2629"/>
      <c r="X153" s="94"/>
      <c r="Y153" s="713"/>
      <c r="Z153" s="2649"/>
      <c r="AA153" s="2649"/>
      <c r="AB153" s="2649"/>
      <c r="AC153" s="2649"/>
      <c r="AD153" s="2649"/>
      <c r="AE153" s="2649"/>
      <c r="AF153" s="715"/>
      <c r="AG153" s="713"/>
      <c r="AH153" s="2649"/>
      <c r="AI153" s="2649"/>
      <c r="AJ153" s="2649"/>
      <c r="AK153" s="715"/>
      <c r="AL153" s="2629"/>
      <c r="AM153" s="94"/>
      <c r="AN153" s="713"/>
      <c r="AO153" s="2649"/>
      <c r="AP153" s="2649"/>
      <c r="AQ153" s="2649"/>
      <c r="AR153" s="2649"/>
      <c r="AS153" s="2649"/>
      <c r="AT153" s="2649"/>
      <c r="AU153" s="715"/>
      <c r="AV153" s="713"/>
      <c r="AW153" s="2649"/>
      <c r="AX153" s="2649"/>
      <c r="AY153" s="2649"/>
      <c r="AZ153" s="715"/>
      <c r="BA153" s="2629"/>
      <c r="BB153" s="2629"/>
      <c r="BC153" s="2629"/>
      <c r="BD153" s="2629"/>
      <c r="BE153" s="2629"/>
      <c r="BF153" s="2629"/>
      <c r="BG153" s="2629"/>
      <c r="BH153" s="2629"/>
      <c r="BI153" s="2629"/>
      <c r="BJ153" s="2629"/>
      <c r="BK153" s="2629"/>
      <c r="BL153" s="2629"/>
      <c r="BM153" s="2629"/>
      <c r="BN153" s="2629"/>
      <c r="BO153" s="2629"/>
      <c r="BP153" s="2629"/>
      <c r="BQ153" s="2629"/>
      <c r="BR153" s="2629"/>
      <c r="BS153" s="2629"/>
      <c r="BT153" s="2629"/>
      <c r="BU153" s="2629"/>
      <c r="BV153" s="2629"/>
      <c r="BW153" s="2629"/>
      <c r="BX153" s="2629"/>
      <c r="BY153" s="2629"/>
      <c r="BZ153" s="2629"/>
      <c r="CA153" s="2629"/>
      <c r="CB153" s="2629"/>
      <c r="CC153" s="2629"/>
      <c r="CD153" s="2629"/>
      <c r="CE153" s="2629"/>
      <c r="CF153" s="2629"/>
    </row>
    <row r="154" spans="1:84" s="98" customFormat="1" ht="15" customHeight="1">
      <c r="A154" s="99"/>
      <c r="B154" s="2687"/>
      <c r="C154" s="2685" t="s">
        <v>2670</v>
      </c>
      <c r="D154" s="2685"/>
      <c r="E154" s="2685"/>
      <c r="F154" s="2685"/>
      <c r="G154" s="94"/>
      <c r="H154" s="94"/>
      <c r="I154" s="94"/>
      <c r="J154" s="713"/>
      <c r="K154" s="2649"/>
      <c r="L154" s="2649"/>
      <c r="M154" s="2649"/>
      <c r="N154" s="2649"/>
      <c r="O154" s="2649"/>
      <c r="P154" s="2649"/>
      <c r="Q154" s="715"/>
      <c r="R154" s="713"/>
      <c r="S154" s="2649"/>
      <c r="T154" s="2649"/>
      <c r="U154" s="2649"/>
      <c r="V154" s="715"/>
      <c r="W154" s="2629"/>
      <c r="X154" s="94"/>
      <c r="Y154" s="713"/>
      <c r="Z154" s="2649"/>
      <c r="AA154" s="2649"/>
      <c r="AB154" s="2649"/>
      <c r="AC154" s="2649"/>
      <c r="AD154" s="2649"/>
      <c r="AE154" s="2649"/>
      <c r="AF154" s="715"/>
      <c r="AG154" s="713"/>
      <c r="AH154" s="2649"/>
      <c r="AI154" s="2649"/>
      <c r="AJ154" s="2649"/>
      <c r="AK154" s="715"/>
      <c r="AL154" s="2629"/>
      <c r="AM154" s="94"/>
      <c r="AN154" s="713"/>
      <c r="AO154" s="2649"/>
      <c r="AP154" s="2649"/>
      <c r="AQ154" s="2649"/>
      <c r="AR154" s="2649"/>
      <c r="AS154" s="2649"/>
      <c r="AT154" s="2649"/>
      <c r="AU154" s="715"/>
      <c r="AV154" s="713"/>
      <c r="AW154" s="2649"/>
      <c r="AX154" s="2649"/>
      <c r="AY154" s="2649"/>
      <c r="AZ154" s="715"/>
      <c r="BA154" s="2629"/>
      <c r="BB154" s="2629"/>
      <c r="BC154" s="2629"/>
      <c r="BD154" s="2629"/>
      <c r="BE154" s="2629"/>
      <c r="BF154" s="2629"/>
      <c r="BG154" s="2629"/>
      <c r="BH154" s="2629"/>
      <c r="BI154" s="2629"/>
      <c r="BJ154" s="2629"/>
      <c r="BK154" s="2629"/>
      <c r="BL154" s="2629"/>
      <c r="BM154" s="2629"/>
      <c r="BN154" s="2629"/>
      <c r="BO154" s="2629"/>
      <c r="BP154" s="2629"/>
      <c r="BQ154" s="2629"/>
      <c r="BR154" s="2629"/>
      <c r="BS154" s="2629"/>
      <c r="BT154" s="2629"/>
      <c r="BU154" s="2629"/>
      <c r="BV154" s="2629"/>
      <c r="BW154" s="2629"/>
      <c r="BX154" s="2629"/>
      <c r="BY154" s="2629"/>
      <c r="BZ154" s="2629"/>
      <c r="CA154" s="2629"/>
      <c r="CB154" s="2629"/>
      <c r="CC154" s="2629"/>
      <c r="CD154" s="2629"/>
      <c r="CE154" s="2629"/>
      <c r="CF154" s="2629"/>
    </row>
    <row r="155" spans="1:84" s="98" customFormat="1" ht="15" customHeight="1">
      <c r="A155" s="99"/>
      <c r="B155" s="2687"/>
      <c r="C155" s="2688"/>
      <c r="D155" s="2688" t="s">
        <v>2701</v>
      </c>
      <c r="E155" s="2688"/>
      <c r="F155" s="2688"/>
      <c r="G155" s="2645"/>
      <c r="H155" s="2645"/>
      <c r="I155" s="607" t="s">
        <v>498</v>
      </c>
      <c r="J155" s="143">
        <v>4.8632891243506782E-2</v>
      </c>
      <c r="K155" s="141">
        <v>0.14777873013458095</v>
      </c>
      <c r="L155" s="141">
        <v>0.20353474974446875</v>
      </c>
      <c r="M155" s="141">
        <v>9.3715832314665792E-2</v>
      </c>
      <c r="N155" s="141">
        <v>0.1907136923170015</v>
      </c>
      <c r="O155" s="141">
        <v>0.1852587421082271</v>
      </c>
      <c r="P155" s="141">
        <v>0</v>
      </c>
      <c r="Q155" s="144">
        <v>0</v>
      </c>
      <c r="R155" s="143">
        <v>0</v>
      </c>
      <c r="S155" s="141">
        <v>0</v>
      </c>
      <c r="T155" s="141">
        <v>0</v>
      </c>
      <c r="U155" s="141">
        <v>0</v>
      </c>
      <c r="V155" s="144">
        <v>0</v>
      </c>
      <c r="W155" s="2629"/>
      <c r="X155" s="607" t="s">
        <v>498</v>
      </c>
      <c r="Y155" s="143">
        <v>-4.2076551517823961E-2</v>
      </c>
      <c r="Z155" s="141">
        <v>-0.11738874934077599</v>
      </c>
      <c r="AA155" s="141">
        <v>-0.16348571529646516</v>
      </c>
      <c r="AB155" s="141">
        <v>-8.7084486004832234E-2</v>
      </c>
      <c r="AC155" s="141">
        <v>-0.15509317703850553</v>
      </c>
      <c r="AD155" s="141">
        <v>-0.16166763337355525</v>
      </c>
      <c r="AE155" s="141">
        <v>0</v>
      </c>
      <c r="AF155" s="144">
        <v>0</v>
      </c>
      <c r="AG155" s="143">
        <v>0</v>
      </c>
      <c r="AH155" s="141">
        <v>0</v>
      </c>
      <c r="AI155" s="141">
        <v>0</v>
      </c>
      <c r="AJ155" s="141">
        <v>0</v>
      </c>
      <c r="AK155" s="144">
        <v>0</v>
      </c>
      <c r="AL155" s="2629"/>
      <c r="AM155" s="607" t="s">
        <v>2233</v>
      </c>
      <c r="AN155" s="143">
        <v>0.38700000000000001</v>
      </c>
      <c r="AO155" s="141">
        <v>0.49</v>
      </c>
      <c r="AP155" s="141">
        <v>0.52300000000000002</v>
      </c>
      <c r="AQ155" s="141">
        <v>0.65100000000000002</v>
      </c>
      <c r="AR155" s="141">
        <v>0.77900000000000003</v>
      </c>
      <c r="AS155" s="141">
        <v>0.84</v>
      </c>
      <c r="AT155" s="141"/>
      <c r="AU155" s="144"/>
      <c r="AV155" s="143"/>
      <c r="AW155" s="141"/>
      <c r="AX155" s="141"/>
      <c r="AY155" s="141"/>
      <c r="AZ155" s="144"/>
      <c r="BA155" s="2629"/>
      <c r="BB155" s="2629"/>
      <c r="BC155" s="2629"/>
      <c r="BD155" s="2629"/>
      <c r="BE155" s="2629"/>
      <c r="BF155" s="2629"/>
      <c r="BG155" s="2629"/>
      <c r="BH155" s="2629"/>
      <c r="BI155" s="2629"/>
      <c r="BJ155" s="2629"/>
      <c r="BK155" s="2629"/>
      <c r="BL155" s="2629"/>
      <c r="BM155" s="2629"/>
      <c r="BN155" s="2629"/>
      <c r="BO155" s="2629"/>
      <c r="BP155" s="2629"/>
      <c r="BQ155" s="2629"/>
      <c r="BR155" s="2629"/>
      <c r="BS155" s="2629"/>
      <c r="BT155" s="2629"/>
      <c r="BU155" s="2629"/>
      <c r="BV155" s="2629"/>
      <c r="BW155" s="2629"/>
      <c r="BX155" s="2629"/>
      <c r="BY155" s="2629"/>
      <c r="BZ155" s="2629"/>
      <c r="CA155" s="2629"/>
      <c r="CB155" s="2629"/>
      <c r="CC155" s="2629"/>
      <c r="CD155" s="2629"/>
      <c r="CE155" s="2629"/>
      <c r="CF155" s="2629"/>
    </row>
    <row r="156" spans="1:84" s="98" customFormat="1" ht="15" customHeight="1">
      <c r="A156" s="99"/>
      <c r="B156" s="2687"/>
      <c r="C156" s="2688"/>
      <c r="D156" s="2688" t="s">
        <v>2702</v>
      </c>
      <c r="E156" s="2688"/>
      <c r="F156" s="2688"/>
      <c r="G156" s="2645"/>
      <c r="H156" s="2645"/>
      <c r="I156" s="607" t="s">
        <v>498</v>
      </c>
      <c r="J156" s="143">
        <v>0.19568430317623947</v>
      </c>
      <c r="K156" s="141">
        <v>7.5236706389813751E-2</v>
      </c>
      <c r="L156" s="141">
        <v>0.37421120590078349</v>
      </c>
      <c r="M156" s="141">
        <v>2.6683048376261453E-2</v>
      </c>
      <c r="N156" s="141">
        <v>0.47666728449826706</v>
      </c>
      <c r="O156" s="141">
        <v>0.14505457326905893</v>
      </c>
      <c r="P156" s="141">
        <v>0</v>
      </c>
      <c r="Q156" s="144">
        <v>0</v>
      </c>
      <c r="R156" s="143">
        <v>0</v>
      </c>
      <c r="S156" s="141">
        <v>0</v>
      </c>
      <c r="T156" s="141">
        <v>0</v>
      </c>
      <c r="U156" s="141">
        <v>0</v>
      </c>
      <c r="V156" s="144">
        <v>0</v>
      </c>
      <c r="W156" s="2629"/>
      <c r="X156" s="607" t="s">
        <v>498</v>
      </c>
      <c r="Y156" s="143">
        <v>-0.16930354032619527</v>
      </c>
      <c r="Z156" s="141">
        <v>-5.9786311327619857E-2</v>
      </c>
      <c r="AA156" s="141">
        <v>-0.30057858299602214</v>
      </c>
      <c r="AB156" s="141">
        <v>-2.4794951882694462E-2</v>
      </c>
      <c r="AC156" s="141">
        <v>-0.38763783892491388</v>
      </c>
      <c r="AD156" s="141">
        <v>-0.12658311993028648</v>
      </c>
      <c r="AE156" s="141">
        <v>0</v>
      </c>
      <c r="AF156" s="144">
        <v>0</v>
      </c>
      <c r="AG156" s="143">
        <v>0</v>
      </c>
      <c r="AH156" s="141">
        <v>0</v>
      </c>
      <c r="AI156" s="141">
        <v>0</v>
      </c>
      <c r="AJ156" s="141">
        <v>0</v>
      </c>
      <c r="AK156" s="144">
        <v>0</v>
      </c>
      <c r="AL156" s="2629"/>
      <c r="AM156" s="607" t="s">
        <v>2233</v>
      </c>
      <c r="AN156" s="143">
        <v>0.96499999999999997</v>
      </c>
      <c r="AO156" s="141">
        <v>0.35399999999999998</v>
      </c>
      <c r="AP156" s="141">
        <v>0.5252</v>
      </c>
      <c r="AQ156" s="141">
        <v>0.94</v>
      </c>
      <c r="AR156" s="141">
        <v>1.9810000000000001</v>
      </c>
      <c r="AS156" s="141">
        <v>0.53600000000000003</v>
      </c>
      <c r="AT156" s="141"/>
      <c r="AU156" s="144"/>
      <c r="AV156" s="143"/>
      <c r="AW156" s="141"/>
      <c r="AX156" s="141"/>
      <c r="AY156" s="141"/>
      <c r="AZ156" s="144"/>
      <c r="BA156" s="2629"/>
      <c r="BB156" s="2629"/>
      <c r="BC156" s="2629"/>
      <c r="BD156" s="2629"/>
      <c r="BE156" s="2629"/>
      <c r="BF156" s="2629"/>
      <c r="BG156" s="2629"/>
      <c r="BH156" s="2629"/>
      <c r="BI156" s="2629"/>
      <c r="BJ156" s="2629"/>
      <c r="BK156" s="2629"/>
      <c r="BL156" s="2629"/>
      <c r="BM156" s="2629"/>
      <c r="BN156" s="2629"/>
      <c r="BO156" s="2629"/>
      <c r="BP156" s="2629"/>
      <c r="BQ156" s="2629"/>
      <c r="BR156" s="2629"/>
      <c r="BS156" s="2629"/>
      <c r="BT156" s="2629"/>
      <c r="BU156" s="2629"/>
      <c r="BV156" s="2629"/>
      <c r="BW156" s="2629"/>
      <c r="BX156" s="2629"/>
      <c r="BY156" s="2629"/>
      <c r="BZ156" s="2629"/>
      <c r="CA156" s="2629"/>
      <c r="CB156" s="2629"/>
      <c r="CC156" s="2629"/>
      <c r="CD156" s="2629"/>
      <c r="CE156" s="2629"/>
      <c r="CF156" s="2629"/>
    </row>
    <row r="157" spans="1:84" s="98" customFormat="1" ht="15" customHeight="1">
      <c r="A157" s="99"/>
      <c r="B157" s="2687"/>
      <c r="C157" s="2688"/>
      <c r="D157" s="2688" t="s">
        <v>2703</v>
      </c>
      <c r="E157" s="2688"/>
      <c r="F157" s="2688"/>
      <c r="G157" s="2645"/>
      <c r="H157" s="2645"/>
      <c r="I157" s="607" t="s">
        <v>498</v>
      </c>
      <c r="J157" s="143">
        <v>0.33082729422008661</v>
      </c>
      <c r="K157" s="141">
        <v>0.5137386501681569</v>
      </c>
      <c r="L157" s="141">
        <v>8.3101568685889596E-2</v>
      </c>
      <c r="M157" s="141">
        <v>0.32801268695215463</v>
      </c>
      <c r="N157" s="141">
        <v>0.64088639386787816</v>
      </c>
      <c r="O157" s="141">
        <v>0.51686821324969268</v>
      </c>
      <c r="P157" s="141">
        <v>0</v>
      </c>
      <c r="Q157" s="144">
        <v>0</v>
      </c>
      <c r="R157" s="143">
        <v>0</v>
      </c>
      <c r="S157" s="141">
        <v>0</v>
      </c>
      <c r="T157" s="141">
        <v>0</v>
      </c>
      <c r="U157" s="141">
        <v>0</v>
      </c>
      <c r="V157" s="144">
        <v>0</v>
      </c>
      <c r="W157" s="2629"/>
      <c r="X157" s="607" t="s">
        <v>498</v>
      </c>
      <c r="Y157" s="143">
        <v>-0.28622751666265184</v>
      </c>
      <c r="Z157" s="141">
        <v>-0.40852102277794777</v>
      </c>
      <c r="AA157" s="141">
        <v>-6.6749876450717463E-2</v>
      </c>
      <c r="AB157" s="141">
        <v>-0.30480246016896501</v>
      </c>
      <c r="AC157" s="141">
        <v>-0.52118495393872299</v>
      </c>
      <c r="AD157" s="141">
        <v>-0.45104948814388535</v>
      </c>
      <c r="AE157" s="141">
        <v>0</v>
      </c>
      <c r="AF157" s="144">
        <v>0</v>
      </c>
      <c r="AG157" s="143">
        <v>0</v>
      </c>
      <c r="AH157" s="141">
        <v>0</v>
      </c>
      <c r="AI157" s="141">
        <v>0</v>
      </c>
      <c r="AJ157" s="141">
        <v>0</v>
      </c>
      <c r="AK157" s="144">
        <v>0</v>
      </c>
      <c r="AL157" s="2629"/>
      <c r="AM157" s="607" t="s">
        <v>2233</v>
      </c>
      <c r="AN157" s="143">
        <v>1.17</v>
      </c>
      <c r="AO157" s="141">
        <v>1.546</v>
      </c>
      <c r="AP157" s="141">
        <v>0.34300000000000003</v>
      </c>
      <c r="AQ157" s="141">
        <v>2.2909999999999999</v>
      </c>
      <c r="AR157" s="141">
        <v>1.39</v>
      </c>
      <c r="AS157" s="141">
        <v>1.149</v>
      </c>
      <c r="AT157" s="141"/>
      <c r="AU157" s="144"/>
      <c r="AV157" s="143"/>
      <c r="AW157" s="141"/>
      <c r="AX157" s="141"/>
      <c r="AY157" s="141"/>
      <c r="AZ157" s="144"/>
      <c r="BA157" s="2629"/>
      <c r="BB157" s="2629"/>
      <c r="BC157" s="2629"/>
      <c r="BD157" s="2629"/>
      <c r="BE157" s="2629"/>
      <c r="BF157" s="2629"/>
      <c r="BG157" s="2629"/>
      <c r="BH157" s="2629"/>
      <c r="BI157" s="2629"/>
      <c r="BJ157" s="2629"/>
      <c r="BK157" s="2629"/>
      <c r="BL157" s="2629"/>
      <c r="BM157" s="2629"/>
      <c r="BN157" s="2629"/>
      <c r="BO157" s="2629"/>
      <c r="BP157" s="2629"/>
      <c r="BQ157" s="2629"/>
      <c r="BR157" s="2629"/>
      <c r="BS157" s="2629"/>
      <c r="BT157" s="2629"/>
      <c r="BU157" s="2629"/>
      <c r="BV157" s="2629"/>
      <c r="BW157" s="2629"/>
      <c r="BX157" s="2629"/>
      <c r="BY157" s="2629"/>
      <c r="BZ157" s="2629"/>
      <c r="CA157" s="2629"/>
      <c r="CB157" s="2629"/>
      <c r="CC157" s="2629"/>
      <c r="CD157" s="2629"/>
      <c r="CE157" s="2629"/>
      <c r="CF157" s="2629"/>
    </row>
    <row r="158" spans="1:84" s="98" customFormat="1" ht="15" customHeight="1">
      <c r="A158" s="99"/>
      <c r="B158" s="2687"/>
      <c r="C158" s="2688"/>
      <c r="D158" s="2688" t="s">
        <v>2704</v>
      </c>
      <c r="E158" s="2688"/>
      <c r="F158" s="2688"/>
      <c r="G158" s="2645"/>
      <c r="H158" s="2645"/>
      <c r="I158" s="607" t="s">
        <v>498</v>
      </c>
      <c r="J158" s="143">
        <v>9.8715244604366509E-2</v>
      </c>
      <c r="K158" s="141">
        <v>0.20652966553494584</v>
      </c>
      <c r="L158" s="141">
        <v>2.0923042749143004E-2</v>
      </c>
      <c r="M158" s="141">
        <v>1.739931796106356E-2</v>
      </c>
      <c r="N158" s="141">
        <v>0.72483740255123574</v>
      </c>
      <c r="O158" s="141">
        <v>0.10648653553235617</v>
      </c>
      <c r="P158" s="141">
        <v>0</v>
      </c>
      <c r="Q158" s="144">
        <v>0</v>
      </c>
      <c r="R158" s="143">
        <v>0</v>
      </c>
      <c r="S158" s="141">
        <v>0</v>
      </c>
      <c r="T158" s="141">
        <v>0</v>
      </c>
      <c r="U158" s="141">
        <v>0</v>
      </c>
      <c r="V158" s="144">
        <v>0</v>
      </c>
      <c r="W158" s="2629"/>
      <c r="X158" s="607" t="s">
        <v>498</v>
      </c>
      <c r="Y158" s="143">
        <v>-8.5407159002597599E-2</v>
      </c>
      <c r="Z158" s="141">
        <v>-0.16429734606539886</v>
      </c>
      <c r="AA158" s="141">
        <v>-1.6806066847634808E-2</v>
      </c>
      <c r="AB158" s="141">
        <v>-1.6168139620062326E-2</v>
      </c>
      <c r="AC158" s="141">
        <v>-0.58945602820772214</v>
      </c>
      <c r="AD158" s="141">
        <v>-9.2926390354134358E-2</v>
      </c>
      <c r="AE158" s="141">
        <v>0</v>
      </c>
      <c r="AF158" s="144">
        <v>0</v>
      </c>
      <c r="AG158" s="143">
        <v>0</v>
      </c>
      <c r="AH158" s="141">
        <v>0</v>
      </c>
      <c r="AI158" s="141">
        <v>0</v>
      </c>
      <c r="AJ158" s="141">
        <v>0</v>
      </c>
      <c r="AK158" s="144">
        <v>0</v>
      </c>
      <c r="AL158" s="2629"/>
      <c r="AM158" s="607" t="s">
        <v>2233</v>
      </c>
      <c r="AN158" s="143">
        <v>0.215</v>
      </c>
      <c r="AO158" s="141">
        <v>0.436</v>
      </c>
      <c r="AP158" s="141">
        <v>3.15E-2</v>
      </c>
      <c r="AQ158" s="141">
        <v>0.11</v>
      </c>
      <c r="AR158" s="141">
        <v>0.85</v>
      </c>
      <c r="AS158" s="141">
        <v>0.125</v>
      </c>
      <c r="AT158" s="141"/>
      <c r="AU158" s="144"/>
      <c r="AV158" s="143"/>
      <c r="AW158" s="141"/>
      <c r="AX158" s="141"/>
      <c r="AY158" s="141"/>
      <c r="AZ158" s="144"/>
      <c r="BA158" s="2629"/>
      <c r="BB158" s="2629"/>
      <c r="BC158" s="2629"/>
      <c r="BD158" s="2629"/>
      <c r="BE158" s="2629"/>
      <c r="BF158" s="2629"/>
      <c r="BG158" s="2629"/>
      <c r="BH158" s="2629"/>
      <c r="BI158" s="2629"/>
      <c r="BJ158" s="2629"/>
      <c r="BK158" s="2629"/>
      <c r="BL158" s="2629"/>
      <c r="BM158" s="2629"/>
      <c r="BN158" s="2629"/>
      <c r="BO158" s="2629"/>
      <c r="BP158" s="2629"/>
      <c r="BQ158" s="2629"/>
      <c r="BR158" s="2629"/>
      <c r="BS158" s="2629"/>
      <c r="BT158" s="2629"/>
      <c r="BU158" s="2629"/>
      <c r="BV158" s="2629"/>
      <c r="BW158" s="2629"/>
      <c r="BX158" s="2629"/>
      <c r="BY158" s="2629"/>
      <c r="BZ158" s="2629"/>
      <c r="CA158" s="2629"/>
      <c r="CB158" s="2629"/>
      <c r="CC158" s="2629"/>
      <c r="CD158" s="2629"/>
      <c r="CE158" s="2629"/>
      <c r="CF158" s="2629"/>
    </row>
    <row r="159" spans="1:84" s="98" customFormat="1" ht="15" customHeight="1">
      <c r="A159" s="99"/>
      <c r="B159" s="2687"/>
      <c r="C159" s="2688"/>
      <c r="D159" s="2688" t="s">
        <v>2705</v>
      </c>
      <c r="E159" s="2688"/>
      <c r="F159" s="2688"/>
      <c r="G159" s="2645"/>
      <c r="H159" s="2645"/>
      <c r="I159" s="607" t="s">
        <v>498</v>
      </c>
      <c r="J159" s="143">
        <v>0.9501591039140399</v>
      </c>
      <c r="K159" s="141">
        <v>0.36256691098434318</v>
      </c>
      <c r="L159" s="141">
        <v>0</v>
      </c>
      <c r="M159" s="141">
        <v>0.72396697003915578</v>
      </c>
      <c r="N159" s="141">
        <v>0</v>
      </c>
      <c r="O159" s="141">
        <v>5.8805140813516434E-2</v>
      </c>
      <c r="P159" s="141">
        <v>0</v>
      </c>
      <c r="Q159" s="144">
        <v>0</v>
      </c>
      <c r="R159" s="143">
        <v>0</v>
      </c>
      <c r="S159" s="141">
        <v>0</v>
      </c>
      <c r="T159" s="141">
        <v>0</v>
      </c>
      <c r="U159" s="141">
        <v>0</v>
      </c>
      <c r="V159" s="144">
        <v>0</v>
      </c>
      <c r="W159" s="2629"/>
      <c r="X159" s="607" t="s">
        <v>498</v>
      </c>
      <c r="Y159" s="143">
        <v>-0.82206542658115933</v>
      </c>
      <c r="Z159" s="141">
        <v>-0.28830621837309217</v>
      </c>
      <c r="AA159" s="141">
        <v>0</v>
      </c>
      <c r="AB159" s="141">
        <v>-0.67273895896957614</v>
      </c>
      <c r="AC159" s="141">
        <v>0</v>
      </c>
      <c r="AD159" s="141">
        <v>-5.1316811489338483E-2</v>
      </c>
      <c r="AE159" s="141">
        <v>0</v>
      </c>
      <c r="AF159" s="144">
        <v>0</v>
      </c>
      <c r="AG159" s="143">
        <v>0</v>
      </c>
      <c r="AH159" s="141">
        <v>0</v>
      </c>
      <c r="AI159" s="141">
        <v>0</v>
      </c>
      <c r="AJ159" s="141">
        <v>0</v>
      </c>
      <c r="AK159" s="144">
        <v>0</v>
      </c>
      <c r="AL159" s="2629"/>
      <c r="AM159" s="607" t="s">
        <v>2233</v>
      </c>
      <c r="AN159" s="143">
        <v>1.3164</v>
      </c>
      <c r="AO159" s="141">
        <v>0.52</v>
      </c>
      <c r="AP159" s="141">
        <v>0</v>
      </c>
      <c r="AQ159" s="141">
        <v>0.61299999999999999</v>
      </c>
      <c r="AR159" s="141">
        <v>0</v>
      </c>
      <c r="AS159" s="141">
        <v>4.4999999999999998E-2</v>
      </c>
      <c r="AT159" s="141"/>
      <c r="AU159" s="144"/>
      <c r="AV159" s="143"/>
      <c r="AW159" s="141"/>
      <c r="AX159" s="141"/>
      <c r="AY159" s="141"/>
      <c r="AZ159" s="144"/>
      <c r="BA159" s="2629"/>
      <c r="BB159" s="2629"/>
      <c r="BC159" s="2629"/>
      <c r="BD159" s="2629"/>
      <c r="BE159" s="2629"/>
      <c r="BF159" s="2629"/>
      <c r="BG159" s="2629"/>
      <c r="BH159" s="2629"/>
      <c r="BI159" s="2629"/>
      <c r="BJ159" s="2629"/>
      <c r="BK159" s="2629"/>
      <c r="BL159" s="2629"/>
      <c r="BM159" s="2629"/>
      <c r="BN159" s="2629"/>
      <c r="BO159" s="2629"/>
      <c r="BP159" s="2629"/>
      <c r="BQ159" s="2629"/>
      <c r="BR159" s="2629"/>
      <c r="BS159" s="2629"/>
      <c r="BT159" s="2629"/>
      <c r="BU159" s="2629"/>
      <c r="BV159" s="2629"/>
      <c r="BW159" s="2629"/>
      <c r="BX159" s="2629"/>
      <c r="BY159" s="2629"/>
      <c r="BZ159" s="2629"/>
      <c r="CA159" s="2629"/>
      <c r="CB159" s="2629"/>
      <c r="CC159" s="2629"/>
      <c r="CD159" s="2629"/>
      <c r="CE159" s="2629"/>
      <c r="CF159" s="2629"/>
    </row>
    <row r="160" spans="1:84" s="98" customFormat="1" ht="15" customHeight="1">
      <c r="A160" s="99"/>
      <c r="B160" s="2687"/>
      <c r="C160" s="2688"/>
      <c r="D160" s="2688" t="s">
        <v>2706</v>
      </c>
      <c r="E160" s="2688"/>
      <c r="F160" s="2688"/>
      <c r="G160" s="2645"/>
      <c r="H160" s="2645"/>
      <c r="I160" s="607" t="s">
        <v>498</v>
      </c>
      <c r="J160" s="143">
        <v>7.5715992647294658E-3</v>
      </c>
      <c r="K160" s="141">
        <v>0.2384502427104441</v>
      </c>
      <c r="L160" s="141">
        <v>0</v>
      </c>
      <c r="M160" s="141">
        <v>0</v>
      </c>
      <c r="N160" s="141">
        <v>0</v>
      </c>
      <c r="O160" s="141">
        <v>0</v>
      </c>
      <c r="P160" s="141">
        <v>0</v>
      </c>
      <c r="Q160" s="144">
        <v>0</v>
      </c>
      <c r="R160" s="143">
        <v>0</v>
      </c>
      <c r="S160" s="141">
        <v>0</v>
      </c>
      <c r="T160" s="141">
        <v>0</v>
      </c>
      <c r="U160" s="141">
        <v>0</v>
      </c>
      <c r="V160" s="144">
        <v>0</v>
      </c>
      <c r="W160" s="2629"/>
      <c r="X160" s="607" t="s">
        <v>498</v>
      </c>
      <c r="Y160" s="143">
        <v>-6.5508502247898616E-3</v>
      </c>
      <c r="Z160" s="141">
        <v>-0.18985849156987042</v>
      </c>
      <c r="AA160" s="141">
        <v>0</v>
      </c>
      <c r="AB160" s="141">
        <v>0</v>
      </c>
      <c r="AC160" s="141">
        <v>0</v>
      </c>
      <c r="AD160" s="141">
        <v>0</v>
      </c>
      <c r="AE160" s="141">
        <v>0</v>
      </c>
      <c r="AF160" s="144">
        <v>0</v>
      </c>
      <c r="AG160" s="143">
        <v>0</v>
      </c>
      <c r="AH160" s="141">
        <v>0</v>
      </c>
      <c r="AI160" s="141">
        <v>0</v>
      </c>
      <c r="AJ160" s="141">
        <v>0</v>
      </c>
      <c r="AK160" s="144">
        <v>0</v>
      </c>
      <c r="AL160" s="2629"/>
      <c r="AM160" s="607" t="s">
        <v>2233</v>
      </c>
      <c r="AN160" s="143">
        <v>7.0000000000000001E-3</v>
      </c>
      <c r="AO160" s="141">
        <v>0.2205</v>
      </c>
      <c r="AP160" s="141">
        <v>0</v>
      </c>
      <c r="AQ160" s="141">
        <v>0</v>
      </c>
      <c r="AR160" s="141">
        <v>0</v>
      </c>
      <c r="AS160" s="141">
        <v>0</v>
      </c>
      <c r="AT160" s="141"/>
      <c r="AU160" s="144"/>
      <c r="AV160" s="143"/>
      <c r="AW160" s="141"/>
      <c r="AX160" s="141"/>
      <c r="AY160" s="141"/>
      <c r="AZ160" s="144"/>
      <c r="BA160" s="2629"/>
      <c r="BB160" s="2629"/>
      <c r="BC160" s="2629"/>
      <c r="BD160" s="2629"/>
      <c r="BE160" s="2629"/>
      <c r="BF160" s="2629"/>
      <c r="BG160" s="2629"/>
      <c r="BH160" s="2629"/>
      <c r="BI160" s="2629"/>
      <c r="BJ160" s="2629"/>
      <c r="BK160" s="2629"/>
      <c r="BL160" s="2629"/>
      <c r="BM160" s="2629"/>
      <c r="BN160" s="2629"/>
      <c r="BO160" s="2629"/>
      <c r="BP160" s="2629"/>
      <c r="BQ160" s="2629"/>
      <c r="BR160" s="2629"/>
      <c r="BS160" s="2629"/>
      <c r="BT160" s="2629"/>
      <c r="BU160" s="2629"/>
      <c r="BV160" s="2629"/>
      <c r="BW160" s="2629"/>
      <c r="BX160" s="2629"/>
      <c r="BY160" s="2629"/>
      <c r="BZ160" s="2629"/>
      <c r="CA160" s="2629"/>
      <c r="CB160" s="2629"/>
      <c r="CC160" s="2629"/>
      <c r="CD160" s="2629"/>
      <c r="CE160" s="2629"/>
      <c r="CF160" s="2629"/>
    </row>
    <row r="161" spans="1:84" s="98" customFormat="1" ht="15" customHeight="1">
      <c r="A161" s="99"/>
      <c r="B161" s="2687"/>
      <c r="C161" s="2688"/>
      <c r="D161" s="2688" t="s">
        <v>2707</v>
      </c>
      <c r="E161" s="2688"/>
      <c r="F161" s="2688"/>
      <c r="G161" s="2645"/>
      <c r="H161" s="2645"/>
      <c r="I161" s="607" t="s">
        <v>498</v>
      </c>
      <c r="J161" s="143">
        <v>0</v>
      </c>
      <c r="K161" s="141">
        <v>0</v>
      </c>
      <c r="L161" s="141">
        <v>0</v>
      </c>
      <c r="M161" s="141">
        <v>0</v>
      </c>
      <c r="N161" s="141">
        <v>0</v>
      </c>
      <c r="O161" s="141">
        <v>0</v>
      </c>
      <c r="P161" s="141">
        <v>0</v>
      </c>
      <c r="Q161" s="144">
        <v>0</v>
      </c>
      <c r="R161" s="143">
        <v>0</v>
      </c>
      <c r="S161" s="141">
        <v>0</v>
      </c>
      <c r="T161" s="141">
        <v>0</v>
      </c>
      <c r="U161" s="141">
        <v>0</v>
      </c>
      <c r="V161" s="144">
        <v>0</v>
      </c>
      <c r="W161" s="2629"/>
      <c r="X161" s="607" t="s">
        <v>498</v>
      </c>
      <c r="Y161" s="143">
        <v>0</v>
      </c>
      <c r="Z161" s="141">
        <v>0</v>
      </c>
      <c r="AA161" s="141">
        <v>0</v>
      </c>
      <c r="AB161" s="141">
        <v>0</v>
      </c>
      <c r="AC161" s="141">
        <v>0</v>
      </c>
      <c r="AD161" s="141">
        <v>0</v>
      </c>
      <c r="AE161" s="141">
        <v>0</v>
      </c>
      <c r="AF161" s="144">
        <v>0</v>
      </c>
      <c r="AG161" s="143">
        <v>0</v>
      </c>
      <c r="AH161" s="141">
        <v>0</v>
      </c>
      <c r="AI161" s="141">
        <v>0</v>
      </c>
      <c r="AJ161" s="141">
        <v>0</v>
      </c>
      <c r="AK161" s="144">
        <v>0</v>
      </c>
      <c r="AL161" s="2629"/>
      <c r="AM161" s="607" t="s">
        <v>2233</v>
      </c>
      <c r="AN161" s="143">
        <v>0</v>
      </c>
      <c r="AO161" s="141">
        <v>0</v>
      </c>
      <c r="AP161" s="141">
        <v>0</v>
      </c>
      <c r="AQ161" s="141">
        <v>0</v>
      </c>
      <c r="AR161" s="141">
        <v>0</v>
      </c>
      <c r="AS161" s="141">
        <v>0</v>
      </c>
      <c r="AT161" s="141"/>
      <c r="AU161" s="144"/>
      <c r="AV161" s="143"/>
      <c r="AW161" s="141"/>
      <c r="AX161" s="141"/>
      <c r="AY161" s="141"/>
      <c r="AZ161" s="144"/>
      <c r="BA161" s="2629"/>
      <c r="BB161" s="2629"/>
      <c r="BC161" s="2629"/>
      <c r="BD161" s="2629"/>
      <c r="BE161" s="2629"/>
      <c r="BF161" s="2629"/>
      <c r="BG161" s="2629"/>
      <c r="BH161" s="2629"/>
      <c r="BI161" s="2629"/>
      <c r="BJ161" s="2629"/>
      <c r="BK161" s="2629"/>
      <c r="BL161" s="2629"/>
      <c r="BM161" s="2629"/>
      <c r="BN161" s="2629"/>
      <c r="BO161" s="2629"/>
      <c r="BP161" s="2629"/>
      <c r="BQ161" s="2629"/>
      <c r="BR161" s="2629"/>
      <c r="BS161" s="2629"/>
      <c r="BT161" s="2629"/>
      <c r="BU161" s="2629"/>
      <c r="BV161" s="2629"/>
      <c r="BW161" s="2629"/>
      <c r="BX161" s="2629"/>
      <c r="BY161" s="2629"/>
      <c r="BZ161" s="2629"/>
      <c r="CA161" s="2629"/>
      <c r="CB161" s="2629"/>
      <c r="CC161" s="2629"/>
      <c r="CD161" s="2629"/>
      <c r="CE161" s="2629"/>
      <c r="CF161" s="2629"/>
    </row>
    <row r="162" spans="1:84" s="98" customFormat="1" ht="15" customHeight="1">
      <c r="A162" s="99"/>
      <c r="B162" s="2687"/>
      <c r="C162" s="2688"/>
      <c r="D162" s="2688" t="s">
        <v>2708</v>
      </c>
      <c r="E162" s="2688"/>
      <c r="F162" s="2688"/>
      <c r="G162" s="2645"/>
      <c r="H162" s="2645"/>
      <c r="I162" s="607" t="s">
        <v>498</v>
      </c>
      <c r="J162" s="143">
        <v>0</v>
      </c>
      <c r="K162" s="141">
        <v>0</v>
      </c>
      <c r="L162" s="141">
        <v>0</v>
      </c>
      <c r="M162" s="141">
        <v>0</v>
      </c>
      <c r="N162" s="141">
        <v>0</v>
      </c>
      <c r="O162" s="141">
        <v>0</v>
      </c>
      <c r="P162" s="141">
        <v>0</v>
      </c>
      <c r="Q162" s="144">
        <v>0</v>
      </c>
      <c r="R162" s="143">
        <v>0</v>
      </c>
      <c r="S162" s="141">
        <v>0</v>
      </c>
      <c r="T162" s="141">
        <v>0</v>
      </c>
      <c r="U162" s="141">
        <v>0</v>
      </c>
      <c r="V162" s="144">
        <v>0</v>
      </c>
      <c r="W162" s="2629"/>
      <c r="X162" s="607" t="s">
        <v>498</v>
      </c>
      <c r="Y162" s="143">
        <v>0</v>
      </c>
      <c r="Z162" s="141">
        <v>0</v>
      </c>
      <c r="AA162" s="141">
        <v>0</v>
      </c>
      <c r="AB162" s="141">
        <v>0</v>
      </c>
      <c r="AC162" s="141">
        <v>0</v>
      </c>
      <c r="AD162" s="141">
        <v>0</v>
      </c>
      <c r="AE162" s="141">
        <v>0</v>
      </c>
      <c r="AF162" s="144">
        <v>0</v>
      </c>
      <c r="AG162" s="143">
        <v>0</v>
      </c>
      <c r="AH162" s="141">
        <v>0</v>
      </c>
      <c r="AI162" s="141">
        <v>0</v>
      </c>
      <c r="AJ162" s="141">
        <v>0</v>
      </c>
      <c r="AK162" s="144">
        <v>0</v>
      </c>
      <c r="AL162" s="2629"/>
      <c r="AM162" s="607" t="s">
        <v>2233</v>
      </c>
      <c r="AN162" s="143">
        <v>0</v>
      </c>
      <c r="AO162" s="141">
        <v>0</v>
      </c>
      <c r="AP162" s="141">
        <v>0</v>
      </c>
      <c r="AQ162" s="141">
        <v>0</v>
      </c>
      <c r="AR162" s="141">
        <v>0</v>
      </c>
      <c r="AS162" s="141">
        <v>0</v>
      </c>
      <c r="AT162" s="141"/>
      <c r="AU162" s="144"/>
      <c r="AV162" s="143"/>
      <c r="AW162" s="141"/>
      <c r="AX162" s="141"/>
      <c r="AY162" s="141"/>
      <c r="AZ162" s="144"/>
      <c r="BA162" s="2629"/>
      <c r="BB162" s="2629"/>
      <c r="BC162" s="2629"/>
      <c r="BD162" s="2629"/>
      <c r="BE162" s="2629"/>
      <c r="BF162" s="2629"/>
      <c r="BG162" s="2629"/>
      <c r="BH162" s="2629"/>
      <c r="BI162" s="2629"/>
      <c r="BJ162" s="2629"/>
      <c r="BK162" s="2629"/>
      <c r="BL162" s="2629"/>
      <c r="BM162" s="2629"/>
      <c r="BN162" s="2629"/>
      <c r="BO162" s="2629"/>
      <c r="BP162" s="2629"/>
      <c r="BQ162" s="2629"/>
      <c r="BR162" s="2629"/>
      <c r="BS162" s="2629"/>
      <c r="BT162" s="2629"/>
      <c r="BU162" s="2629"/>
      <c r="BV162" s="2629"/>
      <c r="BW162" s="2629"/>
      <c r="BX162" s="2629"/>
      <c r="BY162" s="2629"/>
      <c r="BZ162" s="2629"/>
      <c r="CA162" s="2629"/>
      <c r="CB162" s="2629"/>
      <c r="CC162" s="2629"/>
      <c r="CD162" s="2629"/>
      <c r="CE162" s="2629"/>
      <c r="CF162" s="2629"/>
    </row>
    <row r="163" spans="1:84" s="98" customFormat="1" ht="15" customHeight="1">
      <c r="A163" s="99"/>
      <c r="B163" s="2687"/>
      <c r="C163" s="2688" t="s">
        <v>1710</v>
      </c>
      <c r="D163" s="2688"/>
      <c r="E163" s="2688"/>
      <c r="F163" s="2688"/>
      <c r="G163" s="2645"/>
      <c r="H163" s="2645"/>
      <c r="I163" s="607" t="s">
        <v>498</v>
      </c>
      <c r="J163" s="641">
        <f>SUM(J155:J162)</f>
        <v>1.6315904364229687</v>
      </c>
      <c r="K163" s="642">
        <f t="shared" ref="K163:V163" si="37">SUM(K155:K162)</f>
        <v>1.5443009059222848</v>
      </c>
      <c r="L163" s="642">
        <f t="shared" si="37"/>
        <v>0.68177056708028483</v>
      </c>
      <c r="M163" s="642">
        <f t="shared" si="37"/>
        <v>1.1897778556433012</v>
      </c>
      <c r="N163" s="642">
        <f t="shared" si="37"/>
        <v>2.0331047732343825</v>
      </c>
      <c r="O163" s="642">
        <f t="shared" si="37"/>
        <v>1.0124732049728513</v>
      </c>
      <c r="P163" s="642">
        <f t="shared" si="37"/>
        <v>0</v>
      </c>
      <c r="Q163" s="643">
        <f t="shared" si="37"/>
        <v>0</v>
      </c>
      <c r="R163" s="641">
        <f t="shared" si="37"/>
        <v>0</v>
      </c>
      <c r="S163" s="642">
        <f t="shared" si="37"/>
        <v>0</v>
      </c>
      <c r="T163" s="642">
        <f t="shared" si="37"/>
        <v>0</v>
      </c>
      <c r="U163" s="642">
        <f t="shared" si="37"/>
        <v>0</v>
      </c>
      <c r="V163" s="643">
        <f t="shared" si="37"/>
        <v>0</v>
      </c>
      <c r="W163" s="2629"/>
      <c r="X163" s="607" t="s">
        <v>498</v>
      </c>
      <c r="Y163" s="641">
        <f>SUM(Y155:Y162)</f>
        <v>-1.411631044315218</v>
      </c>
      <c r="Z163" s="642">
        <f t="shared" ref="Z163:AK163" si="38">SUM(Z155:Z162)</f>
        <v>-1.2281581394547052</v>
      </c>
      <c r="AA163" s="642">
        <f t="shared" si="38"/>
        <v>-0.54762024159083966</v>
      </c>
      <c r="AB163" s="642">
        <f t="shared" si="38"/>
        <v>-1.1055889966461301</v>
      </c>
      <c r="AC163" s="642">
        <f t="shared" si="38"/>
        <v>-1.6533719981098645</v>
      </c>
      <c r="AD163" s="642">
        <f t="shared" si="38"/>
        <v>-0.88354344329119994</v>
      </c>
      <c r="AE163" s="642">
        <f t="shared" si="38"/>
        <v>0</v>
      </c>
      <c r="AF163" s="643">
        <f t="shared" si="38"/>
        <v>0</v>
      </c>
      <c r="AG163" s="641">
        <f t="shared" si="38"/>
        <v>0</v>
      </c>
      <c r="AH163" s="642">
        <f t="shared" si="38"/>
        <v>0</v>
      </c>
      <c r="AI163" s="642">
        <f t="shared" si="38"/>
        <v>0</v>
      </c>
      <c r="AJ163" s="642">
        <f t="shared" si="38"/>
        <v>0</v>
      </c>
      <c r="AK163" s="643">
        <f t="shared" si="38"/>
        <v>0</v>
      </c>
      <c r="AL163" s="2629"/>
      <c r="AM163" s="607" t="s">
        <v>2233</v>
      </c>
      <c r="AN163" s="641">
        <f>SUM(AN155:AN162)</f>
        <v>4.0603999999999996</v>
      </c>
      <c r="AO163" s="642">
        <f t="shared" ref="AO163:AZ163" si="39">SUM(AO155:AO162)</f>
        <v>3.5665</v>
      </c>
      <c r="AP163" s="642">
        <f t="shared" si="39"/>
        <v>1.4227000000000001</v>
      </c>
      <c r="AQ163" s="642">
        <f t="shared" si="39"/>
        <v>4.6049999999999995</v>
      </c>
      <c r="AR163" s="642">
        <f t="shared" si="39"/>
        <v>5</v>
      </c>
      <c r="AS163" s="642">
        <f t="shared" si="39"/>
        <v>2.6949999999999998</v>
      </c>
      <c r="AT163" s="642">
        <f t="shared" si="39"/>
        <v>0</v>
      </c>
      <c r="AU163" s="643">
        <f t="shared" si="39"/>
        <v>0</v>
      </c>
      <c r="AV163" s="641">
        <f t="shared" si="39"/>
        <v>0</v>
      </c>
      <c r="AW163" s="642">
        <f t="shared" si="39"/>
        <v>0</v>
      </c>
      <c r="AX163" s="642">
        <f t="shared" si="39"/>
        <v>0</v>
      </c>
      <c r="AY163" s="642">
        <f t="shared" si="39"/>
        <v>0</v>
      </c>
      <c r="AZ163" s="643">
        <f t="shared" si="39"/>
        <v>0</v>
      </c>
      <c r="BA163" s="2629"/>
      <c r="BB163" s="2629"/>
      <c r="BC163" s="2629"/>
      <c r="BD163" s="2629"/>
      <c r="BE163" s="2629"/>
      <c r="BF163" s="2629"/>
      <c r="BG163" s="2629"/>
      <c r="BH163" s="2629"/>
      <c r="BI163" s="2629"/>
      <c r="BJ163" s="2629"/>
      <c r="BK163" s="2629"/>
      <c r="BL163" s="2629"/>
      <c r="BM163" s="2629"/>
      <c r="BN163" s="2629"/>
      <c r="BO163" s="2629"/>
      <c r="BP163" s="2629"/>
      <c r="BQ163" s="2629"/>
      <c r="BR163" s="2629"/>
      <c r="BS163" s="2629"/>
      <c r="BT163" s="2629"/>
      <c r="BU163" s="2629"/>
      <c r="BV163" s="2629"/>
      <c r="BW163" s="2629"/>
      <c r="BX163" s="2629"/>
      <c r="BY163" s="2629"/>
      <c r="BZ163" s="2629"/>
      <c r="CA163" s="2629"/>
      <c r="CB163" s="2629"/>
      <c r="CC163" s="2629"/>
      <c r="CD163" s="2629"/>
      <c r="CE163" s="2629"/>
      <c r="CF163" s="2629"/>
    </row>
    <row r="164" spans="1:84" s="98" customFormat="1" ht="15" customHeight="1">
      <c r="A164" s="99"/>
      <c r="B164" s="123"/>
      <c r="C164" s="2686"/>
      <c r="D164" s="2686"/>
      <c r="E164" s="2686"/>
      <c r="F164" s="2686"/>
      <c r="G164" s="94"/>
      <c r="H164" s="94"/>
      <c r="I164" s="94"/>
      <c r="J164" s="713"/>
      <c r="K164" s="2649"/>
      <c r="L164" s="2649"/>
      <c r="M164" s="2649"/>
      <c r="N164" s="2649"/>
      <c r="O164" s="2649"/>
      <c r="P164" s="2649"/>
      <c r="Q164" s="715"/>
      <c r="R164" s="713"/>
      <c r="S164" s="2649"/>
      <c r="T164" s="2649"/>
      <c r="U164" s="2649"/>
      <c r="V164" s="715"/>
      <c r="W164" s="2629"/>
      <c r="X164" s="94"/>
      <c r="Y164" s="713"/>
      <c r="Z164" s="2649"/>
      <c r="AA164" s="2649"/>
      <c r="AB164" s="2649"/>
      <c r="AC164" s="2649"/>
      <c r="AD164" s="2649"/>
      <c r="AE164" s="2649"/>
      <c r="AF164" s="715"/>
      <c r="AG164" s="713"/>
      <c r="AH164" s="2649"/>
      <c r="AI164" s="2649"/>
      <c r="AJ164" s="2649"/>
      <c r="AK164" s="715"/>
      <c r="AL164" s="2629"/>
      <c r="AM164" s="94"/>
      <c r="AN164" s="713"/>
      <c r="AO164" s="2649"/>
      <c r="AP164" s="2649"/>
      <c r="AQ164" s="2649"/>
      <c r="AR164" s="2649"/>
      <c r="AS164" s="2649"/>
      <c r="AT164" s="2649"/>
      <c r="AU164" s="715"/>
      <c r="AV164" s="713"/>
      <c r="AW164" s="2649"/>
      <c r="AX164" s="2649"/>
      <c r="AY164" s="2649"/>
      <c r="AZ164" s="715"/>
      <c r="BA164" s="2629"/>
      <c r="BB164" s="2629"/>
      <c r="BC164" s="2629"/>
      <c r="BD164" s="2629"/>
      <c r="BE164" s="2629"/>
      <c r="BF164" s="2629"/>
      <c r="BG164" s="2629"/>
      <c r="BH164" s="2629"/>
      <c r="BI164" s="2629"/>
      <c r="BJ164" s="2629"/>
      <c r="BK164" s="2629"/>
      <c r="BL164" s="2629"/>
      <c r="BM164" s="2629"/>
      <c r="BN164" s="2629"/>
      <c r="BO164" s="2629"/>
      <c r="BP164" s="2629"/>
      <c r="BQ164" s="2629"/>
      <c r="BR164" s="2629"/>
      <c r="BS164" s="2629"/>
      <c r="BT164" s="2629"/>
      <c r="BU164" s="2629"/>
      <c r="BV164" s="2629"/>
      <c r="BW164" s="2629"/>
      <c r="BX164" s="2629"/>
      <c r="BY164" s="2629"/>
      <c r="BZ164" s="2629"/>
      <c r="CA164" s="2629"/>
      <c r="CB164" s="2629"/>
      <c r="CC164" s="2629"/>
      <c r="CD164" s="2629"/>
      <c r="CE164" s="2629"/>
      <c r="CF164" s="2629"/>
    </row>
    <row r="165" spans="1:84" s="98" customFormat="1" ht="15" customHeight="1">
      <c r="A165" s="99"/>
      <c r="B165" s="2687"/>
      <c r="C165" s="2685" t="s">
        <v>2722</v>
      </c>
      <c r="D165" s="2685"/>
      <c r="E165" s="2685"/>
      <c r="F165" s="2685"/>
      <c r="G165" s="94"/>
      <c r="H165" s="94"/>
      <c r="I165" s="94"/>
      <c r="J165" s="713"/>
      <c r="K165" s="2649"/>
      <c r="L165" s="2649"/>
      <c r="M165" s="2649"/>
      <c r="N165" s="2649"/>
      <c r="O165" s="2649"/>
      <c r="P165" s="2649"/>
      <c r="Q165" s="715"/>
      <c r="R165" s="713"/>
      <c r="S165" s="2649"/>
      <c r="T165" s="2649"/>
      <c r="U165" s="2649"/>
      <c r="V165" s="715"/>
      <c r="W165" s="2629"/>
      <c r="X165" s="94"/>
      <c r="Y165" s="713"/>
      <c r="Z165" s="2649"/>
      <c r="AA165" s="2649"/>
      <c r="AB165" s="2649"/>
      <c r="AC165" s="2649"/>
      <c r="AD165" s="2649"/>
      <c r="AE165" s="2649"/>
      <c r="AF165" s="715"/>
      <c r="AG165" s="713"/>
      <c r="AH165" s="2649"/>
      <c r="AI165" s="2649"/>
      <c r="AJ165" s="2649"/>
      <c r="AK165" s="715"/>
      <c r="AL165" s="2629"/>
      <c r="AM165" s="542"/>
      <c r="AN165" s="543"/>
      <c r="AO165" s="542"/>
      <c r="AP165" s="542"/>
      <c r="AQ165" s="542"/>
      <c r="AR165" s="542"/>
      <c r="AS165" s="542"/>
      <c r="AT165" s="542"/>
      <c r="AU165" s="544"/>
      <c r="AV165" s="543"/>
      <c r="AW165" s="542"/>
      <c r="AX165" s="542"/>
      <c r="AY165" s="542"/>
      <c r="AZ165" s="544"/>
      <c r="BA165" s="2629"/>
      <c r="BB165" s="2629"/>
      <c r="BC165" s="2629"/>
      <c r="BD165" s="2629"/>
      <c r="BE165" s="2629"/>
      <c r="BF165" s="2629"/>
      <c r="BG165" s="2629"/>
      <c r="BH165" s="2629"/>
      <c r="BI165" s="2629"/>
      <c r="BJ165" s="2629"/>
      <c r="BK165" s="2629"/>
      <c r="BL165" s="2629"/>
      <c r="BM165" s="2629"/>
      <c r="BN165" s="2629"/>
      <c r="BO165" s="2629"/>
      <c r="BP165" s="2629"/>
      <c r="BQ165" s="2629"/>
      <c r="BR165" s="2629"/>
      <c r="BS165" s="2629"/>
      <c r="BT165" s="2629"/>
      <c r="BU165" s="2629"/>
      <c r="BV165" s="2629"/>
      <c r="BW165" s="2629"/>
      <c r="BX165" s="2629"/>
      <c r="BY165" s="2629"/>
      <c r="BZ165" s="2629"/>
      <c r="CA165" s="2629"/>
      <c r="CB165" s="2629"/>
      <c r="CC165" s="2629"/>
      <c r="CD165" s="2629"/>
      <c r="CE165" s="2629"/>
      <c r="CF165" s="2629"/>
    </row>
    <row r="166" spans="1:84" s="98" customFormat="1" ht="15" customHeight="1">
      <c r="A166" s="99"/>
      <c r="B166" s="2687"/>
      <c r="C166" s="2688"/>
      <c r="D166" s="2688" t="s">
        <v>2701</v>
      </c>
      <c r="E166" s="2688"/>
      <c r="F166" s="2688"/>
      <c r="G166" s="2645"/>
      <c r="H166" s="2645"/>
      <c r="I166" s="607" t="s">
        <v>498</v>
      </c>
      <c r="J166" s="143">
        <v>2.4756277971500869E-2</v>
      </c>
      <c r="K166" s="141">
        <v>0.10766736052662326</v>
      </c>
      <c r="L166" s="141">
        <v>9.4956938695316198E-2</v>
      </c>
      <c r="M166" s="141">
        <v>4.5058457011505973E-2</v>
      </c>
      <c r="N166" s="141">
        <v>4.8229264937675605E-2</v>
      </c>
      <c r="O166" s="141">
        <v>1.7202597481478229E-2</v>
      </c>
      <c r="P166" s="141">
        <v>0</v>
      </c>
      <c r="Q166" s="144">
        <v>0</v>
      </c>
      <c r="R166" s="143">
        <v>0</v>
      </c>
      <c r="S166" s="141">
        <v>0</v>
      </c>
      <c r="T166" s="141">
        <v>0</v>
      </c>
      <c r="U166" s="141">
        <v>0</v>
      </c>
      <c r="V166" s="144">
        <v>0</v>
      </c>
      <c r="W166" s="2629"/>
      <c r="X166" s="607" t="s">
        <v>498</v>
      </c>
      <c r="Y166" s="143">
        <v>-2.1418813046540877E-2</v>
      </c>
      <c r="Z166" s="141">
        <v>-8.5526088805422507E-2</v>
      </c>
      <c r="AA166" s="141">
        <v>-7.6272494325693121E-2</v>
      </c>
      <c r="AB166" s="141">
        <v>-4.1870113854857893E-2</v>
      </c>
      <c r="AC166" s="141">
        <v>-3.9221252729891638E-2</v>
      </c>
      <c r="AD166" s="141">
        <v>-1.5011994527544415E-2</v>
      </c>
      <c r="AE166" s="141">
        <v>0</v>
      </c>
      <c r="AF166" s="144">
        <v>0</v>
      </c>
      <c r="AG166" s="143">
        <v>0</v>
      </c>
      <c r="AH166" s="141">
        <v>0</v>
      </c>
      <c r="AI166" s="141">
        <v>0</v>
      </c>
      <c r="AJ166" s="141">
        <v>0</v>
      </c>
      <c r="AK166" s="144">
        <v>0</v>
      </c>
      <c r="AL166" s="2629"/>
      <c r="AM166" s="607" t="s">
        <v>2233</v>
      </c>
      <c r="AN166" s="143">
        <v>0.19700000000000001</v>
      </c>
      <c r="AO166" s="141">
        <v>0.35699999999999998</v>
      </c>
      <c r="AP166" s="141">
        <v>0.24399999999999999</v>
      </c>
      <c r="AQ166" s="141">
        <v>0.313</v>
      </c>
      <c r="AR166" s="141">
        <v>0.19700000000000001</v>
      </c>
      <c r="AS166" s="141">
        <v>7.8E-2</v>
      </c>
      <c r="AT166" s="141"/>
      <c r="AU166" s="144"/>
      <c r="AV166" s="143"/>
      <c r="AW166" s="141"/>
      <c r="AX166" s="141"/>
      <c r="AY166" s="141"/>
      <c r="AZ166" s="144"/>
      <c r="BA166" s="2629"/>
      <c r="BB166" s="2629"/>
      <c r="BC166" s="2629"/>
      <c r="BD166" s="2629"/>
      <c r="BE166" s="2629"/>
      <c r="BF166" s="2629"/>
      <c r="BG166" s="2629"/>
      <c r="BH166" s="2629"/>
      <c r="BI166" s="2629"/>
      <c r="BJ166" s="2629"/>
      <c r="BK166" s="2629"/>
      <c r="BL166" s="2629"/>
      <c r="BM166" s="2629"/>
      <c r="BN166" s="2629"/>
      <c r="BO166" s="2629"/>
      <c r="BP166" s="2629"/>
      <c r="BQ166" s="2629"/>
      <c r="BR166" s="2629"/>
      <c r="BS166" s="2629"/>
      <c r="BT166" s="2629"/>
      <c r="BU166" s="2629"/>
      <c r="BV166" s="2629"/>
      <c r="BW166" s="2629"/>
      <c r="BX166" s="2629"/>
      <c r="BY166" s="2629"/>
      <c r="BZ166" s="2629"/>
      <c r="CA166" s="2629"/>
      <c r="CB166" s="2629"/>
      <c r="CC166" s="2629"/>
      <c r="CD166" s="2629"/>
      <c r="CE166" s="2629"/>
      <c r="CF166" s="2629"/>
    </row>
    <row r="167" spans="1:84" s="98" customFormat="1" ht="15" customHeight="1">
      <c r="A167" s="99"/>
      <c r="B167" s="123"/>
      <c r="C167" s="2686"/>
      <c r="D167" s="2686"/>
      <c r="E167" s="2686"/>
      <c r="F167" s="2686"/>
      <c r="G167" s="94"/>
      <c r="H167" s="94"/>
      <c r="I167" s="94"/>
      <c r="J167" s="713"/>
      <c r="K167" s="2649"/>
      <c r="L167" s="2649"/>
      <c r="M167" s="2649"/>
      <c r="N167" s="2649"/>
      <c r="O167" s="2649"/>
      <c r="P167" s="2649"/>
      <c r="Q167" s="715"/>
      <c r="R167" s="713"/>
      <c r="S167" s="2649"/>
      <c r="T167" s="2649"/>
      <c r="U167" s="2649"/>
      <c r="V167" s="715"/>
      <c r="W167" s="2629"/>
      <c r="X167" s="94"/>
      <c r="Y167" s="713"/>
      <c r="Z167" s="2649"/>
      <c r="AA167" s="2649"/>
      <c r="AB167" s="2649"/>
      <c r="AC167" s="2649"/>
      <c r="AD167" s="2649"/>
      <c r="AE167" s="2649"/>
      <c r="AF167" s="715"/>
      <c r="AG167" s="713"/>
      <c r="AH167" s="2649"/>
      <c r="AI167" s="2649"/>
      <c r="AJ167" s="2649"/>
      <c r="AK167" s="715"/>
      <c r="AL167" s="2629"/>
      <c r="AM167" s="94"/>
      <c r="AN167" s="713"/>
      <c r="AO167" s="2649"/>
      <c r="AP167" s="2649"/>
      <c r="AQ167" s="2649"/>
      <c r="AR167" s="2649"/>
      <c r="AS167" s="2649"/>
      <c r="AT167" s="2649"/>
      <c r="AU167" s="715"/>
      <c r="AV167" s="713"/>
      <c r="AW167" s="2649"/>
      <c r="AX167" s="2649"/>
      <c r="AY167" s="2649"/>
      <c r="AZ167" s="715"/>
      <c r="BA167" s="2629"/>
      <c r="BB167" s="2629"/>
      <c r="BC167" s="2629"/>
      <c r="BD167" s="2629"/>
      <c r="BE167" s="2629"/>
      <c r="BF167" s="2629"/>
      <c r="BG167" s="2629"/>
      <c r="BH167" s="2629"/>
      <c r="BI167" s="2629"/>
      <c r="BJ167" s="2629"/>
      <c r="BK167" s="2629"/>
      <c r="BL167" s="2629"/>
      <c r="BM167" s="2629"/>
      <c r="BN167" s="2629"/>
      <c r="BO167" s="2629"/>
      <c r="BP167" s="2629"/>
      <c r="BQ167" s="2629"/>
      <c r="BR167" s="2629"/>
      <c r="BS167" s="2629"/>
      <c r="BT167" s="2629"/>
      <c r="BU167" s="2629"/>
      <c r="BV167" s="2629"/>
      <c r="BW167" s="2629"/>
      <c r="BX167" s="2629"/>
      <c r="BY167" s="2629"/>
      <c r="BZ167" s="2629"/>
      <c r="CA167" s="2629"/>
      <c r="CB167" s="2629"/>
      <c r="CC167" s="2629"/>
      <c r="CD167" s="2629"/>
      <c r="CE167" s="2629"/>
      <c r="CF167" s="2629"/>
    </row>
    <row r="168" spans="1:84" s="98" customFormat="1" ht="15" customHeight="1">
      <c r="A168" s="99"/>
      <c r="B168" s="2687"/>
      <c r="C168" s="2685" t="s">
        <v>2755</v>
      </c>
      <c r="D168" s="2685"/>
      <c r="E168" s="2685"/>
      <c r="F168" s="2685"/>
      <c r="G168" s="94"/>
      <c r="H168" s="94"/>
      <c r="I168" s="94"/>
      <c r="J168" s="713"/>
      <c r="K168" s="2649"/>
      <c r="L168" s="2649"/>
      <c r="M168" s="2649"/>
      <c r="N168" s="2649"/>
      <c r="O168" s="2649"/>
      <c r="P168" s="2649"/>
      <c r="Q168" s="715"/>
      <c r="R168" s="713"/>
      <c r="S168" s="2649"/>
      <c r="T168" s="2649"/>
      <c r="U168" s="2649"/>
      <c r="V168" s="715"/>
      <c r="W168" s="2629"/>
      <c r="X168" s="94"/>
      <c r="Y168" s="713"/>
      <c r="Z168" s="2649"/>
      <c r="AA168" s="2649"/>
      <c r="AB168" s="2649"/>
      <c r="AC168" s="2649"/>
      <c r="AD168" s="2649"/>
      <c r="AE168" s="2649"/>
      <c r="AF168" s="715"/>
      <c r="AG168" s="713"/>
      <c r="AH168" s="2649"/>
      <c r="AI168" s="2649"/>
      <c r="AJ168" s="2649"/>
      <c r="AK168" s="715"/>
      <c r="AL168" s="2629"/>
      <c r="AM168" s="94"/>
      <c r="AN168" s="713"/>
      <c r="AO168" s="2649"/>
      <c r="AP168" s="2649"/>
      <c r="AQ168" s="2649"/>
      <c r="AR168" s="2649"/>
      <c r="AS168" s="2649"/>
      <c r="AT168" s="2649"/>
      <c r="AU168" s="715"/>
      <c r="AV168" s="713"/>
      <c r="AW168" s="2649"/>
      <c r="AX168" s="2649"/>
      <c r="AY168" s="2649"/>
      <c r="AZ168" s="715"/>
      <c r="BA168" s="2629"/>
      <c r="BB168" s="2629"/>
      <c r="BC168" s="2629"/>
      <c r="BD168" s="2629"/>
      <c r="BE168" s="2629"/>
      <c r="BF168" s="2629"/>
      <c r="BG168" s="2629"/>
      <c r="BH168" s="2629"/>
      <c r="BI168" s="2629"/>
      <c r="BJ168" s="2629"/>
      <c r="BK168" s="2629"/>
      <c r="BL168" s="2629"/>
      <c r="BM168" s="2629"/>
      <c r="BN168" s="2629"/>
      <c r="BO168" s="2629"/>
      <c r="BP168" s="2629"/>
      <c r="BQ168" s="2629"/>
      <c r="BR168" s="2629"/>
      <c r="BS168" s="2629"/>
      <c r="BT168" s="2629"/>
      <c r="BU168" s="2629"/>
      <c r="BV168" s="2629"/>
      <c r="BW168" s="2629"/>
      <c r="BX168" s="2629"/>
      <c r="BY168" s="2629"/>
      <c r="BZ168" s="2629"/>
      <c r="CA168" s="2629"/>
      <c r="CB168" s="2629"/>
      <c r="CC168" s="2629"/>
      <c r="CD168" s="2629"/>
      <c r="CE168" s="2629"/>
      <c r="CF168" s="2629"/>
    </row>
    <row r="169" spans="1:84" s="98" customFormat="1" ht="15" customHeight="1">
      <c r="A169" s="99"/>
      <c r="B169" s="2687"/>
      <c r="C169" s="2688"/>
      <c r="D169" s="2688" t="s">
        <v>2701</v>
      </c>
      <c r="E169" s="2688"/>
      <c r="F169" s="2688"/>
      <c r="G169" s="2645"/>
      <c r="H169" s="2645"/>
      <c r="I169" s="607" t="s">
        <v>498</v>
      </c>
      <c r="J169" s="143">
        <v>0</v>
      </c>
      <c r="K169" s="141">
        <v>0</v>
      </c>
      <c r="L169" s="141">
        <v>0</v>
      </c>
      <c r="M169" s="141">
        <v>0</v>
      </c>
      <c r="N169" s="141">
        <v>0</v>
      </c>
      <c r="O169" s="141">
        <v>4.6314685527056778E-3</v>
      </c>
      <c r="P169" s="141">
        <v>0</v>
      </c>
      <c r="Q169" s="144">
        <v>0</v>
      </c>
      <c r="R169" s="143">
        <v>0</v>
      </c>
      <c r="S169" s="141">
        <v>0</v>
      </c>
      <c r="T169" s="141">
        <v>0</v>
      </c>
      <c r="U169" s="141">
        <v>0</v>
      </c>
      <c r="V169" s="144">
        <v>0</v>
      </c>
      <c r="W169" s="2629"/>
      <c r="X169" s="607" t="s">
        <v>498</v>
      </c>
      <c r="Y169" s="143">
        <v>0</v>
      </c>
      <c r="Z169" s="141">
        <v>0</v>
      </c>
      <c r="AA169" s="141">
        <v>0</v>
      </c>
      <c r="AB169" s="141">
        <v>0</v>
      </c>
      <c r="AC169" s="141">
        <v>0</v>
      </c>
      <c r="AD169" s="141">
        <v>-4.0416908343388815E-3</v>
      </c>
      <c r="AE169" s="141">
        <v>0</v>
      </c>
      <c r="AF169" s="144">
        <v>0</v>
      </c>
      <c r="AG169" s="143">
        <v>0</v>
      </c>
      <c r="AH169" s="141">
        <v>0</v>
      </c>
      <c r="AI169" s="141">
        <v>0</v>
      </c>
      <c r="AJ169" s="141">
        <v>0</v>
      </c>
      <c r="AK169" s="144">
        <v>0</v>
      </c>
      <c r="AL169" s="2629"/>
      <c r="AM169" s="607" t="s">
        <v>2233</v>
      </c>
      <c r="AN169" s="143">
        <v>0</v>
      </c>
      <c r="AO169" s="141">
        <v>0</v>
      </c>
      <c r="AP169" s="141">
        <v>0</v>
      </c>
      <c r="AQ169" s="141">
        <v>0</v>
      </c>
      <c r="AR169" s="141">
        <v>0</v>
      </c>
      <c r="AS169" s="141">
        <v>2.1000000000000001E-2</v>
      </c>
      <c r="AT169" s="141"/>
      <c r="AU169" s="144"/>
      <c r="AV169" s="143"/>
      <c r="AW169" s="141"/>
      <c r="AX169" s="141"/>
      <c r="AY169" s="141"/>
      <c r="AZ169" s="144"/>
      <c r="BA169" s="2629"/>
      <c r="BB169" s="2629"/>
      <c r="BC169" s="2629"/>
      <c r="BD169" s="2629"/>
      <c r="BE169" s="2629"/>
      <c r="BF169" s="2629"/>
      <c r="BG169" s="2629"/>
      <c r="BH169" s="2629"/>
      <c r="BI169" s="2629"/>
      <c r="BJ169" s="2629"/>
      <c r="BK169" s="2629"/>
      <c r="BL169" s="2629"/>
      <c r="BM169" s="2629"/>
      <c r="BN169" s="2629"/>
      <c r="BO169" s="2629"/>
      <c r="BP169" s="2629"/>
      <c r="BQ169" s="2629"/>
      <c r="BR169" s="2629"/>
      <c r="BS169" s="2629"/>
      <c r="BT169" s="2629"/>
      <c r="BU169" s="2629"/>
      <c r="BV169" s="2629"/>
      <c r="BW169" s="2629"/>
      <c r="BX169" s="2629"/>
      <c r="BY169" s="2629"/>
      <c r="BZ169" s="2629"/>
      <c r="CA169" s="2629"/>
      <c r="CB169" s="2629"/>
      <c r="CC169" s="2629"/>
      <c r="CD169" s="2629"/>
      <c r="CE169" s="2629"/>
      <c r="CF169" s="2629"/>
    </row>
    <row r="170" spans="1:84" s="98" customFormat="1" ht="15" customHeight="1">
      <c r="A170" s="99"/>
      <c r="B170" s="2687"/>
      <c r="C170" s="2688"/>
      <c r="D170" s="2688" t="s">
        <v>2702</v>
      </c>
      <c r="E170" s="2688"/>
      <c r="F170" s="2688"/>
      <c r="G170" s="2645"/>
      <c r="H170" s="2645"/>
      <c r="I170" s="607" t="s">
        <v>498</v>
      </c>
      <c r="J170" s="143">
        <v>0</v>
      </c>
      <c r="K170" s="141">
        <v>1.9127976200800107E-2</v>
      </c>
      <c r="L170" s="141">
        <v>2.8500472650478562E-2</v>
      </c>
      <c r="M170" s="141">
        <v>2.2141252907961631E-3</v>
      </c>
      <c r="N170" s="141">
        <v>4.3311514997318558E-3</v>
      </c>
      <c r="O170" s="141">
        <v>5.1147974529574876E-2</v>
      </c>
      <c r="P170" s="141">
        <v>0</v>
      </c>
      <c r="Q170" s="144">
        <v>0</v>
      </c>
      <c r="R170" s="143">
        <v>0</v>
      </c>
      <c r="S170" s="141">
        <v>0</v>
      </c>
      <c r="T170" s="141">
        <v>0</v>
      </c>
      <c r="U170" s="141">
        <v>0</v>
      </c>
      <c r="V170" s="144">
        <v>0</v>
      </c>
      <c r="W170" s="2629"/>
      <c r="X170" s="607" t="s">
        <v>498</v>
      </c>
      <c r="Y170" s="143">
        <v>0</v>
      </c>
      <c r="Z170" s="141">
        <v>-1.5199909659564369E-2</v>
      </c>
      <c r="AA170" s="141">
        <v>-2.2892504417061855E-2</v>
      </c>
      <c r="AB170" s="141">
        <v>-2.0574534540959235E-3</v>
      </c>
      <c r="AC170" s="141">
        <v>-3.5222014642344521E-3</v>
      </c>
      <c r="AD170" s="141">
        <v>-4.4634719527656984E-2</v>
      </c>
      <c r="AE170" s="141">
        <v>0</v>
      </c>
      <c r="AF170" s="144">
        <v>0</v>
      </c>
      <c r="AG170" s="143">
        <v>0</v>
      </c>
      <c r="AH170" s="141">
        <v>0</v>
      </c>
      <c r="AI170" s="141">
        <v>0</v>
      </c>
      <c r="AJ170" s="141">
        <v>0</v>
      </c>
      <c r="AK170" s="144">
        <v>0</v>
      </c>
      <c r="AL170" s="2629"/>
      <c r="AM170" s="607" t="s">
        <v>2233</v>
      </c>
      <c r="AN170" s="143">
        <v>0</v>
      </c>
      <c r="AO170" s="141">
        <v>0.09</v>
      </c>
      <c r="AP170" s="141">
        <v>0.04</v>
      </c>
      <c r="AQ170" s="141">
        <v>7.8E-2</v>
      </c>
      <c r="AR170" s="141">
        <v>1.7999999999999999E-2</v>
      </c>
      <c r="AS170" s="141">
        <v>0.189</v>
      </c>
      <c r="AT170" s="141"/>
      <c r="AU170" s="144"/>
      <c r="AV170" s="143"/>
      <c r="AW170" s="141"/>
      <c r="AX170" s="141"/>
      <c r="AY170" s="141"/>
      <c r="AZ170" s="144"/>
      <c r="BA170" s="2629"/>
      <c r="BB170" s="2629"/>
      <c r="BC170" s="2629"/>
      <c r="BD170" s="2629"/>
      <c r="BE170" s="2629"/>
      <c r="BF170" s="2629"/>
      <c r="BG170" s="2629"/>
      <c r="BH170" s="2629"/>
      <c r="BI170" s="2629"/>
      <c r="BJ170" s="2629"/>
      <c r="BK170" s="2629"/>
      <c r="BL170" s="2629"/>
      <c r="BM170" s="2629"/>
      <c r="BN170" s="2629"/>
      <c r="BO170" s="2629"/>
      <c r="BP170" s="2629"/>
      <c r="BQ170" s="2629"/>
      <c r="BR170" s="2629"/>
      <c r="BS170" s="2629"/>
      <c r="BT170" s="2629"/>
      <c r="BU170" s="2629"/>
      <c r="BV170" s="2629"/>
      <c r="BW170" s="2629"/>
      <c r="BX170" s="2629"/>
      <c r="BY170" s="2629"/>
      <c r="BZ170" s="2629"/>
      <c r="CA170" s="2629"/>
      <c r="CB170" s="2629"/>
      <c r="CC170" s="2629"/>
      <c r="CD170" s="2629"/>
      <c r="CE170" s="2629"/>
      <c r="CF170" s="2629"/>
    </row>
    <row r="171" spans="1:84" s="98" customFormat="1" ht="15" customHeight="1">
      <c r="A171" s="99"/>
      <c r="B171" s="2687"/>
      <c r="C171" s="2688"/>
      <c r="D171" s="2688" t="s">
        <v>2703</v>
      </c>
      <c r="E171" s="2688"/>
      <c r="F171" s="2688"/>
      <c r="G171" s="2645"/>
      <c r="H171" s="2645"/>
      <c r="I171" s="607" t="s">
        <v>498</v>
      </c>
      <c r="J171" s="143">
        <v>7.5213726720122262E-2</v>
      </c>
      <c r="K171" s="141">
        <v>6.9118783463762365E-2</v>
      </c>
      <c r="L171" s="141">
        <v>1.1629374043506415E-2</v>
      </c>
      <c r="M171" s="141">
        <v>0</v>
      </c>
      <c r="N171" s="141">
        <v>8.7603176140213568E-2</v>
      </c>
      <c r="O171" s="141">
        <v>0</v>
      </c>
      <c r="P171" s="141">
        <v>0</v>
      </c>
      <c r="Q171" s="144">
        <v>0</v>
      </c>
      <c r="R171" s="143">
        <v>0</v>
      </c>
      <c r="S171" s="141">
        <v>0</v>
      </c>
      <c r="T171" s="141">
        <v>0</v>
      </c>
      <c r="U171" s="141">
        <v>0</v>
      </c>
      <c r="V171" s="144">
        <v>0</v>
      </c>
      <c r="W171" s="2629"/>
      <c r="X171" s="607" t="s">
        <v>498</v>
      </c>
      <c r="Y171" s="143">
        <v>-6.5073948232705472E-2</v>
      </c>
      <c r="Z171" s="141">
        <v>-5.4962724927434113E-2</v>
      </c>
      <c r="AA171" s="141">
        <v>-9.3410905820246002E-3</v>
      </c>
      <c r="AB171" s="141">
        <v>0</v>
      </c>
      <c r="AC171" s="141">
        <v>-7.12411088117679E-2</v>
      </c>
      <c r="AD171" s="141">
        <v>0</v>
      </c>
      <c r="AE171" s="141">
        <v>0</v>
      </c>
      <c r="AF171" s="144">
        <v>0</v>
      </c>
      <c r="AG171" s="143">
        <v>0</v>
      </c>
      <c r="AH171" s="141">
        <v>0</v>
      </c>
      <c r="AI171" s="141">
        <v>0</v>
      </c>
      <c r="AJ171" s="141">
        <v>0</v>
      </c>
      <c r="AK171" s="144">
        <v>0</v>
      </c>
      <c r="AL171" s="2629"/>
      <c r="AM171" s="607" t="s">
        <v>2233</v>
      </c>
      <c r="AN171" s="143">
        <v>0.26600000000000001</v>
      </c>
      <c r="AO171" s="141">
        <v>0.20799999999999999</v>
      </c>
      <c r="AP171" s="141">
        <v>4.8000000000000001E-2</v>
      </c>
      <c r="AQ171" s="141">
        <v>0</v>
      </c>
      <c r="AR171" s="141">
        <v>0.19</v>
      </c>
      <c r="AS171" s="141">
        <v>0</v>
      </c>
      <c r="AT171" s="141"/>
      <c r="AU171" s="144"/>
      <c r="AV171" s="143"/>
      <c r="AW171" s="141"/>
      <c r="AX171" s="141"/>
      <c r="AY171" s="141"/>
      <c r="AZ171" s="144"/>
      <c r="BA171" s="2629"/>
      <c r="BB171" s="2629"/>
      <c r="BC171" s="2629"/>
      <c r="BD171" s="2629"/>
      <c r="BE171" s="2629"/>
      <c r="BF171" s="2629"/>
      <c r="BG171" s="2629"/>
      <c r="BH171" s="2629"/>
      <c r="BI171" s="2629"/>
      <c r="BJ171" s="2629"/>
      <c r="BK171" s="2629"/>
      <c r="BL171" s="2629"/>
      <c r="BM171" s="2629"/>
      <c r="BN171" s="2629"/>
      <c r="BO171" s="2629"/>
      <c r="BP171" s="2629"/>
      <c r="BQ171" s="2629"/>
      <c r="BR171" s="2629"/>
      <c r="BS171" s="2629"/>
      <c r="BT171" s="2629"/>
      <c r="BU171" s="2629"/>
      <c r="BV171" s="2629"/>
      <c r="BW171" s="2629"/>
      <c r="BX171" s="2629"/>
      <c r="BY171" s="2629"/>
      <c r="BZ171" s="2629"/>
      <c r="CA171" s="2629"/>
      <c r="CB171" s="2629"/>
      <c r="CC171" s="2629"/>
      <c r="CD171" s="2629"/>
      <c r="CE171" s="2629"/>
      <c r="CF171" s="2629"/>
    </row>
    <row r="172" spans="1:84" s="98" customFormat="1" ht="15" customHeight="1">
      <c r="A172" s="99"/>
      <c r="B172" s="2687"/>
      <c r="C172" s="2688"/>
      <c r="D172" s="2688" t="s">
        <v>2704</v>
      </c>
      <c r="E172" s="2688"/>
      <c r="F172" s="2688"/>
      <c r="G172" s="2645"/>
      <c r="H172" s="2645"/>
      <c r="I172" s="607" t="s">
        <v>498</v>
      </c>
      <c r="J172" s="143">
        <v>0</v>
      </c>
      <c r="K172" s="141">
        <v>0</v>
      </c>
      <c r="L172" s="141">
        <v>2.6568943173514927E-3</v>
      </c>
      <c r="M172" s="141">
        <v>4.5080051080937399E-2</v>
      </c>
      <c r="N172" s="141">
        <v>0</v>
      </c>
      <c r="O172" s="141">
        <v>5.1113537055530959E-3</v>
      </c>
      <c r="P172" s="141">
        <v>0</v>
      </c>
      <c r="Q172" s="144">
        <v>0</v>
      </c>
      <c r="R172" s="143">
        <v>0</v>
      </c>
      <c r="S172" s="141">
        <v>0</v>
      </c>
      <c r="T172" s="141">
        <v>0</v>
      </c>
      <c r="U172" s="141">
        <v>0</v>
      </c>
      <c r="V172" s="144">
        <v>0</v>
      </c>
      <c r="W172" s="2629"/>
      <c r="X172" s="607" t="s">
        <v>498</v>
      </c>
      <c r="Y172" s="143">
        <v>0</v>
      </c>
      <c r="Z172" s="141">
        <v>0</v>
      </c>
      <c r="AA172" s="141">
        <v>-2.1341037266837852E-3</v>
      </c>
      <c r="AB172" s="141">
        <v>-4.1890179924706929E-2</v>
      </c>
      <c r="AC172" s="141">
        <v>0</v>
      </c>
      <c r="AD172" s="141">
        <v>-4.460466736998449E-3</v>
      </c>
      <c r="AE172" s="141">
        <v>0</v>
      </c>
      <c r="AF172" s="144">
        <v>0</v>
      </c>
      <c r="AG172" s="143">
        <v>0</v>
      </c>
      <c r="AH172" s="141">
        <v>0</v>
      </c>
      <c r="AI172" s="141">
        <v>0</v>
      </c>
      <c r="AJ172" s="141">
        <v>0</v>
      </c>
      <c r="AK172" s="144">
        <v>0</v>
      </c>
      <c r="AL172" s="2629"/>
      <c r="AM172" s="607" t="s">
        <v>2233</v>
      </c>
      <c r="AN172" s="143">
        <v>0</v>
      </c>
      <c r="AO172" s="141">
        <v>0</v>
      </c>
      <c r="AP172" s="141">
        <v>4.0000000000000001E-3</v>
      </c>
      <c r="AQ172" s="141">
        <v>0.28499999999999998</v>
      </c>
      <c r="AR172" s="141">
        <v>0</v>
      </c>
      <c r="AS172" s="141">
        <v>6.0000000000000001E-3</v>
      </c>
      <c r="AT172" s="141"/>
      <c r="AU172" s="144"/>
      <c r="AV172" s="143"/>
      <c r="AW172" s="141"/>
      <c r="AX172" s="141"/>
      <c r="AY172" s="141"/>
      <c r="AZ172" s="144"/>
      <c r="BA172" s="2629"/>
      <c r="BB172" s="2629"/>
      <c r="BC172" s="2629"/>
      <c r="BD172" s="2629"/>
      <c r="BE172" s="2629"/>
      <c r="BF172" s="2629"/>
      <c r="BG172" s="2629"/>
      <c r="BH172" s="2629"/>
      <c r="BI172" s="2629"/>
      <c r="BJ172" s="2629"/>
      <c r="BK172" s="2629"/>
      <c r="BL172" s="2629"/>
      <c r="BM172" s="2629"/>
      <c r="BN172" s="2629"/>
      <c r="BO172" s="2629"/>
      <c r="BP172" s="2629"/>
      <c r="BQ172" s="2629"/>
      <c r="BR172" s="2629"/>
      <c r="BS172" s="2629"/>
      <c r="BT172" s="2629"/>
      <c r="BU172" s="2629"/>
      <c r="BV172" s="2629"/>
      <c r="BW172" s="2629"/>
      <c r="BX172" s="2629"/>
      <c r="BY172" s="2629"/>
      <c r="BZ172" s="2629"/>
      <c r="CA172" s="2629"/>
      <c r="CB172" s="2629"/>
      <c r="CC172" s="2629"/>
      <c r="CD172" s="2629"/>
      <c r="CE172" s="2629"/>
      <c r="CF172" s="2629"/>
    </row>
    <row r="173" spans="1:84" s="98" customFormat="1" ht="15" customHeight="1">
      <c r="A173" s="99"/>
      <c r="B173" s="2687"/>
      <c r="C173" s="2688"/>
      <c r="D173" s="2688" t="s">
        <v>2705</v>
      </c>
      <c r="E173" s="2688"/>
      <c r="F173" s="2688"/>
      <c r="G173" s="2645"/>
      <c r="H173" s="2645"/>
      <c r="I173" s="607" t="s">
        <v>498</v>
      </c>
      <c r="J173" s="143">
        <v>0</v>
      </c>
      <c r="K173" s="141">
        <v>0.15618266934710168</v>
      </c>
      <c r="L173" s="141">
        <v>7.9351810089904579E-2</v>
      </c>
      <c r="M173" s="141">
        <v>0</v>
      </c>
      <c r="N173" s="141">
        <v>0.4297871459993764</v>
      </c>
      <c r="O173" s="141">
        <v>5.8805140813516434E-2</v>
      </c>
      <c r="P173" s="141">
        <v>0</v>
      </c>
      <c r="Q173" s="144">
        <v>0</v>
      </c>
      <c r="R173" s="143">
        <v>0</v>
      </c>
      <c r="S173" s="141">
        <v>0</v>
      </c>
      <c r="T173" s="141">
        <v>0</v>
      </c>
      <c r="U173" s="141">
        <v>0</v>
      </c>
      <c r="V173" s="144">
        <v>0</v>
      </c>
      <c r="W173" s="2629"/>
      <c r="X173" s="607" t="s">
        <v>498</v>
      </c>
      <c r="Y173" s="143">
        <v>0</v>
      </c>
      <c r="Z173" s="141">
        <v>-0.12419344791456277</v>
      </c>
      <c r="AA173" s="141">
        <v>-6.373794867414212E-2</v>
      </c>
      <c r="AB173" s="141">
        <v>0</v>
      </c>
      <c r="AC173" s="141">
        <v>-0.34951372978799505</v>
      </c>
      <c r="AD173" s="141">
        <v>-5.1316811489338483E-2</v>
      </c>
      <c r="AE173" s="141">
        <v>0</v>
      </c>
      <c r="AF173" s="144">
        <v>0</v>
      </c>
      <c r="AG173" s="143">
        <v>0</v>
      </c>
      <c r="AH173" s="141">
        <v>0</v>
      </c>
      <c r="AI173" s="141">
        <v>0</v>
      </c>
      <c r="AJ173" s="141">
        <v>0</v>
      </c>
      <c r="AK173" s="144">
        <v>0</v>
      </c>
      <c r="AL173" s="2629"/>
      <c r="AM173" s="607" t="s">
        <v>2233</v>
      </c>
      <c r="AN173" s="143">
        <v>0</v>
      </c>
      <c r="AO173" s="141">
        <v>0.224</v>
      </c>
      <c r="AP173" s="141">
        <v>0.108</v>
      </c>
      <c r="AQ173" s="141">
        <v>0</v>
      </c>
      <c r="AR173" s="141">
        <v>0.42099999999999999</v>
      </c>
      <c r="AS173" s="141">
        <v>4.4999999999999998E-2</v>
      </c>
      <c r="AT173" s="141"/>
      <c r="AU173" s="144"/>
      <c r="AV173" s="143"/>
      <c r="AW173" s="141"/>
      <c r="AX173" s="141"/>
      <c r="AY173" s="141"/>
      <c r="AZ173" s="144"/>
      <c r="BA173" s="2629"/>
      <c r="BB173" s="2629"/>
      <c r="BC173" s="2629"/>
      <c r="BD173" s="2629"/>
      <c r="BE173" s="2629"/>
      <c r="BF173" s="2629"/>
      <c r="BG173" s="2629"/>
      <c r="BH173" s="2629"/>
      <c r="BI173" s="2629"/>
      <c r="BJ173" s="2629"/>
      <c r="BK173" s="2629"/>
      <c r="BL173" s="2629"/>
      <c r="BM173" s="2629"/>
      <c r="BN173" s="2629"/>
      <c r="BO173" s="2629"/>
      <c r="BP173" s="2629"/>
      <c r="BQ173" s="2629"/>
      <c r="BR173" s="2629"/>
      <c r="BS173" s="2629"/>
      <c r="BT173" s="2629"/>
      <c r="BU173" s="2629"/>
      <c r="BV173" s="2629"/>
      <c r="BW173" s="2629"/>
      <c r="BX173" s="2629"/>
      <c r="BY173" s="2629"/>
      <c r="BZ173" s="2629"/>
      <c r="CA173" s="2629"/>
      <c r="CB173" s="2629"/>
      <c r="CC173" s="2629"/>
      <c r="CD173" s="2629"/>
      <c r="CE173" s="2629"/>
      <c r="CF173" s="2629"/>
    </row>
    <row r="174" spans="1:84" s="98" customFormat="1" ht="15" customHeight="1">
      <c r="A174" s="99"/>
      <c r="B174" s="2687"/>
      <c r="C174" s="2688"/>
      <c r="D174" s="2688" t="s">
        <v>2706</v>
      </c>
      <c r="E174" s="2688"/>
      <c r="F174" s="2688"/>
      <c r="G174" s="2645"/>
      <c r="H174" s="2645"/>
      <c r="I174" s="607" t="s">
        <v>498</v>
      </c>
      <c r="J174" s="143">
        <v>0</v>
      </c>
      <c r="K174" s="141">
        <v>0</v>
      </c>
      <c r="L174" s="141">
        <v>0</v>
      </c>
      <c r="M174" s="141">
        <v>0.74365853530456516</v>
      </c>
      <c r="N174" s="141">
        <v>0</v>
      </c>
      <c r="O174" s="141">
        <v>0.1777405810736907</v>
      </c>
      <c r="P174" s="141">
        <v>0</v>
      </c>
      <c r="Q174" s="144">
        <v>0</v>
      </c>
      <c r="R174" s="143">
        <v>0</v>
      </c>
      <c r="S174" s="141">
        <v>0</v>
      </c>
      <c r="T174" s="141">
        <v>0</v>
      </c>
      <c r="U174" s="141">
        <v>0</v>
      </c>
      <c r="V174" s="144">
        <v>0</v>
      </c>
      <c r="W174" s="2629"/>
      <c r="X174" s="607" t="s">
        <v>498</v>
      </c>
      <c r="Y174" s="143">
        <v>0</v>
      </c>
      <c r="Z174" s="141">
        <v>0</v>
      </c>
      <c r="AA174" s="141">
        <v>0</v>
      </c>
      <c r="AB174" s="141">
        <v>-0.69103714613192235</v>
      </c>
      <c r="AC174" s="141">
        <v>0</v>
      </c>
      <c r="AD174" s="141">
        <v>-0.1551068455373476</v>
      </c>
      <c r="AE174" s="141">
        <v>0</v>
      </c>
      <c r="AF174" s="144">
        <v>0</v>
      </c>
      <c r="AG174" s="143">
        <v>0</v>
      </c>
      <c r="AH174" s="141">
        <v>0</v>
      </c>
      <c r="AI174" s="141">
        <v>0</v>
      </c>
      <c r="AJ174" s="141">
        <v>0</v>
      </c>
      <c r="AK174" s="144">
        <v>0</v>
      </c>
      <c r="AL174" s="2629"/>
      <c r="AM174" s="607" t="s">
        <v>2233</v>
      </c>
      <c r="AN174" s="143">
        <v>0</v>
      </c>
      <c r="AO174" s="141">
        <v>0</v>
      </c>
      <c r="AP174" s="141">
        <v>0</v>
      </c>
      <c r="AQ174" s="141">
        <v>0.436</v>
      </c>
      <c r="AR174" s="141">
        <v>0</v>
      </c>
      <c r="AS174" s="141">
        <v>5.5E-2</v>
      </c>
      <c r="AT174" s="141"/>
      <c r="AU174" s="144"/>
      <c r="AV174" s="143"/>
      <c r="AW174" s="141"/>
      <c r="AX174" s="141"/>
      <c r="AY174" s="141"/>
      <c r="AZ174" s="144"/>
      <c r="BA174" s="2629"/>
      <c r="BB174" s="2629"/>
      <c r="BC174" s="2629"/>
      <c r="BD174" s="2629"/>
      <c r="BE174" s="2629"/>
      <c r="BF174" s="2629"/>
      <c r="BG174" s="2629"/>
      <c r="BH174" s="2629"/>
      <c r="BI174" s="2629"/>
      <c r="BJ174" s="2629"/>
      <c r="BK174" s="2629"/>
      <c r="BL174" s="2629"/>
      <c r="BM174" s="2629"/>
      <c r="BN174" s="2629"/>
      <c r="BO174" s="2629"/>
      <c r="BP174" s="2629"/>
      <c r="BQ174" s="2629"/>
      <c r="BR174" s="2629"/>
      <c r="BS174" s="2629"/>
      <c r="BT174" s="2629"/>
      <c r="BU174" s="2629"/>
      <c r="BV174" s="2629"/>
      <c r="BW174" s="2629"/>
      <c r="BX174" s="2629"/>
      <c r="BY174" s="2629"/>
      <c r="BZ174" s="2629"/>
      <c r="CA174" s="2629"/>
      <c r="CB174" s="2629"/>
      <c r="CC174" s="2629"/>
      <c r="CD174" s="2629"/>
      <c r="CE174" s="2629"/>
      <c r="CF174" s="2629"/>
    </row>
    <row r="175" spans="1:84" s="98" customFormat="1" ht="15" customHeight="1">
      <c r="A175" s="99"/>
      <c r="B175" s="2687"/>
      <c r="C175" s="2688"/>
      <c r="D175" s="2688" t="s">
        <v>2707</v>
      </c>
      <c r="E175" s="2688"/>
      <c r="F175" s="2688"/>
      <c r="G175" s="2645"/>
      <c r="H175" s="2645"/>
      <c r="I175" s="607" t="s">
        <v>498</v>
      </c>
      <c r="J175" s="143">
        <v>0</v>
      </c>
      <c r="K175" s="141">
        <v>0</v>
      </c>
      <c r="L175" s="141">
        <v>0</v>
      </c>
      <c r="M175" s="141">
        <v>0</v>
      </c>
      <c r="N175" s="141">
        <v>0</v>
      </c>
      <c r="O175" s="141">
        <v>0</v>
      </c>
      <c r="P175" s="141">
        <v>0</v>
      </c>
      <c r="Q175" s="144">
        <v>0</v>
      </c>
      <c r="R175" s="143">
        <v>0</v>
      </c>
      <c r="S175" s="141">
        <v>0</v>
      </c>
      <c r="T175" s="141">
        <v>0</v>
      </c>
      <c r="U175" s="141">
        <v>0</v>
      </c>
      <c r="V175" s="144">
        <v>0</v>
      </c>
      <c r="W175" s="2629"/>
      <c r="X175" s="607" t="s">
        <v>498</v>
      </c>
      <c r="Y175" s="143">
        <v>0</v>
      </c>
      <c r="Z175" s="141">
        <v>0</v>
      </c>
      <c r="AA175" s="141">
        <v>0</v>
      </c>
      <c r="AB175" s="141">
        <v>0</v>
      </c>
      <c r="AC175" s="141">
        <v>0</v>
      </c>
      <c r="AD175" s="141">
        <v>0</v>
      </c>
      <c r="AE175" s="141">
        <v>0</v>
      </c>
      <c r="AF175" s="144">
        <v>0</v>
      </c>
      <c r="AG175" s="143">
        <v>0</v>
      </c>
      <c r="AH175" s="141">
        <v>0</v>
      </c>
      <c r="AI175" s="141">
        <v>0</v>
      </c>
      <c r="AJ175" s="141">
        <v>0</v>
      </c>
      <c r="AK175" s="144">
        <v>0</v>
      </c>
      <c r="AL175" s="2629"/>
      <c r="AM175" s="607" t="s">
        <v>2233</v>
      </c>
      <c r="AN175" s="143">
        <v>0</v>
      </c>
      <c r="AO175" s="141">
        <v>0</v>
      </c>
      <c r="AP175" s="141">
        <v>0</v>
      </c>
      <c r="AQ175" s="141">
        <v>0</v>
      </c>
      <c r="AR175" s="141">
        <v>0</v>
      </c>
      <c r="AS175" s="141">
        <v>0</v>
      </c>
      <c r="AT175" s="141"/>
      <c r="AU175" s="144"/>
      <c r="AV175" s="143"/>
      <c r="AW175" s="141"/>
      <c r="AX175" s="141"/>
      <c r="AY175" s="141"/>
      <c r="AZ175" s="144"/>
      <c r="BA175" s="2629"/>
      <c r="BB175" s="2629"/>
      <c r="BC175" s="2629"/>
      <c r="BD175" s="2629"/>
      <c r="BE175" s="2629"/>
      <c r="BF175" s="2629"/>
      <c r="BG175" s="2629"/>
      <c r="BH175" s="2629"/>
      <c r="BI175" s="2629"/>
      <c r="BJ175" s="2629"/>
      <c r="BK175" s="2629"/>
      <c r="BL175" s="2629"/>
      <c r="BM175" s="2629"/>
      <c r="BN175" s="2629"/>
      <c r="BO175" s="2629"/>
      <c r="BP175" s="2629"/>
      <c r="BQ175" s="2629"/>
      <c r="BR175" s="2629"/>
      <c r="BS175" s="2629"/>
      <c r="BT175" s="2629"/>
      <c r="BU175" s="2629"/>
      <c r="BV175" s="2629"/>
      <c r="BW175" s="2629"/>
      <c r="BX175" s="2629"/>
      <c r="BY175" s="2629"/>
      <c r="BZ175" s="2629"/>
      <c r="CA175" s="2629"/>
      <c r="CB175" s="2629"/>
      <c r="CC175" s="2629"/>
      <c r="CD175" s="2629"/>
      <c r="CE175" s="2629"/>
      <c r="CF175" s="2629"/>
    </row>
    <row r="176" spans="1:84" s="98" customFormat="1" ht="15" customHeight="1">
      <c r="A176" s="99"/>
      <c r="B176" s="2687"/>
      <c r="C176" s="2688"/>
      <c r="D176" s="2688" t="s">
        <v>2708</v>
      </c>
      <c r="E176" s="2688"/>
      <c r="F176" s="2688"/>
      <c r="G176" s="2645"/>
      <c r="H176" s="2645"/>
      <c r="I176" s="607" t="s">
        <v>498</v>
      </c>
      <c r="J176" s="143">
        <v>0</v>
      </c>
      <c r="K176" s="141">
        <v>0</v>
      </c>
      <c r="L176" s="141">
        <v>0</v>
      </c>
      <c r="M176" s="141">
        <v>0</v>
      </c>
      <c r="N176" s="141">
        <v>0</v>
      </c>
      <c r="O176" s="141">
        <v>0</v>
      </c>
      <c r="P176" s="141">
        <v>0</v>
      </c>
      <c r="Q176" s="144">
        <v>0</v>
      </c>
      <c r="R176" s="143">
        <v>0</v>
      </c>
      <c r="S176" s="141">
        <v>0</v>
      </c>
      <c r="T176" s="141">
        <v>0</v>
      </c>
      <c r="U176" s="141">
        <v>0</v>
      </c>
      <c r="V176" s="144">
        <v>0</v>
      </c>
      <c r="W176" s="2629"/>
      <c r="X176" s="607" t="s">
        <v>498</v>
      </c>
      <c r="Y176" s="143">
        <v>0</v>
      </c>
      <c r="Z176" s="141">
        <v>0</v>
      </c>
      <c r="AA176" s="141">
        <v>0</v>
      </c>
      <c r="AB176" s="141">
        <v>0</v>
      </c>
      <c r="AC176" s="141">
        <v>0</v>
      </c>
      <c r="AD176" s="141">
        <v>0</v>
      </c>
      <c r="AE176" s="141">
        <v>0</v>
      </c>
      <c r="AF176" s="144">
        <v>0</v>
      </c>
      <c r="AG176" s="143">
        <v>0</v>
      </c>
      <c r="AH176" s="141">
        <v>0</v>
      </c>
      <c r="AI176" s="141">
        <v>0</v>
      </c>
      <c r="AJ176" s="141">
        <v>0</v>
      </c>
      <c r="AK176" s="144">
        <v>0</v>
      </c>
      <c r="AL176" s="2629"/>
      <c r="AM176" s="607" t="s">
        <v>2233</v>
      </c>
      <c r="AN176" s="143">
        <v>0</v>
      </c>
      <c r="AO176" s="141">
        <v>0</v>
      </c>
      <c r="AP176" s="141">
        <v>0</v>
      </c>
      <c r="AQ176" s="141">
        <v>0</v>
      </c>
      <c r="AR176" s="141">
        <v>0</v>
      </c>
      <c r="AS176" s="141">
        <v>0</v>
      </c>
      <c r="AT176" s="141"/>
      <c r="AU176" s="144"/>
      <c r="AV176" s="143"/>
      <c r="AW176" s="141"/>
      <c r="AX176" s="141"/>
      <c r="AY176" s="141"/>
      <c r="AZ176" s="144"/>
      <c r="BA176" s="2629"/>
      <c r="BB176" s="2629"/>
      <c r="BC176" s="2629"/>
      <c r="BD176" s="2629"/>
      <c r="BE176" s="2629"/>
      <c r="BF176" s="2629"/>
      <c r="BG176" s="2629"/>
      <c r="BH176" s="2629"/>
      <c r="BI176" s="2629"/>
      <c r="BJ176" s="2629"/>
      <c r="BK176" s="2629"/>
      <c r="BL176" s="2629"/>
      <c r="BM176" s="2629"/>
      <c r="BN176" s="2629"/>
      <c r="BO176" s="2629"/>
      <c r="BP176" s="2629"/>
      <c r="BQ176" s="2629"/>
      <c r="BR176" s="2629"/>
      <c r="BS176" s="2629"/>
      <c r="BT176" s="2629"/>
      <c r="BU176" s="2629"/>
      <c r="BV176" s="2629"/>
      <c r="BW176" s="2629"/>
      <c r="BX176" s="2629"/>
      <c r="BY176" s="2629"/>
      <c r="BZ176" s="2629"/>
      <c r="CA176" s="2629"/>
      <c r="CB176" s="2629"/>
      <c r="CC176" s="2629"/>
      <c r="CD176" s="2629"/>
      <c r="CE176" s="2629"/>
      <c r="CF176" s="2629"/>
    </row>
    <row r="177" spans="1:84" s="98" customFormat="1" ht="15" customHeight="1">
      <c r="A177" s="99"/>
      <c r="B177" s="2687"/>
      <c r="C177" s="2688" t="s">
        <v>1710</v>
      </c>
      <c r="D177" s="2688"/>
      <c r="E177" s="2688"/>
      <c r="F177" s="2688"/>
      <c r="G177" s="2645"/>
      <c r="H177" s="2645"/>
      <c r="I177" s="607" t="s">
        <v>498</v>
      </c>
      <c r="J177" s="641">
        <f>SUM(J169:J176)</f>
        <v>7.5213726720122262E-2</v>
      </c>
      <c r="K177" s="642">
        <f t="shared" ref="K177:V177" si="40">SUM(K169:K176)</f>
        <v>0.24442942901166415</v>
      </c>
      <c r="L177" s="642">
        <f t="shared" si="40"/>
        <v>0.12213855110124106</v>
      </c>
      <c r="M177" s="642">
        <f t="shared" si="40"/>
        <v>0.79095271167629877</v>
      </c>
      <c r="N177" s="642">
        <f t="shared" si="40"/>
        <v>0.52172147363932186</v>
      </c>
      <c r="O177" s="642">
        <f t="shared" si="40"/>
        <v>0.29743651867504078</v>
      </c>
      <c r="P177" s="642">
        <f t="shared" si="40"/>
        <v>0</v>
      </c>
      <c r="Q177" s="643">
        <f t="shared" si="40"/>
        <v>0</v>
      </c>
      <c r="R177" s="641">
        <f t="shared" si="40"/>
        <v>0</v>
      </c>
      <c r="S177" s="642">
        <f t="shared" si="40"/>
        <v>0</v>
      </c>
      <c r="T177" s="642">
        <f t="shared" si="40"/>
        <v>0</v>
      </c>
      <c r="U177" s="642">
        <f t="shared" si="40"/>
        <v>0</v>
      </c>
      <c r="V177" s="643">
        <f t="shared" si="40"/>
        <v>0</v>
      </c>
      <c r="W177" s="2629"/>
      <c r="X177" s="607" t="s">
        <v>498</v>
      </c>
      <c r="Y177" s="641">
        <f>SUM(Y169:Y176)</f>
        <v>-6.5073948232705472E-2</v>
      </c>
      <c r="Z177" s="642">
        <f t="shared" ref="Z177:AK177" si="41">SUM(Z169:Z176)</f>
        <v>-0.19435608250156125</v>
      </c>
      <c r="AA177" s="642">
        <f t="shared" si="41"/>
        <v>-9.8105647399912371E-2</v>
      </c>
      <c r="AB177" s="642">
        <f t="shared" si="41"/>
        <v>-0.73498477951072516</v>
      </c>
      <c r="AC177" s="642">
        <f t="shared" si="41"/>
        <v>-0.42427704006399741</v>
      </c>
      <c r="AD177" s="642">
        <f t="shared" si="41"/>
        <v>-0.25956053412568042</v>
      </c>
      <c r="AE177" s="642">
        <f t="shared" si="41"/>
        <v>0</v>
      </c>
      <c r="AF177" s="643">
        <f t="shared" si="41"/>
        <v>0</v>
      </c>
      <c r="AG177" s="641">
        <f t="shared" si="41"/>
        <v>0</v>
      </c>
      <c r="AH177" s="642">
        <f t="shared" si="41"/>
        <v>0</v>
      </c>
      <c r="AI177" s="642">
        <f t="shared" si="41"/>
        <v>0</v>
      </c>
      <c r="AJ177" s="642">
        <f t="shared" si="41"/>
        <v>0</v>
      </c>
      <c r="AK177" s="643">
        <f t="shared" si="41"/>
        <v>0</v>
      </c>
      <c r="AL177" s="2629"/>
      <c r="AM177" s="607" t="s">
        <v>2233</v>
      </c>
      <c r="AN177" s="641">
        <f>SUM(AN169:AN176)</f>
        <v>0.26600000000000001</v>
      </c>
      <c r="AO177" s="642">
        <f t="shared" ref="AO177:AZ177" si="42">SUM(AO169:AO176)</f>
        <v>0.52200000000000002</v>
      </c>
      <c r="AP177" s="642">
        <f t="shared" si="42"/>
        <v>0.2</v>
      </c>
      <c r="AQ177" s="642">
        <f t="shared" si="42"/>
        <v>0.79899999999999993</v>
      </c>
      <c r="AR177" s="642">
        <f t="shared" si="42"/>
        <v>0.629</v>
      </c>
      <c r="AS177" s="642">
        <f t="shared" si="42"/>
        <v>0.316</v>
      </c>
      <c r="AT177" s="642">
        <f t="shared" si="42"/>
        <v>0</v>
      </c>
      <c r="AU177" s="643">
        <f t="shared" si="42"/>
        <v>0</v>
      </c>
      <c r="AV177" s="641">
        <f t="shared" si="42"/>
        <v>0</v>
      </c>
      <c r="AW177" s="642">
        <f t="shared" si="42"/>
        <v>0</v>
      </c>
      <c r="AX177" s="642">
        <f t="shared" si="42"/>
        <v>0</v>
      </c>
      <c r="AY177" s="642">
        <f t="shared" si="42"/>
        <v>0</v>
      </c>
      <c r="AZ177" s="643">
        <f t="shared" si="42"/>
        <v>0</v>
      </c>
      <c r="BA177" s="2629"/>
      <c r="BB177" s="2629"/>
      <c r="BC177" s="2629"/>
      <c r="BD177" s="2629"/>
      <c r="BE177" s="2629"/>
      <c r="BF177" s="2629"/>
      <c r="BG177" s="2629"/>
      <c r="BH177" s="2629"/>
      <c r="BI177" s="2629"/>
      <c r="BJ177" s="2629"/>
      <c r="BK177" s="2629"/>
      <c r="BL177" s="2629"/>
      <c r="BM177" s="2629"/>
      <c r="BN177" s="2629"/>
      <c r="BO177" s="2629"/>
      <c r="BP177" s="2629"/>
      <c r="BQ177" s="2629"/>
      <c r="BR177" s="2629"/>
      <c r="BS177" s="2629"/>
      <c r="BT177" s="2629"/>
      <c r="BU177" s="2629"/>
      <c r="BV177" s="2629"/>
      <c r="BW177" s="2629"/>
      <c r="BX177" s="2629"/>
      <c r="BY177" s="2629"/>
      <c r="BZ177" s="2629"/>
      <c r="CA177" s="2629"/>
      <c r="CB177" s="2629"/>
      <c r="CC177" s="2629"/>
      <c r="CD177" s="2629"/>
      <c r="CE177" s="2629"/>
      <c r="CF177" s="2629"/>
    </row>
    <row r="178" spans="1:84" s="98" customFormat="1" ht="15" customHeight="1">
      <c r="A178" s="99"/>
      <c r="B178" s="123"/>
      <c r="C178" s="2686"/>
      <c r="D178" s="2686"/>
      <c r="E178" s="2686"/>
      <c r="F178" s="2686"/>
      <c r="G178" s="94"/>
      <c r="H178" s="94"/>
      <c r="I178" s="94"/>
      <c r="J178" s="713"/>
      <c r="K178" s="2649"/>
      <c r="L178" s="2649"/>
      <c r="M178" s="2649"/>
      <c r="N178" s="2649"/>
      <c r="O178" s="2649"/>
      <c r="P178" s="2649"/>
      <c r="Q178" s="715"/>
      <c r="R178" s="713"/>
      <c r="S178" s="2649"/>
      <c r="T178" s="2649"/>
      <c r="U178" s="2649"/>
      <c r="V178" s="715"/>
      <c r="W178" s="2629"/>
      <c r="X178" s="94"/>
      <c r="Y178" s="713"/>
      <c r="Z178" s="2649"/>
      <c r="AA178" s="2649"/>
      <c r="AB178" s="2649"/>
      <c r="AC178" s="2649"/>
      <c r="AD178" s="2649"/>
      <c r="AE178" s="2649"/>
      <c r="AF178" s="715"/>
      <c r="AG178" s="713"/>
      <c r="AH178" s="2649"/>
      <c r="AI178" s="2649"/>
      <c r="AJ178" s="2649"/>
      <c r="AK178" s="715"/>
      <c r="AL178" s="2629"/>
      <c r="AM178" s="94"/>
      <c r="AN178" s="713"/>
      <c r="AO178" s="2649"/>
      <c r="AP178" s="2649"/>
      <c r="AQ178" s="2649"/>
      <c r="AR178" s="2649"/>
      <c r="AS178" s="2649"/>
      <c r="AT178" s="2649"/>
      <c r="AU178" s="715"/>
      <c r="AV178" s="713"/>
      <c r="AW178" s="2649"/>
      <c r="AX178" s="2649"/>
      <c r="AY178" s="2649"/>
      <c r="AZ178" s="715"/>
      <c r="BA178" s="2629"/>
      <c r="BB178" s="2629"/>
      <c r="BC178" s="2629"/>
      <c r="BD178" s="2629"/>
      <c r="BE178" s="2629"/>
      <c r="BF178" s="2629"/>
      <c r="BG178" s="2629"/>
      <c r="BH178" s="2629"/>
      <c r="BI178" s="2629"/>
      <c r="BJ178" s="2629"/>
      <c r="BK178" s="2629"/>
      <c r="BL178" s="2629"/>
      <c r="BM178" s="2629"/>
      <c r="BN178" s="2629"/>
      <c r="BO178" s="2629"/>
      <c r="BP178" s="2629"/>
      <c r="BQ178" s="2629"/>
      <c r="BR178" s="2629"/>
      <c r="BS178" s="2629"/>
      <c r="BT178" s="2629"/>
      <c r="BU178" s="2629"/>
      <c r="BV178" s="2629"/>
      <c r="BW178" s="2629"/>
      <c r="BX178" s="2629"/>
      <c r="BY178" s="2629"/>
      <c r="BZ178" s="2629"/>
      <c r="CA178" s="2629"/>
      <c r="CB178" s="2629"/>
      <c r="CC178" s="2629"/>
      <c r="CD178" s="2629"/>
      <c r="CE178" s="2629"/>
      <c r="CF178" s="2629"/>
    </row>
    <row r="179" spans="1:84" s="98" customFormat="1" ht="15" customHeight="1">
      <c r="A179" s="99"/>
      <c r="B179" s="2687"/>
      <c r="C179" s="2685" t="s">
        <v>2774</v>
      </c>
      <c r="D179" s="2685"/>
      <c r="E179" s="2685"/>
      <c r="F179" s="2685"/>
      <c r="G179" s="94"/>
      <c r="H179" s="94"/>
      <c r="I179" s="94"/>
      <c r="J179" s="713"/>
      <c r="K179" s="2649"/>
      <c r="L179" s="2649"/>
      <c r="M179" s="2649"/>
      <c r="N179" s="2649"/>
      <c r="O179" s="2649"/>
      <c r="P179" s="2649"/>
      <c r="Q179" s="715"/>
      <c r="R179" s="713"/>
      <c r="S179" s="2649"/>
      <c r="T179" s="2649"/>
      <c r="U179" s="2649"/>
      <c r="V179" s="715"/>
      <c r="W179" s="2629"/>
      <c r="X179" s="94"/>
      <c r="Y179" s="713"/>
      <c r="Z179" s="2649"/>
      <c r="AA179" s="2649"/>
      <c r="AB179" s="2649"/>
      <c r="AC179" s="2649"/>
      <c r="AD179" s="2649"/>
      <c r="AE179" s="2649"/>
      <c r="AF179" s="715"/>
      <c r="AG179" s="713"/>
      <c r="AH179" s="2649"/>
      <c r="AI179" s="2649"/>
      <c r="AJ179" s="2649"/>
      <c r="AK179" s="715"/>
      <c r="AL179" s="2629"/>
      <c r="AM179" s="94"/>
      <c r="AN179" s="713"/>
      <c r="AO179" s="2649"/>
      <c r="AP179" s="2649"/>
      <c r="AQ179" s="2649"/>
      <c r="AR179" s="2649"/>
      <c r="AS179" s="2649"/>
      <c r="AT179" s="2649"/>
      <c r="AU179" s="715"/>
      <c r="AV179" s="713"/>
      <c r="AW179" s="2649"/>
      <c r="AX179" s="2649"/>
      <c r="AY179" s="2649"/>
      <c r="AZ179" s="715"/>
      <c r="BA179" s="2629"/>
      <c r="BB179" s="2629"/>
      <c r="BC179" s="2629"/>
      <c r="BD179" s="2629"/>
      <c r="BE179" s="2629"/>
      <c r="BF179" s="2629"/>
      <c r="BG179" s="2629"/>
      <c r="BH179" s="2629"/>
      <c r="BI179" s="2629"/>
      <c r="BJ179" s="2629"/>
      <c r="BK179" s="2629"/>
      <c r="BL179" s="2629"/>
      <c r="BM179" s="2629"/>
      <c r="BN179" s="2629"/>
      <c r="BO179" s="2629"/>
      <c r="BP179" s="2629"/>
      <c r="BQ179" s="2629"/>
      <c r="BR179" s="2629"/>
      <c r="BS179" s="2629"/>
      <c r="BT179" s="2629"/>
      <c r="BU179" s="2629"/>
      <c r="BV179" s="2629"/>
      <c r="BW179" s="2629"/>
      <c r="BX179" s="2629"/>
      <c r="BY179" s="2629"/>
      <c r="BZ179" s="2629"/>
      <c r="CA179" s="2629"/>
      <c r="CB179" s="2629"/>
      <c r="CC179" s="2629"/>
      <c r="CD179" s="2629"/>
      <c r="CE179" s="2629"/>
      <c r="CF179" s="2629"/>
    </row>
    <row r="180" spans="1:84" s="98" customFormat="1" ht="15" customHeight="1">
      <c r="A180" s="99"/>
      <c r="B180" s="2687"/>
      <c r="C180" s="2688"/>
      <c r="D180" s="2688" t="s">
        <v>2701</v>
      </c>
      <c r="E180" s="2688"/>
      <c r="F180" s="2688"/>
      <c r="G180" s="2645"/>
      <c r="H180" s="2645"/>
      <c r="I180" s="607" t="s">
        <v>498</v>
      </c>
      <c r="J180" s="143">
        <v>0</v>
      </c>
      <c r="K180" s="141">
        <v>0</v>
      </c>
      <c r="L180" s="141">
        <v>0</v>
      </c>
      <c r="M180" s="141">
        <v>0</v>
      </c>
      <c r="N180" s="141">
        <v>0</v>
      </c>
      <c r="O180" s="141">
        <v>0</v>
      </c>
      <c r="P180" s="141">
        <v>0</v>
      </c>
      <c r="Q180" s="144">
        <v>0</v>
      </c>
      <c r="R180" s="143">
        <v>0</v>
      </c>
      <c r="S180" s="141">
        <v>0</v>
      </c>
      <c r="T180" s="141">
        <v>0</v>
      </c>
      <c r="U180" s="141">
        <v>0</v>
      </c>
      <c r="V180" s="144">
        <v>0</v>
      </c>
      <c r="W180" s="2629"/>
      <c r="X180" s="607" t="s">
        <v>498</v>
      </c>
      <c r="Y180" s="143">
        <v>0</v>
      </c>
      <c r="Z180" s="141">
        <v>0</v>
      </c>
      <c r="AA180" s="141">
        <v>0</v>
      </c>
      <c r="AB180" s="141">
        <v>0</v>
      </c>
      <c r="AC180" s="141">
        <v>0</v>
      </c>
      <c r="AD180" s="141">
        <v>0</v>
      </c>
      <c r="AE180" s="141">
        <v>0</v>
      </c>
      <c r="AF180" s="144">
        <v>0</v>
      </c>
      <c r="AG180" s="143">
        <v>0</v>
      </c>
      <c r="AH180" s="141">
        <v>0</v>
      </c>
      <c r="AI180" s="141">
        <v>0</v>
      </c>
      <c r="AJ180" s="141">
        <v>0</v>
      </c>
      <c r="AK180" s="144">
        <v>0</v>
      </c>
      <c r="AL180" s="2629"/>
      <c r="AM180" s="607" t="s">
        <v>2233</v>
      </c>
      <c r="AN180" s="143"/>
      <c r="AO180" s="141">
        <v>0</v>
      </c>
      <c r="AP180" s="141">
        <v>0</v>
      </c>
      <c r="AQ180" s="141">
        <v>0</v>
      </c>
      <c r="AR180" s="141">
        <v>0</v>
      </c>
      <c r="AS180" s="141">
        <v>0</v>
      </c>
      <c r="AT180" s="141"/>
      <c r="AU180" s="144"/>
      <c r="AV180" s="143"/>
      <c r="AW180" s="141"/>
      <c r="AX180" s="141"/>
      <c r="AY180" s="141"/>
      <c r="AZ180" s="144"/>
      <c r="BA180" s="2629"/>
      <c r="BB180" s="2629"/>
      <c r="BC180" s="2629"/>
      <c r="BD180" s="2629"/>
      <c r="BE180" s="2629"/>
      <c r="BF180" s="2629"/>
      <c r="BG180" s="2629"/>
      <c r="BH180" s="2629"/>
      <c r="BI180" s="2629"/>
      <c r="BJ180" s="2629"/>
      <c r="BK180" s="2629"/>
      <c r="BL180" s="2629"/>
      <c r="BM180" s="2629"/>
      <c r="BN180" s="2629"/>
      <c r="BO180" s="2629"/>
      <c r="BP180" s="2629"/>
      <c r="BQ180" s="2629"/>
      <c r="BR180" s="2629"/>
      <c r="BS180" s="2629"/>
      <c r="BT180" s="2629"/>
      <c r="BU180" s="2629"/>
      <c r="BV180" s="2629"/>
      <c r="BW180" s="2629"/>
      <c r="BX180" s="2629"/>
      <c r="BY180" s="2629"/>
      <c r="BZ180" s="2629"/>
      <c r="CA180" s="2629"/>
      <c r="CB180" s="2629"/>
      <c r="CC180" s="2629"/>
      <c r="CD180" s="2629"/>
      <c r="CE180" s="2629"/>
      <c r="CF180" s="2629"/>
    </row>
    <row r="181" spans="1:84" s="98" customFormat="1" ht="15" customHeight="1">
      <c r="A181" s="99"/>
      <c r="B181" s="2687"/>
      <c r="C181" s="2688"/>
      <c r="D181" s="2688" t="s">
        <v>2702</v>
      </c>
      <c r="E181" s="2688"/>
      <c r="F181" s="2688"/>
      <c r="G181" s="2645"/>
      <c r="H181" s="2645"/>
      <c r="I181" s="607" t="s">
        <v>498</v>
      </c>
      <c r="J181" s="143">
        <v>0</v>
      </c>
      <c r="K181" s="141">
        <v>1.6365046305128982E-2</v>
      </c>
      <c r="L181" s="141">
        <v>0</v>
      </c>
      <c r="M181" s="141">
        <v>5.961106552143517E-4</v>
      </c>
      <c r="N181" s="141">
        <v>0</v>
      </c>
      <c r="O181" s="141">
        <v>0</v>
      </c>
      <c r="P181" s="141">
        <v>0</v>
      </c>
      <c r="Q181" s="144">
        <v>0</v>
      </c>
      <c r="R181" s="143">
        <v>0</v>
      </c>
      <c r="S181" s="141">
        <v>0</v>
      </c>
      <c r="T181" s="141">
        <v>0</v>
      </c>
      <c r="U181" s="141">
        <v>0</v>
      </c>
      <c r="V181" s="144">
        <v>0</v>
      </c>
      <c r="W181" s="2629"/>
      <c r="X181" s="607" t="s">
        <v>498</v>
      </c>
      <c r="Y181" s="143">
        <v>-1.3004367153182851E-2</v>
      </c>
      <c r="Z181" s="141">
        <v>0</v>
      </c>
      <c r="AA181" s="141">
        <v>-5.5392977610274868E-4</v>
      </c>
      <c r="AB181" s="141">
        <v>0</v>
      </c>
      <c r="AC181" s="141">
        <v>0</v>
      </c>
      <c r="AD181" s="141">
        <v>0</v>
      </c>
      <c r="AE181" s="141">
        <v>0</v>
      </c>
      <c r="AF181" s="144">
        <v>0</v>
      </c>
      <c r="AG181" s="143">
        <v>0</v>
      </c>
      <c r="AH181" s="141">
        <v>0</v>
      </c>
      <c r="AI181" s="141">
        <v>0</v>
      </c>
      <c r="AJ181" s="141">
        <v>0</v>
      </c>
      <c r="AK181" s="144">
        <v>0</v>
      </c>
      <c r="AL181" s="2629"/>
      <c r="AM181" s="607" t="s">
        <v>2233</v>
      </c>
      <c r="AN181" s="143"/>
      <c r="AO181" s="141">
        <v>7.6999999999999999E-2</v>
      </c>
      <c r="AP181" s="141">
        <v>0</v>
      </c>
      <c r="AQ181" s="141">
        <v>2.1000000000000001E-2</v>
      </c>
      <c r="AR181" s="141">
        <v>0</v>
      </c>
      <c r="AS181" s="141">
        <v>0</v>
      </c>
      <c r="AT181" s="141"/>
      <c r="AU181" s="144"/>
      <c r="AV181" s="143"/>
      <c r="AW181" s="141"/>
      <c r="AX181" s="141"/>
      <c r="AY181" s="141"/>
      <c r="AZ181" s="144"/>
      <c r="BA181" s="2629"/>
      <c r="BB181" s="2629"/>
      <c r="BC181" s="2629"/>
      <c r="BD181" s="2629"/>
      <c r="BE181" s="2629"/>
      <c r="BF181" s="2629"/>
      <c r="BG181" s="2629"/>
      <c r="BH181" s="2629"/>
      <c r="BI181" s="2629"/>
      <c r="BJ181" s="2629"/>
      <c r="BK181" s="2629"/>
      <c r="BL181" s="2629"/>
      <c r="BM181" s="2629"/>
      <c r="BN181" s="2629"/>
      <c r="BO181" s="2629"/>
      <c r="BP181" s="2629"/>
      <c r="BQ181" s="2629"/>
      <c r="BR181" s="2629"/>
      <c r="BS181" s="2629"/>
      <c r="BT181" s="2629"/>
      <c r="BU181" s="2629"/>
      <c r="BV181" s="2629"/>
      <c r="BW181" s="2629"/>
      <c r="BX181" s="2629"/>
      <c r="BY181" s="2629"/>
      <c r="BZ181" s="2629"/>
      <c r="CA181" s="2629"/>
      <c r="CB181" s="2629"/>
      <c r="CC181" s="2629"/>
      <c r="CD181" s="2629"/>
      <c r="CE181" s="2629"/>
      <c r="CF181" s="2629"/>
    </row>
    <row r="182" spans="1:84" s="98" customFormat="1" ht="15" customHeight="1">
      <c r="A182" s="99"/>
      <c r="B182" s="2687"/>
      <c r="C182" s="2688"/>
      <c r="D182" s="2688" t="s">
        <v>2703</v>
      </c>
      <c r="E182" s="2688"/>
      <c r="F182" s="2688"/>
      <c r="G182" s="2645"/>
      <c r="H182" s="2645"/>
      <c r="I182" s="607" t="s">
        <v>498</v>
      </c>
      <c r="J182" s="143">
        <v>0</v>
      </c>
      <c r="K182" s="141">
        <v>0.30538539424614242</v>
      </c>
      <c r="L182" s="141">
        <v>1.1190849730615859</v>
      </c>
      <c r="M182" s="141">
        <v>0.23008135658320056</v>
      </c>
      <c r="N182" s="141">
        <v>3.7807686544723752E-2</v>
      </c>
      <c r="O182" s="141">
        <v>4.8582912994749185E-2</v>
      </c>
      <c r="P182" s="141">
        <v>0</v>
      </c>
      <c r="Q182" s="144">
        <v>0</v>
      </c>
      <c r="R182" s="143">
        <v>0</v>
      </c>
      <c r="S182" s="141">
        <v>0</v>
      </c>
      <c r="T182" s="141">
        <v>0</v>
      </c>
      <c r="U182" s="141">
        <v>0</v>
      </c>
      <c r="V182" s="144">
        <v>0</v>
      </c>
      <c r="W182" s="2629"/>
      <c r="X182" s="607" t="s">
        <v>498</v>
      </c>
      <c r="Y182" s="143">
        <v>-0.24284011638611516</v>
      </c>
      <c r="Z182" s="141">
        <v>-0.89888536246607564</v>
      </c>
      <c r="AA182" s="141">
        <v>-0.21380076538259568</v>
      </c>
      <c r="AB182" s="141">
        <v>-3.0746162750341935E-2</v>
      </c>
      <c r="AC182" s="141">
        <v>-4.2396296535717679E-2</v>
      </c>
      <c r="AD182" s="141">
        <v>0</v>
      </c>
      <c r="AE182" s="141">
        <v>0</v>
      </c>
      <c r="AF182" s="144">
        <v>0</v>
      </c>
      <c r="AG182" s="143">
        <v>0</v>
      </c>
      <c r="AH182" s="141">
        <v>0</v>
      </c>
      <c r="AI182" s="141">
        <v>0</v>
      </c>
      <c r="AJ182" s="141">
        <v>0</v>
      </c>
      <c r="AK182" s="144">
        <v>0</v>
      </c>
      <c r="AL182" s="2629"/>
      <c r="AM182" s="607" t="s">
        <v>2233</v>
      </c>
      <c r="AN182" s="143"/>
      <c r="AO182" s="141">
        <v>0.91900000000000004</v>
      </c>
      <c r="AP182" s="141">
        <v>4.6189999999999998</v>
      </c>
      <c r="AQ182" s="141">
        <v>1.607</v>
      </c>
      <c r="AR182" s="141">
        <v>8.2000000000000003E-2</v>
      </c>
      <c r="AS182" s="141">
        <v>0.108</v>
      </c>
      <c r="AT182" s="141"/>
      <c r="AU182" s="144"/>
      <c r="AV182" s="143"/>
      <c r="AW182" s="141"/>
      <c r="AX182" s="141"/>
      <c r="AY182" s="141"/>
      <c r="AZ182" s="144"/>
      <c r="BA182" s="2629"/>
      <c r="BB182" s="2629"/>
      <c r="BC182" s="2629"/>
      <c r="BD182" s="2629"/>
      <c r="BE182" s="2629"/>
      <c r="BF182" s="2629"/>
      <c r="BG182" s="2629"/>
      <c r="BH182" s="2629"/>
      <c r="BI182" s="2629"/>
      <c r="BJ182" s="2629"/>
      <c r="BK182" s="2629"/>
      <c r="BL182" s="2629"/>
      <c r="BM182" s="2629"/>
      <c r="BN182" s="2629"/>
      <c r="BO182" s="2629"/>
      <c r="BP182" s="2629"/>
      <c r="BQ182" s="2629"/>
      <c r="BR182" s="2629"/>
      <c r="BS182" s="2629"/>
      <c r="BT182" s="2629"/>
      <c r="BU182" s="2629"/>
      <c r="BV182" s="2629"/>
      <c r="BW182" s="2629"/>
      <c r="BX182" s="2629"/>
      <c r="BY182" s="2629"/>
      <c r="BZ182" s="2629"/>
      <c r="CA182" s="2629"/>
      <c r="CB182" s="2629"/>
      <c r="CC182" s="2629"/>
      <c r="CD182" s="2629"/>
      <c r="CE182" s="2629"/>
      <c r="CF182" s="2629"/>
    </row>
    <row r="183" spans="1:84" s="98" customFormat="1" ht="15" customHeight="1">
      <c r="A183" s="99"/>
      <c r="B183" s="2687"/>
      <c r="C183" s="2688"/>
      <c r="D183" s="2688" t="s">
        <v>2704</v>
      </c>
      <c r="E183" s="2688"/>
      <c r="F183" s="2688"/>
      <c r="G183" s="2645"/>
      <c r="H183" s="2645"/>
      <c r="I183" s="607" t="s">
        <v>498</v>
      </c>
      <c r="J183" s="143">
        <v>0</v>
      </c>
      <c r="K183" s="141">
        <v>0</v>
      </c>
      <c r="L183" s="141">
        <v>0</v>
      </c>
      <c r="M183" s="141">
        <v>1.9139249757169914E-2</v>
      </c>
      <c r="N183" s="141">
        <v>0</v>
      </c>
      <c r="O183" s="141">
        <v>0.22149199390730084</v>
      </c>
      <c r="P183" s="141">
        <v>0</v>
      </c>
      <c r="Q183" s="144">
        <v>0</v>
      </c>
      <c r="R183" s="143">
        <v>0</v>
      </c>
      <c r="S183" s="141">
        <v>0</v>
      </c>
      <c r="T183" s="141">
        <v>0</v>
      </c>
      <c r="U183" s="141">
        <v>0</v>
      </c>
      <c r="V183" s="144">
        <v>0</v>
      </c>
      <c r="W183" s="2629"/>
      <c r="X183" s="607" t="s">
        <v>498</v>
      </c>
      <c r="Y183" s="143">
        <v>0</v>
      </c>
      <c r="Z183" s="141">
        <v>0</v>
      </c>
      <c r="AA183" s="141">
        <v>-1.7784953582068556E-2</v>
      </c>
      <c r="AB183" s="141">
        <v>0</v>
      </c>
      <c r="AC183" s="141">
        <v>-0.19328689193659948</v>
      </c>
      <c r="AD183" s="141">
        <v>0</v>
      </c>
      <c r="AE183" s="141">
        <v>0</v>
      </c>
      <c r="AF183" s="144">
        <v>0</v>
      </c>
      <c r="AG183" s="143">
        <v>0</v>
      </c>
      <c r="AH183" s="141">
        <v>0</v>
      </c>
      <c r="AI183" s="141">
        <v>0</v>
      </c>
      <c r="AJ183" s="141">
        <v>0</v>
      </c>
      <c r="AK183" s="144">
        <v>0</v>
      </c>
      <c r="AL183" s="2629"/>
      <c r="AM183" s="607" t="s">
        <v>2233</v>
      </c>
      <c r="AN183" s="143"/>
      <c r="AO183" s="141">
        <v>0</v>
      </c>
      <c r="AP183" s="141">
        <v>0</v>
      </c>
      <c r="AQ183" s="141">
        <v>0.121</v>
      </c>
      <c r="AR183" s="141">
        <v>0</v>
      </c>
      <c r="AS183" s="141">
        <v>0.26</v>
      </c>
      <c r="AT183" s="141"/>
      <c r="AU183" s="144"/>
      <c r="AV183" s="143"/>
      <c r="AW183" s="141"/>
      <c r="AX183" s="141"/>
      <c r="AY183" s="141"/>
      <c r="AZ183" s="144"/>
      <c r="BA183" s="2629"/>
      <c r="BB183" s="2629"/>
      <c r="BC183" s="2629"/>
      <c r="BD183" s="2629"/>
      <c r="BE183" s="2629"/>
      <c r="BF183" s="2629"/>
      <c r="BG183" s="2629"/>
      <c r="BH183" s="2629"/>
      <c r="BI183" s="2629"/>
      <c r="BJ183" s="2629"/>
      <c r="BK183" s="2629"/>
      <c r="BL183" s="2629"/>
      <c r="BM183" s="2629"/>
      <c r="BN183" s="2629"/>
      <c r="BO183" s="2629"/>
      <c r="BP183" s="2629"/>
      <c r="BQ183" s="2629"/>
      <c r="BR183" s="2629"/>
      <c r="BS183" s="2629"/>
      <c r="BT183" s="2629"/>
      <c r="BU183" s="2629"/>
      <c r="BV183" s="2629"/>
      <c r="BW183" s="2629"/>
      <c r="BX183" s="2629"/>
      <c r="BY183" s="2629"/>
      <c r="BZ183" s="2629"/>
      <c r="CA183" s="2629"/>
      <c r="CB183" s="2629"/>
      <c r="CC183" s="2629"/>
      <c r="CD183" s="2629"/>
      <c r="CE183" s="2629"/>
      <c r="CF183" s="2629"/>
    </row>
    <row r="184" spans="1:84" s="98" customFormat="1" ht="15" customHeight="1">
      <c r="A184" s="99"/>
      <c r="B184" s="2687"/>
      <c r="C184" s="2688"/>
      <c r="D184" s="2688" t="s">
        <v>2705</v>
      </c>
      <c r="E184" s="2688"/>
      <c r="F184" s="2688"/>
      <c r="G184" s="2645"/>
      <c r="H184" s="2645"/>
      <c r="I184" s="607" t="s">
        <v>498</v>
      </c>
      <c r="J184" s="143">
        <v>0</v>
      </c>
      <c r="K184" s="141">
        <v>9.6219680222768E-2</v>
      </c>
      <c r="L184" s="141">
        <v>4.6288555885777675E-2</v>
      </c>
      <c r="M184" s="141">
        <v>8.2671595273639317E-3</v>
      </c>
      <c r="N184" s="141">
        <v>2.7563546180482571E-2</v>
      </c>
      <c r="O184" s="141">
        <v>0</v>
      </c>
      <c r="P184" s="141">
        <v>0</v>
      </c>
      <c r="Q184" s="144">
        <v>0</v>
      </c>
      <c r="R184" s="143">
        <v>0</v>
      </c>
      <c r="S184" s="141">
        <v>0</v>
      </c>
      <c r="T184" s="141">
        <v>0</v>
      </c>
      <c r="U184" s="141">
        <v>0</v>
      </c>
      <c r="V184" s="144">
        <v>0</v>
      </c>
      <c r="W184" s="2629"/>
      <c r="X184" s="607" t="s">
        <v>498</v>
      </c>
      <c r="Y184" s="143">
        <v>-7.6512034875935997E-2</v>
      </c>
      <c r="Z184" s="141">
        <v>-3.7180470059916232E-2</v>
      </c>
      <c r="AA184" s="141">
        <v>-7.6821740828499734E-3</v>
      </c>
      <c r="AB184" s="141">
        <v>-2.2415369843885667E-2</v>
      </c>
      <c r="AC184" s="141">
        <v>0</v>
      </c>
      <c r="AD184" s="141">
        <v>0</v>
      </c>
      <c r="AE184" s="141">
        <v>0</v>
      </c>
      <c r="AF184" s="144">
        <v>0</v>
      </c>
      <c r="AG184" s="143">
        <v>0</v>
      </c>
      <c r="AH184" s="141">
        <v>0</v>
      </c>
      <c r="AI184" s="141">
        <v>0</v>
      </c>
      <c r="AJ184" s="141">
        <v>0</v>
      </c>
      <c r="AK184" s="144">
        <v>0</v>
      </c>
      <c r="AL184" s="2629"/>
      <c r="AM184" s="607" t="s">
        <v>2233</v>
      </c>
      <c r="AN184" s="143"/>
      <c r="AO184" s="141">
        <v>0.13800000000000001</v>
      </c>
      <c r="AP184" s="141">
        <v>6.3E-2</v>
      </c>
      <c r="AQ184" s="141">
        <v>7.0000000000000001E-3</v>
      </c>
      <c r="AR184" s="141">
        <v>2.7E-2</v>
      </c>
      <c r="AS184" s="141">
        <v>0</v>
      </c>
      <c r="AT184" s="141"/>
      <c r="AU184" s="144"/>
      <c r="AV184" s="143"/>
      <c r="AW184" s="141"/>
      <c r="AX184" s="141"/>
      <c r="AY184" s="141"/>
      <c r="AZ184" s="144"/>
      <c r="BA184" s="2629"/>
      <c r="BB184" s="2629"/>
      <c r="BC184" s="2629"/>
      <c r="BD184" s="2629"/>
      <c r="BE184" s="2629"/>
      <c r="BF184" s="2629"/>
      <c r="BG184" s="2629"/>
      <c r="BH184" s="2629"/>
      <c r="BI184" s="2629"/>
      <c r="BJ184" s="2629"/>
      <c r="BK184" s="2629"/>
      <c r="BL184" s="2629"/>
      <c r="BM184" s="2629"/>
      <c r="BN184" s="2629"/>
      <c r="BO184" s="2629"/>
      <c r="BP184" s="2629"/>
      <c r="BQ184" s="2629"/>
      <c r="BR184" s="2629"/>
      <c r="BS184" s="2629"/>
      <c r="BT184" s="2629"/>
      <c r="BU184" s="2629"/>
      <c r="BV184" s="2629"/>
      <c r="BW184" s="2629"/>
      <c r="BX184" s="2629"/>
      <c r="BY184" s="2629"/>
      <c r="BZ184" s="2629"/>
      <c r="CA184" s="2629"/>
      <c r="CB184" s="2629"/>
      <c r="CC184" s="2629"/>
      <c r="CD184" s="2629"/>
      <c r="CE184" s="2629"/>
      <c r="CF184" s="2629"/>
    </row>
    <row r="185" spans="1:84" s="98" customFormat="1" ht="15" customHeight="1">
      <c r="A185" s="99"/>
      <c r="B185" s="2687"/>
      <c r="C185" s="2688"/>
      <c r="D185" s="2688" t="s">
        <v>2706</v>
      </c>
      <c r="E185" s="2688"/>
      <c r="F185" s="2688"/>
      <c r="G185" s="2645"/>
      <c r="H185" s="2645"/>
      <c r="I185" s="607" t="s">
        <v>498</v>
      </c>
      <c r="J185" s="143">
        <v>0</v>
      </c>
      <c r="K185" s="141">
        <v>0.2173628062802688</v>
      </c>
      <c r="L185" s="141">
        <v>0</v>
      </c>
      <c r="M185" s="141">
        <v>0</v>
      </c>
      <c r="N185" s="141">
        <v>0.70806748794118746</v>
      </c>
      <c r="O185" s="141">
        <v>0.73681549972366323</v>
      </c>
      <c r="P185" s="141">
        <v>0</v>
      </c>
      <c r="Q185" s="144">
        <v>0</v>
      </c>
      <c r="R185" s="143">
        <v>0</v>
      </c>
      <c r="S185" s="141">
        <v>0</v>
      </c>
      <c r="T185" s="141">
        <v>0</v>
      </c>
      <c r="U185" s="141">
        <v>0</v>
      </c>
      <c r="V185" s="144">
        <v>0</v>
      </c>
      <c r="W185" s="2629"/>
      <c r="X185" s="607" t="s">
        <v>498</v>
      </c>
      <c r="Y185" s="143">
        <v>-0.17306828483239889</v>
      </c>
      <c r="Z185" s="141">
        <v>0</v>
      </c>
      <c r="AA185" s="141">
        <v>0</v>
      </c>
      <c r="AB185" s="141">
        <v>-0.57581831135615147</v>
      </c>
      <c r="AC185" s="141">
        <v>-0.64298837786391372</v>
      </c>
      <c r="AD185" s="141">
        <v>0</v>
      </c>
      <c r="AE185" s="141">
        <v>0</v>
      </c>
      <c r="AF185" s="144">
        <v>0</v>
      </c>
      <c r="AG185" s="143">
        <v>0</v>
      </c>
      <c r="AH185" s="141">
        <v>0</v>
      </c>
      <c r="AI185" s="141">
        <v>0</v>
      </c>
      <c r="AJ185" s="141">
        <v>0</v>
      </c>
      <c r="AK185" s="144">
        <v>0</v>
      </c>
      <c r="AL185" s="2629"/>
      <c r="AM185" s="607" t="s">
        <v>2233</v>
      </c>
      <c r="AN185" s="143"/>
      <c r="AO185" s="141">
        <v>0.20100000000000001</v>
      </c>
      <c r="AP185" s="141">
        <v>0</v>
      </c>
      <c r="AQ185" s="141">
        <v>0</v>
      </c>
      <c r="AR185" s="141">
        <v>0.21099999999999999</v>
      </c>
      <c r="AS185" s="141">
        <v>0.22800000000000001</v>
      </c>
      <c r="AT185" s="141"/>
      <c r="AU185" s="144"/>
      <c r="AV185" s="143"/>
      <c r="AW185" s="141"/>
      <c r="AX185" s="141"/>
      <c r="AY185" s="141"/>
      <c r="AZ185" s="144"/>
      <c r="BA185" s="2629"/>
      <c r="BB185" s="2629"/>
      <c r="BC185" s="2629"/>
      <c r="BD185" s="2629"/>
      <c r="BE185" s="2629"/>
      <c r="BF185" s="2629"/>
      <c r="BG185" s="2629"/>
      <c r="BH185" s="2629"/>
      <c r="BI185" s="2629"/>
      <c r="BJ185" s="2629"/>
      <c r="BK185" s="2629"/>
      <c r="BL185" s="2629"/>
      <c r="BM185" s="2629"/>
      <c r="BN185" s="2629"/>
      <c r="BO185" s="2629"/>
      <c r="BP185" s="2629"/>
      <c r="BQ185" s="2629"/>
      <c r="BR185" s="2629"/>
      <c r="BS185" s="2629"/>
      <c r="BT185" s="2629"/>
      <c r="BU185" s="2629"/>
      <c r="BV185" s="2629"/>
      <c r="BW185" s="2629"/>
      <c r="BX185" s="2629"/>
      <c r="BY185" s="2629"/>
      <c r="BZ185" s="2629"/>
      <c r="CA185" s="2629"/>
      <c r="CB185" s="2629"/>
      <c r="CC185" s="2629"/>
      <c r="CD185" s="2629"/>
      <c r="CE185" s="2629"/>
      <c r="CF185" s="2629"/>
    </row>
    <row r="186" spans="1:84" s="98" customFormat="1" ht="15" customHeight="1">
      <c r="A186" s="99"/>
      <c r="B186" s="2687"/>
      <c r="C186" s="2688"/>
      <c r="D186" s="2688" t="s">
        <v>2707</v>
      </c>
      <c r="E186" s="2688"/>
      <c r="F186" s="2688"/>
      <c r="G186" s="2645"/>
      <c r="H186" s="2645"/>
      <c r="I186" s="607" t="s">
        <v>498</v>
      </c>
      <c r="J186" s="143">
        <v>0</v>
      </c>
      <c r="K186" s="141">
        <v>0</v>
      </c>
      <c r="L186" s="141">
        <v>0</v>
      </c>
      <c r="M186" s="141">
        <v>0</v>
      </c>
      <c r="N186" s="141">
        <v>0</v>
      </c>
      <c r="O186" s="141">
        <v>0</v>
      </c>
      <c r="P186" s="141">
        <v>0</v>
      </c>
      <c r="Q186" s="144">
        <v>0</v>
      </c>
      <c r="R186" s="143">
        <v>0</v>
      </c>
      <c r="S186" s="141">
        <v>0</v>
      </c>
      <c r="T186" s="141">
        <v>0</v>
      </c>
      <c r="U186" s="141">
        <v>0</v>
      </c>
      <c r="V186" s="144">
        <v>0</v>
      </c>
      <c r="W186" s="2629"/>
      <c r="X186" s="607" t="s">
        <v>498</v>
      </c>
      <c r="Y186" s="143">
        <v>0</v>
      </c>
      <c r="Z186" s="141">
        <v>0</v>
      </c>
      <c r="AA186" s="141">
        <v>0</v>
      </c>
      <c r="AB186" s="141">
        <v>0</v>
      </c>
      <c r="AC186" s="141">
        <v>0</v>
      </c>
      <c r="AD186" s="141">
        <v>0</v>
      </c>
      <c r="AE186" s="141">
        <v>0</v>
      </c>
      <c r="AF186" s="144">
        <v>0</v>
      </c>
      <c r="AG186" s="143">
        <v>0</v>
      </c>
      <c r="AH186" s="141">
        <v>0</v>
      </c>
      <c r="AI186" s="141">
        <v>0</v>
      </c>
      <c r="AJ186" s="141">
        <v>0</v>
      </c>
      <c r="AK186" s="144">
        <v>0</v>
      </c>
      <c r="AL186" s="2629"/>
      <c r="AM186" s="607" t="s">
        <v>2233</v>
      </c>
      <c r="AN186" s="143"/>
      <c r="AO186" s="141">
        <v>0</v>
      </c>
      <c r="AP186" s="141">
        <v>0</v>
      </c>
      <c r="AQ186" s="141">
        <v>0</v>
      </c>
      <c r="AR186" s="141">
        <v>0</v>
      </c>
      <c r="AS186" s="141">
        <v>0</v>
      </c>
      <c r="AT186" s="141"/>
      <c r="AU186" s="144"/>
      <c r="AV186" s="143"/>
      <c r="AW186" s="141"/>
      <c r="AX186" s="141"/>
      <c r="AY186" s="141"/>
      <c r="AZ186" s="144"/>
      <c r="BA186" s="2629"/>
      <c r="BB186" s="2629"/>
      <c r="BC186" s="2629"/>
      <c r="BD186" s="2629"/>
      <c r="BE186" s="2629"/>
      <c r="BF186" s="2629"/>
      <c r="BG186" s="2629"/>
      <c r="BH186" s="2629"/>
      <c r="BI186" s="2629"/>
      <c r="BJ186" s="2629"/>
      <c r="BK186" s="2629"/>
      <c r="BL186" s="2629"/>
      <c r="BM186" s="2629"/>
      <c r="BN186" s="2629"/>
      <c r="BO186" s="2629"/>
      <c r="BP186" s="2629"/>
      <c r="BQ186" s="2629"/>
      <c r="BR186" s="2629"/>
      <c r="BS186" s="2629"/>
      <c r="BT186" s="2629"/>
      <c r="BU186" s="2629"/>
      <c r="BV186" s="2629"/>
      <c r="BW186" s="2629"/>
      <c r="BX186" s="2629"/>
      <c r="BY186" s="2629"/>
      <c r="BZ186" s="2629"/>
      <c r="CA186" s="2629"/>
      <c r="CB186" s="2629"/>
      <c r="CC186" s="2629"/>
      <c r="CD186" s="2629"/>
      <c r="CE186" s="2629"/>
      <c r="CF186" s="2629"/>
    </row>
    <row r="187" spans="1:84" s="98" customFormat="1" ht="15" customHeight="1">
      <c r="A187" s="99"/>
      <c r="B187" s="2687"/>
      <c r="C187" s="2688"/>
      <c r="D187" s="2688" t="s">
        <v>2708</v>
      </c>
      <c r="E187" s="2688"/>
      <c r="F187" s="2688"/>
      <c r="G187" s="2645"/>
      <c r="H187" s="2645"/>
      <c r="I187" s="607" t="s">
        <v>498</v>
      </c>
      <c r="J187" s="143">
        <v>0</v>
      </c>
      <c r="K187" s="141">
        <v>0</v>
      </c>
      <c r="L187" s="141">
        <v>0</v>
      </c>
      <c r="M187" s="141">
        <v>0</v>
      </c>
      <c r="N187" s="141">
        <v>0</v>
      </c>
      <c r="O187" s="141">
        <v>0</v>
      </c>
      <c r="P187" s="141">
        <v>0</v>
      </c>
      <c r="Q187" s="144">
        <v>0</v>
      </c>
      <c r="R187" s="143">
        <v>0</v>
      </c>
      <c r="S187" s="141">
        <v>0</v>
      </c>
      <c r="T187" s="141">
        <v>0</v>
      </c>
      <c r="U187" s="141">
        <v>0</v>
      </c>
      <c r="V187" s="144">
        <v>0</v>
      </c>
      <c r="W187" s="2629"/>
      <c r="X187" s="607" t="s">
        <v>498</v>
      </c>
      <c r="Y187" s="143">
        <v>0</v>
      </c>
      <c r="Z187" s="141">
        <v>0</v>
      </c>
      <c r="AA187" s="141">
        <v>0</v>
      </c>
      <c r="AB187" s="141">
        <v>0</v>
      </c>
      <c r="AC187" s="141">
        <v>0</v>
      </c>
      <c r="AD187" s="141">
        <v>0</v>
      </c>
      <c r="AE187" s="141">
        <v>0</v>
      </c>
      <c r="AF187" s="144">
        <v>0</v>
      </c>
      <c r="AG187" s="143">
        <v>0</v>
      </c>
      <c r="AH187" s="141">
        <v>0</v>
      </c>
      <c r="AI187" s="141">
        <v>0</v>
      </c>
      <c r="AJ187" s="141">
        <v>0</v>
      </c>
      <c r="AK187" s="144">
        <v>0</v>
      </c>
      <c r="AL187" s="2629"/>
      <c r="AM187" s="607" t="s">
        <v>2233</v>
      </c>
      <c r="AN187" s="143"/>
      <c r="AO187" s="141">
        <v>0</v>
      </c>
      <c r="AP187" s="141">
        <v>0</v>
      </c>
      <c r="AQ187" s="141">
        <v>0</v>
      </c>
      <c r="AR187" s="141">
        <v>0</v>
      </c>
      <c r="AS187" s="141">
        <v>0</v>
      </c>
      <c r="AT187" s="141"/>
      <c r="AU187" s="144"/>
      <c r="AV187" s="143"/>
      <c r="AW187" s="141"/>
      <c r="AX187" s="141"/>
      <c r="AY187" s="141"/>
      <c r="AZ187" s="144"/>
      <c r="BA187" s="2629"/>
      <c r="BB187" s="2629"/>
      <c r="BC187" s="2629"/>
      <c r="BD187" s="2629"/>
      <c r="BE187" s="2629"/>
      <c r="BF187" s="2629"/>
      <c r="BG187" s="2629"/>
      <c r="BH187" s="2629"/>
      <c r="BI187" s="2629"/>
      <c r="BJ187" s="2629"/>
      <c r="BK187" s="2629"/>
      <c r="BL187" s="2629"/>
      <c r="BM187" s="2629"/>
      <c r="BN187" s="2629"/>
      <c r="BO187" s="2629"/>
      <c r="BP187" s="2629"/>
      <c r="BQ187" s="2629"/>
      <c r="BR187" s="2629"/>
      <c r="BS187" s="2629"/>
      <c r="BT187" s="2629"/>
      <c r="BU187" s="2629"/>
      <c r="BV187" s="2629"/>
      <c r="BW187" s="2629"/>
      <c r="BX187" s="2629"/>
      <c r="BY187" s="2629"/>
      <c r="BZ187" s="2629"/>
      <c r="CA187" s="2629"/>
      <c r="CB187" s="2629"/>
      <c r="CC187" s="2629"/>
      <c r="CD187" s="2629"/>
      <c r="CE187" s="2629"/>
      <c r="CF187" s="2629"/>
    </row>
    <row r="188" spans="1:84" s="98" customFormat="1" ht="15" customHeight="1">
      <c r="A188" s="99"/>
      <c r="B188" s="2687"/>
      <c r="C188" s="2688" t="s">
        <v>1710</v>
      </c>
      <c r="D188" s="2688"/>
      <c r="E188" s="2688"/>
      <c r="F188" s="2688"/>
      <c r="G188" s="2645"/>
      <c r="H188" s="2645"/>
      <c r="I188" s="607" t="s">
        <v>498</v>
      </c>
      <c r="J188" s="641">
        <f>SUM(J180:J187)</f>
        <v>0</v>
      </c>
      <c r="K188" s="642">
        <f t="shared" ref="K188:V188" si="43">SUM(K180:K187)</f>
        <v>0.63533292705430822</v>
      </c>
      <c r="L188" s="642">
        <f t="shared" si="43"/>
        <v>1.1653735289473637</v>
      </c>
      <c r="M188" s="642">
        <f t="shared" si="43"/>
        <v>0.25808387652294873</v>
      </c>
      <c r="N188" s="642">
        <f t="shared" si="43"/>
        <v>0.77343872066639374</v>
      </c>
      <c r="O188" s="642">
        <f t="shared" si="43"/>
        <v>1.0068904066257134</v>
      </c>
      <c r="P188" s="642">
        <f t="shared" si="43"/>
        <v>0</v>
      </c>
      <c r="Q188" s="643">
        <f t="shared" si="43"/>
        <v>0</v>
      </c>
      <c r="R188" s="641">
        <f t="shared" si="43"/>
        <v>0</v>
      </c>
      <c r="S188" s="642">
        <f t="shared" si="43"/>
        <v>0</v>
      </c>
      <c r="T188" s="642">
        <f t="shared" si="43"/>
        <v>0</v>
      </c>
      <c r="U188" s="642">
        <f t="shared" si="43"/>
        <v>0</v>
      </c>
      <c r="V188" s="643">
        <f t="shared" si="43"/>
        <v>0</v>
      </c>
      <c r="W188" s="2629"/>
      <c r="X188" s="607" t="s">
        <v>498</v>
      </c>
      <c r="Y188" s="641">
        <f>SUM(Y180:Y187)</f>
        <v>-0.50542480324763295</v>
      </c>
      <c r="Z188" s="642">
        <f t="shared" ref="Z188:AK188" si="44">SUM(Z180:Z187)</f>
        <v>-0.93606583252599185</v>
      </c>
      <c r="AA188" s="642">
        <f t="shared" si="44"/>
        <v>-0.23982182282361694</v>
      </c>
      <c r="AB188" s="642">
        <f t="shared" si="44"/>
        <v>-0.62897984395037909</v>
      </c>
      <c r="AC188" s="642">
        <f t="shared" si="44"/>
        <v>-0.87867156633623089</v>
      </c>
      <c r="AD188" s="642">
        <f t="shared" si="44"/>
        <v>0</v>
      </c>
      <c r="AE188" s="642">
        <f t="shared" si="44"/>
        <v>0</v>
      </c>
      <c r="AF188" s="643">
        <f t="shared" si="44"/>
        <v>0</v>
      </c>
      <c r="AG188" s="641">
        <f t="shared" si="44"/>
        <v>0</v>
      </c>
      <c r="AH188" s="642">
        <f t="shared" si="44"/>
        <v>0</v>
      </c>
      <c r="AI188" s="642">
        <f t="shared" si="44"/>
        <v>0</v>
      </c>
      <c r="AJ188" s="642">
        <f t="shared" si="44"/>
        <v>0</v>
      </c>
      <c r="AK188" s="643">
        <f t="shared" si="44"/>
        <v>0</v>
      </c>
      <c r="AL188" s="2629"/>
      <c r="AM188" s="607" t="s">
        <v>2233</v>
      </c>
      <c r="AN188" s="641">
        <f>SUM(AN180:AN187)</f>
        <v>0</v>
      </c>
      <c r="AO188" s="642">
        <f t="shared" ref="AO188:AZ188" si="45">SUM(AO180:AO187)</f>
        <v>1.335</v>
      </c>
      <c r="AP188" s="642">
        <f t="shared" si="45"/>
        <v>4.6819999999999995</v>
      </c>
      <c r="AQ188" s="642">
        <f t="shared" si="45"/>
        <v>1.7559999999999998</v>
      </c>
      <c r="AR188" s="642">
        <f t="shared" si="45"/>
        <v>0.32</v>
      </c>
      <c r="AS188" s="642">
        <f t="shared" si="45"/>
        <v>0.59599999999999997</v>
      </c>
      <c r="AT188" s="642">
        <f t="shared" si="45"/>
        <v>0</v>
      </c>
      <c r="AU188" s="643">
        <f t="shared" si="45"/>
        <v>0</v>
      </c>
      <c r="AV188" s="641">
        <f t="shared" si="45"/>
        <v>0</v>
      </c>
      <c r="AW188" s="642">
        <f t="shared" si="45"/>
        <v>0</v>
      </c>
      <c r="AX188" s="642">
        <f t="shared" si="45"/>
        <v>0</v>
      </c>
      <c r="AY188" s="642">
        <f t="shared" si="45"/>
        <v>0</v>
      </c>
      <c r="AZ188" s="643">
        <f t="shared" si="45"/>
        <v>0</v>
      </c>
      <c r="BA188" s="2629"/>
      <c r="BB188" s="2629"/>
      <c r="BC188" s="2629"/>
      <c r="BD188" s="2629"/>
      <c r="BE188" s="2629"/>
      <c r="BF188" s="2629"/>
      <c r="BG188" s="2629"/>
      <c r="BH188" s="2629"/>
      <c r="BI188" s="2629"/>
      <c r="BJ188" s="2629"/>
      <c r="BK188" s="2629"/>
      <c r="BL188" s="2629"/>
      <c r="BM188" s="2629"/>
      <c r="BN188" s="2629"/>
      <c r="BO188" s="2629"/>
      <c r="BP188" s="2629"/>
      <c r="BQ188" s="2629"/>
      <c r="BR188" s="2629"/>
      <c r="BS188" s="2629"/>
      <c r="BT188" s="2629"/>
      <c r="BU188" s="2629"/>
      <c r="BV188" s="2629"/>
      <c r="BW188" s="2629"/>
      <c r="BX188" s="2629"/>
      <c r="BY188" s="2629"/>
      <c r="BZ188" s="2629"/>
      <c r="CA188" s="2629"/>
      <c r="CB188" s="2629"/>
      <c r="CC188" s="2629"/>
      <c r="CD188" s="2629"/>
      <c r="CE188" s="2629"/>
      <c r="CF188" s="2629"/>
    </row>
    <row r="189" spans="1:84" s="98" customFormat="1" ht="15" customHeight="1">
      <c r="A189" s="99"/>
      <c r="B189" s="123"/>
      <c r="C189" s="2686"/>
      <c r="D189" s="2686"/>
      <c r="E189" s="2686"/>
      <c r="F189" s="2686"/>
      <c r="G189" s="94"/>
      <c r="H189" s="94"/>
      <c r="I189" s="94"/>
      <c r="J189" s="713"/>
      <c r="K189" s="2649"/>
      <c r="L189" s="2649"/>
      <c r="M189" s="2649"/>
      <c r="N189" s="2649"/>
      <c r="O189" s="2649"/>
      <c r="P189" s="2649"/>
      <c r="Q189" s="715"/>
      <c r="R189" s="713"/>
      <c r="S189" s="2649"/>
      <c r="T189" s="2649"/>
      <c r="U189" s="2649"/>
      <c r="V189" s="715"/>
      <c r="W189" s="2629"/>
      <c r="X189" s="94"/>
      <c r="Y189" s="713"/>
      <c r="Z189" s="2649"/>
      <c r="AA189" s="2649"/>
      <c r="AB189" s="2649"/>
      <c r="AC189" s="2649"/>
      <c r="AD189" s="2649"/>
      <c r="AE189" s="2649"/>
      <c r="AF189" s="715"/>
      <c r="AG189" s="713"/>
      <c r="AH189" s="2649"/>
      <c r="AI189" s="2649"/>
      <c r="AJ189" s="2649"/>
      <c r="AK189" s="715"/>
      <c r="AL189" s="2629"/>
      <c r="AM189" s="94"/>
      <c r="AN189" s="713"/>
      <c r="AO189" s="2649"/>
      <c r="AP189" s="2649"/>
      <c r="AQ189" s="2649"/>
      <c r="AR189" s="2649"/>
      <c r="AS189" s="2649"/>
      <c r="AT189" s="2649"/>
      <c r="AU189" s="715"/>
      <c r="AV189" s="713"/>
      <c r="AW189" s="2649"/>
      <c r="AX189" s="2649"/>
      <c r="AY189" s="2649"/>
      <c r="AZ189" s="715"/>
      <c r="BA189" s="2629"/>
      <c r="BB189" s="2629"/>
      <c r="BC189" s="2629"/>
      <c r="BD189" s="2629"/>
      <c r="BE189" s="2629"/>
      <c r="BF189" s="2629"/>
      <c r="BG189" s="2629"/>
      <c r="BH189" s="2629"/>
      <c r="BI189" s="2629"/>
      <c r="BJ189" s="2629"/>
      <c r="BK189" s="2629"/>
      <c r="BL189" s="2629"/>
      <c r="BM189" s="2629"/>
      <c r="BN189" s="2629"/>
      <c r="BO189" s="2629"/>
      <c r="BP189" s="2629"/>
      <c r="BQ189" s="2629"/>
      <c r="BR189" s="2629"/>
      <c r="BS189" s="2629"/>
      <c r="BT189" s="2629"/>
      <c r="BU189" s="2629"/>
      <c r="BV189" s="2629"/>
      <c r="BW189" s="2629"/>
      <c r="BX189" s="2629"/>
      <c r="BY189" s="2629"/>
      <c r="BZ189" s="2629"/>
      <c r="CA189" s="2629"/>
      <c r="CB189" s="2629"/>
      <c r="CC189" s="2629"/>
      <c r="CD189" s="2629"/>
      <c r="CE189" s="2629"/>
      <c r="CF189" s="2629"/>
    </row>
    <row r="190" spans="1:84" s="954" customFormat="1" ht="15" customHeight="1" thickBot="1">
      <c r="A190" s="951"/>
      <c r="B190" s="2689" t="s">
        <v>1701</v>
      </c>
      <c r="C190" s="952"/>
      <c r="D190" s="952"/>
      <c r="E190" s="952"/>
      <c r="F190" s="952"/>
      <c r="G190" s="953"/>
      <c r="H190" s="953"/>
      <c r="I190" s="1083" t="s">
        <v>498</v>
      </c>
      <c r="J190" s="717">
        <f>SUM(J119,J130,J141,J152,J163,J166,J177,J188)</f>
        <v>3.1074048817930051</v>
      </c>
      <c r="K190" s="718">
        <f t="shared" ref="K190:V190" si="46">SUM(K119,K130,K141,K152,K163,K166,K177,K188)</f>
        <v>3.9442911639060592</v>
      </c>
      <c r="L190" s="718">
        <f t="shared" si="46"/>
        <v>4.0923869404647073</v>
      </c>
      <c r="M190" s="718">
        <f t="shared" si="46"/>
        <v>3.3804750333596498</v>
      </c>
      <c r="N190" s="718">
        <f t="shared" si="46"/>
        <v>4.4743834521669301</v>
      </c>
      <c r="O190" s="718">
        <f t="shared" si="46"/>
        <v>4.0601621099206557</v>
      </c>
      <c r="P190" s="718">
        <f t="shared" si="46"/>
        <v>1.2466537389458274</v>
      </c>
      <c r="Q190" s="719">
        <f t="shared" si="46"/>
        <v>1.0874932380860696</v>
      </c>
      <c r="R190" s="717">
        <f t="shared" si="46"/>
        <v>4.2761404524032587</v>
      </c>
      <c r="S190" s="718">
        <f t="shared" si="46"/>
        <v>4.2547597501412424</v>
      </c>
      <c r="T190" s="718">
        <f t="shared" si="46"/>
        <v>4.2334859513905361</v>
      </c>
      <c r="U190" s="718">
        <f t="shared" si="46"/>
        <v>4.2123185216335841</v>
      </c>
      <c r="V190" s="719">
        <f t="shared" si="46"/>
        <v>4.1912569290254158</v>
      </c>
      <c r="W190" s="2659"/>
      <c r="X190" s="1083" t="s">
        <v>498</v>
      </c>
      <c r="Y190" s="717">
        <f>SUM(Y119,Y130,Y141,Y152,Y163,Y166,Y177,Y188)</f>
        <v>-3.1939115095147206</v>
      </c>
      <c r="Z190" s="718">
        <f t="shared" ref="Z190:AK190" si="47">SUM(Z119,Z130,Z141,Z152,Z163,Z166,Z177,Z188)</f>
        <v>-3.5675437334586806</v>
      </c>
      <c r="AA190" s="718">
        <f t="shared" si="47"/>
        <v>-2.5908939707739398</v>
      </c>
      <c r="AB190" s="718">
        <f t="shared" si="47"/>
        <v>-3.5304301355742145</v>
      </c>
      <c r="AC190" s="718">
        <f t="shared" si="47"/>
        <v>-3.8883730171280129</v>
      </c>
      <c r="AD190" s="718">
        <f t="shared" si="47"/>
        <v>-2.6644637910246094</v>
      </c>
      <c r="AE190" s="718">
        <f t="shared" si="47"/>
        <v>-1.0511043500483681</v>
      </c>
      <c r="AF190" s="719">
        <f t="shared" si="47"/>
        <v>-0.91607172498097156</v>
      </c>
      <c r="AG190" s="717">
        <f t="shared" si="47"/>
        <v>-3.5919579800187376</v>
      </c>
      <c r="AH190" s="718">
        <f t="shared" si="47"/>
        <v>-3.5739981901186439</v>
      </c>
      <c r="AI190" s="718">
        <f t="shared" si="47"/>
        <v>-3.5561281991680498</v>
      </c>
      <c r="AJ190" s="718">
        <f t="shared" si="47"/>
        <v>-3.5383475581722097</v>
      </c>
      <c r="AK190" s="719">
        <f t="shared" si="47"/>
        <v>-3.5206558203813487</v>
      </c>
      <c r="AL190" s="2659"/>
      <c r="AM190" s="1083" t="s">
        <v>2233</v>
      </c>
      <c r="AN190" s="717">
        <f>SUM(AN119,AN130,AN141,AN152,AN163,AN166,AN177,AN188)</f>
        <v>6.8304</v>
      </c>
      <c r="AO190" s="718">
        <f t="shared" ref="AO190:AZ190" si="48">SUM(AO119,AO130,AO141,AO152,AO163,AO166,AO177,AO188)</f>
        <v>9.0850100000000005</v>
      </c>
      <c r="AP190" s="718">
        <f t="shared" si="48"/>
        <v>10.225200000000001</v>
      </c>
      <c r="AQ190" s="718">
        <f t="shared" si="48"/>
        <v>9.2729999999999997</v>
      </c>
      <c r="AR190" s="718">
        <f t="shared" si="48"/>
        <v>8.3780000000000001</v>
      </c>
      <c r="AS190" s="718">
        <f t="shared" si="48"/>
        <v>5.7560000000000002</v>
      </c>
      <c r="AT190" s="718">
        <f t="shared" si="48"/>
        <v>2.6063244674721329</v>
      </c>
      <c r="AU190" s="719">
        <f t="shared" si="48"/>
        <v>2.6063244674721329</v>
      </c>
      <c r="AV190" s="717">
        <f t="shared" si="48"/>
        <v>9.6207107746200347</v>
      </c>
      <c r="AW190" s="718">
        <f t="shared" si="48"/>
        <v>9.6207107746200347</v>
      </c>
      <c r="AX190" s="718">
        <f t="shared" si="48"/>
        <v>9.6207107746200347</v>
      </c>
      <c r="AY190" s="718">
        <f t="shared" si="48"/>
        <v>9.6207107746200347</v>
      </c>
      <c r="AZ190" s="719">
        <f t="shared" si="48"/>
        <v>9.6207107746200347</v>
      </c>
      <c r="BA190" s="2660"/>
      <c r="BB190" s="2660"/>
      <c r="BC190" s="2660"/>
      <c r="BD190" s="2660"/>
      <c r="BE190" s="2660"/>
      <c r="BF190" s="2660"/>
      <c r="BG190" s="2660"/>
      <c r="BH190" s="2660"/>
      <c r="BI190" s="2660"/>
      <c r="BJ190" s="2660"/>
      <c r="BK190" s="2660"/>
      <c r="BL190" s="2660"/>
      <c r="BM190" s="2660"/>
      <c r="BN190" s="2660"/>
      <c r="BO190" s="2660"/>
      <c r="BP190" s="2660"/>
      <c r="BQ190" s="2660"/>
      <c r="BR190" s="2660"/>
      <c r="BS190" s="2660"/>
      <c r="BT190" s="2660"/>
      <c r="BU190" s="2660"/>
      <c r="BV190" s="2660"/>
      <c r="BW190" s="2660"/>
      <c r="BX190" s="2660"/>
      <c r="BY190" s="2660"/>
      <c r="BZ190" s="2660"/>
      <c r="CA190" s="2660"/>
      <c r="CB190" s="2660"/>
      <c r="CC190" s="2660"/>
      <c r="CD190" s="2660"/>
      <c r="CE190" s="2660"/>
      <c r="CF190" s="2660"/>
    </row>
    <row r="191" spans="1:84" s="99" customFormat="1" ht="15" customHeight="1" thickBot="1">
      <c r="B191" s="2648"/>
      <c r="C191" s="2648"/>
      <c r="D191" s="2648"/>
      <c r="E191" s="2648"/>
      <c r="F191" s="2648"/>
      <c r="G191" s="542"/>
      <c r="H191" s="542"/>
      <c r="I191" s="2629"/>
      <c r="J191" s="2629"/>
      <c r="K191" s="2629"/>
      <c r="L191" s="2629"/>
      <c r="M191" s="2629"/>
      <c r="N191" s="2629"/>
      <c r="O191" s="2629"/>
      <c r="P191" s="2629"/>
      <c r="Q191" s="2629"/>
      <c r="R191" s="2629"/>
      <c r="S191" s="2629"/>
      <c r="T191" s="2629"/>
      <c r="U191" s="2629"/>
      <c r="V191" s="2629"/>
      <c r="W191" s="2629"/>
      <c r="X191" s="2629"/>
      <c r="Y191" s="2631"/>
      <c r="Z191" s="2631"/>
      <c r="AA191" s="2631"/>
      <c r="AB191" s="2631"/>
      <c r="AC191" s="2631"/>
      <c r="AD191" s="2631"/>
      <c r="AE191" s="2631"/>
      <c r="AF191" s="2631"/>
      <c r="AG191" s="2631"/>
      <c r="AH191" s="2631"/>
      <c r="AI191" s="2631"/>
      <c r="AJ191" s="2631"/>
      <c r="AK191" s="2631"/>
      <c r="AL191" s="2631"/>
      <c r="AM191" s="2631"/>
      <c r="AN191" s="2631"/>
      <c r="AO191" s="2631"/>
      <c r="AP191" s="2631"/>
      <c r="AQ191" s="2631"/>
      <c r="AR191" s="2631"/>
      <c r="AS191" s="359"/>
      <c r="AT191" s="542"/>
      <c r="AU191" s="542"/>
      <c r="AV191" s="542"/>
      <c r="AW191" s="542"/>
      <c r="AX191" s="542"/>
      <c r="AY191" s="542"/>
      <c r="AZ191" s="542"/>
      <c r="BA191" s="2631"/>
      <c r="BB191" s="542"/>
      <c r="BC191" s="2631"/>
      <c r="BD191" s="2631"/>
      <c r="BE191" s="2631"/>
      <c r="BF191" s="2631"/>
      <c r="BG191" s="2631"/>
      <c r="BH191" s="2631"/>
      <c r="BI191" s="2631"/>
      <c r="BJ191" s="2631"/>
      <c r="BK191" s="2631"/>
      <c r="BL191" s="2631"/>
      <c r="BM191" s="2631"/>
      <c r="BN191" s="2631"/>
      <c r="BO191" s="2631"/>
      <c r="BP191" s="2631"/>
      <c r="BQ191" s="2631"/>
      <c r="BR191" s="2631"/>
      <c r="BS191" s="2631"/>
      <c r="BT191" s="2631"/>
      <c r="BU191" s="2631"/>
      <c r="BV191" s="2631"/>
      <c r="BW191" s="2631"/>
      <c r="BX191" s="2631"/>
      <c r="BY191" s="2631"/>
      <c r="BZ191" s="2631"/>
      <c r="CA191" s="2631"/>
      <c r="CB191" s="2631"/>
      <c r="CC191" s="2631"/>
      <c r="CD191" s="2631"/>
      <c r="CE191" s="2631"/>
      <c r="CF191" s="2631"/>
    </row>
    <row r="192" spans="1:84" s="100" customFormat="1" ht="30" customHeight="1" thickBot="1">
      <c r="A192" s="89"/>
      <c r="B192" s="621" t="s">
        <v>2776</v>
      </c>
      <c r="C192" s="101"/>
      <c r="D192" s="102"/>
      <c r="E192" s="102"/>
      <c r="F192" s="102"/>
      <c r="G192" s="103"/>
      <c r="H192" s="103"/>
      <c r="I192" s="1689"/>
      <c r="J192" s="1689"/>
      <c r="K192" s="1689"/>
      <c r="L192" s="1689"/>
      <c r="M192" s="1689"/>
      <c r="N192" s="1689"/>
      <c r="O192" s="1689"/>
      <c r="P192" s="1689"/>
      <c r="Q192" s="1689"/>
      <c r="R192" s="1689"/>
      <c r="S192" s="1689"/>
      <c r="T192" s="1689"/>
      <c r="U192" s="1689"/>
      <c r="V192" s="1689"/>
      <c r="W192" s="103"/>
      <c r="X192" s="1689"/>
      <c r="Y192" s="1689"/>
      <c r="Z192" s="1689"/>
      <c r="AA192" s="1689"/>
      <c r="AB192" s="1689"/>
      <c r="AC192" s="1689"/>
      <c r="AD192" s="1689"/>
      <c r="AE192" s="1689"/>
      <c r="AF192" s="1689"/>
      <c r="AG192" s="1689"/>
      <c r="AH192" s="1689"/>
      <c r="AI192" s="1689"/>
      <c r="AJ192" s="1689"/>
      <c r="AK192" s="1689"/>
      <c r="AL192" s="1354"/>
      <c r="AM192" s="105" t="s">
        <v>2231</v>
      </c>
      <c r="AN192" s="106"/>
      <c r="AO192" s="106"/>
      <c r="AP192" s="106"/>
      <c r="AQ192" s="106"/>
      <c r="AR192" s="106"/>
      <c r="AS192" s="106"/>
      <c r="AT192" s="106"/>
      <c r="AU192" s="106"/>
      <c r="AV192" s="105"/>
      <c r="AW192" s="105"/>
      <c r="AX192" s="105"/>
      <c r="AY192" s="105"/>
      <c r="AZ192" s="105"/>
      <c r="BA192" s="103"/>
      <c r="BB192" s="105" t="s">
        <v>2690</v>
      </c>
      <c r="BC192" s="105"/>
      <c r="BD192" s="105"/>
      <c r="BE192" s="105"/>
      <c r="BF192" s="105"/>
      <c r="BG192" s="105"/>
      <c r="BH192" s="603"/>
      <c r="BI192" s="105"/>
      <c r="BJ192" s="103"/>
      <c r="BK192" s="103"/>
      <c r="BL192" s="103"/>
      <c r="BM192" s="103"/>
      <c r="BN192" s="103"/>
      <c r="BO192" s="103"/>
      <c r="BP192" s="1354"/>
      <c r="BQ192" s="105" t="s">
        <v>2691</v>
      </c>
      <c r="BR192" s="105"/>
      <c r="BS192" s="105"/>
      <c r="BT192" s="105"/>
      <c r="BU192" s="105"/>
      <c r="BV192" s="105"/>
      <c r="BW192" s="105"/>
      <c r="BX192" s="187"/>
    </row>
    <row r="193" spans="1:84" s="157" customFormat="1" ht="30" customHeight="1">
      <c r="A193" s="99"/>
      <c r="B193" s="109"/>
      <c r="C193" s="2683"/>
      <c r="D193" s="2683"/>
      <c r="E193" s="2683"/>
      <c r="F193" s="2683"/>
      <c r="G193" s="113"/>
      <c r="H193" s="113"/>
      <c r="I193" s="2502"/>
      <c r="J193" s="2502"/>
      <c r="K193" s="2502"/>
      <c r="L193" s="2502"/>
      <c r="M193" s="2502"/>
      <c r="N193" s="2502"/>
      <c r="O193" s="2502"/>
      <c r="P193" s="2502"/>
      <c r="Q193" s="2502"/>
      <c r="R193" s="2502"/>
      <c r="S193" s="2502"/>
      <c r="T193" s="2502"/>
      <c r="U193" s="2502"/>
      <c r="V193" s="2502"/>
      <c r="W193" s="2632"/>
      <c r="X193" s="2502"/>
      <c r="Y193" s="2502"/>
      <c r="Z193" s="2502"/>
      <c r="AA193" s="2502"/>
      <c r="AB193" s="2502"/>
      <c r="AC193" s="2502"/>
      <c r="AD193" s="2502"/>
      <c r="AE193" s="2502"/>
      <c r="AF193" s="2502"/>
      <c r="AG193" s="2502"/>
      <c r="AH193" s="2502"/>
      <c r="AI193" s="2502"/>
      <c r="AJ193" s="2502"/>
      <c r="AK193" s="2502"/>
      <c r="AL193" s="2632"/>
      <c r="AM193" s="94"/>
      <c r="AN193" s="695" t="s">
        <v>1666</v>
      </c>
      <c r="AO193" s="152"/>
      <c r="AP193" s="152"/>
      <c r="AQ193" s="152"/>
      <c r="AR193" s="152"/>
      <c r="AS193" s="152"/>
      <c r="AT193" s="152"/>
      <c r="AU193" s="153"/>
      <c r="AV193" s="696" t="s">
        <v>2</v>
      </c>
      <c r="AW193" s="155"/>
      <c r="AX193" s="155"/>
      <c r="AY193" s="155"/>
      <c r="AZ193" s="156"/>
      <c r="BA193" s="2632"/>
      <c r="BB193" s="2633" t="s">
        <v>2711</v>
      </c>
      <c r="BC193" s="2633"/>
      <c r="BD193" s="2633" t="s">
        <v>2712</v>
      </c>
      <c r="BE193" s="2633"/>
      <c r="BF193" s="2633" t="s">
        <v>2713</v>
      </c>
      <c r="BG193" s="2633"/>
      <c r="BH193" s="2633" t="s">
        <v>2714</v>
      </c>
      <c r="BI193" s="2639"/>
      <c r="BJ193" s="2632"/>
      <c r="BK193" s="2632"/>
      <c r="BL193" s="2632"/>
      <c r="BM193" s="2632"/>
      <c r="BN193" s="2632"/>
      <c r="BO193" s="2632"/>
      <c r="BP193" s="2632"/>
      <c r="BQ193" s="2633" t="s">
        <v>2711</v>
      </c>
      <c r="BR193" s="2633"/>
      <c r="BS193" s="2633" t="s">
        <v>2712</v>
      </c>
      <c r="BT193" s="2633"/>
      <c r="BU193" s="2633" t="s">
        <v>2713</v>
      </c>
      <c r="BV193" s="2633"/>
      <c r="BW193" s="2633" t="s">
        <v>2714</v>
      </c>
      <c r="BX193" s="2634"/>
      <c r="BY193" s="2632"/>
      <c r="BZ193" s="2632"/>
      <c r="CA193" s="2632"/>
      <c r="CB193" s="2632"/>
      <c r="CC193" s="2632"/>
      <c r="CD193" s="2632"/>
      <c r="CE193" s="2632"/>
      <c r="CF193" s="2632"/>
    </row>
    <row r="194" spans="1:84" s="98" customFormat="1" ht="15" customHeight="1">
      <c r="A194" s="99"/>
      <c r="B194" s="115"/>
      <c r="C194" s="2685"/>
      <c r="D194" s="2685"/>
      <c r="E194" s="2685"/>
      <c r="F194" s="2685"/>
      <c r="G194" s="94"/>
      <c r="H194" s="94"/>
      <c r="I194" s="2503"/>
      <c r="J194" s="2503"/>
      <c r="K194" s="2503"/>
      <c r="L194" s="2503"/>
      <c r="M194" s="2503"/>
      <c r="N194" s="2503"/>
      <c r="O194" s="2503"/>
      <c r="P194" s="2503"/>
      <c r="Q194" s="2503"/>
      <c r="R194" s="2503"/>
      <c r="S194" s="2503"/>
      <c r="T194" s="2503"/>
      <c r="U194" s="2503"/>
      <c r="V194" s="2503"/>
      <c r="W194" s="2629"/>
      <c r="X194" s="2503"/>
      <c r="Y194" s="2503"/>
      <c r="Z194" s="2503"/>
      <c r="AA194" s="2503"/>
      <c r="AB194" s="2503"/>
      <c r="AC194" s="2503"/>
      <c r="AD194" s="2503"/>
      <c r="AE194" s="2503"/>
      <c r="AF194" s="2503"/>
      <c r="AG194" s="2503"/>
      <c r="AH194" s="2503"/>
      <c r="AI194" s="2503"/>
      <c r="AJ194" s="2503"/>
      <c r="AK194" s="2503"/>
      <c r="AL194" s="2629"/>
      <c r="AM194" s="119" t="s">
        <v>1667</v>
      </c>
      <c r="AN194" s="158" t="s">
        <v>453</v>
      </c>
      <c r="AO194" s="137" t="s">
        <v>455</v>
      </c>
      <c r="AP194" s="137" t="s">
        <v>457</v>
      </c>
      <c r="AQ194" s="137" t="s">
        <v>459</v>
      </c>
      <c r="AR194" s="137" t="s">
        <v>461</v>
      </c>
      <c r="AS194" s="137" t="s">
        <v>463</v>
      </c>
      <c r="AT194" s="137" t="s">
        <v>465</v>
      </c>
      <c r="AU194" s="138" t="s">
        <v>467</v>
      </c>
      <c r="AV194" s="120" t="s">
        <v>469</v>
      </c>
      <c r="AW194" s="121" t="s">
        <v>471</v>
      </c>
      <c r="AX194" s="121" t="s">
        <v>473</v>
      </c>
      <c r="AY194" s="121" t="s">
        <v>475</v>
      </c>
      <c r="AZ194" s="122" t="s">
        <v>477</v>
      </c>
      <c r="BA194" s="2629"/>
      <c r="BB194" s="2635" t="s">
        <v>1667</v>
      </c>
      <c r="BC194" s="2635" t="s">
        <v>2142</v>
      </c>
      <c r="BD194" s="2635" t="s">
        <v>1667</v>
      </c>
      <c r="BE194" s="2635" t="s">
        <v>2142</v>
      </c>
      <c r="BF194" s="2635" t="s">
        <v>1667</v>
      </c>
      <c r="BG194" s="2635" t="s">
        <v>2142</v>
      </c>
      <c r="BH194" s="2642" t="s">
        <v>1667</v>
      </c>
      <c r="BI194" s="2635" t="s">
        <v>2142</v>
      </c>
      <c r="BJ194" s="2629"/>
      <c r="BK194" s="2629"/>
      <c r="BL194" s="2629"/>
      <c r="BM194" s="2629"/>
      <c r="BN194" s="2629"/>
      <c r="BO194" s="2629"/>
      <c r="BP194" s="2629"/>
      <c r="BQ194" s="2635" t="s">
        <v>1667</v>
      </c>
      <c r="BR194" s="2635" t="s">
        <v>2142</v>
      </c>
      <c r="BS194" s="2635" t="s">
        <v>1667</v>
      </c>
      <c r="BT194" s="2635" t="s">
        <v>2142</v>
      </c>
      <c r="BU194" s="2635" t="s">
        <v>1667</v>
      </c>
      <c r="BV194" s="2635" t="s">
        <v>2142</v>
      </c>
      <c r="BW194" s="2635" t="s">
        <v>1667</v>
      </c>
      <c r="BX194" s="2636" t="s">
        <v>2142</v>
      </c>
      <c r="BY194" s="2629"/>
      <c r="BZ194" s="2629"/>
      <c r="CA194" s="2629"/>
      <c r="CB194" s="2629"/>
      <c r="CC194" s="2629"/>
      <c r="CD194" s="2629"/>
      <c r="CE194" s="2629"/>
      <c r="CF194" s="2629"/>
    </row>
    <row r="195" spans="1:84" s="98" customFormat="1" ht="15" customHeight="1">
      <c r="A195" s="99"/>
      <c r="B195" s="2687"/>
      <c r="C195" s="2685" t="s">
        <v>1682</v>
      </c>
      <c r="D195" s="2685"/>
      <c r="E195" s="2685"/>
      <c r="F195" s="2685"/>
      <c r="G195" s="94"/>
      <c r="H195" s="94"/>
      <c r="I195" s="2503"/>
      <c r="J195" s="2503"/>
      <c r="K195" s="2503"/>
      <c r="L195" s="2503"/>
      <c r="M195" s="2503"/>
      <c r="N195" s="2503"/>
      <c r="O195" s="2503"/>
      <c r="P195" s="2503"/>
      <c r="Q195" s="2503"/>
      <c r="R195" s="2503"/>
      <c r="S195" s="2503"/>
      <c r="T195" s="2503"/>
      <c r="U195" s="2503"/>
      <c r="V195" s="2503"/>
      <c r="W195" s="2629"/>
      <c r="X195" s="2503"/>
      <c r="Y195" s="2503"/>
      <c r="Z195" s="2503"/>
      <c r="AA195" s="2503"/>
      <c r="AB195" s="2503"/>
      <c r="AC195" s="2503"/>
      <c r="AD195" s="2503"/>
      <c r="AE195" s="2503"/>
      <c r="AF195" s="2503"/>
      <c r="AG195" s="2503"/>
      <c r="AH195" s="2503"/>
      <c r="AI195" s="2503"/>
      <c r="AJ195" s="2503"/>
      <c r="AK195" s="2503"/>
      <c r="AL195" s="2629"/>
      <c r="AM195" s="94"/>
      <c r="AN195" s="159"/>
      <c r="AO195" s="94"/>
      <c r="AP195" s="94"/>
      <c r="AQ195" s="94"/>
      <c r="AR195" s="94"/>
      <c r="AS195" s="94"/>
      <c r="AT195" s="94"/>
      <c r="AU195" s="160"/>
      <c r="AV195" s="159"/>
      <c r="AW195" s="94"/>
      <c r="AX195" s="94"/>
      <c r="AY195" s="94"/>
      <c r="AZ195" s="160"/>
      <c r="BA195" s="2629"/>
      <c r="BB195" s="542"/>
      <c r="BC195" s="542"/>
      <c r="BD195" s="542"/>
      <c r="BE195" s="542"/>
      <c r="BF195" s="542"/>
      <c r="BG195" s="542"/>
      <c r="BH195" s="542"/>
      <c r="BI195" s="542"/>
      <c r="BJ195" s="2629"/>
      <c r="BK195" s="2629"/>
      <c r="BL195" s="2629"/>
      <c r="BM195" s="2629"/>
      <c r="BN195" s="2629"/>
      <c r="BO195" s="2629"/>
      <c r="BP195" s="2629"/>
      <c r="BQ195" s="542"/>
      <c r="BR195" s="542"/>
      <c r="BS195" s="542"/>
      <c r="BT195" s="542"/>
      <c r="BU195" s="542"/>
      <c r="BV195" s="542"/>
      <c r="BW195" s="542"/>
      <c r="BX195" s="544"/>
      <c r="BY195" s="2629"/>
      <c r="BZ195" s="2629"/>
      <c r="CA195" s="2629"/>
      <c r="CB195" s="2629"/>
      <c r="CC195" s="2629"/>
      <c r="CD195" s="2629"/>
      <c r="CE195" s="2629"/>
      <c r="CF195" s="2629"/>
    </row>
    <row r="196" spans="1:84" s="98" customFormat="1" ht="15" customHeight="1">
      <c r="A196" s="99"/>
      <c r="B196" s="2687"/>
      <c r="C196" s="2688"/>
      <c r="D196" s="2688" t="s">
        <v>2716</v>
      </c>
      <c r="E196" s="2688"/>
      <c r="F196" s="2688"/>
      <c r="G196" s="2645"/>
      <c r="H196" s="2645"/>
      <c r="I196" s="2503"/>
      <c r="J196" s="2503"/>
      <c r="K196" s="2503"/>
      <c r="L196" s="2503"/>
      <c r="M196" s="2503"/>
      <c r="N196" s="2503"/>
      <c r="O196" s="2503"/>
      <c r="P196" s="2503"/>
      <c r="Q196" s="2503"/>
      <c r="R196" s="2503"/>
      <c r="S196" s="2503"/>
      <c r="T196" s="2503"/>
      <c r="U196" s="2503"/>
      <c r="V196" s="2503"/>
      <c r="W196" s="2629"/>
      <c r="X196" s="2503"/>
      <c r="Y196" s="2503"/>
      <c r="Z196" s="2503"/>
      <c r="AA196" s="2503"/>
      <c r="AB196" s="2503"/>
      <c r="AC196" s="2503"/>
      <c r="AD196" s="2503"/>
      <c r="AE196" s="2503"/>
      <c r="AF196" s="2503"/>
      <c r="AG196" s="2503"/>
      <c r="AH196" s="2503"/>
      <c r="AI196" s="2503"/>
      <c r="AJ196" s="2503"/>
      <c r="AK196" s="2503"/>
      <c r="AL196" s="2629"/>
      <c r="AM196" s="607" t="s">
        <v>2233</v>
      </c>
      <c r="AN196" s="143">
        <v>0</v>
      </c>
      <c r="AO196" s="141">
        <v>-1.9E-2</v>
      </c>
      <c r="AP196" s="141">
        <v>-0.121</v>
      </c>
      <c r="AQ196" s="141">
        <v>0</v>
      </c>
      <c r="AR196" s="141">
        <v>0</v>
      </c>
      <c r="AS196" s="141">
        <v>-0.11</v>
      </c>
      <c r="AT196" s="141">
        <v>-0.56141696979841216</v>
      </c>
      <c r="AU196" s="144">
        <v>-0.56987903930726991</v>
      </c>
      <c r="AV196" s="143">
        <v>-1.3057668083383089</v>
      </c>
      <c r="AW196" s="141">
        <v>-1.3057668083383089</v>
      </c>
      <c r="AX196" s="141">
        <v>-1.3057668083383089</v>
      </c>
      <c r="AY196" s="141">
        <v>-1.3057668083383089</v>
      </c>
      <c r="AZ196" s="144">
        <v>-1.3057668083383089</v>
      </c>
      <c r="BA196" s="2629"/>
      <c r="BB196" s="545" t="s">
        <v>2233</v>
      </c>
      <c r="BC196" s="141">
        <v>0.34878589703608387</v>
      </c>
      <c r="BD196" s="545" t="s">
        <v>2233</v>
      </c>
      <c r="BE196" s="141">
        <v>0.505436634910851</v>
      </c>
      <c r="BF196" s="545" t="s">
        <v>2233</v>
      </c>
      <c r="BG196" s="141">
        <v>0.52707347715874708</v>
      </c>
      <c r="BH196" s="607" t="s">
        <v>627</v>
      </c>
      <c r="BI196" s="868">
        <v>1.0301</v>
      </c>
      <c r="BJ196" s="2629"/>
      <c r="BK196" s="2629"/>
      <c r="BL196" s="2629"/>
      <c r="BM196" s="2629"/>
      <c r="BN196" s="2629"/>
      <c r="BO196" s="2629"/>
      <c r="BP196" s="2629"/>
      <c r="BQ196" s="545" t="s">
        <v>2233</v>
      </c>
      <c r="BR196" s="141">
        <v>1.6485715030085792</v>
      </c>
      <c r="BS196" s="545" t="s">
        <v>2233</v>
      </c>
      <c r="BT196" s="141">
        <v>2.3889969175111916</v>
      </c>
      <c r="BU196" s="545" t="s">
        <v>2233</v>
      </c>
      <c r="BV196" s="141">
        <v>2.4912656211717734</v>
      </c>
      <c r="BW196" s="607" t="s">
        <v>627</v>
      </c>
      <c r="BX196" s="872">
        <v>0.92090000000000005</v>
      </c>
      <c r="BY196" s="2629"/>
      <c r="BZ196" s="2629"/>
      <c r="CA196" s="2629"/>
      <c r="CB196" s="2629"/>
      <c r="CC196" s="2629"/>
      <c r="CD196" s="2629"/>
      <c r="CE196" s="2629"/>
      <c r="CF196" s="2629"/>
    </row>
    <row r="197" spans="1:84" s="98" customFormat="1" ht="15" customHeight="1">
      <c r="A197" s="99"/>
      <c r="B197" s="2687"/>
      <c r="C197" s="2688"/>
      <c r="D197" s="2688" t="s">
        <v>2717</v>
      </c>
      <c r="E197" s="2688"/>
      <c r="F197" s="2688"/>
      <c r="G197" s="2645"/>
      <c r="H197" s="2645"/>
      <c r="I197" s="2503"/>
      <c r="J197" s="2503"/>
      <c r="K197" s="2503"/>
      <c r="L197" s="2503"/>
      <c r="M197" s="2503"/>
      <c r="N197" s="2503"/>
      <c r="O197" s="2503"/>
      <c r="P197" s="2503"/>
      <c r="Q197" s="2503"/>
      <c r="R197" s="2503"/>
      <c r="S197" s="2503"/>
      <c r="T197" s="2503"/>
      <c r="U197" s="2503"/>
      <c r="V197" s="2503"/>
      <c r="W197" s="2629"/>
      <c r="X197" s="2503"/>
      <c r="Y197" s="2503"/>
      <c r="Z197" s="2503"/>
      <c r="AA197" s="2503"/>
      <c r="AB197" s="2503"/>
      <c r="AC197" s="2503"/>
      <c r="AD197" s="2503"/>
      <c r="AE197" s="2503"/>
      <c r="AF197" s="2503"/>
      <c r="AG197" s="2503"/>
      <c r="AH197" s="2503"/>
      <c r="AI197" s="2503"/>
      <c r="AJ197" s="2503"/>
      <c r="AK197" s="2503"/>
      <c r="AL197" s="2629"/>
      <c r="AM197" s="607" t="s">
        <v>2233</v>
      </c>
      <c r="AN197" s="143">
        <v>-1.226</v>
      </c>
      <c r="AO197" s="141">
        <v>-0.31800000000000006</v>
      </c>
      <c r="AP197" s="141">
        <v>-2.5884999999999989</v>
      </c>
      <c r="AQ197" s="141">
        <v>-6.9000000000000006E-2</v>
      </c>
      <c r="AR197" s="141">
        <v>-8.4999999999999992E-2</v>
      </c>
      <c r="AS197" s="141">
        <v>-0.35900000000000004</v>
      </c>
      <c r="AT197" s="141">
        <v>-0.28849846303834559</v>
      </c>
      <c r="AU197" s="144">
        <v>-0.27880901118851953</v>
      </c>
      <c r="AV197" s="143">
        <v>-0.92930801955719144</v>
      </c>
      <c r="AW197" s="141">
        <v>-0.92930801955719144</v>
      </c>
      <c r="AX197" s="141">
        <v>-0.92930801955719144</v>
      </c>
      <c r="AY197" s="141">
        <v>-0.92930801955719144</v>
      </c>
      <c r="AZ197" s="144">
        <v>-0.92930801955719144</v>
      </c>
      <c r="BA197" s="2629"/>
      <c r="BB197" s="545" t="s">
        <v>2233</v>
      </c>
      <c r="BC197" s="141">
        <v>1.3162665489432495</v>
      </c>
      <c r="BD197" s="545" t="s">
        <v>2233</v>
      </c>
      <c r="BE197" s="141">
        <v>1.9074433364338899</v>
      </c>
      <c r="BF197" s="545" t="s">
        <v>2233</v>
      </c>
      <c r="BG197" s="141">
        <v>1.9890975888497244</v>
      </c>
      <c r="BH197" s="607" t="s">
        <v>627</v>
      </c>
      <c r="BI197" s="868">
        <v>1.0301</v>
      </c>
      <c r="BJ197" s="2629"/>
      <c r="BK197" s="2629"/>
      <c r="BL197" s="2629"/>
      <c r="BM197" s="2629"/>
      <c r="BN197" s="2629"/>
      <c r="BO197" s="2629"/>
      <c r="BP197" s="2629"/>
      <c r="BQ197" s="545" t="s">
        <v>2233</v>
      </c>
      <c r="BR197" s="141">
        <v>1.1732804883507146</v>
      </c>
      <c r="BS197" s="545" t="s">
        <v>2233</v>
      </c>
      <c r="BT197" s="141">
        <v>1.7002377300169165</v>
      </c>
      <c r="BU197" s="545" t="s">
        <v>2233</v>
      </c>
      <c r="BV197" s="141">
        <v>1.7730218794183259</v>
      </c>
      <c r="BW197" s="607" t="s">
        <v>627</v>
      </c>
      <c r="BX197" s="872">
        <v>0.92090000000000005</v>
      </c>
      <c r="BY197" s="2629"/>
      <c r="BZ197" s="2629"/>
      <c r="CA197" s="2629"/>
      <c r="CB197" s="2629"/>
      <c r="CC197" s="2629"/>
      <c r="CD197" s="2629"/>
      <c r="CE197" s="2629"/>
      <c r="CF197" s="2629"/>
    </row>
    <row r="198" spans="1:84" s="98" customFormat="1" ht="15" customHeight="1">
      <c r="A198" s="99"/>
      <c r="B198" s="2687"/>
      <c r="C198" s="2688"/>
      <c r="D198" s="2688" t="s">
        <v>2718</v>
      </c>
      <c r="E198" s="2688"/>
      <c r="F198" s="2688"/>
      <c r="G198" s="2645"/>
      <c r="H198" s="2645"/>
      <c r="I198" s="2503"/>
      <c r="J198" s="2503"/>
      <c r="K198" s="2503"/>
      <c r="L198" s="2503"/>
      <c r="M198" s="2503"/>
      <c r="N198" s="2503"/>
      <c r="O198" s="2503"/>
      <c r="P198" s="2503"/>
      <c r="Q198" s="2503"/>
      <c r="R198" s="2503"/>
      <c r="S198" s="2503"/>
      <c r="T198" s="2503"/>
      <c r="U198" s="2503"/>
      <c r="V198" s="2503"/>
      <c r="W198" s="2629"/>
      <c r="X198" s="2503"/>
      <c r="Y198" s="2503"/>
      <c r="Z198" s="2503"/>
      <c r="AA198" s="2503"/>
      <c r="AB198" s="2503"/>
      <c r="AC198" s="2503"/>
      <c r="AD198" s="2503"/>
      <c r="AE198" s="2503"/>
      <c r="AF198" s="2503"/>
      <c r="AG198" s="2503"/>
      <c r="AH198" s="2503"/>
      <c r="AI198" s="2503"/>
      <c r="AJ198" s="2503"/>
      <c r="AK198" s="2503"/>
      <c r="AL198" s="2629"/>
      <c r="AM198" s="607" t="s">
        <v>2233</v>
      </c>
      <c r="AN198" s="143">
        <v>-0.52500000000000002</v>
      </c>
      <c r="AO198" s="141">
        <v>-0.34700000000000003</v>
      </c>
      <c r="AP198" s="141">
        <v>-0.128</v>
      </c>
      <c r="AQ198" s="141">
        <v>-7.0000000000000001E-3</v>
      </c>
      <c r="AR198" s="141">
        <v>0</v>
      </c>
      <c r="AS198" s="141">
        <v>-0.28499999999999998</v>
      </c>
      <c r="AT198" s="141">
        <v>-0.20097683748896292</v>
      </c>
      <c r="AU198" s="144">
        <v>-0.20957061792730849</v>
      </c>
      <c r="AV198" s="143">
        <v>-0.36790290721790969</v>
      </c>
      <c r="AW198" s="141">
        <v>-0.36790290721790969</v>
      </c>
      <c r="AX198" s="141">
        <v>-0.36790290721790969</v>
      </c>
      <c r="AY198" s="141">
        <v>-0.36790290721790969</v>
      </c>
      <c r="AZ198" s="144">
        <v>-0.36790290721790969</v>
      </c>
      <c r="BA198" s="2629"/>
      <c r="BB198" s="545" t="s">
        <v>2233</v>
      </c>
      <c r="BC198" s="141">
        <v>0.42990390008318125</v>
      </c>
      <c r="BD198" s="545" t="s">
        <v>2233</v>
      </c>
      <c r="BE198" s="141">
        <v>0.62298728945056536</v>
      </c>
      <c r="BF198" s="545" t="s">
        <v>2233</v>
      </c>
      <c r="BG198" s="141">
        <v>0.64965626588252456</v>
      </c>
      <c r="BH198" s="607" t="s">
        <v>627</v>
      </c>
      <c r="BI198" s="868">
        <v>1.0301</v>
      </c>
      <c r="BJ198" s="2629"/>
      <c r="BK198" s="2629"/>
      <c r="BL198" s="2629"/>
      <c r="BM198" s="2629"/>
      <c r="BN198" s="2629"/>
      <c r="BO198" s="2629"/>
      <c r="BP198" s="2629"/>
      <c r="BQ198" s="545" t="s">
        <v>2233</v>
      </c>
      <c r="BR198" s="141">
        <v>0.46448894614291231</v>
      </c>
      <c r="BS198" s="545" t="s">
        <v>2233</v>
      </c>
      <c r="BT198" s="141">
        <v>0.67310556959667678</v>
      </c>
      <c r="BU198" s="545" t="s">
        <v>2233</v>
      </c>
      <c r="BV198" s="141">
        <v>0.70192002034995926</v>
      </c>
      <c r="BW198" s="607" t="s">
        <v>627</v>
      </c>
      <c r="BX198" s="872">
        <v>0.92090000000000005</v>
      </c>
      <c r="BY198" s="2629"/>
      <c r="BZ198" s="2629"/>
      <c r="CA198" s="2629"/>
      <c r="CB198" s="2629"/>
      <c r="CC198" s="2629"/>
      <c r="CD198" s="2629"/>
      <c r="CE198" s="2629"/>
      <c r="CF198" s="2629"/>
    </row>
    <row r="199" spans="1:84" s="98" customFormat="1" ht="15" customHeight="1">
      <c r="A199" s="99"/>
      <c r="B199" s="2687"/>
      <c r="C199" s="2688"/>
      <c r="D199" s="2688" t="s">
        <v>2719</v>
      </c>
      <c r="E199" s="2688"/>
      <c r="F199" s="2688"/>
      <c r="G199" s="2645"/>
      <c r="H199" s="2645"/>
      <c r="I199" s="2503"/>
      <c r="J199" s="2503"/>
      <c r="K199" s="2503"/>
      <c r="L199" s="2503"/>
      <c r="M199" s="2503"/>
      <c r="N199" s="2503"/>
      <c r="O199" s="2503"/>
      <c r="P199" s="2503"/>
      <c r="Q199" s="2503"/>
      <c r="R199" s="2503"/>
      <c r="S199" s="2503"/>
      <c r="T199" s="2503"/>
      <c r="U199" s="2503"/>
      <c r="V199" s="2503"/>
      <c r="W199" s="2629"/>
      <c r="X199" s="2503"/>
      <c r="Y199" s="2503"/>
      <c r="Z199" s="2503"/>
      <c r="AA199" s="2503"/>
      <c r="AB199" s="2503"/>
      <c r="AC199" s="2503"/>
      <c r="AD199" s="2503"/>
      <c r="AE199" s="2503"/>
      <c r="AF199" s="2503"/>
      <c r="AG199" s="2503"/>
      <c r="AH199" s="2503"/>
      <c r="AI199" s="2503"/>
      <c r="AJ199" s="2503"/>
      <c r="AK199" s="2503"/>
      <c r="AL199" s="2629"/>
      <c r="AM199" s="607" t="s">
        <v>2233</v>
      </c>
      <c r="AN199" s="143">
        <v>-4.9000000000000002E-2</v>
      </c>
      <c r="AO199" s="141">
        <v>-8.900000000000001E-2</v>
      </c>
      <c r="AP199" s="141">
        <v>-0.26500000000000001</v>
      </c>
      <c r="AQ199" s="141">
        <v>-1.9E-2</v>
      </c>
      <c r="AR199" s="141">
        <v>-3.0000000000000001E-3</v>
      </c>
      <c r="AS199" s="141">
        <v>-1.4999999999999999E-2</v>
      </c>
      <c r="AT199" s="141">
        <v>-4.9107729674279586E-2</v>
      </c>
      <c r="AU199" s="144">
        <v>-4.209233972081107E-2</v>
      </c>
      <c r="AV199" s="143">
        <v>-0.14246537672689205</v>
      </c>
      <c r="AW199" s="141">
        <v>-0.14246537672689205</v>
      </c>
      <c r="AX199" s="141">
        <v>-0.14246537672689205</v>
      </c>
      <c r="AY199" s="141">
        <v>-0.14246537672689205</v>
      </c>
      <c r="AZ199" s="144">
        <v>-0.14246537672689205</v>
      </c>
      <c r="BA199" s="2629"/>
      <c r="BB199" s="545" t="s">
        <v>2233</v>
      </c>
      <c r="BC199" s="141">
        <v>0.1341313458434972</v>
      </c>
      <c r="BD199" s="545" t="s">
        <v>2233</v>
      </c>
      <c r="BE199" s="141">
        <v>0.19437396022978254</v>
      </c>
      <c r="BF199" s="545" t="s">
        <v>2233</v>
      </c>
      <c r="BG199" s="141">
        <v>0.20269476332181094</v>
      </c>
      <c r="BH199" s="607" t="s">
        <v>627</v>
      </c>
      <c r="BI199" s="868">
        <v>1.0301</v>
      </c>
      <c r="BJ199" s="2629"/>
      <c r="BK199" s="2629"/>
      <c r="BL199" s="2629"/>
      <c r="BM199" s="2629"/>
      <c r="BN199" s="2629"/>
      <c r="BO199" s="2629"/>
      <c r="BP199" s="2629"/>
      <c r="BQ199" s="545" t="s">
        <v>2233</v>
      </c>
      <c r="BR199" s="141">
        <v>0.17986700131872649</v>
      </c>
      <c r="BS199" s="545" t="s">
        <v>2233</v>
      </c>
      <c r="BT199" s="141">
        <v>0.26065093987626864</v>
      </c>
      <c r="BU199" s="545" t="s">
        <v>2233</v>
      </c>
      <c r="BV199" s="141">
        <v>0.27180894243946513</v>
      </c>
      <c r="BW199" s="607" t="s">
        <v>627</v>
      </c>
      <c r="BX199" s="872">
        <v>0.92090000000000005</v>
      </c>
      <c r="BY199" s="2629"/>
      <c r="BZ199" s="2629"/>
      <c r="CA199" s="2629"/>
      <c r="CB199" s="2629"/>
      <c r="CC199" s="2629"/>
      <c r="CD199" s="2629"/>
      <c r="CE199" s="2629"/>
      <c r="CF199" s="2629"/>
    </row>
    <row r="200" spans="1:84" s="98" customFormat="1" ht="15" customHeight="1">
      <c r="A200" s="99"/>
      <c r="B200" s="2687"/>
      <c r="C200" s="2688" t="s">
        <v>1710</v>
      </c>
      <c r="D200" s="2688"/>
      <c r="E200" s="2688"/>
      <c r="F200" s="2688"/>
      <c r="G200" s="2645"/>
      <c r="H200" s="2645"/>
      <c r="I200" s="2503"/>
      <c r="J200" s="2503"/>
      <c r="K200" s="2503"/>
      <c r="L200" s="2503"/>
      <c r="M200" s="2503"/>
      <c r="N200" s="2503"/>
      <c r="O200" s="2503"/>
      <c r="P200" s="2503"/>
      <c r="Q200" s="2503"/>
      <c r="R200" s="2503"/>
      <c r="S200" s="2503"/>
      <c r="T200" s="2503"/>
      <c r="U200" s="2503"/>
      <c r="V200" s="2503"/>
      <c r="W200" s="2629"/>
      <c r="X200" s="2503"/>
      <c r="Y200" s="2503"/>
      <c r="Z200" s="2503"/>
      <c r="AA200" s="2503"/>
      <c r="AB200" s="2503"/>
      <c r="AC200" s="2503"/>
      <c r="AD200" s="2503"/>
      <c r="AE200" s="2503"/>
      <c r="AF200" s="2503"/>
      <c r="AG200" s="2503"/>
      <c r="AH200" s="2503"/>
      <c r="AI200" s="2503"/>
      <c r="AJ200" s="2503"/>
      <c r="AK200" s="2503"/>
      <c r="AL200" s="2629"/>
      <c r="AM200" s="607" t="s">
        <v>2233</v>
      </c>
      <c r="AN200" s="641">
        <f>SUM(AN196:AN199)</f>
        <v>-1.7999999999999998</v>
      </c>
      <c r="AO200" s="642">
        <f t="shared" ref="AO200:AZ200" si="49">SUM(AO196:AO199)</f>
        <v>-0.77300000000000013</v>
      </c>
      <c r="AP200" s="642">
        <f t="shared" si="49"/>
        <v>-3.1024999999999991</v>
      </c>
      <c r="AQ200" s="642">
        <f t="shared" si="49"/>
        <v>-9.5000000000000015E-2</v>
      </c>
      <c r="AR200" s="642">
        <f t="shared" si="49"/>
        <v>-8.7999999999999995E-2</v>
      </c>
      <c r="AS200" s="642">
        <f t="shared" si="49"/>
        <v>-0.76900000000000002</v>
      </c>
      <c r="AT200" s="642">
        <f t="shared" si="49"/>
        <v>-1.1000000000000003</v>
      </c>
      <c r="AU200" s="643">
        <f t="shared" si="49"/>
        <v>-1.100351008143909</v>
      </c>
      <c r="AV200" s="641">
        <f t="shared" si="49"/>
        <v>-2.7454431118403022</v>
      </c>
      <c r="AW200" s="642">
        <f t="shared" si="49"/>
        <v>-2.7454431118403022</v>
      </c>
      <c r="AX200" s="642">
        <f t="shared" si="49"/>
        <v>-2.7454431118403022</v>
      </c>
      <c r="AY200" s="642">
        <f t="shared" si="49"/>
        <v>-2.7454431118403022</v>
      </c>
      <c r="AZ200" s="643">
        <f t="shared" si="49"/>
        <v>-2.7454431118403022</v>
      </c>
      <c r="BA200" s="2629"/>
      <c r="BB200" s="545" t="s">
        <v>2233</v>
      </c>
      <c r="BC200" s="642">
        <f t="shared" ref="BC200:BG200" si="50">SUM(BC196:BC199)</f>
        <v>2.2290876919060119</v>
      </c>
      <c r="BD200" s="545" t="s">
        <v>2233</v>
      </c>
      <c r="BE200" s="642">
        <f t="shared" si="50"/>
        <v>3.2302412210250888</v>
      </c>
      <c r="BF200" s="545" t="s">
        <v>2233</v>
      </c>
      <c r="BG200" s="642">
        <f t="shared" si="50"/>
        <v>3.368522095212807</v>
      </c>
      <c r="BH200" s="545" t="s">
        <v>627</v>
      </c>
      <c r="BI200" s="542"/>
      <c r="BJ200" s="2629"/>
      <c r="BK200" s="2629"/>
      <c r="BL200" s="2629"/>
      <c r="BM200" s="2629"/>
      <c r="BN200" s="2629"/>
      <c r="BO200" s="2629"/>
      <c r="BP200" s="2629"/>
      <c r="BQ200" s="545" t="s">
        <v>2233</v>
      </c>
      <c r="BR200" s="642">
        <f t="shared" ref="BR200" si="51">SUM(BR196:BR199)</f>
        <v>3.4662079388209328</v>
      </c>
      <c r="BS200" s="545" t="s">
        <v>2233</v>
      </c>
      <c r="BT200" s="642">
        <f t="shared" ref="BT200" si="52">SUM(BT196:BT199)</f>
        <v>5.0229911570010533</v>
      </c>
      <c r="BU200" s="545" t="s">
        <v>2233</v>
      </c>
      <c r="BV200" s="642">
        <f t="shared" ref="BV200" si="53">SUM(BV196:BV199)</f>
        <v>5.2380164633795241</v>
      </c>
      <c r="BW200" s="545" t="s">
        <v>627</v>
      </c>
      <c r="BX200" s="1359"/>
      <c r="BY200" s="2629"/>
      <c r="BZ200" s="2629"/>
      <c r="CA200" s="2629"/>
      <c r="CB200" s="2629"/>
      <c r="CC200" s="2629"/>
      <c r="CD200" s="2629"/>
      <c r="CE200" s="2629"/>
      <c r="CF200" s="2629"/>
    </row>
    <row r="201" spans="1:84" s="98" customFormat="1" ht="15" customHeight="1">
      <c r="A201" s="99"/>
      <c r="B201" s="123"/>
      <c r="C201" s="2686"/>
      <c r="D201" s="2686"/>
      <c r="E201" s="2686"/>
      <c r="F201" s="2686"/>
      <c r="G201" s="94"/>
      <c r="H201" s="94"/>
      <c r="I201" s="2503"/>
      <c r="J201" s="2503"/>
      <c r="K201" s="2503"/>
      <c r="L201" s="2503"/>
      <c r="M201" s="2503"/>
      <c r="N201" s="2503"/>
      <c r="O201" s="2503"/>
      <c r="P201" s="2503"/>
      <c r="Q201" s="2503"/>
      <c r="R201" s="2503"/>
      <c r="S201" s="2503"/>
      <c r="T201" s="2503"/>
      <c r="U201" s="2503"/>
      <c r="V201" s="2503"/>
      <c r="W201" s="2629"/>
      <c r="X201" s="2503"/>
      <c r="Y201" s="2503"/>
      <c r="Z201" s="2503"/>
      <c r="AA201" s="2503"/>
      <c r="AB201" s="2503"/>
      <c r="AC201" s="2503"/>
      <c r="AD201" s="2503"/>
      <c r="AE201" s="2503"/>
      <c r="AF201" s="2503"/>
      <c r="AG201" s="2503"/>
      <c r="AH201" s="2503"/>
      <c r="AI201" s="2503"/>
      <c r="AJ201" s="2503"/>
      <c r="AK201" s="2503"/>
      <c r="AL201" s="2629"/>
      <c r="AM201" s="94"/>
      <c r="AN201" s="713"/>
      <c r="AO201" s="2649"/>
      <c r="AP201" s="2649"/>
      <c r="AQ201" s="2649"/>
      <c r="AR201" s="2649"/>
      <c r="AS201" s="2649"/>
      <c r="AT201" s="2649"/>
      <c r="AU201" s="715"/>
      <c r="AV201" s="713"/>
      <c r="AW201" s="2649"/>
      <c r="AX201" s="2649"/>
      <c r="AY201" s="2649"/>
      <c r="AZ201" s="715"/>
      <c r="BA201" s="2629"/>
      <c r="BB201" s="542"/>
      <c r="BC201" s="2647"/>
      <c r="BD201" s="542"/>
      <c r="BE201" s="2647"/>
      <c r="BF201" s="542"/>
      <c r="BG201" s="2647"/>
      <c r="BH201" s="542"/>
      <c r="BI201" s="542"/>
      <c r="BJ201" s="542"/>
      <c r="BK201" s="2629"/>
      <c r="BL201" s="2629"/>
      <c r="BM201" s="2629"/>
      <c r="BN201" s="2629"/>
      <c r="BO201" s="2629"/>
      <c r="BP201" s="2629"/>
      <c r="BQ201" s="542"/>
      <c r="BR201" s="2647"/>
      <c r="BS201" s="542"/>
      <c r="BT201" s="2647"/>
      <c r="BU201" s="542"/>
      <c r="BV201" s="2647"/>
      <c r="BW201" s="542"/>
      <c r="BX201" s="544"/>
      <c r="BY201" s="2629"/>
      <c r="BZ201" s="2629"/>
      <c r="CA201" s="2629"/>
      <c r="CB201" s="2629"/>
      <c r="CC201" s="2629"/>
      <c r="CD201" s="2629"/>
      <c r="CE201" s="2629"/>
      <c r="CF201" s="2629"/>
    </row>
    <row r="202" spans="1:84" s="98" customFormat="1" ht="15" customHeight="1">
      <c r="A202" s="99"/>
      <c r="B202" s="2687"/>
      <c r="C202" s="2685" t="s">
        <v>1683</v>
      </c>
      <c r="D202" s="2685"/>
      <c r="E202" s="2685"/>
      <c r="F202" s="2685"/>
      <c r="G202" s="94"/>
      <c r="H202" s="94"/>
      <c r="I202" s="2503"/>
      <c r="J202" s="2503"/>
      <c r="K202" s="2503"/>
      <c r="L202" s="2503"/>
      <c r="M202" s="2503"/>
      <c r="N202" s="2503"/>
      <c r="O202" s="2503"/>
      <c r="P202" s="2503"/>
      <c r="Q202" s="2503"/>
      <c r="R202" s="2503"/>
      <c r="S202" s="2503"/>
      <c r="T202" s="2503"/>
      <c r="U202" s="2503"/>
      <c r="V202" s="2503"/>
      <c r="W202" s="2629"/>
      <c r="X202" s="2503"/>
      <c r="Y202" s="2503"/>
      <c r="Z202" s="2503"/>
      <c r="AA202" s="2503"/>
      <c r="AB202" s="2503"/>
      <c r="AC202" s="2503"/>
      <c r="AD202" s="2503"/>
      <c r="AE202" s="2503"/>
      <c r="AF202" s="2503"/>
      <c r="AG202" s="2503"/>
      <c r="AH202" s="2503"/>
      <c r="AI202" s="2503"/>
      <c r="AJ202" s="2503"/>
      <c r="AK202" s="2503"/>
      <c r="AL202" s="2629"/>
      <c r="AM202" s="94"/>
      <c r="AN202" s="713"/>
      <c r="AO202" s="2649"/>
      <c r="AP202" s="2649"/>
      <c r="AQ202" s="2649"/>
      <c r="AR202" s="2649"/>
      <c r="AS202" s="2649"/>
      <c r="AT202" s="2649"/>
      <c r="AU202" s="715"/>
      <c r="AV202" s="713"/>
      <c r="AW202" s="2649"/>
      <c r="AX202" s="2649"/>
      <c r="AY202" s="2649"/>
      <c r="AZ202" s="715"/>
      <c r="BA202" s="2629"/>
      <c r="BB202" s="542"/>
      <c r="BC202" s="2647"/>
      <c r="BD202" s="542"/>
      <c r="BE202" s="2647"/>
      <c r="BF202" s="542"/>
      <c r="BG202" s="2647"/>
      <c r="BH202" s="542"/>
      <c r="BI202" s="542"/>
      <c r="BJ202" s="542"/>
      <c r="BK202" s="2629"/>
      <c r="BL202" s="2629"/>
      <c r="BM202" s="2629"/>
      <c r="BN202" s="2629"/>
      <c r="BO202" s="2629"/>
      <c r="BP202" s="2629"/>
      <c r="BQ202" s="542"/>
      <c r="BR202" s="2647"/>
      <c r="BS202" s="542"/>
      <c r="BT202" s="2647"/>
      <c r="BU202" s="542"/>
      <c r="BV202" s="2647"/>
      <c r="BW202" s="542"/>
      <c r="BX202" s="544"/>
      <c r="BY202" s="2629"/>
      <c r="BZ202" s="2629"/>
      <c r="CA202" s="2629"/>
      <c r="CB202" s="2629"/>
      <c r="CC202" s="2629"/>
      <c r="CD202" s="2629"/>
      <c r="CE202" s="2629"/>
      <c r="CF202" s="2629"/>
    </row>
    <row r="203" spans="1:84" s="98" customFormat="1" ht="15" customHeight="1">
      <c r="A203" s="99"/>
      <c r="B203" s="2687"/>
      <c r="C203" s="2688"/>
      <c r="D203" s="2688" t="s">
        <v>2726</v>
      </c>
      <c r="E203" s="2688"/>
      <c r="F203" s="2688"/>
      <c r="G203" s="2645"/>
      <c r="H203" s="2645"/>
      <c r="I203" s="2503"/>
      <c r="J203" s="2503"/>
      <c r="K203" s="2503"/>
      <c r="L203" s="2503"/>
      <c r="M203" s="2503"/>
      <c r="N203" s="2503"/>
      <c r="O203" s="2503"/>
      <c r="P203" s="2503"/>
      <c r="Q203" s="2503"/>
      <c r="R203" s="2503"/>
      <c r="S203" s="2503"/>
      <c r="T203" s="2503"/>
      <c r="U203" s="2503"/>
      <c r="V203" s="2503"/>
      <c r="W203" s="2629"/>
      <c r="X203" s="2503"/>
      <c r="Y203" s="2503"/>
      <c r="Z203" s="2503"/>
      <c r="AA203" s="2503"/>
      <c r="AB203" s="2503"/>
      <c r="AC203" s="2503"/>
      <c r="AD203" s="2503"/>
      <c r="AE203" s="2503"/>
      <c r="AF203" s="2503"/>
      <c r="AG203" s="2503"/>
      <c r="AH203" s="2503"/>
      <c r="AI203" s="2503"/>
      <c r="AJ203" s="2503"/>
      <c r="AK203" s="2503"/>
      <c r="AL203" s="2629"/>
      <c r="AM203" s="607" t="s">
        <v>2233</v>
      </c>
      <c r="AN203" s="143">
        <v>0</v>
      </c>
      <c r="AO203" s="141">
        <v>0</v>
      </c>
      <c r="AP203" s="141">
        <v>0</v>
      </c>
      <c r="AQ203" s="141">
        <v>0</v>
      </c>
      <c r="AR203" s="141">
        <v>0</v>
      </c>
      <c r="AS203" s="141">
        <v>0</v>
      </c>
      <c r="AT203" s="141">
        <v>0</v>
      </c>
      <c r="AU203" s="144">
        <v>0</v>
      </c>
      <c r="AV203" s="143">
        <v>0</v>
      </c>
      <c r="AW203" s="141">
        <v>0</v>
      </c>
      <c r="AX203" s="141">
        <v>0</v>
      </c>
      <c r="AY203" s="141">
        <v>0</v>
      </c>
      <c r="AZ203" s="144">
        <v>0</v>
      </c>
      <c r="BA203" s="2629"/>
      <c r="BB203" s="545" t="s">
        <v>2233</v>
      </c>
      <c r="BC203" s="141">
        <v>0</v>
      </c>
      <c r="BD203" s="545" t="s">
        <v>2233</v>
      </c>
      <c r="BE203" s="141">
        <v>0</v>
      </c>
      <c r="BF203" s="545" t="s">
        <v>2233</v>
      </c>
      <c r="BG203" s="141">
        <v>0</v>
      </c>
      <c r="BH203" s="607" t="s">
        <v>627</v>
      </c>
      <c r="BI203" s="868">
        <v>0</v>
      </c>
      <c r="BJ203" s="2629"/>
      <c r="BK203" s="2629"/>
      <c r="BL203" s="2629"/>
      <c r="BM203" s="2629"/>
      <c r="BN203" s="2629"/>
      <c r="BO203" s="2629"/>
      <c r="BP203" s="2629"/>
      <c r="BQ203" s="545" t="s">
        <v>2233</v>
      </c>
      <c r="BR203" s="141">
        <v>0</v>
      </c>
      <c r="BS203" s="545" t="s">
        <v>2233</v>
      </c>
      <c r="BT203" s="141">
        <v>0</v>
      </c>
      <c r="BU203" s="545" t="s">
        <v>2233</v>
      </c>
      <c r="BV203" s="141">
        <v>0</v>
      </c>
      <c r="BW203" s="607" t="s">
        <v>627</v>
      </c>
      <c r="BX203" s="872">
        <v>0</v>
      </c>
      <c r="BY203" s="2629"/>
      <c r="BZ203" s="2629"/>
      <c r="CA203" s="2629"/>
      <c r="CB203" s="2629"/>
      <c r="CC203" s="2629"/>
      <c r="CD203" s="2629"/>
      <c r="CE203" s="2629"/>
      <c r="CF203" s="2629"/>
    </row>
    <row r="204" spans="1:84" s="98" customFormat="1" ht="15" customHeight="1">
      <c r="A204" s="99"/>
      <c r="B204" s="2687"/>
      <c r="C204" s="2688"/>
      <c r="D204" s="2688" t="s">
        <v>2727</v>
      </c>
      <c r="E204" s="2688"/>
      <c r="F204" s="2688"/>
      <c r="G204" s="2645"/>
      <c r="H204" s="2645"/>
      <c r="I204" s="2503"/>
      <c r="J204" s="2503"/>
      <c r="K204" s="2503"/>
      <c r="L204" s="2503"/>
      <c r="M204" s="2503"/>
      <c r="N204" s="2503"/>
      <c r="O204" s="2503"/>
      <c r="P204" s="2503"/>
      <c r="Q204" s="2503"/>
      <c r="R204" s="2503"/>
      <c r="S204" s="2503"/>
      <c r="T204" s="2503"/>
      <c r="U204" s="2503"/>
      <c r="V204" s="2503"/>
      <c r="W204" s="2629"/>
      <c r="X204" s="2503"/>
      <c r="Y204" s="2503"/>
      <c r="Z204" s="2503"/>
      <c r="AA204" s="2503"/>
      <c r="AB204" s="2503"/>
      <c r="AC204" s="2503"/>
      <c r="AD204" s="2503"/>
      <c r="AE204" s="2503"/>
      <c r="AF204" s="2503"/>
      <c r="AG204" s="2503"/>
      <c r="AH204" s="2503"/>
      <c r="AI204" s="2503"/>
      <c r="AJ204" s="2503"/>
      <c r="AK204" s="2503"/>
      <c r="AL204" s="2629"/>
      <c r="AM204" s="607" t="s">
        <v>2233</v>
      </c>
      <c r="AN204" s="143">
        <v>0</v>
      </c>
      <c r="AO204" s="141">
        <v>0</v>
      </c>
      <c r="AP204" s="141">
        <v>0</v>
      </c>
      <c r="AQ204" s="141">
        <v>0</v>
      </c>
      <c r="AR204" s="141">
        <v>0</v>
      </c>
      <c r="AS204" s="141">
        <v>0</v>
      </c>
      <c r="AT204" s="141">
        <v>0</v>
      </c>
      <c r="AU204" s="144">
        <v>0</v>
      </c>
      <c r="AV204" s="143">
        <v>0</v>
      </c>
      <c r="AW204" s="141">
        <v>0</v>
      </c>
      <c r="AX204" s="141">
        <v>0</v>
      </c>
      <c r="AY204" s="141">
        <v>0</v>
      </c>
      <c r="AZ204" s="144">
        <v>0</v>
      </c>
      <c r="BA204" s="2629"/>
      <c r="BB204" s="545" t="s">
        <v>2233</v>
      </c>
      <c r="BC204" s="141">
        <v>0</v>
      </c>
      <c r="BD204" s="545" t="s">
        <v>2233</v>
      </c>
      <c r="BE204" s="141">
        <v>0</v>
      </c>
      <c r="BF204" s="545" t="s">
        <v>2233</v>
      </c>
      <c r="BG204" s="141">
        <v>0</v>
      </c>
      <c r="BH204" s="607" t="s">
        <v>627</v>
      </c>
      <c r="BI204" s="868">
        <v>0</v>
      </c>
      <c r="BJ204" s="2629"/>
      <c r="BK204" s="2629"/>
      <c r="BL204" s="2629"/>
      <c r="BM204" s="2629"/>
      <c r="BN204" s="2629"/>
      <c r="BO204" s="2629"/>
      <c r="BP204" s="2629"/>
      <c r="BQ204" s="545" t="s">
        <v>2233</v>
      </c>
      <c r="BR204" s="141">
        <v>0</v>
      </c>
      <c r="BS204" s="545" t="s">
        <v>2233</v>
      </c>
      <c r="BT204" s="141">
        <v>0</v>
      </c>
      <c r="BU204" s="545" t="s">
        <v>2233</v>
      </c>
      <c r="BV204" s="141">
        <v>0</v>
      </c>
      <c r="BW204" s="607" t="s">
        <v>627</v>
      </c>
      <c r="BX204" s="872">
        <v>0</v>
      </c>
      <c r="BY204" s="2629"/>
      <c r="BZ204" s="2629"/>
      <c r="CA204" s="2629"/>
      <c r="CB204" s="2629"/>
      <c r="CC204" s="2629"/>
      <c r="CD204" s="2629"/>
      <c r="CE204" s="2629"/>
      <c r="CF204" s="2629"/>
    </row>
    <row r="205" spans="1:84" s="98" customFormat="1" ht="15" customHeight="1">
      <c r="A205" s="99"/>
      <c r="B205" s="2687"/>
      <c r="C205" s="2688"/>
      <c r="D205" s="2688" t="s">
        <v>2728</v>
      </c>
      <c r="E205" s="2688"/>
      <c r="F205" s="2688"/>
      <c r="G205" s="2645"/>
      <c r="H205" s="2645"/>
      <c r="I205" s="2503"/>
      <c r="J205" s="2503"/>
      <c r="K205" s="2503"/>
      <c r="L205" s="2503"/>
      <c r="M205" s="2503"/>
      <c r="N205" s="2503"/>
      <c r="O205" s="2503"/>
      <c r="P205" s="2503"/>
      <c r="Q205" s="2503"/>
      <c r="R205" s="2503"/>
      <c r="S205" s="2503"/>
      <c r="T205" s="2503"/>
      <c r="U205" s="2503"/>
      <c r="V205" s="2503"/>
      <c r="W205" s="2629"/>
      <c r="X205" s="2503"/>
      <c r="Y205" s="2503"/>
      <c r="Z205" s="2503"/>
      <c r="AA205" s="2503"/>
      <c r="AB205" s="2503"/>
      <c r="AC205" s="2503"/>
      <c r="AD205" s="2503"/>
      <c r="AE205" s="2503"/>
      <c r="AF205" s="2503"/>
      <c r="AG205" s="2503"/>
      <c r="AH205" s="2503"/>
      <c r="AI205" s="2503"/>
      <c r="AJ205" s="2503"/>
      <c r="AK205" s="2503"/>
      <c r="AL205" s="2629"/>
      <c r="AM205" s="607" t="s">
        <v>2233</v>
      </c>
      <c r="AN205" s="143">
        <v>0</v>
      </c>
      <c r="AO205" s="141">
        <v>0</v>
      </c>
      <c r="AP205" s="141">
        <v>0</v>
      </c>
      <c r="AQ205" s="141">
        <v>0</v>
      </c>
      <c r="AR205" s="141">
        <v>0</v>
      </c>
      <c r="AS205" s="141">
        <v>0</v>
      </c>
      <c r="AT205" s="141">
        <v>0</v>
      </c>
      <c r="AU205" s="144">
        <v>0</v>
      </c>
      <c r="AV205" s="143">
        <v>0</v>
      </c>
      <c r="AW205" s="141">
        <v>0</v>
      </c>
      <c r="AX205" s="141">
        <v>0</v>
      </c>
      <c r="AY205" s="141">
        <v>0</v>
      </c>
      <c r="AZ205" s="144">
        <v>0</v>
      </c>
      <c r="BA205" s="2629"/>
      <c r="BB205" s="545" t="s">
        <v>2233</v>
      </c>
      <c r="BC205" s="141">
        <v>0</v>
      </c>
      <c r="BD205" s="545" t="s">
        <v>2233</v>
      </c>
      <c r="BE205" s="141">
        <v>0</v>
      </c>
      <c r="BF205" s="545" t="s">
        <v>2233</v>
      </c>
      <c r="BG205" s="141">
        <v>0</v>
      </c>
      <c r="BH205" s="607" t="s">
        <v>627</v>
      </c>
      <c r="BI205" s="868">
        <v>0</v>
      </c>
      <c r="BJ205" s="2629"/>
      <c r="BK205" s="2629"/>
      <c r="BL205" s="2629"/>
      <c r="BM205" s="2629"/>
      <c r="BN205" s="2629"/>
      <c r="BO205" s="2629"/>
      <c r="BP205" s="2629"/>
      <c r="BQ205" s="545" t="s">
        <v>2233</v>
      </c>
      <c r="BR205" s="141">
        <v>0</v>
      </c>
      <c r="BS205" s="545" t="s">
        <v>2233</v>
      </c>
      <c r="BT205" s="141">
        <v>0</v>
      </c>
      <c r="BU205" s="545" t="s">
        <v>2233</v>
      </c>
      <c r="BV205" s="141">
        <v>0</v>
      </c>
      <c r="BW205" s="607" t="s">
        <v>627</v>
      </c>
      <c r="BX205" s="872">
        <v>0</v>
      </c>
      <c r="BY205" s="2629"/>
      <c r="BZ205" s="2629"/>
      <c r="CA205" s="2629"/>
      <c r="CB205" s="2629"/>
      <c r="CC205" s="2629"/>
      <c r="CD205" s="2629"/>
      <c r="CE205" s="2629"/>
      <c r="CF205" s="2629"/>
    </row>
    <row r="206" spans="1:84" s="98" customFormat="1" ht="15" customHeight="1">
      <c r="A206" s="99"/>
      <c r="B206" s="2687"/>
      <c r="C206" s="2688" t="s">
        <v>1710</v>
      </c>
      <c r="D206" s="2688"/>
      <c r="E206" s="2688"/>
      <c r="F206" s="2688"/>
      <c r="G206" s="2645"/>
      <c r="H206" s="2645"/>
      <c r="I206" s="2503"/>
      <c r="J206" s="2503"/>
      <c r="K206" s="2503"/>
      <c r="L206" s="2503"/>
      <c r="M206" s="2503"/>
      <c r="N206" s="2503"/>
      <c r="O206" s="2503"/>
      <c r="P206" s="2503"/>
      <c r="Q206" s="2503"/>
      <c r="R206" s="2503"/>
      <c r="S206" s="2503"/>
      <c r="T206" s="2503"/>
      <c r="U206" s="2503"/>
      <c r="V206" s="2503"/>
      <c r="W206" s="2629"/>
      <c r="X206" s="2503"/>
      <c r="Y206" s="2503"/>
      <c r="Z206" s="2503"/>
      <c r="AA206" s="2503"/>
      <c r="AB206" s="2503"/>
      <c r="AC206" s="2503"/>
      <c r="AD206" s="2503"/>
      <c r="AE206" s="2503"/>
      <c r="AF206" s="2503"/>
      <c r="AG206" s="2503"/>
      <c r="AH206" s="2503"/>
      <c r="AI206" s="2503"/>
      <c r="AJ206" s="2503"/>
      <c r="AK206" s="2503"/>
      <c r="AL206" s="2629"/>
      <c r="AM206" s="607" t="s">
        <v>2233</v>
      </c>
      <c r="AN206" s="641">
        <f>SUM(AN203:AN205)</f>
        <v>0</v>
      </c>
      <c r="AO206" s="642">
        <f t="shared" ref="AO206:AZ206" si="54">SUM(AO203:AO205)</f>
        <v>0</v>
      </c>
      <c r="AP206" s="642">
        <f t="shared" si="54"/>
        <v>0</v>
      </c>
      <c r="AQ206" s="642">
        <f t="shared" si="54"/>
        <v>0</v>
      </c>
      <c r="AR206" s="642">
        <f t="shared" si="54"/>
        <v>0</v>
      </c>
      <c r="AS206" s="642">
        <f t="shared" si="54"/>
        <v>0</v>
      </c>
      <c r="AT206" s="642">
        <f t="shared" si="54"/>
        <v>0</v>
      </c>
      <c r="AU206" s="643">
        <f t="shared" si="54"/>
        <v>0</v>
      </c>
      <c r="AV206" s="641">
        <f t="shared" si="54"/>
        <v>0</v>
      </c>
      <c r="AW206" s="642">
        <f t="shared" si="54"/>
        <v>0</v>
      </c>
      <c r="AX206" s="642">
        <f t="shared" si="54"/>
        <v>0</v>
      </c>
      <c r="AY206" s="642">
        <f t="shared" si="54"/>
        <v>0</v>
      </c>
      <c r="AZ206" s="643">
        <f t="shared" si="54"/>
        <v>0</v>
      </c>
      <c r="BA206" s="2629"/>
      <c r="BB206" s="545" t="s">
        <v>2233</v>
      </c>
      <c r="BC206" s="642">
        <f t="shared" ref="BC206:BG206" si="55">SUM(BC203:BC205)</f>
        <v>0</v>
      </c>
      <c r="BD206" s="545" t="s">
        <v>2233</v>
      </c>
      <c r="BE206" s="642">
        <f t="shared" si="55"/>
        <v>0</v>
      </c>
      <c r="BF206" s="545" t="s">
        <v>2233</v>
      </c>
      <c r="BG206" s="642">
        <f t="shared" si="55"/>
        <v>0</v>
      </c>
      <c r="BH206" s="545" t="s">
        <v>627</v>
      </c>
      <c r="BI206" s="542"/>
      <c r="BJ206" s="2629"/>
      <c r="BK206" s="2629"/>
      <c r="BL206" s="2629"/>
      <c r="BM206" s="2629"/>
      <c r="BN206" s="2629"/>
      <c r="BO206" s="2629"/>
      <c r="BP206" s="2629"/>
      <c r="BQ206" s="545" t="s">
        <v>2233</v>
      </c>
      <c r="BR206" s="642">
        <f t="shared" ref="BR206" si="56">SUM(BR203:BR205)</f>
        <v>0</v>
      </c>
      <c r="BS206" s="545" t="s">
        <v>2233</v>
      </c>
      <c r="BT206" s="642">
        <f t="shared" ref="BT206" si="57">SUM(BT203:BT205)</f>
        <v>0</v>
      </c>
      <c r="BU206" s="545" t="s">
        <v>2233</v>
      </c>
      <c r="BV206" s="642">
        <f t="shared" ref="BV206" si="58">SUM(BV203:BV205)</f>
        <v>0</v>
      </c>
      <c r="BW206" s="545" t="s">
        <v>627</v>
      </c>
      <c r="BX206" s="1359"/>
      <c r="BY206" s="2629"/>
      <c r="BZ206" s="2629"/>
      <c r="CA206" s="2629"/>
      <c r="CB206" s="2629"/>
      <c r="CC206" s="2629"/>
      <c r="CD206" s="2629"/>
      <c r="CE206" s="2629"/>
      <c r="CF206" s="2629"/>
    </row>
    <row r="207" spans="1:84" s="98" customFormat="1" ht="15" customHeight="1">
      <c r="A207" s="99"/>
      <c r="B207" s="123"/>
      <c r="C207" s="2686"/>
      <c r="D207" s="2686"/>
      <c r="E207" s="2686"/>
      <c r="F207" s="2686"/>
      <c r="G207" s="94"/>
      <c r="H207" s="94"/>
      <c r="I207" s="2503"/>
      <c r="J207" s="2503"/>
      <c r="K207" s="2503"/>
      <c r="L207" s="2503"/>
      <c r="M207" s="2503"/>
      <c r="N207" s="2503"/>
      <c r="O207" s="2503"/>
      <c r="P207" s="2503"/>
      <c r="Q207" s="2503"/>
      <c r="R207" s="2503"/>
      <c r="S207" s="2503"/>
      <c r="T207" s="2503"/>
      <c r="U207" s="2503"/>
      <c r="V207" s="2503"/>
      <c r="W207" s="2629"/>
      <c r="X207" s="2503"/>
      <c r="Y207" s="2503"/>
      <c r="Z207" s="2503"/>
      <c r="AA207" s="2503"/>
      <c r="AB207" s="2503"/>
      <c r="AC207" s="2503"/>
      <c r="AD207" s="2503"/>
      <c r="AE207" s="2503"/>
      <c r="AF207" s="2503"/>
      <c r="AG207" s="2503"/>
      <c r="AH207" s="2503"/>
      <c r="AI207" s="2503"/>
      <c r="AJ207" s="2503"/>
      <c r="AK207" s="2503"/>
      <c r="AL207" s="2629"/>
      <c r="AM207" s="94"/>
      <c r="AN207" s="713"/>
      <c r="AO207" s="2649"/>
      <c r="AP207" s="2649"/>
      <c r="AQ207" s="2649"/>
      <c r="AR207" s="2649"/>
      <c r="AS207" s="2649"/>
      <c r="AT207" s="2649"/>
      <c r="AU207" s="715"/>
      <c r="AV207" s="713"/>
      <c r="AW207" s="2649"/>
      <c r="AX207" s="2649"/>
      <c r="AY207" s="2649"/>
      <c r="AZ207" s="715"/>
      <c r="BA207" s="2629"/>
      <c r="BB207" s="542"/>
      <c r="BC207" s="2647"/>
      <c r="BD207" s="542"/>
      <c r="BE207" s="2647"/>
      <c r="BF207" s="542"/>
      <c r="BG207" s="2647"/>
      <c r="BH207" s="542"/>
      <c r="BI207" s="542"/>
      <c r="BJ207" s="542"/>
      <c r="BK207" s="2629"/>
      <c r="BL207" s="2629"/>
      <c r="BM207" s="2629"/>
      <c r="BN207" s="2629"/>
      <c r="BO207" s="2629"/>
      <c r="BP207" s="2629"/>
      <c r="BQ207" s="542"/>
      <c r="BR207" s="2647"/>
      <c r="BS207" s="542"/>
      <c r="BT207" s="2647"/>
      <c r="BU207" s="542"/>
      <c r="BV207" s="2647"/>
      <c r="BW207" s="542"/>
      <c r="BX207" s="544"/>
      <c r="BY207" s="2629"/>
      <c r="BZ207" s="2629"/>
      <c r="CA207" s="2629"/>
      <c r="CB207" s="2629"/>
      <c r="CC207" s="2629"/>
      <c r="CD207" s="2629"/>
      <c r="CE207" s="2629"/>
      <c r="CF207" s="2629"/>
    </row>
    <row r="208" spans="1:84" s="98" customFormat="1" ht="15" customHeight="1">
      <c r="A208" s="99"/>
      <c r="B208" s="2687"/>
      <c r="C208" s="2685" t="s">
        <v>1684</v>
      </c>
      <c r="D208" s="2685"/>
      <c r="E208" s="2685"/>
      <c r="F208" s="2685"/>
      <c r="G208" s="94"/>
      <c r="H208" s="94"/>
      <c r="I208" s="2503"/>
      <c r="J208" s="2503"/>
      <c r="K208" s="2503"/>
      <c r="L208" s="2503"/>
      <c r="M208" s="2503"/>
      <c r="N208" s="2503"/>
      <c r="O208" s="2503"/>
      <c r="P208" s="2503"/>
      <c r="Q208" s="2503"/>
      <c r="R208" s="2503"/>
      <c r="S208" s="2503"/>
      <c r="T208" s="2503"/>
      <c r="U208" s="2503"/>
      <c r="V208" s="2503"/>
      <c r="W208" s="2629"/>
      <c r="X208" s="2503"/>
      <c r="Y208" s="2503"/>
      <c r="Z208" s="2503"/>
      <c r="AA208" s="2503"/>
      <c r="AB208" s="2503"/>
      <c r="AC208" s="2503"/>
      <c r="AD208" s="2503"/>
      <c r="AE208" s="2503"/>
      <c r="AF208" s="2503"/>
      <c r="AG208" s="2503"/>
      <c r="AH208" s="2503"/>
      <c r="AI208" s="2503"/>
      <c r="AJ208" s="2503"/>
      <c r="AK208" s="2503"/>
      <c r="AL208" s="2629"/>
      <c r="AM208" s="94"/>
      <c r="AN208" s="713"/>
      <c r="AO208" s="2649"/>
      <c r="AP208" s="2649"/>
      <c r="AQ208" s="2649"/>
      <c r="AR208" s="2649"/>
      <c r="AS208" s="2649"/>
      <c r="AT208" s="2649"/>
      <c r="AU208" s="715"/>
      <c r="AV208" s="713"/>
      <c r="AW208" s="2649"/>
      <c r="AX208" s="2649"/>
      <c r="AY208" s="2649"/>
      <c r="AZ208" s="715"/>
      <c r="BA208" s="2629"/>
      <c r="BB208" s="542"/>
      <c r="BC208" s="2647"/>
      <c r="BD208" s="542"/>
      <c r="BE208" s="2647"/>
      <c r="BF208" s="542"/>
      <c r="BG208" s="2647"/>
      <c r="BH208" s="542"/>
      <c r="BI208" s="542"/>
      <c r="BJ208" s="542"/>
      <c r="BK208" s="2629"/>
      <c r="BL208" s="2629"/>
      <c r="BM208" s="2629"/>
      <c r="BN208" s="2629"/>
      <c r="BO208" s="2629"/>
      <c r="BP208" s="2629"/>
      <c r="BQ208" s="542"/>
      <c r="BR208" s="2647"/>
      <c r="BS208" s="542"/>
      <c r="BT208" s="2647"/>
      <c r="BU208" s="542"/>
      <c r="BV208" s="2647"/>
      <c r="BW208" s="542"/>
      <c r="BX208" s="544"/>
      <c r="BY208" s="2629"/>
      <c r="BZ208" s="2629"/>
      <c r="CA208" s="2629"/>
      <c r="CB208" s="2629"/>
      <c r="CC208" s="2629"/>
      <c r="CD208" s="2629"/>
      <c r="CE208" s="2629"/>
      <c r="CF208" s="2629"/>
    </row>
    <row r="209" spans="1:84" s="98" customFormat="1" ht="15" customHeight="1">
      <c r="A209" s="99"/>
      <c r="B209" s="2687"/>
      <c r="C209" s="2688"/>
      <c r="D209" s="2688" t="s">
        <v>2726</v>
      </c>
      <c r="E209" s="2688"/>
      <c r="F209" s="2688"/>
      <c r="G209" s="2645"/>
      <c r="H209" s="2645"/>
      <c r="I209" s="2503"/>
      <c r="J209" s="2503"/>
      <c r="K209" s="2503"/>
      <c r="L209" s="2503"/>
      <c r="M209" s="2503"/>
      <c r="N209" s="2503"/>
      <c r="O209" s="2503"/>
      <c r="P209" s="2503"/>
      <c r="Q209" s="2503"/>
      <c r="R209" s="2503"/>
      <c r="S209" s="2503"/>
      <c r="T209" s="2503"/>
      <c r="U209" s="2503"/>
      <c r="V209" s="2503"/>
      <c r="W209" s="2629"/>
      <c r="X209" s="2503"/>
      <c r="Y209" s="2503"/>
      <c r="Z209" s="2503"/>
      <c r="AA209" s="2503"/>
      <c r="AB209" s="2503"/>
      <c r="AC209" s="2503"/>
      <c r="AD209" s="2503"/>
      <c r="AE209" s="2503"/>
      <c r="AF209" s="2503"/>
      <c r="AG209" s="2503"/>
      <c r="AH209" s="2503"/>
      <c r="AI209" s="2503"/>
      <c r="AJ209" s="2503"/>
      <c r="AK209" s="2503"/>
      <c r="AL209" s="2629"/>
      <c r="AM209" s="607" t="s">
        <v>2233</v>
      </c>
      <c r="AN209" s="143">
        <v>0</v>
      </c>
      <c r="AO209" s="141">
        <v>0</v>
      </c>
      <c r="AP209" s="141">
        <v>0</v>
      </c>
      <c r="AQ209" s="141">
        <v>0</v>
      </c>
      <c r="AR209" s="141">
        <v>0</v>
      </c>
      <c r="AS209" s="141">
        <v>0</v>
      </c>
      <c r="AT209" s="141">
        <v>-1.3760000000000003E-2</v>
      </c>
      <c r="AU209" s="144">
        <v>0</v>
      </c>
      <c r="AV209" s="143">
        <v>-7.7002934068864839E-2</v>
      </c>
      <c r="AW209" s="141">
        <v>-7.7002934068864839E-2</v>
      </c>
      <c r="AX209" s="141">
        <v>-7.7002934068864839E-2</v>
      </c>
      <c r="AY209" s="141">
        <v>-7.7002934068864839E-2</v>
      </c>
      <c r="AZ209" s="144">
        <v>-7.7002934068864839E-2</v>
      </c>
      <c r="BA209" s="2629"/>
      <c r="BB209" s="545" t="s">
        <v>2233</v>
      </c>
      <c r="BC209" s="141">
        <v>3.5763876651982388E-3</v>
      </c>
      <c r="BD209" s="545" t="s">
        <v>2233</v>
      </c>
      <c r="BE209" s="141">
        <v>6.1222907488986799E-3</v>
      </c>
      <c r="BF209" s="545" t="s">
        <v>2233</v>
      </c>
      <c r="BG209" s="141">
        <v>4.0613215859030853E-3</v>
      </c>
      <c r="BH209" s="607" t="s">
        <v>627</v>
      </c>
      <c r="BI209" s="868">
        <v>0.69910000000000005</v>
      </c>
      <c r="BJ209" s="2629"/>
      <c r="BK209" s="2629"/>
      <c r="BL209" s="2629"/>
      <c r="BM209" s="2629"/>
      <c r="BN209" s="2629"/>
      <c r="BO209" s="2629"/>
      <c r="BP209" s="2629"/>
      <c r="BQ209" s="545" t="s">
        <v>2233</v>
      </c>
      <c r="BR209" s="141">
        <v>0.10006989229213713</v>
      </c>
      <c r="BS209" s="545" t="s">
        <v>2233</v>
      </c>
      <c r="BT209" s="141">
        <v>0.17130608680518389</v>
      </c>
      <c r="BU209" s="545" t="s">
        <v>2233</v>
      </c>
      <c r="BV209" s="141">
        <v>0.11363869124700318</v>
      </c>
      <c r="BW209" s="607" t="s">
        <v>627</v>
      </c>
      <c r="BX209" s="872">
        <v>1.2077</v>
      </c>
      <c r="BY209" s="2629"/>
      <c r="BZ209" s="2629"/>
      <c r="CA209" s="2629"/>
      <c r="CB209" s="2629"/>
      <c r="CC209" s="2629"/>
      <c r="CD209" s="2629"/>
      <c r="CE209" s="2629"/>
      <c r="CF209" s="2629"/>
    </row>
    <row r="210" spans="1:84" s="98" customFormat="1" ht="15" customHeight="1">
      <c r="A210" s="99"/>
      <c r="B210" s="2687"/>
      <c r="C210" s="2688"/>
      <c r="D210" s="2688" t="s">
        <v>2727</v>
      </c>
      <c r="E210" s="2688"/>
      <c r="F210" s="2688"/>
      <c r="G210" s="2645"/>
      <c r="H210" s="2645"/>
      <c r="I210" s="2503"/>
      <c r="J210" s="2503"/>
      <c r="K210" s="2503"/>
      <c r="L210" s="2503"/>
      <c r="M210" s="2503"/>
      <c r="N210" s="2503"/>
      <c r="O210" s="2503"/>
      <c r="P210" s="2503"/>
      <c r="Q210" s="2503"/>
      <c r="R210" s="2503"/>
      <c r="S210" s="2503"/>
      <c r="T210" s="2503"/>
      <c r="U210" s="2503"/>
      <c r="V210" s="2503"/>
      <c r="W210" s="2629"/>
      <c r="X210" s="2503"/>
      <c r="Y210" s="2503"/>
      <c r="Z210" s="2503"/>
      <c r="AA210" s="2503"/>
      <c r="AB210" s="2503"/>
      <c r="AC210" s="2503"/>
      <c r="AD210" s="2503"/>
      <c r="AE210" s="2503"/>
      <c r="AF210" s="2503"/>
      <c r="AG210" s="2503"/>
      <c r="AH210" s="2503"/>
      <c r="AI210" s="2503"/>
      <c r="AJ210" s="2503"/>
      <c r="AK210" s="2503"/>
      <c r="AL210" s="2629"/>
      <c r="AM210" s="607" t="s">
        <v>2233</v>
      </c>
      <c r="AN210" s="143">
        <v>-1.2509999999999999</v>
      </c>
      <c r="AO210" s="141">
        <v>-0.14699999999999999</v>
      </c>
      <c r="AP210" s="141">
        <v>-0.377</v>
      </c>
      <c r="AQ210" s="141">
        <v>-0.129</v>
      </c>
      <c r="AR210" s="141">
        <v>0</v>
      </c>
      <c r="AS210" s="141">
        <v>0</v>
      </c>
      <c r="AT210" s="141">
        <v>-0.27662704289017548</v>
      </c>
      <c r="AU210" s="144">
        <v>-0.22698480351411804</v>
      </c>
      <c r="AV210" s="143">
        <v>-0.57752200551648625</v>
      </c>
      <c r="AW210" s="141">
        <v>-0.57752200551648625</v>
      </c>
      <c r="AX210" s="141">
        <v>-0.57752200551648625</v>
      </c>
      <c r="AY210" s="141">
        <v>-0.57752200551648625</v>
      </c>
      <c r="AZ210" s="144">
        <v>-0.57752200551648625</v>
      </c>
      <c r="BA210" s="2629"/>
      <c r="BB210" s="545" t="s">
        <v>2233</v>
      </c>
      <c r="BC210" s="141">
        <v>0.62576695567336271</v>
      </c>
      <c r="BD210" s="545" t="s">
        <v>2233</v>
      </c>
      <c r="BE210" s="141">
        <v>1.0712281783560953</v>
      </c>
      <c r="BF210" s="545" t="s">
        <v>2233</v>
      </c>
      <c r="BG210" s="141">
        <v>0.71061671237483559</v>
      </c>
      <c r="BH210" s="607" t="s">
        <v>627</v>
      </c>
      <c r="BI210" s="868">
        <v>0.69910000000000005</v>
      </c>
      <c r="BJ210" s="2629"/>
      <c r="BK210" s="2629"/>
      <c r="BL210" s="2629"/>
      <c r="BM210" s="2629"/>
      <c r="BN210" s="2629"/>
      <c r="BO210" s="2629"/>
      <c r="BP210" s="2629"/>
      <c r="BQ210" s="545" t="s">
        <v>2233</v>
      </c>
      <c r="BR210" s="141">
        <v>0.75052419219102839</v>
      </c>
      <c r="BS210" s="545" t="s">
        <v>2233</v>
      </c>
      <c r="BT210" s="141">
        <v>1.2847956510388789</v>
      </c>
      <c r="BU210" s="545" t="s">
        <v>2233</v>
      </c>
      <c r="BV210" s="141">
        <v>0.85229018435252379</v>
      </c>
      <c r="BW210" s="607" t="s">
        <v>627</v>
      </c>
      <c r="BX210" s="872">
        <v>1.2077</v>
      </c>
      <c r="BY210" s="2629"/>
      <c r="BZ210" s="2629"/>
      <c r="CA210" s="2629"/>
      <c r="CB210" s="2629"/>
      <c r="CC210" s="2629"/>
      <c r="CD210" s="2629"/>
      <c r="CE210" s="2629"/>
      <c r="CF210" s="2629"/>
    </row>
    <row r="211" spans="1:84" s="98" customFormat="1" ht="15" customHeight="1">
      <c r="A211" s="99"/>
      <c r="B211" s="2687"/>
      <c r="C211" s="2688"/>
      <c r="D211" s="2688" t="s">
        <v>2728</v>
      </c>
      <c r="E211" s="2688"/>
      <c r="F211" s="2688"/>
      <c r="G211" s="2645"/>
      <c r="H211" s="2645"/>
      <c r="I211" s="2503"/>
      <c r="J211" s="2503"/>
      <c r="K211" s="2503"/>
      <c r="L211" s="2503"/>
      <c r="M211" s="2503"/>
      <c r="N211" s="2503"/>
      <c r="O211" s="2503"/>
      <c r="P211" s="2503"/>
      <c r="Q211" s="2503"/>
      <c r="R211" s="2503"/>
      <c r="S211" s="2503"/>
      <c r="T211" s="2503"/>
      <c r="U211" s="2503"/>
      <c r="V211" s="2503"/>
      <c r="W211" s="2629"/>
      <c r="X211" s="2503"/>
      <c r="Y211" s="2503"/>
      <c r="Z211" s="2503"/>
      <c r="AA211" s="2503"/>
      <c r="AB211" s="2503"/>
      <c r="AC211" s="2503"/>
      <c r="AD211" s="2503"/>
      <c r="AE211" s="2503"/>
      <c r="AF211" s="2503"/>
      <c r="AG211" s="2503"/>
      <c r="AH211" s="2503"/>
      <c r="AI211" s="2503"/>
      <c r="AJ211" s="2503"/>
      <c r="AK211" s="2503"/>
      <c r="AL211" s="2629"/>
      <c r="AM211" s="607" t="s">
        <v>2233</v>
      </c>
      <c r="AN211" s="143">
        <v>-6.4000000000000001E-2</v>
      </c>
      <c r="AO211" s="141">
        <v>0</v>
      </c>
      <c r="AP211" s="141">
        <v>-0.27800000000000002</v>
      </c>
      <c r="AQ211" s="141">
        <v>-3.0000000000000001E-3</v>
      </c>
      <c r="AR211" s="141">
        <v>0</v>
      </c>
      <c r="AS211" s="141">
        <v>-0.151</v>
      </c>
      <c r="AT211" s="141">
        <v>-0.1096129571098246</v>
      </c>
      <c r="AU211" s="144">
        <v>-0.17301519648588204</v>
      </c>
      <c r="AV211" s="143">
        <v>-6.8646026495499654E-2</v>
      </c>
      <c r="AW211" s="141">
        <v>-6.8646026495499654E-2</v>
      </c>
      <c r="AX211" s="141">
        <v>-6.8646026495499654E-2</v>
      </c>
      <c r="AY211" s="141">
        <v>-6.8646026495499654E-2</v>
      </c>
      <c r="AZ211" s="144">
        <v>-6.8646026495499654E-2</v>
      </c>
      <c r="BA211" s="2629"/>
      <c r="BB211" s="545" t="s">
        <v>2233</v>
      </c>
      <c r="BC211" s="141">
        <v>0.20237471833544798</v>
      </c>
      <c r="BD211" s="545" t="s">
        <v>2233</v>
      </c>
      <c r="BE211" s="141">
        <v>0.34643807715051261</v>
      </c>
      <c r="BF211" s="545" t="s">
        <v>2233</v>
      </c>
      <c r="BG211" s="141">
        <v>0.22981535810974602</v>
      </c>
      <c r="BH211" s="607" t="s">
        <v>627</v>
      </c>
      <c r="BI211" s="868">
        <v>0.69910000000000005</v>
      </c>
      <c r="BJ211" s="2629"/>
      <c r="BK211" s="2629"/>
      <c r="BL211" s="2629"/>
      <c r="BM211" s="2629"/>
      <c r="BN211" s="2629"/>
      <c r="BO211" s="2629"/>
      <c r="BP211" s="2629"/>
      <c r="BQ211" s="545" t="s">
        <v>2233</v>
      </c>
      <c r="BR211" s="141">
        <v>8.9209593903843171E-2</v>
      </c>
      <c r="BS211" s="545" t="s">
        <v>2233</v>
      </c>
      <c r="BT211" s="141">
        <v>0.15271472854725696</v>
      </c>
      <c r="BU211" s="545" t="s">
        <v>2233</v>
      </c>
      <c r="BV211" s="141">
        <v>0.10130581002639817</v>
      </c>
      <c r="BW211" s="607" t="s">
        <v>627</v>
      </c>
      <c r="BX211" s="872">
        <v>1.2077</v>
      </c>
      <c r="BY211" s="2629"/>
      <c r="BZ211" s="2629"/>
      <c r="CA211" s="2629"/>
      <c r="CB211" s="2629"/>
      <c r="CC211" s="2629"/>
      <c r="CD211" s="2629"/>
      <c r="CE211" s="2629"/>
      <c r="CF211" s="2629"/>
    </row>
    <row r="212" spans="1:84" s="98" customFormat="1" ht="15" customHeight="1">
      <c r="A212" s="99"/>
      <c r="B212" s="2687"/>
      <c r="C212" s="2688" t="s">
        <v>1710</v>
      </c>
      <c r="D212" s="2688"/>
      <c r="E212" s="2688"/>
      <c r="F212" s="2688"/>
      <c r="G212" s="2645"/>
      <c r="H212" s="2645"/>
      <c r="I212" s="2503"/>
      <c r="J212" s="2503"/>
      <c r="K212" s="2503"/>
      <c r="L212" s="2503"/>
      <c r="M212" s="2503"/>
      <c r="N212" s="2503"/>
      <c r="O212" s="2503"/>
      <c r="P212" s="2503"/>
      <c r="Q212" s="2503"/>
      <c r="R212" s="2503"/>
      <c r="S212" s="2503"/>
      <c r="T212" s="2503"/>
      <c r="U212" s="2503"/>
      <c r="V212" s="2503"/>
      <c r="W212" s="2629"/>
      <c r="X212" s="2503"/>
      <c r="Y212" s="2503"/>
      <c r="Z212" s="2503"/>
      <c r="AA212" s="2503"/>
      <c r="AB212" s="2503"/>
      <c r="AC212" s="2503"/>
      <c r="AD212" s="2503"/>
      <c r="AE212" s="2503"/>
      <c r="AF212" s="2503"/>
      <c r="AG212" s="2503"/>
      <c r="AH212" s="2503"/>
      <c r="AI212" s="2503"/>
      <c r="AJ212" s="2503"/>
      <c r="AK212" s="2503"/>
      <c r="AL212" s="2629"/>
      <c r="AM212" s="607" t="s">
        <v>2233</v>
      </c>
      <c r="AN212" s="641">
        <f>SUM(AN209:AN211)</f>
        <v>-1.3149999999999999</v>
      </c>
      <c r="AO212" s="642">
        <f t="shared" ref="AO212:AZ212" si="59">SUM(AO209:AO211)</f>
        <v>-0.14699999999999999</v>
      </c>
      <c r="AP212" s="642">
        <f t="shared" si="59"/>
        <v>-0.65500000000000003</v>
      </c>
      <c r="AQ212" s="642">
        <f t="shared" si="59"/>
        <v>-0.13200000000000001</v>
      </c>
      <c r="AR212" s="642">
        <f t="shared" si="59"/>
        <v>0</v>
      </c>
      <c r="AS212" s="642">
        <f t="shared" si="59"/>
        <v>-0.151</v>
      </c>
      <c r="AT212" s="642">
        <f t="shared" si="59"/>
        <v>-0.40000000000000008</v>
      </c>
      <c r="AU212" s="643">
        <f t="shared" si="59"/>
        <v>-0.40000000000000008</v>
      </c>
      <c r="AV212" s="641">
        <f t="shared" si="59"/>
        <v>-0.72317096608085074</v>
      </c>
      <c r="AW212" s="642">
        <f t="shared" si="59"/>
        <v>-0.72317096608085074</v>
      </c>
      <c r="AX212" s="642">
        <f t="shared" si="59"/>
        <v>-0.72317096608085074</v>
      </c>
      <c r="AY212" s="642">
        <f t="shared" si="59"/>
        <v>-0.72317096608085074</v>
      </c>
      <c r="AZ212" s="643">
        <f t="shared" si="59"/>
        <v>-0.72317096608085074</v>
      </c>
      <c r="BA212" s="2629"/>
      <c r="BB212" s="545" t="s">
        <v>2233</v>
      </c>
      <c r="BC212" s="642">
        <f t="shared" ref="BC212:BG212" si="60">SUM(BC209:BC211)</f>
        <v>0.83171806167400886</v>
      </c>
      <c r="BD212" s="545" t="s">
        <v>2233</v>
      </c>
      <c r="BE212" s="642">
        <f t="shared" si="60"/>
        <v>1.4237885462555067</v>
      </c>
      <c r="BF212" s="545" t="s">
        <v>2233</v>
      </c>
      <c r="BG212" s="642">
        <f t="shared" si="60"/>
        <v>0.94449339207048477</v>
      </c>
      <c r="BH212" s="545" t="s">
        <v>627</v>
      </c>
      <c r="BI212" s="542"/>
      <c r="BJ212" s="2629"/>
      <c r="BK212" s="2629"/>
      <c r="BL212" s="2629"/>
      <c r="BM212" s="2629"/>
      <c r="BN212" s="2629"/>
      <c r="BO212" s="2629"/>
      <c r="BP212" s="2629"/>
      <c r="BQ212" s="545" t="s">
        <v>2233</v>
      </c>
      <c r="BR212" s="642">
        <f t="shared" ref="BR212" si="61">SUM(BR209:BR211)</f>
        <v>0.93980367838700873</v>
      </c>
      <c r="BS212" s="545" t="s">
        <v>2233</v>
      </c>
      <c r="BT212" s="642">
        <f t="shared" ref="BT212" si="62">SUM(BT209:BT211)</f>
        <v>1.6088164663913198</v>
      </c>
      <c r="BU212" s="545" t="s">
        <v>2233</v>
      </c>
      <c r="BV212" s="642">
        <f t="shared" ref="BV212" si="63">SUM(BV209:BV211)</f>
        <v>1.0672346856259252</v>
      </c>
      <c r="BW212" s="545" t="s">
        <v>627</v>
      </c>
      <c r="BX212" s="1359"/>
      <c r="BY212" s="2629"/>
      <c r="BZ212" s="2629"/>
      <c r="CA212" s="2629"/>
      <c r="CB212" s="2629"/>
      <c r="CC212" s="2629"/>
      <c r="CD212" s="2629"/>
      <c r="CE212" s="2629"/>
      <c r="CF212" s="2629"/>
    </row>
    <row r="213" spans="1:84" s="98" customFormat="1" ht="15" customHeight="1">
      <c r="A213" s="99"/>
      <c r="B213" s="123"/>
      <c r="C213" s="2686"/>
      <c r="D213" s="2686"/>
      <c r="E213" s="2686"/>
      <c r="F213" s="2686"/>
      <c r="G213" s="94"/>
      <c r="H213" s="94"/>
      <c r="I213" s="2503"/>
      <c r="J213" s="2503"/>
      <c r="K213" s="2503"/>
      <c r="L213" s="2503"/>
      <c r="M213" s="2503"/>
      <c r="N213" s="2503"/>
      <c r="O213" s="2503"/>
      <c r="P213" s="2503"/>
      <c r="Q213" s="2503"/>
      <c r="R213" s="2503"/>
      <c r="S213" s="2503"/>
      <c r="T213" s="2503"/>
      <c r="U213" s="2503"/>
      <c r="V213" s="2503"/>
      <c r="W213" s="2629"/>
      <c r="X213" s="2503"/>
      <c r="Y213" s="2503"/>
      <c r="Z213" s="2503"/>
      <c r="AA213" s="2503"/>
      <c r="AB213" s="2503"/>
      <c r="AC213" s="2503"/>
      <c r="AD213" s="2503"/>
      <c r="AE213" s="2503"/>
      <c r="AF213" s="2503"/>
      <c r="AG213" s="2503"/>
      <c r="AH213" s="2503"/>
      <c r="AI213" s="2503"/>
      <c r="AJ213" s="2503"/>
      <c r="AK213" s="2503"/>
      <c r="AL213" s="2629"/>
      <c r="AM213" s="94"/>
      <c r="AN213" s="713"/>
      <c r="AO213" s="2649"/>
      <c r="AP213" s="2649"/>
      <c r="AQ213" s="2649"/>
      <c r="AR213" s="2649"/>
      <c r="AS213" s="2649"/>
      <c r="AT213" s="2649"/>
      <c r="AU213" s="715"/>
      <c r="AV213" s="713"/>
      <c r="AW213" s="2649"/>
      <c r="AX213" s="2649"/>
      <c r="AY213" s="2649"/>
      <c r="AZ213" s="715"/>
      <c r="BA213" s="2629"/>
      <c r="BB213" s="542"/>
      <c r="BC213" s="2647"/>
      <c r="BD213" s="542"/>
      <c r="BE213" s="2647"/>
      <c r="BF213" s="542"/>
      <c r="BG213" s="2647"/>
      <c r="BH213" s="542"/>
      <c r="BI213" s="542"/>
      <c r="BJ213" s="542"/>
      <c r="BK213" s="2629"/>
      <c r="BL213" s="2629"/>
      <c r="BM213" s="2629"/>
      <c r="BN213" s="2629"/>
      <c r="BO213" s="2629"/>
      <c r="BP213" s="2629"/>
      <c r="BQ213" s="542"/>
      <c r="BR213" s="2647"/>
      <c r="BS213" s="542"/>
      <c r="BT213" s="2647"/>
      <c r="BU213" s="542"/>
      <c r="BV213" s="2647"/>
      <c r="BW213" s="542"/>
      <c r="BX213" s="544"/>
      <c r="BY213" s="2629"/>
      <c r="BZ213" s="2629"/>
      <c r="CA213" s="2629"/>
      <c r="CB213" s="2629"/>
      <c r="CC213" s="2629"/>
      <c r="CD213" s="2629"/>
      <c r="CE213" s="2629"/>
      <c r="CF213" s="2629"/>
    </row>
    <row r="214" spans="1:84" s="98" customFormat="1" ht="15" customHeight="1">
      <c r="A214" s="99"/>
      <c r="B214" s="2687"/>
      <c r="C214" s="2685" t="s">
        <v>1685</v>
      </c>
      <c r="D214" s="2685"/>
      <c r="E214" s="2685"/>
      <c r="F214" s="2685"/>
      <c r="G214" s="94"/>
      <c r="H214" s="94"/>
      <c r="I214" s="2503"/>
      <c r="J214" s="2503"/>
      <c r="K214" s="2503"/>
      <c r="L214" s="2503"/>
      <c r="M214" s="2503"/>
      <c r="N214" s="2503"/>
      <c r="O214" s="2503"/>
      <c r="P214" s="2503"/>
      <c r="Q214" s="2503"/>
      <c r="R214" s="2503"/>
      <c r="S214" s="2503"/>
      <c r="T214" s="2503"/>
      <c r="U214" s="2503"/>
      <c r="V214" s="2503"/>
      <c r="W214" s="2629"/>
      <c r="X214" s="2503"/>
      <c r="Y214" s="2503"/>
      <c r="Z214" s="2503"/>
      <c r="AA214" s="2503"/>
      <c r="AB214" s="2503"/>
      <c r="AC214" s="2503"/>
      <c r="AD214" s="2503"/>
      <c r="AE214" s="2503"/>
      <c r="AF214" s="2503"/>
      <c r="AG214" s="2503"/>
      <c r="AH214" s="2503"/>
      <c r="AI214" s="2503"/>
      <c r="AJ214" s="2503"/>
      <c r="AK214" s="2503"/>
      <c r="AL214" s="2629"/>
      <c r="AM214" s="94"/>
      <c r="AN214" s="713"/>
      <c r="AO214" s="2649"/>
      <c r="AP214" s="2649"/>
      <c r="AQ214" s="2649"/>
      <c r="AR214" s="2649"/>
      <c r="AS214" s="2649"/>
      <c r="AT214" s="2649"/>
      <c r="AU214" s="715"/>
      <c r="AV214" s="713"/>
      <c r="AW214" s="2649"/>
      <c r="AX214" s="2649"/>
      <c r="AY214" s="2649"/>
      <c r="AZ214" s="715"/>
      <c r="BA214" s="2629"/>
      <c r="BB214" s="542"/>
      <c r="BC214" s="2647"/>
      <c r="BD214" s="542"/>
      <c r="BE214" s="2647"/>
      <c r="BF214" s="542"/>
      <c r="BG214" s="2647"/>
      <c r="BH214" s="542"/>
      <c r="BI214" s="542"/>
      <c r="BJ214" s="542"/>
      <c r="BK214" s="2629"/>
      <c r="BL214" s="2629"/>
      <c r="BM214" s="2629"/>
      <c r="BN214" s="2629"/>
      <c r="BO214" s="2629"/>
      <c r="BP214" s="2629"/>
      <c r="BQ214" s="542"/>
      <c r="BR214" s="2647"/>
      <c r="BS214" s="542"/>
      <c r="BT214" s="2647"/>
      <c r="BU214" s="542"/>
      <c r="BV214" s="2647"/>
      <c r="BW214" s="542"/>
      <c r="BX214" s="544"/>
      <c r="BY214" s="2629"/>
      <c r="BZ214" s="2629"/>
      <c r="CA214" s="2629"/>
      <c r="CB214" s="2629"/>
      <c r="CC214" s="2629"/>
      <c r="CD214" s="2629"/>
      <c r="CE214" s="2629"/>
      <c r="CF214" s="2629"/>
    </row>
    <row r="215" spans="1:84" s="98" customFormat="1" ht="15" customHeight="1">
      <c r="A215" s="99"/>
      <c r="B215" s="2687"/>
      <c r="C215" s="2688"/>
      <c r="D215" s="2688" t="s">
        <v>2736</v>
      </c>
      <c r="E215" s="2688"/>
      <c r="F215" s="2688"/>
      <c r="G215" s="2645"/>
      <c r="H215" s="2645"/>
      <c r="I215" s="2503"/>
      <c r="J215" s="2503"/>
      <c r="K215" s="2503"/>
      <c r="L215" s="2503"/>
      <c r="M215" s="2503"/>
      <c r="N215" s="2503"/>
      <c r="O215" s="2503"/>
      <c r="P215" s="2503"/>
      <c r="Q215" s="2503"/>
      <c r="R215" s="2503"/>
      <c r="S215" s="2503"/>
      <c r="T215" s="2503"/>
      <c r="U215" s="2503"/>
      <c r="V215" s="2503"/>
      <c r="W215" s="2629"/>
      <c r="X215" s="2503"/>
      <c r="Y215" s="2503"/>
      <c r="Z215" s="2503"/>
      <c r="AA215" s="2503"/>
      <c r="AB215" s="2503"/>
      <c r="AC215" s="2503"/>
      <c r="AD215" s="2503"/>
      <c r="AE215" s="2503"/>
      <c r="AF215" s="2503"/>
      <c r="AG215" s="2503"/>
      <c r="AH215" s="2503"/>
      <c r="AI215" s="2503"/>
      <c r="AJ215" s="2503"/>
      <c r="AK215" s="2503"/>
      <c r="AL215" s="2629"/>
      <c r="AM215" s="607" t="s">
        <v>2233</v>
      </c>
      <c r="AN215" s="143">
        <v>0</v>
      </c>
      <c r="AO215" s="141">
        <v>0</v>
      </c>
      <c r="AP215" s="141">
        <v>0</v>
      </c>
      <c r="AQ215" s="141">
        <v>-1.2E-2</v>
      </c>
      <c r="AR215" s="141">
        <v>0</v>
      </c>
      <c r="AS215" s="141">
        <v>0</v>
      </c>
      <c r="AT215" s="141">
        <v>0</v>
      </c>
      <c r="AU215" s="144">
        <v>0</v>
      </c>
      <c r="AV215" s="143">
        <v>0</v>
      </c>
      <c r="AW215" s="141">
        <v>0</v>
      </c>
      <c r="AX215" s="141">
        <v>0</v>
      </c>
      <c r="AY215" s="141">
        <v>0</v>
      </c>
      <c r="AZ215" s="144">
        <v>0</v>
      </c>
      <c r="BA215" s="2629"/>
      <c r="BB215" s="545" t="s">
        <v>2233</v>
      </c>
      <c r="BC215" s="141">
        <v>3.1189427312775333E-3</v>
      </c>
      <c r="BD215" s="545" t="s">
        <v>2233</v>
      </c>
      <c r="BE215" s="141">
        <v>5.3392070484581501E-3</v>
      </c>
      <c r="BF215" s="545" t="s">
        <v>2233</v>
      </c>
      <c r="BG215" s="141">
        <v>3.5418502202643177E-3</v>
      </c>
      <c r="BH215" s="607" t="s">
        <v>627</v>
      </c>
      <c r="BI215" s="868">
        <v>0</v>
      </c>
      <c r="BJ215" s="2629"/>
      <c r="BK215" s="2629"/>
      <c r="BL215" s="2629"/>
      <c r="BM215" s="2629"/>
      <c r="BN215" s="2629"/>
      <c r="BO215" s="2629"/>
      <c r="BP215" s="2629"/>
      <c r="BQ215" s="545" t="s">
        <v>2233</v>
      </c>
      <c r="BR215" s="141">
        <v>0</v>
      </c>
      <c r="BS215" s="545" t="s">
        <v>2233</v>
      </c>
      <c r="BT215" s="141">
        <v>0</v>
      </c>
      <c r="BU215" s="545" t="s">
        <v>2233</v>
      </c>
      <c r="BV215" s="141">
        <v>0</v>
      </c>
      <c r="BW215" s="607" t="s">
        <v>627</v>
      </c>
      <c r="BX215" s="872">
        <v>0</v>
      </c>
      <c r="BY215" s="2629"/>
      <c r="BZ215" s="2629"/>
      <c r="CA215" s="2629"/>
      <c r="CB215" s="2629"/>
      <c r="CC215" s="2629"/>
      <c r="CD215" s="2629"/>
      <c r="CE215" s="2629"/>
      <c r="CF215" s="2629"/>
    </row>
    <row r="216" spans="1:84" s="98" customFormat="1" ht="15" customHeight="1">
      <c r="A216" s="99"/>
      <c r="B216" s="2687"/>
      <c r="C216" s="2688"/>
      <c r="D216" s="2688" t="s">
        <v>2737</v>
      </c>
      <c r="E216" s="2688"/>
      <c r="F216" s="2688"/>
      <c r="G216" s="2645"/>
      <c r="H216" s="2645"/>
      <c r="I216" s="2503"/>
      <c r="J216" s="2503"/>
      <c r="K216" s="2503"/>
      <c r="L216" s="2503"/>
      <c r="M216" s="2503"/>
      <c r="N216" s="2503"/>
      <c r="O216" s="2503"/>
      <c r="P216" s="2503"/>
      <c r="Q216" s="2503"/>
      <c r="R216" s="2503"/>
      <c r="S216" s="2503"/>
      <c r="T216" s="2503"/>
      <c r="U216" s="2503"/>
      <c r="V216" s="2503"/>
      <c r="W216" s="2629"/>
      <c r="X216" s="2503"/>
      <c r="Y216" s="2503"/>
      <c r="Z216" s="2503"/>
      <c r="AA216" s="2503"/>
      <c r="AB216" s="2503"/>
      <c r="AC216" s="2503"/>
      <c r="AD216" s="2503"/>
      <c r="AE216" s="2503"/>
      <c r="AF216" s="2503"/>
      <c r="AG216" s="2503"/>
      <c r="AH216" s="2503"/>
      <c r="AI216" s="2503"/>
      <c r="AJ216" s="2503"/>
      <c r="AK216" s="2503"/>
      <c r="AL216" s="2629"/>
      <c r="AM216" s="607" t="s">
        <v>2233</v>
      </c>
      <c r="AN216" s="143">
        <v>0</v>
      </c>
      <c r="AO216" s="141">
        <v>0</v>
      </c>
      <c r="AP216" s="141">
        <v>0</v>
      </c>
      <c r="AQ216" s="141">
        <v>0</v>
      </c>
      <c r="AR216" s="141">
        <v>0</v>
      </c>
      <c r="AS216" s="141">
        <v>0</v>
      </c>
      <c r="AT216" s="141">
        <v>0</v>
      </c>
      <c r="AU216" s="144">
        <v>0</v>
      </c>
      <c r="AV216" s="143">
        <v>0</v>
      </c>
      <c r="AW216" s="141">
        <v>0</v>
      </c>
      <c r="AX216" s="141">
        <v>0</v>
      </c>
      <c r="AY216" s="141">
        <v>0</v>
      </c>
      <c r="AZ216" s="144">
        <v>0</v>
      </c>
      <c r="BA216" s="2629"/>
      <c r="BB216" s="545" t="s">
        <v>2233</v>
      </c>
      <c r="BC216" s="141">
        <v>0</v>
      </c>
      <c r="BD216" s="545" t="s">
        <v>2233</v>
      </c>
      <c r="BE216" s="141">
        <v>0</v>
      </c>
      <c r="BF216" s="545" t="s">
        <v>2233</v>
      </c>
      <c r="BG216" s="141">
        <v>0</v>
      </c>
      <c r="BH216" s="607" t="s">
        <v>627</v>
      </c>
      <c r="BI216" s="868">
        <v>0</v>
      </c>
      <c r="BJ216" s="2629"/>
      <c r="BK216" s="2629"/>
      <c r="BL216" s="2629"/>
      <c r="BM216" s="2629"/>
      <c r="BN216" s="2629"/>
      <c r="BO216" s="2629"/>
      <c r="BP216" s="2629"/>
      <c r="BQ216" s="545" t="s">
        <v>2233</v>
      </c>
      <c r="BR216" s="141">
        <v>0</v>
      </c>
      <c r="BS216" s="545" t="s">
        <v>2233</v>
      </c>
      <c r="BT216" s="141">
        <v>0</v>
      </c>
      <c r="BU216" s="545" t="s">
        <v>2233</v>
      </c>
      <c r="BV216" s="141">
        <v>0</v>
      </c>
      <c r="BW216" s="607" t="s">
        <v>627</v>
      </c>
      <c r="BX216" s="872">
        <v>0</v>
      </c>
      <c r="BY216" s="2629"/>
      <c r="BZ216" s="2629"/>
      <c r="CA216" s="2629"/>
      <c r="CB216" s="2629"/>
      <c r="CC216" s="2629"/>
      <c r="CD216" s="2629"/>
      <c r="CE216" s="2629"/>
      <c r="CF216" s="2629"/>
    </row>
    <row r="217" spans="1:84" s="98" customFormat="1" ht="15" customHeight="1">
      <c r="A217" s="99"/>
      <c r="B217" s="2687"/>
      <c r="C217" s="2688" t="s">
        <v>1710</v>
      </c>
      <c r="D217" s="2688"/>
      <c r="E217" s="2688"/>
      <c r="F217" s="2688"/>
      <c r="G217" s="2645"/>
      <c r="H217" s="2645"/>
      <c r="I217" s="2503"/>
      <c r="J217" s="2503"/>
      <c r="K217" s="2503"/>
      <c r="L217" s="2503"/>
      <c r="M217" s="2503"/>
      <c r="N217" s="2503"/>
      <c r="O217" s="2503"/>
      <c r="P217" s="2503"/>
      <c r="Q217" s="2503"/>
      <c r="R217" s="2503"/>
      <c r="S217" s="2503"/>
      <c r="T217" s="2503"/>
      <c r="U217" s="2503"/>
      <c r="V217" s="2503"/>
      <c r="W217" s="2629"/>
      <c r="X217" s="2503"/>
      <c r="Y217" s="2503"/>
      <c r="Z217" s="2503"/>
      <c r="AA217" s="2503"/>
      <c r="AB217" s="2503"/>
      <c r="AC217" s="2503"/>
      <c r="AD217" s="2503"/>
      <c r="AE217" s="2503"/>
      <c r="AF217" s="2503"/>
      <c r="AG217" s="2503"/>
      <c r="AH217" s="2503"/>
      <c r="AI217" s="2503"/>
      <c r="AJ217" s="2503"/>
      <c r="AK217" s="2503"/>
      <c r="AL217" s="2629"/>
      <c r="AM217" s="607" t="s">
        <v>2233</v>
      </c>
      <c r="AN217" s="641">
        <f>SUM(AN215:AN216)</f>
        <v>0</v>
      </c>
      <c r="AO217" s="642">
        <f t="shared" ref="AO217:AZ217" si="64">SUM(AO215:AO216)</f>
        <v>0</v>
      </c>
      <c r="AP217" s="642">
        <f t="shared" si="64"/>
        <v>0</v>
      </c>
      <c r="AQ217" s="642">
        <f t="shared" si="64"/>
        <v>-1.2E-2</v>
      </c>
      <c r="AR217" s="642">
        <f t="shared" si="64"/>
        <v>0</v>
      </c>
      <c r="AS217" s="642">
        <f t="shared" si="64"/>
        <v>0</v>
      </c>
      <c r="AT217" s="642">
        <f t="shared" si="64"/>
        <v>0</v>
      </c>
      <c r="AU217" s="643">
        <f t="shared" si="64"/>
        <v>0</v>
      </c>
      <c r="AV217" s="641">
        <f t="shared" si="64"/>
        <v>0</v>
      </c>
      <c r="AW217" s="642">
        <f t="shared" si="64"/>
        <v>0</v>
      </c>
      <c r="AX217" s="642">
        <f t="shared" si="64"/>
        <v>0</v>
      </c>
      <c r="AY217" s="642">
        <f t="shared" si="64"/>
        <v>0</v>
      </c>
      <c r="AZ217" s="643">
        <f t="shared" si="64"/>
        <v>0</v>
      </c>
      <c r="BA217" s="2629"/>
      <c r="BB217" s="545" t="s">
        <v>2233</v>
      </c>
      <c r="BC217" s="642">
        <f t="shared" ref="BC217:BG217" si="65">SUM(BC215:BC216)</f>
        <v>3.1189427312775333E-3</v>
      </c>
      <c r="BD217" s="545" t="s">
        <v>2233</v>
      </c>
      <c r="BE217" s="642">
        <f t="shared" si="65"/>
        <v>5.3392070484581501E-3</v>
      </c>
      <c r="BF217" s="545" t="s">
        <v>2233</v>
      </c>
      <c r="BG217" s="642">
        <f t="shared" si="65"/>
        <v>3.5418502202643177E-3</v>
      </c>
      <c r="BH217" s="545" t="s">
        <v>627</v>
      </c>
      <c r="BI217" s="542"/>
      <c r="BJ217" s="2629"/>
      <c r="BK217" s="2629"/>
      <c r="BL217" s="2629"/>
      <c r="BM217" s="2629"/>
      <c r="BN217" s="2629"/>
      <c r="BO217" s="2629"/>
      <c r="BP217" s="2629"/>
      <c r="BQ217" s="545" t="s">
        <v>2233</v>
      </c>
      <c r="BR217" s="642">
        <f t="shared" ref="BR217" si="66">SUM(BR215:BR216)</f>
        <v>0</v>
      </c>
      <c r="BS217" s="545" t="s">
        <v>2233</v>
      </c>
      <c r="BT217" s="642">
        <f t="shared" ref="BT217" si="67">SUM(BT215:BT216)</f>
        <v>0</v>
      </c>
      <c r="BU217" s="545" t="s">
        <v>2233</v>
      </c>
      <c r="BV217" s="642">
        <f t="shared" ref="BV217" si="68">SUM(BV215:BV216)</f>
        <v>0</v>
      </c>
      <c r="BW217" s="545" t="s">
        <v>627</v>
      </c>
      <c r="BX217" s="1359"/>
      <c r="BY217" s="2629"/>
      <c r="BZ217" s="2629"/>
      <c r="CA217" s="2629"/>
      <c r="CB217" s="2629"/>
      <c r="CC217" s="2629"/>
      <c r="CD217" s="2629"/>
      <c r="CE217" s="2629"/>
      <c r="CF217" s="2629"/>
    </row>
    <row r="218" spans="1:84" s="98" customFormat="1" ht="15" customHeight="1">
      <c r="A218" s="99"/>
      <c r="B218" s="123"/>
      <c r="C218" s="2686"/>
      <c r="D218" s="2686"/>
      <c r="E218" s="2686"/>
      <c r="F218" s="2686"/>
      <c r="G218" s="94"/>
      <c r="H218" s="94"/>
      <c r="I218" s="2503"/>
      <c r="J218" s="2503"/>
      <c r="K218" s="2503"/>
      <c r="L218" s="2503"/>
      <c r="M218" s="2503"/>
      <c r="N218" s="2503"/>
      <c r="O218" s="2503"/>
      <c r="P218" s="2503"/>
      <c r="Q218" s="2503"/>
      <c r="R218" s="2503"/>
      <c r="S218" s="2503"/>
      <c r="T218" s="2503"/>
      <c r="U218" s="2503"/>
      <c r="V218" s="2503"/>
      <c r="W218" s="2629"/>
      <c r="X218" s="2503"/>
      <c r="Y218" s="2503"/>
      <c r="Z218" s="2503"/>
      <c r="AA218" s="2503"/>
      <c r="AB218" s="2503"/>
      <c r="AC218" s="2503"/>
      <c r="AD218" s="2503"/>
      <c r="AE218" s="2503"/>
      <c r="AF218" s="2503"/>
      <c r="AG218" s="2503"/>
      <c r="AH218" s="2503"/>
      <c r="AI218" s="2503"/>
      <c r="AJ218" s="2503"/>
      <c r="AK218" s="2503"/>
      <c r="AL218" s="2629"/>
      <c r="AM218" s="94"/>
      <c r="AN218" s="713"/>
      <c r="AO218" s="2649"/>
      <c r="AP218" s="2649"/>
      <c r="AQ218" s="2649"/>
      <c r="AR218" s="2649"/>
      <c r="AS218" s="2649"/>
      <c r="AT218" s="2649"/>
      <c r="AU218" s="715"/>
      <c r="AV218" s="713"/>
      <c r="AW218" s="2649"/>
      <c r="AX218" s="2649"/>
      <c r="AY218" s="2649"/>
      <c r="AZ218" s="715"/>
      <c r="BA218" s="2629"/>
      <c r="BB218" s="542"/>
      <c r="BC218" s="2647"/>
      <c r="BD218" s="542"/>
      <c r="BE218" s="2647"/>
      <c r="BF218" s="542"/>
      <c r="BG218" s="2647"/>
      <c r="BH218" s="542"/>
      <c r="BI218" s="542"/>
      <c r="BJ218" s="542"/>
      <c r="BK218" s="2629"/>
      <c r="BL218" s="2629"/>
      <c r="BM218" s="2629"/>
      <c r="BN218" s="2629"/>
      <c r="BO218" s="2629"/>
      <c r="BP218" s="2629"/>
      <c r="BQ218" s="542"/>
      <c r="BR218" s="2647"/>
      <c r="BS218" s="542"/>
      <c r="BT218" s="2647"/>
      <c r="BU218" s="542"/>
      <c r="BV218" s="2647"/>
      <c r="BW218" s="542"/>
      <c r="BX218" s="544"/>
      <c r="BY218" s="2629"/>
      <c r="BZ218" s="2629"/>
      <c r="CA218" s="2629"/>
      <c r="CB218" s="2629"/>
      <c r="CC218" s="2629"/>
      <c r="CD218" s="2629"/>
      <c r="CE218" s="2629"/>
      <c r="CF218" s="2629"/>
    </row>
    <row r="219" spans="1:84" s="98" customFormat="1" ht="15" customHeight="1">
      <c r="A219" s="99"/>
      <c r="B219" s="2687"/>
      <c r="C219" s="2685" t="s">
        <v>2670</v>
      </c>
      <c r="D219" s="2685"/>
      <c r="E219" s="2685"/>
      <c r="F219" s="2685"/>
      <c r="G219" s="94"/>
      <c r="H219" s="94"/>
      <c r="I219" s="2503"/>
      <c r="J219" s="2503"/>
      <c r="K219" s="2503"/>
      <c r="L219" s="2503"/>
      <c r="M219" s="2503"/>
      <c r="N219" s="2503"/>
      <c r="O219" s="2503"/>
      <c r="P219" s="2503"/>
      <c r="Q219" s="2503"/>
      <c r="R219" s="2503"/>
      <c r="S219" s="2503"/>
      <c r="T219" s="2503"/>
      <c r="U219" s="2503"/>
      <c r="V219" s="2503"/>
      <c r="W219" s="2629"/>
      <c r="X219" s="2503"/>
      <c r="Y219" s="2503"/>
      <c r="Z219" s="2503"/>
      <c r="AA219" s="2503"/>
      <c r="AB219" s="2503"/>
      <c r="AC219" s="2503"/>
      <c r="AD219" s="2503"/>
      <c r="AE219" s="2503"/>
      <c r="AF219" s="2503"/>
      <c r="AG219" s="2503"/>
      <c r="AH219" s="2503"/>
      <c r="AI219" s="2503"/>
      <c r="AJ219" s="2503"/>
      <c r="AK219" s="2503"/>
      <c r="AL219" s="2629"/>
      <c r="AM219" s="94"/>
      <c r="AN219" s="713"/>
      <c r="AO219" s="2649"/>
      <c r="AP219" s="2649"/>
      <c r="AQ219" s="2649"/>
      <c r="AR219" s="2649"/>
      <c r="AS219" s="2649"/>
      <c r="AT219" s="2649"/>
      <c r="AU219" s="715"/>
      <c r="AV219" s="713"/>
      <c r="AW219" s="2649"/>
      <c r="AX219" s="2649"/>
      <c r="AY219" s="2649"/>
      <c r="AZ219" s="715"/>
      <c r="BA219" s="2629"/>
      <c r="BB219" s="542"/>
      <c r="BC219" s="2647"/>
      <c r="BD219" s="542"/>
      <c r="BE219" s="2647"/>
      <c r="BF219" s="542"/>
      <c r="BG219" s="2647"/>
      <c r="BH219" s="542"/>
      <c r="BI219" s="542"/>
      <c r="BJ219" s="542"/>
      <c r="BK219" s="2629"/>
      <c r="BL219" s="2629"/>
      <c r="BM219" s="2629"/>
      <c r="BN219" s="2629"/>
      <c r="BO219" s="2629"/>
      <c r="BP219" s="2629"/>
      <c r="BQ219" s="542"/>
      <c r="BR219" s="2647"/>
      <c r="BS219" s="542"/>
      <c r="BT219" s="2647"/>
      <c r="BU219" s="542"/>
      <c r="BV219" s="2647"/>
      <c r="BW219" s="542"/>
      <c r="BX219" s="544"/>
      <c r="BY219" s="2629"/>
      <c r="BZ219" s="2629"/>
      <c r="CA219" s="2629"/>
      <c r="CB219" s="2629"/>
      <c r="CC219" s="2629"/>
      <c r="CD219" s="2629"/>
      <c r="CE219" s="2629"/>
      <c r="CF219" s="2629"/>
    </row>
    <row r="220" spans="1:84" s="98" customFormat="1" ht="15" customHeight="1">
      <c r="A220" s="99"/>
      <c r="B220" s="2687"/>
      <c r="C220" s="2688"/>
      <c r="D220" s="2688" t="s">
        <v>2716</v>
      </c>
      <c r="E220" s="2688"/>
      <c r="F220" s="2688"/>
      <c r="G220" s="2645"/>
      <c r="H220" s="2645"/>
      <c r="I220" s="2503"/>
      <c r="J220" s="2503"/>
      <c r="K220" s="2503"/>
      <c r="L220" s="2503"/>
      <c r="M220" s="2503"/>
      <c r="N220" s="2503"/>
      <c r="O220" s="2503"/>
      <c r="P220" s="2503"/>
      <c r="Q220" s="2503"/>
      <c r="R220" s="2503"/>
      <c r="S220" s="2503"/>
      <c r="T220" s="2503"/>
      <c r="U220" s="2503"/>
      <c r="V220" s="2503"/>
      <c r="W220" s="2629"/>
      <c r="X220" s="2503"/>
      <c r="Y220" s="2503"/>
      <c r="Z220" s="2503"/>
      <c r="AA220" s="2503"/>
      <c r="AB220" s="2503"/>
      <c r="AC220" s="2503"/>
      <c r="AD220" s="2503"/>
      <c r="AE220" s="2503"/>
      <c r="AF220" s="2503"/>
      <c r="AG220" s="2503"/>
      <c r="AH220" s="2503"/>
      <c r="AI220" s="2503"/>
      <c r="AJ220" s="2503"/>
      <c r="AK220" s="2503"/>
      <c r="AL220" s="2629"/>
      <c r="AM220" s="607" t="s">
        <v>2233</v>
      </c>
      <c r="AN220" s="143">
        <v>-0.16700000000000001</v>
      </c>
      <c r="AO220" s="141">
        <v>-0.10999999999999999</v>
      </c>
      <c r="AP220" s="141">
        <v>-0.74800000000000033</v>
      </c>
      <c r="AQ220" s="141">
        <v>-0.52500000000000002</v>
      </c>
      <c r="AR220" s="141">
        <v>-0.49299999999999999</v>
      </c>
      <c r="AS220" s="141">
        <v>-0.35300000000000004</v>
      </c>
      <c r="AT220" s="141">
        <v>0</v>
      </c>
      <c r="AU220" s="144">
        <v>0</v>
      </c>
      <c r="AV220" s="143">
        <v>0</v>
      </c>
      <c r="AW220" s="141">
        <v>0</v>
      </c>
      <c r="AX220" s="141">
        <v>0</v>
      </c>
      <c r="AY220" s="141">
        <v>0</v>
      </c>
      <c r="AZ220" s="144">
        <v>0</v>
      </c>
      <c r="BA220" s="2629"/>
      <c r="BB220" s="545" t="s">
        <v>2233</v>
      </c>
      <c r="BC220" s="141">
        <v>0.69934320735444344</v>
      </c>
      <c r="BD220" s="545" t="s">
        <v>2233</v>
      </c>
      <c r="BE220" s="141">
        <v>0.4233993871297243</v>
      </c>
      <c r="BF220" s="545" t="s">
        <v>2233</v>
      </c>
      <c r="BG220" s="141">
        <v>1.2732574055158326</v>
      </c>
      <c r="BH220" s="607" t="s">
        <v>627</v>
      </c>
      <c r="BI220" s="868">
        <v>0.98480000000000001</v>
      </c>
      <c r="BJ220" s="2629"/>
      <c r="BK220" s="2629"/>
      <c r="BL220" s="2629"/>
      <c r="BM220" s="2629"/>
      <c r="BN220" s="2629"/>
      <c r="BO220" s="2629"/>
      <c r="BP220" s="2629"/>
      <c r="BQ220" s="545" t="s">
        <v>2233</v>
      </c>
      <c r="BR220" s="141">
        <v>0</v>
      </c>
      <c r="BS220" s="545" t="s">
        <v>2233</v>
      </c>
      <c r="BT220" s="141">
        <v>0</v>
      </c>
      <c r="BU220" s="545" t="s">
        <v>2233</v>
      </c>
      <c r="BV220" s="141">
        <v>0</v>
      </c>
      <c r="BW220" s="607" t="s">
        <v>627</v>
      </c>
      <c r="BX220" s="872">
        <v>0</v>
      </c>
      <c r="BY220" s="2629"/>
      <c r="BZ220" s="2629"/>
      <c r="CA220" s="2629"/>
      <c r="CB220" s="2629"/>
      <c r="CC220" s="2629"/>
      <c r="CD220" s="2629"/>
      <c r="CE220" s="2629"/>
      <c r="CF220" s="2629"/>
    </row>
    <row r="221" spans="1:84" s="98" customFormat="1" ht="15" customHeight="1">
      <c r="A221" s="99"/>
      <c r="B221" s="2687"/>
      <c r="C221" s="2688"/>
      <c r="D221" s="2688" t="s">
        <v>2717</v>
      </c>
      <c r="E221" s="2688"/>
      <c r="F221" s="2688"/>
      <c r="G221" s="2645"/>
      <c r="H221" s="2645"/>
      <c r="I221" s="2503"/>
      <c r="J221" s="2503"/>
      <c r="K221" s="2503"/>
      <c r="L221" s="2503"/>
      <c r="M221" s="2503"/>
      <c r="N221" s="2503"/>
      <c r="O221" s="2503"/>
      <c r="P221" s="2503"/>
      <c r="Q221" s="2503"/>
      <c r="R221" s="2503"/>
      <c r="S221" s="2503"/>
      <c r="T221" s="2503"/>
      <c r="U221" s="2503"/>
      <c r="V221" s="2503"/>
      <c r="W221" s="2629"/>
      <c r="X221" s="2503"/>
      <c r="Y221" s="2503"/>
      <c r="Z221" s="2503"/>
      <c r="AA221" s="2503"/>
      <c r="AB221" s="2503"/>
      <c r="AC221" s="2503"/>
      <c r="AD221" s="2503"/>
      <c r="AE221" s="2503"/>
      <c r="AF221" s="2503"/>
      <c r="AG221" s="2503"/>
      <c r="AH221" s="2503"/>
      <c r="AI221" s="2503"/>
      <c r="AJ221" s="2503"/>
      <c r="AK221" s="2503"/>
      <c r="AL221" s="2629"/>
      <c r="AM221" s="607" t="s">
        <v>2233</v>
      </c>
      <c r="AN221" s="143">
        <v>0</v>
      </c>
      <c r="AO221" s="141">
        <v>0</v>
      </c>
      <c r="AP221" s="141">
        <v>-0.16899999999999998</v>
      </c>
      <c r="AQ221" s="141">
        <v>-1.2E-2</v>
      </c>
      <c r="AR221" s="141">
        <v>-4.2999999999999997E-2</v>
      </c>
      <c r="AS221" s="141">
        <v>-4.6999999999999993E-2</v>
      </c>
      <c r="AT221" s="141">
        <v>0</v>
      </c>
      <c r="AU221" s="144">
        <v>0</v>
      </c>
      <c r="AV221" s="143">
        <v>0</v>
      </c>
      <c r="AW221" s="141">
        <v>0</v>
      </c>
      <c r="AX221" s="141">
        <v>0</v>
      </c>
      <c r="AY221" s="141">
        <v>0</v>
      </c>
      <c r="AZ221" s="144">
        <v>0</v>
      </c>
      <c r="BA221" s="2629"/>
      <c r="BB221" s="545" t="s">
        <v>2233</v>
      </c>
      <c r="BC221" s="141">
        <v>7.9099336057201222E-2</v>
      </c>
      <c r="BD221" s="545" t="s">
        <v>2233</v>
      </c>
      <c r="BE221" s="141">
        <v>4.788866189989785E-2</v>
      </c>
      <c r="BF221" s="545" t="s">
        <v>2233</v>
      </c>
      <c r="BG221" s="141">
        <v>0.14401200204290091</v>
      </c>
      <c r="BH221" s="607" t="s">
        <v>627</v>
      </c>
      <c r="BI221" s="868">
        <v>0.98480000000000001</v>
      </c>
      <c r="BJ221" s="2629"/>
      <c r="BK221" s="2629"/>
      <c r="BL221" s="2629"/>
      <c r="BM221" s="2629"/>
      <c r="BN221" s="2629"/>
      <c r="BO221" s="2629"/>
      <c r="BP221" s="2629"/>
      <c r="BQ221" s="545" t="s">
        <v>2233</v>
      </c>
      <c r="BR221" s="141">
        <v>0</v>
      </c>
      <c r="BS221" s="545" t="s">
        <v>2233</v>
      </c>
      <c r="BT221" s="141">
        <v>0</v>
      </c>
      <c r="BU221" s="545" t="s">
        <v>2233</v>
      </c>
      <c r="BV221" s="141">
        <v>0</v>
      </c>
      <c r="BW221" s="607" t="s">
        <v>627</v>
      </c>
      <c r="BX221" s="872">
        <v>0</v>
      </c>
      <c r="BY221" s="2629"/>
      <c r="BZ221" s="2629"/>
      <c r="CA221" s="2629"/>
      <c r="CB221" s="2629"/>
      <c r="CC221" s="2629"/>
      <c r="CD221" s="2629"/>
      <c r="CE221" s="2629"/>
      <c r="CF221" s="2629"/>
    </row>
    <row r="222" spans="1:84" s="98" customFormat="1" ht="15" customHeight="1">
      <c r="A222" s="99"/>
      <c r="B222" s="2687"/>
      <c r="C222" s="2688"/>
      <c r="D222" s="2688" t="s">
        <v>2718</v>
      </c>
      <c r="E222" s="2688"/>
      <c r="F222" s="2688"/>
      <c r="G222" s="2645"/>
      <c r="H222" s="2645"/>
      <c r="I222" s="2503"/>
      <c r="J222" s="2503"/>
      <c r="K222" s="2503"/>
      <c r="L222" s="2503"/>
      <c r="M222" s="2503"/>
      <c r="N222" s="2503"/>
      <c r="O222" s="2503"/>
      <c r="P222" s="2503"/>
      <c r="Q222" s="2503"/>
      <c r="R222" s="2503"/>
      <c r="S222" s="2503"/>
      <c r="T222" s="2503"/>
      <c r="U222" s="2503"/>
      <c r="V222" s="2503"/>
      <c r="W222" s="2629"/>
      <c r="X222" s="2503"/>
      <c r="Y222" s="2503"/>
      <c r="Z222" s="2503"/>
      <c r="AA222" s="2503"/>
      <c r="AB222" s="2503"/>
      <c r="AC222" s="2503"/>
      <c r="AD222" s="2503"/>
      <c r="AE222" s="2503"/>
      <c r="AF222" s="2503"/>
      <c r="AG222" s="2503"/>
      <c r="AH222" s="2503"/>
      <c r="AI222" s="2503"/>
      <c r="AJ222" s="2503"/>
      <c r="AK222" s="2503"/>
      <c r="AL222" s="2629"/>
      <c r="AM222" s="607" t="s">
        <v>2233</v>
      </c>
      <c r="AN222" s="143">
        <v>-5.8999999999999997E-2</v>
      </c>
      <c r="AO222" s="141">
        <v>0</v>
      </c>
      <c r="AP222" s="141">
        <v>-0.28999999999999998</v>
      </c>
      <c r="AQ222" s="141">
        <v>-0.112</v>
      </c>
      <c r="AR222" s="141">
        <v>0</v>
      </c>
      <c r="AS222" s="141">
        <v>-0.111</v>
      </c>
      <c r="AT222" s="141">
        <v>0</v>
      </c>
      <c r="AU222" s="144">
        <v>0</v>
      </c>
      <c r="AV222" s="143">
        <v>0</v>
      </c>
      <c r="AW222" s="141">
        <v>0</v>
      </c>
      <c r="AX222" s="141">
        <v>0</v>
      </c>
      <c r="AY222" s="141">
        <v>0</v>
      </c>
      <c r="AZ222" s="144">
        <v>0</v>
      </c>
      <c r="BA222" s="2629"/>
      <c r="BB222" s="545" t="s">
        <v>2233</v>
      </c>
      <c r="BC222" s="141">
        <v>0.16695505617977527</v>
      </c>
      <c r="BD222" s="545" t="s">
        <v>2233</v>
      </c>
      <c r="BE222" s="141">
        <v>0.10107865168539325</v>
      </c>
      <c r="BF222" s="545" t="s">
        <v>2233</v>
      </c>
      <c r="BG222" s="141">
        <v>0.30396629213483145</v>
      </c>
      <c r="BH222" s="607" t="s">
        <v>627</v>
      </c>
      <c r="BI222" s="868">
        <v>0.98480000000000001</v>
      </c>
      <c r="BJ222" s="2629"/>
      <c r="BK222" s="2629"/>
      <c r="BL222" s="2629"/>
      <c r="BM222" s="2629"/>
      <c r="BN222" s="2629"/>
      <c r="BO222" s="2629"/>
      <c r="BP222" s="2629"/>
      <c r="BQ222" s="545" t="s">
        <v>2233</v>
      </c>
      <c r="BR222" s="141">
        <v>0</v>
      </c>
      <c r="BS222" s="545" t="s">
        <v>2233</v>
      </c>
      <c r="BT222" s="141">
        <v>0</v>
      </c>
      <c r="BU222" s="545" t="s">
        <v>2233</v>
      </c>
      <c r="BV222" s="141">
        <v>0</v>
      </c>
      <c r="BW222" s="607" t="s">
        <v>627</v>
      </c>
      <c r="BX222" s="872">
        <v>0</v>
      </c>
      <c r="BY222" s="2629"/>
      <c r="BZ222" s="2629"/>
      <c r="CA222" s="2629"/>
      <c r="CB222" s="2629"/>
      <c r="CC222" s="2629"/>
      <c r="CD222" s="2629"/>
      <c r="CE222" s="2629"/>
      <c r="CF222" s="2629"/>
    </row>
    <row r="223" spans="1:84" s="98" customFormat="1" ht="15" customHeight="1">
      <c r="A223" s="99"/>
      <c r="B223" s="2687"/>
      <c r="C223" s="2688"/>
      <c r="D223" s="2688" t="s">
        <v>2719</v>
      </c>
      <c r="E223" s="2688"/>
      <c r="F223" s="2688"/>
      <c r="G223" s="2645"/>
      <c r="H223" s="2645"/>
      <c r="I223" s="2503"/>
      <c r="J223" s="2503"/>
      <c r="K223" s="2503"/>
      <c r="L223" s="2503"/>
      <c r="M223" s="2503"/>
      <c r="N223" s="2503"/>
      <c r="O223" s="2503"/>
      <c r="P223" s="2503"/>
      <c r="Q223" s="2503"/>
      <c r="R223" s="2503"/>
      <c r="S223" s="2503"/>
      <c r="T223" s="2503"/>
      <c r="U223" s="2503"/>
      <c r="V223" s="2503"/>
      <c r="W223" s="2629"/>
      <c r="X223" s="2503"/>
      <c r="Y223" s="2503"/>
      <c r="Z223" s="2503"/>
      <c r="AA223" s="2503"/>
      <c r="AB223" s="2503"/>
      <c r="AC223" s="2503"/>
      <c r="AD223" s="2503"/>
      <c r="AE223" s="2503"/>
      <c r="AF223" s="2503"/>
      <c r="AG223" s="2503"/>
      <c r="AH223" s="2503"/>
      <c r="AI223" s="2503"/>
      <c r="AJ223" s="2503"/>
      <c r="AK223" s="2503"/>
      <c r="AL223" s="2629"/>
      <c r="AM223" s="607" t="s">
        <v>2233</v>
      </c>
      <c r="AN223" s="143">
        <v>0</v>
      </c>
      <c r="AO223" s="141">
        <v>0</v>
      </c>
      <c r="AP223" s="141">
        <v>0</v>
      </c>
      <c r="AQ223" s="141">
        <v>0</v>
      </c>
      <c r="AR223" s="141">
        <v>0</v>
      </c>
      <c r="AS223" s="141">
        <v>0</v>
      </c>
      <c r="AT223" s="141">
        <v>0</v>
      </c>
      <c r="AU223" s="144">
        <v>0</v>
      </c>
      <c r="AV223" s="143">
        <v>0</v>
      </c>
      <c r="AW223" s="141">
        <v>0</v>
      </c>
      <c r="AX223" s="141">
        <v>0</v>
      </c>
      <c r="AY223" s="141">
        <v>0</v>
      </c>
      <c r="AZ223" s="144">
        <v>0</v>
      </c>
      <c r="BA223" s="2629"/>
      <c r="BB223" s="545" t="s">
        <v>2233</v>
      </c>
      <c r="BC223" s="141">
        <v>0</v>
      </c>
      <c r="BD223" s="545" t="s">
        <v>2233</v>
      </c>
      <c r="BE223" s="141">
        <v>0</v>
      </c>
      <c r="BF223" s="545" t="s">
        <v>2233</v>
      </c>
      <c r="BG223" s="141">
        <v>0</v>
      </c>
      <c r="BH223" s="607" t="s">
        <v>627</v>
      </c>
      <c r="BI223" s="868">
        <v>0</v>
      </c>
      <c r="BJ223" s="2629"/>
      <c r="BK223" s="2629"/>
      <c r="BL223" s="2629"/>
      <c r="BM223" s="2629"/>
      <c r="BN223" s="2629"/>
      <c r="BO223" s="2629"/>
      <c r="BP223" s="2629"/>
      <c r="BQ223" s="545" t="s">
        <v>2233</v>
      </c>
      <c r="BR223" s="141">
        <v>0</v>
      </c>
      <c r="BS223" s="545" t="s">
        <v>2233</v>
      </c>
      <c r="BT223" s="141">
        <v>0</v>
      </c>
      <c r="BU223" s="545" t="s">
        <v>2233</v>
      </c>
      <c r="BV223" s="141">
        <v>0</v>
      </c>
      <c r="BW223" s="607" t="s">
        <v>627</v>
      </c>
      <c r="BX223" s="872">
        <v>0</v>
      </c>
      <c r="BY223" s="2629"/>
      <c r="BZ223" s="2629"/>
      <c r="CA223" s="2629"/>
      <c r="CB223" s="2629"/>
      <c r="CC223" s="2629"/>
      <c r="CD223" s="2629"/>
      <c r="CE223" s="2629"/>
      <c r="CF223" s="2629"/>
    </row>
    <row r="224" spans="1:84" s="98" customFormat="1" ht="15" customHeight="1">
      <c r="A224" s="99"/>
      <c r="B224" s="2687"/>
      <c r="C224" s="2688"/>
      <c r="D224" s="2688" t="s">
        <v>2726</v>
      </c>
      <c r="E224" s="2688"/>
      <c r="F224" s="2688"/>
      <c r="G224" s="2645"/>
      <c r="H224" s="2645"/>
      <c r="I224" s="2503"/>
      <c r="J224" s="2503"/>
      <c r="K224" s="2503"/>
      <c r="L224" s="2503"/>
      <c r="M224" s="2503"/>
      <c r="N224" s="2503"/>
      <c r="O224" s="2503"/>
      <c r="P224" s="2503"/>
      <c r="Q224" s="2503"/>
      <c r="R224" s="2503"/>
      <c r="S224" s="2503"/>
      <c r="T224" s="2503"/>
      <c r="U224" s="2503"/>
      <c r="V224" s="2503"/>
      <c r="W224" s="2629"/>
      <c r="X224" s="2503"/>
      <c r="Y224" s="2503"/>
      <c r="Z224" s="2503"/>
      <c r="AA224" s="2503"/>
      <c r="AB224" s="2503"/>
      <c r="AC224" s="2503"/>
      <c r="AD224" s="2503"/>
      <c r="AE224" s="2503"/>
      <c r="AF224" s="2503"/>
      <c r="AG224" s="2503"/>
      <c r="AH224" s="2503"/>
      <c r="AI224" s="2503"/>
      <c r="AJ224" s="2503"/>
      <c r="AK224" s="2503"/>
      <c r="AL224" s="2629"/>
      <c r="AM224" s="607" t="s">
        <v>2233</v>
      </c>
      <c r="AN224" s="143">
        <v>-0.38700000000000001</v>
      </c>
      <c r="AO224" s="141">
        <v>0</v>
      </c>
      <c r="AP224" s="141">
        <v>0</v>
      </c>
      <c r="AQ224" s="141">
        <v>0</v>
      </c>
      <c r="AR224" s="141">
        <v>0</v>
      </c>
      <c r="AS224" s="141">
        <v>0</v>
      </c>
      <c r="AT224" s="141">
        <v>0</v>
      </c>
      <c r="AU224" s="144">
        <v>0</v>
      </c>
      <c r="AV224" s="143">
        <v>0</v>
      </c>
      <c r="AW224" s="141">
        <v>0</v>
      </c>
      <c r="AX224" s="141">
        <v>0</v>
      </c>
      <c r="AY224" s="141">
        <v>0</v>
      </c>
      <c r="AZ224" s="144">
        <v>0</v>
      </c>
      <c r="BA224" s="2629"/>
      <c r="BB224" s="545" t="s">
        <v>2233</v>
      </c>
      <c r="BC224" s="141">
        <v>0.11295735444330951</v>
      </c>
      <c r="BD224" s="545" t="s">
        <v>2233</v>
      </c>
      <c r="BE224" s="141">
        <v>6.8387129724208379E-2</v>
      </c>
      <c r="BF224" s="545" t="s">
        <v>2233</v>
      </c>
      <c r="BG224" s="141">
        <v>0.20565551583248212</v>
      </c>
      <c r="BH224" s="607" t="s">
        <v>627</v>
      </c>
      <c r="BI224" s="868">
        <v>0.98480000000000001</v>
      </c>
      <c r="BJ224" s="2629"/>
      <c r="BK224" s="2629"/>
      <c r="BL224" s="2629"/>
      <c r="BM224" s="2629"/>
      <c r="BN224" s="2629"/>
      <c r="BO224" s="2629"/>
      <c r="BP224" s="2629"/>
      <c r="BQ224" s="545" t="s">
        <v>2233</v>
      </c>
      <c r="BR224" s="141">
        <v>0</v>
      </c>
      <c r="BS224" s="545" t="s">
        <v>2233</v>
      </c>
      <c r="BT224" s="141">
        <v>0</v>
      </c>
      <c r="BU224" s="545" t="s">
        <v>2233</v>
      </c>
      <c r="BV224" s="141">
        <v>0</v>
      </c>
      <c r="BW224" s="607" t="s">
        <v>627</v>
      </c>
      <c r="BX224" s="872">
        <v>0</v>
      </c>
      <c r="BY224" s="2629"/>
      <c r="BZ224" s="2629"/>
      <c r="CA224" s="2629"/>
      <c r="CB224" s="2629"/>
      <c r="CC224" s="2629"/>
      <c r="CD224" s="2629"/>
      <c r="CE224" s="2629"/>
      <c r="CF224" s="2629"/>
    </row>
    <row r="225" spans="1:84" s="98" customFormat="1" ht="15" customHeight="1">
      <c r="A225" s="99"/>
      <c r="B225" s="2687"/>
      <c r="C225" s="2688"/>
      <c r="D225" s="2688" t="s">
        <v>2727</v>
      </c>
      <c r="E225" s="2688"/>
      <c r="F225" s="2688"/>
      <c r="G225" s="2645"/>
      <c r="H225" s="2645"/>
      <c r="I225" s="2503"/>
      <c r="J225" s="2503"/>
      <c r="K225" s="2503"/>
      <c r="L225" s="2503"/>
      <c r="M225" s="2503"/>
      <c r="N225" s="2503"/>
      <c r="O225" s="2503"/>
      <c r="P225" s="2503"/>
      <c r="Q225" s="2503"/>
      <c r="R225" s="2503"/>
      <c r="S225" s="2503"/>
      <c r="T225" s="2503"/>
      <c r="U225" s="2503"/>
      <c r="V225" s="2503"/>
      <c r="W225" s="2629"/>
      <c r="X225" s="2503"/>
      <c r="Y225" s="2503"/>
      <c r="Z225" s="2503"/>
      <c r="AA225" s="2503"/>
      <c r="AB225" s="2503"/>
      <c r="AC225" s="2503"/>
      <c r="AD225" s="2503"/>
      <c r="AE225" s="2503"/>
      <c r="AF225" s="2503"/>
      <c r="AG225" s="2503"/>
      <c r="AH225" s="2503"/>
      <c r="AI225" s="2503"/>
      <c r="AJ225" s="2503"/>
      <c r="AK225" s="2503"/>
      <c r="AL225" s="2629"/>
      <c r="AM225" s="607" t="s">
        <v>2233</v>
      </c>
      <c r="AN225" s="143">
        <v>0</v>
      </c>
      <c r="AO225" s="141">
        <v>-0.23400000000000001</v>
      </c>
      <c r="AP225" s="141">
        <v>-1.2999999999999999E-2</v>
      </c>
      <c r="AQ225" s="141">
        <v>0</v>
      </c>
      <c r="AR225" s="141">
        <v>0</v>
      </c>
      <c r="AS225" s="141">
        <v>0</v>
      </c>
      <c r="AT225" s="141">
        <v>0</v>
      </c>
      <c r="AU225" s="144">
        <v>0</v>
      </c>
      <c r="AV225" s="143">
        <v>0</v>
      </c>
      <c r="AW225" s="141">
        <v>0</v>
      </c>
      <c r="AX225" s="141">
        <v>0</v>
      </c>
      <c r="AY225" s="141">
        <v>0</v>
      </c>
      <c r="AZ225" s="144">
        <v>0</v>
      </c>
      <c r="BA225" s="2629"/>
      <c r="BB225" s="545" t="s">
        <v>2233</v>
      </c>
      <c r="BC225" s="141">
        <v>7.2094228804902974E-2</v>
      </c>
      <c r="BD225" s="545" t="s">
        <v>2233</v>
      </c>
      <c r="BE225" s="141">
        <v>4.3647599591419825E-2</v>
      </c>
      <c r="BF225" s="545" t="s">
        <v>2233</v>
      </c>
      <c r="BG225" s="141">
        <v>0.13125817160367723</v>
      </c>
      <c r="BH225" s="607" t="s">
        <v>627</v>
      </c>
      <c r="BI225" s="868">
        <v>0.98480000000000001</v>
      </c>
      <c r="BJ225" s="2629"/>
      <c r="BK225" s="2629"/>
      <c r="BL225" s="2629"/>
      <c r="BM225" s="2629"/>
      <c r="BN225" s="2629"/>
      <c r="BO225" s="2629"/>
      <c r="BP225" s="2629"/>
      <c r="BQ225" s="545" t="s">
        <v>2233</v>
      </c>
      <c r="BR225" s="141">
        <v>0</v>
      </c>
      <c r="BS225" s="545" t="s">
        <v>2233</v>
      </c>
      <c r="BT225" s="141">
        <v>0</v>
      </c>
      <c r="BU225" s="545" t="s">
        <v>2233</v>
      </c>
      <c r="BV225" s="141">
        <v>0</v>
      </c>
      <c r="BW225" s="607" t="s">
        <v>627</v>
      </c>
      <c r="BX225" s="872">
        <v>0</v>
      </c>
      <c r="BY225" s="2629"/>
      <c r="BZ225" s="2629"/>
      <c r="CA225" s="2629"/>
      <c r="CB225" s="2629"/>
      <c r="CC225" s="2629"/>
      <c r="CD225" s="2629"/>
      <c r="CE225" s="2629"/>
      <c r="CF225" s="2629"/>
    </row>
    <row r="226" spans="1:84" s="98" customFormat="1" ht="15" customHeight="1">
      <c r="A226" s="99"/>
      <c r="B226" s="2687"/>
      <c r="C226" s="2688"/>
      <c r="D226" s="2688" t="s">
        <v>2728</v>
      </c>
      <c r="E226" s="2688"/>
      <c r="F226" s="2688"/>
      <c r="G226" s="2645"/>
      <c r="H226" s="2645"/>
      <c r="I226" s="2503"/>
      <c r="J226" s="2503"/>
      <c r="K226" s="2503"/>
      <c r="L226" s="2503"/>
      <c r="M226" s="2503"/>
      <c r="N226" s="2503"/>
      <c r="O226" s="2503"/>
      <c r="P226" s="2503"/>
      <c r="Q226" s="2503"/>
      <c r="R226" s="2503"/>
      <c r="S226" s="2503"/>
      <c r="T226" s="2503"/>
      <c r="U226" s="2503"/>
      <c r="V226" s="2503"/>
      <c r="W226" s="2629"/>
      <c r="X226" s="2503"/>
      <c r="Y226" s="2503"/>
      <c r="Z226" s="2503"/>
      <c r="AA226" s="2503"/>
      <c r="AB226" s="2503"/>
      <c r="AC226" s="2503"/>
      <c r="AD226" s="2503"/>
      <c r="AE226" s="2503"/>
      <c r="AF226" s="2503"/>
      <c r="AG226" s="2503"/>
      <c r="AH226" s="2503"/>
      <c r="AI226" s="2503"/>
      <c r="AJ226" s="2503"/>
      <c r="AK226" s="2503"/>
      <c r="AL226" s="2629"/>
      <c r="AM226" s="607" t="s">
        <v>2233</v>
      </c>
      <c r="AN226" s="143">
        <v>0</v>
      </c>
      <c r="AO226" s="141">
        <v>0</v>
      </c>
      <c r="AP226" s="141">
        <v>0</v>
      </c>
      <c r="AQ226" s="141">
        <v>0</v>
      </c>
      <c r="AR226" s="141">
        <v>0</v>
      </c>
      <c r="AS226" s="141">
        <v>0</v>
      </c>
      <c r="AT226" s="141">
        <v>0</v>
      </c>
      <c r="AU226" s="144">
        <v>0</v>
      </c>
      <c r="AV226" s="143">
        <v>0</v>
      </c>
      <c r="AW226" s="141">
        <v>0</v>
      </c>
      <c r="AX226" s="141">
        <v>0</v>
      </c>
      <c r="AY226" s="141">
        <v>0</v>
      </c>
      <c r="AZ226" s="144">
        <v>0</v>
      </c>
      <c r="BA226" s="2629"/>
      <c r="BB226" s="545" t="s">
        <v>2233</v>
      </c>
      <c r="BC226" s="141">
        <v>0</v>
      </c>
      <c r="BD226" s="545" t="s">
        <v>2233</v>
      </c>
      <c r="BE226" s="141">
        <v>0</v>
      </c>
      <c r="BF226" s="545" t="s">
        <v>2233</v>
      </c>
      <c r="BG226" s="141">
        <v>0</v>
      </c>
      <c r="BH226" s="607" t="s">
        <v>627</v>
      </c>
      <c r="BI226" s="868">
        <v>0</v>
      </c>
      <c r="BJ226" s="2629"/>
      <c r="BK226" s="2629"/>
      <c r="BL226" s="2629"/>
      <c r="BM226" s="2629"/>
      <c r="BN226" s="2629"/>
      <c r="BO226" s="2629"/>
      <c r="BP226" s="2629"/>
      <c r="BQ226" s="545" t="s">
        <v>2233</v>
      </c>
      <c r="BR226" s="141">
        <v>0</v>
      </c>
      <c r="BS226" s="545" t="s">
        <v>2233</v>
      </c>
      <c r="BT226" s="141">
        <v>0</v>
      </c>
      <c r="BU226" s="545" t="s">
        <v>2233</v>
      </c>
      <c r="BV226" s="141">
        <v>0</v>
      </c>
      <c r="BW226" s="607" t="s">
        <v>627</v>
      </c>
      <c r="BX226" s="872">
        <v>0</v>
      </c>
      <c r="BY226" s="2629"/>
      <c r="BZ226" s="2629"/>
      <c r="CA226" s="2629"/>
      <c r="CB226" s="2629"/>
      <c r="CC226" s="2629"/>
      <c r="CD226" s="2629"/>
      <c r="CE226" s="2629"/>
      <c r="CF226" s="2629"/>
    </row>
    <row r="227" spans="1:84" s="98" customFormat="1" ht="15" customHeight="1">
      <c r="A227" s="99"/>
      <c r="B227" s="2687"/>
      <c r="C227" s="2688"/>
      <c r="D227" s="2688" t="s">
        <v>2736</v>
      </c>
      <c r="E227" s="2688"/>
      <c r="F227" s="2688"/>
      <c r="G227" s="2645"/>
      <c r="H227" s="2645"/>
      <c r="I227" s="2503"/>
      <c r="J227" s="2503"/>
      <c r="K227" s="2503"/>
      <c r="L227" s="2503"/>
      <c r="M227" s="2503"/>
      <c r="N227" s="2503"/>
      <c r="O227" s="2503"/>
      <c r="P227" s="2503"/>
      <c r="Q227" s="2503"/>
      <c r="R227" s="2503"/>
      <c r="S227" s="2503"/>
      <c r="T227" s="2503"/>
      <c r="U227" s="2503"/>
      <c r="V227" s="2503"/>
      <c r="W227" s="2629"/>
      <c r="X227" s="2503"/>
      <c r="Y227" s="2503"/>
      <c r="Z227" s="2503"/>
      <c r="AA227" s="2503"/>
      <c r="AB227" s="2503"/>
      <c r="AC227" s="2503"/>
      <c r="AD227" s="2503"/>
      <c r="AE227" s="2503"/>
      <c r="AF227" s="2503"/>
      <c r="AG227" s="2503"/>
      <c r="AH227" s="2503"/>
      <c r="AI227" s="2503"/>
      <c r="AJ227" s="2503"/>
      <c r="AK227" s="2503"/>
      <c r="AL227" s="2629"/>
      <c r="AM227" s="607" t="s">
        <v>2233</v>
      </c>
      <c r="AN227" s="143">
        <v>0</v>
      </c>
      <c r="AO227" s="141">
        <v>0</v>
      </c>
      <c r="AP227" s="141">
        <v>0</v>
      </c>
      <c r="AQ227" s="141">
        <v>0</v>
      </c>
      <c r="AR227" s="141">
        <v>0</v>
      </c>
      <c r="AS227" s="141">
        <v>0</v>
      </c>
      <c r="AT227" s="141">
        <v>0</v>
      </c>
      <c r="AU227" s="144">
        <v>0</v>
      </c>
      <c r="AV227" s="143">
        <v>0</v>
      </c>
      <c r="AW227" s="141">
        <v>0</v>
      </c>
      <c r="AX227" s="141">
        <v>0</v>
      </c>
      <c r="AY227" s="141">
        <v>0</v>
      </c>
      <c r="AZ227" s="144">
        <v>0</v>
      </c>
      <c r="BA227" s="2629"/>
      <c r="BB227" s="545" t="s">
        <v>2233</v>
      </c>
      <c r="BC227" s="141">
        <v>0</v>
      </c>
      <c r="BD227" s="545" t="s">
        <v>2233</v>
      </c>
      <c r="BE227" s="141">
        <v>0</v>
      </c>
      <c r="BF227" s="545" t="s">
        <v>2233</v>
      </c>
      <c r="BG227" s="141">
        <v>0</v>
      </c>
      <c r="BH227" s="607" t="s">
        <v>627</v>
      </c>
      <c r="BI227" s="868">
        <v>0</v>
      </c>
      <c r="BJ227" s="2629"/>
      <c r="BK227" s="2629"/>
      <c r="BL227" s="2629"/>
      <c r="BM227" s="2629"/>
      <c r="BN227" s="2629"/>
      <c r="BO227" s="2629"/>
      <c r="BP227" s="2629"/>
      <c r="BQ227" s="545" t="s">
        <v>2233</v>
      </c>
      <c r="BR227" s="141">
        <v>0</v>
      </c>
      <c r="BS227" s="545" t="s">
        <v>2233</v>
      </c>
      <c r="BT227" s="141">
        <v>0</v>
      </c>
      <c r="BU227" s="545" t="s">
        <v>2233</v>
      </c>
      <c r="BV227" s="141">
        <v>0</v>
      </c>
      <c r="BW227" s="607" t="s">
        <v>627</v>
      </c>
      <c r="BX227" s="872">
        <v>0</v>
      </c>
      <c r="BY227" s="2629"/>
      <c r="BZ227" s="2629"/>
      <c r="CA227" s="2629"/>
      <c r="CB227" s="2629"/>
      <c r="CC227" s="2629"/>
      <c r="CD227" s="2629"/>
      <c r="CE227" s="2629"/>
      <c r="CF227" s="2629"/>
    </row>
    <row r="228" spans="1:84" s="98" customFormat="1" ht="15" customHeight="1">
      <c r="A228" s="99"/>
      <c r="B228" s="2687"/>
      <c r="C228" s="2688"/>
      <c r="D228" s="2688" t="s">
        <v>2737</v>
      </c>
      <c r="E228" s="2688"/>
      <c r="F228" s="2688"/>
      <c r="G228" s="2645"/>
      <c r="H228" s="2645"/>
      <c r="I228" s="2503"/>
      <c r="J228" s="2503"/>
      <c r="K228" s="2503"/>
      <c r="L228" s="2503"/>
      <c r="M228" s="2503"/>
      <c r="N228" s="2503"/>
      <c r="O228" s="2503"/>
      <c r="P228" s="2503"/>
      <c r="Q228" s="2503"/>
      <c r="R228" s="2503"/>
      <c r="S228" s="2503"/>
      <c r="T228" s="2503"/>
      <c r="U228" s="2503"/>
      <c r="V228" s="2503"/>
      <c r="W228" s="2629"/>
      <c r="X228" s="2503"/>
      <c r="Y228" s="2503"/>
      <c r="Z228" s="2503"/>
      <c r="AA228" s="2503"/>
      <c r="AB228" s="2503"/>
      <c r="AC228" s="2503"/>
      <c r="AD228" s="2503"/>
      <c r="AE228" s="2503"/>
      <c r="AF228" s="2503"/>
      <c r="AG228" s="2503"/>
      <c r="AH228" s="2503"/>
      <c r="AI228" s="2503"/>
      <c r="AJ228" s="2503"/>
      <c r="AK228" s="2503"/>
      <c r="AL228" s="2629"/>
      <c r="AM228" s="607" t="s">
        <v>2233</v>
      </c>
      <c r="AN228" s="143">
        <v>0</v>
      </c>
      <c r="AO228" s="141">
        <v>0</v>
      </c>
      <c r="AP228" s="141">
        <v>0</v>
      </c>
      <c r="AQ228" s="141">
        <v>0</v>
      </c>
      <c r="AR228" s="141">
        <v>0</v>
      </c>
      <c r="AS228" s="141">
        <v>0</v>
      </c>
      <c r="AT228" s="141">
        <v>0</v>
      </c>
      <c r="AU228" s="144">
        <v>0</v>
      </c>
      <c r="AV228" s="143">
        <v>0</v>
      </c>
      <c r="AW228" s="141">
        <v>0</v>
      </c>
      <c r="AX228" s="141">
        <v>0</v>
      </c>
      <c r="AY228" s="141">
        <v>0</v>
      </c>
      <c r="AZ228" s="144">
        <v>0</v>
      </c>
      <c r="BA228" s="2629"/>
      <c r="BB228" s="545" t="s">
        <v>2233</v>
      </c>
      <c r="BC228" s="141">
        <v>0</v>
      </c>
      <c r="BD228" s="545" t="s">
        <v>2233</v>
      </c>
      <c r="BE228" s="141">
        <v>0</v>
      </c>
      <c r="BF228" s="545" t="s">
        <v>2233</v>
      </c>
      <c r="BG228" s="141">
        <v>0</v>
      </c>
      <c r="BH228" s="607" t="s">
        <v>627</v>
      </c>
      <c r="BI228" s="868">
        <v>0</v>
      </c>
      <c r="BJ228" s="2629"/>
      <c r="BK228" s="2629"/>
      <c r="BL228" s="2629"/>
      <c r="BM228" s="2629"/>
      <c r="BN228" s="2629"/>
      <c r="BO228" s="2629"/>
      <c r="BP228" s="2629"/>
      <c r="BQ228" s="545" t="s">
        <v>2233</v>
      </c>
      <c r="BR228" s="141">
        <v>0</v>
      </c>
      <c r="BS228" s="545" t="s">
        <v>2233</v>
      </c>
      <c r="BT228" s="141">
        <v>0</v>
      </c>
      <c r="BU228" s="545" t="s">
        <v>2233</v>
      </c>
      <c r="BV228" s="141">
        <v>0</v>
      </c>
      <c r="BW228" s="607" t="s">
        <v>627</v>
      </c>
      <c r="BX228" s="872">
        <v>0</v>
      </c>
      <c r="BY228" s="2629"/>
      <c r="BZ228" s="2629"/>
      <c r="CA228" s="2629"/>
      <c r="CB228" s="2629"/>
      <c r="CC228" s="2629"/>
      <c r="CD228" s="2629"/>
      <c r="CE228" s="2629"/>
      <c r="CF228" s="2629"/>
    </row>
    <row r="229" spans="1:84" s="98" customFormat="1" ht="15" customHeight="1">
      <c r="A229" s="99"/>
      <c r="B229" s="2687"/>
      <c r="C229" s="2688" t="s">
        <v>1710</v>
      </c>
      <c r="D229" s="2688"/>
      <c r="E229" s="2688"/>
      <c r="F229" s="2688"/>
      <c r="G229" s="2645"/>
      <c r="H229" s="2645"/>
      <c r="I229" s="2503"/>
      <c r="J229" s="2503"/>
      <c r="K229" s="2503"/>
      <c r="L229" s="2503"/>
      <c r="M229" s="2503"/>
      <c r="N229" s="2503"/>
      <c r="O229" s="2503"/>
      <c r="P229" s="2503"/>
      <c r="Q229" s="2503"/>
      <c r="R229" s="2503"/>
      <c r="S229" s="2503"/>
      <c r="T229" s="2503"/>
      <c r="U229" s="2503"/>
      <c r="V229" s="2503"/>
      <c r="W229" s="2629"/>
      <c r="X229" s="2503"/>
      <c r="Y229" s="2503"/>
      <c r="Z229" s="2503"/>
      <c r="AA229" s="2503"/>
      <c r="AB229" s="2503"/>
      <c r="AC229" s="2503"/>
      <c r="AD229" s="2503"/>
      <c r="AE229" s="2503"/>
      <c r="AF229" s="2503"/>
      <c r="AG229" s="2503"/>
      <c r="AH229" s="2503"/>
      <c r="AI229" s="2503"/>
      <c r="AJ229" s="2503"/>
      <c r="AK229" s="2503"/>
      <c r="AL229" s="2629"/>
      <c r="AM229" s="607" t="s">
        <v>2233</v>
      </c>
      <c r="AN229" s="641">
        <f>SUM(AN220:AN228)</f>
        <v>-0.61299999999999999</v>
      </c>
      <c r="AO229" s="642">
        <f t="shared" ref="AO229:AZ229" si="69">SUM(AO220:AO228)</f>
        <v>-0.34399999999999997</v>
      </c>
      <c r="AP229" s="642">
        <f t="shared" si="69"/>
        <v>-1.2200000000000002</v>
      </c>
      <c r="AQ229" s="642">
        <f t="shared" si="69"/>
        <v>-0.64900000000000002</v>
      </c>
      <c r="AR229" s="642">
        <f t="shared" si="69"/>
        <v>-0.53600000000000003</v>
      </c>
      <c r="AS229" s="642">
        <f t="shared" si="69"/>
        <v>-0.51100000000000001</v>
      </c>
      <c r="AT229" s="642">
        <f t="shared" si="69"/>
        <v>0</v>
      </c>
      <c r="AU229" s="643">
        <f t="shared" si="69"/>
        <v>0</v>
      </c>
      <c r="AV229" s="641">
        <f t="shared" si="69"/>
        <v>0</v>
      </c>
      <c r="AW229" s="642">
        <f t="shared" si="69"/>
        <v>0</v>
      </c>
      <c r="AX229" s="642">
        <f t="shared" si="69"/>
        <v>0</v>
      </c>
      <c r="AY229" s="642">
        <f t="shared" si="69"/>
        <v>0</v>
      </c>
      <c r="AZ229" s="643">
        <f t="shared" si="69"/>
        <v>0</v>
      </c>
      <c r="BA229" s="2629"/>
      <c r="BB229" s="545" t="s">
        <v>2233</v>
      </c>
      <c r="BC229" s="642">
        <f t="shared" ref="BC229:BG229" si="70">SUM(BC220:BC228)</f>
        <v>1.1304491828396324</v>
      </c>
      <c r="BD229" s="545" t="s">
        <v>2233</v>
      </c>
      <c r="BE229" s="642">
        <f t="shared" si="70"/>
        <v>0.68440143003064358</v>
      </c>
      <c r="BF229" s="545" t="s">
        <v>2233</v>
      </c>
      <c r="BG229" s="642">
        <f t="shared" si="70"/>
        <v>2.0581493871297245</v>
      </c>
      <c r="BH229" s="545" t="s">
        <v>627</v>
      </c>
      <c r="BI229" s="542"/>
      <c r="BJ229" s="2629"/>
      <c r="BK229" s="2629"/>
      <c r="BL229" s="2629"/>
      <c r="BM229" s="2629"/>
      <c r="BN229" s="2629"/>
      <c r="BO229" s="2629"/>
      <c r="BP229" s="2629"/>
      <c r="BQ229" s="545" t="s">
        <v>2233</v>
      </c>
      <c r="BR229" s="642">
        <f t="shared" ref="BR229" si="71">SUM(BR220:BR228)</f>
        <v>0</v>
      </c>
      <c r="BS229" s="545" t="s">
        <v>2233</v>
      </c>
      <c r="BT229" s="642">
        <f t="shared" ref="BT229" si="72">SUM(BT220:BT228)</f>
        <v>0</v>
      </c>
      <c r="BU229" s="545" t="s">
        <v>2233</v>
      </c>
      <c r="BV229" s="642">
        <f t="shared" ref="BV229" si="73">SUM(BV220:BV228)</f>
        <v>0</v>
      </c>
      <c r="BW229" s="545" t="s">
        <v>627</v>
      </c>
      <c r="BX229" s="1359"/>
      <c r="BY229" s="2629"/>
      <c r="BZ229" s="2629"/>
      <c r="CA229" s="2629"/>
      <c r="CB229" s="2629"/>
      <c r="CC229" s="2629"/>
      <c r="CD229" s="2629"/>
      <c r="CE229" s="2629"/>
      <c r="CF229" s="2629"/>
    </row>
    <row r="230" spans="1:84" s="98" customFormat="1" ht="15" customHeight="1">
      <c r="A230" s="99"/>
      <c r="B230" s="123"/>
      <c r="C230" s="2686"/>
      <c r="D230" s="2686"/>
      <c r="E230" s="2686"/>
      <c r="F230" s="2686"/>
      <c r="G230" s="94"/>
      <c r="H230" s="94"/>
      <c r="I230" s="2503"/>
      <c r="J230" s="2503"/>
      <c r="K230" s="2503"/>
      <c r="L230" s="2503"/>
      <c r="M230" s="2503"/>
      <c r="N230" s="2503"/>
      <c r="O230" s="2503"/>
      <c r="P230" s="2503"/>
      <c r="Q230" s="2503"/>
      <c r="R230" s="2503"/>
      <c r="S230" s="2503"/>
      <c r="T230" s="2503"/>
      <c r="U230" s="2503"/>
      <c r="V230" s="2503"/>
      <c r="W230" s="2629"/>
      <c r="X230" s="2503"/>
      <c r="Y230" s="2503"/>
      <c r="Z230" s="2503"/>
      <c r="AA230" s="2503"/>
      <c r="AB230" s="2503"/>
      <c r="AC230" s="2503"/>
      <c r="AD230" s="2503"/>
      <c r="AE230" s="2503"/>
      <c r="AF230" s="2503"/>
      <c r="AG230" s="2503"/>
      <c r="AH230" s="2503"/>
      <c r="AI230" s="2503"/>
      <c r="AJ230" s="2503"/>
      <c r="AK230" s="2503"/>
      <c r="AL230" s="2629"/>
      <c r="AM230" s="94"/>
      <c r="AN230" s="713"/>
      <c r="AO230" s="2649"/>
      <c r="AP230" s="2649"/>
      <c r="AQ230" s="2649"/>
      <c r="AR230" s="2649"/>
      <c r="AS230" s="2649"/>
      <c r="AT230" s="2649"/>
      <c r="AU230" s="715"/>
      <c r="AV230" s="713"/>
      <c r="AW230" s="2649"/>
      <c r="AX230" s="2649"/>
      <c r="AY230" s="2649"/>
      <c r="AZ230" s="715"/>
      <c r="BA230" s="2629"/>
      <c r="BB230" s="2629"/>
      <c r="BC230" s="2629"/>
      <c r="BD230" s="2629"/>
      <c r="BE230" s="2629"/>
      <c r="BF230" s="2629"/>
      <c r="BG230" s="2629"/>
      <c r="BH230" s="2629"/>
      <c r="BI230" s="2629"/>
      <c r="BJ230" s="2629"/>
      <c r="BK230" s="2629"/>
      <c r="BL230" s="2629"/>
      <c r="BM230" s="2629"/>
      <c r="BN230" s="2629"/>
      <c r="BO230" s="2629"/>
      <c r="BP230" s="2629"/>
      <c r="BQ230" s="2629"/>
      <c r="BR230" s="2629"/>
      <c r="BS230" s="2629"/>
      <c r="BT230" s="2629"/>
      <c r="BU230" s="2629"/>
      <c r="BV230" s="2629"/>
      <c r="BW230" s="2629"/>
      <c r="BX230" s="2653"/>
      <c r="BY230" s="2629"/>
      <c r="BZ230" s="2629"/>
      <c r="CA230" s="2629"/>
      <c r="CB230" s="2629"/>
      <c r="CC230" s="2629"/>
      <c r="CD230" s="2629"/>
      <c r="CE230" s="2629"/>
      <c r="CF230" s="2629"/>
    </row>
    <row r="231" spans="1:84" s="98" customFormat="1" ht="15" customHeight="1">
      <c r="A231" s="99"/>
      <c r="B231" s="2687"/>
      <c r="C231" s="2685" t="s">
        <v>2722</v>
      </c>
      <c r="D231" s="2685"/>
      <c r="E231" s="2685"/>
      <c r="F231" s="2685"/>
      <c r="G231" s="94"/>
      <c r="H231" s="94"/>
      <c r="I231" s="2503"/>
      <c r="J231" s="2503"/>
      <c r="K231" s="2503"/>
      <c r="L231" s="2503"/>
      <c r="M231" s="2503"/>
      <c r="N231" s="2503"/>
      <c r="O231" s="2503"/>
      <c r="P231" s="2503"/>
      <c r="Q231" s="2503"/>
      <c r="R231" s="2503"/>
      <c r="S231" s="2503"/>
      <c r="T231" s="2503"/>
      <c r="U231" s="2503"/>
      <c r="V231" s="2503"/>
      <c r="W231" s="2629"/>
      <c r="X231" s="2503"/>
      <c r="Y231" s="2503"/>
      <c r="Z231" s="2503"/>
      <c r="AA231" s="2503"/>
      <c r="AB231" s="2503"/>
      <c r="AC231" s="2503"/>
      <c r="AD231" s="2503"/>
      <c r="AE231" s="2503"/>
      <c r="AF231" s="2503"/>
      <c r="AG231" s="2503"/>
      <c r="AH231" s="2503"/>
      <c r="AI231" s="2503"/>
      <c r="AJ231" s="2503"/>
      <c r="AK231" s="2503"/>
      <c r="AL231" s="2629"/>
      <c r="AM231" s="94"/>
      <c r="AN231" s="713"/>
      <c r="AO231" s="2649"/>
      <c r="AP231" s="2649"/>
      <c r="AQ231" s="2649"/>
      <c r="AR231" s="2649"/>
      <c r="AS231" s="2649"/>
      <c r="AT231" s="2649"/>
      <c r="AU231" s="715"/>
      <c r="AV231" s="713"/>
      <c r="AW231" s="2649"/>
      <c r="AX231" s="2649"/>
      <c r="AY231" s="2649"/>
      <c r="AZ231" s="715"/>
      <c r="BA231" s="2629"/>
      <c r="BB231" s="2629"/>
      <c r="BC231" s="2629"/>
      <c r="BD231" s="2629"/>
      <c r="BE231" s="2629"/>
      <c r="BF231" s="2629"/>
      <c r="BG231" s="2629"/>
      <c r="BH231" s="2629"/>
      <c r="BI231" s="2629"/>
      <c r="BJ231" s="2629"/>
      <c r="BK231" s="2629"/>
      <c r="BL231" s="2629"/>
      <c r="BM231" s="2629"/>
      <c r="BN231" s="2629"/>
      <c r="BO231" s="2629"/>
      <c r="BP231" s="2629"/>
      <c r="BQ231" s="2629"/>
      <c r="BR231" s="2629"/>
      <c r="BS231" s="2629"/>
      <c r="BT231" s="2629"/>
      <c r="BU231" s="2629"/>
      <c r="BV231" s="2629"/>
      <c r="BW231" s="2629"/>
      <c r="BX231" s="2653"/>
      <c r="BY231" s="2629"/>
      <c r="BZ231" s="2629"/>
      <c r="CA231" s="2629"/>
      <c r="CB231" s="2629"/>
      <c r="CC231" s="2629"/>
      <c r="CD231" s="2629"/>
      <c r="CE231" s="2629"/>
      <c r="CF231" s="2629"/>
    </row>
    <row r="232" spans="1:84" s="98" customFormat="1" ht="15" customHeight="1">
      <c r="A232" s="99"/>
      <c r="B232" s="2687"/>
      <c r="C232" s="2688"/>
      <c r="D232" s="2688" t="s">
        <v>2716</v>
      </c>
      <c r="E232" s="2688"/>
      <c r="F232" s="2688"/>
      <c r="G232" s="2645"/>
      <c r="H232" s="2645"/>
      <c r="I232" s="2503"/>
      <c r="J232" s="2503"/>
      <c r="K232" s="2503"/>
      <c r="L232" s="2503"/>
      <c r="M232" s="2503"/>
      <c r="N232" s="2503"/>
      <c r="O232" s="2503"/>
      <c r="P232" s="2503"/>
      <c r="Q232" s="2503"/>
      <c r="R232" s="2503"/>
      <c r="S232" s="2503"/>
      <c r="T232" s="2503"/>
      <c r="U232" s="2503"/>
      <c r="V232" s="2503"/>
      <c r="W232" s="2629"/>
      <c r="X232" s="2503"/>
      <c r="Y232" s="2503"/>
      <c r="Z232" s="2503"/>
      <c r="AA232" s="2503"/>
      <c r="AB232" s="2503"/>
      <c r="AC232" s="2503"/>
      <c r="AD232" s="2503"/>
      <c r="AE232" s="2503"/>
      <c r="AF232" s="2503"/>
      <c r="AG232" s="2503"/>
      <c r="AH232" s="2503"/>
      <c r="AI232" s="2503"/>
      <c r="AJ232" s="2503"/>
      <c r="AK232" s="2503"/>
      <c r="AL232" s="2629"/>
      <c r="AM232" s="607" t="s">
        <v>2233</v>
      </c>
      <c r="AN232" s="143">
        <v>-1.1160000000000001</v>
      </c>
      <c r="AO232" s="141">
        <v>-0.874</v>
      </c>
      <c r="AP232" s="141">
        <v>-1.4684999999999999</v>
      </c>
      <c r="AQ232" s="141">
        <v>-0.40200000000000008</v>
      </c>
      <c r="AR232" s="141">
        <v>-0.27200000000000002</v>
      </c>
      <c r="AS232" s="141">
        <v>-2.8000000000000001E-2</v>
      </c>
      <c r="AT232" s="141">
        <v>0</v>
      </c>
      <c r="AU232" s="144">
        <v>0</v>
      </c>
      <c r="AV232" s="143">
        <v>0</v>
      </c>
      <c r="AW232" s="141">
        <v>0</v>
      </c>
      <c r="AX232" s="141">
        <v>0</v>
      </c>
      <c r="AY232" s="141">
        <v>0</v>
      </c>
      <c r="AZ232" s="144">
        <v>0</v>
      </c>
      <c r="BA232" s="2629"/>
      <c r="BB232" s="545" t="s">
        <v>2233</v>
      </c>
      <c r="BC232" s="141">
        <v>0.4156651248843663</v>
      </c>
      <c r="BD232" s="545" t="s">
        <v>2233</v>
      </c>
      <c r="BE232" s="141">
        <v>0.62349768732654953</v>
      </c>
      <c r="BF232" s="545" t="s">
        <v>2233</v>
      </c>
      <c r="BG232" s="141">
        <v>3.1213371877890839</v>
      </c>
      <c r="BH232" s="607" t="s">
        <v>627</v>
      </c>
      <c r="BI232" s="868">
        <v>0.72</v>
      </c>
      <c r="BJ232" s="2629"/>
      <c r="BK232" s="2629"/>
      <c r="BL232" s="2629"/>
      <c r="BM232" s="2629"/>
      <c r="BN232" s="2629"/>
      <c r="BO232" s="2629"/>
      <c r="BP232" s="2629"/>
      <c r="BQ232" s="545" t="s">
        <v>2233</v>
      </c>
      <c r="BR232" s="141">
        <v>0</v>
      </c>
      <c r="BS232" s="545" t="s">
        <v>2233</v>
      </c>
      <c r="BT232" s="141">
        <v>0</v>
      </c>
      <c r="BU232" s="545" t="s">
        <v>2233</v>
      </c>
      <c r="BV232" s="141">
        <v>0</v>
      </c>
      <c r="BW232" s="607" t="s">
        <v>627</v>
      </c>
      <c r="BX232" s="872">
        <v>0</v>
      </c>
      <c r="BY232" s="2629"/>
      <c r="BZ232" s="2629"/>
      <c r="CA232" s="2629"/>
      <c r="CB232" s="2629"/>
      <c r="CC232" s="2629"/>
      <c r="CD232" s="2629"/>
      <c r="CE232" s="2629"/>
      <c r="CF232" s="2629"/>
    </row>
    <row r="233" spans="1:84" s="98" customFormat="1" ht="15" customHeight="1">
      <c r="A233" s="99"/>
      <c r="B233" s="123"/>
      <c r="C233" s="2686"/>
      <c r="D233" s="2686"/>
      <c r="E233" s="2686"/>
      <c r="F233" s="2686"/>
      <c r="G233" s="94"/>
      <c r="H233" s="94"/>
      <c r="I233" s="2503"/>
      <c r="J233" s="2503"/>
      <c r="K233" s="2503"/>
      <c r="L233" s="2503"/>
      <c r="M233" s="2503"/>
      <c r="N233" s="2503"/>
      <c r="O233" s="2503"/>
      <c r="P233" s="2503"/>
      <c r="Q233" s="2503"/>
      <c r="R233" s="2503"/>
      <c r="S233" s="2503"/>
      <c r="T233" s="2503"/>
      <c r="U233" s="2503"/>
      <c r="V233" s="2503"/>
      <c r="W233" s="2629"/>
      <c r="X233" s="2503"/>
      <c r="Y233" s="2503"/>
      <c r="Z233" s="2503"/>
      <c r="AA233" s="2503"/>
      <c r="AB233" s="2503"/>
      <c r="AC233" s="2503"/>
      <c r="AD233" s="2503"/>
      <c r="AE233" s="2503"/>
      <c r="AF233" s="2503"/>
      <c r="AG233" s="2503"/>
      <c r="AH233" s="2503"/>
      <c r="AI233" s="2503"/>
      <c r="AJ233" s="2503"/>
      <c r="AK233" s="2503"/>
      <c r="AL233" s="2629"/>
      <c r="AM233" s="94"/>
      <c r="AN233" s="713"/>
      <c r="AO233" s="2649"/>
      <c r="AP233" s="2649"/>
      <c r="AQ233" s="2649"/>
      <c r="AR233" s="2649"/>
      <c r="AS233" s="2649"/>
      <c r="AT233" s="2649"/>
      <c r="AU233" s="715"/>
      <c r="AV233" s="713"/>
      <c r="AW233" s="2649"/>
      <c r="AX233" s="2649"/>
      <c r="AY233" s="2649"/>
      <c r="AZ233" s="715"/>
      <c r="BA233" s="2629"/>
      <c r="BB233" s="2629"/>
      <c r="BC233" s="2629"/>
      <c r="BD233" s="2629"/>
      <c r="BE233" s="2629"/>
      <c r="BF233" s="2629"/>
      <c r="BG233" s="2629"/>
      <c r="BH233" s="2629"/>
      <c r="BI233" s="2629"/>
      <c r="BJ233" s="2629"/>
      <c r="BK233" s="2629"/>
      <c r="BL233" s="2629"/>
      <c r="BM233" s="2629"/>
      <c r="BN233" s="2629"/>
      <c r="BO233" s="2629"/>
      <c r="BP233" s="2629"/>
      <c r="BQ233" s="2629"/>
      <c r="BR233" s="2629"/>
      <c r="BS233" s="2629"/>
      <c r="BT233" s="2629"/>
      <c r="BU233" s="2629"/>
      <c r="BV233" s="2629"/>
      <c r="BW233" s="2629"/>
      <c r="BX233" s="2653"/>
      <c r="BY233" s="2629"/>
      <c r="BZ233" s="2629"/>
      <c r="CA233" s="2629"/>
      <c r="CB233" s="2629"/>
      <c r="CC233" s="2629"/>
      <c r="CD233" s="2629"/>
      <c r="CE233" s="2629"/>
      <c r="CF233" s="2629"/>
    </row>
    <row r="234" spans="1:84" s="98" customFormat="1" ht="15" customHeight="1">
      <c r="A234" s="99"/>
      <c r="B234" s="2687"/>
      <c r="C234" s="2685" t="s">
        <v>2755</v>
      </c>
      <c r="D234" s="2685"/>
      <c r="E234" s="2685"/>
      <c r="F234" s="2685"/>
      <c r="G234" s="94"/>
      <c r="H234" s="94"/>
      <c r="I234" s="2503"/>
      <c r="J234" s="2503"/>
      <c r="K234" s="2503"/>
      <c r="L234" s="2503"/>
      <c r="M234" s="2503"/>
      <c r="N234" s="2503"/>
      <c r="O234" s="2503"/>
      <c r="P234" s="2503"/>
      <c r="Q234" s="2503"/>
      <c r="R234" s="2503"/>
      <c r="S234" s="2503"/>
      <c r="T234" s="2503"/>
      <c r="U234" s="2503"/>
      <c r="V234" s="2503"/>
      <c r="W234" s="2629"/>
      <c r="X234" s="2503"/>
      <c r="Y234" s="2503"/>
      <c r="Z234" s="2503"/>
      <c r="AA234" s="2503"/>
      <c r="AB234" s="2503"/>
      <c r="AC234" s="2503"/>
      <c r="AD234" s="2503"/>
      <c r="AE234" s="2503"/>
      <c r="AF234" s="2503"/>
      <c r="AG234" s="2503"/>
      <c r="AH234" s="2503"/>
      <c r="AI234" s="2503"/>
      <c r="AJ234" s="2503"/>
      <c r="AK234" s="2503"/>
      <c r="AL234" s="2629"/>
      <c r="AM234" s="94"/>
      <c r="AN234" s="713"/>
      <c r="AO234" s="2649"/>
      <c r="AP234" s="2649"/>
      <c r="AQ234" s="2649"/>
      <c r="AR234" s="2649"/>
      <c r="AS234" s="2649"/>
      <c r="AT234" s="2649"/>
      <c r="AU234" s="715"/>
      <c r="AV234" s="713"/>
      <c r="AW234" s="2649"/>
      <c r="AX234" s="2649"/>
      <c r="AY234" s="2649"/>
      <c r="AZ234" s="715"/>
      <c r="BA234" s="2629"/>
      <c r="BB234" s="2629"/>
      <c r="BC234" s="2629"/>
      <c r="BD234" s="2629"/>
      <c r="BE234" s="2629"/>
      <c r="BF234" s="2629"/>
      <c r="BG234" s="2629"/>
      <c r="BH234" s="2629"/>
      <c r="BI234" s="2629"/>
      <c r="BJ234" s="2629"/>
      <c r="BK234" s="2629"/>
      <c r="BL234" s="2629"/>
      <c r="BM234" s="2629"/>
      <c r="BN234" s="2629"/>
      <c r="BO234" s="2629"/>
      <c r="BP234" s="2629"/>
      <c r="BQ234" s="2629"/>
      <c r="BR234" s="2629"/>
      <c r="BS234" s="2629"/>
      <c r="BT234" s="2629"/>
      <c r="BU234" s="2629"/>
      <c r="BV234" s="2629"/>
      <c r="BW234" s="2629"/>
      <c r="BX234" s="2653"/>
      <c r="BY234" s="2629"/>
      <c r="BZ234" s="2629"/>
      <c r="CA234" s="2629"/>
      <c r="CB234" s="2629"/>
      <c r="CC234" s="2629"/>
      <c r="CD234" s="2629"/>
      <c r="CE234" s="2629"/>
      <c r="CF234" s="2629"/>
    </row>
    <row r="235" spans="1:84" s="98" customFormat="1" ht="15" customHeight="1">
      <c r="A235" s="99"/>
      <c r="B235" s="2687"/>
      <c r="C235" s="2688"/>
      <c r="D235" s="2688" t="s">
        <v>2716</v>
      </c>
      <c r="E235" s="2688"/>
      <c r="F235" s="2688"/>
      <c r="G235" s="2645"/>
      <c r="H235" s="2645"/>
      <c r="I235" s="2503"/>
      <c r="J235" s="2503"/>
      <c r="K235" s="2503"/>
      <c r="L235" s="2503"/>
      <c r="M235" s="2503"/>
      <c r="N235" s="2503"/>
      <c r="O235" s="2503"/>
      <c r="P235" s="2503"/>
      <c r="Q235" s="2503"/>
      <c r="R235" s="2503"/>
      <c r="S235" s="2503"/>
      <c r="T235" s="2503"/>
      <c r="U235" s="2503"/>
      <c r="V235" s="2503"/>
      <c r="W235" s="2629"/>
      <c r="X235" s="2503"/>
      <c r="Y235" s="2503"/>
      <c r="Z235" s="2503"/>
      <c r="AA235" s="2503"/>
      <c r="AB235" s="2503"/>
      <c r="AC235" s="2503"/>
      <c r="AD235" s="2503"/>
      <c r="AE235" s="2503"/>
      <c r="AF235" s="2503"/>
      <c r="AG235" s="2503"/>
      <c r="AH235" s="2503"/>
      <c r="AI235" s="2503"/>
      <c r="AJ235" s="2503"/>
      <c r="AK235" s="2503"/>
      <c r="AL235" s="2629"/>
      <c r="AM235" s="607" t="s">
        <v>2233</v>
      </c>
      <c r="AN235" s="143">
        <v>0</v>
      </c>
      <c r="AO235" s="141">
        <v>-3.5000000000000003E-2</v>
      </c>
      <c r="AP235" s="141">
        <v>-0.21199999999999999</v>
      </c>
      <c r="AQ235" s="141">
        <v>0</v>
      </c>
      <c r="AR235" s="141">
        <v>0</v>
      </c>
      <c r="AS235" s="141">
        <v>0</v>
      </c>
      <c r="AT235" s="141">
        <v>0</v>
      </c>
      <c r="AU235" s="144">
        <v>0</v>
      </c>
      <c r="AV235" s="143">
        <v>0</v>
      </c>
      <c r="AW235" s="141">
        <v>0</v>
      </c>
      <c r="AX235" s="141">
        <v>0</v>
      </c>
      <c r="AY235" s="141">
        <v>0</v>
      </c>
      <c r="AZ235" s="144">
        <v>0</v>
      </c>
      <c r="BA235" s="2629"/>
      <c r="BB235" s="545" t="s">
        <v>2233</v>
      </c>
      <c r="BC235" s="141">
        <v>4.5081652257444767E-3</v>
      </c>
      <c r="BD235" s="545" t="s">
        <v>2233</v>
      </c>
      <c r="BE235" s="141">
        <v>2.0405379442843419E-2</v>
      </c>
      <c r="BF235" s="545" t="s">
        <v>2233</v>
      </c>
      <c r="BG235" s="141">
        <v>0.22208645533141211</v>
      </c>
      <c r="BH235" s="607" t="s">
        <v>627</v>
      </c>
      <c r="BI235" s="868">
        <v>0.88170000000000004</v>
      </c>
      <c r="BJ235" s="2629"/>
      <c r="BK235" s="2629"/>
      <c r="BL235" s="2629"/>
      <c r="BM235" s="2629"/>
      <c r="BN235" s="2629"/>
      <c r="BO235" s="2629"/>
      <c r="BP235" s="2629"/>
      <c r="BQ235" s="545" t="s">
        <v>2233</v>
      </c>
      <c r="BR235" s="141">
        <v>0</v>
      </c>
      <c r="BS235" s="545" t="s">
        <v>2233</v>
      </c>
      <c r="BT235" s="141">
        <v>0</v>
      </c>
      <c r="BU235" s="545" t="s">
        <v>2233</v>
      </c>
      <c r="BV235" s="141">
        <v>0</v>
      </c>
      <c r="BW235" s="607" t="s">
        <v>627</v>
      </c>
      <c r="BX235" s="872">
        <v>0</v>
      </c>
      <c r="BY235" s="2629"/>
      <c r="BZ235" s="2629"/>
      <c r="CA235" s="2629"/>
      <c r="CB235" s="2629"/>
      <c r="CC235" s="2629"/>
      <c r="CD235" s="2629"/>
      <c r="CE235" s="2629"/>
      <c r="CF235" s="2629"/>
    </row>
    <row r="236" spans="1:84" s="98" customFormat="1" ht="15" customHeight="1">
      <c r="A236" s="99"/>
      <c r="B236" s="2687"/>
      <c r="C236" s="2688"/>
      <c r="D236" s="2688" t="s">
        <v>2717</v>
      </c>
      <c r="E236" s="2688"/>
      <c r="F236" s="2688"/>
      <c r="G236" s="2645"/>
      <c r="H236" s="2645"/>
      <c r="I236" s="2503"/>
      <c r="J236" s="2503"/>
      <c r="K236" s="2503"/>
      <c r="L236" s="2503"/>
      <c r="M236" s="2503"/>
      <c r="N236" s="2503"/>
      <c r="O236" s="2503"/>
      <c r="P236" s="2503"/>
      <c r="Q236" s="2503"/>
      <c r="R236" s="2503"/>
      <c r="S236" s="2503"/>
      <c r="T236" s="2503"/>
      <c r="U236" s="2503"/>
      <c r="V236" s="2503"/>
      <c r="W236" s="2629"/>
      <c r="X236" s="2503"/>
      <c r="Y236" s="2503"/>
      <c r="Z236" s="2503"/>
      <c r="AA236" s="2503"/>
      <c r="AB236" s="2503"/>
      <c r="AC236" s="2503"/>
      <c r="AD236" s="2503"/>
      <c r="AE236" s="2503"/>
      <c r="AF236" s="2503"/>
      <c r="AG236" s="2503"/>
      <c r="AH236" s="2503"/>
      <c r="AI236" s="2503"/>
      <c r="AJ236" s="2503"/>
      <c r="AK236" s="2503"/>
      <c r="AL236" s="2629"/>
      <c r="AM236" s="607" t="s">
        <v>2233</v>
      </c>
      <c r="AN236" s="143">
        <v>0</v>
      </c>
      <c r="AO236" s="141">
        <v>-2.1000000000000001E-2</v>
      </c>
      <c r="AP236" s="141">
        <v>-8.2000000000000003E-2</v>
      </c>
      <c r="AQ236" s="141">
        <v>0</v>
      </c>
      <c r="AR236" s="141">
        <v>-5.7000000000000002E-2</v>
      </c>
      <c r="AS236" s="141">
        <v>-0.11600000000000001</v>
      </c>
      <c r="AT236" s="141">
        <v>0</v>
      </c>
      <c r="AU236" s="144">
        <v>0</v>
      </c>
      <c r="AV236" s="143">
        <v>0</v>
      </c>
      <c r="AW236" s="141">
        <v>0</v>
      </c>
      <c r="AX236" s="141">
        <v>0</v>
      </c>
      <c r="AY236" s="141">
        <v>0</v>
      </c>
      <c r="AZ236" s="144">
        <v>0</v>
      </c>
      <c r="BA236" s="2629"/>
      <c r="BB236" s="545" t="s">
        <v>2233</v>
      </c>
      <c r="BC236" s="141">
        <v>5.037463976945245E-3</v>
      </c>
      <c r="BD236" s="545" t="s">
        <v>2233</v>
      </c>
      <c r="BE236" s="141">
        <v>2.2801152737752163E-2</v>
      </c>
      <c r="BF236" s="545" t="s">
        <v>2233</v>
      </c>
      <c r="BG236" s="141">
        <v>0.24816138328530263</v>
      </c>
      <c r="BH236" s="607" t="s">
        <v>627</v>
      </c>
      <c r="BI236" s="868">
        <v>0.88170000000000004</v>
      </c>
      <c r="BJ236" s="2629"/>
      <c r="BK236" s="2629"/>
      <c r="BL236" s="2629"/>
      <c r="BM236" s="2629"/>
      <c r="BN236" s="2629"/>
      <c r="BO236" s="2629"/>
      <c r="BP236" s="2629"/>
      <c r="BQ236" s="545" t="s">
        <v>2233</v>
      </c>
      <c r="BR236" s="141">
        <v>0</v>
      </c>
      <c r="BS236" s="545" t="s">
        <v>2233</v>
      </c>
      <c r="BT236" s="141">
        <v>0</v>
      </c>
      <c r="BU236" s="545" t="s">
        <v>2233</v>
      </c>
      <c r="BV236" s="141">
        <v>0</v>
      </c>
      <c r="BW236" s="607" t="s">
        <v>627</v>
      </c>
      <c r="BX236" s="872">
        <v>0</v>
      </c>
      <c r="BY236" s="2629"/>
      <c r="BZ236" s="2629"/>
      <c r="CA236" s="2629"/>
      <c r="CB236" s="2629"/>
      <c r="CC236" s="2629"/>
      <c r="CD236" s="2629"/>
      <c r="CE236" s="2629"/>
      <c r="CF236" s="2629"/>
    </row>
    <row r="237" spans="1:84" s="98" customFormat="1" ht="15" customHeight="1">
      <c r="A237" s="99"/>
      <c r="B237" s="2687"/>
      <c r="C237" s="2688"/>
      <c r="D237" s="2688" t="s">
        <v>2718</v>
      </c>
      <c r="E237" s="2688"/>
      <c r="F237" s="2688"/>
      <c r="G237" s="2645"/>
      <c r="H237" s="2645"/>
      <c r="I237" s="2503"/>
      <c r="J237" s="2503"/>
      <c r="K237" s="2503"/>
      <c r="L237" s="2503"/>
      <c r="M237" s="2503"/>
      <c r="N237" s="2503"/>
      <c r="O237" s="2503"/>
      <c r="P237" s="2503"/>
      <c r="Q237" s="2503"/>
      <c r="R237" s="2503"/>
      <c r="S237" s="2503"/>
      <c r="T237" s="2503"/>
      <c r="U237" s="2503"/>
      <c r="V237" s="2503"/>
      <c r="W237" s="2629"/>
      <c r="X237" s="2503"/>
      <c r="Y237" s="2503"/>
      <c r="Z237" s="2503"/>
      <c r="AA237" s="2503"/>
      <c r="AB237" s="2503"/>
      <c r="AC237" s="2503"/>
      <c r="AD237" s="2503"/>
      <c r="AE237" s="2503"/>
      <c r="AF237" s="2503"/>
      <c r="AG237" s="2503"/>
      <c r="AH237" s="2503"/>
      <c r="AI237" s="2503"/>
      <c r="AJ237" s="2503"/>
      <c r="AK237" s="2503"/>
      <c r="AL237" s="2629"/>
      <c r="AM237" s="607" t="s">
        <v>2233</v>
      </c>
      <c r="AN237" s="143">
        <v>-1.4999999999999999E-2</v>
      </c>
      <c r="AO237" s="141">
        <v>0</v>
      </c>
      <c r="AP237" s="141">
        <v>-7.0000000000000001E-3</v>
      </c>
      <c r="AQ237" s="141">
        <v>-0.35899999999999999</v>
      </c>
      <c r="AR237" s="141">
        <v>0</v>
      </c>
      <c r="AS237" s="141">
        <v>-0.18000000000000002</v>
      </c>
      <c r="AT237" s="141">
        <v>0</v>
      </c>
      <c r="AU237" s="144">
        <v>0</v>
      </c>
      <c r="AV237" s="143">
        <v>0</v>
      </c>
      <c r="AW237" s="141">
        <v>0</v>
      </c>
      <c r="AX237" s="141">
        <v>0</v>
      </c>
      <c r="AY237" s="141">
        <v>0</v>
      </c>
      <c r="AZ237" s="144">
        <v>0</v>
      </c>
      <c r="BA237" s="2629"/>
      <c r="BB237" s="545" t="s">
        <v>2233</v>
      </c>
      <c r="BC237" s="141">
        <v>1.0239193083573487E-2</v>
      </c>
      <c r="BD237" s="545" t="s">
        <v>2233</v>
      </c>
      <c r="BE237" s="141">
        <v>4.634582132564842E-2</v>
      </c>
      <c r="BF237" s="545" t="s">
        <v>2233</v>
      </c>
      <c r="BG237" s="141">
        <v>0.50441498559077813</v>
      </c>
      <c r="BH237" s="607" t="s">
        <v>627</v>
      </c>
      <c r="BI237" s="868">
        <v>0.88170000000000004</v>
      </c>
      <c r="BJ237" s="2629"/>
      <c r="BK237" s="2629"/>
      <c r="BL237" s="2629"/>
      <c r="BM237" s="2629"/>
      <c r="BN237" s="2629"/>
      <c r="BO237" s="2629"/>
      <c r="BP237" s="2629"/>
      <c r="BQ237" s="545" t="s">
        <v>2233</v>
      </c>
      <c r="BR237" s="141">
        <v>0</v>
      </c>
      <c r="BS237" s="545" t="s">
        <v>2233</v>
      </c>
      <c r="BT237" s="141">
        <v>0</v>
      </c>
      <c r="BU237" s="545" t="s">
        <v>2233</v>
      </c>
      <c r="BV237" s="141">
        <v>0</v>
      </c>
      <c r="BW237" s="607" t="s">
        <v>627</v>
      </c>
      <c r="BX237" s="872">
        <v>0</v>
      </c>
      <c r="BY237" s="2629"/>
      <c r="BZ237" s="2629"/>
      <c r="CA237" s="2629"/>
      <c r="CB237" s="2629"/>
      <c r="CC237" s="2629"/>
      <c r="CD237" s="2629"/>
      <c r="CE237" s="2629"/>
      <c r="CF237" s="2629"/>
    </row>
    <row r="238" spans="1:84" s="98" customFormat="1" ht="15" customHeight="1">
      <c r="A238" s="99"/>
      <c r="B238" s="2687"/>
      <c r="C238" s="2688"/>
      <c r="D238" s="2688" t="s">
        <v>2719</v>
      </c>
      <c r="E238" s="2688"/>
      <c r="F238" s="2688"/>
      <c r="G238" s="2645"/>
      <c r="H238" s="2645"/>
      <c r="I238" s="2503"/>
      <c r="J238" s="2503"/>
      <c r="K238" s="2503"/>
      <c r="L238" s="2503"/>
      <c r="M238" s="2503"/>
      <c r="N238" s="2503"/>
      <c r="O238" s="2503"/>
      <c r="P238" s="2503"/>
      <c r="Q238" s="2503"/>
      <c r="R238" s="2503"/>
      <c r="S238" s="2503"/>
      <c r="T238" s="2503"/>
      <c r="U238" s="2503"/>
      <c r="V238" s="2503"/>
      <c r="W238" s="2629"/>
      <c r="X238" s="2503"/>
      <c r="Y238" s="2503"/>
      <c r="Z238" s="2503"/>
      <c r="AA238" s="2503"/>
      <c r="AB238" s="2503"/>
      <c r="AC238" s="2503"/>
      <c r="AD238" s="2503"/>
      <c r="AE238" s="2503"/>
      <c r="AF238" s="2503"/>
      <c r="AG238" s="2503"/>
      <c r="AH238" s="2503"/>
      <c r="AI238" s="2503"/>
      <c r="AJ238" s="2503"/>
      <c r="AK238" s="2503"/>
      <c r="AL238" s="2629"/>
      <c r="AM238" s="607" t="s">
        <v>2233</v>
      </c>
      <c r="AN238" s="143">
        <v>-0.19700000000000001</v>
      </c>
      <c r="AO238" s="141">
        <v>0</v>
      </c>
      <c r="AP238" s="141">
        <v>0</v>
      </c>
      <c r="AQ238" s="141">
        <v>0</v>
      </c>
      <c r="AR238" s="141">
        <v>0</v>
      </c>
      <c r="AS238" s="141">
        <v>-5.1999999999999998E-2</v>
      </c>
      <c r="AT238" s="141">
        <v>0</v>
      </c>
      <c r="AU238" s="144">
        <v>0</v>
      </c>
      <c r="AV238" s="143">
        <v>0</v>
      </c>
      <c r="AW238" s="141">
        <v>0</v>
      </c>
      <c r="AX238" s="141">
        <v>0</v>
      </c>
      <c r="AY238" s="141">
        <v>0</v>
      </c>
      <c r="AZ238" s="144">
        <v>0</v>
      </c>
      <c r="BA238" s="2629"/>
      <c r="BB238" s="545" t="s">
        <v>2233</v>
      </c>
      <c r="BC238" s="141">
        <v>4.5446685878962534E-3</v>
      </c>
      <c r="BD238" s="545" t="s">
        <v>2233</v>
      </c>
      <c r="BE238" s="141">
        <v>2.0570605187319884E-2</v>
      </c>
      <c r="BF238" s="545" t="s">
        <v>2233</v>
      </c>
      <c r="BG238" s="141">
        <v>0.22388472622478386</v>
      </c>
      <c r="BH238" s="607" t="s">
        <v>627</v>
      </c>
      <c r="BI238" s="868">
        <v>0.88170000000000004</v>
      </c>
      <c r="BJ238" s="2629"/>
      <c r="BK238" s="2629"/>
      <c r="BL238" s="2629"/>
      <c r="BM238" s="2629"/>
      <c r="BN238" s="2629"/>
      <c r="BO238" s="2629"/>
      <c r="BP238" s="2629"/>
      <c r="BQ238" s="545" t="s">
        <v>2233</v>
      </c>
      <c r="BR238" s="141">
        <v>0</v>
      </c>
      <c r="BS238" s="545" t="s">
        <v>2233</v>
      </c>
      <c r="BT238" s="141">
        <v>0</v>
      </c>
      <c r="BU238" s="545" t="s">
        <v>2233</v>
      </c>
      <c r="BV238" s="141">
        <v>0</v>
      </c>
      <c r="BW238" s="607" t="s">
        <v>627</v>
      </c>
      <c r="BX238" s="872">
        <v>0</v>
      </c>
      <c r="BY238" s="2629"/>
      <c r="BZ238" s="2629"/>
      <c r="CA238" s="2629"/>
      <c r="CB238" s="2629"/>
      <c r="CC238" s="2629"/>
      <c r="CD238" s="2629"/>
      <c r="CE238" s="2629"/>
      <c r="CF238" s="2629"/>
    </row>
    <row r="239" spans="1:84" s="98" customFormat="1" ht="15" customHeight="1">
      <c r="A239" s="99"/>
      <c r="B239" s="2687"/>
      <c r="C239" s="2688"/>
      <c r="D239" s="2688" t="s">
        <v>2726</v>
      </c>
      <c r="E239" s="2688"/>
      <c r="F239" s="2688"/>
      <c r="G239" s="2645"/>
      <c r="H239" s="2645"/>
      <c r="I239" s="2503"/>
      <c r="J239" s="2503"/>
      <c r="K239" s="2503"/>
      <c r="L239" s="2503"/>
      <c r="M239" s="2503"/>
      <c r="N239" s="2503"/>
      <c r="O239" s="2503"/>
      <c r="P239" s="2503"/>
      <c r="Q239" s="2503"/>
      <c r="R239" s="2503"/>
      <c r="S239" s="2503"/>
      <c r="T239" s="2503"/>
      <c r="U239" s="2503"/>
      <c r="V239" s="2503"/>
      <c r="W239" s="2629"/>
      <c r="X239" s="2503"/>
      <c r="Y239" s="2503"/>
      <c r="Z239" s="2503"/>
      <c r="AA239" s="2503"/>
      <c r="AB239" s="2503"/>
      <c r="AC239" s="2503"/>
      <c r="AD239" s="2503"/>
      <c r="AE239" s="2503"/>
      <c r="AF239" s="2503"/>
      <c r="AG239" s="2503"/>
      <c r="AH239" s="2503"/>
      <c r="AI239" s="2503"/>
      <c r="AJ239" s="2503"/>
      <c r="AK239" s="2503"/>
      <c r="AL239" s="2629"/>
      <c r="AM239" s="607" t="s">
        <v>2233</v>
      </c>
      <c r="AN239" s="143">
        <v>0</v>
      </c>
      <c r="AO239" s="141">
        <v>0</v>
      </c>
      <c r="AP239" s="141">
        <v>0</v>
      </c>
      <c r="AQ239" s="141">
        <v>0</v>
      </c>
      <c r="AR239" s="141">
        <v>0</v>
      </c>
      <c r="AS239" s="141">
        <v>0</v>
      </c>
      <c r="AT239" s="141">
        <v>0</v>
      </c>
      <c r="AU239" s="144">
        <v>0</v>
      </c>
      <c r="AV239" s="143">
        <v>0</v>
      </c>
      <c r="AW239" s="141">
        <v>0</v>
      </c>
      <c r="AX239" s="141">
        <v>0</v>
      </c>
      <c r="AY239" s="141">
        <v>0</v>
      </c>
      <c r="AZ239" s="144">
        <v>0</v>
      </c>
      <c r="BA239" s="2629"/>
      <c r="BB239" s="545" t="s">
        <v>2233</v>
      </c>
      <c r="BC239" s="141">
        <v>0</v>
      </c>
      <c r="BD239" s="545" t="s">
        <v>2233</v>
      </c>
      <c r="BE239" s="141">
        <v>0</v>
      </c>
      <c r="BF239" s="545" t="s">
        <v>2233</v>
      </c>
      <c r="BG239" s="141">
        <v>0</v>
      </c>
      <c r="BH239" s="607" t="s">
        <v>627</v>
      </c>
      <c r="BI239" s="868">
        <v>0</v>
      </c>
      <c r="BJ239" s="2629"/>
      <c r="BK239" s="2629"/>
      <c r="BL239" s="2629"/>
      <c r="BM239" s="2629"/>
      <c r="BN239" s="2629"/>
      <c r="BO239" s="2629"/>
      <c r="BP239" s="2629"/>
      <c r="BQ239" s="545" t="s">
        <v>2233</v>
      </c>
      <c r="BR239" s="141">
        <v>0</v>
      </c>
      <c r="BS239" s="545" t="s">
        <v>2233</v>
      </c>
      <c r="BT239" s="141">
        <v>0</v>
      </c>
      <c r="BU239" s="545" t="s">
        <v>2233</v>
      </c>
      <c r="BV239" s="141">
        <v>0</v>
      </c>
      <c r="BW239" s="607" t="s">
        <v>627</v>
      </c>
      <c r="BX239" s="872">
        <v>0</v>
      </c>
      <c r="BY239" s="2629"/>
      <c r="BZ239" s="2629"/>
      <c r="CA239" s="2629"/>
      <c r="CB239" s="2629"/>
      <c r="CC239" s="2629"/>
      <c r="CD239" s="2629"/>
      <c r="CE239" s="2629"/>
      <c r="CF239" s="2629"/>
    </row>
    <row r="240" spans="1:84" s="98" customFormat="1" ht="15" customHeight="1">
      <c r="A240" s="99"/>
      <c r="B240" s="2687"/>
      <c r="C240" s="2688"/>
      <c r="D240" s="2688" t="s">
        <v>2727</v>
      </c>
      <c r="E240" s="2688"/>
      <c r="F240" s="2688"/>
      <c r="G240" s="2645"/>
      <c r="H240" s="2645"/>
      <c r="I240" s="2503"/>
      <c r="J240" s="2503"/>
      <c r="K240" s="2503"/>
      <c r="L240" s="2503"/>
      <c r="M240" s="2503"/>
      <c r="N240" s="2503"/>
      <c r="O240" s="2503"/>
      <c r="P240" s="2503"/>
      <c r="Q240" s="2503"/>
      <c r="R240" s="2503"/>
      <c r="S240" s="2503"/>
      <c r="T240" s="2503"/>
      <c r="U240" s="2503"/>
      <c r="V240" s="2503"/>
      <c r="W240" s="2629"/>
      <c r="X240" s="2503"/>
      <c r="Y240" s="2503"/>
      <c r="Z240" s="2503"/>
      <c r="AA240" s="2503"/>
      <c r="AB240" s="2503"/>
      <c r="AC240" s="2503"/>
      <c r="AD240" s="2503"/>
      <c r="AE240" s="2503"/>
      <c r="AF240" s="2503"/>
      <c r="AG240" s="2503"/>
      <c r="AH240" s="2503"/>
      <c r="AI240" s="2503"/>
      <c r="AJ240" s="2503"/>
      <c r="AK240" s="2503"/>
      <c r="AL240" s="2629"/>
      <c r="AM240" s="607" t="s">
        <v>2233</v>
      </c>
      <c r="AN240" s="143">
        <v>-0.54800000000000004</v>
      </c>
      <c r="AO240" s="141">
        <v>0</v>
      </c>
      <c r="AP240" s="141">
        <v>-0.157</v>
      </c>
      <c r="AQ240" s="141">
        <v>0</v>
      </c>
      <c r="AR240" s="141">
        <v>0</v>
      </c>
      <c r="AS240" s="141">
        <v>0</v>
      </c>
      <c r="AT240" s="141">
        <v>0</v>
      </c>
      <c r="AU240" s="144">
        <v>0</v>
      </c>
      <c r="AV240" s="143">
        <v>0</v>
      </c>
      <c r="AW240" s="141">
        <v>0</v>
      </c>
      <c r="AX240" s="141">
        <v>0</v>
      </c>
      <c r="AY240" s="141">
        <v>0</v>
      </c>
      <c r="AZ240" s="144">
        <v>0</v>
      </c>
      <c r="BA240" s="2629"/>
      <c r="BB240" s="545" t="s">
        <v>2233</v>
      </c>
      <c r="BC240" s="141">
        <v>1.2867435158501443E-2</v>
      </c>
      <c r="BD240" s="545" t="s">
        <v>2233</v>
      </c>
      <c r="BE240" s="141">
        <v>5.8242074927953892E-2</v>
      </c>
      <c r="BF240" s="545" t="s">
        <v>2233</v>
      </c>
      <c r="BG240" s="141">
        <v>0.63389048991354469</v>
      </c>
      <c r="BH240" s="607" t="s">
        <v>627</v>
      </c>
      <c r="BI240" s="868">
        <v>0.88170000000000004</v>
      </c>
      <c r="BJ240" s="2629"/>
      <c r="BK240" s="2629"/>
      <c r="BL240" s="2629"/>
      <c r="BM240" s="2629"/>
      <c r="BN240" s="2629"/>
      <c r="BO240" s="2629"/>
      <c r="BP240" s="2629"/>
      <c r="BQ240" s="545" t="s">
        <v>2233</v>
      </c>
      <c r="BR240" s="141">
        <v>0</v>
      </c>
      <c r="BS240" s="545" t="s">
        <v>2233</v>
      </c>
      <c r="BT240" s="141">
        <v>0</v>
      </c>
      <c r="BU240" s="545" t="s">
        <v>2233</v>
      </c>
      <c r="BV240" s="141">
        <v>0</v>
      </c>
      <c r="BW240" s="607" t="s">
        <v>627</v>
      </c>
      <c r="BX240" s="872">
        <v>0</v>
      </c>
      <c r="BY240" s="2629"/>
      <c r="BZ240" s="2629"/>
      <c r="CA240" s="2629"/>
      <c r="CB240" s="2629"/>
      <c r="CC240" s="2629"/>
      <c r="CD240" s="2629"/>
      <c r="CE240" s="2629"/>
      <c r="CF240" s="2629"/>
    </row>
    <row r="241" spans="1:84" s="98" customFormat="1" ht="15" customHeight="1">
      <c r="A241" s="99"/>
      <c r="B241" s="2687"/>
      <c r="C241" s="2688"/>
      <c r="D241" s="2688" t="s">
        <v>2728</v>
      </c>
      <c r="E241" s="2688"/>
      <c r="F241" s="2688"/>
      <c r="G241" s="2645"/>
      <c r="H241" s="2645"/>
      <c r="I241" s="2503"/>
      <c r="J241" s="2503"/>
      <c r="K241" s="2503"/>
      <c r="L241" s="2503"/>
      <c r="M241" s="2503"/>
      <c r="N241" s="2503"/>
      <c r="O241" s="2503"/>
      <c r="P241" s="2503"/>
      <c r="Q241" s="2503"/>
      <c r="R241" s="2503"/>
      <c r="S241" s="2503"/>
      <c r="T241" s="2503"/>
      <c r="U241" s="2503"/>
      <c r="V241" s="2503"/>
      <c r="W241" s="2629"/>
      <c r="X241" s="2503"/>
      <c r="Y241" s="2503"/>
      <c r="Z241" s="2503"/>
      <c r="AA241" s="2503"/>
      <c r="AB241" s="2503"/>
      <c r="AC241" s="2503"/>
      <c r="AD241" s="2503"/>
      <c r="AE241" s="2503"/>
      <c r="AF241" s="2503"/>
      <c r="AG241" s="2503"/>
      <c r="AH241" s="2503"/>
      <c r="AI241" s="2503"/>
      <c r="AJ241" s="2503"/>
      <c r="AK241" s="2503"/>
      <c r="AL241" s="2629"/>
      <c r="AM241" s="607" t="s">
        <v>2233</v>
      </c>
      <c r="AN241" s="143">
        <v>0</v>
      </c>
      <c r="AO241" s="141">
        <v>0</v>
      </c>
      <c r="AP241" s="141">
        <v>0</v>
      </c>
      <c r="AQ241" s="141">
        <v>0</v>
      </c>
      <c r="AR241" s="141">
        <v>0</v>
      </c>
      <c r="AS241" s="141">
        <v>0</v>
      </c>
      <c r="AT241" s="141">
        <v>0</v>
      </c>
      <c r="AU241" s="144">
        <v>0</v>
      </c>
      <c r="AV241" s="143">
        <v>0</v>
      </c>
      <c r="AW241" s="141">
        <v>0</v>
      </c>
      <c r="AX241" s="141">
        <v>0</v>
      </c>
      <c r="AY241" s="141">
        <v>0</v>
      </c>
      <c r="AZ241" s="144">
        <v>0</v>
      </c>
      <c r="BA241" s="2629"/>
      <c r="BB241" s="545" t="s">
        <v>2233</v>
      </c>
      <c r="BC241" s="141">
        <v>0</v>
      </c>
      <c r="BD241" s="545" t="s">
        <v>2233</v>
      </c>
      <c r="BE241" s="141">
        <v>0</v>
      </c>
      <c r="BF241" s="545" t="s">
        <v>2233</v>
      </c>
      <c r="BG241" s="141">
        <v>0</v>
      </c>
      <c r="BH241" s="607" t="s">
        <v>627</v>
      </c>
      <c r="BI241" s="868">
        <v>0</v>
      </c>
      <c r="BJ241" s="2629"/>
      <c r="BK241" s="2629"/>
      <c r="BL241" s="2629"/>
      <c r="BM241" s="2629"/>
      <c r="BN241" s="2629"/>
      <c r="BO241" s="2629"/>
      <c r="BP241" s="2629"/>
      <c r="BQ241" s="545" t="s">
        <v>2233</v>
      </c>
      <c r="BR241" s="141">
        <v>0</v>
      </c>
      <c r="BS241" s="545" t="s">
        <v>2233</v>
      </c>
      <c r="BT241" s="141">
        <v>0</v>
      </c>
      <c r="BU241" s="545" t="s">
        <v>2233</v>
      </c>
      <c r="BV241" s="141">
        <v>0</v>
      </c>
      <c r="BW241" s="607" t="s">
        <v>627</v>
      </c>
      <c r="BX241" s="872">
        <v>0</v>
      </c>
      <c r="BY241" s="2629"/>
      <c r="BZ241" s="2629"/>
      <c r="CA241" s="2629"/>
      <c r="CB241" s="2629"/>
      <c r="CC241" s="2629"/>
      <c r="CD241" s="2629"/>
      <c r="CE241" s="2629"/>
      <c r="CF241" s="2629"/>
    </row>
    <row r="242" spans="1:84" s="98" customFormat="1" ht="15" customHeight="1">
      <c r="A242" s="99"/>
      <c r="B242" s="2687"/>
      <c r="C242" s="2688"/>
      <c r="D242" s="2688" t="s">
        <v>2736</v>
      </c>
      <c r="E242" s="2688"/>
      <c r="F242" s="2688"/>
      <c r="G242" s="2645"/>
      <c r="H242" s="2645"/>
      <c r="I242" s="2503"/>
      <c r="J242" s="2503"/>
      <c r="K242" s="2503"/>
      <c r="L242" s="2503"/>
      <c r="M242" s="2503"/>
      <c r="N242" s="2503"/>
      <c r="O242" s="2503"/>
      <c r="P242" s="2503"/>
      <c r="Q242" s="2503"/>
      <c r="R242" s="2503"/>
      <c r="S242" s="2503"/>
      <c r="T242" s="2503"/>
      <c r="U242" s="2503"/>
      <c r="V242" s="2503"/>
      <c r="W242" s="2629"/>
      <c r="X242" s="2503"/>
      <c r="Y242" s="2503"/>
      <c r="Z242" s="2503"/>
      <c r="AA242" s="2503"/>
      <c r="AB242" s="2503"/>
      <c r="AC242" s="2503"/>
      <c r="AD242" s="2503"/>
      <c r="AE242" s="2503"/>
      <c r="AF242" s="2503"/>
      <c r="AG242" s="2503"/>
      <c r="AH242" s="2503"/>
      <c r="AI242" s="2503"/>
      <c r="AJ242" s="2503"/>
      <c r="AK242" s="2503"/>
      <c r="AL242" s="2629"/>
      <c r="AM242" s="607" t="s">
        <v>2233</v>
      </c>
      <c r="AN242" s="143">
        <v>0</v>
      </c>
      <c r="AO242" s="141">
        <v>0</v>
      </c>
      <c r="AP242" s="141">
        <v>0</v>
      </c>
      <c r="AQ242" s="141">
        <v>0</v>
      </c>
      <c r="AR242" s="141">
        <v>0</v>
      </c>
      <c r="AS242" s="141">
        <v>0</v>
      </c>
      <c r="AT242" s="141">
        <v>0</v>
      </c>
      <c r="AU242" s="144">
        <v>0</v>
      </c>
      <c r="AV242" s="143">
        <v>0</v>
      </c>
      <c r="AW242" s="141">
        <v>0</v>
      </c>
      <c r="AX242" s="141">
        <v>0</v>
      </c>
      <c r="AY242" s="141">
        <v>0</v>
      </c>
      <c r="AZ242" s="144">
        <v>0</v>
      </c>
      <c r="BA242" s="2629"/>
      <c r="BB242" s="545" t="s">
        <v>2233</v>
      </c>
      <c r="BC242" s="141">
        <v>0</v>
      </c>
      <c r="BD242" s="545" t="s">
        <v>2233</v>
      </c>
      <c r="BE242" s="141">
        <v>0</v>
      </c>
      <c r="BF242" s="545" t="s">
        <v>2233</v>
      </c>
      <c r="BG242" s="141">
        <v>0</v>
      </c>
      <c r="BH242" s="607" t="s">
        <v>627</v>
      </c>
      <c r="BI242" s="868">
        <v>0</v>
      </c>
      <c r="BJ242" s="2629"/>
      <c r="BK242" s="2629"/>
      <c r="BL242" s="2629"/>
      <c r="BM242" s="2629"/>
      <c r="BN242" s="2629"/>
      <c r="BO242" s="2629"/>
      <c r="BP242" s="2629"/>
      <c r="BQ242" s="545" t="s">
        <v>2233</v>
      </c>
      <c r="BR242" s="141">
        <v>0</v>
      </c>
      <c r="BS242" s="545" t="s">
        <v>2233</v>
      </c>
      <c r="BT242" s="141">
        <v>0</v>
      </c>
      <c r="BU242" s="545" t="s">
        <v>2233</v>
      </c>
      <c r="BV242" s="141">
        <v>0</v>
      </c>
      <c r="BW242" s="607" t="s">
        <v>627</v>
      </c>
      <c r="BX242" s="872">
        <v>0</v>
      </c>
      <c r="BY242" s="2629"/>
      <c r="BZ242" s="2629"/>
      <c r="CA242" s="2629"/>
      <c r="CB242" s="2629"/>
      <c r="CC242" s="2629"/>
      <c r="CD242" s="2629"/>
      <c r="CE242" s="2629"/>
      <c r="CF242" s="2629"/>
    </row>
    <row r="243" spans="1:84" s="98" customFormat="1" ht="15" customHeight="1">
      <c r="A243" s="99"/>
      <c r="B243" s="2687"/>
      <c r="C243" s="2688"/>
      <c r="D243" s="2688" t="s">
        <v>2737</v>
      </c>
      <c r="E243" s="2688"/>
      <c r="F243" s="2688"/>
      <c r="G243" s="2645"/>
      <c r="H243" s="2645"/>
      <c r="I243" s="2503"/>
      <c r="J243" s="2503"/>
      <c r="K243" s="2503"/>
      <c r="L243" s="2503"/>
      <c r="M243" s="2503"/>
      <c r="N243" s="2503"/>
      <c r="O243" s="2503"/>
      <c r="P243" s="2503"/>
      <c r="Q243" s="2503"/>
      <c r="R243" s="2503"/>
      <c r="S243" s="2503"/>
      <c r="T243" s="2503"/>
      <c r="U243" s="2503"/>
      <c r="V243" s="2503"/>
      <c r="W243" s="2629"/>
      <c r="X243" s="2503"/>
      <c r="Y243" s="2503"/>
      <c r="Z243" s="2503"/>
      <c r="AA243" s="2503"/>
      <c r="AB243" s="2503"/>
      <c r="AC243" s="2503"/>
      <c r="AD243" s="2503"/>
      <c r="AE243" s="2503"/>
      <c r="AF243" s="2503"/>
      <c r="AG243" s="2503"/>
      <c r="AH243" s="2503"/>
      <c r="AI243" s="2503"/>
      <c r="AJ243" s="2503"/>
      <c r="AK243" s="2503"/>
      <c r="AL243" s="2629"/>
      <c r="AM243" s="607" t="s">
        <v>2233</v>
      </c>
      <c r="AN243" s="143">
        <v>0</v>
      </c>
      <c r="AO243" s="141">
        <v>0</v>
      </c>
      <c r="AP243" s="141">
        <v>0</v>
      </c>
      <c r="AQ243" s="141">
        <v>0</v>
      </c>
      <c r="AR243" s="141">
        <v>0</v>
      </c>
      <c r="AS243" s="141">
        <v>0</v>
      </c>
      <c r="AT243" s="141">
        <v>0</v>
      </c>
      <c r="AU243" s="144">
        <v>0</v>
      </c>
      <c r="AV243" s="143">
        <v>0</v>
      </c>
      <c r="AW243" s="141">
        <v>0</v>
      </c>
      <c r="AX243" s="141">
        <v>0</v>
      </c>
      <c r="AY243" s="141">
        <v>0</v>
      </c>
      <c r="AZ243" s="144">
        <v>0</v>
      </c>
      <c r="BA243" s="2629"/>
      <c r="BB243" s="545" t="s">
        <v>2233</v>
      </c>
      <c r="BC243" s="141">
        <v>0</v>
      </c>
      <c r="BD243" s="545" t="s">
        <v>2233</v>
      </c>
      <c r="BE243" s="141">
        <v>0</v>
      </c>
      <c r="BF243" s="545" t="s">
        <v>2233</v>
      </c>
      <c r="BG243" s="141">
        <v>0</v>
      </c>
      <c r="BH243" s="607" t="s">
        <v>627</v>
      </c>
      <c r="BI243" s="868">
        <v>0</v>
      </c>
      <c r="BJ243" s="2629"/>
      <c r="BK243" s="2629"/>
      <c r="BL243" s="2629"/>
      <c r="BM243" s="2629"/>
      <c r="BN243" s="2629"/>
      <c r="BO243" s="2629"/>
      <c r="BP243" s="2629"/>
      <c r="BQ243" s="545" t="s">
        <v>2233</v>
      </c>
      <c r="BR243" s="141">
        <v>0</v>
      </c>
      <c r="BS243" s="545" t="s">
        <v>2233</v>
      </c>
      <c r="BT243" s="141">
        <v>0</v>
      </c>
      <c r="BU243" s="545" t="s">
        <v>2233</v>
      </c>
      <c r="BV243" s="141">
        <v>0</v>
      </c>
      <c r="BW243" s="607" t="s">
        <v>627</v>
      </c>
      <c r="BX243" s="872">
        <v>0</v>
      </c>
      <c r="BY243" s="2629"/>
      <c r="BZ243" s="2629"/>
      <c r="CA243" s="2629"/>
      <c r="CB243" s="2629"/>
      <c r="CC243" s="2629"/>
      <c r="CD243" s="2629"/>
      <c r="CE243" s="2629"/>
      <c r="CF243" s="2629"/>
    </row>
    <row r="244" spans="1:84" s="98" customFormat="1" ht="15" customHeight="1">
      <c r="A244" s="99"/>
      <c r="B244" s="2687"/>
      <c r="C244" s="2688" t="s">
        <v>1710</v>
      </c>
      <c r="D244" s="2688"/>
      <c r="E244" s="2688"/>
      <c r="F244" s="2688"/>
      <c r="G244" s="2645"/>
      <c r="H244" s="2645"/>
      <c r="I244" s="2503"/>
      <c r="J244" s="2503"/>
      <c r="K244" s="2503"/>
      <c r="L244" s="2503"/>
      <c r="M244" s="2503"/>
      <c r="N244" s="2503"/>
      <c r="O244" s="2503"/>
      <c r="P244" s="2503"/>
      <c r="Q244" s="2503"/>
      <c r="R244" s="2503"/>
      <c r="S244" s="2503"/>
      <c r="T244" s="2503"/>
      <c r="U244" s="2503"/>
      <c r="V244" s="2503"/>
      <c r="W244" s="2629"/>
      <c r="X244" s="2503"/>
      <c r="Y244" s="2503"/>
      <c r="Z244" s="2503"/>
      <c r="AA244" s="2503"/>
      <c r="AB244" s="2503"/>
      <c r="AC244" s="2503"/>
      <c r="AD244" s="2503"/>
      <c r="AE244" s="2503"/>
      <c r="AF244" s="2503"/>
      <c r="AG244" s="2503"/>
      <c r="AH244" s="2503"/>
      <c r="AI244" s="2503"/>
      <c r="AJ244" s="2503"/>
      <c r="AK244" s="2503"/>
      <c r="AL244" s="2629"/>
      <c r="AM244" s="607" t="s">
        <v>2233</v>
      </c>
      <c r="AN244" s="641">
        <f>SUM(AN235:AN243)</f>
        <v>-0.76</v>
      </c>
      <c r="AO244" s="642">
        <f t="shared" ref="AO244:AZ244" si="74">SUM(AO235:AO243)</f>
        <v>-5.6000000000000008E-2</v>
      </c>
      <c r="AP244" s="642">
        <f t="shared" si="74"/>
        <v>-0.45799999999999996</v>
      </c>
      <c r="AQ244" s="642">
        <f t="shared" si="74"/>
        <v>-0.35899999999999999</v>
      </c>
      <c r="AR244" s="642">
        <f t="shared" si="74"/>
        <v>-5.7000000000000002E-2</v>
      </c>
      <c r="AS244" s="642">
        <f t="shared" si="74"/>
        <v>-0.34800000000000003</v>
      </c>
      <c r="AT244" s="642">
        <f t="shared" si="74"/>
        <v>0</v>
      </c>
      <c r="AU244" s="643">
        <f t="shared" si="74"/>
        <v>0</v>
      </c>
      <c r="AV244" s="641">
        <f t="shared" si="74"/>
        <v>0</v>
      </c>
      <c r="AW244" s="642">
        <f t="shared" si="74"/>
        <v>0</v>
      </c>
      <c r="AX244" s="642">
        <f t="shared" si="74"/>
        <v>0</v>
      </c>
      <c r="AY244" s="642">
        <f t="shared" si="74"/>
        <v>0</v>
      </c>
      <c r="AZ244" s="643">
        <f t="shared" si="74"/>
        <v>0</v>
      </c>
      <c r="BA244" s="2629"/>
      <c r="BB244" s="545" t="s">
        <v>2233</v>
      </c>
      <c r="BC244" s="642">
        <f>SUM(BC235:BC243)</f>
        <v>3.7196926032660907E-2</v>
      </c>
      <c r="BD244" s="545" t="s">
        <v>2233</v>
      </c>
      <c r="BE244" s="642">
        <f>SUM(BE235:BE243)</f>
        <v>0.16836503362151778</v>
      </c>
      <c r="BF244" s="545" t="s">
        <v>2233</v>
      </c>
      <c r="BG244" s="642">
        <f>SUM(BG235:BG243)</f>
        <v>1.8324380403458214</v>
      </c>
      <c r="BH244" s="545" t="s">
        <v>627</v>
      </c>
      <c r="BI244" s="542"/>
      <c r="BJ244" s="2629"/>
      <c r="BK244" s="2629"/>
      <c r="BL244" s="2629"/>
      <c r="BM244" s="2629"/>
      <c r="BN244" s="2629"/>
      <c r="BO244" s="2629"/>
      <c r="BP244" s="2629"/>
      <c r="BQ244" s="545" t="s">
        <v>2233</v>
      </c>
      <c r="BR244" s="642">
        <f>SUM(BR235:BR243)</f>
        <v>0</v>
      </c>
      <c r="BS244" s="545" t="s">
        <v>2233</v>
      </c>
      <c r="BT244" s="642">
        <f>SUM(BT235:BT243)</f>
        <v>0</v>
      </c>
      <c r="BU244" s="545" t="s">
        <v>2233</v>
      </c>
      <c r="BV244" s="642">
        <f>SUM(BV235:BV243)</f>
        <v>0</v>
      </c>
      <c r="BW244" s="545" t="s">
        <v>627</v>
      </c>
      <c r="BX244" s="1359"/>
      <c r="BY244" s="2629"/>
      <c r="BZ244" s="2629"/>
      <c r="CA244" s="2629"/>
      <c r="CB244" s="2629"/>
      <c r="CC244" s="2629"/>
      <c r="CD244" s="2629"/>
      <c r="CE244" s="2629"/>
      <c r="CF244" s="2629"/>
    </row>
    <row r="245" spans="1:84" s="98" customFormat="1" ht="15" customHeight="1">
      <c r="A245" s="99"/>
      <c r="B245" s="123"/>
      <c r="C245" s="2686"/>
      <c r="D245" s="2686"/>
      <c r="E245" s="2686"/>
      <c r="F245" s="2686"/>
      <c r="G245" s="94"/>
      <c r="H245" s="94"/>
      <c r="I245" s="2503"/>
      <c r="J245" s="2503"/>
      <c r="K245" s="2503"/>
      <c r="L245" s="2503"/>
      <c r="M245" s="2503"/>
      <c r="N245" s="2503"/>
      <c r="O245" s="2503"/>
      <c r="P245" s="2503"/>
      <c r="Q245" s="2503"/>
      <c r="R245" s="2503"/>
      <c r="S245" s="2503"/>
      <c r="T245" s="2503"/>
      <c r="U245" s="2503"/>
      <c r="V245" s="2503"/>
      <c r="W245" s="2629"/>
      <c r="X245" s="2503"/>
      <c r="Y245" s="2503"/>
      <c r="Z245" s="2503"/>
      <c r="AA245" s="2503"/>
      <c r="AB245" s="2503"/>
      <c r="AC245" s="2503"/>
      <c r="AD245" s="2503"/>
      <c r="AE245" s="2503"/>
      <c r="AF245" s="2503"/>
      <c r="AG245" s="2503"/>
      <c r="AH245" s="2503"/>
      <c r="AI245" s="2503"/>
      <c r="AJ245" s="2503"/>
      <c r="AK245" s="2503"/>
      <c r="AL245" s="2629"/>
      <c r="AM245" s="94"/>
      <c r="AN245" s="713"/>
      <c r="AO245" s="2649"/>
      <c r="AP245" s="2649"/>
      <c r="AQ245" s="2649"/>
      <c r="AR245" s="2649"/>
      <c r="AS245" s="2649"/>
      <c r="AT245" s="2649"/>
      <c r="AU245" s="715"/>
      <c r="AV245" s="713"/>
      <c r="AW245" s="2649"/>
      <c r="AX245" s="2649"/>
      <c r="AY245" s="2649"/>
      <c r="AZ245" s="715"/>
      <c r="BA245" s="2629"/>
      <c r="BB245" s="2629"/>
      <c r="BC245" s="2629"/>
      <c r="BD245" s="2629"/>
      <c r="BE245" s="2629"/>
      <c r="BF245" s="2629"/>
      <c r="BG245" s="2629"/>
      <c r="BH245" s="2629"/>
      <c r="BI245" s="2629"/>
      <c r="BJ245" s="2629"/>
      <c r="BK245" s="2629"/>
      <c r="BL245" s="2629"/>
      <c r="BM245" s="2629"/>
      <c r="BN245" s="2629"/>
      <c r="BO245" s="2629"/>
      <c r="BP245" s="2629"/>
      <c r="BQ245" s="2629"/>
      <c r="BR245" s="2629"/>
      <c r="BS245" s="2629"/>
      <c r="BT245" s="2629"/>
      <c r="BU245" s="2629"/>
      <c r="BV245" s="2629"/>
      <c r="BW245" s="2629"/>
      <c r="BX245" s="2653"/>
      <c r="BY245" s="2629"/>
      <c r="BZ245" s="2629"/>
      <c r="CA245" s="2629"/>
      <c r="CB245" s="2629"/>
      <c r="CC245" s="2629"/>
      <c r="CD245" s="2629"/>
      <c r="CE245" s="2629"/>
      <c r="CF245" s="2629"/>
    </row>
    <row r="246" spans="1:84" s="98" customFormat="1" ht="15" customHeight="1">
      <c r="A246" s="99"/>
      <c r="B246" s="2687"/>
      <c r="C246" s="2685" t="s">
        <v>2774</v>
      </c>
      <c r="D246" s="2685"/>
      <c r="E246" s="2685"/>
      <c r="F246" s="2685"/>
      <c r="G246" s="94"/>
      <c r="H246" s="94"/>
      <c r="I246" s="2503"/>
      <c r="J246" s="2503"/>
      <c r="K246" s="2503"/>
      <c r="L246" s="2503"/>
      <c r="M246" s="2503"/>
      <c r="N246" s="2503"/>
      <c r="O246" s="2503"/>
      <c r="P246" s="2503"/>
      <c r="Q246" s="2503"/>
      <c r="R246" s="2503"/>
      <c r="S246" s="2503"/>
      <c r="T246" s="2503"/>
      <c r="U246" s="2503"/>
      <c r="V246" s="2503"/>
      <c r="W246" s="2629"/>
      <c r="X246" s="2503"/>
      <c r="Y246" s="2503"/>
      <c r="Z246" s="2503"/>
      <c r="AA246" s="2503"/>
      <c r="AB246" s="2503"/>
      <c r="AC246" s="2503"/>
      <c r="AD246" s="2503"/>
      <c r="AE246" s="2503"/>
      <c r="AF246" s="2503"/>
      <c r="AG246" s="2503"/>
      <c r="AH246" s="2503"/>
      <c r="AI246" s="2503"/>
      <c r="AJ246" s="2503"/>
      <c r="AK246" s="2503"/>
      <c r="AL246" s="2629"/>
      <c r="AM246" s="94"/>
      <c r="AN246" s="713"/>
      <c r="AO246" s="2649"/>
      <c r="AP246" s="2649"/>
      <c r="AQ246" s="2649"/>
      <c r="AR246" s="2649"/>
      <c r="AS246" s="2649"/>
      <c r="AT246" s="2649"/>
      <c r="AU246" s="715"/>
      <c r="AV246" s="713"/>
      <c r="AW246" s="2649"/>
      <c r="AX246" s="2649"/>
      <c r="AY246" s="2649"/>
      <c r="AZ246" s="715"/>
      <c r="BA246" s="2629"/>
      <c r="BB246" s="2629"/>
      <c r="BC246" s="2629"/>
      <c r="BD246" s="2629"/>
      <c r="BE246" s="2629"/>
      <c r="BF246" s="2629"/>
      <c r="BG246" s="2629"/>
      <c r="BH246" s="2629"/>
      <c r="BI246" s="2629"/>
      <c r="BJ246" s="2629"/>
      <c r="BK246" s="2629"/>
      <c r="BL246" s="2629"/>
      <c r="BM246" s="2629"/>
      <c r="BN246" s="2629"/>
      <c r="BO246" s="2629"/>
      <c r="BP246" s="2629"/>
      <c r="BQ246" s="2629"/>
      <c r="BR246" s="2629"/>
      <c r="BS246" s="2629"/>
      <c r="BT246" s="2629"/>
      <c r="BU246" s="2629"/>
      <c r="BV246" s="2629"/>
      <c r="BW246" s="2629"/>
      <c r="BX246" s="2653"/>
      <c r="BY246" s="2629"/>
      <c r="BZ246" s="2629"/>
      <c r="CA246" s="2629"/>
      <c r="CB246" s="2629"/>
      <c r="CC246" s="2629"/>
      <c r="CD246" s="2629"/>
      <c r="CE246" s="2629"/>
      <c r="CF246" s="2629"/>
    </row>
    <row r="247" spans="1:84" s="98" customFormat="1" ht="15" customHeight="1">
      <c r="A247" s="99"/>
      <c r="B247" s="2687"/>
      <c r="C247" s="2688"/>
      <c r="D247" s="2688" t="s">
        <v>2716</v>
      </c>
      <c r="E247" s="2688"/>
      <c r="F247" s="2688"/>
      <c r="G247" s="2645"/>
      <c r="H247" s="2645"/>
      <c r="I247" s="2503"/>
      <c r="J247" s="2503"/>
      <c r="K247" s="2503"/>
      <c r="L247" s="2503"/>
      <c r="M247" s="2503"/>
      <c r="N247" s="2503"/>
      <c r="O247" s="2503"/>
      <c r="P247" s="2503"/>
      <c r="Q247" s="2503"/>
      <c r="R247" s="2503"/>
      <c r="S247" s="2503"/>
      <c r="T247" s="2503"/>
      <c r="U247" s="2503"/>
      <c r="V247" s="2503"/>
      <c r="W247" s="2629"/>
      <c r="X247" s="2503"/>
      <c r="Y247" s="2503"/>
      <c r="Z247" s="2503"/>
      <c r="AA247" s="2503"/>
      <c r="AB247" s="2503"/>
      <c r="AC247" s="2503"/>
      <c r="AD247" s="2503"/>
      <c r="AE247" s="2503"/>
      <c r="AF247" s="2503"/>
      <c r="AG247" s="2503"/>
      <c r="AH247" s="2503"/>
      <c r="AI247" s="2503"/>
      <c r="AJ247" s="2503"/>
      <c r="AK247" s="2503"/>
      <c r="AL247" s="2629"/>
      <c r="AM247" s="607" t="s">
        <v>2233</v>
      </c>
      <c r="AN247" s="143">
        <v>0</v>
      </c>
      <c r="AO247" s="141">
        <v>0</v>
      </c>
      <c r="AP247" s="141">
        <v>0</v>
      </c>
      <c r="AQ247" s="141">
        <v>0</v>
      </c>
      <c r="AR247" s="141">
        <v>0</v>
      </c>
      <c r="AS247" s="141">
        <v>0</v>
      </c>
      <c r="AT247" s="141">
        <v>0</v>
      </c>
      <c r="AU247" s="144">
        <v>0</v>
      </c>
      <c r="AV247" s="143">
        <v>0</v>
      </c>
      <c r="AW247" s="141">
        <v>0</v>
      </c>
      <c r="AX247" s="141">
        <v>0</v>
      </c>
      <c r="AY247" s="141">
        <v>0</v>
      </c>
      <c r="AZ247" s="144">
        <v>0</v>
      </c>
      <c r="BA247" s="2629"/>
      <c r="BB247" s="545" t="s">
        <v>2233</v>
      </c>
      <c r="BC247" s="141">
        <v>0</v>
      </c>
      <c r="BD247" s="545" t="s">
        <v>2233</v>
      </c>
      <c r="BE247" s="141">
        <v>0</v>
      </c>
      <c r="BF247" s="545" t="s">
        <v>2233</v>
      </c>
      <c r="BG247" s="141">
        <v>0</v>
      </c>
      <c r="BH247" s="607" t="s">
        <v>627</v>
      </c>
      <c r="BI247" s="868">
        <v>0</v>
      </c>
      <c r="BJ247" s="2629"/>
      <c r="BK247" s="2629"/>
      <c r="BL247" s="2629"/>
      <c r="BM247" s="2629"/>
      <c r="BN247" s="2629"/>
      <c r="BO247" s="2629"/>
      <c r="BP247" s="2629"/>
      <c r="BQ247" s="545" t="s">
        <v>2233</v>
      </c>
      <c r="BR247" s="141">
        <v>0</v>
      </c>
      <c r="BS247" s="545" t="s">
        <v>2233</v>
      </c>
      <c r="BT247" s="141">
        <v>0</v>
      </c>
      <c r="BU247" s="545" t="s">
        <v>2233</v>
      </c>
      <c r="BV247" s="141">
        <v>0</v>
      </c>
      <c r="BW247" s="607" t="s">
        <v>627</v>
      </c>
      <c r="BX247" s="872">
        <v>0</v>
      </c>
      <c r="BY247" s="2629"/>
      <c r="BZ247" s="2629"/>
      <c r="CA247" s="2629"/>
      <c r="CB247" s="2629"/>
      <c r="CC247" s="2629"/>
      <c r="CD247" s="2629"/>
      <c r="CE247" s="2629"/>
      <c r="CF247" s="2629"/>
    </row>
    <row r="248" spans="1:84" s="98" customFormat="1" ht="15" customHeight="1">
      <c r="A248" s="99"/>
      <c r="B248" s="2687"/>
      <c r="C248" s="2688"/>
      <c r="D248" s="2688" t="s">
        <v>2717</v>
      </c>
      <c r="E248" s="2688"/>
      <c r="F248" s="2688"/>
      <c r="G248" s="2645"/>
      <c r="H248" s="2645"/>
      <c r="I248" s="2503"/>
      <c r="J248" s="2503"/>
      <c r="K248" s="2503"/>
      <c r="L248" s="2503"/>
      <c r="M248" s="2503"/>
      <c r="N248" s="2503"/>
      <c r="O248" s="2503"/>
      <c r="P248" s="2503"/>
      <c r="Q248" s="2503"/>
      <c r="R248" s="2503"/>
      <c r="S248" s="2503"/>
      <c r="T248" s="2503"/>
      <c r="U248" s="2503"/>
      <c r="V248" s="2503"/>
      <c r="W248" s="2629"/>
      <c r="X248" s="2503"/>
      <c r="Y248" s="2503"/>
      <c r="Z248" s="2503"/>
      <c r="AA248" s="2503"/>
      <c r="AB248" s="2503"/>
      <c r="AC248" s="2503"/>
      <c r="AD248" s="2503"/>
      <c r="AE248" s="2503"/>
      <c r="AF248" s="2503"/>
      <c r="AG248" s="2503"/>
      <c r="AH248" s="2503"/>
      <c r="AI248" s="2503"/>
      <c r="AJ248" s="2503"/>
      <c r="AK248" s="2503"/>
      <c r="AL248" s="2629"/>
      <c r="AM248" s="607" t="s">
        <v>2233</v>
      </c>
      <c r="AN248" s="143">
        <v>0</v>
      </c>
      <c r="AO248" s="141">
        <v>0</v>
      </c>
      <c r="AP248" s="141">
        <v>0</v>
      </c>
      <c r="AQ248" s="141">
        <v>0</v>
      </c>
      <c r="AR248" s="141">
        <v>0</v>
      </c>
      <c r="AS248" s="141">
        <v>0</v>
      </c>
      <c r="AT248" s="141">
        <v>0</v>
      </c>
      <c r="AU248" s="144">
        <v>0</v>
      </c>
      <c r="AV248" s="143">
        <v>0</v>
      </c>
      <c r="AW248" s="141">
        <v>0</v>
      </c>
      <c r="AX248" s="141">
        <v>0</v>
      </c>
      <c r="AY248" s="141">
        <v>0</v>
      </c>
      <c r="AZ248" s="144">
        <v>0</v>
      </c>
      <c r="BA248" s="2629"/>
      <c r="BB248" s="545" t="s">
        <v>2233</v>
      </c>
      <c r="BC248" s="141">
        <v>0</v>
      </c>
      <c r="BD248" s="545" t="s">
        <v>2233</v>
      </c>
      <c r="BE248" s="141">
        <v>0</v>
      </c>
      <c r="BF248" s="545" t="s">
        <v>2233</v>
      </c>
      <c r="BG248" s="141">
        <v>0</v>
      </c>
      <c r="BH248" s="607" t="s">
        <v>627</v>
      </c>
      <c r="BI248" s="868">
        <v>0</v>
      </c>
      <c r="BJ248" s="2629"/>
      <c r="BK248" s="2629"/>
      <c r="BL248" s="2629"/>
      <c r="BM248" s="2629"/>
      <c r="BN248" s="2629"/>
      <c r="BO248" s="2629"/>
      <c r="BP248" s="2629"/>
      <c r="BQ248" s="545" t="s">
        <v>2233</v>
      </c>
      <c r="BR248" s="141">
        <v>0</v>
      </c>
      <c r="BS248" s="545" t="s">
        <v>2233</v>
      </c>
      <c r="BT248" s="141">
        <v>0</v>
      </c>
      <c r="BU248" s="545" t="s">
        <v>2233</v>
      </c>
      <c r="BV248" s="141">
        <v>0</v>
      </c>
      <c r="BW248" s="607" t="s">
        <v>627</v>
      </c>
      <c r="BX248" s="872">
        <v>0</v>
      </c>
      <c r="BY248" s="2629"/>
      <c r="BZ248" s="2629"/>
      <c r="CA248" s="2629"/>
      <c r="CB248" s="2629"/>
      <c r="CC248" s="2629"/>
      <c r="CD248" s="2629"/>
      <c r="CE248" s="2629"/>
      <c r="CF248" s="2629"/>
    </row>
    <row r="249" spans="1:84" s="98" customFormat="1" ht="15" customHeight="1">
      <c r="A249" s="99"/>
      <c r="B249" s="2687"/>
      <c r="C249" s="2688"/>
      <c r="D249" s="2688" t="s">
        <v>2718</v>
      </c>
      <c r="E249" s="2688"/>
      <c r="F249" s="2688"/>
      <c r="G249" s="2645"/>
      <c r="H249" s="2645"/>
      <c r="I249" s="2503"/>
      <c r="J249" s="2503"/>
      <c r="K249" s="2503"/>
      <c r="L249" s="2503"/>
      <c r="M249" s="2503"/>
      <c r="N249" s="2503"/>
      <c r="O249" s="2503"/>
      <c r="P249" s="2503"/>
      <c r="Q249" s="2503"/>
      <c r="R249" s="2503"/>
      <c r="S249" s="2503"/>
      <c r="T249" s="2503"/>
      <c r="U249" s="2503"/>
      <c r="V249" s="2503"/>
      <c r="W249" s="2629"/>
      <c r="X249" s="2503"/>
      <c r="Y249" s="2503"/>
      <c r="Z249" s="2503"/>
      <c r="AA249" s="2503"/>
      <c r="AB249" s="2503"/>
      <c r="AC249" s="2503"/>
      <c r="AD249" s="2503"/>
      <c r="AE249" s="2503"/>
      <c r="AF249" s="2503"/>
      <c r="AG249" s="2503"/>
      <c r="AH249" s="2503"/>
      <c r="AI249" s="2503"/>
      <c r="AJ249" s="2503"/>
      <c r="AK249" s="2503"/>
      <c r="AL249" s="2629"/>
      <c r="AM249" s="607" t="s">
        <v>2233</v>
      </c>
      <c r="AN249" s="143">
        <v>0</v>
      </c>
      <c r="AO249" s="141">
        <v>0</v>
      </c>
      <c r="AP249" s="141">
        <v>0</v>
      </c>
      <c r="AQ249" s="141">
        <v>0</v>
      </c>
      <c r="AR249" s="141">
        <v>0</v>
      </c>
      <c r="AS249" s="141">
        <v>0</v>
      </c>
      <c r="AT249" s="141">
        <v>0</v>
      </c>
      <c r="AU249" s="144">
        <v>0</v>
      </c>
      <c r="AV249" s="143">
        <v>0</v>
      </c>
      <c r="AW249" s="141">
        <v>0</v>
      </c>
      <c r="AX249" s="141">
        <v>0</v>
      </c>
      <c r="AY249" s="141">
        <v>0</v>
      </c>
      <c r="AZ249" s="144">
        <v>0</v>
      </c>
      <c r="BA249" s="2629"/>
      <c r="BB249" s="545" t="s">
        <v>2233</v>
      </c>
      <c r="BC249" s="141">
        <v>0</v>
      </c>
      <c r="BD249" s="545" t="s">
        <v>2233</v>
      </c>
      <c r="BE249" s="141">
        <v>0</v>
      </c>
      <c r="BF249" s="545" t="s">
        <v>2233</v>
      </c>
      <c r="BG249" s="141">
        <v>0</v>
      </c>
      <c r="BH249" s="607" t="s">
        <v>627</v>
      </c>
      <c r="BI249" s="868">
        <v>0</v>
      </c>
      <c r="BJ249" s="2629"/>
      <c r="BK249" s="2629"/>
      <c r="BL249" s="2629"/>
      <c r="BM249" s="2629"/>
      <c r="BN249" s="2629"/>
      <c r="BO249" s="2629"/>
      <c r="BP249" s="2629"/>
      <c r="BQ249" s="545" t="s">
        <v>2233</v>
      </c>
      <c r="BR249" s="141">
        <v>0</v>
      </c>
      <c r="BS249" s="545" t="s">
        <v>2233</v>
      </c>
      <c r="BT249" s="141">
        <v>0</v>
      </c>
      <c r="BU249" s="545" t="s">
        <v>2233</v>
      </c>
      <c r="BV249" s="141">
        <v>0</v>
      </c>
      <c r="BW249" s="607" t="s">
        <v>627</v>
      </c>
      <c r="BX249" s="872">
        <v>0</v>
      </c>
      <c r="BY249" s="2629"/>
      <c r="BZ249" s="2629"/>
      <c r="CA249" s="2629"/>
      <c r="CB249" s="2629"/>
      <c r="CC249" s="2629"/>
      <c r="CD249" s="2629"/>
      <c r="CE249" s="2629"/>
      <c r="CF249" s="2629"/>
    </row>
    <row r="250" spans="1:84" s="98" customFormat="1" ht="15" customHeight="1">
      <c r="A250" s="99"/>
      <c r="B250" s="2687"/>
      <c r="C250" s="2688"/>
      <c r="D250" s="2688" t="s">
        <v>2719</v>
      </c>
      <c r="E250" s="2688"/>
      <c r="F250" s="2688"/>
      <c r="G250" s="2645"/>
      <c r="H250" s="2645"/>
      <c r="I250" s="2503"/>
      <c r="J250" s="2503"/>
      <c r="K250" s="2503"/>
      <c r="L250" s="2503"/>
      <c r="M250" s="2503"/>
      <c r="N250" s="2503"/>
      <c r="O250" s="2503"/>
      <c r="P250" s="2503"/>
      <c r="Q250" s="2503"/>
      <c r="R250" s="2503"/>
      <c r="S250" s="2503"/>
      <c r="T250" s="2503"/>
      <c r="U250" s="2503"/>
      <c r="V250" s="2503"/>
      <c r="W250" s="2629"/>
      <c r="X250" s="2503"/>
      <c r="Y250" s="2503"/>
      <c r="Z250" s="2503"/>
      <c r="AA250" s="2503"/>
      <c r="AB250" s="2503"/>
      <c r="AC250" s="2503"/>
      <c r="AD250" s="2503"/>
      <c r="AE250" s="2503"/>
      <c r="AF250" s="2503"/>
      <c r="AG250" s="2503"/>
      <c r="AH250" s="2503"/>
      <c r="AI250" s="2503"/>
      <c r="AJ250" s="2503"/>
      <c r="AK250" s="2503"/>
      <c r="AL250" s="2629"/>
      <c r="AM250" s="607" t="s">
        <v>2233</v>
      </c>
      <c r="AN250" s="143">
        <v>0</v>
      </c>
      <c r="AO250" s="141">
        <v>-0.09</v>
      </c>
      <c r="AP250" s="141">
        <v>-4.0000000000000001E-3</v>
      </c>
      <c r="AQ250" s="141">
        <v>0</v>
      </c>
      <c r="AR250" s="141">
        <v>0</v>
      </c>
      <c r="AS250" s="141">
        <v>0</v>
      </c>
      <c r="AT250" s="141">
        <v>0</v>
      </c>
      <c r="AU250" s="144">
        <v>0</v>
      </c>
      <c r="AV250" s="143">
        <v>0</v>
      </c>
      <c r="AW250" s="141">
        <v>0</v>
      </c>
      <c r="AX250" s="141">
        <v>0</v>
      </c>
      <c r="AY250" s="141">
        <v>0</v>
      </c>
      <c r="AZ250" s="144">
        <v>0</v>
      </c>
      <c r="BA250" s="2629"/>
      <c r="BB250" s="545" t="s">
        <v>2233</v>
      </c>
      <c r="BC250" s="141">
        <v>2.2514970059880242E-3</v>
      </c>
      <c r="BD250" s="545" t="s">
        <v>2233</v>
      </c>
      <c r="BE250" s="141">
        <v>1.6041916167664674E-2</v>
      </c>
      <c r="BF250" s="545" t="s">
        <v>2233</v>
      </c>
      <c r="BG250" s="141">
        <v>7.5706586826347302E-2</v>
      </c>
      <c r="BH250" s="607" t="s">
        <v>627</v>
      </c>
      <c r="BI250" s="868">
        <v>1.6525000000000001</v>
      </c>
      <c r="BJ250" s="2629"/>
      <c r="BK250" s="2629"/>
      <c r="BL250" s="2629"/>
      <c r="BM250" s="2629"/>
      <c r="BN250" s="2629"/>
      <c r="BO250" s="2629"/>
      <c r="BP250" s="2629"/>
      <c r="BQ250" s="545" t="s">
        <v>2233</v>
      </c>
      <c r="BR250" s="141">
        <v>0</v>
      </c>
      <c r="BS250" s="545" t="s">
        <v>2233</v>
      </c>
      <c r="BT250" s="141">
        <v>0</v>
      </c>
      <c r="BU250" s="545" t="s">
        <v>2233</v>
      </c>
      <c r="BV250" s="141">
        <v>0</v>
      </c>
      <c r="BW250" s="607" t="s">
        <v>627</v>
      </c>
      <c r="BX250" s="872">
        <v>0</v>
      </c>
      <c r="BY250" s="2629"/>
      <c r="BZ250" s="2629"/>
      <c r="CA250" s="2629"/>
      <c r="CB250" s="2629"/>
      <c r="CC250" s="2629"/>
      <c r="CD250" s="2629"/>
      <c r="CE250" s="2629"/>
      <c r="CF250" s="2629"/>
    </row>
    <row r="251" spans="1:84" s="98" customFormat="1" ht="15" customHeight="1">
      <c r="A251" s="99"/>
      <c r="B251" s="2687"/>
      <c r="C251" s="2688"/>
      <c r="D251" s="2688" t="s">
        <v>2726</v>
      </c>
      <c r="E251" s="2688"/>
      <c r="F251" s="2688"/>
      <c r="G251" s="2645"/>
      <c r="H251" s="2645"/>
      <c r="I251" s="2503"/>
      <c r="J251" s="2503"/>
      <c r="K251" s="2503"/>
      <c r="L251" s="2503"/>
      <c r="M251" s="2503"/>
      <c r="N251" s="2503"/>
      <c r="O251" s="2503"/>
      <c r="P251" s="2503"/>
      <c r="Q251" s="2503"/>
      <c r="R251" s="2503"/>
      <c r="S251" s="2503"/>
      <c r="T251" s="2503"/>
      <c r="U251" s="2503"/>
      <c r="V251" s="2503"/>
      <c r="W251" s="2629"/>
      <c r="X251" s="2503"/>
      <c r="Y251" s="2503"/>
      <c r="Z251" s="2503"/>
      <c r="AA251" s="2503"/>
      <c r="AB251" s="2503"/>
      <c r="AC251" s="2503"/>
      <c r="AD251" s="2503"/>
      <c r="AE251" s="2503"/>
      <c r="AF251" s="2503"/>
      <c r="AG251" s="2503"/>
      <c r="AH251" s="2503"/>
      <c r="AI251" s="2503"/>
      <c r="AJ251" s="2503"/>
      <c r="AK251" s="2503"/>
      <c r="AL251" s="2629"/>
      <c r="AM251" s="607" t="s">
        <v>2233</v>
      </c>
      <c r="AN251" s="143">
        <v>0</v>
      </c>
      <c r="AO251" s="141">
        <v>0</v>
      </c>
      <c r="AP251" s="141">
        <v>0</v>
      </c>
      <c r="AQ251" s="141">
        <v>0</v>
      </c>
      <c r="AR251" s="141">
        <v>0</v>
      </c>
      <c r="AS251" s="141">
        <v>0</v>
      </c>
      <c r="AT251" s="141">
        <v>0</v>
      </c>
      <c r="AU251" s="144">
        <v>0</v>
      </c>
      <c r="AV251" s="143">
        <v>0</v>
      </c>
      <c r="AW251" s="141">
        <v>0</v>
      </c>
      <c r="AX251" s="141">
        <v>0</v>
      </c>
      <c r="AY251" s="141">
        <v>0</v>
      </c>
      <c r="AZ251" s="144">
        <v>0</v>
      </c>
      <c r="BA251" s="2629"/>
      <c r="BB251" s="545" t="s">
        <v>2233</v>
      </c>
      <c r="BC251" s="141">
        <v>0</v>
      </c>
      <c r="BD251" s="545" t="s">
        <v>2233</v>
      </c>
      <c r="BE251" s="141">
        <v>0</v>
      </c>
      <c r="BF251" s="545" t="s">
        <v>2233</v>
      </c>
      <c r="BG251" s="141">
        <v>0</v>
      </c>
      <c r="BH251" s="607" t="s">
        <v>627</v>
      </c>
      <c r="BI251" s="868">
        <v>0</v>
      </c>
      <c r="BJ251" s="2629"/>
      <c r="BK251" s="2629"/>
      <c r="BL251" s="2629"/>
      <c r="BM251" s="2629"/>
      <c r="BN251" s="2629"/>
      <c r="BO251" s="2629"/>
      <c r="BP251" s="2629"/>
      <c r="BQ251" s="545" t="s">
        <v>2233</v>
      </c>
      <c r="BR251" s="141">
        <v>0</v>
      </c>
      <c r="BS251" s="545" t="s">
        <v>2233</v>
      </c>
      <c r="BT251" s="141">
        <v>0</v>
      </c>
      <c r="BU251" s="545" t="s">
        <v>2233</v>
      </c>
      <c r="BV251" s="141">
        <v>0</v>
      </c>
      <c r="BW251" s="607" t="s">
        <v>627</v>
      </c>
      <c r="BX251" s="872">
        <v>0</v>
      </c>
      <c r="BY251" s="2629"/>
      <c r="BZ251" s="2629"/>
      <c r="CA251" s="2629"/>
      <c r="CB251" s="2629"/>
      <c r="CC251" s="2629"/>
      <c r="CD251" s="2629"/>
      <c r="CE251" s="2629"/>
      <c r="CF251" s="2629"/>
    </row>
    <row r="252" spans="1:84" s="98" customFormat="1" ht="15" customHeight="1">
      <c r="A252" s="99"/>
      <c r="B252" s="2687"/>
      <c r="C252" s="2688"/>
      <c r="D252" s="2688" t="s">
        <v>2727</v>
      </c>
      <c r="E252" s="2688"/>
      <c r="F252" s="2688"/>
      <c r="G252" s="2645"/>
      <c r="H252" s="2645"/>
      <c r="I252" s="2503"/>
      <c r="J252" s="2503"/>
      <c r="K252" s="2503"/>
      <c r="L252" s="2503"/>
      <c r="M252" s="2503"/>
      <c r="N252" s="2503"/>
      <c r="O252" s="2503"/>
      <c r="P252" s="2503"/>
      <c r="Q252" s="2503"/>
      <c r="R252" s="2503"/>
      <c r="S252" s="2503"/>
      <c r="T252" s="2503"/>
      <c r="U252" s="2503"/>
      <c r="V252" s="2503"/>
      <c r="W252" s="2629"/>
      <c r="X252" s="2503"/>
      <c r="Y252" s="2503"/>
      <c r="Z252" s="2503"/>
      <c r="AA252" s="2503"/>
      <c r="AB252" s="2503"/>
      <c r="AC252" s="2503"/>
      <c r="AD252" s="2503"/>
      <c r="AE252" s="2503"/>
      <c r="AF252" s="2503"/>
      <c r="AG252" s="2503"/>
      <c r="AH252" s="2503"/>
      <c r="AI252" s="2503"/>
      <c r="AJ252" s="2503"/>
      <c r="AK252" s="2503"/>
      <c r="AL252" s="2629"/>
      <c r="AM252" s="607" t="s">
        <v>2233</v>
      </c>
      <c r="AN252" s="143">
        <v>0</v>
      </c>
      <c r="AO252" s="141">
        <v>0</v>
      </c>
      <c r="AP252" s="141">
        <v>-4.65E-2</v>
      </c>
      <c r="AQ252" s="141">
        <v>0</v>
      </c>
      <c r="AR252" s="141">
        <v>0</v>
      </c>
      <c r="AS252" s="141">
        <v>0</v>
      </c>
      <c r="AT252" s="141">
        <v>0</v>
      </c>
      <c r="AU252" s="144">
        <v>0</v>
      </c>
      <c r="AV252" s="143">
        <v>0</v>
      </c>
      <c r="AW252" s="141">
        <v>0</v>
      </c>
      <c r="AX252" s="141">
        <v>0</v>
      </c>
      <c r="AY252" s="141">
        <v>0</v>
      </c>
      <c r="AZ252" s="144">
        <v>0</v>
      </c>
      <c r="BA252" s="2629"/>
      <c r="BB252" s="545" t="s">
        <v>2233</v>
      </c>
      <c r="BC252" s="141">
        <v>1.1137724550898205E-3</v>
      </c>
      <c r="BD252" s="545" t="s">
        <v>2233</v>
      </c>
      <c r="BE252" s="141">
        <v>7.9356287425149698E-3</v>
      </c>
      <c r="BF252" s="545" t="s">
        <v>2233</v>
      </c>
      <c r="BG252" s="141">
        <v>3.7450598802395207E-2</v>
      </c>
      <c r="BH252" s="607" t="s">
        <v>627</v>
      </c>
      <c r="BI252" s="868">
        <v>1.6525000000000001</v>
      </c>
      <c r="BJ252" s="2629"/>
      <c r="BK252" s="2629"/>
      <c r="BL252" s="2629"/>
      <c r="BM252" s="2629"/>
      <c r="BN252" s="2629"/>
      <c r="BO252" s="2629"/>
      <c r="BP252" s="2629"/>
      <c r="BQ252" s="545" t="s">
        <v>2233</v>
      </c>
      <c r="BR252" s="141">
        <v>0</v>
      </c>
      <c r="BS252" s="545" t="s">
        <v>2233</v>
      </c>
      <c r="BT252" s="141">
        <v>0</v>
      </c>
      <c r="BU252" s="545" t="s">
        <v>2233</v>
      </c>
      <c r="BV252" s="141">
        <v>0</v>
      </c>
      <c r="BW252" s="607" t="s">
        <v>627</v>
      </c>
      <c r="BX252" s="872">
        <v>0</v>
      </c>
      <c r="BY252" s="2629"/>
      <c r="BZ252" s="2629"/>
      <c r="CA252" s="2629"/>
      <c r="CB252" s="2629"/>
      <c r="CC252" s="2629"/>
      <c r="CD252" s="2629"/>
      <c r="CE252" s="2629"/>
      <c r="CF252" s="2629"/>
    </row>
    <row r="253" spans="1:84" s="98" customFormat="1" ht="15" customHeight="1">
      <c r="A253" s="99"/>
      <c r="B253" s="2687"/>
      <c r="C253" s="2688"/>
      <c r="D253" s="2688" t="s">
        <v>2728</v>
      </c>
      <c r="E253" s="2688"/>
      <c r="F253" s="2688"/>
      <c r="G253" s="2645"/>
      <c r="H253" s="2645"/>
      <c r="I253" s="2503"/>
      <c r="J253" s="2503"/>
      <c r="K253" s="2503"/>
      <c r="L253" s="2503"/>
      <c r="M253" s="2503"/>
      <c r="N253" s="2503"/>
      <c r="O253" s="2503"/>
      <c r="P253" s="2503"/>
      <c r="Q253" s="2503"/>
      <c r="R253" s="2503"/>
      <c r="S253" s="2503"/>
      <c r="T253" s="2503"/>
      <c r="U253" s="2503"/>
      <c r="V253" s="2503"/>
      <c r="W253" s="2629"/>
      <c r="X253" s="2503"/>
      <c r="Y253" s="2503"/>
      <c r="Z253" s="2503"/>
      <c r="AA253" s="2503"/>
      <c r="AB253" s="2503"/>
      <c r="AC253" s="2503"/>
      <c r="AD253" s="2503"/>
      <c r="AE253" s="2503"/>
      <c r="AF253" s="2503"/>
      <c r="AG253" s="2503"/>
      <c r="AH253" s="2503"/>
      <c r="AI253" s="2503"/>
      <c r="AJ253" s="2503"/>
      <c r="AK253" s="2503"/>
      <c r="AL253" s="2629"/>
      <c r="AM253" s="607" t="s">
        <v>2233</v>
      </c>
      <c r="AN253" s="143">
        <v>0</v>
      </c>
      <c r="AO253" s="141">
        <v>0</v>
      </c>
      <c r="AP253" s="141">
        <v>0</v>
      </c>
      <c r="AQ253" s="141">
        <v>0</v>
      </c>
      <c r="AR253" s="141">
        <v>0</v>
      </c>
      <c r="AS253" s="141">
        <v>0</v>
      </c>
      <c r="AT253" s="141">
        <v>0</v>
      </c>
      <c r="AU253" s="144">
        <v>0</v>
      </c>
      <c r="AV253" s="143">
        <v>0</v>
      </c>
      <c r="AW253" s="141">
        <v>0</v>
      </c>
      <c r="AX253" s="141">
        <v>0</v>
      </c>
      <c r="AY253" s="141">
        <v>0</v>
      </c>
      <c r="AZ253" s="144">
        <v>0</v>
      </c>
      <c r="BA253" s="2629"/>
      <c r="BB253" s="545" t="s">
        <v>2233</v>
      </c>
      <c r="BC253" s="141">
        <v>0</v>
      </c>
      <c r="BD253" s="545" t="s">
        <v>2233</v>
      </c>
      <c r="BE253" s="141">
        <v>0</v>
      </c>
      <c r="BF253" s="545" t="s">
        <v>2233</v>
      </c>
      <c r="BG253" s="141">
        <v>0</v>
      </c>
      <c r="BH253" s="607" t="s">
        <v>627</v>
      </c>
      <c r="BI253" s="868">
        <v>0</v>
      </c>
      <c r="BJ253" s="2629"/>
      <c r="BK253" s="2629"/>
      <c r="BL253" s="2629"/>
      <c r="BM253" s="2629"/>
      <c r="BN253" s="2629"/>
      <c r="BO253" s="2629"/>
      <c r="BP253" s="2629"/>
      <c r="BQ253" s="545" t="s">
        <v>2233</v>
      </c>
      <c r="BR253" s="141">
        <v>0</v>
      </c>
      <c r="BS253" s="545" t="s">
        <v>2233</v>
      </c>
      <c r="BT253" s="141">
        <v>0</v>
      </c>
      <c r="BU253" s="545" t="s">
        <v>2233</v>
      </c>
      <c r="BV253" s="141">
        <v>0</v>
      </c>
      <c r="BW253" s="607" t="s">
        <v>627</v>
      </c>
      <c r="BX253" s="872">
        <v>0</v>
      </c>
      <c r="BY253" s="2629"/>
      <c r="BZ253" s="2629"/>
      <c r="CA253" s="2629"/>
      <c r="CB253" s="2629"/>
      <c r="CC253" s="2629"/>
      <c r="CD253" s="2629"/>
      <c r="CE253" s="2629"/>
      <c r="CF253" s="2629"/>
    </row>
    <row r="254" spans="1:84" s="98" customFormat="1" ht="15" customHeight="1">
      <c r="A254" s="99"/>
      <c r="B254" s="2687"/>
      <c r="C254" s="2688"/>
      <c r="D254" s="2688" t="s">
        <v>2736</v>
      </c>
      <c r="E254" s="2688"/>
      <c r="F254" s="2688"/>
      <c r="G254" s="2645"/>
      <c r="H254" s="2645"/>
      <c r="I254" s="2503"/>
      <c r="J254" s="2503"/>
      <c r="K254" s="2503"/>
      <c r="L254" s="2503"/>
      <c r="M254" s="2503"/>
      <c r="N254" s="2503"/>
      <c r="O254" s="2503"/>
      <c r="P254" s="2503"/>
      <c r="Q254" s="2503"/>
      <c r="R254" s="2503"/>
      <c r="S254" s="2503"/>
      <c r="T254" s="2503"/>
      <c r="U254" s="2503"/>
      <c r="V254" s="2503"/>
      <c r="W254" s="2629"/>
      <c r="X254" s="2503"/>
      <c r="Y254" s="2503"/>
      <c r="Z254" s="2503"/>
      <c r="AA254" s="2503"/>
      <c r="AB254" s="2503"/>
      <c r="AC254" s="2503"/>
      <c r="AD254" s="2503"/>
      <c r="AE254" s="2503"/>
      <c r="AF254" s="2503"/>
      <c r="AG254" s="2503"/>
      <c r="AH254" s="2503"/>
      <c r="AI254" s="2503"/>
      <c r="AJ254" s="2503"/>
      <c r="AK254" s="2503"/>
      <c r="AL254" s="2629"/>
      <c r="AM254" s="607" t="s">
        <v>2233</v>
      </c>
      <c r="AN254" s="143">
        <v>0</v>
      </c>
      <c r="AO254" s="141">
        <v>0</v>
      </c>
      <c r="AP254" s="141">
        <v>0</v>
      </c>
      <c r="AQ254" s="141">
        <v>0</v>
      </c>
      <c r="AR254" s="141">
        <v>0</v>
      </c>
      <c r="AS254" s="141">
        <v>0</v>
      </c>
      <c r="AT254" s="141">
        <v>0</v>
      </c>
      <c r="AU254" s="144">
        <v>0</v>
      </c>
      <c r="AV254" s="143">
        <v>0</v>
      </c>
      <c r="AW254" s="141">
        <v>0</v>
      </c>
      <c r="AX254" s="141">
        <v>0</v>
      </c>
      <c r="AY254" s="141">
        <v>0</v>
      </c>
      <c r="AZ254" s="144">
        <v>0</v>
      </c>
      <c r="BA254" s="2629"/>
      <c r="BB254" s="545" t="s">
        <v>2233</v>
      </c>
      <c r="BC254" s="141">
        <v>0</v>
      </c>
      <c r="BD254" s="545" t="s">
        <v>2233</v>
      </c>
      <c r="BE254" s="141">
        <v>0</v>
      </c>
      <c r="BF254" s="545" t="s">
        <v>2233</v>
      </c>
      <c r="BG254" s="141">
        <v>0</v>
      </c>
      <c r="BH254" s="607" t="s">
        <v>627</v>
      </c>
      <c r="BI254" s="868">
        <v>0</v>
      </c>
      <c r="BJ254" s="2629"/>
      <c r="BK254" s="2629"/>
      <c r="BL254" s="2629"/>
      <c r="BM254" s="2629"/>
      <c r="BN254" s="2629"/>
      <c r="BO254" s="2629"/>
      <c r="BP254" s="2629"/>
      <c r="BQ254" s="545" t="s">
        <v>2233</v>
      </c>
      <c r="BR254" s="141">
        <v>0</v>
      </c>
      <c r="BS254" s="545" t="s">
        <v>2233</v>
      </c>
      <c r="BT254" s="141">
        <v>0</v>
      </c>
      <c r="BU254" s="545" t="s">
        <v>2233</v>
      </c>
      <c r="BV254" s="141">
        <v>0</v>
      </c>
      <c r="BW254" s="607" t="s">
        <v>627</v>
      </c>
      <c r="BX254" s="872">
        <v>0</v>
      </c>
      <c r="BY254" s="2629"/>
      <c r="BZ254" s="2629"/>
      <c r="CA254" s="2629"/>
      <c r="CB254" s="2629"/>
      <c r="CC254" s="2629"/>
      <c r="CD254" s="2629"/>
      <c r="CE254" s="2629"/>
      <c r="CF254" s="2629"/>
    </row>
    <row r="255" spans="1:84" s="98" customFormat="1" ht="15" customHeight="1">
      <c r="A255" s="99"/>
      <c r="B255" s="2687"/>
      <c r="C255" s="2688"/>
      <c r="D255" s="2688" t="s">
        <v>2737</v>
      </c>
      <c r="E255" s="2688"/>
      <c r="F255" s="2688"/>
      <c r="G255" s="2645"/>
      <c r="H255" s="2645"/>
      <c r="I255" s="2503"/>
      <c r="J255" s="2503"/>
      <c r="K255" s="2503"/>
      <c r="L255" s="2503"/>
      <c r="M255" s="2503"/>
      <c r="N255" s="2503"/>
      <c r="O255" s="2503"/>
      <c r="P255" s="2503"/>
      <c r="Q255" s="2503"/>
      <c r="R255" s="2503"/>
      <c r="S255" s="2503"/>
      <c r="T255" s="2503"/>
      <c r="U255" s="2503"/>
      <c r="V255" s="2503"/>
      <c r="W255" s="2629"/>
      <c r="X255" s="2503"/>
      <c r="Y255" s="2503"/>
      <c r="Z255" s="2503"/>
      <c r="AA255" s="2503"/>
      <c r="AB255" s="2503"/>
      <c r="AC255" s="2503"/>
      <c r="AD255" s="2503"/>
      <c r="AE255" s="2503"/>
      <c r="AF255" s="2503"/>
      <c r="AG255" s="2503"/>
      <c r="AH255" s="2503"/>
      <c r="AI255" s="2503"/>
      <c r="AJ255" s="2503"/>
      <c r="AK255" s="2503"/>
      <c r="AL255" s="2629"/>
      <c r="AM255" s="607" t="s">
        <v>2233</v>
      </c>
      <c r="AN255" s="143">
        <v>0</v>
      </c>
      <c r="AO255" s="141">
        <v>0</v>
      </c>
      <c r="AP255" s="141">
        <v>0</v>
      </c>
      <c r="AQ255" s="141">
        <v>0</v>
      </c>
      <c r="AR255" s="141">
        <v>0</v>
      </c>
      <c r="AS255" s="141">
        <v>0</v>
      </c>
      <c r="AT255" s="141">
        <v>0</v>
      </c>
      <c r="AU255" s="144">
        <v>0</v>
      </c>
      <c r="AV255" s="143">
        <v>0</v>
      </c>
      <c r="AW255" s="141">
        <v>0</v>
      </c>
      <c r="AX255" s="141">
        <v>0</v>
      </c>
      <c r="AY255" s="141">
        <v>0</v>
      </c>
      <c r="AZ255" s="144">
        <v>0</v>
      </c>
      <c r="BA255" s="2629"/>
      <c r="BB255" s="545" t="s">
        <v>2233</v>
      </c>
      <c r="BC255" s="141">
        <v>0</v>
      </c>
      <c r="BD255" s="545" t="s">
        <v>2233</v>
      </c>
      <c r="BE255" s="141">
        <v>0</v>
      </c>
      <c r="BF255" s="545" t="s">
        <v>2233</v>
      </c>
      <c r="BG255" s="141">
        <v>0</v>
      </c>
      <c r="BH255" s="607" t="s">
        <v>627</v>
      </c>
      <c r="BI255" s="868">
        <v>0</v>
      </c>
      <c r="BJ255" s="2629"/>
      <c r="BK255" s="2629"/>
      <c r="BL255" s="2629"/>
      <c r="BM255" s="2629"/>
      <c r="BN255" s="2629"/>
      <c r="BO255" s="2629"/>
      <c r="BP255" s="2629"/>
      <c r="BQ255" s="545" t="s">
        <v>2233</v>
      </c>
      <c r="BR255" s="141">
        <v>0</v>
      </c>
      <c r="BS255" s="545" t="s">
        <v>2233</v>
      </c>
      <c r="BT255" s="141">
        <v>0</v>
      </c>
      <c r="BU255" s="545" t="s">
        <v>2233</v>
      </c>
      <c r="BV255" s="141">
        <v>0</v>
      </c>
      <c r="BW255" s="607" t="s">
        <v>627</v>
      </c>
      <c r="BX255" s="872">
        <v>0</v>
      </c>
      <c r="BY255" s="2629"/>
      <c r="BZ255" s="2629"/>
      <c r="CA255" s="2629"/>
      <c r="CB255" s="2629"/>
      <c r="CC255" s="2629"/>
      <c r="CD255" s="2629"/>
      <c r="CE255" s="2629"/>
      <c r="CF255" s="2629"/>
    </row>
    <row r="256" spans="1:84" s="98" customFormat="1" ht="15" customHeight="1">
      <c r="A256" s="99"/>
      <c r="B256" s="2687"/>
      <c r="C256" s="2688" t="s">
        <v>1710</v>
      </c>
      <c r="D256" s="2688"/>
      <c r="E256" s="2688"/>
      <c r="F256" s="2688"/>
      <c r="G256" s="2645"/>
      <c r="H256" s="2645"/>
      <c r="I256" s="2503"/>
      <c r="J256" s="2503"/>
      <c r="K256" s="2503"/>
      <c r="L256" s="2503"/>
      <c r="M256" s="2503"/>
      <c r="N256" s="2503"/>
      <c r="O256" s="2503"/>
      <c r="P256" s="2503"/>
      <c r="Q256" s="2503"/>
      <c r="R256" s="2503"/>
      <c r="S256" s="2503"/>
      <c r="T256" s="2503"/>
      <c r="U256" s="2503"/>
      <c r="V256" s="2503"/>
      <c r="W256" s="2629"/>
      <c r="X256" s="2503"/>
      <c r="Y256" s="2503"/>
      <c r="Z256" s="2503"/>
      <c r="AA256" s="2503"/>
      <c r="AB256" s="2503"/>
      <c r="AC256" s="2503"/>
      <c r="AD256" s="2503"/>
      <c r="AE256" s="2503"/>
      <c r="AF256" s="2503"/>
      <c r="AG256" s="2503"/>
      <c r="AH256" s="2503"/>
      <c r="AI256" s="2503"/>
      <c r="AJ256" s="2503"/>
      <c r="AK256" s="2503"/>
      <c r="AL256" s="2629"/>
      <c r="AM256" s="607" t="s">
        <v>2233</v>
      </c>
      <c r="AN256" s="641">
        <f>SUM(AN247:AN255)</f>
        <v>0</v>
      </c>
      <c r="AO256" s="642">
        <f t="shared" ref="AO256:AZ256" si="75">SUM(AO247:AO255)</f>
        <v>-0.09</v>
      </c>
      <c r="AP256" s="642">
        <f t="shared" si="75"/>
        <v>-5.0500000000000003E-2</v>
      </c>
      <c r="AQ256" s="642">
        <f t="shared" si="75"/>
        <v>0</v>
      </c>
      <c r="AR256" s="642">
        <f t="shared" si="75"/>
        <v>0</v>
      </c>
      <c r="AS256" s="642">
        <f t="shared" si="75"/>
        <v>0</v>
      </c>
      <c r="AT256" s="642">
        <f t="shared" si="75"/>
        <v>0</v>
      </c>
      <c r="AU256" s="643">
        <f t="shared" si="75"/>
        <v>0</v>
      </c>
      <c r="AV256" s="641">
        <f t="shared" si="75"/>
        <v>0</v>
      </c>
      <c r="AW256" s="642">
        <f t="shared" si="75"/>
        <v>0</v>
      </c>
      <c r="AX256" s="642">
        <f t="shared" si="75"/>
        <v>0</v>
      </c>
      <c r="AY256" s="642">
        <f t="shared" si="75"/>
        <v>0</v>
      </c>
      <c r="AZ256" s="643">
        <f t="shared" si="75"/>
        <v>0</v>
      </c>
      <c r="BA256" s="2629"/>
      <c r="BB256" s="545" t="s">
        <v>2233</v>
      </c>
      <c r="BC256" s="642">
        <f>SUM(BC247:BC255)</f>
        <v>3.3652694610778449E-3</v>
      </c>
      <c r="BD256" s="545" t="s">
        <v>2233</v>
      </c>
      <c r="BE256" s="642">
        <f>SUM(BE247:BE255)</f>
        <v>2.3977544910179643E-2</v>
      </c>
      <c r="BF256" s="545" t="s">
        <v>2233</v>
      </c>
      <c r="BG256" s="642">
        <f>SUM(BG247:BG255)</f>
        <v>0.11315718562874251</v>
      </c>
      <c r="BH256" s="545" t="s">
        <v>627</v>
      </c>
      <c r="BI256" s="542"/>
      <c r="BJ256" s="2629"/>
      <c r="BK256" s="2629"/>
      <c r="BL256" s="2629"/>
      <c r="BM256" s="2629"/>
      <c r="BN256" s="2629"/>
      <c r="BO256" s="2629"/>
      <c r="BP256" s="2629"/>
      <c r="BQ256" s="545" t="s">
        <v>2233</v>
      </c>
      <c r="BR256" s="642">
        <f>SUM(BR247:BR255)</f>
        <v>0</v>
      </c>
      <c r="BS256" s="545" t="s">
        <v>2233</v>
      </c>
      <c r="BT256" s="642">
        <f>SUM(BT247:BT255)</f>
        <v>0</v>
      </c>
      <c r="BU256" s="545" t="s">
        <v>2233</v>
      </c>
      <c r="BV256" s="642">
        <f>SUM(BV247:BV255)</f>
        <v>0</v>
      </c>
      <c r="BW256" s="545" t="s">
        <v>627</v>
      </c>
      <c r="BX256" s="1359"/>
      <c r="BY256" s="2629"/>
      <c r="BZ256" s="2629"/>
      <c r="CA256" s="2629"/>
      <c r="CB256" s="2629"/>
      <c r="CC256" s="2629"/>
      <c r="CD256" s="2629"/>
      <c r="CE256" s="2629"/>
      <c r="CF256" s="2629"/>
    </row>
    <row r="257" spans="1:84" s="98" customFormat="1" ht="15" customHeight="1">
      <c r="A257" s="99"/>
      <c r="B257" s="123"/>
      <c r="C257" s="2686"/>
      <c r="D257" s="2686"/>
      <c r="E257" s="2686"/>
      <c r="F257" s="2686"/>
      <c r="G257" s="94"/>
      <c r="H257" s="94"/>
      <c r="I257" s="2503"/>
      <c r="J257" s="2503"/>
      <c r="K257" s="2503"/>
      <c r="L257" s="2503"/>
      <c r="M257" s="2503"/>
      <c r="N257" s="2503"/>
      <c r="O257" s="2503"/>
      <c r="P257" s="2503"/>
      <c r="Q257" s="2503"/>
      <c r="R257" s="2503"/>
      <c r="S257" s="2503"/>
      <c r="T257" s="2503"/>
      <c r="U257" s="2503"/>
      <c r="V257" s="2503"/>
      <c r="W257" s="2629"/>
      <c r="X257" s="2503"/>
      <c r="Y257" s="2503"/>
      <c r="Z257" s="2503"/>
      <c r="AA257" s="2503"/>
      <c r="AB257" s="2503"/>
      <c r="AC257" s="2503"/>
      <c r="AD257" s="2503"/>
      <c r="AE257" s="2503"/>
      <c r="AF257" s="2503"/>
      <c r="AG257" s="2503"/>
      <c r="AH257" s="2503"/>
      <c r="AI257" s="2503"/>
      <c r="AJ257" s="2503"/>
      <c r="AK257" s="2503"/>
      <c r="AL257" s="2629"/>
      <c r="AM257" s="94"/>
      <c r="AN257" s="713"/>
      <c r="AO257" s="2649"/>
      <c r="AP257" s="2649"/>
      <c r="AQ257" s="2649"/>
      <c r="AR257" s="2649"/>
      <c r="AS257" s="2649"/>
      <c r="AT257" s="2649"/>
      <c r="AU257" s="715"/>
      <c r="AV257" s="713"/>
      <c r="AW257" s="2649"/>
      <c r="AX257" s="2649"/>
      <c r="AY257" s="2649"/>
      <c r="AZ257" s="715"/>
      <c r="BA257" s="2629"/>
      <c r="BB257" s="2629"/>
      <c r="BC257" s="2629"/>
      <c r="BD257" s="2629"/>
      <c r="BE257" s="2629"/>
      <c r="BF257" s="2629"/>
      <c r="BG257" s="2629"/>
      <c r="BH257" s="2629"/>
      <c r="BI257" s="2629"/>
      <c r="BJ257" s="2629"/>
      <c r="BK257" s="2629"/>
      <c r="BL257" s="2629"/>
      <c r="BM257" s="2629"/>
      <c r="BN257" s="2629"/>
      <c r="BO257" s="2629"/>
      <c r="BP257" s="2629"/>
      <c r="BQ257" s="2629"/>
      <c r="BR257" s="2629"/>
      <c r="BS257" s="2629"/>
      <c r="BT257" s="2629"/>
      <c r="BU257" s="2629"/>
      <c r="BV257" s="2629"/>
      <c r="BW257" s="2629"/>
      <c r="BX257" s="2653"/>
      <c r="BY257" s="2629"/>
      <c r="BZ257" s="2629"/>
      <c r="CA257" s="2629"/>
      <c r="CB257" s="2629"/>
      <c r="CC257" s="2629"/>
      <c r="CD257" s="2629"/>
      <c r="CE257" s="2629"/>
      <c r="CF257" s="2629"/>
    </row>
    <row r="258" spans="1:84" s="98" customFormat="1" ht="15" customHeight="1" thickBot="1">
      <c r="A258" s="99"/>
      <c r="B258" s="2689" t="s">
        <v>1701</v>
      </c>
      <c r="C258" s="193"/>
      <c r="D258" s="193"/>
      <c r="E258" s="193"/>
      <c r="F258" s="193"/>
      <c r="G258" s="194"/>
      <c r="H258" s="194"/>
      <c r="I258" s="2503"/>
      <c r="J258" s="2503"/>
      <c r="K258" s="2503"/>
      <c r="L258" s="2503"/>
      <c r="M258" s="2503"/>
      <c r="N258" s="2503"/>
      <c r="O258" s="2503"/>
      <c r="P258" s="2503"/>
      <c r="Q258" s="2503"/>
      <c r="R258" s="2503"/>
      <c r="S258" s="2503"/>
      <c r="T258" s="2503"/>
      <c r="U258" s="2503"/>
      <c r="V258" s="2503"/>
      <c r="W258" s="2629"/>
      <c r="X258" s="2503"/>
      <c r="Y258" s="2503"/>
      <c r="Z258" s="2503"/>
      <c r="AA258" s="2503"/>
      <c r="AB258" s="2503"/>
      <c r="AC258" s="2503"/>
      <c r="AD258" s="2503"/>
      <c r="AE258" s="2503"/>
      <c r="AF258" s="2503"/>
      <c r="AG258" s="2503"/>
      <c r="AH258" s="2503"/>
      <c r="AI258" s="2503"/>
      <c r="AJ258" s="2503"/>
      <c r="AK258" s="2503"/>
      <c r="AL258" s="2629"/>
      <c r="AM258" s="1083" t="s">
        <v>2233</v>
      </c>
      <c r="AN258" s="701">
        <f>SUM(AN200,AN206,AN212,AN217,AN229,AN232,AN244,AN256)</f>
        <v>-5.6039999999999992</v>
      </c>
      <c r="AO258" s="702">
        <f t="shared" ref="AO258:AZ258" si="76">SUM(AO200,AO206,AO212,AO217,AO229,AO232,AO244,AO256)</f>
        <v>-2.2840000000000003</v>
      </c>
      <c r="AP258" s="702">
        <f t="shared" si="76"/>
        <v>-6.9544999999999995</v>
      </c>
      <c r="AQ258" s="702">
        <f t="shared" si="76"/>
        <v>-1.6490000000000002</v>
      </c>
      <c r="AR258" s="702">
        <f t="shared" si="76"/>
        <v>-0.95300000000000007</v>
      </c>
      <c r="AS258" s="702">
        <f t="shared" si="76"/>
        <v>-1.8070000000000002</v>
      </c>
      <c r="AT258" s="702">
        <f t="shared" si="76"/>
        <v>-1.5000000000000004</v>
      </c>
      <c r="AU258" s="703">
        <f t="shared" si="76"/>
        <v>-1.5003510081439091</v>
      </c>
      <c r="AV258" s="701">
        <f t="shared" si="76"/>
        <v>-3.4686140779211527</v>
      </c>
      <c r="AW258" s="702">
        <f t="shared" si="76"/>
        <v>-3.4686140779211527</v>
      </c>
      <c r="AX258" s="702">
        <f t="shared" si="76"/>
        <v>-3.4686140779211527</v>
      </c>
      <c r="AY258" s="702">
        <f t="shared" si="76"/>
        <v>-3.4686140779211527</v>
      </c>
      <c r="AZ258" s="703">
        <f t="shared" si="76"/>
        <v>-3.4686140779211527</v>
      </c>
      <c r="BA258" s="2630"/>
      <c r="BB258" s="1081" t="s">
        <v>2233</v>
      </c>
      <c r="BC258" s="702">
        <f t="shared" ref="BC258:BG258" si="77">SUM(BC200,BC206,BC212,BC217,BC229,BC232,BC244,BC256)</f>
        <v>4.6506011995290359</v>
      </c>
      <c r="BD258" s="1081" t="s">
        <v>2233</v>
      </c>
      <c r="BE258" s="702">
        <f t="shared" si="77"/>
        <v>6.1596106702179449</v>
      </c>
      <c r="BF258" s="1081" t="s">
        <v>2233</v>
      </c>
      <c r="BG258" s="702">
        <f t="shared" si="77"/>
        <v>11.441639138396928</v>
      </c>
      <c r="BH258" s="2630"/>
      <c r="BI258" s="2630"/>
      <c r="BJ258" s="2630"/>
      <c r="BK258" s="2629"/>
      <c r="BL258" s="2629"/>
      <c r="BM258" s="2629"/>
      <c r="BN258" s="2629"/>
      <c r="BO258" s="2629"/>
      <c r="BP258" s="2629"/>
      <c r="BQ258" s="1081" t="s">
        <v>2233</v>
      </c>
      <c r="BR258" s="702">
        <f t="shared" ref="BR258:BV258" si="78">SUM(BR200,BR206,BR212,BR217,BR229,BR232,BR244,BR256)</f>
        <v>4.4060116172079411</v>
      </c>
      <c r="BS258" s="1081" t="s">
        <v>2233</v>
      </c>
      <c r="BT258" s="702">
        <f t="shared" si="78"/>
        <v>6.6318076233923726</v>
      </c>
      <c r="BU258" s="1081" t="s">
        <v>2233</v>
      </c>
      <c r="BV258" s="702">
        <f t="shared" si="78"/>
        <v>6.305251149005449</v>
      </c>
      <c r="BW258" s="2630"/>
      <c r="BX258" s="2651"/>
      <c r="BY258" s="2629"/>
      <c r="BZ258" s="2629"/>
      <c r="CA258" s="2629"/>
      <c r="CB258" s="2629"/>
      <c r="CC258" s="2629"/>
      <c r="CD258" s="2629"/>
      <c r="CE258" s="2629"/>
      <c r="CF258" s="2629"/>
    </row>
    <row r="259" spans="1:84" s="99" customFormat="1" ht="15" customHeight="1" thickBot="1">
      <c r="B259" s="2648"/>
      <c r="C259" s="2648"/>
      <c r="D259" s="2648"/>
      <c r="E259" s="2648"/>
      <c r="F259" s="2648"/>
      <c r="G259" s="542"/>
      <c r="H259" s="542"/>
      <c r="I259" s="2656"/>
      <c r="J259" s="2656"/>
      <c r="K259" s="2656"/>
      <c r="L259" s="2656"/>
      <c r="M259" s="2656"/>
      <c r="N259" s="2656"/>
      <c r="O259" s="2656"/>
      <c r="P259" s="2656"/>
      <c r="Q259" s="2656"/>
      <c r="R259" s="2656"/>
      <c r="S259" s="2656"/>
      <c r="T259" s="2656"/>
      <c r="U259" s="2656"/>
      <c r="V259" s="2656"/>
      <c r="W259" s="2656"/>
      <c r="X259" s="2656"/>
      <c r="Y259" s="2656"/>
      <c r="Z259" s="2656"/>
      <c r="AA259" s="2656"/>
      <c r="AB259" s="2656"/>
      <c r="AC259" s="2656"/>
      <c r="AD259" s="2656"/>
      <c r="AE259" s="2656"/>
      <c r="AF259" s="2656"/>
      <c r="AG259" s="2656"/>
      <c r="AH259" s="2656"/>
      <c r="AI259" s="2656"/>
      <c r="AJ259" s="2656"/>
      <c r="AK259" s="2656"/>
      <c r="AL259" s="2661"/>
      <c r="AM259" s="2629"/>
      <c r="AN259" s="2629"/>
      <c r="AO259" s="2629"/>
      <c r="AP259" s="2629"/>
      <c r="AQ259" s="2629"/>
      <c r="AR259" s="2629"/>
      <c r="AS259" s="2629"/>
      <c r="AT259" s="2629"/>
      <c r="AU259" s="2629"/>
      <c r="AV259" s="2629"/>
      <c r="AW259" s="2629"/>
      <c r="AX259" s="2629"/>
      <c r="AY259" s="2629"/>
      <c r="AZ259" s="2629"/>
      <c r="BA259" s="2631"/>
      <c r="BB259" s="359"/>
      <c r="BC259" s="542"/>
      <c r="BD259" s="100"/>
      <c r="BE259" s="100"/>
      <c r="BF259" s="100"/>
      <c r="BG259" s="100"/>
      <c r="BH259" s="100"/>
      <c r="BI259" s="100"/>
      <c r="BJ259" s="100"/>
      <c r="BK259" s="103"/>
      <c r="BL259" s="103"/>
      <c r="BM259" s="103"/>
      <c r="BN259" s="103"/>
      <c r="BO259" s="103"/>
      <c r="BP259" s="103"/>
      <c r="BQ259" s="103"/>
      <c r="BR259" s="103"/>
      <c r="BS259" s="103"/>
      <c r="BT259" s="2631"/>
      <c r="BU259" s="2631"/>
      <c r="BV259" s="2631"/>
      <c r="BW259" s="2631"/>
      <c r="BX259" s="2631"/>
      <c r="BY259" s="2631"/>
      <c r="BZ259" s="2631"/>
      <c r="CA259" s="2631"/>
      <c r="CB259" s="2631"/>
      <c r="CC259" s="2631"/>
      <c r="CD259" s="2631"/>
      <c r="CE259" s="2631"/>
      <c r="CF259" s="2631"/>
    </row>
    <row r="260" spans="1:84" s="100" customFormat="1" ht="30" customHeight="1" thickBot="1">
      <c r="A260" s="89"/>
      <c r="B260" s="621" t="s">
        <v>2777</v>
      </c>
      <c r="C260" s="101"/>
      <c r="D260" s="102"/>
      <c r="E260" s="102"/>
      <c r="F260" s="102"/>
      <c r="G260" s="103"/>
      <c r="H260" s="103"/>
      <c r="I260" s="1689"/>
      <c r="J260" s="1689"/>
      <c r="K260" s="1689"/>
      <c r="L260" s="1689"/>
      <c r="M260" s="1689"/>
      <c r="N260" s="1689"/>
      <c r="O260" s="1689"/>
      <c r="P260" s="1689"/>
      <c r="Q260" s="1689"/>
      <c r="R260" s="1689"/>
      <c r="S260" s="1689"/>
      <c r="T260" s="1689"/>
      <c r="U260" s="1689"/>
      <c r="V260" s="1689"/>
      <c r="W260" s="103"/>
      <c r="X260" s="1689"/>
      <c r="Y260" s="1689"/>
      <c r="Z260" s="1689"/>
      <c r="AA260" s="1689"/>
      <c r="AB260" s="1689"/>
      <c r="AC260" s="1689"/>
      <c r="AD260" s="1689"/>
      <c r="AE260" s="1689"/>
      <c r="AF260" s="1689"/>
      <c r="AG260" s="1689"/>
      <c r="AH260" s="1689"/>
      <c r="AI260" s="1689"/>
      <c r="AJ260" s="1689"/>
      <c r="AK260" s="1689"/>
      <c r="AL260" s="1354"/>
      <c r="AM260" s="105" t="s">
        <v>2231</v>
      </c>
      <c r="AN260" s="106"/>
      <c r="AO260" s="106"/>
      <c r="AP260" s="106"/>
      <c r="AQ260" s="106"/>
      <c r="AR260" s="106"/>
      <c r="AS260" s="106"/>
      <c r="AT260" s="106"/>
      <c r="AU260" s="106"/>
      <c r="AV260" s="105"/>
      <c r="AW260" s="105"/>
      <c r="AX260" s="105"/>
      <c r="AY260" s="105"/>
      <c r="AZ260" s="187"/>
    </row>
    <row r="261" spans="1:84" s="157" customFormat="1" ht="30" customHeight="1">
      <c r="A261" s="99"/>
      <c r="B261" s="109"/>
      <c r="C261" s="2683"/>
      <c r="D261" s="2683"/>
      <c r="E261" s="2683"/>
      <c r="F261" s="2683"/>
      <c r="G261" s="113"/>
      <c r="H261" s="113"/>
      <c r="I261" s="2502"/>
      <c r="J261" s="2502"/>
      <c r="K261" s="2502"/>
      <c r="L261" s="2502"/>
      <c r="M261" s="2502"/>
      <c r="N261" s="2502"/>
      <c r="O261" s="2502"/>
      <c r="P261" s="2502"/>
      <c r="Q261" s="2502"/>
      <c r="R261" s="2502"/>
      <c r="S261" s="2502"/>
      <c r="T261" s="2502"/>
      <c r="U261" s="2502"/>
      <c r="V261" s="2502"/>
      <c r="W261" s="2632"/>
      <c r="X261" s="2502"/>
      <c r="Y261" s="2502"/>
      <c r="Z261" s="2502"/>
      <c r="AA261" s="2502"/>
      <c r="AB261" s="2502"/>
      <c r="AC261" s="2502"/>
      <c r="AD261" s="2502"/>
      <c r="AE261" s="2502"/>
      <c r="AF261" s="2502"/>
      <c r="AG261" s="2502"/>
      <c r="AH261" s="2502"/>
      <c r="AI261" s="2502"/>
      <c r="AJ261" s="2502"/>
      <c r="AK261" s="2502"/>
      <c r="AL261" s="2632"/>
      <c r="AM261" s="94"/>
      <c r="AN261" s="695" t="s">
        <v>1666</v>
      </c>
      <c r="AO261" s="152"/>
      <c r="AP261" s="152"/>
      <c r="AQ261" s="152"/>
      <c r="AR261" s="152"/>
      <c r="AS261" s="152"/>
      <c r="AT261" s="152"/>
      <c r="AU261" s="153"/>
      <c r="AV261" s="696" t="s">
        <v>2</v>
      </c>
      <c r="AW261" s="155"/>
      <c r="AX261" s="155"/>
      <c r="AY261" s="155"/>
      <c r="AZ261" s="156"/>
      <c r="BA261" s="2632"/>
      <c r="BB261" s="2632"/>
      <c r="BC261" s="2632"/>
      <c r="BD261" s="2632"/>
      <c r="BE261" s="2632"/>
      <c r="BF261" s="2632"/>
      <c r="BG261" s="2632"/>
      <c r="BH261" s="2632"/>
      <c r="BI261" s="2632"/>
      <c r="BJ261" s="2632"/>
      <c r="BK261" s="2632"/>
      <c r="BL261" s="2632"/>
      <c r="BM261" s="2632"/>
      <c r="BN261" s="2632"/>
      <c r="BO261" s="2632"/>
      <c r="BP261" s="2632"/>
      <c r="BQ261" s="2632"/>
      <c r="BR261" s="2632"/>
      <c r="BS261" s="2632"/>
      <c r="BT261" s="2632"/>
      <c r="BU261" s="2632"/>
      <c r="BV261" s="2632"/>
      <c r="BW261" s="2632"/>
      <c r="BX261" s="2632"/>
      <c r="BY261" s="2632"/>
      <c r="BZ261" s="2632"/>
      <c r="CA261" s="2632"/>
      <c r="CB261" s="2632"/>
      <c r="CC261" s="2632"/>
      <c r="CD261" s="2632"/>
      <c r="CE261" s="2632"/>
      <c r="CF261" s="2632"/>
    </row>
    <row r="262" spans="1:84" s="98" customFormat="1" ht="15" customHeight="1">
      <c r="A262" s="99"/>
      <c r="B262" s="115"/>
      <c r="C262" s="2685"/>
      <c r="D262" s="2685"/>
      <c r="E262" s="2685"/>
      <c r="F262" s="2685"/>
      <c r="G262" s="94"/>
      <c r="H262" s="94"/>
      <c r="I262" s="2503"/>
      <c r="J262" s="2503"/>
      <c r="K262" s="2503"/>
      <c r="L262" s="2503"/>
      <c r="M262" s="2503"/>
      <c r="N262" s="2503"/>
      <c r="O262" s="2503"/>
      <c r="P262" s="2503"/>
      <c r="Q262" s="2503"/>
      <c r="R262" s="2503"/>
      <c r="S262" s="2503"/>
      <c r="T262" s="2503"/>
      <c r="U262" s="2503"/>
      <c r="V262" s="2503"/>
      <c r="W262" s="2629"/>
      <c r="X262" s="2503"/>
      <c r="Y262" s="2503"/>
      <c r="Z262" s="2503"/>
      <c r="AA262" s="2503"/>
      <c r="AB262" s="2503"/>
      <c r="AC262" s="2503"/>
      <c r="AD262" s="2503"/>
      <c r="AE262" s="2503"/>
      <c r="AF262" s="2503"/>
      <c r="AG262" s="2503"/>
      <c r="AH262" s="2503"/>
      <c r="AI262" s="2503"/>
      <c r="AJ262" s="2503"/>
      <c r="AK262" s="2503"/>
      <c r="AL262" s="2629"/>
      <c r="AM262" s="119" t="s">
        <v>1667</v>
      </c>
      <c r="AN262" s="158" t="s">
        <v>453</v>
      </c>
      <c r="AO262" s="137" t="s">
        <v>455</v>
      </c>
      <c r="AP262" s="137" t="s">
        <v>457</v>
      </c>
      <c r="AQ262" s="137" t="s">
        <v>459</v>
      </c>
      <c r="AR262" s="137" t="s">
        <v>461</v>
      </c>
      <c r="AS262" s="137" t="s">
        <v>463</v>
      </c>
      <c r="AT262" s="137" t="s">
        <v>465</v>
      </c>
      <c r="AU262" s="138" t="s">
        <v>467</v>
      </c>
      <c r="AV262" s="120" t="s">
        <v>469</v>
      </c>
      <c r="AW262" s="121" t="s">
        <v>471</v>
      </c>
      <c r="AX262" s="121" t="s">
        <v>473</v>
      </c>
      <c r="AY262" s="121" t="s">
        <v>475</v>
      </c>
      <c r="AZ262" s="122" t="s">
        <v>477</v>
      </c>
      <c r="BA262" s="2629"/>
      <c r="BB262" s="2629"/>
      <c r="BC262" s="2629"/>
      <c r="BD262" s="2629"/>
      <c r="BE262" s="2629"/>
      <c r="BF262" s="2629"/>
      <c r="BG262" s="2629"/>
      <c r="BH262" s="2629"/>
      <c r="BI262" s="2629"/>
      <c r="BJ262" s="2629"/>
      <c r="BK262" s="2629"/>
      <c r="BL262" s="2629"/>
      <c r="BM262" s="2629"/>
      <c r="BN262" s="2629"/>
      <c r="BO262" s="2629"/>
      <c r="BP262" s="2629"/>
      <c r="BQ262" s="2629"/>
      <c r="BR262" s="2629"/>
      <c r="BS262" s="2629"/>
      <c r="BT262" s="2629"/>
      <c r="BU262" s="2629"/>
      <c r="BV262" s="2629"/>
      <c r="BW262" s="2629"/>
      <c r="BX262" s="2629"/>
      <c r="BY262" s="2629"/>
      <c r="BZ262" s="2629"/>
      <c r="CA262" s="2629"/>
      <c r="CB262" s="2629"/>
      <c r="CC262" s="2629"/>
      <c r="CD262" s="2629"/>
      <c r="CE262" s="2629"/>
      <c r="CF262" s="2629"/>
    </row>
    <row r="263" spans="1:84" s="98" customFormat="1" ht="15" customHeight="1">
      <c r="A263" s="99"/>
      <c r="B263" s="2687"/>
      <c r="C263" s="2685" t="s">
        <v>1682</v>
      </c>
      <c r="D263" s="2685"/>
      <c r="E263" s="2685"/>
      <c r="F263" s="2685"/>
      <c r="G263" s="94"/>
      <c r="H263" s="94"/>
      <c r="I263" s="2503"/>
      <c r="J263" s="2503"/>
      <c r="K263" s="2503"/>
      <c r="L263" s="2503"/>
      <c r="M263" s="2503"/>
      <c r="N263" s="2503"/>
      <c r="O263" s="2503"/>
      <c r="P263" s="2503"/>
      <c r="Q263" s="2503"/>
      <c r="R263" s="2503"/>
      <c r="S263" s="2503"/>
      <c r="T263" s="2503"/>
      <c r="U263" s="2503"/>
      <c r="V263" s="2503"/>
      <c r="W263" s="2629"/>
      <c r="X263" s="2503"/>
      <c r="Y263" s="2503"/>
      <c r="Z263" s="2503"/>
      <c r="AA263" s="2503"/>
      <c r="AB263" s="2503"/>
      <c r="AC263" s="2503"/>
      <c r="AD263" s="2503"/>
      <c r="AE263" s="2503"/>
      <c r="AF263" s="2503"/>
      <c r="AG263" s="2503"/>
      <c r="AH263" s="2503"/>
      <c r="AI263" s="2503"/>
      <c r="AJ263" s="2503"/>
      <c r="AK263" s="2503"/>
      <c r="AL263" s="2629"/>
      <c r="AM263" s="94"/>
      <c r="AN263" s="159"/>
      <c r="AO263" s="94"/>
      <c r="AP263" s="94"/>
      <c r="AQ263" s="94"/>
      <c r="AR263" s="94"/>
      <c r="AS263" s="94"/>
      <c r="AT263" s="94"/>
      <c r="AU263" s="160"/>
      <c r="AV263" s="159"/>
      <c r="AW263" s="94"/>
      <c r="AX263" s="94"/>
      <c r="AY263" s="94"/>
      <c r="AZ263" s="160"/>
      <c r="BA263" s="2629"/>
      <c r="BB263" s="2629"/>
      <c r="BC263" s="2629"/>
      <c r="BD263" s="2629"/>
      <c r="BE263" s="2629"/>
      <c r="BF263" s="2629"/>
      <c r="BG263" s="2629"/>
      <c r="BH263" s="2629"/>
      <c r="BI263" s="2629"/>
      <c r="BJ263" s="2629"/>
      <c r="BK263" s="2629"/>
      <c r="BL263" s="2629"/>
      <c r="BM263" s="2629"/>
      <c r="BN263" s="2629"/>
      <c r="BO263" s="2629"/>
      <c r="BP263" s="2629"/>
      <c r="BQ263" s="2629"/>
      <c r="BR263" s="2629"/>
      <c r="BS263" s="2629"/>
      <c r="BT263" s="2629"/>
      <c r="BU263" s="2629"/>
      <c r="BV263" s="2629"/>
      <c r="BW263" s="2629"/>
      <c r="BX263" s="2629"/>
      <c r="BY263" s="2629"/>
      <c r="BZ263" s="2629"/>
      <c r="CA263" s="2629"/>
      <c r="CB263" s="2629"/>
      <c r="CC263" s="2629"/>
      <c r="CD263" s="2629"/>
      <c r="CE263" s="2629"/>
      <c r="CF263" s="2629"/>
    </row>
    <row r="264" spans="1:84" s="98" customFormat="1" ht="15" customHeight="1">
      <c r="A264" s="99"/>
      <c r="B264" s="2687"/>
      <c r="C264" s="2688"/>
      <c r="D264" s="2688" t="s">
        <v>2716</v>
      </c>
      <c r="E264" s="2688"/>
      <c r="F264" s="2688"/>
      <c r="G264" s="2645"/>
      <c r="H264" s="2645"/>
      <c r="I264" s="2503"/>
      <c r="J264" s="2503"/>
      <c r="K264" s="2503"/>
      <c r="L264" s="2503"/>
      <c r="M264" s="2503"/>
      <c r="N264" s="2503"/>
      <c r="O264" s="2503"/>
      <c r="P264" s="2503"/>
      <c r="Q264" s="2503"/>
      <c r="R264" s="2503"/>
      <c r="S264" s="2503"/>
      <c r="T264" s="2503"/>
      <c r="U264" s="2503"/>
      <c r="V264" s="2503"/>
      <c r="W264" s="2629"/>
      <c r="X264" s="2503"/>
      <c r="Y264" s="2503"/>
      <c r="Z264" s="2503"/>
      <c r="AA264" s="2503"/>
      <c r="AB264" s="2503"/>
      <c r="AC264" s="2503"/>
      <c r="AD264" s="2503"/>
      <c r="AE264" s="2503"/>
      <c r="AF264" s="2503"/>
      <c r="AG264" s="2503"/>
      <c r="AH264" s="2503"/>
      <c r="AI264" s="2503"/>
      <c r="AJ264" s="2503"/>
      <c r="AK264" s="2503"/>
      <c r="AL264" s="2629"/>
      <c r="AM264" s="607" t="s">
        <v>2233</v>
      </c>
      <c r="AN264" s="143">
        <v>-0.23200000000000001</v>
      </c>
      <c r="AO264" s="141">
        <v>-0.14300000000000002</v>
      </c>
      <c r="AP264" s="141">
        <v>-4.7E-2</v>
      </c>
      <c r="AQ264" s="141">
        <v>-5.0000000000000001E-3</v>
      </c>
      <c r="AR264" s="141">
        <v>-0.41400000000000003</v>
      </c>
      <c r="AS264" s="141">
        <v>-1.7000000000000001E-2</v>
      </c>
      <c r="AT264" s="141">
        <v>-0.60930376447024004</v>
      </c>
      <c r="AU264" s="144">
        <v>-0.61944637362600374</v>
      </c>
      <c r="AV264" s="143">
        <v>-2.2827601366295056</v>
      </c>
      <c r="AW264" s="141">
        <v>-2.2827601366295056</v>
      </c>
      <c r="AX264" s="141">
        <v>-2.2827601366295056</v>
      </c>
      <c r="AY264" s="141">
        <v>-2.2827601366295056</v>
      </c>
      <c r="AZ264" s="144">
        <v>-2.2827601366295056</v>
      </c>
      <c r="BA264" s="2629"/>
      <c r="BB264" s="2629"/>
      <c r="BC264" s="2629"/>
      <c r="BD264" s="2629"/>
      <c r="BE264" s="2629"/>
      <c r="BF264" s="2629"/>
      <c r="BG264" s="2629"/>
      <c r="BH264" s="2629"/>
      <c r="BI264" s="2629"/>
      <c r="BJ264" s="2629"/>
      <c r="BK264" s="2629"/>
      <c r="BL264" s="2629"/>
      <c r="BM264" s="2629"/>
      <c r="BN264" s="2629"/>
      <c r="BO264" s="2629"/>
      <c r="BP264" s="2629"/>
      <c r="BQ264" s="2629"/>
      <c r="BR264" s="2629"/>
      <c r="BS264" s="2629"/>
      <c r="BT264" s="2629"/>
      <c r="BU264" s="2629"/>
      <c r="BV264" s="2629"/>
      <c r="BW264" s="2629"/>
      <c r="BX264" s="2629"/>
      <c r="BY264" s="2629"/>
      <c r="BZ264" s="2629"/>
      <c r="CA264" s="2629"/>
      <c r="CB264" s="2629"/>
      <c r="CC264" s="2629"/>
      <c r="CD264" s="2629"/>
      <c r="CE264" s="2629"/>
      <c r="CF264" s="2629"/>
    </row>
    <row r="265" spans="1:84" s="98" customFormat="1" ht="15" customHeight="1">
      <c r="A265" s="99"/>
      <c r="B265" s="2687"/>
      <c r="C265" s="2688"/>
      <c r="D265" s="2688" t="s">
        <v>2717</v>
      </c>
      <c r="E265" s="2688"/>
      <c r="F265" s="2688"/>
      <c r="G265" s="2645"/>
      <c r="H265" s="2645"/>
      <c r="I265" s="2503"/>
      <c r="J265" s="2503"/>
      <c r="K265" s="2503"/>
      <c r="L265" s="2503"/>
      <c r="M265" s="2503"/>
      <c r="N265" s="2503"/>
      <c r="O265" s="2503"/>
      <c r="P265" s="2503"/>
      <c r="Q265" s="2503"/>
      <c r="R265" s="2503"/>
      <c r="S265" s="2503"/>
      <c r="T265" s="2503"/>
      <c r="U265" s="2503"/>
      <c r="V265" s="2503"/>
      <c r="W265" s="2629"/>
      <c r="X265" s="2503"/>
      <c r="Y265" s="2503"/>
      <c r="Z265" s="2503"/>
      <c r="AA265" s="2503"/>
      <c r="AB265" s="2503"/>
      <c r="AC265" s="2503"/>
      <c r="AD265" s="2503"/>
      <c r="AE265" s="2503"/>
      <c r="AF265" s="2503"/>
      <c r="AG265" s="2503"/>
      <c r="AH265" s="2503"/>
      <c r="AI265" s="2503"/>
      <c r="AJ265" s="2503"/>
      <c r="AK265" s="2503"/>
      <c r="AL265" s="2629"/>
      <c r="AM265" s="607" t="s">
        <v>2233</v>
      </c>
      <c r="AN265" s="143">
        <v>-0.86399999999999999</v>
      </c>
      <c r="AO265" s="141">
        <v>-0.96400000000000008</v>
      </c>
      <c r="AP265" s="141">
        <v>-0.29900000000000004</v>
      </c>
      <c r="AQ265" s="141">
        <v>-0.33000000000000007</v>
      </c>
      <c r="AR265" s="141">
        <v>-0.57100000000000006</v>
      </c>
      <c r="AS265" s="141">
        <v>-0.55600000000000016</v>
      </c>
      <c r="AT265" s="141">
        <v>-0.37721505900346686</v>
      </c>
      <c r="AU265" s="144">
        <v>-0.37086823830550875</v>
      </c>
      <c r="AV265" s="143">
        <v>-1.2894331397967318</v>
      </c>
      <c r="AW265" s="141">
        <v>-1.2894331397967318</v>
      </c>
      <c r="AX265" s="141">
        <v>-1.2894331397967318</v>
      </c>
      <c r="AY265" s="141">
        <v>-1.2894331397967318</v>
      </c>
      <c r="AZ265" s="144">
        <v>-1.2894331397967318</v>
      </c>
      <c r="BA265" s="2629"/>
      <c r="BB265" s="2629"/>
      <c r="BC265" s="2629"/>
      <c r="BD265" s="2629"/>
      <c r="BE265" s="2629"/>
      <c r="BF265" s="2629"/>
      <c r="BG265" s="2629"/>
      <c r="BH265" s="2629"/>
      <c r="BI265" s="2629"/>
      <c r="BJ265" s="2629"/>
      <c r="BK265" s="2629"/>
      <c r="BL265" s="2629"/>
      <c r="BM265" s="2629"/>
      <c r="BN265" s="2629"/>
      <c r="BO265" s="2629"/>
      <c r="BP265" s="2629"/>
      <c r="BQ265" s="2629"/>
      <c r="BR265" s="2629"/>
      <c r="BS265" s="2629"/>
      <c r="BT265" s="2629"/>
      <c r="BU265" s="2629"/>
      <c r="BV265" s="2629"/>
      <c r="BW265" s="2629"/>
      <c r="BX265" s="2629"/>
      <c r="BY265" s="2629"/>
      <c r="BZ265" s="2629"/>
      <c r="CA265" s="2629"/>
      <c r="CB265" s="2629"/>
      <c r="CC265" s="2629"/>
      <c r="CD265" s="2629"/>
      <c r="CE265" s="2629"/>
      <c r="CF265" s="2629"/>
    </row>
    <row r="266" spans="1:84" s="98" customFormat="1" ht="15" customHeight="1">
      <c r="A266" s="99"/>
      <c r="B266" s="2687"/>
      <c r="C266" s="2688"/>
      <c r="D266" s="2688" t="s">
        <v>2718</v>
      </c>
      <c r="E266" s="2688"/>
      <c r="F266" s="2688"/>
      <c r="G266" s="2645"/>
      <c r="H266" s="2645"/>
      <c r="I266" s="2503"/>
      <c r="J266" s="2503"/>
      <c r="K266" s="2503"/>
      <c r="L266" s="2503"/>
      <c r="M266" s="2503"/>
      <c r="N266" s="2503"/>
      <c r="O266" s="2503"/>
      <c r="P266" s="2503"/>
      <c r="Q266" s="2503"/>
      <c r="R266" s="2503"/>
      <c r="S266" s="2503"/>
      <c r="T266" s="2503"/>
      <c r="U266" s="2503"/>
      <c r="V266" s="2503"/>
      <c r="W266" s="2629"/>
      <c r="X266" s="2503"/>
      <c r="Y266" s="2503"/>
      <c r="Z266" s="2503"/>
      <c r="AA266" s="2503"/>
      <c r="AB266" s="2503"/>
      <c r="AC266" s="2503"/>
      <c r="AD266" s="2503"/>
      <c r="AE266" s="2503"/>
      <c r="AF266" s="2503"/>
      <c r="AG266" s="2503"/>
      <c r="AH266" s="2503"/>
      <c r="AI266" s="2503"/>
      <c r="AJ266" s="2503"/>
      <c r="AK266" s="2503"/>
      <c r="AL266" s="2629"/>
      <c r="AM266" s="607" t="s">
        <v>2233</v>
      </c>
      <c r="AN266" s="143">
        <v>-0.33300000000000002</v>
      </c>
      <c r="AO266" s="141">
        <v>-0.56800000000000006</v>
      </c>
      <c r="AP266" s="141">
        <v>-1.5724999999999998</v>
      </c>
      <c r="AQ266" s="141">
        <v>-0.35600000000000004</v>
      </c>
      <c r="AR266" s="141">
        <v>-0.38400000000000001</v>
      </c>
      <c r="AS266" s="141">
        <v>-1.0020000000000002</v>
      </c>
      <c r="AT266" s="141">
        <v>-0.83524709178181566</v>
      </c>
      <c r="AU266" s="144">
        <v>-0.83487887273983663</v>
      </c>
      <c r="AV266" s="143">
        <v>-3.2592697460322788</v>
      </c>
      <c r="AW266" s="141">
        <v>-3.2592697460322788</v>
      </c>
      <c r="AX266" s="141">
        <v>-3.2592697460322788</v>
      </c>
      <c r="AY266" s="141">
        <v>-3.2592697460322788</v>
      </c>
      <c r="AZ266" s="144">
        <v>-3.2592697460322788</v>
      </c>
      <c r="BA266" s="2629"/>
      <c r="BB266" s="2629"/>
      <c r="BC266" s="2629"/>
      <c r="BD266" s="2629"/>
      <c r="BE266" s="2629"/>
      <c r="BF266" s="2629"/>
      <c r="BG266" s="2629"/>
      <c r="BH266" s="2629"/>
      <c r="BI266" s="2629"/>
      <c r="BJ266" s="2629"/>
      <c r="BK266" s="2629"/>
      <c r="BL266" s="2629"/>
      <c r="BM266" s="2629"/>
      <c r="BN266" s="2629"/>
      <c r="BO266" s="2629"/>
      <c r="BP266" s="2629"/>
      <c r="BQ266" s="2629"/>
      <c r="BR266" s="2629"/>
      <c r="BS266" s="2629"/>
      <c r="BT266" s="2629"/>
      <c r="BU266" s="2629"/>
      <c r="BV266" s="2629"/>
      <c r="BW266" s="2629"/>
      <c r="BX266" s="2629"/>
      <c r="BY266" s="2629"/>
      <c r="BZ266" s="2629"/>
      <c r="CA266" s="2629"/>
      <c r="CB266" s="2629"/>
      <c r="CC266" s="2629"/>
      <c r="CD266" s="2629"/>
      <c r="CE266" s="2629"/>
      <c r="CF266" s="2629"/>
    </row>
    <row r="267" spans="1:84" s="98" customFormat="1" ht="15" customHeight="1">
      <c r="A267" s="99"/>
      <c r="B267" s="2687"/>
      <c r="C267" s="2688"/>
      <c r="D267" s="2688" t="s">
        <v>2719</v>
      </c>
      <c r="E267" s="2688"/>
      <c r="F267" s="2688"/>
      <c r="G267" s="2645"/>
      <c r="H267" s="2645"/>
      <c r="I267" s="2503"/>
      <c r="J267" s="2503"/>
      <c r="K267" s="2503"/>
      <c r="L267" s="2503"/>
      <c r="M267" s="2503"/>
      <c r="N267" s="2503"/>
      <c r="O267" s="2503"/>
      <c r="P267" s="2503"/>
      <c r="Q267" s="2503"/>
      <c r="R267" s="2503"/>
      <c r="S267" s="2503"/>
      <c r="T267" s="2503"/>
      <c r="U267" s="2503"/>
      <c r="V267" s="2503"/>
      <c r="W267" s="2629"/>
      <c r="X267" s="2503"/>
      <c r="Y267" s="2503"/>
      <c r="Z267" s="2503"/>
      <c r="AA267" s="2503"/>
      <c r="AB267" s="2503"/>
      <c r="AC267" s="2503"/>
      <c r="AD267" s="2503"/>
      <c r="AE267" s="2503"/>
      <c r="AF267" s="2503"/>
      <c r="AG267" s="2503"/>
      <c r="AH267" s="2503"/>
      <c r="AI267" s="2503"/>
      <c r="AJ267" s="2503"/>
      <c r="AK267" s="2503"/>
      <c r="AL267" s="2629"/>
      <c r="AM267" s="607" t="s">
        <v>2233</v>
      </c>
      <c r="AN267" s="143">
        <v>-0.37101000000000001</v>
      </c>
      <c r="AO267" s="141">
        <v>-0.38799999999999996</v>
      </c>
      <c r="AP267" s="141">
        <v>-0.998</v>
      </c>
      <c r="AQ267" s="141">
        <v>-1.1589999999999998</v>
      </c>
      <c r="AR267" s="141">
        <v>-0.64100000000000001</v>
      </c>
      <c r="AS267" s="141">
        <v>-0.67200000000000004</v>
      </c>
      <c r="AT267" s="141">
        <v>-0.27823408474447753</v>
      </c>
      <c r="AU267" s="144">
        <v>-0.27480651532865108</v>
      </c>
      <c r="AV267" s="143">
        <v>-1.0830217318627153</v>
      </c>
      <c r="AW267" s="141">
        <v>-1.0830217318627153</v>
      </c>
      <c r="AX267" s="141">
        <v>-1.0830217318627153</v>
      </c>
      <c r="AY267" s="141">
        <v>-1.0830217318627153</v>
      </c>
      <c r="AZ267" s="144">
        <v>-1.0830217318627153</v>
      </c>
      <c r="BA267" s="2629"/>
      <c r="BB267" s="2629"/>
      <c r="BC267" s="2629"/>
      <c r="BD267" s="2629"/>
      <c r="BE267" s="2629"/>
      <c r="BF267" s="2629"/>
      <c r="BG267" s="2629"/>
      <c r="BH267" s="2629"/>
      <c r="BI267" s="2629"/>
      <c r="BJ267" s="2629"/>
      <c r="BK267" s="2629"/>
      <c r="BL267" s="2629"/>
      <c r="BM267" s="2629"/>
      <c r="BN267" s="2629"/>
      <c r="BO267" s="2629"/>
      <c r="BP267" s="2629"/>
      <c r="BQ267" s="2629"/>
      <c r="BR267" s="2629"/>
      <c r="BS267" s="2629"/>
      <c r="BT267" s="2629"/>
      <c r="BU267" s="2629"/>
      <c r="BV267" s="2629"/>
      <c r="BW267" s="2629"/>
      <c r="BX267" s="2629"/>
      <c r="BY267" s="2629"/>
      <c r="BZ267" s="2629"/>
      <c r="CA267" s="2629"/>
      <c r="CB267" s="2629"/>
      <c r="CC267" s="2629"/>
      <c r="CD267" s="2629"/>
      <c r="CE267" s="2629"/>
      <c r="CF267" s="2629"/>
    </row>
    <row r="268" spans="1:84" s="98" customFormat="1" ht="15" customHeight="1">
      <c r="A268" s="99"/>
      <c r="B268" s="2687"/>
      <c r="C268" s="2688" t="s">
        <v>1710</v>
      </c>
      <c r="D268" s="2688"/>
      <c r="E268" s="2688"/>
      <c r="F268" s="2688"/>
      <c r="G268" s="2645"/>
      <c r="H268" s="2645"/>
      <c r="I268" s="2503"/>
      <c r="J268" s="2503"/>
      <c r="K268" s="2503"/>
      <c r="L268" s="2503"/>
      <c r="M268" s="2503"/>
      <c r="N268" s="2503"/>
      <c r="O268" s="2503"/>
      <c r="P268" s="2503"/>
      <c r="Q268" s="2503"/>
      <c r="R268" s="2503"/>
      <c r="S268" s="2503"/>
      <c r="T268" s="2503"/>
      <c r="U268" s="2503"/>
      <c r="V268" s="2503"/>
      <c r="W268" s="2629"/>
      <c r="X268" s="2503"/>
      <c r="Y268" s="2503"/>
      <c r="Z268" s="2503"/>
      <c r="AA268" s="2503"/>
      <c r="AB268" s="2503"/>
      <c r="AC268" s="2503"/>
      <c r="AD268" s="2503"/>
      <c r="AE268" s="2503"/>
      <c r="AF268" s="2503"/>
      <c r="AG268" s="2503"/>
      <c r="AH268" s="2503"/>
      <c r="AI268" s="2503"/>
      <c r="AJ268" s="2503"/>
      <c r="AK268" s="2503"/>
      <c r="AL268" s="2629"/>
      <c r="AM268" s="607" t="s">
        <v>2233</v>
      </c>
      <c r="AN268" s="641">
        <f>SUM(AN264:AN267)</f>
        <v>-1.8000100000000001</v>
      </c>
      <c r="AO268" s="642">
        <f t="shared" ref="AO268:AZ268" si="79">SUM(AO264:AO267)</f>
        <v>-2.0630000000000002</v>
      </c>
      <c r="AP268" s="642">
        <f t="shared" si="79"/>
        <v>-2.9165000000000001</v>
      </c>
      <c r="AQ268" s="642">
        <f t="shared" si="79"/>
        <v>-1.8499999999999999</v>
      </c>
      <c r="AR268" s="642">
        <f t="shared" si="79"/>
        <v>-2.0100000000000002</v>
      </c>
      <c r="AS268" s="642">
        <f t="shared" si="79"/>
        <v>-2.2470000000000003</v>
      </c>
      <c r="AT268" s="642">
        <f t="shared" si="79"/>
        <v>-2.1</v>
      </c>
      <c r="AU268" s="643">
        <f t="shared" si="79"/>
        <v>-2.1</v>
      </c>
      <c r="AV268" s="641">
        <f t="shared" si="79"/>
        <v>-7.9144847543212311</v>
      </c>
      <c r="AW268" s="642">
        <f t="shared" si="79"/>
        <v>-7.9144847543212311</v>
      </c>
      <c r="AX268" s="642">
        <f t="shared" si="79"/>
        <v>-7.9144847543212311</v>
      </c>
      <c r="AY268" s="642">
        <f t="shared" si="79"/>
        <v>-7.9144847543212311</v>
      </c>
      <c r="AZ268" s="643">
        <f t="shared" si="79"/>
        <v>-7.9144847543212311</v>
      </c>
      <c r="BA268" s="2629"/>
      <c r="BB268" s="2629"/>
      <c r="BC268" s="2629"/>
      <c r="BD268" s="2629"/>
      <c r="BE268" s="2629"/>
      <c r="BF268" s="2629"/>
      <c r="BG268" s="2629"/>
      <c r="BH268" s="2629"/>
      <c r="BI268" s="2629"/>
      <c r="BJ268" s="2629"/>
      <c r="BK268" s="2629"/>
      <c r="BL268" s="2629"/>
      <c r="BM268" s="2629"/>
      <c r="BN268" s="2629"/>
      <c r="BO268" s="2629"/>
      <c r="BP268" s="2629"/>
      <c r="BQ268" s="2629"/>
      <c r="BR268" s="2629"/>
      <c r="BS268" s="2629"/>
      <c r="BT268" s="2629"/>
      <c r="BU268" s="2629"/>
      <c r="BV268" s="2629"/>
      <c r="BW268" s="2629"/>
      <c r="BX268" s="2629"/>
      <c r="BY268" s="2629"/>
      <c r="BZ268" s="2629"/>
      <c r="CA268" s="2629"/>
      <c r="CB268" s="2629"/>
      <c r="CC268" s="2629"/>
      <c r="CD268" s="2629"/>
      <c r="CE268" s="2629"/>
      <c r="CF268" s="2629"/>
    </row>
    <row r="269" spans="1:84" s="98" customFormat="1" ht="15" customHeight="1">
      <c r="A269" s="99"/>
      <c r="B269" s="123"/>
      <c r="C269" s="2686"/>
      <c r="D269" s="2686"/>
      <c r="E269" s="2686"/>
      <c r="F269" s="2686"/>
      <c r="G269" s="94"/>
      <c r="H269" s="94"/>
      <c r="I269" s="2503"/>
      <c r="J269" s="2503"/>
      <c r="K269" s="2503"/>
      <c r="L269" s="2503"/>
      <c r="M269" s="2503"/>
      <c r="N269" s="2503"/>
      <c r="O269" s="2503"/>
      <c r="P269" s="2503"/>
      <c r="Q269" s="2503"/>
      <c r="R269" s="2503"/>
      <c r="S269" s="2503"/>
      <c r="T269" s="2503"/>
      <c r="U269" s="2503"/>
      <c r="V269" s="2503"/>
      <c r="W269" s="2629"/>
      <c r="X269" s="2503"/>
      <c r="Y269" s="2503"/>
      <c r="Z269" s="2503"/>
      <c r="AA269" s="2503"/>
      <c r="AB269" s="2503"/>
      <c r="AC269" s="2503"/>
      <c r="AD269" s="2503"/>
      <c r="AE269" s="2503"/>
      <c r="AF269" s="2503"/>
      <c r="AG269" s="2503"/>
      <c r="AH269" s="2503"/>
      <c r="AI269" s="2503"/>
      <c r="AJ269" s="2503"/>
      <c r="AK269" s="2503"/>
      <c r="AL269" s="2629"/>
      <c r="AM269" s="94"/>
      <c r="AN269" s="713"/>
      <c r="AO269" s="2649"/>
      <c r="AP269" s="2649"/>
      <c r="AQ269" s="2649"/>
      <c r="AR269" s="2649"/>
      <c r="AS269" s="2649"/>
      <c r="AT269" s="2649"/>
      <c r="AU269" s="715"/>
      <c r="AV269" s="713"/>
      <c r="AW269" s="2649"/>
      <c r="AX269" s="2649"/>
      <c r="AY269" s="2649"/>
      <c r="AZ269" s="715"/>
      <c r="BA269" s="2629"/>
      <c r="BB269" s="2629"/>
      <c r="BC269" s="2629"/>
      <c r="BD269" s="2629"/>
      <c r="BE269" s="2629"/>
      <c r="BF269" s="2629"/>
      <c r="BG269" s="2629"/>
      <c r="BH269" s="2629"/>
      <c r="BI269" s="2629"/>
      <c r="BJ269" s="2629"/>
      <c r="BK269" s="2629"/>
      <c r="BL269" s="2629"/>
      <c r="BM269" s="2629"/>
      <c r="BN269" s="2629"/>
      <c r="BO269" s="2629"/>
      <c r="BP269" s="2629"/>
      <c r="BQ269" s="2629"/>
      <c r="BR269" s="2629"/>
      <c r="BS269" s="2629"/>
      <c r="BT269" s="2629"/>
      <c r="BU269" s="2629"/>
      <c r="BV269" s="2629"/>
      <c r="BW269" s="2629"/>
      <c r="BX269" s="2629"/>
      <c r="BY269" s="2629"/>
      <c r="BZ269" s="2629"/>
      <c r="CA269" s="2629"/>
      <c r="CB269" s="2629"/>
      <c r="CC269" s="2629"/>
      <c r="CD269" s="2629"/>
      <c r="CE269" s="2629"/>
      <c r="CF269" s="2629"/>
    </row>
    <row r="270" spans="1:84" s="98" customFormat="1" ht="15" customHeight="1">
      <c r="A270" s="99"/>
      <c r="B270" s="2687"/>
      <c r="C270" s="2685" t="s">
        <v>1683</v>
      </c>
      <c r="D270" s="2685"/>
      <c r="E270" s="2685"/>
      <c r="F270" s="2685"/>
      <c r="G270" s="94"/>
      <c r="H270" s="94"/>
      <c r="I270" s="2503"/>
      <c r="J270" s="2503"/>
      <c r="K270" s="2503"/>
      <c r="L270" s="2503"/>
      <c r="M270" s="2503"/>
      <c r="N270" s="2503"/>
      <c r="O270" s="2503"/>
      <c r="P270" s="2503"/>
      <c r="Q270" s="2503"/>
      <c r="R270" s="2503"/>
      <c r="S270" s="2503"/>
      <c r="T270" s="2503"/>
      <c r="U270" s="2503"/>
      <c r="V270" s="2503"/>
      <c r="W270" s="2629"/>
      <c r="X270" s="2503"/>
      <c r="Y270" s="2503"/>
      <c r="Z270" s="2503"/>
      <c r="AA270" s="2503"/>
      <c r="AB270" s="2503"/>
      <c r="AC270" s="2503"/>
      <c r="AD270" s="2503"/>
      <c r="AE270" s="2503"/>
      <c r="AF270" s="2503"/>
      <c r="AG270" s="2503"/>
      <c r="AH270" s="2503"/>
      <c r="AI270" s="2503"/>
      <c r="AJ270" s="2503"/>
      <c r="AK270" s="2503"/>
      <c r="AL270" s="2629"/>
      <c r="AM270" s="94"/>
      <c r="AN270" s="713"/>
      <c r="AO270" s="2649"/>
      <c r="AP270" s="2649"/>
      <c r="AQ270" s="2649"/>
      <c r="AR270" s="2649"/>
      <c r="AS270" s="2649"/>
      <c r="AT270" s="2649"/>
      <c r="AU270" s="715"/>
      <c r="AV270" s="713"/>
      <c r="AW270" s="2649"/>
      <c r="AX270" s="2649"/>
      <c r="AY270" s="2649"/>
      <c r="AZ270" s="715"/>
      <c r="BA270" s="2629"/>
      <c r="BB270" s="2629"/>
      <c r="BC270" s="2629"/>
      <c r="BD270" s="2629"/>
      <c r="BE270" s="2629"/>
      <c r="BF270" s="2629"/>
      <c r="BG270" s="2629"/>
      <c r="BH270" s="2629"/>
      <c r="BI270" s="2629"/>
      <c r="BJ270" s="2629"/>
      <c r="BK270" s="2629"/>
      <c r="BL270" s="2629"/>
      <c r="BM270" s="2629"/>
      <c r="BN270" s="2629"/>
      <c r="BO270" s="2629"/>
      <c r="BP270" s="2629"/>
      <c r="BQ270" s="2629"/>
      <c r="BR270" s="2629"/>
      <c r="BS270" s="2629"/>
      <c r="BT270" s="2629"/>
      <c r="BU270" s="2629"/>
      <c r="BV270" s="2629"/>
      <c r="BW270" s="2629"/>
      <c r="BX270" s="2629"/>
      <c r="BY270" s="2629"/>
      <c r="BZ270" s="2629"/>
      <c r="CA270" s="2629"/>
      <c r="CB270" s="2629"/>
      <c r="CC270" s="2629"/>
      <c r="CD270" s="2629"/>
      <c r="CE270" s="2629"/>
      <c r="CF270" s="2629"/>
    </row>
    <row r="271" spans="1:84" s="98" customFormat="1" ht="15" customHeight="1">
      <c r="A271" s="99"/>
      <c r="B271" s="2687"/>
      <c r="C271" s="2688"/>
      <c r="D271" s="2688" t="s">
        <v>2726</v>
      </c>
      <c r="E271" s="2688"/>
      <c r="F271" s="2688"/>
      <c r="G271" s="2645"/>
      <c r="H271" s="2645"/>
      <c r="I271" s="2503"/>
      <c r="J271" s="2503"/>
      <c r="K271" s="2503"/>
      <c r="L271" s="2503"/>
      <c r="M271" s="2503"/>
      <c r="N271" s="2503"/>
      <c r="O271" s="2503"/>
      <c r="P271" s="2503"/>
      <c r="Q271" s="2503"/>
      <c r="R271" s="2503"/>
      <c r="S271" s="2503"/>
      <c r="T271" s="2503"/>
      <c r="U271" s="2503"/>
      <c r="V271" s="2503"/>
      <c r="W271" s="2629"/>
      <c r="X271" s="2503"/>
      <c r="Y271" s="2503"/>
      <c r="Z271" s="2503"/>
      <c r="AA271" s="2503"/>
      <c r="AB271" s="2503"/>
      <c r="AC271" s="2503"/>
      <c r="AD271" s="2503"/>
      <c r="AE271" s="2503"/>
      <c r="AF271" s="2503"/>
      <c r="AG271" s="2503"/>
      <c r="AH271" s="2503"/>
      <c r="AI271" s="2503"/>
      <c r="AJ271" s="2503"/>
      <c r="AK271" s="2503"/>
      <c r="AL271" s="2629"/>
      <c r="AM271" s="607" t="s">
        <v>2233</v>
      </c>
      <c r="AN271" s="143">
        <v>0</v>
      </c>
      <c r="AO271" s="141">
        <v>0</v>
      </c>
      <c r="AP271" s="141">
        <v>0</v>
      </c>
      <c r="AQ271" s="141">
        <v>0</v>
      </c>
      <c r="AR271" s="141">
        <v>0</v>
      </c>
      <c r="AS271" s="141">
        <v>0</v>
      </c>
      <c r="AT271" s="141">
        <v>0</v>
      </c>
      <c r="AU271" s="144">
        <v>0</v>
      </c>
      <c r="AV271" s="143">
        <v>0</v>
      </c>
      <c r="AW271" s="141">
        <v>0</v>
      </c>
      <c r="AX271" s="141">
        <v>0</v>
      </c>
      <c r="AY271" s="141">
        <v>0</v>
      </c>
      <c r="AZ271" s="144">
        <v>0</v>
      </c>
      <c r="BA271" s="2629"/>
      <c r="BB271" s="2629"/>
      <c r="BC271" s="2629"/>
      <c r="BD271" s="2629"/>
      <c r="BE271" s="2629"/>
      <c r="BF271" s="2629"/>
      <c r="BG271" s="2629"/>
      <c r="BH271" s="2629"/>
      <c r="BI271" s="2629"/>
      <c r="BJ271" s="2629"/>
      <c r="BK271" s="2629"/>
      <c r="BL271" s="2629"/>
      <c r="BM271" s="2629"/>
      <c r="BN271" s="2629"/>
      <c r="BO271" s="2629"/>
      <c r="BP271" s="2629"/>
      <c r="BQ271" s="2629"/>
      <c r="BR271" s="2629"/>
      <c r="BS271" s="2629"/>
      <c r="BT271" s="2629"/>
      <c r="BU271" s="2629"/>
      <c r="BV271" s="2629"/>
      <c r="BW271" s="2629"/>
      <c r="BX271" s="2629"/>
      <c r="BY271" s="2629"/>
      <c r="BZ271" s="2629"/>
      <c r="CA271" s="2629"/>
      <c r="CB271" s="2629"/>
      <c r="CC271" s="2629"/>
      <c r="CD271" s="2629"/>
      <c r="CE271" s="2629"/>
      <c r="CF271" s="2629"/>
    </row>
    <row r="272" spans="1:84" s="98" customFormat="1" ht="15" customHeight="1">
      <c r="A272" s="99"/>
      <c r="B272" s="2687"/>
      <c r="C272" s="2688"/>
      <c r="D272" s="2688" t="s">
        <v>2727</v>
      </c>
      <c r="E272" s="2688"/>
      <c r="F272" s="2688"/>
      <c r="G272" s="2645"/>
      <c r="H272" s="2645"/>
      <c r="I272" s="2503"/>
      <c r="J272" s="2503"/>
      <c r="K272" s="2503"/>
      <c r="L272" s="2503"/>
      <c r="M272" s="2503"/>
      <c r="N272" s="2503"/>
      <c r="O272" s="2503"/>
      <c r="P272" s="2503"/>
      <c r="Q272" s="2503"/>
      <c r="R272" s="2503"/>
      <c r="S272" s="2503"/>
      <c r="T272" s="2503"/>
      <c r="U272" s="2503"/>
      <c r="V272" s="2503"/>
      <c r="W272" s="2629"/>
      <c r="X272" s="2503"/>
      <c r="Y272" s="2503"/>
      <c r="Z272" s="2503"/>
      <c r="AA272" s="2503"/>
      <c r="AB272" s="2503"/>
      <c r="AC272" s="2503"/>
      <c r="AD272" s="2503"/>
      <c r="AE272" s="2503"/>
      <c r="AF272" s="2503"/>
      <c r="AG272" s="2503"/>
      <c r="AH272" s="2503"/>
      <c r="AI272" s="2503"/>
      <c r="AJ272" s="2503"/>
      <c r="AK272" s="2503"/>
      <c r="AL272" s="2629"/>
      <c r="AM272" s="607" t="s">
        <v>2233</v>
      </c>
      <c r="AN272" s="143">
        <v>0</v>
      </c>
      <c r="AO272" s="141">
        <v>0</v>
      </c>
      <c r="AP272" s="141">
        <v>0</v>
      </c>
      <c r="AQ272" s="141">
        <v>0</v>
      </c>
      <c r="AR272" s="141">
        <v>0</v>
      </c>
      <c r="AS272" s="141">
        <v>0</v>
      </c>
      <c r="AT272" s="141">
        <v>0</v>
      </c>
      <c r="AU272" s="144">
        <v>0</v>
      </c>
      <c r="AV272" s="143">
        <v>0</v>
      </c>
      <c r="AW272" s="141">
        <v>0</v>
      </c>
      <c r="AX272" s="141">
        <v>0</v>
      </c>
      <c r="AY272" s="141">
        <v>0</v>
      </c>
      <c r="AZ272" s="144">
        <v>0</v>
      </c>
      <c r="BA272" s="2629"/>
      <c r="BB272" s="2629"/>
      <c r="BC272" s="2629"/>
      <c r="BD272" s="2629"/>
      <c r="BE272" s="2629"/>
      <c r="BF272" s="2629"/>
      <c r="BG272" s="2629"/>
      <c r="BH272" s="2629"/>
      <c r="BI272" s="2629"/>
      <c r="BJ272" s="2629"/>
      <c r="BK272" s="2629"/>
      <c r="BL272" s="2629"/>
      <c r="BM272" s="2629"/>
      <c r="BN272" s="2629"/>
      <c r="BO272" s="2629"/>
      <c r="BP272" s="2629"/>
      <c r="BQ272" s="2629"/>
      <c r="BR272" s="2629"/>
      <c r="BS272" s="2629"/>
      <c r="BT272" s="2629"/>
      <c r="BU272" s="2629"/>
      <c r="BV272" s="2629"/>
      <c r="BW272" s="2629"/>
      <c r="BX272" s="2629"/>
      <c r="BY272" s="2629"/>
      <c r="BZ272" s="2629"/>
      <c r="CA272" s="2629"/>
      <c r="CB272" s="2629"/>
      <c r="CC272" s="2629"/>
      <c r="CD272" s="2629"/>
      <c r="CE272" s="2629"/>
      <c r="CF272" s="2629"/>
    </row>
    <row r="273" spans="1:84" s="98" customFormat="1" ht="15" customHeight="1">
      <c r="A273" s="99"/>
      <c r="B273" s="2687"/>
      <c r="C273" s="2688"/>
      <c r="D273" s="2688" t="s">
        <v>2728</v>
      </c>
      <c r="E273" s="2688"/>
      <c r="F273" s="2688"/>
      <c r="G273" s="2645"/>
      <c r="H273" s="2645"/>
      <c r="I273" s="2503"/>
      <c r="J273" s="2503"/>
      <c r="K273" s="2503"/>
      <c r="L273" s="2503"/>
      <c r="M273" s="2503"/>
      <c r="N273" s="2503"/>
      <c r="O273" s="2503"/>
      <c r="P273" s="2503"/>
      <c r="Q273" s="2503"/>
      <c r="R273" s="2503"/>
      <c r="S273" s="2503"/>
      <c r="T273" s="2503"/>
      <c r="U273" s="2503"/>
      <c r="V273" s="2503"/>
      <c r="W273" s="2629"/>
      <c r="X273" s="2503"/>
      <c r="Y273" s="2503"/>
      <c r="Z273" s="2503"/>
      <c r="AA273" s="2503"/>
      <c r="AB273" s="2503"/>
      <c r="AC273" s="2503"/>
      <c r="AD273" s="2503"/>
      <c r="AE273" s="2503"/>
      <c r="AF273" s="2503"/>
      <c r="AG273" s="2503"/>
      <c r="AH273" s="2503"/>
      <c r="AI273" s="2503"/>
      <c r="AJ273" s="2503"/>
      <c r="AK273" s="2503"/>
      <c r="AL273" s="2629"/>
      <c r="AM273" s="607" t="s">
        <v>2233</v>
      </c>
      <c r="AN273" s="143">
        <v>0</v>
      </c>
      <c r="AO273" s="141">
        <v>0</v>
      </c>
      <c r="AP273" s="141">
        <v>0</v>
      </c>
      <c r="AQ273" s="141">
        <v>0</v>
      </c>
      <c r="AR273" s="141">
        <v>0</v>
      </c>
      <c r="AS273" s="141">
        <v>0</v>
      </c>
      <c r="AT273" s="141">
        <v>0</v>
      </c>
      <c r="AU273" s="144">
        <v>0</v>
      </c>
      <c r="AV273" s="143">
        <v>0</v>
      </c>
      <c r="AW273" s="141">
        <v>0</v>
      </c>
      <c r="AX273" s="141">
        <v>0</v>
      </c>
      <c r="AY273" s="141">
        <v>0</v>
      </c>
      <c r="AZ273" s="144">
        <v>0</v>
      </c>
      <c r="BA273" s="2629"/>
      <c r="BB273" s="2629"/>
      <c r="BC273" s="2629"/>
      <c r="BD273" s="2629"/>
      <c r="BE273" s="2629"/>
      <c r="BF273" s="2629"/>
      <c r="BG273" s="2629"/>
      <c r="BH273" s="2629"/>
      <c r="BI273" s="2629"/>
      <c r="BJ273" s="2629"/>
      <c r="BK273" s="2629"/>
      <c r="BL273" s="2629"/>
      <c r="BM273" s="2629"/>
      <c r="BN273" s="2629"/>
      <c r="BO273" s="2629"/>
      <c r="BP273" s="2629"/>
      <c r="BQ273" s="2629"/>
      <c r="BR273" s="2629"/>
      <c r="BS273" s="2629"/>
      <c r="BT273" s="2629"/>
      <c r="BU273" s="2629"/>
      <c r="BV273" s="2629"/>
      <c r="BW273" s="2629"/>
      <c r="BX273" s="2629"/>
      <c r="BY273" s="2629"/>
      <c r="BZ273" s="2629"/>
      <c r="CA273" s="2629"/>
      <c r="CB273" s="2629"/>
      <c r="CC273" s="2629"/>
      <c r="CD273" s="2629"/>
      <c r="CE273" s="2629"/>
      <c r="CF273" s="2629"/>
    </row>
    <row r="274" spans="1:84" s="98" customFormat="1" ht="15" customHeight="1">
      <c r="A274" s="99"/>
      <c r="B274" s="2687"/>
      <c r="C274" s="2688" t="s">
        <v>1710</v>
      </c>
      <c r="D274" s="2688"/>
      <c r="E274" s="2688"/>
      <c r="F274" s="2688"/>
      <c r="G274" s="2645"/>
      <c r="H274" s="2645"/>
      <c r="I274" s="2503"/>
      <c r="J274" s="2503"/>
      <c r="K274" s="2503"/>
      <c r="L274" s="2503"/>
      <c r="M274" s="2503"/>
      <c r="N274" s="2503"/>
      <c r="O274" s="2503"/>
      <c r="P274" s="2503"/>
      <c r="Q274" s="2503"/>
      <c r="R274" s="2503"/>
      <c r="S274" s="2503"/>
      <c r="T274" s="2503"/>
      <c r="U274" s="2503"/>
      <c r="V274" s="2503"/>
      <c r="W274" s="2629"/>
      <c r="X274" s="2503"/>
      <c r="Y274" s="2503"/>
      <c r="Z274" s="2503"/>
      <c r="AA274" s="2503"/>
      <c r="AB274" s="2503"/>
      <c r="AC274" s="2503"/>
      <c r="AD274" s="2503"/>
      <c r="AE274" s="2503"/>
      <c r="AF274" s="2503"/>
      <c r="AG274" s="2503"/>
      <c r="AH274" s="2503"/>
      <c r="AI274" s="2503"/>
      <c r="AJ274" s="2503"/>
      <c r="AK274" s="2503"/>
      <c r="AL274" s="2629"/>
      <c r="AM274" s="607" t="s">
        <v>2233</v>
      </c>
      <c r="AN274" s="641">
        <f>SUM(AN271:AN273)</f>
        <v>0</v>
      </c>
      <c r="AO274" s="642">
        <f t="shared" ref="AO274:AZ274" si="80">SUM(AO271:AO273)</f>
        <v>0</v>
      </c>
      <c r="AP274" s="642">
        <f t="shared" si="80"/>
        <v>0</v>
      </c>
      <c r="AQ274" s="642">
        <f t="shared" si="80"/>
        <v>0</v>
      </c>
      <c r="AR274" s="642">
        <f t="shared" si="80"/>
        <v>0</v>
      </c>
      <c r="AS274" s="642">
        <f t="shared" si="80"/>
        <v>0</v>
      </c>
      <c r="AT274" s="642">
        <f t="shared" si="80"/>
        <v>0</v>
      </c>
      <c r="AU274" s="643">
        <f t="shared" si="80"/>
        <v>0</v>
      </c>
      <c r="AV274" s="641">
        <f t="shared" si="80"/>
        <v>0</v>
      </c>
      <c r="AW274" s="642">
        <f t="shared" si="80"/>
        <v>0</v>
      </c>
      <c r="AX274" s="642">
        <f t="shared" si="80"/>
        <v>0</v>
      </c>
      <c r="AY274" s="642">
        <f t="shared" si="80"/>
        <v>0</v>
      </c>
      <c r="AZ274" s="643">
        <f t="shared" si="80"/>
        <v>0</v>
      </c>
      <c r="BA274" s="2629"/>
      <c r="BB274" s="2629"/>
      <c r="BC274" s="2629"/>
      <c r="BD274" s="2629"/>
      <c r="BE274" s="2629"/>
      <c r="BF274" s="2629"/>
      <c r="BG274" s="2629"/>
      <c r="BH274" s="2629"/>
      <c r="BI274" s="2629"/>
      <c r="BJ274" s="2629"/>
      <c r="BK274" s="2629"/>
      <c r="BL274" s="2629"/>
      <c r="BM274" s="2629"/>
      <c r="BN274" s="2629"/>
      <c r="BO274" s="2629"/>
      <c r="BP274" s="2629"/>
      <c r="BQ274" s="2629"/>
      <c r="BR274" s="2629"/>
      <c r="BS274" s="2629"/>
      <c r="BT274" s="2629"/>
      <c r="BU274" s="2629"/>
      <c r="BV274" s="2629"/>
      <c r="BW274" s="2629"/>
      <c r="BX274" s="2629"/>
      <c r="BY274" s="2629"/>
      <c r="BZ274" s="2629"/>
      <c r="CA274" s="2629"/>
      <c r="CB274" s="2629"/>
      <c r="CC274" s="2629"/>
      <c r="CD274" s="2629"/>
      <c r="CE274" s="2629"/>
      <c r="CF274" s="2629"/>
    </row>
    <row r="275" spans="1:84" s="98" customFormat="1" ht="15" customHeight="1">
      <c r="A275" s="99"/>
      <c r="B275" s="123"/>
      <c r="C275" s="2686"/>
      <c r="D275" s="2686"/>
      <c r="E275" s="2686"/>
      <c r="F275" s="2686"/>
      <c r="G275" s="94"/>
      <c r="H275" s="94"/>
      <c r="I275" s="2503"/>
      <c r="J275" s="2503"/>
      <c r="K275" s="2503"/>
      <c r="L275" s="2503"/>
      <c r="M275" s="2503"/>
      <c r="N275" s="2503"/>
      <c r="O275" s="2503"/>
      <c r="P275" s="2503"/>
      <c r="Q275" s="2503"/>
      <c r="R275" s="2503"/>
      <c r="S275" s="2503"/>
      <c r="T275" s="2503"/>
      <c r="U275" s="2503"/>
      <c r="V275" s="2503"/>
      <c r="W275" s="2629"/>
      <c r="X275" s="2503"/>
      <c r="Y275" s="2503"/>
      <c r="Z275" s="2503"/>
      <c r="AA275" s="2503"/>
      <c r="AB275" s="2503"/>
      <c r="AC275" s="2503"/>
      <c r="AD275" s="2503"/>
      <c r="AE275" s="2503"/>
      <c r="AF275" s="2503"/>
      <c r="AG275" s="2503"/>
      <c r="AH275" s="2503"/>
      <c r="AI275" s="2503"/>
      <c r="AJ275" s="2503"/>
      <c r="AK275" s="2503"/>
      <c r="AL275" s="2629"/>
      <c r="AM275" s="94"/>
      <c r="AN275" s="713"/>
      <c r="AO275" s="2649"/>
      <c r="AP275" s="2649"/>
      <c r="AQ275" s="2649"/>
      <c r="AR275" s="2649"/>
      <c r="AS275" s="2649"/>
      <c r="AT275" s="2649"/>
      <c r="AU275" s="715"/>
      <c r="AV275" s="713"/>
      <c r="AW275" s="2649"/>
      <c r="AX275" s="2649"/>
      <c r="AY275" s="2649"/>
      <c r="AZ275" s="715"/>
      <c r="BA275" s="2629"/>
      <c r="BB275" s="2629"/>
      <c r="BC275" s="2629"/>
      <c r="BD275" s="2629"/>
      <c r="BE275" s="2629"/>
      <c r="BF275" s="2629"/>
      <c r="BG275" s="2629"/>
      <c r="BH275" s="2629"/>
      <c r="BI275" s="2629"/>
      <c r="BJ275" s="2629"/>
      <c r="BK275" s="2629"/>
      <c r="BL275" s="2629"/>
      <c r="BM275" s="2629"/>
      <c r="BN275" s="2629"/>
      <c r="BO275" s="2629"/>
      <c r="BP275" s="2629"/>
      <c r="BQ275" s="2629"/>
      <c r="BR275" s="2629"/>
      <c r="BS275" s="2629"/>
      <c r="BT275" s="2629"/>
      <c r="BU275" s="2629"/>
      <c r="BV275" s="2629"/>
      <c r="BW275" s="2629"/>
      <c r="BX275" s="2629"/>
      <c r="BY275" s="2629"/>
      <c r="BZ275" s="2629"/>
      <c r="CA275" s="2629"/>
      <c r="CB275" s="2629"/>
      <c r="CC275" s="2629"/>
      <c r="CD275" s="2629"/>
      <c r="CE275" s="2629"/>
      <c r="CF275" s="2629"/>
    </row>
    <row r="276" spans="1:84" s="98" customFormat="1" ht="15" customHeight="1">
      <c r="A276" s="99"/>
      <c r="B276" s="2687"/>
      <c r="C276" s="2685" t="s">
        <v>1684</v>
      </c>
      <c r="D276" s="2685"/>
      <c r="E276" s="2685"/>
      <c r="F276" s="2685"/>
      <c r="G276" s="94"/>
      <c r="H276" s="94"/>
      <c r="I276" s="2503"/>
      <c r="J276" s="2503"/>
      <c r="K276" s="2503"/>
      <c r="L276" s="2503"/>
      <c r="M276" s="2503"/>
      <c r="N276" s="2503"/>
      <c r="O276" s="2503"/>
      <c r="P276" s="2503"/>
      <c r="Q276" s="2503"/>
      <c r="R276" s="2503"/>
      <c r="S276" s="2503"/>
      <c r="T276" s="2503"/>
      <c r="U276" s="2503"/>
      <c r="V276" s="2503"/>
      <c r="W276" s="2629"/>
      <c r="X276" s="2503"/>
      <c r="Y276" s="2503"/>
      <c r="Z276" s="2503"/>
      <c r="AA276" s="2503"/>
      <c r="AB276" s="2503"/>
      <c r="AC276" s="2503"/>
      <c r="AD276" s="2503"/>
      <c r="AE276" s="2503"/>
      <c r="AF276" s="2503"/>
      <c r="AG276" s="2503"/>
      <c r="AH276" s="2503"/>
      <c r="AI276" s="2503"/>
      <c r="AJ276" s="2503"/>
      <c r="AK276" s="2503"/>
      <c r="AL276" s="2629"/>
      <c r="AM276" s="94"/>
      <c r="AN276" s="713"/>
      <c r="AO276" s="2649"/>
      <c r="AP276" s="2649"/>
      <c r="AQ276" s="2649"/>
      <c r="AR276" s="2649"/>
      <c r="AS276" s="2649"/>
      <c r="AT276" s="2649"/>
      <c r="AU276" s="715"/>
      <c r="AV276" s="713"/>
      <c r="AW276" s="2649"/>
      <c r="AX276" s="2649"/>
      <c r="AY276" s="2649"/>
      <c r="AZ276" s="715"/>
      <c r="BA276" s="2629"/>
      <c r="BB276" s="2629"/>
      <c r="BC276" s="2629"/>
      <c r="BD276" s="2629"/>
      <c r="BE276" s="2629"/>
      <c r="BF276" s="2629"/>
      <c r="BG276" s="2629"/>
      <c r="BH276" s="2629"/>
      <c r="BI276" s="2629"/>
      <c r="BJ276" s="2629"/>
      <c r="BK276" s="2629"/>
      <c r="BL276" s="2629"/>
      <c r="BM276" s="2629"/>
      <c r="BN276" s="2629"/>
      <c r="BO276" s="2629"/>
      <c r="BP276" s="2629"/>
      <c r="BQ276" s="2629"/>
      <c r="BR276" s="2629"/>
      <c r="BS276" s="2629"/>
      <c r="BT276" s="2629"/>
      <c r="BU276" s="2629"/>
      <c r="BV276" s="2629"/>
      <c r="BW276" s="2629"/>
      <c r="BX276" s="2629"/>
      <c r="BY276" s="2629"/>
      <c r="BZ276" s="2629"/>
      <c r="CA276" s="2629"/>
      <c r="CB276" s="2629"/>
      <c r="CC276" s="2629"/>
      <c r="CD276" s="2629"/>
      <c r="CE276" s="2629"/>
      <c r="CF276" s="2629"/>
    </row>
    <row r="277" spans="1:84" s="98" customFormat="1" ht="15" customHeight="1">
      <c r="A277" s="99"/>
      <c r="B277" s="2687"/>
      <c r="C277" s="2688"/>
      <c r="D277" s="2688" t="s">
        <v>2726</v>
      </c>
      <c r="E277" s="2688"/>
      <c r="F277" s="2688"/>
      <c r="G277" s="2645"/>
      <c r="H277" s="2645"/>
      <c r="I277" s="2503"/>
      <c r="J277" s="2503"/>
      <c r="K277" s="2503"/>
      <c r="L277" s="2503"/>
      <c r="M277" s="2503"/>
      <c r="N277" s="2503"/>
      <c r="O277" s="2503"/>
      <c r="P277" s="2503"/>
      <c r="Q277" s="2503"/>
      <c r="R277" s="2503"/>
      <c r="S277" s="2503"/>
      <c r="T277" s="2503"/>
      <c r="U277" s="2503"/>
      <c r="V277" s="2503"/>
      <c r="W277" s="2629"/>
      <c r="X277" s="2503"/>
      <c r="Y277" s="2503"/>
      <c r="Z277" s="2503"/>
      <c r="AA277" s="2503"/>
      <c r="AB277" s="2503"/>
      <c r="AC277" s="2503"/>
      <c r="AD277" s="2503"/>
      <c r="AE277" s="2503"/>
      <c r="AF277" s="2503"/>
      <c r="AG277" s="2503"/>
      <c r="AH277" s="2503"/>
      <c r="AI277" s="2503"/>
      <c r="AJ277" s="2503"/>
      <c r="AK277" s="2503"/>
      <c r="AL277" s="2629"/>
      <c r="AM277" s="607" t="s">
        <v>2233</v>
      </c>
      <c r="AN277" s="143">
        <v>0</v>
      </c>
      <c r="AO277" s="141">
        <v>0</v>
      </c>
      <c r="AP277" s="141">
        <v>0</v>
      </c>
      <c r="AQ277" s="141">
        <v>0</v>
      </c>
      <c r="AR277" s="141">
        <v>0</v>
      </c>
      <c r="AS277" s="141">
        <v>0</v>
      </c>
      <c r="AT277" s="141">
        <v>-0.14919809363340802</v>
      </c>
      <c r="AU277" s="144">
        <v>-0.1585073613414523</v>
      </c>
      <c r="AV277" s="143">
        <v>-0.35977196680610624</v>
      </c>
      <c r="AW277" s="141">
        <v>-0.35977196680610624</v>
      </c>
      <c r="AX277" s="141">
        <v>-0.35977196680610624</v>
      </c>
      <c r="AY277" s="141">
        <v>-0.35977196680610624</v>
      </c>
      <c r="AZ277" s="144">
        <v>-0.35977196680610624</v>
      </c>
      <c r="BA277" s="2629"/>
      <c r="BB277" s="2629"/>
      <c r="BC277" s="2629"/>
      <c r="BD277" s="2629"/>
      <c r="BE277" s="2629"/>
      <c r="BF277" s="2629"/>
      <c r="BG277" s="2629"/>
      <c r="BH277" s="2629"/>
      <c r="BI277" s="2629"/>
      <c r="BJ277" s="2629"/>
      <c r="BK277" s="2629"/>
      <c r="BL277" s="2629"/>
      <c r="BM277" s="2629"/>
      <c r="BN277" s="2629"/>
      <c r="BO277" s="2629"/>
      <c r="BP277" s="2629"/>
      <c r="BQ277" s="2629"/>
      <c r="BR277" s="2629"/>
      <c r="BS277" s="2629"/>
      <c r="BT277" s="2629"/>
      <c r="BU277" s="2629"/>
      <c r="BV277" s="2629"/>
      <c r="BW277" s="2629"/>
      <c r="BX277" s="2629"/>
      <c r="BY277" s="2629"/>
      <c r="BZ277" s="2629"/>
      <c r="CA277" s="2629"/>
      <c r="CB277" s="2629"/>
      <c r="CC277" s="2629"/>
      <c r="CD277" s="2629"/>
      <c r="CE277" s="2629"/>
      <c r="CF277" s="2629"/>
    </row>
    <row r="278" spans="1:84" s="98" customFormat="1" ht="15" customHeight="1">
      <c r="A278" s="99"/>
      <c r="B278" s="2687"/>
      <c r="C278" s="2688"/>
      <c r="D278" s="2688" t="s">
        <v>2727</v>
      </c>
      <c r="E278" s="2688"/>
      <c r="F278" s="2688"/>
      <c r="G278" s="2645"/>
      <c r="H278" s="2645"/>
      <c r="I278" s="2503"/>
      <c r="J278" s="2503"/>
      <c r="K278" s="2503"/>
      <c r="L278" s="2503"/>
      <c r="M278" s="2503"/>
      <c r="N278" s="2503"/>
      <c r="O278" s="2503"/>
      <c r="P278" s="2503"/>
      <c r="Q278" s="2503"/>
      <c r="R278" s="2503"/>
      <c r="S278" s="2503"/>
      <c r="T278" s="2503"/>
      <c r="U278" s="2503"/>
      <c r="V278" s="2503"/>
      <c r="W278" s="2629"/>
      <c r="X278" s="2503"/>
      <c r="Y278" s="2503"/>
      <c r="Z278" s="2503"/>
      <c r="AA278" s="2503"/>
      <c r="AB278" s="2503"/>
      <c r="AC278" s="2503"/>
      <c r="AD278" s="2503"/>
      <c r="AE278" s="2503"/>
      <c r="AF278" s="2503"/>
      <c r="AG278" s="2503"/>
      <c r="AH278" s="2503"/>
      <c r="AI278" s="2503"/>
      <c r="AJ278" s="2503"/>
      <c r="AK278" s="2503"/>
      <c r="AL278" s="2629"/>
      <c r="AM278" s="607" t="s">
        <v>2233</v>
      </c>
      <c r="AN278" s="143">
        <v>-0.78800000000000003</v>
      </c>
      <c r="AO278" s="141">
        <v>-0.34899999999999998</v>
      </c>
      <c r="AP278" s="141">
        <v>-0.6150000000000001</v>
      </c>
      <c r="AQ278" s="141">
        <v>-0.8670000000000001</v>
      </c>
      <c r="AR278" s="141">
        <v>-0.22499999999999998</v>
      </c>
      <c r="AS278" s="141">
        <v>-0.52300000000000002</v>
      </c>
      <c r="AT278" s="141">
        <v>-0.48741060441973005</v>
      </c>
      <c r="AU278" s="144">
        <v>-0.48432028079328476</v>
      </c>
      <c r="AV278" s="143">
        <v>-1.0470825745108157</v>
      </c>
      <c r="AW278" s="141">
        <v>-1.0470825745108157</v>
      </c>
      <c r="AX278" s="141">
        <v>-1.0470825745108157</v>
      </c>
      <c r="AY278" s="141">
        <v>-1.0470825745108157</v>
      </c>
      <c r="AZ278" s="144">
        <v>-1.0470825745108157</v>
      </c>
      <c r="BA278" s="2629"/>
      <c r="BB278" s="2629"/>
      <c r="BC278" s="2629"/>
      <c r="BD278" s="2629"/>
      <c r="BE278" s="2629"/>
      <c r="BF278" s="2629"/>
      <c r="BG278" s="2629"/>
      <c r="BH278" s="2629"/>
      <c r="BI278" s="2629"/>
      <c r="BJ278" s="2629"/>
      <c r="BK278" s="2629"/>
      <c r="BL278" s="2629"/>
      <c r="BM278" s="2629"/>
      <c r="BN278" s="2629"/>
      <c r="BO278" s="2629"/>
      <c r="BP278" s="2629"/>
      <c r="BQ278" s="2629"/>
      <c r="BR278" s="2629"/>
      <c r="BS278" s="2629"/>
      <c r="BT278" s="2629"/>
      <c r="BU278" s="2629"/>
      <c r="BV278" s="2629"/>
      <c r="BW278" s="2629"/>
      <c r="BX278" s="2629"/>
      <c r="BY278" s="2629"/>
      <c r="BZ278" s="2629"/>
      <c r="CA278" s="2629"/>
      <c r="CB278" s="2629"/>
      <c r="CC278" s="2629"/>
      <c r="CD278" s="2629"/>
      <c r="CE278" s="2629"/>
      <c r="CF278" s="2629"/>
    </row>
    <row r="279" spans="1:84" s="98" customFormat="1" ht="15" customHeight="1">
      <c r="A279" s="99"/>
      <c r="B279" s="2687"/>
      <c r="C279" s="2688"/>
      <c r="D279" s="2688" t="s">
        <v>2728</v>
      </c>
      <c r="E279" s="2688"/>
      <c r="F279" s="2688"/>
      <c r="G279" s="2645"/>
      <c r="H279" s="2645"/>
      <c r="I279" s="2503"/>
      <c r="J279" s="2503"/>
      <c r="K279" s="2503"/>
      <c r="L279" s="2503"/>
      <c r="M279" s="2503"/>
      <c r="N279" s="2503"/>
      <c r="O279" s="2503"/>
      <c r="P279" s="2503"/>
      <c r="Q279" s="2503"/>
      <c r="R279" s="2503"/>
      <c r="S279" s="2503"/>
      <c r="T279" s="2503"/>
      <c r="U279" s="2503"/>
      <c r="V279" s="2503"/>
      <c r="W279" s="2629"/>
      <c r="X279" s="2503"/>
      <c r="Y279" s="2503"/>
      <c r="Z279" s="2503"/>
      <c r="AA279" s="2503"/>
      <c r="AB279" s="2503"/>
      <c r="AC279" s="2503"/>
      <c r="AD279" s="2503"/>
      <c r="AE279" s="2503"/>
      <c r="AF279" s="2503"/>
      <c r="AG279" s="2503"/>
      <c r="AH279" s="2503"/>
      <c r="AI279" s="2503"/>
      <c r="AJ279" s="2503"/>
      <c r="AK279" s="2503"/>
      <c r="AL279" s="2629"/>
      <c r="AM279" s="607" t="s">
        <v>2233</v>
      </c>
      <c r="AN279" s="143">
        <v>-7.3999999999999996E-2</v>
      </c>
      <c r="AO279" s="141">
        <v>-0.33499999999999996</v>
      </c>
      <c r="AP279" s="141">
        <v>-2.6000000000000002E-2</v>
      </c>
      <c r="AQ279" s="141">
        <v>-4.1999999999999996E-2</v>
      </c>
      <c r="AR279" s="141">
        <v>0</v>
      </c>
      <c r="AS279" s="141">
        <v>-0.109</v>
      </c>
      <c r="AT279" s="141">
        <v>-6.3391301946861864E-2</v>
      </c>
      <c r="AU279" s="144">
        <v>-5.7172357865262903E-2</v>
      </c>
      <c r="AV279" s="143">
        <v>-0.16977553024573072</v>
      </c>
      <c r="AW279" s="141">
        <v>-0.16977553024573072</v>
      </c>
      <c r="AX279" s="141">
        <v>-0.16977553024573072</v>
      </c>
      <c r="AY279" s="141">
        <v>-0.16977553024573072</v>
      </c>
      <c r="AZ279" s="144">
        <v>-0.16977553024573072</v>
      </c>
      <c r="BA279" s="2629"/>
      <c r="BB279" s="2629"/>
      <c r="BC279" s="2629"/>
      <c r="BD279" s="2629"/>
      <c r="BE279" s="2629"/>
      <c r="BF279" s="2629"/>
      <c r="BG279" s="2629"/>
      <c r="BH279" s="2629"/>
      <c r="BI279" s="2629"/>
      <c r="BJ279" s="2629"/>
      <c r="BK279" s="2629"/>
      <c r="BL279" s="2629"/>
      <c r="BM279" s="2629"/>
      <c r="BN279" s="2629"/>
      <c r="BO279" s="2629"/>
      <c r="BP279" s="2629"/>
      <c r="BQ279" s="2629"/>
      <c r="BR279" s="2629"/>
      <c r="BS279" s="2629"/>
      <c r="BT279" s="2629"/>
      <c r="BU279" s="2629"/>
      <c r="BV279" s="2629"/>
      <c r="BW279" s="2629"/>
      <c r="BX279" s="2629"/>
      <c r="BY279" s="2629"/>
      <c r="BZ279" s="2629"/>
      <c r="CA279" s="2629"/>
      <c r="CB279" s="2629"/>
      <c r="CC279" s="2629"/>
      <c r="CD279" s="2629"/>
      <c r="CE279" s="2629"/>
      <c r="CF279" s="2629"/>
    </row>
    <row r="280" spans="1:84" s="98" customFormat="1" ht="15" customHeight="1">
      <c r="A280" s="99"/>
      <c r="B280" s="2687"/>
      <c r="C280" s="2688" t="s">
        <v>1710</v>
      </c>
      <c r="D280" s="2688"/>
      <c r="E280" s="2688"/>
      <c r="F280" s="2688"/>
      <c r="G280" s="2645"/>
      <c r="H280" s="2645"/>
      <c r="I280" s="2503"/>
      <c r="J280" s="2503"/>
      <c r="K280" s="2503"/>
      <c r="L280" s="2503"/>
      <c r="M280" s="2503"/>
      <c r="N280" s="2503"/>
      <c r="O280" s="2503"/>
      <c r="P280" s="2503"/>
      <c r="Q280" s="2503"/>
      <c r="R280" s="2503"/>
      <c r="S280" s="2503"/>
      <c r="T280" s="2503"/>
      <c r="U280" s="2503"/>
      <c r="V280" s="2503"/>
      <c r="W280" s="2629"/>
      <c r="X280" s="2503"/>
      <c r="Y280" s="2503"/>
      <c r="Z280" s="2503"/>
      <c r="AA280" s="2503"/>
      <c r="AB280" s="2503"/>
      <c r="AC280" s="2503"/>
      <c r="AD280" s="2503"/>
      <c r="AE280" s="2503"/>
      <c r="AF280" s="2503"/>
      <c r="AG280" s="2503"/>
      <c r="AH280" s="2503"/>
      <c r="AI280" s="2503"/>
      <c r="AJ280" s="2503"/>
      <c r="AK280" s="2503"/>
      <c r="AL280" s="2629"/>
      <c r="AM280" s="607" t="s">
        <v>2233</v>
      </c>
      <c r="AN280" s="641">
        <f>SUM(AN277:AN279)</f>
        <v>-0.86199999999999999</v>
      </c>
      <c r="AO280" s="642">
        <f t="shared" ref="AO280:AZ280" si="81">SUM(AO277:AO279)</f>
        <v>-0.68399999999999994</v>
      </c>
      <c r="AP280" s="642">
        <f t="shared" si="81"/>
        <v>-0.64100000000000013</v>
      </c>
      <c r="AQ280" s="642">
        <f t="shared" si="81"/>
        <v>-0.90900000000000014</v>
      </c>
      <c r="AR280" s="642">
        <f t="shared" si="81"/>
        <v>-0.22499999999999998</v>
      </c>
      <c r="AS280" s="642">
        <f t="shared" si="81"/>
        <v>-0.63200000000000001</v>
      </c>
      <c r="AT280" s="642">
        <f t="shared" si="81"/>
        <v>-0.69999999999999984</v>
      </c>
      <c r="AU280" s="643">
        <f t="shared" si="81"/>
        <v>-0.7</v>
      </c>
      <c r="AV280" s="641">
        <f t="shared" si="81"/>
        <v>-1.5766300715626527</v>
      </c>
      <c r="AW280" s="642">
        <f t="shared" si="81"/>
        <v>-1.5766300715626527</v>
      </c>
      <c r="AX280" s="642">
        <f t="shared" si="81"/>
        <v>-1.5766300715626527</v>
      </c>
      <c r="AY280" s="642">
        <f t="shared" si="81"/>
        <v>-1.5766300715626527</v>
      </c>
      <c r="AZ280" s="643">
        <f t="shared" si="81"/>
        <v>-1.5766300715626527</v>
      </c>
      <c r="BA280" s="2629"/>
      <c r="BB280" s="2629"/>
      <c r="BC280" s="2629"/>
      <c r="BD280" s="2629"/>
      <c r="BE280" s="2629"/>
      <c r="BF280" s="2629"/>
      <c r="BG280" s="2629"/>
      <c r="BH280" s="2629"/>
      <c r="BI280" s="2629"/>
      <c r="BJ280" s="2629"/>
      <c r="BK280" s="2629"/>
      <c r="BL280" s="2629"/>
      <c r="BM280" s="2629"/>
      <c r="BN280" s="2629"/>
      <c r="BO280" s="2629"/>
      <c r="BP280" s="2629"/>
      <c r="BQ280" s="2629"/>
      <c r="BR280" s="2629"/>
      <c r="BS280" s="2629"/>
      <c r="BT280" s="2629"/>
      <c r="BU280" s="2629"/>
      <c r="BV280" s="2629"/>
      <c r="BW280" s="2629"/>
      <c r="BX280" s="2629"/>
      <c r="BY280" s="2629"/>
      <c r="BZ280" s="2629"/>
      <c r="CA280" s="2629"/>
      <c r="CB280" s="2629"/>
      <c r="CC280" s="2629"/>
      <c r="CD280" s="2629"/>
      <c r="CE280" s="2629"/>
      <c r="CF280" s="2629"/>
    </row>
    <row r="281" spans="1:84" s="98" customFormat="1" ht="15" customHeight="1">
      <c r="A281" s="99"/>
      <c r="B281" s="123"/>
      <c r="C281" s="2686"/>
      <c r="D281" s="2686"/>
      <c r="E281" s="2686"/>
      <c r="F281" s="2686"/>
      <c r="G281" s="94"/>
      <c r="H281" s="94"/>
      <c r="I281" s="2503"/>
      <c r="J281" s="2503"/>
      <c r="K281" s="2503"/>
      <c r="L281" s="2503"/>
      <c r="M281" s="2503"/>
      <c r="N281" s="2503"/>
      <c r="O281" s="2503"/>
      <c r="P281" s="2503"/>
      <c r="Q281" s="2503"/>
      <c r="R281" s="2503"/>
      <c r="S281" s="2503"/>
      <c r="T281" s="2503"/>
      <c r="U281" s="2503"/>
      <c r="V281" s="2503"/>
      <c r="W281" s="2629"/>
      <c r="X281" s="2503"/>
      <c r="Y281" s="2503"/>
      <c r="Z281" s="2503"/>
      <c r="AA281" s="2503"/>
      <c r="AB281" s="2503"/>
      <c r="AC281" s="2503"/>
      <c r="AD281" s="2503"/>
      <c r="AE281" s="2503"/>
      <c r="AF281" s="2503"/>
      <c r="AG281" s="2503"/>
      <c r="AH281" s="2503"/>
      <c r="AI281" s="2503"/>
      <c r="AJ281" s="2503"/>
      <c r="AK281" s="2503"/>
      <c r="AL281" s="2629"/>
      <c r="AM281" s="94"/>
      <c r="AN281" s="713"/>
      <c r="AO281" s="2649"/>
      <c r="AP281" s="2649"/>
      <c r="AQ281" s="2649"/>
      <c r="AR281" s="2649"/>
      <c r="AS281" s="2649"/>
      <c r="AT281" s="2649"/>
      <c r="AU281" s="715"/>
      <c r="AV281" s="713"/>
      <c r="AW281" s="2649"/>
      <c r="AX281" s="2649"/>
      <c r="AY281" s="2649"/>
      <c r="AZ281" s="715"/>
      <c r="BA281" s="2629"/>
      <c r="BB281" s="2629"/>
      <c r="BC281" s="2629"/>
      <c r="BD281" s="2629"/>
      <c r="BE281" s="2629"/>
      <c r="BF281" s="2629"/>
      <c r="BG281" s="2629"/>
      <c r="BH281" s="2629"/>
      <c r="BI281" s="2629"/>
      <c r="BJ281" s="2629"/>
      <c r="BK281" s="2629"/>
      <c r="BL281" s="2629"/>
      <c r="BM281" s="2629"/>
      <c r="BN281" s="2629"/>
      <c r="BO281" s="2629"/>
      <c r="BP281" s="2629"/>
      <c r="BQ281" s="2629"/>
      <c r="BR281" s="2629"/>
      <c r="BS281" s="2629"/>
      <c r="BT281" s="2629"/>
      <c r="BU281" s="2629"/>
      <c r="BV281" s="2629"/>
      <c r="BW281" s="2629"/>
      <c r="BX281" s="2629"/>
      <c r="BY281" s="2629"/>
      <c r="BZ281" s="2629"/>
      <c r="CA281" s="2629"/>
      <c r="CB281" s="2629"/>
      <c r="CC281" s="2629"/>
      <c r="CD281" s="2629"/>
      <c r="CE281" s="2629"/>
      <c r="CF281" s="2629"/>
    </row>
    <row r="282" spans="1:84" s="98" customFormat="1" ht="15" customHeight="1">
      <c r="A282" s="99"/>
      <c r="B282" s="2687"/>
      <c r="C282" s="2685" t="s">
        <v>1685</v>
      </c>
      <c r="D282" s="2685"/>
      <c r="E282" s="2685"/>
      <c r="F282" s="2685"/>
      <c r="G282" s="94"/>
      <c r="H282" s="94"/>
      <c r="I282" s="2503"/>
      <c r="J282" s="2503"/>
      <c r="K282" s="2503"/>
      <c r="L282" s="2503"/>
      <c r="M282" s="2503"/>
      <c r="N282" s="2503"/>
      <c r="O282" s="2503"/>
      <c r="P282" s="2503"/>
      <c r="Q282" s="2503"/>
      <c r="R282" s="2503"/>
      <c r="S282" s="2503"/>
      <c r="T282" s="2503"/>
      <c r="U282" s="2503"/>
      <c r="V282" s="2503"/>
      <c r="W282" s="2629"/>
      <c r="X282" s="2503"/>
      <c r="Y282" s="2503"/>
      <c r="Z282" s="2503"/>
      <c r="AA282" s="2503"/>
      <c r="AB282" s="2503"/>
      <c r="AC282" s="2503"/>
      <c r="AD282" s="2503"/>
      <c r="AE282" s="2503"/>
      <c r="AF282" s="2503"/>
      <c r="AG282" s="2503"/>
      <c r="AH282" s="2503"/>
      <c r="AI282" s="2503"/>
      <c r="AJ282" s="2503"/>
      <c r="AK282" s="2503"/>
      <c r="AL282" s="2629"/>
      <c r="AM282" s="94"/>
      <c r="AN282" s="713"/>
      <c r="AO282" s="2649"/>
      <c r="AP282" s="2649"/>
      <c r="AQ282" s="2649"/>
      <c r="AR282" s="2649"/>
      <c r="AS282" s="2649"/>
      <c r="AT282" s="2649"/>
      <c r="AU282" s="715"/>
      <c r="AV282" s="713"/>
      <c r="AW282" s="2649"/>
      <c r="AX282" s="2649"/>
      <c r="AY282" s="2649"/>
      <c r="AZ282" s="715"/>
      <c r="BA282" s="2629"/>
      <c r="BB282" s="2629"/>
      <c r="BC282" s="2629"/>
      <c r="BD282" s="2629"/>
      <c r="BE282" s="2629"/>
      <c r="BF282" s="2629"/>
      <c r="BG282" s="2629"/>
      <c r="BH282" s="2629"/>
      <c r="BI282" s="2629"/>
      <c r="BJ282" s="2629"/>
      <c r="BK282" s="2629"/>
      <c r="BL282" s="2629"/>
      <c r="BM282" s="2629"/>
      <c r="BN282" s="2629"/>
      <c r="BO282" s="2629"/>
      <c r="BP282" s="2629"/>
      <c r="BQ282" s="2629"/>
      <c r="BR282" s="2629"/>
      <c r="BS282" s="2629"/>
      <c r="BT282" s="2629"/>
      <c r="BU282" s="2629"/>
      <c r="BV282" s="2629"/>
      <c r="BW282" s="2629"/>
      <c r="BX282" s="2629"/>
      <c r="BY282" s="2629"/>
      <c r="BZ282" s="2629"/>
      <c r="CA282" s="2629"/>
      <c r="CB282" s="2629"/>
      <c r="CC282" s="2629"/>
      <c r="CD282" s="2629"/>
      <c r="CE282" s="2629"/>
      <c r="CF282" s="2629"/>
    </row>
    <row r="283" spans="1:84" s="98" customFormat="1" ht="15" customHeight="1">
      <c r="A283" s="99"/>
      <c r="B283" s="2687"/>
      <c r="C283" s="2688"/>
      <c r="D283" s="2688" t="s">
        <v>2736</v>
      </c>
      <c r="E283" s="2688"/>
      <c r="F283" s="2688"/>
      <c r="G283" s="2645"/>
      <c r="H283" s="2645"/>
      <c r="I283" s="2503"/>
      <c r="J283" s="2503"/>
      <c r="K283" s="2503"/>
      <c r="L283" s="2503"/>
      <c r="M283" s="2503"/>
      <c r="N283" s="2503"/>
      <c r="O283" s="2503"/>
      <c r="P283" s="2503"/>
      <c r="Q283" s="2503"/>
      <c r="R283" s="2503"/>
      <c r="S283" s="2503"/>
      <c r="T283" s="2503"/>
      <c r="U283" s="2503"/>
      <c r="V283" s="2503"/>
      <c r="W283" s="2629"/>
      <c r="X283" s="2503"/>
      <c r="Y283" s="2503"/>
      <c r="Z283" s="2503"/>
      <c r="AA283" s="2503"/>
      <c r="AB283" s="2503"/>
      <c r="AC283" s="2503"/>
      <c r="AD283" s="2503"/>
      <c r="AE283" s="2503"/>
      <c r="AF283" s="2503"/>
      <c r="AG283" s="2503"/>
      <c r="AH283" s="2503"/>
      <c r="AI283" s="2503"/>
      <c r="AJ283" s="2503"/>
      <c r="AK283" s="2503"/>
      <c r="AL283" s="2629"/>
      <c r="AM283" s="607" t="s">
        <v>2233</v>
      </c>
      <c r="AN283" s="143">
        <v>-2.8000000000000001E-2</v>
      </c>
      <c r="AO283" s="141">
        <v>-0.18899999999999997</v>
      </c>
      <c r="AP283" s="141">
        <v>-0.4</v>
      </c>
      <c r="AQ283" s="141">
        <v>0</v>
      </c>
      <c r="AR283" s="141">
        <v>0</v>
      </c>
      <c r="AS283" s="141">
        <v>0</v>
      </c>
      <c r="AT283" s="141">
        <v>-0.17293972939729396</v>
      </c>
      <c r="AU283" s="144">
        <v>-0.17766875317205211</v>
      </c>
      <c r="AV283" s="143">
        <v>-0.28189144644574149</v>
      </c>
      <c r="AW283" s="141">
        <v>-0.28189144644574149</v>
      </c>
      <c r="AX283" s="141">
        <v>-0.28189144644574149</v>
      </c>
      <c r="AY283" s="141">
        <v>-0.28189144644574149</v>
      </c>
      <c r="AZ283" s="144">
        <v>-0.28189144644574149</v>
      </c>
      <c r="BA283" s="2629"/>
      <c r="BB283" s="2629"/>
      <c r="BC283" s="2629"/>
      <c r="BD283" s="2629"/>
      <c r="BE283" s="2629"/>
      <c r="BF283" s="2629"/>
      <c r="BG283" s="2629"/>
      <c r="BH283" s="2629"/>
      <c r="BI283" s="2629"/>
      <c r="BJ283" s="2629"/>
      <c r="BK283" s="2629"/>
      <c r="BL283" s="2629"/>
      <c r="BM283" s="2629"/>
      <c r="BN283" s="2629"/>
      <c r="BO283" s="2629"/>
      <c r="BP283" s="2629"/>
      <c r="BQ283" s="2629"/>
      <c r="BR283" s="2629"/>
      <c r="BS283" s="2629"/>
      <c r="BT283" s="2629"/>
      <c r="BU283" s="2629"/>
      <c r="BV283" s="2629"/>
      <c r="BW283" s="2629"/>
      <c r="BX283" s="2629"/>
      <c r="BY283" s="2629"/>
      <c r="BZ283" s="2629"/>
      <c r="CA283" s="2629"/>
      <c r="CB283" s="2629"/>
      <c r="CC283" s="2629"/>
      <c r="CD283" s="2629"/>
      <c r="CE283" s="2629"/>
      <c r="CF283" s="2629"/>
    </row>
    <row r="284" spans="1:84" s="98" customFormat="1" ht="15" customHeight="1">
      <c r="A284" s="99"/>
      <c r="B284" s="2687"/>
      <c r="C284" s="2688"/>
      <c r="D284" s="2688" t="s">
        <v>2737</v>
      </c>
      <c r="E284" s="2688"/>
      <c r="F284" s="2688"/>
      <c r="G284" s="2645"/>
      <c r="H284" s="2645"/>
      <c r="I284" s="2503"/>
      <c r="J284" s="2503"/>
      <c r="K284" s="2503"/>
      <c r="L284" s="2503"/>
      <c r="M284" s="2503"/>
      <c r="N284" s="2503"/>
      <c r="O284" s="2503"/>
      <c r="P284" s="2503"/>
      <c r="Q284" s="2503"/>
      <c r="R284" s="2503"/>
      <c r="S284" s="2503"/>
      <c r="T284" s="2503"/>
      <c r="U284" s="2503"/>
      <c r="V284" s="2503"/>
      <c r="W284" s="2629"/>
      <c r="X284" s="2503"/>
      <c r="Y284" s="2503"/>
      <c r="Z284" s="2503"/>
      <c r="AA284" s="2503"/>
      <c r="AB284" s="2503"/>
      <c r="AC284" s="2503"/>
      <c r="AD284" s="2503"/>
      <c r="AE284" s="2503"/>
      <c r="AF284" s="2503"/>
      <c r="AG284" s="2503"/>
      <c r="AH284" s="2503"/>
      <c r="AI284" s="2503"/>
      <c r="AJ284" s="2503"/>
      <c r="AK284" s="2503"/>
      <c r="AL284" s="2629"/>
      <c r="AM284" s="607" t="s">
        <v>2233</v>
      </c>
      <c r="AN284" s="143">
        <v>-0.22</v>
      </c>
      <c r="AO284" s="141">
        <v>0</v>
      </c>
      <c r="AP284" s="141">
        <v>0</v>
      </c>
      <c r="AQ284" s="141">
        <v>0</v>
      </c>
      <c r="AR284" s="141">
        <v>0</v>
      </c>
      <c r="AS284" s="141">
        <v>0</v>
      </c>
      <c r="AT284" s="141">
        <v>-2.7060270602706028E-2</v>
      </c>
      <c r="AU284" s="144">
        <v>-2.2331246827947893E-2</v>
      </c>
      <c r="AV284" s="143">
        <v>-4.4045538507147118E-2</v>
      </c>
      <c r="AW284" s="141">
        <v>-4.4045538507147118E-2</v>
      </c>
      <c r="AX284" s="141">
        <v>-4.4045538507147118E-2</v>
      </c>
      <c r="AY284" s="141">
        <v>-4.4045538507147118E-2</v>
      </c>
      <c r="AZ284" s="144">
        <v>-4.4045538507147118E-2</v>
      </c>
      <c r="BA284" s="2629"/>
      <c r="BB284" s="2629"/>
      <c r="BC284" s="2629"/>
      <c r="BD284" s="2629"/>
      <c r="BE284" s="2629"/>
      <c r="BF284" s="2629"/>
      <c r="BG284" s="2629"/>
      <c r="BH284" s="2629"/>
      <c r="BI284" s="2629"/>
      <c r="BJ284" s="2629"/>
      <c r="BK284" s="2629"/>
      <c r="BL284" s="2629"/>
      <c r="BM284" s="2629"/>
      <c r="BN284" s="2629"/>
      <c r="BO284" s="2629"/>
      <c r="BP284" s="2629"/>
      <c r="BQ284" s="2629"/>
      <c r="BR284" s="2629"/>
      <c r="BS284" s="2629"/>
      <c r="BT284" s="2629"/>
      <c r="BU284" s="2629"/>
      <c r="BV284" s="2629"/>
      <c r="BW284" s="2629"/>
      <c r="BX284" s="2629"/>
      <c r="BY284" s="2629"/>
      <c r="BZ284" s="2629"/>
      <c r="CA284" s="2629"/>
      <c r="CB284" s="2629"/>
      <c r="CC284" s="2629"/>
      <c r="CD284" s="2629"/>
      <c r="CE284" s="2629"/>
      <c r="CF284" s="2629"/>
    </row>
    <row r="285" spans="1:84" s="98" customFormat="1" ht="15" customHeight="1">
      <c r="A285" s="99"/>
      <c r="B285" s="2687"/>
      <c r="C285" s="2688" t="s">
        <v>1710</v>
      </c>
      <c r="D285" s="2688"/>
      <c r="E285" s="2688"/>
      <c r="F285" s="2688"/>
      <c r="G285" s="2645"/>
      <c r="H285" s="2645"/>
      <c r="I285" s="2503"/>
      <c r="J285" s="2503"/>
      <c r="K285" s="2503"/>
      <c r="L285" s="2503"/>
      <c r="M285" s="2503"/>
      <c r="N285" s="2503"/>
      <c r="O285" s="2503"/>
      <c r="P285" s="2503"/>
      <c r="Q285" s="2503"/>
      <c r="R285" s="2503"/>
      <c r="S285" s="2503"/>
      <c r="T285" s="2503"/>
      <c r="U285" s="2503"/>
      <c r="V285" s="2503"/>
      <c r="W285" s="2629"/>
      <c r="X285" s="2503"/>
      <c r="Y285" s="2503"/>
      <c r="Z285" s="2503"/>
      <c r="AA285" s="2503"/>
      <c r="AB285" s="2503"/>
      <c r="AC285" s="2503"/>
      <c r="AD285" s="2503"/>
      <c r="AE285" s="2503"/>
      <c r="AF285" s="2503"/>
      <c r="AG285" s="2503"/>
      <c r="AH285" s="2503"/>
      <c r="AI285" s="2503"/>
      <c r="AJ285" s="2503"/>
      <c r="AK285" s="2503"/>
      <c r="AL285" s="2629"/>
      <c r="AM285" s="607" t="s">
        <v>2233</v>
      </c>
      <c r="AN285" s="641">
        <f>SUM(AN283:AN284)</f>
        <v>-0.248</v>
      </c>
      <c r="AO285" s="642">
        <f t="shared" ref="AO285:AZ285" si="82">SUM(AO283:AO284)</f>
        <v>-0.18899999999999997</v>
      </c>
      <c r="AP285" s="642">
        <f t="shared" si="82"/>
        <v>-0.4</v>
      </c>
      <c r="AQ285" s="642">
        <f t="shared" si="82"/>
        <v>0</v>
      </c>
      <c r="AR285" s="642">
        <f t="shared" si="82"/>
        <v>0</v>
      </c>
      <c r="AS285" s="642">
        <f t="shared" si="82"/>
        <v>0</v>
      </c>
      <c r="AT285" s="642">
        <f t="shared" si="82"/>
        <v>-0.19999999999999998</v>
      </c>
      <c r="AU285" s="643">
        <f t="shared" si="82"/>
        <v>-0.2</v>
      </c>
      <c r="AV285" s="641">
        <f t="shared" si="82"/>
        <v>-0.32593698495288859</v>
      </c>
      <c r="AW285" s="642">
        <f t="shared" si="82"/>
        <v>-0.32593698495288859</v>
      </c>
      <c r="AX285" s="642">
        <f t="shared" si="82"/>
        <v>-0.32593698495288859</v>
      </c>
      <c r="AY285" s="642">
        <f t="shared" si="82"/>
        <v>-0.32593698495288859</v>
      </c>
      <c r="AZ285" s="643">
        <f t="shared" si="82"/>
        <v>-0.32593698495288859</v>
      </c>
      <c r="BA285" s="2629"/>
      <c r="BB285" s="2629"/>
      <c r="BC285" s="2629"/>
      <c r="BD285" s="2629"/>
      <c r="BE285" s="2629"/>
      <c r="BF285" s="2629"/>
      <c r="BG285" s="2629"/>
      <c r="BH285" s="2629"/>
      <c r="BI285" s="2629"/>
      <c r="BJ285" s="2629"/>
      <c r="BK285" s="2629"/>
      <c r="BL285" s="2629"/>
      <c r="BM285" s="2629"/>
      <c r="BN285" s="2629"/>
      <c r="BO285" s="2629"/>
      <c r="BP285" s="2629"/>
      <c r="BQ285" s="2629"/>
      <c r="BR285" s="2629"/>
      <c r="BS285" s="2629"/>
      <c r="BT285" s="2629"/>
      <c r="BU285" s="2629"/>
      <c r="BV285" s="2629"/>
      <c r="BW285" s="2629"/>
      <c r="BX285" s="2629"/>
      <c r="BY285" s="2629"/>
      <c r="BZ285" s="2629"/>
      <c r="CA285" s="2629"/>
      <c r="CB285" s="2629"/>
      <c r="CC285" s="2629"/>
      <c r="CD285" s="2629"/>
      <c r="CE285" s="2629"/>
      <c r="CF285" s="2629"/>
    </row>
    <row r="286" spans="1:84" s="98" customFormat="1" ht="15" customHeight="1">
      <c r="A286" s="99"/>
      <c r="B286" s="123"/>
      <c r="C286" s="2686"/>
      <c r="D286" s="2686"/>
      <c r="E286" s="2686"/>
      <c r="F286" s="2686"/>
      <c r="G286" s="94"/>
      <c r="H286" s="94"/>
      <c r="I286" s="2503"/>
      <c r="J286" s="2503"/>
      <c r="K286" s="2503"/>
      <c r="L286" s="2503"/>
      <c r="M286" s="2503"/>
      <c r="N286" s="2503"/>
      <c r="O286" s="2503"/>
      <c r="P286" s="2503"/>
      <c r="Q286" s="2503"/>
      <c r="R286" s="2503"/>
      <c r="S286" s="2503"/>
      <c r="T286" s="2503"/>
      <c r="U286" s="2503"/>
      <c r="V286" s="2503"/>
      <c r="W286" s="2629"/>
      <c r="X286" s="2503"/>
      <c r="Y286" s="2503"/>
      <c r="Z286" s="2503"/>
      <c r="AA286" s="2503"/>
      <c r="AB286" s="2503"/>
      <c r="AC286" s="2503"/>
      <c r="AD286" s="2503"/>
      <c r="AE286" s="2503"/>
      <c r="AF286" s="2503"/>
      <c r="AG286" s="2503"/>
      <c r="AH286" s="2503"/>
      <c r="AI286" s="2503"/>
      <c r="AJ286" s="2503"/>
      <c r="AK286" s="2503"/>
      <c r="AL286" s="2629"/>
      <c r="AM286" s="94"/>
      <c r="AN286" s="713"/>
      <c r="AO286" s="2649"/>
      <c r="AP286" s="2649"/>
      <c r="AQ286" s="2649"/>
      <c r="AR286" s="2649"/>
      <c r="AS286" s="2649"/>
      <c r="AT286" s="2649"/>
      <c r="AU286" s="715"/>
      <c r="AV286" s="713"/>
      <c r="AW286" s="2649"/>
      <c r="AX286" s="2649"/>
      <c r="AY286" s="2649"/>
      <c r="AZ286" s="715"/>
      <c r="BA286" s="2629"/>
      <c r="BB286" s="2629"/>
      <c r="BC286" s="2629"/>
      <c r="BD286" s="2629"/>
      <c r="BE286" s="2629"/>
      <c r="BF286" s="2629"/>
      <c r="BG286" s="2629"/>
      <c r="BH286" s="2629"/>
      <c r="BI286" s="2629"/>
      <c r="BJ286" s="2629"/>
      <c r="BK286" s="2629"/>
      <c r="BL286" s="2629"/>
      <c r="BM286" s="2629"/>
      <c r="BN286" s="2629"/>
      <c r="BO286" s="2629"/>
      <c r="BP286" s="2629"/>
      <c r="BQ286" s="2629"/>
      <c r="BR286" s="2629"/>
      <c r="BS286" s="2629"/>
      <c r="BT286" s="2629"/>
      <c r="BU286" s="2629"/>
      <c r="BV286" s="2629"/>
      <c r="BW286" s="2629"/>
      <c r="BX286" s="2629"/>
      <c r="BY286" s="2629"/>
      <c r="BZ286" s="2629"/>
      <c r="CA286" s="2629"/>
      <c r="CB286" s="2629"/>
      <c r="CC286" s="2629"/>
      <c r="CD286" s="2629"/>
      <c r="CE286" s="2629"/>
      <c r="CF286" s="2629"/>
    </row>
    <row r="287" spans="1:84" s="98" customFormat="1" ht="15" customHeight="1">
      <c r="A287" s="99"/>
      <c r="B287" s="2687"/>
      <c r="C287" s="2685" t="s">
        <v>2670</v>
      </c>
      <c r="D287" s="2685"/>
      <c r="E287" s="2685"/>
      <c r="F287" s="2685"/>
      <c r="G287" s="94"/>
      <c r="H287" s="94"/>
      <c r="I287" s="2503"/>
      <c r="J287" s="2503"/>
      <c r="K287" s="2503"/>
      <c r="L287" s="2503"/>
      <c r="M287" s="2503"/>
      <c r="N287" s="2503"/>
      <c r="O287" s="2503"/>
      <c r="P287" s="2503"/>
      <c r="Q287" s="2503"/>
      <c r="R287" s="2503"/>
      <c r="S287" s="2503"/>
      <c r="T287" s="2503"/>
      <c r="U287" s="2503"/>
      <c r="V287" s="2503"/>
      <c r="W287" s="2629"/>
      <c r="X287" s="2503"/>
      <c r="Y287" s="2503"/>
      <c r="Z287" s="2503"/>
      <c r="AA287" s="2503"/>
      <c r="AB287" s="2503"/>
      <c r="AC287" s="2503"/>
      <c r="AD287" s="2503"/>
      <c r="AE287" s="2503"/>
      <c r="AF287" s="2503"/>
      <c r="AG287" s="2503"/>
      <c r="AH287" s="2503"/>
      <c r="AI287" s="2503"/>
      <c r="AJ287" s="2503"/>
      <c r="AK287" s="2503"/>
      <c r="AL287" s="2629"/>
      <c r="AM287" s="94"/>
      <c r="AN287" s="713"/>
      <c r="AO287" s="2649"/>
      <c r="AP287" s="2649"/>
      <c r="AQ287" s="2649"/>
      <c r="AR287" s="2649"/>
      <c r="AS287" s="2649"/>
      <c r="AT287" s="2649"/>
      <c r="AU287" s="715"/>
      <c r="AV287" s="713"/>
      <c r="AW287" s="2649"/>
      <c r="AX287" s="2649"/>
      <c r="AY287" s="2649"/>
      <c r="AZ287" s="715"/>
      <c r="BA287" s="2629"/>
      <c r="BB287" s="2629"/>
      <c r="BC287" s="2629"/>
      <c r="BD287" s="2629"/>
      <c r="BE287" s="2629"/>
      <c r="BF287" s="2629"/>
      <c r="BG287" s="2629"/>
      <c r="BH287" s="2629"/>
      <c r="BI287" s="2629"/>
      <c r="BJ287" s="2629"/>
      <c r="BK287" s="2629"/>
      <c r="BL287" s="2629"/>
      <c r="BM287" s="2629"/>
      <c r="BN287" s="2629"/>
      <c r="BO287" s="2629"/>
      <c r="BP287" s="2629"/>
      <c r="BQ287" s="2629"/>
      <c r="BR287" s="2629"/>
      <c r="BS287" s="2629"/>
      <c r="BT287" s="2629"/>
      <c r="BU287" s="2629"/>
      <c r="BV287" s="2629"/>
      <c r="BW287" s="2629"/>
      <c r="BX287" s="2629"/>
      <c r="BY287" s="2629"/>
      <c r="BZ287" s="2629"/>
      <c r="CA287" s="2629"/>
      <c r="CB287" s="2629"/>
      <c r="CC287" s="2629"/>
      <c r="CD287" s="2629"/>
      <c r="CE287" s="2629"/>
      <c r="CF287" s="2629"/>
    </row>
    <row r="288" spans="1:84" s="98" customFormat="1" ht="15" customHeight="1">
      <c r="A288" s="99"/>
      <c r="B288" s="2687"/>
      <c r="C288" s="2688"/>
      <c r="D288" s="2688" t="s">
        <v>2716</v>
      </c>
      <c r="E288" s="2688"/>
      <c r="F288" s="2688"/>
      <c r="G288" s="2645"/>
      <c r="H288" s="2645"/>
      <c r="I288" s="2503"/>
      <c r="J288" s="2503"/>
      <c r="K288" s="2503"/>
      <c r="L288" s="2503"/>
      <c r="M288" s="2503"/>
      <c r="N288" s="2503"/>
      <c r="O288" s="2503"/>
      <c r="P288" s="2503"/>
      <c r="Q288" s="2503"/>
      <c r="R288" s="2503"/>
      <c r="S288" s="2503"/>
      <c r="T288" s="2503"/>
      <c r="U288" s="2503"/>
      <c r="V288" s="2503"/>
      <c r="W288" s="2629"/>
      <c r="X288" s="2503"/>
      <c r="Y288" s="2503"/>
      <c r="Z288" s="2503"/>
      <c r="AA288" s="2503"/>
      <c r="AB288" s="2503"/>
      <c r="AC288" s="2503"/>
      <c r="AD288" s="2503"/>
      <c r="AE288" s="2503"/>
      <c r="AF288" s="2503"/>
      <c r="AG288" s="2503"/>
      <c r="AH288" s="2503"/>
      <c r="AI288" s="2503"/>
      <c r="AJ288" s="2503"/>
      <c r="AK288" s="2503"/>
      <c r="AL288" s="2629"/>
      <c r="AM288" s="607" t="s">
        <v>2233</v>
      </c>
      <c r="AN288" s="143">
        <v>-1.1220000000000001</v>
      </c>
      <c r="AO288" s="141">
        <v>-2.0309999999999997</v>
      </c>
      <c r="AP288" s="141">
        <v>-0.89500000000000002</v>
      </c>
      <c r="AQ288" s="141">
        <v>-1.052</v>
      </c>
      <c r="AR288" s="141">
        <v>-3.9369999999999967</v>
      </c>
      <c r="AS288" s="141">
        <v>-1.4739999999999998</v>
      </c>
      <c r="AT288" s="141">
        <v>0</v>
      </c>
      <c r="AU288" s="144">
        <v>0</v>
      </c>
      <c r="AV288" s="143">
        <v>0</v>
      </c>
      <c r="AW288" s="141">
        <v>0</v>
      </c>
      <c r="AX288" s="141">
        <v>0</v>
      </c>
      <c r="AY288" s="141">
        <v>0</v>
      </c>
      <c r="AZ288" s="144">
        <v>0</v>
      </c>
      <c r="BA288" s="2629"/>
      <c r="BB288" s="2629"/>
      <c r="BC288" s="2629"/>
      <c r="BD288" s="2629"/>
      <c r="BE288" s="2629"/>
      <c r="BF288" s="2629"/>
      <c r="BG288" s="2629"/>
      <c r="BH288" s="2629"/>
      <c r="BI288" s="2629"/>
      <c r="BJ288" s="2629"/>
      <c r="BK288" s="2629"/>
      <c r="BL288" s="2629"/>
      <c r="BM288" s="2629"/>
      <c r="BN288" s="2629"/>
      <c r="BO288" s="2629"/>
      <c r="BP288" s="2629"/>
      <c r="BQ288" s="2629"/>
      <c r="BR288" s="2629"/>
      <c r="BS288" s="2629"/>
      <c r="BT288" s="2629"/>
      <c r="BU288" s="2629"/>
      <c r="BV288" s="2629"/>
      <c r="BW288" s="2629"/>
      <c r="BX288" s="2629"/>
      <c r="BY288" s="2629"/>
      <c r="BZ288" s="2629"/>
      <c r="CA288" s="2629"/>
      <c r="CB288" s="2629"/>
      <c r="CC288" s="2629"/>
      <c r="CD288" s="2629"/>
      <c r="CE288" s="2629"/>
      <c r="CF288" s="2629"/>
    </row>
    <row r="289" spans="1:84" s="98" customFormat="1" ht="15" customHeight="1">
      <c r="A289" s="99"/>
      <c r="B289" s="2687"/>
      <c r="C289" s="2688"/>
      <c r="D289" s="2688" t="s">
        <v>2717</v>
      </c>
      <c r="E289" s="2688"/>
      <c r="F289" s="2688"/>
      <c r="G289" s="2645"/>
      <c r="H289" s="2645"/>
      <c r="I289" s="2503"/>
      <c r="J289" s="2503"/>
      <c r="K289" s="2503"/>
      <c r="L289" s="2503"/>
      <c r="M289" s="2503"/>
      <c r="N289" s="2503"/>
      <c r="O289" s="2503"/>
      <c r="P289" s="2503"/>
      <c r="Q289" s="2503"/>
      <c r="R289" s="2503"/>
      <c r="S289" s="2503"/>
      <c r="T289" s="2503"/>
      <c r="U289" s="2503"/>
      <c r="V289" s="2503"/>
      <c r="W289" s="2629"/>
      <c r="X289" s="2503"/>
      <c r="Y289" s="2503"/>
      <c r="Z289" s="2503"/>
      <c r="AA289" s="2503"/>
      <c r="AB289" s="2503"/>
      <c r="AC289" s="2503"/>
      <c r="AD289" s="2503"/>
      <c r="AE289" s="2503"/>
      <c r="AF289" s="2503"/>
      <c r="AG289" s="2503"/>
      <c r="AH289" s="2503"/>
      <c r="AI289" s="2503"/>
      <c r="AJ289" s="2503"/>
      <c r="AK289" s="2503"/>
      <c r="AL289" s="2629"/>
      <c r="AM289" s="607" t="s">
        <v>2233</v>
      </c>
      <c r="AN289" s="143">
        <v>-0.71</v>
      </c>
      <c r="AO289" s="141">
        <v>-0.16900000000000004</v>
      </c>
      <c r="AP289" s="141">
        <v>-0.13400000000000001</v>
      </c>
      <c r="AQ289" s="141">
        <v>-0.71800000000000019</v>
      </c>
      <c r="AR289" s="141">
        <v>-1.5719999999999998</v>
      </c>
      <c r="AS289" s="141">
        <v>-0.74900000000000011</v>
      </c>
      <c r="AT289" s="141">
        <v>0</v>
      </c>
      <c r="AU289" s="144">
        <v>0</v>
      </c>
      <c r="AV289" s="143">
        <v>0</v>
      </c>
      <c r="AW289" s="141">
        <v>0</v>
      </c>
      <c r="AX289" s="141">
        <v>0</v>
      </c>
      <c r="AY289" s="141">
        <v>0</v>
      </c>
      <c r="AZ289" s="144">
        <v>0</v>
      </c>
      <c r="BA289" s="2629"/>
      <c r="BB289" s="2629"/>
      <c r="BC289" s="2629"/>
      <c r="BD289" s="2629"/>
      <c r="BE289" s="2629"/>
      <c r="BF289" s="2629"/>
      <c r="BG289" s="2629"/>
      <c r="BH289" s="2629"/>
      <c r="BI289" s="2629"/>
      <c r="BJ289" s="2629"/>
      <c r="BK289" s="2629"/>
      <c r="BL289" s="2629"/>
      <c r="BM289" s="2629"/>
      <c r="BN289" s="2629"/>
      <c r="BO289" s="2629"/>
      <c r="BP289" s="2629"/>
      <c r="BQ289" s="2629"/>
      <c r="BR289" s="2629"/>
      <c r="BS289" s="2629"/>
      <c r="BT289" s="2629"/>
      <c r="BU289" s="2629"/>
      <c r="BV289" s="2629"/>
      <c r="BW289" s="2629"/>
      <c r="BX289" s="2629"/>
      <c r="BY289" s="2629"/>
      <c r="BZ289" s="2629"/>
      <c r="CA289" s="2629"/>
      <c r="CB289" s="2629"/>
      <c r="CC289" s="2629"/>
      <c r="CD289" s="2629"/>
      <c r="CE289" s="2629"/>
      <c r="CF289" s="2629"/>
    </row>
    <row r="290" spans="1:84" s="98" customFormat="1" ht="15" customHeight="1">
      <c r="A290" s="99"/>
      <c r="B290" s="2687"/>
      <c r="C290" s="2688"/>
      <c r="D290" s="2688" t="s">
        <v>2718</v>
      </c>
      <c r="E290" s="2688"/>
      <c r="F290" s="2688"/>
      <c r="G290" s="2645"/>
      <c r="H290" s="2645"/>
      <c r="I290" s="2503"/>
      <c r="J290" s="2503"/>
      <c r="K290" s="2503"/>
      <c r="L290" s="2503"/>
      <c r="M290" s="2503"/>
      <c r="N290" s="2503"/>
      <c r="O290" s="2503"/>
      <c r="P290" s="2503"/>
      <c r="Q290" s="2503"/>
      <c r="R290" s="2503"/>
      <c r="S290" s="2503"/>
      <c r="T290" s="2503"/>
      <c r="U290" s="2503"/>
      <c r="V290" s="2503"/>
      <c r="W290" s="2629"/>
      <c r="X290" s="2503"/>
      <c r="Y290" s="2503"/>
      <c r="Z290" s="2503"/>
      <c r="AA290" s="2503"/>
      <c r="AB290" s="2503"/>
      <c r="AC290" s="2503"/>
      <c r="AD290" s="2503"/>
      <c r="AE290" s="2503"/>
      <c r="AF290" s="2503"/>
      <c r="AG290" s="2503"/>
      <c r="AH290" s="2503"/>
      <c r="AI290" s="2503"/>
      <c r="AJ290" s="2503"/>
      <c r="AK290" s="2503"/>
      <c r="AL290" s="2629"/>
      <c r="AM290" s="607" t="s">
        <v>2233</v>
      </c>
      <c r="AN290" s="143">
        <v>-1.1160000000000001</v>
      </c>
      <c r="AO290" s="141">
        <v>-0.60799999999999998</v>
      </c>
      <c r="AP290" s="141">
        <v>-2.0119999999999996</v>
      </c>
      <c r="AQ290" s="141">
        <v>-2.3129999999999997</v>
      </c>
      <c r="AR290" s="141">
        <v>-1.4459999999999997</v>
      </c>
      <c r="AS290" s="141">
        <v>-1.2140000000000002</v>
      </c>
      <c r="AT290" s="141">
        <v>0</v>
      </c>
      <c r="AU290" s="144">
        <v>0</v>
      </c>
      <c r="AV290" s="143">
        <v>0</v>
      </c>
      <c r="AW290" s="141">
        <v>0</v>
      </c>
      <c r="AX290" s="141">
        <v>0</v>
      </c>
      <c r="AY290" s="141">
        <v>0</v>
      </c>
      <c r="AZ290" s="144">
        <v>0</v>
      </c>
      <c r="BA290" s="2629"/>
      <c r="BB290" s="2629"/>
      <c r="BC290" s="2629"/>
      <c r="BD290" s="2629"/>
      <c r="BE290" s="2629"/>
      <c r="BF290" s="2629"/>
      <c r="BG290" s="2629"/>
      <c r="BH290" s="2629"/>
      <c r="BI290" s="2629"/>
      <c r="BJ290" s="2629"/>
      <c r="BK290" s="2629"/>
      <c r="BL290" s="2629"/>
      <c r="BM290" s="2629"/>
      <c r="BN290" s="2629"/>
      <c r="BO290" s="2629"/>
      <c r="BP290" s="2629"/>
      <c r="BQ290" s="2629"/>
      <c r="BR290" s="2629"/>
      <c r="BS290" s="2629"/>
      <c r="BT290" s="2629"/>
      <c r="BU290" s="2629"/>
      <c r="BV290" s="2629"/>
      <c r="BW290" s="2629"/>
      <c r="BX290" s="2629"/>
      <c r="BY290" s="2629"/>
      <c r="BZ290" s="2629"/>
      <c r="CA290" s="2629"/>
      <c r="CB290" s="2629"/>
      <c r="CC290" s="2629"/>
      <c r="CD290" s="2629"/>
      <c r="CE290" s="2629"/>
      <c r="CF290" s="2629"/>
    </row>
    <row r="291" spans="1:84" s="98" customFormat="1" ht="15" customHeight="1">
      <c r="A291" s="99"/>
      <c r="B291" s="2687"/>
      <c r="C291" s="2688"/>
      <c r="D291" s="2688" t="s">
        <v>2719</v>
      </c>
      <c r="E291" s="2688"/>
      <c r="F291" s="2688"/>
      <c r="G291" s="2645"/>
      <c r="H291" s="2645"/>
      <c r="I291" s="2503"/>
      <c r="J291" s="2503"/>
      <c r="K291" s="2503"/>
      <c r="L291" s="2503"/>
      <c r="M291" s="2503"/>
      <c r="N291" s="2503"/>
      <c r="O291" s="2503"/>
      <c r="P291" s="2503"/>
      <c r="Q291" s="2503"/>
      <c r="R291" s="2503"/>
      <c r="S291" s="2503"/>
      <c r="T291" s="2503"/>
      <c r="U291" s="2503"/>
      <c r="V291" s="2503"/>
      <c r="W291" s="2629"/>
      <c r="X291" s="2503"/>
      <c r="Y291" s="2503"/>
      <c r="Z291" s="2503"/>
      <c r="AA291" s="2503"/>
      <c r="AB291" s="2503"/>
      <c r="AC291" s="2503"/>
      <c r="AD291" s="2503"/>
      <c r="AE291" s="2503"/>
      <c r="AF291" s="2503"/>
      <c r="AG291" s="2503"/>
      <c r="AH291" s="2503"/>
      <c r="AI291" s="2503"/>
      <c r="AJ291" s="2503"/>
      <c r="AK291" s="2503"/>
      <c r="AL291" s="2629"/>
      <c r="AM291" s="607" t="s">
        <v>2233</v>
      </c>
      <c r="AN291" s="143">
        <v>-0.111</v>
      </c>
      <c r="AO291" s="141">
        <v>0</v>
      </c>
      <c r="AP291" s="141">
        <v>0</v>
      </c>
      <c r="AQ291" s="141">
        <v>0</v>
      </c>
      <c r="AR291" s="141">
        <v>0</v>
      </c>
      <c r="AS291" s="141">
        <v>0</v>
      </c>
      <c r="AT291" s="141">
        <v>0</v>
      </c>
      <c r="AU291" s="144">
        <v>0</v>
      </c>
      <c r="AV291" s="143">
        <v>0</v>
      </c>
      <c r="AW291" s="141">
        <v>0</v>
      </c>
      <c r="AX291" s="141">
        <v>0</v>
      </c>
      <c r="AY291" s="141">
        <v>0</v>
      </c>
      <c r="AZ291" s="144">
        <v>0</v>
      </c>
      <c r="BA291" s="2629"/>
      <c r="BB291" s="2629"/>
      <c r="BC291" s="2629"/>
      <c r="BD291" s="2629"/>
      <c r="BE291" s="2629"/>
      <c r="BF291" s="2629"/>
      <c r="BG291" s="2629"/>
      <c r="BH291" s="2629"/>
      <c r="BI291" s="2629"/>
      <c r="BJ291" s="2629"/>
      <c r="BK291" s="2629"/>
      <c r="BL291" s="2629"/>
      <c r="BM291" s="2629"/>
      <c r="BN291" s="2629"/>
      <c r="BO291" s="2629"/>
      <c r="BP291" s="2629"/>
      <c r="BQ291" s="2629"/>
      <c r="BR291" s="2629"/>
      <c r="BS291" s="2629"/>
      <c r="BT291" s="2629"/>
      <c r="BU291" s="2629"/>
      <c r="BV291" s="2629"/>
      <c r="BW291" s="2629"/>
      <c r="BX291" s="2629"/>
      <c r="BY291" s="2629"/>
      <c r="BZ291" s="2629"/>
      <c r="CA291" s="2629"/>
      <c r="CB291" s="2629"/>
      <c r="CC291" s="2629"/>
      <c r="CD291" s="2629"/>
      <c r="CE291" s="2629"/>
      <c r="CF291" s="2629"/>
    </row>
    <row r="292" spans="1:84" s="98" customFormat="1" ht="15" customHeight="1">
      <c r="A292" s="99"/>
      <c r="B292" s="2687"/>
      <c r="C292" s="2688"/>
      <c r="D292" s="2688" t="s">
        <v>2726</v>
      </c>
      <c r="E292" s="2688"/>
      <c r="F292" s="2688"/>
      <c r="G292" s="2645"/>
      <c r="H292" s="2645"/>
      <c r="I292" s="2503"/>
      <c r="J292" s="2503"/>
      <c r="K292" s="2503"/>
      <c r="L292" s="2503"/>
      <c r="M292" s="2503"/>
      <c r="N292" s="2503"/>
      <c r="O292" s="2503"/>
      <c r="P292" s="2503"/>
      <c r="Q292" s="2503"/>
      <c r="R292" s="2503"/>
      <c r="S292" s="2503"/>
      <c r="T292" s="2503"/>
      <c r="U292" s="2503"/>
      <c r="V292" s="2503"/>
      <c r="W292" s="2629"/>
      <c r="X292" s="2503"/>
      <c r="Y292" s="2503"/>
      <c r="Z292" s="2503"/>
      <c r="AA292" s="2503"/>
      <c r="AB292" s="2503"/>
      <c r="AC292" s="2503"/>
      <c r="AD292" s="2503"/>
      <c r="AE292" s="2503"/>
      <c r="AF292" s="2503"/>
      <c r="AG292" s="2503"/>
      <c r="AH292" s="2503"/>
      <c r="AI292" s="2503"/>
      <c r="AJ292" s="2503"/>
      <c r="AK292" s="2503"/>
      <c r="AL292" s="2629"/>
      <c r="AM292" s="607" t="s">
        <v>2233</v>
      </c>
      <c r="AN292" s="143">
        <v>-0.13500000000000001</v>
      </c>
      <c r="AO292" s="141">
        <v>-0.496</v>
      </c>
      <c r="AP292" s="141">
        <v>-0.27500000000000002</v>
      </c>
      <c r="AQ292" s="141">
        <v>-4.9000000000000002E-2</v>
      </c>
      <c r="AR292" s="141">
        <v>-0.84200000000000008</v>
      </c>
      <c r="AS292" s="141">
        <v>-0.224</v>
      </c>
      <c r="AT292" s="141">
        <v>0</v>
      </c>
      <c r="AU292" s="144">
        <v>0</v>
      </c>
      <c r="AV292" s="143">
        <v>0</v>
      </c>
      <c r="AW292" s="141">
        <v>0</v>
      </c>
      <c r="AX292" s="141">
        <v>0</v>
      </c>
      <c r="AY292" s="141">
        <v>0</v>
      </c>
      <c r="AZ292" s="144">
        <v>0</v>
      </c>
      <c r="BA292" s="2629"/>
      <c r="BB292" s="2629"/>
      <c r="BC292" s="2629"/>
      <c r="BD292" s="2629"/>
      <c r="BE292" s="2629"/>
      <c r="BF292" s="2629"/>
      <c r="BG292" s="2629"/>
      <c r="BH292" s="2629"/>
      <c r="BI292" s="2629"/>
      <c r="BJ292" s="2629"/>
      <c r="BK292" s="2629"/>
      <c r="BL292" s="2629"/>
      <c r="BM292" s="2629"/>
      <c r="BN292" s="2629"/>
      <c r="BO292" s="2629"/>
      <c r="BP292" s="2629"/>
      <c r="BQ292" s="2629"/>
      <c r="BR292" s="2629"/>
      <c r="BS292" s="2629"/>
      <c r="BT292" s="2629"/>
      <c r="BU292" s="2629"/>
      <c r="BV292" s="2629"/>
      <c r="BW292" s="2629"/>
      <c r="BX292" s="2629"/>
      <c r="BY292" s="2629"/>
      <c r="BZ292" s="2629"/>
      <c r="CA292" s="2629"/>
      <c r="CB292" s="2629"/>
      <c r="CC292" s="2629"/>
      <c r="CD292" s="2629"/>
      <c r="CE292" s="2629"/>
      <c r="CF292" s="2629"/>
    </row>
    <row r="293" spans="1:84" s="98" customFormat="1" ht="15" customHeight="1">
      <c r="A293" s="99"/>
      <c r="B293" s="2687"/>
      <c r="C293" s="2688"/>
      <c r="D293" s="2688" t="s">
        <v>2727</v>
      </c>
      <c r="E293" s="2688"/>
      <c r="F293" s="2688"/>
      <c r="G293" s="2645"/>
      <c r="H293" s="2645"/>
      <c r="I293" s="2503"/>
      <c r="J293" s="2503"/>
      <c r="K293" s="2503"/>
      <c r="L293" s="2503"/>
      <c r="M293" s="2503"/>
      <c r="N293" s="2503"/>
      <c r="O293" s="2503"/>
      <c r="P293" s="2503"/>
      <c r="Q293" s="2503"/>
      <c r="R293" s="2503"/>
      <c r="S293" s="2503"/>
      <c r="T293" s="2503"/>
      <c r="U293" s="2503"/>
      <c r="V293" s="2503"/>
      <c r="W293" s="2629"/>
      <c r="X293" s="2503"/>
      <c r="Y293" s="2503"/>
      <c r="Z293" s="2503"/>
      <c r="AA293" s="2503"/>
      <c r="AB293" s="2503"/>
      <c r="AC293" s="2503"/>
      <c r="AD293" s="2503"/>
      <c r="AE293" s="2503"/>
      <c r="AF293" s="2503"/>
      <c r="AG293" s="2503"/>
      <c r="AH293" s="2503"/>
      <c r="AI293" s="2503"/>
      <c r="AJ293" s="2503"/>
      <c r="AK293" s="2503"/>
      <c r="AL293" s="2629"/>
      <c r="AM293" s="607" t="s">
        <v>2233</v>
      </c>
      <c r="AN293" s="143">
        <v>-0.35599999999999998</v>
      </c>
      <c r="AO293" s="141">
        <v>-0.49199999999999999</v>
      </c>
      <c r="AP293" s="141">
        <v>0</v>
      </c>
      <c r="AQ293" s="141">
        <v>-0.59499999999999997</v>
      </c>
      <c r="AR293" s="141">
        <v>-3.0000000000000001E-3</v>
      </c>
      <c r="AS293" s="141">
        <v>-3.5999999999999997E-2</v>
      </c>
      <c r="AT293" s="141">
        <v>0</v>
      </c>
      <c r="AU293" s="144">
        <v>0</v>
      </c>
      <c r="AV293" s="143">
        <v>0</v>
      </c>
      <c r="AW293" s="141">
        <v>0</v>
      </c>
      <c r="AX293" s="141">
        <v>0</v>
      </c>
      <c r="AY293" s="141">
        <v>0</v>
      </c>
      <c r="AZ293" s="144">
        <v>0</v>
      </c>
      <c r="BA293" s="2629"/>
      <c r="BB293" s="2629"/>
      <c r="BC293" s="2629"/>
      <c r="BD293" s="2629"/>
      <c r="BE293" s="2629"/>
      <c r="BF293" s="2629"/>
      <c r="BG293" s="2629"/>
      <c r="BH293" s="2629"/>
      <c r="BI293" s="2629"/>
      <c r="BJ293" s="2629"/>
      <c r="BK293" s="2629"/>
      <c r="BL293" s="2629"/>
      <c r="BM293" s="2629"/>
      <c r="BN293" s="2629"/>
      <c r="BO293" s="2629"/>
      <c r="BP293" s="2629"/>
      <c r="BQ293" s="2629"/>
      <c r="BR293" s="2629"/>
      <c r="BS293" s="2629"/>
      <c r="BT293" s="2629"/>
      <c r="BU293" s="2629"/>
      <c r="BV293" s="2629"/>
      <c r="BW293" s="2629"/>
      <c r="BX293" s="2629"/>
      <c r="BY293" s="2629"/>
      <c r="BZ293" s="2629"/>
      <c r="CA293" s="2629"/>
      <c r="CB293" s="2629"/>
      <c r="CC293" s="2629"/>
      <c r="CD293" s="2629"/>
      <c r="CE293" s="2629"/>
      <c r="CF293" s="2629"/>
    </row>
    <row r="294" spans="1:84" s="98" customFormat="1" ht="15" customHeight="1">
      <c r="A294" s="99"/>
      <c r="B294" s="2687"/>
      <c r="C294" s="2688"/>
      <c r="D294" s="2688" t="s">
        <v>2728</v>
      </c>
      <c r="E294" s="2688"/>
      <c r="F294" s="2688"/>
      <c r="G294" s="2645"/>
      <c r="H294" s="2645"/>
      <c r="I294" s="2503"/>
      <c r="J294" s="2503"/>
      <c r="K294" s="2503"/>
      <c r="L294" s="2503"/>
      <c r="M294" s="2503"/>
      <c r="N294" s="2503"/>
      <c r="O294" s="2503"/>
      <c r="P294" s="2503"/>
      <c r="Q294" s="2503"/>
      <c r="R294" s="2503"/>
      <c r="S294" s="2503"/>
      <c r="T294" s="2503"/>
      <c r="U294" s="2503"/>
      <c r="V294" s="2503"/>
      <c r="W294" s="2629"/>
      <c r="X294" s="2503"/>
      <c r="Y294" s="2503"/>
      <c r="Z294" s="2503"/>
      <c r="AA294" s="2503"/>
      <c r="AB294" s="2503"/>
      <c r="AC294" s="2503"/>
      <c r="AD294" s="2503"/>
      <c r="AE294" s="2503"/>
      <c r="AF294" s="2503"/>
      <c r="AG294" s="2503"/>
      <c r="AH294" s="2503"/>
      <c r="AI294" s="2503"/>
      <c r="AJ294" s="2503"/>
      <c r="AK294" s="2503"/>
      <c r="AL294" s="2629"/>
      <c r="AM294" s="607" t="s">
        <v>2233</v>
      </c>
      <c r="AN294" s="143">
        <v>0</v>
      </c>
      <c r="AO294" s="141">
        <v>-0.122</v>
      </c>
      <c r="AP294" s="141">
        <v>0</v>
      </c>
      <c r="AQ294" s="141">
        <v>0</v>
      </c>
      <c r="AR294" s="141">
        <v>0</v>
      </c>
      <c r="AS294" s="141">
        <v>0</v>
      </c>
      <c r="AT294" s="141">
        <v>0</v>
      </c>
      <c r="AU294" s="144">
        <v>0</v>
      </c>
      <c r="AV294" s="143">
        <v>0</v>
      </c>
      <c r="AW294" s="141">
        <v>0</v>
      </c>
      <c r="AX294" s="141">
        <v>0</v>
      </c>
      <c r="AY294" s="141">
        <v>0</v>
      </c>
      <c r="AZ294" s="144">
        <v>0</v>
      </c>
      <c r="BA294" s="2629"/>
      <c r="BB294" s="2629"/>
      <c r="BC294" s="2629"/>
      <c r="BD294" s="2629"/>
      <c r="BE294" s="2629"/>
      <c r="BF294" s="2629"/>
      <c r="BG294" s="2629"/>
      <c r="BH294" s="2629"/>
      <c r="BI294" s="2629"/>
      <c r="BJ294" s="2629"/>
      <c r="BK294" s="2629"/>
      <c r="BL294" s="2629"/>
      <c r="BM294" s="2629"/>
      <c r="BN294" s="2629"/>
      <c r="BO294" s="2629"/>
      <c r="BP294" s="2629"/>
      <c r="BQ294" s="2629"/>
      <c r="BR294" s="2629"/>
      <c r="BS294" s="2629"/>
      <c r="BT294" s="2629"/>
      <c r="BU294" s="2629"/>
      <c r="BV294" s="2629"/>
      <c r="BW294" s="2629"/>
      <c r="BX294" s="2629"/>
      <c r="BY294" s="2629"/>
      <c r="BZ294" s="2629"/>
      <c r="CA294" s="2629"/>
      <c r="CB294" s="2629"/>
      <c r="CC294" s="2629"/>
      <c r="CD294" s="2629"/>
      <c r="CE294" s="2629"/>
      <c r="CF294" s="2629"/>
    </row>
    <row r="295" spans="1:84" s="98" customFormat="1" ht="15" customHeight="1">
      <c r="A295" s="99"/>
      <c r="B295" s="2687"/>
      <c r="C295" s="2688"/>
      <c r="D295" s="2688" t="s">
        <v>2736</v>
      </c>
      <c r="E295" s="2688"/>
      <c r="F295" s="2688"/>
      <c r="G295" s="2645"/>
      <c r="H295" s="2645"/>
      <c r="I295" s="2503"/>
      <c r="J295" s="2503"/>
      <c r="K295" s="2503"/>
      <c r="L295" s="2503"/>
      <c r="M295" s="2503"/>
      <c r="N295" s="2503"/>
      <c r="O295" s="2503"/>
      <c r="P295" s="2503"/>
      <c r="Q295" s="2503"/>
      <c r="R295" s="2503"/>
      <c r="S295" s="2503"/>
      <c r="T295" s="2503"/>
      <c r="U295" s="2503"/>
      <c r="V295" s="2503"/>
      <c r="W295" s="2629"/>
      <c r="X295" s="2503"/>
      <c r="Y295" s="2503"/>
      <c r="Z295" s="2503"/>
      <c r="AA295" s="2503"/>
      <c r="AB295" s="2503"/>
      <c r="AC295" s="2503"/>
      <c r="AD295" s="2503"/>
      <c r="AE295" s="2503"/>
      <c r="AF295" s="2503"/>
      <c r="AG295" s="2503"/>
      <c r="AH295" s="2503"/>
      <c r="AI295" s="2503"/>
      <c r="AJ295" s="2503"/>
      <c r="AK295" s="2503"/>
      <c r="AL295" s="2629"/>
      <c r="AM295" s="607" t="s">
        <v>2233</v>
      </c>
      <c r="AN295" s="143">
        <v>0</v>
      </c>
      <c r="AO295" s="141">
        <v>0</v>
      </c>
      <c r="AP295" s="141">
        <v>0</v>
      </c>
      <c r="AQ295" s="141">
        <v>0</v>
      </c>
      <c r="AR295" s="141">
        <v>-0.13</v>
      </c>
      <c r="AS295" s="141">
        <v>0</v>
      </c>
      <c r="AT295" s="141">
        <v>0</v>
      </c>
      <c r="AU295" s="144">
        <v>0</v>
      </c>
      <c r="AV295" s="143">
        <v>0</v>
      </c>
      <c r="AW295" s="141">
        <v>0</v>
      </c>
      <c r="AX295" s="141">
        <v>0</v>
      </c>
      <c r="AY295" s="141">
        <v>0</v>
      </c>
      <c r="AZ295" s="144">
        <v>0</v>
      </c>
      <c r="BA295" s="2629"/>
      <c r="BB295" s="2629"/>
      <c r="BC295" s="2629"/>
      <c r="BD295" s="2629"/>
      <c r="BE295" s="2629"/>
      <c r="BF295" s="2629"/>
      <c r="BG295" s="2629"/>
      <c r="BH295" s="2629"/>
      <c r="BI295" s="2629"/>
      <c r="BJ295" s="2629"/>
      <c r="BK295" s="2629"/>
      <c r="BL295" s="2629"/>
      <c r="BM295" s="2629"/>
      <c r="BN295" s="2629"/>
      <c r="BO295" s="2629"/>
      <c r="BP295" s="2629"/>
      <c r="BQ295" s="2629"/>
      <c r="BR295" s="2629"/>
      <c r="BS295" s="2629"/>
      <c r="BT295" s="2629"/>
      <c r="BU295" s="2629"/>
      <c r="BV295" s="2629"/>
      <c r="BW295" s="2629"/>
      <c r="BX295" s="2629"/>
      <c r="BY295" s="2629"/>
      <c r="BZ295" s="2629"/>
      <c r="CA295" s="2629"/>
      <c r="CB295" s="2629"/>
      <c r="CC295" s="2629"/>
      <c r="CD295" s="2629"/>
      <c r="CE295" s="2629"/>
      <c r="CF295" s="2629"/>
    </row>
    <row r="296" spans="1:84" s="98" customFormat="1" ht="15" customHeight="1">
      <c r="A296" s="99"/>
      <c r="B296" s="2687"/>
      <c r="C296" s="2688"/>
      <c r="D296" s="2688" t="s">
        <v>2737</v>
      </c>
      <c r="E296" s="2688"/>
      <c r="F296" s="2688"/>
      <c r="G296" s="2645"/>
      <c r="H296" s="2645"/>
      <c r="I296" s="2503"/>
      <c r="J296" s="2503"/>
      <c r="K296" s="2503"/>
      <c r="L296" s="2503"/>
      <c r="M296" s="2503"/>
      <c r="N296" s="2503"/>
      <c r="O296" s="2503"/>
      <c r="P296" s="2503"/>
      <c r="Q296" s="2503"/>
      <c r="R296" s="2503"/>
      <c r="S296" s="2503"/>
      <c r="T296" s="2503"/>
      <c r="U296" s="2503"/>
      <c r="V296" s="2503"/>
      <c r="W296" s="2629"/>
      <c r="X296" s="2503"/>
      <c r="Y296" s="2503"/>
      <c r="Z296" s="2503"/>
      <c r="AA296" s="2503"/>
      <c r="AB296" s="2503"/>
      <c r="AC296" s="2503"/>
      <c r="AD296" s="2503"/>
      <c r="AE296" s="2503"/>
      <c r="AF296" s="2503"/>
      <c r="AG296" s="2503"/>
      <c r="AH296" s="2503"/>
      <c r="AI296" s="2503"/>
      <c r="AJ296" s="2503"/>
      <c r="AK296" s="2503"/>
      <c r="AL296" s="2629"/>
      <c r="AM296" s="607" t="s">
        <v>2233</v>
      </c>
      <c r="AN296" s="143">
        <v>0</v>
      </c>
      <c r="AO296" s="141">
        <v>0</v>
      </c>
      <c r="AP296" s="141">
        <v>0</v>
      </c>
      <c r="AQ296" s="141">
        <v>0</v>
      </c>
      <c r="AR296" s="141">
        <v>0</v>
      </c>
      <c r="AS296" s="141">
        <v>0</v>
      </c>
      <c r="AT296" s="141">
        <v>0</v>
      </c>
      <c r="AU296" s="144">
        <v>0</v>
      </c>
      <c r="AV296" s="143">
        <v>0</v>
      </c>
      <c r="AW296" s="141">
        <v>0</v>
      </c>
      <c r="AX296" s="141">
        <v>0</v>
      </c>
      <c r="AY296" s="141">
        <v>0</v>
      </c>
      <c r="AZ296" s="144">
        <v>0</v>
      </c>
      <c r="BA296" s="2629"/>
      <c r="BB296" s="2629"/>
      <c r="BC296" s="2629"/>
      <c r="BD296" s="2629"/>
      <c r="BE296" s="2629"/>
      <c r="BF296" s="2629"/>
      <c r="BG296" s="2629"/>
      <c r="BH296" s="2629"/>
      <c r="BI296" s="2629"/>
      <c r="BJ296" s="2629"/>
      <c r="BK296" s="2629"/>
      <c r="BL296" s="2629"/>
      <c r="BM296" s="2629"/>
      <c r="BN296" s="2629"/>
      <c r="BO296" s="2629"/>
      <c r="BP296" s="2629"/>
      <c r="BQ296" s="2629"/>
      <c r="BR296" s="2629"/>
      <c r="BS296" s="2629"/>
      <c r="BT296" s="2629"/>
      <c r="BU296" s="2629"/>
      <c r="BV296" s="2629"/>
      <c r="BW296" s="2629"/>
      <c r="BX296" s="2629"/>
      <c r="BY296" s="2629"/>
      <c r="BZ296" s="2629"/>
      <c r="CA296" s="2629"/>
      <c r="CB296" s="2629"/>
      <c r="CC296" s="2629"/>
      <c r="CD296" s="2629"/>
      <c r="CE296" s="2629"/>
      <c r="CF296" s="2629"/>
    </row>
    <row r="297" spans="1:84" s="98" customFormat="1" ht="15" customHeight="1">
      <c r="A297" s="99"/>
      <c r="B297" s="2687"/>
      <c r="C297" s="2688" t="s">
        <v>1710</v>
      </c>
      <c r="D297" s="2688"/>
      <c r="E297" s="2688"/>
      <c r="F297" s="2688"/>
      <c r="G297" s="2645"/>
      <c r="H297" s="2645"/>
      <c r="I297" s="2503"/>
      <c r="J297" s="2503"/>
      <c r="K297" s="2503"/>
      <c r="L297" s="2503"/>
      <c r="M297" s="2503"/>
      <c r="N297" s="2503"/>
      <c r="O297" s="2503"/>
      <c r="P297" s="2503"/>
      <c r="Q297" s="2503"/>
      <c r="R297" s="2503"/>
      <c r="S297" s="2503"/>
      <c r="T297" s="2503"/>
      <c r="U297" s="2503"/>
      <c r="V297" s="2503"/>
      <c r="W297" s="2629"/>
      <c r="X297" s="2503"/>
      <c r="Y297" s="2503"/>
      <c r="Z297" s="2503"/>
      <c r="AA297" s="2503"/>
      <c r="AB297" s="2503"/>
      <c r="AC297" s="2503"/>
      <c r="AD297" s="2503"/>
      <c r="AE297" s="2503"/>
      <c r="AF297" s="2503"/>
      <c r="AG297" s="2503"/>
      <c r="AH297" s="2503"/>
      <c r="AI297" s="2503"/>
      <c r="AJ297" s="2503"/>
      <c r="AK297" s="2503"/>
      <c r="AL297" s="2629"/>
      <c r="AM297" s="607" t="s">
        <v>2233</v>
      </c>
      <c r="AN297" s="641">
        <f>SUM(AN288:AN296)</f>
        <v>-3.5500000000000007</v>
      </c>
      <c r="AO297" s="642">
        <f t="shared" ref="AO297:AZ297" si="83">SUM(AO288:AO296)</f>
        <v>-3.9179999999999997</v>
      </c>
      <c r="AP297" s="642">
        <f t="shared" si="83"/>
        <v>-3.3159999999999994</v>
      </c>
      <c r="AQ297" s="642">
        <f t="shared" si="83"/>
        <v>-4.7270000000000003</v>
      </c>
      <c r="AR297" s="642">
        <f t="shared" si="83"/>
        <v>-7.9299999999999971</v>
      </c>
      <c r="AS297" s="642">
        <f t="shared" si="83"/>
        <v>-3.6970000000000005</v>
      </c>
      <c r="AT297" s="642">
        <f t="shared" si="83"/>
        <v>0</v>
      </c>
      <c r="AU297" s="643">
        <f t="shared" si="83"/>
        <v>0</v>
      </c>
      <c r="AV297" s="641">
        <f t="shared" si="83"/>
        <v>0</v>
      </c>
      <c r="AW297" s="642">
        <f t="shared" si="83"/>
        <v>0</v>
      </c>
      <c r="AX297" s="642">
        <f t="shared" si="83"/>
        <v>0</v>
      </c>
      <c r="AY297" s="642">
        <f t="shared" si="83"/>
        <v>0</v>
      </c>
      <c r="AZ297" s="643">
        <f t="shared" si="83"/>
        <v>0</v>
      </c>
      <c r="BA297" s="2629"/>
      <c r="BB297" s="2629"/>
      <c r="BC297" s="2629"/>
      <c r="BD297" s="2629"/>
      <c r="BE297" s="2629"/>
      <c r="BF297" s="2629"/>
      <c r="BG297" s="2629"/>
      <c r="BH297" s="2629"/>
      <c r="BI297" s="2629"/>
      <c r="BJ297" s="2629"/>
      <c r="BK297" s="2629"/>
      <c r="BL297" s="2629"/>
      <c r="BM297" s="2629"/>
      <c r="BN297" s="2629"/>
      <c r="BO297" s="2629"/>
      <c r="BP297" s="2629"/>
      <c r="BQ297" s="2629"/>
      <c r="BR297" s="2629"/>
      <c r="BS297" s="2629"/>
      <c r="BT297" s="2629"/>
      <c r="BU297" s="2629"/>
      <c r="BV297" s="2629"/>
      <c r="BW297" s="2629"/>
      <c r="BX297" s="2629"/>
      <c r="BY297" s="2629"/>
      <c r="BZ297" s="2629"/>
      <c r="CA297" s="2629"/>
      <c r="CB297" s="2629"/>
      <c r="CC297" s="2629"/>
      <c r="CD297" s="2629"/>
      <c r="CE297" s="2629"/>
      <c r="CF297" s="2629"/>
    </row>
    <row r="298" spans="1:84" s="98" customFormat="1" ht="15" customHeight="1">
      <c r="A298" s="99"/>
      <c r="B298" s="123"/>
      <c r="C298" s="2686"/>
      <c r="D298" s="2686"/>
      <c r="E298" s="2686"/>
      <c r="F298" s="2686"/>
      <c r="G298" s="94"/>
      <c r="H298" s="94"/>
      <c r="I298" s="2503"/>
      <c r="J298" s="2503"/>
      <c r="K298" s="2503"/>
      <c r="L298" s="2503"/>
      <c r="M298" s="2503"/>
      <c r="N298" s="2503"/>
      <c r="O298" s="2503"/>
      <c r="P298" s="2503"/>
      <c r="Q298" s="2503"/>
      <c r="R298" s="2503"/>
      <c r="S298" s="2503"/>
      <c r="T298" s="2503"/>
      <c r="U298" s="2503"/>
      <c r="V298" s="2503"/>
      <c r="W298" s="2629"/>
      <c r="X298" s="2503"/>
      <c r="Y298" s="2503"/>
      <c r="Z298" s="2503"/>
      <c r="AA298" s="2503"/>
      <c r="AB298" s="2503"/>
      <c r="AC298" s="2503"/>
      <c r="AD298" s="2503"/>
      <c r="AE298" s="2503"/>
      <c r="AF298" s="2503"/>
      <c r="AG298" s="2503"/>
      <c r="AH298" s="2503"/>
      <c r="AI298" s="2503"/>
      <c r="AJ298" s="2503"/>
      <c r="AK298" s="2503"/>
      <c r="AL298" s="2629"/>
      <c r="AM298" s="94"/>
      <c r="AN298" s="713"/>
      <c r="AO298" s="2649"/>
      <c r="AP298" s="2649"/>
      <c r="AQ298" s="2649"/>
      <c r="AR298" s="2649"/>
      <c r="AS298" s="2649"/>
      <c r="AT298" s="2649"/>
      <c r="AU298" s="715"/>
      <c r="AV298" s="713"/>
      <c r="AW298" s="2649"/>
      <c r="AX298" s="2649"/>
      <c r="AY298" s="2649"/>
      <c r="AZ298" s="715"/>
      <c r="BA298" s="2629"/>
      <c r="BB298" s="2629"/>
      <c r="BC298" s="2629"/>
      <c r="BD298" s="2629"/>
      <c r="BE298" s="2629"/>
      <c r="BF298" s="2629"/>
      <c r="BG298" s="2629"/>
      <c r="BH298" s="2629"/>
      <c r="BI298" s="2629"/>
      <c r="BJ298" s="2629"/>
      <c r="BK298" s="2629"/>
      <c r="BL298" s="2629"/>
      <c r="BM298" s="2629"/>
      <c r="BN298" s="2629"/>
      <c r="BO298" s="2629"/>
      <c r="BP298" s="2629"/>
      <c r="BQ298" s="2629"/>
      <c r="BR298" s="2629"/>
      <c r="BS298" s="2629"/>
      <c r="BT298" s="2629"/>
      <c r="BU298" s="2629"/>
      <c r="BV298" s="2629"/>
      <c r="BW298" s="2629"/>
      <c r="BX298" s="2629"/>
      <c r="BY298" s="2629"/>
      <c r="BZ298" s="2629"/>
      <c r="CA298" s="2629"/>
      <c r="CB298" s="2629"/>
      <c r="CC298" s="2629"/>
      <c r="CD298" s="2629"/>
      <c r="CE298" s="2629"/>
      <c r="CF298" s="2629"/>
    </row>
    <row r="299" spans="1:84" s="98" customFormat="1" ht="15" customHeight="1">
      <c r="A299" s="99"/>
      <c r="B299" s="2687"/>
      <c r="C299" s="2685" t="s">
        <v>2722</v>
      </c>
      <c r="D299" s="2685"/>
      <c r="E299" s="2685"/>
      <c r="F299" s="2685"/>
      <c r="G299" s="94"/>
      <c r="H299" s="94"/>
      <c r="I299" s="2503"/>
      <c r="J299" s="2503"/>
      <c r="K299" s="2503"/>
      <c r="L299" s="2503"/>
      <c r="M299" s="2503"/>
      <c r="N299" s="2503"/>
      <c r="O299" s="2503"/>
      <c r="P299" s="2503"/>
      <c r="Q299" s="2503"/>
      <c r="R299" s="2503"/>
      <c r="S299" s="2503"/>
      <c r="T299" s="2503"/>
      <c r="U299" s="2503"/>
      <c r="V299" s="2503"/>
      <c r="W299" s="2629"/>
      <c r="X299" s="2503"/>
      <c r="Y299" s="2503"/>
      <c r="Z299" s="2503"/>
      <c r="AA299" s="2503"/>
      <c r="AB299" s="2503"/>
      <c r="AC299" s="2503"/>
      <c r="AD299" s="2503"/>
      <c r="AE299" s="2503"/>
      <c r="AF299" s="2503"/>
      <c r="AG299" s="2503"/>
      <c r="AH299" s="2503"/>
      <c r="AI299" s="2503"/>
      <c r="AJ299" s="2503"/>
      <c r="AK299" s="2503"/>
      <c r="AL299" s="2629"/>
      <c r="AM299" s="94"/>
      <c r="AN299" s="713"/>
      <c r="AO299" s="2649"/>
      <c r="AP299" s="2649"/>
      <c r="AQ299" s="2649"/>
      <c r="AR299" s="2649"/>
      <c r="AS299" s="2649"/>
      <c r="AT299" s="2649"/>
      <c r="AU299" s="715"/>
      <c r="AV299" s="713"/>
      <c r="AW299" s="2649"/>
      <c r="AX299" s="2649"/>
      <c r="AY299" s="2649"/>
      <c r="AZ299" s="715"/>
      <c r="BA299" s="2629"/>
      <c r="BB299" s="2629"/>
      <c r="BC299" s="2629"/>
      <c r="BD299" s="2629"/>
      <c r="BE299" s="2629"/>
      <c r="BF299" s="2629"/>
      <c r="BG299" s="2629"/>
      <c r="BH299" s="2629"/>
      <c r="BI299" s="2629"/>
      <c r="BJ299" s="2629"/>
      <c r="BK299" s="2629"/>
      <c r="BL299" s="2629"/>
      <c r="BM299" s="2629"/>
      <c r="BN299" s="2629"/>
      <c r="BO299" s="2629"/>
      <c r="BP299" s="2629"/>
      <c r="BQ299" s="2629"/>
      <c r="BR299" s="2629"/>
      <c r="BS299" s="2629"/>
      <c r="BT299" s="2629"/>
      <c r="BU299" s="2629"/>
      <c r="BV299" s="2629"/>
      <c r="BW299" s="2629"/>
      <c r="BX299" s="2629"/>
      <c r="BY299" s="2629"/>
      <c r="BZ299" s="2629"/>
      <c r="CA299" s="2629"/>
      <c r="CB299" s="2629"/>
      <c r="CC299" s="2629"/>
      <c r="CD299" s="2629"/>
      <c r="CE299" s="2629"/>
      <c r="CF299" s="2629"/>
    </row>
    <row r="300" spans="1:84" s="98" customFormat="1" ht="15" customHeight="1">
      <c r="A300" s="99"/>
      <c r="B300" s="2687"/>
      <c r="C300" s="2688"/>
      <c r="D300" s="2688" t="s">
        <v>2716</v>
      </c>
      <c r="E300" s="2688"/>
      <c r="F300" s="2688"/>
      <c r="G300" s="2645"/>
      <c r="H300" s="2645"/>
      <c r="I300" s="2503"/>
      <c r="J300" s="2503"/>
      <c r="K300" s="2503"/>
      <c r="L300" s="2503"/>
      <c r="M300" s="2503"/>
      <c r="N300" s="2503"/>
      <c r="O300" s="2503"/>
      <c r="P300" s="2503"/>
      <c r="Q300" s="2503"/>
      <c r="R300" s="2503"/>
      <c r="S300" s="2503"/>
      <c r="T300" s="2503"/>
      <c r="U300" s="2503"/>
      <c r="V300" s="2503"/>
      <c r="W300" s="2629"/>
      <c r="X300" s="2503"/>
      <c r="Y300" s="2503"/>
      <c r="Z300" s="2503"/>
      <c r="AA300" s="2503"/>
      <c r="AB300" s="2503"/>
      <c r="AC300" s="2503"/>
      <c r="AD300" s="2503"/>
      <c r="AE300" s="2503"/>
      <c r="AF300" s="2503"/>
      <c r="AG300" s="2503"/>
      <c r="AH300" s="2503"/>
      <c r="AI300" s="2503"/>
      <c r="AJ300" s="2503"/>
      <c r="AK300" s="2503"/>
      <c r="AL300" s="2629"/>
      <c r="AM300" s="607" t="s">
        <v>2233</v>
      </c>
      <c r="AN300" s="143">
        <v>-0.28299999999999997</v>
      </c>
      <c r="AO300" s="141">
        <v>-0.15800000000000003</v>
      </c>
      <c r="AP300" s="141">
        <v>-0.22800000000000001</v>
      </c>
      <c r="AQ300" s="141">
        <v>-0.43</v>
      </c>
      <c r="AR300" s="141">
        <v>-0.36399999999999999</v>
      </c>
      <c r="AS300" s="141">
        <v>-0.224</v>
      </c>
      <c r="AT300" s="141">
        <v>0</v>
      </c>
      <c r="AU300" s="144">
        <v>0</v>
      </c>
      <c r="AV300" s="143">
        <v>0</v>
      </c>
      <c r="AW300" s="141">
        <v>0</v>
      </c>
      <c r="AX300" s="141">
        <v>0</v>
      </c>
      <c r="AY300" s="141">
        <v>0</v>
      </c>
      <c r="AZ300" s="144">
        <v>0</v>
      </c>
      <c r="BA300" s="2629"/>
      <c r="BB300" s="2629"/>
      <c r="BC300" s="2629"/>
      <c r="BD300" s="2629"/>
      <c r="BE300" s="2629"/>
      <c r="BF300" s="2629"/>
      <c r="BG300" s="2629"/>
      <c r="BH300" s="2629"/>
      <c r="BI300" s="2629"/>
      <c r="BJ300" s="2629"/>
      <c r="BK300" s="2629"/>
      <c r="BL300" s="2629"/>
      <c r="BM300" s="2629"/>
      <c r="BN300" s="2629"/>
      <c r="BO300" s="2629"/>
      <c r="BP300" s="2629"/>
      <c r="BQ300" s="2629"/>
      <c r="BR300" s="2629"/>
      <c r="BS300" s="2629"/>
      <c r="BT300" s="2629"/>
      <c r="BU300" s="2629"/>
      <c r="BV300" s="2629"/>
      <c r="BW300" s="2629"/>
      <c r="BX300" s="2629"/>
      <c r="BY300" s="2629"/>
      <c r="BZ300" s="2629"/>
      <c r="CA300" s="2629"/>
      <c r="CB300" s="2629"/>
      <c r="CC300" s="2629"/>
      <c r="CD300" s="2629"/>
      <c r="CE300" s="2629"/>
      <c r="CF300" s="2629"/>
    </row>
    <row r="301" spans="1:84" s="98" customFormat="1" ht="15" customHeight="1">
      <c r="A301" s="99"/>
      <c r="B301" s="123"/>
      <c r="C301" s="2686"/>
      <c r="D301" s="2686"/>
      <c r="E301" s="2686"/>
      <c r="F301" s="2686"/>
      <c r="G301" s="94"/>
      <c r="H301" s="94"/>
      <c r="I301" s="2503"/>
      <c r="J301" s="2503"/>
      <c r="K301" s="2503"/>
      <c r="L301" s="2503"/>
      <c r="M301" s="2503"/>
      <c r="N301" s="2503"/>
      <c r="O301" s="2503"/>
      <c r="P301" s="2503"/>
      <c r="Q301" s="2503"/>
      <c r="R301" s="2503"/>
      <c r="S301" s="2503"/>
      <c r="T301" s="2503"/>
      <c r="U301" s="2503"/>
      <c r="V301" s="2503"/>
      <c r="W301" s="2629"/>
      <c r="X301" s="2503"/>
      <c r="Y301" s="2503"/>
      <c r="Z301" s="2503"/>
      <c r="AA301" s="2503"/>
      <c r="AB301" s="2503"/>
      <c r="AC301" s="2503"/>
      <c r="AD301" s="2503"/>
      <c r="AE301" s="2503"/>
      <c r="AF301" s="2503"/>
      <c r="AG301" s="2503"/>
      <c r="AH301" s="2503"/>
      <c r="AI301" s="2503"/>
      <c r="AJ301" s="2503"/>
      <c r="AK301" s="2503"/>
      <c r="AL301" s="2629"/>
      <c r="AM301" s="94"/>
      <c r="AN301" s="713"/>
      <c r="AO301" s="2649"/>
      <c r="AP301" s="2649"/>
      <c r="AQ301" s="2649"/>
      <c r="AR301" s="2649"/>
      <c r="AS301" s="2649"/>
      <c r="AT301" s="2649"/>
      <c r="AU301" s="715"/>
      <c r="AV301" s="713"/>
      <c r="AW301" s="2649"/>
      <c r="AX301" s="2649"/>
      <c r="AY301" s="2649"/>
      <c r="AZ301" s="715"/>
      <c r="BA301" s="2629"/>
      <c r="BB301" s="2629"/>
      <c r="BC301" s="2629"/>
      <c r="BD301" s="2629"/>
      <c r="BE301" s="2629"/>
      <c r="BF301" s="2629"/>
      <c r="BG301" s="2629"/>
      <c r="BH301" s="2629"/>
      <c r="BI301" s="2629"/>
      <c r="BJ301" s="2629"/>
      <c r="BK301" s="2629"/>
      <c r="BL301" s="2629"/>
      <c r="BM301" s="2629"/>
      <c r="BN301" s="2629"/>
      <c r="BO301" s="2629"/>
      <c r="BP301" s="2629"/>
      <c r="BQ301" s="2629"/>
      <c r="BR301" s="2629"/>
      <c r="BS301" s="2629"/>
      <c r="BT301" s="2629"/>
      <c r="BU301" s="2629"/>
      <c r="BV301" s="2629"/>
      <c r="BW301" s="2629"/>
      <c r="BX301" s="2629"/>
      <c r="BY301" s="2629"/>
      <c r="BZ301" s="2629"/>
      <c r="CA301" s="2629"/>
      <c r="CB301" s="2629"/>
      <c r="CC301" s="2629"/>
      <c r="CD301" s="2629"/>
      <c r="CE301" s="2629"/>
      <c r="CF301" s="2629"/>
    </row>
    <row r="302" spans="1:84" s="98" customFormat="1" ht="15" customHeight="1">
      <c r="A302" s="99"/>
      <c r="B302" s="2687"/>
      <c r="C302" s="2685" t="s">
        <v>2755</v>
      </c>
      <c r="D302" s="2685"/>
      <c r="E302" s="2685"/>
      <c r="F302" s="2685"/>
      <c r="G302" s="94"/>
      <c r="H302" s="94"/>
      <c r="I302" s="2503"/>
      <c r="J302" s="2503"/>
      <c r="K302" s="2503"/>
      <c r="L302" s="2503"/>
      <c r="M302" s="2503"/>
      <c r="N302" s="2503"/>
      <c r="O302" s="2503"/>
      <c r="P302" s="2503"/>
      <c r="Q302" s="2503"/>
      <c r="R302" s="2503"/>
      <c r="S302" s="2503"/>
      <c r="T302" s="2503"/>
      <c r="U302" s="2503"/>
      <c r="V302" s="2503"/>
      <c r="W302" s="2629"/>
      <c r="X302" s="2503"/>
      <c r="Y302" s="2503"/>
      <c r="Z302" s="2503"/>
      <c r="AA302" s="2503"/>
      <c r="AB302" s="2503"/>
      <c r="AC302" s="2503"/>
      <c r="AD302" s="2503"/>
      <c r="AE302" s="2503"/>
      <c r="AF302" s="2503"/>
      <c r="AG302" s="2503"/>
      <c r="AH302" s="2503"/>
      <c r="AI302" s="2503"/>
      <c r="AJ302" s="2503"/>
      <c r="AK302" s="2503"/>
      <c r="AL302" s="2629"/>
      <c r="AM302" s="94"/>
      <c r="AN302" s="713"/>
      <c r="AO302" s="2649"/>
      <c r="AP302" s="2649"/>
      <c r="AQ302" s="2649"/>
      <c r="AR302" s="2649"/>
      <c r="AS302" s="2649"/>
      <c r="AT302" s="2649"/>
      <c r="AU302" s="715"/>
      <c r="AV302" s="713"/>
      <c r="AW302" s="2649"/>
      <c r="AX302" s="2649"/>
      <c r="AY302" s="2649"/>
      <c r="AZ302" s="715"/>
      <c r="BA302" s="2629"/>
      <c r="BB302" s="2629"/>
      <c r="BC302" s="2629"/>
      <c r="BD302" s="2629"/>
      <c r="BE302" s="2629"/>
      <c r="BF302" s="2629"/>
      <c r="BG302" s="2629"/>
      <c r="BH302" s="2629"/>
      <c r="BI302" s="2629"/>
      <c r="BJ302" s="2629"/>
      <c r="BK302" s="2629"/>
      <c r="BL302" s="2629"/>
      <c r="BM302" s="2629"/>
      <c r="BN302" s="2629"/>
      <c r="BO302" s="2629"/>
      <c r="BP302" s="2629"/>
      <c r="BQ302" s="2629"/>
      <c r="BR302" s="2629"/>
      <c r="BS302" s="2629"/>
      <c r="BT302" s="2629"/>
      <c r="BU302" s="2629"/>
      <c r="BV302" s="2629"/>
      <c r="BW302" s="2629"/>
      <c r="BX302" s="2629"/>
      <c r="BY302" s="2629"/>
      <c r="BZ302" s="2629"/>
      <c r="CA302" s="2629"/>
      <c r="CB302" s="2629"/>
      <c r="CC302" s="2629"/>
      <c r="CD302" s="2629"/>
      <c r="CE302" s="2629"/>
      <c r="CF302" s="2629"/>
    </row>
    <row r="303" spans="1:84" s="98" customFormat="1" ht="15" customHeight="1">
      <c r="A303" s="99"/>
      <c r="B303" s="2687"/>
      <c r="C303" s="2688"/>
      <c r="D303" s="2688" t="s">
        <v>2716</v>
      </c>
      <c r="E303" s="2688"/>
      <c r="F303" s="2688"/>
      <c r="G303" s="2645"/>
      <c r="H303" s="2645"/>
      <c r="I303" s="2503"/>
      <c r="J303" s="2503"/>
      <c r="K303" s="2503"/>
      <c r="L303" s="2503"/>
      <c r="M303" s="2503"/>
      <c r="N303" s="2503"/>
      <c r="O303" s="2503"/>
      <c r="P303" s="2503"/>
      <c r="Q303" s="2503"/>
      <c r="R303" s="2503"/>
      <c r="S303" s="2503"/>
      <c r="T303" s="2503"/>
      <c r="U303" s="2503"/>
      <c r="V303" s="2503"/>
      <c r="W303" s="2629"/>
      <c r="X303" s="2503"/>
      <c r="Y303" s="2503"/>
      <c r="Z303" s="2503"/>
      <c r="AA303" s="2503"/>
      <c r="AB303" s="2503"/>
      <c r="AC303" s="2503"/>
      <c r="AD303" s="2503"/>
      <c r="AE303" s="2503"/>
      <c r="AF303" s="2503"/>
      <c r="AG303" s="2503"/>
      <c r="AH303" s="2503"/>
      <c r="AI303" s="2503"/>
      <c r="AJ303" s="2503"/>
      <c r="AK303" s="2503"/>
      <c r="AL303" s="2629"/>
      <c r="AM303" s="607" t="s">
        <v>2233</v>
      </c>
      <c r="AN303" s="143">
        <v>0</v>
      </c>
      <c r="AO303" s="141">
        <v>0</v>
      </c>
      <c r="AP303" s="141">
        <v>0</v>
      </c>
      <c r="AQ303" s="141">
        <v>-4.5999999999999999E-2</v>
      </c>
      <c r="AR303" s="141">
        <v>-1.4999999999999999E-2</v>
      </c>
      <c r="AS303" s="141">
        <v>-7.9000000000000001E-2</v>
      </c>
      <c r="AT303" s="141">
        <v>0</v>
      </c>
      <c r="AU303" s="144">
        <v>0</v>
      </c>
      <c r="AV303" s="143">
        <v>0</v>
      </c>
      <c r="AW303" s="141">
        <v>0</v>
      </c>
      <c r="AX303" s="141">
        <v>0</v>
      </c>
      <c r="AY303" s="141">
        <v>0</v>
      </c>
      <c r="AZ303" s="144">
        <v>0</v>
      </c>
      <c r="BA303" s="2629"/>
      <c r="BB303" s="2629"/>
      <c r="BC303" s="2629"/>
      <c r="BD303" s="2629"/>
      <c r="BE303" s="2629"/>
      <c r="BF303" s="2629"/>
      <c r="BG303" s="2629"/>
      <c r="BH303" s="2629"/>
      <c r="BI303" s="2629"/>
      <c r="BJ303" s="2629"/>
      <c r="BK303" s="2629"/>
      <c r="BL303" s="2629"/>
      <c r="BM303" s="2629"/>
      <c r="BN303" s="2629"/>
      <c r="BO303" s="2629"/>
      <c r="BP303" s="2629"/>
      <c r="BQ303" s="2629"/>
      <c r="BR303" s="2629"/>
      <c r="BS303" s="2629"/>
      <c r="BT303" s="2629"/>
      <c r="BU303" s="2629"/>
      <c r="BV303" s="2629"/>
      <c r="BW303" s="2629"/>
      <c r="BX303" s="2629"/>
      <c r="BY303" s="2629"/>
      <c r="BZ303" s="2629"/>
      <c r="CA303" s="2629"/>
      <c r="CB303" s="2629"/>
      <c r="CC303" s="2629"/>
      <c r="CD303" s="2629"/>
      <c r="CE303" s="2629"/>
      <c r="CF303" s="2629"/>
    </row>
    <row r="304" spans="1:84" s="98" customFormat="1" ht="15" customHeight="1">
      <c r="A304" s="99"/>
      <c r="B304" s="2687"/>
      <c r="C304" s="2688"/>
      <c r="D304" s="2688" t="s">
        <v>2717</v>
      </c>
      <c r="E304" s="2688"/>
      <c r="F304" s="2688"/>
      <c r="G304" s="2645"/>
      <c r="H304" s="2645"/>
      <c r="I304" s="2503"/>
      <c r="J304" s="2503"/>
      <c r="K304" s="2503"/>
      <c r="L304" s="2503"/>
      <c r="M304" s="2503"/>
      <c r="N304" s="2503"/>
      <c r="O304" s="2503"/>
      <c r="P304" s="2503"/>
      <c r="Q304" s="2503"/>
      <c r="R304" s="2503"/>
      <c r="S304" s="2503"/>
      <c r="T304" s="2503"/>
      <c r="U304" s="2503"/>
      <c r="V304" s="2503"/>
      <c r="W304" s="2629"/>
      <c r="X304" s="2503"/>
      <c r="Y304" s="2503"/>
      <c r="Z304" s="2503"/>
      <c r="AA304" s="2503"/>
      <c r="AB304" s="2503"/>
      <c r="AC304" s="2503"/>
      <c r="AD304" s="2503"/>
      <c r="AE304" s="2503"/>
      <c r="AF304" s="2503"/>
      <c r="AG304" s="2503"/>
      <c r="AH304" s="2503"/>
      <c r="AI304" s="2503"/>
      <c r="AJ304" s="2503"/>
      <c r="AK304" s="2503"/>
      <c r="AL304" s="2629"/>
      <c r="AM304" s="607" t="s">
        <v>2233</v>
      </c>
      <c r="AN304" s="143">
        <v>0</v>
      </c>
      <c r="AO304" s="141">
        <v>-7.2000000000000008E-2</v>
      </c>
      <c r="AP304" s="141">
        <v>-1.5E-3</v>
      </c>
      <c r="AQ304" s="141">
        <v>-1.7999999999999999E-2</v>
      </c>
      <c r="AR304" s="141">
        <v>0</v>
      </c>
      <c r="AS304" s="141">
        <v>-4.2000000000000003E-2</v>
      </c>
      <c r="AT304" s="141">
        <v>0</v>
      </c>
      <c r="AU304" s="144">
        <v>0</v>
      </c>
      <c r="AV304" s="143">
        <v>0</v>
      </c>
      <c r="AW304" s="141">
        <v>0</v>
      </c>
      <c r="AX304" s="141">
        <v>0</v>
      </c>
      <c r="AY304" s="141">
        <v>0</v>
      </c>
      <c r="AZ304" s="144">
        <v>0</v>
      </c>
      <c r="BA304" s="2629"/>
      <c r="BB304" s="2629"/>
      <c r="BC304" s="2629"/>
      <c r="BD304" s="2629"/>
      <c r="BE304" s="2629"/>
      <c r="BF304" s="2629"/>
      <c r="BG304" s="2629"/>
      <c r="BH304" s="2629"/>
      <c r="BI304" s="2629"/>
      <c r="BJ304" s="2629"/>
      <c r="BK304" s="2629"/>
      <c r="BL304" s="2629"/>
      <c r="BM304" s="2629"/>
      <c r="BN304" s="2629"/>
      <c r="BO304" s="2629"/>
      <c r="BP304" s="2629"/>
      <c r="BQ304" s="2629"/>
      <c r="BR304" s="2629"/>
      <c r="BS304" s="2629"/>
      <c r="BT304" s="2629"/>
      <c r="BU304" s="2629"/>
      <c r="BV304" s="2629"/>
      <c r="BW304" s="2629"/>
      <c r="BX304" s="2629"/>
      <c r="BY304" s="2629"/>
      <c r="BZ304" s="2629"/>
      <c r="CA304" s="2629"/>
      <c r="CB304" s="2629"/>
      <c r="CC304" s="2629"/>
      <c r="CD304" s="2629"/>
      <c r="CE304" s="2629"/>
      <c r="CF304" s="2629"/>
    </row>
    <row r="305" spans="1:84" s="98" customFormat="1" ht="15" customHeight="1">
      <c r="A305" s="99"/>
      <c r="B305" s="2687"/>
      <c r="C305" s="2688"/>
      <c r="D305" s="2688" t="s">
        <v>2718</v>
      </c>
      <c r="E305" s="2688"/>
      <c r="F305" s="2688"/>
      <c r="G305" s="2645"/>
      <c r="H305" s="2645"/>
      <c r="I305" s="2503"/>
      <c r="J305" s="2503"/>
      <c r="K305" s="2503"/>
      <c r="L305" s="2503"/>
      <c r="M305" s="2503"/>
      <c r="N305" s="2503"/>
      <c r="O305" s="2503"/>
      <c r="P305" s="2503"/>
      <c r="Q305" s="2503"/>
      <c r="R305" s="2503"/>
      <c r="S305" s="2503"/>
      <c r="T305" s="2503"/>
      <c r="U305" s="2503"/>
      <c r="V305" s="2503"/>
      <c r="W305" s="2629"/>
      <c r="X305" s="2503"/>
      <c r="Y305" s="2503"/>
      <c r="Z305" s="2503"/>
      <c r="AA305" s="2503"/>
      <c r="AB305" s="2503"/>
      <c r="AC305" s="2503"/>
      <c r="AD305" s="2503"/>
      <c r="AE305" s="2503"/>
      <c r="AF305" s="2503"/>
      <c r="AG305" s="2503"/>
      <c r="AH305" s="2503"/>
      <c r="AI305" s="2503"/>
      <c r="AJ305" s="2503"/>
      <c r="AK305" s="2503"/>
      <c r="AL305" s="2629"/>
      <c r="AM305" s="607" t="s">
        <v>2233</v>
      </c>
      <c r="AN305" s="143">
        <v>-0.42199999999999999</v>
      </c>
      <c r="AO305" s="141">
        <v>-0.215</v>
      </c>
      <c r="AP305" s="141">
        <v>-0.157</v>
      </c>
      <c r="AQ305" s="141">
        <v>0</v>
      </c>
      <c r="AR305" s="141">
        <v>-4.1999999999999996E-2</v>
      </c>
      <c r="AS305" s="141">
        <v>-0.39400000000000002</v>
      </c>
      <c r="AT305" s="141">
        <v>0</v>
      </c>
      <c r="AU305" s="144">
        <v>0</v>
      </c>
      <c r="AV305" s="143">
        <v>0</v>
      </c>
      <c r="AW305" s="141">
        <v>0</v>
      </c>
      <c r="AX305" s="141">
        <v>0</v>
      </c>
      <c r="AY305" s="141">
        <v>0</v>
      </c>
      <c r="AZ305" s="144">
        <v>0</v>
      </c>
      <c r="BA305" s="2629"/>
      <c r="BB305" s="2629"/>
      <c r="BC305" s="2629"/>
      <c r="BD305" s="2629"/>
      <c r="BE305" s="2629"/>
      <c r="BF305" s="2629"/>
      <c r="BG305" s="2629"/>
      <c r="BH305" s="2629"/>
      <c r="BI305" s="2629"/>
      <c r="BJ305" s="2629"/>
      <c r="BK305" s="2629"/>
      <c r="BL305" s="2629"/>
      <c r="BM305" s="2629"/>
      <c r="BN305" s="2629"/>
      <c r="BO305" s="2629"/>
      <c r="BP305" s="2629"/>
      <c r="BQ305" s="2629"/>
      <c r="BR305" s="2629"/>
      <c r="BS305" s="2629"/>
      <c r="BT305" s="2629"/>
      <c r="BU305" s="2629"/>
      <c r="BV305" s="2629"/>
      <c r="BW305" s="2629"/>
      <c r="BX305" s="2629"/>
      <c r="BY305" s="2629"/>
      <c r="BZ305" s="2629"/>
      <c r="CA305" s="2629"/>
      <c r="CB305" s="2629"/>
      <c r="CC305" s="2629"/>
      <c r="CD305" s="2629"/>
      <c r="CE305" s="2629"/>
      <c r="CF305" s="2629"/>
    </row>
    <row r="306" spans="1:84" s="98" customFormat="1" ht="15" customHeight="1">
      <c r="A306" s="99"/>
      <c r="B306" s="2687"/>
      <c r="C306" s="2688"/>
      <c r="D306" s="2688" t="s">
        <v>2719</v>
      </c>
      <c r="E306" s="2688"/>
      <c r="F306" s="2688"/>
      <c r="G306" s="2645"/>
      <c r="H306" s="2645"/>
      <c r="I306" s="2503"/>
      <c r="J306" s="2503"/>
      <c r="K306" s="2503"/>
      <c r="L306" s="2503"/>
      <c r="M306" s="2503"/>
      <c r="N306" s="2503"/>
      <c r="O306" s="2503"/>
      <c r="P306" s="2503"/>
      <c r="Q306" s="2503"/>
      <c r="R306" s="2503"/>
      <c r="S306" s="2503"/>
      <c r="T306" s="2503"/>
      <c r="U306" s="2503"/>
      <c r="V306" s="2503"/>
      <c r="W306" s="2629"/>
      <c r="X306" s="2503"/>
      <c r="Y306" s="2503"/>
      <c r="Z306" s="2503"/>
      <c r="AA306" s="2503"/>
      <c r="AB306" s="2503"/>
      <c r="AC306" s="2503"/>
      <c r="AD306" s="2503"/>
      <c r="AE306" s="2503"/>
      <c r="AF306" s="2503"/>
      <c r="AG306" s="2503"/>
      <c r="AH306" s="2503"/>
      <c r="AI306" s="2503"/>
      <c r="AJ306" s="2503"/>
      <c r="AK306" s="2503"/>
      <c r="AL306" s="2629"/>
      <c r="AM306" s="607" t="s">
        <v>2233</v>
      </c>
      <c r="AN306" s="143">
        <v>0</v>
      </c>
      <c r="AO306" s="141">
        <v>-4.7E-2</v>
      </c>
      <c r="AP306" s="141">
        <v>-3.2500000000000001E-2</v>
      </c>
      <c r="AQ306" s="141">
        <v>-0.216</v>
      </c>
      <c r="AR306" s="141">
        <v>-8.1000000000000003E-2</v>
      </c>
      <c r="AS306" s="141">
        <v>-5.0000000000000001E-3</v>
      </c>
      <c r="AT306" s="141">
        <v>0</v>
      </c>
      <c r="AU306" s="144">
        <v>0</v>
      </c>
      <c r="AV306" s="143">
        <v>0</v>
      </c>
      <c r="AW306" s="141">
        <v>0</v>
      </c>
      <c r="AX306" s="141">
        <v>0</v>
      </c>
      <c r="AY306" s="141">
        <v>0</v>
      </c>
      <c r="AZ306" s="144">
        <v>0</v>
      </c>
      <c r="BA306" s="2629"/>
      <c r="BB306" s="2629"/>
      <c r="BC306" s="2629"/>
      <c r="BD306" s="2629"/>
      <c r="BE306" s="2629"/>
      <c r="BF306" s="2629"/>
      <c r="BG306" s="2629"/>
      <c r="BH306" s="2629"/>
      <c r="BI306" s="2629"/>
      <c r="BJ306" s="2629"/>
      <c r="BK306" s="2629"/>
      <c r="BL306" s="2629"/>
      <c r="BM306" s="2629"/>
      <c r="BN306" s="2629"/>
      <c r="BO306" s="2629"/>
      <c r="BP306" s="2629"/>
      <c r="BQ306" s="2629"/>
      <c r="BR306" s="2629"/>
      <c r="BS306" s="2629"/>
      <c r="BT306" s="2629"/>
      <c r="BU306" s="2629"/>
      <c r="BV306" s="2629"/>
      <c r="BW306" s="2629"/>
      <c r="BX306" s="2629"/>
      <c r="BY306" s="2629"/>
      <c r="BZ306" s="2629"/>
      <c r="CA306" s="2629"/>
      <c r="CB306" s="2629"/>
      <c r="CC306" s="2629"/>
      <c r="CD306" s="2629"/>
      <c r="CE306" s="2629"/>
      <c r="CF306" s="2629"/>
    </row>
    <row r="307" spans="1:84" s="98" customFormat="1" ht="15" customHeight="1">
      <c r="A307" s="99"/>
      <c r="B307" s="2687"/>
      <c r="C307" s="2688"/>
      <c r="D307" s="2688" t="s">
        <v>2726</v>
      </c>
      <c r="E307" s="2688"/>
      <c r="F307" s="2688"/>
      <c r="G307" s="2645"/>
      <c r="H307" s="2645"/>
      <c r="I307" s="2503"/>
      <c r="J307" s="2503"/>
      <c r="K307" s="2503"/>
      <c r="L307" s="2503"/>
      <c r="M307" s="2503"/>
      <c r="N307" s="2503"/>
      <c r="O307" s="2503"/>
      <c r="P307" s="2503"/>
      <c r="Q307" s="2503"/>
      <c r="R307" s="2503"/>
      <c r="S307" s="2503"/>
      <c r="T307" s="2503"/>
      <c r="U307" s="2503"/>
      <c r="V307" s="2503"/>
      <c r="W307" s="2629"/>
      <c r="X307" s="2503"/>
      <c r="Y307" s="2503"/>
      <c r="Z307" s="2503"/>
      <c r="AA307" s="2503"/>
      <c r="AB307" s="2503"/>
      <c r="AC307" s="2503"/>
      <c r="AD307" s="2503"/>
      <c r="AE307" s="2503"/>
      <c r="AF307" s="2503"/>
      <c r="AG307" s="2503"/>
      <c r="AH307" s="2503"/>
      <c r="AI307" s="2503"/>
      <c r="AJ307" s="2503"/>
      <c r="AK307" s="2503"/>
      <c r="AL307" s="2629"/>
      <c r="AM307" s="607" t="s">
        <v>2233</v>
      </c>
      <c r="AN307" s="143">
        <v>0</v>
      </c>
      <c r="AO307" s="141">
        <v>0</v>
      </c>
      <c r="AP307" s="141">
        <v>0</v>
      </c>
      <c r="AQ307" s="141">
        <v>0</v>
      </c>
      <c r="AR307" s="141">
        <v>0</v>
      </c>
      <c r="AS307" s="141">
        <v>0</v>
      </c>
      <c r="AT307" s="141">
        <v>0</v>
      </c>
      <c r="AU307" s="144">
        <v>0</v>
      </c>
      <c r="AV307" s="143">
        <v>0</v>
      </c>
      <c r="AW307" s="141">
        <v>0</v>
      </c>
      <c r="AX307" s="141">
        <v>0</v>
      </c>
      <c r="AY307" s="141">
        <v>0</v>
      </c>
      <c r="AZ307" s="144">
        <v>0</v>
      </c>
      <c r="BA307" s="2629"/>
      <c r="BB307" s="2629"/>
      <c r="BC307" s="2629"/>
      <c r="BD307" s="2629"/>
      <c r="BE307" s="2629"/>
      <c r="BF307" s="2629"/>
      <c r="BG307" s="2629"/>
      <c r="BH307" s="2629"/>
      <c r="BI307" s="2629"/>
      <c r="BJ307" s="2629"/>
      <c r="BK307" s="2629"/>
      <c r="BL307" s="2629"/>
      <c r="BM307" s="2629"/>
      <c r="BN307" s="2629"/>
      <c r="BO307" s="2629"/>
      <c r="BP307" s="2629"/>
      <c r="BQ307" s="2629"/>
      <c r="BR307" s="2629"/>
      <c r="BS307" s="2629"/>
      <c r="BT307" s="2629"/>
      <c r="BU307" s="2629"/>
      <c r="BV307" s="2629"/>
      <c r="BW307" s="2629"/>
      <c r="BX307" s="2629"/>
      <c r="BY307" s="2629"/>
      <c r="BZ307" s="2629"/>
      <c r="CA307" s="2629"/>
      <c r="CB307" s="2629"/>
      <c r="CC307" s="2629"/>
      <c r="CD307" s="2629"/>
      <c r="CE307" s="2629"/>
      <c r="CF307" s="2629"/>
    </row>
    <row r="308" spans="1:84" s="98" customFormat="1" ht="15" customHeight="1">
      <c r="A308" s="99"/>
      <c r="B308" s="2687"/>
      <c r="C308" s="2688"/>
      <c r="D308" s="2688" t="s">
        <v>2727</v>
      </c>
      <c r="E308" s="2688"/>
      <c r="F308" s="2688"/>
      <c r="G308" s="2645"/>
      <c r="H308" s="2645"/>
      <c r="I308" s="2503"/>
      <c r="J308" s="2503"/>
      <c r="K308" s="2503"/>
      <c r="L308" s="2503"/>
      <c r="M308" s="2503"/>
      <c r="N308" s="2503"/>
      <c r="O308" s="2503"/>
      <c r="P308" s="2503"/>
      <c r="Q308" s="2503"/>
      <c r="R308" s="2503"/>
      <c r="S308" s="2503"/>
      <c r="T308" s="2503"/>
      <c r="U308" s="2503"/>
      <c r="V308" s="2503"/>
      <c r="W308" s="2629"/>
      <c r="X308" s="2503"/>
      <c r="Y308" s="2503"/>
      <c r="Z308" s="2503"/>
      <c r="AA308" s="2503"/>
      <c r="AB308" s="2503"/>
      <c r="AC308" s="2503"/>
      <c r="AD308" s="2503"/>
      <c r="AE308" s="2503"/>
      <c r="AF308" s="2503"/>
      <c r="AG308" s="2503"/>
      <c r="AH308" s="2503"/>
      <c r="AI308" s="2503"/>
      <c r="AJ308" s="2503"/>
      <c r="AK308" s="2503"/>
      <c r="AL308" s="2629"/>
      <c r="AM308" s="607" t="s">
        <v>2233</v>
      </c>
      <c r="AN308" s="143">
        <v>0</v>
      </c>
      <c r="AO308" s="141">
        <v>0</v>
      </c>
      <c r="AP308" s="141">
        <v>-0.21300000000000002</v>
      </c>
      <c r="AQ308" s="141">
        <v>0</v>
      </c>
      <c r="AR308" s="141">
        <v>-0.45599999999999996</v>
      </c>
      <c r="AS308" s="141">
        <v>-0.24</v>
      </c>
      <c r="AT308" s="141">
        <v>0</v>
      </c>
      <c r="AU308" s="144">
        <v>0</v>
      </c>
      <c r="AV308" s="143">
        <v>0</v>
      </c>
      <c r="AW308" s="141">
        <v>0</v>
      </c>
      <c r="AX308" s="141">
        <v>0</v>
      </c>
      <c r="AY308" s="141">
        <v>0</v>
      </c>
      <c r="AZ308" s="144">
        <v>0</v>
      </c>
      <c r="BA308" s="2629"/>
      <c r="BB308" s="2629"/>
      <c r="BC308" s="2629"/>
      <c r="BD308" s="2629"/>
      <c r="BE308" s="2629"/>
      <c r="BF308" s="2629"/>
      <c r="BG308" s="2629"/>
      <c r="BH308" s="2629"/>
      <c r="BI308" s="2629"/>
      <c r="BJ308" s="2629"/>
      <c r="BK308" s="2629"/>
      <c r="BL308" s="2629"/>
      <c r="BM308" s="2629"/>
      <c r="BN308" s="2629"/>
      <c r="BO308" s="2629"/>
      <c r="BP308" s="2629"/>
      <c r="BQ308" s="2629"/>
      <c r="BR308" s="2629"/>
      <c r="BS308" s="2629"/>
      <c r="BT308" s="2629"/>
      <c r="BU308" s="2629"/>
      <c r="BV308" s="2629"/>
      <c r="BW308" s="2629"/>
      <c r="BX308" s="2629"/>
      <c r="BY308" s="2629"/>
      <c r="BZ308" s="2629"/>
      <c r="CA308" s="2629"/>
      <c r="CB308" s="2629"/>
      <c r="CC308" s="2629"/>
      <c r="CD308" s="2629"/>
      <c r="CE308" s="2629"/>
      <c r="CF308" s="2629"/>
    </row>
    <row r="309" spans="1:84" s="98" customFormat="1" ht="15" customHeight="1">
      <c r="A309" s="99"/>
      <c r="B309" s="2687"/>
      <c r="C309" s="2688"/>
      <c r="D309" s="2688" t="s">
        <v>2728</v>
      </c>
      <c r="E309" s="2688"/>
      <c r="F309" s="2688"/>
      <c r="G309" s="2645"/>
      <c r="H309" s="2645"/>
      <c r="I309" s="2503"/>
      <c r="J309" s="2503"/>
      <c r="K309" s="2503"/>
      <c r="L309" s="2503"/>
      <c r="M309" s="2503"/>
      <c r="N309" s="2503"/>
      <c r="O309" s="2503"/>
      <c r="P309" s="2503"/>
      <c r="Q309" s="2503"/>
      <c r="R309" s="2503"/>
      <c r="S309" s="2503"/>
      <c r="T309" s="2503"/>
      <c r="U309" s="2503"/>
      <c r="V309" s="2503"/>
      <c r="W309" s="2629"/>
      <c r="X309" s="2503"/>
      <c r="Y309" s="2503"/>
      <c r="Z309" s="2503"/>
      <c r="AA309" s="2503"/>
      <c r="AB309" s="2503"/>
      <c r="AC309" s="2503"/>
      <c r="AD309" s="2503"/>
      <c r="AE309" s="2503"/>
      <c r="AF309" s="2503"/>
      <c r="AG309" s="2503"/>
      <c r="AH309" s="2503"/>
      <c r="AI309" s="2503"/>
      <c r="AJ309" s="2503"/>
      <c r="AK309" s="2503"/>
      <c r="AL309" s="2629"/>
      <c r="AM309" s="607" t="s">
        <v>2233</v>
      </c>
      <c r="AN309" s="143">
        <v>0</v>
      </c>
      <c r="AO309" s="141">
        <v>0</v>
      </c>
      <c r="AP309" s="141">
        <v>0</v>
      </c>
      <c r="AQ309" s="141">
        <v>0</v>
      </c>
      <c r="AR309" s="141">
        <v>-8.0000000000000002E-3</v>
      </c>
      <c r="AS309" s="141">
        <v>0</v>
      </c>
      <c r="AT309" s="141">
        <v>0</v>
      </c>
      <c r="AU309" s="144">
        <v>0</v>
      </c>
      <c r="AV309" s="143">
        <v>0</v>
      </c>
      <c r="AW309" s="141">
        <v>0</v>
      </c>
      <c r="AX309" s="141">
        <v>0</v>
      </c>
      <c r="AY309" s="141">
        <v>0</v>
      </c>
      <c r="AZ309" s="144">
        <v>0</v>
      </c>
      <c r="BA309" s="2629"/>
      <c r="BB309" s="2629"/>
      <c r="BC309" s="2629"/>
      <c r="BD309" s="2629"/>
      <c r="BE309" s="2629"/>
      <c r="BF309" s="2629"/>
      <c r="BG309" s="2629"/>
      <c r="BH309" s="2629"/>
      <c r="BI309" s="2629"/>
      <c r="BJ309" s="2629"/>
      <c r="BK309" s="2629"/>
      <c r="BL309" s="2629"/>
      <c r="BM309" s="2629"/>
      <c r="BN309" s="2629"/>
      <c r="BO309" s="2629"/>
      <c r="BP309" s="2629"/>
      <c r="BQ309" s="2629"/>
      <c r="BR309" s="2629"/>
      <c r="BS309" s="2629"/>
      <c r="BT309" s="2629"/>
      <c r="BU309" s="2629"/>
      <c r="BV309" s="2629"/>
      <c r="BW309" s="2629"/>
      <c r="BX309" s="2629"/>
      <c r="BY309" s="2629"/>
      <c r="BZ309" s="2629"/>
      <c r="CA309" s="2629"/>
      <c r="CB309" s="2629"/>
      <c r="CC309" s="2629"/>
      <c r="CD309" s="2629"/>
      <c r="CE309" s="2629"/>
      <c r="CF309" s="2629"/>
    </row>
    <row r="310" spans="1:84" s="98" customFormat="1" ht="15" customHeight="1">
      <c r="A310" s="99"/>
      <c r="B310" s="2687"/>
      <c r="C310" s="2688"/>
      <c r="D310" s="2688" t="s">
        <v>2736</v>
      </c>
      <c r="E310" s="2688"/>
      <c r="F310" s="2688"/>
      <c r="G310" s="2645"/>
      <c r="H310" s="2645"/>
      <c r="I310" s="2503"/>
      <c r="J310" s="2503"/>
      <c r="K310" s="2503"/>
      <c r="L310" s="2503"/>
      <c r="M310" s="2503"/>
      <c r="N310" s="2503"/>
      <c r="O310" s="2503"/>
      <c r="P310" s="2503"/>
      <c r="Q310" s="2503"/>
      <c r="R310" s="2503"/>
      <c r="S310" s="2503"/>
      <c r="T310" s="2503"/>
      <c r="U310" s="2503"/>
      <c r="V310" s="2503"/>
      <c r="W310" s="2629"/>
      <c r="X310" s="2503"/>
      <c r="Y310" s="2503"/>
      <c r="Z310" s="2503"/>
      <c r="AA310" s="2503"/>
      <c r="AB310" s="2503"/>
      <c r="AC310" s="2503"/>
      <c r="AD310" s="2503"/>
      <c r="AE310" s="2503"/>
      <c r="AF310" s="2503"/>
      <c r="AG310" s="2503"/>
      <c r="AH310" s="2503"/>
      <c r="AI310" s="2503"/>
      <c r="AJ310" s="2503"/>
      <c r="AK310" s="2503"/>
      <c r="AL310" s="2629"/>
      <c r="AM310" s="607" t="s">
        <v>2233</v>
      </c>
      <c r="AN310" s="143">
        <v>-2.3E-2</v>
      </c>
      <c r="AO310" s="141">
        <v>0</v>
      </c>
      <c r="AP310" s="141">
        <v>0</v>
      </c>
      <c r="AQ310" s="141">
        <v>-0.45100000000000001</v>
      </c>
      <c r="AR310" s="141">
        <v>0</v>
      </c>
      <c r="AS310" s="141">
        <v>0</v>
      </c>
      <c r="AT310" s="141">
        <v>0</v>
      </c>
      <c r="AU310" s="144">
        <v>0</v>
      </c>
      <c r="AV310" s="143">
        <v>0</v>
      </c>
      <c r="AW310" s="141">
        <v>0</v>
      </c>
      <c r="AX310" s="141">
        <v>0</v>
      </c>
      <c r="AY310" s="141">
        <v>0</v>
      </c>
      <c r="AZ310" s="144">
        <v>0</v>
      </c>
      <c r="BA310" s="2629"/>
      <c r="BB310" s="2629"/>
      <c r="BC310" s="2629"/>
      <c r="BD310" s="2629"/>
      <c r="BE310" s="2629"/>
      <c r="BF310" s="2629"/>
      <c r="BG310" s="2629"/>
      <c r="BH310" s="2629"/>
      <c r="BI310" s="2629"/>
      <c r="BJ310" s="2629"/>
      <c r="BK310" s="2629"/>
      <c r="BL310" s="2629"/>
      <c r="BM310" s="2629"/>
      <c r="BN310" s="2629"/>
      <c r="BO310" s="2629"/>
      <c r="BP310" s="2629"/>
      <c r="BQ310" s="2629"/>
      <c r="BR310" s="2629"/>
      <c r="BS310" s="2629"/>
      <c r="BT310" s="2629"/>
      <c r="BU310" s="2629"/>
      <c r="BV310" s="2629"/>
      <c r="BW310" s="2629"/>
      <c r="BX310" s="2629"/>
      <c r="BY310" s="2629"/>
      <c r="BZ310" s="2629"/>
      <c r="CA310" s="2629"/>
      <c r="CB310" s="2629"/>
      <c r="CC310" s="2629"/>
      <c r="CD310" s="2629"/>
      <c r="CE310" s="2629"/>
      <c r="CF310" s="2629"/>
    </row>
    <row r="311" spans="1:84" s="98" customFormat="1" ht="15" customHeight="1">
      <c r="A311" s="99"/>
      <c r="B311" s="2687"/>
      <c r="C311" s="2688"/>
      <c r="D311" s="2688" t="s">
        <v>2737</v>
      </c>
      <c r="E311" s="2688"/>
      <c r="F311" s="2688"/>
      <c r="G311" s="2645"/>
      <c r="H311" s="2645"/>
      <c r="I311" s="2503"/>
      <c r="J311" s="2503"/>
      <c r="K311" s="2503"/>
      <c r="L311" s="2503"/>
      <c r="M311" s="2503"/>
      <c r="N311" s="2503"/>
      <c r="O311" s="2503"/>
      <c r="P311" s="2503"/>
      <c r="Q311" s="2503"/>
      <c r="R311" s="2503"/>
      <c r="S311" s="2503"/>
      <c r="T311" s="2503"/>
      <c r="U311" s="2503"/>
      <c r="V311" s="2503"/>
      <c r="W311" s="2629"/>
      <c r="X311" s="2503"/>
      <c r="Y311" s="2503"/>
      <c r="Z311" s="2503"/>
      <c r="AA311" s="2503"/>
      <c r="AB311" s="2503"/>
      <c r="AC311" s="2503"/>
      <c r="AD311" s="2503"/>
      <c r="AE311" s="2503"/>
      <c r="AF311" s="2503"/>
      <c r="AG311" s="2503"/>
      <c r="AH311" s="2503"/>
      <c r="AI311" s="2503"/>
      <c r="AJ311" s="2503"/>
      <c r="AK311" s="2503"/>
      <c r="AL311" s="2629"/>
      <c r="AM311" s="607" t="s">
        <v>2233</v>
      </c>
      <c r="AN311" s="143">
        <v>0</v>
      </c>
      <c r="AO311" s="141">
        <v>0</v>
      </c>
      <c r="AP311" s="141">
        <v>0</v>
      </c>
      <c r="AQ311" s="141">
        <v>0</v>
      </c>
      <c r="AR311" s="141">
        <v>0</v>
      </c>
      <c r="AS311" s="141">
        <v>0</v>
      </c>
      <c r="AT311" s="141">
        <v>0</v>
      </c>
      <c r="AU311" s="144">
        <v>0</v>
      </c>
      <c r="AV311" s="143">
        <v>0</v>
      </c>
      <c r="AW311" s="141">
        <v>0</v>
      </c>
      <c r="AX311" s="141">
        <v>0</v>
      </c>
      <c r="AY311" s="141">
        <v>0</v>
      </c>
      <c r="AZ311" s="144">
        <v>0</v>
      </c>
      <c r="BA311" s="2629"/>
      <c r="BB311" s="2629"/>
      <c r="BC311" s="2629"/>
      <c r="BD311" s="2629"/>
      <c r="BE311" s="2629"/>
      <c r="BF311" s="2629"/>
      <c r="BG311" s="2629"/>
      <c r="BH311" s="2629"/>
      <c r="BI311" s="2629"/>
      <c r="BJ311" s="2629"/>
      <c r="BK311" s="2629"/>
      <c r="BL311" s="2629"/>
      <c r="BM311" s="2629"/>
      <c r="BN311" s="2629"/>
      <c r="BO311" s="2629"/>
      <c r="BP311" s="2629"/>
      <c r="BQ311" s="2629"/>
      <c r="BR311" s="2629"/>
      <c r="BS311" s="2629"/>
      <c r="BT311" s="2629"/>
      <c r="BU311" s="2629"/>
      <c r="BV311" s="2629"/>
      <c r="BW311" s="2629"/>
      <c r="BX311" s="2629"/>
      <c r="BY311" s="2629"/>
      <c r="BZ311" s="2629"/>
      <c r="CA311" s="2629"/>
      <c r="CB311" s="2629"/>
      <c r="CC311" s="2629"/>
      <c r="CD311" s="2629"/>
      <c r="CE311" s="2629"/>
      <c r="CF311" s="2629"/>
    </row>
    <row r="312" spans="1:84" s="98" customFormat="1" ht="15" customHeight="1">
      <c r="A312" s="99"/>
      <c r="B312" s="2687"/>
      <c r="C312" s="2688" t="s">
        <v>1710</v>
      </c>
      <c r="D312" s="2688"/>
      <c r="E312" s="2688"/>
      <c r="F312" s="2688"/>
      <c r="G312" s="2645"/>
      <c r="H312" s="2645"/>
      <c r="I312" s="2503"/>
      <c r="J312" s="2503"/>
      <c r="K312" s="2503"/>
      <c r="L312" s="2503"/>
      <c r="M312" s="2503"/>
      <c r="N312" s="2503"/>
      <c r="O312" s="2503"/>
      <c r="P312" s="2503"/>
      <c r="Q312" s="2503"/>
      <c r="R312" s="2503"/>
      <c r="S312" s="2503"/>
      <c r="T312" s="2503"/>
      <c r="U312" s="2503"/>
      <c r="V312" s="2503"/>
      <c r="W312" s="2629"/>
      <c r="X312" s="2503"/>
      <c r="Y312" s="2503"/>
      <c r="Z312" s="2503"/>
      <c r="AA312" s="2503"/>
      <c r="AB312" s="2503"/>
      <c r="AC312" s="2503"/>
      <c r="AD312" s="2503"/>
      <c r="AE312" s="2503"/>
      <c r="AF312" s="2503"/>
      <c r="AG312" s="2503"/>
      <c r="AH312" s="2503"/>
      <c r="AI312" s="2503"/>
      <c r="AJ312" s="2503"/>
      <c r="AK312" s="2503"/>
      <c r="AL312" s="2629"/>
      <c r="AM312" s="607" t="s">
        <v>2233</v>
      </c>
      <c r="AN312" s="641">
        <f>SUM(AN303:AN311)</f>
        <v>-0.44500000000000001</v>
      </c>
      <c r="AO312" s="642">
        <f t="shared" ref="AO312:AZ312" si="84">SUM(AO303:AO311)</f>
        <v>-0.33400000000000002</v>
      </c>
      <c r="AP312" s="642">
        <f t="shared" si="84"/>
        <v>-0.40400000000000003</v>
      </c>
      <c r="AQ312" s="642">
        <f t="shared" si="84"/>
        <v>-0.73100000000000009</v>
      </c>
      <c r="AR312" s="642">
        <f t="shared" si="84"/>
        <v>-0.60199999999999998</v>
      </c>
      <c r="AS312" s="642">
        <f t="shared" si="84"/>
        <v>-0.76</v>
      </c>
      <c r="AT312" s="642">
        <f t="shared" si="84"/>
        <v>0</v>
      </c>
      <c r="AU312" s="643">
        <f t="shared" si="84"/>
        <v>0</v>
      </c>
      <c r="AV312" s="641">
        <f t="shared" si="84"/>
        <v>0</v>
      </c>
      <c r="AW312" s="642">
        <f t="shared" si="84"/>
        <v>0</v>
      </c>
      <c r="AX312" s="642">
        <f t="shared" si="84"/>
        <v>0</v>
      </c>
      <c r="AY312" s="642">
        <f t="shared" si="84"/>
        <v>0</v>
      </c>
      <c r="AZ312" s="643">
        <f t="shared" si="84"/>
        <v>0</v>
      </c>
      <c r="BA312" s="2629"/>
      <c r="BB312" s="2629"/>
      <c r="BC312" s="2629"/>
      <c r="BD312" s="2629"/>
      <c r="BE312" s="2629"/>
      <c r="BF312" s="2629"/>
      <c r="BG312" s="2629"/>
      <c r="BH312" s="2629"/>
      <c r="BI312" s="2629"/>
      <c r="BJ312" s="2629"/>
      <c r="BK312" s="2629"/>
      <c r="BL312" s="2629"/>
      <c r="BM312" s="2629"/>
      <c r="BN312" s="2629"/>
      <c r="BO312" s="2629"/>
      <c r="BP312" s="2629"/>
      <c r="BQ312" s="2629"/>
      <c r="BR312" s="2629"/>
      <c r="BS312" s="2629"/>
      <c r="BT312" s="2629"/>
      <c r="BU312" s="2629"/>
      <c r="BV312" s="2629"/>
      <c r="BW312" s="2629"/>
      <c r="BX312" s="2629"/>
      <c r="BY312" s="2629"/>
      <c r="BZ312" s="2629"/>
      <c r="CA312" s="2629"/>
      <c r="CB312" s="2629"/>
      <c r="CC312" s="2629"/>
      <c r="CD312" s="2629"/>
      <c r="CE312" s="2629"/>
      <c r="CF312" s="2629"/>
    </row>
    <row r="313" spans="1:84" s="98" customFormat="1" ht="15" customHeight="1">
      <c r="A313" s="99"/>
      <c r="B313" s="123"/>
      <c r="C313" s="2686"/>
      <c r="D313" s="2686"/>
      <c r="E313" s="2686"/>
      <c r="F313" s="2686"/>
      <c r="G313" s="94"/>
      <c r="H313" s="94"/>
      <c r="I313" s="2503"/>
      <c r="J313" s="2503"/>
      <c r="K313" s="2503"/>
      <c r="L313" s="2503"/>
      <c r="M313" s="2503"/>
      <c r="N313" s="2503"/>
      <c r="O313" s="2503"/>
      <c r="P313" s="2503"/>
      <c r="Q313" s="2503"/>
      <c r="R313" s="2503"/>
      <c r="S313" s="2503"/>
      <c r="T313" s="2503"/>
      <c r="U313" s="2503"/>
      <c r="V313" s="2503"/>
      <c r="W313" s="2629"/>
      <c r="X313" s="2503"/>
      <c r="Y313" s="2503"/>
      <c r="Z313" s="2503"/>
      <c r="AA313" s="2503"/>
      <c r="AB313" s="2503"/>
      <c r="AC313" s="2503"/>
      <c r="AD313" s="2503"/>
      <c r="AE313" s="2503"/>
      <c r="AF313" s="2503"/>
      <c r="AG313" s="2503"/>
      <c r="AH313" s="2503"/>
      <c r="AI313" s="2503"/>
      <c r="AJ313" s="2503"/>
      <c r="AK313" s="2503"/>
      <c r="AL313" s="2629"/>
      <c r="AM313" s="94"/>
      <c r="AN313" s="713"/>
      <c r="AO313" s="2649"/>
      <c r="AP313" s="2649"/>
      <c r="AQ313" s="2649"/>
      <c r="AR313" s="2649"/>
      <c r="AS313" s="2649"/>
      <c r="AT313" s="2649"/>
      <c r="AU313" s="715"/>
      <c r="AV313" s="713"/>
      <c r="AW313" s="2649"/>
      <c r="AX313" s="2649"/>
      <c r="AY313" s="2649"/>
      <c r="AZ313" s="715"/>
      <c r="BA313" s="2629"/>
      <c r="BB313" s="2629"/>
      <c r="BC313" s="2629"/>
      <c r="BD313" s="2629"/>
      <c r="BE313" s="2629"/>
      <c r="BF313" s="2629"/>
      <c r="BG313" s="2629"/>
      <c r="BH313" s="2629"/>
      <c r="BI313" s="2629"/>
      <c r="BJ313" s="2629"/>
      <c r="BK313" s="2629"/>
      <c r="BL313" s="2629"/>
      <c r="BM313" s="2629"/>
      <c r="BN313" s="2629"/>
      <c r="BO313" s="2629"/>
      <c r="BP313" s="2629"/>
      <c r="BQ313" s="2629"/>
      <c r="BR313" s="2629"/>
      <c r="BS313" s="2629"/>
      <c r="BT313" s="2629"/>
      <c r="BU313" s="2629"/>
      <c r="BV313" s="2629"/>
      <c r="BW313" s="2629"/>
      <c r="BX313" s="2629"/>
      <c r="BY313" s="2629"/>
      <c r="BZ313" s="2629"/>
      <c r="CA313" s="2629"/>
      <c r="CB313" s="2629"/>
      <c r="CC313" s="2629"/>
      <c r="CD313" s="2629"/>
      <c r="CE313" s="2629"/>
      <c r="CF313" s="2629"/>
    </row>
    <row r="314" spans="1:84" s="98" customFormat="1" ht="15" customHeight="1">
      <c r="A314" s="99"/>
      <c r="B314" s="2687"/>
      <c r="C314" s="2685" t="s">
        <v>2774</v>
      </c>
      <c r="D314" s="2685"/>
      <c r="E314" s="2685"/>
      <c r="F314" s="2685"/>
      <c r="G314" s="94"/>
      <c r="H314" s="94"/>
      <c r="I314" s="2503"/>
      <c r="J314" s="2503"/>
      <c r="K314" s="2503"/>
      <c r="L314" s="2503"/>
      <c r="M314" s="2503"/>
      <c r="N314" s="2503"/>
      <c r="O314" s="2503"/>
      <c r="P314" s="2503"/>
      <c r="Q314" s="2503"/>
      <c r="R314" s="2503"/>
      <c r="S314" s="2503"/>
      <c r="T314" s="2503"/>
      <c r="U314" s="2503"/>
      <c r="V314" s="2503"/>
      <c r="W314" s="2629"/>
      <c r="X314" s="2503"/>
      <c r="Y314" s="2503"/>
      <c r="Z314" s="2503"/>
      <c r="AA314" s="2503"/>
      <c r="AB314" s="2503"/>
      <c r="AC314" s="2503"/>
      <c r="AD314" s="2503"/>
      <c r="AE314" s="2503"/>
      <c r="AF314" s="2503"/>
      <c r="AG314" s="2503"/>
      <c r="AH314" s="2503"/>
      <c r="AI314" s="2503"/>
      <c r="AJ314" s="2503"/>
      <c r="AK314" s="2503"/>
      <c r="AL314" s="2629"/>
      <c r="AM314" s="94"/>
      <c r="AN314" s="713"/>
      <c r="AO314" s="2649"/>
      <c r="AP314" s="2649"/>
      <c r="AQ314" s="2649"/>
      <c r="AR314" s="2649"/>
      <c r="AS314" s="2649"/>
      <c r="AT314" s="2649"/>
      <c r="AU314" s="715"/>
      <c r="AV314" s="713"/>
      <c r="AW314" s="2649"/>
      <c r="AX314" s="2649"/>
      <c r="AY314" s="2649"/>
      <c r="AZ314" s="715"/>
      <c r="BA314" s="2629"/>
      <c r="BB314" s="2629"/>
      <c r="BC314" s="2629"/>
      <c r="BD314" s="2629"/>
      <c r="BE314" s="2629"/>
      <c r="BF314" s="2629"/>
      <c r="BG314" s="2629"/>
      <c r="BH314" s="2629"/>
      <c r="BI314" s="2629"/>
      <c r="BJ314" s="2629"/>
      <c r="BK314" s="2629"/>
      <c r="BL314" s="2629"/>
      <c r="BM314" s="2629"/>
      <c r="BN314" s="2629"/>
      <c r="BO314" s="2629"/>
      <c r="BP314" s="2629"/>
      <c r="BQ314" s="2629"/>
      <c r="BR314" s="2629"/>
      <c r="BS314" s="2629"/>
      <c r="BT314" s="2629"/>
      <c r="BU314" s="2629"/>
      <c r="BV314" s="2629"/>
      <c r="BW314" s="2629"/>
      <c r="BX314" s="2629"/>
      <c r="BY314" s="2629"/>
      <c r="BZ314" s="2629"/>
      <c r="CA314" s="2629"/>
      <c r="CB314" s="2629"/>
      <c r="CC314" s="2629"/>
      <c r="CD314" s="2629"/>
      <c r="CE314" s="2629"/>
      <c r="CF314" s="2629"/>
    </row>
    <row r="315" spans="1:84" s="98" customFormat="1" ht="15" customHeight="1">
      <c r="A315" s="99"/>
      <c r="B315" s="2687"/>
      <c r="C315" s="2688"/>
      <c r="D315" s="2688" t="s">
        <v>2716</v>
      </c>
      <c r="E315" s="2688"/>
      <c r="F315" s="2688"/>
      <c r="G315" s="2645"/>
      <c r="H315" s="2645"/>
      <c r="I315" s="2503"/>
      <c r="J315" s="2503"/>
      <c r="K315" s="2503"/>
      <c r="L315" s="2503"/>
      <c r="M315" s="2503"/>
      <c r="N315" s="2503"/>
      <c r="O315" s="2503"/>
      <c r="P315" s="2503"/>
      <c r="Q315" s="2503"/>
      <c r="R315" s="2503"/>
      <c r="S315" s="2503"/>
      <c r="T315" s="2503"/>
      <c r="U315" s="2503"/>
      <c r="V315" s="2503"/>
      <c r="W315" s="2629"/>
      <c r="X315" s="2503"/>
      <c r="Y315" s="2503"/>
      <c r="Z315" s="2503"/>
      <c r="AA315" s="2503"/>
      <c r="AB315" s="2503"/>
      <c r="AC315" s="2503"/>
      <c r="AD315" s="2503"/>
      <c r="AE315" s="2503"/>
      <c r="AF315" s="2503"/>
      <c r="AG315" s="2503"/>
      <c r="AH315" s="2503"/>
      <c r="AI315" s="2503"/>
      <c r="AJ315" s="2503"/>
      <c r="AK315" s="2503"/>
      <c r="AL315" s="2629"/>
      <c r="AM315" s="607" t="s">
        <v>2233</v>
      </c>
      <c r="AN315" s="143">
        <v>0</v>
      </c>
      <c r="AO315" s="141">
        <v>0</v>
      </c>
      <c r="AP315" s="141">
        <v>0</v>
      </c>
      <c r="AQ315" s="141">
        <v>0</v>
      </c>
      <c r="AR315" s="141">
        <v>0</v>
      </c>
      <c r="AS315" s="141">
        <v>-3.5999999999999997E-2</v>
      </c>
      <c r="AT315" s="141">
        <v>0</v>
      </c>
      <c r="AU315" s="144">
        <v>0</v>
      </c>
      <c r="AV315" s="143">
        <v>0</v>
      </c>
      <c r="AW315" s="141">
        <v>0</v>
      </c>
      <c r="AX315" s="141">
        <v>0</v>
      </c>
      <c r="AY315" s="141">
        <v>0</v>
      </c>
      <c r="AZ315" s="144">
        <v>0</v>
      </c>
      <c r="BA315" s="2629"/>
      <c r="BB315" s="2629"/>
      <c r="BC315" s="2629"/>
      <c r="BD315" s="2629"/>
      <c r="BE315" s="2629"/>
      <c r="BF315" s="2629"/>
      <c r="BG315" s="2629"/>
      <c r="BH315" s="2629"/>
      <c r="BI315" s="2629"/>
      <c r="BJ315" s="2629"/>
      <c r="BK315" s="2629"/>
      <c r="BL315" s="2629"/>
      <c r="BM315" s="2629"/>
      <c r="BN315" s="2629"/>
      <c r="BO315" s="2629"/>
      <c r="BP315" s="2629"/>
      <c r="BQ315" s="2629"/>
      <c r="BR315" s="2629"/>
      <c r="BS315" s="2629"/>
      <c r="BT315" s="2629"/>
      <c r="BU315" s="2629"/>
      <c r="BV315" s="2629"/>
      <c r="BW315" s="2629"/>
      <c r="BX315" s="2629"/>
      <c r="BY315" s="2629"/>
      <c r="BZ315" s="2629"/>
      <c r="CA315" s="2629"/>
      <c r="CB315" s="2629"/>
      <c r="CC315" s="2629"/>
      <c r="CD315" s="2629"/>
      <c r="CE315" s="2629"/>
      <c r="CF315" s="2629"/>
    </row>
    <row r="316" spans="1:84" s="98" customFormat="1" ht="15" customHeight="1">
      <c r="A316" s="99"/>
      <c r="B316" s="2687"/>
      <c r="C316" s="2688"/>
      <c r="D316" s="2688" t="s">
        <v>2717</v>
      </c>
      <c r="E316" s="2688"/>
      <c r="F316" s="2688"/>
      <c r="G316" s="2645"/>
      <c r="H316" s="2645"/>
      <c r="I316" s="2503"/>
      <c r="J316" s="2503"/>
      <c r="K316" s="2503"/>
      <c r="L316" s="2503"/>
      <c r="M316" s="2503"/>
      <c r="N316" s="2503"/>
      <c r="O316" s="2503"/>
      <c r="P316" s="2503"/>
      <c r="Q316" s="2503"/>
      <c r="R316" s="2503"/>
      <c r="S316" s="2503"/>
      <c r="T316" s="2503"/>
      <c r="U316" s="2503"/>
      <c r="V316" s="2503"/>
      <c r="W316" s="2629"/>
      <c r="X316" s="2503"/>
      <c r="Y316" s="2503"/>
      <c r="Z316" s="2503"/>
      <c r="AA316" s="2503"/>
      <c r="AB316" s="2503"/>
      <c r="AC316" s="2503"/>
      <c r="AD316" s="2503"/>
      <c r="AE316" s="2503"/>
      <c r="AF316" s="2503"/>
      <c r="AG316" s="2503"/>
      <c r="AH316" s="2503"/>
      <c r="AI316" s="2503"/>
      <c r="AJ316" s="2503"/>
      <c r="AK316" s="2503"/>
      <c r="AL316" s="2629"/>
      <c r="AM316" s="607" t="s">
        <v>2233</v>
      </c>
      <c r="AN316" s="143">
        <v>0</v>
      </c>
      <c r="AO316" s="141">
        <v>0</v>
      </c>
      <c r="AP316" s="141">
        <v>0</v>
      </c>
      <c r="AQ316" s="141">
        <v>-1.7999999999999999E-2</v>
      </c>
      <c r="AR316" s="141">
        <v>0</v>
      </c>
      <c r="AS316" s="141">
        <v>-4.0000000000000001E-3</v>
      </c>
      <c r="AT316" s="141">
        <v>0</v>
      </c>
      <c r="AU316" s="144">
        <v>0</v>
      </c>
      <c r="AV316" s="143">
        <v>0</v>
      </c>
      <c r="AW316" s="141">
        <v>0</v>
      </c>
      <c r="AX316" s="141">
        <v>0</v>
      </c>
      <c r="AY316" s="141">
        <v>0</v>
      </c>
      <c r="AZ316" s="144">
        <v>0</v>
      </c>
      <c r="BA316" s="2629"/>
      <c r="BB316" s="2629"/>
      <c r="BC316" s="2629"/>
      <c r="BD316" s="2629"/>
      <c r="BE316" s="2629"/>
      <c r="BF316" s="2629"/>
      <c r="BG316" s="2629"/>
      <c r="BH316" s="2629"/>
      <c r="BI316" s="2629"/>
      <c r="BJ316" s="2629"/>
      <c r="BK316" s="2629"/>
      <c r="BL316" s="2629"/>
      <c r="BM316" s="2629"/>
      <c r="BN316" s="2629"/>
      <c r="BO316" s="2629"/>
      <c r="BP316" s="2629"/>
      <c r="BQ316" s="2629"/>
      <c r="BR316" s="2629"/>
      <c r="BS316" s="2629"/>
      <c r="BT316" s="2629"/>
      <c r="BU316" s="2629"/>
      <c r="BV316" s="2629"/>
      <c r="BW316" s="2629"/>
      <c r="BX316" s="2629"/>
      <c r="BY316" s="2629"/>
      <c r="BZ316" s="2629"/>
      <c r="CA316" s="2629"/>
      <c r="CB316" s="2629"/>
      <c r="CC316" s="2629"/>
      <c r="CD316" s="2629"/>
      <c r="CE316" s="2629"/>
      <c r="CF316" s="2629"/>
    </row>
    <row r="317" spans="1:84" s="98" customFormat="1" ht="15" customHeight="1">
      <c r="A317" s="99"/>
      <c r="B317" s="2687"/>
      <c r="C317" s="2688"/>
      <c r="D317" s="2688" t="s">
        <v>2718</v>
      </c>
      <c r="E317" s="2688"/>
      <c r="F317" s="2688"/>
      <c r="G317" s="2645"/>
      <c r="H317" s="2645"/>
      <c r="I317" s="2503"/>
      <c r="J317" s="2503"/>
      <c r="K317" s="2503"/>
      <c r="L317" s="2503"/>
      <c r="M317" s="2503"/>
      <c r="N317" s="2503"/>
      <c r="O317" s="2503"/>
      <c r="P317" s="2503"/>
      <c r="Q317" s="2503"/>
      <c r="R317" s="2503"/>
      <c r="S317" s="2503"/>
      <c r="T317" s="2503"/>
      <c r="U317" s="2503"/>
      <c r="V317" s="2503"/>
      <c r="W317" s="2629"/>
      <c r="X317" s="2503"/>
      <c r="Y317" s="2503"/>
      <c r="Z317" s="2503"/>
      <c r="AA317" s="2503"/>
      <c r="AB317" s="2503"/>
      <c r="AC317" s="2503"/>
      <c r="AD317" s="2503"/>
      <c r="AE317" s="2503"/>
      <c r="AF317" s="2503"/>
      <c r="AG317" s="2503"/>
      <c r="AH317" s="2503"/>
      <c r="AI317" s="2503"/>
      <c r="AJ317" s="2503"/>
      <c r="AK317" s="2503"/>
      <c r="AL317" s="2629"/>
      <c r="AM317" s="607" t="s">
        <v>2233</v>
      </c>
      <c r="AN317" s="143">
        <v>0</v>
      </c>
      <c r="AO317" s="141">
        <v>-0.159</v>
      </c>
      <c r="AP317" s="141">
        <v>-3.1389999999999998</v>
      </c>
      <c r="AQ317" s="141">
        <v>-1.3320000000000001</v>
      </c>
      <c r="AR317" s="141">
        <v>-0.10500000000000001</v>
      </c>
      <c r="AS317" s="141">
        <v>-6.5000000000000002E-2</v>
      </c>
      <c r="AT317" s="141">
        <v>0</v>
      </c>
      <c r="AU317" s="144">
        <v>0</v>
      </c>
      <c r="AV317" s="143">
        <v>0</v>
      </c>
      <c r="AW317" s="141">
        <v>0</v>
      </c>
      <c r="AX317" s="141">
        <v>0</v>
      </c>
      <c r="AY317" s="141">
        <v>0</v>
      </c>
      <c r="AZ317" s="144">
        <v>0</v>
      </c>
      <c r="BA317" s="2629"/>
      <c r="BB317" s="2629"/>
      <c r="BC317" s="2629"/>
      <c r="BD317" s="2629"/>
      <c r="BE317" s="2629"/>
      <c r="BF317" s="2629"/>
      <c r="BG317" s="2629"/>
      <c r="BH317" s="2629"/>
      <c r="BI317" s="2629"/>
      <c r="BJ317" s="2629"/>
      <c r="BK317" s="2629"/>
      <c r="BL317" s="2629"/>
      <c r="BM317" s="2629"/>
      <c r="BN317" s="2629"/>
      <c r="BO317" s="2629"/>
      <c r="BP317" s="2629"/>
      <c r="BQ317" s="2629"/>
      <c r="BR317" s="2629"/>
      <c r="BS317" s="2629"/>
      <c r="BT317" s="2629"/>
      <c r="BU317" s="2629"/>
      <c r="BV317" s="2629"/>
      <c r="BW317" s="2629"/>
      <c r="BX317" s="2629"/>
      <c r="BY317" s="2629"/>
      <c r="BZ317" s="2629"/>
      <c r="CA317" s="2629"/>
      <c r="CB317" s="2629"/>
      <c r="CC317" s="2629"/>
      <c r="CD317" s="2629"/>
      <c r="CE317" s="2629"/>
      <c r="CF317" s="2629"/>
    </row>
    <row r="318" spans="1:84" s="98" customFormat="1" ht="15" customHeight="1">
      <c r="A318" s="99"/>
      <c r="B318" s="2687"/>
      <c r="C318" s="2688"/>
      <c r="D318" s="2688" t="s">
        <v>2719</v>
      </c>
      <c r="E318" s="2688"/>
      <c r="F318" s="2688"/>
      <c r="G318" s="2645"/>
      <c r="H318" s="2645"/>
      <c r="I318" s="2503"/>
      <c r="J318" s="2503"/>
      <c r="K318" s="2503"/>
      <c r="L318" s="2503"/>
      <c r="M318" s="2503"/>
      <c r="N318" s="2503"/>
      <c r="O318" s="2503"/>
      <c r="P318" s="2503"/>
      <c r="Q318" s="2503"/>
      <c r="R318" s="2503"/>
      <c r="S318" s="2503"/>
      <c r="T318" s="2503"/>
      <c r="U318" s="2503"/>
      <c r="V318" s="2503"/>
      <c r="W318" s="2629"/>
      <c r="X318" s="2503"/>
      <c r="Y318" s="2503"/>
      <c r="Z318" s="2503"/>
      <c r="AA318" s="2503"/>
      <c r="AB318" s="2503"/>
      <c r="AC318" s="2503"/>
      <c r="AD318" s="2503"/>
      <c r="AE318" s="2503"/>
      <c r="AF318" s="2503"/>
      <c r="AG318" s="2503"/>
      <c r="AH318" s="2503"/>
      <c r="AI318" s="2503"/>
      <c r="AJ318" s="2503"/>
      <c r="AK318" s="2503"/>
      <c r="AL318" s="2629"/>
      <c r="AM318" s="607" t="s">
        <v>2233</v>
      </c>
      <c r="AN318" s="143">
        <v>0</v>
      </c>
      <c r="AO318" s="141">
        <v>-0.72</v>
      </c>
      <c r="AP318" s="141">
        <v>-8.5000000000000006E-2</v>
      </c>
      <c r="AQ318" s="141">
        <v>-0.49900000000000005</v>
      </c>
      <c r="AR318" s="141">
        <v>-6.0999999999999999E-2</v>
      </c>
      <c r="AS318" s="141">
        <v>-1.0999999999999999E-2</v>
      </c>
      <c r="AT318" s="141">
        <v>0</v>
      </c>
      <c r="AU318" s="144">
        <v>0</v>
      </c>
      <c r="AV318" s="143">
        <v>0</v>
      </c>
      <c r="AW318" s="141">
        <v>0</v>
      </c>
      <c r="AX318" s="141">
        <v>0</v>
      </c>
      <c r="AY318" s="141">
        <v>0</v>
      </c>
      <c r="AZ318" s="144">
        <v>0</v>
      </c>
      <c r="BA318" s="2629"/>
      <c r="BB318" s="2629"/>
      <c r="BC318" s="2629"/>
      <c r="BD318" s="2629"/>
      <c r="BE318" s="2629"/>
      <c r="BF318" s="2629"/>
      <c r="BG318" s="2629"/>
      <c r="BH318" s="2629"/>
      <c r="BI318" s="2629"/>
      <c r="BJ318" s="2629"/>
      <c r="BK318" s="2629"/>
      <c r="BL318" s="2629"/>
      <c r="BM318" s="2629"/>
      <c r="BN318" s="2629"/>
      <c r="BO318" s="2629"/>
      <c r="BP318" s="2629"/>
      <c r="BQ318" s="2629"/>
      <c r="BR318" s="2629"/>
      <c r="BS318" s="2629"/>
      <c r="BT318" s="2629"/>
      <c r="BU318" s="2629"/>
      <c r="BV318" s="2629"/>
      <c r="BW318" s="2629"/>
      <c r="BX318" s="2629"/>
      <c r="BY318" s="2629"/>
      <c r="BZ318" s="2629"/>
      <c r="CA318" s="2629"/>
      <c r="CB318" s="2629"/>
      <c r="CC318" s="2629"/>
      <c r="CD318" s="2629"/>
      <c r="CE318" s="2629"/>
      <c r="CF318" s="2629"/>
    </row>
    <row r="319" spans="1:84" s="98" customFormat="1" ht="15" customHeight="1">
      <c r="A319" s="99"/>
      <c r="B319" s="2687"/>
      <c r="C319" s="2688"/>
      <c r="D319" s="2688" t="s">
        <v>2726</v>
      </c>
      <c r="E319" s="2688"/>
      <c r="F319" s="2688"/>
      <c r="G319" s="2645"/>
      <c r="H319" s="2645"/>
      <c r="I319" s="2503"/>
      <c r="J319" s="2503"/>
      <c r="K319" s="2503"/>
      <c r="L319" s="2503"/>
      <c r="M319" s="2503"/>
      <c r="N319" s="2503"/>
      <c r="O319" s="2503"/>
      <c r="P319" s="2503"/>
      <c r="Q319" s="2503"/>
      <c r="R319" s="2503"/>
      <c r="S319" s="2503"/>
      <c r="T319" s="2503"/>
      <c r="U319" s="2503"/>
      <c r="V319" s="2503"/>
      <c r="W319" s="2629"/>
      <c r="X319" s="2503"/>
      <c r="Y319" s="2503"/>
      <c r="Z319" s="2503"/>
      <c r="AA319" s="2503"/>
      <c r="AB319" s="2503"/>
      <c r="AC319" s="2503"/>
      <c r="AD319" s="2503"/>
      <c r="AE319" s="2503"/>
      <c r="AF319" s="2503"/>
      <c r="AG319" s="2503"/>
      <c r="AH319" s="2503"/>
      <c r="AI319" s="2503"/>
      <c r="AJ319" s="2503"/>
      <c r="AK319" s="2503"/>
      <c r="AL319" s="2629"/>
      <c r="AM319" s="607" t="s">
        <v>2233</v>
      </c>
      <c r="AN319" s="143">
        <v>0</v>
      </c>
      <c r="AO319" s="141">
        <v>0</v>
      </c>
      <c r="AP319" s="141">
        <v>0</v>
      </c>
      <c r="AQ319" s="141">
        <v>0</v>
      </c>
      <c r="AR319" s="141">
        <v>0</v>
      </c>
      <c r="AS319" s="141">
        <v>0</v>
      </c>
      <c r="AT319" s="141">
        <v>0</v>
      </c>
      <c r="AU319" s="144">
        <v>0</v>
      </c>
      <c r="AV319" s="143">
        <v>0</v>
      </c>
      <c r="AW319" s="141">
        <v>0</v>
      </c>
      <c r="AX319" s="141">
        <v>0</v>
      </c>
      <c r="AY319" s="141">
        <v>0</v>
      </c>
      <c r="AZ319" s="144">
        <v>0</v>
      </c>
      <c r="BA319" s="2629"/>
      <c r="BB319" s="2629"/>
      <c r="BC319" s="2629"/>
      <c r="BD319" s="2629"/>
      <c r="BE319" s="2629"/>
      <c r="BF319" s="2629"/>
      <c r="BG319" s="2629"/>
      <c r="BH319" s="2629"/>
      <c r="BI319" s="2629"/>
      <c r="BJ319" s="2629"/>
      <c r="BK319" s="2629"/>
      <c r="BL319" s="2629"/>
      <c r="BM319" s="2629"/>
      <c r="BN319" s="2629"/>
      <c r="BO319" s="2629"/>
      <c r="BP319" s="2629"/>
      <c r="BQ319" s="2629"/>
      <c r="BR319" s="2629"/>
      <c r="BS319" s="2629"/>
      <c r="BT319" s="2629"/>
      <c r="BU319" s="2629"/>
      <c r="BV319" s="2629"/>
      <c r="BW319" s="2629"/>
      <c r="BX319" s="2629"/>
      <c r="BY319" s="2629"/>
      <c r="BZ319" s="2629"/>
      <c r="CA319" s="2629"/>
      <c r="CB319" s="2629"/>
      <c r="CC319" s="2629"/>
      <c r="CD319" s="2629"/>
      <c r="CE319" s="2629"/>
      <c r="CF319" s="2629"/>
    </row>
    <row r="320" spans="1:84" s="98" customFormat="1" ht="15" customHeight="1">
      <c r="A320" s="99"/>
      <c r="B320" s="2687"/>
      <c r="C320" s="2688"/>
      <c r="D320" s="2688" t="s">
        <v>2727</v>
      </c>
      <c r="E320" s="2688"/>
      <c r="F320" s="2688"/>
      <c r="G320" s="2645"/>
      <c r="H320" s="2645"/>
      <c r="I320" s="2503"/>
      <c r="J320" s="2503"/>
      <c r="K320" s="2503"/>
      <c r="L320" s="2503"/>
      <c r="M320" s="2503"/>
      <c r="N320" s="2503"/>
      <c r="O320" s="2503"/>
      <c r="P320" s="2503"/>
      <c r="Q320" s="2503"/>
      <c r="R320" s="2503"/>
      <c r="S320" s="2503"/>
      <c r="T320" s="2503"/>
      <c r="U320" s="2503"/>
      <c r="V320" s="2503"/>
      <c r="W320" s="2629"/>
      <c r="X320" s="2503"/>
      <c r="Y320" s="2503"/>
      <c r="Z320" s="2503"/>
      <c r="AA320" s="2503"/>
      <c r="AB320" s="2503"/>
      <c r="AC320" s="2503"/>
      <c r="AD320" s="2503"/>
      <c r="AE320" s="2503"/>
      <c r="AF320" s="2503"/>
      <c r="AG320" s="2503"/>
      <c r="AH320" s="2503"/>
      <c r="AI320" s="2503"/>
      <c r="AJ320" s="2503"/>
      <c r="AK320" s="2503"/>
      <c r="AL320" s="2629"/>
      <c r="AM320" s="607" t="s">
        <v>2233</v>
      </c>
      <c r="AN320" s="143">
        <v>0</v>
      </c>
      <c r="AO320" s="141">
        <v>-0.16300000000000001</v>
      </c>
      <c r="AP320" s="141">
        <v>0</v>
      </c>
      <c r="AQ320" s="141">
        <v>-8.1000000000000003E-2</v>
      </c>
      <c r="AR320" s="141">
        <v>-2.7E-2</v>
      </c>
      <c r="AS320" s="141">
        <v>-0.38500000000000001</v>
      </c>
      <c r="AT320" s="141">
        <v>0</v>
      </c>
      <c r="AU320" s="144">
        <v>0</v>
      </c>
      <c r="AV320" s="143">
        <v>0</v>
      </c>
      <c r="AW320" s="141">
        <v>0</v>
      </c>
      <c r="AX320" s="141">
        <v>0</v>
      </c>
      <c r="AY320" s="141">
        <v>0</v>
      </c>
      <c r="AZ320" s="144">
        <v>0</v>
      </c>
      <c r="BA320" s="2629"/>
      <c r="BB320" s="2629"/>
      <c r="BC320" s="2629"/>
      <c r="BD320" s="2629"/>
      <c r="BE320" s="2629"/>
      <c r="BF320" s="2629"/>
      <c r="BG320" s="2629"/>
      <c r="BH320" s="2629"/>
      <c r="BI320" s="2629"/>
      <c r="BJ320" s="2629"/>
      <c r="BK320" s="2629"/>
      <c r="BL320" s="2629"/>
      <c r="BM320" s="2629"/>
      <c r="BN320" s="2629"/>
      <c r="BO320" s="2629"/>
      <c r="BP320" s="2629"/>
      <c r="BQ320" s="2629"/>
      <c r="BR320" s="2629"/>
      <c r="BS320" s="2629"/>
      <c r="BT320" s="2629"/>
      <c r="BU320" s="2629"/>
      <c r="BV320" s="2629"/>
      <c r="BW320" s="2629"/>
      <c r="BX320" s="2629"/>
      <c r="BY320" s="2629"/>
      <c r="BZ320" s="2629"/>
      <c r="CA320" s="2629"/>
      <c r="CB320" s="2629"/>
      <c r="CC320" s="2629"/>
      <c r="CD320" s="2629"/>
      <c r="CE320" s="2629"/>
      <c r="CF320" s="2629"/>
    </row>
    <row r="321" spans="1:84" s="98" customFormat="1" ht="15" customHeight="1">
      <c r="A321" s="99"/>
      <c r="B321" s="2687"/>
      <c r="C321" s="2688"/>
      <c r="D321" s="2688" t="s">
        <v>2728</v>
      </c>
      <c r="E321" s="2688"/>
      <c r="F321" s="2688"/>
      <c r="G321" s="2645"/>
      <c r="H321" s="2645"/>
      <c r="I321" s="2503"/>
      <c r="J321" s="2503"/>
      <c r="K321" s="2503"/>
      <c r="L321" s="2503"/>
      <c r="M321" s="2503"/>
      <c r="N321" s="2503"/>
      <c r="O321" s="2503"/>
      <c r="P321" s="2503"/>
      <c r="Q321" s="2503"/>
      <c r="R321" s="2503"/>
      <c r="S321" s="2503"/>
      <c r="T321" s="2503"/>
      <c r="U321" s="2503"/>
      <c r="V321" s="2503"/>
      <c r="W321" s="2629"/>
      <c r="X321" s="2503"/>
      <c r="Y321" s="2503"/>
      <c r="Z321" s="2503"/>
      <c r="AA321" s="2503"/>
      <c r="AB321" s="2503"/>
      <c r="AC321" s="2503"/>
      <c r="AD321" s="2503"/>
      <c r="AE321" s="2503"/>
      <c r="AF321" s="2503"/>
      <c r="AG321" s="2503"/>
      <c r="AH321" s="2503"/>
      <c r="AI321" s="2503"/>
      <c r="AJ321" s="2503"/>
      <c r="AK321" s="2503"/>
      <c r="AL321" s="2629"/>
      <c r="AM321" s="607" t="s">
        <v>2233</v>
      </c>
      <c r="AN321" s="143">
        <v>0</v>
      </c>
      <c r="AO321" s="141">
        <v>-0.24099999999999999</v>
      </c>
      <c r="AP321" s="141">
        <v>0</v>
      </c>
      <c r="AQ321" s="141">
        <v>0</v>
      </c>
      <c r="AR321" s="141">
        <v>0</v>
      </c>
      <c r="AS321" s="141">
        <v>-7.8E-2</v>
      </c>
      <c r="AT321" s="141">
        <v>0</v>
      </c>
      <c r="AU321" s="144">
        <v>0</v>
      </c>
      <c r="AV321" s="143">
        <v>0</v>
      </c>
      <c r="AW321" s="141">
        <v>0</v>
      </c>
      <c r="AX321" s="141">
        <v>0</v>
      </c>
      <c r="AY321" s="141">
        <v>0</v>
      </c>
      <c r="AZ321" s="144">
        <v>0</v>
      </c>
      <c r="BA321" s="2629"/>
      <c r="BB321" s="2629"/>
      <c r="BC321" s="2629"/>
      <c r="BD321" s="2629"/>
      <c r="BE321" s="2629"/>
      <c r="BF321" s="2629"/>
      <c r="BG321" s="2629"/>
      <c r="BH321" s="2629"/>
      <c r="BI321" s="2629"/>
      <c r="BJ321" s="2629"/>
      <c r="BK321" s="2629"/>
      <c r="BL321" s="2629"/>
      <c r="BM321" s="2629"/>
      <c r="BN321" s="2629"/>
      <c r="BO321" s="2629"/>
      <c r="BP321" s="2629"/>
      <c r="BQ321" s="2629"/>
      <c r="BR321" s="2629"/>
      <c r="BS321" s="2629"/>
      <c r="BT321" s="2629"/>
      <c r="BU321" s="2629"/>
      <c r="BV321" s="2629"/>
      <c r="BW321" s="2629"/>
      <c r="BX321" s="2629"/>
      <c r="BY321" s="2629"/>
      <c r="BZ321" s="2629"/>
      <c r="CA321" s="2629"/>
      <c r="CB321" s="2629"/>
      <c r="CC321" s="2629"/>
      <c r="CD321" s="2629"/>
      <c r="CE321" s="2629"/>
      <c r="CF321" s="2629"/>
    </row>
    <row r="322" spans="1:84" s="98" customFormat="1" ht="15" customHeight="1">
      <c r="A322" s="99"/>
      <c r="B322" s="2687"/>
      <c r="C322" s="2688"/>
      <c r="D322" s="2688" t="s">
        <v>2736</v>
      </c>
      <c r="E322" s="2688"/>
      <c r="F322" s="2688"/>
      <c r="G322" s="2645"/>
      <c r="H322" s="2645"/>
      <c r="I322" s="2503"/>
      <c r="J322" s="2503"/>
      <c r="K322" s="2503"/>
      <c r="L322" s="2503"/>
      <c r="M322" s="2503"/>
      <c r="N322" s="2503"/>
      <c r="O322" s="2503"/>
      <c r="P322" s="2503"/>
      <c r="Q322" s="2503"/>
      <c r="R322" s="2503"/>
      <c r="S322" s="2503"/>
      <c r="T322" s="2503"/>
      <c r="U322" s="2503"/>
      <c r="V322" s="2503"/>
      <c r="W322" s="2629"/>
      <c r="X322" s="2503"/>
      <c r="Y322" s="2503"/>
      <c r="Z322" s="2503"/>
      <c r="AA322" s="2503"/>
      <c r="AB322" s="2503"/>
      <c r="AC322" s="2503"/>
      <c r="AD322" s="2503"/>
      <c r="AE322" s="2503"/>
      <c r="AF322" s="2503"/>
      <c r="AG322" s="2503"/>
      <c r="AH322" s="2503"/>
      <c r="AI322" s="2503"/>
      <c r="AJ322" s="2503"/>
      <c r="AK322" s="2503"/>
      <c r="AL322" s="2629"/>
      <c r="AM322" s="607" t="s">
        <v>2233</v>
      </c>
      <c r="AN322" s="143">
        <v>0</v>
      </c>
      <c r="AO322" s="141">
        <v>0</v>
      </c>
      <c r="AP322" s="141">
        <v>-4.1000000000000002E-2</v>
      </c>
      <c r="AQ322" s="141">
        <v>0</v>
      </c>
      <c r="AR322" s="141">
        <v>-0.14599999999999999</v>
      </c>
      <c r="AS322" s="141">
        <v>-0.23899999999999999</v>
      </c>
      <c r="AT322" s="141">
        <v>0</v>
      </c>
      <c r="AU322" s="144">
        <v>0</v>
      </c>
      <c r="AV322" s="143">
        <v>0</v>
      </c>
      <c r="AW322" s="141">
        <v>0</v>
      </c>
      <c r="AX322" s="141">
        <v>0</v>
      </c>
      <c r="AY322" s="141">
        <v>0</v>
      </c>
      <c r="AZ322" s="144">
        <v>0</v>
      </c>
      <c r="BA322" s="2629"/>
      <c r="BB322" s="2629"/>
      <c r="BC322" s="2629"/>
      <c r="BD322" s="2629"/>
      <c r="BE322" s="2629"/>
      <c r="BF322" s="2629"/>
      <c r="BG322" s="2629"/>
      <c r="BH322" s="2629"/>
      <c r="BI322" s="2629"/>
      <c r="BJ322" s="2629"/>
      <c r="BK322" s="2629"/>
      <c r="BL322" s="2629"/>
      <c r="BM322" s="2629"/>
      <c r="BN322" s="2629"/>
      <c r="BO322" s="2629"/>
      <c r="BP322" s="2629"/>
      <c r="BQ322" s="2629"/>
      <c r="BR322" s="2629"/>
      <c r="BS322" s="2629"/>
      <c r="BT322" s="2629"/>
      <c r="BU322" s="2629"/>
      <c r="BV322" s="2629"/>
      <c r="BW322" s="2629"/>
      <c r="BX322" s="2629"/>
      <c r="BY322" s="2629"/>
      <c r="BZ322" s="2629"/>
      <c r="CA322" s="2629"/>
      <c r="CB322" s="2629"/>
      <c r="CC322" s="2629"/>
      <c r="CD322" s="2629"/>
      <c r="CE322" s="2629"/>
      <c r="CF322" s="2629"/>
    </row>
    <row r="323" spans="1:84" s="98" customFormat="1" ht="15" customHeight="1">
      <c r="A323" s="99"/>
      <c r="B323" s="2687"/>
      <c r="C323" s="2688"/>
      <c r="D323" s="2688" t="s">
        <v>2737</v>
      </c>
      <c r="E323" s="2688"/>
      <c r="F323" s="2688"/>
      <c r="G323" s="2645"/>
      <c r="H323" s="2645"/>
      <c r="I323" s="2503"/>
      <c r="J323" s="2503"/>
      <c r="K323" s="2503"/>
      <c r="L323" s="2503"/>
      <c r="M323" s="2503"/>
      <c r="N323" s="2503"/>
      <c r="O323" s="2503"/>
      <c r="P323" s="2503"/>
      <c r="Q323" s="2503"/>
      <c r="R323" s="2503"/>
      <c r="S323" s="2503"/>
      <c r="T323" s="2503"/>
      <c r="U323" s="2503"/>
      <c r="V323" s="2503"/>
      <c r="W323" s="2629"/>
      <c r="X323" s="2503"/>
      <c r="Y323" s="2503"/>
      <c r="Z323" s="2503"/>
      <c r="AA323" s="2503"/>
      <c r="AB323" s="2503"/>
      <c r="AC323" s="2503"/>
      <c r="AD323" s="2503"/>
      <c r="AE323" s="2503"/>
      <c r="AF323" s="2503"/>
      <c r="AG323" s="2503"/>
      <c r="AH323" s="2503"/>
      <c r="AI323" s="2503"/>
      <c r="AJ323" s="2503"/>
      <c r="AK323" s="2503"/>
      <c r="AL323" s="2629"/>
      <c r="AM323" s="607" t="s">
        <v>2233</v>
      </c>
      <c r="AN323" s="143">
        <v>0</v>
      </c>
      <c r="AO323" s="141">
        <v>0</v>
      </c>
      <c r="AP323" s="141">
        <v>0</v>
      </c>
      <c r="AQ323" s="141">
        <v>0</v>
      </c>
      <c r="AR323" s="141">
        <v>0</v>
      </c>
      <c r="AS323" s="141">
        <v>0</v>
      </c>
      <c r="AT323" s="141">
        <v>0</v>
      </c>
      <c r="AU323" s="144">
        <v>0</v>
      </c>
      <c r="AV323" s="143">
        <v>0</v>
      </c>
      <c r="AW323" s="141">
        <v>0</v>
      </c>
      <c r="AX323" s="141">
        <v>0</v>
      </c>
      <c r="AY323" s="141">
        <v>0</v>
      </c>
      <c r="AZ323" s="144">
        <v>0</v>
      </c>
      <c r="BA323" s="2629"/>
      <c r="BB323" s="2629"/>
      <c r="BC323" s="2629"/>
      <c r="BD323" s="2629"/>
      <c r="BE323" s="2629"/>
      <c r="BF323" s="2629"/>
      <c r="BG323" s="2629"/>
      <c r="BH323" s="2629"/>
      <c r="BI323" s="2629"/>
      <c r="BJ323" s="2629"/>
      <c r="BK323" s="2629"/>
      <c r="BL323" s="2629"/>
      <c r="BM323" s="2629"/>
      <c r="BN323" s="2629"/>
      <c r="BO323" s="2629"/>
      <c r="BP323" s="2629"/>
      <c r="BQ323" s="2629"/>
      <c r="BR323" s="2629"/>
      <c r="BS323" s="2629"/>
      <c r="BT323" s="2629"/>
      <c r="BU323" s="2629"/>
      <c r="BV323" s="2629"/>
      <c r="BW323" s="2629"/>
      <c r="BX323" s="2629"/>
      <c r="BY323" s="2629"/>
      <c r="BZ323" s="2629"/>
      <c r="CA323" s="2629"/>
      <c r="CB323" s="2629"/>
      <c r="CC323" s="2629"/>
      <c r="CD323" s="2629"/>
      <c r="CE323" s="2629"/>
      <c r="CF323" s="2629"/>
    </row>
    <row r="324" spans="1:84" s="98" customFormat="1" ht="15" customHeight="1">
      <c r="A324" s="99"/>
      <c r="B324" s="2687"/>
      <c r="C324" s="2688" t="s">
        <v>1710</v>
      </c>
      <c r="D324" s="2688"/>
      <c r="E324" s="2688"/>
      <c r="F324" s="2688"/>
      <c r="G324" s="2645"/>
      <c r="H324" s="2645"/>
      <c r="I324" s="2503"/>
      <c r="J324" s="2503"/>
      <c r="K324" s="2503"/>
      <c r="L324" s="2503"/>
      <c r="M324" s="2503"/>
      <c r="N324" s="2503"/>
      <c r="O324" s="2503"/>
      <c r="P324" s="2503"/>
      <c r="Q324" s="2503"/>
      <c r="R324" s="2503"/>
      <c r="S324" s="2503"/>
      <c r="T324" s="2503"/>
      <c r="U324" s="2503"/>
      <c r="V324" s="2503"/>
      <c r="W324" s="2629"/>
      <c r="X324" s="2503"/>
      <c r="Y324" s="2503"/>
      <c r="Z324" s="2503"/>
      <c r="AA324" s="2503"/>
      <c r="AB324" s="2503"/>
      <c r="AC324" s="2503"/>
      <c r="AD324" s="2503"/>
      <c r="AE324" s="2503"/>
      <c r="AF324" s="2503"/>
      <c r="AG324" s="2503"/>
      <c r="AH324" s="2503"/>
      <c r="AI324" s="2503"/>
      <c r="AJ324" s="2503"/>
      <c r="AK324" s="2503"/>
      <c r="AL324" s="2629"/>
      <c r="AM324" s="607" t="s">
        <v>2233</v>
      </c>
      <c r="AN324" s="641">
        <f>SUM(AN315:AN323)</f>
        <v>0</v>
      </c>
      <c r="AO324" s="642">
        <f t="shared" ref="AO324:AZ324" si="85">SUM(AO315:AO323)</f>
        <v>-1.2829999999999999</v>
      </c>
      <c r="AP324" s="642">
        <f t="shared" si="85"/>
        <v>-3.2649999999999997</v>
      </c>
      <c r="AQ324" s="642">
        <f t="shared" si="85"/>
        <v>-1.9300000000000002</v>
      </c>
      <c r="AR324" s="642">
        <f t="shared" si="85"/>
        <v>-0.33899999999999997</v>
      </c>
      <c r="AS324" s="642">
        <f t="shared" si="85"/>
        <v>-0.81799999999999995</v>
      </c>
      <c r="AT324" s="642">
        <f t="shared" si="85"/>
        <v>0</v>
      </c>
      <c r="AU324" s="643">
        <f t="shared" si="85"/>
        <v>0</v>
      </c>
      <c r="AV324" s="641">
        <f t="shared" si="85"/>
        <v>0</v>
      </c>
      <c r="AW324" s="642">
        <f t="shared" si="85"/>
        <v>0</v>
      </c>
      <c r="AX324" s="642">
        <f t="shared" si="85"/>
        <v>0</v>
      </c>
      <c r="AY324" s="642">
        <f t="shared" si="85"/>
        <v>0</v>
      </c>
      <c r="AZ324" s="643">
        <f t="shared" si="85"/>
        <v>0</v>
      </c>
      <c r="BA324" s="2629"/>
      <c r="BB324" s="2629"/>
      <c r="BC324" s="2629"/>
      <c r="BD324" s="2629"/>
      <c r="BE324" s="2629"/>
      <c r="BF324" s="2629"/>
      <c r="BG324" s="2629"/>
      <c r="BH324" s="2629"/>
      <c r="BI324" s="2629"/>
      <c r="BJ324" s="2629"/>
      <c r="BK324" s="2629"/>
      <c r="BL324" s="2629"/>
      <c r="BM324" s="2629"/>
      <c r="BN324" s="2629"/>
      <c r="BO324" s="2629"/>
      <c r="BP324" s="2629"/>
      <c r="BQ324" s="2629"/>
      <c r="BR324" s="2629"/>
      <c r="BS324" s="2629"/>
      <c r="BT324" s="2629"/>
      <c r="BU324" s="2629"/>
      <c r="BV324" s="2629"/>
      <c r="BW324" s="2629"/>
      <c r="BX324" s="2629"/>
      <c r="BY324" s="2629"/>
      <c r="BZ324" s="2629"/>
      <c r="CA324" s="2629"/>
      <c r="CB324" s="2629"/>
      <c r="CC324" s="2629"/>
      <c r="CD324" s="2629"/>
      <c r="CE324" s="2629"/>
      <c r="CF324" s="2629"/>
    </row>
    <row r="325" spans="1:84" s="98" customFormat="1" ht="15" customHeight="1">
      <c r="A325" s="99"/>
      <c r="B325" s="123"/>
      <c r="C325" s="2686"/>
      <c r="D325" s="2686"/>
      <c r="E325" s="2686"/>
      <c r="F325" s="2686"/>
      <c r="G325" s="94"/>
      <c r="H325" s="94"/>
      <c r="I325" s="2503"/>
      <c r="J325" s="2503"/>
      <c r="K325" s="2503"/>
      <c r="L325" s="2503"/>
      <c r="M325" s="2503"/>
      <c r="N325" s="2503"/>
      <c r="O325" s="2503"/>
      <c r="P325" s="2503"/>
      <c r="Q325" s="2503"/>
      <c r="R325" s="2503"/>
      <c r="S325" s="2503"/>
      <c r="T325" s="2503"/>
      <c r="U325" s="2503"/>
      <c r="V325" s="2503"/>
      <c r="W325" s="2629"/>
      <c r="X325" s="2503"/>
      <c r="Y325" s="2503"/>
      <c r="Z325" s="2503"/>
      <c r="AA325" s="2503"/>
      <c r="AB325" s="2503"/>
      <c r="AC325" s="2503"/>
      <c r="AD325" s="2503"/>
      <c r="AE325" s="2503"/>
      <c r="AF325" s="2503"/>
      <c r="AG325" s="2503"/>
      <c r="AH325" s="2503"/>
      <c r="AI325" s="2503"/>
      <c r="AJ325" s="2503"/>
      <c r="AK325" s="2503"/>
      <c r="AL325" s="2629"/>
      <c r="AM325" s="94"/>
      <c r="AN325" s="713"/>
      <c r="AO325" s="2649"/>
      <c r="AP325" s="2649"/>
      <c r="AQ325" s="2649"/>
      <c r="AR325" s="2649"/>
      <c r="AS325" s="2649"/>
      <c r="AT325" s="2649"/>
      <c r="AU325" s="715"/>
      <c r="AV325" s="713"/>
      <c r="AW325" s="2649"/>
      <c r="AX325" s="2649"/>
      <c r="AY325" s="2649"/>
      <c r="AZ325" s="715"/>
      <c r="BA325" s="2629"/>
      <c r="BB325" s="2629"/>
      <c r="BC325" s="2629"/>
      <c r="BD325" s="2629"/>
      <c r="BE325" s="2629"/>
      <c r="BF325" s="2629"/>
      <c r="BG325" s="2629"/>
      <c r="BH325" s="2629"/>
      <c r="BI325" s="2629"/>
      <c r="BJ325" s="2629"/>
      <c r="BK325" s="2629"/>
      <c r="BL325" s="2629"/>
      <c r="BM325" s="2629"/>
      <c r="BN325" s="2629"/>
      <c r="BO325" s="2629"/>
      <c r="BP325" s="2629"/>
      <c r="BQ325" s="2629"/>
      <c r="BR325" s="2629"/>
      <c r="BS325" s="2629"/>
      <c r="BT325" s="2629"/>
      <c r="BU325" s="2629"/>
      <c r="BV325" s="2629"/>
      <c r="BW325" s="2629"/>
      <c r="BX325" s="2629"/>
      <c r="BY325" s="2629"/>
      <c r="BZ325" s="2629"/>
      <c r="CA325" s="2629"/>
      <c r="CB325" s="2629"/>
      <c r="CC325" s="2629"/>
      <c r="CD325" s="2629"/>
      <c r="CE325" s="2629"/>
      <c r="CF325" s="2629"/>
    </row>
    <row r="326" spans="1:84" s="98" customFormat="1" ht="15" customHeight="1" thickBot="1">
      <c r="A326" s="99"/>
      <c r="B326" s="2689" t="s">
        <v>1701</v>
      </c>
      <c r="C326" s="193"/>
      <c r="D326" s="193"/>
      <c r="E326" s="193"/>
      <c r="F326" s="193"/>
      <c r="G326" s="194"/>
      <c r="H326" s="194"/>
      <c r="I326" s="2503"/>
      <c r="J326" s="2503"/>
      <c r="K326" s="2503"/>
      <c r="L326" s="2503"/>
      <c r="M326" s="2503"/>
      <c r="N326" s="2503"/>
      <c r="O326" s="2503"/>
      <c r="P326" s="2503"/>
      <c r="Q326" s="2503"/>
      <c r="R326" s="2503"/>
      <c r="S326" s="2503"/>
      <c r="T326" s="2503"/>
      <c r="U326" s="2503"/>
      <c r="V326" s="2503"/>
      <c r="W326" s="2629"/>
      <c r="X326" s="2503"/>
      <c r="Y326" s="2503"/>
      <c r="Z326" s="2503"/>
      <c r="AA326" s="2503"/>
      <c r="AB326" s="2503"/>
      <c r="AC326" s="2503"/>
      <c r="AD326" s="2503"/>
      <c r="AE326" s="2503"/>
      <c r="AF326" s="2503"/>
      <c r="AG326" s="2503"/>
      <c r="AH326" s="2503"/>
      <c r="AI326" s="2503"/>
      <c r="AJ326" s="2503"/>
      <c r="AK326" s="2503"/>
      <c r="AL326" s="2629"/>
      <c r="AM326" s="1083" t="s">
        <v>2233</v>
      </c>
      <c r="AN326" s="701">
        <f>SUM(AN268,AN274,AN280,AN285,AN297,AN300,AN312,AN324)</f>
        <v>-7.1880100000000011</v>
      </c>
      <c r="AO326" s="702">
        <f t="shared" ref="AO326:AZ326" si="86">SUM(AO268,AO274,AO280,AO285,AO297,AO300,AO312,AO324)</f>
        <v>-8.6289999999999996</v>
      </c>
      <c r="AP326" s="702">
        <f t="shared" si="86"/>
        <v>-11.170499999999999</v>
      </c>
      <c r="AQ326" s="702">
        <f t="shared" si="86"/>
        <v>-10.577</v>
      </c>
      <c r="AR326" s="702">
        <f t="shared" si="86"/>
        <v>-11.469999999999999</v>
      </c>
      <c r="AS326" s="702">
        <f t="shared" si="86"/>
        <v>-8.3780000000000001</v>
      </c>
      <c r="AT326" s="702">
        <f t="shared" si="86"/>
        <v>-3</v>
      </c>
      <c r="AU326" s="703">
        <f t="shared" si="86"/>
        <v>-3</v>
      </c>
      <c r="AV326" s="701">
        <f t="shared" si="86"/>
        <v>-9.817051810836773</v>
      </c>
      <c r="AW326" s="702">
        <f t="shared" si="86"/>
        <v>-9.817051810836773</v>
      </c>
      <c r="AX326" s="702">
        <f t="shared" si="86"/>
        <v>-9.817051810836773</v>
      </c>
      <c r="AY326" s="702">
        <f t="shared" si="86"/>
        <v>-9.817051810836773</v>
      </c>
      <c r="AZ326" s="703">
        <f t="shared" si="86"/>
        <v>-9.817051810836773</v>
      </c>
      <c r="BA326" s="2629"/>
      <c r="BB326" s="2629"/>
      <c r="BC326" s="2629"/>
      <c r="BD326" s="2629"/>
      <c r="BE326" s="2629"/>
      <c r="BF326" s="2629"/>
      <c r="BG326" s="2629"/>
      <c r="BH326" s="2629"/>
      <c r="BI326" s="2629"/>
      <c r="BJ326" s="2629"/>
      <c r="BK326" s="2629"/>
      <c r="BL326" s="2629"/>
      <c r="BM326" s="2629"/>
      <c r="BN326" s="2629"/>
      <c r="BO326" s="2629"/>
      <c r="BP326" s="2629"/>
      <c r="BQ326" s="2629"/>
      <c r="BR326" s="2629"/>
      <c r="BS326" s="2629"/>
      <c r="BT326" s="2629"/>
      <c r="BU326" s="2629"/>
      <c r="BV326" s="2629"/>
      <c r="BW326" s="2629"/>
      <c r="BX326" s="2629"/>
      <c r="BY326" s="2629"/>
      <c r="BZ326" s="2629"/>
      <c r="CA326" s="2629"/>
      <c r="CB326" s="2629"/>
      <c r="CC326" s="2629"/>
      <c r="CD326" s="2629"/>
      <c r="CE326" s="2629"/>
      <c r="CF326" s="2629"/>
    </row>
    <row r="327" spans="1:84">
      <c r="I327" s="1366"/>
      <c r="J327" s="672"/>
      <c r="K327" s="672"/>
      <c r="L327" s="672"/>
      <c r="M327" s="672"/>
      <c r="N327" s="672"/>
      <c r="O327" s="672"/>
      <c r="P327" s="672"/>
      <c r="Q327" s="672"/>
      <c r="R327" s="672"/>
      <c r="S327" s="672"/>
      <c r="T327" s="672"/>
      <c r="U327" s="672"/>
      <c r="V327" s="672"/>
      <c r="W327" s="672"/>
      <c r="X327" s="672"/>
      <c r="Y327" s="672"/>
      <c r="Z327" s="672"/>
      <c r="AA327" s="672"/>
      <c r="AB327" s="672"/>
      <c r="AC327" s="672"/>
      <c r="AD327" s="672"/>
      <c r="AE327" s="672"/>
      <c r="AF327" s="672"/>
      <c r="AG327" s="672"/>
      <c r="AH327" s="672"/>
      <c r="AI327" s="672"/>
      <c r="AJ327" s="672"/>
      <c r="AK327" s="672"/>
      <c r="AL327" s="672"/>
      <c r="AM327" s="672"/>
      <c r="AN327" s="672"/>
      <c r="AO327" s="672"/>
    </row>
  </sheetData>
  <mergeCells count="2">
    <mergeCell ref="J9:Q9"/>
    <mergeCell ref="R9:V9"/>
  </mergeCell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rgb="FFFF6600"/>
  </sheetPr>
  <dimension ref="A1:CD173"/>
  <sheetViews>
    <sheetView showGridLines="0" topLeftCell="A139" zoomScale="80" zoomScaleNormal="80" workbookViewId="0">
      <pane xSplit="7" topLeftCell="AU1" activePane="topRight" state="frozen"/>
      <selection activeCell="G14" sqref="G14"/>
      <selection pane="topRight" activeCell="BC173" sqref="BC173"/>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5.625" style="173" customWidth="1"/>
    <col min="54" max="59" width="15.625" style="173" customWidth="1"/>
    <col min="60" max="67" width="13.625" style="173" customWidth="1"/>
    <col min="68" max="68" width="5.625" style="173" customWidth="1"/>
    <col min="69"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2778</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row>
    <row r="9" spans="1:59"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row>
    <row r="10" spans="1:59"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4"/>
    </row>
    <row r="11" spans="1:59"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4"/>
    </row>
    <row r="12" spans="1:59" s="89" customFormat="1" ht="15" customHeight="1">
      <c r="B12" s="123"/>
      <c r="C12" s="127"/>
      <c r="D12" s="127" t="s">
        <v>1682</v>
      </c>
      <c r="E12" s="127"/>
      <c r="F12" s="127"/>
      <c r="G12" s="117"/>
      <c r="H12" s="118"/>
      <c r="I12" s="119" t="s">
        <v>498</v>
      </c>
      <c r="J12" s="128">
        <f>J34</f>
        <v>0</v>
      </c>
      <c r="K12" s="129">
        <f t="shared" ref="K12:V12" si="0">K34</f>
        <v>0</v>
      </c>
      <c r="L12" s="129">
        <f t="shared" si="0"/>
        <v>0</v>
      </c>
      <c r="M12" s="129">
        <f t="shared" si="0"/>
        <v>0</v>
      </c>
      <c r="N12" s="129">
        <f t="shared" si="0"/>
        <v>0</v>
      </c>
      <c r="O12" s="129">
        <f t="shared" si="0"/>
        <v>0</v>
      </c>
      <c r="P12" s="129">
        <f t="shared" si="0"/>
        <v>0</v>
      </c>
      <c r="Q12" s="130">
        <f t="shared" si="0"/>
        <v>0</v>
      </c>
      <c r="R12" s="128">
        <f t="shared" si="0"/>
        <v>0</v>
      </c>
      <c r="S12" s="129">
        <f t="shared" si="0"/>
        <v>0</v>
      </c>
      <c r="T12" s="129">
        <f t="shared" si="0"/>
        <v>0</v>
      </c>
      <c r="U12" s="129">
        <f t="shared" si="0"/>
        <v>0</v>
      </c>
      <c r="V12" s="130">
        <f t="shared" si="0"/>
        <v>0</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4"/>
    </row>
    <row r="13" spans="1:59" s="89" customFormat="1" ht="15" customHeight="1">
      <c r="B13" s="123"/>
      <c r="C13" s="127"/>
      <c r="D13" s="127" t="s">
        <v>1683</v>
      </c>
      <c r="E13" s="127"/>
      <c r="F13" s="127"/>
      <c r="G13" s="117"/>
      <c r="H13" s="118"/>
      <c r="I13" s="119" t="s">
        <v>498</v>
      </c>
      <c r="J13" s="128">
        <f>J45</f>
        <v>0</v>
      </c>
      <c r="K13" s="129">
        <f t="shared" ref="K13:V13" si="1">K45</f>
        <v>0</v>
      </c>
      <c r="L13" s="129">
        <f t="shared" si="1"/>
        <v>0</v>
      </c>
      <c r="M13" s="129">
        <f t="shared" si="1"/>
        <v>0</v>
      </c>
      <c r="N13" s="129">
        <f t="shared" si="1"/>
        <v>0</v>
      </c>
      <c r="O13" s="129">
        <f t="shared" si="1"/>
        <v>0</v>
      </c>
      <c r="P13" s="129">
        <f t="shared" si="1"/>
        <v>0</v>
      </c>
      <c r="Q13" s="130">
        <f t="shared" si="1"/>
        <v>0</v>
      </c>
      <c r="R13" s="128">
        <f t="shared" si="1"/>
        <v>0</v>
      </c>
      <c r="S13" s="129">
        <f t="shared" si="1"/>
        <v>0</v>
      </c>
      <c r="T13" s="129">
        <f t="shared" si="1"/>
        <v>0</v>
      </c>
      <c r="U13" s="129">
        <f t="shared" si="1"/>
        <v>0</v>
      </c>
      <c r="V13" s="130">
        <f t="shared" si="1"/>
        <v>0</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4"/>
    </row>
    <row r="14" spans="1:59" s="89" customFormat="1" ht="15" customHeight="1">
      <c r="B14" s="123"/>
      <c r="C14" s="127"/>
      <c r="D14" s="127" t="s">
        <v>1684</v>
      </c>
      <c r="E14" s="127"/>
      <c r="F14" s="127"/>
      <c r="G14" s="117"/>
      <c r="H14" s="118"/>
      <c r="I14" s="119" t="s">
        <v>498</v>
      </c>
      <c r="J14" s="128">
        <f>J56</f>
        <v>0</v>
      </c>
      <c r="K14" s="129">
        <f t="shared" ref="K14:V14" si="2">K56</f>
        <v>0</v>
      </c>
      <c r="L14" s="129">
        <f t="shared" si="2"/>
        <v>0</v>
      </c>
      <c r="M14" s="129">
        <f t="shared" si="2"/>
        <v>0</v>
      </c>
      <c r="N14" s="129">
        <f t="shared" si="2"/>
        <v>0</v>
      </c>
      <c r="O14" s="129">
        <f t="shared" si="2"/>
        <v>0</v>
      </c>
      <c r="P14" s="129">
        <f t="shared" si="2"/>
        <v>0</v>
      </c>
      <c r="Q14" s="130">
        <f t="shared" si="2"/>
        <v>0</v>
      </c>
      <c r="R14" s="128">
        <f t="shared" si="2"/>
        <v>0</v>
      </c>
      <c r="S14" s="129">
        <f t="shared" si="2"/>
        <v>0</v>
      </c>
      <c r="T14" s="129">
        <f t="shared" si="2"/>
        <v>0</v>
      </c>
      <c r="U14" s="129">
        <f t="shared" si="2"/>
        <v>0</v>
      </c>
      <c r="V14" s="130">
        <f t="shared" si="2"/>
        <v>0</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4"/>
    </row>
    <row r="15" spans="1:59" s="89" customFormat="1" ht="15" customHeight="1">
      <c r="B15" s="123"/>
      <c r="C15" s="127"/>
      <c r="D15" s="127" t="s">
        <v>1685</v>
      </c>
      <c r="E15" s="127"/>
      <c r="F15" s="127"/>
      <c r="G15" s="117"/>
      <c r="H15" s="118"/>
      <c r="I15" s="119" t="s">
        <v>498</v>
      </c>
      <c r="J15" s="128">
        <f>J67</f>
        <v>0</v>
      </c>
      <c r="K15" s="129">
        <f t="shared" ref="K15:V15" si="3">K67</f>
        <v>0</v>
      </c>
      <c r="L15" s="129">
        <f t="shared" si="3"/>
        <v>0</v>
      </c>
      <c r="M15" s="129">
        <f t="shared" si="3"/>
        <v>0</v>
      </c>
      <c r="N15" s="129">
        <f t="shared" si="3"/>
        <v>0</v>
      </c>
      <c r="O15" s="129">
        <f t="shared" si="3"/>
        <v>0</v>
      </c>
      <c r="P15" s="129">
        <f t="shared" si="3"/>
        <v>0</v>
      </c>
      <c r="Q15" s="130">
        <f t="shared" si="3"/>
        <v>0</v>
      </c>
      <c r="R15" s="128">
        <f t="shared" si="3"/>
        <v>0</v>
      </c>
      <c r="S15" s="129">
        <f t="shared" si="3"/>
        <v>0</v>
      </c>
      <c r="T15" s="129">
        <f t="shared" si="3"/>
        <v>0</v>
      </c>
      <c r="U15" s="129">
        <f t="shared" si="3"/>
        <v>0</v>
      </c>
      <c r="V15" s="130">
        <f t="shared" si="3"/>
        <v>0</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4"/>
    </row>
    <row r="16" spans="1:59" s="89" customFormat="1" ht="15" customHeight="1">
      <c r="B16" s="123"/>
      <c r="C16" s="127"/>
      <c r="D16" s="127" t="s">
        <v>2670</v>
      </c>
      <c r="E16" s="127"/>
      <c r="F16" s="127"/>
      <c r="G16" s="117"/>
      <c r="H16" s="118"/>
      <c r="I16" s="119" t="s">
        <v>498</v>
      </c>
      <c r="J16" s="128">
        <f>J78</f>
        <v>0</v>
      </c>
      <c r="K16" s="129">
        <f t="shared" ref="K16:V16" si="4">K78</f>
        <v>0</v>
      </c>
      <c r="L16" s="129">
        <f t="shared" si="4"/>
        <v>0</v>
      </c>
      <c r="M16" s="129">
        <f t="shared" si="4"/>
        <v>0</v>
      </c>
      <c r="N16" s="129">
        <f t="shared" si="4"/>
        <v>0</v>
      </c>
      <c r="O16" s="129">
        <f t="shared" si="4"/>
        <v>0</v>
      </c>
      <c r="P16" s="129">
        <f t="shared" si="4"/>
        <v>0</v>
      </c>
      <c r="Q16" s="130">
        <f t="shared" si="4"/>
        <v>0</v>
      </c>
      <c r="R16" s="128">
        <f t="shared" si="4"/>
        <v>0</v>
      </c>
      <c r="S16" s="129">
        <f t="shared" si="4"/>
        <v>0</v>
      </c>
      <c r="T16" s="129">
        <f t="shared" si="4"/>
        <v>0</v>
      </c>
      <c r="U16" s="129">
        <f t="shared" si="4"/>
        <v>0</v>
      </c>
      <c r="V16" s="130">
        <f t="shared" si="4"/>
        <v>0</v>
      </c>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4"/>
    </row>
    <row r="17" spans="1:82" s="89" customFormat="1" ht="15" customHeight="1">
      <c r="B17" s="123"/>
      <c r="C17" s="127"/>
      <c r="D17" s="127" t="s">
        <v>2722</v>
      </c>
      <c r="E17" s="127"/>
      <c r="F17" s="127"/>
      <c r="G17" s="117"/>
      <c r="H17" s="118"/>
      <c r="I17" s="119" t="s">
        <v>498</v>
      </c>
      <c r="J17" s="128">
        <f>J81</f>
        <v>0</v>
      </c>
      <c r="K17" s="129">
        <f t="shared" ref="K17:V17" si="5">K81</f>
        <v>0</v>
      </c>
      <c r="L17" s="129">
        <f t="shared" si="5"/>
        <v>0</v>
      </c>
      <c r="M17" s="129">
        <f t="shared" si="5"/>
        <v>0</v>
      </c>
      <c r="N17" s="129">
        <f t="shared" si="5"/>
        <v>0</v>
      </c>
      <c r="O17" s="129">
        <f t="shared" si="5"/>
        <v>0</v>
      </c>
      <c r="P17" s="129">
        <f t="shared" si="5"/>
        <v>0</v>
      </c>
      <c r="Q17" s="130">
        <f t="shared" si="5"/>
        <v>0</v>
      </c>
      <c r="R17" s="128">
        <f t="shared" si="5"/>
        <v>0</v>
      </c>
      <c r="S17" s="129">
        <f t="shared" si="5"/>
        <v>0</v>
      </c>
      <c r="T17" s="129">
        <f t="shared" si="5"/>
        <v>0</v>
      </c>
      <c r="U17" s="129">
        <f t="shared" si="5"/>
        <v>0</v>
      </c>
      <c r="V17" s="130">
        <f t="shared" si="5"/>
        <v>0</v>
      </c>
      <c r="AG17" s="92"/>
      <c r="AH17" s="92"/>
      <c r="AI17" s="92"/>
      <c r="AJ17" s="92"/>
      <c r="AK17" s="92"/>
      <c r="AL17" s="92"/>
      <c r="AM17" s="92"/>
      <c r="AN17" s="92"/>
      <c r="AO17" s="92"/>
      <c r="AP17" s="92"/>
      <c r="AQ17" s="92"/>
      <c r="AR17" s="94"/>
      <c r="AS17" s="94"/>
      <c r="AT17" s="92"/>
      <c r="AU17" s="92"/>
      <c r="AV17" s="92"/>
      <c r="AW17" s="92"/>
      <c r="AX17" s="92"/>
      <c r="AY17" s="92"/>
      <c r="AZ17" s="92"/>
      <c r="BA17" s="92"/>
      <c r="BB17" s="92"/>
      <c r="BC17" s="92"/>
      <c r="BD17" s="92"/>
      <c r="BE17" s="92"/>
      <c r="BF17" s="92"/>
      <c r="BG17" s="94"/>
    </row>
    <row r="18" spans="1:82" s="89" customFormat="1" ht="15" customHeight="1">
      <c r="B18" s="123"/>
      <c r="C18" s="127"/>
      <c r="D18" s="127" t="s">
        <v>2755</v>
      </c>
      <c r="E18" s="127"/>
      <c r="F18" s="127"/>
      <c r="G18" s="117"/>
      <c r="H18" s="118"/>
      <c r="I18" s="119" t="s">
        <v>498</v>
      </c>
      <c r="J18" s="128">
        <f>J92</f>
        <v>0</v>
      </c>
      <c r="K18" s="129">
        <f t="shared" ref="K18:V18" si="6">K92</f>
        <v>0</v>
      </c>
      <c r="L18" s="129">
        <f t="shared" si="6"/>
        <v>0</v>
      </c>
      <c r="M18" s="129">
        <f t="shared" si="6"/>
        <v>0</v>
      </c>
      <c r="N18" s="129">
        <f t="shared" si="6"/>
        <v>0</v>
      </c>
      <c r="O18" s="129">
        <f t="shared" si="6"/>
        <v>0</v>
      </c>
      <c r="P18" s="129">
        <f t="shared" si="6"/>
        <v>0</v>
      </c>
      <c r="Q18" s="130">
        <f t="shared" si="6"/>
        <v>0</v>
      </c>
      <c r="R18" s="128">
        <f t="shared" si="6"/>
        <v>0</v>
      </c>
      <c r="S18" s="129">
        <f t="shared" si="6"/>
        <v>0</v>
      </c>
      <c r="T18" s="129">
        <f t="shared" si="6"/>
        <v>0</v>
      </c>
      <c r="U18" s="129">
        <f t="shared" si="6"/>
        <v>0</v>
      </c>
      <c r="V18" s="130">
        <f t="shared" si="6"/>
        <v>0</v>
      </c>
      <c r="AG18" s="92"/>
      <c r="AH18" s="92"/>
      <c r="AI18" s="92"/>
      <c r="AJ18" s="92"/>
      <c r="AK18" s="92"/>
      <c r="AL18" s="92"/>
      <c r="AM18" s="92"/>
      <c r="AN18" s="92"/>
      <c r="AO18" s="92"/>
      <c r="AP18" s="92"/>
      <c r="AQ18" s="92"/>
      <c r="AR18" s="94"/>
      <c r="AS18" s="94"/>
      <c r="AT18" s="92"/>
      <c r="AU18" s="92"/>
      <c r="AV18" s="92"/>
      <c r="AW18" s="92"/>
      <c r="AX18" s="92"/>
      <c r="AY18" s="92"/>
      <c r="AZ18" s="92"/>
      <c r="BA18" s="92"/>
      <c r="BB18" s="92"/>
      <c r="BC18" s="92"/>
      <c r="BD18" s="92"/>
      <c r="BE18" s="92"/>
      <c r="BF18" s="92"/>
      <c r="BG18" s="94"/>
    </row>
    <row r="19" spans="1:82" s="89" customFormat="1" ht="15" customHeight="1">
      <c r="B19" s="123"/>
      <c r="C19" s="127"/>
      <c r="D19" s="127" t="s">
        <v>2774</v>
      </c>
      <c r="E19" s="127"/>
      <c r="F19" s="127"/>
      <c r="G19" s="117"/>
      <c r="H19" s="118"/>
      <c r="I19" s="119" t="s">
        <v>498</v>
      </c>
      <c r="J19" s="128">
        <f>J103</f>
        <v>0</v>
      </c>
      <c r="K19" s="129">
        <f t="shared" ref="K19:V19" si="7">K103</f>
        <v>0</v>
      </c>
      <c r="L19" s="129">
        <f t="shared" si="7"/>
        <v>0</v>
      </c>
      <c r="M19" s="129">
        <f t="shared" si="7"/>
        <v>0</v>
      </c>
      <c r="N19" s="129">
        <f t="shared" si="7"/>
        <v>0</v>
      </c>
      <c r="O19" s="129">
        <f t="shared" si="7"/>
        <v>0</v>
      </c>
      <c r="P19" s="129">
        <f t="shared" si="7"/>
        <v>0</v>
      </c>
      <c r="Q19" s="130">
        <f t="shared" si="7"/>
        <v>0</v>
      </c>
      <c r="R19" s="128">
        <f t="shared" si="7"/>
        <v>0</v>
      </c>
      <c r="S19" s="129">
        <f t="shared" si="7"/>
        <v>0</v>
      </c>
      <c r="T19" s="129">
        <f t="shared" si="7"/>
        <v>0</v>
      </c>
      <c r="U19" s="129">
        <f t="shared" si="7"/>
        <v>0</v>
      </c>
      <c r="V19" s="130">
        <f t="shared" si="7"/>
        <v>0</v>
      </c>
      <c r="AG19" s="92"/>
      <c r="AH19" s="92"/>
      <c r="AI19" s="92"/>
      <c r="AJ19" s="92"/>
      <c r="AK19" s="92"/>
      <c r="AL19" s="92"/>
      <c r="AM19" s="92"/>
      <c r="AN19" s="92"/>
      <c r="AO19" s="92"/>
      <c r="AP19" s="92"/>
      <c r="AQ19" s="92"/>
      <c r="AR19" s="94"/>
      <c r="AS19" s="94"/>
      <c r="AT19" s="92"/>
      <c r="AU19" s="92"/>
      <c r="AV19" s="92"/>
      <c r="AW19" s="92"/>
      <c r="AX19" s="92"/>
      <c r="AY19" s="92"/>
      <c r="AZ19" s="92"/>
      <c r="BA19" s="92"/>
      <c r="BB19" s="92"/>
      <c r="BC19" s="92"/>
      <c r="BD19" s="92"/>
      <c r="BE19" s="92"/>
      <c r="BF19" s="92"/>
      <c r="BG19" s="94"/>
    </row>
    <row r="20" spans="1:82" s="89" customFormat="1" ht="15" customHeight="1" thickBot="1">
      <c r="B20" s="176" t="s">
        <v>1701</v>
      </c>
      <c r="C20" s="132"/>
      <c r="D20" s="132"/>
      <c r="E20" s="132"/>
      <c r="F20" s="132"/>
      <c r="G20" s="145"/>
      <c r="H20" s="133"/>
      <c r="I20" s="146" t="s">
        <v>498</v>
      </c>
      <c r="J20" s="148">
        <f>SUM(J12:J19)</f>
        <v>0</v>
      </c>
      <c r="K20" s="147">
        <f t="shared" ref="K20:V20" si="8">SUM(K12:K19)</f>
        <v>0</v>
      </c>
      <c r="L20" s="147">
        <f t="shared" si="8"/>
        <v>0</v>
      </c>
      <c r="M20" s="147">
        <f t="shared" si="8"/>
        <v>0</v>
      </c>
      <c r="N20" s="147">
        <f t="shared" si="8"/>
        <v>0</v>
      </c>
      <c r="O20" s="147">
        <f t="shared" si="8"/>
        <v>0</v>
      </c>
      <c r="P20" s="147">
        <f t="shared" si="8"/>
        <v>0</v>
      </c>
      <c r="Q20" s="149">
        <f t="shared" si="8"/>
        <v>0</v>
      </c>
      <c r="R20" s="148">
        <f t="shared" si="8"/>
        <v>0</v>
      </c>
      <c r="S20" s="147">
        <f t="shared" si="8"/>
        <v>0</v>
      </c>
      <c r="T20" s="147">
        <f t="shared" si="8"/>
        <v>0</v>
      </c>
      <c r="U20" s="147">
        <f t="shared" si="8"/>
        <v>0</v>
      </c>
      <c r="V20" s="149">
        <f t="shared" si="8"/>
        <v>0</v>
      </c>
      <c r="AG20" s="92"/>
      <c r="AH20" s="92"/>
      <c r="AI20" s="92"/>
      <c r="AJ20" s="92"/>
      <c r="AK20" s="92"/>
      <c r="AL20" s="92"/>
      <c r="AM20" s="92"/>
      <c r="AN20" s="92"/>
      <c r="AO20" s="92"/>
      <c r="AP20" s="92"/>
      <c r="AQ20" s="92"/>
      <c r="AR20" s="94"/>
      <c r="AS20" s="94"/>
      <c r="AT20" s="92"/>
      <c r="AU20" s="92"/>
      <c r="AV20" s="92"/>
      <c r="AW20" s="92"/>
      <c r="AX20" s="92"/>
      <c r="AY20" s="92"/>
      <c r="AZ20" s="92"/>
      <c r="BA20" s="92"/>
      <c r="BB20" s="92"/>
      <c r="BC20" s="92"/>
      <c r="BD20" s="92"/>
      <c r="BE20" s="92"/>
      <c r="BF20" s="92"/>
      <c r="BG20" s="94"/>
    </row>
    <row r="21" spans="1:82" s="89" customFormat="1" ht="15" customHeight="1" thickBot="1">
      <c r="B21" s="134"/>
      <c r="C21" s="134"/>
      <c r="D21" s="134"/>
      <c r="E21" s="134"/>
      <c r="F21" s="134"/>
      <c r="H21" s="114"/>
      <c r="I21" s="93"/>
      <c r="J21" s="92"/>
      <c r="P21" s="92"/>
      <c r="Q21" s="92"/>
      <c r="R21" s="92"/>
      <c r="S21" s="92"/>
      <c r="T21" s="92"/>
      <c r="U21" s="92"/>
      <c r="V21" s="92"/>
      <c r="AG21" s="92"/>
      <c r="AH21" s="92"/>
      <c r="AI21" s="92"/>
      <c r="AJ21" s="92"/>
      <c r="AK21" s="92"/>
      <c r="AL21" s="92"/>
      <c r="AM21" s="92"/>
      <c r="AN21" s="92"/>
      <c r="AO21" s="92"/>
      <c r="AP21" s="92"/>
      <c r="AQ21" s="92"/>
      <c r="AR21" s="94"/>
      <c r="AS21" s="94"/>
      <c r="AT21" s="92"/>
      <c r="AU21" s="92"/>
      <c r="AV21" s="92"/>
      <c r="AW21" s="92"/>
      <c r="AX21" s="92"/>
      <c r="AY21" s="92"/>
      <c r="AZ21" s="92"/>
      <c r="BA21" s="92"/>
      <c r="BB21" s="92"/>
      <c r="BC21" s="92"/>
      <c r="BD21" s="92"/>
      <c r="BE21" s="92"/>
      <c r="BF21" s="92"/>
      <c r="BG21" s="94"/>
    </row>
    <row r="22" spans="1:82" s="100" customFormat="1" ht="30" customHeight="1" thickBot="1">
      <c r="A22" s="89"/>
      <c r="B22" s="621" t="s">
        <v>2652</v>
      </c>
      <c r="C22" s="101"/>
      <c r="D22" s="102"/>
      <c r="E22" s="102"/>
      <c r="F22" s="102"/>
      <c r="G22" s="103"/>
      <c r="H22" s="103"/>
      <c r="I22" s="105" t="s">
        <v>1864</v>
      </c>
      <c r="J22" s="106"/>
      <c r="K22" s="106"/>
      <c r="L22" s="106"/>
      <c r="M22" s="106"/>
      <c r="N22" s="106"/>
      <c r="O22" s="106"/>
      <c r="P22" s="106"/>
      <c r="Q22" s="106"/>
      <c r="R22" s="105"/>
      <c r="S22" s="105"/>
      <c r="T22" s="105"/>
      <c r="U22" s="105"/>
      <c r="V22" s="105"/>
      <c r="W22" s="103"/>
      <c r="X22" s="105" t="s">
        <v>2202</v>
      </c>
      <c r="Y22" s="106"/>
      <c r="Z22" s="106"/>
      <c r="AA22" s="106"/>
      <c r="AB22" s="106"/>
      <c r="AC22" s="106"/>
      <c r="AD22" s="106"/>
      <c r="AE22" s="106"/>
      <c r="AF22" s="106"/>
      <c r="AG22" s="105"/>
      <c r="AH22" s="105"/>
      <c r="AI22" s="105"/>
      <c r="AJ22" s="105"/>
      <c r="AK22" s="105"/>
      <c r="AL22" s="103"/>
      <c r="AM22" s="105" t="s">
        <v>2231</v>
      </c>
      <c r="AN22" s="106"/>
      <c r="AO22" s="106"/>
      <c r="AP22" s="106"/>
      <c r="AQ22" s="106"/>
      <c r="AR22" s="106"/>
      <c r="AS22" s="106"/>
      <c r="AT22" s="106"/>
      <c r="AU22" s="106"/>
      <c r="AV22" s="105"/>
      <c r="AW22" s="105"/>
      <c r="AX22" s="105"/>
      <c r="AY22" s="105"/>
      <c r="AZ22" s="105"/>
      <c r="BA22" s="103"/>
      <c r="BB22" s="105" t="s">
        <v>2690</v>
      </c>
      <c r="BC22" s="105"/>
      <c r="BD22" s="105"/>
      <c r="BE22" s="105"/>
      <c r="BF22" s="105"/>
      <c r="BG22" s="105"/>
      <c r="BH22" s="105"/>
      <c r="BI22" s="105"/>
      <c r="BJ22" s="105"/>
      <c r="BK22" s="105"/>
      <c r="BL22" s="105"/>
      <c r="BM22" s="105"/>
      <c r="BN22" s="105"/>
      <c r="BO22" s="105"/>
      <c r="BP22" s="103"/>
      <c r="BQ22" s="105" t="s">
        <v>2691</v>
      </c>
      <c r="BR22" s="105"/>
      <c r="BS22" s="105"/>
      <c r="BT22" s="105"/>
      <c r="BU22" s="105"/>
      <c r="BV22" s="105"/>
      <c r="BW22" s="105"/>
      <c r="BX22" s="105"/>
      <c r="BY22" s="105"/>
      <c r="BZ22" s="105"/>
      <c r="CA22" s="105"/>
      <c r="CB22" s="105"/>
      <c r="CC22" s="105"/>
      <c r="CD22" s="187"/>
    </row>
    <row r="23" spans="1:82" s="157" customFormat="1" ht="30" customHeight="1">
      <c r="A23" s="99"/>
      <c r="B23" s="109"/>
      <c r="C23" s="110"/>
      <c r="D23" s="110"/>
      <c r="E23" s="110"/>
      <c r="F23" s="110"/>
      <c r="G23" s="111"/>
      <c r="H23" s="111"/>
      <c r="I23" s="117"/>
      <c r="J23" s="695" t="s">
        <v>1666</v>
      </c>
      <c r="K23" s="152"/>
      <c r="L23" s="152"/>
      <c r="M23" s="152"/>
      <c r="N23" s="152"/>
      <c r="O23" s="152"/>
      <c r="P23" s="152"/>
      <c r="Q23" s="153"/>
      <c r="R23" s="696" t="s">
        <v>2</v>
      </c>
      <c r="S23" s="155"/>
      <c r="T23" s="155"/>
      <c r="U23" s="155"/>
      <c r="V23" s="156"/>
      <c r="W23" s="222"/>
      <c r="X23" s="117"/>
      <c r="Y23" s="695" t="s">
        <v>1666</v>
      </c>
      <c r="Z23" s="152"/>
      <c r="AA23" s="152"/>
      <c r="AB23" s="152"/>
      <c r="AC23" s="152"/>
      <c r="AD23" s="152"/>
      <c r="AE23" s="152"/>
      <c r="AF23" s="153"/>
      <c r="AG23" s="696" t="s">
        <v>2</v>
      </c>
      <c r="AH23" s="155"/>
      <c r="AI23" s="155"/>
      <c r="AJ23" s="155"/>
      <c r="AK23" s="156"/>
      <c r="AL23" s="222"/>
      <c r="AM23" s="117"/>
      <c r="AN23" s="695" t="s">
        <v>1666</v>
      </c>
      <c r="AO23" s="152"/>
      <c r="AP23" s="152"/>
      <c r="AQ23" s="152"/>
      <c r="AR23" s="152"/>
      <c r="AS23" s="152"/>
      <c r="AT23" s="152"/>
      <c r="AU23" s="153"/>
      <c r="AV23" s="696" t="s">
        <v>2</v>
      </c>
      <c r="AW23" s="155"/>
      <c r="AX23" s="155"/>
      <c r="AY23" s="155"/>
      <c r="AZ23" s="156"/>
      <c r="BA23" s="222"/>
      <c r="BB23" s="527" t="s">
        <v>2693</v>
      </c>
      <c r="BC23" s="527"/>
      <c r="BD23" s="527" t="s">
        <v>2694</v>
      </c>
      <c r="BE23" s="527"/>
      <c r="BF23" s="527" t="s">
        <v>2695</v>
      </c>
      <c r="BG23" s="527"/>
      <c r="BH23" s="527" t="s">
        <v>2696</v>
      </c>
      <c r="BI23" s="527"/>
      <c r="BJ23" s="527" t="s">
        <v>2697</v>
      </c>
      <c r="BK23" s="527"/>
      <c r="BL23" s="527" t="s">
        <v>2698</v>
      </c>
      <c r="BM23" s="527"/>
      <c r="BN23" s="604" t="s">
        <v>2699</v>
      </c>
      <c r="BO23" s="604"/>
      <c r="BP23" s="222"/>
      <c r="BQ23" s="527" t="s">
        <v>2693</v>
      </c>
      <c r="BR23" s="527"/>
      <c r="BS23" s="527" t="s">
        <v>2694</v>
      </c>
      <c r="BT23" s="527"/>
      <c r="BU23" s="527" t="s">
        <v>2695</v>
      </c>
      <c r="BV23" s="527"/>
      <c r="BW23" s="527" t="s">
        <v>2696</v>
      </c>
      <c r="BX23" s="527"/>
      <c r="BY23" s="527" t="s">
        <v>2697</v>
      </c>
      <c r="BZ23" s="527"/>
      <c r="CA23" s="527" t="s">
        <v>2698</v>
      </c>
      <c r="CB23" s="527"/>
      <c r="CC23" s="527" t="s">
        <v>2699</v>
      </c>
      <c r="CD23" s="605"/>
    </row>
    <row r="24" spans="1:82" s="98" customFormat="1" ht="15" customHeight="1">
      <c r="A24" s="99"/>
      <c r="B24" s="115"/>
      <c r="C24" s="116"/>
      <c r="D24" s="116"/>
      <c r="E24" s="116"/>
      <c r="F24" s="116"/>
      <c r="G24" s="117"/>
      <c r="H24" s="117"/>
      <c r="I24" s="119" t="s">
        <v>1667</v>
      </c>
      <c r="J24" s="158" t="s">
        <v>453</v>
      </c>
      <c r="K24" s="137" t="s">
        <v>455</v>
      </c>
      <c r="L24" s="137" t="s">
        <v>457</v>
      </c>
      <c r="M24" s="137" t="s">
        <v>459</v>
      </c>
      <c r="N24" s="137" t="s">
        <v>461</v>
      </c>
      <c r="O24" s="137" t="s">
        <v>463</v>
      </c>
      <c r="P24" s="137" t="s">
        <v>465</v>
      </c>
      <c r="Q24" s="138" t="s">
        <v>467</v>
      </c>
      <c r="R24" s="120" t="s">
        <v>469</v>
      </c>
      <c r="S24" s="121" t="s">
        <v>471</v>
      </c>
      <c r="T24" s="121" t="s">
        <v>473</v>
      </c>
      <c r="U24" s="121" t="s">
        <v>475</v>
      </c>
      <c r="V24" s="122" t="s">
        <v>477</v>
      </c>
      <c r="W24" s="185"/>
      <c r="X24" s="119" t="s">
        <v>1667</v>
      </c>
      <c r="Y24" s="158" t="s">
        <v>453</v>
      </c>
      <c r="Z24" s="137" t="s">
        <v>455</v>
      </c>
      <c r="AA24" s="137" t="s">
        <v>457</v>
      </c>
      <c r="AB24" s="137" t="s">
        <v>459</v>
      </c>
      <c r="AC24" s="137" t="s">
        <v>461</v>
      </c>
      <c r="AD24" s="137" t="s">
        <v>463</v>
      </c>
      <c r="AE24" s="137" t="s">
        <v>465</v>
      </c>
      <c r="AF24" s="138" t="s">
        <v>467</v>
      </c>
      <c r="AG24" s="120" t="s">
        <v>469</v>
      </c>
      <c r="AH24" s="121" t="s">
        <v>471</v>
      </c>
      <c r="AI24" s="121" t="s">
        <v>473</v>
      </c>
      <c r="AJ24" s="121" t="s">
        <v>475</v>
      </c>
      <c r="AK24" s="122" t="s">
        <v>477</v>
      </c>
      <c r="AL24" s="185"/>
      <c r="AM24" s="119" t="s">
        <v>1667</v>
      </c>
      <c r="AN24" s="158" t="s">
        <v>453</v>
      </c>
      <c r="AO24" s="137" t="s">
        <v>455</v>
      </c>
      <c r="AP24" s="137" t="s">
        <v>457</v>
      </c>
      <c r="AQ24" s="137" t="s">
        <v>459</v>
      </c>
      <c r="AR24" s="137" t="s">
        <v>461</v>
      </c>
      <c r="AS24" s="137" t="s">
        <v>463</v>
      </c>
      <c r="AT24" s="137" t="s">
        <v>465</v>
      </c>
      <c r="AU24" s="138" t="s">
        <v>467</v>
      </c>
      <c r="AV24" s="120" t="s">
        <v>469</v>
      </c>
      <c r="AW24" s="121" t="s">
        <v>471</v>
      </c>
      <c r="AX24" s="121" t="s">
        <v>473</v>
      </c>
      <c r="AY24" s="121" t="s">
        <v>475</v>
      </c>
      <c r="AZ24" s="122" t="s">
        <v>477</v>
      </c>
      <c r="BA24" s="185"/>
      <c r="BB24" s="531" t="s">
        <v>1667</v>
      </c>
      <c r="BC24" s="531" t="s">
        <v>2142</v>
      </c>
      <c r="BD24" s="531" t="s">
        <v>1667</v>
      </c>
      <c r="BE24" s="531" t="s">
        <v>2142</v>
      </c>
      <c r="BF24" s="531" t="s">
        <v>1667</v>
      </c>
      <c r="BG24" s="531" t="s">
        <v>2142</v>
      </c>
      <c r="BH24" s="531" t="s">
        <v>1667</v>
      </c>
      <c r="BI24" s="531" t="s">
        <v>2142</v>
      </c>
      <c r="BJ24" s="531" t="s">
        <v>1667</v>
      </c>
      <c r="BK24" s="531" t="s">
        <v>2142</v>
      </c>
      <c r="BL24" s="531" t="s">
        <v>1667</v>
      </c>
      <c r="BM24" s="531" t="s">
        <v>2142</v>
      </c>
      <c r="BN24" s="531" t="s">
        <v>1667</v>
      </c>
      <c r="BO24" s="531" t="s">
        <v>2142</v>
      </c>
      <c r="BP24" s="185"/>
      <c r="BQ24" s="531" t="s">
        <v>1667</v>
      </c>
      <c r="BR24" s="531" t="s">
        <v>2142</v>
      </c>
      <c r="BS24" s="531" t="s">
        <v>1667</v>
      </c>
      <c r="BT24" s="531" t="s">
        <v>2142</v>
      </c>
      <c r="BU24" s="531" t="s">
        <v>1667</v>
      </c>
      <c r="BV24" s="531" t="s">
        <v>2142</v>
      </c>
      <c r="BW24" s="531" t="s">
        <v>1667</v>
      </c>
      <c r="BX24" s="531" t="s">
        <v>2142</v>
      </c>
      <c r="BY24" s="531" t="s">
        <v>1667</v>
      </c>
      <c r="BZ24" s="531" t="s">
        <v>2142</v>
      </c>
      <c r="CA24" s="531" t="s">
        <v>1667</v>
      </c>
      <c r="CB24" s="531" t="s">
        <v>2142</v>
      </c>
      <c r="CC24" s="531" t="s">
        <v>1667</v>
      </c>
      <c r="CD24" s="532" t="s">
        <v>2142</v>
      </c>
    </row>
    <row r="25" spans="1:82" s="98" customFormat="1" ht="15" customHeight="1">
      <c r="A25" s="99"/>
      <c r="B25" s="161"/>
      <c r="C25" s="116" t="s">
        <v>1682</v>
      </c>
      <c r="D25" s="116"/>
      <c r="E25" s="116"/>
      <c r="F25" s="116"/>
      <c r="G25" s="117"/>
      <c r="H25" s="117"/>
      <c r="I25" s="117"/>
      <c r="J25" s="159"/>
      <c r="K25" s="117"/>
      <c r="L25" s="117"/>
      <c r="M25" s="117"/>
      <c r="N25" s="117"/>
      <c r="O25" s="117"/>
      <c r="P25" s="117"/>
      <c r="Q25" s="160"/>
      <c r="R25" s="159"/>
      <c r="S25" s="117"/>
      <c r="T25" s="117"/>
      <c r="U25" s="117"/>
      <c r="V25" s="160"/>
      <c r="W25" s="185"/>
      <c r="X25" s="117"/>
      <c r="Y25" s="159"/>
      <c r="Z25" s="117"/>
      <c r="AA25" s="117"/>
      <c r="AB25" s="117"/>
      <c r="AC25" s="117"/>
      <c r="AD25" s="117"/>
      <c r="AE25" s="117"/>
      <c r="AF25" s="160"/>
      <c r="AG25" s="159"/>
      <c r="AH25" s="117"/>
      <c r="AI25" s="117"/>
      <c r="AJ25" s="117"/>
      <c r="AK25" s="160"/>
      <c r="AL25" s="185"/>
      <c r="AM25" s="117"/>
      <c r="AN25" s="159"/>
      <c r="AO25" s="117"/>
      <c r="AP25" s="117"/>
      <c r="AQ25" s="117"/>
      <c r="AR25" s="117"/>
      <c r="AS25" s="117"/>
      <c r="AT25" s="117"/>
      <c r="AU25" s="160"/>
      <c r="AV25" s="159"/>
      <c r="AW25" s="117"/>
      <c r="AX25" s="117"/>
      <c r="AY25" s="117"/>
      <c r="AZ25" s="160"/>
      <c r="BA25" s="185"/>
      <c r="BB25" s="530"/>
      <c r="BC25" s="530"/>
      <c r="BD25" s="530"/>
      <c r="BE25" s="530"/>
      <c r="BF25" s="530"/>
      <c r="BG25" s="530"/>
      <c r="BH25" s="530"/>
      <c r="BI25" s="530"/>
      <c r="BJ25" s="530"/>
      <c r="BK25" s="530"/>
      <c r="BL25" s="530"/>
      <c r="BM25" s="530"/>
      <c r="BN25" s="530"/>
      <c r="BO25" s="530"/>
      <c r="BP25" s="185"/>
      <c r="BQ25" s="530"/>
      <c r="BR25" s="530"/>
      <c r="BS25" s="530"/>
      <c r="BT25" s="530"/>
      <c r="BU25" s="530"/>
      <c r="BV25" s="530"/>
      <c r="BW25" s="530"/>
      <c r="BX25" s="530"/>
      <c r="BY25" s="530"/>
      <c r="BZ25" s="530"/>
      <c r="CA25" s="530"/>
      <c r="CB25" s="530"/>
      <c r="CC25" s="530"/>
      <c r="CD25" s="544"/>
    </row>
    <row r="26" spans="1:82" s="98" customFormat="1" ht="15" customHeight="1">
      <c r="A26" s="99"/>
      <c r="B26" s="161"/>
      <c r="C26" s="162"/>
      <c r="D26" s="162" t="s">
        <v>2701</v>
      </c>
      <c r="E26" s="162"/>
      <c r="F26" s="162"/>
      <c r="G26" s="163"/>
      <c r="H26" s="163"/>
      <c r="I26" s="164" t="s">
        <v>498</v>
      </c>
      <c r="J26" s="143">
        <v>0</v>
      </c>
      <c r="K26" s="141">
        <v>0</v>
      </c>
      <c r="L26" s="141">
        <v>0</v>
      </c>
      <c r="M26" s="141">
        <v>0</v>
      </c>
      <c r="N26" s="141">
        <v>0</v>
      </c>
      <c r="O26" s="141">
        <v>0</v>
      </c>
      <c r="P26" s="141">
        <v>0</v>
      </c>
      <c r="Q26" s="144">
        <v>0</v>
      </c>
      <c r="R26" s="143">
        <v>0</v>
      </c>
      <c r="S26" s="141">
        <v>0</v>
      </c>
      <c r="T26" s="141">
        <v>0</v>
      </c>
      <c r="U26" s="141">
        <v>0</v>
      </c>
      <c r="V26" s="144">
        <v>0</v>
      </c>
      <c r="W26" s="185"/>
      <c r="X26" s="164" t="s">
        <v>498</v>
      </c>
      <c r="Y26" s="143">
        <v>0</v>
      </c>
      <c r="Z26" s="141">
        <v>0</v>
      </c>
      <c r="AA26" s="141">
        <v>0</v>
      </c>
      <c r="AB26" s="141">
        <v>0</v>
      </c>
      <c r="AC26" s="141">
        <v>0</v>
      </c>
      <c r="AD26" s="141">
        <v>0</v>
      </c>
      <c r="AE26" s="141">
        <v>0</v>
      </c>
      <c r="AF26" s="144">
        <v>0</v>
      </c>
      <c r="AG26" s="143">
        <v>0</v>
      </c>
      <c r="AH26" s="141">
        <v>0</v>
      </c>
      <c r="AI26" s="141">
        <v>0</v>
      </c>
      <c r="AJ26" s="141">
        <v>0</v>
      </c>
      <c r="AK26" s="144">
        <v>0</v>
      </c>
      <c r="AL26" s="185"/>
      <c r="AM26" s="164" t="s">
        <v>2233</v>
      </c>
      <c r="AN26" s="143">
        <v>0</v>
      </c>
      <c r="AO26" s="141">
        <v>0</v>
      </c>
      <c r="AP26" s="141">
        <v>0</v>
      </c>
      <c r="AQ26" s="141">
        <v>0</v>
      </c>
      <c r="AR26" s="141">
        <v>0</v>
      </c>
      <c r="AS26" s="141">
        <v>0</v>
      </c>
      <c r="AT26" s="141">
        <v>0</v>
      </c>
      <c r="AU26" s="144">
        <v>0</v>
      </c>
      <c r="AV26" s="143">
        <v>0</v>
      </c>
      <c r="AW26" s="141">
        <v>0</v>
      </c>
      <c r="AX26" s="141">
        <v>0</v>
      </c>
      <c r="AY26" s="141">
        <v>0</v>
      </c>
      <c r="AZ26" s="144">
        <v>0</v>
      </c>
      <c r="BA26" s="185"/>
      <c r="BB26" s="545" t="s">
        <v>627</v>
      </c>
      <c r="BC26" s="868">
        <v>0</v>
      </c>
      <c r="BD26" s="545" t="s">
        <v>627</v>
      </c>
      <c r="BE26" s="868">
        <v>0</v>
      </c>
      <c r="BF26" s="545" t="s">
        <v>2233</v>
      </c>
      <c r="BG26" s="141">
        <v>0</v>
      </c>
      <c r="BH26" s="545" t="s">
        <v>2233</v>
      </c>
      <c r="BI26" s="141">
        <v>0</v>
      </c>
      <c r="BJ26" s="545" t="s">
        <v>2233</v>
      </c>
      <c r="BK26" s="141">
        <v>0</v>
      </c>
      <c r="BL26" s="545" t="s">
        <v>2233</v>
      </c>
      <c r="BM26" s="141">
        <v>0</v>
      </c>
      <c r="BN26" s="545" t="s">
        <v>2233</v>
      </c>
      <c r="BO26" s="141">
        <v>0</v>
      </c>
      <c r="BP26" s="185"/>
      <c r="BQ26" s="545" t="s">
        <v>627</v>
      </c>
      <c r="BR26" s="868">
        <v>0</v>
      </c>
      <c r="BS26" s="545" t="s">
        <v>627</v>
      </c>
      <c r="BT26" s="868">
        <v>0</v>
      </c>
      <c r="BU26" s="545" t="s">
        <v>2233</v>
      </c>
      <c r="BV26" s="141">
        <v>0</v>
      </c>
      <c r="BW26" s="545" t="s">
        <v>2233</v>
      </c>
      <c r="BX26" s="141">
        <v>0</v>
      </c>
      <c r="BY26" s="545" t="s">
        <v>2233</v>
      </c>
      <c r="BZ26" s="141">
        <v>0</v>
      </c>
      <c r="CA26" s="545" t="s">
        <v>2233</v>
      </c>
      <c r="CB26" s="141">
        <v>0</v>
      </c>
      <c r="CC26" s="545" t="s">
        <v>2233</v>
      </c>
      <c r="CD26" s="144">
        <v>0</v>
      </c>
    </row>
    <row r="27" spans="1:82" s="98" customFormat="1" ht="15" customHeight="1">
      <c r="A27" s="99"/>
      <c r="B27" s="161"/>
      <c r="C27" s="162"/>
      <c r="D27" s="162" t="s">
        <v>2702</v>
      </c>
      <c r="E27" s="162"/>
      <c r="F27" s="162"/>
      <c r="G27" s="163"/>
      <c r="H27" s="163"/>
      <c r="I27" s="164" t="s">
        <v>498</v>
      </c>
      <c r="J27" s="143">
        <v>0</v>
      </c>
      <c r="K27" s="141">
        <v>0</v>
      </c>
      <c r="L27" s="141">
        <v>0</v>
      </c>
      <c r="M27" s="141">
        <v>0</v>
      </c>
      <c r="N27" s="141">
        <v>0</v>
      </c>
      <c r="O27" s="141">
        <v>0</v>
      </c>
      <c r="P27" s="141">
        <v>0</v>
      </c>
      <c r="Q27" s="144">
        <v>0</v>
      </c>
      <c r="R27" s="143">
        <v>0</v>
      </c>
      <c r="S27" s="141">
        <v>0</v>
      </c>
      <c r="T27" s="141">
        <v>0</v>
      </c>
      <c r="U27" s="141">
        <v>0</v>
      </c>
      <c r="V27" s="144">
        <v>0</v>
      </c>
      <c r="W27" s="185"/>
      <c r="X27" s="164" t="s">
        <v>498</v>
      </c>
      <c r="Y27" s="143">
        <v>0</v>
      </c>
      <c r="Z27" s="141">
        <v>0</v>
      </c>
      <c r="AA27" s="141">
        <v>0</v>
      </c>
      <c r="AB27" s="141">
        <v>0</v>
      </c>
      <c r="AC27" s="141">
        <v>0</v>
      </c>
      <c r="AD27" s="141">
        <v>0</v>
      </c>
      <c r="AE27" s="141">
        <v>0</v>
      </c>
      <c r="AF27" s="144">
        <v>0</v>
      </c>
      <c r="AG27" s="143">
        <v>0</v>
      </c>
      <c r="AH27" s="141">
        <v>0</v>
      </c>
      <c r="AI27" s="141">
        <v>0</v>
      </c>
      <c r="AJ27" s="141">
        <v>0</v>
      </c>
      <c r="AK27" s="144">
        <v>0</v>
      </c>
      <c r="AL27" s="185"/>
      <c r="AM27" s="164" t="s">
        <v>2233</v>
      </c>
      <c r="AN27" s="143">
        <v>0</v>
      </c>
      <c r="AO27" s="141">
        <v>0</v>
      </c>
      <c r="AP27" s="141">
        <v>0</v>
      </c>
      <c r="AQ27" s="141">
        <v>0</v>
      </c>
      <c r="AR27" s="141">
        <v>0</v>
      </c>
      <c r="AS27" s="141">
        <v>0</v>
      </c>
      <c r="AT27" s="141">
        <v>0</v>
      </c>
      <c r="AU27" s="144">
        <v>0</v>
      </c>
      <c r="AV27" s="143">
        <v>0</v>
      </c>
      <c r="AW27" s="141">
        <v>0</v>
      </c>
      <c r="AX27" s="141">
        <v>0</v>
      </c>
      <c r="AY27" s="141">
        <v>0</v>
      </c>
      <c r="AZ27" s="144">
        <v>0</v>
      </c>
      <c r="BA27" s="185"/>
      <c r="BB27" s="545" t="s">
        <v>627</v>
      </c>
      <c r="BC27" s="868">
        <v>0</v>
      </c>
      <c r="BD27" s="545" t="s">
        <v>627</v>
      </c>
      <c r="BE27" s="868">
        <v>0</v>
      </c>
      <c r="BF27" s="545" t="s">
        <v>2233</v>
      </c>
      <c r="BG27" s="141">
        <v>0</v>
      </c>
      <c r="BH27" s="545" t="s">
        <v>2233</v>
      </c>
      <c r="BI27" s="141">
        <v>0</v>
      </c>
      <c r="BJ27" s="545" t="s">
        <v>2233</v>
      </c>
      <c r="BK27" s="141">
        <v>0</v>
      </c>
      <c r="BL27" s="545" t="s">
        <v>2233</v>
      </c>
      <c r="BM27" s="141">
        <v>0</v>
      </c>
      <c r="BN27" s="545" t="s">
        <v>2233</v>
      </c>
      <c r="BO27" s="141">
        <v>0</v>
      </c>
      <c r="BP27" s="185"/>
      <c r="BQ27" s="545" t="s">
        <v>627</v>
      </c>
      <c r="BR27" s="868">
        <v>0</v>
      </c>
      <c r="BS27" s="545" t="s">
        <v>627</v>
      </c>
      <c r="BT27" s="868">
        <v>0</v>
      </c>
      <c r="BU27" s="545" t="s">
        <v>2233</v>
      </c>
      <c r="BV27" s="141">
        <v>0</v>
      </c>
      <c r="BW27" s="545" t="s">
        <v>2233</v>
      </c>
      <c r="BX27" s="141">
        <v>0</v>
      </c>
      <c r="BY27" s="545" t="s">
        <v>2233</v>
      </c>
      <c r="BZ27" s="141">
        <v>0</v>
      </c>
      <c r="CA27" s="545" t="s">
        <v>2233</v>
      </c>
      <c r="CB27" s="141">
        <v>0</v>
      </c>
      <c r="CC27" s="545" t="s">
        <v>2233</v>
      </c>
      <c r="CD27" s="144">
        <v>0</v>
      </c>
    </row>
    <row r="28" spans="1:82" s="98" customFormat="1" ht="15" customHeight="1">
      <c r="A28" s="99"/>
      <c r="B28" s="161"/>
      <c r="C28" s="162"/>
      <c r="D28" s="162" t="s">
        <v>2703</v>
      </c>
      <c r="E28" s="162"/>
      <c r="F28" s="162"/>
      <c r="G28" s="163"/>
      <c r="H28" s="163"/>
      <c r="I28" s="164" t="s">
        <v>498</v>
      </c>
      <c r="J28" s="143">
        <v>0</v>
      </c>
      <c r="K28" s="141">
        <v>0</v>
      </c>
      <c r="L28" s="141">
        <v>0</v>
      </c>
      <c r="M28" s="141">
        <v>0</v>
      </c>
      <c r="N28" s="141">
        <v>0</v>
      </c>
      <c r="O28" s="141">
        <v>0</v>
      </c>
      <c r="P28" s="141">
        <v>0</v>
      </c>
      <c r="Q28" s="144">
        <v>0</v>
      </c>
      <c r="R28" s="143">
        <v>0</v>
      </c>
      <c r="S28" s="141">
        <v>0</v>
      </c>
      <c r="T28" s="141">
        <v>0</v>
      </c>
      <c r="U28" s="141">
        <v>0</v>
      </c>
      <c r="V28" s="144">
        <v>0</v>
      </c>
      <c r="W28" s="185"/>
      <c r="X28" s="164" t="s">
        <v>498</v>
      </c>
      <c r="Y28" s="143">
        <v>0</v>
      </c>
      <c r="Z28" s="141">
        <v>0</v>
      </c>
      <c r="AA28" s="141">
        <v>0</v>
      </c>
      <c r="AB28" s="141">
        <v>0</v>
      </c>
      <c r="AC28" s="141">
        <v>0</v>
      </c>
      <c r="AD28" s="141">
        <v>0</v>
      </c>
      <c r="AE28" s="141">
        <v>0</v>
      </c>
      <c r="AF28" s="144">
        <v>0</v>
      </c>
      <c r="AG28" s="143">
        <v>0</v>
      </c>
      <c r="AH28" s="141">
        <v>0</v>
      </c>
      <c r="AI28" s="141">
        <v>0</v>
      </c>
      <c r="AJ28" s="141">
        <v>0</v>
      </c>
      <c r="AK28" s="144">
        <v>0</v>
      </c>
      <c r="AL28" s="185"/>
      <c r="AM28" s="164" t="s">
        <v>2233</v>
      </c>
      <c r="AN28" s="143">
        <v>0</v>
      </c>
      <c r="AO28" s="141">
        <v>0</v>
      </c>
      <c r="AP28" s="141">
        <v>0</v>
      </c>
      <c r="AQ28" s="141">
        <v>0</v>
      </c>
      <c r="AR28" s="141">
        <v>0</v>
      </c>
      <c r="AS28" s="141">
        <v>0</v>
      </c>
      <c r="AT28" s="141">
        <v>0</v>
      </c>
      <c r="AU28" s="144">
        <v>0</v>
      </c>
      <c r="AV28" s="143">
        <v>0</v>
      </c>
      <c r="AW28" s="141">
        <v>0</v>
      </c>
      <c r="AX28" s="141">
        <v>0</v>
      </c>
      <c r="AY28" s="141">
        <v>0</v>
      </c>
      <c r="AZ28" s="144">
        <v>0</v>
      </c>
      <c r="BA28" s="185"/>
      <c r="BB28" s="545" t="s">
        <v>627</v>
      </c>
      <c r="BC28" s="868">
        <v>0</v>
      </c>
      <c r="BD28" s="545" t="s">
        <v>627</v>
      </c>
      <c r="BE28" s="868">
        <v>0</v>
      </c>
      <c r="BF28" s="545" t="s">
        <v>2233</v>
      </c>
      <c r="BG28" s="141">
        <v>0</v>
      </c>
      <c r="BH28" s="545" t="s">
        <v>2233</v>
      </c>
      <c r="BI28" s="141">
        <v>0</v>
      </c>
      <c r="BJ28" s="545" t="s">
        <v>2233</v>
      </c>
      <c r="BK28" s="141">
        <v>0</v>
      </c>
      <c r="BL28" s="545" t="s">
        <v>2233</v>
      </c>
      <c r="BM28" s="141">
        <v>0</v>
      </c>
      <c r="BN28" s="545" t="s">
        <v>2233</v>
      </c>
      <c r="BO28" s="141">
        <v>0</v>
      </c>
      <c r="BP28" s="185"/>
      <c r="BQ28" s="545" t="s">
        <v>627</v>
      </c>
      <c r="BR28" s="868">
        <v>0</v>
      </c>
      <c r="BS28" s="545" t="s">
        <v>627</v>
      </c>
      <c r="BT28" s="868">
        <v>0</v>
      </c>
      <c r="BU28" s="545" t="s">
        <v>2233</v>
      </c>
      <c r="BV28" s="141">
        <v>0</v>
      </c>
      <c r="BW28" s="545" t="s">
        <v>2233</v>
      </c>
      <c r="BX28" s="141">
        <v>0</v>
      </c>
      <c r="BY28" s="545" t="s">
        <v>2233</v>
      </c>
      <c r="BZ28" s="141">
        <v>0</v>
      </c>
      <c r="CA28" s="545" t="s">
        <v>2233</v>
      </c>
      <c r="CB28" s="141">
        <v>0</v>
      </c>
      <c r="CC28" s="545" t="s">
        <v>2233</v>
      </c>
      <c r="CD28" s="144">
        <v>0</v>
      </c>
    </row>
    <row r="29" spans="1:82" s="98" customFormat="1" ht="15" customHeight="1">
      <c r="A29" s="99"/>
      <c r="B29" s="161"/>
      <c r="C29" s="162"/>
      <c r="D29" s="162" t="s">
        <v>2704</v>
      </c>
      <c r="E29" s="162"/>
      <c r="F29" s="162"/>
      <c r="G29" s="163"/>
      <c r="H29" s="163"/>
      <c r="I29" s="164" t="s">
        <v>498</v>
      </c>
      <c r="J29" s="143">
        <v>0</v>
      </c>
      <c r="K29" s="141">
        <v>0</v>
      </c>
      <c r="L29" s="141">
        <v>0</v>
      </c>
      <c r="M29" s="141">
        <v>0</v>
      </c>
      <c r="N29" s="141">
        <v>0</v>
      </c>
      <c r="O29" s="141">
        <v>0</v>
      </c>
      <c r="P29" s="141">
        <v>0</v>
      </c>
      <c r="Q29" s="144">
        <v>0</v>
      </c>
      <c r="R29" s="143">
        <v>0</v>
      </c>
      <c r="S29" s="141">
        <v>0</v>
      </c>
      <c r="T29" s="141">
        <v>0</v>
      </c>
      <c r="U29" s="141">
        <v>0</v>
      </c>
      <c r="V29" s="144">
        <v>0</v>
      </c>
      <c r="W29" s="185"/>
      <c r="X29" s="164" t="s">
        <v>498</v>
      </c>
      <c r="Y29" s="143">
        <v>0</v>
      </c>
      <c r="Z29" s="141">
        <v>0</v>
      </c>
      <c r="AA29" s="141">
        <v>0</v>
      </c>
      <c r="AB29" s="141">
        <v>0</v>
      </c>
      <c r="AC29" s="141">
        <v>0</v>
      </c>
      <c r="AD29" s="141">
        <v>0</v>
      </c>
      <c r="AE29" s="141">
        <v>0</v>
      </c>
      <c r="AF29" s="144">
        <v>0</v>
      </c>
      <c r="AG29" s="143">
        <v>0</v>
      </c>
      <c r="AH29" s="141">
        <v>0</v>
      </c>
      <c r="AI29" s="141">
        <v>0</v>
      </c>
      <c r="AJ29" s="141">
        <v>0</v>
      </c>
      <c r="AK29" s="144">
        <v>0</v>
      </c>
      <c r="AL29" s="185"/>
      <c r="AM29" s="164" t="s">
        <v>2233</v>
      </c>
      <c r="AN29" s="143">
        <v>0</v>
      </c>
      <c r="AO29" s="141">
        <v>0</v>
      </c>
      <c r="AP29" s="141">
        <v>0</v>
      </c>
      <c r="AQ29" s="141">
        <v>0</v>
      </c>
      <c r="AR29" s="141">
        <v>0</v>
      </c>
      <c r="AS29" s="141">
        <v>0</v>
      </c>
      <c r="AT29" s="141">
        <v>0</v>
      </c>
      <c r="AU29" s="144">
        <v>0</v>
      </c>
      <c r="AV29" s="143">
        <v>0</v>
      </c>
      <c r="AW29" s="141">
        <v>0</v>
      </c>
      <c r="AX29" s="141">
        <v>0</v>
      </c>
      <c r="AY29" s="141">
        <v>0</v>
      </c>
      <c r="AZ29" s="144">
        <v>0</v>
      </c>
      <c r="BA29" s="185"/>
      <c r="BB29" s="545" t="s">
        <v>627</v>
      </c>
      <c r="BC29" s="868">
        <v>0</v>
      </c>
      <c r="BD29" s="545" t="s">
        <v>627</v>
      </c>
      <c r="BE29" s="868">
        <v>0</v>
      </c>
      <c r="BF29" s="545" t="s">
        <v>2233</v>
      </c>
      <c r="BG29" s="141">
        <v>0</v>
      </c>
      <c r="BH29" s="545" t="s">
        <v>2233</v>
      </c>
      <c r="BI29" s="141">
        <v>0</v>
      </c>
      <c r="BJ29" s="545" t="s">
        <v>2233</v>
      </c>
      <c r="BK29" s="141">
        <v>0</v>
      </c>
      <c r="BL29" s="545" t="s">
        <v>2233</v>
      </c>
      <c r="BM29" s="141">
        <v>0</v>
      </c>
      <c r="BN29" s="545" t="s">
        <v>2233</v>
      </c>
      <c r="BO29" s="141">
        <v>0</v>
      </c>
      <c r="BP29" s="185"/>
      <c r="BQ29" s="545" t="s">
        <v>627</v>
      </c>
      <c r="BR29" s="868">
        <v>0</v>
      </c>
      <c r="BS29" s="545" t="s">
        <v>627</v>
      </c>
      <c r="BT29" s="868">
        <v>0</v>
      </c>
      <c r="BU29" s="545" t="s">
        <v>2233</v>
      </c>
      <c r="BV29" s="141">
        <v>0</v>
      </c>
      <c r="BW29" s="545" t="s">
        <v>2233</v>
      </c>
      <c r="BX29" s="141">
        <v>0</v>
      </c>
      <c r="BY29" s="545" t="s">
        <v>2233</v>
      </c>
      <c r="BZ29" s="141">
        <v>0</v>
      </c>
      <c r="CA29" s="545" t="s">
        <v>2233</v>
      </c>
      <c r="CB29" s="141">
        <v>0</v>
      </c>
      <c r="CC29" s="545" t="s">
        <v>2233</v>
      </c>
      <c r="CD29" s="144">
        <v>0</v>
      </c>
    </row>
    <row r="30" spans="1:82" s="98" customFormat="1" ht="15" customHeight="1">
      <c r="A30" s="99"/>
      <c r="B30" s="161"/>
      <c r="C30" s="162"/>
      <c r="D30" s="162" t="s">
        <v>2705</v>
      </c>
      <c r="E30" s="162"/>
      <c r="F30" s="162"/>
      <c r="G30" s="163"/>
      <c r="H30" s="163"/>
      <c r="I30" s="164" t="s">
        <v>498</v>
      </c>
      <c r="J30" s="143">
        <v>0</v>
      </c>
      <c r="K30" s="141">
        <v>0</v>
      </c>
      <c r="L30" s="141">
        <v>0</v>
      </c>
      <c r="M30" s="141">
        <v>0</v>
      </c>
      <c r="N30" s="141">
        <v>0</v>
      </c>
      <c r="O30" s="141">
        <v>0</v>
      </c>
      <c r="P30" s="141">
        <v>0</v>
      </c>
      <c r="Q30" s="144">
        <v>0</v>
      </c>
      <c r="R30" s="143">
        <v>0</v>
      </c>
      <c r="S30" s="141">
        <v>0</v>
      </c>
      <c r="T30" s="141">
        <v>0</v>
      </c>
      <c r="U30" s="141">
        <v>0</v>
      </c>
      <c r="V30" s="144">
        <v>0</v>
      </c>
      <c r="W30" s="185"/>
      <c r="X30" s="164" t="s">
        <v>498</v>
      </c>
      <c r="Y30" s="143">
        <v>0</v>
      </c>
      <c r="Z30" s="141">
        <v>0</v>
      </c>
      <c r="AA30" s="141">
        <v>0</v>
      </c>
      <c r="AB30" s="141">
        <v>0</v>
      </c>
      <c r="AC30" s="141">
        <v>0</v>
      </c>
      <c r="AD30" s="141">
        <v>0</v>
      </c>
      <c r="AE30" s="141">
        <v>0</v>
      </c>
      <c r="AF30" s="144">
        <v>0</v>
      </c>
      <c r="AG30" s="143">
        <v>0</v>
      </c>
      <c r="AH30" s="141">
        <v>0</v>
      </c>
      <c r="AI30" s="141">
        <v>0</v>
      </c>
      <c r="AJ30" s="141">
        <v>0</v>
      </c>
      <c r="AK30" s="144">
        <v>0</v>
      </c>
      <c r="AL30" s="185"/>
      <c r="AM30" s="164" t="s">
        <v>2233</v>
      </c>
      <c r="AN30" s="143">
        <v>0</v>
      </c>
      <c r="AO30" s="141">
        <v>0</v>
      </c>
      <c r="AP30" s="141">
        <v>0</v>
      </c>
      <c r="AQ30" s="141">
        <v>0</v>
      </c>
      <c r="AR30" s="141">
        <v>0</v>
      </c>
      <c r="AS30" s="141">
        <v>0</v>
      </c>
      <c r="AT30" s="141">
        <v>0</v>
      </c>
      <c r="AU30" s="144">
        <v>0</v>
      </c>
      <c r="AV30" s="143">
        <v>0</v>
      </c>
      <c r="AW30" s="141">
        <v>0</v>
      </c>
      <c r="AX30" s="141">
        <v>0</v>
      </c>
      <c r="AY30" s="141">
        <v>0</v>
      </c>
      <c r="AZ30" s="144">
        <v>0</v>
      </c>
      <c r="BA30" s="185"/>
      <c r="BB30" s="545" t="s">
        <v>627</v>
      </c>
      <c r="BC30" s="868">
        <v>0</v>
      </c>
      <c r="BD30" s="545" t="s">
        <v>627</v>
      </c>
      <c r="BE30" s="868">
        <v>0</v>
      </c>
      <c r="BF30" s="545" t="s">
        <v>2233</v>
      </c>
      <c r="BG30" s="141">
        <v>0</v>
      </c>
      <c r="BH30" s="545" t="s">
        <v>2233</v>
      </c>
      <c r="BI30" s="141">
        <v>0</v>
      </c>
      <c r="BJ30" s="545" t="s">
        <v>2233</v>
      </c>
      <c r="BK30" s="141">
        <v>0</v>
      </c>
      <c r="BL30" s="545" t="s">
        <v>2233</v>
      </c>
      <c r="BM30" s="141">
        <v>0</v>
      </c>
      <c r="BN30" s="545" t="s">
        <v>2233</v>
      </c>
      <c r="BO30" s="141">
        <v>0</v>
      </c>
      <c r="BP30" s="185"/>
      <c r="BQ30" s="545" t="s">
        <v>627</v>
      </c>
      <c r="BR30" s="868">
        <v>0</v>
      </c>
      <c r="BS30" s="545" t="s">
        <v>627</v>
      </c>
      <c r="BT30" s="868">
        <v>0</v>
      </c>
      <c r="BU30" s="545" t="s">
        <v>2233</v>
      </c>
      <c r="BV30" s="141">
        <v>0</v>
      </c>
      <c r="BW30" s="545" t="s">
        <v>2233</v>
      </c>
      <c r="BX30" s="141">
        <v>0</v>
      </c>
      <c r="BY30" s="545" t="s">
        <v>2233</v>
      </c>
      <c r="BZ30" s="141">
        <v>0</v>
      </c>
      <c r="CA30" s="545" t="s">
        <v>2233</v>
      </c>
      <c r="CB30" s="141">
        <v>0</v>
      </c>
      <c r="CC30" s="545" t="s">
        <v>2233</v>
      </c>
      <c r="CD30" s="144">
        <v>0</v>
      </c>
    </row>
    <row r="31" spans="1:82" s="98" customFormat="1" ht="15" customHeight="1">
      <c r="A31" s="99"/>
      <c r="B31" s="161"/>
      <c r="C31" s="162"/>
      <c r="D31" s="162" t="s">
        <v>2706</v>
      </c>
      <c r="E31" s="162"/>
      <c r="F31" s="162"/>
      <c r="G31" s="163"/>
      <c r="H31" s="163"/>
      <c r="I31" s="164" t="s">
        <v>498</v>
      </c>
      <c r="J31" s="143">
        <v>0</v>
      </c>
      <c r="K31" s="141">
        <v>0</v>
      </c>
      <c r="L31" s="141">
        <v>0</v>
      </c>
      <c r="M31" s="141">
        <v>0</v>
      </c>
      <c r="N31" s="141">
        <v>0</v>
      </c>
      <c r="O31" s="141">
        <v>0</v>
      </c>
      <c r="P31" s="141">
        <v>0</v>
      </c>
      <c r="Q31" s="144">
        <v>0</v>
      </c>
      <c r="R31" s="143">
        <v>0</v>
      </c>
      <c r="S31" s="141">
        <v>0</v>
      </c>
      <c r="T31" s="141">
        <v>0</v>
      </c>
      <c r="U31" s="141">
        <v>0</v>
      </c>
      <c r="V31" s="144">
        <v>0</v>
      </c>
      <c r="W31" s="185"/>
      <c r="X31" s="164" t="s">
        <v>498</v>
      </c>
      <c r="Y31" s="143">
        <v>0</v>
      </c>
      <c r="Z31" s="141">
        <v>0</v>
      </c>
      <c r="AA31" s="141">
        <v>0</v>
      </c>
      <c r="AB31" s="141">
        <v>0</v>
      </c>
      <c r="AC31" s="141">
        <v>0</v>
      </c>
      <c r="AD31" s="141">
        <v>0</v>
      </c>
      <c r="AE31" s="141">
        <v>0</v>
      </c>
      <c r="AF31" s="144">
        <v>0</v>
      </c>
      <c r="AG31" s="143">
        <v>0</v>
      </c>
      <c r="AH31" s="141">
        <v>0</v>
      </c>
      <c r="AI31" s="141">
        <v>0</v>
      </c>
      <c r="AJ31" s="141">
        <v>0</v>
      </c>
      <c r="AK31" s="144">
        <v>0</v>
      </c>
      <c r="AL31" s="185"/>
      <c r="AM31" s="164" t="s">
        <v>2233</v>
      </c>
      <c r="AN31" s="143">
        <v>0</v>
      </c>
      <c r="AO31" s="141">
        <v>0</v>
      </c>
      <c r="AP31" s="141">
        <v>0</v>
      </c>
      <c r="AQ31" s="141">
        <v>0</v>
      </c>
      <c r="AR31" s="141">
        <v>0</v>
      </c>
      <c r="AS31" s="141">
        <v>0</v>
      </c>
      <c r="AT31" s="141">
        <v>0</v>
      </c>
      <c r="AU31" s="144">
        <v>0</v>
      </c>
      <c r="AV31" s="143">
        <v>0</v>
      </c>
      <c r="AW31" s="141">
        <v>0</v>
      </c>
      <c r="AX31" s="141">
        <v>0</v>
      </c>
      <c r="AY31" s="141">
        <v>0</v>
      </c>
      <c r="AZ31" s="144">
        <v>0</v>
      </c>
      <c r="BA31" s="185"/>
      <c r="BB31" s="545" t="s">
        <v>627</v>
      </c>
      <c r="BC31" s="868">
        <v>0</v>
      </c>
      <c r="BD31" s="545" t="s">
        <v>627</v>
      </c>
      <c r="BE31" s="868">
        <v>0</v>
      </c>
      <c r="BF31" s="545" t="s">
        <v>2233</v>
      </c>
      <c r="BG31" s="141">
        <v>0</v>
      </c>
      <c r="BH31" s="545" t="s">
        <v>2233</v>
      </c>
      <c r="BI31" s="141">
        <v>0</v>
      </c>
      <c r="BJ31" s="545" t="s">
        <v>2233</v>
      </c>
      <c r="BK31" s="141">
        <v>0</v>
      </c>
      <c r="BL31" s="545" t="s">
        <v>2233</v>
      </c>
      <c r="BM31" s="141">
        <v>0</v>
      </c>
      <c r="BN31" s="545" t="s">
        <v>2233</v>
      </c>
      <c r="BO31" s="141">
        <v>0</v>
      </c>
      <c r="BP31" s="185"/>
      <c r="BQ31" s="545" t="s">
        <v>627</v>
      </c>
      <c r="BR31" s="868">
        <v>0</v>
      </c>
      <c r="BS31" s="545" t="s">
        <v>627</v>
      </c>
      <c r="BT31" s="868">
        <v>0</v>
      </c>
      <c r="BU31" s="545" t="s">
        <v>2233</v>
      </c>
      <c r="BV31" s="141">
        <v>0</v>
      </c>
      <c r="BW31" s="545" t="s">
        <v>2233</v>
      </c>
      <c r="BX31" s="141">
        <v>0</v>
      </c>
      <c r="BY31" s="545" t="s">
        <v>2233</v>
      </c>
      <c r="BZ31" s="141">
        <v>0</v>
      </c>
      <c r="CA31" s="545" t="s">
        <v>2233</v>
      </c>
      <c r="CB31" s="141">
        <v>0</v>
      </c>
      <c r="CC31" s="545" t="s">
        <v>2233</v>
      </c>
      <c r="CD31" s="144">
        <v>0</v>
      </c>
    </row>
    <row r="32" spans="1:82" s="98" customFormat="1" ht="15" customHeight="1">
      <c r="A32" s="99"/>
      <c r="B32" s="161"/>
      <c r="C32" s="162"/>
      <c r="D32" s="162" t="s">
        <v>2707</v>
      </c>
      <c r="E32" s="162"/>
      <c r="F32" s="162"/>
      <c r="G32" s="163"/>
      <c r="H32" s="163"/>
      <c r="I32" s="164" t="s">
        <v>498</v>
      </c>
      <c r="J32" s="143">
        <v>0</v>
      </c>
      <c r="K32" s="141">
        <v>0</v>
      </c>
      <c r="L32" s="141">
        <v>0</v>
      </c>
      <c r="M32" s="141">
        <v>0</v>
      </c>
      <c r="N32" s="141">
        <v>0</v>
      </c>
      <c r="O32" s="141">
        <v>0</v>
      </c>
      <c r="P32" s="141">
        <v>0</v>
      </c>
      <c r="Q32" s="144">
        <v>0</v>
      </c>
      <c r="R32" s="143">
        <v>0</v>
      </c>
      <c r="S32" s="141">
        <v>0</v>
      </c>
      <c r="T32" s="141">
        <v>0</v>
      </c>
      <c r="U32" s="141">
        <v>0</v>
      </c>
      <c r="V32" s="144">
        <v>0</v>
      </c>
      <c r="W32" s="185"/>
      <c r="X32" s="164" t="s">
        <v>498</v>
      </c>
      <c r="Y32" s="143">
        <v>0</v>
      </c>
      <c r="Z32" s="141">
        <v>0</v>
      </c>
      <c r="AA32" s="141">
        <v>0</v>
      </c>
      <c r="AB32" s="141">
        <v>0</v>
      </c>
      <c r="AC32" s="141">
        <v>0</v>
      </c>
      <c r="AD32" s="141">
        <v>0</v>
      </c>
      <c r="AE32" s="141">
        <v>0</v>
      </c>
      <c r="AF32" s="144">
        <v>0</v>
      </c>
      <c r="AG32" s="143">
        <v>0</v>
      </c>
      <c r="AH32" s="141">
        <v>0</v>
      </c>
      <c r="AI32" s="141">
        <v>0</v>
      </c>
      <c r="AJ32" s="141">
        <v>0</v>
      </c>
      <c r="AK32" s="144">
        <v>0</v>
      </c>
      <c r="AL32" s="185"/>
      <c r="AM32" s="164" t="s">
        <v>2233</v>
      </c>
      <c r="AN32" s="143">
        <v>0</v>
      </c>
      <c r="AO32" s="141">
        <v>0</v>
      </c>
      <c r="AP32" s="141">
        <v>0</v>
      </c>
      <c r="AQ32" s="141">
        <v>0</v>
      </c>
      <c r="AR32" s="141">
        <v>0</v>
      </c>
      <c r="AS32" s="141">
        <v>0</v>
      </c>
      <c r="AT32" s="141">
        <v>0</v>
      </c>
      <c r="AU32" s="144">
        <v>0</v>
      </c>
      <c r="AV32" s="143">
        <v>0</v>
      </c>
      <c r="AW32" s="141">
        <v>0</v>
      </c>
      <c r="AX32" s="141">
        <v>0</v>
      </c>
      <c r="AY32" s="141">
        <v>0</v>
      </c>
      <c r="AZ32" s="144">
        <v>0</v>
      </c>
      <c r="BA32" s="185"/>
      <c r="BB32" s="545" t="s">
        <v>627</v>
      </c>
      <c r="BC32" s="868">
        <v>0</v>
      </c>
      <c r="BD32" s="545" t="s">
        <v>627</v>
      </c>
      <c r="BE32" s="868">
        <v>0</v>
      </c>
      <c r="BF32" s="545" t="s">
        <v>2233</v>
      </c>
      <c r="BG32" s="141">
        <v>0</v>
      </c>
      <c r="BH32" s="545" t="s">
        <v>2233</v>
      </c>
      <c r="BI32" s="141">
        <v>0</v>
      </c>
      <c r="BJ32" s="545" t="s">
        <v>2233</v>
      </c>
      <c r="BK32" s="141">
        <v>0</v>
      </c>
      <c r="BL32" s="545" t="s">
        <v>2233</v>
      </c>
      <c r="BM32" s="141">
        <v>0</v>
      </c>
      <c r="BN32" s="545" t="s">
        <v>2233</v>
      </c>
      <c r="BO32" s="141">
        <v>0</v>
      </c>
      <c r="BP32" s="185"/>
      <c r="BQ32" s="545" t="s">
        <v>627</v>
      </c>
      <c r="BR32" s="868">
        <v>0</v>
      </c>
      <c r="BS32" s="545" t="s">
        <v>627</v>
      </c>
      <c r="BT32" s="868">
        <v>0</v>
      </c>
      <c r="BU32" s="545" t="s">
        <v>2233</v>
      </c>
      <c r="BV32" s="141">
        <v>0</v>
      </c>
      <c r="BW32" s="545" t="s">
        <v>2233</v>
      </c>
      <c r="BX32" s="141">
        <v>0</v>
      </c>
      <c r="BY32" s="545" t="s">
        <v>2233</v>
      </c>
      <c r="BZ32" s="141">
        <v>0</v>
      </c>
      <c r="CA32" s="545" t="s">
        <v>2233</v>
      </c>
      <c r="CB32" s="141">
        <v>0</v>
      </c>
      <c r="CC32" s="545" t="s">
        <v>2233</v>
      </c>
      <c r="CD32" s="144">
        <v>0</v>
      </c>
    </row>
    <row r="33" spans="1:82" s="98" customFormat="1" ht="15" customHeight="1">
      <c r="A33" s="99"/>
      <c r="B33" s="161"/>
      <c r="C33" s="162"/>
      <c r="D33" s="162" t="s">
        <v>2708</v>
      </c>
      <c r="E33" s="162"/>
      <c r="F33" s="162"/>
      <c r="G33" s="163"/>
      <c r="H33" s="163"/>
      <c r="I33" s="164" t="s">
        <v>498</v>
      </c>
      <c r="J33" s="143">
        <v>0</v>
      </c>
      <c r="K33" s="141">
        <v>0</v>
      </c>
      <c r="L33" s="141">
        <v>0</v>
      </c>
      <c r="M33" s="141">
        <v>0</v>
      </c>
      <c r="N33" s="141">
        <v>0</v>
      </c>
      <c r="O33" s="141">
        <v>0</v>
      </c>
      <c r="P33" s="141">
        <v>0</v>
      </c>
      <c r="Q33" s="144">
        <v>0</v>
      </c>
      <c r="R33" s="143">
        <v>0</v>
      </c>
      <c r="S33" s="141">
        <v>0</v>
      </c>
      <c r="T33" s="141">
        <v>0</v>
      </c>
      <c r="U33" s="141">
        <v>0</v>
      </c>
      <c r="V33" s="144">
        <v>0</v>
      </c>
      <c r="W33" s="185"/>
      <c r="X33" s="164" t="s">
        <v>498</v>
      </c>
      <c r="Y33" s="143">
        <v>0</v>
      </c>
      <c r="Z33" s="141">
        <v>0</v>
      </c>
      <c r="AA33" s="141">
        <v>0</v>
      </c>
      <c r="AB33" s="141">
        <v>0</v>
      </c>
      <c r="AC33" s="141">
        <v>0</v>
      </c>
      <c r="AD33" s="141">
        <v>0</v>
      </c>
      <c r="AE33" s="141">
        <v>0</v>
      </c>
      <c r="AF33" s="144">
        <v>0</v>
      </c>
      <c r="AG33" s="143">
        <v>0</v>
      </c>
      <c r="AH33" s="141">
        <v>0</v>
      </c>
      <c r="AI33" s="141">
        <v>0</v>
      </c>
      <c r="AJ33" s="141">
        <v>0</v>
      </c>
      <c r="AK33" s="144">
        <v>0</v>
      </c>
      <c r="AL33" s="185"/>
      <c r="AM33" s="164" t="s">
        <v>2233</v>
      </c>
      <c r="AN33" s="143">
        <v>0</v>
      </c>
      <c r="AO33" s="141">
        <v>0</v>
      </c>
      <c r="AP33" s="141">
        <v>0</v>
      </c>
      <c r="AQ33" s="141">
        <v>0</v>
      </c>
      <c r="AR33" s="141">
        <v>0</v>
      </c>
      <c r="AS33" s="141">
        <v>0</v>
      </c>
      <c r="AT33" s="141">
        <v>0</v>
      </c>
      <c r="AU33" s="144">
        <v>0</v>
      </c>
      <c r="AV33" s="143">
        <v>0</v>
      </c>
      <c r="AW33" s="141">
        <v>0</v>
      </c>
      <c r="AX33" s="141">
        <v>0</v>
      </c>
      <c r="AY33" s="141">
        <v>0</v>
      </c>
      <c r="AZ33" s="144">
        <v>0</v>
      </c>
      <c r="BA33" s="185"/>
      <c r="BB33" s="545" t="s">
        <v>627</v>
      </c>
      <c r="BC33" s="868">
        <v>0</v>
      </c>
      <c r="BD33" s="545" t="s">
        <v>627</v>
      </c>
      <c r="BE33" s="868">
        <v>0</v>
      </c>
      <c r="BF33" s="545" t="s">
        <v>2233</v>
      </c>
      <c r="BG33" s="141">
        <v>0</v>
      </c>
      <c r="BH33" s="545" t="s">
        <v>2233</v>
      </c>
      <c r="BI33" s="141">
        <v>0</v>
      </c>
      <c r="BJ33" s="545" t="s">
        <v>2233</v>
      </c>
      <c r="BK33" s="141">
        <v>0</v>
      </c>
      <c r="BL33" s="545" t="s">
        <v>2233</v>
      </c>
      <c r="BM33" s="141">
        <v>0</v>
      </c>
      <c r="BN33" s="545" t="s">
        <v>2233</v>
      </c>
      <c r="BO33" s="141">
        <v>0</v>
      </c>
      <c r="BP33" s="185"/>
      <c r="BQ33" s="545" t="s">
        <v>627</v>
      </c>
      <c r="BR33" s="868">
        <v>0</v>
      </c>
      <c r="BS33" s="545" t="s">
        <v>627</v>
      </c>
      <c r="BT33" s="868">
        <v>0</v>
      </c>
      <c r="BU33" s="545" t="s">
        <v>2233</v>
      </c>
      <c r="BV33" s="141">
        <v>0</v>
      </c>
      <c r="BW33" s="545" t="s">
        <v>2233</v>
      </c>
      <c r="BX33" s="141">
        <v>0</v>
      </c>
      <c r="BY33" s="545" t="s">
        <v>2233</v>
      </c>
      <c r="BZ33" s="141">
        <v>0</v>
      </c>
      <c r="CA33" s="545" t="s">
        <v>2233</v>
      </c>
      <c r="CB33" s="141">
        <v>0</v>
      </c>
      <c r="CC33" s="545" t="s">
        <v>2233</v>
      </c>
      <c r="CD33" s="144">
        <v>0</v>
      </c>
    </row>
    <row r="34" spans="1:82" s="98" customFormat="1" ht="15" customHeight="1">
      <c r="A34" s="99"/>
      <c r="B34" s="161"/>
      <c r="C34" s="162" t="s">
        <v>1710</v>
      </c>
      <c r="D34" s="162"/>
      <c r="E34" s="162"/>
      <c r="F34" s="162"/>
      <c r="G34" s="163"/>
      <c r="H34" s="163"/>
      <c r="I34" s="164" t="s">
        <v>498</v>
      </c>
      <c r="J34" s="641">
        <f>SUM(J26:J33)</f>
        <v>0</v>
      </c>
      <c r="K34" s="642">
        <f t="shared" ref="K34:V34" si="9">SUM(K26:K33)</f>
        <v>0</v>
      </c>
      <c r="L34" s="642">
        <f t="shared" si="9"/>
        <v>0</v>
      </c>
      <c r="M34" s="642">
        <f t="shared" si="9"/>
        <v>0</v>
      </c>
      <c r="N34" s="642">
        <f t="shared" si="9"/>
        <v>0</v>
      </c>
      <c r="O34" s="642">
        <f t="shared" si="9"/>
        <v>0</v>
      </c>
      <c r="P34" s="642">
        <f t="shared" si="9"/>
        <v>0</v>
      </c>
      <c r="Q34" s="643">
        <f t="shared" si="9"/>
        <v>0</v>
      </c>
      <c r="R34" s="641">
        <f t="shared" si="9"/>
        <v>0</v>
      </c>
      <c r="S34" s="642">
        <f t="shared" si="9"/>
        <v>0</v>
      </c>
      <c r="T34" s="642">
        <f t="shared" si="9"/>
        <v>0</v>
      </c>
      <c r="U34" s="642">
        <f t="shared" si="9"/>
        <v>0</v>
      </c>
      <c r="V34" s="643">
        <f t="shared" si="9"/>
        <v>0</v>
      </c>
      <c r="W34" s="185"/>
      <c r="X34" s="164" t="s">
        <v>498</v>
      </c>
      <c r="Y34" s="641">
        <f>SUM(Y26:Y33)</f>
        <v>0</v>
      </c>
      <c r="Z34" s="642">
        <f t="shared" ref="Z34" si="10">SUM(Z26:Z33)</f>
        <v>0</v>
      </c>
      <c r="AA34" s="642">
        <f t="shared" ref="AA34" si="11">SUM(AA26:AA33)</f>
        <v>0</v>
      </c>
      <c r="AB34" s="642">
        <f t="shared" ref="AB34" si="12">SUM(AB26:AB33)</f>
        <v>0</v>
      </c>
      <c r="AC34" s="642">
        <f t="shared" ref="AC34" si="13">SUM(AC26:AC33)</f>
        <v>0</v>
      </c>
      <c r="AD34" s="642">
        <f t="shared" ref="AD34" si="14">SUM(AD26:AD33)</f>
        <v>0</v>
      </c>
      <c r="AE34" s="642">
        <f t="shared" ref="AE34" si="15">SUM(AE26:AE33)</f>
        <v>0</v>
      </c>
      <c r="AF34" s="643">
        <f t="shared" ref="AF34" si="16">SUM(AF26:AF33)</f>
        <v>0</v>
      </c>
      <c r="AG34" s="641">
        <f t="shared" ref="AG34" si="17">SUM(AG26:AG33)</f>
        <v>0</v>
      </c>
      <c r="AH34" s="642">
        <f t="shared" ref="AH34" si="18">SUM(AH26:AH33)</f>
        <v>0</v>
      </c>
      <c r="AI34" s="642">
        <f t="shared" ref="AI34" si="19">SUM(AI26:AI33)</f>
        <v>0</v>
      </c>
      <c r="AJ34" s="642">
        <f t="shared" ref="AJ34" si="20">SUM(AJ26:AJ33)</f>
        <v>0</v>
      </c>
      <c r="AK34" s="643">
        <f t="shared" ref="AK34" si="21">SUM(AK26:AK33)</f>
        <v>0</v>
      </c>
      <c r="AL34" s="185"/>
      <c r="AM34" s="164" t="s">
        <v>2233</v>
      </c>
      <c r="AN34" s="641">
        <f>SUM(AN26:AN33)</f>
        <v>0</v>
      </c>
      <c r="AO34" s="642">
        <f t="shared" ref="AO34" si="22">SUM(AO26:AO33)</f>
        <v>0</v>
      </c>
      <c r="AP34" s="642">
        <f t="shared" ref="AP34" si="23">SUM(AP26:AP33)</f>
        <v>0</v>
      </c>
      <c r="AQ34" s="642">
        <f t="shared" ref="AQ34" si="24">SUM(AQ26:AQ33)</f>
        <v>0</v>
      </c>
      <c r="AR34" s="642">
        <f t="shared" ref="AR34" si="25">SUM(AR26:AR33)</f>
        <v>0</v>
      </c>
      <c r="AS34" s="642">
        <f t="shared" ref="AS34" si="26">SUM(AS26:AS33)</f>
        <v>0</v>
      </c>
      <c r="AT34" s="642">
        <f t="shared" ref="AT34" si="27">SUM(AT26:AT33)</f>
        <v>0</v>
      </c>
      <c r="AU34" s="643">
        <f t="shared" ref="AU34" si="28">SUM(AU26:AU33)</f>
        <v>0</v>
      </c>
      <c r="AV34" s="641">
        <f t="shared" ref="AV34" si="29">SUM(AV26:AV33)</f>
        <v>0</v>
      </c>
      <c r="AW34" s="642">
        <f t="shared" ref="AW34" si="30">SUM(AW26:AW33)</f>
        <v>0</v>
      </c>
      <c r="AX34" s="642">
        <f t="shared" ref="AX34" si="31">SUM(AX26:AX33)</f>
        <v>0</v>
      </c>
      <c r="AY34" s="642">
        <f t="shared" ref="AY34" si="32">SUM(AY26:AY33)</f>
        <v>0</v>
      </c>
      <c r="AZ34" s="643">
        <f t="shared" ref="AZ34" si="33">SUM(AZ26:AZ33)</f>
        <v>0</v>
      </c>
      <c r="BA34" s="185"/>
      <c r="BB34" s="530"/>
      <c r="BC34" s="530"/>
      <c r="BD34" s="530"/>
      <c r="BE34" s="530"/>
      <c r="BF34" s="545" t="s">
        <v>2233</v>
      </c>
      <c r="BG34" s="642">
        <f>SUM(BG26:BG33)</f>
        <v>0</v>
      </c>
      <c r="BH34" s="865" t="s">
        <v>2233</v>
      </c>
      <c r="BI34" s="642">
        <f>SUM(BI26:BI33)</f>
        <v>0</v>
      </c>
      <c r="BJ34" s="865" t="s">
        <v>2233</v>
      </c>
      <c r="BK34" s="642">
        <f>SUM(BK26:BK33)</f>
        <v>0</v>
      </c>
      <c r="BL34" s="865" t="s">
        <v>2233</v>
      </c>
      <c r="BM34" s="642">
        <f>SUM(BM26:BM33)</f>
        <v>0</v>
      </c>
      <c r="BN34" s="865" t="s">
        <v>2233</v>
      </c>
      <c r="BO34" s="642">
        <f>SUM(BO26:BO33)</f>
        <v>0</v>
      </c>
      <c r="BP34" s="185"/>
      <c r="BQ34" s="530"/>
      <c r="BR34" s="530"/>
      <c r="BS34" s="530"/>
      <c r="BT34" s="530"/>
      <c r="BU34" s="545" t="s">
        <v>2233</v>
      </c>
      <c r="BV34" s="642">
        <f>SUM(BV26:BV33)</f>
        <v>0</v>
      </c>
      <c r="BW34" s="865" t="s">
        <v>2233</v>
      </c>
      <c r="BX34" s="642">
        <f>SUM(BX26:BX33)</f>
        <v>0</v>
      </c>
      <c r="BY34" s="865" t="s">
        <v>2233</v>
      </c>
      <c r="BZ34" s="642">
        <f>SUM(BZ26:BZ33)</f>
        <v>0</v>
      </c>
      <c r="CA34" s="865" t="s">
        <v>2233</v>
      </c>
      <c r="CB34" s="642">
        <f>SUM(CB26:CB33)</f>
        <v>0</v>
      </c>
      <c r="CC34" s="865" t="s">
        <v>2233</v>
      </c>
      <c r="CD34" s="643">
        <f>SUM(CD26:CD33)</f>
        <v>0</v>
      </c>
    </row>
    <row r="35" spans="1:82" s="98" customFormat="1" ht="15" customHeight="1">
      <c r="A35" s="99"/>
      <c r="B35" s="123"/>
      <c r="C35" s="127"/>
      <c r="D35" s="127"/>
      <c r="E35" s="127"/>
      <c r="F35" s="127"/>
      <c r="G35" s="117"/>
      <c r="H35" s="117"/>
      <c r="I35" s="117"/>
      <c r="J35" s="713"/>
      <c r="K35" s="721"/>
      <c r="L35" s="721"/>
      <c r="M35" s="721"/>
      <c r="N35" s="721"/>
      <c r="O35" s="721"/>
      <c r="P35" s="721"/>
      <c r="Q35" s="715"/>
      <c r="R35" s="713"/>
      <c r="S35" s="721"/>
      <c r="T35" s="721"/>
      <c r="U35" s="721"/>
      <c r="V35" s="715"/>
      <c r="W35" s="185"/>
      <c r="X35" s="117"/>
      <c r="Y35" s="713"/>
      <c r="Z35" s="721"/>
      <c r="AA35" s="721"/>
      <c r="AB35" s="721"/>
      <c r="AC35" s="721"/>
      <c r="AD35" s="721"/>
      <c r="AE35" s="721"/>
      <c r="AF35" s="715"/>
      <c r="AG35" s="713"/>
      <c r="AH35" s="721"/>
      <c r="AI35" s="721"/>
      <c r="AJ35" s="721"/>
      <c r="AK35" s="715"/>
      <c r="AL35" s="185"/>
      <c r="AM35" s="117"/>
      <c r="AN35" s="713"/>
      <c r="AO35" s="721"/>
      <c r="AP35" s="721"/>
      <c r="AQ35" s="721"/>
      <c r="AR35" s="721"/>
      <c r="AS35" s="721"/>
      <c r="AT35" s="721"/>
      <c r="AU35" s="715"/>
      <c r="AV35" s="713"/>
      <c r="AW35" s="721"/>
      <c r="AX35" s="721"/>
      <c r="AY35" s="721"/>
      <c r="AZ35" s="715"/>
      <c r="BA35" s="185"/>
      <c r="BB35" s="530"/>
      <c r="BC35" s="530"/>
      <c r="BD35" s="530"/>
      <c r="BE35" s="530"/>
      <c r="BF35" s="530"/>
      <c r="BG35" s="530"/>
      <c r="BH35" s="530"/>
      <c r="BI35" s="530"/>
      <c r="BJ35" s="530"/>
      <c r="BK35" s="530"/>
      <c r="BL35" s="530"/>
      <c r="BM35" s="530"/>
      <c r="BN35" s="530"/>
      <c r="BO35" s="530"/>
      <c r="BP35" s="185"/>
      <c r="BQ35" s="530"/>
      <c r="BR35" s="530"/>
      <c r="BS35" s="530"/>
      <c r="BT35" s="530"/>
      <c r="BU35" s="530"/>
      <c r="BV35" s="530"/>
      <c r="BW35" s="530"/>
      <c r="BX35" s="530"/>
      <c r="BY35" s="530"/>
      <c r="BZ35" s="530"/>
      <c r="CA35" s="530"/>
      <c r="CB35" s="530"/>
      <c r="CC35" s="530"/>
      <c r="CD35" s="544"/>
    </row>
    <row r="36" spans="1:82" s="98" customFormat="1" ht="15" customHeight="1">
      <c r="A36" s="99"/>
      <c r="B36" s="161"/>
      <c r="C36" s="116" t="s">
        <v>1683</v>
      </c>
      <c r="D36" s="116"/>
      <c r="E36" s="116"/>
      <c r="F36" s="116"/>
      <c r="G36" s="117"/>
      <c r="H36" s="117"/>
      <c r="I36" s="117"/>
      <c r="J36" s="713"/>
      <c r="K36" s="721"/>
      <c r="L36" s="721"/>
      <c r="M36" s="721"/>
      <c r="N36" s="721"/>
      <c r="O36" s="721"/>
      <c r="P36" s="721"/>
      <c r="Q36" s="715"/>
      <c r="R36" s="713"/>
      <c r="S36" s="721"/>
      <c r="T36" s="721"/>
      <c r="U36" s="721"/>
      <c r="V36" s="715"/>
      <c r="W36" s="185"/>
      <c r="X36" s="117"/>
      <c r="Y36" s="713"/>
      <c r="Z36" s="721"/>
      <c r="AA36" s="721"/>
      <c r="AB36" s="721"/>
      <c r="AC36" s="721"/>
      <c r="AD36" s="721"/>
      <c r="AE36" s="721"/>
      <c r="AF36" s="715"/>
      <c r="AG36" s="713"/>
      <c r="AH36" s="721"/>
      <c r="AI36" s="721"/>
      <c r="AJ36" s="721"/>
      <c r="AK36" s="715"/>
      <c r="AL36" s="185"/>
      <c r="AM36" s="117"/>
      <c r="AN36" s="713"/>
      <c r="AO36" s="721"/>
      <c r="AP36" s="721"/>
      <c r="AQ36" s="721"/>
      <c r="AR36" s="721"/>
      <c r="AS36" s="721"/>
      <c r="AT36" s="721"/>
      <c r="AU36" s="715"/>
      <c r="AV36" s="713"/>
      <c r="AW36" s="721"/>
      <c r="AX36" s="721"/>
      <c r="AY36" s="721"/>
      <c r="AZ36" s="715"/>
      <c r="BA36" s="185"/>
      <c r="BB36" s="530"/>
      <c r="BC36" s="530"/>
      <c r="BD36" s="530"/>
      <c r="BE36" s="530"/>
      <c r="BF36" s="530"/>
      <c r="BG36" s="530"/>
      <c r="BH36" s="530"/>
      <c r="BI36" s="530"/>
      <c r="BJ36" s="530"/>
      <c r="BK36" s="530"/>
      <c r="BL36" s="530"/>
      <c r="BM36" s="530"/>
      <c r="BN36" s="530"/>
      <c r="BO36" s="530"/>
      <c r="BP36" s="185"/>
      <c r="BQ36" s="530"/>
      <c r="BR36" s="530"/>
      <c r="BS36" s="530"/>
      <c r="BT36" s="530"/>
      <c r="BU36" s="530"/>
      <c r="BV36" s="530"/>
      <c r="BW36" s="530"/>
      <c r="BX36" s="530"/>
      <c r="BY36" s="530"/>
      <c r="BZ36" s="530"/>
      <c r="CA36" s="530"/>
      <c r="CB36" s="530"/>
      <c r="CC36" s="530"/>
      <c r="CD36" s="544"/>
    </row>
    <row r="37" spans="1:82" s="98" customFormat="1" ht="15" customHeight="1">
      <c r="A37" s="99"/>
      <c r="B37" s="161"/>
      <c r="C37" s="162"/>
      <c r="D37" s="162" t="s">
        <v>2701</v>
      </c>
      <c r="E37" s="162"/>
      <c r="F37" s="162"/>
      <c r="G37" s="163"/>
      <c r="H37" s="163"/>
      <c r="I37" s="164" t="s">
        <v>498</v>
      </c>
      <c r="J37" s="143">
        <v>0</v>
      </c>
      <c r="K37" s="141">
        <v>0</v>
      </c>
      <c r="L37" s="141">
        <v>0</v>
      </c>
      <c r="M37" s="141">
        <v>0</v>
      </c>
      <c r="N37" s="141">
        <v>0</v>
      </c>
      <c r="O37" s="141">
        <v>0</v>
      </c>
      <c r="P37" s="141">
        <v>0</v>
      </c>
      <c r="Q37" s="144">
        <v>0</v>
      </c>
      <c r="R37" s="143">
        <v>0</v>
      </c>
      <c r="S37" s="141">
        <v>0</v>
      </c>
      <c r="T37" s="141">
        <v>0</v>
      </c>
      <c r="U37" s="141">
        <v>0</v>
      </c>
      <c r="V37" s="144">
        <v>0</v>
      </c>
      <c r="W37" s="185"/>
      <c r="X37" s="164" t="s">
        <v>498</v>
      </c>
      <c r="Y37" s="143">
        <v>0</v>
      </c>
      <c r="Z37" s="141">
        <v>0</v>
      </c>
      <c r="AA37" s="141">
        <v>0</v>
      </c>
      <c r="AB37" s="141">
        <v>0</v>
      </c>
      <c r="AC37" s="141">
        <v>0</v>
      </c>
      <c r="AD37" s="141">
        <v>0</v>
      </c>
      <c r="AE37" s="141">
        <v>0</v>
      </c>
      <c r="AF37" s="144">
        <v>0</v>
      </c>
      <c r="AG37" s="143">
        <v>0</v>
      </c>
      <c r="AH37" s="141">
        <v>0</v>
      </c>
      <c r="AI37" s="141">
        <v>0</v>
      </c>
      <c r="AJ37" s="141">
        <v>0</v>
      </c>
      <c r="AK37" s="144">
        <v>0</v>
      </c>
      <c r="AL37" s="185"/>
      <c r="AM37" s="164" t="s">
        <v>2233</v>
      </c>
      <c r="AN37" s="143">
        <v>0</v>
      </c>
      <c r="AO37" s="141">
        <v>0</v>
      </c>
      <c r="AP37" s="141">
        <v>0</v>
      </c>
      <c r="AQ37" s="141">
        <v>0</v>
      </c>
      <c r="AR37" s="141">
        <v>0</v>
      </c>
      <c r="AS37" s="141">
        <v>0</v>
      </c>
      <c r="AT37" s="141">
        <v>0</v>
      </c>
      <c r="AU37" s="144">
        <v>0</v>
      </c>
      <c r="AV37" s="143">
        <v>0</v>
      </c>
      <c r="AW37" s="141">
        <v>0</v>
      </c>
      <c r="AX37" s="141">
        <v>0</v>
      </c>
      <c r="AY37" s="141">
        <v>0</v>
      </c>
      <c r="AZ37" s="144">
        <v>0</v>
      </c>
      <c r="BA37" s="185"/>
      <c r="BB37" s="545" t="s">
        <v>627</v>
      </c>
      <c r="BC37" s="868">
        <v>0</v>
      </c>
      <c r="BD37" s="545" t="s">
        <v>627</v>
      </c>
      <c r="BE37" s="868">
        <v>0</v>
      </c>
      <c r="BF37" s="545" t="s">
        <v>2233</v>
      </c>
      <c r="BG37" s="141">
        <v>0</v>
      </c>
      <c r="BH37" s="545" t="s">
        <v>2233</v>
      </c>
      <c r="BI37" s="141">
        <v>0</v>
      </c>
      <c r="BJ37" s="545" t="s">
        <v>2233</v>
      </c>
      <c r="BK37" s="141">
        <v>0</v>
      </c>
      <c r="BL37" s="545" t="s">
        <v>2233</v>
      </c>
      <c r="BM37" s="141">
        <v>0</v>
      </c>
      <c r="BN37" s="545" t="s">
        <v>2233</v>
      </c>
      <c r="BO37" s="141">
        <v>0</v>
      </c>
      <c r="BP37" s="185"/>
      <c r="BQ37" s="545" t="s">
        <v>627</v>
      </c>
      <c r="BR37" s="868">
        <v>0</v>
      </c>
      <c r="BS37" s="545" t="s">
        <v>627</v>
      </c>
      <c r="BT37" s="868">
        <v>0</v>
      </c>
      <c r="BU37" s="545" t="s">
        <v>2233</v>
      </c>
      <c r="BV37" s="141">
        <v>0</v>
      </c>
      <c r="BW37" s="545" t="s">
        <v>2233</v>
      </c>
      <c r="BX37" s="141">
        <v>0</v>
      </c>
      <c r="BY37" s="545" t="s">
        <v>2233</v>
      </c>
      <c r="BZ37" s="141">
        <v>0</v>
      </c>
      <c r="CA37" s="545" t="s">
        <v>2233</v>
      </c>
      <c r="CB37" s="141">
        <v>0</v>
      </c>
      <c r="CC37" s="545" t="s">
        <v>2233</v>
      </c>
      <c r="CD37" s="144">
        <v>0</v>
      </c>
    </row>
    <row r="38" spans="1:82" s="98" customFormat="1" ht="15" customHeight="1">
      <c r="A38" s="99"/>
      <c r="B38" s="161"/>
      <c r="C38" s="162"/>
      <c r="D38" s="162" t="s">
        <v>2702</v>
      </c>
      <c r="E38" s="162"/>
      <c r="F38" s="162"/>
      <c r="G38" s="163"/>
      <c r="H38" s="163"/>
      <c r="I38" s="164" t="s">
        <v>498</v>
      </c>
      <c r="J38" s="143">
        <v>0</v>
      </c>
      <c r="K38" s="141">
        <v>0</v>
      </c>
      <c r="L38" s="141">
        <v>0</v>
      </c>
      <c r="M38" s="141">
        <v>0</v>
      </c>
      <c r="N38" s="141">
        <v>0</v>
      </c>
      <c r="O38" s="141">
        <v>0</v>
      </c>
      <c r="P38" s="141">
        <v>0</v>
      </c>
      <c r="Q38" s="144">
        <v>0</v>
      </c>
      <c r="R38" s="143">
        <v>0</v>
      </c>
      <c r="S38" s="141">
        <v>0</v>
      </c>
      <c r="T38" s="141">
        <v>0</v>
      </c>
      <c r="U38" s="141">
        <v>0</v>
      </c>
      <c r="V38" s="144">
        <v>0</v>
      </c>
      <c r="W38" s="185"/>
      <c r="X38" s="164" t="s">
        <v>498</v>
      </c>
      <c r="Y38" s="143">
        <v>0</v>
      </c>
      <c r="Z38" s="141">
        <v>0</v>
      </c>
      <c r="AA38" s="141">
        <v>0</v>
      </c>
      <c r="AB38" s="141">
        <v>0</v>
      </c>
      <c r="AC38" s="141">
        <v>0</v>
      </c>
      <c r="AD38" s="141">
        <v>0</v>
      </c>
      <c r="AE38" s="141">
        <v>0</v>
      </c>
      <c r="AF38" s="144">
        <v>0</v>
      </c>
      <c r="AG38" s="143">
        <v>0</v>
      </c>
      <c r="AH38" s="141">
        <v>0</v>
      </c>
      <c r="AI38" s="141">
        <v>0</v>
      </c>
      <c r="AJ38" s="141">
        <v>0</v>
      </c>
      <c r="AK38" s="144">
        <v>0</v>
      </c>
      <c r="AL38" s="185"/>
      <c r="AM38" s="164" t="s">
        <v>2233</v>
      </c>
      <c r="AN38" s="143">
        <v>0</v>
      </c>
      <c r="AO38" s="141">
        <v>0</v>
      </c>
      <c r="AP38" s="141">
        <v>0</v>
      </c>
      <c r="AQ38" s="141">
        <v>0</v>
      </c>
      <c r="AR38" s="141">
        <v>0</v>
      </c>
      <c r="AS38" s="141">
        <v>0</v>
      </c>
      <c r="AT38" s="141">
        <v>0</v>
      </c>
      <c r="AU38" s="144">
        <v>0</v>
      </c>
      <c r="AV38" s="143">
        <v>0</v>
      </c>
      <c r="AW38" s="141">
        <v>0</v>
      </c>
      <c r="AX38" s="141">
        <v>0</v>
      </c>
      <c r="AY38" s="141">
        <v>0</v>
      </c>
      <c r="AZ38" s="144">
        <v>0</v>
      </c>
      <c r="BA38" s="185"/>
      <c r="BB38" s="545" t="s">
        <v>627</v>
      </c>
      <c r="BC38" s="868">
        <v>0</v>
      </c>
      <c r="BD38" s="545" t="s">
        <v>627</v>
      </c>
      <c r="BE38" s="868">
        <v>0</v>
      </c>
      <c r="BF38" s="545" t="s">
        <v>2233</v>
      </c>
      <c r="BG38" s="141">
        <v>0</v>
      </c>
      <c r="BH38" s="545" t="s">
        <v>2233</v>
      </c>
      <c r="BI38" s="141">
        <v>0</v>
      </c>
      <c r="BJ38" s="545" t="s">
        <v>2233</v>
      </c>
      <c r="BK38" s="141">
        <v>0</v>
      </c>
      <c r="BL38" s="545" t="s">
        <v>2233</v>
      </c>
      <c r="BM38" s="141">
        <v>0</v>
      </c>
      <c r="BN38" s="545" t="s">
        <v>2233</v>
      </c>
      <c r="BO38" s="141">
        <v>0</v>
      </c>
      <c r="BP38" s="185"/>
      <c r="BQ38" s="545" t="s">
        <v>627</v>
      </c>
      <c r="BR38" s="868">
        <v>0</v>
      </c>
      <c r="BS38" s="545" t="s">
        <v>627</v>
      </c>
      <c r="BT38" s="868">
        <v>0</v>
      </c>
      <c r="BU38" s="545" t="s">
        <v>2233</v>
      </c>
      <c r="BV38" s="141">
        <v>0</v>
      </c>
      <c r="BW38" s="545" t="s">
        <v>2233</v>
      </c>
      <c r="BX38" s="141">
        <v>0</v>
      </c>
      <c r="BY38" s="545" t="s">
        <v>2233</v>
      </c>
      <c r="BZ38" s="141">
        <v>0</v>
      </c>
      <c r="CA38" s="545" t="s">
        <v>2233</v>
      </c>
      <c r="CB38" s="141">
        <v>0</v>
      </c>
      <c r="CC38" s="545" t="s">
        <v>2233</v>
      </c>
      <c r="CD38" s="144">
        <v>0</v>
      </c>
    </row>
    <row r="39" spans="1:82" s="98" customFormat="1" ht="15" customHeight="1">
      <c r="A39" s="99"/>
      <c r="B39" s="161"/>
      <c r="C39" s="162"/>
      <c r="D39" s="162" t="s">
        <v>2703</v>
      </c>
      <c r="E39" s="162"/>
      <c r="F39" s="162"/>
      <c r="G39" s="163"/>
      <c r="H39" s="163"/>
      <c r="I39" s="164" t="s">
        <v>498</v>
      </c>
      <c r="J39" s="143">
        <v>0</v>
      </c>
      <c r="K39" s="141">
        <v>0</v>
      </c>
      <c r="L39" s="141">
        <v>0</v>
      </c>
      <c r="M39" s="141">
        <v>0</v>
      </c>
      <c r="N39" s="141">
        <v>0</v>
      </c>
      <c r="O39" s="141">
        <v>0</v>
      </c>
      <c r="P39" s="141">
        <v>0</v>
      </c>
      <c r="Q39" s="144">
        <v>0</v>
      </c>
      <c r="R39" s="143">
        <v>0</v>
      </c>
      <c r="S39" s="141">
        <v>0</v>
      </c>
      <c r="T39" s="141">
        <v>0</v>
      </c>
      <c r="U39" s="141">
        <v>0</v>
      </c>
      <c r="V39" s="144">
        <v>0</v>
      </c>
      <c r="W39" s="185"/>
      <c r="X39" s="164" t="s">
        <v>498</v>
      </c>
      <c r="Y39" s="143">
        <v>0</v>
      </c>
      <c r="Z39" s="141">
        <v>0</v>
      </c>
      <c r="AA39" s="141">
        <v>0</v>
      </c>
      <c r="AB39" s="141">
        <v>0</v>
      </c>
      <c r="AC39" s="141">
        <v>0</v>
      </c>
      <c r="AD39" s="141">
        <v>0</v>
      </c>
      <c r="AE39" s="141">
        <v>0</v>
      </c>
      <c r="AF39" s="144">
        <v>0</v>
      </c>
      <c r="AG39" s="143">
        <v>0</v>
      </c>
      <c r="AH39" s="141">
        <v>0</v>
      </c>
      <c r="AI39" s="141">
        <v>0</v>
      </c>
      <c r="AJ39" s="141">
        <v>0</v>
      </c>
      <c r="AK39" s="144">
        <v>0</v>
      </c>
      <c r="AL39" s="185"/>
      <c r="AM39" s="164" t="s">
        <v>2233</v>
      </c>
      <c r="AN39" s="143">
        <v>0</v>
      </c>
      <c r="AO39" s="141">
        <v>0</v>
      </c>
      <c r="AP39" s="141">
        <v>0</v>
      </c>
      <c r="AQ39" s="141">
        <v>0</v>
      </c>
      <c r="AR39" s="141">
        <v>0</v>
      </c>
      <c r="AS39" s="141">
        <v>0</v>
      </c>
      <c r="AT39" s="141">
        <v>0</v>
      </c>
      <c r="AU39" s="144">
        <v>0</v>
      </c>
      <c r="AV39" s="143">
        <v>0</v>
      </c>
      <c r="AW39" s="141">
        <v>0</v>
      </c>
      <c r="AX39" s="141">
        <v>0</v>
      </c>
      <c r="AY39" s="141">
        <v>0</v>
      </c>
      <c r="AZ39" s="144">
        <v>0</v>
      </c>
      <c r="BA39" s="185"/>
      <c r="BB39" s="545" t="s">
        <v>627</v>
      </c>
      <c r="BC39" s="868">
        <v>0</v>
      </c>
      <c r="BD39" s="545" t="s">
        <v>627</v>
      </c>
      <c r="BE39" s="868">
        <v>0</v>
      </c>
      <c r="BF39" s="545" t="s">
        <v>2233</v>
      </c>
      <c r="BG39" s="141">
        <v>0</v>
      </c>
      <c r="BH39" s="545" t="s">
        <v>2233</v>
      </c>
      <c r="BI39" s="141">
        <v>0</v>
      </c>
      <c r="BJ39" s="545" t="s">
        <v>2233</v>
      </c>
      <c r="BK39" s="141">
        <v>0</v>
      </c>
      <c r="BL39" s="545" t="s">
        <v>2233</v>
      </c>
      <c r="BM39" s="141">
        <v>0</v>
      </c>
      <c r="BN39" s="545" t="s">
        <v>2233</v>
      </c>
      <c r="BO39" s="141">
        <v>0</v>
      </c>
      <c r="BP39" s="185"/>
      <c r="BQ39" s="545" t="s">
        <v>627</v>
      </c>
      <c r="BR39" s="868">
        <v>0</v>
      </c>
      <c r="BS39" s="545" t="s">
        <v>627</v>
      </c>
      <c r="BT39" s="868">
        <v>0</v>
      </c>
      <c r="BU39" s="545" t="s">
        <v>2233</v>
      </c>
      <c r="BV39" s="141">
        <v>0</v>
      </c>
      <c r="BW39" s="545" t="s">
        <v>2233</v>
      </c>
      <c r="BX39" s="141">
        <v>0</v>
      </c>
      <c r="BY39" s="545" t="s">
        <v>2233</v>
      </c>
      <c r="BZ39" s="141">
        <v>0</v>
      </c>
      <c r="CA39" s="545" t="s">
        <v>2233</v>
      </c>
      <c r="CB39" s="141">
        <v>0</v>
      </c>
      <c r="CC39" s="545" t="s">
        <v>2233</v>
      </c>
      <c r="CD39" s="144">
        <v>0</v>
      </c>
    </row>
    <row r="40" spans="1:82" s="98" customFormat="1" ht="15" customHeight="1">
      <c r="A40" s="99"/>
      <c r="B40" s="161"/>
      <c r="C40" s="162"/>
      <c r="D40" s="162" t="s">
        <v>2704</v>
      </c>
      <c r="E40" s="162"/>
      <c r="F40" s="162"/>
      <c r="G40" s="163"/>
      <c r="H40" s="163"/>
      <c r="I40" s="164" t="s">
        <v>498</v>
      </c>
      <c r="J40" s="143">
        <v>0</v>
      </c>
      <c r="K40" s="141">
        <v>0</v>
      </c>
      <c r="L40" s="141">
        <v>0</v>
      </c>
      <c r="M40" s="141">
        <v>0</v>
      </c>
      <c r="N40" s="141">
        <v>0</v>
      </c>
      <c r="O40" s="141">
        <v>0</v>
      </c>
      <c r="P40" s="141">
        <v>0</v>
      </c>
      <c r="Q40" s="144">
        <v>0</v>
      </c>
      <c r="R40" s="143">
        <v>0</v>
      </c>
      <c r="S40" s="141">
        <v>0</v>
      </c>
      <c r="T40" s="141">
        <v>0</v>
      </c>
      <c r="U40" s="141">
        <v>0</v>
      </c>
      <c r="V40" s="144">
        <v>0</v>
      </c>
      <c r="W40" s="185"/>
      <c r="X40" s="164" t="s">
        <v>498</v>
      </c>
      <c r="Y40" s="143">
        <v>0</v>
      </c>
      <c r="Z40" s="141">
        <v>0</v>
      </c>
      <c r="AA40" s="141">
        <v>0</v>
      </c>
      <c r="AB40" s="141">
        <v>0</v>
      </c>
      <c r="AC40" s="141">
        <v>0</v>
      </c>
      <c r="AD40" s="141">
        <v>0</v>
      </c>
      <c r="AE40" s="141">
        <v>0</v>
      </c>
      <c r="AF40" s="144">
        <v>0</v>
      </c>
      <c r="AG40" s="143">
        <v>0</v>
      </c>
      <c r="AH40" s="141">
        <v>0</v>
      </c>
      <c r="AI40" s="141">
        <v>0</v>
      </c>
      <c r="AJ40" s="141">
        <v>0</v>
      </c>
      <c r="AK40" s="144">
        <v>0</v>
      </c>
      <c r="AL40" s="185"/>
      <c r="AM40" s="164" t="s">
        <v>2233</v>
      </c>
      <c r="AN40" s="143">
        <v>0</v>
      </c>
      <c r="AO40" s="141">
        <v>0</v>
      </c>
      <c r="AP40" s="141">
        <v>0</v>
      </c>
      <c r="AQ40" s="141">
        <v>0</v>
      </c>
      <c r="AR40" s="141">
        <v>0</v>
      </c>
      <c r="AS40" s="141">
        <v>0</v>
      </c>
      <c r="AT40" s="141">
        <v>0</v>
      </c>
      <c r="AU40" s="144">
        <v>0</v>
      </c>
      <c r="AV40" s="143">
        <v>0</v>
      </c>
      <c r="AW40" s="141">
        <v>0</v>
      </c>
      <c r="AX40" s="141">
        <v>0</v>
      </c>
      <c r="AY40" s="141">
        <v>0</v>
      </c>
      <c r="AZ40" s="144">
        <v>0</v>
      </c>
      <c r="BA40" s="185"/>
      <c r="BB40" s="545" t="s">
        <v>627</v>
      </c>
      <c r="BC40" s="868">
        <v>0</v>
      </c>
      <c r="BD40" s="545" t="s">
        <v>627</v>
      </c>
      <c r="BE40" s="868">
        <v>0</v>
      </c>
      <c r="BF40" s="545" t="s">
        <v>2233</v>
      </c>
      <c r="BG40" s="141">
        <v>0</v>
      </c>
      <c r="BH40" s="545" t="s">
        <v>2233</v>
      </c>
      <c r="BI40" s="141">
        <v>0</v>
      </c>
      <c r="BJ40" s="545" t="s">
        <v>2233</v>
      </c>
      <c r="BK40" s="141">
        <v>0</v>
      </c>
      <c r="BL40" s="545" t="s">
        <v>2233</v>
      </c>
      <c r="BM40" s="141">
        <v>0</v>
      </c>
      <c r="BN40" s="545" t="s">
        <v>2233</v>
      </c>
      <c r="BO40" s="141">
        <v>0</v>
      </c>
      <c r="BP40" s="185"/>
      <c r="BQ40" s="545" t="s">
        <v>627</v>
      </c>
      <c r="BR40" s="868">
        <v>0</v>
      </c>
      <c r="BS40" s="545" t="s">
        <v>627</v>
      </c>
      <c r="BT40" s="868">
        <v>0</v>
      </c>
      <c r="BU40" s="545" t="s">
        <v>2233</v>
      </c>
      <c r="BV40" s="141">
        <v>0</v>
      </c>
      <c r="BW40" s="545" t="s">
        <v>2233</v>
      </c>
      <c r="BX40" s="141">
        <v>0</v>
      </c>
      <c r="BY40" s="545" t="s">
        <v>2233</v>
      </c>
      <c r="BZ40" s="141">
        <v>0</v>
      </c>
      <c r="CA40" s="545" t="s">
        <v>2233</v>
      </c>
      <c r="CB40" s="141">
        <v>0</v>
      </c>
      <c r="CC40" s="545" t="s">
        <v>2233</v>
      </c>
      <c r="CD40" s="144">
        <v>0</v>
      </c>
    </row>
    <row r="41" spans="1:82" s="98" customFormat="1" ht="15" customHeight="1">
      <c r="A41" s="99"/>
      <c r="B41" s="161"/>
      <c r="C41" s="162"/>
      <c r="D41" s="162" t="s">
        <v>2705</v>
      </c>
      <c r="E41" s="162"/>
      <c r="F41" s="162"/>
      <c r="G41" s="163"/>
      <c r="H41" s="163"/>
      <c r="I41" s="164" t="s">
        <v>498</v>
      </c>
      <c r="J41" s="143">
        <v>0</v>
      </c>
      <c r="K41" s="141">
        <v>0</v>
      </c>
      <c r="L41" s="141">
        <v>0</v>
      </c>
      <c r="M41" s="141">
        <v>0</v>
      </c>
      <c r="N41" s="141">
        <v>0</v>
      </c>
      <c r="O41" s="141">
        <v>0</v>
      </c>
      <c r="P41" s="141">
        <v>0</v>
      </c>
      <c r="Q41" s="144">
        <v>0</v>
      </c>
      <c r="R41" s="143">
        <v>0</v>
      </c>
      <c r="S41" s="141">
        <v>0</v>
      </c>
      <c r="T41" s="141">
        <v>0</v>
      </c>
      <c r="U41" s="141">
        <v>0</v>
      </c>
      <c r="V41" s="144">
        <v>0</v>
      </c>
      <c r="W41" s="185"/>
      <c r="X41" s="164" t="s">
        <v>498</v>
      </c>
      <c r="Y41" s="143">
        <v>0</v>
      </c>
      <c r="Z41" s="141">
        <v>0</v>
      </c>
      <c r="AA41" s="141">
        <v>0</v>
      </c>
      <c r="AB41" s="141">
        <v>0</v>
      </c>
      <c r="AC41" s="141">
        <v>0</v>
      </c>
      <c r="AD41" s="141">
        <v>0</v>
      </c>
      <c r="AE41" s="141">
        <v>0</v>
      </c>
      <c r="AF41" s="144">
        <v>0</v>
      </c>
      <c r="AG41" s="143">
        <v>0</v>
      </c>
      <c r="AH41" s="141">
        <v>0</v>
      </c>
      <c r="AI41" s="141">
        <v>0</v>
      </c>
      <c r="AJ41" s="141">
        <v>0</v>
      </c>
      <c r="AK41" s="144">
        <v>0</v>
      </c>
      <c r="AL41" s="185"/>
      <c r="AM41" s="164" t="s">
        <v>2233</v>
      </c>
      <c r="AN41" s="143">
        <v>0</v>
      </c>
      <c r="AO41" s="141">
        <v>0</v>
      </c>
      <c r="AP41" s="141">
        <v>0</v>
      </c>
      <c r="AQ41" s="141">
        <v>0</v>
      </c>
      <c r="AR41" s="141">
        <v>0</v>
      </c>
      <c r="AS41" s="141">
        <v>0</v>
      </c>
      <c r="AT41" s="141">
        <v>0</v>
      </c>
      <c r="AU41" s="144">
        <v>0</v>
      </c>
      <c r="AV41" s="143">
        <v>0</v>
      </c>
      <c r="AW41" s="141">
        <v>0</v>
      </c>
      <c r="AX41" s="141">
        <v>0</v>
      </c>
      <c r="AY41" s="141">
        <v>0</v>
      </c>
      <c r="AZ41" s="144">
        <v>0</v>
      </c>
      <c r="BA41" s="185"/>
      <c r="BB41" s="545" t="s">
        <v>627</v>
      </c>
      <c r="BC41" s="868">
        <v>0</v>
      </c>
      <c r="BD41" s="545" t="s">
        <v>627</v>
      </c>
      <c r="BE41" s="868">
        <v>0</v>
      </c>
      <c r="BF41" s="545" t="s">
        <v>2233</v>
      </c>
      <c r="BG41" s="141">
        <v>0</v>
      </c>
      <c r="BH41" s="545" t="s">
        <v>2233</v>
      </c>
      <c r="BI41" s="141">
        <v>0</v>
      </c>
      <c r="BJ41" s="545" t="s">
        <v>2233</v>
      </c>
      <c r="BK41" s="141">
        <v>0</v>
      </c>
      <c r="BL41" s="545" t="s">
        <v>2233</v>
      </c>
      <c r="BM41" s="141">
        <v>0</v>
      </c>
      <c r="BN41" s="545" t="s">
        <v>2233</v>
      </c>
      <c r="BO41" s="141">
        <v>0</v>
      </c>
      <c r="BP41" s="185"/>
      <c r="BQ41" s="545" t="s">
        <v>627</v>
      </c>
      <c r="BR41" s="868">
        <v>0</v>
      </c>
      <c r="BS41" s="545" t="s">
        <v>627</v>
      </c>
      <c r="BT41" s="868">
        <v>0</v>
      </c>
      <c r="BU41" s="545" t="s">
        <v>2233</v>
      </c>
      <c r="BV41" s="141">
        <v>0</v>
      </c>
      <c r="BW41" s="545" t="s">
        <v>2233</v>
      </c>
      <c r="BX41" s="141">
        <v>0</v>
      </c>
      <c r="BY41" s="545" t="s">
        <v>2233</v>
      </c>
      <c r="BZ41" s="141">
        <v>0</v>
      </c>
      <c r="CA41" s="545" t="s">
        <v>2233</v>
      </c>
      <c r="CB41" s="141">
        <v>0</v>
      </c>
      <c r="CC41" s="545" t="s">
        <v>2233</v>
      </c>
      <c r="CD41" s="144">
        <v>0</v>
      </c>
    </row>
    <row r="42" spans="1:82" s="98" customFormat="1" ht="15" customHeight="1">
      <c r="A42" s="99"/>
      <c r="B42" s="161"/>
      <c r="C42" s="162"/>
      <c r="D42" s="162" t="s">
        <v>2706</v>
      </c>
      <c r="E42" s="162"/>
      <c r="F42" s="162"/>
      <c r="G42" s="163"/>
      <c r="H42" s="163"/>
      <c r="I42" s="164" t="s">
        <v>498</v>
      </c>
      <c r="J42" s="143">
        <v>0</v>
      </c>
      <c r="K42" s="141">
        <v>0</v>
      </c>
      <c r="L42" s="141">
        <v>0</v>
      </c>
      <c r="M42" s="141">
        <v>0</v>
      </c>
      <c r="N42" s="141">
        <v>0</v>
      </c>
      <c r="O42" s="141">
        <v>0</v>
      </c>
      <c r="P42" s="141">
        <v>0</v>
      </c>
      <c r="Q42" s="144">
        <v>0</v>
      </c>
      <c r="R42" s="143">
        <v>0</v>
      </c>
      <c r="S42" s="141">
        <v>0</v>
      </c>
      <c r="T42" s="141">
        <v>0</v>
      </c>
      <c r="U42" s="141">
        <v>0</v>
      </c>
      <c r="V42" s="144">
        <v>0</v>
      </c>
      <c r="W42" s="185"/>
      <c r="X42" s="164" t="s">
        <v>498</v>
      </c>
      <c r="Y42" s="143">
        <v>0</v>
      </c>
      <c r="Z42" s="141">
        <v>0</v>
      </c>
      <c r="AA42" s="141">
        <v>0</v>
      </c>
      <c r="AB42" s="141">
        <v>0</v>
      </c>
      <c r="AC42" s="141">
        <v>0</v>
      </c>
      <c r="AD42" s="141">
        <v>0</v>
      </c>
      <c r="AE42" s="141">
        <v>0</v>
      </c>
      <c r="AF42" s="144">
        <v>0</v>
      </c>
      <c r="AG42" s="143">
        <v>0</v>
      </c>
      <c r="AH42" s="141">
        <v>0</v>
      </c>
      <c r="AI42" s="141">
        <v>0</v>
      </c>
      <c r="AJ42" s="141">
        <v>0</v>
      </c>
      <c r="AK42" s="144">
        <v>0</v>
      </c>
      <c r="AL42" s="185"/>
      <c r="AM42" s="164" t="s">
        <v>2233</v>
      </c>
      <c r="AN42" s="143">
        <v>0</v>
      </c>
      <c r="AO42" s="141">
        <v>0</v>
      </c>
      <c r="AP42" s="141">
        <v>0</v>
      </c>
      <c r="AQ42" s="141">
        <v>0</v>
      </c>
      <c r="AR42" s="141">
        <v>0</v>
      </c>
      <c r="AS42" s="141">
        <v>0</v>
      </c>
      <c r="AT42" s="141">
        <v>0</v>
      </c>
      <c r="AU42" s="144">
        <v>0</v>
      </c>
      <c r="AV42" s="143">
        <v>0</v>
      </c>
      <c r="AW42" s="141">
        <v>0</v>
      </c>
      <c r="AX42" s="141">
        <v>0</v>
      </c>
      <c r="AY42" s="141">
        <v>0</v>
      </c>
      <c r="AZ42" s="144">
        <v>0</v>
      </c>
      <c r="BA42" s="185"/>
      <c r="BB42" s="545" t="s">
        <v>627</v>
      </c>
      <c r="BC42" s="868">
        <v>0</v>
      </c>
      <c r="BD42" s="545" t="s">
        <v>627</v>
      </c>
      <c r="BE42" s="868">
        <v>0</v>
      </c>
      <c r="BF42" s="545" t="s">
        <v>2233</v>
      </c>
      <c r="BG42" s="141">
        <v>0</v>
      </c>
      <c r="BH42" s="545" t="s">
        <v>2233</v>
      </c>
      <c r="BI42" s="141">
        <v>0</v>
      </c>
      <c r="BJ42" s="545" t="s">
        <v>2233</v>
      </c>
      <c r="BK42" s="141">
        <v>0</v>
      </c>
      <c r="BL42" s="545" t="s">
        <v>2233</v>
      </c>
      <c r="BM42" s="141">
        <v>0</v>
      </c>
      <c r="BN42" s="545" t="s">
        <v>2233</v>
      </c>
      <c r="BO42" s="141">
        <v>0</v>
      </c>
      <c r="BP42" s="185"/>
      <c r="BQ42" s="545" t="s">
        <v>627</v>
      </c>
      <c r="BR42" s="868">
        <v>0</v>
      </c>
      <c r="BS42" s="545" t="s">
        <v>627</v>
      </c>
      <c r="BT42" s="868">
        <v>0</v>
      </c>
      <c r="BU42" s="545" t="s">
        <v>2233</v>
      </c>
      <c r="BV42" s="141">
        <v>0</v>
      </c>
      <c r="BW42" s="545" t="s">
        <v>2233</v>
      </c>
      <c r="BX42" s="141">
        <v>0</v>
      </c>
      <c r="BY42" s="545" t="s">
        <v>2233</v>
      </c>
      <c r="BZ42" s="141">
        <v>0</v>
      </c>
      <c r="CA42" s="545" t="s">
        <v>2233</v>
      </c>
      <c r="CB42" s="141">
        <v>0</v>
      </c>
      <c r="CC42" s="545" t="s">
        <v>2233</v>
      </c>
      <c r="CD42" s="144">
        <v>0</v>
      </c>
    </row>
    <row r="43" spans="1:82" s="98" customFormat="1" ht="15" customHeight="1">
      <c r="A43" s="99"/>
      <c r="B43" s="161"/>
      <c r="C43" s="162"/>
      <c r="D43" s="162" t="s">
        <v>2707</v>
      </c>
      <c r="E43" s="162"/>
      <c r="F43" s="162"/>
      <c r="G43" s="163"/>
      <c r="H43" s="163"/>
      <c r="I43" s="164" t="s">
        <v>498</v>
      </c>
      <c r="J43" s="143">
        <v>0</v>
      </c>
      <c r="K43" s="141">
        <v>0</v>
      </c>
      <c r="L43" s="141">
        <v>0</v>
      </c>
      <c r="M43" s="141">
        <v>0</v>
      </c>
      <c r="N43" s="141">
        <v>0</v>
      </c>
      <c r="O43" s="141">
        <v>0</v>
      </c>
      <c r="P43" s="141">
        <v>0</v>
      </c>
      <c r="Q43" s="144">
        <v>0</v>
      </c>
      <c r="R43" s="143">
        <v>0</v>
      </c>
      <c r="S43" s="141">
        <v>0</v>
      </c>
      <c r="T43" s="141">
        <v>0</v>
      </c>
      <c r="U43" s="141">
        <v>0</v>
      </c>
      <c r="V43" s="144">
        <v>0</v>
      </c>
      <c r="W43" s="185"/>
      <c r="X43" s="164" t="s">
        <v>498</v>
      </c>
      <c r="Y43" s="143">
        <v>0</v>
      </c>
      <c r="Z43" s="141">
        <v>0</v>
      </c>
      <c r="AA43" s="141">
        <v>0</v>
      </c>
      <c r="AB43" s="141">
        <v>0</v>
      </c>
      <c r="AC43" s="141">
        <v>0</v>
      </c>
      <c r="AD43" s="141">
        <v>0</v>
      </c>
      <c r="AE43" s="141">
        <v>0</v>
      </c>
      <c r="AF43" s="144">
        <v>0</v>
      </c>
      <c r="AG43" s="143">
        <v>0</v>
      </c>
      <c r="AH43" s="141">
        <v>0</v>
      </c>
      <c r="AI43" s="141">
        <v>0</v>
      </c>
      <c r="AJ43" s="141">
        <v>0</v>
      </c>
      <c r="AK43" s="144">
        <v>0</v>
      </c>
      <c r="AL43" s="185"/>
      <c r="AM43" s="164" t="s">
        <v>2233</v>
      </c>
      <c r="AN43" s="143">
        <v>0</v>
      </c>
      <c r="AO43" s="141">
        <v>0</v>
      </c>
      <c r="AP43" s="141">
        <v>0</v>
      </c>
      <c r="AQ43" s="141">
        <v>0</v>
      </c>
      <c r="AR43" s="141">
        <v>0</v>
      </c>
      <c r="AS43" s="141">
        <v>0</v>
      </c>
      <c r="AT43" s="141">
        <v>0</v>
      </c>
      <c r="AU43" s="144">
        <v>0</v>
      </c>
      <c r="AV43" s="143">
        <v>0</v>
      </c>
      <c r="AW43" s="141">
        <v>0</v>
      </c>
      <c r="AX43" s="141">
        <v>0</v>
      </c>
      <c r="AY43" s="141">
        <v>0</v>
      </c>
      <c r="AZ43" s="144">
        <v>0</v>
      </c>
      <c r="BA43" s="185"/>
      <c r="BB43" s="545" t="s">
        <v>627</v>
      </c>
      <c r="BC43" s="868">
        <v>0</v>
      </c>
      <c r="BD43" s="545" t="s">
        <v>627</v>
      </c>
      <c r="BE43" s="868">
        <v>0</v>
      </c>
      <c r="BF43" s="545" t="s">
        <v>2233</v>
      </c>
      <c r="BG43" s="141">
        <v>0</v>
      </c>
      <c r="BH43" s="545" t="s">
        <v>2233</v>
      </c>
      <c r="BI43" s="141">
        <v>0</v>
      </c>
      <c r="BJ43" s="545" t="s">
        <v>2233</v>
      </c>
      <c r="BK43" s="141">
        <v>0</v>
      </c>
      <c r="BL43" s="545" t="s">
        <v>2233</v>
      </c>
      <c r="BM43" s="141">
        <v>0</v>
      </c>
      <c r="BN43" s="545" t="s">
        <v>2233</v>
      </c>
      <c r="BO43" s="141">
        <v>0</v>
      </c>
      <c r="BP43" s="185"/>
      <c r="BQ43" s="545" t="s">
        <v>627</v>
      </c>
      <c r="BR43" s="868">
        <v>0</v>
      </c>
      <c r="BS43" s="545" t="s">
        <v>627</v>
      </c>
      <c r="BT43" s="868">
        <v>0</v>
      </c>
      <c r="BU43" s="545" t="s">
        <v>2233</v>
      </c>
      <c r="BV43" s="141">
        <v>0</v>
      </c>
      <c r="BW43" s="545" t="s">
        <v>2233</v>
      </c>
      <c r="BX43" s="141">
        <v>0</v>
      </c>
      <c r="BY43" s="545" t="s">
        <v>2233</v>
      </c>
      <c r="BZ43" s="141">
        <v>0</v>
      </c>
      <c r="CA43" s="545" t="s">
        <v>2233</v>
      </c>
      <c r="CB43" s="141">
        <v>0</v>
      </c>
      <c r="CC43" s="545" t="s">
        <v>2233</v>
      </c>
      <c r="CD43" s="144">
        <v>0</v>
      </c>
    </row>
    <row r="44" spans="1:82" s="98" customFormat="1" ht="15" customHeight="1">
      <c r="A44" s="99"/>
      <c r="B44" s="161"/>
      <c r="C44" s="162"/>
      <c r="D44" s="162" t="s">
        <v>2708</v>
      </c>
      <c r="E44" s="162"/>
      <c r="F44" s="162"/>
      <c r="G44" s="163"/>
      <c r="H44" s="163"/>
      <c r="I44" s="164" t="s">
        <v>498</v>
      </c>
      <c r="J44" s="143">
        <v>0</v>
      </c>
      <c r="K44" s="141">
        <v>0</v>
      </c>
      <c r="L44" s="141">
        <v>0</v>
      </c>
      <c r="M44" s="141">
        <v>0</v>
      </c>
      <c r="N44" s="141">
        <v>0</v>
      </c>
      <c r="O44" s="141">
        <v>0</v>
      </c>
      <c r="P44" s="141">
        <v>0</v>
      </c>
      <c r="Q44" s="144">
        <v>0</v>
      </c>
      <c r="R44" s="143">
        <v>0</v>
      </c>
      <c r="S44" s="141">
        <v>0</v>
      </c>
      <c r="T44" s="141">
        <v>0</v>
      </c>
      <c r="U44" s="141">
        <v>0</v>
      </c>
      <c r="V44" s="144">
        <v>0</v>
      </c>
      <c r="W44" s="185"/>
      <c r="X44" s="164" t="s">
        <v>498</v>
      </c>
      <c r="Y44" s="143">
        <v>0</v>
      </c>
      <c r="Z44" s="141">
        <v>0</v>
      </c>
      <c r="AA44" s="141">
        <v>0</v>
      </c>
      <c r="AB44" s="141">
        <v>0</v>
      </c>
      <c r="AC44" s="141">
        <v>0</v>
      </c>
      <c r="AD44" s="141">
        <v>0</v>
      </c>
      <c r="AE44" s="141">
        <v>0</v>
      </c>
      <c r="AF44" s="144">
        <v>0</v>
      </c>
      <c r="AG44" s="143">
        <v>0</v>
      </c>
      <c r="AH44" s="141">
        <v>0</v>
      </c>
      <c r="AI44" s="141">
        <v>0</v>
      </c>
      <c r="AJ44" s="141">
        <v>0</v>
      </c>
      <c r="AK44" s="144">
        <v>0</v>
      </c>
      <c r="AL44" s="185"/>
      <c r="AM44" s="164" t="s">
        <v>2233</v>
      </c>
      <c r="AN44" s="143">
        <v>0</v>
      </c>
      <c r="AO44" s="141">
        <v>0</v>
      </c>
      <c r="AP44" s="141">
        <v>0</v>
      </c>
      <c r="AQ44" s="141">
        <v>0</v>
      </c>
      <c r="AR44" s="141">
        <v>0</v>
      </c>
      <c r="AS44" s="141">
        <v>0</v>
      </c>
      <c r="AT44" s="141">
        <v>0</v>
      </c>
      <c r="AU44" s="144">
        <v>0</v>
      </c>
      <c r="AV44" s="143">
        <v>0</v>
      </c>
      <c r="AW44" s="141">
        <v>0</v>
      </c>
      <c r="AX44" s="141">
        <v>0</v>
      </c>
      <c r="AY44" s="141">
        <v>0</v>
      </c>
      <c r="AZ44" s="144">
        <v>0</v>
      </c>
      <c r="BA44" s="185"/>
      <c r="BB44" s="545" t="s">
        <v>627</v>
      </c>
      <c r="BC44" s="868">
        <v>0</v>
      </c>
      <c r="BD44" s="545" t="s">
        <v>627</v>
      </c>
      <c r="BE44" s="868">
        <v>0</v>
      </c>
      <c r="BF44" s="545" t="s">
        <v>2233</v>
      </c>
      <c r="BG44" s="141">
        <v>0</v>
      </c>
      <c r="BH44" s="545" t="s">
        <v>2233</v>
      </c>
      <c r="BI44" s="141">
        <v>0</v>
      </c>
      <c r="BJ44" s="545" t="s">
        <v>2233</v>
      </c>
      <c r="BK44" s="141">
        <v>0</v>
      </c>
      <c r="BL44" s="545" t="s">
        <v>2233</v>
      </c>
      <c r="BM44" s="141">
        <v>0</v>
      </c>
      <c r="BN44" s="545" t="s">
        <v>2233</v>
      </c>
      <c r="BO44" s="141">
        <v>0</v>
      </c>
      <c r="BP44" s="185"/>
      <c r="BQ44" s="545" t="s">
        <v>627</v>
      </c>
      <c r="BR44" s="868">
        <v>0</v>
      </c>
      <c r="BS44" s="545" t="s">
        <v>627</v>
      </c>
      <c r="BT44" s="868">
        <v>0</v>
      </c>
      <c r="BU44" s="545" t="s">
        <v>2233</v>
      </c>
      <c r="BV44" s="141">
        <v>0</v>
      </c>
      <c r="BW44" s="545" t="s">
        <v>2233</v>
      </c>
      <c r="BX44" s="141">
        <v>0</v>
      </c>
      <c r="BY44" s="545" t="s">
        <v>2233</v>
      </c>
      <c r="BZ44" s="141">
        <v>0</v>
      </c>
      <c r="CA44" s="545" t="s">
        <v>2233</v>
      </c>
      <c r="CB44" s="141">
        <v>0</v>
      </c>
      <c r="CC44" s="545" t="s">
        <v>2233</v>
      </c>
      <c r="CD44" s="144">
        <v>0</v>
      </c>
    </row>
    <row r="45" spans="1:82" s="98" customFormat="1" ht="15" customHeight="1">
      <c r="A45" s="99"/>
      <c r="B45" s="161"/>
      <c r="C45" s="162" t="s">
        <v>1710</v>
      </c>
      <c r="D45" s="162"/>
      <c r="E45" s="162"/>
      <c r="F45" s="162"/>
      <c r="G45" s="163"/>
      <c r="H45" s="163"/>
      <c r="I45" s="164" t="s">
        <v>498</v>
      </c>
      <c r="J45" s="641">
        <f>SUM(J37:J44)</f>
        <v>0</v>
      </c>
      <c r="K45" s="642">
        <f t="shared" ref="K45" si="34">SUM(K37:K44)</f>
        <v>0</v>
      </c>
      <c r="L45" s="642">
        <f t="shared" ref="L45" si="35">SUM(L37:L44)</f>
        <v>0</v>
      </c>
      <c r="M45" s="642">
        <f t="shared" ref="M45" si="36">SUM(M37:M44)</f>
        <v>0</v>
      </c>
      <c r="N45" s="642">
        <f t="shared" ref="N45" si="37">SUM(N37:N44)</f>
        <v>0</v>
      </c>
      <c r="O45" s="642">
        <f t="shared" ref="O45" si="38">SUM(O37:O44)</f>
        <v>0</v>
      </c>
      <c r="P45" s="642">
        <f t="shared" ref="P45" si="39">SUM(P37:P44)</f>
        <v>0</v>
      </c>
      <c r="Q45" s="643">
        <f t="shared" ref="Q45" si="40">SUM(Q37:Q44)</f>
        <v>0</v>
      </c>
      <c r="R45" s="641">
        <f t="shared" ref="R45" si="41">SUM(R37:R44)</f>
        <v>0</v>
      </c>
      <c r="S45" s="642">
        <f t="shared" ref="S45" si="42">SUM(S37:S44)</f>
        <v>0</v>
      </c>
      <c r="T45" s="642">
        <f t="shared" ref="T45" si="43">SUM(T37:T44)</f>
        <v>0</v>
      </c>
      <c r="U45" s="642">
        <f t="shared" ref="U45" si="44">SUM(U37:U44)</f>
        <v>0</v>
      </c>
      <c r="V45" s="643">
        <f t="shared" ref="V45" si="45">SUM(V37:V44)</f>
        <v>0</v>
      </c>
      <c r="W45" s="185"/>
      <c r="X45" s="164" t="s">
        <v>498</v>
      </c>
      <c r="Y45" s="641">
        <f>SUM(Y37:Y44)</f>
        <v>0</v>
      </c>
      <c r="Z45" s="642">
        <f t="shared" ref="Z45" si="46">SUM(Z37:Z44)</f>
        <v>0</v>
      </c>
      <c r="AA45" s="642">
        <f t="shared" ref="AA45" si="47">SUM(AA37:AA44)</f>
        <v>0</v>
      </c>
      <c r="AB45" s="642">
        <f t="shared" ref="AB45" si="48">SUM(AB37:AB44)</f>
        <v>0</v>
      </c>
      <c r="AC45" s="642">
        <f t="shared" ref="AC45" si="49">SUM(AC37:AC44)</f>
        <v>0</v>
      </c>
      <c r="AD45" s="642">
        <f t="shared" ref="AD45" si="50">SUM(AD37:AD44)</f>
        <v>0</v>
      </c>
      <c r="AE45" s="642">
        <f t="shared" ref="AE45" si="51">SUM(AE37:AE44)</f>
        <v>0</v>
      </c>
      <c r="AF45" s="643">
        <f t="shared" ref="AF45" si="52">SUM(AF37:AF44)</f>
        <v>0</v>
      </c>
      <c r="AG45" s="641">
        <f t="shared" ref="AG45" si="53">SUM(AG37:AG44)</f>
        <v>0</v>
      </c>
      <c r="AH45" s="642">
        <f t="shared" ref="AH45" si="54">SUM(AH37:AH44)</f>
        <v>0</v>
      </c>
      <c r="AI45" s="642">
        <f t="shared" ref="AI45" si="55">SUM(AI37:AI44)</f>
        <v>0</v>
      </c>
      <c r="AJ45" s="642">
        <f t="shared" ref="AJ45" si="56">SUM(AJ37:AJ44)</f>
        <v>0</v>
      </c>
      <c r="AK45" s="643">
        <f t="shared" ref="AK45" si="57">SUM(AK37:AK44)</f>
        <v>0</v>
      </c>
      <c r="AL45" s="185"/>
      <c r="AM45" s="164" t="s">
        <v>2233</v>
      </c>
      <c r="AN45" s="641">
        <f>SUM(AN37:AN44)</f>
        <v>0</v>
      </c>
      <c r="AO45" s="642">
        <f t="shared" ref="AO45" si="58">SUM(AO37:AO44)</f>
        <v>0</v>
      </c>
      <c r="AP45" s="642">
        <f t="shared" ref="AP45" si="59">SUM(AP37:AP44)</f>
        <v>0</v>
      </c>
      <c r="AQ45" s="642">
        <f t="shared" ref="AQ45" si="60">SUM(AQ37:AQ44)</f>
        <v>0</v>
      </c>
      <c r="AR45" s="642">
        <f t="shared" ref="AR45" si="61">SUM(AR37:AR44)</f>
        <v>0</v>
      </c>
      <c r="AS45" s="642">
        <f t="shared" ref="AS45" si="62">SUM(AS37:AS44)</f>
        <v>0</v>
      </c>
      <c r="AT45" s="642">
        <f t="shared" ref="AT45" si="63">SUM(AT37:AT44)</f>
        <v>0</v>
      </c>
      <c r="AU45" s="643">
        <f t="shared" ref="AU45" si="64">SUM(AU37:AU44)</f>
        <v>0</v>
      </c>
      <c r="AV45" s="641">
        <f t="shared" ref="AV45" si="65">SUM(AV37:AV44)</f>
        <v>0</v>
      </c>
      <c r="AW45" s="642">
        <f t="shared" ref="AW45" si="66">SUM(AW37:AW44)</f>
        <v>0</v>
      </c>
      <c r="AX45" s="642">
        <f t="shared" ref="AX45" si="67">SUM(AX37:AX44)</f>
        <v>0</v>
      </c>
      <c r="AY45" s="642">
        <f t="shared" ref="AY45" si="68">SUM(AY37:AY44)</f>
        <v>0</v>
      </c>
      <c r="AZ45" s="643">
        <f t="shared" ref="AZ45" si="69">SUM(AZ37:AZ44)</f>
        <v>0</v>
      </c>
      <c r="BA45" s="185"/>
      <c r="BB45" s="530"/>
      <c r="BC45" s="530"/>
      <c r="BD45" s="530"/>
      <c r="BE45" s="530"/>
      <c r="BF45" s="545" t="s">
        <v>2233</v>
      </c>
      <c r="BG45" s="642">
        <f>SUM(BG37:BG44)</f>
        <v>0</v>
      </c>
      <c r="BH45" s="865" t="s">
        <v>2233</v>
      </c>
      <c r="BI45" s="642">
        <f>SUM(BI37:BI44)</f>
        <v>0</v>
      </c>
      <c r="BJ45" s="865" t="s">
        <v>2233</v>
      </c>
      <c r="BK45" s="642">
        <f>SUM(BK37:BK44)</f>
        <v>0</v>
      </c>
      <c r="BL45" s="865" t="s">
        <v>2233</v>
      </c>
      <c r="BM45" s="642">
        <f>SUM(BM37:BM44)</f>
        <v>0</v>
      </c>
      <c r="BN45" s="865" t="s">
        <v>2233</v>
      </c>
      <c r="BO45" s="642">
        <f>SUM(BO37:BO44)</f>
        <v>0</v>
      </c>
      <c r="BP45" s="185"/>
      <c r="BQ45" s="530"/>
      <c r="BR45" s="530"/>
      <c r="BS45" s="530"/>
      <c r="BT45" s="530"/>
      <c r="BU45" s="545" t="s">
        <v>2233</v>
      </c>
      <c r="BV45" s="642">
        <f>SUM(BV37:BV44)</f>
        <v>0</v>
      </c>
      <c r="BW45" s="865" t="s">
        <v>2233</v>
      </c>
      <c r="BX45" s="642">
        <f>SUM(BX37:BX44)</f>
        <v>0</v>
      </c>
      <c r="BY45" s="865" t="s">
        <v>2233</v>
      </c>
      <c r="BZ45" s="642">
        <f>SUM(BZ37:BZ44)</f>
        <v>0</v>
      </c>
      <c r="CA45" s="865" t="s">
        <v>2233</v>
      </c>
      <c r="CB45" s="642">
        <f>SUM(CB37:CB44)</f>
        <v>0</v>
      </c>
      <c r="CC45" s="865" t="s">
        <v>2233</v>
      </c>
      <c r="CD45" s="643">
        <f>SUM(CD37:CD44)</f>
        <v>0</v>
      </c>
    </row>
    <row r="46" spans="1:82" s="98" customFormat="1" ht="15" customHeight="1">
      <c r="A46" s="99"/>
      <c r="B46" s="123"/>
      <c r="C46" s="127"/>
      <c r="D46" s="127"/>
      <c r="E46" s="127"/>
      <c r="F46" s="127"/>
      <c r="G46" s="117"/>
      <c r="H46" s="117"/>
      <c r="I46" s="117"/>
      <c r="J46" s="713"/>
      <c r="K46" s="721"/>
      <c r="L46" s="721"/>
      <c r="M46" s="721"/>
      <c r="N46" s="721"/>
      <c r="O46" s="721"/>
      <c r="P46" s="721"/>
      <c r="Q46" s="715"/>
      <c r="R46" s="713"/>
      <c r="S46" s="721"/>
      <c r="T46" s="721"/>
      <c r="U46" s="721"/>
      <c r="V46" s="715"/>
      <c r="W46" s="185"/>
      <c r="X46" s="117"/>
      <c r="Y46" s="713"/>
      <c r="Z46" s="721"/>
      <c r="AA46" s="721"/>
      <c r="AB46" s="721"/>
      <c r="AC46" s="721"/>
      <c r="AD46" s="721"/>
      <c r="AE46" s="721"/>
      <c r="AF46" s="715"/>
      <c r="AG46" s="713"/>
      <c r="AH46" s="721"/>
      <c r="AI46" s="721"/>
      <c r="AJ46" s="721"/>
      <c r="AK46" s="715"/>
      <c r="AL46" s="185"/>
      <c r="AM46" s="117"/>
      <c r="AN46" s="713"/>
      <c r="AO46" s="721"/>
      <c r="AP46" s="721"/>
      <c r="AQ46" s="721"/>
      <c r="AR46" s="721"/>
      <c r="AS46" s="721"/>
      <c r="AT46" s="721"/>
      <c r="AU46" s="715"/>
      <c r="AV46" s="713"/>
      <c r="AW46" s="721"/>
      <c r="AX46" s="721"/>
      <c r="AY46" s="721"/>
      <c r="AZ46" s="715"/>
      <c r="BA46" s="185"/>
      <c r="BB46" s="530"/>
      <c r="BC46" s="530"/>
      <c r="BD46" s="530"/>
      <c r="BE46" s="530"/>
      <c r="BF46" s="530"/>
      <c r="BG46" s="530"/>
      <c r="BH46" s="530"/>
      <c r="BI46" s="530"/>
      <c r="BJ46" s="530"/>
      <c r="BK46" s="530"/>
      <c r="BL46" s="530"/>
      <c r="BM46" s="530"/>
      <c r="BN46" s="530"/>
      <c r="BO46" s="530"/>
      <c r="BP46" s="185"/>
      <c r="BQ46" s="530"/>
      <c r="BR46" s="530"/>
      <c r="BS46" s="530"/>
      <c r="BT46" s="530"/>
      <c r="BU46" s="530"/>
      <c r="BV46" s="530"/>
      <c r="BW46" s="530"/>
      <c r="BX46" s="530"/>
      <c r="BY46" s="530"/>
      <c r="BZ46" s="530"/>
      <c r="CA46" s="530"/>
      <c r="CB46" s="530"/>
      <c r="CC46" s="530"/>
      <c r="CD46" s="544"/>
    </row>
    <row r="47" spans="1:82" s="98" customFormat="1" ht="15" customHeight="1">
      <c r="A47" s="99"/>
      <c r="B47" s="161"/>
      <c r="C47" s="116" t="s">
        <v>1684</v>
      </c>
      <c r="D47" s="116"/>
      <c r="E47" s="116"/>
      <c r="F47" s="116"/>
      <c r="G47" s="117"/>
      <c r="H47" s="117"/>
      <c r="I47" s="117"/>
      <c r="J47" s="713"/>
      <c r="K47" s="721"/>
      <c r="L47" s="721"/>
      <c r="M47" s="721"/>
      <c r="N47" s="721"/>
      <c r="O47" s="721"/>
      <c r="P47" s="721"/>
      <c r="Q47" s="715"/>
      <c r="R47" s="713"/>
      <c r="S47" s="721"/>
      <c r="T47" s="721"/>
      <c r="U47" s="721"/>
      <c r="V47" s="715"/>
      <c r="W47" s="185"/>
      <c r="X47" s="117"/>
      <c r="Y47" s="713"/>
      <c r="Z47" s="721"/>
      <c r="AA47" s="721"/>
      <c r="AB47" s="721"/>
      <c r="AC47" s="721"/>
      <c r="AD47" s="721"/>
      <c r="AE47" s="721"/>
      <c r="AF47" s="715"/>
      <c r="AG47" s="713"/>
      <c r="AH47" s="721"/>
      <c r="AI47" s="721"/>
      <c r="AJ47" s="721"/>
      <c r="AK47" s="715"/>
      <c r="AL47" s="185"/>
      <c r="AM47" s="117"/>
      <c r="AN47" s="713"/>
      <c r="AO47" s="721"/>
      <c r="AP47" s="721"/>
      <c r="AQ47" s="721"/>
      <c r="AR47" s="721"/>
      <c r="AS47" s="721"/>
      <c r="AT47" s="721"/>
      <c r="AU47" s="715"/>
      <c r="AV47" s="713"/>
      <c r="AW47" s="721"/>
      <c r="AX47" s="721"/>
      <c r="AY47" s="721"/>
      <c r="AZ47" s="715"/>
      <c r="BA47" s="185"/>
      <c r="BB47" s="530"/>
      <c r="BC47" s="530"/>
      <c r="BD47" s="530"/>
      <c r="BE47" s="530"/>
      <c r="BF47" s="530"/>
      <c r="BG47" s="530"/>
      <c r="BH47" s="530"/>
      <c r="BI47" s="530"/>
      <c r="BJ47" s="530"/>
      <c r="BK47" s="530"/>
      <c r="BL47" s="530"/>
      <c r="BM47" s="530"/>
      <c r="BN47" s="530"/>
      <c r="BO47" s="530"/>
      <c r="BP47" s="185"/>
      <c r="BQ47" s="530"/>
      <c r="BR47" s="530"/>
      <c r="BS47" s="530"/>
      <c r="BT47" s="530"/>
      <c r="BU47" s="530"/>
      <c r="BV47" s="530"/>
      <c r="BW47" s="530"/>
      <c r="BX47" s="530"/>
      <c r="BY47" s="530"/>
      <c r="BZ47" s="530"/>
      <c r="CA47" s="530"/>
      <c r="CB47" s="530"/>
      <c r="CC47" s="530"/>
      <c r="CD47" s="544"/>
    </row>
    <row r="48" spans="1:82" s="98" customFormat="1" ht="15" customHeight="1">
      <c r="A48" s="99"/>
      <c r="B48" s="161"/>
      <c r="C48" s="162"/>
      <c r="D48" s="162" t="s">
        <v>2701</v>
      </c>
      <c r="E48" s="162"/>
      <c r="F48" s="162"/>
      <c r="G48" s="163"/>
      <c r="H48" s="163"/>
      <c r="I48" s="164" t="s">
        <v>498</v>
      </c>
      <c r="J48" s="143">
        <v>0</v>
      </c>
      <c r="K48" s="141">
        <v>0</v>
      </c>
      <c r="L48" s="141">
        <v>0</v>
      </c>
      <c r="M48" s="141">
        <v>0</v>
      </c>
      <c r="N48" s="141">
        <v>0</v>
      </c>
      <c r="O48" s="141">
        <v>0</v>
      </c>
      <c r="P48" s="141">
        <v>0</v>
      </c>
      <c r="Q48" s="144">
        <v>0</v>
      </c>
      <c r="R48" s="143">
        <v>0</v>
      </c>
      <c r="S48" s="141">
        <v>0</v>
      </c>
      <c r="T48" s="141">
        <v>0</v>
      </c>
      <c r="U48" s="141">
        <v>0</v>
      </c>
      <c r="V48" s="144">
        <v>0</v>
      </c>
      <c r="W48" s="185"/>
      <c r="X48" s="164" t="s">
        <v>498</v>
      </c>
      <c r="Y48" s="143">
        <v>0</v>
      </c>
      <c r="Z48" s="141">
        <v>0</v>
      </c>
      <c r="AA48" s="141">
        <v>0</v>
      </c>
      <c r="AB48" s="141">
        <v>0</v>
      </c>
      <c r="AC48" s="141">
        <v>0</v>
      </c>
      <c r="AD48" s="141">
        <v>0</v>
      </c>
      <c r="AE48" s="141">
        <v>0</v>
      </c>
      <c r="AF48" s="144">
        <v>0</v>
      </c>
      <c r="AG48" s="143">
        <v>0</v>
      </c>
      <c r="AH48" s="141">
        <v>0</v>
      </c>
      <c r="AI48" s="141">
        <v>0</v>
      </c>
      <c r="AJ48" s="141">
        <v>0</v>
      </c>
      <c r="AK48" s="144">
        <v>0</v>
      </c>
      <c r="AL48" s="185"/>
      <c r="AM48" s="164" t="s">
        <v>2233</v>
      </c>
      <c r="AN48" s="143">
        <v>0</v>
      </c>
      <c r="AO48" s="141">
        <v>0</v>
      </c>
      <c r="AP48" s="141">
        <v>0</v>
      </c>
      <c r="AQ48" s="141">
        <v>0</v>
      </c>
      <c r="AR48" s="141">
        <v>0</v>
      </c>
      <c r="AS48" s="141">
        <v>0</v>
      </c>
      <c r="AT48" s="141">
        <v>0</v>
      </c>
      <c r="AU48" s="144">
        <v>0</v>
      </c>
      <c r="AV48" s="143">
        <v>0</v>
      </c>
      <c r="AW48" s="141">
        <v>0</v>
      </c>
      <c r="AX48" s="141">
        <v>0</v>
      </c>
      <c r="AY48" s="141">
        <v>0</v>
      </c>
      <c r="AZ48" s="144">
        <v>0</v>
      </c>
      <c r="BA48" s="185"/>
      <c r="BB48" s="545" t="s">
        <v>627</v>
      </c>
      <c r="BC48" s="868">
        <v>0</v>
      </c>
      <c r="BD48" s="545" t="s">
        <v>627</v>
      </c>
      <c r="BE48" s="868">
        <v>0</v>
      </c>
      <c r="BF48" s="545" t="s">
        <v>2233</v>
      </c>
      <c r="BG48" s="141">
        <v>0</v>
      </c>
      <c r="BH48" s="545" t="s">
        <v>2233</v>
      </c>
      <c r="BI48" s="141">
        <v>0</v>
      </c>
      <c r="BJ48" s="545" t="s">
        <v>2233</v>
      </c>
      <c r="BK48" s="141">
        <v>0</v>
      </c>
      <c r="BL48" s="545" t="s">
        <v>2233</v>
      </c>
      <c r="BM48" s="141">
        <v>0</v>
      </c>
      <c r="BN48" s="545" t="s">
        <v>2233</v>
      </c>
      <c r="BO48" s="141">
        <v>0</v>
      </c>
      <c r="BP48" s="185"/>
      <c r="BQ48" s="545" t="s">
        <v>627</v>
      </c>
      <c r="BR48" s="868">
        <v>0</v>
      </c>
      <c r="BS48" s="545" t="s">
        <v>627</v>
      </c>
      <c r="BT48" s="868">
        <v>0</v>
      </c>
      <c r="BU48" s="545" t="s">
        <v>2233</v>
      </c>
      <c r="BV48" s="141">
        <v>0</v>
      </c>
      <c r="BW48" s="545" t="s">
        <v>2233</v>
      </c>
      <c r="BX48" s="141">
        <v>0</v>
      </c>
      <c r="BY48" s="545" t="s">
        <v>2233</v>
      </c>
      <c r="BZ48" s="141">
        <v>0</v>
      </c>
      <c r="CA48" s="545" t="s">
        <v>2233</v>
      </c>
      <c r="CB48" s="141">
        <v>0</v>
      </c>
      <c r="CC48" s="545" t="s">
        <v>2233</v>
      </c>
      <c r="CD48" s="144">
        <v>0</v>
      </c>
    </row>
    <row r="49" spans="1:82" s="98" customFormat="1" ht="15" customHeight="1">
      <c r="A49" s="99"/>
      <c r="B49" s="161"/>
      <c r="C49" s="162"/>
      <c r="D49" s="162" t="s">
        <v>2702</v>
      </c>
      <c r="E49" s="162"/>
      <c r="F49" s="162"/>
      <c r="G49" s="163"/>
      <c r="H49" s="163"/>
      <c r="I49" s="164" t="s">
        <v>498</v>
      </c>
      <c r="J49" s="143">
        <v>0</v>
      </c>
      <c r="K49" s="141">
        <v>0</v>
      </c>
      <c r="L49" s="141">
        <v>0</v>
      </c>
      <c r="M49" s="141">
        <v>0</v>
      </c>
      <c r="N49" s="141">
        <v>0</v>
      </c>
      <c r="O49" s="141">
        <v>0</v>
      </c>
      <c r="P49" s="141">
        <v>0</v>
      </c>
      <c r="Q49" s="144">
        <v>0</v>
      </c>
      <c r="R49" s="143">
        <v>0</v>
      </c>
      <c r="S49" s="141">
        <v>0</v>
      </c>
      <c r="T49" s="141">
        <v>0</v>
      </c>
      <c r="U49" s="141">
        <v>0</v>
      </c>
      <c r="V49" s="144">
        <v>0</v>
      </c>
      <c r="W49" s="185"/>
      <c r="X49" s="164" t="s">
        <v>498</v>
      </c>
      <c r="Y49" s="143">
        <v>0</v>
      </c>
      <c r="Z49" s="141">
        <v>0</v>
      </c>
      <c r="AA49" s="141">
        <v>0</v>
      </c>
      <c r="AB49" s="141">
        <v>0</v>
      </c>
      <c r="AC49" s="141">
        <v>0</v>
      </c>
      <c r="AD49" s="141">
        <v>0</v>
      </c>
      <c r="AE49" s="141">
        <v>0</v>
      </c>
      <c r="AF49" s="144">
        <v>0</v>
      </c>
      <c r="AG49" s="143">
        <v>0</v>
      </c>
      <c r="AH49" s="141">
        <v>0</v>
      </c>
      <c r="AI49" s="141">
        <v>0</v>
      </c>
      <c r="AJ49" s="141">
        <v>0</v>
      </c>
      <c r="AK49" s="144">
        <v>0</v>
      </c>
      <c r="AL49" s="185"/>
      <c r="AM49" s="164" t="s">
        <v>2233</v>
      </c>
      <c r="AN49" s="143">
        <v>0</v>
      </c>
      <c r="AO49" s="141">
        <v>0</v>
      </c>
      <c r="AP49" s="141">
        <v>0</v>
      </c>
      <c r="AQ49" s="141">
        <v>0</v>
      </c>
      <c r="AR49" s="141">
        <v>0</v>
      </c>
      <c r="AS49" s="141">
        <v>0</v>
      </c>
      <c r="AT49" s="141">
        <v>0</v>
      </c>
      <c r="AU49" s="144">
        <v>0</v>
      </c>
      <c r="AV49" s="143">
        <v>0</v>
      </c>
      <c r="AW49" s="141">
        <v>0</v>
      </c>
      <c r="AX49" s="141">
        <v>0</v>
      </c>
      <c r="AY49" s="141">
        <v>0</v>
      </c>
      <c r="AZ49" s="144">
        <v>0</v>
      </c>
      <c r="BA49" s="185"/>
      <c r="BB49" s="545" t="s">
        <v>627</v>
      </c>
      <c r="BC49" s="868">
        <v>0</v>
      </c>
      <c r="BD49" s="545" t="s">
        <v>627</v>
      </c>
      <c r="BE49" s="868">
        <v>0</v>
      </c>
      <c r="BF49" s="545" t="s">
        <v>2233</v>
      </c>
      <c r="BG49" s="141">
        <v>0</v>
      </c>
      <c r="BH49" s="545" t="s">
        <v>2233</v>
      </c>
      <c r="BI49" s="141">
        <v>0</v>
      </c>
      <c r="BJ49" s="545" t="s">
        <v>2233</v>
      </c>
      <c r="BK49" s="141">
        <v>0</v>
      </c>
      <c r="BL49" s="545" t="s">
        <v>2233</v>
      </c>
      <c r="BM49" s="141">
        <v>0</v>
      </c>
      <c r="BN49" s="545" t="s">
        <v>2233</v>
      </c>
      <c r="BO49" s="141">
        <v>0</v>
      </c>
      <c r="BP49" s="185"/>
      <c r="BQ49" s="545" t="s">
        <v>627</v>
      </c>
      <c r="BR49" s="868">
        <v>0</v>
      </c>
      <c r="BS49" s="545" t="s">
        <v>627</v>
      </c>
      <c r="BT49" s="868">
        <v>0</v>
      </c>
      <c r="BU49" s="545" t="s">
        <v>2233</v>
      </c>
      <c r="BV49" s="141">
        <v>0</v>
      </c>
      <c r="BW49" s="545" t="s">
        <v>2233</v>
      </c>
      <c r="BX49" s="141">
        <v>0</v>
      </c>
      <c r="BY49" s="545" t="s">
        <v>2233</v>
      </c>
      <c r="BZ49" s="141">
        <v>0</v>
      </c>
      <c r="CA49" s="545" t="s">
        <v>2233</v>
      </c>
      <c r="CB49" s="141">
        <v>0</v>
      </c>
      <c r="CC49" s="545" t="s">
        <v>2233</v>
      </c>
      <c r="CD49" s="144">
        <v>0</v>
      </c>
    </row>
    <row r="50" spans="1:82" s="98" customFormat="1" ht="15" customHeight="1">
      <c r="A50" s="99"/>
      <c r="B50" s="161"/>
      <c r="C50" s="162"/>
      <c r="D50" s="162" t="s">
        <v>2703</v>
      </c>
      <c r="E50" s="162"/>
      <c r="F50" s="162"/>
      <c r="G50" s="163"/>
      <c r="H50" s="163"/>
      <c r="I50" s="164" t="s">
        <v>498</v>
      </c>
      <c r="J50" s="143">
        <v>0</v>
      </c>
      <c r="K50" s="141">
        <v>0</v>
      </c>
      <c r="L50" s="141">
        <v>0</v>
      </c>
      <c r="M50" s="141">
        <v>0</v>
      </c>
      <c r="N50" s="141">
        <v>0</v>
      </c>
      <c r="O50" s="141">
        <v>0</v>
      </c>
      <c r="P50" s="141">
        <v>0</v>
      </c>
      <c r="Q50" s="144">
        <v>0</v>
      </c>
      <c r="R50" s="143">
        <v>0</v>
      </c>
      <c r="S50" s="141">
        <v>0</v>
      </c>
      <c r="T50" s="141">
        <v>0</v>
      </c>
      <c r="U50" s="141">
        <v>0</v>
      </c>
      <c r="V50" s="144">
        <v>0</v>
      </c>
      <c r="W50" s="185"/>
      <c r="X50" s="164" t="s">
        <v>498</v>
      </c>
      <c r="Y50" s="143">
        <v>0</v>
      </c>
      <c r="Z50" s="141">
        <v>0</v>
      </c>
      <c r="AA50" s="141">
        <v>0</v>
      </c>
      <c r="AB50" s="141">
        <v>0</v>
      </c>
      <c r="AC50" s="141">
        <v>0</v>
      </c>
      <c r="AD50" s="141">
        <v>0</v>
      </c>
      <c r="AE50" s="141">
        <v>0</v>
      </c>
      <c r="AF50" s="144">
        <v>0</v>
      </c>
      <c r="AG50" s="143">
        <v>0</v>
      </c>
      <c r="AH50" s="141">
        <v>0</v>
      </c>
      <c r="AI50" s="141">
        <v>0</v>
      </c>
      <c r="AJ50" s="141">
        <v>0</v>
      </c>
      <c r="AK50" s="144">
        <v>0</v>
      </c>
      <c r="AL50" s="185"/>
      <c r="AM50" s="164" t="s">
        <v>2233</v>
      </c>
      <c r="AN50" s="143">
        <v>0</v>
      </c>
      <c r="AO50" s="141">
        <v>0</v>
      </c>
      <c r="AP50" s="141">
        <v>0</v>
      </c>
      <c r="AQ50" s="141">
        <v>0</v>
      </c>
      <c r="AR50" s="141">
        <v>0</v>
      </c>
      <c r="AS50" s="141">
        <v>0</v>
      </c>
      <c r="AT50" s="141">
        <v>0</v>
      </c>
      <c r="AU50" s="144">
        <v>0</v>
      </c>
      <c r="AV50" s="143">
        <v>0</v>
      </c>
      <c r="AW50" s="141">
        <v>0</v>
      </c>
      <c r="AX50" s="141">
        <v>0</v>
      </c>
      <c r="AY50" s="141">
        <v>0</v>
      </c>
      <c r="AZ50" s="144">
        <v>0</v>
      </c>
      <c r="BA50" s="185"/>
      <c r="BB50" s="545" t="s">
        <v>627</v>
      </c>
      <c r="BC50" s="868">
        <v>0</v>
      </c>
      <c r="BD50" s="545" t="s">
        <v>627</v>
      </c>
      <c r="BE50" s="868">
        <v>0</v>
      </c>
      <c r="BF50" s="545" t="s">
        <v>2233</v>
      </c>
      <c r="BG50" s="141">
        <v>0</v>
      </c>
      <c r="BH50" s="545" t="s">
        <v>2233</v>
      </c>
      <c r="BI50" s="141">
        <v>0</v>
      </c>
      <c r="BJ50" s="545" t="s">
        <v>2233</v>
      </c>
      <c r="BK50" s="141">
        <v>0</v>
      </c>
      <c r="BL50" s="545" t="s">
        <v>2233</v>
      </c>
      <c r="BM50" s="141">
        <v>0</v>
      </c>
      <c r="BN50" s="545" t="s">
        <v>2233</v>
      </c>
      <c r="BO50" s="141">
        <v>0</v>
      </c>
      <c r="BP50" s="185"/>
      <c r="BQ50" s="545" t="s">
        <v>627</v>
      </c>
      <c r="BR50" s="868">
        <v>0</v>
      </c>
      <c r="BS50" s="545" t="s">
        <v>627</v>
      </c>
      <c r="BT50" s="868">
        <v>0</v>
      </c>
      <c r="BU50" s="545" t="s">
        <v>2233</v>
      </c>
      <c r="BV50" s="141">
        <v>0</v>
      </c>
      <c r="BW50" s="545" t="s">
        <v>2233</v>
      </c>
      <c r="BX50" s="141">
        <v>0</v>
      </c>
      <c r="BY50" s="545" t="s">
        <v>2233</v>
      </c>
      <c r="BZ50" s="141">
        <v>0</v>
      </c>
      <c r="CA50" s="545" t="s">
        <v>2233</v>
      </c>
      <c r="CB50" s="141">
        <v>0</v>
      </c>
      <c r="CC50" s="545" t="s">
        <v>2233</v>
      </c>
      <c r="CD50" s="144">
        <v>0</v>
      </c>
    </row>
    <row r="51" spans="1:82" s="98" customFormat="1" ht="15" customHeight="1">
      <c r="A51" s="99"/>
      <c r="B51" s="161"/>
      <c r="C51" s="162"/>
      <c r="D51" s="162" t="s">
        <v>2704</v>
      </c>
      <c r="E51" s="162"/>
      <c r="F51" s="162"/>
      <c r="G51" s="163"/>
      <c r="H51" s="163"/>
      <c r="I51" s="164" t="s">
        <v>498</v>
      </c>
      <c r="J51" s="143">
        <v>0</v>
      </c>
      <c r="K51" s="141">
        <v>0</v>
      </c>
      <c r="L51" s="141">
        <v>0</v>
      </c>
      <c r="M51" s="141">
        <v>0</v>
      </c>
      <c r="N51" s="141">
        <v>0</v>
      </c>
      <c r="O51" s="141">
        <v>0</v>
      </c>
      <c r="P51" s="141">
        <v>0</v>
      </c>
      <c r="Q51" s="144">
        <v>0</v>
      </c>
      <c r="R51" s="143">
        <v>0</v>
      </c>
      <c r="S51" s="141">
        <v>0</v>
      </c>
      <c r="T51" s="141">
        <v>0</v>
      </c>
      <c r="U51" s="141">
        <v>0</v>
      </c>
      <c r="V51" s="144">
        <v>0</v>
      </c>
      <c r="W51" s="185"/>
      <c r="X51" s="164" t="s">
        <v>498</v>
      </c>
      <c r="Y51" s="143">
        <v>0</v>
      </c>
      <c r="Z51" s="141">
        <v>0</v>
      </c>
      <c r="AA51" s="141">
        <v>0</v>
      </c>
      <c r="AB51" s="141">
        <v>0</v>
      </c>
      <c r="AC51" s="141">
        <v>0</v>
      </c>
      <c r="AD51" s="141">
        <v>0</v>
      </c>
      <c r="AE51" s="141">
        <v>0</v>
      </c>
      <c r="AF51" s="144">
        <v>0</v>
      </c>
      <c r="AG51" s="143">
        <v>0</v>
      </c>
      <c r="AH51" s="141">
        <v>0</v>
      </c>
      <c r="AI51" s="141">
        <v>0</v>
      </c>
      <c r="AJ51" s="141">
        <v>0</v>
      </c>
      <c r="AK51" s="144">
        <v>0</v>
      </c>
      <c r="AL51" s="185"/>
      <c r="AM51" s="164" t="s">
        <v>2233</v>
      </c>
      <c r="AN51" s="143">
        <v>0</v>
      </c>
      <c r="AO51" s="141">
        <v>0</v>
      </c>
      <c r="AP51" s="141">
        <v>0</v>
      </c>
      <c r="AQ51" s="141">
        <v>0</v>
      </c>
      <c r="AR51" s="141">
        <v>0</v>
      </c>
      <c r="AS51" s="141">
        <v>0</v>
      </c>
      <c r="AT51" s="141">
        <v>0</v>
      </c>
      <c r="AU51" s="144">
        <v>0</v>
      </c>
      <c r="AV51" s="143">
        <v>0</v>
      </c>
      <c r="AW51" s="141">
        <v>0</v>
      </c>
      <c r="AX51" s="141">
        <v>0</v>
      </c>
      <c r="AY51" s="141">
        <v>0</v>
      </c>
      <c r="AZ51" s="144">
        <v>0</v>
      </c>
      <c r="BA51" s="185"/>
      <c r="BB51" s="545" t="s">
        <v>627</v>
      </c>
      <c r="BC51" s="868">
        <v>0</v>
      </c>
      <c r="BD51" s="545" t="s">
        <v>627</v>
      </c>
      <c r="BE51" s="868">
        <v>0</v>
      </c>
      <c r="BF51" s="545" t="s">
        <v>2233</v>
      </c>
      <c r="BG51" s="141">
        <v>0</v>
      </c>
      <c r="BH51" s="545" t="s">
        <v>2233</v>
      </c>
      <c r="BI51" s="141">
        <v>0</v>
      </c>
      <c r="BJ51" s="545" t="s">
        <v>2233</v>
      </c>
      <c r="BK51" s="141">
        <v>0</v>
      </c>
      <c r="BL51" s="545" t="s">
        <v>2233</v>
      </c>
      <c r="BM51" s="141">
        <v>0</v>
      </c>
      <c r="BN51" s="545" t="s">
        <v>2233</v>
      </c>
      <c r="BO51" s="141">
        <v>0</v>
      </c>
      <c r="BP51" s="185"/>
      <c r="BQ51" s="545" t="s">
        <v>627</v>
      </c>
      <c r="BR51" s="868">
        <v>0</v>
      </c>
      <c r="BS51" s="545" t="s">
        <v>627</v>
      </c>
      <c r="BT51" s="868">
        <v>0</v>
      </c>
      <c r="BU51" s="545" t="s">
        <v>2233</v>
      </c>
      <c r="BV51" s="141">
        <v>0</v>
      </c>
      <c r="BW51" s="545" t="s">
        <v>2233</v>
      </c>
      <c r="BX51" s="141">
        <v>0</v>
      </c>
      <c r="BY51" s="545" t="s">
        <v>2233</v>
      </c>
      <c r="BZ51" s="141">
        <v>0</v>
      </c>
      <c r="CA51" s="545" t="s">
        <v>2233</v>
      </c>
      <c r="CB51" s="141">
        <v>0</v>
      </c>
      <c r="CC51" s="545" t="s">
        <v>2233</v>
      </c>
      <c r="CD51" s="144">
        <v>0</v>
      </c>
    </row>
    <row r="52" spans="1:82" s="98" customFormat="1" ht="15" customHeight="1">
      <c r="A52" s="99"/>
      <c r="B52" s="161"/>
      <c r="C52" s="162"/>
      <c r="D52" s="162" t="s">
        <v>2705</v>
      </c>
      <c r="E52" s="162"/>
      <c r="F52" s="162"/>
      <c r="G52" s="163"/>
      <c r="H52" s="163"/>
      <c r="I52" s="164" t="s">
        <v>498</v>
      </c>
      <c r="J52" s="143">
        <v>0</v>
      </c>
      <c r="K52" s="141">
        <v>0</v>
      </c>
      <c r="L52" s="141">
        <v>0</v>
      </c>
      <c r="M52" s="141">
        <v>0</v>
      </c>
      <c r="N52" s="141">
        <v>0</v>
      </c>
      <c r="O52" s="141">
        <v>0</v>
      </c>
      <c r="P52" s="141">
        <v>0</v>
      </c>
      <c r="Q52" s="144">
        <v>0</v>
      </c>
      <c r="R52" s="143">
        <v>0</v>
      </c>
      <c r="S52" s="141">
        <v>0</v>
      </c>
      <c r="T52" s="141">
        <v>0</v>
      </c>
      <c r="U52" s="141">
        <v>0</v>
      </c>
      <c r="V52" s="144">
        <v>0</v>
      </c>
      <c r="W52" s="185"/>
      <c r="X52" s="164" t="s">
        <v>498</v>
      </c>
      <c r="Y52" s="143">
        <v>0</v>
      </c>
      <c r="Z52" s="141">
        <v>0</v>
      </c>
      <c r="AA52" s="141">
        <v>0</v>
      </c>
      <c r="AB52" s="141">
        <v>0</v>
      </c>
      <c r="AC52" s="141">
        <v>0</v>
      </c>
      <c r="AD52" s="141">
        <v>0</v>
      </c>
      <c r="AE52" s="141">
        <v>0</v>
      </c>
      <c r="AF52" s="144">
        <v>0</v>
      </c>
      <c r="AG52" s="143">
        <v>0</v>
      </c>
      <c r="AH52" s="141">
        <v>0</v>
      </c>
      <c r="AI52" s="141">
        <v>0</v>
      </c>
      <c r="AJ52" s="141">
        <v>0</v>
      </c>
      <c r="AK52" s="144">
        <v>0</v>
      </c>
      <c r="AL52" s="185"/>
      <c r="AM52" s="164" t="s">
        <v>2233</v>
      </c>
      <c r="AN52" s="143">
        <v>0</v>
      </c>
      <c r="AO52" s="141">
        <v>0</v>
      </c>
      <c r="AP52" s="141">
        <v>0</v>
      </c>
      <c r="AQ52" s="141">
        <v>0</v>
      </c>
      <c r="AR52" s="141">
        <v>0</v>
      </c>
      <c r="AS52" s="141">
        <v>0</v>
      </c>
      <c r="AT52" s="141">
        <v>0</v>
      </c>
      <c r="AU52" s="144">
        <v>0</v>
      </c>
      <c r="AV52" s="143">
        <v>0</v>
      </c>
      <c r="AW52" s="141">
        <v>0</v>
      </c>
      <c r="AX52" s="141">
        <v>0</v>
      </c>
      <c r="AY52" s="141">
        <v>0</v>
      </c>
      <c r="AZ52" s="144">
        <v>0</v>
      </c>
      <c r="BA52" s="185"/>
      <c r="BB52" s="545" t="s">
        <v>627</v>
      </c>
      <c r="BC52" s="868">
        <v>0</v>
      </c>
      <c r="BD52" s="545" t="s">
        <v>627</v>
      </c>
      <c r="BE52" s="868">
        <v>0</v>
      </c>
      <c r="BF52" s="545" t="s">
        <v>2233</v>
      </c>
      <c r="BG52" s="141">
        <v>0</v>
      </c>
      <c r="BH52" s="545" t="s">
        <v>2233</v>
      </c>
      <c r="BI52" s="141">
        <v>0</v>
      </c>
      <c r="BJ52" s="545" t="s">
        <v>2233</v>
      </c>
      <c r="BK52" s="141">
        <v>0</v>
      </c>
      <c r="BL52" s="545" t="s">
        <v>2233</v>
      </c>
      <c r="BM52" s="141">
        <v>0</v>
      </c>
      <c r="BN52" s="545" t="s">
        <v>2233</v>
      </c>
      <c r="BO52" s="141">
        <v>0</v>
      </c>
      <c r="BP52" s="185"/>
      <c r="BQ52" s="545" t="s">
        <v>627</v>
      </c>
      <c r="BR52" s="868">
        <v>0</v>
      </c>
      <c r="BS52" s="545" t="s">
        <v>627</v>
      </c>
      <c r="BT52" s="868">
        <v>0</v>
      </c>
      <c r="BU52" s="545" t="s">
        <v>2233</v>
      </c>
      <c r="BV52" s="141">
        <v>0</v>
      </c>
      <c r="BW52" s="545" t="s">
        <v>2233</v>
      </c>
      <c r="BX52" s="141">
        <v>0</v>
      </c>
      <c r="BY52" s="545" t="s">
        <v>2233</v>
      </c>
      <c r="BZ52" s="141">
        <v>0</v>
      </c>
      <c r="CA52" s="545" t="s">
        <v>2233</v>
      </c>
      <c r="CB52" s="141">
        <v>0</v>
      </c>
      <c r="CC52" s="545" t="s">
        <v>2233</v>
      </c>
      <c r="CD52" s="144">
        <v>0</v>
      </c>
    </row>
    <row r="53" spans="1:82" s="98" customFormat="1" ht="15" customHeight="1">
      <c r="A53" s="99"/>
      <c r="B53" s="161"/>
      <c r="C53" s="162"/>
      <c r="D53" s="162" t="s">
        <v>2706</v>
      </c>
      <c r="E53" s="162"/>
      <c r="F53" s="162"/>
      <c r="G53" s="163"/>
      <c r="H53" s="163"/>
      <c r="I53" s="164" t="s">
        <v>498</v>
      </c>
      <c r="J53" s="143">
        <v>0</v>
      </c>
      <c r="K53" s="141">
        <v>0</v>
      </c>
      <c r="L53" s="141">
        <v>0</v>
      </c>
      <c r="M53" s="141">
        <v>0</v>
      </c>
      <c r="N53" s="141">
        <v>0</v>
      </c>
      <c r="O53" s="141">
        <v>0</v>
      </c>
      <c r="P53" s="141">
        <v>0</v>
      </c>
      <c r="Q53" s="144">
        <v>0</v>
      </c>
      <c r="R53" s="143">
        <v>0</v>
      </c>
      <c r="S53" s="141">
        <v>0</v>
      </c>
      <c r="T53" s="141">
        <v>0</v>
      </c>
      <c r="U53" s="141">
        <v>0</v>
      </c>
      <c r="V53" s="144">
        <v>0</v>
      </c>
      <c r="W53" s="185"/>
      <c r="X53" s="164" t="s">
        <v>498</v>
      </c>
      <c r="Y53" s="143">
        <v>0</v>
      </c>
      <c r="Z53" s="141">
        <v>0</v>
      </c>
      <c r="AA53" s="141">
        <v>0</v>
      </c>
      <c r="AB53" s="141">
        <v>0</v>
      </c>
      <c r="AC53" s="141">
        <v>0</v>
      </c>
      <c r="AD53" s="141">
        <v>0</v>
      </c>
      <c r="AE53" s="141">
        <v>0</v>
      </c>
      <c r="AF53" s="144">
        <v>0</v>
      </c>
      <c r="AG53" s="143">
        <v>0</v>
      </c>
      <c r="AH53" s="141">
        <v>0</v>
      </c>
      <c r="AI53" s="141">
        <v>0</v>
      </c>
      <c r="AJ53" s="141">
        <v>0</v>
      </c>
      <c r="AK53" s="144">
        <v>0</v>
      </c>
      <c r="AL53" s="185"/>
      <c r="AM53" s="164" t="s">
        <v>2233</v>
      </c>
      <c r="AN53" s="143">
        <v>0</v>
      </c>
      <c r="AO53" s="141">
        <v>0</v>
      </c>
      <c r="AP53" s="141">
        <v>0</v>
      </c>
      <c r="AQ53" s="141">
        <v>0</v>
      </c>
      <c r="AR53" s="141">
        <v>0</v>
      </c>
      <c r="AS53" s="141">
        <v>0</v>
      </c>
      <c r="AT53" s="141">
        <v>0</v>
      </c>
      <c r="AU53" s="144">
        <v>0</v>
      </c>
      <c r="AV53" s="143">
        <v>0</v>
      </c>
      <c r="AW53" s="141">
        <v>0</v>
      </c>
      <c r="AX53" s="141">
        <v>0</v>
      </c>
      <c r="AY53" s="141">
        <v>0</v>
      </c>
      <c r="AZ53" s="144">
        <v>0</v>
      </c>
      <c r="BA53" s="185"/>
      <c r="BB53" s="545" t="s">
        <v>627</v>
      </c>
      <c r="BC53" s="868">
        <v>0</v>
      </c>
      <c r="BD53" s="545" t="s">
        <v>627</v>
      </c>
      <c r="BE53" s="868">
        <v>0</v>
      </c>
      <c r="BF53" s="545" t="s">
        <v>2233</v>
      </c>
      <c r="BG53" s="141">
        <v>0</v>
      </c>
      <c r="BH53" s="545" t="s">
        <v>2233</v>
      </c>
      <c r="BI53" s="141">
        <v>0</v>
      </c>
      <c r="BJ53" s="545" t="s">
        <v>2233</v>
      </c>
      <c r="BK53" s="141">
        <v>0</v>
      </c>
      <c r="BL53" s="545" t="s">
        <v>2233</v>
      </c>
      <c r="BM53" s="141">
        <v>0</v>
      </c>
      <c r="BN53" s="545" t="s">
        <v>2233</v>
      </c>
      <c r="BO53" s="141">
        <v>0</v>
      </c>
      <c r="BP53" s="185"/>
      <c r="BQ53" s="545" t="s">
        <v>627</v>
      </c>
      <c r="BR53" s="868">
        <v>0</v>
      </c>
      <c r="BS53" s="545" t="s">
        <v>627</v>
      </c>
      <c r="BT53" s="868">
        <v>0</v>
      </c>
      <c r="BU53" s="545" t="s">
        <v>2233</v>
      </c>
      <c r="BV53" s="141">
        <v>0</v>
      </c>
      <c r="BW53" s="545" t="s">
        <v>2233</v>
      </c>
      <c r="BX53" s="141">
        <v>0</v>
      </c>
      <c r="BY53" s="545" t="s">
        <v>2233</v>
      </c>
      <c r="BZ53" s="141">
        <v>0</v>
      </c>
      <c r="CA53" s="545" t="s">
        <v>2233</v>
      </c>
      <c r="CB53" s="141">
        <v>0</v>
      </c>
      <c r="CC53" s="545" t="s">
        <v>2233</v>
      </c>
      <c r="CD53" s="144">
        <v>0</v>
      </c>
    </row>
    <row r="54" spans="1:82" s="98" customFormat="1" ht="15" customHeight="1">
      <c r="A54" s="99"/>
      <c r="B54" s="161"/>
      <c r="C54" s="162"/>
      <c r="D54" s="162" t="s">
        <v>2707</v>
      </c>
      <c r="E54" s="162"/>
      <c r="F54" s="162"/>
      <c r="G54" s="163"/>
      <c r="H54" s="163"/>
      <c r="I54" s="164" t="s">
        <v>498</v>
      </c>
      <c r="J54" s="143">
        <v>0</v>
      </c>
      <c r="K54" s="141">
        <v>0</v>
      </c>
      <c r="L54" s="141">
        <v>0</v>
      </c>
      <c r="M54" s="141">
        <v>0</v>
      </c>
      <c r="N54" s="141">
        <v>0</v>
      </c>
      <c r="O54" s="141">
        <v>0</v>
      </c>
      <c r="P54" s="141">
        <v>0</v>
      </c>
      <c r="Q54" s="144">
        <v>0</v>
      </c>
      <c r="R54" s="143">
        <v>0</v>
      </c>
      <c r="S54" s="141">
        <v>0</v>
      </c>
      <c r="T54" s="141">
        <v>0</v>
      </c>
      <c r="U54" s="141">
        <v>0</v>
      </c>
      <c r="V54" s="144">
        <v>0</v>
      </c>
      <c r="W54" s="185"/>
      <c r="X54" s="164" t="s">
        <v>498</v>
      </c>
      <c r="Y54" s="143">
        <v>0</v>
      </c>
      <c r="Z54" s="141">
        <v>0</v>
      </c>
      <c r="AA54" s="141">
        <v>0</v>
      </c>
      <c r="AB54" s="141">
        <v>0</v>
      </c>
      <c r="AC54" s="141">
        <v>0</v>
      </c>
      <c r="AD54" s="141">
        <v>0</v>
      </c>
      <c r="AE54" s="141">
        <v>0</v>
      </c>
      <c r="AF54" s="144">
        <v>0</v>
      </c>
      <c r="AG54" s="143">
        <v>0</v>
      </c>
      <c r="AH54" s="141">
        <v>0</v>
      </c>
      <c r="AI54" s="141">
        <v>0</v>
      </c>
      <c r="AJ54" s="141">
        <v>0</v>
      </c>
      <c r="AK54" s="144">
        <v>0</v>
      </c>
      <c r="AL54" s="185"/>
      <c r="AM54" s="164" t="s">
        <v>2233</v>
      </c>
      <c r="AN54" s="143">
        <v>0</v>
      </c>
      <c r="AO54" s="141">
        <v>0</v>
      </c>
      <c r="AP54" s="141">
        <v>0</v>
      </c>
      <c r="AQ54" s="141">
        <v>0</v>
      </c>
      <c r="AR54" s="141">
        <v>0</v>
      </c>
      <c r="AS54" s="141">
        <v>0</v>
      </c>
      <c r="AT54" s="141">
        <v>0</v>
      </c>
      <c r="AU54" s="144">
        <v>0</v>
      </c>
      <c r="AV54" s="143">
        <v>0</v>
      </c>
      <c r="AW54" s="141">
        <v>0</v>
      </c>
      <c r="AX54" s="141">
        <v>0</v>
      </c>
      <c r="AY54" s="141">
        <v>0</v>
      </c>
      <c r="AZ54" s="144">
        <v>0</v>
      </c>
      <c r="BA54" s="185"/>
      <c r="BB54" s="545" t="s">
        <v>627</v>
      </c>
      <c r="BC54" s="868">
        <v>0</v>
      </c>
      <c r="BD54" s="545" t="s">
        <v>627</v>
      </c>
      <c r="BE54" s="868">
        <v>0</v>
      </c>
      <c r="BF54" s="545" t="s">
        <v>2233</v>
      </c>
      <c r="BG54" s="141">
        <v>0</v>
      </c>
      <c r="BH54" s="545" t="s">
        <v>2233</v>
      </c>
      <c r="BI54" s="141">
        <v>0</v>
      </c>
      <c r="BJ54" s="545" t="s">
        <v>2233</v>
      </c>
      <c r="BK54" s="141">
        <v>0</v>
      </c>
      <c r="BL54" s="545" t="s">
        <v>2233</v>
      </c>
      <c r="BM54" s="141">
        <v>0</v>
      </c>
      <c r="BN54" s="545" t="s">
        <v>2233</v>
      </c>
      <c r="BO54" s="141">
        <v>0</v>
      </c>
      <c r="BP54" s="185"/>
      <c r="BQ54" s="545" t="s">
        <v>627</v>
      </c>
      <c r="BR54" s="868">
        <v>0</v>
      </c>
      <c r="BS54" s="545" t="s">
        <v>627</v>
      </c>
      <c r="BT54" s="868">
        <v>0</v>
      </c>
      <c r="BU54" s="545" t="s">
        <v>2233</v>
      </c>
      <c r="BV54" s="141">
        <v>0</v>
      </c>
      <c r="BW54" s="545" t="s">
        <v>2233</v>
      </c>
      <c r="BX54" s="141">
        <v>0</v>
      </c>
      <c r="BY54" s="545" t="s">
        <v>2233</v>
      </c>
      <c r="BZ54" s="141">
        <v>0</v>
      </c>
      <c r="CA54" s="545" t="s">
        <v>2233</v>
      </c>
      <c r="CB54" s="141">
        <v>0</v>
      </c>
      <c r="CC54" s="545" t="s">
        <v>2233</v>
      </c>
      <c r="CD54" s="144">
        <v>0</v>
      </c>
    </row>
    <row r="55" spans="1:82" s="98" customFormat="1" ht="15" customHeight="1">
      <c r="A55" s="99"/>
      <c r="B55" s="161"/>
      <c r="C55" s="162"/>
      <c r="D55" s="162" t="s">
        <v>2708</v>
      </c>
      <c r="E55" s="162"/>
      <c r="F55" s="162"/>
      <c r="G55" s="163"/>
      <c r="H55" s="163"/>
      <c r="I55" s="164" t="s">
        <v>498</v>
      </c>
      <c r="J55" s="143">
        <v>0</v>
      </c>
      <c r="K55" s="141">
        <v>0</v>
      </c>
      <c r="L55" s="141">
        <v>0</v>
      </c>
      <c r="M55" s="141">
        <v>0</v>
      </c>
      <c r="N55" s="141">
        <v>0</v>
      </c>
      <c r="O55" s="141">
        <v>0</v>
      </c>
      <c r="P55" s="141">
        <v>0</v>
      </c>
      <c r="Q55" s="144">
        <v>0</v>
      </c>
      <c r="R55" s="143">
        <v>0</v>
      </c>
      <c r="S55" s="141">
        <v>0</v>
      </c>
      <c r="T55" s="141">
        <v>0</v>
      </c>
      <c r="U55" s="141">
        <v>0</v>
      </c>
      <c r="V55" s="144">
        <v>0</v>
      </c>
      <c r="W55" s="185"/>
      <c r="X55" s="164" t="s">
        <v>498</v>
      </c>
      <c r="Y55" s="143">
        <v>0</v>
      </c>
      <c r="Z55" s="141">
        <v>0</v>
      </c>
      <c r="AA55" s="141">
        <v>0</v>
      </c>
      <c r="AB55" s="141">
        <v>0</v>
      </c>
      <c r="AC55" s="141">
        <v>0</v>
      </c>
      <c r="AD55" s="141">
        <v>0</v>
      </c>
      <c r="AE55" s="141">
        <v>0</v>
      </c>
      <c r="AF55" s="144">
        <v>0</v>
      </c>
      <c r="AG55" s="143">
        <v>0</v>
      </c>
      <c r="AH55" s="141">
        <v>0</v>
      </c>
      <c r="AI55" s="141">
        <v>0</v>
      </c>
      <c r="AJ55" s="141">
        <v>0</v>
      </c>
      <c r="AK55" s="144">
        <v>0</v>
      </c>
      <c r="AL55" s="185"/>
      <c r="AM55" s="164" t="s">
        <v>2233</v>
      </c>
      <c r="AN55" s="143">
        <v>0</v>
      </c>
      <c r="AO55" s="141">
        <v>0</v>
      </c>
      <c r="AP55" s="141">
        <v>0</v>
      </c>
      <c r="AQ55" s="141">
        <v>0</v>
      </c>
      <c r="AR55" s="141">
        <v>0</v>
      </c>
      <c r="AS55" s="141">
        <v>0</v>
      </c>
      <c r="AT55" s="141">
        <v>0</v>
      </c>
      <c r="AU55" s="144">
        <v>0</v>
      </c>
      <c r="AV55" s="143">
        <v>0</v>
      </c>
      <c r="AW55" s="141">
        <v>0</v>
      </c>
      <c r="AX55" s="141">
        <v>0</v>
      </c>
      <c r="AY55" s="141">
        <v>0</v>
      </c>
      <c r="AZ55" s="144">
        <v>0</v>
      </c>
      <c r="BA55" s="185"/>
      <c r="BB55" s="545" t="s">
        <v>627</v>
      </c>
      <c r="BC55" s="868">
        <v>0</v>
      </c>
      <c r="BD55" s="545" t="s">
        <v>627</v>
      </c>
      <c r="BE55" s="868">
        <v>0</v>
      </c>
      <c r="BF55" s="545" t="s">
        <v>2233</v>
      </c>
      <c r="BG55" s="141">
        <v>0</v>
      </c>
      <c r="BH55" s="545" t="s">
        <v>2233</v>
      </c>
      <c r="BI55" s="141">
        <v>0</v>
      </c>
      <c r="BJ55" s="545" t="s">
        <v>2233</v>
      </c>
      <c r="BK55" s="141">
        <v>0</v>
      </c>
      <c r="BL55" s="545" t="s">
        <v>2233</v>
      </c>
      <c r="BM55" s="141">
        <v>0</v>
      </c>
      <c r="BN55" s="545" t="s">
        <v>2233</v>
      </c>
      <c r="BO55" s="141">
        <v>0</v>
      </c>
      <c r="BP55" s="185"/>
      <c r="BQ55" s="545" t="s">
        <v>627</v>
      </c>
      <c r="BR55" s="868">
        <v>0</v>
      </c>
      <c r="BS55" s="545" t="s">
        <v>627</v>
      </c>
      <c r="BT55" s="868">
        <v>0</v>
      </c>
      <c r="BU55" s="545" t="s">
        <v>2233</v>
      </c>
      <c r="BV55" s="141">
        <v>0</v>
      </c>
      <c r="BW55" s="545" t="s">
        <v>2233</v>
      </c>
      <c r="BX55" s="141">
        <v>0</v>
      </c>
      <c r="BY55" s="545" t="s">
        <v>2233</v>
      </c>
      <c r="BZ55" s="141">
        <v>0</v>
      </c>
      <c r="CA55" s="545" t="s">
        <v>2233</v>
      </c>
      <c r="CB55" s="141">
        <v>0</v>
      </c>
      <c r="CC55" s="545" t="s">
        <v>2233</v>
      </c>
      <c r="CD55" s="144">
        <v>0</v>
      </c>
    </row>
    <row r="56" spans="1:82" s="98" customFormat="1" ht="15" customHeight="1">
      <c r="A56" s="99"/>
      <c r="B56" s="161"/>
      <c r="C56" s="162" t="s">
        <v>1710</v>
      </c>
      <c r="D56" s="162"/>
      <c r="E56" s="162"/>
      <c r="F56" s="162"/>
      <c r="G56" s="163"/>
      <c r="H56" s="163"/>
      <c r="I56" s="164" t="s">
        <v>498</v>
      </c>
      <c r="J56" s="641">
        <f>SUM(J48:J55)</f>
        <v>0</v>
      </c>
      <c r="K56" s="642">
        <f t="shared" ref="K56" si="70">SUM(K48:K55)</f>
        <v>0</v>
      </c>
      <c r="L56" s="642">
        <f t="shared" ref="L56" si="71">SUM(L48:L55)</f>
        <v>0</v>
      </c>
      <c r="M56" s="642">
        <f t="shared" ref="M56" si="72">SUM(M48:M55)</f>
        <v>0</v>
      </c>
      <c r="N56" s="642">
        <f t="shared" ref="N56" si="73">SUM(N48:N55)</f>
        <v>0</v>
      </c>
      <c r="O56" s="642">
        <f t="shared" ref="O56" si="74">SUM(O48:O55)</f>
        <v>0</v>
      </c>
      <c r="P56" s="642">
        <f t="shared" ref="P56" si="75">SUM(P48:P55)</f>
        <v>0</v>
      </c>
      <c r="Q56" s="643">
        <f t="shared" ref="Q56" si="76">SUM(Q48:Q55)</f>
        <v>0</v>
      </c>
      <c r="R56" s="641">
        <f t="shared" ref="R56" si="77">SUM(R48:R55)</f>
        <v>0</v>
      </c>
      <c r="S56" s="642">
        <f t="shared" ref="S56" si="78">SUM(S48:S55)</f>
        <v>0</v>
      </c>
      <c r="T56" s="642">
        <f t="shared" ref="T56" si="79">SUM(T48:T55)</f>
        <v>0</v>
      </c>
      <c r="U56" s="642">
        <f t="shared" ref="U56" si="80">SUM(U48:U55)</f>
        <v>0</v>
      </c>
      <c r="V56" s="643">
        <f t="shared" ref="V56" si="81">SUM(V48:V55)</f>
        <v>0</v>
      </c>
      <c r="W56" s="185"/>
      <c r="X56" s="164" t="s">
        <v>498</v>
      </c>
      <c r="Y56" s="641">
        <f>SUM(Y48:Y55)</f>
        <v>0</v>
      </c>
      <c r="Z56" s="642">
        <f t="shared" ref="Z56" si="82">SUM(Z48:Z55)</f>
        <v>0</v>
      </c>
      <c r="AA56" s="642">
        <f t="shared" ref="AA56" si="83">SUM(AA48:AA55)</f>
        <v>0</v>
      </c>
      <c r="AB56" s="642">
        <f t="shared" ref="AB56" si="84">SUM(AB48:AB55)</f>
        <v>0</v>
      </c>
      <c r="AC56" s="642">
        <f t="shared" ref="AC56" si="85">SUM(AC48:AC55)</f>
        <v>0</v>
      </c>
      <c r="AD56" s="642">
        <f t="shared" ref="AD56" si="86">SUM(AD48:AD55)</f>
        <v>0</v>
      </c>
      <c r="AE56" s="642">
        <f t="shared" ref="AE56" si="87">SUM(AE48:AE55)</f>
        <v>0</v>
      </c>
      <c r="AF56" s="643">
        <f t="shared" ref="AF56" si="88">SUM(AF48:AF55)</f>
        <v>0</v>
      </c>
      <c r="AG56" s="641">
        <f t="shared" ref="AG56" si="89">SUM(AG48:AG55)</f>
        <v>0</v>
      </c>
      <c r="AH56" s="642">
        <f t="shared" ref="AH56" si="90">SUM(AH48:AH55)</f>
        <v>0</v>
      </c>
      <c r="AI56" s="642">
        <f t="shared" ref="AI56" si="91">SUM(AI48:AI55)</f>
        <v>0</v>
      </c>
      <c r="AJ56" s="642">
        <f t="shared" ref="AJ56" si="92">SUM(AJ48:AJ55)</f>
        <v>0</v>
      </c>
      <c r="AK56" s="643">
        <f t="shared" ref="AK56" si="93">SUM(AK48:AK55)</f>
        <v>0</v>
      </c>
      <c r="AL56" s="185"/>
      <c r="AM56" s="164" t="s">
        <v>2233</v>
      </c>
      <c r="AN56" s="641">
        <f>SUM(AN48:AN55)</f>
        <v>0</v>
      </c>
      <c r="AO56" s="642">
        <f t="shared" ref="AO56" si="94">SUM(AO48:AO55)</f>
        <v>0</v>
      </c>
      <c r="AP56" s="642">
        <f t="shared" ref="AP56" si="95">SUM(AP48:AP55)</f>
        <v>0</v>
      </c>
      <c r="AQ56" s="642">
        <f t="shared" ref="AQ56" si="96">SUM(AQ48:AQ55)</f>
        <v>0</v>
      </c>
      <c r="AR56" s="642">
        <f t="shared" ref="AR56" si="97">SUM(AR48:AR55)</f>
        <v>0</v>
      </c>
      <c r="AS56" s="642">
        <f t="shared" ref="AS56" si="98">SUM(AS48:AS55)</f>
        <v>0</v>
      </c>
      <c r="AT56" s="642">
        <f t="shared" ref="AT56" si="99">SUM(AT48:AT55)</f>
        <v>0</v>
      </c>
      <c r="AU56" s="643">
        <f t="shared" ref="AU56" si="100">SUM(AU48:AU55)</f>
        <v>0</v>
      </c>
      <c r="AV56" s="641">
        <f t="shared" ref="AV56" si="101">SUM(AV48:AV55)</f>
        <v>0</v>
      </c>
      <c r="AW56" s="642">
        <f t="shared" ref="AW56" si="102">SUM(AW48:AW55)</f>
        <v>0</v>
      </c>
      <c r="AX56" s="642">
        <f t="shared" ref="AX56" si="103">SUM(AX48:AX55)</f>
        <v>0</v>
      </c>
      <c r="AY56" s="642">
        <f t="shared" ref="AY56" si="104">SUM(AY48:AY55)</f>
        <v>0</v>
      </c>
      <c r="AZ56" s="643">
        <f t="shared" ref="AZ56" si="105">SUM(AZ48:AZ55)</f>
        <v>0</v>
      </c>
      <c r="BA56" s="185"/>
      <c r="BB56" s="530"/>
      <c r="BC56" s="530"/>
      <c r="BD56" s="530"/>
      <c r="BE56" s="530"/>
      <c r="BF56" s="545" t="s">
        <v>2233</v>
      </c>
      <c r="BG56" s="642">
        <f>SUM(BG48:BG55)</f>
        <v>0</v>
      </c>
      <c r="BH56" s="865" t="s">
        <v>2233</v>
      </c>
      <c r="BI56" s="642">
        <f>SUM(BI48:BI55)</f>
        <v>0</v>
      </c>
      <c r="BJ56" s="865" t="s">
        <v>2233</v>
      </c>
      <c r="BK56" s="642">
        <f>SUM(BK48:BK55)</f>
        <v>0</v>
      </c>
      <c r="BL56" s="865" t="s">
        <v>2233</v>
      </c>
      <c r="BM56" s="642">
        <f>SUM(BM48:BM55)</f>
        <v>0</v>
      </c>
      <c r="BN56" s="865" t="s">
        <v>2233</v>
      </c>
      <c r="BO56" s="642">
        <f>SUM(BO48:BO55)</f>
        <v>0</v>
      </c>
      <c r="BP56" s="185"/>
      <c r="BQ56" s="530"/>
      <c r="BR56" s="530"/>
      <c r="BS56" s="530"/>
      <c r="BT56" s="530"/>
      <c r="BU56" s="545" t="s">
        <v>2233</v>
      </c>
      <c r="BV56" s="642">
        <f>SUM(BV48:BV55)</f>
        <v>0</v>
      </c>
      <c r="BW56" s="865" t="s">
        <v>2233</v>
      </c>
      <c r="BX56" s="642">
        <f>SUM(BX48:BX55)</f>
        <v>0</v>
      </c>
      <c r="BY56" s="865" t="s">
        <v>2233</v>
      </c>
      <c r="BZ56" s="642">
        <f>SUM(BZ48:BZ55)</f>
        <v>0</v>
      </c>
      <c r="CA56" s="865" t="s">
        <v>2233</v>
      </c>
      <c r="CB56" s="642">
        <f>SUM(CB48:CB55)</f>
        <v>0</v>
      </c>
      <c r="CC56" s="865" t="s">
        <v>2233</v>
      </c>
      <c r="CD56" s="643">
        <f>SUM(CD48:CD55)</f>
        <v>0</v>
      </c>
    </row>
    <row r="57" spans="1:82" s="98" customFormat="1" ht="15" customHeight="1">
      <c r="A57" s="99"/>
      <c r="B57" s="123"/>
      <c r="C57" s="127"/>
      <c r="D57" s="127"/>
      <c r="E57" s="127"/>
      <c r="F57" s="127"/>
      <c r="G57" s="117"/>
      <c r="H57" s="117"/>
      <c r="I57" s="117"/>
      <c r="J57" s="713"/>
      <c r="K57" s="721"/>
      <c r="L57" s="721"/>
      <c r="M57" s="721"/>
      <c r="N57" s="721"/>
      <c r="O57" s="721"/>
      <c r="P57" s="721"/>
      <c r="Q57" s="715"/>
      <c r="R57" s="713"/>
      <c r="S57" s="721"/>
      <c r="T57" s="721"/>
      <c r="U57" s="721"/>
      <c r="V57" s="715"/>
      <c r="W57" s="185"/>
      <c r="X57" s="117"/>
      <c r="Y57" s="713"/>
      <c r="Z57" s="721"/>
      <c r="AA57" s="721"/>
      <c r="AB57" s="721"/>
      <c r="AC57" s="721"/>
      <c r="AD57" s="721"/>
      <c r="AE57" s="721"/>
      <c r="AF57" s="715"/>
      <c r="AG57" s="713"/>
      <c r="AH57" s="721"/>
      <c r="AI57" s="721"/>
      <c r="AJ57" s="721"/>
      <c r="AK57" s="715"/>
      <c r="AL57" s="185"/>
      <c r="AM57" s="117"/>
      <c r="AN57" s="713"/>
      <c r="AO57" s="721"/>
      <c r="AP57" s="721"/>
      <c r="AQ57" s="721"/>
      <c r="AR57" s="721"/>
      <c r="AS57" s="721"/>
      <c r="AT57" s="721"/>
      <c r="AU57" s="715"/>
      <c r="AV57" s="713"/>
      <c r="AW57" s="721"/>
      <c r="AX57" s="721"/>
      <c r="AY57" s="721"/>
      <c r="AZ57" s="715"/>
      <c r="BA57" s="185"/>
      <c r="BB57" s="530"/>
      <c r="BC57" s="530"/>
      <c r="BD57" s="530"/>
      <c r="BE57" s="530"/>
      <c r="BF57" s="530"/>
      <c r="BG57" s="530"/>
      <c r="BH57" s="530"/>
      <c r="BI57" s="530"/>
      <c r="BJ57" s="530"/>
      <c r="BK57" s="530"/>
      <c r="BL57" s="530"/>
      <c r="BM57" s="530"/>
      <c r="BN57" s="530"/>
      <c r="BO57" s="530"/>
      <c r="BP57" s="185"/>
      <c r="BQ57" s="530"/>
      <c r="BR57" s="530"/>
      <c r="BS57" s="530"/>
      <c r="BT57" s="530"/>
      <c r="BU57" s="530"/>
      <c r="BV57" s="530"/>
      <c r="BW57" s="530"/>
      <c r="BX57" s="530"/>
      <c r="BY57" s="530"/>
      <c r="BZ57" s="530"/>
      <c r="CA57" s="530"/>
      <c r="CB57" s="530"/>
      <c r="CC57" s="530"/>
      <c r="CD57" s="544"/>
    </row>
    <row r="58" spans="1:82" s="98" customFormat="1" ht="15" customHeight="1">
      <c r="A58" s="99"/>
      <c r="B58" s="161"/>
      <c r="C58" s="116" t="s">
        <v>1685</v>
      </c>
      <c r="D58" s="116"/>
      <c r="E58" s="116"/>
      <c r="F58" s="116"/>
      <c r="G58" s="117"/>
      <c r="H58" s="117"/>
      <c r="I58" s="117"/>
      <c r="J58" s="713"/>
      <c r="K58" s="721"/>
      <c r="L58" s="721"/>
      <c r="M58" s="721"/>
      <c r="N58" s="721"/>
      <c r="O58" s="721"/>
      <c r="P58" s="721"/>
      <c r="Q58" s="715"/>
      <c r="R58" s="713"/>
      <c r="S58" s="721"/>
      <c r="T58" s="721"/>
      <c r="U58" s="721"/>
      <c r="V58" s="715"/>
      <c r="W58" s="185"/>
      <c r="X58" s="117"/>
      <c r="Y58" s="713"/>
      <c r="Z58" s="721"/>
      <c r="AA58" s="721"/>
      <c r="AB58" s="721"/>
      <c r="AC58" s="721"/>
      <c r="AD58" s="721"/>
      <c r="AE58" s="721"/>
      <c r="AF58" s="715"/>
      <c r="AG58" s="713"/>
      <c r="AH58" s="721"/>
      <c r="AI58" s="721"/>
      <c r="AJ58" s="721"/>
      <c r="AK58" s="715"/>
      <c r="AL58" s="185"/>
      <c r="AM58" s="117"/>
      <c r="AN58" s="713"/>
      <c r="AO58" s="721"/>
      <c r="AP58" s="721"/>
      <c r="AQ58" s="721"/>
      <c r="AR58" s="721"/>
      <c r="AS58" s="721"/>
      <c r="AT58" s="721"/>
      <c r="AU58" s="715"/>
      <c r="AV58" s="713"/>
      <c r="AW58" s="721"/>
      <c r="AX58" s="721"/>
      <c r="AY58" s="721"/>
      <c r="AZ58" s="715"/>
      <c r="BA58" s="185"/>
      <c r="BB58" s="530"/>
      <c r="BC58" s="530"/>
      <c r="BD58" s="530"/>
      <c r="BE58" s="530"/>
      <c r="BF58" s="530"/>
      <c r="BG58" s="530"/>
      <c r="BH58" s="530"/>
      <c r="BI58" s="530"/>
      <c r="BJ58" s="530"/>
      <c r="BK58" s="530"/>
      <c r="BL58" s="530"/>
      <c r="BM58" s="530"/>
      <c r="BN58" s="530"/>
      <c r="BO58" s="530"/>
      <c r="BP58" s="185"/>
      <c r="BQ58" s="530"/>
      <c r="BR58" s="530"/>
      <c r="BS58" s="530"/>
      <c r="BT58" s="530"/>
      <c r="BU58" s="530"/>
      <c r="BV58" s="530"/>
      <c r="BW58" s="530"/>
      <c r="BX58" s="530"/>
      <c r="BY58" s="530"/>
      <c r="BZ58" s="530"/>
      <c r="CA58" s="530"/>
      <c r="CB58" s="530"/>
      <c r="CC58" s="530"/>
      <c r="CD58" s="544"/>
    </row>
    <row r="59" spans="1:82" s="98" customFormat="1" ht="15" customHeight="1">
      <c r="A59" s="99"/>
      <c r="B59" s="161"/>
      <c r="C59" s="162"/>
      <c r="D59" s="162" t="s">
        <v>2701</v>
      </c>
      <c r="E59" s="162"/>
      <c r="F59" s="162"/>
      <c r="G59" s="163"/>
      <c r="H59" s="163"/>
      <c r="I59" s="164" t="s">
        <v>498</v>
      </c>
      <c r="J59" s="143">
        <v>0</v>
      </c>
      <c r="K59" s="141">
        <v>0</v>
      </c>
      <c r="L59" s="141">
        <v>0</v>
      </c>
      <c r="M59" s="141">
        <v>0</v>
      </c>
      <c r="N59" s="141">
        <v>0</v>
      </c>
      <c r="O59" s="141">
        <v>0</v>
      </c>
      <c r="P59" s="141">
        <v>0</v>
      </c>
      <c r="Q59" s="144">
        <v>0</v>
      </c>
      <c r="R59" s="143">
        <v>0</v>
      </c>
      <c r="S59" s="141">
        <v>0</v>
      </c>
      <c r="T59" s="141">
        <v>0</v>
      </c>
      <c r="U59" s="141">
        <v>0</v>
      </c>
      <c r="V59" s="144">
        <v>0</v>
      </c>
      <c r="W59" s="185"/>
      <c r="X59" s="164" t="s">
        <v>498</v>
      </c>
      <c r="Y59" s="143">
        <v>0</v>
      </c>
      <c r="Z59" s="141">
        <v>0</v>
      </c>
      <c r="AA59" s="141">
        <v>0</v>
      </c>
      <c r="AB59" s="141">
        <v>0</v>
      </c>
      <c r="AC59" s="141">
        <v>0</v>
      </c>
      <c r="AD59" s="141">
        <v>0</v>
      </c>
      <c r="AE59" s="141">
        <v>0</v>
      </c>
      <c r="AF59" s="144">
        <v>0</v>
      </c>
      <c r="AG59" s="143">
        <v>0</v>
      </c>
      <c r="AH59" s="141">
        <v>0</v>
      </c>
      <c r="AI59" s="141">
        <v>0</v>
      </c>
      <c r="AJ59" s="141">
        <v>0</v>
      </c>
      <c r="AK59" s="144">
        <v>0</v>
      </c>
      <c r="AL59" s="185"/>
      <c r="AM59" s="164" t="s">
        <v>2233</v>
      </c>
      <c r="AN59" s="143">
        <v>0</v>
      </c>
      <c r="AO59" s="141">
        <v>0</v>
      </c>
      <c r="AP59" s="141">
        <v>0</v>
      </c>
      <c r="AQ59" s="141">
        <v>0</v>
      </c>
      <c r="AR59" s="141">
        <v>0</v>
      </c>
      <c r="AS59" s="141">
        <v>0</v>
      </c>
      <c r="AT59" s="141">
        <v>0</v>
      </c>
      <c r="AU59" s="144">
        <v>0</v>
      </c>
      <c r="AV59" s="143">
        <v>0</v>
      </c>
      <c r="AW59" s="141">
        <v>0</v>
      </c>
      <c r="AX59" s="141">
        <v>0</v>
      </c>
      <c r="AY59" s="141">
        <v>0</v>
      </c>
      <c r="AZ59" s="144">
        <v>0</v>
      </c>
      <c r="BA59" s="185"/>
      <c r="BB59" s="545" t="s">
        <v>627</v>
      </c>
      <c r="BC59" s="868">
        <v>0</v>
      </c>
      <c r="BD59" s="545" t="s">
        <v>627</v>
      </c>
      <c r="BE59" s="868">
        <v>0</v>
      </c>
      <c r="BF59" s="545" t="s">
        <v>2233</v>
      </c>
      <c r="BG59" s="141">
        <v>0</v>
      </c>
      <c r="BH59" s="545" t="s">
        <v>2233</v>
      </c>
      <c r="BI59" s="141">
        <v>0</v>
      </c>
      <c r="BJ59" s="545" t="s">
        <v>2233</v>
      </c>
      <c r="BK59" s="141">
        <v>0</v>
      </c>
      <c r="BL59" s="545" t="s">
        <v>2233</v>
      </c>
      <c r="BM59" s="141">
        <v>0</v>
      </c>
      <c r="BN59" s="545" t="s">
        <v>2233</v>
      </c>
      <c r="BO59" s="141">
        <v>0</v>
      </c>
      <c r="BP59" s="185"/>
      <c r="BQ59" s="545" t="s">
        <v>627</v>
      </c>
      <c r="BR59" s="868">
        <v>0</v>
      </c>
      <c r="BS59" s="545" t="s">
        <v>627</v>
      </c>
      <c r="BT59" s="868">
        <v>0</v>
      </c>
      <c r="BU59" s="545" t="s">
        <v>2233</v>
      </c>
      <c r="BV59" s="141">
        <v>0</v>
      </c>
      <c r="BW59" s="545" t="s">
        <v>2233</v>
      </c>
      <c r="BX59" s="141">
        <v>0</v>
      </c>
      <c r="BY59" s="545" t="s">
        <v>2233</v>
      </c>
      <c r="BZ59" s="141">
        <v>0</v>
      </c>
      <c r="CA59" s="545" t="s">
        <v>2233</v>
      </c>
      <c r="CB59" s="141">
        <v>0</v>
      </c>
      <c r="CC59" s="545" t="s">
        <v>2233</v>
      </c>
      <c r="CD59" s="144">
        <v>0</v>
      </c>
    </row>
    <row r="60" spans="1:82" s="98" customFormat="1" ht="15" customHeight="1">
      <c r="A60" s="99"/>
      <c r="B60" s="161"/>
      <c r="C60" s="162"/>
      <c r="D60" s="162" t="s">
        <v>2702</v>
      </c>
      <c r="E60" s="162"/>
      <c r="F60" s="162"/>
      <c r="G60" s="163"/>
      <c r="H60" s="163"/>
      <c r="I60" s="164" t="s">
        <v>498</v>
      </c>
      <c r="J60" s="143">
        <v>0</v>
      </c>
      <c r="K60" s="141">
        <v>0</v>
      </c>
      <c r="L60" s="141">
        <v>0</v>
      </c>
      <c r="M60" s="141">
        <v>0</v>
      </c>
      <c r="N60" s="141">
        <v>0</v>
      </c>
      <c r="O60" s="141">
        <v>0</v>
      </c>
      <c r="P60" s="141">
        <v>0</v>
      </c>
      <c r="Q60" s="144">
        <v>0</v>
      </c>
      <c r="R60" s="143">
        <v>0</v>
      </c>
      <c r="S60" s="141">
        <v>0</v>
      </c>
      <c r="T60" s="141">
        <v>0</v>
      </c>
      <c r="U60" s="141">
        <v>0</v>
      </c>
      <c r="V60" s="144">
        <v>0</v>
      </c>
      <c r="W60" s="185"/>
      <c r="X60" s="164" t="s">
        <v>498</v>
      </c>
      <c r="Y60" s="143">
        <v>0</v>
      </c>
      <c r="Z60" s="141">
        <v>0</v>
      </c>
      <c r="AA60" s="141">
        <v>0</v>
      </c>
      <c r="AB60" s="141">
        <v>0</v>
      </c>
      <c r="AC60" s="141">
        <v>0</v>
      </c>
      <c r="AD60" s="141">
        <v>0</v>
      </c>
      <c r="AE60" s="141">
        <v>0</v>
      </c>
      <c r="AF60" s="144">
        <v>0</v>
      </c>
      <c r="AG60" s="143">
        <v>0</v>
      </c>
      <c r="AH60" s="141">
        <v>0</v>
      </c>
      <c r="AI60" s="141">
        <v>0</v>
      </c>
      <c r="AJ60" s="141">
        <v>0</v>
      </c>
      <c r="AK60" s="144">
        <v>0</v>
      </c>
      <c r="AL60" s="185"/>
      <c r="AM60" s="164" t="s">
        <v>2233</v>
      </c>
      <c r="AN60" s="143">
        <v>0</v>
      </c>
      <c r="AO60" s="141">
        <v>0</v>
      </c>
      <c r="AP60" s="141">
        <v>0</v>
      </c>
      <c r="AQ60" s="141">
        <v>0</v>
      </c>
      <c r="AR60" s="141">
        <v>0</v>
      </c>
      <c r="AS60" s="141">
        <v>0</v>
      </c>
      <c r="AT60" s="141">
        <v>0</v>
      </c>
      <c r="AU60" s="144">
        <v>0</v>
      </c>
      <c r="AV60" s="143">
        <v>0</v>
      </c>
      <c r="AW60" s="141">
        <v>0</v>
      </c>
      <c r="AX60" s="141">
        <v>0</v>
      </c>
      <c r="AY60" s="141">
        <v>0</v>
      </c>
      <c r="AZ60" s="144">
        <v>0</v>
      </c>
      <c r="BA60" s="185"/>
      <c r="BB60" s="545" t="s">
        <v>627</v>
      </c>
      <c r="BC60" s="868">
        <v>0</v>
      </c>
      <c r="BD60" s="545" t="s">
        <v>627</v>
      </c>
      <c r="BE60" s="868">
        <v>0</v>
      </c>
      <c r="BF60" s="545" t="s">
        <v>2233</v>
      </c>
      <c r="BG60" s="141">
        <v>0</v>
      </c>
      <c r="BH60" s="545" t="s">
        <v>2233</v>
      </c>
      <c r="BI60" s="141">
        <v>0</v>
      </c>
      <c r="BJ60" s="545" t="s">
        <v>2233</v>
      </c>
      <c r="BK60" s="141">
        <v>0</v>
      </c>
      <c r="BL60" s="545" t="s">
        <v>2233</v>
      </c>
      <c r="BM60" s="141">
        <v>0</v>
      </c>
      <c r="BN60" s="545" t="s">
        <v>2233</v>
      </c>
      <c r="BO60" s="141">
        <v>0</v>
      </c>
      <c r="BP60" s="185"/>
      <c r="BQ60" s="545" t="s">
        <v>627</v>
      </c>
      <c r="BR60" s="868">
        <v>0</v>
      </c>
      <c r="BS60" s="545" t="s">
        <v>627</v>
      </c>
      <c r="BT60" s="868">
        <v>0</v>
      </c>
      <c r="BU60" s="545" t="s">
        <v>2233</v>
      </c>
      <c r="BV60" s="141">
        <v>0</v>
      </c>
      <c r="BW60" s="545" t="s">
        <v>2233</v>
      </c>
      <c r="BX60" s="141">
        <v>0</v>
      </c>
      <c r="BY60" s="545" t="s">
        <v>2233</v>
      </c>
      <c r="BZ60" s="141">
        <v>0</v>
      </c>
      <c r="CA60" s="545" t="s">
        <v>2233</v>
      </c>
      <c r="CB60" s="141">
        <v>0</v>
      </c>
      <c r="CC60" s="545" t="s">
        <v>2233</v>
      </c>
      <c r="CD60" s="144">
        <v>0</v>
      </c>
    </row>
    <row r="61" spans="1:82" s="98" customFormat="1" ht="15" customHeight="1">
      <c r="A61" s="99"/>
      <c r="B61" s="161"/>
      <c r="C61" s="162"/>
      <c r="D61" s="162" t="s">
        <v>2703</v>
      </c>
      <c r="E61" s="162"/>
      <c r="F61" s="162"/>
      <c r="G61" s="163"/>
      <c r="H61" s="163"/>
      <c r="I61" s="164" t="s">
        <v>498</v>
      </c>
      <c r="J61" s="143">
        <v>0</v>
      </c>
      <c r="K61" s="141">
        <v>0</v>
      </c>
      <c r="L61" s="141">
        <v>0</v>
      </c>
      <c r="M61" s="141">
        <v>0</v>
      </c>
      <c r="N61" s="141">
        <v>0</v>
      </c>
      <c r="O61" s="141">
        <v>0</v>
      </c>
      <c r="P61" s="141">
        <v>0</v>
      </c>
      <c r="Q61" s="144">
        <v>0</v>
      </c>
      <c r="R61" s="143">
        <v>0</v>
      </c>
      <c r="S61" s="141">
        <v>0</v>
      </c>
      <c r="T61" s="141">
        <v>0</v>
      </c>
      <c r="U61" s="141">
        <v>0</v>
      </c>
      <c r="V61" s="144">
        <v>0</v>
      </c>
      <c r="W61" s="185"/>
      <c r="X61" s="164" t="s">
        <v>498</v>
      </c>
      <c r="Y61" s="143">
        <v>0</v>
      </c>
      <c r="Z61" s="141">
        <v>0</v>
      </c>
      <c r="AA61" s="141">
        <v>0</v>
      </c>
      <c r="AB61" s="141">
        <v>0</v>
      </c>
      <c r="AC61" s="141">
        <v>0</v>
      </c>
      <c r="AD61" s="141">
        <v>0</v>
      </c>
      <c r="AE61" s="141">
        <v>0</v>
      </c>
      <c r="AF61" s="144">
        <v>0</v>
      </c>
      <c r="AG61" s="143">
        <v>0</v>
      </c>
      <c r="AH61" s="141">
        <v>0</v>
      </c>
      <c r="AI61" s="141">
        <v>0</v>
      </c>
      <c r="AJ61" s="141">
        <v>0</v>
      </c>
      <c r="AK61" s="144">
        <v>0</v>
      </c>
      <c r="AL61" s="185"/>
      <c r="AM61" s="164" t="s">
        <v>2233</v>
      </c>
      <c r="AN61" s="143">
        <v>0</v>
      </c>
      <c r="AO61" s="141">
        <v>0</v>
      </c>
      <c r="AP61" s="141">
        <v>0</v>
      </c>
      <c r="AQ61" s="141">
        <v>0</v>
      </c>
      <c r="AR61" s="141">
        <v>0</v>
      </c>
      <c r="AS61" s="141">
        <v>0</v>
      </c>
      <c r="AT61" s="141">
        <v>0</v>
      </c>
      <c r="AU61" s="144">
        <v>0</v>
      </c>
      <c r="AV61" s="143">
        <v>0</v>
      </c>
      <c r="AW61" s="141">
        <v>0</v>
      </c>
      <c r="AX61" s="141">
        <v>0</v>
      </c>
      <c r="AY61" s="141">
        <v>0</v>
      </c>
      <c r="AZ61" s="144">
        <v>0</v>
      </c>
      <c r="BA61" s="185"/>
      <c r="BB61" s="545" t="s">
        <v>627</v>
      </c>
      <c r="BC61" s="868">
        <v>0</v>
      </c>
      <c r="BD61" s="545" t="s">
        <v>627</v>
      </c>
      <c r="BE61" s="868">
        <v>0</v>
      </c>
      <c r="BF61" s="545" t="s">
        <v>2233</v>
      </c>
      <c r="BG61" s="141">
        <v>0</v>
      </c>
      <c r="BH61" s="545" t="s">
        <v>2233</v>
      </c>
      <c r="BI61" s="141">
        <v>0</v>
      </c>
      <c r="BJ61" s="545" t="s">
        <v>2233</v>
      </c>
      <c r="BK61" s="141">
        <v>0</v>
      </c>
      <c r="BL61" s="545" t="s">
        <v>2233</v>
      </c>
      <c r="BM61" s="141">
        <v>0</v>
      </c>
      <c r="BN61" s="545" t="s">
        <v>2233</v>
      </c>
      <c r="BO61" s="141">
        <v>0</v>
      </c>
      <c r="BP61" s="185"/>
      <c r="BQ61" s="545" t="s">
        <v>627</v>
      </c>
      <c r="BR61" s="868">
        <v>0</v>
      </c>
      <c r="BS61" s="545" t="s">
        <v>627</v>
      </c>
      <c r="BT61" s="868">
        <v>0</v>
      </c>
      <c r="BU61" s="545" t="s">
        <v>2233</v>
      </c>
      <c r="BV61" s="141">
        <v>0</v>
      </c>
      <c r="BW61" s="545" t="s">
        <v>2233</v>
      </c>
      <c r="BX61" s="141">
        <v>0</v>
      </c>
      <c r="BY61" s="545" t="s">
        <v>2233</v>
      </c>
      <c r="BZ61" s="141">
        <v>0</v>
      </c>
      <c r="CA61" s="545" t="s">
        <v>2233</v>
      </c>
      <c r="CB61" s="141">
        <v>0</v>
      </c>
      <c r="CC61" s="545" t="s">
        <v>2233</v>
      </c>
      <c r="CD61" s="144">
        <v>0</v>
      </c>
    </row>
    <row r="62" spans="1:82" s="98" customFormat="1" ht="15" customHeight="1">
      <c r="A62" s="99"/>
      <c r="B62" s="161"/>
      <c r="C62" s="162"/>
      <c r="D62" s="162" t="s">
        <v>2704</v>
      </c>
      <c r="E62" s="162"/>
      <c r="F62" s="162"/>
      <c r="G62" s="163"/>
      <c r="H62" s="163"/>
      <c r="I62" s="164" t="s">
        <v>498</v>
      </c>
      <c r="J62" s="143">
        <v>0</v>
      </c>
      <c r="K62" s="141">
        <v>0</v>
      </c>
      <c r="L62" s="141">
        <v>0</v>
      </c>
      <c r="M62" s="141">
        <v>0</v>
      </c>
      <c r="N62" s="141">
        <v>0</v>
      </c>
      <c r="O62" s="141">
        <v>0</v>
      </c>
      <c r="P62" s="141">
        <v>0</v>
      </c>
      <c r="Q62" s="144">
        <v>0</v>
      </c>
      <c r="R62" s="143">
        <v>0</v>
      </c>
      <c r="S62" s="141">
        <v>0</v>
      </c>
      <c r="T62" s="141">
        <v>0</v>
      </c>
      <c r="U62" s="141">
        <v>0</v>
      </c>
      <c r="V62" s="144">
        <v>0</v>
      </c>
      <c r="W62" s="185"/>
      <c r="X62" s="164" t="s">
        <v>498</v>
      </c>
      <c r="Y62" s="143">
        <v>0</v>
      </c>
      <c r="Z62" s="141">
        <v>0</v>
      </c>
      <c r="AA62" s="141">
        <v>0</v>
      </c>
      <c r="AB62" s="141">
        <v>0</v>
      </c>
      <c r="AC62" s="141">
        <v>0</v>
      </c>
      <c r="AD62" s="141">
        <v>0</v>
      </c>
      <c r="AE62" s="141">
        <v>0</v>
      </c>
      <c r="AF62" s="144">
        <v>0</v>
      </c>
      <c r="AG62" s="143">
        <v>0</v>
      </c>
      <c r="AH62" s="141">
        <v>0</v>
      </c>
      <c r="AI62" s="141">
        <v>0</v>
      </c>
      <c r="AJ62" s="141">
        <v>0</v>
      </c>
      <c r="AK62" s="144">
        <v>0</v>
      </c>
      <c r="AL62" s="185"/>
      <c r="AM62" s="164" t="s">
        <v>2233</v>
      </c>
      <c r="AN62" s="143">
        <v>0</v>
      </c>
      <c r="AO62" s="141">
        <v>0</v>
      </c>
      <c r="AP62" s="141">
        <v>0</v>
      </c>
      <c r="AQ62" s="141">
        <v>0</v>
      </c>
      <c r="AR62" s="141">
        <v>0</v>
      </c>
      <c r="AS62" s="141">
        <v>0</v>
      </c>
      <c r="AT62" s="141">
        <v>0</v>
      </c>
      <c r="AU62" s="144">
        <v>0</v>
      </c>
      <c r="AV62" s="143">
        <v>0</v>
      </c>
      <c r="AW62" s="141">
        <v>0</v>
      </c>
      <c r="AX62" s="141">
        <v>0</v>
      </c>
      <c r="AY62" s="141">
        <v>0</v>
      </c>
      <c r="AZ62" s="144">
        <v>0</v>
      </c>
      <c r="BA62" s="185"/>
      <c r="BB62" s="545" t="s">
        <v>627</v>
      </c>
      <c r="BC62" s="868">
        <v>0</v>
      </c>
      <c r="BD62" s="545" t="s">
        <v>627</v>
      </c>
      <c r="BE62" s="868">
        <v>0</v>
      </c>
      <c r="BF62" s="545" t="s">
        <v>2233</v>
      </c>
      <c r="BG62" s="141">
        <v>0</v>
      </c>
      <c r="BH62" s="545" t="s">
        <v>2233</v>
      </c>
      <c r="BI62" s="141">
        <v>0</v>
      </c>
      <c r="BJ62" s="545" t="s">
        <v>2233</v>
      </c>
      <c r="BK62" s="141">
        <v>0</v>
      </c>
      <c r="BL62" s="545" t="s">
        <v>2233</v>
      </c>
      <c r="BM62" s="141">
        <v>0</v>
      </c>
      <c r="BN62" s="545" t="s">
        <v>2233</v>
      </c>
      <c r="BO62" s="141">
        <v>0</v>
      </c>
      <c r="BP62" s="185"/>
      <c r="BQ62" s="545" t="s">
        <v>627</v>
      </c>
      <c r="BR62" s="868">
        <v>0</v>
      </c>
      <c r="BS62" s="545" t="s">
        <v>627</v>
      </c>
      <c r="BT62" s="868">
        <v>0</v>
      </c>
      <c r="BU62" s="545" t="s">
        <v>2233</v>
      </c>
      <c r="BV62" s="141">
        <v>0</v>
      </c>
      <c r="BW62" s="545" t="s">
        <v>2233</v>
      </c>
      <c r="BX62" s="141">
        <v>0</v>
      </c>
      <c r="BY62" s="545" t="s">
        <v>2233</v>
      </c>
      <c r="BZ62" s="141">
        <v>0</v>
      </c>
      <c r="CA62" s="545" t="s">
        <v>2233</v>
      </c>
      <c r="CB62" s="141">
        <v>0</v>
      </c>
      <c r="CC62" s="545" t="s">
        <v>2233</v>
      </c>
      <c r="CD62" s="144">
        <v>0</v>
      </c>
    </row>
    <row r="63" spans="1:82" s="98" customFormat="1" ht="15" customHeight="1">
      <c r="A63" s="99"/>
      <c r="B63" s="161"/>
      <c r="C63" s="162"/>
      <c r="D63" s="162" t="s">
        <v>2705</v>
      </c>
      <c r="E63" s="162"/>
      <c r="F63" s="162"/>
      <c r="G63" s="163"/>
      <c r="H63" s="163"/>
      <c r="I63" s="164" t="s">
        <v>498</v>
      </c>
      <c r="J63" s="143">
        <v>0</v>
      </c>
      <c r="K63" s="141">
        <v>0</v>
      </c>
      <c r="L63" s="141">
        <v>0</v>
      </c>
      <c r="M63" s="141">
        <v>0</v>
      </c>
      <c r="N63" s="141">
        <v>0</v>
      </c>
      <c r="O63" s="141">
        <v>0</v>
      </c>
      <c r="P63" s="141">
        <v>0</v>
      </c>
      <c r="Q63" s="144">
        <v>0</v>
      </c>
      <c r="R63" s="143">
        <v>0</v>
      </c>
      <c r="S63" s="141">
        <v>0</v>
      </c>
      <c r="T63" s="141">
        <v>0</v>
      </c>
      <c r="U63" s="141">
        <v>0</v>
      </c>
      <c r="V63" s="144">
        <v>0</v>
      </c>
      <c r="W63" s="185"/>
      <c r="X63" s="164" t="s">
        <v>498</v>
      </c>
      <c r="Y63" s="143">
        <v>0</v>
      </c>
      <c r="Z63" s="141">
        <v>0</v>
      </c>
      <c r="AA63" s="141">
        <v>0</v>
      </c>
      <c r="AB63" s="141">
        <v>0</v>
      </c>
      <c r="AC63" s="141">
        <v>0</v>
      </c>
      <c r="AD63" s="141">
        <v>0</v>
      </c>
      <c r="AE63" s="141">
        <v>0</v>
      </c>
      <c r="AF63" s="144">
        <v>0</v>
      </c>
      <c r="AG63" s="143">
        <v>0</v>
      </c>
      <c r="AH63" s="141">
        <v>0</v>
      </c>
      <c r="AI63" s="141">
        <v>0</v>
      </c>
      <c r="AJ63" s="141">
        <v>0</v>
      </c>
      <c r="AK63" s="144">
        <v>0</v>
      </c>
      <c r="AL63" s="185"/>
      <c r="AM63" s="164" t="s">
        <v>2233</v>
      </c>
      <c r="AN63" s="143">
        <v>0</v>
      </c>
      <c r="AO63" s="141">
        <v>0</v>
      </c>
      <c r="AP63" s="141">
        <v>0</v>
      </c>
      <c r="AQ63" s="141">
        <v>0</v>
      </c>
      <c r="AR63" s="141">
        <v>0</v>
      </c>
      <c r="AS63" s="141">
        <v>0</v>
      </c>
      <c r="AT63" s="141">
        <v>0</v>
      </c>
      <c r="AU63" s="144">
        <v>0</v>
      </c>
      <c r="AV63" s="143">
        <v>0</v>
      </c>
      <c r="AW63" s="141">
        <v>0</v>
      </c>
      <c r="AX63" s="141">
        <v>0</v>
      </c>
      <c r="AY63" s="141">
        <v>0</v>
      </c>
      <c r="AZ63" s="144">
        <v>0</v>
      </c>
      <c r="BA63" s="185"/>
      <c r="BB63" s="545" t="s">
        <v>627</v>
      </c>
      <c r="BC63" s="868">
        <v>0</v>
      </c>
      <c r="BD63" s="545" t="s">
        <v>627</v>
      </c>
      <c r="BE63" s="868">
        <v>0</v>
      </c>
      <c r="BF63" s="545" t="s">
        <v>2233</v>
      </c>
      <c r="BG63" s="141">
        <v>0</v>
      </c>
      <c r="BH63" s="545" t="s">
        <v>2233</v>
      </c>
      <c r="BI63" s="141">
        <v>0</v>
      </c>
      <c r="BJ63" s="545" t="s">
        <v>2233</v>
      </c>
      <c r="BK63" s="141">
        <v>0</v>
      </c>
      <c r="BL63" s="545" t="s">
        <v>2233</v>
      </c>
      <c r="BM63" s="141">
        <v>0</v>
      </c>
      <c r="BN63" s="545" t="s">
        <v>2233</v>
      </c>
      <c r="BO63" s="141">
        <v>0</v>
      </c>
      <c r="BP63" s="185"/>
      <c r="BQ63" s="545" t="s">
        <v>627</v>
      </c>
      <c r="BR63" s="868">
        <v>0</v>
      </c>
      <c r="BS63" s="545" t="s">
        <v>627</v>
      </c>
      <c r="BT63" s="868">
        <v>0</v>
      </c>
      <c r="BU63" s="545" t="s">
        <v>2233</v>
      </c>
      <c r="BV63" s="141">
        <v>0</v>
      </c>
      <c r="BW63" s="545" t="s">
        <v>2233</v>
      </c>
      <c r="BX63" s="141">
        <v>0</v>
      </c>
      <c r="BY63" s="545" t="s">
        <v>2233</v>
      </c>
      <c r="BZ63" s="141">
        <v>0</v>
      </c>
      <c r="CA63" s="545" t="s">
        <v>2233</v>
      </c>
      <c r="CB63" s="141">
        <v>0</v>
      </c>
      <c r="CC63" s="545" t="s">
        <v>2233</v>
      </c>
      <c r="CD63" s="144">
        <v>0</v>
      </c>
    </row>
    <row r="64" spans="1:82" s="98" customFormat="1" ht="15" customHeight="1">
      <c r="A64" s="99"/>
      <c r="B64" s="161"/>
      <c r="C64" s="162"/>
      <c r="D64" s="162" t="s">
        <v>2706</v>
      </c>
      <c r="E64" s="162"/>
      <c r="F64" s="162"/>
      <c r="G64" s="163"/>
      <c r="H64" s="163"/>
      <c r="I64" s="164" t="s">
        <v>498</v>
      </c>
      <c r="J64" s="143">
        <v>0</v>
      </c>
      <c r="K64" s="141">
        <v>0</v>
      </c>
      <c r="L64" s="141">
        <v>0</v>
      </c>
      <c r="M64" s="141">
        <v>0</v>
      </c>
      <c r="N64" s="141">
        <v>0</v>
      </c>
      <c r="O64" s="141">
        <v>0</v>
      </c>
      <c r="P64" s="141">
        <v>0</v>
      </c>
      <c r="Q64" s="144">
        <v>0</v>
      </c>
      <c r="R64" s="143">
        <v>0</v>
      </c>
      <c r="S64" s="141">
        <v>0</v>
      </c>
      <c r="T64" s="141">
        <v>0</v>
      </c>
      <c r="U64" s="141">
        <v>0</v>
      </c>
      <c r="V64" s="144">
        <v>0</v>
      </c>
      <c r="W64" s="185"/>
      <c r="X64" s="164" t="s">
        <v>498</v>
      </c>
      <c r="Y64" s="143">
        <v>0</v>
      </c>
      <c r="Z64" s="141">
        <v>0</v>
      </c>
      <c r="AA64" s="141">
        <v>0</v>
      </c>
      <c r="AB64" s="141">
        <v>0</v>
      </c>
      <c r="AC64" s="141">
        <v>0</v>
      </c>
      <c r="AD64" s="141">
        <v>0</v>
      </c>
      <c r="AE64" s="141">
        <v>0</v>
      </c>
      <c r="AF64" s="144">
        <v>0</v>
      </c>
      <c r="AG64" s="143">
        <v>0</v>
      </c>
      <c r="AH64" s="141">
        <v>0</v>
      </c>
      <c r="AI64" s="141">
        <v>0</v>
      </c>
      <c r="AJ64" s="141">
        <v>0</v>
      </c>
      <c r="AK64" s="144">
        <v>0</v>
      </c>
      <c r="AL64" s="185"/>
      <c r="AM64" s="164" t="s">
        <v>2233</v>
      </c>
      <c r="AN64" s="143">
        <v>0</v>
      </c>
      <c r="AO64" s="141">
        <v>0</v>
      </c>
      <c r="AP64" s="141">
        <v>0</v>
      </c>
      <c r="AQ64" s="141">
        <v>0</v>
      </c>
      <c r="AR64" s="141">
        <v>0</v>
      </c>
      <c r="AS64" s="141">
        <v>0</v>
      </c>
      <c r="AT64" s="141">
        <v>0</v>
      </c>
      <c r="AU64" s="144">
        <v>0</v>
      </c>
      <c r="AV64" s="143">
        <v>0</v>
      </c>
      <c r="AW64" s="141">
        <v>0</v>
      </c>
      <c r="AX64" s="141">
        <v>0</v>
      </c>
      <c r="AY64" s="141">
        <v>0</v>
      </c>
      <c r="AZ64" s="144">
        <v>0</v>
      </c>
      <c r="BA64" s="185"/>
      <c r="BB64" s="545" t="s">
        <v>627</v>
      </c>
      <c r="BC64" s="868">
        <v>0</v>
      </c>
      <c r="BD64" s="545" t="s">
        <v>627</v>
      </c>
      <c r="BE64" s="868">
        <v>0</v>
      </c>
      <c r="BF64" s="545" t="s">
        <v>2233</v>
      </c>
      <c r="BG64" s="141">
        <v>0</v>
      </c>
      <c r="BH64" s="545" t="s">
        <v>2233</v>
      </c>
      <c r="BI64" s="141">
        <v>0</v>
      </c>
      <c r="BJ64" s="545" t="s">
        <v>2233</v>
      </c>
      <c r="BK64" s="141">
        <v>0</v>
      </c>
      <c r="BL64" s="545" t="s">
        <v>2233</v>
      </c>
      <c r="BM64" s="141">
        <v>0</v>
      </c>
      <c r="BN64" s="545" t="s">
        <v>2233</v>
      </c>
      <c r="BO64" s="141">
        <v>0</v>
      </c>
      <c r="BP64" s="185"/>
      <c r="BQ64" s="545" t="s">
        <v>627</v>
      </c>
      <c r="BR64" s="868">
        <v>0</v>
      </c>
      <c r="BS64" s="545" t="s">
        <v>627</v>
      </c>
      <c r="BT64" s="868">
        <v>0</v>
      </c>
      <c r="BU64" s="545" t="s">
        <v>2233</v>
      </c>
      <c r="BV64" s="141">
        <v>0</v>
      </c>
      <c r="BW64" s="545" t="s">
        <v>2233</v>
      </c>
      <c r="BX64" s="141">
        <v>0</v>
      </c>
      <c r="BY64" s="545" t="s">
        <v>2233</v>
      </c>
      <c r="BZ64" s="141">
        <v>0</v>
      </c>
      <c r="CA64" s="545" t="s">
        <v>2233</v>
      </c>
      <c r="CB64" s="141">
        <v>0</v>
      </c>
      <c r="CC64" s="545" t="s">
        <v>2233</v>
      </c>
      <c r="CD64" s="144">
        <v>0</v>
      </c>
    </row>
    <row r="65" spans="1:82" s="98" customFormat="1" ht="15" customHeight="1">
      <c r="A65" s="99"/>
      <c r="B65" s="161"/>
      <c r="C65" s="162"/>
      <c r="D65" s="162" t="s">
        <v>2707</v>
      </c>
      <c r="E65" s="162"/>
      <c r="F65" s="162"/>
      <c r="G65" s="163"/>
      <c r="H65" s="163"/>
      <c r="I65" s="164" t="s">
        <v>498</v>
      </c>
      <c r="J65" s="143">
        <v>0</v>
      </c>
      <c r="K65" s="141">
        <v>0</v>
      </c>
      <c r="L65" s="141">
        <v>0</v>
      </c>
      <c r="M65" s="141">
        <v>0</v>
      </c>
      <c r="N65" s="141">
        <v>0</v>
      </c>
      <c r="O65" s="141">
        <v>0</v>
      </c>
      <c r="P65" s="141">
        <v>0</v>
      </c>
      <c r="Q65" s="144">
        <v>0</v>
      </c>
      <c r="R65" s="143">
        <v>0</v>
      </c>
      <c r="S65" s="141">
        <v>0</v>
      </c>
      <c r="T65" s="141">
        <v>0</v>
      </c>
      <c r="U65" s="141">
        <v>0</v>
      </c>
      <c r="V65" s="144">
        <v>0</v>
      </c>
      <c r="W65" s="185"/>
      <c r="X65" s="164" t="s">
        <v>498</v>
      </c>
      <c r="Y65" s="143">
        <v>0</v>
      </c>
      <c r="Z65" s="141">
        <v>0</v>
      </c>
      <c r="AA65" s="141">
        <v>0</v>
      </c>
      <c r="AB65" s="141">
        <v>0</v>
      </c>
      <c r="AC65" s="141">
        <v>0</v>
      </c>
      <c r="AD65" s="141">
        <v>0</v>
      </c>
      <c r="AE65" s="141">
        <v>0</v>
      </c>
      <c r="AF65" s="144">
        <v>0</v>
      </c>
      <c r="AG65" s="143">
        <v>0</v>
      </c>
      <c r="AH65" s="141">
        <v>0</v>
      </c>
      <c r="AI65" s="141">
        <v>0</v>
      </c>
      <c r="AJ65" s="141">
        <v>0</v>
      </c>
      <c r="AK65" s="144">
        <v>0</v>
      </c>
      <c r="AL65" s="185"/>
      <c r="AM65" s="164" t="s">
        <v>2233</v>
      </c>
      <c r="AN65" s="143">
        <v>0</v>
      </c>
      <c r="AO65" s="141">
        <v>0</v>
      </c>
      <c r="AP65" s="141">
        <v>0</v>
      </c>
      <c r="AQ65" s="141">
        <v>0</v>
      </c>
      <c r="AR65" s="141">
        <v>0</v>
      </c>
      <c r="AS65" s="141">
        <v>0</v>
      </c>
      <c r="AT65" s="141">
        <v>0</v>
      </c>
      <c r="AU65" s="144">
        <v>0</v>
      </c>
      <c r="AV65" s="143">
        <v>0</v>
      </c>
      <c r="AW65" s="141">
        <v>0</v>
      </c>
      <c r="AX65" s="141">
        <v>0</v>
      </c>
      <c r="AY65" s="141">
        <v>0</v>
      </c>
      <c r="AZ65" s="144">
        <v>0</v>
      </c>
      <c r="BA65" s="185"/>
      <c r="BB65" s="545" t="s">
        <v>627</v>
      </c>
      <c r="BC65" s="868">
        <v>0</v>
      </c>
      <c r="BD65" s="545" t="s">
        <v>627</v>
      </c>
      <c r="BE65" s="868">
        <v>0</v>
      </c>
      <c r="BF65" s="545" t="s">
        <v>2233</v>
      </c>
      <c r="BG65" s="141">
        <v>0</v>
      </c>
      <c r="BH65" s="545" t="s">
        <v>2233</v>
      </c>
      <c r="BI65" s="141">
        <v>0</v>
      </c>
      <c r="BJ65" s="545" t="s">
        <v>2233</v>
      </c>
      <c r="BK65" s="141">
        <v>0</v>
      </c>
      <c r="BL65" s="545" t="s">
        <v>2233</v>
      </c>
      <c r="BM65" s="141">
        <v>0</v>
      </c>
      <c r="BN65" s="545" t="s">
        <v>2233</v>
      </c>
      <c r="BO65" s="141">
        <v>0</v>
      </c>
      <c r="BP65" s="185"/>
      <c r="BQ65" s="545" t="s">
        <v>627</v>
      </c>
      <c r="BR65" s="868">
        <v>0</v>
      </c>
      <c r="BS65" s="545" t="s">
        <v>627</v>
      </c>
      <c r="BT65" s="868">
        <v>0</v>
      </c>
      <c r="BU65" s="545" t="s">
        <v>2233</v>
      </c>
      <c r="BV65" s="141">
        <v>0</v>
      </c>
      <c r="BW65" s="545" t="s">
        <v>2233</v>
      </c>
      <c r="BX65" s="141">
        <v>0</v>
      </c>
      <c r="BY65" s="545" t="s">
        <v>2233</v>
      </c>
      <c r="BZ65" s="141">
        <v>0</v>
      </c>
      <c r="CA65" s="545" t="s">
        <v>2233</v>
      </c>
      <c r="CB65" s="141">
        <v>0</v>
      </c>
      <c r="CC65" s="545" t="s">
        <v>2233</v>
      </c>
      <c r="CD65" s="144">
        <v>0</v>
      </c>
    </row>
    <row r="66" spans="1:82" s="98" customFormat="1" ht="15" customHeight="1">
      <c r="A66" s="99"/>
      <c r="B66" s="161"/>
      <c r="C66" s="162"/>
      <c r="D66" s="162" t="s">
        <v>2708</v>
      </c>
      <c r="E66" s="162"/>
      <c r="F66" s="162"/>
      <c r="G66" s="163"/>
      <c r="H66" s="163"/>
      <c r="I66" s="164" t="s">
        <v>498</v>
      </c>
      <c r="J66" s="143">
        <v>0</v>
      </c>
      <c r="K66" s="141">
        <v>0</v>
      </c>
      <c r="L66" s="141">
        <v>0</v>
      </c>
      <c r="M66" s="141">
        <v>0</v>
      </c>
      <c r="N66" s="141">
        <v>0</v>
      </c>
      <c r="O66" s="141">
        <v>0</v>
      </c>
      <c r="P66" s="141">
        <v>0</v>
      </c>
      <c r="Q66" s="144">
        <v>0</v>
      </c>
      <c r="R66" s="143">
        <v>0</v>
      </c>
      <c r="S66" s="141">
        <v>0</v>
      </c>
      <c r="T66" s="141">
        <v>0</v>
      </c>
      <c r="U66" s="141">
        <v>0</v>
      </c>
      <c r="V66" s="144">
        <v>0</v>
      </c>
      <c r="W66" s="185"/>
      <c r="X66" s="164" t="s">
        <v>498</v>
      </c>
      <c r="Y66" s="143">
        <v>0</v>
      </c>
      <c r="Z66" s="141">
        <v>0</v>
      </c>
      <c r="AA66" s="141">
        <v>0</v>
      </c>
      <c r="AB66" s="141">
        <v>0</v>
      </c>
      <c r="AC66" s="141">
        <v>0</v>
      </c>
      <c r="AD66" s="141">
        <v>0</v>
      </c>
      <c r="AE66" s="141">
        <v>0</v>
      </c>
      <c r="AF66" s="144">
        <v>0</v>
      </c>
      <c r="AG66" s="143">
        <v>0</v>
      </c>
      <c r="AH66" s="141">
        <v>0</v>
      </c>
      <c r="AI66" s="141">
        <v>0</v>
      </c>
      <c r="AJ66" s="141">
        <v>0</v>
      </c>
      <c r="AK66" s="144">
        <v>0</v>
      </c>
      <c r="AL66" s="185"/>
      <c r="AM66" s="164" t="s">
        <v>2233</v>
      </c>
      <c r="AN66" s="143">
        <v>0</v>
      </c>
      <c r="AO66" s="141">
        <v>0</v>
      </c>
      <c r="AP66" s="141">
        <v>0</v>
      </c>
      <c r="AQ66" s="141">
        <v>0</v>
      </c>
      <c r="AR66" s="141">
        <v>0</v>
      </c>
      <c r="AS66" s="141">
        <v>0</v>
      </c>
      <c r="AT66" s="141">
        <v>0</v>
      </c>
      <c r="AU66" s="144">
        <v>0</v>
      </c>
      <c r="AV66" s="143">
        <v>0</v>
      </c>
      <c r="AW66" s="141">
        <v>0</v>
      </c>
      <c r="AX66" s="141">
        <v>0</v>
      </c>
      <c r="AY66" s="141">
        <v>0</v>
      </c>
      <c r="AZ66" s="144">
        <v>0</v>
      </c>
      <c r="BA66" s="185"/>
      <c r="BB66" s="545" t="s">
        <v>627</v>
      </c>
      <c r="BC66" s="868">
        <v>0</v>
      </c>
      <c r="BD66" s="545" t="s">
        <v>627</v>
      </c>
      <c r="BE66" s="868">
        <v>0</v>
      </c>
      <c r="BF66" s="545" t="s">
        <v>2233</v>
      </c>
      <c r="BG66" s="141">
        <v>0</v>
      </c>
      <c r="BH66" s="545" t="s">
        <v>2233</v>
      </c>
      <c r="BI66" s="141">
        <v>0</v>
      </c>
      <c r="BJ66" s="545" t="s">
        <v>2233</v>
      </c>
      <c r="BK66" s="141">
        <v>0</v>
      </c>
      <c r="BL66" s="545" t="s">
        <v>2233</v>
      </c>
      <c r="BM66" s="141">
        <v>0</v>
      </c>
      <c r="BN66" s="545" t="s">
        <v>2233</v>
      </c>
      <c r="BO66" s="141">
        <v>0</v>
      </c>
      <c r="BP66" s="185"/>
      <c r="BQ66" s="545" t="s">
        <v>627</v>
      </c>
      <c r="BR66" s="868">
        <v>0</v>
      </c>
      <c r="BS66" s="545" t="s">
        <v>627</v>
      </c>
      <c r="BT66" s="868">
        <v>0</v>
      </c>
      <c r="BU66" s="545" t="s">
        <v>2233</v>
      </c>
      <c r="BV66" s="141">
        <v>0</v>
      </c>
      <c r="BW66" s="545" t="s">
        <v>2233</v>
      </c>
      <c r="BX66" s="141">
        <v>0</v>
      </c>
      <c r="BY66" s="545" t="s">
        <v>2233</v>
      </c>
      <c r="BZ66" s="141">
        <v>0</v>
      </c>
      <c r="CA66" s="545" t="s">
        <v>2233</v>
      </c>
      <c r="CB66" s="141">
        <v>0</v>
      </c>
      <c r="CC66" s="545" t="s">
        <v>2233</v>
      </c>
      <c r="CD66" s="144">
        <v>0</v>
      </c>
    </row>
    <row r="67" spans="1:82" s="98" customFormat="1" ht="15" customHeight="1">
      <c r="A67" s="99"/>
      <c r="B67" s="161"/>
      <c r="C67" s="162" t="s">
        <v>1710</v>
      </c>
      <c r="D67" s="162"/>
      <c r="E67" s="162"/>
      <c r="F67" s="162"/>
      <c r="G67" s="163"/>
      <c r="H67" s="163"/>
      <c r="I67" s="164" t="s">
        <v>498</v>
      </c>
      <c r="J67" s="641">
        <f>SUM(J59:J66)</f>
        <v>0</v>
      </c>
      <c r="K67" s="642">
        <f t="shared" ref="K67" si="106">SUM(K59:K66)</f>
        <v>0</v>
      </c>
      <c r="L67" s="642">
        <f t="shared" ref="L67" si="107">SUM(L59:L66)</f>
        <v>0</v>
      </c>
      <c r="M67" s="642">
        <f t="shared" ref="M67" si="108">SUM(M59:M66)</f>
        <v>0</v>
      </c>
      <c r="N67" s="642">
        <f t="shared" ref="N67" si="109">SUM(N59:N66)</f>
        <v>0</v>
      </c>
      <c r="O67" s="642">
        <f t="shared" ref="O67" si="110">SUM(O59:O66)</f>
        <v>0</v>
      </c>
      <c r="P67" s="642">
        <f t="shared" ref="P67" si="111">SUM(P59:P66)</f>
        <v>0</v>
      </c>
      <c r="Q67" s="643">
        <f t="shared" ref="Q67" si="112">SUM(Q59:Q66)</f>
        <v>0</v>
      </c>
      <c r="R67" s="641">
        <f t="shared" ref="R67" si="113">SUM(R59:R66)</f>
        <v>0</v>
      </c>
      <c r="S67" s="642">
        <f t="shared" ref="S67" si="114">SUM(S59:S66)</f>
        <v>0</v>
      </c>
      <c r="T67" s="642">
        <f t="shared" ref="T67" si="115">SUM(T59:T66)</f>
        <v>0</v>
      </c>
      <c r="U67" s="642">
        <f t="shared" ref="U67" si="116">SUM(U59:U66)</f>
        <v>0</v>
      </c>
      <c r="V67" s="643">
        <f t="shared" ref="V67" si="117">SUM(V59:V66)</f>
        <v>0</v>
      </c>
      <c r="W67" s="185"/>
      <c r="X67" s="164" t="s">
        <v>498</v>
      </c>
      <c r="Y67" s="641">
        <f>SUM(Y59:Y66)</f>
        <v>0</v>
      </c>
      <c r="Z67" s="642">
        <f t="shared" ref="Z67" si="118">SUM(Z59:Z66)</f>
        <v>0</v>
      </c>
      <c r="AA67" s="642">
        <f t="shared" ref="AA67" si="119">SUM(AA59:AA66)</f>
        <v>0</v>
      </c>
      <c r="AB67" s="642">
        <f t="shared" ref="AB67" si="120">SUM(AB59:AB66)</f>
        <v>0</v>
      </c>
      <c r="AC67" s="642">
        <f t="shared" ref="AC67" si="121">SUM(AC59:AC66)</f>
        <v>0</v>
      </c>
      <c r="AD67" s="642">
        <f t="shared" ref="AD67" si="122">SUM(AD59:AD66)</f>
        <v>0</v>
      </c>
      <c r="AE67" s="642">
        <f t="shared" ref="AE67" si="123">SUM(AE59:AE66)</f>
        <v>0</v>
      </c>
      <c r="AF67" s="643">
        <f t="shared" ref="AF67" si="124">SUM(AF59:AF66)</f>
        <v>0</v>
      </c>
      <c r="AG67" s="641">
        <f t="shared" ref="AG67" si="125">SUM(AG59:AG66)</f>
        <v>0</v>
      </c>
      <c r="AH67" s="642">
        <f t="shared" ref="AH67" si="126">SUM(AH59:AH66)</f>
        <v>0</v>
      </c>
      <c r="AI67" s="642">
        <f t="shared" ref="AI67" si="127">SUM(AI59:AI66)</f>
        <v>0</v>
      </c>
      <c r="AJ67" s="642">
        <f t="shared" ref="AJ67" si="128">SUM(AJ59:AJ66)</f>
        <v>0</v>
      </c>
      <c r="AK67" s="643">
        <f t="shared" ref="AK67" si="129">SUM(AK59:AK66)</f>
        <v>0</v>
      </c>
      <c r="AL67" s="185"/>
      <c r="AM67" s="164" t="s">
        <v>2233</v>
      </c>
      <c r="AN67" s="641">
        <f>SUM(AN59:AN66)</f>
        <v>0</v>
      </c>
      <c r="AO67" s="642">
        <f t="shared" ref="AO67" si="130">SUM(AO59:AO66)</f>
        <v>0</v>
      </c>
      <c r="AP67" s="642">
        <f t="shared" ref="AP67" si="131">SUM(AP59:AP66)</f>
        <v>0</v>
      </c>
      <c r="AQ67" s="642">
        <f t="shared" ref="AQ67" si="132">SUM(AQ59:AQ66)</f>
        <v>0</v>
      </c>
      <c r="AR67" s="642">
        <f t="shared" ref="AR67" si="133">SUM(AR59:AR66)</f>
        <v>0</v>
      </c>
      <c r="AS67" s="642">
        <f t="shared" ref="AS67" si="134">SUM(AS59:AS66)</f>
        <v>0</v>
      </c>
      <c r="AT67" s="642">
        <f t="shared" ref="AT67" si="135">SUM(AT59:AT66)</f>
        <v>0</v>
      </c>
      <c r="AU67" s="643">
        <f t="shared" ref="AU67" si="136">SUM(AU59:AU66)</f>
        <v>0</v>
      </c>
      <c r="AV67" s="641">
        <f t="shared" ref="AV67" si="137">SUM(AV59:AV66)</f>
        <v>0</v>
      </c>
      <c r="AW67" s="642">
        <f t="shared" ref="AW67" si="138">SUM(AW59:AW66)</f>
        <v>0</v>
      </c>
      <c r="AX67" s="642">
        <f t="shared" ref="AX67" si="139">SUM(AX59:AX66)</f>
        <v>0</v>
      </c>
      <c r="AY67" s="642">
        <f t="shared" ref="AY67" si="140">SUM(AY59:AY66)</f>
        <v>0</v>
      </c>
      <c r="AZ67" s="643">
        <f t="shared" ref="AZ67" si="141">SUM(AZ59:AZ66)</f>
        <v>0</v>
      </c>
      <c r="BA67" s="185"/>
      <c r="BB67" s="530"/>
      <c r="BC67" s="530"/>
      <c r="BD67" s="530"/>
      <c r="BE67" s="530"/>
      <c r="BF67" s="545" t="s">
        <v>2233</v>
      </c>
      <c r="BG67" s="642">
        <f>SUM(BG59:BG66)</f>
        <v>0</v>
      </c>
      <c r="BH67" s="865" t="s">
        <v>2233</v>
      </c>
      <c r="BI67" s="642">
        <f>SUM(BI59:BI66)</f>
        <v>0</v>
      </c>
      <c r="BJ67" s="865" t="s">
        <v>2233</v>
      </c>
      <c r="BK67" s="642">
        <f>SUM(BK59:BK66)</f>
        <v>0</v>
      </c>
      <c r="BL67" s="865" t="s">
        <v>2233</v>
      </c>
      <c r="BM67" s="642">
        <f>SUM(BM59:BM66)</f>
        <v>0</v>
      </c>
      <c r="BN67" s="865" t="s">
        <v>2233</v>
      </c>
      <c r="BO67" s="642">
        <f>SUM(BO59:BO66)</f>
        <v>0</v>
      </c>
      <c r="BP67" s="185"/>
      <c r="BQ67" s="530"/>
      <c r="BR67" s="530"/>
      <c r="BS67" s="530"/>
      <c r="BT67" s="530"/>
      <c r="BU67" s="545" t="s">
        <v>2233</v>
      </c>
      <c r="BV67" s="642">
        <f>SUM(BV59:BV66)</f>
        <v>0</v>
      </c>
      <c r="BW67" s="865" t="s">
        <v>2233</v>
      </c>
      <c r="BX67" s="642">
        <f>SUM(BX59:BX66)</f>
        <v>0</v>
      </c>
      <c r="BY67" s="865" t="s">
        <v>2233</v>
      </c>
      <c r="BZ67" s="642">
        <f>SUM(BZ59:BZ66)</f>
        <v>0</v>
      </c>
      <c r="CA67" s="865" t="s">
        <v>2233</v>
      </c>
      <c r="CB67" s="642">
        <f>SUM(CB59:CB66)</f>
        <v>0</v>
      </c>
      <c r="CC67" s="865" t="s">
        <v>2233</v>
      </c>
      <c r="CD67" s="643">
        <f>SUM(CD59:CD66)</f>
        <v>0</v>
      </c>
    </row>
    <row r="68" spans="1:82" s="98" customFormat="1" ht="15" customHeight="1">
      <c r="A68" s="99"/>
      <c r="B68" s="123"/>
      <c r="C68" s="127"/>
      <c r="D68" s="127"/>
      <c r="E68" s="127"/>
      <c r="F68" s="127"/>
      <c r="G68" s="117"/>
      <c r="H68" s="117"/>
      <c r="I68" s="117"/>
      <c r="J68" s="713"/>
      <c r="K68" s="721"/>
      <c r="L68" s="721"/>
      <c r="M68" s="721"/>
      <c r="N68" s="721"/>
      <c r="O68" s="721"/>
      <c r="P68" s="721"/>
      <c r="Q68" s="715"/>
      <c r="R68" s="713"/>
      <c r="S68" s="721"/>
      <c r="T68" s="721"/>
      <c r="U68" s="721"/>
      <c r="V68" s="715"/>
      <c r="W68" s="185"/>
      <c r="X68" s="117"/>
      <c r="Y68" s="713"/>
      <c r="Z68" s="721"/>
      <c r="AA68" s="721"/>
      <c r="AB68" s="721"/>
      <c r="AC68" s="721"/>
      <c r="AD68" s="721"/>
      <c r="AE68" s="721"/>
      <c r="AF68" s="715"/>
      <c r="AG68" s="713"/>
      <c r="AH68" s="721"/>
      <c r="AI68" s="721"/>
      <c r="AJ68" s="721"/>
      <c r="AK68" s="715"/>
      <c r="AL68" s="185"/>
      <c r="AM68" s="117"/>
      <c r="AN68" s="713"/>
      <c r="AO68" s="721"/>
      <c r="AP68" s="721"/>
      <c r="AQ68" s="721"/>
      <c r="AR68" s="721"/>
      <c r="AS68" s="721"/>
      <c r="AT68" s="721"/>
      <c r="AU68" s="715"/>
      <c r="AV68" s="713"/>
      <c r="AW68" s="721"/>
      <c r="AX68" s="721"/>
      <c r="AY68" s="721"/>
      <c r="AZ68" s="715"/>
      <c r="BA68" s="185"/>
      <c r="BB68" s="530"/>
      <c r="BC68" s="530"/>
      <c r="BD68" s="530"/>
      <c r="BE68" s="530"/>
      <c r="BF68" s="530"/>
      <c r="BG68" s="530"/>
      <c r="BH68" s="530"/>
      <c r="BI68" s="530"/>
      <c r="BJ68" s="530"/>
      <c r="BK68" s="530"/>
      <c r="BL68" s="530"/>
      <c r="BM68" s="530"/>
      <c r="BN68" s="530"/>
      <c r="BO68" s="530"/>
      <c r="BP68" s="185"/>
      <c r="BQ68" s="530"/>
      <c r="BR68" s="530"/>
      <c r="BS68" s="530"/>
      <c r="BT68" s="530"/>
      <c r="BU68" s="530"/>
      <c r="BV68" s="530"/>
      <c r="BW68" s="530"/>
      <c r="BX68" s="530"/>
      <c r="BY68" s="530"/>
      <c r="BZ68" s="530"/>
      <c r="CA68" s="530"/>
      <c r="CB68" s="530"/>
      <c r="CC68" s="530"/>
      <c r="CD68" s="544"/>
    </row>
    <row r="69" spans="1:82" s="98" customFormat="1" ht="15" customHeight="1">
      <c r="A69" s="99"/>
      <c r="B69" s="161"/>
      <c r="C69" s="116" t="s">
        <v>2670</v>
      </c>
      <c r="D69" s="116"/>
      <c r="E69" s="116"/>
      <c r="F69" s="116"/>
      <c r="G69" s="117"/>
      <c r="H69" s="117"/>
      <c r="I69" s="117"/>
      <c r="J69" s="713"/>
      <c r="K69" s="721"/>
      <c r="L69" s="721"/>
      <c r="M69" s="721"/>
      <c r="N69" s="721"/>
      <c r="O69" s="721"/>
      <c r="P69" s="721"/>
      <c r="Q69" s="715"/>
      <c r="R69" s="713"/>
      <c r="S69" s="721"/>
      <c r="T69" s="721"/>
      <c r="U69" s="721"/>
      <c r="V69" s="715"/>
      <c r="W69" s="185"/>
      <c r="X69" s="117"/>
      <c r="Y69" s="713"/>
      <c r="Z69" s="721"/>
      <c r="AA69" s="721"/>
      <c r="AB69" s="721"/>
      <c r="AC69" s="721"/>
      <c r="AD69" s="721"/>
      <c r="AE69" s="721"/>
      <c r="AF69" s="715"/>
      <c r="AG69" s="713"/>
      <c r="AH69" s="721"/>
      <c r="AI69" s="721"/>
      <c r="AJ69" s="721"/>
      <c r="AK69" s="715"/>
      <c r="AL69" s="185"/>
      <c r="AM69" s="117"/>
      <c r="AN69" s="713"/>
      <c r="AO69" s="721"/>
      <c r="AP69" s="721"/>
      <c r="AQ69" s="721"/>
      <c r="AR69" s="721"/>
      <c r="AS69" s="721"/>
      <c r="AT69" s="721"/>
      <c r="AU69" s="715"/>
      <c r="AV69" s="713"/>
      <c r="AW69" s="721"/>
      <c r="AX69" s="721"/>
      <c r="AY69" s="721"/>
      <c r="AZ69" s="715"/>
      <c r="BA69" s="185"/>
      <c r="BB69" s="530"/>
      <c r="BC69" s="530"/>
      <c r="BD69" s="530"/>
      <c r="BE69" s="530"/>
      <c r="BF69" s="530"/>
      <c r="BG69" s="530"/>
      <c r="BH69" s="530"/>
      <c r="BI69" s="530"/>
      <c r="BJ69" s="530"/>
      <c r="BK69" s="530"/>
      <c r="BL69" s="530"/>
      <c r="BM69" s="530"/>
      <c r="BN69" s="530"/>
      <c r="BO69" s="530"/>
      <c r="BP69" s="185"/>
      <c r="BQ69" s="530"/>
      <c r="BR69" s="530"/>
      <c r="BS69" s="530"/>
      <c r="BT69" s="530"/>
      <c r="BU69" s="530"/>
      <c r="BV69" s="530"/>
      <c r="BW69" s="530"/>
      <c r="BX69" s="530"/>
      <c r="BY69" s="530"/>
      <c r="BZ69" s="530"/>
      <c r="CA69" s="530"/>
      <c r="CB69" s="530"/>
      <c r="CC69" s="530"/>
      <c r="CD69" s="544"/>
    </row>
    <row r="70" spans="1:82" s="98" customFormat="1" ht="15" customHeight="1">
      <c r="A70" s="99"/>
      <c r="B70" s="161"/>
      <c r="C70" s="162"/>
      <c r="D70" s="162" t="s">
        <v>2701</v>
      </c>
      <c r="E70" s="162"/>
      <c r="F70" s="162"/>
      <c r="G70" s="163"/>
      <c r="H70" s="163"/>
      <c r="I70" s="164" t="s">
        <v>498</v>
      </c>
      <c r="J70" s="143">
        <v>0</v>
      </c>
      <c r="K70" s="141">
        <v>0</v>
      </c>
      <c r="L70" s="141">
        <v>0</v>
      </c>
      <c r="M70" s="141">
        <v>0</v>
      </c>
      <c r="N70" s="141">
        <v>0</v>
      </c>
      <c r="O70" s="141">
        <v>0</v>
      </c>
      <c r="P70" s="141">
        <v>0</v>
      </c>
      <c r="Q70" s="144">
        <v>0</v>
      </c>
      <c r="R70" s="143">
        <v>0</v>
      </c>
      <c r="S70" s="141">
        <v>0</v>
      </c>
      <c r="T70" s="141">
        <v>0</v>
      </c>
      <c r="U70" s="141">
        <v>0</v>
      </c>
      <c r="V70" s="144">
        <v>0</v>
      </c>
      <c r="W70" s="185"/>
      <c r="X70" s="164" t="s">
        <v>498</v>
      </c>
      <c r="Y70" s="143">
        <v>0</v>
      </c>
      <c r="Z70" s="141">
        <v>0</v>
      </c>
      <c r="AA70" s="141">
        <v>0</v>
      </c>
      <c r="AB70" s="141">
        <v>0</v>
      </c>
      <c r="AC70" s="141">
        <v>0</v>
      </c>
      <c r="AD70" s="141">
        <v>0</v>
      </c>
      <c r="AE70" s="141">
        <v>0</v>
      </c>
      <c r="AF70" s="144">
        <v>0</v>
      </c>
      <c r="AG70" s="143">
        <v>0</v>
      </c>
      <c r="AH70" s="141">
        <v>0</v>
      </c>
      <c r="AI70" s="141">
        <v>0</v>
      </c>
      <c r="AJ70" s="141">
        <v>0</v>
      </c>
      <c r="AK70" s="144">
        <v>0</v>
      </c>
      <c r="AL70" s="185"/>
      <c r="AM70" s="164" t="s">
        <v>2233</v>
      </c>
      <c r="AN70" s="143">
        <v>0</v>
      </c>
      <c r="AO70" s="141">
        <v>0</v>
      </c>
      <c r="AP70" s="141">
        <v>0</v>
      </c>
      <c r="AQ70" s="141">
        <v>0</v>
      </c>
      <c r="AR70" s="141">
        <v>0</v>
      </c>
      <c r="AS70" s="141">
        <v>0</v>
      </c>
      <c r="AT70" s="141">
        <v>0</v>
      </c>
      <c r="AU70" s="144">
        <v>0</v>
      </c>
      <c r="AV70" s="143">
        <v>0</v>
      </c>
      <c r="AW70" s="141">
        <v>0</v>
      </c>
      <c r="AX70" s="141">
        <v>0</v>
      </c>
      <c r="AY70" s="141">
        <v>0</v>
      </c>
      <c r="AZ70" s="144">
        <v>0</v>
      </c>
      <c r="BA70" s="185"/>
      <c r="BB70" s="545" t="s">
        <v>627</v>
      </c>
      <c r="BC70" s="868">
        <v>0</v>
      </c>
      <c r="BD70" s="545" t="s">
        <v>627</v>
      </c>
      <c r="BE70" s="868">
        <v>0</v>
      </c>
      <c r="BF70" s="545" t="s">
        <v>2233</v>
      </c>
      <c r="BG70" s="141">
        <v>0</v>
      </c>
      <c r="BH70" s="545" t="s">
        <v>2233</v>
      </c>
      <c r="BI70" s="141">
        <v>0</v>
      </c>
      <c r="BJ70" s="545" t="s">
        <v>2233</v>
      </c>
      <c r="BK70" s="141">
        <v>0</v>
      </c>
      <c r="BL70" s="545" t="s">
        <v>2233</v>
      </c>
      <c r="BM70" s="141">
        <v>0</v>
      </c>
      <c r="BN70" s="545" t="s">
        <v>2233</v>
      </c>
      <c r="BO70" s="141">
        <v>0</v>
      </c>
      <c r="BP70" s="185"/>
      <c r="BQ70" s="545" t="s">
        <v>627</v>
      </c>
      <c r="BR70" s="868">
        <v>0</v>
      </c>
      <c r="BS70" s="545" t="s">
        <v>627</v>
      </c>
      <c r="BT70" s="868">
        <v>0</v>
      </c>
      <c r="BU70" s="545" t="s">
        <v>2233</v>
      </c>
      <c r="BV70" s="141">
        <v>0</v>
      </c>
      <c r="BW70" s="545" t="s">
        <v>2233</v>
      </c>
      <c r="BX70" s="141">
        <v>0</v>
      </c>
      <c r="BY70" s="545" t="s">
        <v>2233</v>
      </c>
      <c r="BZ70" s="141">
        <v>0</v>
      </c>
      <c r="CA70" s="545" t="s">
        <v>2233</v>
      </c>
      <c r="CB70" s="141">
        <v>0</v>
      </c>
      <c r="CC70" s="545" t="s">
        <v>2233</v>
      </c>
      <c r="CD70" s="144">
        <v>0</v>
      </c>
    </row>
    <row r="71" spans="1:82" s="98" customFormat="1" ht="15" customHeight="1">
      <c r="A71" s="99"/>
      <c r="B71" s="161"/>
      <c r="C71" s="162"/>
      <c r="D71" s="162" t="s">
        <v>2702</v>
      </c>
      <c r="E71" s="162"/>
      <c r="F71" s="162"/>
      <c r="G71" s="163"/>
      <c r="H71" s="163"/>
      <c r="I71" s="164" t="s">
        <v>498</v>
      </c>
      <c r="J71" s="143">
        <v>0</v>
      </c>
      <c r="K71" s="141">
        <v>0</v>
      </c>
      <c r="L71" s="141">
        <v>0</v>
      </c>
      <c r="M71" s="141">
        <v>0</v>
      </c>
      <c r="N71" s="141">
        <v>0</v>
      </c>
      <c r="O71" s="141">
        <v>0</v>
      </c>
      <c r="P71" s="141">
        <v>0</v>
      </c>
      <c r="Q71" s="144">
        <v>0</v>
      </c>
      <c r="R71" s="143">
        <v>0</v>
      </c>
      <c r="S71" s="141">
        <v>0</v>
      </c>
      <c r="T71" s="141">
        <v>0</v>
      </c>
      <c r="U71" s="141">
        <v>0</v>
      </c>
      <c r="V71" s="144">
        <v>0</v>
      </c>
      <c r="W71" s="185"/>
      <c r="X71" s="164" t="s">
        <v>498</v>
      </c>
      <c r="Y71" s="143">
        <v>0</v>
      </c>
      <c r="Z71" s="141">
        <v>0</v>
      </c>
      <c r="AA71" s="141">
        <v>0</v>
      </c>
      <c r="AB71" s="141">
        <v>0</v>
      </c>
      <c r="AC71" s="141">
        <v>0</v>
      </c>
      <c r="AD71" s="141">
        <v>0</v>
      </c>
      <c r="AE71" s="141">
        <v>0</v>
      </c>
      <c r="AF71" s="144">
        <v>0</v>
      </c>
      <c r="AG71" s="143">
        <v>0</v>
      </c>
      <c r="AH71" s="141">
        <v>0</v>
      </c>
      <c r="AI71" s="141">
        <v>0</v>
      </c>
      <c r="AJ71" s="141">
        <v>0</v>
      </c>
      <c r="AK71" s="144">
        <v>0</v>
      </c>
      <c r="AL71" s="185"/>
      <c r="AM71" s="164" t="s">
        <v>2233</v>
      </c>
      <c r="AN71" s="143">
        <v>0</v>
      </c>
      <c r="AO71" s="141">
        <v>0</v>
      </c>
      <c r="AP71" s="141">
        <v>0</v>
      </c>
      <c r="AQ71" s="141">
        <v>0</v>
      </c>
      <c r="AR71" s="141">
        <v>0</v>
      </c>
      <c r="AS71" s="141">
        <v>0</v>
      </c>
      <c r="AT71" s="141">
        <v>0</v>
      </c>
      <c r="AU71" s="144">
        <v>0</v>
      </c>
      <c r="AV71" s="143">
        <v>0</v>
      </c>
      <c r="AW71" s="141">
        <v>0</v>
      </c>
      <c r="AX71" s="141">
        <v>0</v>
      </c>
      <c r="AY71" s="141">
        <v>0</v>
      </c>
      <c r="AZ71" s="144">
        <v>0</v>
      </c>
      <c r="BA71" s="185"/>
      <c r="BB71" s="545" t="s">
        <v>627</v>
      </c>
      <c r="BC71" s="868">
        <v>0</v>
      </c>
      <c r="BD71" s="545" t="s">
        <v>627</v>
      </c>
      <c r="BE71" s="868">
        <v>0</v>
      </c>
      <c r="BF71" s="545" t="s">
        <v>2233</v>
      </c>
      <c r="BG71" s="141">
        <v>0</v>
      </c>
      <c r="BH71" s="545" t="s">
        <v>2233</v>
      </c>
      <c r="BI71" s="141">
        <v>0</v>
      </c>
      <c r="BJ71" s="545" t="s">
        <v>2233</v>
      </c>
      <c r="BK71" s="141">
        <v>0</v>
      </c>
      <c r="BL71" s="545" t="s">
        <v>2233</v>
      </c>
      <c r="BM71" s="141">
        <v>0</v>
      </c>
      <c r="BN71" s="545" t="s">
        <v>2233</v>
      </c>
      <c r="BO71" s="141">
        <v>0</v>
      </c>
      <c r="BP71" s="185"/>
      <c r="BQ71" s="545" t="s">
        <v>627</v>
      </c>
      <c r="BR71" s="868">
        <v>0</v>
      </c>
      <c r="BS71" s="545" t="s">
        <v>627</v>
      </c>
      <c r="BT71" s="868">
        <v>0</v>
      </c>
      <c r="BU71" s="545" t="s">
        <v>2233</v>
      </c>
      <c r="BV71" s="141">
        <v>0</v>
      </c>
      <c r="BW71" s="545" t="s">
        <v>2233</v>
      </c>
      <c r="BX71" s="141">
        <v>0</v>
      </c>
      <c r="BY71" s="545" t="s">
        <v>2233</v>
      </c>
      <c r="BZ71" s="141">
        <v>0</v>
      </c>
      <c r="CA71" s="545" t="s">
        <v>2233</v>
      </c>
      <c r="CB71" s="141">
        <v>0</v>
      </c>
      <c r="CC71" s="545" t="s">
        <v>2233</v>
      </c>
      <c r="CD71" s="144">
        <v>0</v>
      </c>
    </row>
    <row r="72" spans="1:82" s="98" customFormat="1" ht="15" customHeight="1">
      <c r="A72" s="99"/>
      <c r="B72" s="161"/>
      <c r="C72" s="162"/>
      <c r="D72" s="162" t="s">
        <v>2703</v>
      </c>
      <c r="E72" s="162"/>
      <c r="F72" s="162"/>
      <c r="G72" s="163"/>
      <c r="H72" s="163"/>
      <c r="I72" s="164" t="s">
        <v>498</v>
      </c>
      <c r="J72" s="143">
        <v>0</v>
      </c>
      <c r="K72" s="141">
        <v>0</v>
      </c>
      <c r="L72" s="141">
        <v>0</v>
      </c>
      <c r="M72" s="141">
        <v>0</v>
      </c>
      <c r="N72" s="141">
        <v>0</v>
      </c>
      <c r="O72" s="141">
        <v>0</v>
      </c>
      <c r="P72" s="141">
        <v>0</v>
      </c>
      <c r="Q72" s="144">
        <v>0</v>
      </c>
      <c r="R72" s="143">
        <v>0</v>
      </c>
      <c r="S72" s="141">
        <v>0</v>
      </c>
      <c r="T72" s="141">
        <v>0</v>
      </c>
      <c r="U72" s="141">
        <v>0</v>
      </c>
      <c r="V72" s="144">
        <v>0</v>
      </c>
      <c r="W72" s="185"/>
      <c r="X72" s="164" t="s">
        <v>498</v>
      </c>
      <c r="Y72" s="143">
        <v>0</v>
      </c>
      <c r="Z72" s="141">
        <v>0</v>
      </c>
      <c r="AA72" s="141">
        <v>0</v>
      </c>
      <c r="AB72" s="141">
        <v>0</v>
      </c>
      <c r="AC72" s="141">
        <v>0</v>
      </c>
      <c r="AD72" s="141">
        <v>0</v>
      </c>
      <c r="AE72" s="141">
        <v>0</v>
      </c>
      <c r="AF72" s="144">
        <v>0</v>
      </c>
      <c r="AG72" s="143">
        <v>0</v>
      </c>
      <c r="AH72" s="141">
        <v>0</v>
      </c>
      <c r="AI72" s="141">
        <v>0</v>
      </c>
      <c r="AJ72" s="141">
        <v>0</v>
      </c>
      <c r="AK72" s="144">
        <v>0</v>
      </c>
      <c r="AL72" s="185"/>
      <c r="AM72" s="164" t="s">
        <v>2233</v>
      </c>
      <c r="AN72" s="143">
        <v>0</v>
      </c>
      <c r="AO72" s="141">
        <v>0</v>
      </c>
      <c r="AP72" s="141">
        <v>0</v>
      </c>
      <c r="AQ72" s="141">
        <v>0</v>
      </c>
      <c r="AR72" s="141">
        <v>0</v>
      </c>
      <c r="AS72" s="141">
        <v>0</v>
      </c>
      <c r="AT72" s="141">
        <v>0</v>
      </c>
      <c r="AU72" s="144">
        <v>0</v>
      </c>
      <c r="AV72" s="143">
        <v>0</v>
      </c>
      <c r="AW72" s="141">
        <v>0</v>
      </c>
      <c r="AX72" s="141">
        <v>0</v>
      </c>
      <c r="AY72" s="141">
        <v>0</v>
      </c>
      <c r="AZ72" s="144">
        <v>0</v>
      </c>
      <c r="BA72" s="185"/>
      <c r="BB72" s="545" t="s">
        <v>627</v>
      </c>
      <c r="BC72" s="868">
        <v>0</v>
      </c>
      <c r="BD72" s="545" t="s">
        <v>627</v>
      </c>
      <c r="BE72" s="868">
        <v>0</v>
      </c>
      <c r="BF72" s="545" t="s">
        <v>2233</v>
      </c>
      <c r="BG72" s="141">
        <v>0</v>
      </c>
      <c r="BH72" s="545" t="s">
        <v>2233</v>
      </c>
      <c r="BI72" s="141">
        <v>0</v>
      </c>
      <c r="BJ72" s="545" t="s">
        <v>2233</v>
      </c>
      <c r="BK72" s="141">
        <v>0</v>
      </c>
      <c r="BL72" s="545" t="s">
        <v>2233</v>
      </c>
      <c r="BM72" s="141">
        <v>0</v>
      </c>
      <c r="BN72" s="545" t="s">
        <v>2233</v>
      </c>
      <c r="BO72" s="141">
        <v>0</v>
      </c>
      <c r="BP72" s="185"/>
      <c r="BQ72" s="545" t="s">
        <v>627</v>
      </c>
      <c r="BR72" s="868">
        <v>0</v>
      </c>
      <c r="BS72" s="545" t="s">
        <v>627</v>
      </c>
      <c r="BT72" s="868">
        <v>0</v>
      </c>
      <c r="BU72" s="545" t="s">
        <v>2233</v>
      </c>
      <c r="BV72" s="141">
        <v>0</v>
      </c>
      <c r="BW72" s="545" t="s">
        <v>2233</v>
      </c>
      <c r="BX72" s="141">
        <v>0</v>
      </c>
      <c r="BY72" s="545" t="s">
        <v>2233</v>
      </c>
      <c r="BZ72" s="141">
        <v>0</v>
      </c>
      <c r="CA72" s="545" t="s">
        <v>2233</v>
      </c>
      <c r="CB72" s="141">
        <v>0</v>
      </c>
      <c r="CC72" s="545" t="s">
        <v>2233</v>
      </c>
      <c r="CD72" s="144">
        <v>0</v>
      </c>
    </row>
    <row r="73" spans="1:82" s="98" customFormat="1" ht="15" customHeight="1">
      <c r="A73" s="99"/>
      <c r="B73" s="161"/>
      <c r="C73" s="162"/>
      <c r="D73" s="162" t="s">
        <v>2704</v>
      </c>
      <c r="E73" s="162"/>
      <c r="F73" s="162"/>
      <c r="G73" s="163"/>
      <c r="H73" s="163"/>
      <c r="I73" s="164" t="s">
        <v>498</v>
      </c>
      <c r="J73" s="143">
        <v>0</v>
      </c>
      <c r="K73" s="141">
        <v>0</v>
      </c>
      <c r="L73" s="141">
        <v>0</v>
      </c>
      <c r="M73" s="141">
        <v>0</v>
      </c>
      <c r="N73" s="141">
        <v>0</v>
      </c>
      <c r="O73" s="141">
        <v>0</v>
      </c>
      <c r="P73" s="141">
        <v>0</v>
      </c>
      <c r="Q73" s="144">
        <v>0</v>
      </c>
      <c r="R73" s="143">
        <v>0</v>
      </c>
      <c r="S73" s="141">
        <v>0</v>
      </c>
      <c r="T73" s="141">
        <v>0</v>
      </c>
      <c r="U73" s="141">
        <v>0</v>
      </c>
      <c r="V73" s="144">
        <v>0</v>
      </c>
      <c r="W73" s="185"/>
      <c r="X73" s="164" t="s">
        <v>498</v>
      </c>
      <c r="Y73" s="143">
        <v>0</v>
      </c>
      <c r="Z73" s="141">
        <v>0</v>
      </c>
      <c r="AA73" s="141">
        <v>0</v>
      </c>
      <c r="AB73" s="141">
        <v>0</v>
      </c>
      <c r="AC73" s="141">
        <v>0</v>
      </c>
      <c r="AD73" s="141">
        <v>0</v>
      </c>
      <c r="AE73" s="141">
        <v>0</v>
      </c>
      <c r="AF73" s="144">
        <v>0</v>
      </c>
      <c r="AG73" s="143">
        <v>0</v>
      </c>
      <c r="AH73" s="141">
        <v>0</v>
      </c>
      <c r="AI73" s="141">
        <v>0</v>
      </c>
      <c r="AJ73" s="141">
        <v>0</v>
      </c>
      <c r="AK73" s="144">
        <v>0</v>
      </c>
      <c r="AL73" s="185"/>
      <c r="AM73" s="164" t="s">
        <v>2233</v>
      </c>
      <c r="AN73" s="143">
        <v>0</v>
      </c>
      <c r="AO73" s="141">
        <v>0</v>
      </c>
      <c r="AP73" s="141">
        <v>0</v>
      </c>
      <c r="AQ73" s="141">
        <v>0</v>
      </c>
      <c r="AR73" s="141">
        <v>0</v>
      </c>
      <c r="AS73" s="141">
        <v>0</v>
      </c>
      <c r="AT73" s="141">
        <v>0</v>
      </c>
      <c r="AU73" s="144">
        <v>0</v>
      </c>
      <c r="AV73" s="143">
        <v>0</v>
      </c>
      <c r="AW73" s="141">
        <v>0</v>
      </c>
      <c r="AX73" s="141">
        <v>0</v>
      </c>
      <c r="AY73" s="141">
        <v>0</v>
      </c>
      <c r="AZ73" s="144">
        <v>0</v>
      </c>
      <c r="BA73" s="185"/>
      <c r="BB73" s="545" t="s">
        <v>627</v>
      </c>
      <c r="BC73" s="868">
        <v>0</v>
      </c>
      <c r="BD73" s="545" t="s">
        <v>627</v>
      </c>
      <c r="BE73" s="868">
        <v>0</v>
      </c>
      <c r="BF73" s="545" t="s">
        <v>2233</v>
      </c>
      <c r="BG73" s="141">
        <v>0</v>
      </c>
      <c r="BH73" s="545" t="s">
        <v>2233</v>
      </c>
      <c r="BI73" s="141">
        <v>0</v>
      </c>
      <c r="BJ73" s="545" t="s">
        <v>2233</v>
      </c>
      <c r="BK73" s="141">
        <v>0</v>
      </c>
      <c r="BL73" s="545" t="s">
        <v>2233</v>
      </c>
      <c r="BM73" s="141">
        <v>0</v>
      </c>
      <c r="BN73" s="545" t="s">
        <v>2233</v>
      </c>
      <c r="BO73" s="141">
        <v>0</v>
      </c>
      <c r="BP73" s="185"/>
      <c r="BQ73" s="545" t="s">
        <v>627</v>
      </c>
      <c r="BR73" s="868">
        <v>0</v>
      </c>
      <c r="BS73" s="545" t="s">
        <v>627</v>
      </c>
      <c r="BT73" s="868">
        <v>0</v>
      </c>
      <c r="BU73" s="545" t="s">
        <v>2233</v>
      </c>
      <c r="BV73" s="141">
        <v>0</v>
      </c>
      <c r="BW73" s="545" t="s">
        <v>2233</v>
      </c>
      <c r="BX73" s="141">
        <v>0</v>
      </c>
      <c r="BY73" s="545" t="s">
        <v>2233</v>
      </c>
      <c r="BZ73" s="141">
        <v>0</v>
      </c>
      <c r="CA73" s="545" t="s">
        <v>2233</v>
      </c>
      <c r="CB73" s="141">
        <v>0</v>
      </c>
      <c r="CC73" s="545" t="s">
        <v>2233</v>
      </c>
      <c r="CD73" s="144">
        <v>0</v>
      </c>
    </row>
    <row r="74" spans="1:82" s="98" customFormat="1" ht="15" customHeight="1">
      <c r="A74" s="99"/>
      <c r="B74" s="161"/>
      <c r="C74" s="162"/>
      <c r="D74" s="162" t="s">
        <v>2705</v>
      </c>
      <c r="E74" s="162"/>
      <c r="F74" s="162"/>
      <c r="G74" s="163"/>
      <c r="H74" s="163"/>
      <c r="I74" s="164" t="s">
        <v>498</v>
      </c>
      <c r="J74" s="143">
        <v>0</v>
      </c>
      <c r="K74" s="141">
        <v>0</v>
      </c>
      <c r="L74" s="141">
        <v>0</v>
      </c>
      <c r="M74" s="141">
        <v>0</v>
      </c>
      <c r="N74" s="141">
        <v>0</v>
      </c>
      <c r="O74" s="141">
        <v>0</v>
      </c>
      <c r="P74" s="141">
        <v>0</v>
      </c>
      <c r="Q74" s="144">
        <v>0</v>
      </c>
      <c r="R74" s="143">
        <v>0</v>
      </c>
      <c r="S74" s="141">
        <v>0</v>
      </c>
      <c r="T74" s="141">
        <v>0</v>
      </c>
      <c r="U74" s="141">
        <v>0</v>
      </c>
      <c r="V74" s="144">
        <v>0</v>
      </c>
      <c r="W74" s="185"/>
      <c r="X74" s="164" t="s">
        <v>498</v>
      </c>
      <c r="Y74" s="143">
        <v>0</v>
      </c>
      <c r="Z74" s="141">
        <v>0</v>
      </c>
      <c r="AA74" s="141">
        <v>0</v>
      </c>
      <c r="AB74" s="141">
        <v>0</v>
      </c>
      <c r="AC74" s="141">
        <v>0</v>
      </c>
      <c r="AD74" s="141">
        <v>0</v>
      </c>
      <c r="AE74" s="141">
        <v>0</v>
      </c>
      <c r="AF74" s="144">
        <v>0</v>
      </c>
      <c r="AG74" s="143">
        <v>0</v>
      </c>
      <c r="AH74" s="141">
        <v>0</v>
      </c>
      <c r="AI74" s="141">
        <v>0</v>
      </c>
      <c r="AJ74" s="141">
        <v>0</v>
      </c>
      <c r="AK74" s="144">
        <v>0</v>
      </c>
      <c r="AL74" s="185"/>
      <c r="AM74" s="164" t="s">
        <v>2233</v>
      </c>
      <c r="AN74" s="143">
        <v>0</v>
      </c>
      <c r="AO74" s="141">
        <v>0</v>
      </c>
      <c r="AP74" s="141">
        <v>0</v>
      </c>
      <c r="AQ74" s="141">
        <v>0</v>
      </c>
      <c r="AR74" s="141">
        <v>0</v>
      </c>
      <c r="AS74" s="141">
        <v>0</v>
      </c>
      <c r="AT74" s="141">
        <v>0</v>
      </c>
      <c r="AU74" s="144">
        <v>0</v>
      </c>
      <c r="AV74" s="143">
        <v>0</v>
      </c>
      <c r="AW74" s="141">
        <v>0</v>
      </c>
      <c r="AX74" s="141">
        <v>0</v>
      </c>
      <c r="AY74" s="141">
        <v>0</v>
      </c>
      <c r="AZ74" s="144">
        <v>0</v>
      </c>
      <c r="BA74" s="185"/>
      <c r="BB74" s="545" t="s">
        <v>627</v>
      </c>
      <c r="BC74" s="868">
        <v>0</v>
      </c>
      <c r="BD74" s="545" t="s">
        <v>627</v>
      </c>
      <c r="BE74" s="868">
        <v>0</v>
      </c>
      <c r="BF74" s="545" t="s">
        <v>2233</v>
      </c>
      <c r="BG74" s="141">
        <v>0</v>
      </c>
      <c r="BH74" s="545" t="s">
        <v>2233</v>
      </c>
      <c r="BI74" s="141">
        <v>0</v>
      </c>
      <c r="BJ74" s="545" t="s">
        <v>2233</v>
      </c>
      <c r="BK74" s="141">
        <v>0</v>
      </c>
      <c r="BL74" s="545" t="s">
        <v>2233</v>
      </c>
      <c r="BM74" s="141">
        <v>0</v>
      </c>
      <c r="BN74" s="545" t="s">
        <v>2233</v>
      </c>
      <c r="BO74" s="141">
        <v>0</v>
      </c>
      <c r="BP74" s="185"/>
      <c r="BQ74" s="545" t="s">
        <v>627</v>
      </c>
      <c r="BR74" s="868">
        <v>0</v>
      </c>
      <c r="BS74" s="545" t="s">
        <v>627</v>
      </c>
      <c r="BT74" s="868">
        <v>0</v>
      </c>
      <c r="BU74" s="545" t="s">
        <v>2233</v>
      </c>
      <c r="BV74" s="141">
        <v>0</v>
      </c>
      <c r="BW74" s="545" t="s">
        <v>2233</v>
      </c>
      <c r="BX74" s="141">
        <v>0</v>
      </c>
      <c r="BY74" s="545" t="s">
        <v>2233</v>
      </c>
      <c r="BZ74" s="141">
        <v>0</v>
      </c>
      <c r="CA74" s="545" t="s">
        <v>2233</v>
      </c>
      <c r="CB74" s="141">
        <v>0</v>
      </c>
      <c r="CC74" s="545" t="s">
        <v>2233</v>
      </c>
      <c r="CD74" s="144">
        <v>0</v>
      </c>
    </row>
    <row r="75" spans="1:82" s="98" customFormat="1" ht="15" customHeight="1">
      <c r="A75" s="99"/>
      <c r="B75" s="161"/>
      <c r="C75" s="162"/>
      <c r="D75" s="162" t="s">
        <v>2706</v>
      </c>
      <c r="E75" s="162"/>
      <c r="F75" s="162"/>
      <c r="G75" s="163"/>
      <c r="H75" s="163"/>
      <c r="I75" s="164" t="s">
        <v>498</v>
      </c>
      <c r="J75" s="143">
        <v>0</v>
      </c>
      <c r="K75" s="141">
        <v>0</v>
      </c>
      <c r="L75" s="141">
        <v>0</v>
      </c>
      <c r="M75" s="141">
        <v>0</v>
      </c>
      <c r="N75" s="141">
        <v>0</v>
      </c>
      <c r="O75" s="141">
        <v>0</v>
      </c>
      <c r="P75" s="141">
        <v>0</v>
      </c>
      <c r="Q75" s="144">
        <v>0</v>
      </c>
      <c r="R75" s="143">
        <v>0</v>
      </c>
      <c r="S75" s="141">
        <v>0</v>
      </c>
      <c r="T75" s="141">
        <v>0</v>
      </c>
      <c r="U75" s="141">
        <v>0</v>
      </c>
      <c r="V75" s="144">
        <v>0</v>
      </c>
      <c r="W75" s="185"/>
      <c r="X75" s="164" t="s">
        <v>498</v>
      </c>
      <c r="Y75" s="143">
        <v>0</v>
      </c>
      <c r="Z75" s="141">
        <v>0</v>
      </c>
      <c r="AA75" s="141">
        <v>0</v>
      </c>
      <c r="AB75" s="141">
        <v>0</v>
      </c>
      <c r="AC75" s="141">
        <v>0</v>
      </c>
      <c r="AD75" s="141">
        <v>0</v>
      </c>
      <c r="AE75" s="141">
        <v>0</v>
      </c>
      <c r="AF75" s="144">
        <v>0</v>
      </c>
      <c r="AG75" s="143">
        <v>0</v>
      </c>
      <c r="AH75" s="141">
        <v>0</v>
      </c>
      <c r="AI75" s="141">
        <v>0</v>
      </c>
      <c r="AJ75" s="141">
        <v>0</v>
      </c>
      <c r="AK75" s="144">
        <v>0</v>
      </c>
      <c r="AL75" s="185"/>
      <c r="AM75" s="164" t="s">
        <v>2233</v>
      </c>
      <c r="AN75" s="143">
        <v>0</v>
      </c>
      <c r="AO75" s="141">
        <v>0</v>
      </c>
      <c r="AP75" s="141">
        <v>0</v>
      </c>
      <c r="AQ75" s="141">
        <v>0</v>
      </c>
      <c r="AR75" s="141">
        <v>0</v>
      </c>
      <c r="AS75" s="141">
        <v>0</v>
      </c>
      <c r="AT75" s="141">
        <v>0</v>
      </c>
      <c r="AU75" s="144">
        <v>0</v>
      </c>
      <c r="AV75" s="143">
        <v>0</v>
      </c>
      <c r="AW75" s="141">
        <v>0</v>
      </c>
      <c r="AX75" s="141">
        <v>0</v>
      </c>
      <c r="AY75" s="141">
        <v>0</v>
      </c>
      <c r="AZ75" s="144">
        <v>0</v>
      </c>
      <c r="BA75" s="185"/>
      <c r="BB75" s="545" t="s">
        <v>627</v>
      </c>
      <c r="BC75" s="868">
        <v>0</v>
      </c>
      <c r="BD75" s="545" t="s">
        <v>627</v>
      </c>
      <c r="BE75" s="868">
        <v>0</v>
      </c>
      <c r="BF75" s="545" t="s">
        <v>2233</v>
      </c>
      <c r="BG75" s="141">
        <v>0</v>
      </c>
      <c r="BH75" s="545" t="s">
        <v>2233</v>
      </c>
      <c r="BI75" s="141">
        <v>0</v>
      </c>
      <c r="BJ75" s="545" t="s">
        <v>2233</v>
      </c>
      <c r="BK75" s="141">
        <v>0</v>
      </c>
      <c r="BL75" s="545" t="s">
        <v>2233</v>
      </c>
      <c r="BM75" s="141">
        <v>0</v>
      </c>
      <c r="BN75" s="545" t="s">
        <v>2233</v>
      </c>
      <c r="BO75" s="141">
        <v>0</v>
      </c>
      <c r="BP75" s="185"/>
      <c r="BQ75" s="545" t="s">
        <v>627</v>
      </c>
      <c r="BR75" s="868">
        <v>0</v>
      </c>
      <c r="BS75" s="545" t="s">
        <v>627</v>
      </c>
      <c r="BT75" s="868">
        <v>0</v>
      </c>
      <c r="BU75" s="545" t="s">
        <v>2233</v>
      </c>
      <c r="BV75" s="141">
        <v>0</v>
      </c>
      <c r="BW75" s="545" t="s">
        <v>2233</v>
      </c>
      <c r="BX75" s="141">
        <v>0</v>
      </c>
      <c r="BY75" s="545" t="s">
        <v>2233</v>
      </c>
      <c r="BZ75" s="141">
        <v>0</v>
      </c>
      <c r="CA75" s="545" t="s">
        <v>2233</v>
      </c>
      <c r="CB75" s="141">
        <v>0</v>
      </c>
      <c r="CC75" s="545" t="s">
        <v>2233</v>
      </c>
      <c r="CD75" s="144">
        <v>0</v>
      </c>
    </row>
    <row r="76" spans="1:82" s="98" customFormat="1" ht="15" customHeight="1">
      <c r="A76" s="99"/>
      <c r="B76" s="161"/>
      <c r="C76" s="162"/>
      <c r="D76" s="162" t="s">
        <v>2707</v>
      </c>
      <c r="E76" s="162"/>
      <c r="F76" s="162"/>
      <c r="G76" s="163"/>
      <c r="H76" s="163"/>
      <c r="I76" s="164" t="s">
        <v>498</v>
      </c>
      <c r="J76" s="143">
        <v>0</v>
      </c>
      <c r="K76" s="141">
        <v>0</v>
      </c>
      <c r="L76" s="141">
        <v>0</v>
      </c>
      <c r="M76" s="141">
        <v>0</v>
      </c>
      <c r="N76" s="141">
        <v>0</v>
      </c>
      <c r="O76" s="141">
        <v>0</v>
      </c>
      <c r="P76" s="141">
        <v>0</v>
      </c>
      <c r="Q76" s="144">
        <v>0</v>
      </c>
      <c r="R76" s="143">
        <v>0</v>
      </c>
      <c r="S76" s="141">
        <v>0</v>
      </c>
      <c r="T76" s="141">
        <v>0</v>
      </c>
      <c r="U76" s="141">
        <v>0</v>
      </c>
      <c r="V76" s="144">
        <v>0</v>
      </c>
      <c r="W76" s="185"/>
      <c r="X76" s="164" t="s">
        <v>498</v>
      </c>
      <c r="Y76" s="143">
        <v>0</v>
      </c>
      <c r="Z76" s="141">
        <v>0</v>
      </c>
      <c r="AA76" s="141">
        <v>0</v>
      </c>
      <c r="AB76" s="141">
        <v>0</v>
      </c>
      <c r="AC76" s="141">
        <v>0</v>
      </c>
      <c r="AD76" s="141">
        <v>0</v>
      </c>
      <c r="AE76" s="141">
        <v>0</v>
      </c>
      <c r="AF76" s="144">
        <v>0</v>
      </c>
      <c r="AG76" s="143">
        <v>0</v>
      </c>
      <c r="AH76" s="141">
        <v>0</v>
      </c>
      <c r="AI76" s="141">
        <v>0</v>
      </c>
      <c r="AJ76" s="141">
        <v>0</v>
      </c>
      <c r="AK76" s="144">
        <v>0</v>
      </c>
      <c r="AL76" s="185"/>
      <c r="AM76" s="164" t="s">
        <v>2233</v>
      </c>
      <c r="AN76" s="143">
        <v>0</v>
      </c>
      <c r="AO76" s="141">
        <v>0</v>
      </c>
      <c r="AP76" s="141">
        <v>0</v>
      </c>
      <c r="AQ76" s="141">
        <v>0</v>
      </c>
      <c r="AR76" s="141">
        <v>0</v>
      </c>
      <c r="AS76" s="141">
        <v>0</v>
      </c>
      <c r="AT76" s="141">
        <v>0</v>
      </c>
      <c r="AU76" s="144">
        <v>0</v>
      </c>
      <c r="AV76" s="143">
        <v>0</v>
      </c>
      <c r="AW76" s="141">
        <v>0</v>
      </c>
      <c r="AX76" s="141">
        <v>0</v>
      </c>
      <c r="AY76" s="141">
        <v>0</v>
      </c>
      <c r="AZ76" s="144">
        <v>0</v>
      </c>
      <c r="BA76" s="185"/>
      <c r="BB76" s="545" t="s">
        <v>627</v>
      </c>
      <c r="BC76" s="868">
        <v>0</v>
      </c>
      <c r="BD76" s="545" t="s">
        <v>627</v>
      </c>
      <c r="BE76" s="868">
        <v>0</v>
      </c>
      <c r="BF76" s="545" t="s">
        <v>2233</v>
      </c>
      <c r="BG76" s="141">
        <v>0</v>
      </c>
      <c r="BH76" s="545" t="s">
        <v>2233</v>
      </c>
      <c r="BI76" s="141">
        <v>0</v>
      </c>
      <c r="BJ76" s="545" t="s">
        <v>2233</v>
      </c>
      <c r="BK76" s="141">
        <v>0</v>
      </c>
      <c r="BL76" s="545" t="s">
        <v>2233</v>
      </c>
      <c r="BM76" s="141">
        <v>0</v>
      </c>
      <c r="BN76" s="545" t="s">
        <v>2233</v>
      </c>
      <c r="BO76" s="141">
        <v>0</v>
      </c>
      <c r="BP76" s="185"/>
      <c r="BQ76" s="545" t="s">
        <v>627</v>
      </c>
      <c r="BR76" s="868">
        <v>0</v>
      </c>
      <c r="BS76" s="545" t="s">
        <v>627</v>
      </c>
      <c r="BT76" s="868">
        <v>0</v>
      </c>
      <c r="BU76" s="545" t="s">
        <v>2233</v>
      </c>
      <c r="BV76" s="141">
        <v>0</v>
      </c>
      <c r="BW76" s="545" t="s">
        <v>2233</v>
      </c>
      <c r="BX76" s="141">
        <v>0</v>
      </c>
      <c r="BY76" s="545" t="s">
        <v>2233</v>
      </c>
      <c r="BZ76" s="141">
        <v>0</v>
      </c>
      <c r="CA76" s="545" t="s">
        <v>2233</v>
      </c>
      <c r="CB76" s="141">
        <v>0</v>
      </c>
      <c r="CC76" s="545" t="s">
        <v>2233</v>
      </c>
      <c r="CD76" s="144">
        <v>0</v>
      </c>
    </row>
    <row r="77" spans="1:82" s="98" customFormat="1" ht="15" customHeight="1">
      <c r="A77" s="99"/>
      <c r="B77" s="161"/>
      <c r="C77" s="162"/>
      <c r="D77" s="162" t="s">
        <v>2708</v>
      </c>
      <c r="E77" s="162"/>
      <c r="F77" s="162"/>
      <c r="G77" s="163"/>
      <c r="H77" s="163"/>
      <c r="I77" s="164" t="s">
        <v>498</v>
      </c>
      <c r="J77" s="143">
        <v>0</v>
      </c>
      <c r="K77" s="141">
        <v>0</v>
      </c>
      <c r="L77" s="141">
        <v>0</v>
      </c>
      <c r="M77" s="141">
        <v>0</v>
      </c>
      <c r="N77" s="141">
        <v>0</v>
      </c>
      <c r="O77" s="141">
        <v>0</v>
      </c>
      <c r="P77" s="141">
        <v>0</v>
      </c>
      <c r="Q77" s="144">
        <v>0</v>
      </c>
      <c r="R77" s="143">
        <v>0</v>
      </c>
      <c r="S77" s="141">
        <v>0</v>
      </c>
      <c r="T77" s="141">
        <v>0</v>
      </c>
      <c r="U77" s="141">
        <v>0</v>
      </c>
      <c r="V77" s="144">
        <v>0</v>
      </c>
      <c r="W77" s="185"/>
      <c r="X77" s="164" t="s">
        <v>498</v>
      </c>
      <c r="Y77" s="143">
        <v>0</v>
      </c>
      <c r="Z77" s="141">
        <v>0</v>
      </c>
      <c r="AA77" s="141">
        <v>0</v>
      </c>
      <c r="AB77" s="141">
        <v>0</v>
      </c>
      <c r="AC77" s="141">
        <v>0</v>
      </c>
      <c r="AD77" s="141">
        <v>0</v>
      </c>
      <c r="AE77" s="141">
        <v>0</v>
      </c>
      <c r="AF77" s="144">
        <v>0</v>
      </c>
      <c r="AG77" s="143">
        <v>0</v>
      </c>
      <c r="AH77" s="141">
        <v>0</v>
      </c>
      <c r="AI77" s="141">
        <v>0</v>
      </c>
      <c r="AJ77" s="141">
        <v>0</v>
      </c>
      <c r="AK77" s="144">
        <v>0</v>
      </c>
      <c r="AL77" s="185"/>
      <c r="AM77" s="164" t="s">
        <v>2233</v>
      </c>
      <c r="AN77" s="143">
        <v>0</v>
      </c>
      <c r="AO77" s="141">
        <v>0</v>
      </c>
      <c r="AP77" s="141">
        <v>0</v>
      </c>
      <c r="AQ77" s="141">
        <v>0</v>
      </c>
      <c r="AR77" s="141">
        <v>0</v>
      </c>
      <c r="AS77" s="141">
        <v>0</v>
      </c>
      <c r="AT77" s="141">
        <v>0</v>
      </c>
      <c r="AU77" s="144">
        <v>0</v>
      </c>
      <c r="AV77" s="143">
        <v>0</v>
      </c>
      <c r="AW77" s="141">
        <v>0</v>
      </c>
      <c r="AX77" s="141">
        <v>0</v>
      </c>
      <c r="AY77" s="141">
        <v>0</v>
      </c>
      <c r="AZ77" s="144">
        <v>0</v>
      </c>
      <c r="BA77" s="185"/>
      <c r="BB77" s="545" t="s">
        <v>627</v>
      </c>
      <c r="BC77" s="868">
        <v>0</v>
      </c>
      <c r="BD77" s="545" t="s">
        <v>627</v>
      </c>
      <c r="BE77" s="868">
        <v>0</v>
      </c>
      <c r="BF77" s="545" t="s">
        <v>2233</v>
      </c>
      <c r="BG77" s="141">
        <v>0</v>
      </c>
      <c r="BH77" s="545" t="s">
        <v>2233</v>
      </c>
      <c r="BI77" s="141">
        <v>0</v>
      </c>
      <c r="BJ77" s="545" t="s">
        <v>2233</v>
      </c>
      <c r="BK77" s="141">
        <v>0</v>
      </c>
      <c r="BL77" s="545" t="s">
        <v>2233</v>
      </c>
      <c r="BM77" s="141">
        <v>0</v>
      </c>
      <c r="BN77" s="545" t="s">
        <v>2233</v>
      </c>
      <c r="BO77" s="141">
        <v>0</v>
      </c>
      <c r="BP77" s="185"/>
      <c r="BQ77" s="545" t="s">
        <v>627</v>
      </c>
      <c r="BR77" s="868">
        <v>0</v>
      </c>
      <c r="BS77" s="545" t="s">
        <v>627</v>
      </c>
      <c r="BT77" s="868">
        <v>0</v>
      </c>
      <c r="BU77" s="545" t="s">
        <v>2233</v>
      </c>
      <c r="BV77" s="141">
        <v>0</v>
      </c>
      <c r="BW77" s="545" t="s">
        <v>2233</v>
      </c>
      <c r="BX77" s="141">
        <v>0</v>
      </c>
      <c r="BY77" s="545" t="s">
        <v>2233</v>
      </c>
      <c r="BZ77" s="141">
        <v>0</v>
      </c>
      <c r="CA77" s="545" t="s">
        <v>2233</v>
      </c>
      <c r="CB77" s="141">
        <v>0</v>
      </c>
      <c r="CC77" s="545" t="s">
        <v>2233</v>
      </c>
      <c r="CD77" s="144">
        <v>0</v>
      </c>
    </row>
    <row r="78" spans="1:82" s="98" customFormat="1" ht="15" customHeight="1">
      <c r="A78" s="99"/>
      <c r="B78" s="161"/>
      <c r="C78" s="162" t="s">
        <v>1710</v>
      </c>
      <c r="D78" s="162"/>
      <c r="E78" s="162"/>
      <c r="F78" s="162"/>
      <c r="G78" s="163"/>
      <c r="H78" s="163"/>
      <c r="I78" s="164" t="s">
        <v>498</v>
      </c>
      <c r="J78" s="641">
        <f>SUM(J70:J77)</f>
        <v>0</v>
      </c>
      <c r="K78" s="642">
        <f t="shared" ref="K78" si="142">SUM(K70:K77)</f>
        <v>0</v>
      </c>
      <c r="L78" s="642">
        <f t="shared" ref="L78" si="143">SUM(L70:L77)</f>
        <v>0</v>
      </c>
      <c r="M78" s="642">
        <f t="shared" ref="M78" si="144">SUM(M70:M77)</f>
        <v>0</v>
      </c>
      <c r="N78" s="642">
        <f t="shared" ref="N78" si="145">SUM(N70:N77)</f>
        <v>0</v>
      </c>
      <c r="O78" s="642">
        <f t="shared" ref="O78" si="146">SUM(O70:O77)</f>
        <v>0</v>
      </c>
      <c r="P78" s="642">
        <f t="shared" ref="P78" si="147">SUM(P70:P77)</f>
        <v>0</v>
      </c>
      <c r="Q78" s="643">
        <f t="shared" ref="Q78" si="148">SUM(Q70:Q77)</f>
        <v>0</v>
      </c>
      <c r="R78" s="641">
        <f t="shared" ref="R78" si="149">SUM(R70:R77)</f>
        <v>0</v>
      </c>
      <c r="S78" s="642">
        <f t="shared" ref="S78" si="150">SUM(S70:S77)</f>
        <v>0</v>
      </c>
      <c r="T78" s="642">
        <f t="shared" ref="T78" si="151">SUM(T70:T77)</f>
        <v>0</v>
      </c>
      <c r="U78" s="642">
        <f t="shared" ref="U78" si="152">SUM(U70:U77)</f>
        <v>0</v>
      </c>
      <c r="V78" s="643">
        <f t="shared" ref="V78" si="153">SUM(V70:V77)</f>
        <v>0</v>
      </c>
      <c r="W78" s="185"/>
      <c r="X78" s="164" t="s">
        <v>498</v>
      </c>
      <c r="Y78" s="641">
        <f>SUM(Y70:Y77)</f>
        <v>0</v>
      </c>
      <c r="Z78" s="642">
        <f t="shared" ref="Z78" si="154">SUM(Z70:Z77)</f>
        <v>0</v>
      </c>
      <c r="AA78" s="642">
        <f t="shared" ref="AA78" si="155">SUM(AA70:AA77)</f>
        <v>0</v>
      </c>
      <c r="AB78" s="642">
        <f t="shared" ref="AB78" si="156">SUM(AB70:AB77)</f>
        <v>0</v>
      </c>
      <c r="AC78" s="642">
        <f t="shared" ref="AC78" si="157">SUM(AC70:AC77)</f>
        <v>0</v>
      </c>
      <c r="AD78" s="642">
        <f t="shared" ref="AD78" si="158">SUM(AD70:AD77)</f>
        <v>0</v>
      </c>
      <c r="AE78" s="642">
        <f t="shared" ref="AE78" si="159">SUM(AE70:AE77)</f>
        <v>0</v>
      </c>
      <c r="AF78" s="643">
        <f t="shared" ref="AF78" si="160">SUM(AF70:AF77)</f>
        <v>0</v>
      </c>
      <c r="AG78" s="641">
        <f t="shared" ref="AG78" si="161">SUM(AG70:AG77)</f>
        <v>0</v>
      </c>
      <c r="AH78" s="642">
        <f t="shared" ref="AH78" si="162">SUM(AH70:AH77)</f>
        <v>0</v>
      </c>
      <c r="AI78" s="642">
        <f t="shared" ref="AI78" si="163">SUM(AI70:AI77)</f>
        <v>0</v>
      </c>
      <c r="AJ78" s="642">
        <f t="shared" ref="AJ78" si="164">SUM(AJ70:AJ77)</f>
        <v>0</v>
      </c>
      <c r="AK78" s="643">
        <f t="shared" ref="AK78" si="165">SUM(AK70:AK77)</f>
        <v>0</v>
      </c>
      <c r="AL78" s="185"/>
      <c r="AM78" s="164" t="s">
        <v>2233</v>
      </c>
      <c r="AN78" s="641">
        <f>SUM(AN70:AN77)</f>
        <v>0</v>
      </c>
      <c r="AO78" s="642">
        <f t="shared" ref="AO78" si="166">SUM(AO70:AO77)</f>
        <v>0</v>
      </c>
      <c r="AP78" s="642">
        <f t="shared" ref="AP78" si="167">SUM(AP70:AP77)</f>
        <v>0</v>
      </c>
      <c r="AQ78" s="642">
        <f t="shared" ref="AQ78" si="168">SUM(AQ70:AQ77)</f>
        <v>0</v>
      </c>
      <c r="AR78" s="642">
        <f t="shared" ref="AR78" si="169">SUM(AR70:AR77)</f>
        <v>0</v>
      </c>
      <c r="AS78" s="642">
        <f t="shared" ref="AS78" si="170">SUM(AS70:AS77)</f>
        <v>0</v>
      </c>
      <c r="AT78" s="642">
        <f t="shared" ref="AT78" si="171">SUM(AT70:AT77)</f>
        <v>0</v>
      </c>
      <c r="AU78" s="643">
        <f t="shared" ref="AU78" si="172">SUM(AU70:AU77)</f>
        <v>0</v>
      </c>
      <c r="AV78" s="641">
        <f t="shared" ref="AV78" si="173">SUM(AV70:AV77)</f>
        <v>0</v>
      </c>
      <c r="AW78" s="642">
        <f t="shared" ref="AW78" si="174">SUM(AW70:AW77)</f>
        <v>0</v>
      </c>
      <c r="AX78" s="642">
        <f t="shared" ref="AX78" si="175">SUM(AX70:AX77)</f>
        <v>0</v>
      </c>
      <c r="AY78" s="642">
        <f t="shared" ref="AY78" si="176">SUM(AY70:AY77)</f>
        <v>0</v>
      </c>
      <c r="AZ78" s="643">
        <f t="shared" ref="AZ78" si="177">SUM(AZ70:AZ77)</f>
        <v>0</v>
      </c>
      <c r="BA78" s="185"/>
      <c r="BB78" s="530"/>
      <c r="BC78" s="530"/>
      <c r="BD78" s="530"/>
      <c r="BE78" s="530"/>
      <c r="BF78" s="545" t="s">
        <v>2233</v>
      </c>
      <c r="BG78" s="642">
        <f>SUM(BG70:BG77)</f>
        <v>0</v>
      </c>
      <c r="BH78" s="865" t="s">
        <v>2233</v>
      </c>
      <c r="BI78" s="642">
        <f>SUM(BI70:BI77)</f>
        <v>0</v>
      </c>
      <c r="BJ78" s="865" t="s">
        <v>2233</v>
      </c>
      <c r="BK78" s="642">
        <f>SUM(BK70:BK77)</f>
        <v>0</v>
      </c>
      <c r="BL78" s="865" t="s">
        <v>2233</v>
      </c>
      <c r="BM78" s="642">
        <f>SUM(BM70:BM77)</f>
        <v>0</v>
      </c>
      <c r="BN78" s="865" t="s">
        <v>2233</v>
      </c>
      <c r="BO78" s="642">
        <f>SUM(BO70:BO77)</f>
        <v>0</v>
      </c>
      <c r="BP78" s="185"/>
      <c r="BQ78" s="530"/>
      <c r="BR78" s="530"/>
      <c r="BS78" s="530"/>
      <c r="BT78" s="530"/>
      <c r="BU78" s="545" t="s">
        <v>2233</v>
      </c>
      <c r="BV78" s="642">
        <f>SUM(BV70:BV77)</f>
        <v>0</v>
      </c>
      <c r="BW78" s="865" t="s">
        <v>2233</v>
      </c>
      <c r="BX78" s="642">
        <f>SUM(BX70:BX77)</f>
        <v>0</v>
      </c>
      <c r="BY78" s="865" t="s">
        <v>2233</v>
      </c>
      <c r="BZ78" s="642">
        <f>SUM(BZ70:BZ77)</f>
        <v>0</v>
      </c>
      <c r="CA78" s="865" t="s">
        <v>2233</v>
      </c>
      <c r="CB78" s="642">
        <f>SUM(CB70:CB77)</f>
        <v>0</v>
      </c>
      <c r="CC78" s="865" t="s">
        <v>2233</v>
      </c>
      <c r="CD78" s="643">
        <f>SUM(CD70:CD77)</f>
        <v>0</v>
      </c>
    </row>
    <row r="79" spans="1:82" s="98" customFormat="1" ht="15" customHeight="1">
      <c r="A79" s="99"/>
      <c r="B79" s="123"/>
      <c r="C79" s="127"/>
      <c r="D79" s="127"/>
      <c r="E79" s="127"/>
      <c r="F79" s="127"/>
      <c r="G79" s="117"/>
      <c r="H79" s="117"/>
      <c r="I79" s="117"/>
      <c r="J79" s="713"/>
      <c r="K79" s="721"/>
      <c r="L79" s="721"/>
      <c r="M79" s="721"/>
      <c r="N79" s="721"/>
      <c r="O79" s="721"/>
      <c r="P79" s="721"/>
      <c r="Q79" s="715"/>
      <c r="R79" s="713"/>
      <c r="S79" s="721"/>
      <c r="T79" s="721"/>
      <c r="U79" s="721"/>
      <c r="V79" s="715"/>
      <c r="W79" s="185"/>
      <c r="X79" s="117"/>
      <c r="Y79" s="713"/>
      <c r="Z79" s="721"/>
      <c r="AA79" s="721"/>
      <c r="AB79" s="721"/>
      <c r="AC79" s="721"/>
      <c r="AD79" s="721"/>
      <c r="AE79" s="721"/>
      <c r="AF79" s="715"/>
      <c r="AG79" s="713"/>
      <c r="AH79" s="721"/>
      <c r="AI79" s="721"/>
      <c r="AJ79" s="721"/>
      <c r="AK79" s="715"/>
      <c r="AL79" s="185"/>
      <c r="AM79" s="117"/>
      <c r="AN79" s="713"/>
      <c r="AO79" s="721"/>
      <c r="AP79" s="721"/>
      <c r="AQ79" s="721"/>
      <c r="AR79" s="721"/>
      <c r="AS79" s="721"/>
      <c r="AT79" s="721"/>
      <c r="AU79" s="715"/>
      <c r="AV79" s="713"/>
      <c r="AW79" s="721"/>
      <c r="AX79" s="721"/>
      <c r="AY79" s="721"/>
      <c r="AZ79" s="715"/>
      <c r="BA79" s="185"/>
      <c r="BB79" s="530"/>
      <c r="BC79" s="530"/>
      <c r="BD79" s="530"/>
      <c r="BE79" s="530"/>
      <c r="BF79" s="530"/>
      <c r="BG79" s="530"/>
      <c r="BH79" s="530"/>
      <c r="BI79" s="530"/>
      <c r="BJ79" s="530"/>
      <c r="BK79" s="530"/>
      <c r="BL79" s="530"/>
      <c r="BM79" s="530"/>
      <c r="BN79" s="530"/>
      <c r="BO79" s="530"/>
      <c r="BP79" s="185"/>
      <c r="BQ79" s="530"/>
      <c r="BR79" s="530"/>
      <c r="BS79" s="530"/>
      <c r="BT79" s="530"/>
      <c r="BU79" s="530"/>
      <c r="BV79" s="530"/>
      <c r="BW79" s="530"/>
      <c r="BX79" s="530"/>
      <c r="BY79" s="530"/>
      <c r="BZ79" s="530"/>
      <c r="CA79" s="530"/>
      <c r="CB79" s="530"/>
      <c r="CC79" s="530"/>
      <c r="CD79" s="544"/>
    </row>
    <row r="80" spans="1:82" s="98" customFormat="1" ht="15" customHeight="1">
      <c r="A80" s="99"/>
      <c r="B80" s="161"/>
      <c r="C80" s="116" t="s">
        <v>2722</v>
      </c>
      <c r="D80" s="116"/>
      <c r="E80" s="116"/>
      <c r="F80" s="116"/>
      <c r="G80" s="117"/>
      <c r="H80" s="117"/>
      <c r="I80" s="117"/>
      <c r="J80" s="713"/>
      <c r="K80" s="721"/>
      <c r="L80" s="721"/>
      <c r="M80" s="721"/>
      <c r="N80" s="721"/>
      <c r="O80" s="721"/>
      <c r="P80" s="721"/>
      <c r="Q80" s="715"/>
      <c r="R80" s="713"/>
      <c r="S80" s="721"/>
      <c r="T80" s="721"/>
      <c r="U80" s="721"/>
      <c r="V80" s="715"/>
      <c r="W80" s="185"/>
      <c r="X80" s="117"/>
      <c r="Y80" s="713"/>
      <c r="Z80" s="721"/>
      <c r="AA80" s="721"/>
      <c r="AB80" s="721"/>
      <c r="AC80" s="721"/>
      <c r="AD80" s="721"/>
      <c r="AE80" s="721"/>
      <c r="AF80" s="715"/>
      <c r="AG80" s="713"/>
      <c r="AH80" s="721"/>
      <c r="AI80" s="721"/>
      <c r="AJ80" s="721"/>
      <c r="AK80" s="715"/>
      <c r="AL80" s="185"/>
      <c r="AM80" s="117"/>
      <c r="AN80" s="713"/>
      <c r="AO80" s="721"/>
      <c r="AP80" s="721"/>
      <c r="AQ80" s="721"/>
      <c r="AR80" s="721"/>
      <c r="AS80" s="721"/>
      <c r="AT80" s="721"/>
      <c r="AU80" s="715"/>
      <c r="AV80" s="713"/>
      <c r="AW80" s="721"/>
      <c r="AX80" s="721"/>
      <c r="AY80" s="721"/>
      <c r="AZ80" s="715"/>
      <c r="BA80" s="185"/>
      <c r="BB80" s="530"/>
      <c r="BC80" s="530"/>
      <c r="BD80" s="530"/>
      <c r="BE80" s="530"/>
      <c r="BF80" s="530"/>
      <c r="BG80" s="530"/>
      <c r="BH80" s="530"/>
      <c r="BI80" s="530"/>
      <c r="BJ80" s="530"/>
      <c r="BK80" s="530"/>
      <c r="BL80" s="530"/>
      <c r="BM80" s="530"/>
      <c r="BN80" s="530"/>
      <c r="BO80" s="530"/>
      <c r="BP80" s="185"/>
      <c r="BQ80" s="530"/>
      <c r="BR80" s="530"/>
      <c r="BS80" s="530"/>
      <c r="BT80" s="530"/>
      <c r="BU80" s="530"/>
      <c r="BV80" s="530"/>
      <c r="BW80" s="530"/>
      <c r="BX80" s="530"/>
      <c r="BY80" s="530"/>
      <c r="BZ80" s="530"/>
      <c r="CA80" s="530"/>
      <c r="CB80" s="530"/>
      <c r="CC80" s="530"/>
      <c r="CD80" s="544"/>
    </row>
    <row r="81" spans="1:82" s="98" customFormat="1" ht="15" customHeight="1">
      <c r="A81" s="99"/>
      <c r="B81" s="161"/>
      <c r="C81" s="162"/>
      <c r="D81" s="162" t="s">
        <v>2701</v>
      </c>
      <c r="E81" s="162"/>
      <c r="F81" s="162"/>
      <c r="G81" s="163"/>
      <c r="H81" s="163"/>
      <c r="I81" s="164" t="s">
        <v>498</v>
      </c>
      <c r="J81" s="143">
        <v>0</v>
      </c>
      <c r="K81" s="141">
        <v>0</v>
      </c>
      <c r="L81" s="141">
        <v>0</v>
      </c>
      <c r="M81" s="141">
        <v>0</v>
      </c>
      <c r="N81" s="141">
        <v>0</v>
      </c>
      <c r="O81" s="141">
        <v>0</v>
      </c>
      <c r="P81" s="141">
        <v>0</v>
      </c>
      <c r="Q81" s="144">
        <v>0</v>
      </c>
      <c r="R81" s="143">
        <v>0</v>
      </c>
      <c r="S81" s="141">
        <v>0</v>
      </c>
      <c r="T81" s="141">
        <v>0</v>
      </c>
      <c r="U81" s="141">
        <v>0</v>
      </c>
      <c r="V81" s="144">
        <v>0</v>
      </c>
      <c r="W81" s="185"/>
      <c r="X81" s="164" t="s">
        <v>498</v>
      </c>
      <c r="Y81" s="143">
        <v>0</v>
      </c>
      <c r="Z81" s="141">
        <v>0</v>
      </c>
      <c r="AA81" s="141">
        <v>0</v>
      </c>
      <c r="AB81" s="141">
        <v>0</v>
      </c>
      <c r="AC81" s="141">
        <v>0</v>
      </c>
      <c r="AD81" s="141">
        <v>0</v>
      </c>
      <c r="AE81" s="141">
        <v>0</v>
      </c>
      <c r="AF81" s="144">
        <v>0</v>
      </c>
      <c r="AG81" s="143">
        <v>0</v>
      </c>
      <c r="AH81" s="141">
        <v>0</v>
      </c>
      <c r="AI81" s="141">
        <v>0</v>
      </c>
      <c r="AJ81" s="141">
        <v>0</v>
      </c>
      <c r="AK81" s="144">
        <v>0</v>
      </c>
      <c r="AL81" s="185"/>
      <c r="AM81" s="164" t="s">
        <v>2233</v>
      </c>
      <c r="AN81" s="143">
        <v>0</v>
      </c>
      <c r="AO81" s="141">
        <v>0</v>
      </c>
      <c r="AP81" s="141">
        <v>0</v>
      </c>
      <c r="AQ81" s="141">
        <v>0</v>
      </c>
      <c r="AR81" s="141">
        <v>0</v>
      </c>
      <c r="AS81" s="141">
        <v>0</v>
      </c>
      <c r="AT81" s="141">
        <v>0</v>
      </c>
      <c r="AU81" s="144">
        <v>0</v>
      </c>
      <c r="AV81" s="143">
        <v>0</v>
      </c>
      <c r="AW81" s="141">
        <v>0</v>
      </c>
      <c r="AX81" s="141">
        <v>0</v>
      </c>
      <c r="AY81" s="141">
        <v>0</v>
      </c>
      <c r="AZ81" s="144">
        <v>0</v>
      </c>
      <c r="BA81" s="185"/>
      <c r="BB81" s="545" t="s">
        <v>627</v>
      </c>
      <c r="BC81" s="868">
        <v>0</v>
      </c>
      <c r="BD81" s="545" t="s">
        <v>627</v>
      </c>
      <c r="BE81" s="868">
        <v>0</v>
      </c>
      <c r="BF81" s="545" t="s">
        <v>2233</v>
      </c>
      <c r="BG81" s="141">
        <v>0</v>
      </c>
      <c r="BH81" s="545" t="s">
        <v>2233</v>
      </c>
      <c r="BI81" s="141">
        <v>0</v>
      </c>
      <c r="BJ81" s="545" t="s">
        <v>2233</v>
      </c>
      <c r="BK81" s="141">
        <v>0</v>
      </c>
      <c r="BL81" s="545" t="s">
        <v>2233</v>
      </c>
      <c r="BM81" s="141">
        <v>0</v>
      </c>
      <c r="BN81" s="545" t="s">
        <v>2233</v>
      </c>
      <c r="BO81" s="141">
        <v>0</v>
      </c>
      <c r="BP81" s="185"/>
      <c r="BQ81" s="545" t="s">
        <v>627</v>
      </c>
      <c r="BR81" s="868">
        <v>0</v>
      </c>
      <c r="BS81" s="545" t="s">
        <v>627</v>
      </c>
      <c r="BT81" s="868">
        <v>0</v>
      </c>
      <c r="BU81" s="545" t="s">
        <v>2233</v>
      </c>
      <c r="BV81" s="141">
        <v>0</v>
      </c>
      <c r="BW81" s="545" t="s">
        <v>2233</v>
      </c>
      <c r="BX81" s="141">
        <v>0</v>
      </c>
      <c r="BY81" s="545" t="s">
        <v>2233</v>
      </c>
      <c r="BZ81" s="141">
        <v>0</v>
      </c>
      <c r="CA81" s="545" t="s">
        <v>2233</v>
      </c>
      <c r="CB81" s="141">
        <v>0</v>
      </c>
      <c r="CC81" s="545" t="s">
        <v>2233</v>
      </c>
      <c r="CD81" s="144">
        <v>0</v>
      </c>
    </row>
    <row r="82" spans="1:82" s="98" customFormat="1" ht="15" customHeight="1">
      <c r="A82" s="99"/>
      <c r="B82" s="123"/>
      <c r="C82" s="127"/>
      <c r="D82" s="127"/>
      <c r="E82" s="127"/>
      <c r="F82" s="127"/>
      <c r="G82" s="117"/>
      <c r="H82" s="117"/>
      <c r="I82" s="117"/>
      <c r="J82" s="713"/>
      <c r="K82" s="721"/>
      <c r="L82" s="721"/>
      <c r="M82" s="721"/>
      <c r="N82" s="721"/>
      <c r="O82" s="721"/>
      <c r="P82" s="721"/>
      <c r="Q82" s="715"/>
      <c r="R82" s="713"/>
      <c r="S82" s="721"/>
      <c r="T82" s="721"/>
      <c r="U82" s="721"/>
      <c r="V82" s="715"/>
      <c r="W82" s="185"/>
      <c r="X82" s="117"/>
      <c r="Y82" s="713"/>
      <c r="Z82" s="721"/>
      <c r="AA82" s="721"/>
      <c r="AB82" s="721"/>
      <c r="AC82" s="721"/>
      <c r="AD82" s="721"/>
      <c r="AE82" s="721"/>
      <c r="AF82" s="715"/>
      <c r="AG82" s="713"/>
      <c r="AH82" s="721"/>
      <c r="AI82" s="721"/>
      <c r="AJ82" s="721"/>
      <c r="AK82" s="715"/>
      <c r="AL82" s="185"/>
      <c r="AM82" s="117"/>
      <c r="AN82" s="713"/>
      <c r="AO82" s="721"/>
      <c r="AP82" s="721"/>
      <c r="AQ82" s="721"/>
      <c r="AR82" s="721"/>
      <c r="AS82" s="721"/>
      <c r="AT82" s="721"/>
      <c r="AU82" s="715"/>
      <c r="AV82" s="713"/>
      <c r="AW82" s="721"/>
      <c r="AX82" s="721"/>
      <c r="AY82" s="721"/>
      <c r="AZ82" s="715"/>
      <c r="BA82" s="185"/>
      <c r="BB82" s="530"/>
      <c r="BC82" s="530"/>
      <c r="BD82" s="530"/>
      <c r="BE82" s="530"/>
      <c r="BF82" s="530"/>
      <c r="BG82" s="530"/>
      <c r="BH82" s="530"/>
      <c r="BI82" s="530"/>
      <c r="BJ82" s="530"/>
      <c r="BK82" s="530"/>
      <c r="BL82" s="530"/>
      <c r="BM82" s="530"/>
      <c r="BN82" s="530"/>
      <c r="BO82" s="530"/>
      <c r="BP82" s="185"/>
      <c r="BQ82" s="530"/>
      <c r="BR82" s="530"/>
      <c r="BS82" s="530"/>
      <c r="BT82" s="530"/>
      <c r="BU82" s="530"/>
      <c r="BV82" s="530"/>
      <c r="BW82" s="530"/>
      <c r="BX82" s="530"/>
      <c r="BY82" s="530"/>
      <c r="BZ82" s="530"/>
      <c r="CA82" s="530"/>
      <c r="CB82" s="530"/>
      <c r="CC82" s="530"/>
      <c r="CD82" s="544"/>
    </row>
    <row r="83" spans="1:82" s="98" customFormat="1" ht="15" customHeight="1">
      <c r="A83" s="99"/>
      <c r="B83" s="161"/>
      <c r="C83" s="116" t="s">
        <v>2755</v>
      </c>
      <c r="D83" s="116"/>
      <c r="E83" s="116"/>
      <c r="F83" s="116"/>
      <c r="G83" s="117"/>
      <c r="H83" s="117"/>
      <c r="I83" s="117"/>
      <c r="J83" s="713"/>
      <c r="K83" s="721"/>
      <c r="L83" s="721"/>
      <c r="M83" s="721"/>
      <c r="N83" s="721"/>
      <c r="O83" s="721"/>
      <c r="P83" s="721"/>
      <c r="Q83" s="715"/>
      <c r="R83" s="713"/>
      <c r="S83" s="721"/>
      <c r="T83" s="721"/>
      <c r="U83" s="721"/>
      <c r="V83" s="715"/>
      <c r="W83" s="185"/>
      <c r="X83" s="117"/>
      <c r="Y83" s="713"/>
      <c r="Z83" s="721"/>
      <c r="AA83" s="721"/>
      <c r="AB83" s="721"/>
      <c r="AC83" s="721"/>
      <c r="AD83" s="721"/>
      <c r="AE83" s="721"/>
      <c r="AF83" s="715"/>
      <c r="AG83" s="713"/>
      <c r="AH83" s="721"/>
      <c r="AI83" s="721"/>
      <c r="AJ83" s="721"/>
      <c r="AK83" s="715"/>
      <c r="AL83" s="185"/>
      <c r="AM83" s="117"/>
      <c r="AN83" s="713"/>
      <c r="AO83" s="721"/>
      <c r="AP83" s="721"/>
      <c r="AQ83" s="721"/>
      <c r="AR83" s="721"/>
      <c r="AS83" s="721"/>
      <c r="AT83" s="721"/>
      <c r="AU83" s="715"/>
      <c r="AV83" s="713"/>
      <c r="AW83" s="721"/>
      <c r="AX83" s="721"/>
      <c r="AY83" s="721"/>
      <c r="AZ83" s="715"/>
      <c r="BA83" s="185"/>
      <c r="BB83" s="530"/>
      <c r="BC83" s="530"/>
      <c r="BD83" s="530"/>
      <c r="BE83" s="530"/>
      <c r="BF83" s="530"/>
      <c r="BG83" s="530"/>
      <c r="BH83" s="530"/>
      <c r="BI83" s="530"/>
      <c r="BJ83" s="530"/>
      <c r="BK83" s="530"/>
      <c r="BL83" s="530"/>
      <c r="BM83" s="530"/>
      <c r="BN83" s="530"/>
      <c r="BO83" s="530"/>
      <c r="BP83" s="185"/>
      <c r="BQ83" s="530"/>
      <c r="BR83" s="530"/>
      <c r="BS83" s="530"/>
      <c r="BT83" s="530"/>
      <c r="BU83" s="530"/>
      <c r="BV83" s="530"/>
      <c r="BW83" s="530"/>
      <c r="BX83" s="530"/>
      <c r="BY83" s="530"/>
      <c r="BZ83" s="530"/>
      <c r="CA83" s="530"/>
      <c r="CB83" s="530"/>
      <c r="CC83" s="530"/>
      <c r="CD83" s="544"/>
    </row>
    <row r="84" spans="1:82" s="98" customFormat="1" ht="15" customHeight="1">
      <c r="A84" s="99"/>
      <c r="B84" s="161"/>
      <c r="C84" s="162"/>
      <c r="D84" s="162" t="s">
        <v>2701</v>
      </c>
      <c r="E84" s="162"/>
      <c r="F84" s="162"/>
      <c r="G84" s="163"/>
      <c r="H84" s="163"/>
      <c r="I84" s="164" t="s">
        <v>498</v>
      </c>
      <c r="J84" s="143">
        <v>0</v>
      </c>
      <c r="K84" s="141">
        <v>0</v>
      </c>
      <c r="L84" s="141">
        <v>0</v>
      </c>
      <c r="M84" s="141">
        <v>0</v>
      </c>
      <c r="N84" s="141">
        <v>0</v>
      </c>
      <c r="O84" s="141">
        <v>0</v>
      </c>
      <c r="P84" s="141">
        <v>0</v>
      </c>
      <c r="Q84" s="144">
        <v>0</v>
      </c>
      <c r="R84" s="143">
        <v>0</v>
      </c>
      <c r="S84" s="141">
        <v>0</v>
      </c>
      <c r="T84" s="141">
        <v>0</v>
      </c>
      <c r="U84" s="141">
        <v>0</v>
      </c>
      <c r="V84" s="144">
        <v>0</v>
      </c>
      <c r="W84" s="185"/>
      <c r="X84" s="164" t="s">
        <v>498</v>
      </c>
      <c r="Y84" s="143">
        <v>0</v>
      </c>
      <c r="Z84" s="141">
        <v>0</v>
      </c>
      <c r="AA84" s="141">
        <v>0</v>
      </c>
      <c r="AB84" s="141">
        <v>0</v>
      </c>
      <c r="AC84" s="141">
        <v>0</v>
      </c>
      <c r="AD84" s="141">
        <v>0</v>
      </c>
      <c r="AE84" s="141">
        <v>0</v>
      </c>
      <c r="AF84" s="144">
        <v>0</v>
      </c>
      <c r="AG84" s="143">
        <v>0</v>
      </c>
      <c r="AH84" s="141">
        <v>0</v>
      </c>
      <c r="AI84" s="141">
        <v>0</v>
      </c>
      <c r="AJ84" s="141">
        <v>0</v>
      </c>
      <c r="AK84" s="144">
        <v>0</v>
      </c>
      <c r="AL84" s="185"/>
      <c r="AM84" s="164" t="s">
        <v>2233</v>
      </c>
      <c r="AN84" s="143">
        <v>0</v>
      </c>
      <c r="AO84" s="141">
        <v>0</v>
      </c>
      <c r="AP84" s="141">
        <v>0</v>
      </c>
      <c r="AQ84" s="141">
        <v>0</v>
      </c>
      <c r="AR84" s="141">
        <v>0</v>
      </c>
      <c r="AS84" s="141">
        <v>0</v>
      </c>
      <c r="AT84" s="141">
        <v>0</v>
      </c>
      <c r="AU84" s="144">
        <v>0</v>
      </c>
      <c r="AV84" s="143">
        <v>0</v>
      </c>
      <c r="AW84" s="141">
        <v>0</v>
      </c>
      <c r="AX84" s="141">
        <v>0</v>
      </c>
      <c r="AY84" s="141">
        <v>0</v>
      </c>
      <c r="AZ84" s="144">
        <v>0</v>
      </c>
      <c r="BA84" s="185"/>
      <c r="BB84" s="545" t="s">
        <v>627</v>
      </c>
      <c r="BC84" s="868">
        <v>0</v>
      </c>
      <c r="BD84" s="545" t="s">
        <v>627</v>
      </c>
      <c r="BE84" s="868">
        <v>0</v>
      </c>
      <c r="BF84" s="545" t="s">
        <v>2233</v>
      </c>
      <c r="BG84" s="141">
        <v>0</v>
      </c>
      <c r="BH84" s="545" t="s">
        <v>2233</v>
      </c>
      <c r="BI84" s="141">
        <v>0</v>
      </c>
      <c r="BJ84" s="545" t="s">
        <v>2233</v>
      </c>
      <c r="BK84" s="141">
        <v>0</v>
      </c>
      <c r="BL84" s="545" t="s">
        <v>2233</v>
      </c>
      <c r="BM84" s="141">
        <v>0</v>
      </c>
      <c r="BN84" s="545" t="s">
        <v>2233</v>
      </c>
      <c r="BO84" s="141">
        <v>0</v>
      </c>
      <c r="BP84" s="185"/>
      <c r="BQ84" s="545" t="s">
        <v>627</v>
      </c>
      <c r="BR84" s="868">
        <v>0</v>
      </c>
      <c r="BS84" s="545" t="s">
        <v>627</v>
      </c>
      <c r="BT84" s="868">
        <v>0</v>
      </c>
      <c r="BU84" s="545" t="s">
        <v>2233</v>
      </c>
      <c r="BV84" s="141">
        <v>0</v>
      </c>
      <c r="BW84" s="545" t="s">
        <v>2233</v>
      </c>
      <c r="BX84" s="141">
        <v>0</v>
      </c>
      <c r="BY84" s="545" t="s">
        <v>2233</v>
      </c>
      <c r="BZ84" s="141">
        <v>0</v>
      </c>
      <c r="CA84" s="545" t="s">
        <v>2233</v>
      </c>
      <c r="CB84" s="141">
        <v>0</v>
      </c>
      <c r="CC84" s="545" t="s">
        <v>2233</v>
      </c>
      <c r="CD84" s="144">
        <v>0</v>
      </c>
    </row>
    <row r="85" spans="1:82" s="98" customFormat="1" ht="15" customHeight="1">
      <c r="A85" s="99"/>
      <c r="B85" s="161"/>
      <c r="C85" s="162"/>
      <c r="D85" s="162" t="s">
        <v>2702</v>
      </c>
      <c r="E85" s="162"/>
      <c r="F85" s="162"/>
      <c r="G85" s="163"/>
      <c r="H85" s="163"/>
      <c r="I85" s="164" t="s">
        <v>498</v>
      </c>
      <c r="J85" s="143">
        <v>0</v>
      </c>
      <c r="K85" s="141">
        <v>0</v>
      </c>
      <c r="L85" s="141">
        <v>0</v>
      </c>
      <c r="M85" s="141">
        <v>0</v>
      </c>
      <c r="N85" s="141">
        <v>0</v>
      </c>
      <c r="O85" s="141">
        <v>0</v>
      </c>
      <c r="P85" s="141">
        <v>0</v>
      </c>
      <c r="Q85" s="144">
        <v>0</v>
      </c>
      <c r="R85" s="143">
        <v>0</v>
      </c>
      <c r="S85" s="141">
        <v>0</v>
      </c>
      <c r="T85" s="141">
        <v>0</v>
      </c>
      <c r="U85" s="141">
        <v>0</v>
      </c>
      <c r="V85" s="144">
        <v>0</v>
      </c>
      <c r="W85" s="185"/>
      <c r="X85" s="164" t="s">
        <v>498</v>
      </c>
      <c r="Y85" s="143">
        <v>0</v>
      </c>
      <c r="Z85" s="141">
        <v>0</v>
      </c>
      <c r="AA85" s="141">
        <v>0</v>
      </c>
      <c r="AB85" s="141">
        <v>0</v>
      </c>
      <c r="AC85" s="141">
        <v>0</v>
      </c>
      <c r="AD85" s="141">
        <v>0</v>
      </c>
      <c r="AE85" s="141">
        <v>0</v>
      </c>
      <c r="AF85" s="144">
        <v>0</v>
      </c>
      <c r="AG85" s="143">
        <v>0</v>
      </c>
      <c r="AH85" s="141">
        <v>0</v>
      </c>
      <c r="AI85" s="141">
        <v>0</v>
      </c>
      <c r="AJ85" s="141">
        <v>0</v>
      </c>
      <c r="AK85" s="144">
        <v>0</v>
      </c>
      <c r="AL85" s="185"/>
      <c r="AM85" s="164" t="s">
        <v>2233</v>
      </c>
      <c r="AN85" s="143">
        <v>0</v>
      </c>
      <c r="AO85" s="141">
        <v>0</v>
      </c>
      <c r="AP85" s="141">
        <v>0</v>
      </c>
      <c r="AQ85" s="141">
        <v>0</v>
      </c>
      <c r="AR85" s="141">
        <v>0</v>
      </c>
      <c r="AS85" s="141">
        <v>0</v>
      </c>
      <c r="AT85" s="141">
        <v>0</v>
      </c>
      <c r="AU85" s="144">
        <v>0</v>
      </c>
      <c r="AV85" s="143">
        <v>0</v>
      </c>
      <c r="AW85" s="141">
        <v>0</v>
      </c>
      <c r="AX85" s="141">
        <v>0</v>
      </c>
      <c r="AY85" s="141">
        <v>0</v>
      </c>
      <c r="AZ85" s="144">
        <v>0</v>
      </c>
      <c r="BA85" s="185"/>
      <c r="BB85" s="545" t="s">
        <v>627</v>
      </c>
      <c r="BC85" s="868">
        <v>0</v>
      </c>
      <c r="BD85" s="545" t="s">
        <v>627</v>
      </c>
      <c r="BE85" s="868">
        <v>0</v>
      </c>
      <c r="BF85" s="545" t="s">
        <v>2233</v>
      </c>
      <c r="BG85" s="141">
        <v>0</v>
      </c>
      <c r="BH85" s="545" t="s">
        <v>2233</v>
      </c>
      <c r="BI85" s="141">
        <v>0</v>
      </c>
      <c r="BJ85" s="545" t="s">
        <v>2233</v>
      </c>
      <c r="BK85" s="141">
        <v>0</v>
      </c>
      <c r="BL85" s="545" t="s">
        <v>2233</v>
      </c>
      <c r="BM85" s="141">
        <v>0</v>
      </c>
      <c r="BN85" s="545" t="s">
        <v>2233</v>
      </c>
      <c r="BO85" s="141">
        <v>0</v>
      </c>
      <c r="BP85" s="185"/>
      <c r="BQ85" s="545" t="s">
        <v>627</v>
      </c>
      <c r="BR85" s="868">
        <v>0</v>
      </c>
      <c r="BS85" s="545" t="s">
        <v>627</v>
      </c>
      <c r="BT85" s="868">
        <v>0</v>
      </c>
      <c r="BU85" s="545" t="s">
        <v>2233</v>
      </c>
      <c r="BV85" s="141">
        <v>0</v>
      </c>
      <c r="BW85" s="545" t="s">
        <v>2233</v>
      </c>
      <c r="BX85" s="141">
        <v>0</v>
      </c>
      <c r="BY85" s="545" t="s">
        <v>2233</v>
      </c>
      <c r="BZ85" s="141">
        <v>0</v>
      </c>
      <c r="CA85" s="545" t="s">
        <v>2233</v>
      </c>
      <c r="CB85" s="141">
        <v>0</v>
      </c>
      <c r="CC85" s="545" t="s">
        <v>2233</v>
      </c>
      <c r="CD85" s="144">
        <v>0</v>
      </c>
    </row>
    <row r="86" spans="1:82" s="98" customFormat="1" ht="15" customHeight="1">
      <c r="A86" s="99"/>
      <c r="B86" s="161"/>
      <c r="C86" s="162"/>
      <c r="D86" s="162" t="s">
        <v>2703</v>
      </c>
      <c r="E86" s="162"/>
      <c r="F86" s="162"/>
      <c r="G86" s="163"/>
      <c r="H86" s="163"/>
      <c r="I86" s="164" t="s">
        <v>498</v>
      </c>
      <c r="J86" s="143">
        <v>0</v>
      </c>
      <c r="K86" s="141">
        <v>0</v>
      </c>
      <c r="L86" s="141">
        <v>0</v>
      </c>
      <c r="M86" s="141">
        <v>0</v>
      </c>
      <c r="N86" s="141">
        <v>0</v>
      </c>
      <c r="O86" s="141">
        <v>0</v>
      </c>
      <c r="P86" s="141">
        <v>0</v>
      </c>
      <c r="Q86" s="144">
        <v>0</v>
      </c>
      <c r="R86" s="143">
        <v>0</v>
      </c>
      <c r="S86" s="141">
        <v>0</v>
      </c>
      <c r="T86" s="141">
        <v>0</v>
      </c>
      <c r="U86" s="141">
        <v>0</v>
      </c>
      <c r="V86" s="144">
        <v>0</v>
      </c>
      <c r="W86" s="185"/>
      <c r="X86" s="164" t="s">
        <v>498</v>
      </c>
      <c r="Y86" s="143">
        <v>0</v>
      </c>
      <c r="Z86" s="141">
        <v>0</v>
      </c>
      <c r="AA86" s="141">
        <v>0</v>
      </c>
      <c r="AB86" s="141">
        <v>0</v>
      </c>
      <c r="AC86" s="141">
        <v>0</v>
      </c>
      <c r="AD86" s="141">
        <v>0</v>
      </c>
      <c r="AE86" s="141">
        <v>0</v>
      </c>
      <c r="AF86" s="144">
        <v>0</v>
      </c>
      <c r="AG86" s="143">
        <v>0</v>
      </c>
      <c r="AH86" s="141">
        <v>0</v>
      </c>
      <c r="AI86" s="141">
        <v>0</v>
      </c>
      <c r="AJ86" s="141">
        <v>0</v>
      </c>
      <c r="AK86" s="144">
        <v>0</v>
      </c>
      <c r="AL86" s="185"/>
      <c r="AM86" s="164" t="s">
        <v>2233</v>
      </c>
      <c r="AN86" s="143">
        <v>0</v>
      </c>
      <c r="AO86" s="141">
        <v>0</v>
      </c>
      <c r="AP86" s="141">
        <v>0</v>
      </c>
      <c r="AQ86" s="141">
        <v>0</v>
      </c>
      <c r="AR86" s="141">
        <v>0</v>
      </c>
      <c r="AS86" s="141">
        <v>0</v>
      </c>
      <c r="AT86" s="141">
        <v>0</v>
      </c>
      <c r="AU86" s="144">
        <v>0</v>
      </c>
      <c r="AV86" s="143">
        <v>0</v>
      </c>
      <c r="AW86" s="141">
        <v>0</v>
      </c>
      <c r="AX86" s="141">
        <v>0</v>
      </c>
      <c r="AY86" s="141">
        <v>0</v>
      </c>
      <c r="AZ86" s="144">
        <v>0</v>
      </c>
      <c r="BA86" s="185"/>
      <c r="BB86" s="545" t="s">
        <v>627</v>
      </c>
      <c r="BC86" s="868">
        <v>0</v>
      </c>
      <c r="BD86" s="545" t="s">
        <v>627</v>
      </c>
      <c r="BE86" s="868">
        <v>0</v>
      </c>
      <c r="BF86" s="545" t="s">
        <v>2233</v>
      </c>
      <c r="BG86" s="141">
        <v>0</v>
      </c>
      <c r="BH86" s="545" t="s">
        <v>2233</v>
      </c>
      <c r="BI86" s="141">
        <v>0</v>
      </c>
      <c r="BJ86" s="545" t="s">
        <v>2233</v>
      </c>
      <c r="BK86" s="141">
        <v>0</v>
      </c>
      <c r="BL86" s="545" t="s">
        <v>2233</v>
      </c>
      <c r="BM86" s="141">
        <v>0</v>
      </c>
      <c r="BN86" s="545" t="s">
        <v>2233</v>
      </c>
      <c r="BO86" s="141">
        <v>0</v>
      </c>
      <c r="BP86" s="185"/>
      <c r="BQ86" s="545" t="s">
        <v>627</v>
      </c>
      <c r="BR86" s="868">
        <v>0</v>
      </c>
      <c r="BS86" s="545" t="s">
        <v>627</v>
      </c>
      <c r="BT86" s="868">
        <v>0</v>
      </c>
      <c r="BU86" s="545" t="s">
        <v>2233</v>
      </c>
      <c r="BV86" s="141">
        <v>0</v>
      </c>
      <c r="BW86" s="545" t="s">
        <v>2233</v>
      </c>
      <c r="BX86" s="141">
        <v>0</v>
      </c>
      <c r="BY86" s="545" t="s">
        <v>2233</v>
      </c>
      <c r="BZ86" s="141">
        <v>0</v>
      </c>
      <c r="CA86" s="545" t="s">
        <v>2233</v>
      </c>
      <c r="CB86" s="141">
        <v>0</v>
      </c>
      <c r="CC86" s="545" t="s">
        <v>2233</v>
      </c>
      <c r="CD86" s="144">
        <v>0</v>
      </c>
    </row>
    <row r="87" spans="1:82" s="98" customFormat="1" ht="15" customHeight="1">
      <c r="A87" s="99"/>
      <c r="B87" s="161"/>
      <c r="C87" s="162"/>
      <c r="D87" s="162" t="s">
        <v>2704</v>
      </c>
      <c r="E87" s="162"/>
      <c r="F87" s="162"/>
      <c r="G87" s="163"/>
      <c r="H87" s="163"/>
      <c r="I87" s="164" t="s">
        <v>498</v>
      </c>
      <c r="J87" s="143">
        <v>0</v>
      </c>
      <c r="K87" s="141">
        <v>0</v>
      </c>
      <c r="L87" s="141">
        <v>0</v>
      </c>
      <c r="M87" s="141">
        <v>0</v>
      </c>
      <c r="N87" s="141">
        <v>0</v>
      </c>
      <c r="O87" s="141">
        <v>0</v>
      </c>
      <c r="P87" s="141">
        <v>0</v>
      </c>
      <c r="Q87" s="144">
        <v>0</v>
      </c>
      <c r="R87" s="143">
        <v>0</v>
      </c>
      <c r="S87" s="141">
        <v>0</v>
      </c>
      <c r="T87" s="141">
        <v>0</v>
      </c>
      <c r="U87" s="141">
        <v>0</v>
      </c>
      <c r="V87" s="144">
        <v>0</v>
      </c>
      <c r="W87" s="185"/>
      <c r="X87" s="164" t="s">
        <v>498</v>
      </c>
      <c r="Y87" s="143">
        <v>0</v>
      </c>
      <c r="Z87" s="141">
        <v>0</v>
      </c>
      <c r="AA87" s="141">
        <v>0</v>
      </c>
      <c r="AB87" s="141">
        <v>0</v>
      </c>
      <c r="AC87" s="141">
        <v>0</v>
      </c>
      <c r="AD87" s="141">
        <v>0</v>
      </c>
      <c r="AE87" s="141">
        <v>0</v>
      </c>
      <c r="AF87" s="144">
        <v>0</v>
      </c>
      <c r="AG87" s="143">
        <v>0</v>
      </c>
      <c r="AH87" s="141">
        <v>0</v>
      </c>
      <c r="AI87" s="141">
        <v>0</v>
      </c>
      <c r="AJ87" s="141">
        <v>0</v>
      </c>
      <c r="AK87" s="144">
        <v>0</v>
      </c>
      <c r="AL87" s="185"/>
      <c r="AM87" s="164" t="s">
        <v>2233</v>
      </c>
      <c r="AN87" s="143">
        <v>0</v>
      </c>
      <c r="AO87" s="141">
        <v>0</v>
      </c>
      <c r="AP87" s="141">
        <v>0</v>
      </c>
      <c r="AQ87" s="141">
        <v>0</v>
      </c>
      <c r="AR87" s="141">
        <v>0</v>
      </c>
      <c r="AS87" s="141">
        <v>0</v>
      </c>
      <c r="AT87" s="141">
        <v>0</v>
      </c>
      <c r="AU87" s="144">
        <v>0</v>
      </c>
      <c r="AV87" s="143">
        <v>0</v>
      </c>
      <c r="AW87" s="141">
        <v>0</v>
      </c>
      <c r="AX87" s="141">
        <v>0</v>
      </c>
      <c r="AY87" s="141">
        <v>0</v>
      </c>
      <c r="AZ87" s="144">
        <v>0</v>
      </c>
      <c r="BA87" s="185"/>
      <c r="BB87" s="545" t="s">
        <v>627</v>
      </c>
      <c r="BC87" s="868">
        <v>0</v>
      </c>
      <c r="BD87" s="545" t="s">
        <v>627</v>
      </c>
      <c r="BE87" s="868">
        <v>0</v>
      </c>
      <c r="BF87" s="545" t="s">
        <v>2233</v>
      </c>
      <c r="BG87" s="141">
        <v>0</v>
      </c>
      <c r="BH87" s="545" t="s">
        <v>2233</v>
      </c>
      <c r="BI87" s="141">
        <v>0</v>
      </c>
      <c r="BJ87" s="545" t="s">
        <v>2233</v>
      </c>
      <c r="BK87" s="141">
        <v>0</v>
      </c>
      <c r="BL87" s="545" t="s">
        <v>2233</v>
      </c>
      <c r="BM87" s="141">
        <v>0</v>
      </c>
      <c r="BN87" s="545" t="s">
        <v>2233</v>
      </c>
      <c r="BO87" s="141">
        <v>0</v>
      </c>
      <c r="BP87" s="185"/>
      <c r="BQ87" s="545" t="s">
        <v>627</v>
      </c>
      <c r="BR87" s="868">
        <v>0</v>
      </c>
      <c r="BS87" s="545" t="s">
        <v>627</v>
      </c>
      <c r="BT87" s="868">
        <v>0</v>
      </c>
      <c r="BU87" s="545" t="s">
        <v>2233</v>
      </c>
      <c r="BV87" s="141">
        <v>0</v>
      </c>
      <c r="BW87" s="545" t="s">
        <v>2233</v>
      </c>
      <c r="BX87" s="141">
        <v>0</v>
      </c>
      <c r="BY87" s="545" t="s">
        <v>2233</v>
      </c>
      <c r="BZ87" s="141">
        <v>0</v>
      </c>
      <c r="CA87" s="545" t="s">
        <v>2233</v>
      </c>
      <c r="CB87" s="141">
        <v>0</v>
      </c>
      <c r="CC87" s="545" t="s">
        <v>2233</v>
      </c>
      <c r="CD87" s="144">
        <v>0</v>
      </c>
    </row>
    <row r="88" spans="1:82" s="98" customFormat="1" ht="15" customHeight="1">
      <c r="A88" s="99"/>
      <c r="B88" s="161"/>
      <c r="C88" s="162"/>
      <c r="D88" s="162" t="s">
        <v>2705</v>
      </c>
      <c r="E88" s="162"/>
      <c r="F88" s="162"/>
      <c r="G88" s="163"/>
      <c r="H88" s="163"/>
      <c r="I88" s="164" t="s">
        <v>498</v>
      </c>
      <c r="J88" s="143">
        <v>0</v>
      </c>
      <c r="K88" s="141">
        <v>0</v>
      </c>
      <c r="L88" s="141">
        <v>0</v>
      </c>
      <c r="M88" s="141">
        <v>0</v>
      </c>
      <c r="N88" s="141">
        <v>0</v>
      </c>
      <c r="O88" s="141">
        <v>0</v>
      </c>
      <c r="P88" s="141">
        <v>0</v>
      </c>
      <c r="Q88" s="144">
        <v>0</v>
      </c>
      <c r="R88" s="143">
        <v>0</v>
      </c>
      <c r="S88" s="141">
        <v>0</v>
      </c>
      <c r="T88" s="141">
        <v>0</v>
      </c>
      <c r="U88" s="141">
        <v>0</v>
      </c>
      <c r="V88" s="144">
        <v>0</v>
      </c>
      <c r="W88" s="185"/>
      <c r="X88" s="164" t="s">
        <v>498</v>
      </c>
      <c r="Y88" s="143">
        <v>0</v>
      </c>
      <c r="Z88" s="141">
        <v>0</v>
      </c>
      <c r="AA88" s="141">
        <v>0</v>
      </c>
      <c r="AB88" s="141">
        <v>0</v>
      </c>
      <c r="AC88" s="141">
        <v>0</v>
      </c>
      <c r="AD88" s="141">
        <v>0</v>
      </c>
      <c r="AE88" s="141">
        <v>0</v>
      </c>
      <c r="AF88" s="144">
        <v>0</v>
      </c>
      <c r="AG88" s="143">
        <v>0</v>
      </c>
      <c r="AH88" s="141">
        <v>0</v>
      </c>
      <c r="AI88" s="141">
        <v>0</v>
      </c>
      <c r="AJ88" s="141">
        <v>0</v>
      </c>
      <c r="AK88" s="144">
        <v>0</v>
      </c>
      <c r="AL88" s="185"/>
      <c r="AM88" s="164" t="s">
        <v>2233</v>
      </c>
      <c r="AN88" s="143">
        <v>0</v>
      </c>
      <c r="AO88" s="141">
        <v>0</v>
      </c>
      <c r="AP88" s="141">
        <v>0</v>
      </c>
      <c r="AQ88" s="141">
        <v>0</v>
      </c>
      <c r="AR88" s="141">
        <v>0</v>
      </c>
      <c r="AS88" s="141">
        <v>0</v>
      </c>
      <c r="AT88" s="141">
        <v>0</v>
      </c>
      <c r="AU88" s="144">
        <v>0</v>
      </c>
      <c r="AV88" s="143">
        <v>0</v>
      </c>
      <c r="AW88" s="141">
        <v>0</v>
      </c>
      <c r="AX88" s="141">
        <v>0</v>
      </c>
      <c r="AY88" s="141">
        <v>0</v>
      </c>
      <c r="AZ88" s="144">
        <v>0</v>
      </c>
      <c r="BA88" s="185"/>
      <c r="BB88" s="545" t="s">
        <v>627</v>
      </c>
      <c r="BC88" s="868">
        <v>0</v>
      </c>
      <c r="BD88" s="545" t="s">
        <v>627</v>
      </c>
      <c r="BE88" s="868">
        <v>0</v>
      </c>
      <c r="BF88" s="545" t="s">
        <v>2233</v>
      </c>
      <c r="BG88" s="141">
        <v>0</v>
      </c>
      <c r="BH88" s="545" t="s">
        <v>2233</v>
      </c>
      <c r="BI88" s="141">
        <v>0</v>
      </c>
      <c r="BJ88" s="545" t="s">
        <v>2233</v>
      </c>
      <c r="BK88" s="141">
        <v>0</v>
      </c>
      <c r="BL88" s="545" t="s">
        <v>2233</v>
      </c>
      <c r="BM88" s="141">
        <v>0</v>
      </c>
      <c r="BN88" s="545" t="s">
        <v>2233</v>
      </c>
      <c r="BO88" s="141">
        <v>0</v>
      </c>
      <c r="BP88" s="185"/>
      <c r="BQ88" s="545" t="s">
        <v>627</v>
      </c>
      <c r="BR88" s="868">
        <v>0</v>
      </c>
      <c r="BS88" s="545" t="s">
        <v>627</v>
      </c>
      <c r="BT88" s="868">
        <v>0</v>
      </c>
      <c r="BU88" s="545" t="s">
        <v>2233</v>
      </c>
      <c r="BV88" s="141">
        <v>0</v>
      </c>
      <c r="BW88" s="545" t="s">
        <v>2233</v>
      </c>
      <c r="BX88" s="141">
        <v>0</v>
      </c>
      <c r="BY88" s="545" t="s">
        <v>2233</v>
      </c>
      <c r="BZ88" s="141">
        <v>0</v>
      </c>
      <c r="CA88" s="545" t="s">
        <v>2233</v>
      </c>
      <c r="CB88" s="141">
        <v>0</v>
      </c>
      <c r="CC88" s="545" t="s">
        <v>2233</v>
      </c>
      <c r="CD88" s="144">
        <v>0</v>
      </c>
    </row>
    <row r="89" spans="1:82" s="98" customFormat="1" ht="15" customHeight="1">
      <c r="A89" s="99"/>
      <c r="B89" s="161"/>
      <c r="C89" s="162"/>
      <c r="D89" s="162" t="s">
        <v>2706</v>
      </c>
      <c r="E89" s="162"/>
      <c r="F89" s="162"/>
      <c r="G89" s="163"/>
      <c r="H89" s="163"/>
      <c r="I89" s="164" t="s">
        <v>498</v>
      </c>
      <c r="J89" s="143">
        <v>0</v>
      </c>
      <c r="K89" s="141">
        <v>0</v>
      </c>
      <c r="L89" s="141">
        <v>0</v>
      </c>
      <c r="M89" s="141">
        <v>0</v>
      </c>
      <c r="N89" s="141">
        <v>0</v>
      </c>
      <c r="O89" s="141">
        <v>0</v>
      </c>
      <c r="P89" s="141">
        <v>0</v>
      </c>
      <c r="Q89" s="144">
        <v>0</v>
      </c>
      <c r="R89" s="143">
        <v>0</v>
      </c>
      <c r="S89" s="141">
        <v>0</v>
      </c>
      <c r="T89" s="141">
        <v>0</v>
      </c>
      <c r="U89" s="141">
        <v>0</v>
      </c>
      <c r="V89" s="144">
        <v>0</v>
      </c>
      <c r="W89" s="185"/>
      <c r="X89" s="164" t="s">
        <v>498</v>
      </c>
      <c r="Y89" s="143">
        <v>0</v>
      </c>
      <c r="Z89" s="141">
        <v>0</v>
      </c>
      <c r="AA89" s="141">
        <v>0</v>
      </c>
      <c r="AB89" s="141">
        <v>0</v>
      </c>
      <c r="AC89" s="141">
        <v>0</v>
      </c>
      <c r="AD89" s="141">
        <v>0</v>
      </c>
      <c r="AE89" s="141">
        <v>0</v>
      </c>
      <c r="AF89" s="144">
        <v>0</v>
      </c>
      <c r="AG89" s="143">
        <v>0</v>
      </c>
      <c r="AH89" s="141">
        <v>0</v>
      </c>
      <c r="AI89" s="141">
        <v>0</v>
      </c>
      <c r="AJ89" s="141">
        <v>0</v>
      </c>
      <c r="AK89" s="144">
        <v>0</v>
      </c>
      <c r="AL89" s="185"/>
      <c r="AM89" s="164" t="s">
        <v>2233</v>
      </c>
      <c r="AN89" s="143">
        <v>0</v>
      </c>
      <c r="AO89" s="141">
        <v>0</v>
      </c>
      <c r="AP89" s="141">
        <v>0</v>
      </c>
      <c r="AQ89" s="141">
        <v>0</v>
      </c>
      <c r="AR89" s="141">
        <v>0</v>
      </c>
      <c r="AS89" s="141">
        <v>0</v>
      </c>
      <c r="AT89" s="141">
        <v>0</v>
      </c>
      <c r="AU89" s="144">
        <v>0</v>
      </c>
      <c r="AV89" s="143">
        <v>0</v>
      </c>
      <c r="AW89" s="141">
        <v>0</v>
      </c>
      <c r="AX89" s="141">
        <v>0</v>
      </c>
      <c r="AY89" s="141">
        <v>0</v>
      </c>
      <c r="AZ89" s="144">
        <v>0</v>
      </c>
      <c r="BA89" s="185"/>
      <c r="BB89" s="545" t="s">
        <v>627</v>
      </c>
      <c r="BC89" s="868">
        <v>0</v>
      </c>
      <c r="BD89" s="545" t="s">
        <v>627</v>
      </c>
      <c r="BE89" s="868">
        <v>0</v>
      </c>
      <c r="BF89" s="545" t="s">
        <v>2233</v>
      </c>
      <c r="BG89" s="141">
        <v>0</v>
      </c>
      <c r="BH89" s="545" t="s">
        <v>2233</v>
      </c>
      <c r="BI89" s="141">
        <v>0</v>
      </c>
      <c r="BJ89" s="545" t="s">
        <v>2233</v>
      </c>
      <c r="BK89" s="141">
        <v>0</v>
      </c>
      <c r="BL89" s="545" t="s">
        <v>2233</v>
      </c>
      <c r="BM89" s="141">
        <v>0</v>
      </c>
      <c r="BN89" s="545" t="s">
        <v>2233</v>
      </c>
      <c r="BO89" s="141">
        <v>0</v>
      </c>
      <c r="BP89" s="185"/>
      <c r="BQ89" s="545" t="s">
        <v>627</v>
      </c>
      <c r="BR89" s="868">
        <v>0</v>
      </c>
      <c r="BS89" s="545" t="s">
        <v>627</v>
      </c>
      <c r="BT89" s="868">
        <v>0</v>
      </c>
      <c r="BU89" s="545" t="s">
        <v>2233</v>
      </c>
      <c r="BV89" s="141">
        <v>0</v>
      </c>
      <c r="BW89" s="545" t="s">
        <v>2233</v>
      </c>
      <c r="BX89" s="141">
        <v>0</v>
      </c>
      <c r="BY89" s="545" t="s">
        <v>2233</v>
      </c>
      <c r="BZ89" s="141">
        <v>0</v>
      </c>
      <c r="CA89" s="545" t="s">
        <v>2233</v>
      </c>
      <c r="CB89" s="141">
        <v>0</v>
      </c>
      <c r="CC89" s="545" t="s">
        <v>2233</v>
      </c>
      <c r="CD89" s="144">
        <v>0</v>
      </c>
    </row>
    <row r="90" spans="1:82" s="98" customFormat="1" ht="15" customHeight="1">
      <c r="A90" s="99"/>
      <c r="B90" s="161"/>
      <c r="C90" s="162"/>
      <c r="D90" s="162" t="s">
        <v>2707</v>
      </c>
      <c r="E90" s="162"/>
      <c r="F90" s="162"/>
      <c r="G90" s="163"/>
      <c r="H90" s="163"/>
      <c r="I90" s="164" t="s">
        <v>498</v>
      </c>
      <c r="J90" s="143">
        <v>0</v>
      </c>
      <c r="K90" s="141">
        <v>0</v>
      </c>
      <c r="L90" s="141">
        <v>0</v>
      </c>
      <c r="M90" s="141">
        <v>0</v>
      </c>
      <c r="N90" s="141">
        <v>0</v>
      </c>
      <c r="O90" s="141">
        <v>0</v>
      </c>
      <c r="P90" s="141">
        <v>0</v>
      </c>
      <c r="Q90" s="144">
        <v>0</v>
      </c>
      <c r="R90" s="143">
        <v>0</v>
      </c>
      <c r="S90" s="141">
        <v>0</v>
      </c>
      <c r="T90" s="141">
        <v>0</v>
      </c>
      <c r="U90" s="141">
        <v>0</v>
      </c>
      <c r="V90" s="144">
        <v>0</v>
      </c>
      <c r="W90" s="185"/>
      <c r="X90" s="164" t="s">
        <v>498</v>
      </c>
      <c r="Y90" s="143">
        <v>0</v>
      </c>
      <c r="Z90" s="141">
        <v>0</v>
      </c>
      <c r="AA90" s="141">
        <v>0</v>
      </c>
      <c r="AB90" s="141">
        <v>0</v>
      </c>
      <c r="AC90" s="141">
        <v>0</v>
      </c>
      <c r="AD90" s="141">
        <v>0</v>
      </c>
      <c r="AE90" s="141">
        <v>0</v>
      </c>
      <c r="AF90" s="144">
        <v>0</v>
      </c>
      <c r="AG90" s="143">
        <v>0</v>
      </c>
      <c r="AH90" s="141">
        <v>0</v>
      </c>
      <c r="AI90" s="141">
        <v>0</v>
      </c>
      <c r="AJ90" s="141">
        <v>0</v>
      </c>
      <c r="AK90" s="144">
        <v>0</v>
      </c>
      <c r="AL90" s="185"/>
      <c r="AM90" s="164" t="s">
        <v>2233</v>
      </c>
      <c r="AN90" s="143">
        <v>0</v>
      </c>
      <c r="AO90" s="141">
        <v>0</v>
      </c>
      <c r="AP90" s="141">
        <v>0</v>
      </c>
      <c r="AQ90" s="141">
        <v>0</v>
      </c>
      <c r="AR90" s="141">
        <v>0</v>
      </c>
      <c r="AS90" s="141">
        <v>0</v>
      </c>
      <c r="AT90" s="141">
        <v>0</v>
      </c>
      <c r="AU90" s="144">
        <v>0</v>
      </c>
      <c r="AV90" s="143">
        <v>0</v>
      </c>
      <c r="AW90" s="141">
        <v>0</v>
      </c>
      <c r="AX90" s="141">
        <v>0</v>
      </c>
      <c r="AY90" s="141">
        <v>0</v>
      </c>
      <c r="AZ90" s="144">
        <v>0</v>
      </c>
      <c r="BA90" s="185"/>
      <c r="BB90" s="545" t="s">
        <v>627</v>
      </c>
      <c r="BC90" s="868">
        <v>0</v>
      </c>
      <c r="BD90" s="545" t="s">
        <v>627</v>
      </c>
      <c r="BE90" s="868">
        <v>0</v>
      </c>
      <c r="BF90" s="545" t="s">
        <v>2233</v>
      </c>
      <c r="BG90" s="141">
        <v>0</v>
      </c>
      <c r="BH90" s="545" t="s">
        <v>2233</v>
      </c>
      <c r="BI90" s="141">
        <v>0</v>
      </c>
      <c r="BJ90" s="545" t="s">
        <v>2233</v>
      </c>
      <c r="BK90" s="141">
        <v>0</v>
      </c>
      <c r="BL90" s="545" t="s">
        <v>2233</v>
      </c>
      <c r="BM90" s="141">
        <v>0</v>
      </c>
      <c r="BN90" s="545" t="s">
        <v>2233</v>
      </c>
      <c r="BO90" s="141">
        <v>0</v>
      </c>
      <c r="BP90" s="185"/>
      <c r="BQ90" s="545" t="s">
        <v>627</v>
      </c>
      <c r="BR90" s="868">
        <v>0</v>
      </c>
      <c r="BS90" s="545" t="s">
        <v>627</v>
      </c>
      <c r="BT90" s="868">
        <v>0</v>
      </c>
      <c r="BU90" s="545" t="s">
        <v>2233</v>
      </c>
      <c r="BV90" s="141">
        <v>0</v>
      </c>
      <c r="BW90" s="545" t="s">
        <v>2233</v>
      </c>
      <c r="BX90" s="141">
        <v>0</v>
      </c>
      <c r="BY90" s="545" t="s">
        <v>2233</v>
      </c>
      <c r="BZ90" s="141">
        <v>0</v>
      </c>
      <c r="CA90" s="545" t="s">
        <v>2233</v>
      </c>
      <c r="CB90" s="141">
        <v>0</v>
      </c>
      <c r="CC90" s="545" t="s">
        <v>2233</v>
      </c>
      <c r="CD90" s="144">
        <v>0</v>
      </c>
    </row>
    <row r="91" spans="1:82" s="98" customFormat="1" ht="15" customHeight="1">
      <c r="A91" s="99"/>
      <c r="B91" s="161"/>
      <c r="C91" s="162"/>
      <c r="D91" s="162" t="s">
        <v>2708</v>
      </c>
      <c r="E91" s="162"/>
      <c r="F91" s="162"/>
      <c r="G91" s="163"/>
      <c r="H91" s="163"/>
      <c r="I91" s="164" t="s">
        <v>498</v>
      </c>
      <c r="J91" s="143">
        <v>0</v>
      </c>
      <c r="K91" s="141">
        <v>0</v>
      </c>
      <c r="L91" s="141">
        <v>0</v>
      </c>
      <c r="M91" s="141">
        <v>0</v>
      </c>
      <c r="N91" s="141">
        <v>0</v>
      </c>
      <c r="O91" s="141">
        <v>0</v>
      </c>
      <c r="P91" s="141">
        <v>0</v>
      </c>
      <c r="Q91" s="144">
        <v>0</v>
      </c>
      <c r="R91" s="143">
        <v>0</v>
      </c>
      <c r="S91" s="141">
        <v>0</v>
      </c>
      <c r="T91" s="141">
        <v>0</v>
      </c>
      <c r="U91" s="141">
        <v>0</v>
      </c>
      <c r="V91" s="144">
        <v>0</v>
      </c>
      <c r="W91" s="185"/>
      <c r="X91" s="164" t="s">
        <v>498</v>
      </c>
      <c r="Y91" s="143">
        <v>0</v>
      </c>
      <c r="Z91" s="141">
        <v>0</v>
      </c>
      <c r="AA91" s="141">
        <v>0</v>
      </c>
      <c r="AB91" s="141">
        <v>0</v>
      </c>
      <c r="AC91" s="141">
        <v>0</v>
      </c>
      <c r="AD91" s="141">
        <v>0</v>
      </c>
      <c r="AE91" s="141">
        <v>0</v>
      </c>
      <c r="AF91" s="144">
        <v>0</v>
      </c>
      <c r="AG91" s="143">
        <v>0</v>
      </c>
      <c r="AH91" s="141">
        <v>0</v>
      </c>
      <c r="AI91" s="141">
        <v>0</v>
      </c>
      <c r="AJ91" s="141">
        <v>0</v>
      </c>
      <c r="AK91" s="144">
        <v>0</v>
      </c>
      <c r="AL91" s="185"/>
      <c r="AM91" s="164" t="s">
        <v>2233</v>
      </c>
      <c r="AN91" s="143">
        <v>0</v>
      </c>
      <c r="AO91" s="141">
        <v>0</v>
      </c>
      <c r="AP91" s="141">
        <v>0</v>
      </c>
      <c r="AQ91" s="141">
        <v>0</v>
      </c>
      <c r="AR91" s="141">
        <v>0</v>
      </c>
      <c r="AS91" s="141">
        <v>0</v>
      </c>
      <c r="AT91" s="141">
        <v>0</v>
      </c>
      <c r="AU91" s="144">
        <v>0</v>
      </c>
      <c r="AV91" s="143">
        <v>0</v>
      </c>
      <c r="AW91" s="141">
        <v>0</v>
      </c>
      <c r="AX91" s="141">
        <v>0</v>
      </c>
      <c r="AY91" s="141">
        <v>0</v>
      </c>
      <c r="AZ91" s="144">
        <v>0</v>
      </c>
      <c r="BA91" s="185"/>
      <c r="BB91" s="545" t="s">
        <v>627</v>
      </c>
      <c r="BC91" s="868">
        <v>0</v>
      </c>
      <c r="BD91" s="545" t="s">
        <v>627</v>
      </c>
      <c r="BE91" s="868">
        <v>0</v>
      </c>
      <c r="BF91" s="545" t="s">
        <v>2233</v>
      </c>
      <c r="BG91" s="141">
        <v>0</v>
      </c>
      <c r="BH91" s="545" t="s">
        <v>2233</v>
      </c>
      <c r="BI91" s="141">
        <v>0</v>
      </c>
      <c r="BJ91" s="545" t="s">
        <v>2233</v>
      </c>
      <c r="BK91" s="141">
        <v>0</v>
      </c>
      <c r="BL91" s="545" t="s">
        <v>2233</v>
      </c>
      <c r="BM91" s="141">
        <v>0</v>
      </c>
      <c r="BN91" s="545" t="s">
        <v>2233</v>
      </c>
      <c r="BO91" s="141">
        <v>0</v>
      </c>
      <c r="BP91" s="185"/>
      <c r="BQ91" s="545" t="s">
        <v>627</v>
      </c>
      <c r="BR91" s="868">
        <v>0</v>
      </c>
      <c r="BS91" s="545" t="s">
        <v>627</v>
      </c>
      <c r="BT91" s="868">
        <v>0</v>
      </c>
      <c r="BU91" s="545" t="s">
        <v>2233</v>
      </c>
      <c r="BV91" s="141">
        <v>0</v>
      </c>
      <c r="BW91" s="545" t="s">
        <v>2233</v>
      </c>
      <c r="BX91" s="141">
        <v>0</v>
      </c>
      <c r="BY91" s="545" t="s">
        <v>2233</v>
      </c>
      <c r="BZ91" s="141">
        <v>0</v>
      </c>
      <c r="CA91" s="545" t="s">
        <v>2233</v>
      </c>
      <c r="CB91" s="141">
        <v>0</v>
      </c>
      <c r="CC91" s="545" t="s">
        <v>2233</v>
      </c>
      <c r="CD91" s="144">
        <v>0</v>
      </c>
    </row>
    <row r="92" spans="1:82" s="98" customFormat="1" ht="15" customHeight="1">
      <c r="A92" s="99"/>
      <c r="B92" s="161"/>
      <c r="C92" s="162" t="s">
        <v>1710</v>
      </c>
      <c r="D92" s="162"/>
      <c r="E92" s="162"/>
      <c r="F92" s="162"/>
      <c r="G92" s="163"/>
      <c r="H92" s="163"/>
      <c r="I92" s="164" t="s">
        <v>498</v>
      </c>
      <c r="J92" s="641">
        <f>SUM(J84:J91)</f>
        <v>0</v>
      </c>
      <c r="K92" s="642">
        <f t="shared" ref="K92:V92" si="178">SUM(K84:K91)</f>
        <v>0</v>
      </c>
      <c r="L92" s="642">
        <f t="shared" si="178"/>
        <v>0</v>
      </c>
      <c r="M92" s="642">
        <f t="shared" si="178"/>
        <v>0</v>
      </c>
      <c r="N92" s="642">
        <f t="shared" si="178"/>
        <v>0</v>
      </c>
      <c r="O92" s="642">
        <f t="shared" si="178"/>
        <v>0</v>
      </c>
      <c r="P92" s="642">
        <f t="shared" si="178"/>
        <v>0</v>
      </c>
      <c r="Q92" s="643">
        <f t="shared" si="178"/>
        <v>0</v>
      </c>
      <c r="R92" s="641">
        <f t="shared" si="178"/>
        <v>0</v>
      </c>
      <c r="S92" s="642">
        <f t="shared" si="178"/>
        <v>0</v>
      </c>
      <c r="T92" s="642">
        <f t="shared" si="178"/>
        <v>0</v>
      </c>
      <c r="U92" s="642">
        <f t="shared" si="178"/>
        <v>0</v>
      </c>
      <c r="V92" s="643">
        <f t="shared" si="178"/>
        <v>0</v>
      </c>
      <c r="W92" s="185"/>
      <c r="X92" s="164" t="s">
        <v>498</v>
      </c>
      <c r="Y92" s="641">
        <f>SUM(Y84:Y91)</f>
        <v>0</v>
      </c>
      <c r="Z92" s="642">
        <f t="shared" ref="Z92:AK92" si="179">SUM(Z84:Z91)</f>
        <v>0</v>
      </c>
      <c r="AA92" s="642">
        <f t="shared" si="179"/>
        <v>0</v>
      </c>
      <c r="AB92" s="642">
        <f t="shared" si="179"/>
        <v>0</v>
      </c>
      <c r="AC92" s="642">
        <f t="shared" si="179"/>
        <v>0</v>
      </c>
      <c r="AD92" s="642">
        <f t="shared" si="179"/>
        <v>0</v>
      </c>
      <c r="AE92" s="642">
        <f t="shared" si="179"/>
        <v>0</v>
      </c>
      <c r="AF92" s="643">
        <f t="shared" si="179"/>
        <v>0</v>
      </c>
      <c r="AG92" s="641">
        <f t="shared" si="179"/>
        <v>0</v>
      </c>
      <c r="AH92" s="642">
        <f t="shared" si="179"/>
        <v>0</v>
      </c>
      <c r="AI92" s="642">
        <f t="shared" si="179"/>
        <v>0</v>
      </c>
      <c r="AJ92" s="642">
        <f t="shared" si="179"/>
        <v>0</v>
      </c>
      <c r="AK92" s="643">
        <f t="shared" si="179"/>
        <v>0</v>
      </c>
      <c r="AL92" s="185"/>
      <c r="AM92" s="164" t="s">
        <v>498</v>
      </c>
      <c r="AN92" s="641">
        <f>SUM(AN84:AN91)</f>
        <v>0</v>
      </c>
      <c r="AO92" s="642">
        <f t="shared" ref="AO92:AZ92" si="180">SUM(AO84:AO91)</f>
        <v>0</v>
      </c>
      <c r="AP92" s="642">
        <f t="shared" si="180"/>
        <v>0</v>
      </c>
      <c r="AQ92" s="642">
        <f t="shared" si="180"/>
        <v>0</v>
      </c>
      <c r="AR92" s="642">
        <f t="shared" si="180"/>
        <v>0</v>
      </c>
      <c r="AS92" s="642">
        <f t="shared" si="180"/>
        <v>0</v>
      </c>
      <c r="AT92" s="642">
        <f t="shared" si="180"/>
        <v>0</v>
      </c>
      <c r="AU92" s="643">
        <f t="shared" si="180"/>
        <v>0</v>
      </c>
      <c r="AV92" s="641">
        <f t="shared" si="180"/>
        <v>0</v>
      </c>
      <c r="AW92" s="642">
        <f t="shared" si="180"/>
        <v>0</v>
      </c>
      <c r="AX92" s="642">
        <f t="shared" si="180"/>
        <v>0</v>
      </c>
      <c r="AY92" s="642">
        <f t="shared" si="180"/>
        <v>0</v>
      </c>
      <c r="AZ92" s="643">
        <f t="shared" si="180"/>
        <v>0</v>
      </c>
      <c r="BA92" s="185"/>
      <c r="BB92" s="530"/>
      <c r="BC92" s="530"/>
      <c r="BD92" s="530"/>
      <c r="BE92" s="530"/>
      <c r="BF92" s="545" t="s">
        <v>2233</v>
      </c>
      <c r="BG92" s="642">
        <f>SUM(BG84:BG91)</f>
        <v>0</v>
      </c>
      <c r="BH92" s="865" t="s">
        <v>2233</v>
      </c>
      <c r="BI92" s="642">
        <f>SUM(BI84:BI91)</f>
        <v>0</v>
      </c>
      <c r="BJ92" s="865" t="s">
        <v>2233</v>
      </c>
      <c r="BK92" s="642">
        <f>SUM(BK84:BK91)</f>
        <v>0</v>
      </c>
      <c r="BL92" s="865" t="s">
        <v>2233</v>
      </c>
      <c r="BM92" s="642">
        <f>SUM(BM84:BM91)</f>
        <v>0</v>
      </c>
      <c r="BN92" s="865" t="s">
        <v>2233</v>
      </c>
      <c r="BO92" s="642">
        <f>SUM(BO84:BO91)</f>
        <v>0</v>
      </c>
      <c r="BP92" s="185"/>
      <c r="BQ92" s="530"/>
      <c r="BR92" s="530"/>
      <c r="BS92" s="530"/>
      <c r="BT92" s="530"/>
      <c r="BU92" s="545" t="s">
        <v>2233</v>
      </c>
      <c r="BV92" s="642">
        <f>SUM(BV84:BV91)</f>
        <v>0</v>
      </c>
      <c r="BW92" s="865" t="s">
        <v>2233</v>
      </c>
      <c r="BX92" s="642">
        <f>SUM(BX84:BX91)</f>
        <v>0</v>
      </c>
      <c r="BY92" s="865" t="s">
        <v>2233</v>
      </c>
      <c r="BZ92" s="642">
        <f>SUM(BZ84:BZ91)</f>
        <v>0</v>
      </c>
      <c r="CA92" s="865" t="s">
        <v>2233</v>
      </c>
      <c r="CB92" s="642">
        <f>SUM(CB84:CB91)</f>
        <v>0</v>
      </c>
      <c r="CC92" s="865" t="s">
        <v>2233</v>
      </c>
      <c r="CD92" s="643">
        <f>SUM(CD84:CD91)</f>
        <v>0</v>
      </c>
    </row>
    <row r="93" spans="1:82" s="98" customFormat="1" ht="15" customHeight="1">
      <c r="A93" s="99"/>
      <c r="B93" s="123"/>
      <c r="C93" s="127"/>
      <c r="D93" s="127"/>
      <c r="E93" s="127"/>
      <c r="F93" s="127"/>
      <c r="G93" s="117"/>
      <c r="H93" s="117"/>
      <c r="I93" s="117"/>
      <c r="J93" s="713"/>
      <c r="K93" s="721"/>
      <c r="L93" s="721"/>
      <c r="M93" s="721"/>
      <c r="N93" s="721"/>
      <c r="O93" s="721"/>
      <c r="P93" s="721"/>
      <c r="Q93" s="715"/>
      <c r="R93" s="713"/>
      <c r="S93" s="721"/>
      <c r="T93" s="721"/>
      <c r="U93" s="721"/>
      <c r="V93" s="715"/>
      <c r="W93" s="185"/>
      <c r="X93" s="117"/>
      <c r="Y93" s="713"/>
      <c r="Z93" s="721"/>
      <c r="AA93" s="721"/>
      <c r="AB93" s="721"/>
      <c r="AC93" s="721"/>
      <c r="AD93" s="721"/>
      <c r="AE93" s="721"/>
      <c r="AF93" s="715"/>
      <c r="AG93" s="713"/>
      <c r="AH93" s="721"/>
      <c r="AI93" s="721"/>
      <c r="AJ93" s="721"/>
      <c r="AK93" s="715"/>
      <c r="AL93" s="185"/>
      <c r="AM93" s="117"/>
      <c r="AN93" s="713"/>
      <c r="AO93" s="721"/>
      <c r="AP93" s="721"/>
      <c r="AQ93" s="721"/>
      <c r="AR93" s="721"/>
      <c r="AS93" s="721"/>
      <c r="AT93" s="721"/>
      <c r="AU93" s="715"/>
      <c r="AV93" s="713"/>
      <c r="AW93" s="721"/>
      <c r="AX93" s="721"/>
      <c r="AY93" s="721"/>
      <c r="AZ93" s="715"/>
      <c r="BA93" s="185"/>
      <c r="BB93" s="530"/>
      <c r="BC93" s="530"/>
      <c r="BD93" s="530"/>
      <c r="BE93" s="530"/>
      <c r="BF93" s="530"/>
      <c r="BG93" s="530"/>
      <c r="BH93" s="530"/>
      <c r="BI93" s="530"/>
      <c r="BJ93" s="530"/>
      <c r="BK93" s="530"/>
      <c r="BL93" s="530"/>
      <c r="BM93" s="530"/>
      <c r="BN93" s="530"/>
      <c r="BO93" s="530"/>
      <c r="BP93" s="185"/>
      <c r="BQ93" s="530"/>
      <c r="BR93" s="530"/>
      <c r="BS93" s="530"/>
      <c r="BT93" s="530"/>
      <c r="BU93" s="530"/>
      <c r="BV93" s="530"/>
      <c r="BW93" s="530"/>
      <c r="BX93" s="530"/>
      <c r="BY93" s="530"/>
      <c r="BZ93" s="530"/>
      <c r="CA93" s="530"/>
      <c r="CB93" s="530"/>
      <c r="CC93" s="530"/>
      <c r="CD93" s="544"/>
    </row>
    <row r="94" spans="1:82" s="98" customFormat="1" ht="15" customHeight="1">
      <c r="A94" s="99"/>
      <c r="B94" s="161"/>
      <c r="C94" s="116" t="s">
        <v>2774</v>
      </c>
      <c r="D94" s="116"/>
      <c r="E94" s="116"/>
      <c r="F94" s="116"/>
      <c r="G94" s="117"/>
      <c r="H94" s="117"/>
      <c r="I94" s="117"/>
      <c r="J94" s="713"/>
      <c r="K94" s="721"/>
      <c r="L94" s="721"/>
      <c r="M94" s="721"/>
      <c r="N94" s="721"/>
      <c r="O94" s="721"/>
      <c r="P94" s="721"/>
      <c r="Q94" s="715"/>
      <c r="R94" s="713"/>
      <c r="S94" s="721"/>
      <c r="T94" s="721"/>
      <c r="U94" s="721"/>
      <c r="V94" s="715"/>
      <c r="W94" s="185"/>
      <c r="X94" s="117"/>
      <c r="Y94" s="713"/>
      <c r="Z94" s="721"/>
      <c r="AA94" s="721"/>
      <c r="AB94" s="721"/>
      <c r="AC94" s="721"/>
      <c r="AD94" s="721"/>
      <c r="AE94" s="721"/>
      <c r="AF94" s="715"/>
      <c r="AG94" s="713"/>
      <c r="AH94" s="721"/>
      <c r="AI94" s="721"/>
      <c r="AJ94" s="721"/>
      <c r="AK94" s="715"/>
      <c r="AL94" s="185"/>
      <c r="AM94" s="117"/>
      <c r="AN94" s="713"/>
      <c r="AO94" s="721"/>
      <c r="AP94" s="721"/>
      <c r="AQ94" s="721"/>
      <c r="AR94" s="721"/>
      <c r="AS94" s="721"/>
      <c r="AT94" s="721"/>
      <c r="AU94" s="715"/>
      <c r="AV94" s="713"/>
      <c r="AW94" s="721"/>
      <c r="AX94" s="721"/>
      <c r="AY94" s="721"/>
      <c r="AZ94" s="715"/>
      <c r="BA94" s="185"/>
      <c r="BB94" s="530"/>
      <c r="BC94" s="530"/>
      <c r="BD94" s="530"/>
      <c r="BE94" s="530"/>
      <c r="BF94" s="530"/>
      <c r="BG94" s="530"/>
      <c r="BH94" s="530"/>
      <c r="BI94" s="530"/>
      <c r="BJ94" s="530"/>
      <c r="BK94" s="530"/>
      <c r="BL94" s="530"/>
      <c r="BM94" s="530"/>
      <c r="BN94" s="530"/>
      <c r="BO94" s="530"/>
      <c r="BP94" s="185"/>
      <c r="BQ94" s="530"/>
      <c r="BR94" s="530"/>
      <c r="BS94" s="530"/>
      <c r="BT94" s="530"/>
      <c r="BU94" s="530"/>
      <c r="BV94" s="530"/>
      <c r="BW94" s="530"/>
      <c r="BX94" s="530"/>
      <c r="BY94" s="530"/>
      <c r="BZ94" s="530"/>
      <c r="CA94" s="530"/>
      <c r="CB94" s="530"/>
      <c r="CC94" s="530"/>
      <c r="CD94" s="544"/>
    </row>
    <row r="95" spans="1:82" s="98" customFormat="1" ht="15" customHeight="1">
      <c r="A95" s="99"/>
      <c r="B95" s="161"/>
      <c r="C95" s="162"/>
      <c r="D95" s="162" t="s">
        <v>2701</v>
      </c>
      <c r="E95" s="162"/>
      <c r="F95" s="162"/>
      <c r="G95" s="163"/>
      <c r="H95" s="163"/>
      <c r="I95" s="164" t="s">
        <v>498</v>
      </c>
      <c r="J95" s="143">
        <v>0</v>
      </c>
      <c r="K95" s="141">
        <v>0</v>
      </c>
      <c r="L95" s="141">
        <v>0</v>
      </c>
      <c r="M95" s="141">
        <v>0</v>
      </c>
      <c r="N95" s="141">
        <v>0</v>
      </c>
      <c r="O95" s="141">
        <v>0</v>
      </c>
      <c r="P95" s="141">
        <v>0</v>
      </c>
      <c r="Q95" s="144">
        <v>0</v>
      </c>
      <c r="R95" s="143">
        <v>0</v>
      </c>
      <c r="S95" s="141">
        <v>0</v>
      </c>
      <c r="T95" s="141">
        <v>0</v>
      </c>
      <c r="U95" s="141">
        <v>0</v>
      </c>
      <c r="V95" s="144">
        <v>0</v>
      </c>
      <c r="W95" s="185"/>
      <c r="X95" s="164" t="s">
        <v>498</v>
      </c>
      <c r="Y95" s="143">
        <v>0</v>
      </c>
      <c r="Z95" s="141">
        <v>0</v>
      </c>
      <c r="AA95" s="141">
        <v>0</v>
      </c>
      <c r="AB95" s="141">
        <v>0</v>
      </c>
      <c r="AC95" s="141">
        <v>0</v>
      </c>
      <c r="AD95" s="141">
        <v>0</v>
      </c>
      <c r="AE95" s="141">
        <v>0</v>
      </c>
      <c r="AF95" s="144">
        <v>0</v>
      </c>
      <c r="AG95" s="143">
        <v>0</v>
      </c>
      <c r="AH95" s="141">
        <v>0</v>
      </c>
      <c r="AI95" s="141">
        <v>0</v>
      </c>
      <c r="AJ95" s="141">
        <v>0</v>
      </c>
      <c r="AK95" s="144">
        <v>0</v>
      </c>
      <c r="AL95" s="185"/>
      <c r="AM95" s="164" t="s">
        <v>2233</v>
      </c>
      <c r="AN95" s="143">
        <v>0</v>
      </c>
      <c r="AO95" s="141">
        <v>0</v>
      </c>
      <c r="AP95" s="141">
        <v>0</v>
      </c>
      <c r="AQ95" s="141">
        <v>0</v>
      </c>
      <c r="AR95" s="141">
        <v>0</v>
      </c>
      <c r="AS95" s="141">
        <v>0</v>
      </c>
      <c r="AT95" s="141">
        <v>0</v>
      </c>
      <c r="AU95" s="144">
        <v>0</v>
      </c>
      <c r="AV95" s="143">
        <v>0</v>
      </c>
      <c r="AW95" s="141">
        <v>0</v>
      </c>
      <c r="AX95" s="141">
        <v>0</v>
      </c>
      <c r="AY95" s="141">
        <v>0</v>
      </c>
      <c r="AZ95" s="144">
        <v>0</v>
      </c>
      <c r="BA95" s="185"/>
      <c r="BB95" s="545" t="s">
        <v>627</v>
      </c>
      <c r="BC95" s="868">
        <v>0</v>
      </c>
      <c r="BD95" s="545" t="s">
        <v>627</v>
      </c>
      <c r="BE95" s="868">
        <v>0</v>
      </c>
      <c r="BF95" s="545" t="s">
        <v>2233</v>
      </c>
      <c r="BG95" s="141">
        <v>0</v>
      </c>
      <c r="BH95" s="545" t="s">
        <v>2233</v>
      </c>
      <c r="BI95" s="141">
        <v>0</v>
      </c>
      <c r="BJ95" s="545" t="s">
        <v>2233</v>
      </c>
      <c r="BK95" s="141">
        <v>0</v>
      </c>
      <c r="BL95" s="545" t="s">
        <v>2233</v>
      </c>
      <c r="BM95" s="141">
        <v>0</v>
      </c>
      <c r="BN95" s="545" t="s">
        <v>2233</v>
      </c>
      <c r="BO95" s="141">
        <v>0</v>
      </c>
      <c r="BP95" s="185"/>
      <c r="BQ95" s="545" t="s">
        <v>627</v>
      </c>
      <c r="BR95" s="868">
        <v>0</v>
      </c>
      <c r="BS95" s="545" t="s">
        <v>627</v>
      </c>
      <c r="BT95" s="868">
        <v>0</v>
      </c>
      <c r="BU95" s="545" t="s">
        <v>2233</v>
      </c>
      <c r="BV95" s="141">
        <v>0</v>
      </c>
      <c r="BW95" s="545" t="s">
        <v>2233</v>
      </c>
      <c r="BX95" s="141">
        <v>0</v>
      </c>
      <c r="BY95" s="545" t="s">
        <v>2233</v>
      </c>
      <c r="BZ95" s="141">
        <v>0</v>
      </c>
      <c r="CA95" s="545" t="s">
        <v>2233</v>
      </c>
      <c r="CB95" s="141">
        <v>0</v>
      </c>
      <c r="CC95" s="545" t="s">
        <v>2233</v>
      </c>
      <c r="CD95" s="144">
        <v>0</v>
      </c>
    </row>
    <row r="96" spans="1:82" s="98" customFormat="1" ht="15" customHeight="1">
      <c r="A96" s="99"/>
      <c r="B96" s="161"/>
      <c r="C96" s="162"/>
      <c r="D96" s="162" t="s">
        <v>2702</v>
      </c>
      <c r="E96" s="162"/>
      <c r="F96" s="162"/>
      <c r="G96" s="163"/>
      <c r="H96" s="163"/>
      <c r="I96" s="164" t="s">
        <v>498</v>
      </c>
      <c r="J96" s="143">
        <v>0</v>
      </c>
      <c r="K96" s="141">
        <v>0</v>
      </c>
      <c r="L96" s="141">
        <v>0</v>
      </c>
      <c r="M96" s="141">
        <v>0</v>
      </c>
      <c r="N96" s="141">
        <v>0</v>
      </c>
      <c r="O96" s="141">
        <v>0</v>
      </c>
      <c r="P96" s="141">
        <v>0</v>
      </c>
      <c r="Q96" s="144">
        <v>0</v>
      </c>
      <c r="R96" s="143">
        <v>0</v>
      </c>
      <c r="S96" s="141">
        <v>0</v>
      </c>
      <c r="T96" s="141">
        <v>0</v>
      </c>
      <c r="U96" s="141">
        <v>0</v>
      </c>
      <c r="V96" s="144">
        <v>0</v>
      </c>
      <c r="W96" s="185"/>
      <c r="X96" s="164" t="s">
        <v>498</v>
      </c>
      <c r="Y96" s="143">
        <v>0</v>
      </c>
      <c r="Z96" s="141">
        <v>0</v>
      </c>
      <c r="AA96" s="141">
        <v>0</v>
      </c>
      <c r="AB96" s="141">
        <v>0</v>
      </c>
      <c r="AC96" s="141">
        <v>0</v>
      </c>
      <c r="AD96" s="141">
        <v>0</v>
      </c>
      <c r="AE96" s="141">
        <v>0</v>
      </c>
      <c r="AF96" s="144">
        <v>0</v>
      </c>
      <c r="AG96" s="143">
        <v>0</v>
      </c>
      <c r="AH96" s="141">
        <v>0</v>
      </c>
      <c r="AI96" s="141">
        <v>0</v>
      </c>
      <c r="AJ96" s="141">
        <v>0</v>
      </c>
      <c r="AK96" s="144">
        <v>0</v>
      </c>
      <c r="AL96" s="185"/>
      <c r="AM96" s="164" t="s">
        <v>2233</v>
      </c>
      <c r="AN96" s="143">
        <v>0</v>
      </c>
      <c r="AO96" s="141">
        <v>0</v>
      </c>
      <c r="AP96" s="141">
        <v>0</v>
      </c>
      <c r="AQ96" s="141">
        <v>0</v>
      </c>
      <c r="AR96" s="141">
        <v>0</v>
      </c>
      <c r="AS96" s="141">
        <v>0</v>
      </c>
      <c r="AT96" s="141">
        <v>0</v>
      </c>
      <c r="AU96" s="144">
        <v>0</v>
      </c>
      <c r="AV96" s="143">
        <v>0</v>
      </c>
      <c r="AW96" s="141">
        <v>0</v>
      </c>
      <c r="AX96" s="141">
        <v>0</v>
      </c>
      <c r="AY96" s="141">
        <v>0</v>
      </c>
      <c r="AZ96" s="144">
        <v>0</v>
      </c>
      <c r="BA96" s="185"/>
      <c r="BB96" s="545" t="s">
        <v>627</v>
      </c>
      <c r="BC96" s="868">
        <v>0</v>
      </c>
      <c r="BD96" s="545" t="s">
        <v>627</v>
      </c>
      <c r="BE96" s="868">
        <v>0</v>
      </c>
      <c r="BF96" s="545" t="s">
        <v>2233</v>
      </c>
      <c r="BG96" s="141">
        <v>0</v>
      </c>
      <c r="BH96" s="545" t="s">
        <v>2233</v>
      </c>
      <c r="BI96" s="141">
        <v>0</v>
      </c>
      <c r="BJ96" s="545" t="s">
        <v>2233</v>
      </c>
      <c r="BK96" s="141">
        <v>0</v>
      </c>
      <c r="BL96" s="545" t="s">
        <v>2233</v>
      </c>
      <c r="BM96" s="141">
        <v>0</v>
      </c>
      <c r="BN96" s="545" t="s">
        <v>2233</v>
      </c>
      <c r="BO96" s="141">
        <v>0</v>
      </c>
      <c r="BP96" s="185"/>
      <c r="BQ96" s="545" t="s">
        <v>627</v>
      </c>
      <c r="BR96" s="868">
        <v>0</v>
      </c>
      <c r="BS96" s="545" t="s">
        <v>627</v>
      </c>
      <c r="BT96" s="868">
        <v>0</v>
      </c>
      <c r="BU96" s="545" t="s">
        <v>2233</v>
      </c>
      <c r="BV96" s="141">
        <v>0</v>
      </c>
      <c r="BW96" s="545" t="s">
        <v>2233</v>
      </c>
      <c r="BX96" s="141">
        <v>0</v>
      </c>
      <c r="BY96" s="545" t="s">
        <v>2233</v>
      </c>
      <c r="BZ96" s="141">
        <v>0</v>
      </c>
      <c r="CA96" s="545" t="s">
        <v>2233</v>
      </c>
      <c r="CB96" s="141">
        <v>0</v>
      </c>
      <c r="CC96" s="545" t="s">
        <v>2233</v>
      </c>
      <c r="CD96" s="144">
        <v>0</v>
      </c>
    </row>
    <row r="97" spans="1:82" s="98" customFormat="1" ht="15" customHeight="1">
      <c r="A97" s="99"/>
      <c r="B97" s="161"/>
      <c r="C97" s="162"/>
      <c r="D97" s="162" t="s">
        <v>2703</v>
      </c>
      <c r="E97" s="162"/>
      <c r="F97" s="162"/>
      <c r="G97" s="163"/>
      <c r="H97" s="163"/>
      <c r="I97" s="164" t="s">
        <v>498</v>
      </c>
      <c r="J97" s="143">
        <v>0</v>
      </c>
      <c r="K97" s="141">
        <v>0</v>
      </c>
      <c r="L97" s="141">
        <v>0</v>
      </c>
      <c r="M97" s="141">
        <v>0</v>
      </c>
      <c r="N97" s="141">
        <v>0</v>
      </c>
      <c r="O97" s="141">
        <v>0</v>
      </c>
      <c r="P97" s="141">
        <v>0</v>
      </c>
      <c r="Q97" s="144">
        <v>0</v>
      </c>
      <c r="R97" s="143">
        <v>0</v>
      </c>
      <c r="S97" s="141">
        <v>0</v>
      </c>
      <c r="T97" s="141">
        <v>0</v>
      </c>
      <c r="U97" s="141">
        <v>0</v>
      </c>
      <c r="V97" s="144">
        <v>0</v>
      </c>
      <c r="W97" s="185"/>
      <c r="X97" s="164" t="s">
        <v>498</v>
      </c>
      <c r="Y97" s="143">
        <v>0</v>
      </c>
      <c r="Z97" s="141">
        <v>0</v>
      </c>
      <c r="AA97" s="141">
        <v>0</v>
      </c>
      <c r="AB97" s="141">
        <v>0</v>
      </c>
      <c r="AC97" s="141">
        <v>0</v>
      </c>
      <c r="AD97" s="141">
        <v>0</v>
      </c>
      <c r="AE97" s="141">
        <v>0</v>
      </c>
      <c r="AF97" s="144">
        <v>0</v>
      </c>
      <c r="AG97" s="143">
        <v>0</v>
      </c>
      <c r="AH97" s="141">
        <v>0</v>
      </c>
      <c r="AI97" s="141">
        <v>0</v>
      </c>
      <c r="AJ97" s="141">
        <v>0</v>
      </c>
      <c r="AK97" s="144">
        <v>0</v>
      </c>
      <c r="AL97" s="185"/>
      <c r="AM97" s="164" t="s">
        <v>2233</v>
      </c>
      <c r="AN97" s="143">
        <v>0</v>
      </c>
      <c r="AO97" s="141">
        <v>0</v>
      </c>
      <c r="AP97" s="141">
        <v>0</v>
      </c>
      <c r="AQ97" s="141">
        <v>0</v>
      </c>
      <c r="AR97" s="141">
        <v>0</v>
      </c>
      <c r="AS97" s="141">
        <v>0</v>
      </c>
      <c r="AT97" s="141">
        <v>0</v>
      </c>
      <c r="AU97" s="144">
        <v>0</v>
      </c>
      <c r="AV97" s="143">
        <v>0</v>
      </c>
      <c r="AW97" s="141">
        <v>0</v>
      </c>
      <c r="AX97" s="141">
        <v>0</v>
      </c>
      <c r="AY97" s="141">
        <v>0</v>
      </c>
      <c r="AZ97" s="144">
        <v>0</v>
      </c>
      <c r="BA97" s="185"/>
      <c r="BB97" s="545" t="s">
        <v>627</v>
      </c>
      <c r="BC97" s="868">
        <v>0</v>
      </c>
      <c r="BD97" s="545" t="s">
        <v>627</v>
      </c>
      <c r="BE97" s="868">
        <v>0</v>
      </c>
      <c r="BF97" s="545" t="s">
        <v>2233</v>
      </c>
      <c r="BG97" s="141">
        <v>0</v>
      </c>
      <c r="BH97" s="545" t="s">
        <v>2233</v>
      </c>
      <c r="BI97" s="141">
        <v>0</v>
      </c>
      <c r="BJ97" s="545" t="s">
        <v>2233</v>
      </c>
      <c r="BK97" s="141">
        <v>0</v>
      </c>
      <c r="BL97" s="545" t="s">
        <v>2233</v>
      </c>
      <c r="BM97" s="141">
        <v>0</v>
      </c>
      <c r="BN97" s="545" t="s">
        <v>2233</v>
      </c>
      <c r="BO97" s="141">
        <v>0</v>
      </c>
      <c r="BP97" s="185"/>
      <c r="BQ97" s="545" t="s">
        <v>627</v>
      </c>
      <c r="BR97" s="868">
        <v>0</v>
      </c>
      <c r="BS97" s="545" t="s">
        <v>627</v>
      </c>
      <c r="BT97" s="868">
        <v>0</v>
      </c>
      <c r="BU97" s="545" t="s">
        <v>2233</v>
      </c>
      <c r="BV97" s="141">
        <v>0</v>
      </c>
      <c r="BW97" s="545" t="s">
        <v>2233</v>
      </c>
      <c r="BX97" s="141">
        <v>0</v>
      </c>
      <c r="BY97" s="545" t="s">
        <v>2233</v>
      </c>
      <c r="BZ97" s="141">
        <v>0</v>
      </c>
      <c r="CA97" s="545" t="s">
        <v>2233</v>
      </c>
      <c r="CB97" s="141">
        <v>0</v>
      </c>
      <c r="CC97" s="545" t="s">
        <v>2233</v>
      </c>
      <c r="CD97" s="144">
        <v>0</v>
      </c>
    </row>
    <row r="98" spans="1:82" s="98" customFormat="1" ht="15" customHeight="1">
      <c r="A98" s="99"/>
      <c r="B98" s="161"/>
      <c r="C98" s="162"/>
      <c r="D98" s="162" t="s">
        <v>2704</v>
      </c>
      <c r="E98" s="162"/>
      <c r="F98" s="162"/>
      <c r="G98" s="163"/>
      <c r="H98" s="163"/>
      <c r="I98" s="164" t="s">
        <v>498</v>
      </c>
      <c r="J98" s="143">
        <v>0</v>
      </c>
      <c r="K98" s="141">
        <v>0</v>
      </c>
      <c r="L98" s="141">
        <v>0</v>
      </c>
      <c r="M98" s="141">
        <v>0</v>
      </c>
      <c r="N98" s="141">
        <v>0</v>
      </c>
      <c r="O98" s="141">
        <v>0</v>
      </c>
      <c r="P98" s="141">
        <v>0</v>
      </c>
      <c r="Q98" s="144">
        <v>0</v>
      </c>
      <c r="R98" s="143">
        <v>0</v>
      </c>
      <c r="S98" s="141">
        <v>0</v>
      </c>
      <c r="T98" s="141">
        <v>0</v>
      </c>
      <c r="U98" s="141">
        <v>0</v>
      </c>
      <c r="V98" s="144">
        <v>0</v>
      </c>
      <c r="W98" s="185"/>
      <c r="X98" s="164" t="s">
        <v>498</v>
      </c>
      <c r="Y98" s="143">
        <v>0</v>
      </c>
      <c r="Z98" s="141">
        <v>0</v>
      </c>
      <c r="AA98" s="141">
        <v>0</v>
      </c>
      <c r="AB98" s="141">
        <v>0</v>
      </c>
      <c r="AC98" s="141">
        <v>0</v>
      </c>
      <c r="AD98" s="141">
        <v>0</v>
      </c>
      <c r="AE98" s="141">
        <v>0</v>
      </c>
      <c r="AF98" s="144">
        <v>0</v>
      </c>
      <c r="AG98" s="143">
        <v>0</v>
      </c>
      <c r="AH98" s="141">
        <v>0</v>
      </c>
      <c r="AI98" s="141">
        <v>0</v>
      </c>
      <c r="AJ98" s="141">
        <v>0</v>
      </c>
      <c r="AK98" s="144">
        <v>0</v>
      </c>
      <c r="AL98" s="185"/>
      <c r="AM98" s="164" t="s">
        <v>2233</v>
      </c>
      <c r="AN98" s="143">
        <v>0</v>
      </c>
      <c r="AO98" s="141">
        <v>0</v>
      </c>
      <c r="AP98" s="141">
        <v>0</v>
      </c>
      <c r="AQ98" s="141">
        <v>0</v>
      </c>
      <c r="AR98" s="141">
        <v>0</v>
      </c>
      <c r="AS98" s="141">
        <v>0</v>
      </c>
      <c r="AT98" s="141">
        <v>0</v>
      </c>
      <c r="AU98" s="144">
        <v>0</v>
      </c>
      <c r="AV98" s="143">
        <v>0</v>
      </c>
      <c r="AW98" s="141">
        <v>0</v>
      </c>
      <c r="AX98" s="141">
        <v>0</v>
      </c>
      <c r="AY98" s="141">
        <v>0</v>
      </c>
      <c r="AZ98" s="144">
        <v>0</v>
      </c>
      <c r="BA98" s="185"/>
      <c r="BB98" s="545" t="s">
        <v>627</v>
      </c>
      <c r="BC98" s="868">
        <v>0</v>
      </c>
      <c r="BD98" s="545" t="s">
        <v>627</v>
      </c>
      <c r="BE98" s="868">
        <v>0</v>
      </c>
      <c r="BF98" s="545" t="s">
        <v>2233</v>
      </c>
      <c r="BG98" s="141">
        <v>0</v>
      </c>
      <c r="BH98" s="545" t="s">
        <v>2233</v>
      </c>
      <c r="BI98" s="141">
        <v>0</v>
      </c>
      <c r="BJ98" s="545" t="s">
        <v>2233</v>
      </c>
      <c r="BK98" s="141">
        <v>0</v>
      </c>
      <c r="BL98" s="545" t="s">
        <v>2233</v>
      </c>
      <c r="BM98" s="141">
        <v>0</v>
      </c>
      <c r="BN98" s="545" t="s">
        <v>2233</v>
      </c>
      <c r="BO98" s="141">
        <v>0</v>
      </c>
      <c r="BP98" s="185"/>
      <c r="BQ98" s="545" t="s">
        <v>627</v>
      </c>
      <c r="BR98" s="868">
        <v>0</v>
      </c>
      <c r="BS98" s="545" t="s">
        <v>627</v>
      </c>
      <c r="BT98" s="868">
        <v>0</v>
      </c>
      <c r="BU98" s="545" t="s">
        <v>2233</v>
      </c>
      <c r="BV98" s="141">
        <v>0</v>
      </c>
      <c r="BW98" s="545" t="s">
        <v>2233</v>
      </c>
      <c r="BX98" s="141">
        <v>0</v>
      </c>
      <c r="BY98" s="545" t="s">
        <v>2233</v>
      </c>
      <c r="BZ98" s="141">
        <v>0</v>
      </c>
      <c r="CA98" s="545" t="s">
        <v>2233</v>
      </c>
      <c r="CB98" s="141">
        <v>0</v>
      </c>
      <c r="CC98" s="545" t="s">
        <v>2233</v>
      </c>
      <c r="CD98" s="144">
        <v>0</v>
      </c>
    </row>
    <row r="99" spans="1:82" s="98" customFormat="1" ht="15" customHeight="1">
      <c r="A99" s="99"/>
      <c r="B99" s="161"/>
      <c r="C99" s="162"/>
      <c r="D99" s="162" t="s">
        <v>2705</v>
      </c>
      <c r="E99" s="162"/>
      <c r="F99" s="162"/>
      <c r="G99" s="163"/>
      <c r="H99" s="163"/>
      <c r="I99" s="164" t="s">
        <v>498</v>
      </c>
      <c r="J99" s="143">
        <v>0</v>
      </c>
      <c r="K99" s="141">
        <v>0</v>
      </c>
      <c r="L99" s="141">
        <v>0</v>
      </c>
      <c r="M99" s="141">
        <v>0</v>
      </c>
      <c r="N99" s="141">
        <v>0</v>
      </c>
      <c r="O99" s="141">
        <v>0</v>
      </c>
      <c r="P99" s="141">
        <v>0</v>
      </c>
      <c r="Q99" s="144">
        <v>0</v>
      </c>
      <c r="R99" s="143">
        <v>0</v>
      </c>
      <c r="S99" s="141">
        <v>0</v>
      </c>
      <c r="T99" s="141">
        <v>0</v>
      </c>
      <c r="U99" s="141">
        <v>0</v>
      </c>
      <c r="V99" s="144">
        <v>0</v>
      </c>
      <c r="W99" s="185"/>
      <c r="X99" s="164" t="s">
        <v>498</v>
      </c>
      <c r="Y99" s="143">
        <v>0</v>
      </c>
      <c r="Z99" s="141">
        <v>0</v>
      </c>
      <c r="AA99" s="141">
        <v>0</v>
      </c>
      <c r="AB99" s="141">
        <v>0</v>
      </c>
      <c r="AC99" s="141">
        <v>0</v>
      </c>
      <c r="AD99" s="141">
        <v>0</v>
      </c>
      <c r="AE99" s="141">
        <v>0</v>
      </c>
      <c r="AF99" s="144">
        <v>0</v>
      </c>
      <c r="AG99" s="143">
        <v>0</v>
      </c>
      <c r="AH99" s="141">
        <v>0</v>
      </c>
      <c r="AI99" s="141">
        <v>0</v>
      </c>
      <c r="AJ99" s="141">
        <v>0</v>
      </c>
      <c r="AK99" s="144">
        <v>0</v>
      </c>
      <c r="AL99" s="185"/>
      <c r="AM99" s="164" t="s">
        <v>2233</v>
      </c>
      <c r="AN99" s="143">
        <v>0</v>
      </c>
      <c r="AO99" s="141">
        <v>0</v>
      </c>
      <c r="AP99" s="141">
        <v>0</v>
      </c>
      <c r="AQ99" s="141">
        <v>0</v>
      </c>
      <c r="AR99" s="141">
        <v>0</v>
      </c>
      <c r="AS99" s="141">
        <v>0</v>
      </c>
      <c r="AT99" s="141">
        <v>0</v>
      </c>
      <c r="AU99" s="144">
        <v>0</v>
      </c>
      <c r="AV99" s="143">
        <v>0</v>
      </c>
      <c r="AW99" s="141">
        <v>0</v>
      </c>
      <c r="AX99" s="141">
        <v>0</v>
      </c>
      <c r="AY99" s="141">
        <v>0</v>
      </c>
      <c r="AZ99" s="144">
        <v>0</v>
      </c>
      <c r="BA99" s="185"/>
      <c r="BB99" s="545" t="s">
        <v>627</v>
      </c>
      <c r="BC99" s="868">
        <v>0</v>
      </c>
      <c r="BD99" s="545" t="s">
        <v>627</v>
      </c>
      <c r="BE99" s="868">
        <v>0</v>
      </c>
      <c r="BF99" s="545" t="s">
        <v>2233</v>
      </c>
      <c r="BG99" s="141">
        <v>0</v>
      </c>
      <c r="BH99" s="545" t="s">
        <v>2233</v>
      </c>
      <c r="BI99" s="141">
        <v>0</v>
      </c>
      <c r="BJ99" s="545" t="s">
        <v>2233</v>
      </c>
      <c r="BK99" s="141">
        <v>0</v>
      </c>
      <c r="BL99" s="545" t="s">
        <v>2233</v>
      </c>
      <c r="BM99" s="141">
        <v>0</v>
      </c>
      <c r="BN99" s="545" t="s">
        <v>2233</v>
      </c>
      <c r="BO99" s="141">
        <v>0</v>
      </c>
      <c r="BP99" s="185"/>
      <c r="BQ99" s="545" t="s">
        <v>627</v>
      </c>
      <c r="BR99" s="868">
        <v>0</v>
      </c>
      <c r="BS99" s="545" t="s">
        <v>627</v>
      </c>
      <c r="BT99" s="868">
        <v>0</v>
      </c>
      <c r="BU99" s="545" t="s">
        <v>2233</v>
      </c>
      <c r="BV99" s="141">
        <v>0</v>
      </c>
      <c r="BW99" s="545" t="s">
        <v>2233</v>
      </c>
      <c r="BX99" s="141">
        <v>0</v>
      </c>
      <c r="BY99" s="545" t="s">
        <v>2233</v>
      </c>
      <c r="BZ99" s="141">
        <v>0</v>
      </c>
      <c r="CA99" s="545" t="s">
        <v>2233</v>
      </c>
      <c r="CB99" s="141">
        <v>0</v>
      </c>
      <c r="CC99" s="545" t="s">
        <v>2233</v>
      </c>
      <c r="CD99" s="144">
        <v>0</v>
      </c>
    </row>
    <row r="100" spans="1:82" s="98" customFormat="1" ht="15" customHeight="1">
      <c r="A100" s="99"/>
      <c r="B100" s="161"/>
      <c r="C100" s="162"/>
      <c r="D100" s="162" t="s">
        <v>2706</v>
      </c>
      <c r="E100" s="162"/>
      <c r="F100" s="162"/>
      <c r="G100" s="163"/>
      <c r="H100" s="163"/>
      <c r="I100" s="164" t="s">
        <v>498</v>
      </c>
      <c r="J100" s="143">
        <v>0</v>
      </c>
      <c r="K100" s="141">
        <v>0</v>
      </c>
      <c r="L100" s="141">
        <v>0</v>
      </c>
      <c r="M100" s="141">
        <v>0</v>
      </c>
      <c r="N100" s="141">
        <v>0</v>
      </c>
      <c r="O100" s="141">
        <v>0</v>
      </c>
      <c r="P100" s="141">
        <v>0</v>
      </c>
      <c r="Q100" s="144">
        <v>0</v>
      </c>
      <c r="R100" s="143">
        <v>0</v>
      </c>
      <c r="S100" s="141">
        <v>0</v>
      </c>
      <c r="T100" s="141">
        <v>0</v>
      </c>
      <c r="U100" s="141">
        <v>0</v>
      </c>
      <c r="V100" s="144">
        <v>0</v>
      </c>
      <c r="W100" s="185"/>
      <c r="X100" s="164" t="s">
        <v>498</v>
      </c>
      <c r="Y100" s="143">
        <v>0</v>
      </c>
      <c r="Z100" s="141">
        <v>0</v>
      </c>
      <c r="AA100" s="141">
        <v>0</v>
      </c>
      <c r="AB100" s="141">
        <v>0</v>
      </c>
      <c r="AC100" s="141">
        <v>0</v>
      </c>
      <c r="AD100" s="141">
        <v>0</v>
      </c>
      <c r="AE100" s="141">
        <v>0</v>
      </c>
      <c r="AF100" s="144">
        <v>0</v>
      </c>
      <c r="AG100" s="143">
        <v>0</v>
      </c>
      <c r="AH100" s="141">
        <v>0</v>
      </c>
      <c r="AI100" s="141">
        <v>0</v>
      </c>
      <c r="AJ100" s="141">
        <v>0</v>
      </c>
      <c r="AK100" s="144">
        <v>0</v>
      </c>
      <c r="AL100" s="185"/>
      <c r="AM100" s="164" t="s">
        <v>2233</v>
      </c>
      <c r="AN100" s="143">
        <v>0</v>
      </c>
      <c r="AO100" s="141">
        <v>0</v>
      </c>
      <c r="AP100" s="141">
        <v>0</v>
      </c>
      <c r="AQ100" s="141">
        <v>0</v>
      </c>
      <c r="AR100" s="141">
        <v>0</v>
      </c>
      <c r="AS100" s="141">
        <v>0</v>
      </c>
      <c r="AT100" s="141">
        <v>0</v>
      </c>
      <c r="AU100" s="144">
        <v>0</v>
      </c>
      <c r="AV100" s="143">
        <v>0</v>
      </c>
      <c r="AW100" s="141">
        <v>0</v>
      </c>
      <c r="AX100" s="141">
        <v>0</v>
      </c>
      <c r="AY100" s="141">
        <v>0</v>
      </c>
      <c r="AZ100" s="144">
        <v>0</v>
      </c>
      <c r="BA100" s="185"/>
      <c r="BB100" s="545" t="s">
        <v>627</v>
      </c>
      <c r="BC100" s="868">
        <v>0</v>
      </c>
      <c r="BD100" s="545" t="s">
        <v>627</v>
      </c>
      <c r="BE100" s="868">
        <v>0</v>
      </c>
      <c r="BF100" s="545" t="s">
        <v>2233</v>
      </c>
      <c r="BG100" s="141">
        <v>0</v>
      </c>
      <c r="BH100" s="545" t="s">
        <v>2233</v>
      </c>
      <c r="BI100" s="141">
        <v>0</v>
      </c>
      <c r="BJ100" s="545" t="s">
        <v>2233</v>
      </c>
      <c r="BK100" s="141">
        <v>0</v>
      </c>
      <c r="BL100" s="545" t="s">
        <v>2233</v>
      </c>
      <c r="BM100" s="141">
        <v>0</v>
      </c>
      <c r="BN100" s="545" t="s">
        <v>2233</v>
      </c>
      <c r="BO100" s="141">
        <v>0</v>
      </c>
      <c r="BP100" s="185"/>
      <c r="BQ100" s="545" t="s">
        <v>627</v>
      </c>
      <c r="BR100" s="868">
        <v>0</v>
      </c>
      <c r="BS100" s="545" t="s">
        <v>627</v>
      </c>
      <c r="BT100" s="868">
        <v>0</v>
      </c>
      <c r="BU100" s="545" t="s">
        <v>2233</v>
      </c>
      <c r="BV100" s="141">
        <v>0</v>
      </c>
      <c r="BW100" s="545" t="s">
        <v>2233</v>
      </c>
      <c r="BX100" s="141">
        <v>0</v>
      </c>
      <c r="BY100" s="545" t="s">
        <v>2233</v>
      </c>
      <c r="BZ100" s="141">
        <v>0</v>
      </c>
      <c r="CA100" s="545" t="s">
        <v>2233</v>
      </c>
      <c r="CB100" s="141">
        <v>0</v>
      </c>
      <c r="CC100" s="545" t="s">
        <v>2233</v>
      </c>
      <c r="CD100" s="144">
        <v>0</v>
      </c>
    </row>
    <row r="101" spans="1:82" s="98" customFormat="1" ht="15" customHeight="1">
      <c r="A101" s="99"/>
      <c r="B101" s="161"/>
      <c r="C101" s="162"/>
      <c r="D101" s="162" t="s">
        <v>2707</v>
      </c>
      <c r="E101" s="162"/>
      <c r="F101" s="162"/>
      <c r="G101" s="163"/>
      <c r="H101" s="163"/>
      <c r="I101" s="164" t="s">
        <v>498</v>
      </c>
      <c r="J101" s="143">
        <v>0</v>
      </c>
      <c r="K101" s="141">
        <v>0</v>
      </c>
      <c r="L101" s="141">
        <v>0</v>
      </c>
      <c r="M101" s="141">
        <v>0</v>
      </c>
      <c r="N101" s="141">
        <v>0</v>
      </c>
      <c r="O101" s="141">
        <v>0</v>
      </c>
      <c r="P101" s="141">
        <v>0</v>
      </c>
      <c r="Q101" s="144">
        <v>0</v>
      </c>
      <c r="R101" s="143">
        <v>0</v>
      </c>
      <c r="S101" s="141">
        <v>0</v>
      </c>
      <c r="T101" s="141">
        <v>0</v>
      </c>
      <c r="U101" s="141">
        <v>0</v>
      </c>
      <c r="V101" s="144">
        <v>0</v>
      </c>
      <c r="W101" s="185"/>
      <c r="X101" s="164" t="s">
        <v>498</v>
      </c>
      <c r="Y101" s="143">
        <v>0</v>
      </c>
      <c r="Z101" s="141">
        <v>0</v>
      </c>
      <c r="AA101" s="141">
        <v>0</v>
      </c>
      <c r="AB101" s="141">
        <v>0</v>
      </c>
      <c r="AC101" s="141">
        <v>0</v>
      </c>
      <c r="AD101" s="141">
        <v>0</v>
      </c>
      <c r="AE101" s="141">
        <v>0</v>
      </c>
      <c r="AF101" s="144">
        <v>0</v>
      </c>
      <c r="AG101" s="143">
        <v>0</v>
      </c>
      <c r="AH101" s="141">
        <v>0</v>
      </c>
      <c r="AI101" s="141">
        <v>0</v>
      </c>
      <c r="AJ101" s="141">
        <v>0</v>
      </c>
      <c r="AK101" s="144">
        <v>0</v>
      </c>
      <c r="AL101" s="185"/>
      <c r="AM101" s="164" t="s">
        <v>2233</v>
      </c>
      <c r="AN101" s="143">
        <v>0</v>
      </c>
      <c r="AO101" s="141">
        <v>0</v>
      </c>
      <c r="AP101" s="141">
        <v>0</v>
      </c>
      <c r="AQ101" s="141">
        <v>0</v>
      </c>
      <c r="AR101" s="141">
        <v>0</v>
      </c>
      <c r="AS101" s="141">
        <v>0</v>
      </c>
      <c r="AT101" s="141">
        <v>0</v>
      </c>
      <c r="AU101" s="144">
        <v>0</v>
      </c>
      <c r="AV101" s="143">
        <v>0</v>
      </c>
      <c r="AW101" s="141">
        <v>0</v>
      </c>
      <c r="AX101" s="141">
        <v>0</v>
      </c>
      <c r="AY101" s="141">
        <v>0</v>
      </c>
      <c r="AZ101" s="144">
        <v>0</v>
      </c>
      <c r="BA101" s="185"/>
      <c r="BB101" s="545" t="s">
        <v>627</v>
      </c>
      <c r="BC101" s="868">
        <v>0</v>
      </c>
      <c r="BD101" s="545" t="s">
        <v>627</v>
      </c>
      <c r="BE101" s="868">
        <v>0</v>
      </c>
      <c r="BF101" s="545" t="s">
        <v>2233</v>
      </c>
      <c r="BG101" s="141">
        <v>0</v>
      </c>
      <c r="BH101" s="545" t="s">
        <v>2233</v>
      </c>
      <c r="BI101" s="141">
        <v>0</v>
      </c>
      <c r="BJ101" s="545" t="s">
        <v>2233</v>
      </c>
      <c r="BK101" s="141">
        <v>0</v>
      </c>
      <c r="BL101" s="545" t="s">
        <v>2233</v>
      </c>
      <c r="BM101" s="141">
        <v>0</v>
      </c>
      <c r="BN101" s="545" t="s">
        <v>2233</v>
      </c>
      <c r="BO101" s="141">
        <v>0</v>
      </c>
      <c r="BP101" s="185"/>
      <c r="BQ101" s="545" t="s">
        <v>627</v>
      </c>
      <c r="BR101" s="868">
        <v>0</v>
      </c>
      <c r="BS101" s="545" t="s">
        <v>627</v>
      </c>
      <c r="BT101" s="868">
        <v>0</v>
      </c>
      <c r="BU101" s="545" t="s">
        <v>2233</v>
      </c>
      <c r="BV101" s="141">
        <v>0</v>
      </c>
      <c r="BW101" s="545" t="s">
        <v>2233</v>
      </c>
      <c r="BX101" s="141">
        <v>0</v>
      </c>
      <c r="BY101" s="545" t="s">
        <v>2233</v>
      </c>
      <c r="BZ101" s="141">
        <v>0</v>
      </c>
      <c r="CA101" s="545" t="s">
        <v>2233</v>
      </c>
      <c r="CB101" s="141">
        <v>0</v>
      </c>
      <c r="CC101" s="545" t="s">
        <v>2233</v>
      </c>
      <c r="CD101" s="144">
        <v>0</v>
      </c>
    </row>
    <row r="102" spans="1:82" s="98" customFormat="1" ht="15" customHeight="1">
      <c r="A102" s="99"/>
      <c r="B102" s="161"/>
      <c r="C102" s="162"/>
      <c r="D102" s="162" t="s">
        <v>2708</v>
      </c>
      <c r="E102" s="162"/>
      <c r="F102" s="162"/>
      <c r="G102" s="163"/>
      <c r="H102" s="163"/>
      <c r="I102" s="164" t="s">
        <v>498</v>
      </c>
      <c r="J102" s="143">
        <v>0</v>
      </c>
      <c r="K102" s="141">
        <v>0</v>
      </c>
      <c r="L102" s="141">
        <v>0</v>
      </c>
      <c r="M102" s="141">
        <v>0</v>
      </c>
      <c r="N102" s="141">
        <v>0</v>
      </c>
      <c r="O102" s="141">
        <v>0</v>
      </c>
      <c r="P102" s="141">
        <v>0</v>
      </c>
      <c r="Q102" s="144">
        <v>0</v>
      </c>
      <c r="R102" s="143">
        <v>0</v>
      </c>
      <c r="S102" s="141">
        <v>0</v>
      </c>
      <c r="T102" s="141">
        <v>0</v>
      </c>
      <c r="U102" s="141">
        <v>0</v>
      </c>
      <c r="V102" s="144">
        <v>0</v>
      </c>
      <c r="W102" s="185"/>
      <c r="X102" s="164" t="s">
        <v>498</v>
      </c>
      <c r="Y102" s="143">
        <v>0</v>
      </c>
      <c r="Z102" s="141">
        <v>0</v>
      </c>
      <c r="AA102" s="141">
        <v>0</v>
      </c>
      <c r="AB102" s="141">
        <v>0</v>
      </c>
      <c r="AC102" s="141">
        <v>0</v>
      </c>
      <c r="AD102" s="141">
        <v>0</v>
      </c>
      <c r="AE102" s="141">
        <v>0</v>
      </c>
      <c r="AF102" s="144">
        <v>0</v>
      </c>
      <c r="AG102" s="143">
        <v>0</v>
      </c>
      <c r="AH102" s="141">
        <v>0</v>
      </c>
      <c r="AI102" s="141">
        <v>0</v>
      </c>
      <c r="AJ102" s="141">
        <v>0</v>
      </c>
      <c r="AK102" s="144">
        <v>0</v>
      </c>
      <c r="AL102" s="185"/>
      <c r="AM102" s="164" t="s">
        <v>2233</v>
      </c>
      <c r="AN102" s="143">
        <v>0</v>
      </c>
      <c r="AO102" s="141">
        <v>0</v>
      </c>
      <c r="AP102" s="141">
        <v>0</v>
      </c>
      <c r="AQ102" s="141">
        <v>0</v>
      </c>
      <c r="AR102" s="141">
        <v>0</v>
      </c>
      <c r="AS102" s="141">
        <v>0</v>
      </c>
      <c r="AT102" s="141">
        <v>0</v>
      </c>
      <c r="AU102" s="144">
        <v>0</v>
      </c>
      <c r="AV102" s="143">
        <v>0</v>
      </c>
      <c r="AW102" s="141">
        <v>0</v>
      </c>
      <c r="AX102" s="141">
        <v>0</v>
      </c>
      <c r="AY102" s="141">
        <v>0</v>
      </c>
      <c r="AZ102" s="144">
        <v>0</v>
      </c>
      <c r="BA102" s="185"/>
      <c r="BB102" s="545" t="s">
        <v>627</v>
      </c>
      <c r="BC102" s="868">
        <v>0</v>
      </c>
      <c r="BD102" s="545" t="s">
        <v>627</v>
      </c>
      <c r="BE102" s="868">
        <v>0</v>
      </c>
      <c r="BF102" s="545" t="s">
        <v>2233</v>
      </c>
      <c r="BG102" s="141">
        <v>0</v>
      </c>
      <c r="BH102" s="545" t="s">
        <v>2233</v>
      </c>
      <c r="BI102" s="141">
        <v>0</v>
      </c>
      <c r="BJ102" s="545" t="s">
        <v>2233</v>
      </c>
      <c r="BK102" s="141">
        <v>0</v>
      </c>
      <c r="BL102" s="545" t="s">
        <v>2233</v>
      </c>
      <c r="BM102" s="141">
        <v>0</v>
      </c>
      <c r="BN102" s="545" t="s">
        <v>2233</v>
      </c>
      <c r="BO102" s="141">
        <v>0</v>
      </c>
      <c r="BP102" s="185"/>
      <c r="BQ102" s="545" t="s">
        <v>627</v>
      </c>
      <c r="BR102" s="868">
        <v>0</v>
      </c>
      <c r="BS102" s="545" t="s">
        <v>627</v>
      </c>
      <c r="BT102" s="868">
        <v>0</v>
      </c>
      <c r="BU102" s="545" t="s">
        <v>2233</v>
      </c>
      <c r="BV102" s="141">
        <v>0</v>
      </c>
      <c r="BW102" s="545" t="s">
        <v>2233</v>
      </c>
      <c r="BX102" s="141">
        <v>0</v>
      </c>
      <c r="BY102" s="545" t="s">
        <v>2233</v>
      </c>
      <c r="BZ102" s="141">
        <v>0</v>
      </c>
      <c r="CA102" s="545" t="s">
        <v>2233</v>
      </c>
      <c r="CB102" s="141">
        <v>0</v>
      </c>
      <c r="CC102" s="545" t="s">
        <v>2233</v>
      </c>
      <c r="CD102" s="144">
        <v>0</v>
      </c>
    </row>
    <row r="103" spans="1:82" s="98" customFormat="1" ht="15" customHeight="1">
      <c r="A103" s="99"/>
      <c r="B103" s="161"/>
      <c r="C103" s="162" t="s">
        <v>1710</v>
      </c>
      <c r="D103" s="162"/>
      <c r="E103" s="162"/>
      <c r="F103" s="162"/>
      <c r="G103" s="163"/>
      <c r="H103" s="163"/>
      <c r="I103" s="164" t="s">
        <v>498</v>
      </c>
      <c r="J103" s="641">
        <f>SUM(J95:J102)</f>
        <v>0</v>
      </c>
      <c r="K103" s="642">
        <f t="shared" ref="K103:V103" si="181">SUM(K95:K102)</f>
        <v>0</v>
      </c>
      <c r="L103" s="642">
        <f t="shared" si="181"/>
        <v>0</v>
      </c>
      <c r="M103" s="642">
        <f t="shared" si="181"/>
        <v>0</v>
      </c>
      <c r="N103" s="642">
        <f t="shared" si="181"/>
        <v>0</v>
      </c>
      <c r="O103" s="642">
        <f t="shared" si="181"/>
        <v>0</v>
      </c>
      <c r="P103" s="642">
        <f t="shared" si="181"/>
        <v>0</v>
      </c>
      <c r="Q103" s="643">
        <f t="shared" si="181"/>
        <v>0</v>
      </c>
      <c r="R103" s="641">
        <f t="shared" si="181"/>
        <v>0</v>
      </c>
      <c r="S103" s="642">
        <f t="shared" si="181"/>
        <v>0</v>
      </c>
      <c r="T103" s="642">
        <f t="shared" si="181"/>
        <v>0</v>
      </c>
      <c r="U103" s="642">
        <f t="shared" si="181"/>
        <v>0</v>
      </c>
      <c r="V103" s="643">
        <f t="shared" si="181"/>
        <v>0</v>
      </c>
      <c r="W103" s="185"/>
      <c r="X103" s="164" t="s">
        <v>498</v>
      </c>
      <c r="Y103" s="641">
        <f>SUM(Y95:Y102)</f>
        <v>0</v>
      </c>
      <c r="Z103" s="642">
        <f t="shared" ref="Z103:AK103" si="182">SUM(Z95:Z102)</f>
        <v>0</v>
      </c>
      <c r="AA103" s="642">
        <f t="shared" si="182"/>
        <v>0</v>
      </c>
      <c r="AB103" s="642">
        <f t="shared" si="182"/>
        <v>0</v>
      </c>
      <c r="AC103" s="642">
        <f t="shared" si="182"/>
        <v>0</v>
      </c>
      <c r="AD103" s="642">
        <f t="shared" si="182"/>
        <v>0</v>
      </c>
      <c r="AE103" s="642">
        <f t="shared" si="182"/>
        <v>0</v>
      </c>
      <c r="AF103" s="643">
        <f t="shared" si="182"/>
        <v>0</v>
      </c>
      <c r="AG103" s="641">
        <f t="shared" si="182"/>
        <v>0</v>
      </c>
      <c r="AH103" s="642">
        <f t="shared" si="182"/>
        <v>0</v>
      </c>
      <c r="AI103" s="642">
        <f t="shared" si="182"/>
        <v>0</v>
      </c>
      <c r="AJ103" s="642">
        <f t="shared" si="182"/>
        <v>0</v>
      </c>
      <c r="AK103" s="643">
        <f t="shared" si="182"/>
        <v>0</v>
      </c>
      <c r="AL103" s="185"/>
      <c r="AM103" s="164" t="s">
        <v>498</v>
      </c>
      <c r="AN103" s="641">
        <f>SUM(AN95:AN102)</f>
        <v>0</v>
      </c>
      <c r="AO103" s="642">
        <f t="shared" ref="AO103:AZ103" si="183">SUM(AO95:AO102)</f>
        <v>0</v>
      </c>
      <c r="AP103" s="642">
        <f t="shared" si="183"/>
        <v>0</v>
      </c>
      <c r="AQ103" s="642">
        <f t="shared" si="183"/>
        <v>0</v>
      </c>
      <c r="AR103" s="642">
        <f t="shared" si="183"/>
        <v>0</v>
      </c>
      <c r="AS103" s="642">
        <f t="shared" si="183"/>
        <v>0</v>
      </c>
      <c r="AT103" s="642">
        <f t="shared" si="183"/>
        <v>0</v>
      </c>
      <c r="AU103" s="643">
        <f t="shared" si="183"/>
        <v>0</v>
      </c>
      <c r="AV103" s="641">
        <f t="shared" si="183"/>
        <v>0</v>
      </c>
      <c r="AW103" s="642">
        <f t="shared" si="183"/>
        <v>0</v>
      </c>
      <c r="AX103" s="642">
        <f t="shared" si="183"/>
        <v>0</v>
      </c>
      <c r="AY103" s="642">
        <f t="shared" si="183"/>
        <v>0</v>
      </c>
      <c r="AZ103" s="643">
        <f t="shared" si="183"/>
        <v>0</v>
      </c>
      <c r="BA103" s="185"/>
      <c r="BB103" s="530"/>
      <c r="BC103" s="530"/>
      <c r="BD103" s="530"/>
      <c r="BE103" s="530"/>
      <c r="BF103" s="545" t="s">
        <v>2233</v>
      </c>
      <c r="BG103" s="642">
        <f>SUM(BG95:BG102)</f>
        <v>0</v>
      </c>
      <c r="BH103" s="865" t="s">
        <v>2233</v>
      </c>
      <c r="BI103" s="642">
        <f>SUM(BI95:BI102)</f>
        <v>0</v>
      </c>
      <c r="BJ103" s="865" t="s">
        <v>2233</v>
      </c>
      <c r="BK103" s="642">
        <f>SUM(BK95:BK102)</f>
        <v>0</v>
      </c>
      <c r="BL103" s="865" t="s">
        <v>2233</v>
      </c>
      <c r="BM103" s="642">
        <f>SUM(BM95:BM102)</f>
        <v>0</v>
      </c>
      <c r="BN103" s="865" t="s">
        <v>2233</v>
      </c>
      <c r="BO103" s="642">
        <f>SUM(BO95:BO102)</f>
        <v>0</v>
      </c>
      <c r="BP103" s="185"/>
      <c r="BQ103" s="530"/>
      <c r="BR103" s="530"/>
      <c r="BS103" s="530"/>
      <c r="BT103" s="530"/>
      <c r="BU103" s="545" t="s">
        <v>2233</v>
      </c>
      <c r="BV103" s="642">
        <f>SUM(BV95:BV102)</f>
        <v>0</v>
      </c>
      <c r="BW103" s="865" t="s">
        <v>2233</v>
      </c>
      <c r="BX103" s="642">
        <f>SUM(BX95:BX102)</f>
        <v>0</v>
      </c>
      <c r="BY103" s="865" t="s">
        <v>2233</v>
      </c>
      <c r="BZ103" s="642">
        <f>SUM(BZ95:BZ102)</f>
        <v>0</v>
      </c>
      <c r="CA103" s="865" t="s">
        <v>2233</v>
      </c>
      <c r="CB103" s="642">
        <f>SUM(CB95:CB102)</f>
        <v>0</v>
      </c>
      <c r="CC103" s="865" t="s">
        <v>2233</v>
      </c>
      <c r="CD103" s="643">
        <f>SUM(CD95:CD102)</f>
        <v>0</v>
      </c>
    </row>
    <row r="104" spans="1:82" s="98" customFormat="1" ht="15" customHeight="1">
      <c r="A104" s="99"/>
      <c r="B104" s="123"/>
      <c r="C104" s="127"/>
      <c r="D104" s="127"/>
      <c r="E104" s="127"/>
      <c r="F104" s="127"/>
      <c r="G104" s="117"/>
      <c r="H104" s="117"/>
      <c r="I104" s="117"/>
      <c r="J104" s="713"/>
      <c r="K104" s="721"/>
      <c r="L104" s="721"/>
      <c r="M104" s="721"/>
      <c r="N104" s="721"/>
      <c r="O104" s="721"/>
      <c r="P104" s="721"/>
      <c r="Q104" s="715"/>
      <c r="R104" s="713"/>
      <c r="S104" s="721"/>
      <c r="T104" s="721"/>
      <c r="U104" s="721"/>
      <c r="V104" s="715"/>
      <c r="W104" s="185"/>
      <c r="X104" s="117"/>
      <c r="Y104" s="713"/>
      <c r="Z104" s="721"/>
      <c r="AA104" s="721"/>
      <c r="AB104" s="721"/>
      <c r="AC104" s="721"/>
      <c r="AD104" s="721"/>
      <c r="AE104" s="721"/>
      <c r="AF104" s="715"/>
      <c r="AG104" s="713"/>
      <c r="AH104" s="721"/>
      <c r="AI104" s="721"/>
      <c r="AJ104" s="721"/>
      <c r="AK104" s="715"/>
      <c r="AL104" s="185"/>
      <c r="AM104" s="117"/>
      <c r="AN104" s="713"/>
      <c r="AO104" s="721"/>
      <c r="AP104" s="721"/>
      <c r="AQ104" s="721"/>
      <c r="AR104" s="721"/>
      <c r="AS104" s="721"/>
      <c r="AT104" s="721"/>
      <c r="AU104" s="715"/>
      <c r="AV104" s="713"/>
      <c r="AW104" s="721"/>
      <c r="AX104" s="721"/>
      <c r="AY104" s="721"/>
      <c r="AZ104" s="715"/>
      <c r="BA104" s="185"/>
      <c r="BB104" s="530"/>
      <c r="BC104" s="530"/>
      <c r="BD104" s="530"/>
      <c r="BE104" s="530"/>
      <c r="BF104" s="530"/>
      <c r="BG104" s="530"/>
      <c r="BH104" s="530"/>
      <c r="BI104" s="530"/>
      <c r="BJ104" s="530"/>
      <c r="BK104" s="530"/>
      <c r="BL104" s="530"/>
      <c r="BM104" s="530"/>
      <c r="BN104" s="530"/>
      <c r="BO104" s="530"/>
      <c r="BP104" s="185"/>
      <c r="BQ104" s="530"/>
      <c r="BR104" s="530"/>
      <c r="BS104" s="530"/>
      <c r="BT104" s="530"/>
      <c r="BU104" s="530"/>
      <c r="BV104" s="530"/>
      <c r="BW104" s="530"/>
      <c r="BX104" s="530"/>
      <c r="BY104" s="530"/>
      <c r="BZ104" s="530"/>
      <c r="CA104" s="530"/>
      <c r="CB104" s="530"/>
      <c r="CC104" s="530"/>
      <c r="CD104" s="544"/>
    </row>
    <row r="105" spans="1:82" s="98" customFormat="1" ht="15" customHeight="1" thickBot="1">
      <c r="A105" s="99"/>
      <c r="B105" s="191" t="s">
        <v>1701</v>
      </c>
      <c r="C105" s="193"/>
      <c r="D105" s="193"/>
      <c r="E105" s="193"/>
      <c r="F105" s="193"/>
      <c r="G105" s="194"/>
      <c r="H105" s="194"/>
      <c r="I105" s="195" t="s">
        <v>498</v>
      </c>
      <c r="J105" s="717">
        <f>SUM(J34,J45,J56,J67,J78,J81,J92,J103)</f>
        <v>0</v>
      </c>
      <c r="K105" s="718">
        <f t="shared" ref="K105:V105" si="184">SUM(K34,K45,K56,K67,K78,K81,K92,K103)</f>
        <v>0</v>
      </c>
      <c r="L105" s="718">
        <f t="shared" si="184"/>
        <v>0</v>
      </c>
      <c r="M105" s="718">
        <f t="shared" si="184"/>
        <v>0</v>
      </c>
      <c r="N105" s="718">
        <f t="shared" si="184"/>
        <v>0</v>
      </c>
      <c r="O105" s="718">
        <f t="shared" si="184"/>
        <v>0</v>
      </c>
      <c r="P105" s="718">
        <f t="shared" si="184"/>
        <v>0</v>
      </c>
      <c r="Q105" s="719">
        <f t="shared" si="184"/>
        <v>0</v>
      </c>
      <c r="R105" s="717">
        <f t="shared" si="184"/>
        <v>0</v>
      </c>
      <c r="S105" s="718">
        <f t="shared" si="184"/>
        <v>0</v>
      </c>
      <c r="T105" s="718">
        <f t="shared" si="184"/>
        <v>0</v>
      </c>
      <c r="U105" s="718">
        <f t="shared" si="184"/>
        <v>0</v>
      </c>
      <c r="V105" s="719">
        <f t="shared" si="184"/>
        <v>0</v>
      </c>
      <c r="W105" s="192"/>
      <c r="X105" s="195" t="s">
        <v>498</v>
      </c>
      <c r="Y105" s="717">
        <f>SUM(Y34,Y45,Y56,Y67,Y78,Y81,Y92,Y103)</f>
        <v>0</v>
      </c>
      <c r="Z105" s="718">
        <f t="shared" ref="Z105:AK105" si="185">SUM(Z34,Z45,Z56,Z67,Z78,Z81,Z92,Z103)</f>
        <v>0</v>
      </c>
      <c r="AA105" s="718">
        <f t="shared" si="185"/>
        <v>0</v>
      </c>
      <c r="AB105" s="718">
        <f t="shared" si="185"/>
        <v>0</v>
      </c>
      <c r="AC105" s="718">
        <f t="shared" si="185"/>
        <v>0</v>
      </c>
      <c r="AD105" s="718">
        <f t="shared" si="185"/>
        <v>0</v>
      </c>
      <c r="AE105" s="718">
        <f t="shared" si="185"/>
        <v>0</v>
      </c>
      <c r="AF105" s="719">
        <f t="shared" si="185"/>
        <v>0</v>
      </c>
      <c r="AG105" s="717">
        <f t="shared" si="185"/>
        <v>0</v>
      </c>
      <c r="AH105" s="718">
        <f t="shared" si="185"/>
        <v>0</v>
      </c>
      <c r="AI105" s="718">
        <f t="shared" si="185"/>
        <v>0</v>
      </c>
      <c r="AJ105" s="718">
        <f t="shared" si="185"/>
        <v>0</v>
      </c>
      <c r="AK105" s="719">
        <f t="shared" si="185"/>
        <v>0</v>
      </c>
      <c r="AL105" s="192"/>
      <c r="AM105" s="195" t="s">
        <v>2233</v>
      </c>
      <c r="AN105" s="717">
        <f>SUM(AN34,AN45,AN56,AN67,AN78,AN81,AN92,AN103)</f>
        <v>0</v>
      </c>
      <c r="AO105" s="718">
        <f t="shared" ref="AO105:AZ105" si="186">SUM(AO34,AO45,AO56,AO67,AO78,AO81,AO92,AO103)</f>
        <v>0</v>
      </c>
      <c r="AP105" s="718">
        <f t="shared" si="186"/>
        <v>0</v>
      </c>
      <c r="AQ105" s="718">
        <f t="shared" si="186"/>
        <v>0</v>
      </c>
      <c r="AR105" s="718">
        <f t="shared" si="186"/>
        <v>0</v>
      </c>
      <c r="AS105" s="718">
        <f t="shared" si="186"/>
        <v>0</v>
      </c>
      <c r="AT105" s="718">
        <f t="shared" si="186"/>
        <v>0</v>
      </c>
      <c r="AU105" s="719">
        <f t="shared" si="186"/>
        <v>0</v>
      </c>
      <c r="AV105" s="717">
        <f t="shared" si="186"/>
        <v>0</v>
      </c>
      <c r="AW105" s="718">
        <f t="shared" si="186"/>
        <v>0</v>
      </c>
      <c r="AX105" s="718">
        <f t="shared" si="186"/>
        <v>0</v>
      </c>
      <c r="AY105" s="718">
        <f t="shared" si="186"/>
        <v>0</v>
      </c>
      <c r="AZ105" s="719">
        <f t="shared" si="186"/>
        <v>0</v>
      </c>
      <c r="BA105" s="192"/>
      <c r="BB105" s="548"/>
      <c r="BC105" s="548"/>
      <c r="BD105" s="548"/>
      <c r="BE105" s="1537"/>
      <c r="BF105" s="1081" t="s">
        <v>2233</v>
      </c>
      <c r="BG105" s="702">
        <f>SUM(BG34,BG45,BG56,BG67,BG78,BG81,BG92,BG103)</f>
        <v>0</v>
      </c>
      <c r="BH105" s="1081" t="s">
        <v>2233</v>
      </c>
      <c r="BI105" s="702">
        <f>SUM(BI34,BI45,BI56,BI67,BI78,BI81,BI92,BI103)</f>
        <v>0</v>
      </c>
      <c r="BJ105" s="1081" t="s">
        <v>2233</v>
      </c>
      <c r="BK105" s="702">
        <f>SUM(BK34,BK45,BK56,BK67,BK78,BK81,BK92,BK103)</f>
        <v>0</v>
      </c>
      <c r="BL105" s="1081" t="s">
        <v>2233</v>
      </c>
      <c r="BM105" s="702">
        <f>SUM(BM34,BM45,BM56,BM67,BM78,BM81,BM92,BM103)</f>
        <v>0</v>
      </c>
      <c r="BN105" s="1081" t="s">
        <v>2233</v>
      </c>
      <c r="BO105" s="703">
        <f>SUM(BO34,BO45,BO56,BO67,BO78,BO81,BO92,BO103)</f>
        <v>0</v>
      </c>
      <c r="BP105" s="192"/>
      <c r="BQ105" s="548"/>
      <c r="BR105" s="548"/>
      <c r="BS105" s="548"/>
      <c r="BT105" s="1537"/>
      <c r="BU105" s="1081" t="s">
        <v>2233</v>
      </c>
      <c r="BV105" s="702">
        <f>SUM(BV34,BV45,BV56,BV67,BV78,BV81,BV92,BV103)</f>
        <v>0</v>
      </c>
      <c r="BW105" s="1081" t="s">
        <v>2233</v>
      </c>
      <c r="BX105" s="702">
        <f>SUM(BX34,BX45,BX56,BX67,BX78,BX81,BX92,BX103)</f>
        <v>0</v>
      </c>
      <c r="BY105" s="1081" t="s">
        <v>2233</v>
      </c>
      <c r="BZ105" s="702">
        <f>SUM(BZ34,BZ45,BZ56,BZ67,BZ78,BZ81,BZ92,BZ103)</f>
        <v>0</v>
      </c>
      <c r="CA105" s="1081" t="s">
        <v>2233</v>
      </c>
      <c r="CB105" s="702">
        <f>SUM(CB34,CB45,CB56,CB67,CB78,CB81,CB92,CB103)</f>
        <v>0</v>
      </c>
      <c r="CC105" s="1081" t="s">
        <v>2233</v>
      </c>
      <c r="CD105" s="703">
        <f>SUM(CD34,CD45,CD56,CD67,CD78,CD81,CD92,CD103)</f>
        <v>0</v>
      </c>
    </row>
    <row r="106" spans="1:82" s="99" customFormat="1" ht="15" customHeight="1" thickBot="1">
      <c r="B106" s="150"/>
      <c r="C106" s="150"/>
      <c r="D106" s="150"/>
      <c r="E106" s="150"/>
      <c r="F106" s="150"/>
      <c r="G106" s="97"/>
      <c r="H106" s="97"/>
      <c r="I106" s="98"/>
      <c r="J106" s="98"/>
      <c r="K106" s="98"/>
      <c r="L106" s="98"/>
      <c r="M106" s="98"/>
      <c r="N106" s="98"/>
      <c r="O106" s="98"/>
      <c r="P106" s="98"/>
      <c r="Q106" s="98"/>
      <c r="R106" s="98"/>
      <c r="S106" s="98"/>
      <c r="T106" s="98"/>
      <c r="U106" s="98"/>
      <c r="V106" s="98"/>
      <c r="W106" s="98"/>
      <c r="X106" s="98"/>
      <c r="AS106" s="96"/>
      <c r="AT106" s="97"/>
      <c r="AU106" s="97"/>
      <c r="AV106" s="97"/>
      <c r="AW106" s="97"/>
      <c r="AX106" s="97"/>
      <c r="AY106" s="97"/>
      <c r="AZ106" s="97"/>
      <c r="BA106" s="97"/>
      <c r="BB106" s="97"/>
      <c r="BD106" s="97"/>
      <c r="BE106" s="97"/>
      <c r="BF106" s="97"/>
      <c r="BG106" s="1090"/>
      <c r="BH106" s="1091"/>
      <c r="BI106" s="1090"/>
      <c r="BJ106" s="1090"/>
      <c r="BK106" s="1090"/>
      <c r="BL106" s="1090"/>
      <c r="BM106" s="1090"/>
      <c r="BN106" s="1090"/>
      <c r="BO106" s="1090"/>
    </row>
    <row r="107" spans="1:82" s="100" customFormat="1" ht="30" customHeight="1" thickBot="1">
      <c r="A107" s="89"/>
      <c r="B107" s="621" t="s">
        <v>2679</v>
      </c>
      <c r="C107" s="101"/>
      <c r="D107" s="102"/>
      <c r="E107" s="102"/>
      <c r="F107" s="102"/>
      <c r="G107" s="103"/>
      <c r="H107" s="103"/>
      <c r="I107" s="1689"/>
      <c r="J107" s="1689"/>
      <c r="K107" s="1689"/>
      <c r="L107" s="1689"/>
      <c r="M107" s="1689"/>
      <c r="N107" s="1689"/>
      <c r="O107" s="1689"/>
      <c r="P107" s="1689"/>
      <c r="Q107" s="1689"/>
      <c r="R107" s="1689"/>
      <c r="S107" s="1689"/>
      <c r="T107" s="1689"/>
      <c r="U107" s="1689"/>
      <c r="V107" s="1689"/>
      <c r="W107" s="103"/>
      <c r="X107" s="1689"/>
      <c r="Y107" s="1689"/>
      <c r="Z107" s="1689"/>
      <c r="AA107" s="1689"/>
      <c r="AB107" s="1689"/>
      <c r="AC107" s="1689"/>
      <c r="AD107" s="1689"/>
      <c r="AE107" s="1689"/>
      <c r="AF107" s="1689"/>
      <c r="AG107" s="1689"/>
      <c r="AH107" s="1689"/>
      <c r="AI107" s="1689"/>
      <c r="AJ107" s="1689"/>
      <c r="AK107" s="1689"/>
      <c r="AL107" s="1354"/>
      <c r="AM107" s="105" t="s">
        <v>2231</v>
      </c>
      <c r="AN107" s="106"/>
      <c r="AO107" s="106"/>
      <c r="AP107" s="106"/>
      <c r="AQ107" s="106"/>
      <c r="AR107" s="106"/>
      <c r="AS107" s="106"/>
      <c r="AT107" s="106"/>
      <c r="AU107" s="106"/>
      <c r="AV107" s="105"/>
      <c r="AW107" s="105"/>
      <c r="AX107" s="105"/>
      <c r="AY107" s="105"/>
      <c r="AZ107" s="105"/>
      <c r="BA107" s="103"/>
      <c r="BB107" s="105" t="s">
        <v>2690</v>
      </c>
      <c r="BC107" s="105"/>
      <c r="BD107" s="105"/>
      <c r="BE107" s="105"/>
      <c r="BF107" s="105"/>
      <c r="BG107" s="105"/>
      <c r="BH107" s="603"/>
      <c r="BI107" s="105"/>
      <c r="BJ107" s="103"/>
      <c r="BK107" s="103"/>
      <c r="BL107" s="103"/>
      <c r="BM107" s="103"/>
      <c r="BN107" s="103"/>
      <c r="BO107" s="103"/>
      <c r="BP107" s="1354"/>
      <c r="BQ107" s="105" t="s">
        <v>2691</v>
      </c>
      <c r="BR107" s="105"/>
      <c r="BS107" s="105"/>
      <c r="BT107" s="105"/>
      <c r="BU107" s="105"/>
      <c r="BV107" s="105"/>
      <c r="BW107" s="105"/>
      <c r="BX107" s="187"/>
    </row>
    <row r="108" spans="1:82" s="157" customFormat="1" ht="30" customHeight="1">
      <c r="A108" s="99"/>
      <c r="B108" s="109"/>
      <c r="C108" s="110"/>
      <c r="D108" s="110"/>
      <c r="E108" s="110"/>
      <c r="F108" s="110"/>
      <c r="G108" s="111"/>
      <c r="H108" s="111"/>
      <c r="I108" s="2502"/>
      <c r="J108" s="2502"/>
      <c r="K108" s="2502"/>
      <c r="L108" s="2502"/>
      <c r="M108" s="2502"/>
      <c r="N108" s="2502"/>
      <c r="O108" s="2502"/>
      <c r="P108" s="2502"/>
      <c r="Q108" s="2502"/>
      <c r="R108" s="2502"/>
      <c r="S108" s="2502"/>
      <c r="T108" s="2502"/>
      <c r="U108" s="2502"/>
      <c r="V108" s="2502"/>
      <c r="W108" s="111"/>
      <c r="X108" s="2502"/>
      <c r="Y108" s="2502"/>
      <c r="Z108" s="2502"/>
      <c r="AA108" s="2502"/>
      <c r="AB108" s="2502"/>
      <c r="AC108" s="2502"/>
      <c r="AD108" s="2502"/>
      <c r="AE108" s="2502"/>
      <c r="AF108" s="2502"/>
      <c r="AG108" s="2502"/>
      <c r="AH108" s="2502"/>
      <c r="AI108" s="2502"/>
      <c r="AJ108" s="2502"/>
      <c r="AK108" s="2502"/>
      <c r="AM108" s="117"/>
      <c r="AN108" s="695" t="s">
        <v>1666</v>
      </c>
      <c r="AO108" s="152"/>
      <c r="AP108" s="152"/>
      <c r="AQ108" s="152"/>
      <c r="AR108" s="152"/>
      <c r="AS108" s="152"/>
      <c r="AT108" s="152"/>
      <c r="AU108" s="153"/>
      <c r="AV108" s="696" t="s">
        <v>2</v>
      </c>
      <c r="AW108" s="155"/>
      <c r="AX108" s="155"/>
      <c r="AY108" s="155"/>
      <c r="AZ108" s="156"/>
      <c r="BA108" s="222"/>
      <c r="BB108" s="527" t="s">
        <v>2711</v>
      </c>
      <c r="BC108" s="527"/>
      <c r="BD108" s="527" t="s">
        <v>2712</v>
      </c>
      <c r="BE108" s="527"/>
      <c r="BF108" s="527" t="s">
        <v>2713</v>
      </c>
      <c r="BG108" s="527"/>
      <c r="BH108" s="604" t="s">
        <v>2714</v>
      </c>
      <c r="BI108" s="604"/>
      <c r="BJ108" s="222"/>
      <c r="BQ108" s="527" t="s">
        <v>2711</v>
      </c>
      <c r="BR108" s="527"/>
      <c r="BS108" s="527" t="s">
        <v>2712</v>
      </c>
      <c r="BT108" s="527"/>
      <c r="BU108" s="527" t="s">
        <v>2713</v>
      </c>
      <c r="BV108" s="527"/>
      <c r="BW108" s="527" t="s">
        <v>2714</v>
      </c>
      <c r="BX108" s="605"/>
    </row>
    <row r="109" spans="1:82" s="98" customFormat="1" ht="15" customHeight="1">
      <c r="A109" s="99"/>
      <c r="B109" s="115"/>
      <c r="C109" s="116"/>
      <c r="D109" s="116"/>
      <c r="E109" s="116"/>
      <c r="F109" s="116"/>
      <c r="G109" s="117"/>
      <c r="H109" s="117"/>
      <c r="I109" s="2503"/>
      <c r="J109" s="2503"/>
      <c r="K109" s="2503"/>
      <c r="L109" s="2503"/>
      <c r="M109" s="2503"/>
      <c r="N109" s="2503"/>
      <c r="O109" s="2503"/>
      <c r="P109" s="2503"/>
      <c r="Q109" s="2503"/>
      <c r="R109" s="2503"/>
      <c r="S109" s="2503"/>
      <c r="T109" s="2503"/>
      <c r="U109" s="2503"/>
      <c r="V109" s="2503"/>
      <c r="W109" s="117"/>
      <c r="X109" s="2503"/>
      <c r="Y109" s="2503"/>
      <c r="Z109" s="2503"/>
      <c r="AA109" s="2503"/>
      <c r="AB109" s="2503"/>
      <c r="AC109" s="2503"/>
      <c r="AD109" s="2503"/>
      <c r="AE109" s="2503"/>
      <c r="AF109" s="2503"/>
      <c r="AG109" s="2503"/>
      <c r="AH109" s="2503"/>
      <c r="AI109" s="2503"/>
      <c r="AJ109" s="2503"/>
      <c r="AK109" s="2503"/>
      <c r="AM109" s="119" t="s">
        <v>1667</v>
      </c>
      <c r="AN109" s="158" t="s">
        <v>453</v>
      </c>
      <c r="AO109" s="137" t="s">
        <v>455</v>
      </c>
      <c r="AP109" s="137" t="s">
        <v>457</v>
      </c>
      <c r="AQ109" s="137" t="s">
        <v>459</v>
      </c>
      <c r="AR109" s="137" t="s">
        <v>461</v>
      </c>
      <c r="AS109" s="137" t="s">
        <v>463</v>
      </c>
      <c r="AT109" s="137" t="s">
        <v>465</v>
      </c>
      <c r="AU109" s="138" t="s">
        <v>467</v>
      </c>
      <c r="AV109" s="120" t="s">
        <v>469</v>
      </c>
      <c r="AW109" s="121" t="s">
        <v>471</v>
      </c>
      <c r="AX109" s="121" t="s">
        <v>473</v>
      </c>
      <c r="AY109" s="121" t="s">
        <v>475</v>
      </c>
      <c r="AZ109" s="122" t="s">
        <v>477</v>
      </c>
      <c r="BA109" s="185"/>
      <c r="BB109" s="531" t="s">
        <v>1667</v>
      </c>
      <c r="BC109" s="531" t="s">
        <v>2142</v>
      </c>
      <c r="BD109" s="531" t="s">
        <v>1667</v>
      </c>
      <c r="BE109" s="531" t="s">
        <v>2142</v>
      </c>
      <c r="BF109" s="531" t="s">
        <v>1667</v>
      </c>
      <c r="BG109" s="531" t="s">
        <v>2142</v>
      </c>
      <c r="BH109" s="531" t="s">
        <v>1667</v>
      </c>
      <c r="BI109" s="531" t="s">
        <v>2142</v>
      </c>
      <c r="BJ109" s="185"/>
      <c r="BQ109" s="531" t="s">
        <v>1667</v>
      </c>
      <c r="BR109" s="531" t="s">
        <v>2142</v>
      </c>
      <c r="BS109" s="531" t="s">
        <v>1667</v>
      </c>
      <c r="BT109" s="531" t="s">
        <v>2142</v>
      </c>
      <c r="BU109" s="531" t="s">
        <v>1667</v>
      </c>
      <c r="BV109" s="531" t="s">
        <v>2142</v>
      </c>
      <c r="BW109" s="531" t="s">
        <v>1667</v>
      </c>
      <c r="BX109" s="532" t="s">
        <v>2142</v>
      </c>
    </row>
    <row r="110" spans="1:82" s="98" customFormat="1" ht="15" customHeight="1">
      <c r="A110" s="99"/>
      <c r="B110" s="161"/>
      <c r="C110" s="116" t="s">
        <v>1682</v>
      </c>
      <c r="D110" s="116"/>
      <c r="E110" s="116"/>
      <c r="F110" s="116"/>
      <c r="G110" s="117"/>
      <c r="H110" s="117"/>
      <c r="I110" s="2503"/>
      <c r="J110" s="2503"/>
      <c r="K110" s="2503"/>
      <c r="L110" s="2503"/>
      <c r="M110" s="2503"/>
      <c r="N110" s="2503"/>
      <c r="O110" s="2503"/>
      <c r="P110" s="2503"/>
      <c r="Q110" s="2503"/>
      <c r="R110" s="2503"/>
      <c r="S110" s="2503"/>
      <c r="T110" s="2503"/>
      <c r="U110" s="2503"/>
      <c r="V110" s="2503"/>
      <c r="W110" s="117"/>
      <c r="X110" s="2503"/>
      <c r="Y110" s="2503"/>
      <c r="Z110" s="2503"/>
      <c r="AA110" s="2503"/>
      <c r="AB110" s="2503"/>
      <c r="AC110" s="2503"/>
      <c r="AD110" s="2503"/>
      <c r="AE110" s="2503"/>
      <c r="AF110" s="2503"/>
      <c r="AG110" s="2503"/>
      <c r="AH110" s="2503"/>
      <c r="AI110" s="2503"/>
      <c r="AJ110" s="2503"/>
      <c r="AK110" s="2503"/>
      <c r="AM110" s="117"/>
      <c r="AN110" s="159"/>
      <c r="AO110" s="117"/>
      <c r="AP110" s="117"/>
      <c r="AQ110" s="117"/>
      <c r="AR110" s="117"/>
      <c r="AS110" s="117"/>
      <c r="AT110" s="117"/>
      <c r="AU110" s="160"/>
      <c r="AV110" s="159"/>
      <c r="AW110" s="117"/>
      <c r="AX110" s="117"/>
      <c r="AY110" s="117"/>
      <c r="AZ110" s="160"/>
      <c r="BA110" s="185"/>
      <c r="BB110" s="530"/>
      <c r="BC110" s="530"/>
      <c r="BD110" s="530"/>
      <c r="BE110" s="530"/>
      <c r="BF110" s="530"/>
      <c r="BG110" s="530"/>
      <c r="BH110" s="530"/>
      <c r="BI110" s="530"/>
      <c r="BJ110" s="185"/>
      <c r="BQ110" s="530"/>
      <c r="BR110" s="530"/>
      <c r="BS110" s="530"/>
      <c r="BT110" s="530"/>
      <c r="BU110" s="530"/>
      <c r="BV110" s="530"/>
      <c r="BW110" s="530"/>
      <c r="BX110" s="544"/>
    </row>
    <row r="111" spans="1:82" s="98" customFormat="1" ht="15" customHeight="1">
      <c r="A111" s="99"/>
      <c r="B111" s="161"/>
      <c r="C111" s="162"/>
      <c r="D111" s="162" t="s">
        <v>2716</v>
      </c>
      <c r="E111" s="162"/>
      <c r="F111" s="162"/>
      <c r="G111" s="163"/>
      <c r="H111" s="163"/>
      <c r="I111" s="2503"/>
      <c r="J111" s="2503"/>
      <c r="K111" s="2503"/>
      <c r="L111" s="2503"/>
      <c r="M111" s="2503"/>
      <c r="N111" s="2503"/>
      <c r="O111" s="2503"/>
      <c r="P111" s="2503"/>
      <c r="Q111" s="2503"/>
      <c r="R111" s="2503"/>
      <c r="S111" s="2503"/>
      <c r="T111" s="2503"/>
      <c r="U111" s="2503"/>
      <c r="V111" s="2503"/>
      <c r="W111" s="163"/>
      <c r="X111" s="2503"/>
      <c r="Y111" s="2503"/>
      <c r="Z111" s="2503"/>
      <c r="AA111" s="2503"/>
      <c r="AB111" s="2503"/>
      <c r="AC111" s="2503"/>
      <c r="AD111" s="2503"/>
      <c r="AE111" s="2503"/>
      <c r="AF111" s="2503"/>
      <c r="AG111" s="2503"/>
      <c r="AH111" s="2503"/>
      <c r="AI111" s="2503"/>
      <c r="AJ111" s="2503"/>
      <c r="AK111" s="2503"/>
      <c r="AM111" s="164" t="s">
        <v>2233</v>
      </c>
      <c r="AN111" s="143">
        <v>0</v>
      </c>
      <c r="AO111" s="141">
        <v>0</v>
      </c>
      <c r="AP111" s="141">
        <v>0</v>
      </c>
      <c r="AQ111" s="141">
        <v>0</v>
      </c>
      <c r="AR111" s="141">
        <v>0</v>
      </c>
      <c r="AS111" s="141">
        <v>0</v>
      </c>
      <c r="AT111" s="141">
        <v>0</v>
      </c>
      <c r="AU111" s="144">
        <v>0</v>
      </c>
      <c r="AV111" s="143">
        <v>0</v>
      </c>
      <c r="AW111" s="141">
        <v>0</v>
      </c>
      <c r="AX111" s="141">
        <v>0</v>
      </c>
      <c r="AY111" s="141">
        <v>0</v>
      </c>
      <c r="AZ111" s="144">
        <v>0</v>
      </c>
      <c r="BA111" s="185"/>
      <c r="BB111" s="522" t="s">
        <v>2233</v>
      </c>
      <c r="BC111" s="141">
        <v>0</v>
      </c>
      <c r="BD111" s="522" t="s">
        <v>2233</v>
      </c>
      <c r="BE111" s="141">
        <v>0</v>
      </c>
      <c r="BF111" s="522" t="s">
        <v>2233</v>
      </c>
      <c r="BG111" s="141">
        <v>0</v>
      </c>
      <c r="BH111" s="607" t="s">
        <v>627</v>
      </c>
      <c r="BI111" s="868">
        <v>0</v>
      </c>
      <c r="BJ111" s="185"/>
      <c r="BQ111" s="522" t="s">
        <v>2233</v>
      </c>
      <c r="BR111" s="141">
        <v>0</v>
      </c>
      <c r="BS111" s="522" t="s">
        <v>2233</v>
      </c>
      <c r="BT111" s="141">
        <v>0</v>
      </c>
      <c r="BU111" s="522" t="s">
        <v>2233</v>
      </c>
      <c r="BV111" s="141">
        <v>0</v>
      </c>
      <c r="BW111" s="545" t="s">
        <v>627</v>
      </c>
      <c r="BX111" s="2508">
        <v>0</v>
      </c>
    </row>
    <row r="112" spans="1:82" s="98" customFormat="1" ht="15" customHeight="1">
      <c r="A112" s="99"/>
      <c r="B112" s="161"/>
      <c r="C112" s="162"/>
      <c r="D112" s="162" t="s">
        <v>2717</v>
      </c>
      <c r="E112" s="162"/>
      <c r="F112" s="162"/>
      <c r="G112" s="163"/>
      <c r="H112" s="163"/>
      <c r="I112" s="2503"/>
      <c r="J112" s="2503"/>
      <c r="K112" s="2503"/>
      <c r="L112" s="2503"/>
      <c r="M112" s="2503"/>
      <c r="N112" s="2503"/>
      <c r="O112" s="2503"/>
      <c r="P112" s="2503"/>
      <c r="Q112" s="2503"/>
      <c r="R112" s="2503"/>
      <c r="S112" s="2503"/>
      <c r="T112" s="2503"/>
      <c r="U112" s="2503"/>
      <c r="V112" s="2503"/>
      <c r="W112" s="163"/>
      <c r="X112" s="2503"/>
      <c r="Y112" s="2503"/>
      <c r="Z112" s="2503"/>
      <c r="AA112" s="2503"/>
      <c r="AB112" s="2503"/>
      <c r="AC112" s="2503"/>
      <c r="AD112" s="2503"/>
      <c r="AE112" s="2503"/>
      <c r="AF112" s="2503"/>
      <c r="AG112" s="2503"/>
      <c r="AH112" s="2503"/>
      <c r="AI112" s="2503"/>
      <c r="AJ112" s="2503"/>
      <c r="AK112" s="2503"/>
      <c r="AM112" s="164" t="s">
        <v>2233</v>
      </c>
      <c r="AN112" s="143">
        <v>0</v>
      </c>
      <c r="AO112" s="141">
        <v>0</v>
      </c>
      <c r="AP112" s="141">
        <v>0</v>
      </c>
      <c r="AQ112" s="141">
        <v>0</v>
      </c>
      <c r="AR112" s="141">
        <v>0</v>
      </c>
      <c r="AS112" s="141">
        <v>0</v>
      </c>
      <c r="AT112" s="141">
        <v>0</v>
      </c>
      <c r="AU112" s="144">
        <v>0</v>
      </c>
      <c r="AV112" s="143">
        <v>0</v>
      </c>
      <c r="AW112" s="141">
        <v>0</v>
      </c>
      <c r="AX112" s="141">
        <v>0</v>
      </c>
      <c r="AY112" s="141">
        <v>0</v>
      </c>
      <c r="AZ112" s="144">
        <v>0</v>
      </c>
      <c r="BA112" s="185"/>
      <c r="BB112" s="522" t="s">
        <v>2233</v>
      </c>
      <c r="BC112" s="141">
        <v>0</v>
      </c>
      <c r="BD112" s="522" t="s">
        <v>2233</v>
      </c>
      <c r="BE112" s="141">
        <v>0</v>
      </c>
      <c r="BF112" s="522" t="s">
        <v>2233</v>
      </c>
      <c r="BG112" s="141">
        <v>0</v>
      </c>
      <c r="BH112" s="607" t="s">
        <v>627</v>
      </c>
      <c r="BI112" s="868">
        <v>0</v>
      </c>
      <c r="BJ112" s="185"/>
      <c r="BQ112" s="522" t="s">
        <v>2233</v>
      </c>
      <c r="BR112" s="141">
        <v>0</v>
      </c>
      <c r="BS112" s="522" t="s">
        <v>2233</v>
      </c>
      <c r="BT112" s="141">
        <v>0</v>
      </c>
      <c r="BU112" s="522" t="s">
        <v>2233</v>
      </c>
      <c r="BV112" s="141">
        <v>0</v>
      </c>
      <c r="BW112" s="545" t="s">
        <v>627</v>
      </c>
      <c r="BX112" s="2508">
        <v>0</v>
      </c>
    </row>
    <row r="113" spans="1:76" s="98" customFormat="1" ht="15" customHeight="1">
      <c r="A113" s="99"/>
      <c r="B113" s="161"/>
      <c r="C113" s="162"/>
      <c r="D113" s="162" t="s">
        <v>2718</v>
      </c>
      <c r="E113" s="162"/>
      <c r="F113" s="162"/>
      <c r="G113" s="163"/>
      <c r="H113" s="163"/>
      <c r="I113" s="2503"/>
      <c r="J113" s="2503"/>
      <c r="K113" s="2503"/>
      <c r="L113" s="2503"/>
      <c r="M113" s="2503"/>
      <c r="N113" s="2503"/>
      <c r="O113" s="2503"/>
      <c r="P113" s="2503"/>
      <c r="Q113" s="2503"/>
      <c r="R113" s="2503"/>
      <c r="S113" s="2503"/>
      <c r="T113" s="2503"/>
      <c r="U113" s="2503"/>
      <c r="V113" s="2503"/>
      <c r="W113" s="163"/>
      <c r="X113" s="2503"/>
      <c r="Y113" s="2503"/>
      <c r="Z113" s="2503"/>
      <c r="AA113" s="2503"/>
      <c r="AB113" s="2503"/>
      <c r="AC113" s="2503"/>
      <c r="AD113" s="2503"/>
      <c r="AE113" s="2503"/>
      <c r="AF113" s="2503"/>
      <c r="AG113" s="2503"/>
      <c r="AH113" s="2503"/>
      <c r="AI113" s="2503"/>
      <c r="AJ113" s="2503"/>
      <c r="AK113" s="2503"/>
      <c r="AM113" s="164" t="s">
        <v>2233</v>
      </c>
      <c r="AN113" s="143">
        <v>0</v>
      </c>
      <c r="AO113" s="141">
        <v>0</v>
      </c>
      <c r="AP113" s="141">
        <v>0</v>
      </c>
      <c r="AQ113" s="141">
        <v>0</v>
      </c>
      <c r="AR113" s="141">
        <v>0</v>
      </c>
      <c r="AS113" s="141">
        <v>0</v>
      </c>
      <c r="AT113" s="141">
        <v>0</v>
      </c>
      <c r="AU113" s="144">
        <v>0</v>
      </c>
      <c r="AV113" s="143">
        <v>0</v>
      </c>
      <c r="AW113" s="141">
        <v>0</v>
      </c>
      <c r="AX113" s="141">
        <v>0</v>
      </c>
      <c r="AY113" s="141">
        <v>0</v>
      </c>
      <c r="AZ113" s="144">
        <v>0</v>
      </c>
      <c r="BA113" s="185"/>
      <c r="BB113" s="522" t="s">
        <v>2233</v>
      </c>
      <c r="BC113" s="141">
        <v>0</v>
      </c>
      <c r="BD113" s="522" t="s">
        <v>2233</v>
      </c>
      <c r="BE113" s="141">
        <v>0</v>
      </c>
      <c r="BF113" s="522" t="s">
        <v>2233</v>
      </c>
      <c r="BG113" s="141">
        <v>0</v>
      </c>
      <c r="BH113" s="607" t="s">
        <v>627</v>
      </c>
      <c r="BI113" s="868">
        <v>0</v>
      </c>
      <c r="BJ113" s="185"/>
      <c r="BQ113" s="522" t="s">
        <v>2233</v>
      </c>
      <c r="BR113" s="141">
        <v>0</v>
      </c>
      <c r="BS113" s="522" t="s">
        <v>2233</v>
      </c>
      <c r="BT113" s="141">
        <v>0</v>
      </c>
      <c r="BU113" s="522" t="s">
        <v>2233</v>
      </c>
      <c r="BV113" s="141">
        <v>0</v>
      </c>
      <c r="BW113" s="545" t="s">
        <v>627</v>
      </c>
      <c r="BX113" s="2508">
        <v>0</v>
      </c>
    </row>
    <row r="114" spans="1:76" s="98" customFormat="1" ht="15" customHeight="1">
      <c r="A114" s="99"/>
      <c r="B114" s="161"/>
      <c r="C114" s="162"/>
      <c r="D114" s="162" t="s">
        <v>2719</v>
      </c>
      <c r="E114" s="162"/>
      <c r="F114" s="162"/>
      <c r="G114" s="163"/>
      <c r="H114" s="163"/>
      <c r="I114" s="2503"/>
      <c r="J114" s="2503"/>
      <c r="K114" s="2503"/>
      <c r="L114" s="2503"/>
      <c r="M114" s="2503"/>
      <c r="N114" s="2503"/>
      <c r="O114" s="2503"/>
      <c r="P114" s="2503"/>
      <c r="Q114" s="2503"/>
      <c r="R114" s="2503"/>
      <c r="S114" s="2503"/>
      <c r="T114" s="2503"/>
      <c r="U114" s="2503"/>
      <c r="V114" s="2503"/>
      <c r="W114" s="163"/>
      <c r="X114" s="2503"/>
      <c r="Y114" s="2503"/>
      <c r="Z114" s="2503"/>
      <c r="AA114" s="2503"/>
      <c r="AB114" s="2503"/>
      <c r="AC114" s="2503"/>
      <c r="AD114" s="2503"/>
      <c r="AE114" s="2503"/>
      <c r="AF114" s="2503"/>
      <c r="AG114" s="2503"/>
      <c r="AH114" s="2503"/>
      <c r="AI114" s="2503"/>
      <c r="AJ114" s="2503"/>
      <c r="AK114" s="2503"/>
      <c r="AM114" s="164" t="s">
        <v>2233</v>
      </c>
      <c r="AN114" s="143">
        <v>0</v>
      </c>
      <c r="AO114" s="141">
        <v>0</v>
      </c>
      <c r="AP114" s="141">
        <v>0</v>
      </c>
      <c r="AQ114" s="141">
        <v>0</v>
      </c>
      <c r="AR114" s="141">
        <v>0</v>
      </c>
      <c r="AS114" s="141">
        <v>0</v>
      </c>
      <c r="AT114" s="141">
        <v>0</v>
      </c>
      <c r="AU114" s="144">
        <v>0</v>
      </c>
      <c r="AV114" s="143">
        <v>0</v>
      </c>
      <c r="AW114" s="141">
        <v>0</v>
      </c>
      <c r="AX114" s="141">
        <v>0</v>
      </c>
      <c r="AY114" s="141">
        <v>0</v>
      </c>
      <c r="AZ114" s="144">
        <v>0</v>
      </c>
      <c r="BA114" s="185"/>
      <c r="BB114" s="522" t="s">
        <v>2233</v>
      </c>
      <c r="BC114" s="141">
        <v>0</v>
      </c>
      <c r="BD114" s="522" t="s">
        <v>2233</v>
      </c>
      <c r="BE114" s="141">
        <v>0</v>
      </c>
      <c r="BF114" s="522" t="s">
        <v>2233</v>
      </c>
      <c r="BG114" s="141">
        <v>0</v>
      </c>
      <c r="BH114" s="607" t="s">
        <v>627</v>
      </c>
      <c r="BI114" s="868">
        <v>0</v>
      </c>
      <c r="BJ114" s="185"/>
      <c r="BQ114" s="522" t="s">
        <v>2233</v>
      </c>
      <c r="BR114" s="141">
        <v>0</v>
      </c>
      <c r="BS114" s="522" t="s">
        <v>2233</v>
      </c>
      <c r="BT114" s="141">
        <v>0</v>
      </c>
      <c r="BU114" s="522" t="s">
        <v>2233</v>
      </c>
      <c r="BV114" s="141">
        <v>0</v>
      </c>
      <c r="BW114" s="545" t="s">
        <v>627</v>
      </c>
      <c r="BX114" s="2508">
        <v>0</v>
      </c>
    </row>
    <row r="115" spans="1:76" s="98" customFormat="1" ht="15" customHeight="1">
      <c r="A115" s="99"/>
      <c r="B115" s="161"/>
      <c r="C115" s="162" t="s">
        <v>1710</v>
      </c>
      <c r="D115" s="162"/>
      <c r="E115" s="162"/>
      <c r="F115" s="162"/>
      <c r="G115" s="163"/>
      <c r="H115" s="163"/>
      <c r="I115" s="2503"/>
      <c r="J115" s="2503"/>
      <c r="K115" s="2503"/>
      <c r="L115" s="2503"/>
      <c r="M115" s="2503"/>
      <c r="N115" s="2503"/>
      <c r="O115" s="2503"/>
      <c r="P115" s="2503"/>
      <c r="Q115" s="2503"/>
      <c r="R115" s="2503"/>
      <c r="S115" s="2503"/>
      <c r="T115" s="2503"/>
      <c r="U115" s="2503"/>
      <c r="V115" s="2503"/>
      <c r="W115" s="163"/>
      <c r="X115" s="2503"/>
      <c r="Y115" s="2503"/>
      <c r="Z115" s="2503"/>
      <c r="AA115" s="2503"/>
      <c r="AB115" s="2503"/>
      <c r="AC115" s="2503"/>
      <c r="AD115" s="2503"/>
      <c r="AE115" s="2503"/>
      <c r="AF115" s="2503"/>
      <c r="AG115" s="2503"/>
      <c r="AH115" s="2503"/>
      <c r="AI115" s="2503"/>
      <c r="AJ115" s="2503"/>
      <c r="AK115" s="2503"/>
      <c r="AM115" s="164" t="s">
        <v>2233</v>
      </c>
      <c r="AN115" s="641">
        <f>SUM(AN111:AN114)</f>
        <v>0</v>
      </c>
      <c r="AO115" s="642">
        <f t="shared" ref="AO115:AZ115" si="187">SUM(AO111:AO114)</f>
        <v>0</v>
      </c>
      <c r="AP115" s="642">
        <f t="shared" si="187"/>
        <v>0</v>
      </c>
      <c r="AQ115" s="642">
        <f t="shared" si="187"/>
        <v>0</v>
      </c>
      <c r="AR115" s="642">
        <f t="shared" si="187"/>
        <v>0</v>
      </c>
      <c r="AS115" s="642">
        <f t="shared" si="187"/>
        <v>0</v>
      </c>
      <c r="AT115" s="642">
        <f t="shared" si="187"/>
        <v>0</v>
      </c>
      <c r="AU115" s="643">
        <f t="shared" si="187"/>
        <v>0</v>
      </c>
      <c r="AV115" s="641">
        <f t="shared" si="187"/>
        <v>0</v>
      </c>
      <c r="AW115" s="642">
        <f t="shared" si="187"/>
        <v>0</v>
      </c>
      <c r="AX115" s="642">
        <f t="shared" si="187"/>
        <v>0</v>
      </c>
      <c r="AY115" s="642">
        <f t="shared" si="187"/>
        <v>0</v>
      </c>
      <c r="AZ115" s="643">
        <f t="shared" si="187"/>
        <v>0</v>
      </c>
      <c r="BA115" s="185"/>
      <c r="BB115" s="522" t="s">
        <v>2233</v>
      </c>
      <c r="BC115" s="642">
        <f>SUM(BC111:BC114)</f>
        <v>0</v>
      </c>
      <c r="BD115" s="522" t="s">
        <v>2233</v>
      </c>
      <c r="BE115" s="642">
        <f>SUM(BE111:BE114)</f>
        <v>0</v>
      </c>
      <c r="BF115" s="522" t="s">
        <v>2233</v>
      </c>
      <c r="BG115" s="642">
        <f>SUM(BG111:BG114)</f>
        <v>0</v>
      </c>
      <c r="BH115" s="607" t="s">
        <v>627</v>
      </c>
      <c r="BI115" s="2507"/>
      <c r="BJ115" s="185"/>
      <c r="BQ115" s="522" t="s">
        <v>2233</v>
      </c>
      <c r="BR115" s="642">
        <f>SUM(BR111:BR114)</f>
        <v>0</v>
      </c>
      <c r="BS115" s="522" t="s">
        <v>2233</v>
      </c>
      <c r="BT115" s="642">
        <f>SUM(BT111:BT114)</f>
        <v>0</v>
      </c>
      <c r="BU115" s="522" t="s">
        <v>2233</v>
      </c>
      <c r="BV115" s="642">
        <f>SUM(BV111:BV114)</f>
        <v>0</v>
      </c>
      <c r="BW115" s="545" t="s">
        <v>627</v>
      </c>
      <c r="BX115" s="544"/>
    </row>
    <row r="116" spans="1:76" s="98" customFormat="1" ht="15" customHeight="1">
      <c r="A116" s="99"/>
      <c r="B116" s="123"/>
      <c r="C116" s="127"/>
      <c r="D116" s="127"/>
      <c r="E116" s="127"/>
      <c r="F116" s="127"/>
      <c r="G116" s="117"/>
      <c r="H116" s="117"/>
      <c r="I116" s="2503"/>
      <c r="J116" s="2503"/>
      <c r="K116" s="2503"/>
      <c r="L116" s="2503"/>
      <c r="M116" s="2503"/>
      <c r="N116" s="2503"/>
      <c r="O116" s="2503"/>
      <c r="P116" s="2503"/>
      <c r="Q116" s="2503"/>
      <c r="R116" s="2503"/>
      <c r="S116" s="2503"/>
      <c r="T116" s="2503"/>
      <c r="U116" s="2503"/>
      <c r="V116" s="2503"/>
      <c r="W116" s="117"/>
      <c r="X116" s="2503"/>
      <c r="Y116" s="2503"/>
      <c r="Z116" s="2503"/>
      <c r="AA116" s="2503"/>
      <c r="AB116" s="2503"/>
      <c r="AC116" s="2503"/>
      <c r="AD116" s="2503"/>
      <c r="AE116" s="2503"/>
      <c r="AF116" s="2503"/>
      <c r="AG116" s="2503"/>
      <c r="AH116" s="2503"/>
      <c r="AI116" s="2503"/>
      <c r="AJ116" s="2503"/>
      <c r="AK116" s="2503"/>
      <c r="AM116" s="117"/>
      <c r="AN116" s="159"/>
      <c r="AO116" s="117"/>
      <c r="AP116" s="117"/>
      <c r="AQ116" s="117"/>
      <c r="AR116" s="117"/>
      <c r="AS116" s="117"/>
      <c r="AT116" s="117"/>
      <c r="AU116" s="160"/>
      <c r="AV116" s="159"/>
      <c r="AW116" s="117"/>
      <c r="AX116" s="117"/>
      <c r="AY116" s="117"/>
      <c r="AZ116" s="160"/>
      <c r="BA116" s="185"/>
      <c r="BB116" s="530"/>
      <c r="BC116" s="700"/>
      <c r="BD116" s="530"/>
      <c r="BE116" s="700"/>
      <c r="BF116" s="530"/>
      <c r="BG116" s="700"/>
      <c r="BH116" s="530"/>
      <c r="BI116" s="530"/>
      <c r="BJ116" s="530"/>
      <c r="BQ116" s="530"/>
      <c r="BR116" s="700"/>
      <c r="BS116" s="530"/>
      <c r="BT116" s="700"/>
      <c r="BU116" s="530"/>
      <c r="BV116" s="700"/>
      <c r="BW116" s="530"/>
      <c r="BX116" s="544"/>
    </row>
    <row r="117" spans="1:76" s="98" customFormat="1" ht="15" customHeight="1">
      <c r="A117" s="99"/>
      <c r="B117" s="161"/>
      <c r="C117" s="116" t="s">
        <v>1683</v>
      </c>
      <c r="D117" s="116"/>
      <c r="E117" s="116"/>
      <c r="F117" s="116"/>
      <c r="G117" s="117"/>
      <c r="H117" s="117"/>
      <c r="I117" s="2503"/>
      <c r="J117" s="2503"/>
      <c r="K117" s="2503"/>
      <c r="L117" s="2503"/>
      <c r="M117" s="2503"/>
      <c r="N117" s="2503"/>
      <c r="O117" s="2503"/>
      <c r="P117" s="2503"/>
      <c r="Q117" s="2503"/>
      <c r="R117" s="2503"/>
      <c r="S117" s="2503"/>
      <c r="T117" s="2503"/>
      <c r="U117" s="2503"/>
      <c r="V117" s="2503"/>
      <c r="W117" s="117"/>
      <c r="X117" s="2503"/>
      <c r="Y117" s="2503"/>
      <c r="Z117" s="2503"/>
      <c r="AA117" s="2503"/>
      <c r="AB117" s="2503"/>
      <c r="AC117" s="2503"/>
      <c r="AD117" s="2503"/>
      <c r="AE117" s="2503"/>
      <c r="AF117" s="2503"/>
      <c r="AG117" s="2503"/>
      <c r="AH117" s="2503"/>
      <c r="AI117" s="2503"/>
      <c r="AJ117" s="2503"/>
      <c r="AK117" s="2503"/>
      <c r="AM117" s="117"/>
      <c r="AN117" s="159"/>
      <c r="AO117" s="117"/>
      <c r="AP117" s="117"/>
      <c r="AQ117" s="117"/>
      <c r="AR117" s="117"/>
      <c r="AS117" s="117"/>
      <c r="AT117" s="117"/>
      <c r="AU117" s="160"/>
      <c r="AV117" s="159"/>
      <c r="AW117" s="117"/>
      <c r="AX117" s="117"/>
      <c r="AY117" s="117"/>
      <c r="AZ117" s="160"/>
      <c r="BA117" s="185"/>
      <c r="BB117" s="530"/>
      <c r="BC117" s="700"/>
      <c r="BD117" s="530"/>
      <c r="BE117" s="700"/>
      <c r="BF117" s="530"/>
      <c r="BG117" s="700"/>
      <c r="BH117" s="530"/>
      <c r="BI117" s="530"/>
      <c r="BJ117" s="530"/>
      <c r="BQ117" s="530"/>
      <c r="BR117" s="700"/>
      <c r="BS117" s="530"/>
      <c r="BT117" s="700"/>
      <c r="BU117" s="530"/>
      <c r="BV117" s="700"/>
      <c r="BW117" s="530"/>
      <c r="BX117" s="544"/>
    </row>
    <row r="118" spans="1:76" s="98" customFormat="1" ht="15" customHeight="1">
      <c r="A118" s="99"/>
      <c r="B118" s="161"/>
      <c r="C118" s="162"/>
      <c r="D118" s="162" t="s">
        <v>2726</v>
      </c>
      <c r="E118" s="162"/>
      <c r="F118" s="162"/>
      <c r="G118" s="163"/>
      <c r="H118" s="163"/>
      <c r="I118" s="2503"/>
      <c r="J118" s="2503"/>
      <c r="K118" s="2503"/>
      <c r="L118" s="2503"/>
      <c r="M118" s="2503"/>
      <c r="N118" s="2503"/>
      <c r="O118" s="2503"/>
      <c r="P118" s="2503"/>
      <c r="Q118" s="2503"/>
      <c r="R118" s="2503"/>
      <c r="S118" s="2503"/>
      <c r="T118" s="2503"/>
      <c r="U118" s="2503"/>
      <c r="V118" s="2503"/>
      <c r="W118" s="163"/>
      <c r="X118" s="2503"/>
      <c r="Y118" s="2503"/>
      <c r="Z118" s="2503"/>
      <c r="AA118" s="2503"/>
      <c r="AB118" s="2503"/>
      <c r="AC118" s="2503"/>
      <c r="AD118" s="2503"/>
      <c r="AE118" s="2503"/>
      <c r="AF118" s="2503"/>
      <c r="AG118" s="2503"/>
      <c r="AH118" s="2503"/>
      <c r="AI118" s="2503"/>
      <c r="AJ118" s="2503"/>
      <c r="AK118" s="2503"/>
      <c r="AM118" s="164" t="s">
        <v>2233</v>
      </c>
      <c r="AN118" s="143">
        <v>0</v>
      </c>
      <c r="AO118" s="141">
        <v>0</v>
      </c>
      <c r="AP118" s="141">
        <v>0</v>
      </c>
      <c r="AQ118" s="141">
        <v>0</v>
      </c>
      <c r="AR118" s="141">
        <v>0</v>
      </c>
      <c r="AS118" s="141">
        <v>0</v>
      </c>
      <c r="AT118" s="141">
        <v>0</v>
      </c>
      <c r="AU118" s="144">
        <v>0</v>
      </c>
      <c r="AV118" s="143">
        <v>0</v>
      </c>
      <c r="AW118" s="141">
        <v>0</v>
      </c>
      <c r="AX118" s="141">
        <v>0</v>
      </c>
      <c r="AY118" s="141">
        <v>0</v>
      </c>
      <c r="AZ118" s="144">
        <v>0</v>
      </c>
      <c r="BA118" s="185"/>
      <c r="BB118" s="522" t="s">
        <v>2233</v>
      </c>
      <c r="BC118" s="141">
        <v>0</v>
      </c>
      <c r="BD118" s="522" t="s">
        <v>2233</v>
      </c>
      <c r="BE118" s="141">
        <v>0</v>
      </c>
      <c r="BF118" s="522" t="s">
        <v>2233</v>
      </c>
      <c r="BG118" s="141">
        <v>0</v>
      </c>
      <c r="BH118" s="607" t="s">
        <v>627</v>
      </c>
      <c r="BI118" s="868">
        <v>0</v>
      </c>
      <c r="BJ118" s="185"/>
      <c r="BQ118" s="522" t="s">
        <v>2233</v>
      </c>
      <c r="BR118" s="141">
        <v>0</v>
      </c>
      <c r="BS118" s="522" t="s">
        <v>2233</v>
      </c>
      <c r="BT118" s="141">
        <v>0</v>
      </c>
      <c r="BU118" s="522" t="s">
        <v>2233</v>
      </c>
      <c r="BV118" s="141">
        <v>0</v>
      </c>
      <c r="BW118" s="545" t="s">
        <v>627</v>
      </c>
      <c r="BX118" s="2508">
        <v>0</v>
      </c>
    </row>
    <row r="119" spans="1:76" s="98" customFormat="1" ht="15" customHeight="1">
      <c r="A119" s="99"/>
      <c r="B119" s="161"/>
      <c r="C119" s="162"/>
      <c r="D119" s="162" t="s">
        <v>2727</v>
      </c>
      <c r="E119" s="162"/>
      <c r="F119" s="162"/>
      <c r="G119" s="163"/>
      <c r="H119" s="163"/>
      <c r="I119" s="2503"/>
      <c r="J119" s="2503"/>
      <c r="K119" s="2503"/>
      <c r="L119" s="2503"/>
      <c r="M119" s="2503"/>
      <c r="N119" s="2503"/>
      <c r="O119" s="2503"/>
      <c r="P119" s="2503"/>
      <c r="Q119" s="2503"/>
      <c r="R119" s="2503"/>
      <c r="S119" s="2503"/>
      <c r="T119" s="2503"/>
      <c r="U119" s="2503"/>
      <c r="V119" s="2503"/>
      <c r="W119" s="163"/>
      <c r="X119" s="2503"/>
      <c r="Y119" s="2503"/>
      <c r="Z119" s="2503"/>
      <c r="AA119" s="2503"/>
      <c r="AB119" s="2503"/>
      <c r="AC119" s="2503"/>
      <c r="AD119" s="2503"/>
      <c r="AE119" s="2503"/>
      <c r="AF119" s="2503"/>
      <c r="AG119" s="2503"/>
      <c r="AH119" s="2503"/>
      <c r="AI119" s="2503"/>
      <c r="AJ119" s="2503"/>
      <c r="AK119" s="2503"/>
      <c r="AM119" s="164" t="s">
        <v>2233</v>
      </c>
      <c r="AN119" s="143">
        <v>0</v>
      </c>
      <c r="AO119" s="141">
        <v>0</v>
      </c>
      <c r="AP119" s="141">
        <v>0</v>
      </c>
      <c r="AQ119" s="141">
        <v>0</v>
      </c>
      <c r="AR119" s="141">
        <v>0</v>
      </c>
      <c r="AS119" s="141">
        <v>0</v>
      </c>
      <c r="AT119" s="141">
        <v>0</v>
      </c>
      <c r="AU119" s="144">
        <v>0</v>
      </c>
      <c r="AV119" s="143">
        <v>0</v>
      </c>
      <c r="AW119" s="141">
        <v>0</v>
      </c>
      <c r="AX119" s="141">
        <v>0</v>
      </c>
      <c r="AY119" s="141">
        <v>0</v>
      </c>
      <c r="AZ119" s="144">
        <v>0</v>
      </c>
      <c r="BA119" s="185"/>
      <c r="BB119" s="522" t="s">
        <v>2233</v>
      </c>
      <c r="BC119" s="141">
        <v>0</v>
      </c>
      <c r="BD119" s="522" t="s">
        <v>2233</v>
      </c>
      <c r="BE119" s="141">
        <v>0</v>
      </c>
      <c r="BF119" s="522" t="s">
        <v>2233</v>
      </c>
      <c r="BG119" s="141">
        <v>0</v>
      </c>
      <c r="BH119" s="607" t="s">
        <v>627</v>
      </c>
      <c r="BI119" s="868">
        <v>0</v>
      </c>
      <c r="BJ119" s="185"/>
      <c r="BQ119" s="522" t="s">
        <v>2233</v>
      </c>
      <c r="BR119" s="141">
        <v>0</v>
      </c>
      <c r="BS119" s="522" t="s">
        <v>2233</v>
      </c>
      <c r="BT119" s="141">
        <v>0</v>
      </c>
      <c r="BU119" s="522" t="s">
        <v>2233</v>
      </c>
      <c r="BV119" s="141">
        <v>0</v>
      </c>
      <c r="BW119" s="545" t="s">
        <v>627</v>
      </c>
      <c r="BX119" s="2508">
        <v>0</v>
      </c>
    </row>
    <row r="120" spans="1:76" s="98" customFormat="1" ht="15" customHeight="1">
      <c r="A120" s="99"/>
      <c r="B120" s="161"/>
      <c r="C120" s="162"/>
      <c r="D120" s="162" t="s">
        <v>2728</v>
      </c>
      <c r="E120" s="162"/>
      <c r="F120" s="162"/>
      <c r="G120" s="163"/>
      <c r="H120" s="163"/>
      <c r="I120" s="2503"/>
      <c r="J120" s="2503"/>
      <c r="K120" s="2503"/>
      <c r="L120" s="2503"/>
      <c r="M120" s="2503"/>
      <c r="N120" s="2503"/>
      <c r="O120" s="2503"/>
      <c r="P120" s="2503"/>
      <c r="Q120" s="2503"/>
      <c r="R120" s="2503"/>
      <c r="S120" s="2503"/>
      <c r="T120" s="2503"/>
      <c r="U120" s="2503"/>
      <c r="V120" s="2503"/>
      <c r="W120" s="163"/>
      <c r="X120" s="2503"/>
      <c r="Y120" s="2503"/>
      <c r="Z120" s="2503"/>
      <c r="AA120" s="2503"/>
      <c r="AB120" s="2503"/>
      <c r="AC120" s="2503"/>
      <c r="AD120" s="2503"/>
      <c r="AE120" s="2503"/>
      <c r="AF120" s="2503"/>
      <c r="AG120" s="2503"/>
      <c r="AH120" s="2503"/>
      <c r="AI120" s="2503"/>
      <c r="AJ120" s="2503"/>
      <c r="AK120" s="2503"/>
      <c r="AM120" s="164" t="s">
        <v>2233</v>
      </c>
      <c r="AN120" s="143">
        <v>0</v>
      </c>
      <c r="AO120" s="141">
        <v>0</v>
      </c>
      <c r="AP120" s="141">
        <v>0</v>
      </c>
      <c r="AQ120" s="141">
        <v>0</v>
      </c>
      <c r="AR120" s="141">
        <v>0</v>
      </c>
      <c r="AS120" s="141">
        <v>0</v>
      </c>
      <c r="AT120" s="141">
        <v>0</v>
      </c>
      <c r="AU120" s="144">
        <v>0</v>
      </c>
      <c r="AV120" s="143">
        <v>0</v>
      </c>
      <c r="AW120" s="141">
        <v>0</v>
      </c>
      <c r="AX120" s="141">
        <v>0</v>
      </c>
      <c r="AY120" s="141">
        <v>0</v>
      </c>
      <c r="AZ120" s="144">
        <v>0</v>
      </c>
      <c r="BA120" s="185"/>
      <c r="BB120" s="522" t="s">
        <v>2233</v>
      </c>
      <c r="BC120" s="141">
        <v>0</v>
      </c>
      <c r="BD120" s="522" t="s">
        <v>2233</v>
      </c>
      <c r="BE120" s="141">
        <v>0</v>
      </c>
      <c r="BF120" s="522" t="s">
        <v>2233</v>
      </c>
      <c r="BG120" s="141">
        <v>0</v>
      </c>
      <c r="BH120" s="607" t="s">
        <v>627</v>
      </c>
      <c r="BI120" s="868">
        <v>0</v>
      </c>
      <c r="BJ120" s="185"/>
      <c r="BQ120" s="522" t="s">
        <v>2233</v>
      </c>
      <c r="BR120" s="141">
        <v>0</v>
      </c>
      <c r="BS120" s="522" t="s">
        <v>2233</v>
      </c>
      <c r="BT120" s="141">
        <v>0</v>
      </c>
      <c r="BU120" s="522" t="s">
        <v>2233</v>
      </c>
      <c r="BV120" s="141">
        <v>0</v>
      </c>
      <c r="BW120" s="545" t="s">
        <v>627</v>
      </c>
      <c r="BX120" s="2508">
        <v>0</v>
      </c>
    </row>
    <row r="121" spans="1:76" s="98" customFormat="1" ht="15" customHeight="1">
      <c r="A121" s="99"/>
      <c r="B121" s="161"/>
      <c r="C121" s="162" t="s">
        <v>1710</v>
      </c>
      <c r="D121" s="162"/>
      <c r="E121" s="162"/>
      <c r="F121" s="162"/>
      <c r="G121" s="163"/>
      <c r="H121" s="163"/>
      <c r="I121" s="2503"/>
      <c r="J121" s="2503"/>
      <c r="K121" s="2503"/>
      <c r="L121" s="2503"/>
      <c r="M121" s="2503"/>
      <c r="N121" s="2503"/>
      <c r="O121" s="2503"/>
      <c r="P121" s="2503"/>
      <c r="Q121" s="2503"/>
      <c r="R121" s="2503"/>
      <c r="S121" s="2503"/>
      <c r="T121" s="2503"/>
      <c r="U121" s="2503"/>
      <c r="V121" s="2503"/>
      <c r="W121" s="163"/>
      <c r="X121" s="2503"/>
      <c r="Y121" s="2503"/>
      <c r="Z121" s="2503"/>
      <c r="AA121" s="2503"/>
      <c r="AB121" s="2503"/>
      <c r="AC121" s="2503"/>
      <c r="AD121" s="2503"/>
      <c r="AE121" s="2503"/>
      <c r="AF121" s="2503"/>
      <c r="AG121" s="2503"/>
      <c r="AH121" s="2503"/>
      <c r="AI121" s="2503"/>
      <c r="AJ121" s="2503"/>
      <c r="AK121" s="2503"/>
      <c r="AM121" s="164" t="s">
        <v>2233</v>
      </c>
      <c r="AN121" s="641">
        <f>SUM(AN118:AN120)</f>
        <v>0</v>
      </c>
      <c r="AO121" s="642">
        <f t="shared" ref="AO121:AZ121" si="188">SUM(AO118:AO120)</f>
        <v>0</v>
      </c>
      <c r="AP121" s="642">
        <f t="shared" si="188"/>
        <v>0</v>
      </c>
      <c r="AQ121" s="642">
        <f t="shared" si="188"/>
        <v>0</v>
      </c>
      <c r="AR121" s="642">
        <f t="shared" si="188"/>
        <v>0</v>
      </c>
      <c r="AS121" s="642">
        <f t="shared" si="188"/>
        <v>0</v>
      </c>
      <c r="AT121" s="642">
        <f t="shared" si="188"/>
        <v>0</v>
      </c>
      <c r="AU121" s="643">
        <f t="shared" si="188"/>
        <v>0</v>
      </c>
      <c r="AV121" s="641">
        <f t="shared" si="188"/>
        <v>0</v>
      </c>
      <c r="AW121" s="642">
        <f t="shared" si="188"/>
        <v>0</v>
      </c>
      <c r="AX121" s="642">
        <f t="shared" si="188"/>
        <v>0</v>
      </c>
      <c r="AY121" s="642">
        <f t="shared" si="188"/>
        <v>0</v>
      </c>
      <c r="AZ121" s="643">
        <f t="shared" si="188"/>
        <v>0</v>
      </c>
      <c r="BA121" s="185"/>
      <c r="BB121" s="522" t="s">
        <v>2233</v>
      </c>
      <c r="BC121" s="642">
        <f>SUM(BC118:BC120)</f>
        <v>0</v>
      </c>
      <c r="BD121" s="522" t="s">
        <v>2233</v>
      </c>
      <c r="BE121" s="642">
        <f>SUM(BE118:BE120)</f>
        <v>0</v>
      </c>
      <c r="BF121" s="522" t="s">
        <v>2233</v>
      </c>
      <c r="BG121" s="642">
        <f>SUM(BG118:BG120)</f>
        <v>0</v>
      </c>
      <c r="BH121" s="607" t="s">
        <v>627</v>
      </c>
      <c r="BI121" s="2507"/>
      <c r="BJ121" s="185"/>
      <c r="BQ121" s="522" t="s">
        <v>2233</v>
      </c>
      <c r="BR121" s="642">
        <f>SUM(BR118:BR120)</f>
        <v>0</v>
      </c>
      <c r="BS121" s="522" t="s">
        <v>2233</v>
      </c>
      <c r="BT121" s="642">
        <f>SUM(BT118:BT120)</f>
        <v>0</v>
      </c>
      <c r="BU121" s="522" t="s">
        <v>2233</v>
      </c>
      <c r="BV121" s="642">
        <f>SUM(BV118:BV120)</f>
        <v>0</v>
      </c>
      <c r="BW121" s="545" t="s">
        <v>627</v>
      </c>
      <c r="BX121" s="544"/>
    </row>
    <row r="122" spans="1:76" s="98" customFormat="1" ht="15" customHeight="1">
      <c r="A122" s="99"/>
      <c r="B122" s="123"/>
      <c r="C122" s="127"/>
      <c r="D122" s="127"/>
      <c r="E122" s="127"/>
      <c r="F122" s="127"/>
      <c r="G122" s="117"/>
      <c r="H122" s="117"/>
      <c r="I122" s="2503"/>
      <c r="J122" s="2503"/>
      <c r="K122" s="2503"/>
      <c r="L122" s="2503"/>
      <c r="M122" s="2503"/>
      <c r="N122" s="2503"/>
      <c r="O122" s="2503"/>
      <c r="P122" s="2503"/>
      <c r="Q122" s="2503"/>
      <c r="R122" s="2503"/>
      <c r="S122" s="2503"/>
      <c r="T122" s="2503"/>
      <c r="U122" s="2503"/>
      <c r="V122" s="2503"/>
      <c r="W122" s="117"/>
      <c r="X122" s="2503"/>
      <c r="Y122" s="2503"/>
      <c r="Z122" s="2503"/>
      <c r="AA122" s="2503"/>
      <c r="AB122" s="2503"/>
      <c r="AC122" s="2503"/>
      <c r="AD122" s="2503"/>
      <c r="AE122" s="2503"/>
      <c r="AF122" s="2503"/>
      <c r="AG122" s="2503"/>
      <c r="AH122" s="2503"/>
      <c r="AI122" s="2503"/>
      <c r="AJ122" s="2503"/>
      <c r="AK122" s="2503"/>
      <c r="AM122" s="117"/>
      <c r="AN122" s="159"/>
      <c r="AO122" s="117"/>
      <c r="AP122" s="117"/>
      <c r="AQ122" s="117"/>
      <c r="AR122" s="117"/>
      <c r="AS122" s="117"/>
      <c r="AT122" s="117"/>
      <c r="AU122" s="160"/>
      <c r="AV122" s="159"/>
      <c r="AW122" s="117"/>
      <c r="AX122" s="117"/>
      <c r="AY122" s="117"/>
      <c r="AZ122" s="160"/>
      <c r="BA122" s="185"/>
      <c r="BB122" s="530"/>
      <c r="BC122" s="700"/>
      <c r="BD122" s="530"/>
      <c r="BE122" s="700"/>
      <c r="BF122" s="530"/>
      <c r="BG122" s="700"/>
      <c r="BH122" s="530"/>
      <c r="BI122" s="530"/>
      <c r="BJ122" s="530"/>
      <c r="BQ122" s="530"/>
      <c r="BR122" s="700"/>
      <c r="BS122" s="530"/>
      <c r="BT122" s="700"/>
      <c r="BU122" s="530"/>
      <c r="BV122" s="700"/>
      <c r="BW122" s="530"/>
      <c r="BX122" s="544"/>
    </row>
    <row r="123" spans="1:76" s="98" customFormat="1" ht="15" customHeight="1">
      <c r="A123" s="99"/>
      <c r="B123" s="161"/>
      <c r="C123" s="116" t="s">
        <v>1684</v>
      </c>
      <c r="D123" s="116"/>
      <c r="E123" s="116"/>
      <c r="F123" s="116"/>
      <c r="G123" s="117"/>
      <c r="H123" s="117"/>
      <c r="I123" s="2503"/>
      <c r="J123" s="2503"/>
      <c r="K123" s="2503"/>
      <c r="L123" s="2503"/>
      <c r="M123" s="2503"/>
      <c r="N123" s="2503"/>
      <c r="O123" s="2503"/>
      <c r="P123" s="2503"/>
      <c r="Q123" s="2503"/>
      <c r="R123" s="2503"/>
      <c r="S123" s="2503"/>
      <c r="T123" s="2503"/>
      <c r="U123" s="2503"/>
      <c r="V123" s="2503"/>
      <c r="W123" s="117"/>
      <c r="X123" s="2503"/>
      <c r="Y123" s="2503"/>
      <c r="Z123" s="2503"/>
      <c r="AA123" s="2503"/>
      <c r="AB123" s="2503"/>
      <c r="AC123" s="2503"/>
      <c r="AD123" s="2503"/>
      <c r="AE123" s="2503"/>
      <c r="AF123" s="2503"/>
      <c r="AG123" s="2503"/>
      <c r="AH123" s="2503"/>
      <c r="AI123" s="2503"/>
      <c r="AJ123" s="2503"/>
      <c r="AK123" s="2503"/>
      <c r="AM123" s="117"/>
      <c r="AN123" s="159"/>
      <c r="AO123" s="117"/>
      <c r="AP123" s="117"/>
      <c r="AQ123" s="117"/>
      <c r="AR123" s="117"/>
      <c r="AS123" s="117"/>
      <c r="AT123" s="117"/>
      <c r="AU123" s="160"/>
      <c r="AV123" s="159"/>
      <c r="AW123" s="117"/>
      <c r="AX123" s="117"/>
      <c r="AY123" s="117"/>
      <c r="AZ123" s="160"/>
      <c r="BA123" s="185"/>
      <c r="BB123" s="530"/>
      <c r="BC123" s="700"/>
      <c r="BD123" s="530"/>
      <c r="BE123" s="700"/>
      <c r="BF123" s="530"/>
      <c r="BG123" s="700"/>
      <c r="BH123" s="530"/>
      <c r="BI123" s="530"/>
      <c r="BJ123" s="530"/>
      <c r="BQ123" s="530"/>
      <c r="BR123" s="700"/>
      <c r="BS123" s="530"/>
      <c r="BT123" s="700"/>
      <c r="BU123" s="530"/>
      <c r="BV123" s="700"/>
      <c r="BW123" s="530"/>
      <c r="BX123" s="544"/>
    </row>
    <row r="124" spans="1:76" s="98" customFormat="1" ht="15" customHeight="1">
      <c r="A124" s="99"/>
      <c r="B124" s="161"/>
      <c r="C124" s="162"/>
      <c r="D124" s="162" t="s">
        <v>2726</v>
      </c>
      <c r="E124" s="162"/>
      <c r="F124" s="162"/>
      <c r="G124" s="163"/>
      <c r="H124" s="163"/>
      <c r="I124" s="2503"/>
      <c r="J124" s="2503"/>
      <c r="K124" s="2503"/>
      <c r="L124" s="2503"/>
      <c r="M124" s="2503"/>
      <c r="N124" s="2503"/>
      <c r="O124" s="2503"/>
      <c r="P124" s="2503"/>
      <c r="Q124" s="2503"/>
      <c r="R124" s="2503"/>
      <c r="S124" s="2503"/>
      <c r="T124" s="2503"/>
      <c r="U124" s="2503"/>
      <c r="V124" s="2503"/>
      <c r="W124" s="163"/>
      <c r="X124" s="2503"/>
      <c r="Y124" s="2503"/>
      <c r="Z124" s="2503"/>
      <c r="AA124" s="2503"/>
      <c r="AB124" s="2503"/>
      <c r="AC124" s="2503"/>
      <c r="AD124" s="2503"/>
      <c r="AE124" s="2503"/>
      <c r="AF124" s="2503"/>
      <c r="AG124" s="2503"/>
      <c r="AH124" s="2503"/>
      <c r="AI124" s="2503"/>
      <c r="AJ124" s="2503"/>
      <c r="AK124" s="2503"/>
      <c r="AM124" s="164" t="s">
        <v>2233</v>
      </c>
      <c r="AN124" s="143">
        <v>0</v>
      </c>
      <c r="AO124" s="141">
        <v>0</v>
      </c>
      <c r="AP124" s="141">
        <v>0</v>
      </c>
      <c r="AQ124" s="141">
        <v>0</v>
      </c>
      <c r="AR124" s="141">
        <v>0</v>
      </c>
      <c r="AS124" s="141">
        <v>0</v>
      </c>
      <c r="AT124" s="141">
        <v>0</v>
      </c>
      <c r="AU124" s="144">
        <v>0</v>
      </c>
      <c r="AV124" s="143">
        <v>0</v>
      </c>
      <c r="AW124" s="141">
        <v>0</v>
      </c>
      <c r="AX124" s="141">
        <v>0</v>
      </c>
      <c r="AY124" s="141">
        <v>0</v>
      </c>
      <c r="AZ124" s="144">
        <v>0</v>
      </c>
      <c r="BA124" s="185"/>
      <c r="BB124" s="522" t="s">
        <v>2233</v>
      </c>
      <c r="BC124" s="141">
        <v>0</v>
      </c>
      <c r="BD124" s="522" t="s">
        <v>2233</v>
      </c>
      <c r="BE124" s="141">
        <v>0</v>
      </c>
      <c r="BF124" s="522" t="s">
        <v>2233</v>
      </c>
      <c r="BG124" s="141">
        <v>0</v>
      </c>
      <c r="BH124" s="607" t="s">
        <v>627</v>
      </c>
      <c r="BI124" s="868">
        <v>0</v>
      </c>
      <c r="BJ124" s="185"/>
      <c r="BQ124" s="522" t="s">
        <v>2233</v>
      </c>
      <c r="BR124" s="141">
        <v>0</v>
      </c>
      <c r="BS124" s="522" t="s">
        <v>2233</v>
      </c>
      <c r="BT124" s="141">
        <v>0</v>
      </c>
      <c r="BU124" s="522" t="s">
        <v>2233</v>
      </c>
      <c r="BV124" s="141">
        <v>0</v>
      </c>
      <c r="BW124" s="545" t="s">
        <v>627</v>
      </c>
      <c r="BX124" s="2508">
        <v>0</v>
      </c>
    </row>
    <row r="125" spans="1:76" s="98" customFormat="1" ht="15" customHeight="1">
      <c r="A125" s="99"/>
      <c r="B125" s="161"/>
      <c r="C125" s="162"/>
      <c r="D125" s="162" t="s">
        <v>2727</v>
      </c>
      <c r="E125" s="162"/>
      <c r="F125" s="162"/>
      <c r="G125" s="163"/>
      <c r="H125" s="163"/>
      <c r="I125" s="2503"/>
      <c r="J125" s="2503"/>
      <c r="K125" s="2503"/>
      <c r="L125" s="2503"/>
      <c r="M125" s="2503"/>
      <c r="N125" s="2503"/>
      <c r="O125" s="2503"/>
      <c r="P125" s="2503"/>
      <c r="Q125" s="2503"/>
      <c r="R125" s="2503"/>
      <c r="S125" s="2503"/>
      <c r="T125" s="2503"/>
      <c r="U125" s="2503"/>
      <c r="V125" s="2503"/>
      <c r="W125" s="163"/>
      <c r="X125" s="2503"/>
      <c r="Y125" s="2503"/>
      <c r="Z125" s="2503"/>
      <c r="AA125" s="2503"/>
      <c r="AB125" s="2503"/>
      <c r="AC125" s="2503"/>
      <c r="AD125" s="2503"/>
      <c r="AE125" s="2503"/>
      <c r="AF125" s="2503"/>
      <c r="AG125" s="2503"/>
      <c r="AH125" s="2503"/>
      <c r="AI125" s="2503"/>
      <c r="AJ125" s="2503"/>
      <c r="AK125" s="2503"/>
      <c r="AM125" s="164" t="s">
        <v>2233</v>
      </c>
      <c r="AN125" s="143">
        <v>0</v>
      </c>
      <c r="AO125" s="141">
        <v>0</v>
      </c>
      <c r="AP125" s="141">
        <v>0</v>
      </c>
      <c r="AQ125" s="141">
        <v>0</v>
      </c>
      <c r="AR125" s="141">
        <v>0</v>
      </c>
      <c r="AS125" s="141">
        <v>0</v>
      </c>
      <c r="AT125" s="141">
        <v>0</v>
      </c>
      <c r="AU125" s="144">
        <v>0</v>
      </c>
      <c r="AV125" s="143">
        <v>0</v>
      </c>
      <c r="AW125" s="141">
        <v>0</v>
      </c>
      <c r="AX125" s="141">
        <v>0</v>
      </c>
      <c r="AY125" s="141">
        <v>0</v>
      </c>
      <c r="AZ125" s="144">
        <v>0</v>
      </c>
      <c r="BA125" s="185"/>
      <c r="BB125" s="522" t="s">
        <v>2233</v>
      </c>
      <c r="BC125" s="141">
        <v>0</v>
      </c>
      <c r="BD125" s="522" t="s">
        <v>2233</v>
      </c>
      <c r="BE125" s="141">
        <v>0</v>
      </c>
      <c r="BF125" s="522" t="s">
        <v>2233</v>
      </c>
      <c r="BG125" s="141">
        <v>0</v>
      </c>
      <c r="BH125" s="607" t="s">
        <v>627</v>
      </c>
      <c r="BI125" s="868">
        <v>0</v>
      </c>
      <c r="BJ125" s="185"/>
      <c r="BQ125" s="522" t="s">
        <v>2233</v>
      </c>
      <c r="BR125" s="141">
        <v>0</v>
      </c>
      <c r="BS125" s="522" t="s">
        <v>2233</v>
      </c>
      <c r="BT125" s="141">
        <v>0</v>
      </c>
      <c r="BU125" s="522" t="s">
        <v>2233</v>
      </c>
      <c r="BV125" s="141">
        <v>0</v>
      </c>
      <c r="BW125" s="545" t="s">
        <v>627</v>
      </c>
      <c r="BX125" s="2508">
        <v>0</v>
      </c>
    </row>
    <row r="126" spans="1:76" s="98" customFormat="1" ht="15" customHeight="1">
      <c r="A126" s="99"/>
      <c r="B126" s="161"/>
      <c r="C126" s="162"/>
      <c r="D126" s="162" t="s">
        <v>2728</v>
      </c>
      <c r="E126" s="162"/>
      <c r="F126" s="162"/>
      <c r="G126" s="163"/>
      <c r="H126" s="163"/>
      <c r="I126" s="2503"/>
      <c r="J126" s="2503"/>
      <c r="K126" s="2503"/>
      <c r="L126" s="2503"/>
      <c r="M126" s="2503"/>
      <c r="N126" s="2503"/>
      <c r="O126" s="2503"/>
      <c r="P126" s="2503"/>
      <c r="Q126" s="2503"/>
      <c r="R126" s="2503"/>
      <c r="S126" s="2503"/>
      <c r="T126" s="2503"/>
      <c r="U126" s="2503"/>
      <c r="V126" s="2503"/>
      <c r="W126" s="163"/>
      <c r="X126" s="2503"/>
      <c r="Y126" s="2503"/>
      <c r="Z126" s="2503"/>
      <c r="AA126" s="2503"/>
      <c r="AB126" s="2503"/>
      <c r="AC126" s="2503"/>
      <c r="AD126" s="2503"/>
      <c r="AE126" s="2503"/>
      <c r="AF126" s="2503"/>
      <c r="AG126" s="2503"/>
      <c r="AH126" s="2503"/>
      <c r="AI126" s="2503"/>
      <c r="AJ126" s="2503"/>
      <c r="AK126" s="2503"/>
      <c r="AM126" s="164" t="s">
        <v>2233</v>
      </c>
      <c r="AN126" s="143">
        <v>0</v>
      </c>
      <c r="AO126" s="141">
        <v>0</v>
      </c>
      <c r="AP126" s="141">
        <v>0</v>
      </c>
      <c r="AQ126" s="141">
        <v>0</v>
      </c>
      <c r="AR126" s="141">
        <v>0</v>
      </c>
      <c r="AS126" s="141">
        <v>0</v>
      </c>
      <c r="AT126" s="141">
        <v>0</v>
      </c>
      <c r="AU126" s="144">
        <v>0</v>
      </c>
      <c r="AV126" s="143">
        <v>0</v>
      </c>
      <c r="AW126" s="141">
        <v>0</v>
      </c>
      <c r="AX126" s="141">
        <v>0</v>
      </c>
      <c r="AY126" s="141">
        <v>0</v>
      </c>
      <c r="AZ126" s="144">
        <v>0</v>
      </c>
      <c r="BA126" s="185"/>
      <c r="BB126" s="522" t="s">
        <v>2233</v>
      </c>
      <c r="BC126" s="141">
        <v>0</v>
      </c>
      <c r="BD126" s="522" t="s">
        <v>2233</v>
      </c>
      <c r="BE126" s="141">
        <v>0</v>
      </c>
      <c r="BF126" s="522" t="s">
        <v>2233</v>
      </c>
      <c r="BG126" s="141">
        <v>0</v>
      </c>
      <c r="BH126" s="607" t="s">
        <v>627</v>
      </c>
      <c r="BI126" s="868">
        <v>0</v>
      </c>
      <c r="BJ126" s="185"/>
      <c r="BQ126" s="522" t="s">
        <v>2233</v>
      </c>
      <c r="BR126" s="141">
        <v>0</v>
      </c>
      <c r="BS126" s="522" t="s">
        <v>2233</v>
      </c>
      <c r="BT126" s="141">
        <v>0</v>
      </c>
      <c r="BU126" s="522" t="s">
        <v>2233</v>
      </c>
      <c r="BV126" s="141">
        <v>0</v>
      </c>
      <c r="BW126" s="545" t="s">
        <v>627</v>
      </c>
      <c r="BX126" s="2508">
        <v>0</v>
      </c>
    </row>
    <row r="127" spans="1:76" s="98" customFormat="1" ht="15" customHeight="1">
      <c r="A127" s="99"/>
      <c r="B127" s="161"/>
      <c r="C127" s="162" t="s">
        <v>1710</v>
      </c>
      <c r="D127" s="162"/>
      <c r="E127" s="162"/>
      <c r="F127" s="162"/>
      <c r="G127" s="163"/>
      <c r="H127" s="163"/>
      <c r="I127" s="2503"/>
      <c r="J127" s="2503"/>
      <c r="K127" s="2503"/>
      <c r="L127" s="2503"/>
      <c r="M127" s="2503"/>
      <c r="N127" s="2503"/>
      <c r="O127" s="2503"/>
      <c r="P127" s="2503"/>
      <c r="Q127" s="2503"/>
      <c r="R127" s="2503"/>
      <c r="S127" s="2503"/>
      <c r="T127" s="2503"/>
      <c r="U127" s="2503"/>
      <c r="V127" s="2503"/>
      <c r="W127" s="163"/>
      <c r="X127" s="2503"/>
      <c r="Y127" s="2503"/>
      <c r="Z127" s="2503"/>
      <c r="AA127" s="2503"/>
      <c r="AB127" s="2503"/>
      <c r="AC127" s="2503"/>
      <c r="AD127" s="2503"/>
      <c r="AE127" s="2503"/>
      <c r="AF127" s="2503"/>
      <c r="AG127" s="2503"/>
      <c r="AH127" s="2503"/>
      <c r="AI127" s="2503"/>
      <c r="AJ127" s="2503"/>
      <c r="AK127" s="2503"/>
      <c r="AM127" s="164" t="s">
        <v>2233</v>
      </c>
      <c r="AN127" s="641">
        <f>SUM(AN124:AN126)</f>
        <v>0</v>
      </c>
      <c r="AO127" s="642">
        <f t="shared" ref="AO127" si="189">SUM(AO124:AO126)</f>
        <v>0</v>
      </c>
      <c r="AP127" s="642">
        <f t="shared" ref="AP127" si="190">SUM(AP124:AP126)</f>
        <v>0</v>
      </c>
      <c r="AQ127" s="642">
        <f t="shared" ref="AQ127" si="191">SUM(AQ124:AQ126)</f>
        <v>0</v>
      </c>
      <c r="AR127" s="642">
        <f t="shared" ref="AR127" si="192">SUM(AR124:AR126)</f>
        <v>0</v>
      </c>
      <c r="AS127" s="642">
        <f t="shared" ref="AS127" si="193">SUM(AS124:AS126)</f>
        <v>0</v>
      </c>
      <c r="AT127" s="642">
        <f t="shared" ref="AT127" si="194">SUM(AT124:AT126)</f>
        <v>0</v>
      </c>
      <c r="AU127" s="643">
        <f t="shared" ref="AU127" si="195">SUM(AU124:AU126)</f>
        <v>0</v>
      </c>
      <c r="AV127" s="641">
        <f t="shared" ref="AV127" si="196">SUM(AV124:AV126)</f>
        <v>0</v>
      </c>
      <c r="AW127" s="642">
        <f t="shared" ref="AW127" si="197">SUM(AW124:AW126)</f>
        <v>0</v>
      </c>
      <c r="AX127" s="642">
        <f t="shared" ref="AX127" si="198">SUM(AX124:AX126)</f>
        <v>0</v>
      </c>
      <c r="AY127" s="642">
        <f t="shared" ref="AY127" si="199">SUM(AY124:AY126)</f>
        <v>0</v>
      </c>
      <c r="AZ127" s="643">
        <f t="shared" ref="AZ127" si="200">SUM(AZ124:AZ126)</f>
        <v>0</v>
      </c>
      <c r="BA127" s="185"/>
      <c r="BB127" s="522" t="s">
        <v>2233</v>
      </c>
      <c r="BC127" s="642">
        <f>SUM(BC124:BC126)</f>
        <v>0</v>
      </c>
      <c r="BD127" s="522" t="s">
        <v>2233</v>
      </c>
      <c r="BE127" s="642">
        <f>SUM(BE124:BE126)</f>
        <v>0</v>
      </c>
      <c r="BF127" s="522" t="s">
        <v>2233</v>
      </c>
      <c r="BG127" s="642">
        <f>SUM(BG124:BG126)</f>
        <v>0</v>
      </c>
      <c r="BH127" s="607" t="s">
        <v>627</v>
      </c>
      <c r="BI127" s="2507"/>
      <c r="BJ127" s="185"/>
      <c r="BQ127" s="522" t="s">
        <v>2233</v>
      </c>
      <c r="BR127" s="642">
        <f>SUM(BR124:BR126)</f>
        <v>0</v>
      </c>
      <c r="BS127" s="522" t="s">
        <v>2233</v>
      </c>
      <c r="BT127" s="642">
        <f>SUM(BT124:BT126)</f>
        <v>0</v>
      </c>
      <c r="BU127" s="522" t="s">
        <v>2233</v>
      </c>
      <c r="BV127" s="642">
        <f>SUM(BV124:BV126)</f>
        <v>0</v>
      </c>
      <c r="BW127" s="545" t="s">
        <v>627</v>
      </c>
      <c r="BX127" s="544"/>
    </row>
    <row r="128" spans="1:76" s="98" customFormat="1" ht="15" customHeight="1">
      <c r="A128" s="99"/>
      <c r="B128" s="123"/>
      <c r="C128" s="127"/>
      <c r="D128" s="127"/>
      <c r="E128" s="127"/>
      <c r="F128" s="127"/>
      <c r="G128" s="117"/>
      <c r="H128" s="117"/>
      <c r="I128" s="2503"/>
      <c r="J128" s="2503"/>
      <c r="K128" s="2503"/>
      <c r="L128" s="2503"/>
      <c r="M128" s="2503"/>
      <c r="N128" s="2503"/>
      <c r="O128" s="2503"/>
      <c r="P128" s="2503"/>
      <c r="Q128" s="2503"/>
      <c r="R128" s="2503"/>
      <c r="S128" s="2503"/>
      <c r="T128" s="2503"/>
      <c r="U128" s="2503"/>
      <c r="V128" s="2503"/>
      <c r="W128" s="117"/>
      <c r="X128" s="2503"/>
      <c r="Y128" s="2503"/>
      <c r="Z128" s="2503"/>
      <c r="AA128" s="2503"/>
      <c r="AB128" s="2503"/>
      <c r="AC128" s="2503"/>
      <c r="AD128" s="2503"/>
      <c r="AE128" s="2503"/>
      <c r="AF128" s="2503"/>
      <c r="AG128" s="2503"/>
      <c r="AH128" s="2503"/>
      <c r="AI128" s="2503"/>
      <c r="AJ128" s="2503"/>
      <c r="AK128" s="2503"/>
      <c r="AM128" s="117"/>
      <c r="AN128" s="159"/>
      <c r="AO128" s="117"/>
      <c r="AP128" s="117"/>
      <c r="AQ128" s="117"/>
      <c r="AR128" s="117"/>
      <c r="AS128" s="117"/>
      <c r="AT128" s="117"/>
      <c r="AU128" s="160"/>
      <c r="AV128" s="159"/>
      <c r="AW128" s="117"/>
      <c r="AX128" s="117"/>
      <c r="AY128" s="117"/>
      <c r="AZ128" s="160"/>
      <c r="BA128" s="185"/>
      <c r="BB128" s="530"/>
      <c r="BC128" s="700"/>
      <c r="BD128" s="530"/>
      <c r="BE128" s="700"/>
      <c r="BF128" s="530"/>
      <c r="BG128" s="700"/>
      <c r="BH128" s="530"/>
      <c r="BI128" s="530"/>
      <c r="BJ128" s="530"/>
      <c r="BQ128" s="530"/>
      <c r="BR128" s="700"/>
      <c r="BS128" s="530"/>
      <c r="BT128" s="700"/>
      <c r="BU128" s="530"/>
      <c r="BV128" s="700"/>
      <c r="BW128" s="530"/>
      <c r="BX128" s="544"/>
    </row>
    <row r="129" spans="1:76" s="98" customFormat="1" ht="15" customHeight="1">
      <c r="A129" s="99"/>
      <c r="B129" s="161"/>
      <c r="C129" s="116" t="s">
        <v>1685</v>
      </c>
      <c r="D129" s="116"/>
      <c r="E129" s="116"/>
      <c r="F129" s="116"/>
      <c r="G129" s="117"/>
      <c r="H129" s="117"/>
      <c r="I129" s="2503"/>
      <c r="J129" s="2503"/>
      <c r="K129" s="2503"/>
      <c r="L129" s="2503"/>
      <c r="M129" s="2503"/>
      <c r="N129" s="2503"/>
      <c r="O129" s="2503"/>
      <c r="P129" s="2503"/>
      <c r="Q129" s="2503"/>
      <c r="R129" s="2503"/>
      <c r="S129" s="2503"/>
      <c r="T129" s="2503"/>
      <c r="U129" s="2503"/>
      <c r="V129" s="2503"/>
      <c r="W129" s="117"/>
      <c r="X129" s="2503"/>
      <c r="Y129" s="2503"/>
      <c r="Z129" s="2503"/>
      <c r="AA129" s="2503"/>
      <c r="AB129" s="2503"/>
      <c r="AC129" s="2503"/>
      <c r="AD129" s="2503"/>
      <c r="AE129" s="2503"/>
      <c r="AF129" s="2503"/>
      <c r="AG129" s="2503"/>
      <c r="AH129" s="2503"/>
      <c r="AI129" s="2503"/>
      <c r="AJ129" s="2503"/>
      <c r="AK129" s="2503"/>
      <c r="AM129" s="117"/>
      <c r="AN129" s="159"/>
      <c r="AO129" s="117"/>
      <c r="AP129" s="117"/>
      <c r="AQ129" s="117"/>
      <c r="AR129" s="117"/>
      <c r="AS129" s="117"/>
      <c r="AT129" s="117"/>
      <c r="AU129" s="160"/>
      <c r="AV129" s="159"/>
      <c r="AW129" s="117"/>
      <c r="AX129" s="117"/>
      <c r="AY129" s="117"/>
      <c r="AZ129" s="160"/>
      <c r="BA129" s="185"/>
      <c r="BB129" s="530"/>
      <c r="BC129" s="700"/>
      <c r="BD129" s="530"/>
      <c r="BE129" s="700"/>
      <c r="BF129" s="530"/>
      <c r="BG129" s="700"/>
      <c r="BH129" s="530"/>
      <c r="BI129" s="530"/>
      <c r="BJ129" s="185"/>
      <c r="BQ129" s="530"/>
      <c r="BR129" s="700"/>
      <c r="BS129" s="530"/>
      <c r="BT129" s="700"/>
      <c r="BU129" s="530"/>
      <c r="BV129" s="700"/>
      <c r="BW129" s="530"/>
      <c r="BX129" s="544"/>
    </row>
    <row r="130" spans="1:76" s="98" customFormat="1" ht="15" customHeight="1">
      <c r="A130" s="99"/>
      <c r="B130" s="161"/>
      <c r="C130" s="162"/>
      <c r="D130" s="162" t="s">
        <v>2736</v>
      </c>
      <c r="E130" s="162"/>
      <c r="F130" s="162"/>
      <c r="G130" s="163"/>
      <c r="H130" s="163"/>
      <c r="I130" s="2503"/>
      <c r="J130" s="2503"/>
      <c r="K130" s="2503"/>
      <c r="L130" s="2503"/>
      <c r="M130" s="2503"/>
      <c r="N130" s="2503"/>
      <c r="O130" s="2503"/>
      <c r="P130" s="2503"/>
      <c r="Q130" s="2503"/>
      <c r="R130" s="2503"/>
      <c r="S130" s="2503"/>
      <c r="T130" s="2503"/>
      <c r="U130" s="2503"/>
      <c r="V130" s="2503"/>
      <c r="W130" s="163"/>
      <c r="X130" s="2503"/>
      <c r="Y130" s="2503"/>
      <c r="Z130" s="2503"/>
      <c r="AA130" s="2503"/>
      <c r="AB130" s="2503"/>
      <c r="AC130" s="2503"/>
      <c r="AD130" s="2503"/>
      <c r="AE130" s="2503"/>
      <c r="AF130" s="2503"/>
      <c r="AG130" s="2503"/>
      <c r="AH130" s="2503"/>
      <c r="AI130" s="2503"/>
      <c r="AJ130" s="2503"/>
      <c r="AK130" s="2503"/>
      <c r="AM130" s="164" t="s">
        <v>2233</v>
      </c>
      <c r="AN130" s="143">
        <v>0</v>
      </c>
      <c r="AO130" s="141">
        <v>0</v>
      </c>
      <c r="AP130" s="141">
        <v>0</v>
      </c>
      <c r="AQ130" s="141">
        <v>0</v>
      </c>
      <c r="AR130" s="141">
        <v>0</v>
      </c>
      <c r="AS130" s="141">
        <v>0</v>
      </c>
      <c r="AT130" s="141">
        <v>0</v>
      </c>
      <c r="AU130" s="144">
        <v>0</v>
      </c>
      <c r="AV130" s="143">
        <v>0</v>
      </c>
      <c r="AW130" s="141">
        <v>0</v>
      </c>
      <c r="AX130" s="141">
        <v>0</v>
      </c>
      <c r="AY130" s="141">
        <v>0</v>
      </c>
      <c r="AZ130" s="144">
        <v>0</v>
      </c>
      <c r="BA130" s="185"/>
      <c r="BB130" s="522" t="s">
        <v>2233</v>
      </c>
      <c r="BC130" s="141">
        <v>0</v>
      </c>
      <c r="BD130" s="522" t="s">
        <v>2233</v>
      </c>
      <c r="BE130" s="141">
        <v>0</v>
      </c>
      <c r="BF130" s="522" t="s">
        <v>2233</v>
      </c>
      <c r="BG130" s="141">
        <v>0</v>
      </c>
      <c r="BH130" s="607" t="s">
        <v>627</v>
      </c>
      <c r="BI130" s="868">
        <v>0</v>
      </c>
      <c r="BJ130" s="185"/>
      <c r="BQ130" s="522" t="s">
        <v>2233</v>
      </c>
      <c r="BR130" s="141">
        <v>0</v>
      </c>
      <c r="BS130" s="522" t="s">
        <v>2233</v>
      </c>
      <c r="BT130" s="141">
        <v>0</v>
      </c>
      <c r="BU130" s="522" t="s">
        <v>2233</v>
      </c>
      <c r="BV130" s="141">
        <v>0</v>
      </c>
      <c r="BW130" s="545" t="s">
        <v>627</v>
      </c>
      <c r="BX130" s="2508">
        <v>0</v>
      </c>
    </row>
    <row r="131" spans="1:76" s="98" customFormat="1" ht="15" customHeight="1">
      <c r="A131" s="99"/>
      <c r="B131" s="161"/>
      <c r="C131" s="162"/>
      <c r="D131" s="162" t="s">
        <v>2737</v>
      </c>
      <c r="E131" s="162"/>
      <c r="F131" s="162"/>
      <c r="G131" s="163"/>
      <c r="H131" s="163"/>
      <c r="I131" s="2503"/>
      <c r="J131" s="2503"/>
      <c r="K131" s="2503"/>
      <c r="L131" s="2503"/>
      <c r="M131" s="2503"/>
      <c r="N131" s="2503"/>
      <c r="O131" s="2503"/>
      <c r="P131" s="2503"/>
      <c r="Q131" s="2503"/>
      <c r="R131" s="2503"/>
      <c r="S131" s="2503"/>
      <c r="T131" s="2503"/>
      <c r="U131" s="2503"/>
      <c r="V131" s="2503"/>
      <c r="W131" s="163"/>
      <c r="X131" s="2503"/>
      <c r="Y131" s="2503"/>
      <c r="Z131" s="2503"/>
      <c r="AA131" s="2503"/>
      <c r="AB131" s="2503"/>
      <c r="AC131" s="2503"/>
      <c r="AD131" s="2503"/>
      <c r="AE131" s="2503"/>
      <c r="AF131" s="2503"/>
      <c r="AG131" s="2503"/>
      <c r="AH131" s="2503"/>
      <c r="AI131" s="2503"/>
      <c r="AJ131" s="2503"/>
      <c r="AK131" s="2503"/>
      <c r="AM131" s="164" t="s">
        <v>2233</v>
      </c>
      <c r="AN131" s="143">
        <v>0</v>
      </c>
      <c r="AO131" s="141">
        <v>0</v>
      </c>
      <c r="AP131" s="141">
        <v>0</v>
      </c>
      <c r="AQ131" s="141">
        <v>0</v>
      </c>
      <c r="AR131" s="141">
        <v>0</v>
      </c>
      <c r="AS131" s="141">
        <v>0</v>
      </c>
      <c r="AT131" s="141">
        <v>0</v>
      </c>
      <c r="AU131" s="144">
        <v>0</v>
      </c>
      <c r="AV131" s="143">
        <v>0</v>
      </c>
      <c r="AW131" s="141">
        <v>0</v>
      </c>
      <c r="AX131" s="141">
        <v>0</v>
      </c>
      <c r="AY131" s="141">
        <v>0</v>
      </c>
      <c r="AZ131" s="144">
        <v>0</v>
      </c>
      <c r="BA131" s="185"/>
      <c r="BB131" s="522" t="s">
        <v>2233</v>
      </c>
      <c r="BC131" s="141">
        <v>0</v>
      </c>
      <c r="BD131" s="522" t="s">
        <v>2233</v>
      </c>
      <c r="BE131" s="141">
        <v>0</v>
      </c>
      <c r="BF131" s="522" t="s">
        <v>2233</v>
      </c>
      <c r="BG131" s="141">
        <v>0</v>
      </c>
      <c r="BH131" s="607" t="s">
        <v>627</v>
      </c>
      <c r="BI131" s="868">
        <v>0</v>
      </c>
      <c r="BJ131" s="185"/>
      <c r="BQ131" s="522" t="s">
        <v>2233</v>
      </c>
      <c r="BR131" s="141">
        <v>0</v>
      </c>
      <c r="BS131" s="522" t="s">
        <v>2233</v>
      </c>
      <c r="BT131" s="141">
        <v>0</v>
      </c>
      <c r="BU131" s="522" t="s">
        <v>2233</v>
      </c>
      <c r="BV131" s="141">
        <v>0</v>
      </c>
      <c r="BW131" s="545" t="s">
        <v>627</v>
      </c>
      <c r="BX131" s="2508">
        <v>0</v>
      </c>
    </row>
    <row r="132" spans="1:76" s="98" customFormat="1" ht="15" customHeight="1">
      <c r="A132" s="99"/>
      <c r="B132" s="161"/>
      <c r="C132" s="162" t="s">
        <v>1710</v>
      </c>
      <c r="D132" s="162"/>
      <c r="E132" s="162"/>
      <c r="F132" s="162"/>
      <c r="G132" s="163"/>
      <c r="H132" s="163"/>
      <c r="I132" s="2503"/>
      <c r="J132" s="2503"/>
      <c r="K132" s="2503"/>
      <c r="L132" s="2503"/>
      <c r="M132" s="2503"/>
      <c r="N132" s="2503"/>
      <c r="O132" s="2503"/>
      <c r="P132" s="2503"/>
      <c r="Q132" s="2503"/>
      <c r="R132" s="2503"/>
      <c r="S132" s="2503"/>
      <c r="T132" s="2503"/>
      <c r="U132" s="2503"/>
      <c r="V132" s="2503"/>
      <c r="W132" s="163"/>
      <c r="X132" s="2503"/>
      <c r="Y132" s="2503"/>
      <c r="Z132" s="2503"/>
      <c r="AA132" s="2503"/>
      <c r="AB132" s="2503"/>
      <c r="AC132" s="2503"/>
      <c r="AD132" s="2503"/>
      <c r="AE132" s="2503"/>
      <c r="AF132" s="2503"/>
      <c r="AG132" s="2503"/>
      <c r="AH132" s="2503"/>
      <c r="AI132" s="2503"/>
      <c r="AJ132" s="2503"/>
      <c r="AK132" s="2503"/>
      <c r="AM132" s="164" t="s">
        <v>2233</v>
      </c>
      <c r="AN132" s="641">
        <f>SUM(AN130:AN131)</f>
        <v>0</v>
      </c>
      <c r="AO132" s="642">
        <f t="shared" ref="AO132:AZ132" si="201">SUM(AO130:AO131)</f>
        <v>0</v>
      </c>
      <c r="AP132" s="642">
        <f t="shared" si="201"/>
        <v>0</v>
      </c>
      <c r="AQ132" s="642">
        <f t="shared" si="201"/>
        <v>0</v>
      </c>
      <c r="AR132" s="642">
        <f t="shared" si="201"/>
        <v>0</v>
      </c>
      <c r="AS132" s="642">
        <f t="shared" si="201"/>
        <v>0</v>
      </c>
      <c r="AT132" s="642">
        <f t="shared" si="201"/>
        <v>0</v>
      </c>
      <c r="AU132" s="643">
        <f t="shared" si="201"/>
        <v>0</v>
      </c>
      <c r="AV132" s="641">
        <f t="shared" si="201"/>
        <v>0</v>
      </c>
      <c r="AW132" s="642">
        <f t="shared" si="201"/>
        <v>0</v>
      </c>
      <c r="AX132" s="642">
        <f t="shared" si="201"/>
        <v>0</v>
      </c>
      <c r="AY132" s="642">
        <f t="shared" si="201"/>
        <v>0</v>
      </c>
      <c r="AZ132" s="643">
        <f t="shared" si="201"/>
        <v>0</v>
      </c>
      <c r="BA132" s="185"/>
      <c r="BB132" s="522" t="s">
        <v>2233</v>
      </c>
      <c r="BC132" s="642">
        <f>SUM(BC130:BC131)</f>
        <v>0</v>
      </c>
      <c r="BD132" s="522" t="s">
        <v>2233</v>
      </c>
      <c r="BE132" s="642">
        <f>SUM(BE130:BE131)</f>
        <v>0</v>
      </c>
      <c r="BF132" s="522" t="s">
        <v>2233</v>
      </c>
      <c r="BG132" s="642">
        <f>SUM(BG130:BG131)</f>
        <v>0</v>
      </c>
      <c r="BH132" s="607" t="s">
        <v>627</v>
      </c>
      <c r="BI132" s="2507"/>
      <c r="BJ132" s="185"/>
      <c r="BQ132" s="522" t="s">
        <v>2233</v>
      </c>
      <c r="BR132" s="642">
        <f>SUM(BR130:BR131)</f>
        <v>0</v>
      </c>
      <c r="BS132" s="522" t="s">
        <v>2233</v>
      </c>
      <c r="BT132" s="642">
        <f>SUM(BT130:BT131)</f>
        <v>0</v>
      </c>
      <c r="BU132" s="522" t="s">
        <v>2233</v>
      </c>
      <c r="BV132" s="642">
        <f>SUM(BV130:BV131)</f>
        <v>0</v>
      </c>
      <c r="BW132" s="545" t="s">
        <v>627</v>
      </c>
      <c r="BX132" s="544"/>
    </row>
    <row r="133" spans="1:76" s="98" customFormat="1" ht="15" customHeight="1">
      <c r="A133" s="99"/>
      <c r="B133" s="123"/>
      <c r="C133" s="127"/>
      <c r="D133" s="127"/>
      <c r="E133" s="127"/>
      <c r="F133" s="127"/>
      <c r="G133" s="117"/>
      <c r="H133" s="117"/>
      <c r="I133" s="2503"/>
      <c r="J133" s="2503"/>
      <c r="K133" s="2503"/>
      <c r="L133" s="2503"/>
      <c r="M133" s="2503"/>
      <c r="N133" s="2503"/>
      <c r="O133" s="2503"/>
      <c r="P133" s="2503"/>
      <c r="Q133" s="2503"/>
      <c r="R133" s="2503"/>
      <c r="S133" s="2503"/>
      <c r="T133" s="2503"/>
      <c r="U133" s="2503"/>
      <c r="V133" s="2503"/>
      <c r="W133" s="117"/>
      <c r="X133" s="2503"/>
      <c r="Y133" s="2503"/>
      <c r="Z133" s="2503"/>
      <c r="AA133" s="2503"/>
      <c r="AB133" s="2503"/>
      <c r="AC133" s="2503"/>
      <c r="AD133" s="2503"/>
      <c r="AE133" s="2503"/>
      <c r="AF133" s="2503"/>
      <c r="AG133" s="2503"/>
      <c r="AH133" s="2503"/>
      <c r="AI133" s="2503"/>
      <c r="AJ133" s="2503"/>
      <c r="AK133" s="2503"/>
      <c r="AM133" s="117"/>
      <c r="AN133" s="159"/>
      <c r="AO133" s="117"/>
      <c r="AP133" s="117"/>
      <c r="AQ133" s="117"/>
      <c r="AR133" s="117"/>
      <c r="AS133" s="117"/>
      <c r="AT133" s="117"/>
      <c r="AU133" s="160"/>
      <c r="AV133" s="159"/>
      <c r="AW133" s="117"/>
      <c r="AX133" s="117"/>
      <c r="AY133" s="117"/>
      <c r="AZ133" s="160"/>
      <c r="BA133" s="185"/>
      <c r="BB133" s="530"/>
      <c r="BC133" s="700"/>
      <c r="BD133" s="530"/>
      <c r="BE133" s="700"/>
      <c r="BF133" s="530"/>
      <c r="BG133" s="700"/>
      <c r="BH133" s="530"/>
      <c r="BI133" s="530"/>
      <c r="BJ133" s="530"/>
      <c r="BQ133" s="530"/>
      <c r="BR133" s="700"/>
      <c r="BS133" s="530"/>
      <c r="BT133" s="700"/>
      <c r="BU133" s="530"/>
      <c r="BV133" s="700"/>
      <c r="BW133" s="530"/>
      <c r="BX133" s="544"/>
    </row>
    <row r="134" spans="1:76" s="98" customFormat="1" ht="15" customHeight="1">
      <c r="A134" s="99"/>
      <c r="B134" s="161"/>
      <c r="C134" s="116" t="s">
        <v>2670</v>
      </c>
      <c r="D134" s="116"/>
      <c r="E134" s="116"/>
      <c r="F134" s="116"/>
      <c r="G134" s="117"/>
      <c r="H134" s="117"/>
      <c r="I134" s="2503"/>
      <c r="J134" s="2503"/>
      <c r="K134" s="2503"/>
      <c r="L134" s="2503"/>
      <c r="M134" s="2503"/>
      <c r="N134" s="2503"/>
      <c r="O134" s="2503"/>
      <c r="P134" s="2503"/>
      <c r="Q134" s="2503"/>
      <c r="R134" s="2503"/>
      <c r="S134" s="2503"/>
      <c r="T134" s="2503"/>
      <c r="U134" s="2503"/>
      <c r="V134" s="2503"/>
      <c r="W134" s="117"/>
      <c r="X134" s="2503"/>
      <c r="Y134" s="2503"/>
      <c r="Z134" s="2503"/>
      <c r="AA134" s="2503"/>
      <c r="AB134" s="2503"/>
      <c r="AC134" s="2503"/>
      <c r="AD134" s="2503"/>
      <c r="AE134" s="2503"/>
      <c r="AF134" s="2503"/>
      <c r="AG134" s="2503"/>
      <c r="AH134" s="2503"/>
      <c r="AI134" s="2503"/>
      <c r="AJ134" s="2503"/>
      <c r="AK134" s="2503"/>
      <c r="AM134" s="117"/>
      <c r="AN134" s="159"/>
      <c r="AO134" s="117"/>
      <c r="AP134" s="117"/>
      <c r="AQ134" s="117"/>
      <c r="AR134" s="117"/>
      <c r="AS134" s="117"/>
      <c r="AT134" s="117"/>
      <c r="AU134" s="160"/>
      <c r="AV134" s="159"/>
      <c r="AW134" s="117"/>
      <c r="AX134" s="117"/>
      <c r="AY134" s="117"/>
      <c r="AZ134" s="160"/>
      <c r="BA134" s="185"/>
      <c r="BB134" s="530"/>
      <c r="BC134" s="700"/>
      <c r="BD134" s="530"/>
      <c r="BE134" s="700"/>
      <c r="BF134" s="530"/>
      <c r="BG134" s="700"/>
      <c r="BH134" s="530"/>
      <c r="BI134" s="530"/>
      <c r="BJ134" s="530"/>
      <c r="BQ134" s="530"/>
      <c r="BR134" s="700"/>
      <c r="BS134" s="530"/>
      <c r="BT134" s="700"/>
      <c r="BU134" s="530"/>
      <c r="BV134" s="700"/>
      <c r="BW134" s="530"/>
      <c r="BX134" s="544"/>
    </row>
    <row r="135" spans="1:76" s="98" customFormat="1" ht="15" customHeight="1">
      <c r="A135" s="99"/>
      <c r="B135" s="161"/>
      <c r="C135" s="162"/>
      <c r="D135" s="162" t="s">
        <v>2716</v>
      </c>
      <c r="E135" s="162"/>
      <c r="F135" s="162"/>
      <c r="G135" s="163"/>
      <c r="H135" s="163"/>
      <c r="I135" s="2503"/>
      <c r="J135" s="2503"/>
      <c r="K135" s="2503"/>
      <c r="L135" s="2503"/>
      <c r="M135" s="2503"/>
      <c r="N135" s="2503"/>
      <c r="O135" s="2503"/>
      <c r="P135" s="2503"/>
      <c r="Q135" s="2503"/>
      <c r="R135" s="2503"/>
      <c r="S135" s="2503"/>
      <c r="T135" s="2503"/>
      <c r="U135" s="2503"/>
      <c r="V135" s="2503"/>
      <c r="W135" s="163"/>
      <c r="X135" s="2503"/>
      <c r="Y135" s="2503"/>
      <c r="Z135" s="2503"/>
      <c r="AA135" s="2503"/>
      <c r="AB135" s="2503"/>
      <c r="AC135" s="2503"/>
      <c r="AD135" s="2503"/>
      <c r="AE135" s="2503"/>
      <c r="AF135" s="2503"/>
      <c r="AG135" s="2503"/>
      <c r="AH135" s="2503"/>
      <c r="AI135" s="2503"/>
      <c r="AJ135" s="2503"/>
      <c r="AK135" s="2503"/>
      <c r="AM135" s="164" t="s">
        <v>2233</v>
      </c>
      <c r="AN135" s="143">
        <v>0</v>
      </c>
      <c r="AO135" s="141">
        <v>0</v>
      </c>
      <c r="AP135" s="141">
        <v>0</v>
      </c>
      <c r="AQ135" s="141">
        <v>0</v>
      </c>
      <c r="AR135" s="141">
        <v>0</v>
      </c>
      <c r="AS135" s="141">
        <v>0</v>
      </c>
      <c r="AT135" s="141">
        <v>0</v>
      </c>
      <c r="AU135" s="144">
        <v>0</v>
      </c>
      <c r="AV135" s="143">
        <v>0</v>
      </c>
      <c r="AW135" s="141">
        <v>0</v>
      </c>
      <c r="AX135" s="141">
        <v>0</v>
      </c>
      <c r="AY135" s="141">
        <v>0</v>
      </c>
      <c r="AZ135" s="144">
        <v>0</v>
      </c>
      <c r="BA135" s="185"/>
      <c r="BB135" s="522" t="s">
        <v>2233</v>
      </c>
      <c r="BC135" s="141">
        <v>0</v>
      </c>
      <c r="BD135" s="522" t="s">
        <v>2233</v>
      </c>
      <c r="BE135" s="141">
        <v>0</v>
      </c>
      <c r="BF135" s="522" t="s">
        <v>2233</v>
      </c>
      <c r="BG135" s="141">
        <v>0</v>
      </c>
      <c r="BH135" s="607" t="s">
        <v>627</v>
      </c>
      <c r="BI135" s="868">
        <v>0</v>
      </c>
      <c r="BJ135" s="185"/>
      <c r="BQ135" s="522" t="s">
        <v>2233</v>
      </c>
      <c r="BR135" s="141">
        <v>0</v>
      </c>
      <c r="BS135" s="522" t="s">
        <v>2233</v>
      </c>
      <c r="BT135" s="141">
        <v>0</v>
      </c>
      <c r="BU135" s="522" t="s">
        <v>2233</v>
      </c>
      <c r="BV135" s="141">
        <v>0</v>
      </c>
      <c r="BW135" s="545" t="s">
        <v>627</v>
      </c>
      <c r="BX135" s="2508">
        <v>0</v>
      </c>
    </row>
    <row r="136" spans="1:76" s="98" customFormat="1" ht="15" customHeight="1">
      <c r="A136" s="99"/>
      <c r="B136" s="161"/>
      <c r="C136" s="162"/>
      <c r="D136" s="162" t="s">
        <v>2717</v>
      </c>
      <c r="E136" s="162"/>
      <c r="F136" s="162"/>
      <c r="G136" s="163"/>
      <c r="H136" s="163"/>
      <c r="I136" s="2503"/>
      <c r="J136" s="2503"/>
      <c r="K136" s="2503"/>
      <c r="L136" s="2503"/>
      <c r="M136" s="2503"/>
      <c r="N136" s="2503"/>
      <c r="O136" s="2503"/>
      <c r="P136" s="2503"/>
      <c r="Q136" s="2503"/>
      <c r="R136" s="2503"/>
      <c r="S136" s="2503"/>
      <c r="T136" s="2503"/>
      <c r="U136" s="2503"/>
      <c r="V136" s="2503"/>
      <c r="W136" s="163"/>
      <c r="X136" s="2503"/>
      <c r="Y136" s="2503"/>
      <c r="Z136" s="2503"/>
      <c r="AA136" s="2503"/>
      <c r="AB136" s="2503"/>
      <c r="AC136" s="2503"/>
      <c r="AD136" s="2503"/>
      <c r="AE136" s="2503"/>
      <c r="AF136" s="2503"/>
      <c r="AG136" s="2503"/>
      <c r="AH136" s="2503"/>
      <c r="AI136" s="2503"/>
      <c r="AJ136" s="2503"/>
      <c r="AK136" s="2503"/>
      <c r="AM136" s="164" t="s">
        <v>2233</v>
      </c>
      <c r="AN136" s="143">
        <v>0</v>
      </c>
      <c r="AO136" s="141">
        <v>0</v>
      </c>
      <c r="AP136" s="141">
        <v>0</v>
      </c>
      <c r="AQ136" s="141">
        <v>0</v>
      </c>
      <c r="AR136" s="141">
        <v>0</v>
      </c>
      <c r="AS136" s="141">
        <v>0</v>
      </c>
      <c r="AT136" s="141">
        <v>0</v>
      </c>
      <c r="AU136" s="144">
        <v>0</v>
      </c>
      <c r="AV136" s="143">
        <v>0</v>
      </c>
      <c r="AW136" s="141">
        <v>0</v>
      </c>
      <c r="AX136" s="141">
        <v>0</v>
      </c>
      <c r="AY136" s="141">
        <v>0</v>
      </c>
      <c r="AZ136" s="144">
        <v>0</v>
      </c>
      <c r="BA136" s="185"/>
      <c r="BB136" s="522" t="s">
        <v>2233</v>
      </c>
      <c r="BC136" s="141">
        <v>0</v>
      </c>
      <c r="BD136" s="522" t="s">
        <v>2233</v>
      </c>
      <c r="BE136" s="141">
        <v>0</v>
      </c>
      <c r="BF136" s="522" t="s">
        <v>2233</v>
      </c>
      <c r="BG136" s="141">
        <v>0</v>
      </c>
      <c r="BH136" s="607" t="s">
        <v>627</v>
      </c>
      <c r="BI136" s="868">
        <v>0</v>
      </c>
      <c r="BJ136" s="185"/>
      <c r="BQ136" s="522" t="s">
        <v>2233</v>
      </c>
      <c r="BR136" s="141">
        <v>0</v>
      </c>
      <c r="BS136" s="522" t="s">
        <v>2233</v>
      </c>
      <c r="BT136" s="141">
        <v>0</v>
      </c>
      <c r="BU136" s="522" t="s">
        <v>2233</v>
      </c>
      <c r="BV136" s="141">
        <v>0</v>
      </c>
      <c r="BW136" s="545" t="s">
        <v>627</v>
      </c>
      <c r="BX136" s="2508">
        <v>0</v>
      </c>
    </row>
    <row r="137" spans="1:76" s="98" customFormat="1" ht="15" customHeight="1">
      <c r="A137" s="99"/>
      <c r="B137" s="161"/>
      <c r="C137" s="162"/>
      <c r="D137" s="162" t="s">
        <v>2718</v>
      </c>
      <c r="E137" s="162"/>
      <c r="F137" s="162"/>
      <c r="G137" s="163"/>
      <c r="H137" s="163"/>
      <c r="I137" s="2503"/>
      <c r="J137" s="2503"/>
      <c r="K137" s="2503"/>
      <c r="L137" s="2503"/>
      <c r="M137" s="2503"/>
      <c r="N137" s="2503"/>
      <c r="O137" s="2503"/>
      <c r="P137" s="2503"/>
      <c r="Q137" s="2503"/>
      <c r="R137" s="2503"/>
      <c r="S137" s="2503"/>
      <c r="T137" s="2503"/>
      <c r="U137" s="2503"/>
      <c r="V137" s="2503"/>
      <c r="W137" s="163"/>
      <c r="X137" s="2503"/>
      <c r="Y137" s="2503"/>
      <c r="Z137" s="2503"/>
      <c r="AA137" s="2503"/>
      <c r="AB137" s="2503"/>
      <c r="AC137" s="2503"/>
      <c r="AD137" s="2503"/>
      <c r="AE137" s="2503"/>
      <c r="AF137" s="2503"/>
      <c r="AG137" s="2503"/>
      <c r="AH137" s="2503"/>
      <c r="AI137" s="2503"/>
      <c r="AJ137" s="2503"/>
      <c r="AK137" s="2503"/>
      <c r="AM137" s="164" t="s">
        <v>2233</v>
      </c>
      <c r="AN137" s="143">
        <v>0</v>
      </c>
      <c r="AO137" s="141">
        <v>0</v>
      </c>
      <c r="AP137" s="141">
        <v>0</v>
      </c>
      <c r="AQ137" s="141">
        <v>0</v>
      </c>
      <c r="AR137" s="141">
        <v>0</v>
      </c>
      <c r="AS137" s="141">
        <v>0</v>
      </c>
      <c r="AT137" s="141">
        <v>0</v>
      </c>
      <c r="AU137" s="144">
        <v>0</v>
      </c>
      <c r="AV137" s="143">
        <v>0</v>
      </c>
      <c r="AW137" s="141">
        <v>0</v>
      </c>
      <c r="AX137" s="141">
        <v>0</v>
      </c>
      <c r="AY137" s="141">
        <v>0</v>
      </c>
      <c r="AZ137" s="144">
        <v>0</v>
      </c>
      <c r="BA137" s="185"/>
      <c r="BB137" s="522" t="s">
        <v>2233</v>
      </c>
      <c r="BC137" s="141">
        <v>0</v>
      </c>
      <c r="BD137" s="522" t="s">
        <v>2233</v>
      </c>
      <c r="BE137" s="141">
        <v>0</v>
      </c>
      <c r="BF137" s="522" t="s">
        <v>2233</v>
      </c>
      <c r="BG137" s="141">
        <v>0</v>
      </c>
      <c r="BH137" s="607" t="s">
        <v>627</v>
      </c>
      <c r="BI137" s="868">
        <v>0</v>
      </c>
      <c r="BJ137" s="185"/>
      <c r="BQ137" s="522" t="s">
        <v>2233</v>
      </c>
      <c r="BR137" s="141">
        <v>0</v>
      </c>
      <c r="BS137" s="522" t="s">
        <v>2233</v>
      </c>
      <c r="BT137" s="141">
        <v>0</v>
      </c>
      <c r="BU137" s="522" t="s">
        <v>2233</v>
      </c>
      <c r="BV137" s="141">
        <v>0</v>
      </c>
      <c r="BW137" s="545" t="s">
        <v>627</v>
      </c>
      <c r="BX137" s="2508">
        <v>0</v>
      </c>
    </row>
    <row r="138" spans="1:76" s="98" customFormat="1" ht="15" customHeight="1">
      <c r="A138" s="99"/>
      <c r="B138" s="161"/>
      <c r="C138" s="162"/>
      <c r="D138" s="162" t="s">
        <v>2719</v>
      </c>
      <c r="E138" s="162"/>
      <c r="F138" s="162"/>
      <c r="G138" s="163"/>
      <c r="H138" s="163"/>
      <c r="I138" s="2503"/>
      <c r="J138" s="2503"/>
      <c r="K138" s="2503"/>
      <c r="L138" s="2503"/>
      <c r="M138" s="2503"/>
      <c r="N138" s="2503"/>
      <c r="O138" s="2503"/>
      <c r="P138" s="2503"/>
      <c r="Q138" s="2503"/>
      <c r="R138" s="2503"/>
      <c r="S138" s="2503"/>
      <c r="T138" s="2503"/>
      <c r="U138" s="2503"/>
      <c r="V138" s="2503"/>
      <c r="W138" s="163"/>
      <c r="X138" s="2503"/>
      <c r="Y138" s="2503"/>
      <c r="Z138" s="2503"/>
      <c r="AA138" s="2503"/>
      <c r="AB138" s="2503"/>
      <c r="AC138" s="2503"/>
      <c r="AD138" s="2503"/>
      <c r="AE138" s="2503"/>
      <c r="AF138" s="2503"/>
      <c r="AG138" s="2503"/>
      <c r="AH138" s="2503"/>
      <c r="AI138" s="2503"/>
      <c r="AJ138" s="2503"/>
      <c r="AK138" s="2503"/>
      <c r="AM138" s="164" t="s">
        <v>2233</v>
      </c>
      <c r="AN138" s="143">
        <v>0</v>
      </c>
      <c r="AO138" s="141">
        <v>0</v>
      </c>
      <c r="AP138" s="141">
        <v>0</v>
      </c>
      <c r="AQ138" s="141">
        <v>0</v>
      </c>
      <c r="AR138" s="141">
        <v>0</v>
      </c>
      <c r="AS138" s="141">
        <v>0</v>
      </c>
      <c r="AT138" s="141">
        <v>0</v>
      </c>
      <c r="AU138" s="144">
        <v>0</v>
      </c>
      <c r="AV138" s="143">
        <v>0</v>
      </c>
      <c r="AW138" s="141">
        <v>0</v>
      </c>
      <c r="AX138" s="141">
        <v>0</v>
      </c>
      <c r="AY138" s="141">
        <v>0</v>
      </c>
      <c r="AZ138" s="144">
        <v>0</v>
      </c>
      <c r="BA138" s="185"/>
      <c r="BB138" s="522" t="s">
        <v>2233</v>
      </c>
      <c r="BC138" s="141">
        <v>0</v>
      </c>
      <c r="BD138" s="522" t="s">
        <v>2233</v>
      </c>
      <c r="BE138" s="141">
        <v>0</v>
      </c>
      <c r="BF138" s="522" t="s">
        <v>2233</v>
      </c>
      <c r="BG138" s="141">
        <v>0</v>
      </c>
      <c r="BH138" s="607" t="s">
        <v>627</v>
      </c>
      <c r="BI138" s="868">
        <v>0</v>
      </c>
      <c r="BJ138" s="185"/>
      <c r="BQ138" s="522" t="s">
        <v>2233</v>
      </c>
      <c r="BR138" s="141">
        <v>0</v>
      </c>
      <c r="BS138" s="522" t="s">
        <v>2233</v>
      </c>
      <c r="BT138" s="141">
        <v>0</v>
      </c>
      <c r="BU138" s="522" t="s">
        <v>2233</v>
      </c>
      <c r="BV138" s="141">
        <v>0</v>
      </c>
      <c r="BW138" s="545" t="s">
        <v>627</v>
      </c>
      <c r="BX138" s="2508">
        <v>0</v>
      </c>
    </row>
    <row r="139" spans="1:76" s="98" customFormat="1" ht="15" customHeight="1">
      <c r="A139" s="99"/>
      <c r="B139" s="161"/>
      <c r="C139" s="162"/>
      <c r="D139" s="162" t="s">
        <v>2726</v>
      </c>
      <c r="E139" s="162"/>
      <c r="F139" s="162"/>
      <c r="G139" s="163"/>
      <c r="H139" s="163"/>
      <c r="I139" s="2503"/>
      <c r="J139" s="2503"/>
      <c r="K139" s="2503"/>
      <c r="L139" s="2503"/>
      <c r="M139" s="2503"/>
      <c r="N139" s="2503"/>
      <c r="O139" s="2503"/>
      <c r="P139" s="2503"/>
      <c r="Q139" s="2503"/>
      <c r="R139" s="2503"/>
      <c r="S139" s="2503"/>
      <c r="T139" s="2503"/>
      <c r="U139" s="2503"/>
      <c r="V139" s="2503"/>
      <c r="W139" s="163"/>
      <c r="X139" s="2503"/>
      <c r="Y139" s="2503"/>
      <c r="Z139" s="2503"/>
      <c r="AA139" s="2503"/>
      <c r="AB139" s="2503"/>
      <c r="AC139" s="2503"/>
      <c r="AD139" s="2503"/>
      <c r="AE139" s="2503"/>
      <c r="AF139" s="2503"/>
      <c r="AG139" s="2503"/>
      <c r="AH139" s="2503"/>
      <c r="AI139" s="2503"/>
      <c r="AJ139" s="2503"/>
      <c r="AK139" s="2503"/>
      <c r="AM139" s="164" t="s">
        <v>2233</v>
      </c>
      <c r="AN139" s="143">
        <v>0</v>
      </c>
      <c r="AO139" s="141">
        <v>0</v>
      </c>
      <c r="AP139" s="141">
        <v>0</v>
      </c>
      <c r="AQ139" s="141">
        <v>0</v>
      </c>
      <c r="AR139" s="141">
        <v>0</v>
      </c>
      <c r="AS139" s="141">
        <v>0</v>
      </c>
      <c r="AT139" s="141">
        <v>0</v>
      </c>
      <c r="AU139" s="144">
        <v>0</v>
      </c>
      <c r="AV139" s="143">
        <v>0</v>
      </c>
      <c r="AW139" s="141">
        <v>0</v>
      </c>
      <c r="AX139" s="141">
        <v>0</v>
      </c>
      <c r="AY139" s="141">
        <v>0</v>
      </c>
      <c r="AZ139" s="144">
        <v>0</v>
      </c>
      <c r="BA139" s="185"/>
      <c r="BB139" s="522" t="s">
        <v>2233</v>
      </c>
      <c r="BC139" s="141">
        <v>0</v>
      </c>
      <c r="BD139" s="522" t="s">
        <v>2233</v>
      </c>
      <c r="BE139" s="141">
        <v>0</v>
      </c>
      <c r="BF139" s="522" t="s">
        <v>2233</v>
      </c>
      <c r="BG139" s="141">
        <v>0</v>
      </c>
      <c r="BH139" s="607" t="s">
        <v>627</v>
      </c>
      <c r="BI139" s="868">
        <v>0</v>
      </c>
      <c r="BJ139" s="185"/>
      <c r="BQ139" s="522" t="s">
        <v>2233</v>
      </c>
      <c r="BR139" s="141">
        <v>0</v>
      </c>
      <c r="BS139" s="522" t="s">
        <v>2233</v>
      </c>
      <c r="BT139" s="141">
        <v>0</v>
      </c>
      <c r="BU139" s="522" t="s">
        <v>2233</v>
      </c>
      <c r="BV139" s="141">
        <v>0</v>
      </c>
      <c r="BW139" s="545" t="s">
        <v>627</v>
      </c>
      <c r="BX139" s="2508">
        <v>0</v>
      </c>
    </row>
    <row r="140" spans="1:76" s="98" customFormat="1" ht="15" customHeight="1">
      <c r="A140" s="99"/>
      <c r="B140" s="161"/>
      <c r="C140" s="162"/>
      <c r="D140" s="162" t="s">
        <v>2727</v>
      </c>
      <c r="E140" s="162"/>
      <c r="F140" s="162"/>
      <c r="G140" s="163"/>
      <c r="H140" s="163"/>
      <c r="I140" s="2503"/>
      <c r="J140" s="2503"/>
      <c r="K140" s="2503"/>
      <c r="L140" s="2503"/>
      <c r="M140" s="2503"/>
      <c r="N140" s="2503"/>
      <c r="O140" s="2503"/>
      <c r="P140" s="2503"/>
      <c r="Q140" s="2503"/>
      <c r="R140" s="2503"/>
      <c r="S140" s="2503"/>
      <c r="T140" s="2503"/>
      <c r="U140" s="2503"/>
      <c r="V140" s="2503"/>
      <c r="W140" s="163"/>
      <c r="X140" s="2503"/>
      <c r="Y140" s="2503"/>
      <c r="Z140" s="2503"/>
      <c r="AA140" s="2503"/>
      <c r="AB140" s="2503"/>
      <c r="AC140" s="2503"/>
      <c r="AD140" s="2503"/>
      <c r="AE140" s="2503"/>
      <c r="AF140" s="2503"/>
      <c r="AG140" s="2503"/>
      <c r="AH140" s="2503"/>
      <c r="AI140" s="2503"/>
      <c r="AJ140" s="2503"/>
      <c r="AK140" s="2503"/>
      <c r="AM140" s="164" t="s">
        <v>2233</v>
      </c>
      <c r="AN140" s="143">
        <v>0</v>
      </c>
      <c r="AO140" s="141">
        <v>0</v>
      </c>
      <c r="AP140" s="141">
        <v>0</v>
      </c>
      <c r="AQ140" s="141">
        <v>0</v>
      </c>
      <c r="AR140" s="141">
        <v>0</v>
      </c>
      <c r="AS140" s="141">
        <v>0</v>
      </c>
      <c r="AT140" s="141">
        <v>0</v>
      </c>
      <c r="AU140" s="144">
        <v>0</v>
      </c>
      <c r="AV140" s="143">
        <v>0</v>
      </c>
      <c r="AW140" s="141">
        <v>0</v>
      </c>
      <c r="AX140" s="141">
        <v>0</v>
      </c>
      <c r="AY140" s="141">
        <v>0</v>
      </c>
      <c r="AZ140" s="144">
        <v>0</v>
      </c>
      <c r="BA140" s="185"/>
      <c r="BB140" s="522" t="s">
        <v>2233</v>
      </c>
      <c r="BC140" s="141">
        <v>0</v>
      </c>
      <c r="BD140" s="522" t="s">
        <v>2233</v>
      </c>
      <c r="BE140" s="141">
        <v>0</v>
      </c>
      <c r="BF140" s="522" t="s">
        <v>2233</v>
      </c>
      <c r="BG140" s="141">
        <v>0</v>
      </c>
      <c r="BH140" s="607" t="s">
        <v>627</v>
      </c>
      <c r="BI140" s="868">
        <v>0</v>
      </c>
      <c r="BJ140" s="185"/>
      <c r="BQ140" s="522" t="s">
        <v>2233</v>
      </c>
      <c r="BR140" s="141">
        <v>0</v>
      </c>
      <c r="BS140" s="522" t="s">
        <v>2233</v>
      </c>
      <c r="BT140" s="141">
        <v>0</v>
      </c>
      <c r="BU140" s="522" t="s">
        <v>2233</v>
      </c>
      <c r="BV140" s="141">
        <v>0</v>
      </c>
      <c r="BW140" s="545" t="s">
        <v>627</v>
      </c>
      <c r="BX140" s="2508">
        <v>0</v>
      </c>
    </row>
    <row r="141" spans="1:76" s="98" customFormat="1" ht="15" customHeight="1">
      <c r="A141" s="99"/>
      <c r="B141" s="161"/>
      <c r="C141" s="162"/>
      <c r="D141" s="162" t="s">
        <v>2728</v>
      </c>
      <c r="E141" s="162"/>
      <c r="F141" s="162"/>
      <c r="G141" s="163"/>
      <c r="H141" s="163"/>
      <c r="I141" s="2503"/>
      <c r="J141" s="2503"/>
      <c r="K141" s="2503"/>
      <c r="L141" s="2503"/>
      <c r="M141" s="2503"/>
      <c r="N141" s="2503"/>
      <c r="O141" s="2503"/>
      <c r="P141" s="2503"/>
      <c r="Q141" s="2503"/>
      <c r="R141" s="2503"/>
      <c r="S141" s="2503"/>
      <c r="T141" s="2503"/>
      <c r="U141" s="2503"/>
      <c r="V141" s="2503"/>
      <c r="W141" s="163"/>
      <c r="X141" s="2503"/>
      <c r="Y141" s="2503"/>
      <c r="Z141" s="2503"/>
      <c r="AA141" s="2503"/>
      <c r="AB141" s="2503"/>
      <c r="AC141" s="2503"/>
      <c r="AD141" s="2503"/>
      <c r="AE141" s="2503"/>
      <c r="AF141" s="2503"/>
      <c r="AG141" s="2503"/>
      <c r="AH141" s="2503"/>
      <c r="AI141" s="2503"/>
      <c r="AJ141" s="2503"/>
      <c r="AK141" s="2503"/>
      <c r="AM141" s="164" t="s">
        <v>2233</v>
      </c>
      <c r="AN141" s="143">
        <v>0</v>
      </c>
      <c r="AO141" s="141">
        <v>0</v>
      </c>
      <c r="AP141" s="141">
        <v>0</v>
      </c>
      <c r="AQ141" s="141">
        <v>0</v>
      </c>
      <c r="AR141" s="141">
        <v>0</v>
      </c>
      <c r="AS141" s="141">
        <v>0</v>
      </c>
      <c r="AT141" s="141">
        <v>0</v>
      </c>
      <c r="AU141" s="144">
        <v>0</v>
      </c>
      <c r="AV141" s="143">
        <v>0</v>
      </c>
      <c r="AW141" s="141">
        <v>0</v>
      </c>
      <c r="AX141" s="141">
        <v>0</v>
      </c>
      <c r="AY141" s="141">
        <v>0</v>
      </c>
      <c r="AZ141" s="144">
        <v>0</v>
      </c>
      <c r="BA141" s="185"/>
      <c r="BB141" s="522" t="s">
        <v>2233</v>
      </c>
      <c r="BC141" s="141">
        <v>0</v>
      </c>
      <c r="BD141" s="522" t="s">
        <v>2233</v>
      </c>
      <c r="BE141" s="141">
        <v>0</v>
      </c>
      <c r="BF141" s="522" t="s">
        <v>2233</v>
      </c>
      <c r="BG141" s="141">
        <v>0</v>
      </c>
      <c r="BH141" s="607" t="s">
        <v>627</v>
      </c>
      <c r="BI141" s="868">
        <v>0</v>
      </c>
      <c r="BJ141" s="185"/>
      <c r="BQ141" s="522" t="s">
        <v>2233</v>
      </c>
      <c r="BR141" s="141">
        <v>0</v>
      </c>
      <c r="BS141" s="522" t="s">
        <v>2233</v>
      </c>
      <c r="BT141" s="141">
        <v>0</v>
      </c>
      <c r="BU141" s="522" t="s">
        <v>2233</v>
      </c>
      <c r="BV141" s="141">
        <v>0</v>
      </c>
      <c r="BW141" s="545" t="s">
        <v>627</v>
      </c>
      <c r="BX141" s="2508">
        <v>0</v>
      </c>
    </row>
    <row r="142" spans="1:76" s="98" customFormat="1" ht="15" customHeight="1">
      <c r="A142" s="99"/>
      <c r="B142" s="161"/>
      <c r="C142" s="162"/>
      <c r="D142" s="162" t="s">
        <v>2736</v>
      </c>
      <c r="E142" s="162"/>
      <c r="F142" s="162"/>
      <c r="G142" s="163"/>
      <c r="H142" s="163"/>
      <c r="I142" s="2503"/>
      <c r="J142" s="2503"/>
      <c r="K142" s="2503"/>
      <c r="L142" s="2503"/>
      <c r="M142" s="2503"/>
      <c r="N142" s="2503"/>
      <c r="O142" s="2503"/>
      <c r="P142" s="2503"/>
      <c r="Q142" s="2503"/>
      <c r="R142" s="2503"/>
      <c r="S142" s="2503"/>
      <c r="T142" s="2503"/>
      <c r="U142" s="2503"/>
      <c r="V142" s="2503"/>
      <c r="W142" s="163"/>
      <c r="X142" s="2503"/>
      <c r="Y142" s="2503"/>
      <c r="Z142" s="2503"/>
      <c r="AA142" s="2503"/>
      <c r="AB142" s="2503"/>
      <c r="AC142" s="2503"/>
      <c r="AD142" s="2503"/>
      <c r="AE142" s="2503"/>
      <c r="AF142" s="2503"/>
      <c r="AG142" s="2503"/>
      <c r="AH142" s="2503"/>
      <c r="AI142" s="2503"/>
      <c r="AJ142" s="2503"/>
      <c r="AK142" s="2503"/>
      <c r="AM142" s="164" t="s">
        <v>2233</v>
      </c>
      <c r="AN142" s="143">
        <v>0</v>
      </c>
      <c r="AO142" s="141">
        <v>0</v>
      </c>
      <c r="AP142" s="141">
        <v>0</v>
      </c>
      <c r="AQ142" s="141">
        <v>0</v>
      </c>
      <c r="AR142" s="141">
        <v>0</v>
      </c>
      <c r="AS142" s="141">
        <v>0</v>
      </c>
      <c r="AT142" s="141">
        <v>0</v>
      </c>
      <c r="AU142" s="144">
        <v>0</v>
      </c>
      <c r="AV142" s="143">
        <v>0</v>
      </c>
      <c r="AW142" s="141">
        <v>0</v>
      </c>
      <c r="AX142" s="141">
        <v>0</v>
      </c>
      <c r="AY142" s="141">
        <v>0</v>
      </c>
      <c r="AZ142" s="144">
        <v>0</v>
      </c>
      <c r="BA142" s="185"/>
      <c r="BB142" s="522" t="s">
        <v>2233</v>
      </c>
      <c r="BC142" s="141">
        <v>0</v>
      </c>
      <c r="BD142" s="522" t="s">
        <v>2233</v>
      </c>
      <c r="BE142" s="141">
        <v>0</v>
      </c>
      <c r="BF142" s="522" t="s">
        <v>2233</v>
      </c>
      <c r="BG142" s="141">
        <v>0</v>
      </c>
      <c r="BH142" s="607" t="s">
        <v>627</v>
      </c>
      <c r="BI142" s="868">
        <v>0</v>
      </c>
      <c r="BJ142" s="185"/>
      <c r="BQ142" s="522" t="s">
        <v>2233</v>
      </c>
      <c r="BR142" s="141">
        <v>0</v>
      </c>
      <c r="BS142" s="522" t="s">
        <v>2233</v>
      </c>
      <c r="BT142" s="141">
        <v>0</v>
      </c>
      <c r="BU142" s="522" t="s">
        <v>2233</v>
      </c>
      <c r="BV142" s="141">
        <v>0</v>
      </c>
      <c r="BW142" s="545" t="s">
        <v>627</v>
      </c>
      <c r="BX142" s="2508">
        <v>0</v>
      </c>
    </row>
    <row r="143" spans="1:76" s="98" customFormat="1" ht="15" customHeight="1">
      <c r="A143" s="99"/>
      <c r="B143" s="161"/>
      <c r="C143" s="162"/>
      <c r="D143" s="162" t="s">
        <v>2737</v>
      </c>
      <c r="E143" s="162"/>
      <c r="F143" s="162"/>
      <c r="G143" s="163"/>
      <c r="H143" s="163"/>
      <c r="I143" s="2503"/>
      <c r="J143" s="2503"/>
      <c r="K143" s="2503"/>
      <c r="L143" s="2503"/>
      <c r="M143" s="2503"/>
      <c r="N143" s="2503"/>
      <c r="O143" s="2503"/>
      <c r="P143" s="2503"/>
      <c r="Q143" s="2503"/>
      <c r="R143" s="2503"/>
      <c r="S143" s="2503"/>
      <c r="T143" s="2503"/>
      <c r="U143" s="2503"/>
      <c r="V143" s="2503"/>
      <c r="W143" s="163"/>
      <c r="X143" s="2503"/>
      <c r="Y143" s="2503"/>
      <c r="Z143" s="2503"/>
      <c r="AA143" s="2503"/>
      <c r="AB143" s="2503"/>
      <c r="AC143" s="2503"/>
      <c r="AD143" s="2503"/>
      <c r="AE143" s="2503"/>
      <c r="AF143" s="2503"/>
      <c r="AG143" s="2503"/>
      <c r="AH143" s="2503"/>
      <c r="AI143" s="2503"/>
      <c r="AJ143" s="2503"/>
      <c r="AK143" s="2503"/>
      <c r="AM143" s="164" t="s">
        <v>2233</v>
      </c>
      <c r="AN143" s="143">
        <v>0</v>
      </c>
      <c r="AO143" s="141">
        <v>0</v>
      </c>
      <c r="AP143" s="141">
        <v>0</v>
      </c>
      <c r="AQ143" s="141">
        <v>0</v>
      </c>
      <c r="AR143" s="141">
        <v>0</v>
      </c>
      <c r="AS143" s="141">
        <v>0</v>
      </c>
      <c r="AT143" s="141">
        <v>0</v>
      </c>
      <c r="AU143" s="144">
        <v>0</v>
      </c>
      <c r="AV143" s="143">
        <v>0</v>
      </c>
      <c r="AW143" s="141">
        <v>0</v>
      </c>
      <c r="AX143" s="141">
        <v>0</v>
      </c>
      <c r="AY143" s="141">
        <v>0</v>
      </c>
      <c r="AZ143" s="144">
        <v>0</v>
      </c>
      <c r="BA143" s="185"/>
      <c r="BB143" s="522" t="s">
        <v>2233</v>
      </c>
      <c r="BC143" s="141">
        <v>0</v>
      </c>
      <c r="BD143" s="522" t="s">
        <v>2233</v>
      </c>
      <c r="BE143" s="141">
        <v>0</v>
      </c>
      <c r="BF143" s="522" t="s">
        <v>2233</v>
      </c>
      <c r="BG143" s="141">
        <v>0</v>
      </c>
      <c r="BH143" s="607" t="s">
        <v>627</v>
      </c>
      <c r="BI143" s="868">
        <v>0</v>
      </c>
      <c r="BJ143" s="185"/>
      <c r="BQ143" s="522" t="s">
        <v>2233</v>
      </c>
      <c r="BR143" s="141">
        <v>0</v>
      </c>
      <c r="BS143" s="522" t="s">
        <v>2233</v>
      </c>
      <c r="BT143" s="141">
        <v>0</v>
      </c>
      <c r="BU143" s="522" t="s">
        <v>2233</v>
      </c>
      <c r="BV143" s="141">
        <v>0</v>
      </c>
      <c r="BW143" s="545" t="s">
        <v>627</v>
      </c>
      <c r="BX143" s="2508">
        <v>0</v>
      </c>
    </row>
    <row r="144" spans="1:76" s="98" customFormat="1" ht="15" customHeight="1">
      <c r="A144" s="99"/>
      <c r="B144" s="161"/>
      <c r="C144" s="162" t="s">
        <v>1710</v>
      </c>
      <c r="D144" s="162"/>
      <c r="E144" s="162"/>
      <c r="F144" s="162"/>
      <c r="G144" s="163"/>
      <c r="H144" s="163"/>
      <c r="I144" s="2503"/>
      <c r="J144" s="2503"/>
      <c r="K144" s="2503"/>
      <c r="L144" s="2503"/>
      <c r="M144" s="2503"/>
      <c r="N144" s="2503"/>
      <c r="O144" s="2503"/>
      <c r="P144" s="2503"/>
      <c r="Q144" s="2503"/>
      <c r="R144" s="2503"/>
      <c r="S144" s="2503"/>
      <c r="T144" s="2503"/>
      <c r="U144" s="2503"/>
      <c r="V144" s="2503"/>
      <c r="W144" s="163"/>
      <c r="X144" s="2503"/>
      <c r="Y144" s="2503"/>
      <c r="Z144" s="2503"/>
      <c r="AA144" s="2503"/>
      <c r="AB144" s="2503"/>
      <c r="AC144" s="2503"/>
      <c r="AD144" s="2503"/>
      <c r="AE144" s="2503"/>
      <c r="AF144" s="2503"/>
      <c r="AG144" s="2503"/>
      <c r="AH144" s="2503"/>
      <c r="AI144" s="2503"/>
      <c r="AJ144" s="2503"/>
      <c r="AK144" s="2503"/>
      <c r="AM144" s="164" t="s">
        <v>2233</v>
      </c>
      <c r="AN144" s="641">
        <f>SUM(AN135:AN143)</f>
        <v>0</v>
      </c>
      <c r="AO144" s="642">
        <f t="shared" ref="AO144:AZ144" si="202">SUM(AO135:AO143)</f>
        <v>0</v>
      </c>
      <c r="AP144" s="642">
        <f t="shared" si="202"/>
        <v>0</v>
      </c>
      <c r="AQ144" s="642">
        <f t="shared" si="202"/>
        <v>0</v>
      </c>
      <c r="AR144" s="642">
        <f t="shared" si="202"/>
        <v>0</v>
      </c>
      <c r="AS144" s="642">
        <f t="shared" si="202"/>
        <v>0</v>
      </c>
      <c r="AT144" s="642">
        <f t="shared" si="202"/>
        <v>0</v>
      </c>
      <c r="AU144" s="643">
        <f t="shared" si="202"/>
        <v>0</v>
      </c>
      <c r="AV144" s="641">
        <f t="shared" si="202"/>
        <v>0</v>
      </c>
      <c r="AW144" s="642">
        <f t="shared" si="202"/>
        <v>0</v>
      </c>
      <c r="AX144" s="642">
        <f t="shared" si="202"/>
        <v>0</v>
      </c>
      <c r="AY144" s="642">
        <f t="shared" si="202"/>
        <v>0</v>
      </c>
      <c r="AZ144" s="643">
        <f t="shared" si="202"/>
        <v>0</v>
      </c>
      <c r="BA144" s="185"/>
      <c r="BB144" s="522" t="s">
        <v>2233</v>
      </c>
      <c r="BC144" s="642">
        <f>SUM(BC135:BC143)</f>
        <v>0</v>
      </c>
      <c r="BD144" s="522" t="s">
        <v>2233</v>
      </c>
      <c r="BE144" s="642">
        <f>SUM(BE135:BE143)</f>
        <v>0</v>
      </c>
      <c r="BF144" s="522" t="s">
        <v>2233</v>
      </c>
      <c r="BG144" s="642">
        <f>SUM(BG135:BG143)</f>
        <v>0</v>
      </c>
      <c r="BH144" s="607" t="s">
        <v>627</v>
      </c>
      <c r="BI144" s="2507"/>
      <c r="BJ144" s="185"/>
      <c r="BQ144" s="522" t="s">
        <v>2233</v>
      </c>
      <c r="BR144" s="642">
        <f>SUM(BR135:BR143)</f>
        <v>0</v>
      </c>
      <c r="BS144" s="522" t="s">
        <v>2233</v>
      </c>
      <c r="BT144" s="642">
        <f>SUM(BT135:BT143)</f>
        <v>0</v>
      </c>
      <c r="BU144" s="522" t="s">
        <v>2233</v>
      </c>
      <c r="BV144" s="642">
        <f>SUM(BV135:BV143)</f>
        <v>0</v>
      </c>
      <c r="BW144" s="545" t="s">
        <v>627</v>
      </c>
      <c r="BX144" s="544"/>
    </row>
    <row r="145" spans="1:76" s="98" customFormat="1" ht="15" customHeight="1">
      <c r="A145" s="99"/>
      <c r="B145" s="123"/>
      <c r="C145" s="127"/>
      <c r="D145" s="127"/>
      <c r="E145" s="127"/>
      <c r="F145" s="127"/>
      <c r="G145" s="117"/>
      <c r="H145" s="117"/>
      <c r="I145" s="2503"/>
      <c r="J145" s="2503"/>
      <c r="K145" s="2503"/>
      <c r="L145" s="2503"/>
      <c r="M145" s="2503"/>
      <c r="N145" s="2503"/>
      <c r="O145" s="2503"/>
      <c r="P145" s="2503"/>
      <c r="Q145" s="2503"/>
      <c r="R145" s="2503"/>
      <c r="S145" s="2503"/>
      <c r="T145" s="2503"/>
      <c r="U145" s="2503"/>
      <c r="V145" s="2503"/>
      <c r="W145" s="117"/>
      <c r="X145" s="2503"/>
      <c r="Y145" s="2503"/>
      <c r="Z145" s="2503"/>
      <c r="AA145" s="2503"/>
      <c r="AB145" s="2503"/>
      <c r="AC145" s="2503"/>
      <c r="AD145" s="2503"/>
      <c r="AE145" s="2503"/>
      <c r="AF145" s="2503"/>
      <c r="AG145" s="2503"/>
      <c r="AH145" s="2503"/>
      <c r="AI145" s="2503"/>
      <c r="AJ145" s="2503"/>
      <c r="AK145" s="2503"/>
      <c r="AM145" s="117"/>
      <c r="AN145" s="159"/>
      <c r="AO145" s="117"/>
      <c r="AP145" s="117"/>
      <c r="AQ145" s="117"/>
      <c r="AR145" s="117"/>
      <c r="AS145" s="117"/>
      <c r="AT145" s="117"/>
      <c r="AU145" s="160"/>
      <c r="AV145" s="159"/>
      <c r="AW145" s="117"/>
      <c r="AX145" s="117"/>
      <c r="AY145" s="117"/>
      <c r="AZ145" s="160"/>
      <c r="BA145" s="185"/>
      <c r="BB145" s="530"/>
      <c r="BC145" s="700"/>
      <c r="BD145" s="530"/>
      <c r="BE145" s="700"/>
      <c r="BF145" s="530"/>
      <c r="BG145" s="700"/>
      <c r="BH145" s="530"/>
      <c r="BI145" s="530"/>
      <c r="BJ145" s="530"/>
      <c r="BQ145" s="530"/>
      <c r="BR145" s="700"/>
      <c r="BS145" s="530"/>
      <c r="BT145" s="700"/>
      <c r="BU145" s="530"/>
      <c r="BV145" s="700"/>
      <c r="BW145" s="530"/>
      <c r="BX145" s="544"/>
    </row>
    <row r="146" spans="1:76" s="98" customFormat="1" ht="15" customHeight="1">
      <c r="A146" s="99"/>
      <c r="B146" s="161"/>
      <c r="C146" s="116" t="s">
        <v>2722</v>
      </c>
      <c r="D146" s="116"/>
      <c r="E146" s="116"/>
      <c r="F146" s="116"/>
      <c r="G146" s="117"/>
      <c r="H146" s="117"/>
      <c r="I146" s="2503"/>
      <c r="J146" s="2503"/>
      <c r="K146" s="2503"/>
      <c r="L146" s="2503"/>
      <c r="M146" s="2503"/>
      <c r="N146" s="2503"/>
      <c r="O146" s="2503"/>
      <c r="P146" s="2503"/>
      <c r="Q146" s="2503"/>
      <c r="R146" s="2503"/>
      <c r="S146" s="2503"/>
      <c r="T146" s="2503"/>
      <c r="U146" s="2503"/>
      <c r="V146" s="2503"/>
      <c r="W146" s="185"/>
      <c r="X146" s="2503"/>
      <c r="Y146" s="2503"/>
      <c r="Z146" s="2503"/>
      <c r="AA146" s="2503"/>
      <c r="AB146" s="2503"/>
      <c r="AC146" s="2503"/>
      <c r="AD146" s="2503"/>
      <c r="AE146" s="2503"/>
      <c r="AF146" s="2503"/>
      <c r="AG146" s="2503"/>
      <c r="AH146" s="2503"/>
      <c r="AI146" s="2503"/>
      <c r="AJ146" s="2503"/>
      <c r="AK146" s="2503"/>
      <c r="AM146" s="117"/>
      <c r="AN146" s="713"/>
      <c r="AO146" s="721"/>
      <c r="AP146" s="721"/>
      <c r="AQ146" s="721"/>
      <c r="AR146" s="721"/>
      <c r="AS146" s="721"/>
      <c r="AT146" s="721"/>
      <c r="AU146" s="715"/>
      <c r="AV146" s="713"/>
      <c r="AW146" s="721"/>
      <c r="AX146" s="721"/>
      <c r="AY146" s="721"/>
      <c r="AZ146" s="715"/>
      <c r="BA146" s="185"/>
      <c r="BB146" s="185"/>
      <c r="BC146" s="185"/>
      <c r="BD146" s="185"/>
      <c r="BE146" s="185"/>
      <c r="BF146" s="185"/>
      <c r="BG146" s="185"/>
      <c r="BH146" s="185"/>
      <c r="BI146" s="185"/>
      <c r="BJ146" s="185"/>
      <c r="BQ146" s="185"/>
      <c r="BR146" s="185"/>
      <c r="BS146" s="185"/>
      <c r="BT146" s="185"/>
      <c r="BU146" s="185"/>
      <c r="BV146" s="185"/>
      <c r="BW146" s="185"/>
      <c r="BX146" s="215"/>
    </row>
    <row r="147" spans="1:76" s="98" customFormat="1" ht="15" customHeight="1">
      <c r="A147" s="99"/>
      <c r="B147" s="161"/>
      <c r="C147" s="162"/>
      <c r="D147" s="162" t="s">
        <v>2716</v>
      </c>
      <c r="E147" s="162"/>
      <c r="F147" s="162"/>
      <c r="G147" s="163"/>
      <c r="H147" s="163"/>
      <c r="I147" s="2503"/>
      <c r="J147" s="2503"/>
      <c r="K147" s="2503"/>
      <c r="L147" s="2503"/>
      <c r="M147" s="2503"/>
      <c r="N147" s="2503"/>
      <c r="O147" s="2503"/>
      <c r="P147" s="2503"/>
      <c r="Q147" s="2503"/>
      <c r="R147" s="2503"/>
      <c r="S147" s="2503"/>
      <c r="T147" s="2503"/>
      <c r="U147" s="2503"/>
      <c r="V147" s="2503"/>
      <c r="W147" s="185"/>
      <c r="X147" s="2503"/>
      <c r="Y147" s="2503"/>
      <c r="Z147" s="2503"/>
      <c r="AA147" s="2503"/>
      <c r="AB147" s="2503"/>
      <c r="AC147" s="2503"/>
      <c r="AD147" s="2503"/>
      <c r="AE147" s="2503"/>
      <c r="AF147" s="2503"/>
      <c r="AG147" s="2503"/>
      <c r="AH147" s="2503"/>
      <c r="AI147" s="2503"/>
      <c r="AJ147" s="2503"/>
      <c r="AK147" s="2503"/>
      <c r="AM147" s="164" t="s">
        <v>2233</v>
      </c>
      <c r="AN147" s="143">
        <v>0</v>
      </c>
      <c r="AO147" s="141">
        <v>0</v>
      </c>
      <c r="AP147" s="141">
        <v>0</v>
      </c>
      <c r="AQ147" s="141">
        <v>0</v>
      </c>
      <c r="AR147" s="141">
        <v>0</v>
      </c>
      <c r="AS147" s="141">
        <v>0</v>
      </c>
      <c r="AT147" s="141">
        <v>0</v>
      </c>
      <c r="AU147" s="144">
        <v>0</v>
      </c>
      <c r="AV147" s="143">
        <v>0</v>
      </c>
      <c r="AW147" s="141">
        <v>0</v>
      </c>
      <c r="AX147" s="141">
        <v>0</v>
      </c>
      <c r="AY147" s="141">
        <v>0</v>
      </c>
      <c r="AZ147" s="144">
        <v>0</v>
      </c>
      <c r="BA147" s="185"/>
      <c r="BB147" s="522" t="s">
        <v>2233</v>
      </c>
      <c r="BC147" s="141">
        <v>0</v>
      </c>
      <c r="BD147" s="522" t="s">
        <v>2233</v>
      </c>
      <c r="BE147" s="141">
        <v>0</v>
      </c>
      <c r="BF147" s="522" t="s">
        <v>2233</v>
      </c>
      <c r="BG147" s="141">
        <v>0</v>
      </c>
      <c r="BH147" s="607" t="s">
        <v>627</v>
      </c>
      <c r="BI147" s="868">
        <v>0</v>
      </c>
      <c r="BJ147" s="185"/>
      <c r="BQ147" s="522" t="s">
        <v>2233</v>
      </c>
      <c r="BR147" s="141">
        <v>0</v>
      </c>
      <c r="BS147" s="522" t="s">
        <v>2233</v>
      </c>
      <c r="BT147" s="141">
        <v>0</v>
      </c>
      <c r="BU147" s="522" t="s">
        <v>2233</v>
      </c>
      <c r="BV147" s="141">
        <v>0</v>
      </c>
      <c r="BW147" s="607" t="s">
        <v>627</v>
      </c>
      <c r="BX147" s="872">
        <v>0</v>
      </c>
    </row>
    <row r="148" spans="1:76" s="98" customFormat="1" ht="15" customHeight="1">
      <c r="A148" s="99"/>
      <c r="B148" s="123"/>
      <c r="C148" s="127"/>
      <c r="D148" s="127"/>
      <c r="E148" s="127"/>
      <c r="F148" s="127"/>
      <c r="G148" s="117"/>
      <c r="H148" s="117"/>
      <c r="I148" s="2503"/>
      <c r="J148" s="2503"/>
      <c r="K148" s="2503"/>
      <c r="L148" s="2503"/>
      <c r="M148" s="2503"/>
      <c r="N148" s="2503"/>
      <c r="O148" s="2503"/>
      <c r="P148" s="2503"/>
      <c r="Q148" s="2503"/>
      <c r="R148" s="2503"/>
      <c r="S148" s="2503"/>
      <c r="T148" s="2503"/>
      <c r="U148" s="2503"/>
      <c r="V148" s="2503"/>
      <c r="W148" s="185"/>
      <c r="X148" s="2503"/>
      <c r="Y148" s="2503"/>
      <c r="Z148" s="2503"/>
      <c r="AA148" s="2503"/>
      <c r="AB148" s="2503"/>
      <c r="AC148" s="2503"/>
      <c r="AD148" s="2503"/>
      <c r="AE148" s="2503"/>
      <c r="AF148" s="2503"/>
      <c r="AG148" s="2503"/>
      <c r="AH148" s="2503"/>
      <c r="AI148" s="2503"/>
      <c r="AJ148" s="2503"/>
      <c r="AK148" s="2503"/>
      <c r="AM148" s="117"/>
      <c r="AN148" s="713"/>
      <c r="AO148" s="721"/>
      <c r="AP148" s="721"/>
      <c r="AQ148" s="721"/>
      <c r="AR148" s="721"/>
      <c r="AS148" s="721"/>
      <c r="AT148" s="721"/>
      <c r="AU148" s="715"/>
      <c r="AV148" s="713"/>
      <c r="AW148" s="721"/>
      <c r="AX148" s="721"/>
      <c r="AY148" s="721"/>
      <c r="AZ148" s="715"/>
      <c r="BA148" s="185"/>
      <c r="BB148" s="185"/>
      <c r="BC148" s="185"/>
      <c r="BD148" s="185"/>
      <c r="BE148" s="185"/>
      <c r="BF148" s="185"/>
      <c r="BG148" s="185"/>
      <c r="BH148" s="185"/>
      <c r="BI148" s="185"/>
      <c r="BJ148" s="185"/>
      <c r="BQ148" s="185"/>
      <c r="BR148" s="185"/>
      <c r="BS148" s="185"/>
      <c r="BT148" s="185"/>
      <c r="BU148" s="185"/>
      <c r="BV148" s="185"/>
      <c r="BW148" s="185"/>
      <c r="BX148" s="215"/>
    </row>
    <row r="149" spans="1:76" s="98" customFormat="1" ht="15" customHeight="1">
      <c r="A149" s="99"/>
      <c r="B149" s="161"/>
      <c r="C149" s="116" t="s">
        <v>2755</v>
      </c>
      <c r="D149" s="116"/>
      <c r="E149" s="116"/>
      <c r="F149" s="116"/>
      <c r="G149" s="117"/>
      <c r="H149" s="117"/>
      <c r="I149" s="2503"/>
      <c r="J149" s="2503"/>
      <c r="K149" s="2503"/>
      <c r="L149" s="2503"/>
      <c r="M149" s="2503"/>
      <c r="N149" s="2503"/>
      <c r="O149" s="2503"/>
      <c r="P149" s="2503"/>
      <c r="Q149" s="2503"/>
      <c r="R149" s="2503"/>
      <c r="S149" s="2503"/>
      <c r="T149" s="2503"/>
      <c r="U149" s="2503"/>
      <c r="V149" s="2503"/>
      <c r="W149" s="185"/>
      <c r="X149" s="2503"/>
      <c r="Y149" s="2503"/>
      <c r="Z149" s="2503"/>
      <c r="AA149" s="2503"/>
      <c r="AB149" s="2503"/>
      <c r="AC149" s="2503"/>
      <c r="AD149" s="2503"/>
      <c r="AE149" s="2503"/>
      <c r="AF149" s="2503"/>
      <c r="AG149" s="2503"/>
      <c r="AH149" s="2503"/>
      <c r="AI149" s="2503"/>
      <c r="AJ149" s="2503"/>
      <c r="AK149" s="2503"/>
      <c r="AM149" s="117"/>
      <c r="AN149" s="713"/>
      <c r="AO149" s="721"/>
      <c r="AP149" s="721"/>
      <c r="AQ149" s="721"/>
      <c r="AR149" s="721"/>
      <c r="AS149" s="721"/>
      <c r="AT149" s="721"/>
      <c r="AU149" s="715"/>
      <c r="AV149" s="713"/>
      <c r="AW149" s="721"/>
      <c r="AX149" s="721"/>
      <c r="AY149" s="721"/>
      <c r="AZ149" s="715"/>
      <c r="BA149" s="185"/>
      <c r="BB149" s="185"/>
      <c r="BC149" s="185"/>
      <c r="BD149" s="185"/>
      <c r="BE149" s="185"/>
      <c r="BF149" s="185"/>
      <c r="BG149" s="185"/>
      <c r="BH149" s="185"/>
      <c r="BI149" s="185"/>
      <c r="BJ149" s="185"/>
      <c r="BQ149" s="185"/>
      <c r="BR149" s="185"/>
      <c r="BS149" s="185"/>
      <c r="BT149" s="185"/>
      <c r="BU149" s="185"/>
      <c r="BV149" s="185"/>
      <c r="BW149" s="185"/>
      <c r="BX149" s="215"/>
    </row>
    <row r="150" spans="1:76" s="98" customFormat="1" ht="15" customHeight="1">
      <c r="A150" s="99"/>
      <c r="B150" s="161"/>
      <c r="C150" s="162"/>
      <c r="D150" s="162" t="s">
        <v>2716</v>
      </c>
      <c r="E150" s="162"/>
      <c r="F150" s="162"/>
      <c r="G150" s="163"/>
      <c r="H150" s="163"/>
      <c r="I150" s="2503"/>
      <c r="J150" s="2503"/>
      <c r="K150" s="2503"/>
      <c r="L150" s="2503"/>
      <c r="M150" s="2503"/>
      <c r="N150" s="2503"/>
      <c r="O150" s="2503"/>
      <c r="P150" s="2503"/>
      <c r="Q150" s="2503"/>
      <c r="R150" s="2503"/>
      <c r="S150" s="2503"/>
      <c r="T150" s="2503"/>
      <c r="U150" s="2503"/>
      <c r="V150" s="2503"/>
      <c r="W150" s="185"/>
      <c r="X150" s="2503"/>
      <c r="Y150" s="2503"/>
      <c r="Z150" s="2503"/>
      <c r="AA150" s="2503"/>
      <c r="AB150" s="2503"/>
      <c r="AC150" s="2503"/>
      <c r="AD150" s="2503"/>
      <c r="AE150" s="2503"/>
      <c r="AF150" s="2503"/>
      <c r="AG150" s="2503"/>
      <c r="AH150" s="2503"/>
      <c r="AI150" s="2503"/>
      <c r="AJ150" s="2503"/>
      <c r="AK150" s="2503"/>
      <c r="AM150" s="164" t="s">
        <v>2233</v>
      </c>
      <c r="AN150" s="143">
        <v>0</v>
      </c>
      <c r="AO150" s="141">
        <v>0</v>
      </c>
      <c r="AP150" s="141">
        <v>0</v>
      </c>
      <c r="AQ150" s="141">
        <v>0</v>
      </c>
      <c r="AR150" s="141">
        <v>0</v>
      </c>
      <c r="AS150" s="141">
        <v>0</v>
      </c>
      <c r="AT150" s="141">
        <v>0</v>
      </c>
      <c r="AU150" s="144">
        <v>0</v>
      </c>
      <c r="AV150" s="143">
        <v>0</v>
      </c>
      <c r="AW150" s="141">
        <v>0</v>
      </c>
      <c r="AX150" s="141">
        <v>0</v>
      </c>
      <c r="AY150" s="141">
        <v>0</v>
      </c>
      <c r="AZ150" s="144">
        <v>0</v>
      </c>
      <c r="BA150" s="185"/>
      <c r="BB150" s="522" t="s">
        <v>2233</v>
      </c>
      <c r="BC150" s="141">
        <v>0</v>
      </c>
      <c r="BD150" s="522" t="s">
        <v>2233</v>
      </c>
      <c r="BE150" s="141">
        <v>0</v>
      </c>
      <c r="BF150" s="522" t="s">
        <v>2233</v>
      </c>
      <c r="BG150" s="141">
        <v>0</v>
      </c>
      <c r="BH150" s="607" t="s">
        <v>627</v>
      </c>
      <c r="BI150" s="868">
        <v>0</v>
      </c>
      <c r="BJ150" s="185"/>
      <c r="BQ150" s="522" t="s">
        <v>2233</v>
      </c>
      <c r="BR150" s="141">
        <v>0</v>
      </c>
      <c r="BS150" s="522" t="s">
        <v>2233</v>
      </c>
      <c r="BT150" s="141">
        <v>0</v>
      </c>
      <c r="BU150" s="522" t="s">
        <v>2233</v>
      </c>
      <c r="BV150" s="141">
        <v>0</v>
      </c>
      <c r="BW150" s="545" t="s">
        <v>627</v>
      </c>
      <c r="BX150" s="2508">
        <v>0</v>
      </c>
    </row>
    <row r="151" spans="1:76" s="98" customFormat="1" ht="15" customHeight="1">
      <c r="A151" s="99"/>
      <c r="B151" s="161"/>
      <c r="C151" s="162"/>
      <c r="D151" s="162" t="s">
        <v>2717</v>
      </c>
      <c r="E151" s="162"/>
      <c r="F151" s="162"/>
      <c r="G151" s="163"/>
      <c r="H151" s="163"/>
      <c r="I151" s="2503"/>
      <c r="J151" s="2503"/>
      <c r="K151" s="2503"/>
      <c r="L151" s="2503"/>
      <c r="M151" s="2503"/>
      <c r="N151" s="2503"/>
      <c r="O151" s="2503"/>
      <c r="P151" s="2503"/>
      <c r="Q151" s="2503"/>
      <c r="R151" s="2503"/>
      <c r="S151" s="2503"/>
      <c r="T151" s="2503"/>
      <c r="U151" s="2503"/>
      <c r="V151" s="2503"/>
      <c r="W151" s="185"/>
      <c r="X151" s="2503"/>
      <c r="Y151" s="2503"/>
      <c r="Z151" s="2503"/>
      <c r="AA151" s="2503"/>
      <c r="AB151" s="2503"/>
      <c r="AC151" s="2503"/>
      <c r="AD151" s="2503"/>
      <c r="AE151" s="2503"/>
      <c r="AF151" s="2503"/>
      <c r="AG151" s="2503"/>
      <c r="AH151" s="2503"/>
      <c r="AI151" s="2503"/>
      <c r="AJ151" s="2503"/>
      <c r="AK151" s="2503"/>
      <c r="AM151" s="164" t="s">
        <v>2233</v>
      </c>
      <c r="AN151" s="143">
        <v>0</v>
      </c>
      <c r="AO151" s="141">
        <v>0</v>
      </c>
      <c r="AP151" s="141">
        <v>0</v>
      </c>
      <c r="AQ151" s="141">
        <v>0</v>
      </c>
      <c r="AR151" s="141">
        <v>0</v>
      </c>
      <c r="AS151" s="141">
        <v>0</v>
      </c>
      <c r="AT151" s="141">
        <v>0</v>
      </c>
      <c r="AU151" s="144">
        <v>0</v>
      </c>
      <c r="AV151" s="143">
        <v>0</v>
      </c>
      <c r="AW151" s="141">
        <v>0</v>
      </c>
      <c r="AX151" s="141">
        <v>0</v>
      </c>
      <c r="AY151" s="141">
        <v>0</v>
      </c>
      <c r="AZ151" s="144">
        <v>0</v>
      </c>
      <c r="BA151" s="185"/>
      <c r="BB151" s="522" t="s">
        <v>2233</v>
      </c>
      <c r="BC151" s="141">
        <v>0</v>
      </c>
      <c r="BD151" s="522" t="s">
        <v>2233</v>
      </c>
      <c r="BE151" s="141">
        <v>0</v>
      </c>
      <c r="BF151" s="522" t="s">
        <v>2233</v>
      </c>
      <c r="BG151" s="141">
        <v>0</v>
      </c>
      <c r="BH151" s="607" t="s">
        <v>627</v>
      </c>
      <c r="BI151" s="868">
        <v>0</v>
      </c>
      <c r="BJ151" s="185"/>
      <c r="BQ151" s="522" t="s">
        <v>2233</v>
      </c>
      <c r="BR151" s="141">
        <v>0</v>
      </c>
      <c r="BS151" s="522" t="s">
        <v>2233</v>
      </c>
      <c r="BT151" s="141">
        <v>0</v>
      </c>
      <c r="BU151" s="522" t="s">
        <v>2233</v>
      </c>
      <c r="BV151" s="141">
        <v>0</v>
      </c>
      <c r="BW151" s="545" t="s">
        <v>627</v>
      </c>
      <c r="BX151" s="2508">
        <v>0</v>
      </c>
    </row>
    <row r="152" spans="1:76" s="98" customFormat="1" ht="15" customHeight="1">
      <c r="A152" s="99"/>
      <c r="B152" s="161"/>
      <c r="C152" s="162"/>
      <c r="D152" s="162" t="s">
        <v>2718</v>
      </c>
      <c r="E152" s="162"/>
      <c r="F152" s="162"/>
      <c r="G152" s="163"/>
      <c r="H152" s="163"/>
      <c r="I152" s="2503"/>
      <c r="J152" s="2503"/>
      <c r="K152" s="2503"/>
      <c r="L152" s="2503"/>
      <c r="M152" s="2503"/>
      <c r="N152" s="2503"/>
      <c r="O152" s="2503"/>
      <c r="P152" s="2503"/>
      <c r="Q152" s="2503"/>
      <c r="R152" s="2503"/>
      <c r="S152" s="2503"/>
      <c r="T152" s="2503"/>
      <c r="U152" s="2503"/>
      <c r="V152" s="2503"/>
      <c r="W152" s="185"/>
      <c r="X152" s="2503"/>
      <c r="Y152" s="2503"/>
      <c r="Z152" s="2503"/>
      <c r="AA152" s="2503"/>
      <c r="AB152" s="2503"/>
      <c r="AC152" s="2503"/>
      <c r="AD152" s="2503"/>
      <c r="AE152" s="2503"/>
      <c r="AF152" s="2503"/>
      <c r="AG152" s="2503"/>
      <c r="AH152" s="2503"/>
      <c r="AI152" s="2503"/>
      <c r="AJ152" s="2503"/>
      <c r="AK152" s="2503"/>
      <c r="AM152" s="164" t="s">
        <v>2233</v>
      </c>
      <c r="AN152" s="143">
        <v>0</v>
      </c>
      <c r="AO152" s="141">
        <v>0</v>
      </c>
      <c r="AP152" s="141">
        <v>0</v>
      </c>
      <c r="AQ152" s="141">
        <v>0</v>
      </c>
      <c r="AR152" s="141">
        <v>0</v>
      </c>
      <c r="AS152" s="141">
        <v>0</v>
      </c>
      <c r="AT152" s="141">
        <v>0</v>
      </c>
      <c r="AU152" s="144">
        <v>0</v>
      </c>
      <c r="AV152" s="143">
        <v>0</v>
      </c>
      <c r="AW152" s="141">
        <v>0</v>
      </c>
      <c r="AX152" s="141">
        <v>0</v>
      </c>
      <c r="AY152" s="141">
        <v>0</v>
      </c>
      <c r="AZ152" s="144">
        <v>0</v>
      </c>
      <c r="BA152" s="185"/>
      <c r="BB152" s="522" t="s">
        <v>2233</v>
      </c>
      <c r="BC152" s="141">
        <v>0</v>
      </c>
      <c r="BD152" s="522" t="s">
        <v>2233</v>
      </c>
      <c r="BE152" s="141">
        <v>0</v>
      </c>
      <c r="BF152" s="522" t="s">
        <v>2233</v>
      </c>
      <c r="BG152" s="141">
        <v>0</v>
      </c>
      <c r="BH152" s="607" t="s">
        <v>627</v>
      </c>
      <c r="BI152" s="868">
        <v>0</v>
      </c>
      <c r="BJ152" s="185"/>
      <c r="BQ152" s="522" t="s">
        <v>2233</v>
      </c>
      <c r="BR152" s="141">
        <v>0</v>
      </c>
      <c r="BS152" s="522" t="s">
        <v>2233</v>
      </c>
      <c r="BT152" s="141">
        <v>0</v>
      </c>
      <c r="BU152" s="522" t="s">
        <v>2233</v>
      </c>
      <c r="BV152" s="141">
        <v>0</v>
      </c>
      <c r="BW152" s="545" t="s">
        <v>627</v>
      </c>
      <c r="BX152" s="2508">
        <v>0</v>
      </c>
    </row>
    <row r="153" spans="1:76" s="98" customFormat="1" ht="15" customHeight="1">
      <c r="A153" s="99"/>
      <c r="B153" s="161"/>
      <c r="C153" s="162"/>
      <c r="D153" s="162" t="s">
        <v>2719</v>
      </c>
      <c r="E153" s="162"/>
      <c r="F153" s="162"/>
      <c r="G153" s="163"/>
      <c r="H153" s="163"/>
      <c r="I153" s="2503"/>
      <c r="J153" s="2503"/>
      <c r="K153" s="2503"/>
      <c r="L153" s="2503"/>
      <c r="M153" s="2503"/>
      <c r="N153" s="2503"/>
      <c r="O153" s="2503"/>
      <c r="P153" s="2503"/>
      <c r="Q153" s="2503"/>
      <c r="R153" s="2503"/>
      <c r="S153" s="2503"/>
      <c r="T153" s="2503"/>
      <c r="U153" s="2503"/>
      <c r="V153" s="2503"/>
      <c r="W153" s="185"/>
      <c r="X153" s="2503"/>
      <c r="Y153" s="2503"/>
      <c r="Z153" s="2503"/>
      <c r="AA153" s="2503"/>
      <c r="AB153" s="2503"/>
      <c r="AC153" s="2503"/>
      <c r="AD153" s="2503"/>
      <c r="AE153" s="2503"/>
      <c r="AF153" s="2503"/>
      <c r="AG153" s="2503"/>
      <c r="AH153" s="2503"/>
      <c r="AI153" s="2503"/>
      <c r="AJ153" s="2503"/>
      <c r="AK153" s="2503"/>
      <c r="AM153" s="164" t="s">
        <v>2233</v>
      </c>
      <c r="AN153" s="143">
        <v>0</v>
      </c>
      <c r="AO153" s="141">
        <v>0</v>
      </c>
      <c r="AP153" s="141">
        <v>0</v>
      </c>
      <c r="AQ153" s="141">
        <v>0</v>
      </c>
      <c r="AR153" s="141">
        <v>0</v>
      </c>
      <c r="AS153" s="141">
        <v>0</v>
      </c>
      <c r="AT153" s="141">
        <v>0</v>
      </c>
      <c r="AU153" s="144">
        <v>0</v>
      </c>
      <c r="AV153" s="143">
        <v>0</v>
      </c>
      <c r="AW153" s="141">
        <v>0</v>
      </c>
      <c r="AX153" s="141">
        <v>0</v>
      </c>
      <c r="AY153" s="141">
        <v>0</v>
      </c>
      <c r="AZ153" s="144">
        <v>0</v>
      </c>
      <c r="BA153" s="185"/>
      <c r="BB153" s="522" t="s">
        <v>2233</v>
      </c>
      <c r="BC153" s="141">
        <v>0</v>
      </c>
      <c r="BD153" s="522" t="s">
        <v>2233</v>
      </c>
      <c r="BE153" s="141">
        <v>0</v>
      </c>
      <c r="BF153" s="522" t="s">
        <v>2233</v>
      </c>
      <c r="BG153" s="141">
        <v>0</v>
      </c>
      <c r="BH153" s="607" t="s">
        <v>627</v>
      </c>
      <c r="BI153" s="868">
        <v>0</v>
      </c>
      <c r="BJ153" s="185"/>
      <c r="BQ153" s="522" t="s">
        <v>2233</v>
      </c>
      <c r="BR153" s="141">
        <v>0</v>
      </c>
      <c r="BS153" s="522" t="s">
        <v>2233</v>
      </c>
      <c r="BT153" s="141">
        <v>0</v>
      </c>
      <c r="BU153" s="522" t="s">
        <v>2233</v>
      </c>
      <c r="BV153" s="141">
        <v>0</v>
      </c>
      <c r="BW153" s="545" t="s">
        <v>627</v>
      </c>
      <c r="BX153" s="2508">
        <v>0</v>
      </c>
    </row>
    <row r="154" spans="1:76" s="98" customFormat="1" ht="15" customHeight="1">
      <c r="A154" s="99"/>
      <c r="B154" s="161"/>
      <c r="C154" s="162"/>
      <c r="D154" s="162" t="s">
        <v>2726</v>
      </c>
      <c r="E154" s="162"/>
      <c r="F154" s="162"/>
      <c r="G154" s="163"/>
      <c r="H154" s="163"/>
      <c r="I154" s="2503"/>
      <c r="J154" s="2503"/>
      <c r="K154" s="2503"/>
      <c r="L154" s="2503"/>
      <c r="M154" s="2503"/>
      <c r="N154" s="2503"/>
      <c r="O154" s="2503"/>
      <c r="P154" s="2503"/>
      <c r="Q154" s="2503"/>
      <c r="R154" s="2503"/>
      <c r="S154" s="2503"/>
      <c r="T154" s="2503"/>
      <c r="U154" s="2503"/>
      <c r="V154" s="2503"/>
      <c r="W154" s="185"/>
      <c r="X154" s="2503"/>
      <c r="Y154" s="2503"/>
      <c r="Z154" s="2503"/>
      <c r="AA154" s="2503"/>
      <c r="AB154" s="2503"/>
      <c r="AC154" s="2503"/>
      <c r="AD154" s="2503"/>
      <c r="AE154" s="2503"/>
      <c r="AF154" s="2503"/>
      <c r="AG154" s="2503"/>
      <c r="AH154" s="2503"/>
      <c r="AI154" s="2503"/>
      <c r="AJ154" s="2503"/>
      <c r="AK154" s="2503"/>
      <c r="AM154" s="164" t="s">
        <v>2233</v>
      </c>
      <c r="AN154" s="143">
        <v>0</v>
      </c>
      <c r="AO154" s="141">
        <v>0</v>
      </c>
      <c r="AP154" s="141">
        <v>0</v>
      </c>
      <c r="AQ154" s="141">
        <v>0</v>
      </c>
      <c r="AR154" s="141">
        <v>0</v>
      </c>
      <c r="AS154" s="141">
        <v>0</v>
      </c>
      <c r="AT154" s="141">
        <v>0</v>
      </c>
      <c r="AU154" s="144">
        <v>0</v>
      </c>
      <c r="AV154" s="143">
        <v>0</v>
      </c>
      <c r="AW154" s="141">
        <v>0</v>
      </c>
      <c r="AX154" s="141">
        <v>0</v>
      </c>
      <c r="AY154" s="141">
        <v>0</v>
      </c>
      <c r="AZ154" s="144">
        <v>0</v>
      </c>
      <c r="BA154" s="185"/>
      <c r="BB154" s="522" t="s">
        <v>2233</v>
      </c>
      <c r="BC154" s="141">
        <v>0</v>
      </c>
      <c r="BD154" s="522" t="s">
        <v>2233</v>
      </c>
      <c r="BE154" s="141">
        <v>0</v>
      </c>
      <c r="BF154" s="522" t="s">
        <v>2233</v>
      </c>
      <c r="BG154" s="141">
        <v>0</v>
      </c>
      <c r="BH154" s="607" t="s">
        <v>627</v>
      </c>
      <c r="BI154" s="868">
        <v>0</v>
      </c>
      <c r="BJ154" s="185"/>
      <c r="BQ154" s="522" t="s">
        <v>2233</v>
      </c>
      <c r="BR154" s="141">
        <v>0</v>
      </c>
      <c r="BS154" s="522" t="s">
        <v>2233</v>
      </c>
      <c r="BT154" s="141">
        <v>0</v>
      </c>
      <c r="BU154" s="522" t="s">
        <v>2233</v>
      </c>
      <c r="BV154" s="141">
        <v>0</v>
      </c>
      <c r="BW154" s="545" t="s">
        <v>627</v>
      </c>
      <c r="BX154" s="2508">
        <v>0</v>
      </c>
    </row>
    <row r="155" spans="1:76" s="98" customFormat="1" ht="15" customHeight="1">
      <c r="A155" s="99"/>
      <c r="B155" s="161"/>
      <c r="C155" s="162"/>
      <c r="D155" s="162" t="s">
        <v>2727</v>
      </c>
      <c r="E155" s="162"/>
      <c r="F155" s="162"/>
      <c r="G155" s="163"/>
      <c r="H155" s="163"/>
      <c r="I155" s="2503"/>
      <c r="J155" s="2503"/>
      <c r="K155" s="2503"/>
      <c r="L155" s="2503"/>
      <c r="M155" s="2503"/>
      <c r="N155" s="2503"/>
      <c r="O155" s="2503"/>
      <c r="P155" s="2503"/>
      <c r="Q155" s="2503"/>
      <c r="R155" s="2503"/>
      <c r="S155" s="2503"/>
      <c r="T155" s="2503"/>
      <c r="U155" s="2503"/>
      <c r="V155" s="2503"/>
      <c r="W155" s="185"/>
      <c r="X155" s="2503"/>
      <c r="Y155" s="2503"/>
      <c r="Z155" s="2503"/>
      <c r="AA155" s="2503"/>
      <c r="AB155" s="2503"/>
      <c r="AC155" s="2503"/>
      <c r="AD155" s="2503"/>
      <c r="AE155" s="2503"/>
      <c r="AF155" s="2503"/>
      <c r="AG155" s="2503"/>
      <c r="AH155" s="2503"/>
      <c r="AI155" s="2503"/>
      <c r="AJ155" s="2503"/>
      <c r="AK155" s="2503"/>
      <c r="AM155" s="164" t="s">
        <v>2233</v>
      </c>
      <c r="AN155" s="143">
        <v>0</v>
      </c>
      <c r="AO155" s="141">
        <v>0</v>
      </c>
      <c r="AP155" s="141">
        <v>0</v>
      </c>
      <c r="AQ155" s="141">
        <v>0</v>
      </c>
      <c r="AR155" s="141">
        <v>0</v>
      </c>
      <c r="AS155" s="141">
        <v>0</v>
      </c>
      <c r="AT155" s="141">
        <v>0</v>
      </c>
      <c r="AU155" s="144">
        <v>0</v>
      </c>
      <c r="AV155" s="143">
        <v>0</v>
      </c>
      <c r="AW155" s="141">
        <v>0</v>
      </c>
      <c r="AX155" s="141">
        <v>0</v>
      </c>
      <c r="AY155" s="141">
        <v>0</v>
      </c>
      <c r="AZ155" s="144">
        <v>0</v>
      </c>
      <c r="BA155" s="185"/>
      <c r="BB155" s="522" t="s">
        <v>2233</v>
      </c>
      <c r="BC155" s="141">
        <v>0</v>
      </c>
      <c r="BD155" s="522" t="s">
        <v>2233</v>
      </c>
      <c r="BE155" s="141">
        <v>0</v>
      </c>
      <c r="BF155" s="522" t="s">
        <v>2233</v>
      </c>
      <c r="BG155" s="141">
        <v>0</v>
      </c>
      <c r="BH155" s="607" t="s">
        <v>627</v>
      </c>
      <c r="BI155" s="868">
        <v>0</v>
      </c>
      <c r="BJ155" s="185"/>
      <c r="BQ155" s="522" t="s">
        <v>2233</v>
      </c>
      <c r="BR155" s="141">
        <v>0</v>
      </c>
      <c r="BS155" s="522" t="s">
        <v>2233</v>
      </c>
      <c r="BT155" s="141">
        <v>0</v>
      </c>
      <c r="BU155" s="522" t="s">
        <v>2233</v>
      </c>
      <c r="BV155" s="141">
        <v>0</v>
      </c>
      <c r="BW155" s="545" t="s">
        <v>627</v>
      </c>
      <c r="BX155" s="2508">
        <v>0</v>
      </c>
    </row>
    <row r="156" spans="1:76" s="98" customFormat="1" ht="15" customHeight="1">
      <c r="A156" s="99"/>
      <c r="B156" s="161"/>
      <c r="C156" s="162"/>
      <c r="D156" s="162" t="s">
        <v>2728</v>
      </c>
      <c r="E156" s="162"/>
      <c r="F156" s="162"/>
      <c r="G156" s="163"/>
      <c r="H156" s="163"/>
      <c r="I156" s="2503"/>
      <c r="J156" s="2503"/>
      <c r="K156" s="2503"/>
      <c r="L156" s="2503"/>
      <c r="M156" s="2503"/>
      <c r="N156" s="2503"/>
      <c r="O156" s="2503"/>
      <c r="P156" s="2503"/>
      <c r="Q156" s="2503"/>
      <c r="R156" s="2503"/>
      <c r="S156" s="2503"/>
      <c r="T156" s="2503"/>
      <c r="U156" s="2503"/>
      <c r="V156" s="2503"/>
      <c r="W156" s="185"/>
      <c r="X156" s="2503"/>
      <c r="Y156" s="2503"/>
      <c r="Z156" s="2503"/>
      <c r="AA156" s="2503"/>
      <c r="AB156" s="2503"/>
      <c r="AC156" s="2503"/>
      <c r="AD156" s="2503"/>
      <c r="AE156" s="2503"/>
      <c r="AF156" s="2503"/>
      <c r="AG156" s="2503"/>
      <c r="AH156" s="2503"/>
      <c r="AI156" s="2503"/>
      <c r="AJ156" s="2503"/>
      <c r="AK156" s="2503"/>
      <c r="AM156" s="164" t="s">
        <v>2233</v>
      </c>
      <c r="AN156" s="143">
        <v>0</v>
      </c>
      <c r="AO156" s="141">
        <v>0</v>
      </c>
      <c r="AP156" s="141">
        <v>0</v>
      </c>
      <c r="AQ156" s="141">
        <v>0</v>
      </c>
      <c r="AR156" s="141">
        <v>0</v>
      </c>
      <c r="AS156" s="141">
        <v>0</v>
      </c>
      <c r="AT156" s="141">
        <v>0</v>
      </c>
      <c r="AU156" s="144">
        <v>0</v>
      </c>
      <c r="AV156" s="143">
        <v>0</v>
      </c>
      <c r="AW156" s="141">
        <v>0</v>
      </c>
      <c r="AX156" s="141">
        <v>0</v>
      </c>
      <c r="AY156" s="141">
        <v>0</v>
      </c>
      <c r="AZ156" s="144">
        <v>0</v>
      </c>
      <c r="BA156" s="185"/>
      <c r="BB156" s="522" t="s">
        <v>2233</v>
      </c>
      <c r="BC156" s="141">
        <v>0</v>
      </c>
      <c r="BD156" s="522" t="s">
        <v>2233</v>
      </c>
      <c r="BE156" s="141">
        <v>0</v>
      </c>
      <c r="BF156" s="522" t="s">
        <v>2233</v>
      </c>
      <c r="BG156" s="141">
        <v>0</v>
      </c>
      <c r="BH156" s="607" t="s">
        <v>627</v>
      </c>
      <c r="BI156" s="868">
        <v>0</v>
      </c>
      <c r="BJ156" s="185"/>
      <c r="BQ156" s="522" t="s">
        <v>2233</v>
      </c>
      <c r="BR156" s="141">
        <v>0</v>
      </c>
      <c r="BS156" s="522" t="s">
        <v>2233</v>
      </c>
      <c r="BT156" s="141">
        <v>0</v>
      </c>
      <c r="BU156" s="522" t="s">
        <v>2233</v>
      </c>
      <c r="BV156" s="141">
        <v>0</v>
      </c>
      <c r="BW156" s="545" t="s">
        <v>627</v>
      </c>
      <c r="BX156" s="2508">
        <v>0</v>
      </c>
    </row>
    <row r="157" spans="1:76" s="98" customFormat="1" ht="15" customHeight="1">
      <c r="A157" s="99"/>
      <c r="B157" s="161"/>
      <c r="C157" s="162"/>
      <c r="D157" s="162" t="s">
        <v>2736</v>
      </c>
      <c r="E157" s="162"/>
      <c r="F157" s="162"/>
      <c r="G157" s="163"/>
      <c r="H157" s="163"/>
      <c r="I157" s="2503"/>
      <c r="J157" s="2503"/>
      <c r="K157" s="2503"/>
      <c r="L157" s="2503"/>
      <c r="M157" s="2503"/>
      <c r="N157" s="2503"/>
      <c r="O157" s="2503"/>
      <c r="P157" s="2503"/>
      <c r="Q157" s="2503"/>
      <c r="R157" s="2503"/>
      <c r="S157" s="2503"/>
      <c r="T157" s="2503"/>
      <c r="U157" s="2503"/>
      <c r="V157" s="2503"/>
      <c r="W157" s="185"/>
      <c r="X157" s="2503"/>
      <c r="Y157" s="2503"/>
      <c r="Z157" s="2503"/>
      <c r="AA157" s="2503"/>
      <c r="AB157" s="2503"/>
      <c r="AC157" s="2503"/>
      <c r="AD157" s="2503"/>
      <c r="AE157" s="2503"/>
      <c r="AF157" s="2503"/>
      <c r="AG157" s="2503"/>
      <c r="AH157" s="2503"/>
      <c r="AI157" s="2503"/>
      <c r="AJ157" s="2503"/>
      <c r="AK157" s="2503"/>
      <c r="AM157" s="164" t="s">
        <v>2233</v>
      </c>
      <c r="AN157" s="143">
        <v>0</v>
      </c>
      <c r="AO157" s="141">
        <v>0</v>
      </c>
      <c r="AP157" s="141">
        <v>0</v>
      </c>
      <c r="AQ157" s="141">
        <v>0</v>
      </c>
      <c r="AR157" s="141">
        <v>0</v>
      </c>
      <c r="AS157" s="141">
        <v>0</v>
      </c>
      <c r="AT157" s="141">
        <v>0</v>
      </c>
      <c r="AU157" s="144">
        <v>0</v>
      </c>
      <c r="AV157" s="143">
        <v>0</v>
      </c>
      <c r="AW157" s="141">
        <v>0</v>
      </c>
      <c r="AX157" s="141">
        <v>0</v>
      </c>
      <c r="AY157" s="141">
        <v>0</v>
      </c>
      <c r="AZ157" s="144">
        <v>0</v>
      </c>
      <c r="BA157" s="185"/>
      <c r="BB157" s="522" t="s">
        <v>2233</v>
      </c>
      <c r="BC157" s="141">
        <v>0</v>
      </c>
      <c r="BD157" s="522" t="s">
        <v>2233</v>
      </c>
      <c r="BE157" s="141">
        <v>0</v>
      </c>
      <c r="BF157" s="522" t="s">
        <v>2233</v>
      </c>
      <c r="BG157" s="141">
        <v>0</v>
      </c>
      <c r="BH157" s="607" t="s">
        <v>627</v>
      </c>
      <c r="BI157" s="868">
        <v>0</v>
      </c>
      <c r="BJ157" s="185"/>
      <c r="BQ157" s="522" t="s">
        <v>2233</v>
      </c>
      <c r="BR157" s="141">
        <v>0</v>
      </c>
      <c r="BS157" s="522" t="s">
        <v>2233</v>
      </c>
      <c r="BT157" s="141">
        <v>0</v>
      </c>
      <c r="BU157" s="522" t="s">
        <v>2233</v>
      </c>
      <c r="BV157" s="141">
        <v>0</v>
      </c>
      <c r="BW157" s="545" t="s">
        <v>627</v>
      </c>
      <c r="BX157" s="2508">
        <v>0</v>
      </c>
    </row>
    <row r="158" spans="1:76" s="98" customFormat="1" ht="15" customHeight="1">
      <c r="A158" s="99"/>
      <c r="B158" s="161"/>
      <c r="C158" s="162"/>
      <c r="D158" s="162" t="s">
        <v>2737</v>
      </c>
      <c r="E158" s="162"/>
      <c r="F158" s="162"/>
      <c r="G158" s="163"/>
      <c r="H158" s="163"/>
      <c r="I158" s="2503"/>
      <c r="J158" s="2503"/>
      <c r="K158" s="2503"/>
      <c r="L158" s="2503"/>
      <c r="M158" s="2503"/>
      <c r="N158" s="2503"/>
      <c r="O158" s="2503"/>
      <c r="P158" s="2503"/>
      <c r="Q158" s="2503"/>
      <c r="R158" s="2503"/>
      <c r="S158" s="2503"/>
      <c r="T158" s="2503"/>
      <c r="U158" s="2503"/>
      <c r="V158" s="2503"/>
      <c r="W158" s="185"/>
      <c r="X158" s="2503"/>
      <c r="Y158" s="2503"/>
      <c r="Z158" s="2503"/>
      <c r="AA158" s="2503"/>
      <c r="AB158" s="2503"/>
      <c r="AC158" s="2503"/>
      <c r="AD158" s="2503"/>
      <c r="AE158" s="2503"/>
      <c r="AF158" s="2503"/>
      <c r="AG158" s="2503"/>
      <c r="AH158" s="2503"/>
      <c r="AI158" s="2503"/>
      <c r="AJ158" s="2503"/>
      <c r="AK158" s="2503"/>
      <c r="AM158" s="164" t="s">
        <v>2233</v>
      </c>
      <c r="AN158" s="143">
        <v>0</v>
      </c>
      <c r="AO158" s="141">
        <v>0</v>
      </c>
      <c r="AP158" s="141">
        <v>0</v>
      </c>
      <c r="AQ158" s="141">
        <v>0</v>
      </c>
      <c r="AR158" s="141">
        <v>0</v>
      </c>
      <c r="AS158" s="141">
        <v>0</v>
      </c>
      <c r="AT158" s="141">
        <v>0</v>
      </c>
      <c r="AU158" s="144">
        <v>0</v>
      </c>
      <c r="AV158" s="143">
        <v>0</v>
      </c>
      <c r="AW158" s="141">
        <v>0</v>
      </c>
      <c r="AX158" s="141">
        <v>0</v>
      </c>
      <c r="AY158" s="141">
        <v>0</v>
      </c>
      <c r="AZ158" s="144">
        <v>0</v>
      </c>
      <c r="BA158" s="185"/>
      <c r="BB158" s="522" t="s">
        <v>2233</v>
      </c>
      <c r="BC158" s="141">
        <v>0</v>
      </c>
      <c r="BD158" s="522" t="s">
        <v>2233</v>
      </c>
      <c r="BE158" s="141">
        <v>0</v>
      </c>
      <c r="BF158" s="522" t="s">
        <v>2233</v>
      </c>
      <c r="BG158" s="141">
        <v>0</v>
      </c>
      <c r="BH158" s="607" t="s">
        <v>627</v>
      </c>
      <c r="BI158" s="868">
        <v>0</v>
      </c>
      <c r="BJ158" s="185"/>
      <c r="BQ158" s="522" t="s">
        <v>2233</v>
      </c>
      <c r="BR158" s="141">
        <v>0</v>
      </c>
      <c r="BS158" s="522" t="s">
        <v>2233</v>
      </c>
      <c r="BT158" s="141">
        <v>0</v>
      </c>
      <c r="BU158" s="522" t="s">
        <v>2233</v>
      </c>
      <c r="BV158" s="141">
        <v>0</v>
      </c>
      <c r="BW158" s="545" t="s">
        <v>627</v>
      </c>
      <c r="BX158" s="2508">
        <v>0</v>
      </c>
    </row>
    <row r="159" spans="1:76" s="98" customFormat="1" ht="15" customHeight="1">
      <c r="A159" s="99"/>
      <c r="B159" s="161"/>
      <c r="C159" s="162" t="s">
        <v>1710</v>
      </c>
      <c r="D159" s="162"/>
      <c r="E159" s="162"/>
      <c r="F159" s="162"/>
      <c r="G159" s="163"/>
      <c r="H159" s="163"/>
      <c r="I159" s="2503"/>
      <c r="J159" s="2503"/>
      <c r="K159" s="2503"/>
      <c r="L159" s="2503"/>
      <c r="M159" s="2503"/>
      <c r="N159" s="2503"/>
      <c r="O159" s="2503"/>
      <c r="P159" s="2503"/>
      <c r="Q159" s="2503"/>
      <c r="R159" s="2503"/>
      <c r="S159" s="2503"/>
      <c r="T159" s="2503"/>
      <c r="U159" s="2503"/>
      <c r="V159" s="2503"/>
      <c r="W159" s="185"/>
      <c r="X159" s="2503"/>
      <c r="Y159" s="2503"/>
      <c r="Z159" s="2503"/>
      <c r="AA159" s="2503"/>
      <c r="AB159" s="2503"/>
      <c r="AC159" s="2503"/>
      <c r="AD159" s="2503"/>
      <c r="AE159" s="2503"/>
      <c r="AF159" s="2503"/>
      <c r="AG159" s="2503"/>
      <c r="AH159" s="2503"/>
      <c r="AI159" s="2503"/>
      <c r="AJ159" s="2503"/>
      <c r="AK159" s="2503"/>
      <c r="AM159" s="164" t="s">
        <v>2233</v>
      </c>
      <c r="AN159" s="641">
        <f>SUM(AN150:AN158)</f>
        <v>0</v>
      </c>
      <c r="AO159" s="642">
        <f t="shared" ref="AO159:AZ159" si="203">SUM(AO150:AO158)</f>
        <v>0</v>
      </c>
      <c r="AP159" s="642">
        <f t="shared" si="203"/>
        <v>0</v>
      </c>
      <c r="AQ159" s="642">
        <f t="shared" si="203"/>
        <v>0</v>
      </c>
      <c r="AR159" s="642">
        <f t="shared" si="203"/>
        <v>0</v>
      </c>
      <c r="AS159" s="642">
        <f t="shared" si="203"/>
        <v>0</v>
      </c>
      <c r="AT159" s="642">
        <f t="shared" si="203"/>
        <v>0</v>
      </c>
      <c r="AU159" s="643">
        <f t="shared" si="203"/>
        <v>0</v>
      </c>
      <c r="AV159" s="641">
        <f t="shared" si="203"/>
        <v>0</v>
      </c>
      <c r="AW159" s="642">
        <f t="shared" si="203"/>
        <v>0</v>
      </c>
      <c r="AX159" s="642">
        <f t="shared" si="203"/>
        <v>0</v>
      </c>
      <c r="AY159" s="642">
        <f t="shared" si="203"/>
        <v>0</v>
      </c>
      <c r="AZ159" s="643">
        <f t="shared" si="203"/>
        <v>0</v>
      </c>
      <c r="BA159" s="185"/>
      <c r="BB159" s="522" t="s">
        <v>2233</v>
      </c>
      <c r="BC159" s="642">
        <f>SUM(BC150:BC158)</f>
        <v>0</v>
      </c>
      <c r="BD159" s="522" t="s">
        <v>2233</v>
      </c>
      <c r="BE159" s="642">
        <f>SUM(BE150:BE158)</f>
        <v>0</v>
      </c>
      <c r="BF159" s="522" t="s">
        <v>2233</v>
      </c>
      <c r="BG159" s="642">
        <f>SUM(BG150:BG158)</f>
        <v>0</v>
      </c>
      <c r="BH159" s="607" t="s">
        <v>627</v>
      </c>
      <c r="BI159" s="2507"/>
      <c r="BJ159" s="185"/>
      <c r="BQ159" s="522" t="s">
        <v>2233</v>
      </c>
      <c r="BR159" s="642">
        <f>SUM(BR150:BR158)</f>
        <v>0</v>
      </c>
      <c r="BS159" s="522" t="s">
        <v>2233</v>
      </c>
      <c r="BT159" s="642">
        <f>SUM(BT150:BT158)</f>
        <v>0</v>
      </c>
      <c r="BU159" s="522" t="s">
        <v>2233</v>
      </c>
      <c r="BV159" s="642">
        <f>SUM(BV150:BV158)</f>
        <v>0</v>
      </c>
      <c r="BW159" s="545" t="s">
        <v>627</v>
      </c>
      <c r="BX159" s="544"/>
    </row>
    <row r="160" spans="1:76" s="98" customFormat="1" ht="15" customHeight="1">
      <c r="A160" s="99"/>
      <c r="B160" s="123"/>
      <c r="C160" s="127"/>
      <c r="D160" s="127"/>
      <c r="E160" s="127"/>
      <c r="F160" s="127"/>
      <c r="G160" s="117"/>
      <c r="H160" s="117"/>
      <c r="I160" s="2503"/>
      <c r="J160" s="2503"/>
      <c r="K160" s="2503"/>
      <c r="L160" s="2503"/>
      <c r="M160" s="2503"/>
      <c r="N160" s="2503"/>
      <c r="O160" s="2503"/>
      <c r="P160" s="2503"/>
      <c r="Q160" s="2503"/>
      <c r="R160" s="2503"/>
      <c r="S160" s="2503"/>
      <c r="T160" s="2503"/>
      <c r="U160" s="2503"/>
      <c r="V160" s="2503"/>
      <c r="W160" s="185"/>
      <c r="X160" s="2503"/>
      <c r="Y160" s="2503"/>
      <c r="Z160" s="2503"/>
      <c r="AA160" s="2503"/>
      <c r="AB160" s="2503"/>
      <c r="AC160" s="2503"/>
      <c r="AD160" s="2503"/>
      <c r="AE160" s="2503"/>
      <c r="AF160" s="2503"/>
      <c r="AG160" s="2503"/>
      <c r="AH160" s="2503"/>
      <c r="AI160" s="2503"/>
      <c r="AJ160" s="2503"/>
      <c r="AK160" s="2503"/>
      <c r="AM160" s="117"/>
      <c r="AN160" s="713"/>
      <c r="AO160" s="721"/>
      <c r="AP160" s="721"/>
      <c r="AQ160" s="721"/>
      <c r="AR160" s="721"/>
      <c r="AS160" s="721"/>
      <c r="AT160" s="721"/>
      <c r="AU160" s="715"/>
      <c r="AV160" s="713"/>
      <c r="AW160" s="721"/>
      <c r="AX160" s="721"/>
      <c r="AY160" s="721"/>
      <c r="AZ160" s="715"/>
      <c r="BA160" s="185"/>
      <c r="BB160" s="185"/>
      <c r="BC160" s="185"/>
      <c r="BD160" s="185"/>
      <c r="BE160" s="185"/>
      <c r="BF160" s="185"/>
      <c r="BG160" s="185"/>
      <c r="BH160" s="185"/>
      <c r="BI160" s="185"/>
      <c r="BJ160" s="185"/>
      <c r="BQ160" s="185"/>
      <c r="BR160" s="185"/>
      <c r="BS160" s="185"/>
      <c r="BT160" s="185"/>
      <c r="BU160" s="185"/>
      <c r="BV160" s="185"/>
      <c r="BW160" s="185"/>
      <c r="BX160" s="215"/>
    </row>
    <row r="161" spans="1:76" s="98" customFormat="1" ht="15" customHeight="1">
      <c r="A161" s="99"/>
      <c r="B161" s="161"/>
      <c r="C161" s="116" t="s">
        <v>2774</v>
      </c>
      <c r="D161" s="116"/>
      <c r="E161" s="116"/>
      <c r="F161" s="116"/>
      <c r="G161" s="117"/>
      <c r="H161" s="117"/>
      <c r="I161" s="2503"/>
      <c r="J161" s="2503"/>
      <c r="K161" s="2503"/>
      <c r="L161" s="2503"/>
      <c r="M161" s="2503"/>
      <c r="N161" s="2503"/>
      <c r="O161" s="2503"/>
      <c r="P161" s="2503"/>
      <c r="Q161" s="2503"/>
      <c r="R161" s="2503"/>
      <c r="S161" s="2503"/>
      <c r="T161" s="2503"/>
      <c r="U161" s="2503"/>
      <c r="V161" s="2503"/>
      <c r="W161" s="185"/>
      <c r="X161" s="2503"/>
      <c r="Y161" s="2503"/>
      <c r="Z161" s="2503"/>
      <c r="AA161" s="2503"/>
      <c r="AB161" s="2503"/>
      <c r="AC161" s="2503"/>
      <c r="AD161" s="2503"/>
      <c r="AE161" s="2503"/>
      <c r="AF161" s="2503"/>
      <c r="AG161" s="2503"/>
      <c r="AH161" s="2503"/>
      <c r="AI161" s="2503"/>
      <c r="AJ161" s="2503"/>
      <c r="AK161" s="2503"/>
      <c r="AM161" s="117"/>
      <c r="AN161" s="713"/>
      <c r="AO161" s="721"/>
      <c r="AP161" s="721"/>
      <c r="AQ161" s="721"/>
      <c r="AR161" s="721"/>
      <c r="AS161" s="721"/>
      <c r="AT161" s="721"/>
      <c r="AU161" s="715"/>
      <c r="AV161" s="713"/>
      <c r="AW161" s="721"/>
      <c r="AX161" s="721"/>
      <c r="AY161" s="721"/>
      <c r="AZ161" s="715"/>
      <c r="BA161" s="185"/>
      <c r="BB161" s="185"/>
      <c r="BC161" s="185"/>
      <c r="BD161" s="185"/>
      <c r="BE161" s="185"/>
      <c r="BF161" s="185"/>
      <c r="BG161" s="185"/>
      <c r="BH161" s="185"/>
      <c r="BI161" s="185"/>
      <c r="BJ161" s="185"/>
      <c r="BQ161" s="185"/>
      <c r="BR161" s="185"/>
      <c r="BS161" s="185"/>
      <c r="BT161" s="185"/>
      <c r="BU161" s="185"/>
      <c r="BV161" s="185"/>
      <c r="BW161" s="185"/>
      <c r="BX161" s="215"/>
    </row>
    <row r="162" spans="1:76" s="98" customFormat="1" ht="15" customHeight="1">
      <c r="A162" s="99"/>
      <c r="B162" s="161"/>
      <c r="C162" s="162"/>
      <c r="D162" s="162" t="s">
        <v>2716</v>
      </c>
      <c r="E162" s="162"/>
      <c r="F162" s="162"/>
      <c r="G162" s="163"/>
      <c r="H162" s="163"/>
      <c r="I162" s="2503"/>
      <c r="J162" s="2503"/>
      <c r="K162" s="2503"/>
      <c r="L162" s="2503"/>
      <c r="M162" s="2503"/>
      <c r="N162" s="2503"/>
      <c r="O162" s="2503"/>
      <c r="P162" s="2503"/>
      <c r="Q162" s="2503"/>
      <c r="R162" s="2503"/>
      <c r="S162" s="2503"/>
      <c r="T162" s="2503"/>
      <c r="U162" s="2503"/>
      <c r="V162" s="2503"/>
      <c r="W162" s="185"/>
      <c r="X162" s="2503"/>
      <c r="Y162" s="2503"/>
      <c r="Z162" s="2503"/>
      <c r="AA162" s="2503"/>
      <c r="AB162" s="2503"/>
      <c r="AC162" s="2503"/>
      <c r="AD162" s="2503"/>
      <c r="AE162" s="2503"/>
      <c r="AF162" s="2503"/>
      <c r="AG162" s="2503"/>
      <c r="AH162" s="2503"/>
      <c r="AI162" s="2503"/>
      <c r="AJ162" s="2503"/>
      <c r="AK162" s="2503"/>
      <c r="AM162" s="164" t="s">
        <v>2233</v>
      </c>
      <c r="AN162" s="143">
        <v>0</v>
      </c>
      <c r="AO162" s="141">
        <v>0</v>
      </c>
      <c r="AP162" s="141">
        <v>0</v>
      </c>
      <c r="AQ162" s="141">
        <v>0</v>
      </c>
      <c r="AR162" s="141">
        <v>0</v>
      </c>
      <c r="AS162" s="141">
        <v>0</v>
      </c>
      <c r="AT162" s="141">
        <v>0</v>
      </c>
      <c r="AU162" s="144">
        <v>0</v>
      </c>
      <c r="AV162" s="143">
        <v>0</v>
      </c>
      <c r="AW162" s="141">
        <v>0</v>
      </c>
      <c r="AX162" s="141">
        <v>0</v>
      </c>
      <c r="AY162" s="141">
        <v>0</v>
      </c>
      <c r="AZ162" s="144">
        <v>0</v>
      </c>
      <c r="BA162" s="185"/>
      <c r="BB162" s="522" t="s">
        <v>2233</v>
      </c>
      <c r="BC162" s="141">
        <v>0</v>
      </c>
      <c r="BD162" s="522" t="s">
        <v>2233</v>
      </c>
      <c r="BE162" s="141">
        <v>0</v>
      </c>
      <c r="BF162" s="522" t="s">
        <v>2233</v>
      </c>
      <c r="BG162" s="141">
        <v>0</v>
      </c>
      <c r="BH162" s="607" t="s">
        <v>627</v>
      </c>
      <c r="BI162" s="868">
        <v>0</v>
      </c>
      <c r="BJ162" s="185"/>
      <c r="BQ162" s="522" t="s">
        <v>2233</v>
      </c>
      <c r="BR162" s="141">
        <v>0</v>
      </c>
      <c r="BS162" s="522" t="s">
        <v>2233</v>
      </c>
      <c r="BT162" s="141">
        <v>0</v>
      </c>
      <c r="BU162" s="522" t="s">
        <v>2233</v>
      </c>
      <c r="BV162" s="141">
        <v>0</v>
      </c>
      <c r="BW162" s="607" t="s">
        <v>627</v>
      </c>
      <c r="BX162" s="872">
        <v>0</v>
      </c>
    </row>
    <row r="163" spans="1:76" s="98" customFormat="1" ht="15" customHeight="1">
      <c r="A163" s="99"/>
      <c r="B163" s="161"/>
      <c r="C163" s="162"/>
      <c r="D163" s="162" t="s">
        <v>2717</v>
      </c>
      <c r="E163" s="162"/>
      <c r="F163" s="162"/>
      <c r="G163" s="163"/>
      <c r="H163" s="163"/>
      <c r="I163" s="2503"/>
      <c r="J163" s="2503"/>
      <c r="K163" s="2503"/>
      <c r="L163" s="2503"/>
      <c r="M163" s="2503"/>
      <c r="N163" s="2503"/>
      <c r="O163" s="2503"/>
      <c r="P163" s="2503"/>
      <c r="Q163" s="2503"/>
      <c r="R163" s="2503"/>
      <c r="S163" s="2503"/>
      <c r="T163" s="2503"/>
      <c r="U163" s="2503"/>
      <c r="V163" s="2503"/>
      <c r="W163" s="185"/>
      <c r="X163" s="2503"/>
      <c r="Y163" s="2503"/>
      <c r="Z163" s="2503"/>
      <c r="AA163" s="2503"/>
      <c r="AB163" s="2503"/>
      <c r="AC163" s="2503"/>
      <c r="AD163" s="2503"/>
      <c r="AE163" s="2503"/>
      <c r="AF163" s="2503"/>
      <c r="AG163" s="2503"/>
      <c r="AH163" s="2503"/>
      <c r="AI163" s="2503"/>
      <c r="AJ163" s="2503"/>
      <c r="AK163" s="2503"/>
      <c r="AM163" s="164" t="s">
        <v>2233</v>
      </c>
      <c r="AN163" s="143">
        <v>0</v>
      </c>
      <c r="AO163" s="141">
        <v>0</v>
      </c>
      <c r="AP163" s="141">
        <v>0</v>
      </c>
      <c r="AQ163" s="141">
        <v>0</v>
      </c>
      <c r="AR163" s="141">
        <v>0</v>
      </c>
      <c r="AS163" s="141">
        <v>0</v>
      </c>
      <c r="AT163" s="141">
        <v>0</v>
      </c>
      <c r="AU163" s="144">
        <v>0</v>
      </c>
      <c r="AV163" s="143">
        <v>0</v>
      </c>
      <c r="AW163" s="141">
        <v>0</v>
      </c>
      <c r="AX163" s="141">
        <v>0</v>
      </c>
      <c r="AY163" s="141">
        <v>0</v>
      </c>
      <c r="AZ163" s="144">
        <v>0</v>
      </c>
      <c r="BA163" s="185"/>
      <c r="BB163" s="522" t="s">
        <v>2233</v>
      </c>
      <c r="BC163" s="141">
        <v>0</v>
      </c>
      <c r="BD163" s="522" t="s">
        <v>2233</v>
      </c>
      <c r="BE163" s="141">
        <v>0</v>
      </c>
      <c r="BF163" s="522" t="s">
        <v>2233</v>
      </c>
      <c r="BG163" s="141">
        <v>0</v>
      </c>
      <c r="BH163" s="607" t="s">
        <v>627</v>
      </c>
      <c r="BI163" s="868">
        <v>0</v>
      </c>
      <c r="BJ163" s="185"/>
      <c r="BQ163" s="522" t="s">
        <v>2233</v>
      </c>
      <c r="BR163" s="141">
        <v>0</v>
      </c>
      <c r="BS163" s="522" t="s">
        <v>2233</v>
      </c>
      <c r="BT163" s="141">
        <v>0</v>
      </c>
      <c r="BU163" s="522" t="s">
        <v>2233</v>
      </c>
      <c r="BV163" s="141">
        <v>0</v>
      </c>
      <c r="BW163" s="607" t="s">
        <v>627</v>
      </c>
      <c r="BX163" s="872">
        <v>0</v>
      </c>
    </row>
    <row r="164" spans="1:76" s="98" customFormat="1" ht="15" customHeight="1">
      <c r="A164" s="99"/>
      <c r="B164" s="161"/>
      <c r="C164" s="162"/>
      <c r="D164" s="162" t="s">
        <v>2718</v>
      </c>
      <c r="E164" s="162"/>
      <c r="F164" s="162"/>
      <c r="G164" s="163"/>
      <c r="H164" s="163"/>
      <c r="I164" s="2503"/>
      <c r="J164" s="2503"/>
      <c r="K164" s="2503"/>
      <c r="L164" s="2503"/>
      <c r="M164" s="2503"/>
      <c r="N164" s="2503"/>
      <c r="O164" s="2503"/>
      <c r="P164" s="2503"/>
      <c r="Q164" s="2503"/>
      <c r="R164" s="2503"/>
      <c r="S164" s="2503"/>
      <c r="T164" s="2503"/>
      <c r="U164" s="2503"/>
      <c r="V164" s="2503"/>
      <c r="W164" s="185"/>
      <c r="X164" s="2503"/>
      <c r="Y164" s="2503"/>
      <c r="Z164" s="2503"/>
      <c r="AA164" s="2503"/>
      <c r="AB164" s="2503"/>
      <c r="AC164" s="2503"/>
      <c r="AD164" s="2503"/>
      <c r="AE164" s="2503"/>
      <c r="AF164" s="2503"/>
      <c r="AG164" s="2503"/>
      <c r="AH164" s="2503"/>
      <c r="AI164" s="2503"/>
      <c r="AJ164" s="2503"/>
      <c r="AK164" s="2503"/>
      <c r="AM164" s="164" t="s">
        <v>2233</v>
      </c>
      <c r="AN164" s="143">
        <v>0</v>
      </c>
      <c r="AO164" s="141">
        <v>0</v>
      </c>
      <c r="AP164" s="141">
        <v>0</v>
      </c>
      <c r="AQ164" s="141">
        <v>0</v>
      </c>
      <c r="AR164" s="141">
        <v>0</v>
      </c>
      <c r="AS164" s="141">
        <v>0</v>
      </c>
      <c r="AT164" s="141">
        <v>0</v>
      </c>
      <c r="AU164" s="144">
        <v>0</v>
      </c>
      <c r="AV164" s="143">
        <v>0</v>
      </c>
      <c r="AW164" s="141">
        <v>0</v>
      </c>
      <c r="AX164" s="141">
        <v>0</v>
      </c>
      <c r="AY164" s="141">
        <v>0</v>
      </c>
      <c r="AZ164" s="144">
        <v>0</v>
      </c>
      <c r="BA164" s="185"/>
      <c r="BB164" s="522" t="s">
        <v>2233</v>
      </c>
      <c r="BC164" s="141">
        <v>0</v>
      </c>
      <c r="BD164" s="522" t="s">
        <v>2233</v>
      </c>
      <c r="BE164" s="141">
        <v>0</v>
      </c>
      <c r="BF164" s="522" t="s">
        <v>2233</v>
      </c>
      <c r="BG164" s="141">
        <v>0</v>
      </c>
      <c r="BH164" s="607" t="s">
        <v>627</v>
      </c>
      <c r="BI164" s="868">
        <v>0</v>
      </c>
      <c r="BJ164" s="185"/>
      <c r="BQ164" s="522" t="s">
        <v>2233</v>
      </c>
      <c r="BR164" s="141">
        <v>0</v>
      </c>
      <c r="BS164" s="522" t="s">
        <v>2233</v>
      </c>
      <c r="BT164" s="141">
        <v>0</v>
      </c>
      <c r="BU164" s="522" t="s">
        <v>2233</v>
      </c>
      <c r="BV164" s="141">
        <v>0</v>
      </c>
      <c r="BW164" s="607" t="s">
        <v>627</v>
      </c>
      <c r="BX164" s="872">
        <v>0</v>
      </c>
    </row>
    <row r="165" spans="1:76" s="98" customFormat="1" ht="15" customHeight="1">
      <c r="A165" s="99"/>
      <c r="B165" s="161"/>
      <c r="C165" s="162"/>
      <c r="D165" s="162" t="s">
        <v>2719</v>
      </c>
      <c r="E165" s="162"/>
      <c r="F165" s="162"/>
      <c r="G165" s="163"/>
      <c r="H165" s="163"/>
      <c r="I165" s="2503"/>
      <c r="J165" s="2503"/>
      <c r="K165" s="2503"/>
      <c r="L165" s="2503"/>
      <c r="M165" s="2503"/>
      <c r="N165" s="2503"/>
      <c r="O165" s="2503"/>
      <c r="P165" s="2503"/>
      <c r="Q165" s="2503"/>
      <c r="R165" s="2503"/>
      <c r="S165" s="2503"/>
      <c r="T165" s="2503"/>
      <c r="U165" s="2503"/>
      <c r="V165" s="2503"/>
      <c r="W165" s="185"/>
      <c r="X165" s="2503"/>
      <c r="Y165" s="2503"/>
      <c r="Z165" s="2503"/>
      <c r="AA165" s="2503"/>
      <c r="AB165" s="2503"/>
      <c r="AC165" s="2503"/>
      <c r="AD165" s="2503"/>
      <c r="AE165" s="2503"/>
      <c r="AF165" s="2503"/>
      <c r="AG165" s="2503"/>
      <c r="AH165" s="2503"/>
      <c r="AI165" s="2503"/>
      <c r="AJ165" s="2503"/>
      <c r="AK165" s="2503"/>
      <c r="AM165" s="164" t="s">
        <v>2233</v>
      </c>
      <c r="AN165" s="143">
        <v>0</v>
      </c>
      <c r="AO165" s="141">
        <v>0</v>
      </c>
      <c r="AP165" s="141">
        <v>0</v>
      </c>
      <c r="AQ165" s="141">
        <v>0</v>
      </c>
      <c r="AR165" s="141">
        <v>0</v>
      </c>
      <c r="AS165" s="141">
        <v>0</v>
      </c>
      <c r="AT165" s="141">
        <v>0</v>
      </c>
      <c r="AU165" s="144">
        <v>0</v>
      </c>
      <c r="AV165" s="143">
        <v>0</v>
      </c>
      <c r="AW165" s="141">
        <v>0</v>
      </c>
      <c r="AX165" s="141">
        <v>0</v>
      </c>
      <c r="AY165" s="141">
        <v>0</v>
      </c>
      <c r="AZ165" s="144">
        <v>0</v>
      </c>
      <c r="BA165" s="185"/>
      <c r="BB165" s="522" t="s">
        <v>2233</v>
      </c>
      <c r="BC165" s="141">
        <v>0</v>
      </c>
      <c r="BD165" s="522" t="s">
        <v>2233</v>
      </c>
      <c r="BE165" s="141">
        <v>0</v>
      </c>
      <c r="BF165" s="522" t="s">
        <v>2233</v>
      </c>
      <c r="BG165" s="141">
        <v>0</v>
      </c>
      <c r="BH165" s="607" t="s">
        <v>627</v>
      </c>
      <c r="BI165" s="868">
        <v>0</v>
      </c>
      <c r="BJ165" s="185"/>
      <c r="BQ165" s="522" t="s">
        <v>2233</v>
      </c>
      <c r="BR165" s="141">
        <v>0</v>
      </c>
      <c r="BS165" s="522" t="s">
        <v>2233</v>
      </c>
      <c r="BT165" s="141">
        <v>0</v>
      </c>
      <c r="BU165" s="522" t="s">
        <v>2233</v>
      </c>
      <c r="BV165" s="141">
        <v>0</v>
      </c>
      <c r="BW165" s="607" t="s">
        <v>627</v>
      </c>
      <c r="BX165" s="872">
        <v>0</v>
      </c>
    </row>
    <row r="166" spans="1:76" s="98" customFormat="1" ht="15" customHeight="1">
      <c r="A166" s="99"/>
      <c r="B166" s="161"/>
      <c r="C166" s="162"/>
      <c r="D166" s="162" t="s">
        <v>2726</v>
      </c>
      <c r="E166" s="162"/>
      <c r="F166" s="162"/>
      <c r="G166" s="163"/>
      <c r="H166" s="163"/>
      <c r="I166" s="2503"/>
      <c r="J166" s="2503"/>
      <c r="K166" s="2503"/>
      <c r="L166" s="2503"/>
      <c r="M166" s="2503"/>
      <c r="N166" s="2503"/>
      <c r="O166" s="2503"/>
      <c r="P166" s="2503"/>
      <c r="Q166" s="2503"/>
      <c r="R166" s="2503"/>
      <c r="S166" s="2503"/>
      <c r="T166" s="2503"/>
      <c r="U166" s="2503"/>
      <c r="V166" s="2503"/>
      <c r="W166" s="185"/>
      <c r="X166" s="2503"/>
      <c r="Y166" s="2503"/>
      <c r="Z166" s="2503"/>
      <c r="AA166" s="2503"/>
      <c r="AB166" s="2503"/>
      <c r="AC166" s="2503"/>
      <c r="AD166" s="2503"/>
      <c r="AE166" s="2503"/>
      <c r="AF166" s="2503"/>
      <c r="AG166" s="2503"/>
      <c r="AH166" s="2503"/>
      <c r="AI166" s="2503"/>
      <c r="AJ166" s="2503"/>
      <c r="AK166" s="2503"/>
      <c r="AM166" s="164" t="s">
        <v>2233</v>
      </c>
      <c r="AN166" s="143">
        <v>0</v>
      </c>
      <c r="AO166" s="141">
        <v>0</v>
      </c>
      <c r="AP166" s="141">
        <v>0</v>
      </c>
      <c r="AQ166" s="141">
        <v>0</v>
      </c>
      <c r="AR166" s="141">
        <v>0</v>
      </c>
      <c r="AS166" s="141">
        <v>0</v>
      </c>
      <c r="AT166" s="141">
        <v>0</v>
      </c>
      <c r="AU166" s="144">
        <v>0</v>
      </c>
      <c r="AV166" s="143">
        <v>0</v>
      </c>
      <c r="AW166" s="141">
        <v>0</v>
      </c>
      <c r="AX166" s="141">
        <v>0</v>
      </c>
      <c r="AY166" s="141">
        <v>0</v>
      </c>
      <c r="AZ166" s="144">
        <v>0</v>
      </c>
      <c r="BA166" s="185"/>
      <c r="BB166" s="522" t="s">
        <v>2233</v>
      </c>
      <c r="BC166" s="141">
        <v>0</v>
      </c>
      <c r="BD166" s="522" t="s">
        <v>2233</v>
      </c>
      <c r="BE166" s="141">
        <v>0</v>
      </c>
      <c r="BF166" s="522" t="s">
        <v>2233</v>
      </c>
      <c r="BG166" s="141">
        <v>0</v>
      </c>
      <c r="BH166" s="607" t="s">
        <v>627</v>
      </c>
      <c r="BI166" s="868">
        <v>0</v>
      </c>
      <c r="BJ166" s="185"/>
      <c r="BQ166" s="522" t="s">
        <v>2233</v>
      </c>
      <c r="BR166" s="141">
        <v>0</v>
      </c>
      <c r="BS166" s="522" t="s">
        <v>2233</v>
      </c>
      <c r="BT166" s="141">
        <v>0</v>
      </c>
      <c r="BU166" s="522" t="s">
        <v>2233</v>
      </c>
      <c r="BV166" s="141">
        <v>0</v>
      </c>
      <c r="BW166" s="607" t="s">
        <v>627</v>
      </c>
      <c r="BX166" s="872">
        <v>0</v>
      </c>
    </row>
    <row r="167" spans="1:76" s="98" customFormat="1" ht="15" customHeight="1">
      <c r="A167" s="99"/>
      <c r="B167" s="161"/>
      <c r="C167" s="162"/>
      <c r="D167" s="162" t="s">
        <v>2727</v>
      </c>
      <c r="E167" s="162"/>
      <c r="F167" s="162"/>
      <c r="G167" s="163"/>
      <c r="H167" s="163"/>
      <c r="I167" s="2503"/>
      <c r="J167" s="2503"/>
      <c r="K167" s="2503"/>
      <c r="L167" s="2503"/>
      <c r="M167" s="2503"/>
      <c r="N167" s="2503"/>
      <c r="O167" s="2503"/>
      <c r="P167" s="2503"/>
      <c r="Q167" s="2503"/>
      <c r="R167" s="2503"/>
      <c r="S167" s="2503"/>
      <c r="T167" s="2503"/>
      <c r="U167" s="2503"/>
      <c r="V167" s="2503"/>
      <c r="W167" s="185"/>
      <c r="X167" s="2503"/>
      <c r="Y167" s="2503"/>
      <c r="Z167" s="2503"/>
      <c r="AA167" s="2503"/>
      <c r="AB167" s="2503"/>
      <c r="AC167" s="2503"/>
      <c r="AD167" s="2503"/>
      <c r="AE167" s="2503"/>
      <c r="AF167" s="2503"/>
      <c r="AG167" s="2503"/>
      <c r="AH167" s="2503"/>
      <c r="AI167" s="2503"/>
      <c r="AJ167" s="2503"/>
      <c r="AK167" s="2503"/>
      <c r="AM167" s="164" t="s">
        <v>2233</v>
      </c>
      <c r="AN167" s="143">
        <v>0</v>
      </c>
      <c r="AO167" s="141">
        <v>0</v>
      </c>
      <c r="AP167" s="141">
        <v>0</v>
      </c>
      <c r="AQ167" s="141">
        <v>0</v>
      </c>
      <c r="AR167" s="141">
        <v>0</v>
      </c>
      <c r="AS167" s="141">
        <v>0</v>
      </c>
      <c r="AT167" s="141">
        <v>0</v>
      </c>
      <c r="AU167" s="144">
        <v>0</v>
      </c>
      <c r="AV167" s="143">
        <v>0</v>
      </c>
      <c r="AW167" s="141">
        <v>0</v>
      </c>
      <c r="AX167" s="141">
        <v>0</v>
      </c>
      <c r="AY167" s="141">
        <v>0</v>
      </c>
      <c r="AZ167" s="144">
        <v>0</v>
      </c>
      <c r="BA167" s="185"/>
      <c r="BB167" s="522" t="s">
        <v>2233</v>
      </c>
      <c r="BC167" s="141">
        <v>0</v>
      </c>
      <c r="BD167" s="522" t="s">
        <v>2233</v>
      </c>
      <c r="BE167" s="141">
        <v>0</v>
      </c>
      <c r="BF167" s="522" t="s">
        <v>2233</v>
      </c>
      <c r="BG167" s="141">
        <v>0</v>
      </c>
      <c r="BH167" s="607" t="s">
        <v>627</v>
      </c>
      <c r="BI167" s="868">
        <v>0</v>
      </c>
      <c r="BJ167" s="185"/>
      <c r="BQ167" s="522" t="s">
        <v>2233</v>
      </c>
      <c r="BR167" s="141">
        <v>0</v>
      </c>
      <c r="BS167" s="522" t="s">
        <v>2233</v>
      </c>
      <c r="BT167" s="141">
        <v>0</v>
      </c>
      <c r="BU167" s="522" t="s">
        <v>2233</v>
      </c>
      <c r="BV167" s="141">
        <v>0</v>
      </c>
      <c r="BW167" s="607" t="s">
        <v>627</v>
      </c>
      <c r="BX167" s="872">
        <v>0</v>
      </c>
    </row>
    <row r="168" spans="1:76" s="98" customFormat="1" ht="15" customHeight="1">
      <c r="A168" s="99"/>
      <c r="B168" s="161"/>
      <c r="C168" s="162"/>
      <c r="D168" s="162" t="s">
        <v>2728</v>
      </c>
      <c r="E168" s="162"/>
      <c r="F168" s="162"/>
      <c r="G168" s="163"/>
      <c r="H168" s="163"/>
      <c r="I168" s="2503"/>
      <c r="J168" s="2503"/>
      <c r="K168" s="2503"/>
      <c r="L168" s="2503"/>
      <c r="M168" s="2503"/>
      <c r="N168" s="2503"/>
      <c r="O168" s="2503"/>
      <c r="P168" s="2503"/>
      <c r="Q168" s="2503"/>
      <c r="R168" s="2503"/>
      <c r="S168" s="2503"/>
      <c r="T168" s="2503"/>
      <c r="U168" s="2503"/>
      <c r="V168" s="2503"/>
      <c r="W168" s="185"/>
      <c r="X168" s="2503"/>
      <c r="Y168" s="2503"/>
      <c r="Z168" s="2503"/>
      <c r="AA168" s="2503"/>
      <c r="AB168" s="2503"/>
      <c r="AC168" s="2503"/>
      <c r="AD168" s="2503"/>
      <c r="AE168" s="2503"/>
      <c r="AF168" s="2503"/>
      <c r="AG168" s="2503"/>
      <c r="AH168" s="2503"/>
      <c r="AI168" s="2503"/>
      <c r="AJ168" s="2503"/>
      <c r="AK168" s="2503"/>
      <c r="AM168" s="164" t="s">
        <v>2233</v>
      </c>
      <c r="AN168" s="143">
        <v>0</v>
      </c>
      <c r="AO168" s="141">
        <v>0</v>
      </c>
      <c r="AP168" s="141">
        <v>0</v>
      </c>
      <c r="AQ168" s="141">
        <v>0</v>
      </c>
      <c r="AR168" s="141">
        <v>0</v>
      </c>
      <c r="AS168" s="141">
        <v>0</v>
      </c>
      <c r="AT168" s="141">
        <v>0</v>
      </c>
      <c r="AU168" s="144">
        <v>0</v>
      </c>
      <c r="AV168" s="143">
        <v>0</v>
      </c>
      <c r="AW168" s="141">
        <v>0</v>
      </c>
      <c r="AX168" s="141">
        <v>0</v>
      </c>
      <c r="AY168" s="141">
        <v>0</v>
      </c>
      <c r="AZ168" s="144">
        <v>0</v>
      </c>
      <c r="BA168" s="185"/>
      <c r="BB168" s="522" t="s">
        <v>2233</v>
      </c>
      <c r="BC168" s="141">
        <v>0</v>
      </c>
      <c r="BD168" s="522" t="s">
        <v>2233</v>
      </c>
      <c r="BE168" s="141">
        <v>0</v>
      </c>
      <c r="BF168" s="522" t="s">
        <v>2233</v>
      </c>
      <c r="BG168" s="141">
        <v>0</v>
      </c>
      <c r="BH168" s="607" t="s">
        <v>627</v>
      </c>
      <c r="BI168" s="868">
        <v>0</v>
      </c>
      <c r="BJ168" s="185"/>
      <c r="BQ168" s="522" t="s">
        <v>2233</v>
      </c>
      <c r="BR168" s="141">
        <v>0</v>
      </c>
      <c r="BS168" s="522" t="s">
        <v>2233</v>
      </c>
      <c r="BT168" s="141">
        <v>0</v>
      </c>
      <c r="BU168" s="522" t="s">
        <v>2233</v>
      </c>
      <c r="BV168" s="141">
        <v>0</v>
      </c>
      <c r="BW168" s="607" t="s">
        <v>627</v>
      </c>
      <c r="BX168" s="872">
        <v>0</v>
      </c>
    </row>
    <row r="169" spans="1:76" s="98" customFormat="1" ht="15" customHeight="1">
      <c r="A169" s="99"/>
      <c r="B169" s="161"/>
      <c r="C169" s="162"/>
      <c r="D169" s="162" t="s">
        <v>2736</v>
      </c>
      <c r="E169" s="162"/>
      <c r="F169" s="162"/>
      <c r="G169" s="163"/>
      <c r="H169" s="163"/>
      <c r="I169" s="2503"/>
      <c r="J169" s="2503"/>
      <c r="K169" s="2503"/>
      <c r="L169" s="2503"/>
      <c r="M169" s="2503"/>
      <c r="N169" s="2503"/>
      <c r="O169" s="2503"/>
      <c r="P169" s="2503"/>
      <c r="Q169" s="2503"/>
      <c r="R169" s="2503"/>
      <c r="S169" s="2503"/>
      <c r="T169" s="2503"/>
      <c r="U169" s="2503"/>
      <c r="V169" s="2503"/>
      <c r="W169" s="185"/>
      <c r="X169" s="2503"/>
      <c r="Y169" s="2503"/>
      <c r="Z169" s="2503"/>
      <c r="AA169" s="2503"/>
      <c r="AB169" s="2503"/>
      <c r="AC169" s="2503"/>
      <c r="AD169" s="2503"/>
      <c r="AE169" s="2503"/>
      <c r="AF169" s="2503"/>
      <c r="AG169" s="2503"/>
      <c r="AH169" s="2503"/>
      <c r="AI169" s="2503"/>
      <c r="AJ169" s="2503"/>
      <c r="AK169" s="2503"/>
      <c r="AM169" s="164" t="s">
        <v>2233</v>
      </c>
      <c r="AN169" s="143">
        <v>0</v>
      </c>
      <c r="AO169" s="141">
        <v>0</v>
      </c>
      <c r="AP169" s="141">
        <v>0</v>
      </c>
      <c r="AQ169" s="141">
        <v>0</v>
      </c>
      <c r="AR169" s="141">
        <v>0</v>
      </c>
      <c r="AS169" s="141">
        <v>0</v>
      </c>
      <c r="AT169" s="141">
        <v>0</v>
      </c>
      <c r="AU169" s="144">
        <v>0</v>
      </c>
      <c r="AV169" s="143">
        <v>0</v>
      </c>
      <c r="AW169" s="141">
        <v>0</v>
      </c>
      <c r="AX169" s="141">
        <v>0</v>
      </c>
      <c r="AY169" s="141">
        <v>0</v>
      </c>
      <c r="AZ169" s="144">
        <v>0</v>
      </c>
      <c r="BA169" s="185"/>
      <c r="BB169" s="522" t="s">
        <v>2233</v>
      </c>
      <c r="BC169" s="141">
        <v>0</v>
      </c>
      <c r="BD169" s="522" t="s">
        <v>2233</v>
      </c>
      <c r="BE169" s="141">
        <v>0</v>
      </c>
      <c r="BF169" s="522" t="s">
        <v>2233</v>
      </c>
      <c r="BG169" s="141">
        <v>0</v>
      </c>
      <c r="BH169" s="607" t="s">
        <v>627</v>
      </c>
      <c r="BI169" s="868">
        <v>0</v>
      </c>
      <c r="BJ169" s="185"/>
      <c r="BQ169" s="522" t="s">
        <v>2233</v>
      </c>
      <c r="BR169" s="141">
        <v>0</v>
      </c>
      <c r="BS169" s="522" t="s">
        <v>2233</v>
      </c>
      <c r="BT169" s="141">
        <v>0</v>
      </c>
      <c r="BU169" s="522" t="s">
        <v>2233</v>
      </c>
      <c r="BV169" s="141">
        <v>0</v>
      </c>
      <c r="BW169" s="607" t="s">
        <v>627</v>
      </c>
      <c r="BX169" s="872">
        <v>0</v>
      </c>
    </row>
    <row r="170" spans="1:76" s="98" customFormat="1" ht="15" customHeight="1">
      <c r="A170" s="99"/>
      <c r="B170" s="161"/>
      <c r="C170" s="162"/>
      <c r="D170" s="162" t="s">
        <v>2737</v>
      </c>
      <c r="E170" s="162"/>
      <c r="F170" s="162"/>
      <c r="G170" s="163"/>
      <c r="H170" s="163"/>
      <c r="I170" s="2503"/>
      <c r="J170" s="2503"/>
      <c r="K170" s="2503"/>
      <c r="L170" s="2503"/>
      <c r="M170" s="2503"/>
      <c r="N170" s="2503"/>
      <c r="O170" s="2503"/>
      <c r="P170" s="2503"/>
      <c r="Q170" s="2503"/>
      <c r="R170" s="2503"/>
      <c r="S170" s="2503"/>
      <c r="T170" s="2503"/>
      <c r="U170" s="2503"/>
      <c r="V170" s="2503"/>
      <c r="W170" s="185"/>
      <c r="X170" s="2503"/>
      <c r="Y170" s="2503"/>
      <c r="Z170" s="2503"/>
      <c r="AA170" s="2503"/>
      <c r="AB170" s="2503"/>
      <c r="AC170" s="2503"/>
      <c r="AD170" s="2503"/>
      <c r="AE170" s="2503"/>
      <c r="AF170" s="2503"/>
      <c r="AG170" s="2503"/>
      <c r="AH170" s="2503"/>
      <c r="AI170" s="2503"/>
      <c r="AJ170" s="2503"/>
      <c r="AK170" s="2503"/>
      <c r="AM170" s="164" t="s">
        <v>2233</v>
      </c>
      <c r="AN170" s="143">
        <v>0</v>
      </c>
      <c r="AO170" s="141">
        <v>0</v>
      </c>
      <c r="AP170" s="141">
        <v>0</v>
      </c>
      <c r="AQ170" s="141">
        <v>0</v>
      </c>
      <c r="AR170" s="141">
        <v>0</v>
      </c>
      <c r="AS170" s="141">
        <v>0</v>
      </c>
      <c r="AT170" s="141">
        <v>0</v>
      </c>
      <c r="AU170" s="144">
        <v>0</v>
      </c>
      <c r="AV170" s="143">
        <v>0</v>
      </c>
      <c r="AW170" s="141">
        <v>0</v>
      </c>
      <c r="AX170" s="141">
        <v>0</v>
      </c>
      <c r="AY170" s="141">
        <v>0</v>
      </c>
      <c r="AZ170" s="144">
        <v>0</v>
      </c>
      <c r="BA170" s="185"/>
      <c r="BB170" s="522" t="s">
        <v>2233</v>
      </c>
      <c r="BC170" s="141">
        <v>0</v>
      </c>
      <c r="BD170" s="522" t="s">
        <v>2233</v>
      </c>
      <c r="BE170" s="141">
        <v>0</v>
      </c>
      <c r="BF170" s="522" t="s">
        <v>2233</v>
      </c>
      <c r="BG170" s="141">
        <v>0</v>
      </c>
      <c r="BH170" s="607" t="s">
        <v>627</v>
      </c>
      <c r="BI170" s="868">
        <v>0</v>
      </c>
      <c r="BJ170" s="185"/>
      <c r="BQ170" s="522" t="s">
        <v>2233</v>
      </c>
      <c r="BR170" s="141">
        <v>0</v>
      </c>
      <c r="BS170" s="522" t="s">
        <v>2233</v>
      </c>
      <c r="BT170" s="141">
        <v>0</v>
      </c>
      <c r="BU170" s="522" t="s">
        <v>2233</v>
      </c>
      <c r="BV170" s="141">
        <v>0</v>
      </c>
      <c r="BW170" s="607" t="s">
        <v>627</v>
      </c>
      <c r="BX170" s="872">
        <v>0</v>
      </c>
    </row>
    <row r="171" spans="1:76" s="98" customFormat="1" ht="15" customHeight="1">
      <c r="A171" s="99"/>
      <c r="B171" s="161"/>
      <c r="C171" s="162" t="s">
        <v>1710</v>
      </c>
      <c r="D171" s="162"/>
      <c r="E171" s="162"/>
      <c r="F171" s="162"/>
      <c r="G171" s="163"/>
      <c r="H171" s="163"/>
      <c r="I171" s="2503"/>
      <c r="J171" s="2503"/>
      <c r="K171" s="2503"/>
      <c r="L171" s="2503"/>
      <c r="M171" s="2503"/>
      <c r="N171" s="2503"/>
      <c r="O171" s="2503"/>
      <c r="P171" s="2503"/>
      <c r="Q171" s="2503"/>
      <c r="R171" s="2503"/>
      <c r="S171" s="2503"/>
      <c r="T171" s="2503"/>
      <c r="U171" s="2503"/>
      <c r="V171" s="2503"/>
      <c r="W171" s="185"/>
      <c r="X171" s="2503"/>
      <c r="Y171" s="2503"/>
      <c r="Z171" s="2503"/>
      <c r="AA171" s="2503"/>
      <c r="AB171" s="2503"/>
      <c r="AC171" s="2503"/>
      <c r="AD171" s="2503"/>
      <c r="AE171" s="2503"/>
      <c r="AF171" s="2503"/>
      <c r="AG171" s="2503"/>
      <c r="AH171" s="2503"/>
      <c r="AI171" s="2503"/>
      <c r="AJ171" s="2503"/>
      <c r="AK171" s="2503"/>
      <c r="AM171" s="164" t="s">
        <v>2233</v>
      </c>
      <c r="AN171" s="641">
        <f>SUM(AN162:AN170)</f>
        <v>0</v>
      </c>
      <c r="AO171" s="642">
        <f t="shared" ref="AO171:AZ171" si="204">SUM(AO162:AO170)</f>
        <v>0</v>
      </c>
      <c r="AP171" s="642">
        <f t="shared" si="204"/>
        <v>0</v>
      </c>
      <c r="AQ171" s="642">
        <f t="shared" si="204"/>
        <v>0</v>
      </c>
      <c r="AR171" s="642">
        <f t="shared" si="204"/>
        <v>0</v>
      </c>
      <c r="AS171" s="642">
        <f t="shared" si="204"/>
        <v>0</v>
      </c>
      <c r="AT171" s="642">
        <f t="shared" si="204"/>
        <v>0</v>
      </c>
      <c r="AU171" s="643">
        <f t="shared" si="204"/>
        <v>0</v>
      </c>
      <c r="AV171" s="641">
        <f t="shared" si="204"/>
        <v>0</v>
      </c>
      <c r="AW171" s="642">
        <f t="shared" si="204"/>
        <v>0</v>
      </c>
      <c r="AX171" s="642">
        <f t="shared" si="204"/>
        <v>0</v>
      </c>
      <c r="AY171" s="642">
        <f t="shared" si="204"/>
        <v>0</v>
      </c>
      <c r="AZ171" s="643">
        <f t="shared" si="204"/>
        <v>0</v>
      </c>
      <c r="BA171" s="185"/>
      <c r="BB171" s="522" t="s">
        <v>2233</v>
      </c>
      <c r="BC171" s="642">
        <f>SUM(BC162:BC170)</f>
        <v>0</v>
      </c>
      <c r="BD171" s="522" t="s">
        <v>2233</v>
      </c>
      <c r="BE171" s="642">
        <f>SUM(BE162:BE170)</f>
        <v>0</v>
      </c>
      <c r="BF171" s="522" t="s">
        <v>2233</v>
      </c>
      <c r="BG171" s="642">
        <f>SUM(BG162:BG170)</f>
        <v>0</v>
      </c>
      <c r="BH171" s="607" t="s">
        <v>627</v>
      </c>
      <c r="BI171" s="2507"/>
      <c r="BJ171" s="185"/>
      <c r="BQ171" s="522" t="s">
        <v>2233</v>
      </c>
      <c r="BR171" s="642">
        <f>SUM(BR162:BR170)</f>
        <v>0</v>
      </c>
      <c r="BS171" s="522" t="s">
        <v>2233</v>
      </c>
      <c r="BT171" s="642">
        <f>SUM(BT162:BT170)</f>
        <v>0</v>
      </c>
      <c r="BU171" s="522" t="s">
        <v>2233</v>
      </c>
      <c r="BV171" s="642">
        <f>SUM(BV162:BV170)</f>
        <v>0</v>
      </c>
      <c r="BW171" s="545" t="s">
        <v>627</v>
      </c>
      <c r="BX171" s="544"/>
    </row>
    <row r="172" spans="1:76" s="98" customFormat="1" ht="15" customHeight="1">
      <c r="A172" s="99"/>
      <c r="B172" s="123"/>
      <c r="C172" s="127"/>
      <c r="D172" s="127"/>
      <c r="E172" s="127"/>
      <c r="F172" s="127"/>
      <c r="G172" s="117"/>
      <c r="H172" s="117"/>
      <c r="I172" s="2503"/>
      <c r="J172" s="2503"/>
      <c r="K172" s="2503"/>
      <c r="L172" s="2503"/>
      <c r="M172" s="2503"/>
      <c r="N172" s="2503"/>
      <c r="O172" s="2503"/>
      <c r="P172" s="2503"/>
      <c r="Q172" s="2503"/>
      <c r="R172" s="2503"/>
      <c r="S172" s="2503"/>
      <c r="T172" s="2503"/>
      <c r="U172" s="2503"/>
      <c r="V172" s="2503"/>
      <c r="W172" s="185"/>
      <c r="X172" s="2503"/>
      <c r="Y172" s="2503"/>
      <c r="Z172" s="2503"/>
      <c r="AA172" s="2503"/>
      <c r="AB172" s="2503"/>
      <c r="AC172" s="2503"/>
      <c r="AD172" s="2503"/>
      <c r="AE172" s="2503"/>
      <c r="AF172" s="2503"/>
      <c r="AG172" s="2503"/>
      <c r="AH172" s="2503"/>
      <c r="AI172" s="2503"/>
      <c r="AJ172" s="2503"/>
      <c r="AK172" s="2503"/>
      <c r="AM172" s="117"/>
      <c r="AN172" s="713"/>
      <c r="AO172" s="721"/>
      <c r="AP172" s="721"/>
      <c r="AQ172" s="721"/>
      <c r="AR172" s="721"/>
      <c r="AS172" s="721"/>
      <c r="AT172" s="721"/>
      <c r="AU172" s="715"/>
      <c r="AV172" s="713"/>
      <c r="AW172" s="721"/>
      <c r="AX172" s="721"/>
      <c r="AY172" s="721"/>
      <c r="AZ172" s="715"/>
      <c r="BA172" s="185"/>
      <c r="BB172" s="185"/>
      <c r="BC172" s="185"/>
      <c r="BD172" s="185"/>
      <c r="BE172" s="185"/>
      <c r="BF172" s="185"/>
      <c r="BG172" s="185"/>
      <c r="BH172" s="185"/>
      <c r="BI172" s="185"/>
      <c r="BJ172" s="185"/>
      <c r="BQ172" s="185"/>
      <c r="BR172" s="185"/>
      <c r="BS172" s="185"/>
      <c r="BT172" s="185"/>
      <c r="BU172" s="185"/>
      <c r="BV172" s="185"/>
      <c r="BW172" s="185"/>
      <c r="BX172" s="215"/>
    </row>
    <row r="173" spans="1:76" s="98" customFormat="1" ht="15" customHeight="1" thickBot="1">
      <c r="A173" s="99"/>
      <c r="B173" s="191" t="s">
        <v>1701</v>
      </c>
      <c r="C173" s="193"/>
      <c r="D173" s="193"/>
      <c r="E173" s="193"/>
      <c r="F173" s="193"/>
      <c r="G173" s="194"/>
      <c r="H173" s="194"/>
      <c r="I173" s="1692"/>
      <c r="J173" s="1692"/>
      <c r="K173" s="1692"/>
      <c r="L173" s="1692"/>
      <c r="M173" s="1692"/>
      <c r="N173" s="1692"/>
      <c r="O173" s="1692"/>
      <c r="P173" s="1692"/>
      <c r="Q173" s="1692"/>
      <c r="R173" s="1692"/>
      <c r="S173" s="1692"/>
      <c r="T173" s="1692"/>
      <c r="U173" s="1692"/>
      <c r="V173" s="1692"/>
      <c r="W173" s="192"/>
      <c r="X173" s="1692"/>
      <c r="Y173" s="1692"/>
      <c r="Z173" s="1692"/>
      <c r="AA173" s="1692"/>
      <c r="AB173" s="1692"/>
      <c r="AC173" s="1692"/>
      <c r="AD173" s="1692"/>
      <c r="AE173" s="1692"/>
      <c r="AF173" s="1692"/>
      <c r="AG173" s="1692"/>
      <c r="AH173" s="1692"/>
      <c r="AI173" s="1692"/>
      <c r="AJ173" s="1692"/>
      <c r="AK173" s="1692"/>
      <c r="AL173" s="1356"/>
      <c r="AM173" s="195" t="s">
        <v>2233</v>
      </c>
      <c r="AN173" s="701">
        <f>SUM(AN115,AN121,AN127,AN132,AN144,AN147,AN159,AN171)</f>
        <v>0</v>
      </c>
      <c r="AO173" s="702">
        <f t="shared" ref="AO173:AZ173" si="205">SUM(AO115,AO121,AO127,AO132,AO144,AO147,AO159,AO171)</f>
        <v>0</v>
      </c>
      <c r="AP173" s="702">
        <f t="shared" si="205"/>
        <v>0</v>
      </c>
      <c r="AQ173" s="702">
        <f t="shared" si="205"/>
        <v>0</v>
      </c>
      <c r="AR173" s="702">
        <f t="shared" si="205"/>
        <v>0</v>
      </c>
      <c r="AS173" s="702">
        <f t="shared" si="205"/>
        <v>0</v>
      </c>
      <c r="AT173" s="702">
        <f t="shared" si="205"/>
        <v>0</v>
      </c>
      <c r="AU173" s="703">
        <f t="shared" si="205"/>
        <v>0</v>
      </c>
      <c r="AV173" s="701">
        <f t="shared" si="205"/>
        <v>0</v>
      </c>
      <c r="AW173" s="702">
        <f t="shared" si="205"/>
        <v>0</v>
      </c>
      <c r="AX173" s="702">
        <f t="shared" si="205"/>
        <v>0</v>
      </c>
      <c r="AY173" s="702">
        <f t="shared" si="205"/>
        <v>0</v>
      </c>
      <c r="AZ173" s="703">
        <f t="shared" si="205"/>
        <v>0</v>
      </c>
      <c r="BA173" s="192"/>
      <c r="BB173" s="1120" t="s">
        <v>2233</v>
      </c>
      <c r="BC173" s="702">
        <f>SUM(BC115,BC121,BC127,BC132,BC144,BC147,BC159,BC171)</f>
        <v>0</v>
      </c>
      <c r="BD173" s="1120" t="s">
        <v>2233</v>
      </c>
      <c r="BE173" s="702">
        <f>SUM(BE115,BE121,BE127,BE132,BE144,BE147,BE159,BE171)</f>
        <v>0</v>
      </c>
      <c r="BF173" s="1120" t="s">
        <v>2233</v>
      </c>
      <c r="BG173" s="702">
        <f>SUM(BG115,BG121,BG127,BG132,BG144,BG147,BG159,BG171)</f>
        <v>0</v>
      </c>
      <c r="BH173" s="654"/>
      <c r="BI173" s="654"/>
      <c r="BJ173" s="654"/>
      <c r="BK173" s="192"/>
      <c r="BL173" s="192"/>
      <c r="BM173" s="192"/>
      <c r="BN173" s="192"/>
      <c r="BO173" s="192"/>
      <c r="BP173" s="1356"/>
      <c r="BQ173" s="1120" t="s">
        <v>2233</v>
      </c>
      <c r="BR173" s="702">
        <f>SUM(BR115,BR121,BR27,BR132,BR144,BR147,BR159,BR171)</f>
        <v>0</v>
      </c>
      <c r="BS173" s="1120" t="s">
        <v>2233</v>
      </c>
      <c r="BT173" s="702">
        <f>SUM(BT115,BT121,BT127,BT132,BT144,BT147,BT159,BT171)</f>
        <v>0</v>
      </c>
      <c r="BU173" s="1120" t="s">
        <v>2233</v>
      </c>
      <c r="BV173" s="702">
        <f>SUM(BV115,BV121,BV127,BV132,BV144,BV147,BV159,BV171)</f>
        <v>0</v>
      </c>
      <c r="BW173" s="192"/>
      <c r="BX173" s="217"/>
    </row>
  </sheetData>
  <mergeCells count="2">
    <mergeCell ref="J9:Q9"/>
    <mergeCell ref="R9:V9"/>
  </mergeCell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rgb="FFFF6600"/>
  </sheetPr>
  <dimension ref="A1:BO421"/>
  <sheetViews>
    <sheetView showGridLines="0" topLeftCell="A302" zoomScale="50" zoomScaleNormal="50" workbookViewId="0">
      <pane xSplit="7" topLeftCell="H1" activePane="topRight" state="frozen"/>
      <selection activeCell="G14" sqref="G14"/>
      <selection pane="topRight" activeCell="P335" sqref="P335"/>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52" width="15.625" style="173" customWidth="1"/>
    <col min="53" max="53" width="5.625" style="173" customWidth="1"/>
    <col min="54" max="59" width="15.625" style="173" customWidth="1"/>
    <col min="60" max="60" width="5.625" style="173" customWidth="1"/>
    <col min="61" max="66" width="15.625" style="173" customWidth="1"/>
    <col min="67" max="16384" width="11.875" style="173"/>
  </cols>
  <sheetData>
    <row r="1" spans="1:65" s="2" customFormat="1" ht="25.15" customHeight="1">
      <c r="A1" s="1" t="s">
        <v>0</v>
      </c>
      <c r="E1" s="3"/>
      <c r="H1" s="4" t="s">
        <v>1</v>
      </c>
      <c r="J1" s="3"/>
    </row>
    <row r="2" spans="1:65" s="2" customFormat="1" ht="25.15" customHeight="1">
      <c r="A2" s="5" t="str">
        <f>Fixed_Data!I12</f>
        <v>MASTER</v>
      </c>
      <c r="B2" s="6"/>
      <c r="D2" s="7"/>
      <c r="E2" s="3"/>
    </row>
    <row r="3" spans="1:65" s="9" customFormat="1" ht="25.15" customHeight="1" thickBot="1">
      <c r="A3" s="8" t="str">
        <f>Fixed_Data!A3</f>
        <v>RIIO-GD2</v>
      </c>
      <c r="D3" s="10"/>
      <c r="E3" s="11"/>
    </row>
    <row r="4" spans="1:65" s="89" customFormat="1" ht="25.15" customHeight="1">
      <c r="B4" s="90" t="s">
        <v>2779</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c r="BH4" s="92"/>
      <c r="BI4" s="92"/>
      <c r="BJ4" s="92"/>
      <c r="BK4" s="92"/>
      <c r="BL4" s="92"/>
      <c r="BM4" s="94"/>
    </row>
    <row r="5" spans="1:65"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c r="BH5" s="92"/>
      <c r="BI5" s="92"/>
      <c r="BJ5" s="92"/>
      <c r="BK5" s="92"/>
      <c r="BL5" s="92"/>
      <c r="BM5" s="94"/>
    </row>
    <row r="6" spans="1:65"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c r="BH6" s="92"/>
      <c r="BI6" s="92"/>
      <c r="BJ6" s="92"/>
      <c r="BK6" s="92"/>
      <c r="BL6" s="92"/>
      <c r="BM6" s="94"/>
    </row>
    <row r="7" spans="1:65"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row>
    <row r="8" spans="1:65"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c r="BG8" s="108"/>
      <c r="BH8" s="108"/>
      <c r="BK8" s="108"/>
      <c r="BL8" s="108"/>
      <c r="BM8" s="108"/>
    </row>
    <row r="9" spans="1:65" s="113" customFormat="1" ht="30" customHeight="1">
      <c r="A9" s="89"/>
      <c r="B9" s="109"/>
      <c r="C9" s="110"/>
      <c r="D9" s="110"/>
      <c r="E9" s="110"/>
      <c r="F9" s="110"/>
      <c r="G9" s="111"/>
      <c r="H9" s="112"/>
      <c r="I9" s="112"/>
      <c r="J9" s="869" t="s">
        <v>1666</v>
      </c>
      <c r="K9" s="609"/>
      <c r="L9" s="609"/>
      <c r="M9" s="609"/>
      <c r="N9" s="609"/>
      <c r="O9" s="609"/>
      <c r="P9" s="609"/>
      <c r="Q9" s="610"/>
      <c r="R9" s="870" t="s">
        <v>2</v>
      </c>
      <c r="S9" s="135"/>
      <c r="T9" s="135"/>
      <c r="U9" s="135"/>
      <c r="V9" s="136"/>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c r="BG9" s="114"/>
      <c r="BH9" s="114"/>
      <c r="BK9" s="114"/>
      <c r="BL9" s="114"/>
      <c r="BM9" s="114"/>
    </row>
    <row r="10" spans="1:65"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2"/>
      <c r="BH10" s="92"/>
      <c r="BI10" s="94"/>
      <c r="BJ10" s="94"/>
      <c r="BK10" s="92"/>
      <c r="BL10" s="92"/>
      <c r="BM10" s="92"/>
    </row>
    <row r="11" spans="1:65"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2"/>
      <c r="BH11" s="92"/>
      <c r="BI11" s="94"/>
      <c r="BJ11" s="94"/>
      <c r="BK11" s="92"/>
      <c r="BL11" s="92"/>
      <c r="BM11" s="92"/>
    </row>
    <row r="12" spans="1:65" s="89" customFormat="1" ht="15" customHeight="1">
      <c r="B12" s="123"/>
      <c r="C12" s="127"/>
      <c r="D12" s="127" t="s">
        <v>1682</v>
      </c>
      <c r="E12" s="127"/>
      <c r="F12" s="127"/>
      <c r="G12" s="117"/>
      <c r="H12" s="118"/>
      <c r="I12" s="119" t="s">
        <v>498</v>
      </c>
      <c r="J12" s="128">
        <f>J36</f>
        <v>18.228665422371325</v>
      </c>
      <c r="K12" s="129">
        <f t="shared" ref="K12:V12" si="0">K36</f>
        <v>18.917376328901792</v>
      </c>
      <c r="L12" s="129">
        <f t="shared" si="0"/>
        <v>15.041389641913817</v>
      </c>
      <c r="M12" s="129">
        <f t="shared" si="0"/>
        <v>13.903877619235022</v>
      </c>
      <c r="N12" s="129">
        <f t="shared" si="0"/>
        <v>10.937391321049166</v>
      </c>
      <c r="O12" s="129">
        <f t="shared" si="0"/>
        <v>11.498186438199554</v>
      </c>
      <c r="P12" s="129">
        <f t="shared" si="0"/>
        <v>14.519225200382738</v>
      </c>
      <c r="Q12" s="130">
        <f t="shared" si="0"/>
        <v>13.422367646832743</v>
      </c>
      <c r="R12" s="128">
        <f t="shared" si="0"/>
        <v>8.8626035587007888</v>
      </c>
      <c r="S12" s="129">
        <f t="shared" si="0"/>
        <v>8.8182905409072845</v>
      </c>
      <c r="T12" s="129">
        <f t="shared" si="0"/>
        <v>8.7741990882027476</v>
      </c>
      <c r="U12" s="129">
        <f t="shared" si="0"/>
        <v>8.7303280927617326</v>
      </c>
      <c r="V12" s="130">
        <f t="shared" si="0"/>
        <v>8.6866764522979256</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2"/>
      <c r="BH12" s="92"/>
      <c r="BI12" s="94"/>
      <c r="BJ12" s="94"/>
      <c r="BK12" s="92"/>
      <c r="BL12" s="92"/>
      <c r="BM12" s="92"/>
    </row>
    <row r="13" spans="1:65" s="89" customFormat="1" ht="15" customHeight="1">
      <c r="B13" s="123"/>
      <c r="C13" s="127"/>
      <c r="D13" s="127" t="s">
        <v>1683</v>
      </c>
      <c r="E13" s="127"/>
      <c r="F13" s="127"/>
      <c r="G13" s="117"/>
      <c r="H13" s="118"/>
      <c r="I13" s="119" t="s">
        <v>498</v>
      </c>
      <c r="J13" s="128">
        <f>J48</f>
        <v>0.11271049164811676</v>
      </c>
      <c r="K13" s="129">
        <f t="shared" ref="K13:V13" si="1">K48</f>
        <v>7.1694330440126894E-2</v>
      </c>
      <c r="L13" s="129">
        <f t="shared" si="1"/>
        <v>0.11296551619754933</v>
      </c>
      <c r="M13" s="129">
        <f t="shared" si="1"/>
        <v>2.3668560231897451E-2</v>
      </c>
      <c r="N13" s="129">
        <f t="shared" si="1"/>
        <v>0.1121594839682732</v>
      </c>
      <c r="O13" s="129">
        <f t="shared" si="1"/>
        <v>5.899586591379144E-2</v>
      </c>
      <c r="P13" s="129">
        <f t="shared" si="1"/>
        <v>5.716344580394514E-2</v>
      </c>
      <c r="Q13" s="130">
        <f t="shared" si="1"/>
        <v>4.9415813617331036E-2</v>
      </c>
      <c r="R13" s="128">
        <f t="shared" si="1"/>
        <v>1.3845620971733313E-2</v>
      </c>
      <c r="S13" s="129">
        <f t="shared" si="1"/>
        <v>1.3776392866874647E-2</v>
      </c>
      <c r="T13" s="129">
        <f t="shared" si="1"/>
        <v>1.3707510902540276E-2</v>
      </c>
      <c r="U13" s="129">
        <f t="shared" si="1"/>
        <v>1.3638973348027571E-2</v>
      </c>
      <c r="V13" s="130">
        <f t="shared" si="1"/>
        <v>1.3570778481287434E-2</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2"/>
      <c r="BH13" s="92"/>
      <c r="BI13" s="94"/>
      <c r="BJ13" s="94"/>
      <c r="BK13" s="92"/>
      <c r="BL13" s="92"/>
      <c r="BM13" s="92"/>
    </row>
    <row r="14" spans="1:65" s="89" customFormat="1" ht="15" customHeight="1">
      <c r="B14" s="123"/>
      <c r="C14" s="127"/>
      <c r="D14" s="127" t="s">
        <v>1684</v>
      </c>
      <c r="E14" s="127"/>
      <c r="F14" s="127"/>
      <c r="G14" s="117"/>
      <c r="H14" s="118"/>
      <c r="I14" s="119" t="s">
        <v>498</v>
      </c>
      <c r="J14" s="128">
        <f>J60</f>
        <v>0.55332363071117585</v>
      </c>
      <c r="K14" s="129">
        <f t="shared" ref="K14:V14" si="2">K60</f>
        <v>0.62982553954643705</v>
      </c>
      <c r="L14" s="129">
        <f t="shared" si="2"/>
        <v>0.23587135869538486</v>
      </c>
      <c r="M14" s="129">
        <f t="shared" si="2"/>
        <v>0.35559400213396369</v>
      </c>
      <c r="N14" s="129">
        <f t="shared" si="2"/>
        <v>0.56179696084100805</v>
      </c>
      <c r="O14" s="129">
        <f t="shared" si="2"/>
        <v>0.42870670471827055</v>
      </c>
      <c r="P14" s="129">
        <f t="shared" si="2"/>
        <v>0.39938761232521514</v>
      </c>
      <c r="Q14" s="130">
        <f t="shared" si="2"/>
        <v>0.33502357258482685</v>
      </c>
      <c r="R14" s="128">
        <f t="shared" si="2"/>
        <v>0.16869645988064946</v>
      </c>
      <c r="S14" s="129">
        <f t="shared" si="2"/>
        <v>0.16785297758124623</v>
      </c>
      <c r="T14" s="129">
        <f t="shared" si="2"/>
        <v>0.16701371269334001</v>
      </c>
      <c r="U14" s="129">
        <f t="shared" si="2"/>
        <v>0.16617864412987332</v>
      </c>
      <c r="V14" s="130">
        <f t="shared" si="2"/>
        <v>0.16534775090922393</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2"/>
      <c r="BH14" s="92"/>
      <c r="BI14" s="94"/>
      <c r="BJ14" s="94"/>
      <c r="BK14" s="92"/>
      <c r="BL14" s="92"/>
      <c r="BM14" s="92"/>
    </row>
    <row r="15" spans="1:65" s="89" customFormat="1" ht="15" customHeight="1">
      <c r="B15" s="123"/>
      <c r="C15" s="127"/>
      <c r="D15" s="127" t="s">
        <v>1685</v>
      </c>
      <c r="E15" s="127"/>
      <c r="F15" s="127"/>
      <c r="G15" s="117"/>
      <c r="H15" s="118"/>
      <c r="I15" s="119" t="s">
        <v>498</v>
      </c>
      <c r="J15" s="128">
        <f>J72</f>
        <v>0.18818035869672661</v>
      </c>
      <c r="K15" s="129">
        <f t="shared" ref="K15:V15" si="3">K72</f>
        <v>0.19521075536456173</v>
      </c>
      <c r="L15" s="129">
        <f t="shared" si="3"/>
        <v>8.0363875440082208E-2</v>
      </c>
      <c r="M15" s="129">
        <f t="shared" si="3"/>
        <v>0.132818596515662</v>
      </c>
      <c r="N15" s="129">
        <f t="shared" si="3"/>
        <v>5.8198110004138867E-2</v>
      </c>
      <c r="O15" s="129">
        <f t="shared" si="3"/>
        <v>7.6945265885993652E-2</v>
      </c>
      <c r="P15" s="129">
        <f t="shared" si="3"/>
        <v>0.10489186268163769</v>
      </c>
      <c r="Q15" s="130">
        <f t="shared" si="3"/>
        <v>8.395444913927938E-2</v>
      </c>
      <c r="R15" s="128">
        <f t="shared" si="3"/>
        <v>8.73888451465865E-2</v>
      </c>
      <c r="S15" s="129">
        <f t="shared" si="3"/>
        <v>8.6951900920853559E-2</v>
      </c>
      <c r="T15" s="129">
        <f t="shared" si="3"/>
        <v>8.6517141416249291E-2</v>
      </c>
      <c r="U15" s="129">
        <f t="shared" si="3"/>
        <v>8.6084555709168051E-2</v>
      </c>
      <c r="V15" s="130">
        <f t="shared" si="3"/>
        <v>8.5654132930622212E-2</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2"/>
      <c r="BH15" s="92"/>
      <c r="BI15" s="94"/>
      <c r="BJ15" s="94"/>
      <c r="BK15" s="92"/>
      <c r="BL15" s="92"/>
      <c r="BM15" s="92"/>
    </row>
    <row r="16" spans="1:65" s="89" customFormat="1" ht="15" customHeight="1">
      <c r="B16" s="123"/>
      <c r="C16" s="127"/>
      <c r="D16" s="127" t="s">
        <v>2780</v>
      </c>
      <c r="E16" s="127"/>
      <c r="F16" s="127"/>
      <c r="G16" s="117"/>
      <c r="H16" s="118"/>
      <c r="I16" s="119" t="s">
        <v>498</v>
      </c>
      <c r="J16" s="128">
        <f>J84</f>
        <v>0</v>
      </c>
      <c r="K16" s="129">
        <f t="shared" ref="K16:V16" si="4">K84</f>
        <v>0</v>
      </c>
      <c r="L16" s="129">
        <f t="shared" si="4"/>
        <v>0</v>
      </c>
      <c r="M16" s="129">
        <f t="shared" si="4"/>
        <v>0</v>
      </c>
      <c r="N16" s="129">
        <f t="shared" si="4"/>
        <v>0</v>
      </c>
      <c r="O16" s="129">
        <f t="shared" si="4"/>
        <v>0</v>
      </c>
      <c r="P16" s="129">
        <f t="shared" si="4"/>
        <v>0</v>
      </c>
      <c r="Q16" s="130">
        <f t="shared" si="4"/>
        <v>0</v>
      </c>
      <c r="R16" s="128">
        <f t="shared" si="4"/>
        <v>0</v>
      </c>
      <c r="S16" s="129">
        <f t="shared" si="4"/>
        <v>0</v>
      </c>
      <c r="T16" s="129">
        <f t="shared" si="4"/>
        <v>0</v>
      </c>
      <c r="U16" s="129">
        <f t="shared" si="4"/>
        <v>0</v>
      </c>
      <c r="V16" s="130">
        <f t="shared" si="4"/>
        <v>0</v>
      </c>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2"/>
      <c r="BH16" s="92"/>
      <c r="BI16" s="94"/>
      <c r="BJ16" s="94"/>
      <c r="BK16" s="92"/>
      <c r="BL16" s="92"/>
      <c r="BM16" s="92"/>
    </row>
    <row r="17" spans="1:67" s="89" customFormat="1" ht="15" customHeight="1">
      <c r="B17" s="123"/>
      <c r="C17" s="127"/>
      <c r="D17" s="127" t="s">
        <v>2781</v>
      </c>
      <c r="E17" s="127"/>
      <c r="F17" s="127"/>
      <c r="G17" s="117"/>
      <c r="H17" s="118"/>
      <c r="I17" s="119" t="s">
        <v>498</v>
      </c>
      <c r="J17" s="128">
        <f>J96</f>
        <v>0</v>
      </c>
      <c r="K17" s="129">
        <f t="shared" ref="K17:V17" si="5">K96</f>
        <v>0</v>
      </c>
      <c r="L17" s="129">
        <f t="shared" si="5"/>
        <v>0</v>
      </c>
      <c r="M17" s="129">
        <f t="shared" si="5"/>
        <v>0</v>
      </c>
      <c r="N17" s="129">
        <f t="shared" si="5"/>
        <v>0</v>
      </c>
      <c r="O17" s="129">
        <f t="shared" si="5"/>
        <v>0</v>
      </c>
      <c r="P17" s="129">
        <f t="shared" si="5"/>
        <v>0</v>
      </c>
      <c r="Q17" s="130">
        <f t="shared" si="5"/>
        <v>0</v>
      </c>
      <c r="R17" s="128">
        <f t="shared" si="5"/>
        <v>0.82682258409166898</v>
      </c>
      <c r="S17" s="129">
        <f t="shared" si="5"/>
        <v>0.8226884711712108</v>
      </c>
      <c r="T17" s="129">
        <f t="shared" si="5"/>
        <v>0.8185750288153546</v>
      </c>
      <c r="U17" s="129">
        <f t="shared" si="5"/>
        <v>0.81448215367127796</v>
      </c>
      <c r="V17" s="130">
        <f t="shared" si="5"/>
        <v>0.81040974290292156</v>
      </c>
      <c r="AG17" s="92"/>
      <c r="AH17" s="92"/>
      <c r="AI17" s="92"/>
      <c r="AJ17" s="92"/>
      <c r="AK17" s="92"/>
      <c r="AL17" s="92"/>
      <c r="AM17" s="92"/>
      <c r="AN17" s="92"/>
      <c r="AO17" s="92"/>
      <c r="AP17" s="92"/>
      <c r="AQ17" s="92"/>
      <c r="AR17" s="94"/>
      <c r="AS17" s="94"/>
      <c r="AT17" s="92"/>
      <c r="AU17" s="92"/>
      <c r="AV17" s="92"/>
      <c r="AW17" s="92"/>
      <c r="AX17" s="92"/>
      <c r="AY17" s="92"/>
      <c r="AZ17" s="92"/>
      <c r="BA17" s="92"/>
      <c r="BB17" s="92"/>
      <c r="BC17" s="92"/>
      <c r="BD17" s="92"/>
      <c r="BE17" s="92"/>
      <c r="BF17" s="92"/>
      <c r="BG17" s="92"/>
      <c r="BH17" s="92"/>
      <c r="BI17" s="94"/>
      <c r="BJ17" s="94"/>
      <c r="BK17" s="92"/>
      <c r="BL17" s="92"/>
      <c r="BM17" s="92"/>
    </row>
    <row r="18" spans="1:67" s="89" customFormat="1" ht="15" customHeight="1">
      <c r="B18" s="123"/>
      <c r="C18" s="127"/>
      <c r="D18" s="127" t="s">
        <v>2782</v>
      </c>
      <c r="E18" s="127"/>
      <c r="F18" s="127"/>
      <c r="G18" s="117"/>
      <c r="H18" s="118"/>
      <c r="I18" s="119" t="s">
        <v>498</v>
      </c>
      <c r="J18" s="128">
        <f>J108</f>
        <v>0</v>
      </c>
      <c r="K18" s="129">
        <f t="shared" ref="K18:V18" si="6">K108</f>
        <v>0</v>
      </c>
      <c r="L18" s="129">
        <f t="shared" si="6"/>
        <v>0</v>
      </c>
      <c r="M18" s="129">
        <f t="shared" si="6"/>
        <v>0</v>
      </c>
      <c r="N18" s="129">
        <f t="shared" si="6"/>
        <v>0</v>
      </c>
      <c r="O18" s="129">
        <f t="shared" si="6"/>
        <v>0</v>
      </c>
      <c r="P18" s="129">
        <f t="shared" si="6"/>
        <v>0</v>
      </c>
      <c r="Q18" s="130">
        <f t="shared" si="6"/>
        <v>0</v>
      </c>
      <c r="R18" s="128">
        <f t="shared" si="6"/>
        <v>0.66556396326096467</v>
      </c>
      <c r="S18" s="129">
        <f t="shared" si="6"/>
        <v>0.66223614344465964</v>
      </c>
      <c r="T18" s="129">
        <f t="shared" si="6"/>
        <v>0.65892496272743661</v>
      </c>
      <c r="U18" s="129">
        <f t="shared" si="6"/>
        <v>0.65563033791379932</v>
      </c>
      <c r="V18" s="130">
        <f t="shared" si="6"/>
        <v>0.6523521862242303</v>
      </c>
      <c r="AG18" s="92"/>
      <c r="AH18" s="92"/>
      <c r="AI18" s="92"/>
      <c r="AJ18" s="92"/>
      <c r="AK18" s="92"/>
      <c r="AL18" s="92"/>
      <c r="AM18" s="92"/>
      <c r="AN18" s="92"/>
      <c r="AO18" s="92"/>
      <c r="AP18" s="92"/>
      <c r="AQ18" s="92"/>
      <c r="AR18" s="94"/>
      <c r="AS18" s="94"/>
      <c r="AT18" s="92"/>
      <c r="AU18" s="92"/>
      <c r="AV18" s="92"/>
      <c r="AW18" s="92"/>
      <c r="AX18" s="92"/>
      <c r="AY18" s="92"/>
      <c r="AZ18" s="92"/>
      <c r="BA18" s="92"/>
      <c r="BB18" s="92"/>
      <c r="BC18" s="92"/>
      <c r="BD18" s="92"/>
      <c r="BE18" s="92"/>
      <c r="BF18" s="92"/>
      <c r="BG18" s="92"/>
      <c r="BH18" s="92"/>
      <c r="BI18" s="94"/>
      <c r="BJ18" s="94"/>
      <c r="BK18" s="92"/>
      <c r="BL18" s="92"/>
      <c r="BM18" s="92"/>
    </row>
    <row r="19" spans="1:67" s="89" customFormat="1" ht="15" customHeight="1">
      <c r="B19" s="123"/>
      <c r="C19" s="127"/>
      <c r="D19" s="127" t="s">
        <v>2670</v>
      </c>
      <c r="E19" s="127"/>
      <c r="F19" s="127"/>
      <c r="G19" s="117"/>
      <c r="H19" s="118"/>
      <c r="I19" s="119" t="s">
        <v>498</v>
      </c>
      <c r="J19" s="128">
        <f>J120</f>
        <v>0</v>
      </c>
      <c r="K19" s="129">
        <f t="shared" ref="K19:V19" si="7">K120</f>
        <v>0</v>
      </c>
      <c r="L19" s="129">
        <f t="shared" si="7"/>
        <v>0</v>
      </c>
      <c r="M19" s="129">
        <f t="shared" si="7"/>
        <v>0</v>
      </c>
      <c r="N19" s="129">
        <f t="shared" si="7"/>
        <v>0</v>
      </c>
      <c r="O19" s="129">
        <f t="shared" si="7"/>
        <v>0</v>
      </c>
      <c r="P19" s="129">
        <f t="shared" si="7"/>
        <v>0</v>
      </c>
      <c r="Q19" s="130">
        <f t="shared" si="7"/>
        <v>0</v>
      </c>
      <c r="R19" s="128">
        <f t="shared" si="7"/>
        <v>5.7456183020727643E-2</v>
      </c>
      <c r="S19" s="129">
        <f t="shared" si="7"/>
        <v>5.7168902105623996E-2</v>
      </c>
      <c r="T19" s="129">
        <f t="shared" si="7"/>
        <v>5.6883057595095883E-2</v>
      </c>
      <c r="U19" s="129">
        <f t="shared" si="7"/>
        <v>5.6598642307120396E-2</v>
      </c>
      <c r="V19" s="130">
        <f t="shared" si="7"/>
        <v>5.6315649095584792E-2</v>
      </c>
      <c r="AG19" s="92"/>
      <c r="AH19" s="92"/>
      <c r="AI19" s="92"/>
      <c r="AJ19" s="92"/>
      <c r="AK19" s="92"/>
      <c r="AL19" s="92"/>
      <c r="AM19" s="92"/>
      <c r="AN19" s="92"/>
      <c r="AO19" s="92"/>
      <c r="AP19" s="92"/>
      <c r="AQ19" s="92"/>
      <c r="AR19" s="94"/>
      <c r="AS19" s="94"/>
      <c r="AT19" s="92"/>
      <c r="AU19" s="92"/>
      <c r="AV19" s="92"/>
      <c r="AW19" s="92"/>
      <c r="AX19" s="92"/>
      <c r="AY19" s="92"/>
      <c r="AZ19" s="92"/>
      <c r="BA19" s="92"/>
      <c r="BB19" s="92"/>
      <c r="BC19" s="92"/>
      <c r="BD19" s="92"/>
      <c r="BE19" s="92"/>
      <c r="BF19" s="92"/>
      <c r="BG19" s="92"/>
      <c r="BH19" s="92"/>
      <c r="BI19" s="94"/>
      <c r="BJ19" s="94"/>
      <c r="BK19" s="92"/>
      <c r="BL19" s="92"/>
      <c r="BM19" s="92"/>
    </row>
    <row r="20" spans="1:67" s="89" customFormat="1" ht="15" customHeight="1">
      <c r="B20" s="123"/>
      <c r="C20" s="127"/>
      <c r="D20" s="127" t="s">
        <v>2783</v>
      </c>
      <c r="E20" s="127"/>
      <c r="F20" s="127"/>
      <c r="G20" s="117"/>
      <c r="H20" s="118"/>
      <c r="I20" s="119" t="s">
        <v>498</v>
      </c>
      <c r="J20" s="128">
        <f>J189</f>
        <v>0.14453254327356396</v>
      </c>
      <c r="K20" s="129">
        <f t="shared" ref="K20:V20" si="8">K189</f>
        <v>0.11581391840328191</v>
      </c>
      <c r="L20" s="129">
        <f t="shared" si="8"/>
        <v>0.18491014142218754</v>
      </c>
      <c r="M20" s="129">
        <f t="shared" si="8"/>
        <v>2.6058791681420883E-2</v>
      </c>
      <c r="N20" s="129">
        <f t="shared" si="8"/>
        <v>2.0084679162705631E-2</v>
      </c>
      <c r="O20" s="129">
        <f t="shared" si="8"/>
        <v>3.1183974772754086E-2</v>
      </c>
      <c r="P20" s="129">
        <f t="shared" si="8"/>
        <v>9.4481556367551456E-2</v>
      </c>
      <c r="Q20" s="130">
        <f t="shared" si="8"/>
        <v>6.9250428201143813E-2</v>
      </c>
      <c r="R20" s="128">
        <f t="shared" si="8"/>
        <v>0.11667658639630771</v>
      </c>
      <c r="S20" s="129">
        <f t="shared" si="8"/>
        <v>0.11609320346432619</v>
      </c>
      <c r="T20" s="129">
        <f t="shared" si="8"/>
        <v>0.11551273744700455</v>
      </c>
      <c r="U20" s="129">
        <f t="shared" si="8"/>
        <v>0.11493517375976953</v>
      </c>
      <c r="V20" s="130">
        <f t="shared" si="8"/>
        <v>0.11436049789097068</v>
      </c>
      <c r="AG20" s="92"/>
      <c r="AH20" s="92"/>
      <c r="AI20" s="92"/>
      <c r="AJ20" s="92"/>
      <c r="AK20" s="92"/>
      <c r="AL20" s="92"/>
      <c r="AM20" s="92"/>
      <c r="AN20" s="92"/>
      <c r="AO20" s="92"/>
      <c r="AP20" s="92"/>
      <c r="AQ20" s="92"/>
      <c r="AR20" s="94"/>
      <c r="AS20" s="94"/>
      <c r="AT20" s="92"/>
      <c r="AU20" s="92"/>
      <c r="AV20" s="92"/>
      <c r="AW20" s="92"/>
      <c r="AX20" s="92"/>
      <c r="AY20" s="92"/>
      <c r="AZ20" s="92"/>
      <c r="BA20" s="92"/>
      <c r="BB20" s="92"/>
      <c r="BC20" s="92"/>
      <c r="BD20" s="92"/>
      <c r="BE20" s="92"/>
      <c r="BF20" s="92"/>
      <c r="BG20" s="92"/>
      <c r="BH20" s="92"/>
      <c r="BI20" s="94"/>
      <c r="BJ20" s="94"/>
      <c r="BK20" s="92"/>
      <c r="BL20" s="92"/>
      <c r="BM20" s="92"/>
    </row>
    <row r="21" spans="1:67" s="89" customFormat="1" ht="15" customHeight="1">
      <c r="B21" s="123"/>
      <c r="C21" s="127"/>
      <c r="D21" s="127" t="s">
        <v>2784</v>
      </c>
      <c r="E21" s="127"/>
      <c r="F21" s="127"/>
      <c r="G21" s="117"/>
      <c r="H21" s="118"/>
      <c r="I21" s="119" t="s">
        <v>498</v>
      </c>
      <c r="J21" s="128">
        <f>J258</f>
        <v>2.7039005059057774E-2</v>
      </c>
      <c r="K21" s="129">
        <f t="shared" ref="K21:V21" si="9">K258</f>
        <v>2.3162783680656385E-2</v>
      </c>
      <c r="L21" s="129">
        <f t="shared" si="9"/>
        <v>2.4375622495292831E-2</v>
      </c>
      <c r="M21" s="129">
        <f t="shared" si="9"/>
        <v>2.9224617442283531E-2</v>
      </c>
      <c r="N21" s="129">
        <f t="shared" si="9"/>
        <v>5.8327310413951755E-2</v>
      </c>
      <c r="O21" s="129">
        <f t="shared" si="9"/>
        <v>3.9749085062110612E-2</v>
      </c>
      <c r="P21" s="129">
        <f t="shared" si="9"/>
        <v>3.831911483250746E-2</v>
      </c>
      <c r="Q21" s="130">
        <f t="shared" si="9"/>
        <v>3.3774796941483741E-2</v>
      </c>
      <c r="R21" s="128">
        <f t="shared" si="9"/>
        <v>2.7167677630727815E-2</v>
      </c>
      <c r="S21" s="129">
        <f t="shared" si="9"/>
        <v>2.7031839242574175E-2</v>
      </c>
      <c r="T21" s="129">
        <f t="shared" si="9"/>
        <v>2.6896680046361299E-2</v>
      </c>
      <c r="U21" s="129">
        <f t="shared" si="9"/>
        <v>2.6762196646129492E-2</v>
      </c>
      <c r="V21" s="130">
        <f t="shared" si="9"/>
        <v>2.6628385662898848E-2</v>
      </c>
      <c r="AG21" s="92"/>
      <c r="AH21" s="92"/>
      <c r="AI21" s="92"/>
      <c r="AJ21" s="92"/>
      <c r="AK21" s="92"/>
      <c r="AL21" s="92"/>
      <c r="AM21" s="92"/>
      <c r="AN21" s="92"/>
      <c r="AO21" s="92"/>
      <c r="AP21" s="92"/>
      <c r="AQ21" s="92"/>
      <c r="AR21" s="94"/>
      <c r="AS21" s="94"/>
      <c r="AT21" s="92"/>
      <c r="AU21" s="92"/>
      <c r="AV21" s="92"/>
      <c r="AW21" s="92"/>
      <c r="AX21" s="92"/>
      <c r="AY21" s="92"/>
      <c r="AZ21" s="92"/>
      <c r="BA21" s="92"/>
      <c r="BB21" s="92"/>
      <c r="BC21" s="92"/>
      <c r="BD21" s="92"/>
      <c r="BE21" s="92"/>
      <c r="BF21" s="92"/>
      <c r="BG21" s="92"/>
      <c r="BH21" s="92"/>
      <c r="BI21" s="94"/>
      <c r="BJ21" s="94"/>
      <c r="BK21" s="92"/>
      <c r="BL21" s="92"/>
      <c r="BM21" s="92"/>
    </row>
    <row r="22" spans="1:67" s="89" customFormat="1" ht="15" customHeight="1">
      <c r="B22" s="123"/>
      <c r="C22" s="127"/>
      <c r="D22" s="127" t="s">
        <v>78</v>
      </c>
      <c r="E22" s="127"/>
      <c r="F22" s="127"/>
      <c r="G22" s="117"/>
      <c r="H22" s="118"/>
      <c r="I22" s="119" t="s">
        <v>498</v>
      </c>
      <c r="J22" s="128">
        <f>J327</f>
        <v>0</v>
      </c>
      <c r="K22" s="129">
        <f t="shared" ref="K22:V22" si="10">K327</f>
        <v>0</v>
      </c>
      <c r="L22" s="129">
        <f t="shared" si="10"/>
        <v>0</v>
      </c>
      <c r="M22" s="129">
        <f t="shared" si="10"/>
        <v>0</v>
      </c>
      <c r="N22" s="129">
        <f t="shared" si="10"/>
        <v>0</v>
      </c>
      <c r="O22" s="129">
        <f t="shared" si="10"/>
        <v>0</v>
      </c>
      <c r="P22" s="129">
        <f t="shared" si="10"/>
        <v>0</v>
      </c>
      <c r="Q22" s="130">
        <f t="shared" si="10"/>
        <v>0</v>
      </c>
      <c r="R22" s="128">
        <f t="shared" si="10"/>
        <v>0</v>
      </c>
      <c r="S22" s="129">
        <f t="shared" si="10"/>
        <v>0</v>
      </c>
      <c r="T22" s="129">
        <f t="shared" si="10"/>
        <v>0</v>
      </c>
      <c r="U22" s="129">
        <f t="shared" si="10"/>
        <v>0</v>
      </c>
      <c r="V22" s="130">
        <f t="shared" si="10"/>
        <v>0</v>
      </c>
      <c r="AG22" s="92"/>
      <c r="AH22" s="92"/>
      <c r="AI22" s="92"/>
      <c r="AJ22" s="92"/>
      <c r="AK22" s="92"/>
      <c r="AL22" s="92"/>
      <c r="AM22" s="92"/>
      <c r="AN22" s="92"/>
      <c r="AO22" s="92"/>
      <c r="AP22" s="92"/>
      <c r="AQ22" s="92"/>
      <c r="AR22" s="94"/>
      <c r="AS22" s="94"/>
      <c r="AT22" s="92"/>
      <c r="AU22" s="92"/>
      <c r="AV22" s="92"/>
      <c r="AW22" s="92"/>
      <c r="AX22" s="92"/>
      <c r="AY22" s="92"/>
      <c r="AZ22" s="92"/>
      <c r="BA22" s="92"/>
      <c r="BB22" s="92"/>
      <c r="BC22" s="92"/>
      <c r="BD22" s="92"/>
      <c r="BE22" s="92"/>
      <c r="BF22" s="92"/>
      <c r="BG22" s="92"/>
      <c r="BH22" s="92"/>
      <c r="BI22" s="94"/>
      <c r="BJ22" s="94"/>
      <c r="BK22" s="92"/>
      <c r="BL22" s="92"/>
      <c r="BM22" s="92"/>
    </row>
    <row r="23" spans="1:67" s="89" customFormat="1" ht="15" customHeight="1">
      <c r="B23" s="123"/>
      <c r="C23" s="127"/>
      <c r="D23" s="127" t="s">
        <v>1688</v>
      </c>
      <c r="E23" s="127"/>
      <c r="F23" s="127"/>
      <c r="G23" s="117"/>
      <c r="H23" s="118"/>
      <c r="I23" s="119" t="s">
        <v>498</v>
      </c>
      <c r="J23" s="128">
        <f>J347</f>
        <v>10.973977748967386</v>
      </c>
      <c r="K23" s="129">
        <f t="shared" ref="K23:V23" si="11">K347</f>
        <v>11.107106269724273</v>
      </c>
      <c r="L23" s="129">
        <f t="shared" si="11"/>
        <v>8.9538296827195563</v>
      </c>
      <c r="M23" s="129">
        <f t="shared" si="11"/>
        <v>8.8057312084608377</v>
      </c>
      <c r="N23" s="129">
        <f t="shared" si="11"/>
        <v>7.3770266463747562</v>
      </c>
      <c r="O23" s="129">
        <f t="shared" si="11"/>
        <v>7.0412185709450688</v>
      </c>
      <c r="P23" s="129">
        <f t="shared" si="11"/>
        <v>9.403427317958192</v>
      </c>
      <c r="Q23" s="130">
        <f t="shared" si="11"/>
        <v>7.73030873280808</v>
      </c>
      <c r="R23" s="128">
        <f t="shared" si="11"/>
        <v>8.6960979367741427</v>
      </c>
      <c r="S23" s="129">
        <f t="shared" si="11"/>
        <v>8.5348357070692025</v>
      </c>
      <c r="T23" s="129">
        <f t="shared" si="11"/>
        <v>8.3773125538393103</v>
      </c>
      <c r="U23" s="129">
        <f t="shared" si="11"/>
        <v>8.2234367558454604</v>
      </c>
      <c r="V23" s="130">
        <f t="shared" si="11"/>
        <v>8.0731188687986748</v>
      </c>
      <c r="AG23" s="92"/>
      <c r="AH23" s="92"/>
      <c r="AI23" s="92"/>
      <c r="AJ23" s="92"/>
      <c r="AK23" s="92"/>
      <c r="AL23" s="92"/>
      <c r="AM23" s="92"/>
      <c r="AN23" s="92"/>
      <c r="AO23" s="92"/>
      <c r="AP23" s="92"/>
      <c r="AQ23" s="92"/>
      <c r="AR23" s="94"/>
      <c r="AS23" s="94"/>
      <c r="AT23" s="92"/>
      <c r="AU23" s="92"/>
      <c r="AV23" s="92"/>
      <c r="AW23" s="92"/>
      <c r="AX23" s="92"/>
      <c r="AY23" s="92"/>
      <c r="AZ23" s="92"/>
      <c r="BA23" s="92"/>
      <c r="BB23" s="92"/>
      <c r="BC23" s="92"/>
      <c r="BD23" s="92"/>
      <c r="BE23" s="92"/>
      <c r="BF23" s="92"/>
      <c r="BG23" s="92"/>
      <c r="BH23" s="92"/>
      <c r="BI23" s="94"/>
      <c r="BJ23" s="94"/>
      <c r="BK23" s="92"/>
      <c r="BL23" s="92"/>
      <c r="BM23" s="92"/>
    </row>
    <row r="24" spans="1:67" s="89" customFormat="1" ht="15" customHeight="1" thickBot="1">
      <c r="B24" s="176" t="s">
        <v>1701</v>
      </c>
      <c r="C24" s="132"/>
      <c r="D24" s="132"/>
      <c r="E24" s="132"/>
      <c r="F24" s="132"/>
      <c r="G24" s="145"/>
      <c r="H24" s="133"/>
      <c r="I24" s="146" t="s">
        <v>498</v>
      </c>
      <c r="J24" s="148">
        <f>SUM(J12:J23)</f>
        <v>30.228429200727351</v>
      </c>
      <c r="K24" s="147">
        <f t="shared" ref="K24:V24" si="12">SUM(K12:K23)</f>
        <v>31.060189926061135</v>
      </c>
      <c r="L24" s="147">
        <f t="shared" si="12"/>
        <v>24.63370583888387</v>
      </c>
      <c r="M24" s="147">
        <f t="shared" si="12"/>
        <v>23.276973395701088</v>
      </c>
      <c r="N24" s="147">
        <f t="shared" si="12"/>
        <v>19.124984511813999</v>
      </c>
      <c r="O24" s="147">
        <f t="shared" si="12"/>
        <v>19.174985905497543</v>
      </c>
      <c r="P24" s="147">
        <f t="shared" si="12"/>
        <v>24.616896110351789</v>
      </c>
      <c r="Q24" s="149">
        <f t="shared" si="12"/>
        <v>21.724095440124891</v>
      </c>
      <c r="R24" s="148">
        <f t="shared" si="12"/>
        <v>19.522319415874296</v>
      </c>
      <c r="S24" s="147">
        <f t="shared" si="12"/>
        <v>19.306926078773856</v>
      </c>
      <c r="T24" s="147">
        <f t="shared" si="12"/>
        <v>19.095542473685441</v>
      </c>
      <c r="U24" s="147">
        <f t="shared" si="12"/>
        <v>18.888075526092358</v>
      </c>
      <c r="V24" s="149">
        <f t="shared" si="12"/>
        <v>18.684434445194341</v>
      </c>
      <c r="AG24" s="92"/>
      <c r="AH24" s="92"/>
      <c r="AI24" s="92"/>
      <c r="AJ24" s="92"/>
      <c r="AK24" s="92"/>
      <c r="AL24" s="92"/>
      <c r="AM24" s="92"/>
      <c r="AN24" s="92"/>
      <c r="AO24" s="92"/>
      <c r="AP24" s="92"/>
      <c r="AQ24" s="92"/>
      <c r="AR24" s="94"/>
      <c r="AS24" s="94"/>
      <c r="AT24" s="92"/>
      <c r="AU24" s="92"/>
      <c r="AV24" s="92"/>
      <c r="AW24" s="92"/>
      <c r="AX24" s="92"/>
      <c r="AY24" s="92"/>
      <c r="AZ24" s="92"/>
      <c r="BA24" s="92"/>
      <c r="BB24" s="92"/>
      <c r="BC24" s="92"/>
      <c r="BD24" s="92"/>
      <c r="BE24" s="92"/>
      <c r="BF24" s="92"/>
      <c r="BG24" s="92"/>
      <c r="BH24" s="92"/>
      <c r="BI24" s="94"/>
      <c r="BJ24" s="94"/>
      <c r="BK24" s="92"/>
      <c r="BL24" s="92"/>
      <c r="BM24" s="92"/>
    </row>
    <row r="25" spans="1:67" s="89" customFormat="1" ht="15" customHeight="1" thickBot="1">
      <c r="B25" s="134"/>
      <c r="C25" s="134"/>
      <c r="D25" s="134"/>
      <c r="E25" s="134"/>
      <c r="F25" s="134"/>
      <c r="H25" s="114"/>
      <c r="I25" s="93"/>
      <c r="J25" s="92"/>
      <c r="P25" s="92"/>
      <c r="Q25" s="92"/>
      <c r="R25" s="92"/>
      <c r="S25" s="92"/>
      <c r="T25" s="92"/>
      <c r="U25" s="92"/>
      <c r="V25" s="92"/>
      <c r="AG25" s="92"/>
      <c r="AH25" s="92"/>
      <c r="AI25" s="92"/>
      <c r="AJ25" s="92"/>
      <c r="AK25" s="92"/>
      <c r="AL25" s="92"/>
      <c r="AM25" s="92"/>
      <c r="AN25" s="92"/>
      <c r="AO25" s="92"/>
      <c r="AP25" s="92"/>
      <c r="AQ25" s="92"/>
      <c r="AR25" s="94"/>
      <c r="AS25" s="94"/>
      <c r="AT25" s="92"/>
      <c r="AU25" s="92"/>
      <c r="AV25" s="92"/>
      <c r="AW25" s="92"/>
      <c r="AX25" s="92"/>
      <c r="AY25" s="92"/>
      <c r="AZ25" s="92"/>
      <c r="BA25" s="92"/>
      <c r="BB25" s="92"/>
      <c r="BC25" s="92"/>
      <c r="BD25" s="92"/>
      <c r="BE25" s="92"/>
      <c r="BF25" s="92"/>
      <c r="BG25" s="92"/>
      <c r="BH25" s="92"/>
      <c r="BI25" s="94"/>
      <c r="BJ25" s="94"/>
      <c r="BK25" s="92"/>
      <c r="BL25" s="92"/>
      <c r="BM25" s="92"/>
    </row>
    <row r="26" spans="1:67" s="100" customFormat="1" ht="30" customHeight="1" thickBot="1">
      <c r="A26" s="89"/>
      <c r="B26" s="621" t="s">
        <v>1682</v>
      </c>
      <c r="C26" s="101"/>
      <c r="D26" s="102"/>
      <c r="E26" s="102"/>
      <c r="F26" s="102"/>
      <c r="G26" s="103"/>
      <c r="H26" s="103"/>
      <c r="I26" s="105" t="s">
        <v>1864</v>
      </c>
      <c r="J26" s="106"/>
      <c r="K26" s="106"/>
      <c r="L26" s="106"/>
      <c r="M26" s="106"/>
      <c r="N26" s="106"/>
      <c r="O26" s="106"/>
      <c r="P26" s="106"/>
      <c r="Q26" s="106"/>
      <c r="R26" s="105"/>
      <c r="S26" s="105"/>
      <c r="T26" s="105"/>
      <c r="U26" s="105"/>
      <c r="V26" s="105"/>
      <c r="W26" s="103"/>
      <c r="X26" s="105" t="s">
        <v>2202</v>
      </c>
      <c r="Y26" s="106"/>
      <c r="Z26" s="106"/>
      <c r="AA26" s="106"/>
      <c r="AB26" s="106"/>
      <c r="AC26" s="106"/>
      <c r="AD26" s="106"/>
      <c r="AE26" s="106"/>
      <c r="AF26" s="106"/>
      <c r="AG26" s="105"/>
      <c r="AH26" s="105"/>
      <c r="AI26" s="105"/>
      <c r="AJ26" s="105"/>
      <c r="AK26" s="105"/>
      <c r="AL26" s="103"/>
      <c r="AM26" s="105" t="s">
        <v>2231</v>
      </c>
      <c r="AN26" s="105"/>
      <c r="AO26" s="105"/>
      <c r="AP26" s="105"/>
      <c r="AQ26" s="105"/>
      <c r="AR26" s="105"/>
      <c r="AS26" s="105"/>
      <c r="AT26" s="105"/>
      <c r="AU26" s="105"/>
      <c r="AV26" s="105"/>
      <c r="AW26" s="105"/>
      <c r="AX26" s="105"/>
      <c r="AY26" s="105"/>
      <c r="AZ26" s="105"/>
      <c r="BA26" s="103"/>
      <c r="BB26" s="105" t="s">
        <v>2690</v>
      </c>
      <c r="BC26" s="105"/>
      <c r="BD26" s="603"/>
      <c r="BE26" s="603"/>
      <c r="BF26" s="603"/>
      <c r="BG26" s="105"/>
      <c r="BH26" s="103"/>
      <c r="BI26" s="105" t="s">
        <v>2691</v>
      </c>
      <c r="BJ26" s="105"/>
      <c r="BK26" s="603"/>
      <c r="BL26" s="603"/>
      <c r="BM26" s="105"/>
      <c r="BN26" s="187"/>
    </row>
    <row r="27" spans="1:67" s="157" customFormat="1" ht="30" customHeight="1">
      <c r="A27" s="99"/>
      <c r="B27" s="109"/>
      <c r="C27" s="110"/>
      <c r="D27" s="110"/>
      <c r="E27" s="110"/>
      <c r="F27" s="110"/>
      <c r="G27" s="111"/>
      <c r="H27" s="111"/>
      <c r="I27" s="117"/>
      <c r="J27" s="695" t="s">
        <v>1666</v>
      </c>
      <c r="K27" s="152"/>
      <c r="L27" s="152"/>
      <c r="M27" s="152"/>
      <c r="N27" s="152"/>
      <c r="O27" s="152"/>
      <c r="P27" s="152"/>
      <c r="Q27" s="153"/>
      <c r="R27" s="696" t="s">
        <v>2</v>
      </c>
      <c r="S27" s="155"/>
      <c r="T27" s="155"/>
      <c r="U27" s="155"/>
      <c r="V27" s="156"/>
      <c r="W27" s="222"/>
      <c r="X27" s="117"/>
      <c r="Y27" s="695" t="s">
        <v>1666</v>
      </c>
      <c r="Z27" s="152"/>
      <c r="AA27" s="152"/>
      <c r="AB27" s="152"/>
      <c r="AC27" s="152"/>
      <c r="AD27" s="152"/>
      <c r="AE27" s="152"/>
      <c r="AF27" s="153"/>
      <c r="AG27" s="696" t="s">
        <v>2</v>
      </c>
      <c r="AH27" s="155"/>
      <c r="AI27" s="155"/>
      <c r="AJ27" s="155"/>
      <c r="AK27" s="156"/>
      <c r="AL27" s="222"/>
      <c r="AM27" s="117"/>
      <c r="AN27" s="695" t="s">
        <v>1666</v>
      </c>
      <c r="AO27" s="152"/>
      <c r="AP27" s="152"/>
      <c r="AQ27" s="152"/>
      <c r="AR27" s="152"/>
      <c r="AS27" s="152"/>
      <c r="AT27" s="152"/>
      <c r="AU27" s="153"/>
      <c r="AV27" s="696" t="s">
        <v>2</v>
      </c>
      <c r="AW27" s="155"/>
      <c r="AX27" s="155"/>
      <c r="AY27" s="155"/>
      <c r="AZ27" s="156"/>
      <c r="BA27" s="222"/>
      <c r="BB27" s="527" t="s">
        <v>2785</v>
      </c>
      <c r="BC27" s="527"/>
      <c r="BD27" s="527" t="s">
        <v>2786</v>
      </c>
      <c r="BE27" s="527"/>
      <c r="BF27" s="527" t="s">
        <v>2693</v>
      </c>
      <c r="BG27" s="604"/>
      <c r="BH27" s="222"/>
      <c r="BI27" s="527" t="s">
        <v>2785</v>
      </c>
      <c r="BJ27" s="527"/>
      <c r="BK27" s="527" t="s">
        <v>2786</v>
      </c>
      <c r="BL27" s="527"/>
      <c r="BM27" s="527" t="s">
        <v>2693</v>
      </c>
      <c r="BN27" s="605"/>
      <c r="BO27" s="1370"/>
    </row>
    <row r="28" spans="1:67" s="98" customFormat="1" ht="15" customHeight="1">
      <c r="A28" s="99"/>
      <c r="B28" s="115"/>
      <c r="C28" s="116"/>
      <c r="D28" s="116"/>
      <c r="E28" s="116"/>
      <c r="F28" s="116"/>
      <c r="G28" s="117"/>
      <c r="H28" s="117"/>
      <c r="I28" s="119" t="s">
        <v>1667</v>
      </c>
      <c r="J28" s="158" t="s">
        <v>453</v>
      </c>
      <c r="K28" s="137" t="s">
        <v>455</v>
      </c>
      <c r="L28" s="137" t="s">
        <v>457</v>
      </c>
      <c r="M28" s="137" t="s">
        <v>459</v>
      </c>
      <c r="N28" s="137" t="s">
        <v>461</v>
      </c>
      <c r="O28" s="137" t="s">
        <v>463</v>
      </c>
      <c r="P28" s="137" t="s">
        <v>465</v>
      </c>
      <c r="Q28" s="138" t="s">
        <v>467</v>
      </c>
      <c r="R28" s="120" t="s">
        <v>469</v>
      </c>
      <c r="S28" s="121" t="s">
        <v>471</v>
      </c>
      <c r="T28" s="121" t="s">
        <v>473</v>
      </c>
      <c r="U28" s="121" t="s">
        <v>475</v>
      </c>
      <c r="V28" s="122" t="s">
        <v>477</v>
      </c>
      <c r="W28" s="185"/>
      <c r="X28" s="119" t="s">
        <v>1667</v>
      </c>
      <c r="Y28" s="158" t="s">
        <v>453</v>
      </c>
      <c r="Z28" s="137" t="s">
        <v>455</v>
      </c>
      <c r="AA28" s="137" t="s">
        <v>457</v>
      </c>
      <c r="AB28" s="137" t="s">
        <v>459</v>
      </c>
      <c r="AC28" s="137" t="s">
        <v>461</v>
      </c>
      <c r="AD28" s="137" t="s">
        <v>463</v>
      </c>
      <c r="AE28" s="137" t="s">
        <v>465</v>
      </c>
      <c r="AF28" s="138" t="s">
        <v>467</v>
      </c>
      <c r="AG28" s="120" t="s">
        <v>469</v>
      </c>
      <c r="AH28" s="121" t="s">
        <v>471</v>
      </c>
      <c r="AI28" s="121" t="s">
        <v>473</v>
      </c>
      <c r="AJ28" s="121" t="s">
        <v>475</v>
      </c>
      <c r="AK28" s="122" t="s">
        <v>477</v>
      </c>
      <c r="AL28" s="185"/>
      <c r="AM28" s="137" t="s">
        <v>1667</v>
      </c>
      <c r="AN28" s="158" t="s">
        <v>453</v>
      </c>
      <c r="AO28" s="137" t="s">
        <v>455</v>
      </c>
      <c r="AP28" s="137" t="s">
        <v>457</v>
      </c>
      <c r="AQ28" s="137" t="s">
        <v>459</v>
      </c>
      <c r="AR28" s="137" t="s">
        <v>461</v>
      </c>
      <c r="AS28" s="137" t="s">
        <v>463</v>
      </c>
      <c r="AT28" s="137" t="s">
        <v>465</v>
      </c>
      <c r="AU28" s="138" t="s">
        <v>467</v>
      </c>
      <c r="AV28" s="120" t="s">
        <v>469</v>
      </c>
      <c r="AW28" s="121" t="s">
        <v>471</v>
      </c>
      <c r="AX28" s="121" t="s">
        <v>473</v>
      </c>
      <c r="AY28" s="121" t="s">
        <v>475</v>
      </c>
      <c r="AZ28" s="122" t="s">
        <v>477</v>
      </c>
      <c r="BA28" s="185"/>
      <c r="BB28" s="531" t="s">
        <v>1667</v>
      </c>
      <c r="BC28" s="531" t="s">
        <v>2142</v>
      </c>
      <c r="BD28" s="531" t="s">
        <v>1667</v>
      </c>
      <c r="BE28" s="531" t="s">
        <v>2142</v>
      </c>
      <c r="BF28" s="606" t="s">
        <v>1667</v>
      </c>
      <c r="BG28" s="531" t="s">
        <v>2142</v>
      </c>
      <c r="BH28" s="185"/>
      <c r="BI28" s="531" t="s">
        <v>1667</v>
      </c>
      <c r="BJ28" s="531" t="s">
        <v>2142</v>
      </c>
      <c r="BK28" s="531" t="s">
        <v>1667</v>
      </c>
      <c r="BL28" s="531" t="s">
        <v>2142</v>
      </c>
      <c r="BM28" s="531" t="s">
        <v>1667</v>
      </c>
      <c r="BN28" s="532" t="s">
        <v>2142</v>
      </c>
    </row>
    <row r="29" spans="1:67" s="98" customFormat="1" ht="15" customHeight="1">
      <c r="A29" s="99"/>
      <c r="B29" s="161"/>
      <c r="C29" s="116" t="s">
        <v>2521</v>
      </c>
      <c r="D29" s="116"/>
      <c r="E29" s="116"/>
      <c r="F29" s="116"/>
      <c r="G29" s="117"/>
      <c r="H29" s="117"/>
      <c r="I29" s="117"/>
      <c r="J29" s="159"/>
      <c r="K29" s="117"/>
      <c r="L29" s="117"/>
      <c r="M29" s="117"/>
      <c r="N29" s="117"/>
      <c r="O29" s="117"/>
      <c r="P29" s="117"/>
      <c r="Q29" s="160"/>
      <c r="R29" s="159"/>
      <c r="S29" s="117"/>
      <c r="T29" s="117"/>
      <c r="U29" s="117"/>
      <c r="V29" s="160"/>
      <c r="W29" s="185"/>
      <c r="X29" s="117"/>
      <c r="Y29" s="159"/>
      <c r="Z29" s="117"/>
      <c r="AA29" s="117"/>
      <c r="AB29" s="117"/>
      <c r="AC29" s="117"/>
      <c r="AD29" s="117"/>
      <c r="AE29" s="117"/>
      <c r="AF29" s="160"/>
      <c r="AG29" s="159"/>
      <c r="AH29" s="117"/>
      <c r="AI29" s="117"/>
      <c r="AJ29" s="117"/>
      <c r="AK29" s="160"/>
      <c r="AL29" s="185"/>
      <c r="AM29" s="117"/>
      <c r="AN29" s="159"/>
      <c r="AO29" s="117"/>
      <c r="AP29" s="117"/>
      <c r="AQ29" s="117"/>
      <c r="AR29" s="117"/>
      <c r="AS29" s="117"/>
      <c r="AT29" s="117"/>
      <c r="AU29" s="160"/>
      <c r="AV29" s="159"/>
      <c r="AW29" s="117"/>
      <c r="AX29" s="117"/>
      <c r="AY29" s="117"/>
      <c r="AZ29" s="160"/>
      <c r="BA29" s="185"/>
      <c r="BB29" s="340"/>
      <c r="BC29" s="530"/>
      <c r="BD29" s="530"/>
      <c r="BE29" s="530"/>
      <c r="BF29" s="530"/>
      <c r="BG29" s="530"/>
      <c r="BH29" s="185"/>
      <c r="BI29" s="340"/>
      <c r="BJ29" s="530"/>
      <c r="BK29" s="530"/>
      <c r="BL29" s="530"/>
      <c r="BM29" s="530"/>
      <c r="BN29" s="544"/>
    </row>
    <row r="30" spans="1:67" s="98" customFormat="1" ht="15" customHeight="1">
      <c r="A30" s="99"/>
      <c r="B30" s="161"/>
      <c r="C30" s="162"/>
      <c r="D30" s="230" t="s">
        <v>2787</v>
      </c>
      <c r="E30" s="230"/>
      <c r="F30" s="230"/>
      <c r="G30" s="163"/>
      <c r="H30" s="163"/>
      <c r="I30" s="164" t="s">
        <v>498</v>
      </c>
      <c r="J30" s="143">
        <v>14.183625416712067</v>
      </c>
      <c r="K30" s="141">
        <v>14.057603714760265</v>
      </c>
      <c r="L30" s="141">
        <v>9.6778742820686556</v>
      </c>
      <c r="M30" s="141">
        <v>7.8014299925892736</v>
      </c>
      <c r="N30" s="141">
        <v>6.9650520026181155</v>
      </c>
      <c r="O30" s="141">
        <v>8.5802120254246663</v>
      </c>
      <c r="P30" s="141">
        <v>10.049281665122798</v>
      </c>
      <c r="Q30" s="144">
        <v>9.3289844228811489</v>
      </c>
      <c r="R30" s="143">
        <v>5.1406760505938349</v>
      </c>
      <c r="S30" s="141">
        <v>5.1149726703408653</v>
      </c>
      <c r="T30" s="141">
        <v>5.0893978069891608</v>
      </c>
      <c r="U30" s="141">
        <v>5.0639508179542148</v>
      </c>
      <c r="V30" s="144">
        <v>5.038631063864444</v>
      </c>
      <c r="W30" s="2629"/>
      <c r="X30" s="607" t="s">
        <v>498</v>
      </c>
      <c r="Y30" s="143">
        <v>0</v>
      </c>
      <c r="Z30" s="141">
        <v>0</v>
      </c>
      <c r="AA30" s="141">
        <v>0</v>
      </c>
      <c r="AB30" s="141">
        <v>0</v>
      </c>
      <c r="AC30" s="141">
        <v>0</v>
      </c>
      <c r="AD30" s="141">
        <v>0</v>
      </c>
      <c r="AE30" s="141">
        <v>0</v>
      </c>
      <c r="AF30" s="144">
        <v>0</v>
      </c>
      <c r="AG30" s="143">
        <v>0</v>
      </c>
      <c r="AH30" s="141">
        <v>0</v>
      </c>
      <c r="AI30" s="141">
        <v>0</v>
      </c>
      <c r="AJ30" s="141">
        <v>0</v>
      </c>
      <c r="AK30" s="144">
        <v>0</v>
      </c>
      <c r="AL30" s="2629"/>
      <c r="AM30" s="545" t="s">
        <v>1876</v>
      </c>
      <c r="AN30" s="165">
        <v>20955</v>
      </c>
      <c r="AO30" s="166">
        <v>22431</v>
      </c>
      <c r="AP30" s="166">
        <v>20415</v>
      </c>
      <c r="AQ30" s="166">
        <v>22328</v>
      </c>
      <c r="AR30" s="166">
        <v>23212</v>
      </c>
      <c r="AS30" s="166">
        <v>23011</v>
      </c>
      <c r="AT30" s="166">
        <v>22582.331325792784</v>
      </c>
      <c r="AU30" s="167">
        <v>21464.089687819913</v>
      </c>
      <c r="AV30" s="165">
        <v>17609.732889933071</v>
      </c>
      <c r="AW30" s="166">
        <v>17609.732889933071</v>
      </c>
      <c r="AX30" s="166">
        <v>17609.732889933071</v>
      </c>
      <c r="AY30" s="166">
        <v>17609.732889933071</v>
      </c>
      <c r="AZ30" s="167">
        <v>17609.732889933071</v>
      </c>
      <c r="BA30" s="2629"/>
      <c r="BB30" s="545" t="s">
        <v>2788</v>
      </c>
      <c r="BC30" s="188">
        <v>0</v>
      </c>
      <c r="BD30" s="545" t="s">
        <v>627</v>
      </c>
      <c r="BE30" s="188">
        <v>0</v>
      </c>
      <c r="BF30" s="607" t="s">
        <v>627</v>
      </c>
      <c r="BG30" s="868">
        <v>0</v>
      </c>
      <c r="BH30" s="2629"/>
      <c r="BI30" s="545" t="s">
        <v>2788</v>
      </c>
      <c r="BJ30" s="188">
        <v>0</v>
      </c>
      <c r="BK30" s="545" t="s">
        <v>627</v>
      </c>
      <c r="BL30" s="188">
        <v>0</v>
      </c>
      <c r="BM30" s="607" t="s">
        <v>627</v>
      </c>
      <c r="BN30" s="872">
        <v>0</v>
      </c>
    </row>
    <row r="31" spans="1:67" s="98" customFormat="1" ht="15" customHeight="1">
      <c r="A31" s="99"/>
      <c r="B31" s="161"/>
      <c r="C31" s="162"/>
      <c r="D31" s="162" t="s">
        <v>1555</v>
      </c>
      <c r="E31" s="162"/>
      <c r="F31" s="162"/>
      <c r="G31" s="163"/>
      <c r="H31" s="163"/>
      <c r="I31" s="164" t="s">
        <v>498</v>
      </c>
      <c r="J31" s="143">
        <v>3.6393654345596222</v>
      </c>
      <c r="K31" s="141">
        <v>4.2288625062684089</v>
      </c>
      <c r="L31" s="141">
        <v>4.8386144645270486</v>
      </c>
      <c r="M31" s="141">
        <v>5.5583480430524776</v>
      </c>
      <c r="N31" s="141">
        <v>3.0350584990577212</v>
      </c>
      <c r="O31" s="141">
        <v>2.5186682409281667</v>
      </c>
      <c r="P31" s="141">
        <v>3.8962506317747225</v>
      </c>
      <c r="Q31" s="144">
        <v>3.6210156964761255</v>
      </c>
      <c r="R31" s="143">
        <v>2.8501781693289905</v>
      </c>
      <c r="S31" s="141">
        <v>2.8359272784823455</v>
      </c>
      <c r="T31" s="141">
        <v>2.8217476420899339</v>
      </c>
      <c r="U31" s="141">
        <v>2.807638903879484</v>
      </c>
      <c r="V31" s="144">
        <v>2.7936007093600868</v>
      </c>
      <c r="W31" s="2629"/>
      <c r="X31" s="607" t="s">
        <v>498</v>
      </c>
      <c r="Y31" s="143">
        <v>0</v>
      </c>
      <c r="Z31" s="141">
        <v>0</v>
      </c>
      <c r="AA31" s="141">
        <v>0</v>
      </c>
      <c r="AB31" s="141">
        <v>0</v>
      </c>
      <c r="AC31" s="141">
        <v>0</v>
      </c>
      <c r="AD31" s="141">
        <v>0</v>
      </c>
      <c r="AE31" s="141">
        <v>0</v>
      </c>
      <c r="AF31" s="144">
        <v>0</v>
      </c>
      <c r="AG31" s="143">
        <v>0</v>
      </c>
      <c r="AH31" s="141">
        <v>0</v>
      </c>
      <c r="AI31" s="141">
        <v>0</v>
      </c>
      <c r="AJ31" s="141">
        <v>0</v>
      </c>
      <c r="AK31" s="144">
        <v>0</v>
      </c>
      <c r="AL31" s="2629"/>
      <c r="AM31" s="545" t="s">
        <v>1876</v>
      </c>
      <c r="AN31" s="165">
        <v>13495</v>
      </c>
      <c r="AO31" s="166">
        <v>14841</v>
      </c>
      <c r="AP31" s="166">
        <v>13686</v>
      </c>
      <c r="AQ31" s="166">
        <v>14507</v>
      </c>
      <c r="AR31" s="166">
        <v>15682</v>
      </c>
      <c r="AS31" s="166">
        <v>15180</v>
      </c>
      <c r="AT31" s="166">
        <v>14870.066764705312</v>
      </c>
      <c r="AU31" s="167">
        <v>14149.49012982059</v>
      </c>
      <c r="AV31" s="165">
        <v>11739.821926622048</v>
      </c>
      <c r="AW31" s="166">
        <v>11739.821926622048</v>
      </c>
      <c r="AX31" s="166">
        <v>11739.821926622048</v>
      </c>
      <c r="AY31" s="166">
        <v>11739.821926622048</v>
      </c>
      <c r="AZ31" s="167">
        <v>11739.821926622048</v>
      </c>
      <c r="BA31" s="2629"/>
      <c r="BB31" s="2629"/>
      <c r="BC31" s="2629"/>
      <c r="BD31" s="2629"/>
      <c r="BE31" s="2629"/>
      <c r="BF31" s="607" t="s">
        <v>627</v>
      </c>
      <c r="BG31" s="868">
        <v>0</v>
      </c>
      <c r="BH31" s="2629"/>
      <c r="BI31" s="2629"/>
      <c r="BJ31" s="2629"/>
      <c r="BK31" s="2629"/>
      <c r="BL31" s="2629"/>
      <c r="BM31" s="607" t="s">
        <v>627</v>
      </c>
      <c r="BN31" s="872">
        <v>0</v>
      </c>
    </row>
    <row r="32" spans="1:67" s="98" customFormat="1" ht="15" customHeight="1">
      <c r="A32" s="99"/>
      <c r="B32" s="161"/>
      <c r="C32" s="116" t="s">
        <v>2427</v>
      </c>
      <c r="D32" s="116"/>
      <c r="E32" s="116"/>
      <c r="F32" s="116"/>
      <c r="G32" s="117"/>
      <c r="H32" s="117"/>
      <c r="I32" s="117"/>
      <c r="J32" s="713"/>
      <c r="K32" s="2649"/>
      <c r="L32" s="2649"/>
      <c r="M32" s="2649"/>
      <c r="N32" s="2649"/>
      <c r="O32" s="2649"/>
      <c r="P32" s="2649"/>
      <c r="Q32" s="715"/>
      <c r="R32" s="713"/>
      <c r="S32" s="2649"/>
      <c r="T32" s="2649"/>
      <c r="U32" s="2649"/>
      <c r="V32" s="715"/>
      <c r="W32" s="2629"/>
      <c r="X32" s="94"/>
      <c r="Y32" s="713"/>
      <c r="Z32" s="2649"/>
      <c r="AA32" s="2649"/>
      <c r="AB32" s="2649"/>
      <c r="AC32" s="2649"/>
      <c r="AD32" s="2649"/>
      <c r="AE32" s="2649"/>
      <c r="AF32" s="715"/>
      <c r="AG32" s="713"/>
      <c r="AH32" s="2649"/>
      <c r="AI32" s="2649"/>
      <c r="AJ32" s="2649"/>
      <c r="AK32" s="715"/>
      <c r="AL32" s="2629"/>
      <c r="AM32" s="94"/>
      <c r="AN32" s="878"/>
      <c r="AO32" s="2662"/>
      <c r="AP32" s="2662"/>
      <c r="AQ32" s="2662"/>
      <c r="AR32" s="2662"/>
      <c r="AS32" s="2662"/>
      <c r="AT32" s="2662"/>
      <c r="AU32" s="880"/>
      <c r="AV32" s="878"/>
      <c r="AW32" s="2662"/>
      <c r="AX32" s="2662"/>
      <c r="AY32" s="2662"/>
      <c r="AZ32" s="880"/>
      <c r="BA32" s="2629"/>
      <c r="BB32" s="359"/>
      <c r="BC32" s="542"/>
      <c r="BD32" s="359"/>
      <c r="BE32" s="542"/>
      <c r="BF32" s="542"/>
      <c r="BG32" s="542"/>
      <c r="BH32" s="2629"/>
      <c r="BI32" s="359"/>
      <c r="BJ32" s="542"/>
      <c r="BK32" s="359"/>
      <c r="BL32" s="542"/>
      <c r="BM32" s="542"/>
      <c r="BN32" s="544"/>
    </row>
    <row r="33" spans="1:66" s="98" customFormat="1" ht="15" customHeight="1">
      <c r="A33" s="99"/>
      <c r="B33" s="161"/>
      <c r="C33" s="162"/>
      <c r="D33" s="230" t="s">
        <v>2787</v>
      </c>
      <c r="E33" s="230"/>
      <c r="F33" s="230"/>
      <c r="G33" s="163"/>
      <c r="H33" s="163"/>
      <c r="I33" s="164" t="s">
        <v>498</v>
      </c>
      <c r="J33" s="143">
        <v>0.40567457109963501</v>
      </c>
      <c r="K33" s="141">
        <v>0.56803969502562079</v>
      </c>
      <c r="L33" s="141">
        <v>0.48601096465188648</v>
      </c>
      <c r="M33" s="141">
        <v>0.51919487394976027</v>
      </c>
      <c r="N33" s="141">
        <v>0.92566855627273725</v>
      </c>
      <c r="O33" s="141">
        <v>0.38769252473091875</v>
      </c>
      <c r="P33" s="141">
        <v>0.54969038385741931</v>
      </c>
      <c r="Q33" s="144">
        <v>0.45097785232110826</v>
      </c>
      <c r="R33" s="143">
        <v>0.85774141719070818</v>
      </c>
      <c r="S33" s="141">
        <v>0.85345271010475465</v>
      </c>
      <c r="T33" s="141">
        <v>0.84918544655423089</v>
      </c>
      <c r="U33" s="141">
        <v>0.84493951932145972</v>
      </c>
      <c r="V33" s="144">
        <v>0.84071482172485246</v>
      </c>
      <c r="W33" s="2629"/>
      <c r="X33" s="607" t="s">
        <v>498</v>
      </c>
      <c r="Y33" s="143">
        <v>0</v>
      </c>
      <c r="Z33" s="141">
        <v>0</v>
      </c>
      <c r="AA33" s="141">
        <v>0</v>
      </c>
      <c r="AB33" s="141">
        <v>0</v>
      </c>
      <c r="AC33" s="141">
        <v>0</v>
      </c>
      <c r="AD33" s="141">
        <v>0</v>
      </c>
      <c r="AE33" s="141">
        <v>0</v>
      </c>
      <c r="AF33" s="144">
        <v>0</v>
      </c>
      <c r="AG33" s="143">
        <v>0</v>
      </c>
      <c r="AH33" s="141">
        <v>0</v>
      </c>
      <c r="AI33" s="141">
        <v>0</v>
      </c>
      <c r="AJ33" s="141">
        <v>0</v>
      </c>
      <c r="AK33" s="144">
        <v>0</v>
      </c>
      <c r="AL33" s="2629"/>
      <c r="AM33" s="545" t="s">
        <v>1876</v>
      </c>
      <c r="AN33" s="165">
        <v>77</v>
      </c>
      <c r="AO33" s="166">
        <v>216</v>
      </c>
      <c r="AP33" s="166">
        <v>91</v>
      </c>
      <c r="AQ33" s="166">
        <v>49</v>
      </c>
      <c r="AR33" s="166">
        <v>63</v>
      </c>
      <c r="AS33" s="166">
        <v>53</v>
      </c>
      <c r="AT33" s="166">
        <v>95.34872766852915</v>
      </c>
      <c r="AU33" s="167">
        <v>80.093325677488878</v>
      </c>
      <c r="AV33" s="165">
        <v>86.547486802472037</v>
      </c>
      <c r="AW33" s="166">
        <v>86.547486802472037</v>
      </c>
      <c r="AX33" s="166">
        <v>86.547486802472037</v>
      </c>
      <c r="AY33" s="166">
        <v>86.547486802472037</v>
      </c>
      <c r="AZ33" s="167">
        <v>86.547486802472037</v>
      </c>
      <c r="BA33" s="2629"/>
      <c r="BB33" s="545" t="s">
        <v>2788</v>
      </c>
      <c r="BC33" s="188">
        <v>0</v>
      </c>
      <c r="BD33" s="545" t="s">
        <v>627</v>
      </c>
      <c r="BE33" s="188">
        <v>0</v>
      </c>
      <c r="BF33" s="607" t="s">
        <v>627</v>
      </c>
      <c r="BG33" s="868">
        <v>0</v>
      </c>
      <c r="BH33" s="2629"/>
      <c r="BI33" s="545" t="s">
        <v>2788</v>
      </c>
      <c r="BJ33" s="188">
        <v>0</v>
      </c>
      <c r="BK33" s="545" t="s">
        <v>627</v>
      </c>
      <c r="BL33" s="188">
        <v>0</v>
      </c>
      <c r="BM33" s="607" t="s">
        <v>627</v>
      </c>
      <c r="BN33" s="872">
        <v>0</v>
      </c>
    </row>
    <row r="34" spans="1:66" s="98" customFormat="1" ht="15" customHeight="1">
      <c r="A34" s="99"/>
      <c r="B34" s="161"/>
      <c r="C34" s="162"/>
      <c r="D34" s="162" t="s">
        <v>1555</v>
      </c>
      <c r="E34" s="162"/>
      <c r="F34" s="162"/>
      <c r="G34" s="163"/>
      <c r="H34" s="163"/>
      <c r="I34" s="164" t="s">
        <v>498</v>
      </c>
      <c r="J34" s="143">
        <v>0</v>
      </c>
      <c r="K34" s="141">
        <v>6.2870412847495893E-2</v>
      </c>
      <c r="L34" s="141">
        <v>3.8889930666226459E-2</v>
      </c>
      <c r="M34" s="141">
        <v>2.4904709643510794E-2</v>
      </c>
      <c r="N34" s="141">
        <v>1.1612263100590693E-2</v>
      </c>
      <c r="O34" s="141">
        <v>1.161364711580078E-2</v>
      </c>
      <c r="P34" s="141">
        <v>2.4002519627797519E-2</v>
      </c>
      <c r="Q34" s="144">
        <v>2.1389675154361392E-2</v>
      </c>
      <c r="R34" s="143">
        <v>1.4007921587255391E-2</v>
      </c>
      <c r="S34" s="141">
        <v>1.3937881979319115E-2</v>
      </c>
      <c r="T34" s="141">
        <v>1.3868192569422519E-2</v>
      </c>
      <c r="U34" s="141">
        <v>1.3798851606575407E-2</v>
      </c>
      <c r="V34" s="144">
        <v>1.372985734854253E-2</v>
      </c>
      <c r="W34" s="2629"/>
      <c r="X34" s="607" t="s">
        <v>498</v>
      </c>
      <c r="Y34" s="143">
        <v>0</v>
      </c>
      <c r="Z34" s="141">
        <v>0</v>
      </c>
      <c r="AA34" s="141">
        <v>0</v>
      </c>
      <c r="AB34" s="141">
        <v>0</v>
      </c>
      <c r="AC34" s="141">
        <v>0</v>
      </c>
      <c r="AD34" s="141">
        <v>0</v>
      </c>
      <c r="AE34" s="141">
        <v>0</v>
      </c>
      <c r="AF34" s="144">
        <v>0</v>
      </c>
      <c r="AG34" s="143">
        <v>0</v>
      </c>
      <c r="AH34" s="141">
        <v>0</v>
      </c>
      <c r="AI34" s="141">
        <v>0</v>
      </c>
      <c r="AJ34" s="141">
        <v>0</v>
      </c>
      <c r="AK34" s="144">
        <v>0</v>
      </c>
      <c r="AL34" s="2629"/>
      <c r="AM34" s="545" t="s">
        <v>1876</v>
      </c>
      <c r="AN34" s="165">
        <v>29</v>
      </c>
      <c r="AO34" s="166">
        <v>221</v>
      </c>
      <c r="AP34" s="166">
        <v>110</v>
      </c>
      <c r="AQ34" s="166">
        <v>65</v>
      </c>
      <c r="AR34" s="166">
        <v>60</v>
      </c>
      <c r="AS34" s="166">
        <v>70</v>
      </c>
      <c r="AT34" s="166">
        <v>92.447613406266569</v>
      </c>
      <c r="AU34" s="167">
        <v>84.350451179006754</v>
      </c>
      <c r="AV34" s="165">
        <v>57.69832453498136</v>
      </c>
      <c r="AW34" s="166">
        <v>57.69832453498136</v>
      </c>
      <c r="AX34" s="166">
        <v>57.69832453498136</v>
      </c>
      <c r="AY34" s="166">
        <v>57.69832453498136</v>
      </c>
      <c r="AZ34" s="167">
        <v>57.69832453498136</v>
      </c>
      <c r="BA34" s="2629"/>
      <c r="BB34" s="2629"/>
      <c r="BC34" s="2629"/>
      <c r="BD34" s="2629"/>
      <c r="BE34" s="2629"/>
      <c r="BF34" s="607" t="s">
        <v>627</v>
      </c>
      <c r="BG34" s="868">
        <v>0</v>
      </c>
      <c r="BH34" s="2629"/>
      <c r="BI34" s="2629"/>
      <c r="BJ34" s="2629"/>
      <c r="BK34" s="2629"/>
      <c r="BL34" s="2629"/>
      <c r="BM34" s="607" t="s">
        <v>627</v>
      </c>
      <c r="BN34" s="872">
        <v>0</v>
      </c>
    </row>
    <row r="35" spans="1:66" s="98" customFormat="1" ht="15" customHeight="1">
      <c r="A35" s="99"/>
      <c r="B35" s="161"/>
      <c r="C35" s="116"/>
      <c r="D35" s="116"/>
      <c r="E35" s="116"/>
      <c r="F35" s="116"/>
      <c r="G35" s="117"/>
      <c r="H35" s="117"/>
      <c r="I35" s="117"/>
      <c r="J35" s="713"/>
      <c r="K35" s="2649"/>
      <c r="L35" s="2649"/>
      <c r="M35" s="2649"/>
      <c r="N35" s="2649"/>
      <c r="O35" s="2649"/>
      <c r="P35" s="2649"/>
      <c r="Q35" s="715"/>
      <c r="R35" s="713"/>
      <c r="S35" s="2649"/>
      <c r="T35" s="2649"/>
      <c r="U35" s="2649"/>
      <c r="V35" s="715"/>
      <c r="W35" s="2629"/>
      <c r="X35" s="94"/>
      <c r="Y35" s="713"/>
      <c r="Z35" s="2649"/>
      <c r="AA35" s="2649"/>
      <c r="AB35" s="2649"/>
      <c r="AC35" s="2649"/>
      <c r="AD35" s="2649"/>
      <c r="AE35" s="2649"/>
      <c r="AF35" s="715"/>
      <c r="AG35" s="713"/>
      <c r="AH35" s="2649"/>
      <c r="AI35" s="2649"/>
      <c r="AJ35" s="2649"/>
      <c r="AK35" s="715"/>
      <c r="AL35" s="2629"/>
      <c r="AM35" s="94"/>
      <c r="AN35" s="878"/>
      <c r="AO35" s="2662"/>
      <c r="AP35" s="2662"/>
      <c r="AQ35" s="2662"/>
      <c r="AR35" s="2662"/>
      <c r="AS35" s="2662"/>
      <c r="AT35" s="2662"/>
      <c r="AU35" s="880"/>
      <c r="AV35" s="878"/>
      <c r="AW35" s="2662"/>
      <c r="AX35" s="2662"/>
      <c r="AY35" s="2662"/>
      <c r="AZ35" s="880"/>
      <c r="BA35" s="2629"/>
      <c r="BB35" s="359"/>
      <c r="BC35" s="542"/>
      <c r="BD35" s="542"/>
      <c r="BE35" s="542"/>
      <c r="BF35" s="542"/>
      <c r="BG35" s="542"/>
      <c r="BH35" s="2629"/>
      <c r="BI35" s="359"/>
      <c r="BJ35" s="542"/>
      <c r="BK35" s="542"/>
      <c r="BL35" s="542"/>
      <c r="BM35" s="542"/>
      <c r="BN35" s="544"/>
    </row>
    <row r="36" spans="1:66" s="98" customFormat="1" ht="15" customHeight="1" thickBot="1">
      <c r="A36" s="99"/>
      <c r="B36" s="131" t="s">
        <v>1701</v>
      </c>
      <c r="C36" s="132"/>
      <c r="D36" s="132"/>
      <c r="E36" s="132"/>
      <c r="F36" s="132"/>
      <c r="G36" s="145"/>
      <c r="H36" s="133"/>
      <c r="I36" s="146" t="s">
        <v>498</v>
      </c>
      <c r="J36" s="717">
        <f t="shared" ref="J36:V36" si="13">SUM(J30:J31,J33:J34)</f>
        <v>18.228665422371325</v>
      </c>
      <c r="K36" s="718">
        <f t="shared" si="13"/>
        <v>18.917376328901792</v>
      </c>
      <c r="L36" s="718">
        <f t="shared" si="13"/>
        <v>15.041389641913817</v>
      </c>
      <c r="M36" s="718">
        <f t="shared" si="13"/>
        <v>13.903877619235022</v>
      </c>
      <c r="N36" s="718">
        <f t="shared" si="13"/>
        <v>10.937391321049166</v>
      </c>
      <c r="O36" s="718">
        <f t="shared" si="13"/>
        <v>11.498186438199554</v>
      </c>
      <c r="P36" s="718">
        <f t="shared" si="13"/>
        <v>14.519225200382738</v>
      </c>
      <c r="Q36" s="719">
        <f t="shared" si="13"/>
        <v>13.422367646832743</v>
      </c>
      <c r="R36" s="717">
        <f t="shared" si="13"/>
        <v>8.8626035587007888</v>
      </c>
      <c r="S36" s="718">
        <f t="shared" si="13"/>
        <v>8.8182905409072845</v>
      </c>
      <c r="T36" s="718">
        <f t="shared" si="13"/>
        <v>8.7741990882027476</v>
      </c>
      <c r="U36" s="718">
        <f t="shared" si="13"/>
        <v>8.7303280927617326</v>
      </c>
      <c r="V36" s="719">
        <f t="shared" si="13"/>
        <v>8.6866764522979256</v>
      </c>
      <c r="W36" s="2630"/>
      <c r="X36" s="146" t="s">
        <v>498</v>
      </c>
      <c r="Y36" s="717">
        <f t="shared" ref="Y36:AK36" si="14">SUM(Y30:Y31,Y33:Y34)</f>
        <v>0</v>
      </c>
      <c r="Z36" s="718">
        <f t="shared" si="14"/>
        <v>0</v>
      </c>
      <c r="AA36" s="718">
        <f t="shared" si="14"/>
        <v>0</v>
      </c>
      <c r="AB36" s="718">
        <f t="shared" si="14"/>
        <v>0</v>
      </c>
      <c r="AC36" s="718">
        <f t="shared" si="14"/>
        <v>0</v>
      </c>
      <c r="AD36" s="718">
        <f t="shared" si="14"/>
        <v>0</v>
      </c>
      <c r="AE36" s="718">
        <f t="shared" si="14"/>
        <v>0</v>
      </c>
      <c r="AF36" s="719">
        <f t="shared" si="14"/>
        <v>0</v>
      </c>
      <c r="AG36" s="717">
        <f t="shared" si="14"/>
        <v>0</v>
      </c>
      <c r="AH36" s="718">
        <f t="shared" si="14"/>
        <v>0</v>
      </c>
      <c r="AI36" s="718">
        <f t="shared" si="14"/>
        <v>0</v>
      </c>
      <c r="AJ36" s="718">
        <f t="shared" si="14"/>
        <v>0</v>
      </c>
      <c r="AK36" s="719">
        <f t="shared" si="14"/>
        <v>0</v>
      </c>
      <c r="AL36" s="2630"/>
      <c r="AM36" s="1081" t="s">
        <v>1876</v>
      </c>
      <c r="AN36" s="873">
        <f t="shared" ref="AN36:AZ36" si="15">SUM(AN30:AN31,AN33:AN34)</f>
        <v>34556</v>
      </c>
      <c r="AO36" s="781">
        <f t="shared" si="15"/>
        <v>37709</v>
      </c>
      <c r="AP36" s="781">
        <f t="shared" si="15"/>
        <v>34302</v>
      </c>
      <c r="AQ36" s="781">
        <f t="shared" si="15"/>
        <v>36949</v>
      </c>
      <c r="AR36" s="781">
        <f t="shared" si="15"/>
        <v>39017</v>
      </c>
      <c r="AS36" s="781">
        <f t="shared" si="15"/>
        <v>38314</v>
      </c>
      <c r="AT36" s="781">
        <f t="shared" si="15"/>
        <v>37640.194431572891</v>
      </c>
      <c r="AU36" s="874">
        <f t="shared" si="15"/>
        <v>35778.023594496997</v>
      </c>
      <c r="AV36" s="873">
        <f t="shared" si="15"/>
        <v>29493.800627892571</v>
      </c>
      <c r="AW36" s="781">
        <f t="shared" si="15"/>
        <v>29493.800627892571</v>
      </c>
      <c r="AX36" s="781">
        <f t="shared" si="15"/>
        <v>29493.800627892571</v>
      </c>
      <c r="AY36" s="781">
        <f t="shared" si="15"/>
        <v>29493.800627892571</v>
      </c>
      <c r="AZ36" s="874">
        <f t="shared" si="15"/>
        <v>29493.800627892571</v>
      </c>
      <c r="BA36" s="2630"/>
      <c r="BB36" s="2630"/>
      <c r="BC36" s="2630"/>
      <c r="BD36" s="2630"/>
      <c r="BE36" s="2630"/>
      <c r="BF36" s="2630"/>
      <c r="BG36" s="2630"/>
      <c r="BH36" s="2630"/>
      <c r="BI36" s="2630"/>
      <c r="BJ36" s="2630"/>
      <c r="BK36" s="2630"/>
      <c r="BL36" s="2630"/>
      <c r="BM36" s="2630"/>
      <c r="BN36" s="2651"/>
    </row>
    <row r="37" spans="1:66" s="99" customFormat="1" ht="15" customHeight="1" thickBot="1">
      <c r="B37" s="150"/>
      <c r="C37" s="150"/>
      <c r="D37" s="150"/>
      <c r="E37" s="150"/>
      <c r="F37" s="150"/>
      <c r="G37" s="97"/>
      <c r="H37" s="97"/>
      <c r="I37" s="98"/>
      <c r="J37" s="2629"/>
      <c r="K37" s="2629"/>
      <c r="L37" s="2629"/>
      <c r="M37" s="2629"/>
      <c r="N37" s="2629"/>
      <c r="O37" s="2629"/>
      <c r="P37" s="2629"/>
      <c r="Q37" s="2629"/>
      <c r="R37" s="2629"/>
      <c r="S37" s="2629"/>
      <c r="T37" s="2629"/>
      <c r="U37" s="2629"/>
      <c r="V37" s="2629"/>
      <c r="W37" s="2629"/>
      <c r="X37" s="2631"/>
      <c r="Y37" s="2631"/>
      <c r="Z37" s="2631"/>
      <c r="AA37" s="2631"/>
      <c r="AB37" s="2631"/>
      <c r="AC37" s="2631"/>
      <c r="AD37" s="2631"/>
      <c r="AE37" s="2631"/>
      <c r="AF37" s="2631"/>
      <c r="AG37" s="2631"/>
      <c r="AH37" s="2631"/>
      <c r="AI37" s="2631"/>
      <c r="AJ37" s="2631"/>
      <c r="AK37" s="2631"/>
      <c r="AL37" s="2631"/>
      <c r="AM37" s="2629"/>
      <c r="AN37" s="2631"/>
      <c r="AO37" s="2631"/>
      <c r="AP37" s="2631"/>
      <c r="AQ37" s="2631"/>
      <c r="AR37" s="2631"/>
      <c r="AS37" s="2631"/>
      <c r="AT37" s="2631"/>
      <c r="AU37" s="2631"/>
      <c r="AV37" s="2631"/>
      <c r="AW37" s="2631"/>
      <c r="AX37" s="2631"/>
      <c r="AY37" s="2631"/>
      <c r="AZ37" s="2631"/>
      <c r="BA37" s="2631"/>
      <c r="BB37" s="359"/>
      <c r="BC37" s="542"/>
      <c r="BD37" s="542"/>
      <c r="BE37" s="542"/>
      <c r="BF37" s="542"/>
      <c r="BG37" s="542"/>
      <c r="BH37" s="2631"/>
      <c r="BI37" s="359"/>
      <c r="BJ37" s="542"/>
      <c r="BK37" s="542"/>
      <c r="BL37" s="542"/>
      <c r="BM37" s="542"/>
      <c r="BN37" s="542"/>
    </row>
    <row r="38" spans="1:66" s="100" customFormat="1" ht="30" customHeight="1" thickBot="1">
      <c r="A38" s="89"/>
      <c r="B38" s="621" t="s">
        <v>1683</v>
      </c>
      <c r="C38" s="101"/>
      <c r="D38" s="102"/>
      <c r="E38" s="102"/>
      <c r="F38" s="102"/>
      <c r="G38" s="103"/>
      <c r="H38" s="103"/>
      <c r="I38" s="105" t="s">
        <v>1864</v>
      </c>
      <c r="J38" s="106"/>
      <c r="K38" s="106"/>
      <c r="L38" s="106"/>
      <c r="M38" s="106"/>
      <c r="N38" s="106"/>
      <c r="O38" s="106"/>
      <c r="P38" s="106"/>
      <c r="Q38" s="106"/>
      <c r="R38" s="105"/>
      <c r="S38" s="105"/>
      <c r="T38" s="105"/>
      <c r="U38" s="105"/>
      <c r="V38" s="105"/>
      <c r="W38" s="103"/>
      <c r="X38" s="105" t="s">
        <v>2202</v>
      </c>
      <c r="Y38" s="106"/>
      <c r="Z38" s="106"/>
      <c r="AA38" s="106"/>
      <c r="AB38" s="106"/>
      <c r="AC38" s="106"/>
      <c r="AD38" s="106"/>
      <c r="AE38" s="106"/>
      <c r="AF38" s="106"/>
      <c r="AG38" s="105"/>
      <c r="AH38" s="105"/>
      <c r="AI38" s="105"/>
      <c r="AJ38" s="105"/>
      <c r="AK38" s="105"/>
      <c r="AL38" s="103"/>
      <c r="AM38" s="105" t="s">
        <v>2231</v>
      </c>
      <c r="AN38" s="106"/>
      <c r="AO38" s="106"/>
      <c r="AP38" s="106"/>
      <c r="AQ38" s="106"/>
      <c r="AR38" s="106"/>
      <c r="AS38" s="106"/>
      <c r="AT38" s="106"/>
      <c r="AU38" s="106"/>
      <c r="AV38" s="105"/>
      <c r="AW38" s="105"/>
      <c r="AX38" s="105"/>
      <c r="AY38" s="105"/>
      <c r="AZ38" s="105"/>
      <c r="BA38" s="103"/>
      <c r="BB38" s="105" t="s">
        <v>2690</v>
      </c>
      <c r="BC38" s="105"/>
      <c r="BD38" s="603"/>
      <c r="BE38" s="603"/>
      <c r="BF38" s="603"/>
      <c r="BG38" s="105"/>
      <c r="BH38" s="103"/>
      <c r="BI38" s="105" t="s">
        <v>2691</v>
      </c>
      <c r="BJ38" s="105"/>
      <c r="BK38" s="603"/>
      <c r="BL38" s="603"/>
      <c r="BM38" s="105"/>
      <c r="BN38" s="187"/>
    </row>
    <row r="39" spans="1:66" s="157" customFormat="1" ht="30" customHeight="1">
      <c r="A39" s="99"/>
      <c r="B39" s="109"/>
      <c r="C39" s="110"/>
      <c r="D39" s="110"/>
      <c r="E39" s="110"/>
      <c r="F39" s="110"/>
      <c r="G39" s="111"/>
      <c r="H39" s="111"/>
      <c r="I39" s="117"/>
      <c r="J39" s="695" t="s">
        <v>1666</v>
      </c>
      <c r="K39" s="152"/>
      <c r="L39" s="152"/>
      <c r="M39" s="152"/>
      <c r="N39" s="152"/>
      <c r="O39" s="152"/>
      <c r="P39" s="152"/>
      <c r="Q39" s="153"/>
      <c r="R39" s="696" t="s">
        <v>2</v>
      </c>
      <c r="S39" s="155"/>
      <c r="T39" s="155"/>
      <c r="U39" s="155"/>
      <c r="V39" s="156"/>
      <c r="W39" s="2632"/>
      <c r="X39" s="94"/>
      <c r="Y39" s="695" t="s">
        <v>1666</v>
      </c>
      <c r="Z39" s="152"/>
      <c r="AA39" s="152"/>
      <c r="AB39" s="152"/>
      <c r="AC39" s="152"/>
      <c r="AD39" s="152"/>
      <c r="AE39" s="152"/>
      <c r="AF39" s="153"/>
      <c r="AG39" s="696" t="s">
        <v>2</v>
      </c>
      <c r="AH39" s="155"/>
      <c r="AI39" s="155"/>
      <c r="AJ39" s="155"/>
      <c r="AK39" s="156"/>
      <c r="AL39" s="2632"/>
      <c r="AM39" s="94"/>
      <c r="AN39" s="695" t="s">
        <v>1666</v>
      </c>
      <c r="AO39" s="152"/>
      <c r="AP39" s="152"/>
      <c r="AQ39" s="152"/>
      <c r="AR39" s="152"/>
      <c r="AS39" s="152"/>
      <c r="AT39" s="152"/>
      <c r="AU39" s="153"/>
      <c r="AV39" s="696" t="s">
        <v>2</v>
      </c>
      <c r="AW39" s="155"/>
      <c r="AX39" s="155"/>
      <c r="AY39" s="155"/>
      <c r="AZ39" s="156"/>
      <c r="BA39" s="2632"/>
      <c r="BB39" s="2633" t="s">
        <v>2785</v>
      </c>
      <c r="BC39" s="2633"/>
      <c r="BD39" s="2633" t="s">
        <v>2786</v>
      </c>
      <c r="BE39" s="2633"/>
      <c r="BF39" s="2633" t="s">
        <v>2693</v>
      </c>
      <c r="BG39" s="2639"/>
      <c r="BH39" s="2632"/>
      <c r="BI39" s="2633" t="s">
        <v>2785</v>
      </c>
      <c r="BJ39" s="2633"/>
      <c r="BK39" s="2633" t="s">
        <v>2786</v>
      </c>
      <c r="BL39" s="2633"/>
      <c r="BM39" s="2633" t="s">
        <v>2693</v>
      </c>
      <c r="BN39" s="2634"/>
    </row>
    <row r="40" spans="1:66" s="98" customFormat="1" ht="15" customHeight="1">
      <c r="A40" s="99"/>
      <c r="B40" s="115"/>
      <c r="C40" s="116"/>
      <c r="D40" s="116"/>
      <c r="E40" s="116"/>
      <c r="F40" s="116"/>
      <c r="G40" s="117"/>
      <c r="H40" s="117"/>
      <c r="I40" s="119" t="s">
        <v>1667</v>
      </c>
      <c r="J40" s="158" t="s">
        <v>453</v>
      </c>
      <c r="K40" s="137" t="s">
        <v>455</v>
      </c>
      <c r="L40" s="137" t="s">
        <v>457</v>
      </c>
      <c r="M40" s="137" t="s">
        <v>459</v>
      </c>
      <c r="N40" s="137" t="s">
        <v>461</v>
      </c>
      <c r="O40" s="137" t="s">
        <v>463</v>
      </c>
      <c r="P40" s="137" t="s">
        <v>465</v>
      </c>
      <c r="Q40" s="138" t="s">
        <v>467</v>
      </c>
      <c r="R40" s="120" t="s">
        <v>469</v>
      </c>
      <c r="S40" s="121" t="s">
        <v>471</v>
      </c>
      <c r="T40" s="121" t="s">
        <v>473</v>
      </c>
      <c r="U40" s="121" t="s">
        <v>475</v>
      </c>
      <c r="V40" s="122" t="s">
        <v>477</v>
      </c>
      <c r="W40" s="2629"/>
      <c r="X40" s="119" t="s">
        <v>1667</v>
      </c>
      <c r="Y40" s="158" t="s">
        <v>453</v>
      </c>
      <c r="Z40" s="137" t="s">
        <v>455</v>
      </c>
      <c r="AA40" s="137" t="s">
        <v>457</v>
      </c>
      <c r="AB40" s="137" t="s">
        <v>459</v>
      </c>
      <c r="AC40" s="137" t="s">
        <v>461</v>
      </c>
      <c r="AD40" s="137" t="s">
        <v>463</v>
      </c>
      <c r="AE40" s="137" t="s">
        <v>465</v>
      </c>
      <c r="AF40" s="138" t="s">
        <v>467</v>
      </c>
      <c r="AG40" s="120" t="s">
        <v>469</v>
      </c>
      <c r="AH40" s="121" t="s">
        <v>471</v>
      </c>
      <c r="AI40" s="121" t="s">
        <v>473</v>
      </c>
      <c r="AJ40" s="121" t="s">
        <v>475</v>
      </c>
      <c r="AK40" s="122" t="s">
        <v>477</v>
      </c>
      <c r="AL40" s="2629"/>
      <c r="AM40" s="137" t="s">
        <v>1667</v>
      </c>
      <c r="AN40" s="158" t="s">
        <v>453</v>
      </c>
      <c r="AO40" s="137" t="s">
        <v>455</v>
      </c>
      <c r="AP40" s="137" t="s">
        <v>457</v>
      </c>
      <c r="AQ40" s="137" t="s">
        <v>459</v>
      </c>
      <c r="AR40" s="137" t="s">
        <v>461</v>
      </c>
      <c r="AS40" s="137" t="s">
        <v>463</v>
      </c>
      <c r="AT40" s="137" t="s">
        <v>465</v>
      </c>
      <c r="AU40" s="138" t="s">
        <v>467</v>
      </c>
      <c r="AV40" s="120" t="s">
        <v>469</v>
      </c>
      <c r="AW40" s="121" t="s">
        <v>471</v>
      </c>
      <c r="AX40" s="121" t="s">
        <v>473</v>
      </c>
      <c r="AY40" s="121" t="s">
        <v>475</v>
      </c>
      <c r="AZ40" s="122" t="s">
        <v>477</v>
      </c>
      <c r="BA40" s="2629"/>
      <c r="BB40" s="2635" t="s">
        <v>1667</v>
      </c>
      <c r="BC40" s="2635" t="s">
        <v>2142</v>
      </c>
      <c r="BD40" s="2635" t="s">
        <v>1667</v>
      </c>
      <c r="BE40" s="2635" t="s">
        <v>2142</v>
      </c>
      <c r="BF40" s="2642" t="s">
        <v>1667</v>
      </c>
      <c r="BG40" s="2635" t="s">
        <v>2142</v>
      </c>
      <c r="BH40" s="2629"/>
      <c r="BI40" s="2635" t="s">
        <v>1667</v>
      </c>
      <c r="BJ40" s="2635" t="s">
        <v>2142</v>
      </c>
      <c r="BK40" s="2635" t="s">
        <v>1667</v>
      </c>
      <c r="BL40" s="2635" t="s">
        <v>2142</v>
      </c>
      <c r="BM40" s="2635" t="s">
        <v>1667</v>
      </c>
      <c r="BN40" s="2636" t="s">
        <v>2142</v>
      </c>
    </row>
    <row r="41" spans="1:66" s="98" customFormat="1" ht="15" customHeight="1">
      <c r="A41" s="99"/>
      <c r="B41" s="161"/>
      <c r="C41" s="116" t="s">
        <v>2521</v>
      </c>
      <c r="D41" s="116"/>
      <c r="E41" s="116"/>
      <c r="F41" s="116"/>
      <c r="G41" s="117"/>
      <c r="H41" s="117"/>
      <c r="I41" s="117"/>
      <c r="J41" s="159"/>
      <c r="K41" s="94"/>
      <c r="L41" s="94"/>
      <c r="M41" s="94"/>
      <c r="N41" s="94"/>
      <c r="O41" s="94"/>
      <c r="P41" s="94"/>
      <c r="Q41" s="160"/>
      <c r="R41" s="159"/>
      <c r="S41" s="94"/>
      <c r="T41" s="94"/>
      <c r="U41" s="94"/>
      <c r="V41" s="160"/>
      <c r="W41" s="2629"/>
      <c r="X41" s="94"/>
      <c r="Y41" s="159"/>
      <c r="Z41" s="94"/>
      <c r="AA41" s="94"/>
      <c r="AB41" s="94"/>
      <c r="AC41" s="94"/>
      <c r="AD41" s="94"/>
      <c r="AE41" s="94"/>
      <c r="AF41" s="160"/>
      <c r="AG41" s="159"/>
      <c r="AH41" s="94"/>
      <c r="AI41" s="94"/>
      <c r="AJ41" s="94"/>
      <c r="AK41" s="160"/>
      <c r="AL41" s="2629"/>
      <c r="AM41" s="94"/>
      <c r="AN41" s="159"/>
      <c r="AO41" s="94"/>
      <c r="AP41" s="94"/>
      <c r="AQ41" s="94"/>
      <c r="AR41" s="94"/>
      <c r="AS41" s="94"/>
      <c r="AT41" s="94"/>
      <c r="AU41" s="160"/>
      <c r="AV41" s="159"/>
      <c r="AW41" s="94"/>
      <c r="AX41" s="94"/>
      <c r="AY41" s="94"/>
      <c r="AZ41" s="160"/>
      <c r="BA41" s="2629"/>
      <c r="BB41" s="359"/>
      <c r="BC41" s="542"/>
      <c r="BD41" s="542"/>
      <c r="BE41" s="542"/>
      <c r="BF41" s="542"/>
      <c r="BG41" s="542"/>
      <c r="BH41" s="2629"/>
      <c r="BI41" s="359"/>
      <c r="BJ41" s="542"/>
      <c r="BK41" s="542"/>
      <c r="BL41" s="542"/>
      <c r="BM41" s="542"/>
      <c r="BN41" s="544"/>
    </row>
    <row r="42" spans="1:66" s="98" customFormat="1" ht="15" customHeight="1">
      <c r="A42" s="99"/>
      <c r="B42" s="161"/>
      <c r="C42" s="162"/>
      <c r="D42" s="230" t="s">
        <v>2787</v>
      </c>
      <c r="E42" s="230"/>
      <c r="F42" s="230"/>
      <c r="G42" s="163"/>
      <c r="H42" s="163"/>
      <c r="I42" s="164" t="s">
        <v>498</v>
      </c>
      <c r="J42" s="143">
        <v>5.2118308617839608E-2</v>
      </c>
      <c r="K42" s="141">
        <v>4.1913608564997255E-2</v>
      </c>
      <c r="L42" s="141">
        <v>3.5554277303705563E-2</v>
      </c>
      <c r="M42" s="141">
        <v>3.4940119995473281E-3</v>
      </c>
      <c r="N42" s="141">
        <v>3.4807256259852724E-2</v>
      </c>
      <c r="O42" s="141">
        <v>2.5784123934890615E-2</v>
      </c>
      <c r="P42" s="141">
        <v>3.2148111298157485E-2</v>
      </c>
      <c r="Q42" s="144">
        <v>2.9398422542447566E-2</v>
      </c>
      <c r="R42" s="143">
        <v>8.0480414736673628E-3</v>
      </c>
      <c r="S42" s="141">
        <v>8.0078012662990264E-3</v>
      </c>
      <c r="T42" s="141">
        <v>7.9677622599675316E-3</v>
      </c>
      <c r="U42" s="141">
        <v>7.9279234486676932E-3</v>
      </c>
      <c r="V42" s="144">
        <v>7.8882838314243541E-3</v>
      </c>
      <c r="W42" s="2629"/>
      <c r="X42" s="607" t="s">
        <v>498</v>
      </c>
      <c r="Y42" s="143">
        <v>0</v>
      </c>
      <c r="Z42" s="141">
        <v>0</v>
      </c>
      <c r="AA42" s="141">
        <v>0</v>
      </c>
      <c r="AB42" s="141">
        <v>0</v>
      </c>
      <c r="AC42" s="141">
        <v>0</v>
      </c>
      <c r="AD42" s="141">
        <v>0</v>
      </c>
      <c r="AE42" s="141">
        <v>0</v>
      </c>
      <c r="AF42" s="144">
        <v>0</v>
      </c>
      <c r="AG42" s="143">
        <v>0</v>
      </c>
      <c r="AH42" s="141">
        <v>0</v>
      </c>
      <c r="AI42" s="141">
        <v>0</v>
      </c>
      <c r="AJ42" s="141">
        <v>0</v>
      </c>
      <c r="AK42" s="144">
        <v>0</v>
      </c>
      <c r="AL42" s="2629"/>
      <c r="AM42" s="545" t="s">
        <v>1876</v>
      </c>
      <c r="AN42" s="165">
        <v>77</v>
      </c>
      <c r="AO42" s="166">
        <v>66</v>
      </c>
      <c r="AP42" s="166">
        <v>75</v>
      </c>
      <c r="AQ42" s="166">
        <v>10</v>
      </c>
      <c r="AR42" s="166">
        <v>116</v>
      </c>
      <c r="AS42" s="166">
        <v>73</v>
      </c>
      <c r="AT42" s="166">
        <v>72.00239556311179</v>
      </c>
      <c r="AU42" s="167">
        <v>67.415515663285277</v>
      </c>
      <c r="AV42" s="165">
        <v>24.57162717696875</v>
      </c>
      <c r="AW42" s="166">
        <v>24.57162717696875</v>
      </c>
      <c r="AX42" s="166">
        <v>24.57162717696875</v>
      </c>
      <c r="AY42" s="166">
        <v>24.57162717696875</v>
      </c>
      <c r="AZ42" s="167">
        <v>24.57162717696875</v>
      </c>
      <c r="BA42" s="2629"/>
      <c r="BB42" s="545" t="s">
        <v>2788</v>
      </c>
      <c r="BC42" s="188">
        <v>0</v>
      </c>
      <c r="BD42" s="545" t="s">
        <v>627</v>
      </c>
      <c r="BE42" s="188">
        <v>0</v>
      </c>
      <c r="BF42" s="607" t="s">
        <v>627</v>
      </c>
      <c r="BG42" s="868">
        <v>0</v>
      </c>
      <c r="BH42" s="2629"/>
      <c r="BI42" s="545" t="s">
        <v>2788</v>
      </c>
      <c r="BJ42" s="188">
        <v>0</v>
      </c>
      <c r="BK42" s="545" t="s">
        <v>627</v>
      </c>
      <c r="BL42" s="188">
        <v>0</v>
      </c>
      <c r="BM42" s="607" t="s">
        <v>627</v>
      </c>
      <c r="BN42" s="872">
        <v>0</v>
      </c>
    </row>
    <row r="43" spans="1:66" s="98" customFormat="1" ht="15" customHeight="1">
      <c r="A43" s="99"/>
      <c r="B43" s="161"/>
      <c r="C43" s="162"/>
      <c r="D43" s="162" t="s">
        <v>1555</v>
      </c>
      <c r="E43" s="162"/>
      <c r="F43" s="162"/>
      <c r="G43" s="163"/>
      <c r="H43" s="163"/>
      <c r="I43" s="164" t="s">
        <v>498</v>
      </c>
      <c r="J43" s="143">
        <v>3.4249678413417722E-2</v>
      </c>
      <c r="K43" s="141">
        <v>1.7647835185262008E-2</v>
      </c>
      <c r="L43" s="141">
        <v>2.545522734516641E-2</v>
      </c>
      <c r="M43" s="141">
        <v>8.8124357200115109E-3</v>
      </c>
      <c r="N43" s="141">
        <v>1.8192545524258752E-2</v>
      </c>
      <c r="O43" s="141">
        <v>1.8415926140769812E-2</v>
      </c>
      <c r="P43" s="141">
        <v>2.1889065006802651E-2</v>
      </c>
      <c r="Q43" s="144">
        <v>2.0017391074883466E-2</v>
      </c>
      <c r="R43" s="143">
        <v>4.4329462291866012E-3</v>
      </c>
      <c r="S43" s="141">
        <v>4.4107814980406685E-3</v>
      </c>
      <c r="T43" s="141">
        <v>4.3887275905504656E-3</v>
      </c>
      <c r="U43" s="141">
        <v>4.3667839525977133E-3</v>
      </c>
      <c r="V43" s="144">
        <v>4.3449500328347247E-3</v>
      </c>
      <c r="W43" s="2629"/>
      <c r="X43" s="607" t="s">
        <v>498</v>
      </c>
      <c r="Y43" s="143">
        <v>0</v>
      </c>
      <c r="Z43" s="141">
        <v>0</v>
      </c>
      <c r="AA43" s="141">
        <v>0</v>
      </c>
      <c r="AB43" s="141">
        <v>0</v>
      </c>
      <c r="AC43" s="141">
        <v>0</v>
      </c>
      <c r="AD43" s="141">
        <v>0</v>
      </c>
      <c r="AE43" s="141">
        <v>0</v>
      </c>
      <c r="AF43" s="144">
        <v>0</v>
      </c>
      <c r="AG43" s="143">
        <v>0</v>
      </c>
      <c r="AH43" s="141">
        <v>0</v>
      </c>
      <c r="AI43" s="141">
        <v>0</v>
      </c>
      <c r="AJ43" s="141">
        <v>0</v>
      </c>
      <c r="AK43" s="144">
        <v>0</v>
      </c>
      <c r="AL43" s="2629"/>
      <c r="AM43" s="545" t="s">
        <v>1876</v>
      </c>
      <c r="AN43" s="165">
        <v>127</v>
      </c>
      <c r="AO43" s="166">
        <v>62</v>
      </c>
      <c r="AP43" s="166">
        <v>72</v>
      </c>
      <c r="AQ43" s="166">
        <v>23</v>
      </c>
      <c r="AR43" s="166">
        <v>94</v>
      </c>
      <c r="AS43" s="166">
        <v>111</v>
      </c>
      <c r="AT43" s="166">
        <v>90.688505915804527</v>
      </c>
      <c r="AU43" s="167">
        <v>84.913523095846088</v>
      </c>
      <c r="AV43" s="165">
        <v>16.381084784645836</v>
      </c>
      <c r="AW43" s="166">
        <v>16.381084784645836</v>
      </c>
      <c r="AX43" s="166">
        <v>16.381084784645836</v>
      </c>
      <c r="AY43" s="166">
        <v>16.381084784645836</v>
      </c>
      <c r="AZ43" s="167">
        <v>16.381084784645836</v>
      </c>
      <c r="BA43" s="2629"/>
      <c r="BB43" s="2629"/>
      <c r="BC43" s="2629"/>
      <c r="BD43" s="2629"/>
      <c r="BE43" s="2629"/>
      <c r="BF43" s="542"/>
      <c r="BG43" s="542"/>
      <c r="BH43" s="2629"/>
      <c r="BI43" s="2629"/>
      <c r="BJ43" s="2629"/>
      <c r="BK43" s="2629"/>
      <c r="BL43" s="2629"/>
      <c r="BM43" s="542"/>
      <c r="BN43" s="544"/>
    </row>
    <row r="44" spans="1:66" s="98" customFormat="1" ht="15" customHeight="1">
      <c r="A44" s="99"/>
      <c r="B44" s="161"/>
      <c r="C44" s="116" t="s">
        <v>2427</v>
      </c>
      <c r="D44" s="116"/>
      <c r="E44" s="116"/>
      <c r="F44" s="116"/>
      <c r="G44" s="117"/>
      <c r="H44" s="117"/>
      <c r="I44" s="117"/>
      <c r="J44" s="713"/>
      <c r="K44" s="2649"/>
      <c r="L44" s="2649"/>
      <c r="M44" s="2649"/>
      <c r="N44" s="2649"/>
      <c r="O44" s="2649"/>
      <c r="P44" s="2649"/>
      <c r="Q44" s="715"/>
      <c r="R44" s="713"/>
      <c r="S44" s="2649"/>
      <c r="T44" s="2649"/>
      <c r="U44" s="2649"/>
      <c r="V44" s="715"/>
      <c r="W44" s="2629"/>
      <c r="X44" s="94"/>
      <c r="Y44" s="713"/>
      <c r="Z44" s="2649"/>
      <c r="AA44" s="2649"/>
      <c r="AB44" s="2649"/>
      <c r="AC44" s="2649"/>
      <c r="AD44" s="2649"/>
      <c r="AE44" s="2649"/>
      <c r="AF44" s="715"/>
      <c r="AG44" s="713"/>
      <c r="AH44" s="2649"/>
      <c r="AI44" s="2649"/>
      <c r="AJ44" s="2649"/>
      <c r="AK44" s="715"/>
      <c r="AL44" s="2629"/>
      <c r="AM44" s="94"/>
      <c r="AN44" s="878"/>
      <c r="AO44" s="2662"/>
      <c r="AP44" s="2662"/>
      <c r="AQ44" s="2662"/>
      <c r="AR44" s="2662"/>
      <c r="AS44" s="2662"/>
      <c r="AT44" s="2662"/>
      <c r="AU44" s="880"/>
      <c r="AV44" s="878"/>
      <c r="AW44" s="2662"/>
      <c r="AX44" s="2662"/>
      <c r="AY44" s="2662"/>
      <c r="AZ44" s="880"/>
      <c r="BA44" s="2629"/>
      <c r="BB44" s="359"/>
      <c r="BC44" s="542"/>
      <c r="BD44" s="359"/>
      <c r="BE44" s="542"/>
      <c r="BF44" s="542"/>
      <c r="BG44" s="542"/>
      <c r="BH44" s="2629"/>
      <c r="BI44" s="359"/>
      <c r="BJ44" s="542"/>
      <c r="BK44" s="359"/>
      <c r="BL44" s="542"/>
      <c r="BM44" s="542"/>
      <c r="BN44" s="544"/>
    </row>
    <row r="45" spans="1:66" s="98" customFormat="1" ht="15" customHeight="1">
      <c r="A45" s="99"/>
      <c r="B45" s="161"/>
      <c r="C45" s="162"/>
      <c r="D45" s="230" t="s">
        <v>2787</v>
      </c>
      <c r="E45" s="230"/>
      <c r="F45" s="230"/>
      <c r="G45" s="163"/>
      <c r="H45" s="163"/>
      <c r="I45" s="164" t="s">
        <v>498</v>
      </c>
      <c r="J45" s="143">
        <v>2.6342504616859427E-2</v>
      </c>
      <c r="K45" s="141">
        <v>7.7209278935521279E-3</v>
      </c>
      <c r="L45" s="141">
        <v>4.8067018482054705E-2</v>
      </c>
      <c r="M45" s="141">
        <v>1.0595813754076739E-2</v>
      </c>
      <c r="N45" s="141">
        <v>5.8772606747475378E-2</v>
      </c>
      <c r="O45" s="141">
        <v>1.4629906593619577E-2</v>
      </c>
      <c r="P45" s="141">
        <v>3.0055090754412457E-3</v>
      </c>
      <c r="Q45" s="144">
        <v>0</v>
      </c>
      <c r="R45" s="143">
        <v>1.3428464332887918E-3</v>
      </c>
      <c r="S45" s="141">
        <v>1.3361322011223478E-3</v>
      </c>
      <c r="T45" s="141">
        <v>1.329451540116736E-3</v>
      </c>
      <c r="U45" s="141">
        <v>1.3228042824161522E-3</v>
      </c>
      <c r="V45" s="144">
        <v>1.3161902610040715E-3</v>
      </c>
      <c r="W45" s="2629"/>
      <c r="X45" s="607" t="s">
        <v>498</v>
      </c>
      <c r="Y45" s="143">
        <v>0</v>
      </c>
      <c r="Z45" s="141">
        <v>0</v>
      </c>
      <c r="AA45" s="141">
        <v>0</v>
      </c>
      <c r="AB45" s="141">
        <v>0</v>
      </c>
      <c r="AC45" s="141">
        <v>0</v>
      </c>
      <c r="AD45" s="141">
        <v>0</v>
      </c>
      <c r="AE45" s="141">
        <v>0</v>
      </c>
      <c r="AF45" s="144">
        <v>0</v>
      </c>
      <c r="AG45" s="143">
        <v>0</v>
      </c>
      <c r="AH45" s="141">
        <v>0</v>
      </c>
      <c r="AI45" s="141">
        <v>0</v>
      </c>
      <c r="AJ45" s="141">
        <v>0</v>
      </c>
      <c r="AK45" s="144">
        <v>0</v>
      </c>
      <c r="AL45" s="2629"/>
      <c r="AM45" s="545" t="s">
        <v>1876</v>
      </c>
      <c r="AN45" s="165">
        <v>5</v>
      </c>
      <c r="AO45" s="166">
        <v>3</v>
      </c>
      <c r="AP45" s="166">
        <v>9</v>
      </c>
      <c r="AQ45" s="166">
        <v>1</v>
      </c>
      <c r="AR45" s="166">
        <v>4</v>
      </c>
      <c r="AS45" s="166">
        <v>2</v>
      </c>
      <c r="AT45" s="166">
        <v>0.45165388782326577</v>
      </c>
      <c r="AU45" s="167"/>
      <c r="AV45" s="165">
        <v>0.12076347733983424</v>
      </c>
      <c r="AW45" s="166">
        <v>0.12076347733983424</v>
      </c>
      <c r="AX45" s="166">
        <v>0.12076347733983424</v>
      </c>
      <c r="AY45" s="166">
        <v>0.12076347733983424</v>
      </c>
      <c r="AZ45" s="167">
        <v>0.12076347733983424</v>
      </c>
      <c r="BA45" s="2629"/>
      <c r="BB45" s="545" t="s">
        <v>2788</v>
      </c>
      <c r="BC45" s="188">
        <v>0</v>
      </c>
      <c r="BD45" s="545" t="s">
        <v>627</v>
      </c>
      <c r="BE45" s="188">
        <v>0</v>
      </c>
      <c r="BF45" s="607" t="s">
        <v>627</v>
      </c>
      <c r="BG45" s="868">
        <v>0</v>
      </c>
      <c r="BH45" s="2629"/>
      <c r="BI45" s="545" t="s">
        <v>2788</v>
      </c>
      <c r="BJ45" s="188">
        <v>0</v>
      </c>
      <c r="BK45" s="545" t="s">
        <v>627</v>
      </c>
      <c r="BL45" s="188">
        <v>0</v>
      </c>
      <c r="BM45" s="607" t="s">
        <v>627</v>
      </c>
      <c r="BN45" s="872">
        <v>0</v>
      </c>
    </row>
    <row r="46" spans="1:66" s="98" customFormat="1" ht="15" customHeight="1">
      <c r="A46" s="99"/>
      <c r="B46" s="161"/>
      <c r="C46" s="162"/>
      <c r="D46" s="162" t="s">
        <v>1555</v>
      </c>
      <c r="E46" s="162"/>
      <c r="F46" s="162"/>
      <c r="G46" s="163"/>
      <c r="H46" s="163"/>
      <c r="I46" s="164" t="s">
        <v>498</v>
      </c>
      <c r="J46" s="143">
        <v>0</v>
      </c>
      <c r="K46" s="141">
        <v>4.4119587963155019E-3</v>
      </c>
      <c r="L46" s="141">
        <v>3.8889930666226456E-3</v>
      </c>
      <c r="M46" s="141">
        <v>7.6629875826187061E-4</v>
      </c>
      <c r="N46" s="141">
        <v>3.8707543668635647E-4</v>
      </c>
      <c r="O46" s="141">
        <v>1.6590924451143974E-4</v>
      </c>
      <c r="P46" s="141">
        <v>1.2076042354376346E-4</v>
      </c>
      <c r="Q46" s="144">
        <v>0</v>
      </c>
      <c r="R46" s="143">
        <v>2.1786835590556973E-5</v>
      </c>
      <c r="S46" s="141">
        <v>2.1677901412604189E-5</v>
      </c>
      <c r="T46" s="141">
        <v>2.156951190554117E-5</v>
      </c>
      <c r="U46" s="141">
        <v>2.1461664346013463E-5</v>
      </c>
      <c r="V46" s="144">
        <v>2.1354356024283398E-5</v>
      </c>
      <c r="W46" s="2629"/>
      <c r="X46" s="607" t="s">
        <v>498</v>
      </c>
      <c r="Y46" s="143">
        <v>0</v>
      </c>
      <c r="Z46" s="141">
        <v>0</v>
      </c>
      <c r="AA46" s="141">
        <v>0</v>
      </c>
      <c r="AB46" s="141">
        <v>0</v>
      </c>
      <c r="AC46" s="141">
        <v>0</v>
      </c>
      <c r="AD46" s="141">
        <v>0</v>
      </c>
      <c r="AE46" s="141">
        <v>0</v>
      </c>
      <c r="AF46" s="144">
        <v>0</v>
      </c>
      <c r="AG46" s="143">
        <v>0</v>
      </c>
      <c r="AH46" s="141">
        <v>0</v>
      </c>
      <c r="AI46" s="141">
        <v>0</v>
      </c>
      <c r="AJ46" s="141">
        <v>0</v>
      </c>
      <c r="AK46" s="144">
        <v>0</v>
      </c>
      <c r="AL46" s="2629"/>
      <c r="AM46" s="545" t="s">
        <v>1876</v>
      </c>
      <c r="AN46" s="165">
        <v>1</v>
      </c>
      <c r="AO46" s="166">
        <v>15</v>
      </c>
      <c r="AP46" s="166">
        <v>11</v>
      </c>
      <c r="AQ46" s="166">
        <v>2</v>
      </c>
      <c r="AR46" s="166">
        <v>2</v>
      </c>
      <c r="AS46" s="166">
        <v>1</v>
      </c>
      <c r="AT46" s="166">
        <v>0.41784022777232627</v>
      </c>
      <c r="AU46" s="167"/>
      <c r="AV46" s="165">
        <v>8.0508984893222835E-2</v>
      </c>
      <c r="AW46" s="166">
        <v>8.0508984893222835E-2</v>
      </c>
      <c r="AX46" s="166">
        <v>8.0508984893222835E-2</v>
      </c>
      <c r="AY46" s="166">
        <v>8.0508984893222835E-2</v>
      </c>
      <c r="AZ46" s="167">
        <v>8.0508984893222835E-2</v>
      </c>
      <c r="BA46" s="2629"/>
      <c r="BB46" s="2629"/>
      <c r="BC46" s="2629"/>
      <c r="BD46" s="2629"/>
      <c r="BE46" s="2629"/>
      <c r="BF46" s="542"/>
      <c r="BG46" s="542"/>
      <c r="BH46" s="2629"/>
      <c r="BI46" s="2629"/>
      <c r="BJ46" s="2629"/>
      <c r="BK46" s="2629"/>
      <c r="BL46" s="2629"/>
      <c r="BM46" s="542"/>
      <c r="BN46" s="544"/>
    </row>
    <row r="47" spans="1:66" s="98" customFormat="1" ht="15" customHeight="1">
      <c r="A47" s="99"/>
      <c r="B47" s="161"/>
      <c r="C47" s="116"/>
      <c r="D47" s="116"/>
      <c r="E47" s="116"/>
      <c r="F47" s="116"/>
      <c r="G47" s="117"/>
      <c r="H47" s="117"/>
      <c r="I47" s="117"/>
      <c r="J47" s="713"/>
      <c r="K47" s="2649"/>
      <c r="L47" s="2649"/>
      <c r="M47" s="2649"/>
      <c r="N47" s="2649"/>
      <c r="O47" s="2649"/>
      <c r="P47" s="2649"/>
      <c r="Q47" s="715"/>
      <c r="R47" s="713"/>
      <c r="S47" s="2649"/>
      <c r="T47" s="2649"/>
      <c r="U47" s="2649"/>
      <c r="V47" s="715"/>
      <c r="W47" s="2629"/>
      <c r="X47" s="94"/>
      <c r="Y47" s="713"/>
      <c r="Z47" s="2649"/>
      <c r="AA47" s="2649"/>
      <c r="AB47" s="2649"/>
      <c r="AC47" s="2649"/>
      <c r="AD47" s="2649"/>
      <c r="AE47" s="2649"/>
      <c r="AF47" s="715"/>
      <c r="AG47" s="713"/>
      <c r="AH47" s="2649"/>
      <c r="AI47" s="2649"/>
      <c r="AJ47" s="2649"/>
      <c r="AK47" s="715"/>
      <c r="AL47" s="2629"/>
      <c r="AM47" s="94"/>
      <c r="AN47" s="878"/>
      <c r="AO47" s="2662"/>
      <c r="AP47" s="2662"/>
      <c r="AQ47" s="2662"/>
      <c r="AR47" s="2662"/>
      <c r="AS47" s="2662"/>
      <c r="AT47" s="2662"/>
      <c r="AU47" s="880"/>
      <c r="AV47" s="878"/>
      <c r="AW47" s="2662"/>
      <c r="AX47" s="2662"/>
      <c r="AY47" s="2662"/>
      <c r="AZ47" s="880"/>
      <c r="BA47" s="2629"/>
      <c r="BB47" s="359"/>
      <c r="BC47" s="542"/>
      <c r="BD47" s="542"/>
      <c r="BE47" s="542"/>
      <c r="BF47" s="542"/>
      <c r="BG47" s="542"/>
      <c r="BH47" s="2629"/>
      <c r="BI47" s="359"/>
      <c r="BJ47" s="542"/>
      <c r="BK47" s="542"/>
      <c r="BL47" s="542"/>
      <c r="BM47" s="542"/>
      <c r="BN47" s="544"/>
    </row>
    <row r="48" spans="1:66" s="98" customFormat="1" ht="15" customHeight="1" thickBot="1">
      <c r="A48" s="99"/>
      <c r="B48" s="131" t="s">
        <v>1701</v>
      </c>
      <c r="C48" s="132"/>
      <c r="D48" s="132"/>
      <c r="E48" s="132"/>
      <c r="F48" s="132"/>
      <c r="G48" s="145"/>
      <c r="H48" s="133"/>
      <c r="I48" s="146" t="s">
        <v>498</v>
      </c>
      <c r="J48" s="717">
        <f>SUM(J42:J43,J45:J46)</f>
        <v>0.11271049164811676</v>
      </c>
      <c r="K48" s="718">
        <f t="shared" ref="K48:V48" si="16">SUM(K42:K43,K45:K46)</f>
        <v>7.1694330440126894E-2</v>
      </c>
      <c r="L48" s="718">
        <f t="shared" si="16"/>
        <v>0.11296551619754933</v>
      </c>
      <c r="M48" s="718">
        <f t="shared" si="16"/>
        <v>2.3668560231897451E-2</v>
      </c>
      <c r="N48" s="718">
        <f t="shared" si="16"/>
        <v>0.1121594839682732</v>
      </c>
      <c r="O48" s="718">
        <f t="shared" si="16"/>
        <v>5.899586591379144E-2</v>
      </c>
      <c r="P48" s="718">
        <f t="shared" si="16"/>
        <v>5.716344580394514E-2</v>
      </c>
      <c r="Q48" s="719">
        <f t="shared" si="16"/>
        <v>4.9415813617331036E-2</v>
      </c>
      <c r="R48" s="717">
        <f t="shared" si="16"/>
        <v>1.3845620971733313E-2</v>
      </c>
      <c r="S48" s="718">
        <f t="shared" si="16"/>
        <v>1.3776392866874647E-2</v>
      </c>
      <c r="T48" s="718">
        <f t="shared" si="16"/>
        <v>1.3707510902540276E-2</v>
      </c>
      <c r="U48" s="718">
        <f t="shared" si="16"/>
        <v>1.3638973348027571E-2</v>
      </c>
      <c r="V48" s="719">
        <f t="shared" si="16"/>
        <v>1.3570778481287434E-2</v>
      </c>
      <c r="W48" s="2630"/>
      <c r="X48" s="146" t="s">
        <v>498</v>
      </c>
      <c r="Y48" s="717">
        <f>SUM(Y42:Y43,Y45:Y46)</f>
        <v>0</v>
      </c>
      <c r="Z48" s="718">
        <f t="shared" ref="Z48:AK48" si="17">SUM(Z42:Z43,Z45:Z46)</f>
        <v>0</v>
      </c>
      <c r="AA48" s="718">
        <f t="shared" si="17"/>
        <v>0</v>
      </c>
      <c r="AB48" s="718">
        <f t="shared" si="17"/>
        <v>0</v>
      </c>
      <c r="AC48" s="718">
        <f t="shared" si="17"/>
        <v>0</v>
      </c>
      <c r="AD48" s="718">
        <f t="shared" si="17"/>
        <v>0</v>
      </c>
      <c r="AE48" s="718">
        <f t="shared" si="17"/>
        <v>0</v>
      </c>
      <c r="AF48" s="719">
        <f t="shared" si="17"/>
        <v>0</v>
      </c>
      <c r="AG48" s="717">
        <f t="shared" si="17"/>
        <v>0</v>
      </c>
      <c r="AH48" s="718">
        <f t="shared" si="17"/>
        <v>0</v>
      </c>
      <c r="AI48" s="718">
        <f t="shared" si="17"/>
        <v>0</v>
      </c>
      <c r="AJ48" s="718">
        <f t="shared" si="17"/>
        <v>0</v>
      </c>
      <c r="AK48" s="719">
        <f t="shared" si="17"/>
        <v>0</v>
      </c>
      <c r="AL48" s="2630"/>
      <c r="AM48" s="1081" t="s">
        <v>1876</v>
      </c>
      <c r="AN48" s="873">
        <f>SUM(AN42:AN43,AN45:AN46)</f>
        <v>210</v>
      </c>
      <c r="AO48" s="781">
        <f t="shared" ref="AO48:AZ48" si="18">SUM(AO42:AO43,AO45:AO46)</f>
        <v>146</v>
      </c>
      <c r="AP48" s="781">
        <f t="shared" si="18"/>
        <v>167</v>
      </c>
      <c r="AQ48" s="781">
        <f t="shared" si="18"/>
        <v>36</v>
      </c>
      <c r="AR48" s="781">
        <f t="shared" si="18"/>
        <v>216</v>
      </c>
      <c r="AS48" s="781">
        <f t="shared" si="18"/>
        <v>187</v>
      </c>
      <c r="AT48" s="781">
        <f t="shared" si="18"/>
        <v>163.5603955945119</v>
      </c>
      <c r="AU48" s="874">
        <f t="shared" si="18"/>
        <v>152.32903875913138</v>
      </c>
      <c r="AV48" s="873">
        <f t="shared" si="18"/>
        <v>41.153984423847639</v>
      </c>
      <c r="AW48" s="781">
        <f t="shared" si="18"/>
        <v>41.153984423847639</v>
      </c>
      <c r="AX48" s="781">
        <f t="shared" si="18"/>
        <v>41.153984423847639</v>
      </c>
      <c r="AY48" s="781">
        <f t="shared" si="18"/>
        <v>41.153984423847639</v>
      </c>
      <c r="AZ48" s="874">
        <f t="shared" si="18"/>
        <v>41.153984423847639</v>
      </c>
      <c r="BA48" s="2630"/>
      <c r="BB48" s="2630"/>
      <c r="BC48" s="2630"/>
      <c r="BD48" s="2630"/>
      <c r="BE48" s="2630"/>
      <c r="BF48" s="2630"/>
      <c r="BG48" s="2630"/>
      <c r="BH48" s="2630"/>
      <c r="BI48" s="2630"/>
      <c r="BJ48" s="2630"/>
      <c r="BK48" s="2630"/>
      <c r="BL48" s="2630"/>
      <c r="BM48" s="2630"/>
      <c r="BN48" s="2651"/>
    </row>
    <row r="49" spans="1:66" ht="13.5" thickBot="1">
      <c r="I49" s="173"/>
      <c r="J49" s="175"/>
      <c r="AR49" s="175"/>
    </row>
    <row r="50" spans="1:66" s="100" customFormat="1" ht="30" customHeight="1" thickBot="1">
      <c r="A50" s="89"/>
      <c r="B50" s="621" t="s">
        <v>1684</v>
      </c>
      <c r="C50" s="101"/>
      <c r="D50" s="102"/>
      <c r="E50" s="102"/>
      <c r="F50" s="102"/>
      <c r="G50" s="103"/>
      <c r="H50" s="103"/>
      <c r="I50" s="105" t="s">
        <v>1864</v>
      </c>
      <c r="J50" s="106"/>
      <c r="K50" s="106"/>
      <c r="L50" s="106"/>
      <c r="M50" s="106"/>
      <c r="N50" s="106"/>
      <c r="O50" s="106"/>
      <c r="P50" s="106"/>
      <c r="Q50" s="106"/>
      <c r="R50" s="105"/>
      <c r="S50" s="105"/>
      <c r="T50" s="105"/>
      <c r="U50" s="105"/>
      <c r="V50" s="105"/>
      <c r="W50" s="103"/>
      <c r="X50" s="105" t="s">
        <v>2202</v>
      </c>
      <c r="Y50" s="106"/>
      <c r="Z50" s="106"/>
      <c r="AA50" s="106"/>
      <c r="AB50" s="106"/>
      <c r="AC50" s="106"/>
      <c r="AD50" s="106"/>
      <c r="AE50" s="106"/>
      <c r="AF50" s="106"/>
      <c r="AG50" s="105"/>
      <c r="AH50" s="105"/>
      <c r="AI50" s="105"/>
      <c r="AJ50" s="105"/>
      <c r="AK50" s="105"/>
      <c r="AL50" s="103"/>
      <c r="AM50" s="105" t="s">
        <v>2231</v>
      </c>
      <c r="AN50" s="106"/>
      <c r="AO50" s="106"/>
      <c r="AP50" s="106"/>
      <c r="AQ50" s="106"/>
      <c r="AR50" s="106"/>
      <c r="AS50" s="106"/>
      <c r="AT50" s="106"/>
      <c r="AU50" s="106"/>
      <c r="AV50" s="105"/>
      <c r="AW50" s="105"/>
      <c r="AX50" s="105"/>
      <c r="AY50" s="105"/>
      <c r="AZ50" s="105"/>
      <c r="BA50" s="103"/>
      <c r="BB50" s="105" t="s">
        <v>2690</v>
      </c>
      <c r="BC50" s="105"/>
      <c r="BD50" s="603"/>
      <c r="BE50" s="603"/>
      <c r="BF50" s="603"/>
      <c r="BG50" s="105"/>
      <c r="BH50" s="103"/>
      <c r="BI50" s="105" t="s">
        <v>2691</v>
      </c>
      <c r="BJ50" s="105"/>
      <c r="BK50" s="603"/>
      <c r="BL50" s="603"/>
      <c r="BM50" s="105"/>
      <c r="BN50" s="187"/>
    </row>
    <row r="51" spans="1:66" s="157" customFormat="1" ht="30" customHeight="1">
      <c r="A51" s="99"/>
      <c r="B51" s="109"/>
      <c r="C51" s="110"/>
      <c r="D51" s="110"/>
      <c r="E51" s="110"/>
      <c r="F51" s="110"/>
      <c r="G51" s="111"/>
      <c r="H51" s="111"/>
      <c r="I51" s="117"/>
      <c r="J51" s="695" t="s">
        <v>1666</v>
      </c>
      <c r="K51" s="152"/>
      <c r="L51" s="152"/>
      <c r="M51" s="152"/>
      <c r="N51" s="152"/>
      <c r="O51" s="152"/>
      <c r="P51" s="152"/>
      <c r="Q51" s="153"/>
      <c r="R51" s="696" t="s">
        <v>2</v>
      </c>
      <c r="S51" s="155"/>
      <c r="T51" s="155"/>
      <c r="U51" s="155"/>
      <c r="V51" s="156"/>
      <c r="W51" s="2632"/>
      <c r="X51" s="94"/>
      <c r="Y51" s="695" t="s">
        <v>1666</v>
      </c>
      <c r="Z51" s="152"/>
      <c r="AA51" s="152"/>
      <c r="AB51" s="152"/>
      <c r="AC51" s="152"/>
      <c r="AD51" s="152"/>
      <c r="AE51" s="152"/>
      <c r="AF51" s="153"/>
      <c r="AG51" s="696" t="s">
        <v>2</v>
      </c>
      <c r="AH51" s="155"/>
      <c r="AI51" s="155"/>
      <c r="AJ51" s="155"/>
      <c r="AK51" s="156"/>
      <c r="AL51" s="2632"/>
      <c r="AM51" s="94"/>
      <c r="AN51" s="695" t="s">
        <v>1666</v>
      </c>
      <c r="AO51" s="152"/>
      <c r="AP51" s="152"/>
      <c r="AQ51" s="152"/>
      <c r="AR51" s="152"/>
      <c r="AS51" s="152"/>
      <c r="AT51" s="152"/>
      <c r="AU51" s="153"/>
      <c r="AV51" s="696" t="s">
        <v>2</v>
      </c>
      <c r="AW51" s="155"/>
      <c r="AX51" s="155"/>
      <c r="AY51" s="155"/>
      <c r="AZ51" s="156"/>
      <c r="BA51" s="2632"/>
      <c r="BB51" s="2633" t="s">
        <v>2785</v>
      </c>
      <c r="BC51" s="2633"/>
      <c r="BD51" s="2633" t="s">
        <v>2786</v>
      </c>
      <c r="BE51" s="2633"/>
      <c r="BF51" s="2633" t="s">
        <v>2693</v>
      </c>
      <c r="BG51" s="2639"/>
      <c r="BH51" s="2632"/>
      <c r="BI51" s="2633" t="s">
        <v>2785</v>
      </c>
      <c r="BJ51" s="2633"/>
      <c r="BK51" s="2633" t="s">
        <v>2786</v>
      </c>
      <c r="BL51" s="2633"/>
      <c r="BM51" s="2633" t="s">
        <v>2693</v>
      </c>
      <c r="BN51" s="2634"/>
    </row>
    <row r="52" spans="1:66" s="98" customFormat="1" ht="15" customHeight="1">
      <c r="A52" s="99"/>
      <c r="B52" s="115"/>
      <c r="C52" s="116"/>
      <c r="D52" s="116"/>
      <c r="E52" s="116"/>
      <c r="F52" s="116"/>
      <c r="G52" s="117"/>
      <c r="H52" s="117"/>
      <c r="I52" s="119" t="s">
        <v>1667</v>
      </c>
      <c r="J52" s="158" t="s">
        <v>453</v>
      </c>
      <c r="K52" s="137" t="s">
        <v>455</v>
      </c>
      <c r="L52" s="137" t="s">
        <v>457</v>
      </c>
      <c r="M52" s="137" t="s">
        <v>459</v>
      </c>
      <c r="N52" s="137" t="s">
        <v>461</v>
      </c>
      <c r="O52" s="137" t="s">
        <v>463</v>
      </c>
      <c r="P52" s="137" t="s">
        <v>465</v>
      </c>
      <c r="Q52" s="138" t="s">
        <v>467</v>
      </c>
      <c r="R52" s="120" t="s">
        <v>469</v>
      </c>
      <c r="S52" s="121" t="s">
        <v>471</v>
      </c>
      <c r="T52" s="121" t="s">
        <v>473</v>
      </c>
      <c r="U52" s="121" t="s">
        <v>475</v>
      </c>
      <c r="V52" s="122" t="s">
        <v>477</v>
      </c>
      <c r="W52" s="2629"/>
      <c r="X52" s="119" t="s">
        <v>1667</v>
      </c>
      <c r="Y52" s="158" t="s">
        <v>453</v>
      </c>
      <c r="Z52" s="137" t="s">
        <v>455</v>
      </c>
      <c r="AA52" s="137" t="s">
        <v>457</v>
      </c>
      <c r="AB52" s="137" t="s">
        <v>459</v>
      </c>
      <c r="AC52" s="137" t="s">
        <v>461</v>
      </c>
      <c r="AD52" s="137" t="s">
        <v>463</v>
      </c>
      <c r="AE52" s="137" t="s">
        <v>465</v>
      </c>
      <c r="AF52" s="138" t="s">
        <v>467</v>
      </c>
      <c r="AG52" s="120" t="s">
        <v>469</v>
      </c>
      <c r="AH52" s="121" t="s">
        <v>471</v>
      </c>
      <c r="AI52" s="121" t="s">
        <v>473</v>
      </c>
      <c r="AJ52" s="121" t="s">
        <v>475</v>
      </c>
      <c r="AK52" s="122" t="s">
        <v>477</v>
      </c>
      <c r="AL52" s="2629"/>
      <c r="AM52" s="137" t="s">
        <v>1667</v>
      </c>
      <c r="AN52" s="158" t="s">
        <v>453</v>
      </c>
      <c r="AO52" s="137" t="s">
        <v>455</v>
      </c>
      <c r="AP52" s="137" t="s">
        <v>457</v>
      </c>
      <c r="AQ52" s="137" t="s">
        <v>459</v>
      </c>
      <c r="AR52" s="137" t="s">
        <v>461</v>
      </c>
      <c r="AS52" s="137" t="s">
        <v>463</v>
      </c>
      <c r="AT52" s="137" t="s">
        <v>465</v>
      </c>
      <c r="AU52" s="138" t="s">
        <v>467</v>
      </c>
      <c r="AV52" s="120" t="s">
        <v>469</v>
      </c>
      <c r="AW52" s="121" t="s">
        <v>471</v>
      </c>
      <c r="AX52" s="121" t="s">
        <v>473</v>
      </c>
      <c r="AY52" s="121" t="s">
        <v>475</v>
      </c>
      <c r="AZ52" s="122" t="s">
        <v>477</v>
      </c>
      <c r="BA52" s="2629"/>
      <c r="BB52" s="2635" t="s">
        <v>1667</v>
      </c>
      <c r="BC52" s="2635" t="s">
        <v>2142</v>
      </c>
      <c r="BD52" s="2635" t="s">
        <v>1667</v>
      </c>
      <c r="BE52" s="2635" t="s">
        <v>2142</v>
      </c>
      <c r="BF52" s="2642" t="s">
        <v>1667</v>
      </c>
      <c r="BG52" s="2635" t="s">
        <v>2142</v>
      </c>
      <c r="BH52" s="2629"/>
      <c r="BI52" s="2635" t="s">
        <v>1667</v>
      </c>
      <c r="BJ52" s="2635" t="s">
        <v>2142</v>
      </c>
      <c r="BK52" s="2635" t="s">
        <v>1667</v>
      </c>
      <c r="BL52" s="2635" t="s">
        <v>2142</v>
      </c>
      <c r="BM52" s="2635" t="s">
        <v>1667</v>
      </c>
      <c r="BN52" s="2636" t="s">
        <v>2142</v>
      </c>
    </row>
    <row r="53" spans="1:66" s="98" customFormat="1" ht="15" customHeight="1">
      <c r="A53" s="99"/>
      <c r="B53" s="161"/>
      <c r="C53" s="116" t="s">
        <v>2521</v>
      </c>
      <c r="D53" s="116"/>
      <c r="E53" s="116"/>
      <c r="F53" s="116"/>
      <c r="G53" s="117"/>
      <c r="H53" s="117"/>
      <c r="I53" s="117"/>
      <c r="J53" s="159"/>
      <c r="K53" s="94"/>
      <c r="L53" s="94"/>
      <c r="M53" s="94"/>
      <c r="N53" s="94"/>
      <c r="O53" s="94"/>
      <c r="P53" s="94"/>
      <c r="Q53" s="160"/>
      <c r="R53" s="159"/>
      <c r="S53" s="94"/>
      <c r="T53" s="94"/>
      <c r="U53" s="94"/>
      <c r="V53" s="160"/>
      <c r="W53" s="2629"/>
      <c r="X53" s="94"/>
      <c r="Y53" s="159"/>
      <c r="Z53" s="94"/>
      <c r="AA53" s="94"/>
      <c r="AB53" s="94"/>
      <c r="AC53" s="94"/>
      <c r="AD53" s="94"/>
      <c r="AE53" s="94"/>
      <c r="AF53" s="160"/>
      <c r="AG53" s="159"/>
      <c r="AH53" s="94"/>
      <c r="AI53" s="94"/>
      <c r="AJ53" s="94"/>
      <c r="AK53" s="160"/>
      <c r="AL53" s="2629"/>
      <c r="AM53" s="94"/>
      <c r="AN53" s="159"/>
      <c r="AO53" s="94"/>
      <c r="AP53" s="94"/>
      <c r="AQ53" s="94"/>
      <c r="AR53" s="94"/>
      <c r="AS53" s="94"/>
      <c r="AT53" s="94"/>
      <c r="AU53" s="160"/>
      <c r="AV53" s="159"/>
      <c r="AW53" s="94"/>
      <c r="AX53" s="94"/>
      <c r="AY53" s="94"/>
      <c r="AZ53" s="160"/>
      <c r="BA53" s="2629"/>
      <c r="BB53" s="359"/>
      <c r="BC53" s="542"/>
      <c r="BD53" s="542"/>
      <c r="BE53" s="542"/>
      <c r="BF53" s="542"/>
      <c r="BG53" s="542"/>
      <c r="BH53" s="2629"/>
      <c r="BI53" s="359"/>
      <c r="BJ53" s="542"/>
      <c r="BK53" s="542"/>
      <c r="BL53" s="542"/>
      <c r="BM53" s="542"/>
      <c r="BN53" s="544"/>
    </row>
    <row r="54" spans="1:66" s="98" customFormat="1" ht="15" customHeight="1">
      <c r="A54" s="99"/>
      <c r="B54" s="161"/>
      <c r="C54" s="162"/>
      <c r="D54" s="230" t="s">
        <v>2787</v>
      </c>
      <c r="E54" s="230"/>
      <c r="F54" s="230"/>
      <c r="G54" s="163"/>
      <c r="H54" s="163"/>
      <c r="I54" s="164" t="s">
        <v>498</v>
      </c>
      <c r="J54" s="143">
        <v>0.34926035385461351</v>
      </c>
      <c r="K54" s="141">
        <v>0.39818325849379277</v>
      </c>
      <c r="L54" s="141">
        <v>0.10429254675753633</v>
      </c>
      <c r="M54" s="141">
        <v>0.1516401207803541</v>
      </c>
      <c r="N54" s="141">
        <v>0.15273183996780201</v>
      </c>
      <c r="O54" s="141">
        <v>0.24406615943848517</v>
      </c>
      <c r="P54" s="141">
        <v>0.2472611407973698</v>
      </c>
      <c r="Q54" s="144">
        <v>0.20768299569422141</v>
      </c>
      <c r="R54" s="143">
        <v>9.8275538135951163E-2</v>
      </c>
      <c r="S54" s="141">
        <v>9.7784160445271412E-2</v>
      </c>
      <c r="T54" s="141">
        <v>9.7295239643045053E-2</v>
      </c>
      <c r="U54" s="141">
        <v>9.6808763444829832E-2</v>
      </c>
      <c r="V54" s="144">
        <v>9.6324719627605679E-2</v>
      </c>
      <c r="W54" s="2629"/>
      <c r="X54" s="607" t="s">
        <v>498</v>
      </c>
      <c r="Y54" s="143">
        <v>0</v>
      </c>
      <c r="Z54" s="141">
        <v>0</v>
      </c>
      <c r="AA54" s="141">
        <v>0</v>
      </c>
      <c r="AB54" s="141">
        <v>0</v>
      </c>
      <c r="AC54" s="141">
        <v>0</v>
      </c>
      <c r="AD54" s="141">
        <v>0</v>
      </c>
      <c r="AE54" s="141">
        <v>0</v>
      </c>
      <c r="AF54" s="144">
        <v>0</v>
      </c>
      <c r="AG54" s="143">
        <v>0</v>
      </c>
      <c r="AH54" s="141">
        <v>0</v>
      </c>
      <c r="AI54" s="141">
        <v>0</v>
      </c>
      <c r="AJ54" s="141">
        <v>0</v>
      </c>
      <c r="AK54" s="144">
        <v>0</v>
      </c>
      <c r="AL54" s="2629"/>
      <c r="AM54" s="545" t="s">
        <v>1876</v>
      </c>
      <c r="AN54" s="165">
        <v>690</v>
      </c>
      <c r="AO54" s="166">
        <v>832</v>
      </c>
      <c r="AP54" s="166">
        <v>293</v>
      </c>
      <c r="AQ54" s="166">
        <v>593</v>
      </c>
      <c r="AR54" s="166">
        <v>556</v>
      </c>
      <c r="AS54" s="166">
        <v>812</v>
      </c>
      <c r="AT54" s="166">
        <v>649.16792289759269</v>
      </c>
      <c r="AU54" s="167"/>
      <c r="AV54" s="165">
        <v>316.98410236362815</v>
      </c>
      <c r="AW54" s="166">
        <v>316.98410236362815</v>
      </c>
      <c r="AX54" s="166">
        <v>316.98410236362815</v>
      </c>
      <c r="AY54" s="166">
        <v>316.98410236362815</v>
      </c>
      <c r="AZ54" s="167">
        <v>316.98410236362815</v>
      </c>
      <c r="BA54" s="2629"/>
      <c r="BB54" s="545" t="s">
        <v>2788</v>
      </c>
      <c r="BC54" s="188">
        <v>0</v>
      </c>
      <c r="BD54" s="545" t="s">
        <v>627</v>
      </c>
      <c r="BE54" s="188">
        <v>0</v>
      </c>
      <c r="BF54" s="607" t="s">
        <v>627</v>
      </c>
      <c r="BG54" s="868">
        <v>0</v>
      </c>
      <c r="BH54" s="2629"/>
      <c r="BI54" s="545" t="s">
        <v>2788</v>
      </c>
      <c r="BJ54" s="188">
        <v>0</v>
      </c>
      <c r="BK54" s="545" t="s">
        <v>627</v>
      </c>
      <c r="BL54" s="188">
        <v>0</v>
      </c>
      <c r="BM54" s="607" t="s">
        <v>627</v>
      </c>
      <c r="BN54" s="872">
        <v>0</v>
      </c>
    </row>
    <row r="55" spans="1:66" s="98" customFormat="1" ht="15" customHeight="1">
      <c r="A55" s="99"/>
      <c r="B55" s="161"/>
      <c r="C55" s="162"/>
      <c r="D55" s="162" t="s">
        <v>1555</v>
      </c>
      <c r="E55" s="162"/>
      <c r="F55" s="162"/>
      <c r="G55" s="163"/>
      <c r="H55" s="163"/>
      <c r="I55" s="164" t="s">
        <v>498</v>
      </c>
      <c r="J55" s="143">
        <v>0.17772077223970295</v>
      </c>
      <c r="K55" s="141">
        <v>0.19789503852890408</v>
      </c>
      <c r="L55" s="141">
        <v>6.7173516605300243E-2</v>
      </c>
      <c r="M55" s="141">
        <v>0.1804633575706705</v>
      </c>
      <c r="N55" s="141">
        <v>0.1557978632662585</v>
      </c>
      <c r="O55" s="141">
        <v>0.10916828288852734</v>
      </c>
      <c r="P55" s="141">
        <v>0.15212647152784534</v>
      </c>
      <c r="Q55" s="144">
        <v>0.12734057689060543</v>
      </c>
      <c r="R55" s="143">
        <v>5.375906065947713E-2</v>
      </c>
      <c r="S55" s="141">
        <v>5.3490265356179748E-2</v>
      </c>
      <c r="T55" s="141">
        <v>5.3222814029398852E-2</v>
      </c>
      <c r="U55" s="141">
        <v>5.2956699959251854E-2</v>
      </c>
      <c r="V55" s="144">
        <v>5.2691916459455597E-2</v>
      </c>
      <c r="W55" s="2629"/>
      <c r="X55" s="607" t="s">
        <v>498</v>
      </c>
      <c r="Y55" s="143">
        <v>0</v>
      </c>
      <c r="Z55" s="141">
        <v>0</v>
      </c>
      <c r="AA55" s="141">
        <v>0</v>
      </c>
      <c r="AB55" s="141">
        <v>0</v>
      </c>
      <c r="AC55" s="141">
        <v>0</v>
      </c>
      <c r="AD55" s="141">
        <v>0</v>
      </c>
      <c r="AE55" s="141">
        <v>0</v>
      </c>
      <c r="AF55" s="144">
        <v>0</v>
      </c>
      <c r="AG55" s="143">
        <v>0</v>
      </c>
      <c r="AH55" s="141">
        <v>0</v>
      </c>
      <c r="AI55" s="141">
        <v>0</v>
      </c>
      <c r="AJ55" s="141">
        <v>0</v>
      </c>
      <c r="AK55" s="144">
        <v>0</v>
      </c>
      <c r="AL55" s="2629"/>
      <c r="AM55" s="545" t="s">
        <v>1876</v>
      </c>
      <c r="AN55" s="165">
        <v>881</v>
      </c>
      <c r="AO55" s="166">
        <v>909</v>
      </c>
      <c r="AP55" s="166">
        <v>253</v>
      </c>
      <c r="AQ55" s="166">
        <v>643</v>
      </c>
      <c r="AR55" s="166">
        <v>879</v>
      </c>
      <c r="AS55" s="166">
        <v>773</v>
      </c>
      <c r="AT55" s="166">
        <v>725.57632233182494</v>
      </c>
      <c r="AU55" s="167"/>
      <c r="AV55" s="165">
        <v>211.32273490908543</v>
      </c>
      <c r="AW55" s="166">
        <v>211.32273490908543</v>
      </c>
      <c r="AX55" s="166">
        <v>211.32273490908543</v>
      </c>
      <c r="AY55" s="166">
        <v>211.32273490908543</v>
      </c>
      <c r="AZ55" s="167">
        <v>211.32273490908543</v>
      </c>
      <c r="BA55" s="2629"/>
      <c r="BB55" s="2629"/>
      <c r="BC55" s="2629"/>
      <c r="BD55" s="2629"/>
      <c r="BE55" s="2629"/>
      <c r="BF55" s="542"/>
      <c r="BG55" s="542"/>
      <c r="BH55" s="2629"/>
      <c r="BI55" s="2629"/>
      <c r="BJ55" s="2629"/>
      <c r="BK55" s="2629"/>
      <c r="BL55" s="2629"/>
      <c r="BM55" s="542"/>
      <c r="BN55" s="544"/>
    </row>
    <row r="56" spans="1:66" s="98" customFormat="1" ht="15" customHeight="1">
      <c r="A56" s="99"/>
      <c r="B56" s="161"/>
      <c r="C56" s="116" t="s">
        <v>2427</v>
      </c>
      <c r="D56" s="116"/>
      <c r="E56" s="116"/>
      <c r="F56" s="116"/>
      <c r="G56" s="117"/>
      <c r="H56" s="117"/>
      <c r="I56" s="117"/>
      <c r="J56" s="713"/>
      <c r="K56" s="2649"/>
      <c r="L56" s="2649"/>
      <c r="M56" s="2649"/>
      <c r="N56" s="2649"/>
      <c r="O56" s="2649"/>
      <c r="P56" s="2649"/>
      <c r="Q56" s="715"/>
      <c r="R56" s="713"/>
      <c r="S56" s="2649"/>
      <c r="T56" s="2649"/>
      <c r="U56" s="2649"/>
      <c r="V56" s="715"/>
      <c r="W56" s="2629"/>
      <c r="X56" s="94"/>
      <c r="Y56" s="713"/>
      <c r="Z56" s="2649"/>
      <c r="AA56" s="2649"/>
      <c r="AB56" s="2649"/>
      <c r="AC56" s="2649"/>
      <c r="AD56" s="2649"/>
      <c r="AE56" s="2649"/>
      <c r="AF56" s="715"/>
      <c r="AG56" s="713"/>
      <c r="AH56" s="2649"/>
      <c r="AI56" s="2649"/>
      <c r="AJ56" s="2649"/>
      <c r="AK56" s="715"/>
      <c r="AL56" s="2629"/>
      <c r="AM56" s="94"/>
      <c r="AN56" s="878"/>
      <c r="AO56" s="2662"/>
      <c r="AP56" s="2662"/>
      <c r="AQ56" s="2662"/>
      <c r="AR56" s="2662"/>
      <c r="AS56" s="2662"/>
      <c r="AT56" s="2662"/>
      <c r="AU56" s="880"/>
      <c r="AV56" s="878"/>
      <c r="AW56" s="2662"/>
      <c r="AX56" s="2662"/>
      <c r="AY56" s="2662"/>
      <c r="AZ56" s="880"/>
      <c r="BA56" s="2629"/>
      <c r="BB56" s="359"/>
      <c r="BC56" s="542"/>
      <c r="BD56" s="359"/>
      <c r="BE56" s="542"/>
      <c r="BF56" s="542"/>
      <c r="BG56" s="542"/>
      <c r="BH56" s="2629"/>
      <c r="BI56" s="359"/>
      <c r="BJ56" s="542"/>
      <c r="BK56" s="359"/>
      <c r="BL56" s="542"/>
      <c r="BM56" s="542"/>
      <c r="BN56" s="544"/>
    </row>
    <row r="57" spans="1:66" s="98" customFormat="1" ht="15" customHeight="1">
      <c r="A57" s="99"/>
      <c r="B57" s="161"/>
      <c r="C57" s="162"/>
      <c r="D57" s="230" t="s">
        <v>2787</v>
      </c>
      <c r="E57" s="230"/>
      <c r="F57" s="230"/>
      <c r="G57" s="163"/>
      <c r="H57" s="163"/>
      <c r="I57" s="164" t="s">
        <v>498</v>
      </c>
      <c r="J57" s="143">
        <v>2.634250461685942E-2</v>
      </c>
      <c r="K57" s="141">
        <v>2.63020620549578E-2</v>
      </c>
      <c r="L57" s="141">
        <v>5.8748578144733533E-2</v>
      </c>
      <c r="M57" s="141">
        <v>2.1191627508153475E-2</v>
      </c>
      <c r="N57" s="141">
        <v>0.2497835786767704</v>
      </c>
      <c r="O57" s="141">
        <v>7.3149532968097897E-2</v>
      </c>
      <c r="P57" s="141">
        <v>0</v>
      </c>
      <c r="Q57" s="144">
        <v>0</v>
      </c>
      <c r="R57" s="143">
        <v>1.6397648582849866E-2</v>
      </c>
      <c r="S57" s="141">
        <v>1.6315660339935617E-2</v>
      </c>
      <c r="T57" s="141">
        <v>1.6234082038235939E-2</v>
      </c>
      <c r="U57" s="141">
        <v>1.6152911628044761E-2</v>
      </c>
      <c r="V57" s="144">
        <v>1.6072147069904535E-2</v>
      </c>
      <c r="W57" s="2629"/>
      <c r="X57" s="607" t="s">
        <v>498</v>
      </c>
      <c r="Y57" s="143">
        <v>0</v>
      </c>
      <c r="Z57" s="141">
        <v>0</v>
      </c>
      <c r="AA57" s="141">
        <v>0</v>
      </c>
      <c r="AB57" s="141">
        <v>0</v>
      </c>
      <c r="AC57" s="141">
        <v>0</v>
      </c>
      <c r="AD57" s="141">
        <v>0</v>
      </c>
      <c r="AE57" s="141">
        <v>0</v>
      </c>
      <c r="AF57" s="144">
        <v>0</v>
      </c>
      <c r="AG57" s="143">
        <v>0</v>
      </c>
      <c r="AH57" s="141">
        <v>0</v>
      </c>
      <c r="AI57" s="141">
        <v>0</v>
      </c>
      <c r="AJ57" s="141">
        <v>0</v>
      </c>
      <c r="AK57" s="144">
        <v>0</v>
      </c>
      <c r="AL57" s="2629"/>
      <c r="AM57" s="545" t="s">
        <v>1876</v>
      </c>
      <c r="AN57" s="165">
        <v>0</v>
      </c>
      <c r="AO57" s="166">
        <v>0</v>
      </c>
      <c r="AP57" s="166">
        <v>0</v>
      </c>
      <c r="AQ57" s="166">
        <v>0</v>
      </c>
      <c r="AR57" s="166">
        <v>0</v>
      </c>
      <c r="AS57" s="166">
        <v>12</v>
      </c>
      <c r="AT57" s="166">
        <v>0</v>
      </c>
      <c r="AU57" s="167">
        <v>0</v>
      </c>
      <c r="AV57" s="165">
        <v>1.5578985545881165</v>
      </c>
      <c r="AW57" s="166">
        <v>1.5578985545881165</v>
      </c>
      <c r="AX57" s="166">
        <v>1.5578985545881165</v>
      </c>
      <c r="AY57" s="166">
        <v>1.5578985545881165</v>
      </c>
      <c r="AZ57" s="167">
        <v>1.5578985545881165</v>
      </c>
      <c r="BA57" s="2629"/>
      <c r="BB57" s="545" t="s">
        <v>2788</v>
      </c>
      <c r="BC57" s="188">
        <v>0</v>
      </c>
      <c r="BD57" s="545" t="s">
        <v>627</v>
      </c>
      <c r="BE57" s="188">
        <v>0</v>
      </c>
      <c r="BF57" s="607" t="s">
        <v>627</v>
      </c>
      <c r="BG57" s="868">
        <v>0</v>
      </c>
      <c r="BH57" s="2629"/>
      <c r="BI57" s="545" t="s">
        <v>2788</v>
      </c>
      <c r="BJ57" s="188">
        <v>0</v>
      </c>
      <c r="BK57" s="545" t="s">
        <v>627</v>
      </c>
      <c r="BL57" s="188">
        <v>0</v>
      </c>
      <c r="BM57" s="607" t="s">
        <v>627</v>
      </c>
      <c r="BN57" s="872">
        <v>0</v>
      </c>
    </row>
    <row r="58" spans="1:66" s="98" customFormat="1" ht="15" customHeight="1">
      <c r="A58" s="99"/>
      <c r="B58" s="161"/>
      <c r="C58" s="162"/>
      <c r="D58" s="162" t="s">
        <v>1555</v>
      </c>
      <c r="E58" s="162"/>
      <c r="F58" s="162"/>
      <c r="G58" s="163"/>
      <c r="H58" s="163"/>
      <c r="I58" s="164" t="s">
        <v>498</v>
      </c>
      <c r="J58" s="143">
        <v>0</v>
      </c>
      <c r="K58" s="141">
        <v>7.4451804687824079E-3</v>
      </c>
      <c r="L58" s="141">
        <v>5.6567171878147571E-3</v>
      </c>
      <c r="M58" s="141">
        <v>2.2988962747856117E-3</v>
      </c>
      <c r="N58" s="141">
        <v>3.4836789301772079E-3</v>
      </c>
      <c r="O58" s="141">
        <v>2.3227294231601562E-3</v>
      </c>
      <c r="P58" s="141">
        <v>0</v>
      </c>
      <c r="Q58" s="144">
        <v>0</v>
      </c>
      <c r="R58" s="143">
        <v>2.6421250237129934E-4</v>
      </c>
      <c r="S58" s="141">
        <v>2.6289143985944283E-4</v>
      </c>
      <c r="T58" s="141">
        <v>2.615769826601456E-4</v>
      </c>
      <c r="U58" s="141">
        <v>2.6026909774684489E-4</v>
      </c>
      <c r="V58" s="144">
        <v>2.5896775225811065E-4</v>
      </c>
      <c r="W58" s="2629"/>
      <c r="X58" s="607" t="s">
        <v>498</v>
      </c>
      <c r="Y58" s="143">
        <v>0</v>
      </c>
      <c r="Z58" s="141">
        <v>0</v>
      </c>
      <c r="AA58" s="141">
        <v>0</v>
      </c>
      <c r="AB58" s="141">
        <v>0</v>
      </c>
      <c r="AC58" s="141">
        <v>0</v>
      </c>
      <c r="AD58" s="141">
        <v>0</v>
      </c>
      <c r="AE58" s="141">
        <v>0</v>
      </c>
      <c r="AF58" s="144">
        <v>0</v>
      </c>
      <c r="AG58" s="143">
        <v>0</v>
      </c>
      <c r="AH58" s="141">
        <v>0</v>
      </c>
      <c r="AI58" s="141">
        <v>0</v>
      </c>
      <c r="AJ58" s="141">
        <v>0</v>
      </c>
      <c r="AK58" s="144">
        <v>0</v>
      </c>
      <c r="AL58" s="2629"/>
      <c r="AM58" s="545" t="s">
        <v>1876</v>
      </c>
      <c r="AN58" s="165">
        <v>0</v>
      </c>
      <c r="AO58" s="166">
        <v>0</v>
      </c>
      <c r="AP58" s="166">
        <v>0</v>
      </c>
      <c r="AQ58" s="166">
        <v>0</v>
      </c>
      <c r="AR58" s="166">
        <v>0</v>
      </c>
      <c r="AS58" s="166">
        <v>17</v>
      </c>
      <c r="AT58" s="166">
        <v>0</v>
      </c>
      <c r="AU58" s="167">
        <v>0</v>
      </c>
      <c r="AV58" s="165">
        <v>1.0385990363920778</v>
      </c>
      <c r="AW58" s="166">
        <v>1.0385990363920778</v>
      </c>
      <c r="AX58" s="166">
        <v>1.0385990363920778</v>
      </c>
      <c r="AY58" s="166">
        <v>1.0385990363920778</v>
      </c>
      <c r="AZ58" s="167">
        <v>1.0385990363920778</v>
      </c>
      <c r="BA58" s="2629"/>
      <c r="BB58" s="2629"/>
      <c r="BC58" s="2629"/>
      <c r="BD58" s="2629"/>
      <c r="BE58" s="2629"/>
      <c r="BF58" s="542"/>
      <c r="BG58" s="542"/>
      <c r="BH58" s="2629"/>
      <c r="BI58" s="2629"/>
      <c r="BJ58" s="2629"/>
      <c r="BK58" s="2629"/>
      <c r="BL58" s="2629"/>
      <c r="BM58" s="542"/>
      <c r="BN58" s="544"/>
    </row>
    <row r="59" spans="1:66" s="98" customFormat="1" ht="15" customHeight="1">
      <c r="A59" s="99"/>
      <c r="B59" s="161"/>
      <c r="C59" s="116"/>
      <c r="D59" s="116"/>
      <c r="E59" s="116"/>
      <c r="F59" s="116"/>
      <c r="G59" s="117"/>
      <c r="H59" s="117"/>
      <c r="I59" s="117"/>
      <c r="J59" s="713"/>
      <c r="K59" s="2649"/>
      <c r="L59" s="2649"/>
      <c r="M59" s="2649"/>
      <c r="N59" s="2649"/>
      <c r="O59" s="2649"/>
      <c r="P59" s="2649"/>
      <c r="Q59" s="715"/>
      <c r="R59" s="713"/>
      <c r="S59" s="2649"/>
      <c r="T59" s="2649"/>
      <c r="U59" s="2649"/>
      <c r="V59" s="715"/>
      <c r="W59" s="2629"/>
      <c r="X59" s="94"/>
      <c r="Y59" s="713"/>
      <c r="Z59" s="2649"/>
      <c r="AA59" s="2649"/>
      <c r="AB59" s="2649"/>
      <c r="AC59" s="2649"/>
      <c r="AD59" s="2649"/>
      <c r="AE59" s="2649"/>
      <c r="AF59" s="715"/>
      <c r="AG59" s="713"/>
      <c r="AH59" s="2649"/>
      <c r="AI59" s="2649"/>
      <c r="AJ59" s="2649"/>
      <c r="AK59" s="715"/>
      <c r="AL59" s="2629"/>
      <c r="AM59" s="94"/>
      <c r="AN59" s="878"/>
      <c r="AO59" s="2662"/>
      <c r="AP59" s="2662"/>
      <c r="AQ59" s="2662"/>
      <c r="AR59" s="2662"/>
      <c r="AS59" s="2662"/>
      <c r="AT59" s="2662"/>
      <c r="AU59" s="880"/>
      <c r="AV59" s="878"/>
      <c r="AW59" s="2662"/>
      <c r="AX59" s="2662"/>
      <c r="AY59" s="2662"/>
      <c r="AZ59" s="880"/>
      <c r="BA59" s="2629"/>
      <c r="BB59" s="359"/>
      <c r="BC59" s="542"/>
      <c r="BD59" s="542"/>
      <c r="BE59" s="542"/>
      <c r="BF59" s="542"/>
      <c r="BG59" s="542"/>
      <c r="BH59" s="2629"/>
      <c r="BI59" s="359"/>
      <c r="BJ59" s="542"/>
      <c r="BK59" s="542"/>
      <c r="BL59" s="542"/>
      <c r="BM59" s="542"/>
      <c r="BN59" s="544"/>
    </row>
    <row r="60" spans="1:66" s="98" customFormat="1" ht="15" customHeight="1" thickBot="1">
      <c r="A60" s="99"/>
      <c r="B60" s="131" t="s">
        <v>1701</v>
      </c>
      <c r="C60" s="132"/>
      <c r="D60" s="132"/>
      <c r="E60" s="132"/>
      <c r="F60" s="132"/>
      <c r="G60" s="145"/>
      <c r="H60" s="133"/>
      <c r="I60" s="146" t="s">
        <v>498</v>
      </c>
      <c r="J60" s="717">
        <f>SUM(J54:J55,J57:J58)</f>
        <v>0.55332363071117585</v>
      </c>
      <c r="K60" s="718">
        <f t="shared" ref="K60:V60" si="19">SUM(K54:K55,K57:K58)</f>
        <v>0.62982553954643705</v>
      </c>
      <c r="L60" s="718">
        <f t="shared" si="19"/>
        <v>0.23587135869538486</v>
      </c>
      <c r="M60" s="718">
        <f t="shared" si="19"/>
        <v>0.35559400213396369</v>
      </c>
      <c r="N60" s="718">
        <f t="shared" si="19"/>
        <v>0.56179696084100805</v>
      </c>
      <c r="O60" s="718">
        <f t="shared" si="19"/>
        <v>0.42870670471827055</v>
      </c>
      <c r="P60" s="718">
        <f t="shared" si="19"/>
        <v>0.39938761232521514</v>
      </c>
      <c r="Q60" s="719">
        <f t="shared" si="19"/>
        <v>0.33502357258482685</v>
      </c>
      <c r="R60" s="717">
        <f t="shared" si="19"/>
        <v>0.16869645988064946</v>
      </c>
      <c r="S60" s="718">
        <f t="shared" si="19"/>
        <v>0.16785297758124623</v>
      </c>
      <c r="T60" s="718">
        <f t="shared" si="19"/>
        <v>0.16701371269334001</v>
      </c>
      <c r="U60" s="718">
        <f t="shared" si="19"/>
        <v>0.16617864412987332</v>
      </c>
      <c r="V60" s="719">
        <f t="shared" si="19"/>
        <v>0.16534775090922393</v>
      </c>
      <c r="W60" s="2630"/>
      <c r="X60" s="146" t="s">
        <v>498</v>
      </c>
      <c r="Y60" s="717">
        <f>SUM(Y54:Y55,Y57:Y58)</f>
        <v>0</v>
      </c>
      <c r="Z60" s="718">
        <f t="shared" ref="Z60:AK60" si="20">SUM(Z54:Z55,Z57:Z58)</f>
        <v>0</v>
      </c>
      <c r="AA60" s="718">
        <f t="shared" si="20"/>
        <v>0</v>
      </c>
      <c r="AB60" s="718">
        <f t="shared" si="20"/>
        <v>0</v>
      </c>
      <c r="AC60" s="718">
        <f t="shared" si="20"/>
        <v>0</v>
      </c>
      <c r="AD60" s="718">
        <f t="shared" si="20"/>
        <v>0</v>
      </c>
      <c r="AE60" s="718">
        <f t="shared" si="20"/>
        <v>0</v>
      </c>
      <c r="AF60" s="719">
        <f t="shared" si="20"/>
        <v>0</v>
      </c>
      <c r="AG60" s="717">
        <f t="shared" si="20"/>
        <v>0</v>
      </c>
      <c r="AH60" s="718">
        <f t="shared" si="20"/>
        <v>0</v>
      </c>
      <c r="AI60" s="718">
        <f t="shared" si="20"/>
        <v>0</v>
      </c>
      <c r="AJ60" s="718">
        <f t="shared" si="20"/>
        <v>0</v>
      </c>
      <c r="AK60" s="719">
        <f t="shared" si="20"/>
        <v>0</v>
      </c>
      <c r="AL60" s="2630"/>
      <c r="AM60" s="1081" t="s">
        <v>1876</v>
      </c>
      <c r="AN60" s="873">
        <f>SUM(AN54:AN55,AN57:AN58)</f>
        <v>1571</v>
      </c>
      <c r="AO60" s="781">
        <f t="shared" ref="AO60:AZ60" si="21">SUM(AO54:AO55,AO57:AO58)</f>
        <v>1741</v>
      </c>
      <c r="AP60" s="781">
        <f t="shared" si="21"/>
        <v>546</v>
      </c>
      <c r="AQ60" s="781">
        <f t="shared" si="21"/>
        <v>1236</v>
      </c>
      <c r="AR60" s="781">
        <f t="shared" si="21"/>
        <v>1435</v>
      </c>
      <c r="AS60" s="781">
        <f t="shared" si="21"/>
        <v>1614</v>
      </c>
      <c r="AT60" s="781">
        <f t="shared" si="21"/>
        <v>1374.7442452294176</v>
      </c>
      <c r="AU60" s="874">
        <f t="shared" si="21"/>
        <v>0</v>
      </c>
      <c r="AV60" s="873">
        <f t="shared" si="21"/>
        <v>530.90333486369366</v>
      </c>
      <c r="AW60" s="781">
        <f t="shared" si="21"/>
        <v>530.90333486369366</v>
      </c>
      <c r="AX60" s="781">
        <f t="shared" si="21"/>
        <v>530.90333486369366</v>
      </c>
      <c r="AY60" s="781">
        <f t="shared" si="21"/>
        <v>530.90333486369366</v>
      </c>
      <c r="AZ60" s="874">
        <f t="shared" si="21"/>
        <v>530.90333486369366</v>
      </c>
      <c r="BA60" s="2630"/>
      <c r="BB60" s="2630"/>
      <c r="BC60" s="2630"/>
      <c r="BD60" s="2630"/>
      <c r="BE60" s="2630"/>
      <c r="BF60" s="2630"/>
      <c r="BG60" s="2630"/>
      <c r="BH60" s="2630"/>
      <c r="BI60" s="2630"/>
      <c r="BJ60" s="2630"/>
      <c r="BK60" s="2630"/>
      <c r="BL60" s="2630"/>
      <c r="BM60" s="2630"/>
      <c r="BN60" s="2651"/>
    </row>
    <row r="61" spans="1:66" ht="13.5" thickBot="1">
      <c r="I61" s="173"/>
      <c r="J61" s="175"/>
      <c r="AR61" s="175"/>
    </row>
    <row r="62" spans="1:66" s="100" customFormat="1" ht="30" customHeight="1" thickBot="1">
      <c r="A62" s="89"/>
      <c r="B62" s="621" t="s">
        <v>1685</v>
      </c>
      <c r="C62" s="101"/>
      <c r="D62" s="102"/>
      <c r="E62" s="102"/>
      <c r="F62" s="102"/>
      <c r="G62" s="103"/>
      <c r="H62" s="103"/>
      <c r="I62" s="105" t="s">
        <v>1864</v>
      </c>
      <c r="J62" s="106"/>
      <c r="K62" s="106"/>
      <c r="L62" s="106"/>
      <c r="M62" s="106"/>
      <c r="N62" s="106"/>
      <c r="O62" s="106"/>
      <c r="P62" s="106"/>
      <c r="Q62" s="106"/>
      <c r="R62" s="105"/>
      <c r="S62" s="105"/>
      <c r="T62" s="105"/>
      <c r="U62" s="105"/>
      <c r="V62" s="105"/>
      <c r="W62" s="103"/>
      <c r="X62" s="105" t="s">
        <v>2202</v>
      </c>
      <c r="Y62" s="106"/>
      <c r="Z62" s="106"/>
      <c r="AA62" s="106"/>
      <c r="AB62" s="106"/>
      <c r="AC62" s="106"/>
      <c r="AD62" s="106"/>
      <c r="AE62" s="106"/>
      <c r="AF62" s="106"/>
      <c r="AG62" s="105"/>
      <c r="AH62" s="105"/>
      <c r="AI62" s="105"/>
      <c r="AJ62" s="105"/>
      <c r="AK62" s="105"/>
      <c r="AL62" s="103"/>
      <c r="AM62" s="105" t="s">
        <v>2231</v>
      </c>
      <c r="AN62" s="106"/>
      <c r="AO62" s="106"/>
      <c r="AP62" s="106"/>
      <c r="AQ62" s="106"/>
      <c r="AR62" s="106"/>
      <c r="AS62" s="106"/>
      <c r="AT62" s="106"/>
      <c r="AU62" s="106"/>
      <c r="AV62" s="105"/>
      <c r="AW62" s="105"/>
      <c r="AX62" s="105"/>
      <c r="AY62" s="105"/>
      <c r="AZ62" s="105"/>
      <c r="BA62" s="103"/>
      <c r="BB62" s="105" t="s">
        <v>2690</v>
      </c>
      <c r="BC62" s="105"/>
      <c r="BD62" s="603"/>
      <c r="BE62" s="603"/>
      <c r="BF62" s="603"/>
      <c r="BG62" s="105"/>
      <c r="BH62" s="103"/>
      <c r="BI62" s="105" t="s">
        <v>2691</v>
      </c>
      <c r="BJ62" s="105"/>
      <c r="BK62" s="603"/>
      <c r="BL62" s="603"/>
      <c r="BM62" s="105"/>
      <c r="BN62" s="187"/>
    </row>
    <row r="63" spans="1:66" s="157" customFormat="1" ht="30" customHeight="1">
      <c r="A63" s="99"/>
      <c r="B63" s="109"/>
      <c r="C63" s="110"/>
      <c r="D63" s="110"/>
      <c r="E63" s="110"/>
      <c r="F63" s="110"/>
      <c r="G63" s="111"/>
      <c r="H63" s="111"/>
      <c r="I63" s="117"/>
      <c r="J63" s="695" t="s">
        <v>1666</v>
      </c>
      <c r="K63" s="152"/>
      <c r="L63" s="152"/>
      <c r="M63" s="152"/>
      <c r="N63" s="152"/>
      <c r="O63" s="152"/>
      <c r="P63" s="152"/>
      <c r="Q63" s="153"/>
      <c r="R63" s="696" t="s">
        <v>2</v>
      </c>
      <c r="S63" s="155"/>
      <c r="T63" s="155"/>
      <c r="U63" s="155"/>
      <c r="V63" s="156"/>
      <c r="W63" s="2632"/>
      <c r="X63" s="94"/>
      <c r="Y63" s="695" t="s">
        <v>1666</v>
      </c>
      <c r="Z63" s="152"/>
      <c r="AA63" s="152"/>
      <c r="AB63" s="152"/>
      <c r="AC63" s="152"/>
      <c r="AD63" s="152"/>
      <c r="AE63" s="152"/>
      <c r="AF63" s="153"/>
      <c r="AG63" s="696" t="s">
        <v>2</v>
      </c>
      <c r="AH63" s="155"/>
      <c r="AI63" s="155"/>
      <c r="AJ63" s="155"/>
      <c r="AK63" s="156"/>
      <c r="AL63" s="2632"/>
      <c r="AM63" s="94"/>
      <c r="AN63" s="695" t="s">
        <v>1666</v>
      </c>
      <c r="AO63" s="152"/>
      <c r="AP63" s="152"/>
      <c r="AQ63" s="152"/>
      <c r="AR63" s="152"/>
      <c r="AS63" s="152"/>
      <c r="AT63" s="152"/>
      <c r="AU63" s="153"/>
      <c r="AV63" s="696" t="s">
        <v>2</v>
      </c>
      <c r="AW63" s="155"/>
      <c r="AX63" s="155"/>
      <c r="AY63" s="155"/>
      <c r="AZ63" s="156"/>
      <c r="BA63" s="2632"/>
      <c r="BB63" s="2633" t="s">
        <v>2785</v>
      </c>
      <c r="BC63" s="2633"/>
      <c r="BD63" s="2633" t="s">
        <v>2786</v>
      </c>
      <c r="BE63" s="2633"/>
      <c r="BF63" s="2633" t="s">
        <v>2693</v>
      </c>
      <c r="BG63" s="2639"/>
      <c r="BH63" s="2632"/>
      <c r="BI63" s="2633" t="s">
        <v>2785</v>
      </c>
      <c r="BJ63" s="2633"/>
      <c r="BK63" s="2633" t="s">
        <v>2786</v>
      </c>
      <c r="BL63" s="2633"/>
      <c r="BM63" s="2633" t="s">
        <v>2693</v>
      </c>
      <c r="BN63" s="2634"/>
    </row>
    <row r="64" spans="1:66" s="98" customFormat="1" ht="15" customHeight="1">
      <c r="A64" s="99"/>
      <c r="B64" s="115"/>
      <c r="C64" s="116"/>
      <c r="D64" s="116"/>
      <c r="E64" s="116"/>
      <c r="F64" s="116"/>
      <c r="G64" s="117"/>
      <c r="H64" s="117"/>
      <c r="I64" s="119" t="s">
        <v>1667</v>
      </c>
      <c r="J64" s="158" t="s">
        <v>453</v>
      </c>
      <c r="K64" s="137" t="s">
        <v>455</v>
      </c>
      <c r="L64" s="137" t="s">
        <v>457</v>
      </c>
      <c r="M64" s="137" t="s">
        <v>459</v>
      </c>
      <c r="N64" s="137" t="s">
        <v>461</v>
      </c>
      <c r="O64" s="137" t="s">
        <v>463</v>
      </c>
      <c r="P64" s="137" t="s">
        <v>465</v>
      </c>
      <c r="Q64" s="138" t="s">
        <v>467</v>
      </c>
      <c r="R64" s="120" t="s">
        <v>469</v>
      </c>
      <c r="S64" s="121" t="s">
        <v>471</v>
      </c>
      <c r="T64" s="121" t="s">
        <v>473</v>
      </c>
      <c r="U64" s="121" t="s">
        <v>475</v>
      </c>
      <c r="V64" s="122" t="s">
        <v>477</v>
      </c>
      <c r="W64" s="2629"/>
      <c r="X64" s="119" t="s">
        <v>1667</v>
      </c>
      <c r="Y64" s="158" t="s">
        <v>453</v>
      </c>
      <c r="Z64" s="137" t="s">
        <v>455</v>
      </c>
      <c r="AA64" s="137" t="s">
        <v>457</v>
      </c>
      <c r="AB64" s="137" t="s">
        <v>459</v>
      </c>
      <c r="AC64" s="137" t="s">
        <v>461</v>
      </c>
      <c r="AD64" s="137" t="s">
        <v>463</v>
      </c>
      <c r="AE64" s="137" t="s">
        <v>465</v>
      </c>
      <c r="AF64" s="138" t="s">
        <v>467</v>
      </c>
      <c r="AG64" s="120" t="s">
        <v>469</v>
      </c>
      <c r="AH64" s="121" t="s">
        <v>471</v>
      </c>
      <c r="AI64" s="121" t="s">
        <v>473</v>
      </c>
      <c r="AJ64" s="121" t="s">
        <v>475</v>
      </c>
      <c r="AK64" s="122" t="s">
        <v>477</v>
      </c>
      <c r="AL64" s="2629"/>
      <c r="AM64" s="137" t="s">
        <v>1667</v>
      </c>
      <c r="AN64" s="158" t="s">
        <v>453</v>
      </c>
      <c r="AO64" s="137" t="s">
        <v>455</v>
      </c>
      <c r="AP64" s="137" t="s">
        <v>457</v>
      </c>
      <c r="AQ64" s="137" t="s">
        <v>459</v>
      </c>
      <c r="AR64" s="137" t="s">
        <v>461</v>
      </c>
      <c r="AS64" s="137" t="s">
        <v>463</v>
      </c>
      <c r="AT64" s="137" t="s">
        <v>465</v>
      </c>
      <c r="AU64" s="138" t="s">
        <v>467</v>
      </c>
      <c r="AV64" s="120" t="s">
        <v>469</v>
      </c>
      <c r="AW64" s="121" t="s">
        <v>471</v>
      </c>
      <c r="AX64" s="121" t="s">
        <v>473</v>
      </c>
      <c r="AY64" s="121" t="s">
        <v>475</v>
      </c>
      <c r="AZ64" s="122" t="s">
        <v>477</v>
      </c>
      <c r="BA64" s="2629"/>
      <c r="BB64" s="2635" t="s">
        <v>1667</v>
      </c>
      <c r="BC64" s="2635" t="s">
        <v>2142</v>
      </c>
      <c r="BD64" s="2635" t="s">
        <v>1667</v>
      </c>
      <c r="BE64" s="2635" t="s">
        <v>2142</v>
      </c>
      <c r="BF64" s="2642" t="s">
        <v>1667</v>
      </c>
      <c r="BG64" s="2635" t="s">
        <v>2142</v>
      </c>
      <c r="BH64" s="2629"/>
      <c r="BI64" s="2635" t="s">
        <v>1667</v>
      </c>
      <c r="BJ64" s="2635" t="s">
        <v>2142</v>
      </c>
      <c r="BK64" s="2635" t="s">
        <v>1667</v>
      </c>
      <c r="BL64" s="2635" t="s">
        <v>2142</v>
      </c>
      <c r="BM64" s="2635" t="s">
        <v>1667</v>
      </c>
      <c r="BN64" s="2636" t="s">
        <v>2142</v>
      </c>
    </row>
    <row r="65" spans="1:66" s="98" customFormat="1" ht="15" customHeight="1">
      <c r="A65" s="99"/>
      <c r="B65" s="161"/>
      <c r="C65" s="116" t="s">
        <v>2521</v>
      </c>
      <c r="D65" s="116"/>
      <c r="E65" s="116"/>
      <c r="F65" s="116"/>
      <c r="G65" s="117"/>
      <c r="H65" s="117"/>
      <c r="I65" s="117"/>
      <c r="J65" s="159"/>
      <c r="K65" s="94"/>
      <c r="L65" s="94"/>
      <c r="M65" s="94"/>
      <c r="N65" s="94"/>
      <c r="O65" s="94"/>
      <c r="P65" s="94"/>
      <c r="Q65" s="160"/>
      <c r="R65" s="159"/>
      <c r="S65" s="94"/>
      <c r="T65" s="94"/>
      <c r="U65" s="94"/>
      <c r="V65" s="160"/>
      <c r="W65" s="2629"/>
      <c r="X65" s="94"/>
      <c r="Y65" s="159"/>
      <c r="Z65" s="94"/>
      <c r="AA65" s="94"/>
      <c r="AB65" s="94"/>
      <c r="AC65" s="94"/>
      <c r="AD65" s="94"/>
      <c r="AE65" s="94"/>
      <c r="AF65" s="160"/>
      <c r="AG65" s="159"/>
      <c r="AH65" s="94"/>
      <c r="AI65" s="94"/>
      <c r="AJ65" s="94"/>
      <c r="AK65" s="160"/>
      <c r="AL65" s="2629"/>
      <c r="AM65" s="94"/>
      <c r="AN65" s="159"/>
      <c r="AO65" s="94"/>
      <c r="AP65" s="94"/>
      <c r="AQ65" s="94"/>
      <c r="AR65" s="94"/>
      <c r="AS65" s="94"/>
      <c r="AT65" s="94"/>
      <c r="AU65" s="160"/>
      <c r="AV65" s="159"/>
      <c r="AW65" s="94"/>
      <c r="AX65" s="94"/>
      <c r="AY65" s="94"/>
      <c r="AZ65" s="160"/>
      <c r="BA65" s="2629"/>
      <c r="BB65" s="359"/>
      <c r="BC65" s="542"/>
      <c r="BD65" s="542"/>
      <c r="BE65" s="542"/>
      <c r="BF65" s="542"/>
      <c r="BG65" s="542"/>
      <c r="BH65" s="2629"/>
      <c r="BI65" s="359"/>
      <c r="BJ65" s="542"/>
      <c r="BK65" s="542"/>
      <c r="BL65" s="542"/>
      <c r="BM65" s="542"/>
      <c r="BN65" s="544"/>
    </row>
    <row r="66" spans="1:66" s="98" customFormat="1" ht="15" customHeight="1">
      <c r="A66" s="99"/>
      <c r="B66" s="161"/>
      <c r="C66" s="162"/>
      <c r="D66" s="230" t="s">
        <v>2787</v>
      </c>
      <c r="E66" s="230"/>
      <c r="F66" s="230"/>
      <c r="G66" s="163"/>
      <c r="H66" s="163"/>
      <c r="I66" s="164" t="s">
        <v>498</v>
      </c>
      <c r="J66" s="143">
        <v>0.1177738402532999</v>
      </c>
      <c r="K66" s="141">
        <v>0.12353086917051524</v>
      </c>
      <c r="L66" s="141">
        <v>3.4606163242273419E-2</v>
      </c>
      <c r="M66" s="141">
        <v>5.5554790792802539E-2</v>
      </c>
      <c r="N66" s="141">
        <v>1.4102940036319638E-2</v>
      </c>
      <c r="O66" s="141">
        <v>4.2738068440024181E-2</v>
      </c>
      <c r="P66" s="141">
        <v>6.4942128419542652E-2</v>
      </c>
      <c r="Q66" s="144">
        <v>5.1920748923555353E-2</v>
      </c>
      <c r="R66" s="143">
        <v>5.0778163301463855E-2</v>
      </c>
      <c r="S66" s="141">
        <v>5.0524272484956535E-2</v>
      </c>
      <c r="T66" s="141">
        <v>5.0271651122531749E-2</v>
      </c>
      <c r="U66" s="141">
        <v>5.0020292866919093E-2</v>
      </c>
      <c r="V66" s="144">
        <v>4.9770191402584499E-2</v>
      </c>
      <c r="W66" s="2629"/>
      <c r="X66" s="607" t="s">
        <v>498</v>
      </c>
      <c r="Y66" s="143">
        <v>0</v>
      </c>
      <c r="Z66" s="141">
        <v>0</v>
      </c>
      <c r="AA66" s="141">
        <v>0</v>
      </c>
      <c r="AB66" s="141">
        <v>0</v>
      </c>
      <c r="AC66" s="141">
        <v>0</v>
      </c>
      <c r="AD66" s="141">
        <v>0</v>
      </c>
      <c r="AE66" s="141">
        <v>0</v>
      </c>
      <c r="AF66" s="144">
        <v>0</v>
      </c>
      <c r="AG66" s="143">
        <v>0</v>
      </c>
      <c r="AH66" s="141">
        <v>0</v>
      </c>
      <c r="AI66" s="141">
        <v>0</v>
      </c>
      <c r="AJ66" s="141">
        <v>0</v>
      </c>
      <c r="AK66" s="144">
        <v>0</v>
      </c>
      <c r="AL66" s="2629"/>
      <c r="AM66" s="545" t="s">
        <v>1876</v>
      </c>
      <c r="AN66" s="165">
        <v>0</v>
      </c>
      <c r="AO66" s="166">
        <v>0</v>
      </c>
      <c r="AP66" s="166">
        <v>0</v>
      </c>
      <c r="AQ66" s="166">
        <v>0</v>
      </c>
      <c r="AR66" s="166">
        <v>0</v>
      </c>
      <c r="AS66" s="166">
        <v>0</v>
      </c>
      <c r="AT66" s="166">
        <v>0</v>
      </c>
      <c r="AU66" s="167">
        <v>0</v>
      </c>
      <c r="AV66" s="165">
        <v>167.46559156802724</v>
      </c>
      <c r="AW66" s="166">
        <v>167.46559156802724</v>
      </c>
      <c r="AX66" s="166">
        <v>167.46559156802724</v>
      </c>
      <c r="AY66" s="166">
        <v>167.46559156802724</v>
      </c>
      <c r="AZ66" s="167">
        <v>167.46559156802724</v>
      </c>
      <c r="BA66" s="2629"/>
      <c r="BB66" s="545" t="s">
        <v>2788</v>
      </c>
      <c r="BC66" s="188">
        <v>0</v>
      </c>
      <c r="BD66" s="545" t="s">
        <v>627</v>
      </c>
      <c r="BE66" s="188">
        <v>0</v>
      </c>
      <c r="BF66" s="607" t="s">
        <v>627</v>
      </c>
      <c r="BG66" s="868">
        <v>0</v>
      </c>
      <c r="BH66" s="2629"/>
      <c r="BI66" s="545" t="s">
        <v>2788</v>
      </c>
      <c r="BJ66" s="188">
        <v>0</v>
      </c>
      <c r="BK66" s="545" t="s">
        <v>627</v>
      </c>
      <c r="BL66" s="188">
        <v>0</v>
      </c>
      <c r="BM66" s="607" t="s">
        <v>627</v>
      </c>
      <c r="BN66" s="872">
        <v>0</v>
      </c>
    </row>
    <row r="67" spans="1:66" s="98" customFormat="1" ht="15" customHeight="1">
      <c r="A67" s="99"/>
      <c r="B67" s="161"/>
      <c r="C67" s="162"/>
      <c r="D67" s="162" t="s">
        <v>1555</v>
      </c>
      <c r="E67" s="162"/>
      <c r="F67" s="162"/>
      <c r="G67" s="163"/>
      <c r="H67" s="163"/>
      <c r="I67" s="164" t="s">
        <v>498</v>
      </c>
      <c r="J67" s="143">
        <v>5.9869516596682937E-2</v>
      </c>
      <c r="K67" s="141">
        <v>6.130754075463167E-2</v>
      </c>
      <c r="L67" s="141">
        <v>2.2273323927020607E-2</v>
      </c>
      <c r="M67" s="141">
        <v>6.5901693210520862E-2</v>
      </c>
      <c r="N67" s="141">
        <v>1.4321791157395189E-2</v>
      </c>
      <c r="O67" s="141">
        <v>1.9079563118815569E-2</v>
      </c>
      <c r="P67" s="141">
        <v>3.9949734262095041E-2</v>
      </c>
      <c r="Q67" s="144">
        <v>3.2033700215724027E-2</v>
      </c>
      <c r="R67" s="143">
        <v>2.8000535799537835E-2</v>
      </c>
      <c r="S67" s="141">
        <v>2.7860533120540147E-2</v>
      </c>
      <c r="T67" s="141">
        <v>2.7721230454937445E-2</v>
      </c>
      <c r="U67" s="141">
        <v>2.7582624302662756E-2</v>
      </c>
      <c r="V67" s="144">
        <v>2.7444711181149443E-2</v>
      </c>
      <c r="W67" s="2629"/>
      <c r="X67" s="607" t="s">
        <v>498</v>
      </c>
      <c r="Y67" s="143">
        <v>0</v>
      </c>
      <c r="Z67" s="141">
        <v>0</v>
      </c>
      <c r="AA67" s="141">
        <v>0</v>
      </c>
      <c r="AB67" s="141">
        <v>0</v>
      </c>
      <c r="AC67" s="141">
        <v>0</v>
      </c>
      <c r="AD67" s="141">
        <v>0</v>
      </c>
      <c r="AE67" s="141">
        <v>0</v>
      </c>
      <c r="AF67" s="144">
        <v>0</v>
      </c>
      <c r="AG67" s="143">
        <v>0</v>
      </c>
      <c r="AH67" s="141">
        <v>0</v>
      </c>
      <c r="AI67" s="141">
        <v>0</v>
      </c>
      <c r="AJ67" s="141">
        <v>0</v>
      </c>
      <c r="AK67" s="144">
        <v>0</v>
      </c>
      <c r="AL67" s="2629"/>
      <c r="AM67" s="545" t="s">
        <v>1876</v>
      </c>
      <c r="AN67" s="165">
        <v>0</v>
      </c>
      <c r="AO67" s="166">
        <v>0</v>
      </c>
      <c r="AP67" s="166">
        <v>0</v>
      </c>
      <c r="AQ67" s="166">
        <v>0</v>
      </c>
      <c r="AR67" s="166">
        <v>0</v>
      </c>
      <c r="AS67" s="166">
        <v>0</v>
      </c>
      <c r="AT67" s="166">
        <v>0</v>
      </c>
      <c r="AU67" s="167">
        <v>0</v>
      </c>
      <c r="AV67" s="165">
        <v>111.64372771201816</v>
      </c>
      <c r="AW67" s="166">
        <v>111.64372771201816</v>
      </c>
      <c r="AX67" s="166">
        <v>111.64372771201816</v>
      </c>
      <c r="AY67" s="166">
        <v>111.64372771201816</v>
      </c>
      <c r="AZ67" s="167">
        <v>111.64372771201816</v>
      </c>
      <c r="BA67" s="2629"/>
      <c r="BB67" s="2629"/>
      <c r="BC67" s="2629"/>
      <c r="BD67" s="2629"/>
      <c r="BE67" s="2629"/>
      <c r="BF67" s="542"/>
      <c r="BG67" s="542"/>
      <c r="BH67" s="2629"/>
      <c r="BI67" s="2629"/>
      <c r="BJ67" s="2629"/>
      <c r="BK67" s="2629"/>
      <c r="BL67" s="2629"/>
      <c r="BM67" s="542"/>
      <c r="BN67" s="544"/>
    </row>
    <row r="68" spans="1:66" s="98" customFormat="1" ht="15" customHeight="1">
      <c r="A68" s="99"/>
      <c r="B68" s="161"/>
      <c r="C68" s="116" t="s">
        <v>2427</v>
      </c>
      <c r="D68" s="116"/>
      <c r="E68" s="116"/>
      <c r="F68" s="116"/>
      <c r="G68" s="117"/>
      <c r="H68" s="117"/>
      <c r="I68" s="117"/>
      <c r="J68" s="713"/>
      <c r="K68" s="2649"/>
      <c r="L68" s="2649"/>
      <c r="M68" s="2649"/>
      <c r="N68" s="2649"/>
      <c r="O68" s="2649"/>
      <c r="P68" s="2649"/>
      <c r="Q68" s="715"/>
      <c r="R68" s="713"/>
      <c r="S68" s="2649"/>
      <c r="T68" s="2649"/>
      <c r="U68" s="2649"/>
      <c r="V68" s="715"/>
      <c r="W68" s="2629"/>
      <c r="X68" s="94"/>
      <c r="Y68" s="713"/>
      <c r="Z68" s="2649"/>
      <c r="AA68" s="2649"/>
      <c r="AB68" s="2649"/>
      <c r="AC68" s="2649"/>
      <c r="AD68" s="2649"/>
      <c r="AE68" s="2649"/>
      <c r="AF68" s="715"/>
      <c r="AG68" s="713"/>
      <c r="AH68" s="2649"/>
      <c r="AI68" s="2649"/>
      <c r="AJ68" s="2649"/>
      <c r="AK68" s="715"/>
      <c r="AL68" s="2629"/>
      <c r="AM68" s="94"/>
      <c r="AN68" s="878"/>
      <c r="AO68" s="2662"/>
      <c r="AP68" s="2662"/>
      <c r="AQ68" s="2662"/>
      <c r="AR68" s="2662"/>
      <c r="AS68" s="2662"/>
      <c r="AT68" s="2662"/>
      <c r="AU68" s="880"/>
      <c r="AV68" s="878"/>
      <c r="AW68" s="2662"/>
      <c r="AX68" s="2662"/>
      <c r="AY68" s="2662"/>
      <c r="AZ68" s="880"/>
      <c r="BA68" s="2629"/>
      <c r="BB68" s="359"/>
      <c r="BC68" s="542"/>
      <c r="BD68" s="359"/>
      <c r="BE68" s="542"/>
      <c r="BF68" s="542"/>
      <c r="BG68" s="542"/>
      <c r="BH68" s="2629"/>
      <c r="BI68" s="359"/>
      <c r="BJ68" s="542"/>
      <c r="BK68" s="359"/>
      <c r="BL68" s="542"/>
      <c r="BM68" s="542"/>
      <c r="BN68" s="544"/>
    </row>
    <row r="69" spans="1:66" s="98" customFormat="1" ht="15" customHeight="1">
      <c r="A69" s="99"/>
      <c r="B69" s="161"/>
      <c r="C69" s="162"/>
      <c r="D69" s="230" t="s">
        <v>2787</v>
      </c>
      <c r="E69" s="230"/>
      <c r="F69" s="230"/>
      <c r="G69" s="163"/>
      <c r="H69" s="163"/>
      <c r="I69" s="164" t="s">
        <v>498</v>
      </c>
      <c r="J69" s="143">
        <v>1.0537001846743768E-2</v>
      </c>
      <c r="K69" s="141">
        <v>7.8906186164873406E-3</v>
      </c>
      <c r="L69" s="141">
        <v>2.136311932535765E-2</v>
      </c>
      <c r="M69" s="141">
        <v>1.0595813754076738E-2</v>
      </c>
      <c r="N69" s="141">
        <v>2.9386303373737689E-2</v>
      </c>
      <c r="O69" s="141">
        <v>1.4629906593619577E-2</v>
      </c>
      <c r="P69" s="141">
        <v>0</v>
      </c>
      <c r="Q69" s="144">
        <v>0</v>
      </c>
      <c r="R69" s="143">
        <v>8.4725303294510366E-3</v>
      </c>
      <c r="S69" s="141">
        <v>8.4301676778037807E-3</v>
      </c>
      <c r="T69" s="141">
        <v>8.3880168394147615E-3</v>
      </c>
      <c r="U69" s="141">
        <v>8.3460767552176879E-3</v>
      </c>
      <c r="V69" s="144">
        <v>8.3043463714415986E-3</v>
      </c>
      <c r="W69" s="2629"/>
      <c r="X69" s="607" t="s">
        <v>498</v>
      </c>
      <c r="Y69" s="143">
        <v>0</v>
      </c>
      <c r="Z69" s="141">
        <v>0</v>
      </c>
      <c r="AA69" s="141">
        <v>0</v>
      </c>
      <c r="AB69" s="141">
        <v>0</v>
      </c>
      <c r="AC69" s="141">
        <v>0</v>
      </c>
      <c r="AD69" s="141">
        <v>0</v>
      </c>
      <c r="AE69" s="141">
        <v>0</v>
      </c>
      <c r="AF69" s="144">
        <v>0</v>
      </c>
      <c r="AG69" s="143">
        <v>0</v>
      </c>
      <c r="AH69" s="141">
        <v>0</v>
      </c>
      <c r="AI69" s="141">
        <v>0</v>
      </c>
      <c r="AJ69" s="141">
        <v>0</v>
      </c>
      <c r="AK69" s="144">
        <v>0</v>
      </c>
      <c r="AL69" s="2629"/>
      <c r="AM69" s="545" t="s">
        <v>1876</v>
      </c>
      <c r="AN69" s="165">
        <v>0</v>
      </c>
      <c r="AO69" s="166">
        <v>0</v>
      </c>
      <c r="AP69" s="166">
        <v>0</v>
      </c>
      <c r="AQ69" s="166">
        <v>0</v>
      </c>
      <c r="AR69" s="166">
        <v>0</v>
      </c>
      <c r="AS69" s="166">
        <v>0</v>
      </c>
      <c r="AT69" s="166">
        <v>0</v>
      </c>
      <c r="AU69" s="167">
        <v>0</v>
      </c>
      <c r="AV69" s="165">
        <v>0.82305201144689788</v>
      </c>
      <c r="AW69" s="166">
        <v>0.82305201144689788</v>
      </c>
      <c r="AX69" s="166">
        <v>0.82305201144689788</v>
      </c>
      <c r="AY69" s="166">
        <v>0.82305201144689788</v>
      </c>
      <c r="AZ69" s="167">
        <v>0.82305201144689788</v>
      </c>
      <c r="BA69" s="2629"/>
      <c r="BB69" s="545" t="s">
        <v>2788</v>
      </c>
      <c r="BC69" s="188">
        <v>0</v>
      </c>
      <c r="BD69" s="545" t="s">
        <v>627</v>
      </c>
      <c r="BE69" s="188">
        <v>0</v>
      </c>
      <c r="BF69" s="607" t="s">
        <v>627</v>
      </c>
      <c r="BG69" s="868">
        <v>0</v>
      </c>
      <c r="BH69" s="2629"/>
      <c r="BI69" s="545" t="s">
        <v>2788</v>
      </c>
      <c r="BJ69" s="188">
        <v>0</v>
      </c>
      <c r="BK69" s="545" t="s">
        <v>627</v>
      </c>
      <c r="BL69" s="188">
        <v>0</v>
      </c>
      <c r="BM69" s="607" t="s">
        <v>627</v>
      </c>
      <c r="BN69" s="872">
        <v>0</v>
      </c>
    </row>
    <row r="70" spans="1:66" s="98" customFormat="1" ht="15" customHeight="1">
      <c r="A70" s="99"/>
      <c r="B70" s="161"/>
      <c r="C70" s="162"/>
      <c r="D70" s="162" t="s">
        <v>1555</v>
      </c>
      <c r="E70" s="162"/>
      <c r="F70" s="162"/>
      <c r="G70" s="163"/>
      <c r="H70" s="163"/>
      <c r="I70" s="164" t="s">
        <v>498</v>
      </c>
      <c r="J70" s="143">
        <v>0</v>
      </c>
      <c r="K70" s="141">
        <v>2.4817268229274693E-3</v>
      </c>
      <c r="L70" s="141">
        <v>2.1212689454305337E-3</v>
      </c>
      <c r="M70" s="141">
        <v>7.6629875826187061E-4</v>
      </c>
      <c r="N70" s="141">
        <v>3.8707543668635647E-4</v>
      </c>
      <c r="O70" s="141">
        <v>4.9772773353431922E-4</v>
      </c>
      <c r="P70" s="141">
        <v>0</v>
      </c>
      <c r="Q70" s="144">
        <v>0</v>
      </c>
      <c r="R70" s="143">
        <v>1.3761571613377587E-4</v>
      </c>
      <c r="S70" s="141">
        <v>1.36927637553107E-4</v>
      </c>
      <c r="T70" s="141">
        <v>1.3624299936534147E-4</v>
      </c>
      <c r="U70" s="141">
        <v>1.3556178436851477E-4</v>
      </c>
      <c r="V70" s="144">
        <v>1.348839754466722E-4</v>
      </c>
      <c r="W70" s="2629"/>
      <c r="X70" s="607" t="s">
        <v>498</v>
      </c>
      <c r="Y70" s="143">
        <v>0</v>
      </c>
      <c r="Z70" s="141">
        <v>0</v>
      </c>
      <c r="AA70" s="141">
        <v>0</v>
      </c>
      <c r="AB70" s="141">
        <v>0</v>
      </c>
      <c r="AC70" s="141">
        <v>0</v>
      </c>
      <c r="AD70" s="141">
        <v>0</v>
      </c>
      <c r="AE70" s="141">
        <v>0</v>
      </c>
      <c r="AF70" s="144">
        <v>0</v>
      </c>
      <c r="AG70" s="143">
        <v>0</v>
      </c>
      <c r="AH70" s="141">
        <v>0</v>
      </c>
      <c r="AI70" s="141">
        <v>0</v>
      </c>
      <c r="AJ70" s="141">
        <v>0</v>
      </c>
      <c r="AK70" s="144">
        <v>0</v>
      </c>
      <c r="AL70" s="2629"/>
      <c r="AM70" s="545" t="s">
        <v>1876</v>
      </c>
      <c r="AN70" s="165">
        <v>0</v>
      </c>
      <c r="AO70" s="166">
        <v>0</v>
      </c>
      <c r="AP70" s="166">
        <v>0</v>
      </c>
      <c r="AQ70" s="166">
        <v>0</v>
      </c>
      <c r="AR70" s="166">
        <v>0</v>
      </c>
      <c r="AS70" s="166">
        <v>0</v>
      </c>
      <c r="AT70" s="166">
        <v>0</v>
      </c>
      <c r="AU70" s="167">
        <v>0</v>
      </c>
      <c r="AV70" s="165">
        <v>0.54870134096459866</v>
      </c>
      <c r="AW70" s="166">
        <v>0.54870134096459866</v>
      </c>
      <c r="AX70" s="166">
        <v>0.54870134096459866</v>
      </c>
      <c r="AY70" s="166">
        <v>0.54870134096459866</v>
      </c>
      <c r="AZ70" s="167">
        <v>0.54870134096459866</v>
      </c>
      <c r="BA70" s="2629"/>
      <c r="BB70" s="2629"/>
      <c r="BC70" s="2629"/>
      <c r="BD70" s="2629"/>
      <c r="BE70" s="2629"/>
      <c r="BF70" s="542"/>
      <c r="BG70" s="542"/>
      <c r="BH70" s="2629"/>
      <c r="BI70" s="2629"/>
      <c r="BJ70" s="2629"/>
      <c r="BK70" s="2629"/>
      <c r="BL70" s="2629"/>
      <c r="BM70" s="542"/>
      <c r="BN70" s="544"/>
    </row>
    <row r="71" spans="1:66" s="98" customFormat="1" ht="15" customHeight="1">
      <c r="A71" s="99"/>
      <c r="B71" s="161"/>
      <c r="C71" s="116"/>
      <c r="D71" s="116"/>
      <c r="E71" s="116"/>
      <c r="F71" s="116"/>
      <c r="G71" s="117"/>
      <c r="H71" s="117"/>
      <c r="I71" s="117"/>
      <c r="J71" s="713"/>
      <c r="K71" s="2649"/>
      <c r="L71" s="2649"/>
      <c r="M71" s="2649"/>
      <c r="N71" s="2649"/>
      <c r="O71" s="2649"/>
      <c r="P71" s="2649"/>
      <c r="Q71" s="715"/>
      <c r="R71" s="713"/>
      <c r="S71" s="2649"/>
      <c r="T71" s="2649"/>
      <c r="U71" s="2649"/>
      <c r="V71" s="715"/>
      <c r="W71" s="2629"/>
      <c r="X71" s="94"/>
      <c r="Y71" s="713"/>
      <c r="Z71" s="2649"/>
      <c r="AA71" s="2649"/>
      <c r="AB71" s="2649"/>
      <c r="AC71" s="2649"/>
      <c r="AD71" s="2649"/>
      <c r="AE71" s="2649"/>
      <c r="AF71" s="715"/>
      <c r="AG71" s="713"/>
      <c r="AH71" s="2649"/>
      <c r="AI71" s="2649"/>
      <c r="AJ71" s="2649"/>
      <c r="AK71" s="715"/>
      <c r="AL71" s="2629"/>
      <c r="AM71" s="94"/>
      <c r="AN71" s="878"/>
      <c r="AO71" s="2662"/>
      <c r="AP71" s="2662"/>
      <c r="AQ71" s="2662"/>
      <c r="AR71" s="2662"/>
      <c r="AS71" s="2662"/>
      <c r="AT71" s="2662"/>
      <c r="AU71" s="880"/>
      <c r="AV71" s="878"/>
      <c r="AW71" s="2662"/>
      <c r="AX71" s="2662"/>
      <c r="AY71" s="2662"/>
      <c r="AZ71" s="880"/>
      <c r="BA71" s="2629"/>
      <c r="BB71" s="359"/>
      <c r="BC71" s="542"/>
      <c r="BD71" s="542"/>
      <c r="BE71" s="542"/>
      <c r="BF71" s="542"/>
      <c r="BG71" s="542"/>
      <c r="BH71" s="2629"/>
      <c r="BI71" s="359"/>
      <c r="BJ71" s="542"/>
      <c r="BK71" s="542"/>
      <c r="BL71" s="542"/>
      <c r="BM71" s="542"/>
      <c r="BN71" s="544"/>
    </row>
    <row r="72" spans="1:66" s="98" customFormat="1" ht="15" customHeight="1" thickBot="1">
      <c r="A72" s="99"/>
      <c r="B72" s="131" t="s">
        <v>1701</v>
      </c>
      <c r="C72" s="132"/>
      <c r="D72" s="132"/>
      <c r="E72" s="132"/>
      <c r="F72" s="132"/>
      <c r="G72" s="145"/>
      <c r="H72" s="133"/>
      <c r="I72" s="146" t="s">
        <v>498</v>
      </c>
      <c r="J72" s="717">
        <f>SUM(J66:J67,J69:J70)</f>
        <v>0.18818035869672661</v>
      </c>
      <c r="K72" s="718">
        <f t="shared" ref="K72:V72" si="22">SUM(K66:K67,K69:K70)</f>
        <v>0.19521075536456173</v>
      </c>
      <c r="L72" s="718">
        <f t="shared" si="22"/>
        <v>8.0363875440082208E-2</v>
      </c>
      <c r="M72" s="718">
        <f t="shared" si="22"/>
        <v>0.132818596515662</v>
      </c>
      <c r="N72" s="718">
        <f t="shared" si="22"/>
        <v>5.8198110004138867E-2</v>
      </c>
      <c r="O72" s="718">
        <f t="shared" si="22"/>
        <v>7.6945265885993652E-2</v>
      </c>
      <c r="P72" s="718">
        <f t="shared" si="22"/>
        <v>0.10489186268163769</v>
      </c>
      <c r="Q72" s="719">
        <f t="shared" si="22"/>
        <v>8.395444913927938E-2</v>
      </c>
      <c r="R72" s="717">
        <f t="shared" si="22"/>
        <v>8.73888451465865E-2</v>
      </c>
      <c r="S72" s="718">
        <f t="shared" si="22"/>
        <v>8.6951900920853559E-2</v>
      </c>
      <c r="T72" s="718">
        <f t="shared" si="22"/>
        <v>8.6517141416249291E-2</v>
      </c>
      <c r="U72" s="718">
        <f t="shared" si="22"/>
        <v>8.6084555709168051E-2</v>
      </c>
      <c r="V72" s="719">
        <f t="shared" si="22"/>
        <v>8.5654132930622212E-2</v>
      </c>
      <c r="W72" s="2630"/>
      <c r="X72" s="146" t="s">
        <v>498</v>
      </c>
      <c r="Y72" s="717">
        <f>SUM(Y66:Y67,Y69:Y70)</f>
        <v>0</v>
      </c>
      <c r="Z72" s="718">
        <f t="shared" ref="Z72:AK72" si="23">SUM(Z66:Z67,Z69:Z70)</f>
        <v>0</v>
      </c>
      <c r="AA72" s="718">
        <f t="shared" si="23"/>
        <v>0</v>
      </c>
      <c r="AB72" s="718">
        <f t="shared" si="23"/>
        <v>0</v>
      </c>
      <c r="AC72" s="718">
        <f t="shared" si="23"/>
        <v>0</v>
      </c>
      <c r="AD72" s="718">
        <f t="shared" si="23"/>
        <v>0</v>
      </c>
      <c r="AE72" s="718">
        <f t="shared" si="23"/>
        <v>0</v>
      </c>
      <c r="AF72" s="719">
        <f t="shared" si="23"/>
        <v>0</v>
      </c>
      <c r="AG72" s="717">
        <f t="shared" si="23"/>
        <v>0</v>
      </c>
      <c r="AH72" s="718">
        <f t="shared" si="23"/>
        <v>0</v>
      </c>
      <c r="AI72" s="718">
        <f t="shared" si="23"/>
        <v>0</v>
      </c>
      <c r="AJ72" s="718">
        <f t="shared" si="23"/>
        <v>0</v>
      </c>
      <c r="AK72" s="719">
        <f t="shared" si="23"/>
        <v>0</v>
      </c>
      <c r="AL72" s="2630"/>
      <c r="AM72" s="1081" t="s">
        <v>1876</v>
      </c>
      <c r="AN72" s="873">
        <f>SUM(AN66:AN67,AN69:AN70)</f>
        <v>0</v>
      </c>
      <c r="AO72" s="781">
        <f t="shared" ref="AO72:AZ72" si="24">SUM(AO66:AO67,AO69:AO70)</f>
        <v>0</v>
      </c>
      <c r="AP72" s="781">
        <f t="shared" si="24"/>
        <v>0</v>
      </c>
      <c r="AQ72" s="781">
        <f t="shared" si="24"/>
        <v>0</v>
      </c>
      <c r="AR72" s="781">
        <f t="shared" si="24"/>
        <v>0</v>
      </c>
      <c r="AS72" s="781">
        <f t="shared" si="24"/>
        <v>0</v>
      </c>
      <c r="AT72" s="781">
        <f t="shared" si="24"/>
        <v>0</v>
      </c>
      <c r="AU72" s="874">
        <f t="shared" si="24"/>
        <v>0</v>
      </c>
      <c r="AV72" s="873">
        <f t="shared" si="24"/>
        <v>280.48107263245691</v>
      </c>
      <c r="AW72" s="781">
        <f t="shared" si="24"/>
        <v>280.48107263245691</v>
      </c>
      <c r="AX72" s="781">
        <f t="shared" si="24"/>
        <v>280.48107263245691</v>
      </c>
      <c r="AY72" s="781">
        <f t="shared" si="24"/>
        <v>280.48107263245691</v>
      </c>
      <c r="AZ72" s="874">
        <f t="shared" si="24"/>
        <v>280.48107263245691</v>
      </c>
      <c r="BA72" s="2630"/>
      <c r="BB72" s="2630"/>
      <c r="BC72" s="2630"/>
      <c r="BD72" s="2630"/>
      <c r="BE72" s="2630"/>
      <c r="BF72" s="2630"/>
      <c r="BG72" s="2630"/>
      <c r="BH72" s="2630"/>
      <c r="BI72" s="2630"/>
      <c r="BJ72" s="2630"/>
      <c r="BK72" s="2630"/>
      <c r="BL72" s="2630"/>
      <c r="BM72" s="2630"/>
      <c r="BN72" s="2651"/>
    </row>
    <row r="73" spans="1:66" ht="13.5" thickBot="1">
      <c r="I73" s="173"/>
      <c r="J73" s="175"/>
      <c r="AR73" s="175"/>
    </row>
    <row r="74" spans="1:66" s="100" customFormat="1" ht="30" customHeight="1" thickBot="1">
      <c r="A74" s="89"/>
      <c r="B74" s="621" t="s">
        <v>2780</v>
      </c>
      <c r="C74" s="101"/>
      <c r="D74" s="102"/>
      <c r="E74" s="102"/>
      <c r="F74" s="102"/>
      <c r="G74" s="103"/>
      <c r="H74" s="103"/>
      <c r="I74" s="105" t="s">
        <v>1864</v>
      </c>
      <c r="J74" s="106"/>
      <c r="K74" s="106"/>
      <c r="L74" s="106"/>
      <c r="M74" s="106"/>
      <c r="N74" s="106"/>
      <c r="O74" s="106"/>
      <c r="P74" s="106"/>
      <c r="Q74" s="106"/>
      <c r="R74" s="105"/>
      <c r="S74" s="105"/>
      <c r="T74" s="105"/>
      <c r="U74" s="105"/>
      <c r="V74" s="105"/>
      <c r="W74" s="103"/>
      <c r="X74" s="105" t="s">
        <v>2202</v>
      </c>
      <c r="Y74" s="106"/>
      <c r="Z74" s="106"/>
      <c r="AA74" s="106"/>
      <c r="AB74" s="106"/>
      <c r="AC74" s="106"/>
      <c r="AD74" s="106"/>
      <c r="AE74" s="106"/>
      <c r="AF74" s="106"/>
      <c r="AG74" s="105"/>
      <c r="AH74" s="105"/>
      <c r="AI74" s="105"/>
      <c r="AJ74" s="105"/>
      <c r="AK74" s="105"/>
      <c r="AL74" s="103"/>
      <c r="AM74" s="105" t="s">
        <v>2231</v>
      </c>
      <c r="AN74" s="106"/>
      <c r="AO74" s="106"/>
      <c r="AP74" s="106"/>
      <c r="AQ74" s="106"/>
      <c r="AR74" s="106"/>
      <c r="AS74" s="106"/>
      <c r="AT74" s="106"/>
      <c r="AU74" s="106"/>
      <c r="AV74" s="105"/>
      <c r="AW74" s="105"/>
      <c r="AX74" s="105"/>
      <c r="AY74" s="105"/>
      <c r="AZ74" s="105"/>
      <c r="BA74" s="103"/>
      <c r="BB74" s="105" t="s">
        <v>2690</v>
      </c>
      <c r="BC74" s="105"/>
      <c r="BD74" s="603"/>
      <c r="BE74" s="603"/>
      <c r="BF74" s="603"/>
      <c r="BG74" s="105"/>
      <c r="BH74" s="103"/>
      <c r="BI74" s="105" t="s">
        <v>2691</v>
      </c>
      <c r="BJ74" s="105"/>
      <c r="BK74" s="603"/>
      <c r="BL74" s="603"/>
      <c r="BM74" s="105"/>
      <c r="BN74" s="187"/>
    </row>
    <row r="75" spans="1:66" s="157" customFormat="1" ht="30" customHeight="1">
      <c r="A75" s="99"/>
      <c r="B75" s="109"/>
      <c r="C75" s="110"/>
      <c r="D75" s="110"/>
      <c r="E75" s="110"/>
      <c r="F75" s="110"/>
      <c r="G75" s="111"/>
      <c r="H75" s="111"/>
      <c r="I75" s="117"/>
      <c r="J75" s="695" t="s">
        <v>1666</v>
      </c>
      <c r="K75" s="152"/>
      <c r="L75" s="152"/>
      <c r="M75" s="152"/>
      <c r="N75" s="152"/>
      <c r="O75" s="152"/>
      <c r="P75" s="152"/>
      <c r="Q75" s="153"/>
      <c r="R75" s="696" t="s">
        <v>2</v>
      </c>
      <c r="S75" s="155"/>
      <c r="T75" s="155"/>
      <c r="U75" s="155"/>
      <c r="V75" s="156"/>
      <c r="W75" s="2632"/>
      <c r="X75" s="94"/>
      <c r="Y75" s="695" t="s">
        <v>1666</v>
      </c>
      <c r="Z75" s="152"/>
      <c r="AA75" s="152"/>
      <c r="AB75" s="152"/>
      <c r="AC75" s="152"/>
      <c r="AD75" s="152"/>
      <c r="AE75" s="152"/>
      <c r="AF75" s="153"/>
      <c r="AG75" s="696" t="s">
        <v>2</v>
      </c>
      <c r="AH75" s="155"/>
      <c r="AI75" s="155"/>
      <c r="AJ75" s="155"/>
      <c r="AK75" s="156"/>
      <c r="AL75" s="2632"/>
      <c r="AM75" s="94"/>
      <c r="AN75" s="695" t="s">
        <v>1666</v>
      </c>
      <c r="AO75" s="152"/>
      <c r="AP75" s="152"/>
      <c r="AQ75" s="152"/>
      <c r="AR75" s="152"/>
      <c r="AS75" s="152"/>
      <c r="AT75" s="152"/>
      <c r="AU75" s="153"/>
      <c r="AV75" s="696" t="s">
        <v>2</v>
      </c>
      <c r="AW75" s="155"/>
      <c r="AX75" s="155"/>
      <c r="AY75" s="155"/>
      <c r="AZ75" s="156"/>
      <c r="BA75" s="2632"/>
      <c r="BB75" s="2633" t="s">
        <v>2785</v>
      </c>
      <c r="BC75" s="2633"/>
      <c r="BD75" s="2633" t="s">
        <v>2786</v>
      </c>
      <c r="BE75" s="2633"/>
      <c r="BF75" s="2633" t="s">
        <v>2693</v>
      </c>
      <c r="BG75" s="2639"/>
      <c r="BH75" s="2632"/>
      <c r="BI75" s="2633" t="s">
        <v>2785</v>
      </c>
      <c r="BJ75" s="2633"/>
      <c r="BK75" s="2633" t="s">
        <v>2786</v>
      </c>
      <c r="BL75" s="2633"/>
      <c r="BM75" s="2633" t="s">
        <v>2693</v>
      </c>
      <c r="BN75" s="2634"/>
    </row>
    <row r="76" spans="1:66" s="98" customFormat="1" ht="15" customHeight="1">
      <c r="A76" s="99"/>
      <c r="B76" s="115"/>
      <c r="C76" s="116"/>
      <c r="D76" s="116"/>
      <c r="E76" s="116"/>
      <c r="F76" s="116"/>
      <c r="G76" s="117"/>
      <c r="H76" s="117"/>
      <c r="I76" s="119" t="s">
        <v>1667</v>
      </c>
      <c r="J76" s="158" t="s">
        <v>453</v>
      </c>
      <c r="K76" s="137" t="s">
        <v>455</v>
      </c>
      <c r="L76" s="137" t="s">
        <v>457</v>
      </c>
      <c r="M76" s="137" t="s">
        <v>459</v>
      </c>
      <c r="N76" s="137" t="s">
        <v>461</v>
      </c>
      <c r="O76" s="137" t="s">
        <v>463</v>
      </c>
      <c r="P76" s="137" t="s">
        <v>465</v>
      </c>
      <c r="Q76" s="138" t="s">
        <v>467</v>
      </c>
      <c r="R76" s="120" t="s">
        <v>469</v>
      </c>
      <c r="S76" s="121" t="s">
        <v>471</v>
      </c>
      <c r="T76" s="121" t="s">
        <v>473</v>
      </c>
      <c r="U76" s="121" t="s">
        <v>475</v>
      </c>
      <c r="V76" s="122" t="s">
        <v>477</v>
      </c>
      <c r="W76" s="2629"/>
      <c r="X76" s="119" t="s">
        <v>1667</v>
      </c>
      <c r="Y76" s="158" t="s">
        <v>453</v>
      </c>
      <c r="Z76" s="137" t="s">
        <v>455</v>
      </c>
      <c r="AA76" s="137" t="s">
        <v>457</v>
      </c>
      <c r="AB76" s="137" t="s">
        <v>459</v>
      </c>
      <c r="AC76" s="137" t="s">
        <v>461</v>
      </c>
      <c r="AD76" s="137" t="s">
        <v>463</v>
      </c>
      <c r="AE76" s="137" t="s">
        <v>465</v>
      </c>
      <c r="AF76" s="138" t="s">
        <v>467</v>
      </c>
      <c r="AG76" s="120" t="s">
        <v>469</v>
      </c>
      <c r="AH76" s="121" t="s">
        <v>471</v>
      </c>
      <c r="AI76" s="121" t="s">
        <v>473</v>
      </c>
      <c r="AJ76" s="121" t="s">
        <v>475</v>
      </c>
      <c r="AK76" s="122" t="s">
        <v>477</v>
      </c>
      <c r="AL76" s="2629"/>
      <c r="AM76" s="137" t="s">
        <v>1667</v>
      </c>
      <c r="AN76" s="158" t="s">
        <v>453</v>
      </c>
      <c r="AO76" s="137" t="s">
        <v>455</v>
      </c>
      <c r="AP76" s="137" t="s">
        <v>457</v>
      </c>
      <c r="AQ76" s="137" t="s">
        <v>459</v>
      </c>
      <c r="AR76" s="137" t="s">
        <v>461</v>
      </c>
      <c r="AS76" s="137" t="s">
        <v>463</v>
      </c>
      <c r="AT76" s="137" t="s">
        <v>465</v>
      </c>
      <c r="AU76" s="138" t="s">
        <v>467</v>
      </c>
      <c r="AV76" s="120" t="s">
        <v>469</v>
      </c>
      <c r="AW76" s="121" t="s">
        <v>471</v>
      </c>
      <c r="AX76" s="121" t="s">
        <v>473</v>
      </c>
      <c r="AY76" s="121" t="s">
        <v>475</v>
      </c>
      <c r="AZ76" s="122" t="s">
        <v>477</v>
      </c>
      <c r="BA76" s="2629"/>
      <c r="BB76" s="2635" t="s">
        <v>1667</v>
      </c>
      <c r="BC76" s="2635" t="s">
        <v>2142</v>
      </c>
      <c r="BD76" s="2635" t="s">
        <v>1667</v>
      </c>
      <c r="BE76" s="2635" t="s">
        <v>2142</v>
      </c>
      <c r="BF76" s="2642" t="s">
        <v>1667</v>
      </c>
      <c r="BG76" s="2635" t="s">
        <v>2142</v>
      </c>
      <c r="BH76" s="2629"/>
      <c r="BI76" s="2635" t="s">
        <v>1667</v>
      </c>
      <c r="BJ76" s="2635" t="s">
        <v>2142</v>
      </c>
      <c r="BK76" s="2635" t="s">
        <v>1667</v>
      </c>
      <c r="BL76" s="2635" t="s">
        <v>2142</v>
      </c>
      <c r="BM76" s="2635" t="s">
        <v>1667</v>
      </c>
      <c r="BN76" s="2636" t="s">
        <v>2142</v>
      </c>
    </row>
    <row r="77" spans="1:66" s="98" customFormat="1" ht="15" customHeight="1">
      <c r="A77" s="99"/>
      <c r="B77" s="161"/>
      <c r="C77" s="116" t="s">
        <v>2521</v>
      </c>
      <c r="D77" s="116"/>
      <c r="E77" s="116"/>
      <c r="F77" s="116"/>
      <c r="G77" s="117"/>
      <c r="H77" s="117"/>
      <c r="I77" s="117"/>
      <c r="J77" s="159"/>
      <c r="K77" s="94"/>
      <c r="L77" s="94"/>
      <c r="M77" s="94"/>
      <c r="N77" s="94"/>
      <c r="O77" s="94"/>
      <c r="P77" s="94"/>
      <c r="Q77" s="160"/>
      <c r="R77" s="159"/>
      <c r="S77" s="94"/>
      <c r="T77" s="94"/>
      <c r="U77" s="94"/>
      <c r="V77" s="160"/>
      <c r="W77" s="2629"/>
      <c r="X77" s="94"/>
      <c r="Y77" s="159"/>
      <c r="Z77" s="94"/>
      <c r="AA77" s="94"/>
      <c r="AB77" s="94"/>
      <c r="AC77" s="94"/>
      <c r="AD77" s="94"/>
      <c r="AE77" s="94"/>
      <c r="AF77" s="160"/>
      <c r="AG77" s="159"/>
      <c r="AH77" s="94"/>
      <c r="AI77" s="94"/>
      <c r="AJ77" s="94"/>
      <c r="AK77" s="160"/>
      <c r="AL77" s="2629"/>
      <c r="AM77" s="94"/>
      <c r="AN77" s="159"/>
      <c r="AO77" s="94"/>
      <c r="AP77" s="94"/>
      <c r="AQ77" s="94"/>
      <c r="AR77" s="94"/>
      <c r="AS77" s="94"/>
      <c r="AT77" s="94"/>
      <c r="AU77" s="160"/>
      <c r="AV77" s="159"/>
      <c r="AW77" s="94"/>
      <c r="AX77" s="94"/>
      <c r="AY77" s="94"/>
      <c r="AZ77" s="160"/>
      <c r="BA77" s="2629"/>
      <c r="BB77" s="359"/>
      <c r="BC77" s="542"/>
      <c r="BD77" s="542"/>
      <c r="BE77" s="542"/>
      <c r="BF77" s="542"/>
      <c r="BG77" s="542"/>
      <c r="BH77" s="2629"/>
      <c r="BI77" s="359"/>
      <c r="BJ77" s="542"/>
      <c r="BK77" s="542"/>
      <c r="BL77" s="542"/>
      <c r="BM77" s="542"/>
      <c r="BN77" s="544"/>
    </row>
    <row r="78" spans="1:66" s="98" customFormat="1" ht="15" customHeight="1">
      <c r="A78" s="99"/>
      <c r="B78" s="161"/>
      <c r="C78" s="162"/>
      <c r="D78" s="230" t="s">
        <v>2787</v>
      </c>
      <c r="E78" s="230"/>
      <c r="F78" s="230"/>
      <c r="G78" s="163"/>
      <c r="H78" s="163"/>
      <c r="I78" s="164" t="s">
        <v>498</v>
      </c>
      <c r="J78" s="143">
        <v>0</v>
      </c>
      <c r="K78" s="141">
        <v>0</v>
      </c>
      <c r="L78" s="141">
        <v>0</v>
      </c>
      <c r="M78" s="141">
        <v>0</v>
      </c>
      <c r="N78" s="141">
        <v>0</v>
      </c>
      <c r="O78" s="141">
        <v>0</v>
      </c>
      <c r="P78" s="141">
        <v>0</v>
      </c>
      <c r="Q78" s="144">
        <v>0</v>
      </c>
      <c r="R78" s="143">
        <v>0</v>
      </c>
      <c r="S78" s="141">
        <v>0</v>
      </c>
      <c r="T78" s="141">
        <v>0</v>
      </c>
      <c r="U78" s="141">
        <v>0</v>
      </c>
      <c r="V78" s="144">
        <v>0</v>
      </c>
      <c r="W78" s="2629"/>
      <c r="X78" s="607" t="s">
        <v>498</v>
      </c>
      <c r="Y78" s="143">
        <v>0</v>
      </c>
      <c r="Z78" s="141">
        <v>0</v>
      </c>
      <c r="AA78" s="141">
        <v>0</v>
      </c>
      <c r="AB78" s="141">
        <v>0</v>
      </c>
      <c r="AC78" s="141">
        <v>0</v>
      </c>
      <c r="AD78" s="141">
        <v>0</v>
      </c>
      <c r="AE78" s="141">
        <v>0</v>
      </c>
      <c r="AF78" s="144">
        <v>0</v>
      </c>
      <c r="AG78" s="143">
        <v>0</v>
      </c>
      <c r="AH78" s="141">
        <v>0</v>
      </c>
      <c r="AI78" s="141">
        <v>0</v>
      </c>
      <c r="AJ78" s="141">
        <v>0</v>
      </c>
      <c r="AK78" s="144">
        <v>0</v>
      </c>
      <c r="AL78" s="2629"/>
      <c r="AM78" s="545" t="s">
        <v>1876</v>
      </c>
      <c r="AN78" s="165">
        <v>0</v>
      </c>
      <c r="AO78" s="166">
        <v>0</v>
      </c>
      <c r="AP78" s="166">
        <v>0</v>
      </c>
      <c r="AQ78" s="166">
        <v>0</v>
      </c>
      <c r="AR78" s="166">
        <v>0</v>
      </c>
      <c r="AS78" s="166">
        <v>0</v>
      </c>
      <c r="AT78" s="166">
        <v>0</v>
      </c>
      <c r="AU78" s="167">
        <v>0</v>
      </c>
      <c r="AV78" s="165">
        <v>0</v>
      </c>
      <c r="AW78" s="166">
        <v>0</v>
      </c>
      <c r="AX78" s="166">
        <v>0</v>
      </c>
      <c r="AY78" s="166">
        <v>0</v>
      </c>
      <c r="AZ78" s="167">
        <v>0</v>
      </c>
      <c r="BA78" s="2629"/>
      <c r="BB78" s="545" t="s">
        <v>2788</v>
      </c>
      <c r="BC78" s="188">
        <v>0</v>
      </c>
      <c r="BD78" s="545" t="s">
        <v>627</v>
      </c>
      <c r="BE78" s="188">
        <v>0</v>
      </c>
      <c r="BF78" s="607" t="s">
        <v>627</v>
      </c>
      <c r="BG78" s="868">
        <v>0</v>
      </c>
      <c r="BH78" s="2629"/>
      <c r="BI78" s="545" t="s">
        <v>2788</v>
      </c>
      <c r="BJ78" s="188">
        <v>0</v>
      </c>
      <c r="BK78" s="545" t="s">
        <v>627</v>
      </c>
      <c r="BL78" s="188">
        <v>0</v>
      </c>
      <c r="BM78" s="607" t="s">
        <v>627</v>
      </c>
      <c r="BN78" s="872">
        <v>0</v>
      </c>
    </row>
    <row r="79" spans="1:66" s="98" customFormat="1" ht="15" customHeight="1">
      <c r="A79" s="99"/>
      <c r="B79" s="161"/>
      <c r="C79" s="162"/>
      <c r="D79" s="162" t="s">
        <v>1555</v>
      </c>
      <c r="E79" s="162"/>
      <c r="F79" s="162"/>
      <c r="G79" s="163"/>
      <c r="H79" s="163"/>
      <c r="I79" s="164" t="s">
        <v>498</v>
      </c>
      <c r="J79" s="143">
        <v>0</v>
      </c>
      <c r="K79" s="141">
        <v>0</v>
      </c>
      <c r="L79" s="141">
        <v>0</v>
      </c>
      <c r="M79" s="141">
        <v>0</v>
      </c>
      <c r="N79" s="141">
        <v>0</v>
      </c>
      <c r="O79" s="141">
        <v>0</v>
      </c>
      <c r="P79" s="141">
        <v>0</v>
      </c>
      <c r="Q79" s="144">
        <v>0</v>
      </c>
      <c r="R79" s="143">
        <v>0</v>
      </c>
      <c r="S79" s="141">
        <v>0</v>
      </c>
      <c r="T79" s="141">
        <v>0</v>
      </c>
      <c r="U79" s="141">
        <v>0</v>
      </c>
      <c r="V79" s="144">
        <v>0</v>
      </c>
      <c r="W79" s="2629"/>
      <c r="X79" s="607" t="s">
        <v>498</v>
      </c>
      <c r="Y79" s="143">
        <v>0</v>
      </c>
      <c r="Z79" s="141">
        <v>0</v>
      </c>
      <c r="AA79" s="141">
        <v>0</v>
      </c>
      <c r="AB79" s="141">
        <v>0</v>
      </c>
      <c r="AC79" s="141">
        <v>0</v>
      </c>
      <c r="AD79" s="141">
        <v>0</v>
      </c>
      <c r="AE79" s="141">
        <v>0</v>
      </c>
      <c r="AF79" s="144">
        <v>0</v>
      </c>
      <c r="AG79" s="143">
        <v>0</v>
      </c>
      <c r="AH79" s="141">
        <v>0</v>
      </c>
      <c r="AI79" s="141">
        <v>0</v>
      </c>
      <c r="AJ79" s="141">
        <v>0</v>
      </c>
      <c r="AK79" s="144">
        <v>0</v>
      </c>
      <c r="AL79" s="2629"/>
      <c r="AM79" s="545" t="s">
        <v>1876</v>
      </c>
      <c r="AN79" s="165">
        <v>0</v>
      </c>
      <c r="AO79" s="166">
        <v>0</v>
      </c>
      <c r="AP79" s="166">
        <v>0</v>
      </c>
      <c r="AQ79" s="166">
        <v>0</v>
      </c>
      <c r="AR79" s="166">
        <v>0</v>
      </c>
      <c r="AS79" s="166">
        <v>0</v>
      </c>
      <c r="AT79" s="166">
        <v>0</v>
      </c>
      <c r="AU79" s="167">
        <v>0</v>
      </c>
      <c r="AV79" s="165">
        <v>0</v>
      </c>
      <c r="AW79" s="166">
        <v>0</v>
      </c>
      <c r="AX79" s="166">
        <v>0</v>
      </c>
      <c r="AY79" s="166">
        <v>0</v>
      </c>
      <c r="AZ79" s="167">
        <v>0</v>
      </c>
      <c r="BA79" s="2629"/>
      <c r="BB79" s="2629"/>
      <c r="BC79" s="2629"/>
      <c r="BD79" s="2629"/>
      <c r="BE79" s="2629"/>
      <c r="BF79" s="542"/>
      <c r="BG79" s="542"/>
      <c r="BH79" s="2629"/>
      <c r="BI79" s="2629"/>
      <c r="BJ79" s="2629"/>
      <c r="BK79" s="2629"/>
      <c r="BL79" s="2629"/>
      <c r="BM79" s="542"/>
      <c r="BN79" s="544"/>
    </row>
    <row r="80" spans="1:66" s="98" customFormat="1" ht="15" customHeight="1">
      <c r="A80" s="99"/>
      <c r="B80" s="161"/>
      <c r="C80" s="116" t="s">
        <v>2427</v>
      </c>
      <c r="D80" s="116"/>
      <c r="E80" s="116"/>
      <c r="F80" s="116"/>
      <c r="G80" s="117"/>
      <c r="H80" s="117"/>
      <c r="I80" s="117"/>
      <c r="J80" s="713"/>
      <c r="K80" s="2649"/>
      <c r="L80" s="2649"/>
      <c r="M80" s="2649"/>
      <c r="N80" s="2649"/>
      <c r="O80" s="2649"/>
      <c r="P80" s="2649"/>
      <c r="Q80" s="715"/>
      <c r="R80" s="713"/>
      <c r="S80" s="2649"/>
      <c r="T80" s="2649"/>
      <c r="U80" s="2649"/>
      <c r="V80" s="715"/>
      <c r="W80" s="2629"/>
      <c r="X80" s="94"/>
      <c r="Y80" s="713"/>
      <c r="Z80" s="2649"/>
      <c r="AA80" s="2649"/>
      <c r="AB80" s="2649"/>
      <c r="AC80" s="2649"/>
      <c r="AD80" s="2649"/>
      <c r="AE80" s="2649"/>
      <c r="AF80" s="715"/>
      <c r="AG80" s="713"/>
      <c r="AH80" s="2649"/>
      <c r="AI80" s="2649"/>
      <c r="AJ80" s="2649"/>
      <c r="AK80" s="715"/>
      <c r="AL80" s="2629"/>
      <c r="AM80" s="94"/>
      <c r="AN80" s="878"/>
      <c r="AO80" s="2662"/>
      <c r="AP80" s="2662"/>
      <c r="AQ80" s="2662"/>
      <c r="AR80" s="2662"/>
      <c r="AS80" s="2662"/>
      <c r="AT80" s="2662"/>
      <c r="AU80" s="880"/>
      <c r="AV80" s="878"/>
      <c r="AW80" s="2662"/>
      <c r="AX80" s="2662"/>
      <c r="AY80" s="2662"/>
      <c r="AZ80" s="880"/>
      <c r="BA80" s="2629"/>
      <c r="BB80" s="359"/>
      <c r="BC80" s="542"/>
      <c r="BD80" s="359"/>
      <c r="BE80" s="542"/>
      <c r="BF80" s="542"/>
      <c r="BG80" s="542"/>
      <c r="BH80" s="2629"/>
      <c r="BI80" s="359"/>
      <c r="BJ80" s="542"/>
      <c r="BK80" s="359"/>
      <c r="BL80" s="542"/>
      <c r="BM80" s="542"/>
      <c r="BN80" s="544"/>
    </row>
    <row r="81" spans="1:66" s="98" customFormat="1" ht="15" customHeight="1">
      <c r="A81" s="99"/>
      <c r="B81" s="161"/>
      <c r="C81" s="162"/>
      <c r="D81" s="230" t="s">
        <v>2787</v>
      </c>
      <c r="E81" s="230"/>
      <c r="F81" s="230"/>
      <c r="G81" s="163"/>
      <c r="H81" s="163"/>
      <c r="I81" s="164" t="s">
        <v>498</v>
      </c>
      <c r="J81" s="143">
        <v>0</v>
      </c>
      <c r="K81" s="141">
        <v>0</v>
      </c>
      <c r="L81" s="141">
        <v>0</v>
      </c>
      <c r="M81" s="141">
        <v>0</v>
      </c>
      <c r="N81" s="141">
        <v>0</v>
      </c>
      <c r="O81" s="141">
        <v>0</v>
      </c>
      <c r="P81" s="141">
        <v>0</v>
      </c>
      <c r="Q81" s="144">
        <v>0</v>
      </c>
      <c r="R81" s="143">
        <v>0</v>
      </c>
      <c r="S81" s="141">
        <v>0</v>
      </c>
      <c r="T81" s="141">
        <v>0</v>
      </c>
      <c r="U81" s="141">
        <v>0</v>
      </c>
      <c r="V81" s="144">
        <v>0</v>
      </c>
      <c r="W81" s="2629"/>
      <c r="X81" s="607" t="s">
        <v>498</v>
      </c>
      <c r="Y81" s="143">
        <v>0</v>
      </c>
      <c r="Z81" s="141">
        <v>0</v>
      </c>
      <c r="AA81" s="141">
        <v>0</v>
      </c>
      <c r="AB81" s="141">
        <v>0</v>
      </c>
      <c r="AC81" s="141">
        <v>0</v>
      </c>
      <c r="AD81" s="141">
        <v>0</v>
      </c>
      <c r="AE81" s="141">
        <v>0</v>
      </c>
      <c r="AF81" s="144">
        <v>0</v>
      </c>
      <c r="AG81" s="143">
        <v>0</v>
      </c>
      <c r="AH81" s="141">
        <v>0</v>
      </c>
      <c r="AI81" s="141">
        <v>0</v>
      </c>
      <c r="AJ81" s="141">
        <v>0</v>
      </c>
      <c r="AK81" s="144">
        <v>0</v>
      </c>
      <c r="AL81" s="2629"/>
      <c r="AM81" s="545" t="s">
        <v>1876</v>
      </c>
      <c r="AN81" s="165">
        <v>0</v>
      </c>
      <c r="AO81" s="166">
        <v>0</v>
      </c>
      <c r="AP81" s="166">
        <v>0</v>
      </c>
      <c r="AQ81" s="166">
        <v>0</v>
      </c>
      <c r="AR81" s="166">
        <v>0</v>
      </c>
      <c r="AS81" s="166">
        <v>0</v>
      </c>
      <c r="AT81" s="166">
        <v>0</v>
      </c>
      <c r="AU81" s="167">
        <v>0</v>
      </c>
      <c r="AV81" s="165">
        <v>0</v>
      </c>
      <c r="AW81" s="166">
        <v>0</v>
      </c>
      <c r="AX81" s="166">
        <v>0</v>
      </c>
      <c r="AY81" s="166">
        <v>0</v>
      </c>
      <c r="AZ81" s="167">
        <v>0</v>
      </c>
      <c r="BA81" s="2629"/>
      <c r="BB81" s="545" t="s">
        <v>2788</v>
      </c>
      <c r="BC81" s="188">
        <v>0</v>
      </c>
      <c r="BD81" s="545" t="s">
        <v>627</v>
      </c>
      <c r="BE81" s="188">
        <v>0</v>
      </c>
      <c r="BF81" s="607" t="s">
        <v>627</v>
      </c>
      <c r="BG81" s="868">
        <v>0</v>
      </c>
      <c r="BH81" s="2629"/>
      <c r="BI81" s="545" t="s">
        <v>2788</v>
      </c>
      <c r="BJ81" s="188">
        <v>0</v>
      </c>
      <c r="BK81" s="545" t="s">
        <v>627</v>
      </c>
      <c r="BL81" s="188">
        <v>0</v>
      </c>
      <c r="BM81" s="607" t="s">
        <v>627</v>
      </c>
      <c r="BN81" s="872">
        <v>0</v>
      </c>
    </row>
    <row r="82" spans="1:66" s="98" customFormat="1" ht="15" customHeight="1">
      <c r="A82" s="99"/>
      <c r="B82" s="161"/>
      <c r="C82" s="162"/>
      <c r="D82" s="162" t="s">
        <v>1555</v>
      </c>
      <c r="E82" s="162"/>
      <c r="F82" s="162"/>
      <c r="G82" s="163"/>
      <c r="H82" s="163"/>
      <c r="I82" s="164" t="s">
        <v>498</v>
      </c>
      <c r="J82" s="143">
        <v>0</v>
      </c>
      <c r="K82" s="141">
        <v>0</v>
      </c>
      <c r="L82" s="141">
        <v>0</v>
      </c>
      <c r="M82" s="141">
        <v>0</v>
      </c>
      <c r="N82" s="141">
        <v>0</v>
      </c>
      <c r="O82" s="141">
        <v>0</v>
      </c>
      <c r="P82" s="141">
        <v>0</v>
      </c>
      <c r="Q82" s="144">
        <v>0</v>
      </c>
      <c r="R82" s="143">
        <v>0</v>
      </c>
      <c r="S82" s="141">
        <v>0</v>
      </c>
      <c r="T82" s="141">
        <v>0</v>
      </c>
      <c r="U82" s="141">
        <v>0</v>
      </c>
      <c r="V82" s="144">
        <v>0</v>
      </c>
      <c r="W82" s="2629"/>
      <c r="X82" s="607" t="s">
        <v>498</v>
      </c>
      <c r="Y82" s="143">
        <v>0</v>
      </c>
      <c r="Z82" s="141">
        <v>0</v>
      </c>
      <c r="AA82" s="141">
        <v>0</v>
      </c>
      <c r="AB82" s="141">
        <v>0</v>
      </c>
      <c r="AC82" s="141">
        <v>0</v>
      </c>
      <c r="AD82" s="141">
        <v>0</v>
      </c>
      <c r="AE82" s="141">
        <v>0</v>
      </c>
      <c r="AF82" s="144">
        <v>0</v>
      </c>
      <c r="AG82" s="143">
        <v>0</v>
      </c>
      <c r="AH82" s="141">
        <v>0</v>
      </c>
      <c r="AI82" s="141">
        <v>0</v>
      </c>
      <c r="AJ82" s="141">
        <v>0</v>
      </c>
      <c r="AK82" s="144">
        <v>0</v>
      </c>
      <c r="AL82" s="2629"/>
      <c r="AM82" s="545" t="s">
        <v>1876</v>
      </c>
      <c r="AN82" s="165">
        <v>0</v>
      </c>
      <c r="AO82" s="166">
        <v>0</v>
      </c>
      <c r="AP82" s="166">
        <v>0</v>
      </c>
      <c r="AQ82" s="166">
        <v>0</v>
      </c>
      <c r="AR82" s="166">
        <v>0</v>
      </c>
      <c r="AS82" s="166">
        <v>0</v>
      </c>
      <c r="AT82" s="166">
        <v>0</v>
      </c>
      <c r="AU82" s="167">
        <v>0</v>
      </c>
      <c r="AV82" s="165">
        <v>0</v>
      </c>
      <c r="AW82" s="166">
        <v>0</v>
      </c>
      <c r="AX82" s="166">
        <v>0</v>
      </c>
      <c r="AY82" s="166">
        <v>0</v>
      </c>
      <c r="AZ82" s="167">
        <v>0</v>
      </c>
      <c r="BA82" s="2629"/>
      <c r="BB82" s="2629"/>
      <c r="BC82" s="2629"/>
      <c r="BD82" s="2629"/>
      <c r="BE82" s="2629"/>
      <c r="BF82" s="542"/>
      <c r="BG82" s="542"/>
      <c r="BH82" s="2629"/>
      <c r="BI82" s="2629"/>
      <c r="BJ82" s="2629"/>
      <c r="BK82" s="2629"/>
      <c r="BL82" s="2629"/>
      <c r="BM82" s="542"/>
      <c r="BN82" s="544"/>
    </row>
    <row r="83" spans="1:66" s="98" customFormat="1" ht="15" customHeight="1">
      <c r="A83" s="99"/>
      <c r="B83" s="161"/>
      <c r="C83" s="116"/>
      <c r="D83" s="116"/>
      <c r="E83" s="116"/>
      <c r="F83" s="116"/>
      <c r="G83" s="117"/>
      <c r="H83" s="117"/>
      <c r="I83" s="117"/>
      <c r="J83" s="713"/>
      <c r="K83" s="2649"/>
      <c r="L83" s="2649"/>
      <c r="M83" s="2649"/>
      <c r="N83" s="2649"/>
      <c r="O83" s="2649"/>
      <c r="P83" s="2649"/>
      <c r="Q83" s="715"/>
      <c r="R83" s="713"/>
      <c r="S83" s="2649"/>
      <c r="T83" s="2649"/>
      <c r="U83" s="2649"/>
      <c r="V83" s="715"/>
      <c r="W83" s="2629"/>
      <c r="X83" s="94"/>
      <c r="Y83" s="713"/>
      <c r="Z83" s="2649"/>
      <c r="AA83" s="2649"/>
      <c r="AB83" s="2649"/>
      <c r="AC83" s="2649"/>
      <c r="AD83" s="2649"/>
      <c r="AE83" s="2649"/>
      <c r="AF83" s="715"/>
      <c r="AG83" s="713"/>
      <c r="AH83" s="2649"/>
      <c r="AI83" s="2649"/>
      <c r="AJ83" s="2649"/>
      <c r="AK83" s="715"/>
      <c r="AL83" s="2629"/>
      <c r="AM83" s="94"/>
      <c r="AN83" s="878"/>
      <c r="AO83" s="2662"/>
      <c r="AP83" s="2662"/>
      <c r="AQ83" s="2662"/>
      <c r="AR83" s="2662"/>
      <c r="AS83" s="2662"/>
      <c r="AT83" s="2662"/>
      <c r="AU83" s="880"/>
      <c r="AV83" s="878"/>
      <c r="AW83" s="2662"/>
      <c r="AX83" s="2662"/>
      <c r="AY83" s="2662"/>
      <c r="AZ83" s="880"/>
      <c r="BA83" s="2629"/>
      <c r="BB83" s="359"/>
      <c r="BC83" s="542"/>
      <c r="BD83" s="542"/>
      <c r="BE83" s="542"/>
      <c r="BF83" s="542"/>
      <c r="BG83" s="542"/>
      <c r="BH83" s="2629"/>
      <c r="BI83" s="359"/>
      <c r="BJ83" s="542"/>
      <c r="BK83" s="542"/>
      <c r="BL83" s="542"/>
      <c r="BM83" s="542"/>
      <c r="BN83" s="544"/>
    </row>
    <row r="84" spans="1:66" s="98" customFormat="1" ht="15" customHeight="1" thickBot="1">
      <c r="A84" s="99"/>
      <c r="B84" s="131" t="s">
        <v>1701</v>
      </c>
      <c r="C84" s="132"/>
      <c r="D84" s="132"/>
      <c r="E84" s="132"/>
      <c r="F84" s="132"/>
      <c r="G84" s="145"/>
      <c r="H84" s="133"/>
      <c r="I84" s="146" t="s">
        <v>498</v>
      </c>
      <c r="J84" s="717">
        <f>SUM(J78:J79,J81:J82)</f>
        <v>0</v>
      </c>
      <c r="K84" s="718">
        <f t="shared" ref="K84:V84" si="25">SUM(K78:K79,K81:K82)</f>
        <v>0</v>
      </c>
      <c r="L84" s="718">
        <f t="shared" si="25"/>
        <v>0</v>
      </c>
      <c r="M84" s="718">
        <f t="shared" si="25"/>
        <v>0</v>
      </c>
      <c r="N84" s="718">
        <f t="shared" si="25"/>
        <v>0</v>
      </c>
      <c r="O84" s="718">
        <f t="shared" si="25"/>
        <v>0</v>
      </c>
      <c r="P84" s="718">
        <f t="shared" si="25"/>
        <v>0</v>
      </c>
      <c r="Q84" s="719">
        <f t="shared" si="25"/>
        <v>0</v>
      </c>
      <c r="R84" s="717">
        <f t="shared" si="25"/>
        <v>0</v>
      </c>
      <c r="S84" s="718">
        <f t="shared" si="25"/>
        <v>0</v>
      </c>
      <c r="T84" s="718">
        <f t="shared" si="25"/>
        <v>0</v>
      </c>
      <c r="U84" s="718">
        <f t="shared" si="25"/>
        <v>0</v>
      </c>
      <c r="V84" s="719">
        <f t="shared" si="25"/>
        <v>0</v>
      </c>
      <c r="W84" s="2630"/>
      <c r="X84" s="146" t="s">
        <v>498</v>
      </c>
      <c r="Y84" s="717">
        <f>SUM(Y78:Y79,Y81:Y82)</f>
        <v>0</v>
      </c>
      <c r="Z84" s="718">
        <f t="shared" ref="Z84:AK84" si="26">SUM(Z78:Z79,Z81:Z82)</f>
        <v>0</v>
      </c>
      <c r="AA84" s="718">
        <f t="shared" si="26"/>
        <v>0</v>
      </c>
      <c r="AB84" s="718">
        <f t="shared" si="26"/>
        <v>0</v>
      </c>
      <c r="AC84" s="718">
        <f t="shared" si="26"/>
        <v>0</v>
      </c>
      <c r="AD84" s="718">
        <f t="shared" si="26"/>
        <v>0</v>
      </c>
      <c r="AE84" s="718">
        <f t="shared" si="26"/>
        <v>0</v>
      </c>
      <c r="AF84" s="719">
        <f t="shared" si="26"/>
        <v>0</v>
      </c>
      <c r="AG84" s="717">
        <f t="shared" si="26"/>
        <v>0</v>
      </c>
      <c r="AH84" s="718">
        <f t="shared" si="26"/>
        <v>0</v>
      </c>
      <c r="AI84" s="718">
        <f t="shared" si="26"/>
        <v>0</v>
      </c>
      <c r="AJ84" s="718">
        <f t="shared" si="26"/>
        <v>0</v>
      </c>
      <c r="AK84" s="719">
        <f t="shared" si="26"/>
        <v>0</v>
      </c>
      <c r="AL84" s="2630"/>
      <c r="AM84" s="1081" t="s">
        <v>1876</v>
      </c>
      <c r="AN84" s="873">
        <f>SUM(AN78:AN79,AN81:AN82)</f>
        <v>0</v>
      </c>
      <c r="AO84" s="781">
        <f t="shared" ref="AO84:AZ84" si="27">SUM(AO78:AO79,AO81:AO82)</f>
        <v>0</v>
      </c>
      <c r="AP84" s="781">
        <f t="shared" si="27"/>
        <v>0</v>
      </c>
      <c r="AQ84" s="781">
        <f t="shared" si="27"/>
        <v>0</v>
      </c>
      <c r="AR84" s="781">
        <f t="shared" si="27"/>
        <v>0</v>
      </c>
      <c r="AS84" s="781">
        <f t="shared" si="27"/>
        <v>0</v>
      </c>
      <c r="AT84" s="781">
        <f t="shared" si="27"/>
        <v>0</v>
      </c>
      <c r="AU84" s="874">
        <f t="shared" si="27"/>
        <v>0</v>
      </c>
      <c r="AV84" s="873">
        <f t="shared" si="27"/>
        <v>0</v>
      </c>
      <c r="AW84" s="781">
        <f t="shared" si="27"/>
        <v>0</v>
      </c>
      <c r="AX84" s="781">
        <f t="shared" si="27"/>
        <v>0</v>
      </c>
      <c r="AY84" s="781">
        <f t="shared" si="27"/>
        <v>0</v>
      </c>
      <c r="AZ84" s="874">
        <f t="shared" si="27"/>
        <v>0</v>
      </c>
      <c r="BA84" s="2630"/>
      <c r="BB84" s="2630"/>
      <c r="BC84" s="2630"/>
      <c r="BD84" s="2630"/>
      <c r="BE84" s="2630"/>
      <c r="BF84" s="2630"/>
      <c r="BG84" s="2630"/>
      <c r="BH84" s="2630"/>
      <c r="BI84" s="2630"/>
      <c r="BJ84" s="2630"/>
      <c r="BK84" s="2630"/>
      <c r="BL84" s="2630"/>
      <c r="BM84" s="2630"/>
      <c r="BN84" s="2651"/>
    </row>
    <row r="85" spans="1:66" ht="13.5" thickBot="1">
      <c r="I85" s="173"/>
      <c r="J85" s="175"/>
    </row>
    <row r="86" spans="1:66" s="100" customFormat="1" ht="30" customHeight="1" thickBot="1">
      <c r="A86" s="89"/>
      <c r="B86" s="621" t="s">
        <v>2789</v>
      </c>
      <c r="C86" s="101"/>
      <c r="D86" s="102"/>
      <c r="E86" s="102"/>
      <c r="F86" s="102"/>
      <c r="G86" s="103"/>
      <c r="H86" s="103"/>
      <c r="I86" s="105" t="s">
        <v>1864</v>
      </c>
      <c r="J86" s="106"/>
      <c r="K86" s="106"/>
      <c r="L86" s="106"/>
      <c r="M86" s="106"/>
      <c r="N86" s="106"/>
      <c r="O86" s="106"/>
      <c r="P86" s="106"/>
      <c r="Q86" s="106"/>
      <c r="R86" s="105"/>
      <c r="S86" s="105"/>
      <c r="T86" s="105"/>
      <c r="U86" s="105"/>
      <c r="V86" s="105"/>
      <c r="W86" s="103"/>
      <c r="X86" s="105" t="s">
        <v>2202</v>
      </c>
      <c r="Y86" s="106"/>
      <c r="Z86" s="106"/>
      <c r="AA86" s="106"/>
      <c r="AB86" s="106"/>
      <c r="AC86" s="106"/>
      <c r="AD86" s="106"/>
      <c r="AE86" s="106"/>
      <c r="AF86" s="106"/>
      <c r="AG86" s="105"/>
      <c r="AH86" s="105"/>
      <c r="AI86" s="105"/>
      <c r="AJ86" s="105"/>
      <c r="AK86" s="105"/>
      <c r="AL86" s="103"/>
      <c r="AM86" s="105" t="s">
        <v>2231</v>
      </c>
      <c r="AN86" s="106"/>
      <c r="AO86" s="106"/>
      <c r="AP86" s="106"/>
      <c r="AQ86" s="106"/>
      <c r="AR86" s="106"/>
      <c r="AS86" s="106"/>
      <c r="AT86" s="106"/>
      <c r="AU86" s="106"/>
      <c r="AV86" s="105"/>
      <c r="AW86" s="105"/>
      <c r="AX86" s="105"/>
      <c r="AY86" s="105"/>
      <c r="AZ86" s="105"/>
      <c r="BA86" s="103"/>
      <c r="BB86" s="105" t="s">
        <v>2690</v>
      </c>
      <c r="BC86" s="105"/>
      <c r="BD86" s="603"/>
      <c r="BE86" s="603"/>
      <c r="BF86" s="603"/>
      <c r="BG86" s="105"/>
      <c r="BH86" s="103"/>
      <c r="BI86" s="105" t="s">
        <v>2691</v>
      </c>
      <c r="BJ86" s="105"/>
      <c r="BK86" s="603"/>
      <c r="BL86" s="603"/>
      <c r="BM86" s="105"/>
      <c r="BN86" s="187"/>
    </row>
    <row r="87" spans="1:66" s="157" customFormat="1" ht="30" customHeight="1">
      <c r="A87" s="99"/>
      <c r="B87" s="109"/>
      <c r="C87" s="110"/>
      <c r="D87" s="110"/>
      <c r="E87" s="110"/>
      <c r="F87" s="110"/>
      <c r="G87" s="111"/>
      <c r="H87" s="111"/>
      <c r="I87" s="117"/>
      <c r="J87" s="695" t="s">
        <v>1666</v>
      </c>
      <c r="K87" s="152"/>
      <c r="L87" s="152"/>
      <c r="M87" s="152"/>
      <c r="N87" s="152"/>
      <c r="O87" s="152"/>
      <c r="P87" s="152"/>
      <c r="Q87" s="153"/>
      <c r="R87" s="696" t="s">
        <v>2</v>
      </c>
      <c r="S87" s="155"/>
      <c r="T87" s="155"/>
      <c r="U87" s="155"/>
      <c r="V87" s="156"/>
      <c r="W87" s="2632"/>
      <c r="X87" s="94"/>
      <c r="Y87" s="695" t="s">
        <v>1666</v>
      </c>
      <c r="Z87" s="152"/>
      <c r="AA87" s="152"/>
      <c r="AB87" s="152"/>
      <c r="AC87" s="152"/>
      <c r="AD87" s="152"/>
      <c r="AE87" s="152"/>
      <c r="AF87" s="153"/>
      <c r="AG87" s="696" t="s">
        <v>2</v>
      </c>
      <c r="AH87" s="155"/>
      <c r="AI87" s="155"/>
      <c r="AJ87" s="155"/>
      <c r="AK87" s="156"/>
      <c r="AL87" s="2632"/>
      <c r="AM87" s="94"/>
      <c r="AN87" s="695" t="s">
        <v>1666</v>
      </c>
      <c r="AO87" s="152"/>
      <c r="AP87" s="152"/>
      <c r="AQ87" s="152"/>
      <c r="AR87" s="152"/>
      <c r="AS87" s="152"/>
      <c r="AT87" s="152"/>
      <c r="AU87" s="153"/>
      <c r="AV87" s="696" t="s">
        <v>2</v>
      </c>
      <c r="AW87" s="155"/>
      <c r="AX87" s="155"/>
      <c r="AY87" s="155"/>
      <c r="AZ87" s="156"/>
      <c r="BA87" s="2632"/>
      <c r="BB87" s="2633" t="s">
        <v>2785</v>
      </c>
      <c r="BC87" s="2633"/>
      <c r="BD87" s="2633" t="s">
        <v>2786</v>
      </c>
      <c r="BE87" s="2633"/>
      <c r="BF87" s="2633" t="s">
        <v>2693</v>
      </c>
      <c r="BG87" s="2639"/>
      <c r="BH87" s="2632"/>
      <c r="BI87" s="2633" t="s">
        <v>2785</v>
      </c>
      <c r="BJ87" s="2633"/>
      <c r="BK87" s="2633" t="s">
        <v>2786</v>
      </c>
      <c r="BL87" s="2633"/>
      <c r="BM87" s="2633" t="s">
        <v>2693</v>
      </c>
      <c r="BN87" s="2634"/>
    </row>
    <row r="88" spans="1:66" s="98" customFormat="1" ht="15" customHeight="1">
      <c r="A88" s="99"/>
      <c r="B88" s="115"/>
      <c r="C88" s="116"/>
      <c r="D88" s="116"/>
      <c r="E88" s="116"/>
      <c r="F88" s="116"/>
      <c r="G88" s="117"/>
      <c r="H88" s="117"/>
      <c r="I88" s="119" t="s">
        <v>1667</v>
      </c>
      <c r="J88" s="158" t="s">
        <v>453</v>
      </c>
      <c r="K88" s="137" t="s">
        <v>455</v>
      </c>
      <c r="L88" s="137" t="s">
        <v>457</v>
      </c>
      <c r="M88" s="137" t="s">
        <v>459</v>
      </c>
      <c r="N88" s="137" t="s">
        <v>461</v>
      </c>
      <c r="O88" s="137" t="s">
        <v>463</v>
      </c>
      <c r="P88" s="137" t="s">
        <v>465</v>
      </c>
      <c r="Q88" s="138" t="s">
        <v>467</v>
      </c>
      <c r="R88" s="120" t="s">
        <v>469</v>
      </c>
      <c r="S88" s="121" t="s">
        <v>471</v>
      </c>
      <c r="T88" s="121" t="s">
        <v>473</v>
      </c>
      <c r="U88" s="121" t="s">
        <v>475</v>
      </c>
      <c r="V88" s="122" t="s">
        <v>477</v>
      </c>
      <c r="W88" s="2629"/>
      <c r="X88" s="119" t="s">
        <v>1667</v>
      </c>
      <c r="Y88" s="158" t="s">
        <v>453</v>
      </c>
      <c r="Z88" s="137" t="s">
        <v>455</v>
      </c>
      <c r="AA88" s="137" t="s">
        <v>457</v>
      </c>
      <c r="AB88" s="137" t="s">
        <v>459</v>
      </c>
      <c r="AC88" s="137" t="s">
        <v>461</v>
      </c>
      <c r="AD88" s="137" t="s">
        <v>463</v>
      </c>
      <c r="AE88" s="137" t="s">
        <v>465</v>
      </c>
      <c r="AF88" s="138" t="s">
        <v>467</v>
      </c>
      <c r="AG88" s="120" t="s">
        <v>469</v>
      </c>
      <c r="AH88" s="121" t="s">
        <v>471</v>
      </c>
      <c r="AI88" s="121" t="s">
        <v>473</v>
      </c>
      <c r="AJ88" s="121" t="s">
        <v>475</v>
      </c>
      <c r="AK88" s="122" t="s">
        <v>477</v>
      </c>
      <c r="AL88" s="2629"/>
      <c r="AM88" s="119" t="s">
        <v>1667</v>
      </c>
      <c r="AN88" s="158" t="s">
        <v>453</v>
      </c>
      <c r="AO88" s="137" t="s">
        <v>455</v>
      </c>
      <c r="AP88" s="137" t="s">
        <v>457</v>
      </c>
      <c r="AQ88" s="137" t="s">
        <v>459</v>
      </c>
      <c r="AR88" s="137" t="s">
        <v>461</v>
      </c>
      <c r="AS88" s="137" t="s">
        <v>463</v>
      </c>
      <c r="AT88" s="137" t="s">
        <v>465</v>
      </c>
      <c r="AU88" s="138" t="s">
        <v>467</v>
      </c>
      <c r="AV88" s="120" t="s">
        <v>469</v>
      </c>
      <c r="AW88" s="121" t="s">
        <v>471</v>
      </c>
      <c r="AX88" s="121" t="s">
        <v>473</v>
      </c>
      <c r="AY88" s="121" t="s">
        <v>475</v>
      </c>
      <c r="AZ88" s="122" t="s">
        <v>477</v>
      </c>
      <c r="BA88" s="2629"/>
      <c r="BB88" s="2635" t="s">
        <v>1667</v>
      </c>
      <c r="BC88" s="2635" t="s">
        <v>2142</v>
      </c>
      <c r="BD88" s="2635" t="s">
        <v>1667</v>
      </c>
      <c r="BE88" s="2635" t="s">
        <v>2142</v>
      </c>
      <c r="BF88" s="2642" t="s">
        <v>1667</v>
      </c>
      <c r="BG88" s="2635" t="s">
        <v>2142</v>
      </c>
      <c r="BH88" s="2629"/>
      <c r="BI88" s="2635" t="s">
        <v>1667</v>
      </c>
      <c r="BJ88" s="2635" t="s">
        <v>2142</v>
      </c>
      <c r="BK88" s="2635" t="s">
        <v>1667</v>
      </c>
      <c r="BL88" s="2635" t="s">
        <v>2142</v>
      </c>
      <c r="BM88" s="2635" t="s">
        <v>1667</v>
      </c>
      <c r="BN88" s="2636" t="s">
        <v>2142</v>
      </c>
    </row>
    <row r="89" spans="1:66" s="98" customFormat="1" ht="15" customHeight="1">
      <c r="A89" s="99"/>
      <c r="B89" s="161"/>
      <c r="C89" s="116" t="s">
        <v>2521</v>
      </c>
      <c r="D89" s="116"/>
      <c r="E89" s="116"/>
      <c r="F89" s="116"/>
      <c r="G89" s="117"/>
      <c r="H89" s="117"/>
      <c r="I89" s="117"/>
      <c r="J89" s="159"/>
      <c r="K89" s="94"/>
      <c r="L89" s="94"/>
      <c r="M89" s="94"/>
      <c r="N89" s="94"/>
      <c r="O89" s="94"/>
      <c r="P89" s="94"/>
      <c r="Q89" s="160"/>
      <c r="R89" s="159"/>
      <c r="S89" s="94"/>
      <c r="T89" s="94"/>
      <c r="U89" s="94"/>
      <c r="V89" s="160"/>
      <c r="W89" s="2629"/>
      <c r="X89" s="94"/>
      <c r="Y89" s="159"/>
      <c r="Z89" s="94"/>
      <c r="AA89" s="94"/>
      <c r="AB89" s="94"/>
      <c r="AC89" s="94"/>
      <c r="AD89" s="94"/>
      <c r="AE89" s="94"/>
      <c r="AF89" s="160"/>
      <c r="AG89" s="159"/>
      <c r="AH89" s="94"/>
      <c r="AI89" s="94"/>
      <c r="AJ89" s="94"/>
      <c r="AK89" s="160"/>
      <c r="AL89" s="2629"/>
      <c r="AM89" s="94"/>
      <c r="AN89" s="159"/>
      <c r="AO89" s="94"/>
      <c r="AP89" s="94"/>
      <c r="AQ89" s="94"/>
      <c r="AR89" s="94"/>
      <c r="AS89" s="94"/>
      <c r="AT89" s="94"/>
      <c r="AU89" s="160"/>
      <c r="AV89" s="159"/>
      <c r="AW89" s="94"/>
      <c r="AX89" s="94"/>
      <c r="AY89" s="94"/>
      <c r="AZ89" s="160"/>
      <c r="BA89" s="2629"/>
      <c r="BB89" s="359"/>
      <c r="BC89" s="542"/>
      <c r="BD89" s="542"/>
      <c r="BE89" s="542"/>
      <c r="BF89" s="542"/>
      <c r="BG89" s="542"/>
      <c r="BH89" s="2629"/>
      <c r="BI89" s="359"/>
      <c r="BJ89" s="542"/>
      <c r="BK89" s="542"/>
      <c r="BL89" s="542"/>
      <c r="BM89" s="542"/>
      <c r="BN89" s="544"/>
    </row>
    <row r="90" spans="1:66" s="98" customFormat="1" ht="15" customHeight="1">
      <c r="A90" s="99"/>
      <c r="B90" s="161"/>
      <c r="C90" s="162"/>
      <c r="D90" s="230" t="s">
        <v>2787</v>
      </c>
      <c r="E90" s="230"/>
      <c r="F90" s="230"/>
      <c r="G90" s="163"/>
      <c r="H90" s="163"/>
      <c r="I90" s="164" t="s">
        <v>498</v>
      </c>
      <c r="J90" s="143">
        <v>0</v>
      </c>
      <c r="K90" s="141">
        <v>0</v>
      </c>
      <c r="L90" s="141">
        <v>0</v>
      </c>
      <c r="M90" s="141">
        <v>0</v>
      </c>
      <c r="N90" s="141">
        <v>0</v>
      </c>
      <c r="O90" s="141">
        <v>0</v>
      </c>
      <c r="P90" s="141">
        <v>0</v>
      </c>
      <c r="Q90" s="144">
        <v>0</v>
      </c>
      <c r="R90" s="143">
        <v>0.48098556474872844</v>
      </c>
      <c r="S90" s="141">
        <v>0.47858063692498481</v>
      </c>
      <c r="T90" s="141">
        <v>0.47618773374035989</v>
      </c>
      <c r="U90" s="141">
        <v>0.47380679507165807</v>
      </c>
      <c r="V90" s="144">
        <v>0.47143776109629976</v>
      </c>
      <c r="W90" s="2629"/>
      <c r="X90" s="607" t="s">
        <v>498</v>
      </c>
      <c r="Y90" s="143">
        <v>0</v>
      </c>
      <c r="Z90" s="141">
        <v>0</v>
      </c>
      <c r="AA90" s="141">
        <v>0</v>
      </c>
      <c r="AB90" s="141">
        <v>0</v>
      </c>
      <c r="AC90" s="141">
        <v>0</v>
      </c>
      <c r="AD90" s="141">
        <v>0</v>
      </c>
      <c r="AE90" s="141">
        <v>0</v>
      </c>
      <c r="AF90" s="144">
        <v>0</v>
      </c>
      <c r="AG90" s="143">
        <v>0</v>
      </c>
      <c r="AH90" s="141">
        <v>0</v>
      </c>
      <c r="AI90" s="141">
        <v>0</v>
      </c>
      <c r="AJ90" s="141">
        <v>0</v>
      </c>
      <c r="AK90" s="144">
        <v>0</v>
      </c>
      <c r="AL90" s="2629"/>
      <c r="AM90" s="607" t="s">
        <v>1876</v>
      </c>
      <c r="AN90" s="165">
        <v>0</v>
      </c>
      <c r="AO90" s="166">
        <v>0</v>
      </c>
      <c r="AP90" s="166">
        <v>0</v>
      </c>
      <c r="AQ90" s="166">
        <v>0</v>
      </c>
      <c r="AR90" s="166">
        <v>0</v>
      </c>
      <c r="AS90" s="166">
        <v>0</v>
      </c>
      <c r="AT90" s="166">
        <v>0</v>
      </c>
      <c r="AU90" s="167">
        <v>0</v>
      </c>
      <c r="AV90" s="165">
        <v>1544.7762502295768</v>
      </c>
      <c r="AW90" s="166">
        <v>1544.7762502295768</v>
      </c>
      <c r="AX90" s="166">
        <v>1544.7762502295768</v>
      </c>
      <c r="AY90" s="166">
        <v>1544.7762502295768</v>
      </c>
      <c r="AZ90" s="167">
        <v>1544.7762502295768</v>
      </c>
      <c r="BA90" s="2629"/>
      <c r="BB90" s="545" t="s">
        <v>2788</v>
      </c>
      <c r="BC90" s="188">
        <v>0</v>
      </c>
      <c r="BD90" s="545" t="s">
        <v>627</v>
      </c>
      <c r="BE90" s="188">
        <v>0</v>
      </c>
      <c r="BF90" s="607" t="s">
        <v>627</v>
      </c>
      <c r="BG90" s="868">
        <v>0</v>
      </c>
      <c r="BH90" s="2629"/>
      <c r="BI90" s="545" t="s">
        <v>2788</v>
      </c>
      <c r="BJ90" s="188">
        <v>0</v>
      </c>
      <c r="BK90" s="545" t="s">
        <v>627</v>
      </c>
      <c r="BL90" s="188">
        <v>0</v>
      </c>
      <c r="BM90" s="607" t="s">
        <v>627</v>
      </c>
      <c r="BN90" s="872">
        <v>0</v>
      </c>
    </row>
    <row r="91" spans="1:66" s="98" customFormat="1" ht="15" customHeight="1">
      <c r="A91" s="99"/>
      <c r="B91" s="161"/>
      <c r="C91" s="162"/>
      <c r="D91" s="162" t="s">
        <v>1555</v>
      </c>
      <c r="E91" s="162"/>
      <c r="F91" s="162"/>
      <c r="G91" s="163"/>
      <c r="H91" s="163"/>
      <c r="I91" s="164" t="s">
        <v>498</v>
      </c>
      <c r="J91" s="143">
        <v>0</v>
      </c>
      <c r="K91" s="141">
        <v>0</v>
      </c>
      <c r="L91" s="141">
        <v>0</v>
      </c>
      <c r="M91" s="141">
        <v>0</v>
      </c>
      <c r="N91" s="141">
        <v>0</v>
      </c>
      <c r="O91" s="141">
        <v>0</v>
      </c>
      <c r="P91" s="141">
        <v>0</v>
      </c>
      <c r="Q91" s="144">
        <v>0</v>
      </c>
      <c r="R91" s="143">
        <v>0.26428385245384273</v>
      </c>
      <c r="S91" s="141">
        <v>0.26296243319157353</v>
      </c>
      <c r="T91" s="141">
        <v>0.26164762102561567</v>
      </c>
      <c r="U91" s="141">
        <v>0.26033938292048758</v>
      </c>
      <c r="V91" s="144">
        <v>0.25903768600588517</v>
      </c>
      <c r="W91" s="2629"/>
      <c r="X91" s="607" t="s">
        <v>498</v>
      </c>
      <c r="Y91" s="143">
        <v>0</v>
      </c>
      <c r="Z91" s="141">
        <v>0</v>
      </c>
      <c r="AA91" s="141">
        <v>0</v>
      </c>
      <c r="AB91" s="141">
        <v>0</v>
      </c>
      <c r="AC91" s="141">
        <v>0</v>
      </c>
      <c r="AD91" s="141">
        <v>0</v>
      </c>
      <c r="AE91" s="141">
        <v>0</v>
      </c>
      <c r="AF91" s="144">
        <v>0</v>
      </c>
      <c r="AG91" s="143">
        <v>0</v>
      </c>
      <c r="AH91" s="141">
        <v>0</v>
      </c>
      <c r="AI91" s="141">
        <v>0</v>
      </c>
      <c r="AJ91" s="141">
        <v>0</v>
      </c>
      <c r="AK91" s="144">
        <v>0</v>
      </c>
      <c r="AL91" s="2629"/>
      <c r="AM91" s="607" t="s">
        <v>1876</v>
      </c>
      <c r="AN91" s="165">
        <v>0</v>
      </c>
      <c r="AO91" s="166">
        <v>0</v>
      </c>
      <c r="AP91" s="166">
        <v>0</v>
      </c>
      <c r="AQ91" s="166">
        <v>0</v>
      </c>
      <c r="AR91" s="166">
        <v>0</v>
      </c>
      <c r="AS91" s="166">
        <v>0</v>
      </c>
      <c r="AT91" s="166">
        <v>0</v>
      </c>
      <c r="AU91" s="167">
        <v>0</v>
      </c>
      <c r="AV91" s="165">
        <v>1029.8508334863845</v>
      </c>
      <c r="AW91" s="166">
        <v>1029.8508334863845</v>
      </c>
      <c r="AX91" s="166">
        <v>1029.8508334863845</v>
      </c>
      <c r="AY91" s="166">
        <v>1029.8508334863845</v>
      </c>
      <c r="AZ91" s="167">
        <v>1029.8508334863845</v>
      </c>
      <c r="BA91" s="2629"/>
      <c r="BB91" s="2629"/>
      <c r="BC91" s="2629"/>
      <c r="BD91" s="2629"/>
      <c r="BE91" s="2629"/>
      <c r="BF91" s="542"/>
      <c r="BG91" s="542"/>
      <c r="BH91" s="2629"/>
      <c r="BI91" s="2629"/>
      <c r="BJ91" s="2629"/>
      <c r="BK91" s="2629"/>
      <c r="BL91" s="2629"/>
      <c r="BM91" s="542"/>
      <c r="BN91" s="544"/>
    </row>
    <row r="92" spans="1:66" s="98" customFormat="1" ht="15" customHeight="1">
      <c r="A92" s="99"/>
      <c r="B92" s="161"/>
      <c r="C92" s="116" t="s">
        <v>2427</v>
      </c>
      <c r="D92" s="116"/>
      <c r="E92" s="116"/>
      <c r="F92" s="116"/>
      <c r="G92" s="117"/>
      <c r="H92" s="117"/>
      <c r="I92" s="117"/>
      <c r="J92" s="713"/>
      <c r="K92" s="2649"/>
      <c r="L92" s="2649"/>
      <c r="M92" s="2649"/>
      <c r="N92" s="2649"/>
      <c r="O92" s="2649"/>
      <c r="P92" s="2649"/>
      <c r="Q92" s="715"/>
      <c r="R92" s="713"/>
      <c r="S92" s="2649"/>
      <c r="T92" s="2649"/>
      <c r="U92" s="2649"/>
      <c r="V92" s="715"/>
      <c r="W92" s="2629"/>
      <c r="X92" s="94"/>
      <c r="Y92" s="713"/>
      <c r="Z92" s="2649"/>
      <c r="AA92" s="2649"/>
      <c r="AB92" s="2649"/>
      <c r="AC92" s="2649"/>
      <c r="AD92" s="2649"/>
      <c r="AE92" s="2649"/>
      <c r="AF92" s="715"/>
      <c r="AG92" s="713"/>
      <c r="AH92" s="2649"/>
      <c r="AI92" s="2649"/>
      <c r="AJ92" s="2649"/>
      <c r="AK92" s="715"/>
      <c r="AL92" s="2629"/>
      <c r="AM92" s="94"/>
      <c r="AN92" s="878"/>
      <c r="AO92" s="2662"/>
      <c r="AP92" s="2662"/>
      <c r="AQ92" s="2662"/>
      <c r="AR92" s="2662"/>
      <c r="AS92" s="2662"/>
      <c r="AT92" s="2662"/>
      <c r="AU92" s="880"/>
      <c r="AV92" s="878"/>
      <c r="AW92" s="2662"/>
      <c r="AX92" s="2662"/>
      <c r="AY92" s="2662"/>
      <c r="AZ92" s="880"/>
      <c r="BA92" s="2629"/>
      <c r="BB92" s="359"/>
      <c r="BC92" s="542"/>
      <c r="BD92" s="359"/>
      <c r="BE92" s="542"/>
      <c r="BF92" s="542"/>
      <c r="BG92" s="542"/>
      <c r="BH92" s="2629"/>
      <c r="BI92" s="359"/>
      <c r="BJ92" s="542"/>
      <c r="BK92" s="359"/>
      <c r="BL92" s="542"/>
      <c r="BM92" s="542"/>
      <c r="BN92" s="544"/>
    </row>
    <row r="93" spans="1:66" s="98" customFormat="1" ht="15" customHeight="1">
      <c r="A93" s="99"/>
      <c r="B93" s="161"/>
      <c r="C93" s="162"/>
      <c r="D93" s="230" t="s">
        <v>2787</v>
      </c>
      <c r="E93" s="230"/>
      <c r="F93" s="230"/>
      <c r="G93" s="163"/>
      <c r="H93" s="163"/>
      <c r="I93" s="164" t="s">
        <v>498</v>
      </c>
      <c r="J93" s="143">
        <v>0</v>
      </c>
      <c r="K93" s="141">
        <v>0</v>
      </c>
      <c r="L93" s="141">
        <v>0</v>
      </c>
      <c r="M93" s="141">
        <v>0</v>
      </c>
      <c r="N93" s="141">
        <v>0</v>
      </c>
      <c r="O93" s="141">
        <v>0</v>
      </c>
      <c r="P93" s="141">
        <v>0</v>
      </c>
      <c r="Q93" s="144">
        <v>0</v>
      </c>
      <c r="R93" s="143">
        <v>8.0254277043617581E-2</v>
      </c>
      <c r="S93" s="141">
        <v>7.9853005658399492E-2</v>
      </c>
      <c r="T93" s="141">
        <v>7.9453740630107489E-2</v>
      </c>
      <c r="U93" s="141">
        <v>7.9056471926956945E-2</v>
      </c>
      <c r="V93" s="144">
        <v>7.8661189567322154E-2</v>
      </c>
      <c r="W93" s="2629"/>
      <c r="X93" s="607" t="s">
        <v>498</v>
      </c>
      <c r="Y93" s="143">
        <v>0</v>
      </c>
      <c r="Z93" s="141">
        <v>0</v>
      </c>
      <c r="AA93" s="141">
        <v>0</v>
      </c>
      <c r="AB93" s="141">
        <v>0</v>
      </c>
      <c r="AC93" s="141">
        <v>0</v>
      </c>
      <c r="AD93" s="141">
        <v>0</v>
      </c>
      <c r="AE93" s="141">
        <v>0</v>
      </c>
      <c r="AF93" s="144">
        <v>0</v>
      </c>
      <c r="AG93" s="143">
        <v>0</v>
      </c>
      <c r="AH93" s="141">
        <v>0</v>
      </c>
      <c r="AI93" s="141">
        <v>0</v>
      </c>
      <c r="AJ93" s="141">
        <v>0</v>
      </c>
      <c r="AK93" s="144">
        <v>0</v>
      </c>
      <c r="AL93" s="2629"/>
      <c r="AM93" s="607" t="s">
        <v>1876</v>
      </c>
      <c r="AN93" s="165">
        <v>0</v>
      </c>
      <c r="AO93" s="166">
        <v>0</v>
      </c>
      <c r="AP93" s="166">
        <v>0</v>
      </c>
      <c r="AQ93" s="166">
        <v>0</v>
      </c>
      <c r="AR93" s="166">
        <v>0</v>
      </c>
      <c r="AS93" s="166">
        <v>0</v>
      </c>
      <c r="AT93" s="166">
        <v>0</v>
      </c>
      <c r="AU93" s="167">
        <v>0</v>
      </c>
      <c r="AV93" s="165">
        <v>7.5921936445695097</v>
      </c>
      <c r="AW93" s="166">
        <v>7.5921936445695097</v>
      </c>
      <c r="AX93" s="166">
        <v>7.5921936445695097</v>
      </c>
      <c r="AY93" s="166">
        <v>7.5921936445695097</v>
      </c>
      <c r="AZ93" s="167">
        <v>7.5921936445695097</v>
      </c>
      <c r="BA93" s="2629"/>
      <c r="BB93" s="545" t="s">
        <v>2788</v>
      </c>
      <c r="BC93" s="188">
        <v>0</v>
      </c>
      <c r="BD93" s="545" t="s">
        <v>627</v>
      </c>
      <c r="BE93" s="188">
        <v>0</v>
      </c>
      <c r="BF93" s="607" t="s">
        <v>627</v>
      </c>
      <c r="BG93" s="868">
        <v>0</v>
      </c>
      <c r="BH93" s="2629"/>
      <c r="BI93" s="545" t="s">
        <v>2788</v>
      </c>
      <c r="BJ93" s="188">
        <v>0</v>
      </c>
      <c r="BK93" s="545" t="s">
        <v>627</v>
      </c>
      <c r="BL93" s="188">
        <v>0</v>
      </c>
      <c r="BM93" s="607" t="s">
        <v>627</v>
      </c>
      <c r="BN93" s="872">
        <v>0</v>
      </c>
    </row>
    <row r="94" spans="1:66" s="98" customFormat="1" ht="15" customHeight="1">
      <c r="A94" s="99"/>
      <c r="B94" s="161"/>
      <c r="C94" s="162"/>
      <c r="D94" s="162" t="s">
        <v>1555</v>
      </c>
      <c r="E94" s="162"/>
      <c r="F94" s="162"/>
      <c r="G94" s="163"/>
      <c r="H94" s="163"/>
      <c r="I94" s="164" t="s">
        <v>498</v>
      </c>
      <c r="J94" s="143">
        <v>0</v>
      </c>
      <c r="K94" s="141">
        <v>0</v>
      </c>
      <c r="L94" s="141">
        <v>0</v>
      </c>
      <c r="M94" s="141">
        <v>0</v>
      </c>
      <c r="N94" s="141">
        <v>0</v>
      </c>
      <c r="O94" s="141">
        <v>0</v>
      </c>
      <c r="P94" s="141">
        <v>0</v>
      </c>
      <c r="Q94" s="144">
        <v>0</v>
      </c>
      <c r="R94" s="143">
        <v>1.2988898454803508E-3</v>
      </c>
      <c r="S94" s="141">
        <v>1.2923953962529491E-3</v>
      </c>
      <c r="T94" s="141">
        <v>1.2859334192716844E-3</v>
      </c>
      <c r="U94" s="141">
        <v>1.2795037521753259E-3</v>
      </c>
      <c r="V94" s="144">
        <v>1.2731062334144492E-3</v>
      </c>
      <c r="W94" s="2629"/>
      <c r="X94" s="607" t="s">
        <v>498</v>
      </c>
      <c r="Y94" s="143">
        <v>0</v>
      </c>
      <c r="Z94" s="141">
        <v>0</v>
      </c>
      <c r="AA94" s="141">
        <v>0</v>
      </c>
      <c r="AB94" s="141">
        <v>0</v>
      </c>
      <c r="AC94" s="141">
        <v>0</v>
      </c>
      <c r="AD94" s="141">
        <v>0</v>
      </c>
      <c r="AE94" s="141">
        <v>0</v>
      </c>
      <c r="AF94" s="144">
        <v>0</v>
      </c>
      <c r="AG94" s="143">
        <v>0</v>
      </c>
      <c r="AH94" s="141">
        <v>0</v>
      </c>
      <c r="AI94" s="141">
        <v>0</v>
      </c>
      <c r="AJ94" s="141">
        <v>0</v>
      </c>
      <c r="AK94" s="144">
        <v>0</v>
      </c>
      <c r="AL94" s="2629"/>
      <c r="AM94" s="607" t="s">
        <v>1876</v>
      </c>
      <c r="AN94" s="165">
        <v>0</v>
      </c>
      <c r="AO94" s="166">
        <v>0</v>
      </c>
      <c r="AP94" s="166">
        <v>0</v>
      </c>
      <c r="AQ94" s="166">
        <v>0</v>
      </c>
      <c r="AR94" s="166">
        <v>0</v>
      </c>
      <c r="AS94" s="166">
        <v>0</v>
      </c>
      <c r="AT94" s="166">
        <v>0</v>
      </c>
      <c r="AU94" s="167">
        <v>0</v>
      </c>
      <c r="AV94" s="165">
        <v>5.0614624297130062</v>
      </c>
      <c r="AW94" s="166">
        <v>5.0614624297130062</v>
      </c>
      <c r="AX94" s="166">
        <v>5.0614624297130062</v>
      </c>
      <c r="AY94" s="166">
        <v>5.0614624297130062</v>
      </c>
      <c r="AZ94" s="167">
        <v>5.0614624297130062</v>
      </c>
      <c r="BA94" s="2629"/>
      <c r="BB94" s="2629"/>
      <c r="BC94" s="2629"/>
      <c r="BD94" s="2629"/>
      <c r="BE94" s="2629"/>
      <c r="BF94" s="542"/>
      <c r="BG94" s="542"/>
      <c r="BH94" s="2629"/>
      <c r="BI94" s="2629"/>
      <c r="BJ94" s="2629"/>
      <c r="BK94" s="2629"/>
      <c r="BL94" s="2629"/>
      <c r="BM94" s="542"/>
      <c r="BN94" s="544"/>
    </row>
    <row r="95" spans="1:66" s="98" customFormat="1" ht="15" customHeight="1">
      <c r="A95" s="99"/>
      <c r="B95" s="161"/>
      <c r="C95" s="116"/>
      <c r="D95" s="116"/>
      <c r="E95" s="116"/>
      <c r="F95" s="116"/>
      <c r="G95" s="117"/>
      <c r="H95" s="117"/>
      <c r="I95" s="117"/>
      <c r="J95" s="713"/>
      <c r="K95" s="2649"/>
      <c r="L95" s="2649"/>
      <c r="M95" s="2649"/>
      <c r="N95" s="2649"/>
      <c r="O95" s="2649"/>
      <c r="P95" s="2649"/>
      <c r="Q95" s="715"/>
      <c r="R95" s="713"/>
      <c r="S95" s="2649"/>
      <c r="T95" s="2649"/>
      <c r="U95" s="2649"/>
      <c r="V95" s="715"/>
      <c r="W95" s="2629"/>
      <c r="X95" s="94"/>
      <c r="Y95" s="713"/>
      <c r="Z95" s="2649"/>
      <c r="AA95" s="2649"/>
      <c r="AB95" s="2649"/>
      <c r="AC95" s="2649"/>
      <c r="AD95" s="2649"/>
      <c r="AE95" s="2649"/>
      <c r="AF95" s="715"/>
      <c r="AG95" s="713"/>
      <c r="AH95" s="2649"/>
      <c r="AI95" s="2649"/>
      <c r="AJ95" s="2649"/>
      <c r="AK95" s="715"/>
      <c r="AL95" s="2629"/>
      <c r="AM95" s="94"/>
      <c r="AN95" s="878"/>
      <c r="AO95" s="2662"/>
      <c r="AP95" s="2662"/>
      <c r="AQ95" s="2662"/>
      <c r="AR95" s="2662"/>
      <c r="AS95" s="2662"/>
      <c r="AT95" s="2662"/>
      <c r="AU95" s="880"/>
      <c r="AV95" s="878"/>
      <c r="AW95" s="2662"/>
      <c r="AX95" s="2662"/>
      <c r="AY95" s="2662"/>
      <c r="AZ95" s="880"/>
      <c r="BA95" s="2629"/>
      <c r="BB95" s="359"/>
      <c r="BC95" s="542"/>
      <c r="BD95" s="542"/>
      <c r="BE95" s="542"/>
      <c r="BF95" s="542"/>
      <c r="BG95" s="542"/>
      <c r="BH95" s="2629"/>
      <c r="BI95" s="359"/>
      <c r="BJ95" s="542"/>
      <c r="BK95" s="542"/>
      <c r="BL95" s="542"/>
      <c r="BM95" s="542"/>
      <c r="BN95" s="544"/>
    </row>
    <row r="96" spans="1:66" s="98" customFormat="1" ht="15" customHeight="1" thickBot="1">
      <c r="A96" s="99"/>
      <c r="B96" s="131" t="s">
        <v>1701</v>
      </c>
      <c r="C96" s="132"/>
      <c r="D96" s="132"/>
      <c r="E96" s="132"/>
      <c r="F96" s="132"/>
      <c r="G96" s="145"/>
      <c r="H96" s="133"/>
      <c r="I96" s="146" t="s">
        <v>498</v>
      </c>
      <c r="J96" s="717">
        <f>SUM(J90:J91,J93:J94)</f>
        <v>0</v>
      </c>
      <c r="K96" s="718">
        <f t="shared" ref="K96:V96" si="28">SUM(K90:K91,K93:K94)</f>
        <v>0</v>
      </c>
      <c r="L96" s="718">
        <f t="shared" si="28"/>
        <v>0</v>
      </c>
      <c r="M96" s="718">
        <f t="shared" si="28"/>
        <v>0</v>
      </c>
      <c r="N96" s="718">
        <f t="shared" si="28"/>
        <v>0</v>
      </c>
      <c r="O96" s="718">
        <f t="shared" si="28"/>
        <v>0</v>
      </c>
      <c r="P96" s="718">
        <f t="shared" si="28"/>
        <v>0</v>
      </c>
      <c r="Q96" s="719">
        <f t="shared" si="28"/>
        <v>0</v>
      </c>
      <c r="R96" s="717">
        <f t="shared" si="28"/>
        <v>0.82682258409166898</v>
      </c>
      <c r="S96" s="718">
        <f t="shared" si="28"/>
        <v>0.8226884711712108</v>
      </c>
      <c r="T96" s="718">
        <f t="shared" si="28"/>
        <v>0.8185750288153546</v>
      </c>
      <c r="U96" s="718">
        <f t="shared" si="28"/>
        <v>0.81448215367127796</v>
      </c>
      <c r="V96" s="719">
        <f t="shared" si="28"/>
        <v>0.81040974290292156</v>
      </c>
      <c r="W96" s="2630"/>
      <c r="X96" s="146" t="s">
        <v>498</v>
      </c>
      <c r="Y96" s="717">
        <f>SUM(Y90:Y91,Y93:Y94)</f>
        <v>0</v>
      </c>
      <c r="Z96" s="718">
        <f t="shared" ref="Z96:AK96" si="29">SUM(Z90:Z91,Z93:Z94)</f>
        <v>0</v>
      </c>
      <c r="AA96" s="718">
        <f t="shared" si="29"/>
        <v>0</v>
      </c>
      <c r="AB96" s="718">
        <f t="shared" si="29"/>
        <v>0</v>
      </c>
      <c r="AC96" s="718">
        <f t="shared" si="29"/>
        <v>0</v>
      </c>
      <c r="AD96" s="718">
        <f t="shared" si="29"/>
        <v>0</v>
      </c>
      <c r="AE96" s="718">
        <f t="shared" si="29"/>
        <v>0</v>
      </c>
      <c r="AF96" s="719">
        <f t="shared" si="29"/>
        <v>0</v>
      </c>
      <c r="AG96" s="717">
        <f t="shared" si="29"/>
        <v>0</v>
      </c>
      <c r="AH96" s="718">
        <f t="shared" si="29"/>
        <v>0</v>
      </c>
      <c r="AI96" s="718">
        <f t="shared" si="29"/>
        <v>0</v>
      </c>
      <c r="AJ96" s="718">
        <f t="shared" si="29"/>
        <v>0</v>
      </c>
      <c r="AK96" s="719">
        <f t="shared" si="29"/>
        <v>0</v>
      </c>
      <c r="AL96" s="2630"/>
      <c r="AM96" s="1083" t="s">
        <v>1876</v>
      </c>
      <c r="AN96" s="873">
        <f>SUM(AN90:AN91,AN93:AN94)</f>
        <v>0</v>
      </c>
      <c r="AO96" s="781">
        <f t="shared" ref="AO96:AZ96" si="30">SUM(AO90:AO91,AO93:AO94)</f>
        <v>0</v>
      </c>
      <c r="AP96" s="781">
        <f t="shared" si="30"/>
        <v>0</v>
      </c>
      <c r="AQ96" s="781">
        <f t="shared" si="30"/>
        <v>0</v>
      </c>
      <c r="AR96" s="781">
        <f t="shared" si="30"/>
        <v>0</v>
      </c>
      <c r="AS96" s="781">
        <f t="shared" si="30"/>
        <v>0</v>
      </c>
      <c r="AT96" s="781">
        <f t="shared" si="30"/>
        <v>0</v>
      </c>
      <c r="AU96" s="874">
        <f t="shared" si="30"/>
        <v>0</v>
      </c>
      <c r="AV96" s="873">
        <f t="shared" si="30"/>
        <v>2587.2807397902438</v>
      </c>
      <c r="AW96" s="781">
        <f t="shared" si="30"/>
        <v>2587.2807397902438</v>
      </c>
      <c r="AX96" s="781">
        <f t="shared" si="30"/>
        <v>2587.2807397902438</v>
      </c>
      <c r="AY96" s="781">
        <f t="shared" si="30"/>
        <v>2587.2807397902438</v>
      </c>
      <c r="AZ96" s="874">
        <f t="shared" si="30"/>
        <v>2587.2807397902438</v>
      </c>
      <c r="BA96" s="2630"/>
      <c r="BB96" s="2630"/>
      <c r="BC96" s="2630"/>
      <c r="BD96" s="2630"/>
      <c r="BE96" s="2630"/>
      <c r="BF96" s="2630"/>
      <c r="BG96" s="2630"/>
      <c r="BH96" s="2630"/>
      <c r="BI96" s="2630"/>
      <c r="BJ96" s="2630"/>
      <c r="BK96" s="2630"/>
      <c r="BL96" s="2630"/>
      <c r="BM96" s="2630"/>
      <c r="BN96" s="2651"/>
    </row>
    <row r="97" spans="1:66" ht="13.5" thickBot="1">
      <c r="I97" s="173"/>
      <c r="J97" s="175"/>
    </row>
    <row r="98" spans="1:66" s="100" customFormat="1" ht="30" customHeight="1" thickBot="1">
      <c r="A98" s="89"/>
      <c r="B98" s="621" t="s">
        <v>2790</v>
      </c>
      <c r="C98" s="101"/>
      <c r="D98" s="102"/>
      <c r="E98" s="102"/>
      <c r="F98" s="102"/>
      <c r="G98" s="103"/>
      <c r="H98" s="103"/>
      <c r="I98" s="105" t="s">
        <v>1864</v>
      </c>
      <c r="J98" s="106"/>
      <c r="K98" s="106"/>
      <c r="L98" s="106"/>
      <c r="M98" s="106"/>
      <c r="N98" s="106"/>
      <c r="O98" s="106"/>
      <c r="P98" s="106"/>
      <c r="Q98" s="106"/>
      <c r="R98" s="105"/>
      <c r="S98" s="105"/>
      <c r="T98" s="105"/>
      <c r="U98" s="105"/>
      <c r="V98" s="105"/>
      <c r="W98" s="103"/>
      <c r="X98" s="105" t="s">
        <v>2202</v>
      </c>
      <c r="Y98" s="106"/>
      <c r="Z98" s="106"/>
      <c r="AA98" s="106"/>
      <c r="AB98" s="106"/>
      <c r="AC98" s="106"/>
      <c r="AD98" s="106"/>
      <c r="AE98" s="106"/>
      <c r="AF98" s="106"/>
      <c r="AG98" s="105"/>
      <c r="AH98" s="105"/>
      <c r="AI98" s="105"/>
      <c r="AJ98" s="105"/>
      <c r="AK98" s="105"/>
      <c r="AL98" s="103"/>
      <c r="AM98" s="105" t="s">
        <v>2231</v>
      </c>
      <c r="AN98" s="106"/>
      <c r="AO98" s="106"/>
      <c r="AP98" s="106"/>
      <c r="AQ98" s="106"/>
      <c r="AR98" s="106"/>
      <c r="AS98" s="106"/>
      <c r="AT98" s="106"/>
      <c r="AU98" s="106"/>
      <c r="AV98" s="105"/>
      <c r="AW98" s="105"/>
      <c r="AX98" s="105"/>
      <c r="AY98" s="105"/>
      <c r="AZ98" s="105"/>
      <c r="BA98" s="103"/>
      <c r="BB98" s="105" t="s">
        <v>2690</v>
      </c>
      <c r="BC98" s="105"/>
      <c r="BD98" s="603"/>
      <c r="BE98" s="603"/>
      <c r="BF98" s="603"/>
      <c r="BG98" s="105"/>
      <c r="BH98" s="103"/>
      <c r="BI98" s="105" t="s">
        <v>2691</v>
      </c>
      <c r="BJ98" s="105"/>
      <c r="BK98" s="603"/>
      <c r="BL98" s="603"/>
      <c r="BM98" s="105"/>
      <c r="BN98" s="187"/>
    </row>
    <row r="99" spans="1:66" s="157" customFormat="1" ht="30" customHeight="1">
      <c r="A99" s="99"/>
      <c r="B99" s="109"/>
      <c r="C99" s="110"/>
      <c r="D99" s="110"/>
      <c r="E99" s="110"/>
      <c r="F99" s="110"/>
      <c r="G99" s="111"/>
      <c r="H99" s="111"/>
      <c r="I99" s="117"/>
      <c r="J99" s="695" t="s">
        <v>1666</v>
      </c>
      <c r="K99" s="152"/>
      <c r="L99" s="152"/>
      <c r="M99" s="152"/>
      <c r="N99" s="152"/>
      <c r="O99" s="152"/>
      <c r="P99" s="152"/>
      <c r="Q99" s="153"/>
      <c r="R99" s="696" t="s">
        <v>2</v>
      </c>
      <c r="S99" s="155"/>
      <c r="T99" s="155"/>
      <c r="U99" s="155"/>
      <c r="V99" s="156"/>
      <c r="W99" s="2632"/>
      <c r="X99" s="94"/>
      <c r="Y99" s="695" t="s">
        <v>1666</v>
      </c>
      <c r="Z99" s="152"/>
      <c r="AA99" s="152"/>
      <c r="AB99" s="152"/>
      <c r="AC99" s="152"/>
      <c r="AD99" s="152"/>
      <c r="AE99" s="152"/>
      <c r="AF99" s="153"/>
      <c r="AG99" s="696" t="s">
        <v>2</v>
      </c>
      <c r="AH99" s="155"/>
      <c r="AI99" s="155"/>
      <c r="AJ99" s="155"/>
      <c r="AK99" s="156"/>
      <c r="AL99" s="2632"/>
      <c r="AM99" s="94"/>
      <c r="AN99" s="695" t="s">
        <v>1666</v>
      </c>
      <c r="AO99" s="152"/>
      <c r="AP99" s="152"/>
      <c r="AQ99" s="152"/>
      <c r="AR99" s="152"/>
      <c r="AS99" s="152"/>
      <c r="AT99" s="152"/>
      <c r="AU99" s="153"/>
      <c r="AV99" s="696" t="s">
        <v>2</v>
      </c>
      <c r="AW99" s="155"/>
      <c r="AX99" s="155"/>
      <c r="AY99" s="155"/>
      <c r="AZ99" s="156"/>
      <c r="BA99" s="2632"/>
      <c r="BB99" s="2633" t="s">
        <v>2785</v>
      </c>
      <c r="BC99" s="2633"/>
      <c r="BD99" s="2633" t="s">
        <v>2786</v>
      </c>
      <c r="BE99" s="2633"/>
      <c r="BF99" s="2633" t="s">
        <v>2693</v>
      </c>
      <c r="BG99" s="2639"/>
      <c r="BH99" s="2632"/>
      <c r="BI99" s="2633" t="s">
        <v>2785</v>
      </c>
      <c r="BJ99" s="2633"/>
      <c r="BK99" s="2633" t="s">
        <v>2786</v>
      </c>
      <c r="BL99" s="2633"/>
      <c r="BM99" s="2633" t="s">
        <v>2693</v>
      </c>
      <c r="BN99" s="2634"/>
    </row>
    <row r="100" spans="1:66" s="98" customFormat="1" ht="15" customHeight="1">
      <c r="A100" s="99"/>
      <c r="B100" s="115"/>
      <c r="C100" s="116"/>
      <c r="D100" s="116"/>
      <c r="E100" s="116"/>
      <c r="F100" s="116"/>
      <c r="G100" s="117"/>
      <c r="H100" s="117"/>
      <c r="I100" s="119" t="s">
        <v>1667</v>
      </c>
      <c r="J100" s="158" t="s">
        <v>453</v>
      </c>
      <c r="K100" s="137" t="s">
        <v>455</v>
      </c>
      <c r="L100" s="137" t="s">
        <v>457</v>
      </c>
      <c r="M100" s="137" t="s">
        <v>459</v>
      </c>
      <c r="N100" s="137" t="s">
        <v>461</v>
      </c>
      <c r="O100" s="137" t="s">
        <v>463</v>
      </c>
      <c r="P100" s="137" t="s">
        <v>465</v>
      </c>
      <c r="Q100" s="138" t="s">
        <v>467</v>
      </c>
      <c r="R100" s="120" t="s">
        <v>469</v>
      </c>
      <c r="S100" s="121" t="s">
        <v>471</v>
      </c>
      <c r="T100" s="121" t="s">
        <v>473</v>
      </c>
      <c r="U100" s="121" t="s">
        <v>475</v>
      </c>
      <c r="V100" s="122" t="s">
        <v>477</v>
      </c>
      <c r="W100" s="2629"/>
      <c r="X100" s="119" t="s">
        <v>1667</v>
      </c>
      <c r="Y100" s="158" t="s">
        <v>453</v>
      </c>
      <c r="Z100" s="137" t="s">
        <v>455</v>
      </c>
      <c r="AA100" s="137" t="s">
        <v>457</v>
      </c>
      <c r="AB100" s="137" t="s">
        <v>459</v>
      </c>
      <c r="AC100" s="137" t="s">
        <v>461</v>
      </c>
      <c r="AD100" s="137" t="s">
        <v>463</v>
      </c>
      <c r="AE100" s="137" t="s">
        <v>465</v>
      </c>
      <c r="AF100" s="138" t="s">
        <v>467</v>
      </c>
      <c r="AG100" s="120" t="s">
        <v>469</v>
      </c>
      <c r="AH100" s="121" t="s">
        <v>471</v>
      </c>
      <c r="AI100" s="121" t="s">
        <v>473</v>
      </c>
      <c r="AJ100" s="121" t="s">
        <v>475</v>
      </c>
      <c r="AK100" s="122" t="s">
        <v>477</v>
      </c>
      <c r="AL100" s="2629"/>
      <c r="AM100" s="119" t="s">
        <v>1667</v>
      </c>
      <c r="AN100" s="158" t="s">
        <v>453</v>
      </c>
      <c r="AO100" s="137" t="s">
        <v>455</v>
      </c>
      <c r="AP100" s="137" t="s">
        <v>457</v>
      </c>
      <c r="AQ100" s="137" t="s">
        <v>459</v>
      </c>
      <c r="AR100" s="137" t="s">
        <v>461</v>
      </c>
      <c r="AS100" s="137" t="s">
        <v>463</v>
      </c>
      <c r="AT100" s="137" t="s">
        <v>465</v>
      </c>
      <c r="AU100" s="138" t="s">
        <v>467</v>
      </c>
      <c r="AV100" s="120" t="s">
        <v>469</v>
      </c>
      <c r="AW100" s="121" t="s">
        <v>471</v>
      </c>
      <c r="AX100" s="121" t="s">
        <v>473</v>
      </c>
      <c r="AY100" s="121" t="s">
        <v>475</v>
      </c>
      <c r="AZ100" s="122" t="s">
        <v>477</v>
      </c>
      <c r="BA100" s="2629"/>
      <c r="BB100" s="2635" t="s">
        <v>1667</v>
      </c>
      <c r="BC100" s="2635" t="s">
        <v>2142</v>
      </c>
      <c r="BD100" s="2635" t="s">
        <v>1667</v>
      </c>
      <c r="BE100" s="2635" t="s">
        <v>2142</v>
      </c>
      <c r="BF100" s="2642" t="s">
        <v>1667</v>
      </c>
      <c r="BG100" s="2635" t="s">
        <v>2142</v>
      </c>
      <c r="BH100" s="2629"/>
      <c r="BI100" s="2635" t="s">
        <v>1667</v>
      </c>
      <c r="BJ100" s="2635" t="s">
        <v>2142</v>
      </c>
      <c r="BK100" s="2635" t="s">
        <v>1667</v>
      </c>
      <c r="BL100" s="2635" t="s">
        <v>2142</v>
      </c>
      <c r="BM100" s="2635" t="s">
        <v>1667</v>
      </c>
      <c r="BN100" s="2636" t="s">
        <v>2142</v>
      </c>
    </row>
    <row r="101" spans="1:66" s="98" customFormat="1" ht="15" customHeight="1">
      <c r="A101" s="99"/>
      <c r="B101" s="161"/>
      <c r="C101" s="116" t="s">
        <v>2521</v>
      </c>
      <c r="D101" s="116"/>
      <c r="E101" s="116"/>
      <c r="F101" s="116"/>
      <c r="G101" s="117"/>
      <c r="H101" s="117"/>
      <c r="I101" s="117"/>
      <c r="J101" s="159"/>
      <c r="K101" s="94"/>
      <c r="L101" s="94"/>
      <c r="M101" s="94"/>
      <c r="N101" s="94"/>
      <c r="O101" s="94"/>
      <c r="P101" s="94"/>
      <c r="Q101" s="160"/>
      <c r="R101" s="159"/>
      <c r="S101" s="94"/>
      <c r="T101" s="94"/>
      <c r="U101" s="94"/>
      <c r="V101" s="160"/>
      <c r="W101" s="2629"/>
      <c r="X101" s="94"/>
      <c r="Y101" s="159"/>
      <c r="Z101" s="94"/>
      <c r="AA101" s="94"/>
      <c r="AB101" s="94"/>
      <c r="AC101" s="94"/>
      <c r="AD101" s="94"/>
      <c r="AE101" s="94"/>
      <c r="AF101" s="160"/>
      <c r="AG101" s="159"/>
      <c r="AH101" s="94"/>
      <c r="AI101" s="94"/>
      <c r="AJ101" s="94"/>
      <c r="AK101" s="160"/>
      <c r="AL101" s="2629"/>
      <c r="AM101" s="94"/>
      <c r="AN101" s="159"/>
      <c r="AO101" s="94"/>
      <c r="AP101" s="94"/>
      <c r="AQ101" s="94"/>
      <c r="AR101" s="94"/>
      <c r="AS101" s="94"/>
      <c r="AT101" s="94"/>
      <c r="AU101" s="160"/>
      <c r="AV101" s="159"/>
      <c r="AW101" s="94"/>
      <c r="AX101" s="94"/>
      <c r="AY101" s="94"/>
      <c r="AZ101" s="160"/>
      <c r="BA101" s="2629"/>
      <c r="BB101" s="359"/>
      <c r="BC101" s="542"/>
      <c r="BD101" s="542"/>
      <c r="BE101" s="542"/>
      <c r="BF101" s="542"/>
      <c r="BG101" s="542"/>
      <c r="BH101" s="2629"/>
      <c r="BI101" s="359"/>
      <c r="BJ101" s="542"/>
      <c r="BK101" s="542"/>
      <c r="BL101" s="542"/>
      <c r="BM101" s="542"/>
      <c r="BN101" s="544"/>
    </row>
    <row r="102" spans="1:66" s="98" customFormat="1" ht="15" customHeight="1">
      <c r="A102" s="99"/>
      <c r="B102" s="161"/>
      <c r="C102" s="162"/>
      <c r="D102" s="230" t="s">
        <v>2787</v>
      </c>
      <c r="E102" s="230"/>
      <c r="F102" s="230"/>
      <c r="G102" s="163"/>
      <c r="H102" s="163"/>
      <c r="I102" s="164" t="s">
        <v>498</v>
      </c>
      <c r="J102" s="143">
        <v>0</v>
      </c>
      <c r="K102" s="141">
        <v>0</v>
      </c>
      <c r="L102" s="141">
        <v>0</v>
      </c>
      <c r="M102" s="141">
        <v>0</v>
      </c>
      <c r="N102" s="141">
        <v>0</v>
      </c>
      <c r="O102" s="141">
        <v>0</v>
      </c>
      <c r="P102" s="141">
        <v>0</v>
      </c>
      <c r="Q102" s="144">
        <v>0</v>
      </c>
      <c r="R102" s="143">
        <v>0.3875484797235712</v>
      </c>
      <c r="S102" s="141">
        <v>0.38561073732495332</v>
      </c>
      <c r="T102" s="141">
        <v>0.38368268363832858</v>
      </c>
      <c r="U102" s="141">
        <v>0.38176427022013693</v>
      </c>
      <c r="V102" s="144">
        <v>0.37985544886903622</v>
      </c>
      <c r="W102" s="2629"/>
      <c r="X102" s="607" t="s">
        <v>498</v>
      </c>
      <c r="Y102" s="143">
        <v>0</v>
      </c>
      <c r="Z102" s="141">
        <v>0</v>
      </c>
      <c r="AA102" s="141">
        <v>0</v>
      </c>
      <c r="AB102" s="141">
        <v>0</v>
      </c>
      <c r="AC102" s="141">
        <v>0</v>
      </c>
      <c r="AD102" s="141">
        <v>0</v>
      </c>
      <c r="AE102" s="141">
        <v>0</v>
      </c>
      <c r="AF102" s="144">
        <v>0</v>
      </c>
      <c r="AG102" s="143">
        <v>0</v>
      </c>
      <c r="AH102" s="141">
        <v>0</v>
      </c>
      <c r="AI102" s="141">
        <v>0</v>
      </c>
      <c r="AJ102" s="141">
        <v>0</v>
      </c>
      <c r="AK102" s="144">
        <v>0</v>
      </c>
      <c r="AL102" s="2629"/>
      <c r="AM102" s="607" t="s">
        <v>1876</v>
      </c>
      <c r="AN102" s="165">
        <v>0</v>
      </c>
      <c r="AO102" s="166">
        <v>0</v>
      </c>
      <c r="AP102" s="166">
        <v>0</v>
      </c>
      <c r="AQ102" s="166">
        <v>0</v>
      </c>
      <c r="AR102" s="166">
        <v>0</v>
      </c>
      <c r="AS102" s="166">
        <v>0</v>
      </c>
      <c r="AT102" s="166">
        <v>0</v>
      </c>
      <c r="AU102" s="167">
        <v>0</v>
      </c>
      <c r="AV102" s="165">
        <v>1236.2457532230776</v>
      </c>
      <c r="AW102" s="166">
        <v>1236.2457532230776</v>
      </c>
      <c r="AX102" s="166">
        <v>1236.2457532230776</v>
      </c>
      <c r="AY102" s="166">
        <v>1236.2457532230776</v>
      </c>
      <c r="AZ102" s="167">
        <v>1236.2457532230776</v>
      </c>
      <c r="BA102" s="2629"/>
      <c r="BB102" s="545" t="s">
        <v>2788</v>
      </c>
      <c r="BC102" s="188">
        <v>0</v>
      </c>
      <c r="BD102" s="545" t="s">
        <v>627</v>
      </c>
      <c r="BE102" s="188">
        <v>0</v>
      </c>
      <c r="BF102" s="607" t="s">
        <v>627</v>
      </c>
      <c r="BG102" s="868">
        <v>0</v>
      </c>
      <c r="BH102" s="2629"/>
      <c r="BI102" s="545" t="s">
        <v>2788</v>
      </c>
      <c r="BJ102" s="188">
        <v>0</v>
      </c>
      <c r="BK102" s="545" t="s">
        <v>627</v>
      </c>
      <c r="BL102" s="188">
        <v>0</v>
      </c>
      <c r="BM102" s="607" t="s">
        <v>627</v>
      </c>
      <c r="BN102" s="872">
        <v>0</v>
      </c>
    </row>
    <row r="103" spans="1:66" s="98" customFormat="1" ht="15" customHeight="1">
      <c r="A103" s="99"/>
      <c r="B103" s="161"/>
      <c r="C103" s="162"/>
      <c r="D103" s="162" t="s">
        <v>1555</v>
      </c>
      <c r="E103" s="162"/>
      <c r="F103" s="162"/>
      <c r="G103" s="163"/>
      <c r="H103" s="163"/>
      <c r="I103" s="164" t="s">
        <v>498</v>
      </c>
      <c r="J103" s="143">
        <v>0</v>
      </c>
      <c r="K103" s="141">
        <v>0</v>
      </c>
      <c r="L103" s="141">
        <v>0</v>
      </c>
      <c r="M103" s="141">
        <v>0</v>
      </c>
      <c r="N103" s="141">
        <v>0</v>
      </c>
      <c r="O103" s="141">
        <v>0</v>
      </c>
      <c r="P103" s="141">
        <v>0</v>
      </c>
      <c r="Q103" s="144">
        <v>0</v>
      </c>
      <c r="R103" s="143">
        <v>0.21230809885354907</v>
      </c>
      <c r="S103" s="141">
        <v>0.21124655835928133</v>
      </c>
      <c r="T103" s="141">
        <v>0.21019032556748493</v>
      </c>
      <c r="U103" s="141">
        <v>0.20913937393964752</v>
      </c>
      <c r="V103" s="144">
        <v>0.20809367706994927</v>
      </c>
      <c r="W103" s="2629"/>
      <c r="X103" s="607" t="s">
        <v>498</v>
      </c>
      <c r="Y103" s="143">
        <v>0</v>
      </c>
      <c r="Z103" s="141">
        <v>0</v>
      </c>
      <c r="AA103" s="141">
        <v>0</v>
      </c>
      <c r="AB103" s="141">
        <v>0</v>
      </c>
      <c r="AC103" s="141">
        <v>0</v>
      </c>
      <c r="AD103" s="141">
        <v>0</v>
      </c>
      <c r="AE103" s="141">
        <v>0</v>
      </c>
      <c r="AF103" s="144">
        <v>0</v>
      </c>
      <c r="AG103" s="143">
        <v>0</v>
      </c>
      <c r="AH103" s="141">
        <v>0</v>
      </c>
      <c r="AI103" s="141">
        <v>0</v>
      </c>
      <c r="AJ103" s="141">
        <v>0</v>
      </c>
      <c r="AK103" s="144">
        <v>0</v>
      </c>
      <c r="AL103" s="2629"/>
      <c r="AM103" s="607" t="s">
        <v>1876</v>
      </c>
      <c r="AN103" s="165">
        <v>0</v>
      </c>
      <c r="AO103" s="166">
        <v>0</v>
      </c>
      <c r="AP103" s="166">
        <v>0</v>
      </c>
      <c r="AQ103" s="166">
        <v>0</v>
      </c>
      <c r="AR103" s="166">
        <v>0</v>
      </c>
      <c r="AS103" s="166">
        <v>0</v>
      </c>
      <c r="AT103" s="166">
        <v>0</v>
      </c>
      <c r="AU103" s="167">
        <v>0</v>
      </c>
      <c r="AV103" s="165">
        <v>824.1638354820517</v>
      </c>
      <c r="AW103" s="166">
        <v>824.1638354820517</v>
      </c>
      <c r="AX103" s="166">
        <v>824.1638354820517</v>
      </c>
      <c r="AY103" s="166">
        <v>824.1638354820517</v>
      </c>
      <c r="AZ103" s="167">
        <v>824.1638354820517</v>
      </c>
      <c r="BA103" s="2629"/>
      <c r="BB103" s="2629"/>
      <c r="BC103" s="2629"/>
      <c r="BD103" s="2629"/>
      <c r="BE103" s="2629"/>
      <c r="BF103" s="542"/>
      <c r="BG103" s="542"/>
      <c r="BH103" s="2629"/>
      <c r="BI103" s="2629"/>
      <c r="BJ103" s="2629"/>
      <c r="BK103" s="2629"/>
      <c r="BL103" s="2629"/>
      <c r="BM103" s="542"/>
      <c r="BN103" s="544"/>
    </row>
    <row r="104" spans="1:66" s="98" customFormat="1" ht="15" customHeight="1">
      <c r="A104" s="99"/>
      <c r="B104" s="161"/>
      <c r="C104" s="116" t="s">
        <v>2427</v>
      </c>
      <c r="D104" s="116"/>
      <c r="E104" s="116"/>
      <c r="F104" s="116"/>
      <c r="G104" s="117"/>
      <c r="H104" s="117"/>
      <c r="I104" s="117"/>
      <c r="J104" s="713"/>
      <c r="K104" s="2649"/>
      <c r="L104" s="2649"/>
      <c r="M104" s="2649"/>
      <c r="N104" s="2649"/>
      <c r="O104" s="2649"/>
      <c r="P104" s="2649"/>
      <c r="Q104" s="715"/>
      <c r="R104" s="713"/>
      <c r="S104" s="2649"/>
      <c r="T104" s="2649"/>
      <c r="U104" s="2649"/>
      <c r="V104" s="715"/>
      <c r="W104" s="2629"/>
      <c r="X104" s="94"/>
      <c r="Y104" s="713"/>
      <c r="Z104" s="2649"/>
      <c r="AA104" s="2649"/>
      <c r="AB104" s="2649"/>
      <c r="AC104" s="2649"/>
      <c r="AD104" s="2649"/>
      <c r="AE104" s="2649"/>
      <c r="AF104" s="715"/>
      <c r="AG104" s="713"/>
      <c r="AH104" s="2649"/>
      <c r="AI104" s="2649"/>
      <c r="AJ104" s="2649"/>
      <c r="AK104" s="715"/>
      <c r="AL104" s="2629"/>
      <c r="AM104" s="94"/>
      <c r="AN104" s="878"/>
      <c r="AO104" s="2662"/>
      <c r="AP104" s="2662"/>
      <c r="AQ104" s="2662"/>
      <c r="AR104" s="2662"/>
      <c r="AS104" s="2662"/>
      <c r="AT104" s="2662"/>
      <c r="AU104" s="880"/>
      <c r="AV104" s="878"/>
      <c r="AW104" s="2662"/>
      <c r="AX104" s="2662"/>
      <c r="AY104" s="2662"/>
      <c r="AZ104" s="880"/>
      <c r="BA104" s="2629"/>
      <c r="BB104" s="359"/>
      <c r="BC104" s="542"/>
      <c r="BD104" s="359"/>
      <c r="BE104" s="542"/>
      <c r="BF104" s="542"/>
      <c r="BG104" s="542"/>
      <c r="BH104" s="2629"/>
      <c r="BI104" s="359"/>
      <c r="BJ104" s="542"/>
      <c r="BK104" s="359"/>
      <c r="BL104" s="542"/>
      <c r="BM104" s="542"/>
      <c r="BN104" s="544"/>
    </row>
    <row r="105" spans="1:66" s="98" customFormat="1" ht="15" customHeight="1">
      <c r="A105" s="99"/>
      <c r="B105" s="161"/>
      <c r="C105" s="162"/>
      <c r="D105" s="230" t="s">
        <v>2787</v>
      </c>
      <c r="E105" s="230"/>
      <c r="F105" s="230"/>
      <c r="G105" s="163"/>
      <c r="H105" s="163"/>
      <c r="I105" s="164" t="s">
        <v>498</v>
      </c>
      <c r="J105" s="143">
        <v>0</v>
      </c>
      <c r="K105" s="141">
        <v>0</v>
      </c>
      <c r="L105" s="141">
        <v>0</v>
      </c>
      <c r="M105" s="141">
        <v>0</v>
      </c>
      <c r="N105" s="141">
        <v>0</v>
      </c>
      <c r="O105" s="141">
        <v>0</v>
      </c>
      <c r="P105" s="141">
        <v>0</v>
      </c>
      <c r="Q105" s="144">
        <v>0</v>
      </c>
      <c r="R105" s="143">
        <v>6.4663942827091925E-2</v>
      </c>
      <c r="S105" s="141">
        <v>6.4340623112956463E-2</v>
      </c>
      <c r="T105" s="141">
        <v>6.4018919997391677E-2</v>
      </c>
      <c r="U105" s="141">
        <v>6.3698825397404721E-2</v>
      </c>
      <c r="V105" s="144">
        <v>6.33803312704177E-2</v>
      </c>
      <c r="W105" s="2629"/>
      <c r="X105" s="607" t="s">
        <v>498</v>
      </c>
      <c r="Y105" s="143">
        <v>0</v>
      </c>
      <c r="Z105" s="141">
        <v>0</v>
      </c>
      <c r="AA105" s="141">
        <v>0</v>
      </c>
      <c r="AB105" s="141">
        <v>0</v>
      </c>
      <c r="AC105" s="141">
        <v>0</v>
      </c>
      <c r="AD105" s="141">
        <v>0</v>
      </c>
      <c r="AE105" s="141">
        <v>0</v>
      </c>
      <c r="AF105" s="144">
        <v>0</v>
      </c>
      <c r="AG105" s="143">
        <v>0</v>
      </c>
      <c r="AH105" s="141">
        <v>0</v>
      </c>
      <c r="AI105" s="141">
        <v>0</v>
      </c>
      <c r="AJ105" s="141">
        <v>0</v>
      </c>
      <c r="AK105" s="144">
        <v>0</v>
      </c>
      <c r="AL105" s="2629"/>
      <c r="AM105" s="607" t="s">
        <v>1876</v>
      </c>
      <c r="AN105" s="165">
        <v>0</v>
      </c>
      <c r="AO105" s="166">
        <v>0</v>
      </c>
      <c r="AP105" s="166">
        <v>0</v>
      </c>
      <c r="AQ105" s="166">
        <v>0</v>
      </c>
      <c r="AR105" s="166">
        <v>0</v>
      </c>
      <c r="AS105" s="166">
        <v>0</v>
      </c>
      <c r="AT105" s="166">
        <v>0</v>
      </c>
      <c r="AU105" s="167">
        <v>0</v>
      </c>
      <c r="AV105" s="165">
        <v>6.0758424719123072</v>
      </c>
      <c r="AW105" s="166">
        <v>6.0758424719123072</v>
      </c>
      <c r="AX105" s="166">
        <v>6.0758424719123072</v>
      </c>
      <c r="AY105" s="166">
        <v>6.0758424719123072</v>
      </c>
      <c r="AZ105" s="167">
        <v>6.0758424719123072</v>
      </c>
      <c r="BA105" s="2629"/>
      <c r="BB105" s="545" t="s">
        <v>2788</v>
      </c>
      <c r="BC105" s="188">
        <v>0</v>
      </c>
      <c r="BD105" s="545" t="s">
        <v>627</v>
      </c>
      <c r="BE105" s="188">
        <v>0</v>
      </c>
      <c r="BF105" s="607" t="s">
        <v>627</v>
      </c>
      <c r="BG105" s="868">
        <v>0</v>
      </c>
      <c r="BH105" s="2629"/>
      <c r="BI105" s="545" t="s">
        <v>2788</v>
      </c>
      <c r="BJ105" s="188">
        <v>0</v>
      </c>
      <c r="BK105" s="545" t="s">
        <v>627</v>
      </c>
      <c r="BL105" s="188">
        <v>0</v>
      </c>
      <c r="BM105" s="607" t="s">
        <v>627</v>
      </c>
      <c r="BN105" s="872">
        <v>0</v>
      </c>
    </row>
    <row r="106" spans="1:66" s="98" customFormat="1" ht="15" customHeight="1">
      <c r="A106" s="99"/>
      <c r="B106" s="161"/>
      <c r="C106" s="162"/>
      <c r="D106" s="162" t="s">
        <v>1555</v>
      </c>
      <c r="E106" s="162"/>
      <c r="F106" s="162"/>
      <c r="G106" s="163"/>
      <c r="H106" s="163"/>
      <c r="I106" s="164" t="s">
        <v>498</v>
      </c>
      <c r="J106" s="143">
        <v>0</v>
      </c>
      <c r="K106" s="141">
        <v>0</v>
      </c>
      <c r="L106" s="141">
        <v>0</v>
      </c>
      <c r="M106" s="141">
        <v>0</v>
      </c>
      <c r="N106" s="141">
        <v>0</v>
      </c>
      <c r="O106" s="141">
        <v>0</v>
      </c>
      <c r="P106" s="141">
        <v>0</v>
      </c>
      <c r="Q106" s="144">
        <v>0</v>
      </c>
      <c r="R106" s="143">
        <v>1.0434418567523938E-3</v>
      </c>
      <c r="S106" s="141">
        <v>1.0382246474686318E-3</v>
      </c>
      <c r="T106" s="141">
        <v>1.0330335242312886E-3</v>
      </c>
      <c r="U106" s="141">
        <v>1.0278683566101322E-3</v>
      </c>
      <c r="V106" s="144">
        <v>1.0227290148270816E-3</v>
      </c>
      <c r="W106" s="2629"/>
      <c r="X106" s="607" t="s">
        <v>498</v>
      </c>
      <c r="Y106" s="143">
        <v>0</v>
      </c>
      <c r="Z106" s="141">
        <v>0</v>
      </c>
      <c r="AA106" s="141">
        <v>0</v>
      </c>
      <c r="AB106" s="141">
        <v>0</v>
      </c>
      <c r="AC106" s="141">
        <v>0</v>
      </c>
      <c r="AD106" s="141">
        <v>0</v>
      </c>
      <c r="AE106" s="141">
        <v>0</v>
      </c>
      <c r="AF106" s="144">
        <v>0</v>
      </c>
      <c r="AG106" s="143">
        <v>0</v>
      </c>
      <c r="AH106" s="141">
        <v>0</v>
      </c>
      <c r="AI106" s="141">
        <v>0</v>
      </c>
      <c r="AJ106" s="141">
        <v>0</v>
      </c>
      <c r="AK106" s="144">
        <v>0</v>
      </c>
      <c r="AL106" s="2629"/>
      <c r="AM106" s="607" t="s">
        <v>1876</v>
      </c>
      <c r="AN106" s="165">
        <v>0</v>
      </c>
      <c r="AO106" s="166">
        <v>0</v>
      </c>
      <c r="AP106" s="166">
        <v>0</v>
      </c>
      <c r="AQ106" s="166">
        <v>0</v>
      </c>
      <c r="AR106" s="166">
        <v>0</v>
      </c>
      <c r="AS106" s="166">
        <v>0</v>
      </c>
      <c r="AT106" s="166">
        <v>0</v>
      </c>
      <c r="AU106" s="167">
        <v>0</v>
      </c>
      <c r="AV106" s="165">
        <v>4.0505616479415378</v>
      </c>
      <c r="AW106" s="166">
        <v>4.0505616479415378</v>
      </c>
      <c r="AX106" s="166">
        <v>4.0505616479415378</v>
      </c>
      <c r="AY106" s="166">
        <v>4.0505616479415378</v>
      </c>
      <c r="AZ106" s="167">
        <v>4.0505616479415378</v>
      </c>
      <c r="BA106" s="2629"/>
      <c r="BB106" s="2629"/>
      <c r="BC106" s="2629"/>
      <c r="BD106" s="2629"/>
      <c r="BE106" s="2629"/>
      <c r="BF106" s="542"/>
      <c r="BG106" s="542"/>
      <c r="BH106" s="2629"/>
      <c r="BI106" s="2629"/>
      <c r="BJ106" s="2629"/>
      <c r="BK106" s="2629"/>
      <c r="BL106" s="2629"/>
      <c r="BM106" s="542"/>
      <c r="BN106" s="544"/>
    </row>
    <row r="107" spans="1:66" s="98" customFormat="1" ht="15" customHeight="1">
      <c r="A107" s="99"/>
      <c r="B107" s="161"/>
      <c r="C107" s="116"/>
      <c r="D107" s="116"/>
      <c r="E107" s="116"/>
      <c r="F107" s="116"/>
      <c r="G107" s="117"/>
      <c r="H107" s="117"/>
      <c r="I107" s="117"/>
      <c r="J107" s="713"/>
      <c r="K107" s="2649"/>
      <c r="L107" s="2649"/>
      <c r="M107" s="2649"/>
      <c r="N107" s="2649"/>
      <c r="O107" s="2649"/>
      <c r="P107" s="2649"/>
      <c r="Q107" s="715"/>
      <c r="R107" s="713"/>
      <c r="S107" s="2649"/>
      <c r="T107" s="2649"/>
      <c r="U107" s="2649"/>
      <c r="V107" s="715"/>
      <c r="W107" s="2629"/>
      <c r="X107" s="94"/>
      <c r="Y107" s="713"/>
      <c r="Z107" s="2649"/>
      <c r="AA107" s="2649"/>
      <c r="AB107" s="2649"/>
      <c r="AC107" s="2649"/>
      <c r="AD107" s="2649"/>
      <c r="AE107" s="2649"/>
      <c r="AF107" s="715"/>
      <c r="AG107" s="713"/>
      <c r="AH107" s="2649"/>
      <c r="AI107" s="2649"/>
      <c r="AJ107" s="2649"/>
      <c r="AK107" s="715"/>
      <c r="AL107" s="2629"/>
      <c r="AM107" s="94"/>
      <c r="AN107" s="878"/>
      <c r="AO107" s="2662"/>
      <c r="AP107" s="2662"/>
      <c r="AQ107" s="2662"/>
      <c r="AR107" s="2662"/>
      <c r="AS107" s="2662"/>
      <c r="AT107" s="2662"/>
      <c r="AU107" s="880"/>
      <c r="AV107" s="878"/>
      <c r="AW107" s="2662"/>
      <c r="AX107" s="2662"/>
      <c r="AY107" s="2662"/>
      <c r="AZ107" s="880"/>
      <c r="BA107" s="2629"/>
      <c r="BB107" s="359"/>
      <c r="BC107" s="542"/>
      <c r="BD107" s="542"/>
      <c r="BE107" s="542"/>
      <c r="BF107" s="542"/>
      <c r="BG107" s="542"/>
      <c r="BH107" s="2629"/>
      <c r="BI107" s="359"/>
      <c r="BJ107" s="542"/>
      <c r="BK107" s="542"/>
      <c r="BL107" s="542"/>
      <c r="BM107" s="542"/>
      <c r="BN107" s="544"/>
    </row>
    <row r="108" spans="1:66" s="98" customFormat="1" ht="15" customHeight="1" thickBot="1">
      <c r="A108" s="99"/>
      <c r="B108" s="131" t="s">
        <v>1701</v>
      </c>
      <c r="C108" s="132"/>
      <c r="D108" s="132"/>
      <c r="E108" s="132"/>
      <c r="F108" s="132"/>
      <c r="G108" s="145"/>
      <c r="H108" s="133"/>
      <c r="I108" s="146" t="s">
        <v>498</v>
      </c>
      <c r="J108" s="717">
        <f>SUM(J102:J103,J105:J106)</f>
        <v>0</v>
      </c>
      <c r="K108" s="718">
        <f t="shared" ref="K108:V108" si="31">SUM(K102:K103,K105:K106)</f>
        <v>0</v>
      </c>
      <c r="L108" s="718">
        <f t="shared" si="31"/>
        <v>0</v>
      </c>
      <c r="M108" s="718">
        <f t="shared" si="31"/>
        <v>0</v>
      </c>
      <c r="N108" s="718">
        <f t="shared" si="31"/>
        <v>0</v>
      </c>
      <c r="O108" s="718">
        <f t="shared" si="31"/>
        <v>0</v>
      </c>
      <c r="P108" s="718">
        <f t="shared" si="31"/>
        <v>0</v>
      </c>
      <c r="Q108" s="719">
        <f t="shared" si="31"/>
        <v>0</v>
      </c>
      <c r="R108" s="717">
        <f t="shared" si="31"/>
        <v>0.66556396326096467</v>
      </c>
      <c r="S108" s="718">
        <f t="shared" si="31"/>
        <v>0.66223614344465964</v>
      </c>
      <c r="T108" s="718">
        <f t="shared" si="31"/>
        <v>0.65892496272743661</v>
      </c>
      <c r="U108" s="718">
        <f t="shared" si="31"/>
        <v>0.65563033791379932</v>
      </c>
      <c r="V108" s="719">
        <f t="shared" si="31"/>
        <v>0.6523521862242303</v>
      </c>
      <c r="W108" s="2630"/>
      <c r="X108" s="146" t="s">
        <v>498</v>
      </c>
      <c r="Y108" s="717">
        <f>SUM(Y102:Y103,Y105:Y106)</f>
        <v>0</v>
      </c>
      <c r="Z108" s="718">
        <f t="shared" ref="Z108:AK108" si="32">SUM(Z102:Z103,Z105:Z106)</f>
        <v>0</v>
      </c>
      <c r="AA108" s="718">
        <f t="shared" si="32"/>
        <v>0</v>
      </c>
      <c r="AB108" s="718">
        <f t="shared" si="32"/>
        <v>0</v>
      </c>
      <c r="AC108" s="718">
        <f t="shared" si="32"/>
        <v>0</v>
      </c>
      <c r="AD108" s="718">
        <f t="shared" si="32"/>
        <v>0</v>
      </c>
      <c r="AE108" s="718">
        <f t="shared" si="32"/>
        <v>0</v>
      </c>
      <c r="AF108" s="719">
        <f t="shared" si="32"/>
        <v>0</v>
      </c>
      <c r="AG108" s="717">
        <f t="shared" si="32"/>
        <v>0</v>
      </c>
      <c r="AH108" s="718">
        <f t="shared" si="32"/>
        <v>0</v>
      </c>
      <c r="AI108" s="718">
        <f t="shared" si="32"/>
        <v>0</v>
      </c>
      <c r="AJ108" s="718">
        <f t="shared" si="32"/>
        <v>0</v>
      </c>
      <c r="AK108" s="719">
        <f t="shared" si="32"/>
        <v>0</v>
      </c>
      <c r="AL108" s="2630"/>
      <c r="AM108" s="1083" t="s">
        <v>1876</v>
      </c>
      <c r="AN108" s="873">
        <f>SUM(AN102:AN103,AN105:AN106)</f>
        <v>0</v>
      </c>
      <c r="AO108" s="781">
        <f t="shared" ref="AO108:AZ108" si="33">SUM(AO102:AO103,AO105:AO106)</f>
        <v>0</v>
      </c>
      <c r="AP108" s="781">
        <f t="shared" si="33"/>
        <v>0</v>
      </c>
      <c r="AQ108" s="781">
        <f t="shared" si="33"/>
        <v>0</v>
      </c>
      <c r="AR108" s="781">
        <f t="shared" si="33"/>
        <v>0</v>
      </c>
      <c r="AS108" s="781">
        <f t="shared" si="33"/>
        <v>0</v>
      </c>
      <c r="AT108" s="781">
        <f t="shared" si="33"/>
        <v>0</v>
      </c>
      <c r="AU108" s="874">
        <f t="shared" si="33"/>
        <v>0</v>
      </c>
      <c r="AV108" s="873">
        <f t="shared" si="33"/>
        <v>2070.5359928249832</v>
      </c>
      <c r="AW108" s="781">
        <f t="shared" si="33"/>
        <v>2070.5359928249832</v>
      </c>
      <c r="AX108" s="781">
        <f t="shared" si="33"/>
        <v>2070.5359928249832</v>
      </c>
      <c r="AY108" s="781">
        <f t="shared" si="33"/>
        <v>2070.5359928249832</v>
      </c>
      <c r="AZ108" s="874">
        <f t="shared" si="33"/>
        <v>2070.5359928249832</v>
      </c>
      <c r="BA108" s="2630"/>
      <c r="BB108" s="2630"/>
      <c r="BC108" s="2630"/>
      <c r="BD108" s="2630"/>
      <c r="BE108" s="2630"/>
      <c r="BF108" s="2630"/>
      <c r="BG108" s="2630"/>
      <c r="BH108" s="2630"/>
      <c r="BI108" s="2630"/>
      <c r="BJ108" s="2630"/>
      <c r="BK108" s="2630"/>
      <c r="BL108" s="2630"/>
      <c r="BM108" s="2630"/>
      <c r="BN108" s="2651"/>
    </row>
    <row r="109" spans="1:66" ht="13.5" thickBot="1">
      <c r="I109" s="173"/>
      <c r="J109" s="175"/>
    </row>
    <row r="110" spans="1:66" s="100" customFormat="1" ht="30" customHeight="1" thickBot="1">
      <c r="A110" s="89"/>
      <c r="B110" s="621" t="s">
        <v>2670</v>
      </c>
      <c r="C110" s="101"/>
      <c r="D110" s="102"/>
      <c r="E110" s="102"/>
      <c r="F110" s="102"/>
      <c r="G110" s="103"/>
      <c r="H110" s="103"/>
      <c r="I110" s="105" t="s">
        <v>1864</v>
      </c>
      <c r="J110" s="106"/>
      <c r="K110" s="106"/>
      <c r="L110" s="106"/>
      <c r="M110" s="106"/>
      <c r="N110" s="106"/>
      <c r="O110" s="106"/>
      <c r="P110" s="106"/>
      <c r="Q110" s="106"/>
      <c r="R110" s="105"/>
      <c r="S110" s="105"/>
      <c r="T110" s="105"/>
      <c r="U110" s="105"/>
      <c r="V110" s="105"/>
      <c r="W110" s="103"/>
      <c r="X110" s="105" t="s">
        <v>2202</v>
      </c>
      <c r="Y110" s="106"/>
      <c r="Z110" s="106"/>
      <c r="AA110" s="106"/>
      <c r="AB110" s="106"/>
      <c r="AC110" s="106"/>
      <c r="AD110" s="106"/>
      <c r="AE110" s="106"/>
      <c r="AF110" s="106"/>
      <c r="AG110" s="105"/>
      <c r="AH110" s="105"/>
      <c r="AI110" s="105"/>
      <c r="AJ110" s="105"/>
      <c r="AK110" s="105"/>
      <c r="AL110" s="103"/>
      <c r="AM110" s="105" t="s">
        <v>2231</v>
      </c>
      <c r="AN110" s="106"/>
      <c r="AO110" s="106"/>
      <c r="AP110" s="106"/>
      <c r="AQ110" s="106"/>
      <c r="AR110" s="106"/>
      <c r="AS110" s="106"/>
      <c r="AT110" s="106"/>
      <c r="AU110" s="106"/>
      <c r="AV110" s="105"/>
      <c r="AW110" s="105"/>
      <c r="AX110" s="105"/>
      <c r="AY110" s="105"/>
      <c r="AZ110" s="105"/>
      <c r="BA110" s="103"/>
      <c r="BB110" s="105" t="s">
        <v>2690</v>
      </c>
      <c r="BC110" s="105"/>
      <c r="BD110" s="603"/>
      <c r="BE110" s="603"/>
      <c r="BF110" s="603"/>
      <c r="BG110" s="105"/>
      <c r="BH110" s="103"/>
      <c r="BI110" s="105" t="s">
        <v>2691</v>
      </c>
      <c r="BJ110" s="105"/>
      <c r="BK110" s="603"/>
      <c r="BL110" s="603"/>
      <c r="BM110" s="105"/>
      <c r="BN110" s="187"/>
    </row>
    <row r="111" spans="1:66" s="157" customFormat="1" ht="30" customHeight="1">
      <c r="A111" s="99"/>
      <c r="B111" s="109"/>
      <c r="C111" s="110"/>
      <c r="D111" s="110"/>
      <c r="E111" s="110"/>
      <c r="F111" s="110"/>
      <c r="G111" s="111"/>
      <c r="H111" s="111"/>
      <c r="I111" s="117"/>
      <c r="J111" s="695" t="s">
        <v>1666</v>
      </c>
      <c r="K111" s="152"/>
      <c r="L111" s="152"/>
      <c r="M111" s="152"/>
      <c r="N111" s="152"/>
      <c r="O111" s="152"/>
      <c r="P111" s="152"/>
      <c r="Q111" s="153"/>
      <c r="R111" s="696" t="s">
        <v>2</v>
      </c>
      <c r="S111" s="155"/>
      <c r="T111" s="155"/>
      <c r="U111" s="155"/>
      <c r="V111" s="156"/>
      <c r="W111" s="2632"/>
      <c r="X111" s="94"/>
      <c r="Y111" s="695" t="s">
        <v>1666</v>
      </c>
      <c r="Z111" s="152"/>
      <c r="AA111" s="152"/>
      <c r="AB111" s="152"/>
      <c r="AC111" s="152"/>
      <c r="AD111" s="152"/>
      <c r="AE111" s="152"/>
      <c r="AF111" s="153"/>
      <c r="AG111" s="696" t="s">
        <v>2</v>
      </c>
      <c r="AH111" s="155"/>
      <c r="AI111" s="155"/>
      <c r="AJ111" s="155"/>
      <c r="AK111" s="156"/>
      <c r="AL111" s="2632"/>
      <c r="AM111" s="94"/>
      <c r="AN111" s="695" t="s">
        <v>1666</v>
      </c>
      <c r="AO111" s="152"/>
      <c r="AP111" s="152"/>
      <c r="AQ111" s="152"/>
      <c r="AR111" s="152"/>
      <c r="AS111" s="152"/>
      <c r="AT111" s="152"/>
      <c r="AU111" s="153"/>
      <c r="AV111" s="696" t="s">
        <v>2</v>
      </c>
      <c r="AW111" s="155"/>
      <c r="AX111" s="155"/>
      <c r="AY111" s="155"/>
      <c r="AZ111" s="156"/>
      <c r="BA111" s="2632"/>
      <c r="BB111" s="2633" t="s">
        <v>2785</v>
      </c>
      <c r="BC111" s="2633"/>
      <c r="BD111" s="2633" t="s">
        <v>2786</v>
      </c>
      <c r="BE111" s="2633"/>
      <c r="BF111" s="2633" t="s">
        <v>2693</v>
      </c>
      <c r="BG111" s="2639"/>
      <c r="BH111" s="2632"/>
      <c r="BI111" s="2633" t="s">
        <v>2785</v>
      </c>
      <c r="BJ111" s="2633"/>
      <c r="BK111" s="2633" t="s">
        <v>2786</v>
      </c>
      <c r="BL111" s="2633"/>
      <c r="BM111" s="2633" t="s">
        <v>2693</v>
      </c>
      <c r="BN111" s="2634"/>
    </row>
    <row r="112" spans="1:66" s="98" customFormat="1" ht="15" customHeight="1">
      <c r="A112" s="99"/>
      <c r="B112" s="115"/>
      <c r="C112" s="116"/>
      <c r="D112" s="116"/>
      <c r="E112" s="116"/>
      <c r="F112" s="116"/>
      <c r="G112" s="117"/>
      <c r="H112" s="117"/>
      <c r="I112" s="119" t="s">
        <v>1667</v>
      </c>
      <c r="J112" s="158" t="s">
        <v>453</v>
      </c>
      <c r="K112" s="137" t="s">
        <v>455</v>
      </c>
      <c r="L112" s="137" t="s">
        <v>457</v>
      </c>
      <c r="M112" s="137" t="s">
        <v>459</v>
      </c>
      <c r="N112" s="137" t="s">
        <v>461</v>
      </c>
      <c r="O112" s="137" t="s">
        <v>463</v>
      </c>
      <c r="P112" s="137" t="s">
        <v>465</v>
      </c>
      <c r="Q112" s="138" t="s">
        <v>467</v>
      </c>
      <c r="R112" s="120" t="s">
        <v>469</v>
      </c>
      <c r="S112" s="121" t="s">
        <v>471</v>
      </c>
      <c r="T112" s="121" t="s">
        <v>473</v>
      </c>
      <c r="U112" s="121" t="s">
        <v>475</v>
      </c>
      <c r="V112" s="122" t="s">
        <v>477</v>
      </c>
      <c r="W112" s="2629"/>
      <c r="X112" s="119" t="s">
        <v>1667</v>
      </c>
      <c r="Y112" s="158" t="s">
        <v>453</v>
      </c>
      <c r="Z112" s="137" t="s">
        <v>455</v>
      </c>
      <c r="AA112" s="137" t="s">
        <v>457</v>
      </c>
      <c r="AB112" s="137" t="s">
        <v>459</v>
      </c>
      <c r="AC112" s="137" t="s">
        <v>461</v>
      </c>
      <c r="AD112" s="137" t="s">
        <v>463</v>
      </c>
      <c r="AE112" s="137" t="s">
        <v>465</v>
      </c>
      <c r="AF112" s="138" t="s">
        <v>467</v>
      </c>
      <c r="AG112" s="120" t="s">
        <v>469</v>
      </c>
      <c r="AH112" s="121" t="s">
        <v>471</v>
      </c>
      <c r="AI112" s="121" t="s">
        <v>473</v>
      </c>
      <c r="AJ112" s="121" t="s">
        <v>475</v>
      </c>
      <c r="AK112" s="122" t="s">
        <v>477</v>
      </c>
      <c r="AL112" s="2629"/>
      <c r="AM112" s="119" t="s">
        <v>1667</v>
      </c>
      <c r="AN112" s="158" t="s">
        <v>453</v>
      </c>
      <c r="AO112" s="137" t="s">
        <v>455</v>
      </c>
      <c r="AP112" s="137" t="s">
        <v>457</v>
      </c>
      <c r="AQ112" s="137" t="s">
        <v>459</v>
      </c>
      <c r="AR112" s="137" t="s">
        <v>461</v>
      </c>
      <c r="AS112" s="137" t="s">
        <v>463</v>
      </c>
      <c r="AT112" s="137" t="s">
        <v>465</v>
      </c>
      <c r="AU112" s="138" t="s">
        <v>467</v>
      </c>
      <c r="AV112" s="120" t="s">
        <v>469</v>
      </c>
      <c r="AW112" s="121" t="s">
        <v>471</v>
      </c>
      <c r="AX112" s="121" t="s">
        <v>473</v>
      </c>
      <c r="AY112" s="121" t="s">
        <v>475</v>
      </c>
      <c r="AZ112" s="122" t="s">
        <v>477</v>
      </c>
      <c r="BA112" s="2629"/>
      <c r="BB112" s="2635" t="s">
        <v>1667</v>
      </c>
      <c r="BC112" s="2635" t="s">
        <v>2142</v>
      </c>
      <c r="BD112" s="2635" t="s">
        <v>1667</v>
      </c>
      <c r="BE112" s="2635" t="s">
        <v>2142</v>
      </c>
      <c r="BF112" s="2642" t="s">
        <v>1667</v>
      </c>
      <c r="BG112" s="2635" t="s">
        <v>2142</v>
      </c>
      <c r="BH112" s="2629"/>
      <c r="BI112" s="2635" t="s">
        <v>1667</v>
      </c>
      <c r="BJ112" s="2635" t="s">
        <v>2142</v>
      </c>
      <c r="BK112" s="2635" t="s">
        <v>1667</v>
      </c>
      <c r="BL112" s="2635" t="s">
        <v>2142</v>
      </c>
      <c r="BM112" s="2635" t="s">
        <v>1667</v>
      </c>
      <c r="BN112" s="2636" t="s">
        <v>2142</v>
      </c>
    </row>
    <row r="113" spans="1:66" s="98" customFormat="1" ht="15" customHeight="1">
      <c r="A113" s="99"/>
      <c r="B113" s="161"/>
      <c r="C113" s="116" t="s">
        <v>2521</v>
      </c>
      <c r="D113" s="116"/>
      <c r="E113" s="116"/>
      <c r="F113" s="116"/>
      <c r="G113" s="117"/>
      <c r="H113" s="117"/>
      <c r="I113" s="117"/>
      <c r="J113" s="159"/>
      <c r="K113" s="94"/>
      <c r="L113" s="94"/>
      <c r="M113" s="94"/>
      <c r="N113" s="94"/>
      <c r="O113" s="94"/>
      <c r="P113" s="94"/>
      <c r="Q113" s="160"/>
      <c r="R113" s="159"/>
      <c r="S113" s="94"/>
      <c r="T113" s="94"/>
      <c r="U113" s="94"/>
      <c r="V113" s="160"/>
      <c r="W113" s="2629"/>
      <c r="X113" s="94"/>
      <c r="Y113" s="159"/>
      <c r="Z113" s="94"/>
      <c r="AA113" s="94"/>
      <c r="AB113" s="94"/>
      <c r="AC113" s="94"/>
      <c r="AD113" s="94"/>
      <c r="AE113" s="94"/>
      <c r="AF113" s="160"/>
      <c r="AG113" s="159"/>
      <c r="AH113" s="94"/>
      <c r="AI113" s="94"/>
      <c r="AJ113" s="94"/>
      <c r="AK113" s="160"/>
      <c r="AL113" s="2629"/>
      <c r="AM113" s="94"/>
      <c r="AN113" s="159"/>
      <c r="AO113" s="94"/>
      <c r="AP113" s="94"/>
      <c r="AQ113" s="94"/>
      <c r="AR113" s="94"/>
      <c r="AS113" s="94"/>
      <c r="AT113" s="94"/>
      <c r="AU113" s="160"/>
      <c r="AV113" s="159"/>
      <c r="AW113" s="94"/>
      <c r="AX113" s="94"/>
      <c r="AY113" s="94"/>
      <c r="AZ113" s="160"/>
      <c r="BA113" s="2629"/>
      <c r="BB113" s="359"/>
      <c r="BC113" s="542"/>
      <c r="BD113" s="542"/>
      <c r="BE113" s="542"/>
      <c r="BF113" s="542"/>
      <c r="BG113" s="542"/>
      <c r="BH113" s="2629"/>
      <c r="BI113" s="359"/>
      <c r="BJ113" s="542"/>
      <c r="BK113" s="542"/>
      <c r="BL113" s="542"/>
      <c r="BM113" s="542"/>
      <c r="BN113" s="544"/>
    </row>
    <row r="114" spans="1:66" s="98" customFormat="1" ht="15" customHeight="1">
      <c r="A114" s="99"/>
      <c r="B114" s="161"/>
      <c r="C114" s="162"/>
      <c r="D114" s="230" t="s">
        <v>2787</v>
      </c>
      <c r="E114" s="230"/>
      <c r="F114" s="230"/>
      <c r="G114" s="163"/>
      <c r="H114" s="163"/>
      <c r="I114" s="164" t="s">
        <v>498</v>
      </c>
      <c r="J114" s="143">
        <v>0</v>
      </c>
      <c r="K114" s="141">
        <v>0</v>
      </c>
      <c r="L114" s="141">
        <v>0</v>
      </c>
      <c r="M114" s="141">
        <v>0</v>
      </c>
      <c r="N114" s="141">
        <v>0</v>
      </c>
      <c r="O114" s="141">
        <v>0</v>
      </c>
      <c r="P114" s="141">
        <v>0</v>
      </c>
      <c r="Q114" s="144">
        <v>0</v>
      </c>
      <c r="R114" s="143">
        <v>3.3384894958787541E-2</v>
      </c>
      <c r="S114" s="141">
        <v>3.3217970483993602E-2</v>
      </c>
      <c r="T114" s="141">
        <v>3.3051880631573632E-2</v>
      </c>
      <c r="U114" s="141">
        <v>3.2886621228415763E-2</v>
      </c>
      <c r="V114" s="144">
        <v>3.2722188122273684E-2</v>
      </c>
      <c r="W114" s="2629"/>
      <c r="X114" s="607" t="s">
        <v>498</v>
      </c>
      <c r="Y114" s="143">
        <v>0</v>
      </c>
      <c r="Z114" s="141">
        <v>0</v>
      </c>
      <c r="AA114" s="141">
        <v>0</v>
      </c>
      <c r="AB114" s="141">
        <v>0</v>
      </c>
      <c r="AC114" s="141">
        <v>0</v>
      </c>
      <c r="AD114" s="141">
        <v>0</v>
      </c>
      <c r="AE114" s="141">
        <v>0</v>
      </c>
      <c r="AF114" s="144">
        <v>0</v>
      </c>
      <c r="AG114" s="143">
        <v>0</v>
      </c>
      <c r="AH114" s="141">
        <v>0</v>
      </c>
      <c r="AI114" s="141">
        <v>0</v>
      </c>
      <c r="AJ114" s="141">
        <v>0</v>
      </c>
      <c r="AK114" s="144">
        <v>0</v>
      </c>
      <c r="AL114" s="2629"/>
      <c r="AM114" s="607" t="s">
        <v>1876</v>
      </c>
      <c r="AN114" s="165">
        <v>0</v>
      </c>
      <c r="AO114" s="166">
        <v>0</v>
      </c>
      <c r="AP114" s="166">
        <v>0</v>
      </c>
      <c r="AQ114" s="166">
        <v>0</v>
      </c>
      <c r="AR114" s="166">
        <v>0</v>
      </c>
      <c r="AS114" s="166">
        <v>0</v>
      </c>
      <c r="AT114" s="166">
        <v>0</v>
      </c>
      <c r="AU114" s="167">
        <v>0</v>
      </c>
      <c r="AV114" s="165">
        <v>110.89632059590325</v>
      </c>
      <c r="AW114" s="166">
        <v>110.89632059590325</v>
      </c>
      <c r="AX114" s="166">
        <v>110.89632059590325</v>
      </c>
      <c r="AY114" s="166">
        <v>110.89632059590325</v>
      </c>
      <c r="AZ114" s="167">
        <v>110.89632059590325</v>
      </c>
      <c r="BA114" s="2629"/>
      <c r="BB114" s="545" t="s">
        <v>2788</v>
      </c>
      <c r="BC114" s="188">
        <v>0</v>
      </c>
      <c r="BD114" s="545" t="s">
        <v>627</v>
      </c>
      <c r="BE114" s="188">
        <v>0</v>
      </c>
      <c r="BF114" s="607" t="s">
        <v>627</v>
      </c>
      <c r="BG114" s="868">
        <v>0</v>
      </c>
      <c r="BH114" s="2629"/>
      <c r="BI114" s="545" t="s">
        <v>2788</v>
      </c>
      <c r="BJ114" s="188">
        <v>0</v>
      </c>
      <c r="BK114" s="545" t="s">
        <v>627</v>
      </c>
      <c r="BL114" s="188">
        <v>0</v>
      </c>
      <c r="BM114" s="607" t="s">
        <v>627</v>
      </c>
      <c r="BN114" s="872">
        <v>0</v>
      </c>
    </row>
    <row r="115" spans="1:66" s="98" customFormat="1" ht="15" customHeight="1">
      <c r="A115" s="99"/>
      <c r="B115" s="161"/>
      <c r="C115" s="162"/>
      <c r="D115" s="162" t="s">
        <v>1555</v>
      </c>
      <c r="E115" s="162"/>
      <c r="F115" s="162"/>
      <c r="G115" s="163"/>
      <c r="H115" s="163"/>
      <c r="I115" s="164" t="s">
        <v>498</v>
      </c>
      <c r="J115" s="143">
        <v>0</v>
      </c>
      <c r="K115" s="141">
        <v>0</v>
      </c>
      <c r="L115" s="141">
        <v>0</v>
      </c>
      <c r="M115" s="141">
        <v>0</v>
      </c>
      <c r="N115" s="141">
        <v>0</v>
      </c>
      <c r="O115" s="141">
        <v>0</v>
      </c>
      <c r="P115" s="141">
        <v>0</v>
      </c>
      <c r="Q115" s="144">
        <v>0</v>
      </c>
      <c r="R115" s="143">
        <v>1.8410408323914627E-2</v>
      </c>
      <c r="S115" s="141">
        <v>1.8318356282295053E-2</v>
      </c>
      <c r="T115" s="141">
        <v>1.8226764500883577E-2</v>
      </c>
      <c r="U115" s="141">
        <v>1.8135630678379158E-2</v>
      </c>
      <c r="V115" s="144">
        <v>1.8044952524987262E-2</v>
      </c>
      <c r="W115" s="2629"/>
      <c r="X115" s="607" t="s">
        <v>498</v>
      </c>
      <c r="Y115" s="143">
        <v>0</v>
      </c>
      <c r="Z115" s="141">
        <v>0</v>
      </c>
      <c r="AA115" s="141">
        <v>0</v>
      </c>
      <c r="AB115" s="141">
        <v>0</v>
      </c>
      <c r="AC115" s="141">
        <v>0</v>
      </c>
      <c r="AD115" s="141">
        <v>0</v>
      </c>
      <c r="AE115" s="141">
        <v>0</v>
      </c>
      <c r="AF115" s="144">
        <v>0</v>
      </c>
      <c r="AG115" s="143">
        <v>0</v>
      </c>
      <c r="AH115" s="141">
        <v>0</v>
      </c>
      <c r="AI115" s="141">
        <v>0</v>
      </c>
      <c r="AJ115" s="141">
        <v>0</v>
      </c>
      <c r="AK115" s="144">
        <v>0</v>
      </c>
      <c r="AL115" s="2629"/>
      <c r="AM115" s="607" t="s">
        <v>1876</v>
      </c>
      <c r="AN115" s="165">
        <v>0</v>
      </c>
      <c r="AO115" s="166">
        <v>0</v>
      </c>
      <c r="AP115" s="166">
        <v>0</v>
      </c>
      <c r="AQ115" s="166">
        <v>0</v>
      </c>
      <c r="AR115" s="166">
        <v>0</v>
      </c>
      <c r="AS115" s="166">
        <v>0</v>
      </c>
      <c r="AT115" s="166">
        <v>0</v>
      </c>
      <c r="AU115" s="167">
        <v>0</v>
      </c>
      <c r="AV115" s="165">
        <v>73.930880397268851</v>
      </c>
      <c r="AW115" s="166">
        <v>73.930880397268851</v>
      </c>
      <c r="AX115" s="166">
        <v>73.930880397268851</v>
      </c>
      <c r="AY115" s="166">
        <v>73.930880397268851</v>
      </c>
      <c r="AZ115" s="167">
        <v>73.930880397268851</v>
      </c>
      <c r="BA115" s="2629"/>
      <c r="BB115" s="2629"/>
      <c r="BC115" s="2629"/>
      <c r="BD115" s="2629"/>
      <c r="BE115" s="2629"/>
      <c r="BF115" s="542"/>
      <c r="BG115" s="542"/>
      <c r="BH115" s="2629"/>
      <c r="BI115" s="2629"/>
      <c r="BJ115" s="2629"/>
      <c r="BK115" s="2629"/>
      <c r="BL115" s="2629"/>
      <c r="BM115" s="542"/>
      <c r="BN115" s="544"/>
    </row>
    <row r="116" spans="1:66" s="98" customFormat="1" ht="15" customHeight="1">
      <c r="A116" s="99"/>
      <c r="B116" s="161"/>
      <c r="C116" s="116" t="s">
        <v>2427</v>
      </c>
      <c r="D116" s="116"/>
      <c r="E116" s="116"/>
      <c r="F116" s="116"/>
      <c r="G116" s="117"/>
      <c r="H116" s="117"/>
      <c r="I116" s="117"/>
      <c r="J116" s="713"/>
      <c r="K116" s="2649"/>
      <c r="L116" s="2649"/>
      <c r="M116" s="2649"/>
      <c r="N116" s="2649"/>
      <c r="O116" s="2649"/>
      <c r="P116" s="2649"/>
      <c r="Q116" s="715"/>
      <c r="R116" s="713"/>
      <c r="S116" s="2649"/>
      <c r="T116" s="2649"/>
      <c r="U116" s="2649"/>
      <c r="V116" s="715"/>
      <c r="W116" s="2629"/>
      <c r="X116" s="94"/>
      <c r="Y116" s="713"/>
      <c r="Z116" s="2649"/>
      <c r="AA116" s="2649"/>
      <c r="AB116" s="2649"/>
      <c r="AC116" s="2649"/>
      <c r="AD116" s="2649"/>
      <c r="AE116" s="2649"/>
      <c r="AF116" s="715"/>
      <c r="AG116" s="713"/>
      <c r="AH116" s="2649"/>
      <c r="AI116" s="2649"/>
      <c r="AJ116" s="2649"/>
      <c r="AK116" s="715"/>
      <c r="AL116" s="2629"/>
      <c r="AM116" s="94"/>
      <c r="AN116" s="878"/>
      <c r="AO116" s="2662"/>
      <c r="AP116" s="2662"/>
      <c r="AQ116" s="2662"/>
      <c r="AR116" s="2662"/>
      <c r="AS116" s="2662"/>
      <c r="AT116" s="2662"/>
      <c r="AU116" s="880"/>
      <c r="AV116" s="878"/>
      <c r="AW116" s="2662"/>
      <c r="AX116" s="2662"/>
      <c r="AY116" s="2662"/>
      <c r="AZ116" s="880"/>
      <c r="BA116" s="2629"/>
      <c r="BB116" s="359"/>
      <c r="BC116" s="542"/>
      <c r="BD116" s="359"/>
      <c r="BE116" s="542"/>
      <c r="BF116" s="542"/>
      <c r="BG116" s="542"/>
      <c r="BH116" s="2629"/>
      <c r="BI116" s="359"/>
      <c r="BJ116" s="542"/>
      <c r="BK116" s="359"/>
      <c r="BL116" s="542"/>
      <c r="BM116" s="542"/>
      <c r="BN116" s="544"/>
    </row>
    <row r="117" spans="1:66" s="98" customFormat="1" ht="15" customHeight="1">
      <c r="A117" s="99"/>
      <c r="B117" s="161"/>
      <c r="C117" s="162"/>
      <c r="D117" s="230" t="s">
        <v>2787</v>
      </c>
      <c r="E117" s="230"/>
      <c r="F117" s="230"/>
      <c r="G117" s="163"/>
      <c r="H117" s="163"/>
      <c r="I117" s="164" t="s">
        <v>498</v>
      </c>
      <c r="J117" s="143">
        <v>0</v>
      </c>
      <c r="K117" s="141">
        <v>0</v>
      </c>
      <c r="L117" s="141">
        <v>0</v>
      </c>
      <c r="M117" s="141">
        <v>0</v>
      </c>
      <c r="N117" s="141">
        <v>0</v>
      </c>
      <c r="O117" s="141">
        <v>0</v>
      </c>
      <c r="P117" s="141">
        <v>0</v>
      </c>
      <c r="Q117" s="144">
        <v>0</v>
      </c>
      <c r="R117" s="143">
        <v>5.5703971292658016E-3</v>
      </c>
      <c r="S117" s="141">
        <v>5.5425451436194725E-3</v>
      </c>
      <c r="T117" s="141">
        <v>5.5148324179013749E-3</v>
      </c>
      <c r="U117" s="141">
        <v>5.4872582558118683E-3</v>
      </c>
      <c r="V117" s="144">
        <v>5.4598219645328088E-3</v>
      </c>
      <c r="W117" s="2629"/>
      <c r="X117" s="607" t="s">
        <v>498</v>
      </c>
      <c r="Y117" s="143">
        <v>0</v>
      </c>
      <c r="Z117" s="141">
        <v>0</v>
      </c>
      <c r="AA117" s="141">
        <v>0</v>
      </c>
      <c r="AB117" s="141">
        <v>0</v>
      </c>
      <c r="AC117" s="141">
        <v>0</v>
      </c>
      <c r="AD117" s="141">
        <v>0</v>
      </c>
      <c r="AE117" s="141">
        <v>0</v>
      </c>
      <c r="AF117" s="144">
        <v>0</v>
      </c>
      <c r="AG117" s="143">
        <v>0</v>
      </c>
      <c r="AH117" s="141">
        <v>0</v>
      </c>
      <c r="AI117" s="141">
        <v>0</v>
      </c>
      <c r="AJ117" s="141">
        <v>0</v>
      </c>
      <c r="AK117" s="144">
        <v>0</v>
      </c>
      <c r="AL117" s="2629"/>
      <c r="AM117" s="607" t="s">
        <v>1876</v>
      </c>
      <c r="AN117" s="165">
        <v>0</v>
      </c>
      <c r="AO117" s="166">
        <v>0</v>
      </c>
      <c r="AP117" s="166">
        <v>0</v>
      </c>
      <c r="AQ117" s="166">
        <v>0</v>
      </c>
      <c r="AR117" s="166">
        <v>0</v>
      </c>
      <c r="AS117" s="166">
        <v>0</v>
      </c>
      <c r="AT117" s="166">
        <v>0</v>
      </c>
      <c r="AU117" s="167">
        <v>0</v>
      </c>
      <c r="AV117" s="165">
        <v>0.54502801963017866</v>
      </c>
      <c r="AW117" s="166">
        <v>0.54502801963017866</v>
      </c>
      <c r="AX117" s="166">
        <v>0.54502801963017866</v>
      </c>
      <c r="AY117" s="166">
        <v>0.54502801963017866</v>
      </c>
      <c r="AZ117" s="167">
        <v>0.54502801963017866</v>
      </c>
      <c r="BA117" s="2629"/>
      <c r="BB117" s="545" t="s">
        <v>2788</v>
      </c>
      <c r="BC117" s="188">
        <v>0</v>
      </c>
      <c r="BD117" s="545" t="s">
        <v>627</v>
      </c>
      <c r="BE117" s="188">
        <v>0</v>
      </c>
      <c r="BF117" s="607" t="s">
        <v>627</v>
      </c>
      <c r="BG117" s="868">
        <v>0</v>
      </c>
      <c r="BH117" s="2629"/>
      <c r="BI117" s="545" t="s">
        <v>2788</v>
      </c>
      <c r="BJ117" s="188">
        <v>0</v>
      </c>
      <c r="BK117" s="545" t="s">
        <v>627</v>
      </c>
      <c r="BL117" s="188">
        <v>0</v>
      </c>
      <c r="BM117" s="607" t="s">
        <v>627</v>
      </c>
      <c r="BN117" s="872">
        <v>0</v>
      </c>
    </row>
    <row r="118" spans="1:66" s="98" customFormat="1" ht="15" customHeight="1">
      <c r="A118" s="99"/>
      <c r="B118" s="161"/>
      <c r="C118" s="162"/>
      <c r="D118" s="162" t="s">
        <v>1555</v>
      </c>
      <c r="E118" s="162"/>
      <c r="F118" s="162"/>
      <c r="G118" s="163"/>
      <c r="H118" s="163"/>
      <c r="I118" s="164" t="s">
        <v>498</v>
      </c>
      <c r="J118" s="143">
        <v>0</v>
      </c>
      <c r="K118" s="141">
        <v>0</v>
      </c>
      <c r="L118" s="141">
        <v>0</v>
      </c>
      <c r="M118" s="141">
        <v>0</v>
      </c>
      <c r="N118" s="141">
        <v>0</v>
      </c>
      <c r="O118" s="141">
        <v>0</v>
      </c>
      <c r="P118" s="141">
        <v>0</v>
      </c>
      <c r="Q118" s="144">
        <v>0</v>
      </c>
      <c r="R118" s="143">
        <v>9.0482608759670865E-5</v>
      </c>
      <c r="S118" s="141">
        <v>9.0030195715872508E-5</v>
      </c>
      <c r="T118" s="141">
        <v>8.9580044737293141E-5</v>
      </c>
      <c r="U118" s="141">
        <v>8.9132144513606675E-5</v>
      </c>
      <c r="V118" s="144">
        <v>8.868648379103864E-5</v>
      </c>
      <c r="W118" s="2629"/>
      <c r="X118" s="607" t="s">
        <v>498</v>
      </c>
      <c r="Y118" s="143">
        <v>0</v>
      </c>
      <c r="Z118" s="141">
        <v>0</v>
      </c>
      <c r="AA118" s="141">
        <v>0</v>
      </c>
      <c r="AB118" s="141">
        <v>0</v>
      </c>
      <c r="AC118" s="141">
        <v>0</v>
      </c>
      <c r="AD118" s="141">
        <v>0</v>
      </c>
      <c r="AE118" s="141">
        <v>0</v>
      </c>
      <c r="AF118" s="144">
        <v>0</v>
      </c>
      <c r="AG118" s="143">
        <v>0</v>
      </c>
      <c r="AH118" s="141">
        <v>0</v>
      </c>
      <c r="AI118" s="141">
        <v>0</v>
      </c>
      <c r="AJ118" s="141">
        <v>0</v>
      </c>
      <c r="AK118" s="144">
        <v>0</v>
      </c>
      <c r="AL118" s="2629"/>
      <c r="AM118" s="607" t="s">
        <v>1876</v>
      </c>
      <c r="AN118" s="165">
        <v>0</v>
      </c>
      <c r="AO118" s="166">
        <v>0</v>
      </c>
      <c r="AP118" s="166">
        <v>0</v>
      </c>
      <c r="AQ118" s="166">
        <v>0</v>
      </c>
      <c r="AR118" s="166">
        <v>0</v>
      </c>
      <c r="AS118" s="166">
        <v>0</v>
      </c>
      <c r="AT118" s="166">
        <v>0</v>
      </c>
      <c r="AU118" s="167">
        <v>0</v>
      </c>
      <c r="AV118" s="165">
        <v>0.36335201308678583</v>
      </c>
      <c r="AW118" s="166">
        <v>0.36335201308678583</v>
      </c>
      <c r="AX118" s="166">
        <v>0.36335201308678583</v>
      </c>
      <c r="AY118" s="166">
        <v>0.36335201308678583</v>
      </c>
      <c r="AZ118" s="167">
        <v>0.36335201308678583</v>
      </c>
      <c r="BA118" s="2629"/>
      <c r="BB118" s="2629"/>
      <c r="BC118" s="2629"/>
      <c r="BD118" s="2629"/>
      <c r="BE118" s="2629"/>
      <c r="BF118" s="542"/>
      <c r="BG118" s="542"/>
      <c r="BH118" s="2629"/>
      <c r="BI118" s="2629"/>
      <c r="BJ118" s="2629"/>
      <c r="BK118" s="2629"/>
      <c r="BL118" s="2629"/>
      <c r="BM118" s="542"/>
      <c r="BN118" s="544"/>
    </row>
    <row r="119" spans="1:66" s="98" customFormat="1" ht="15" customHeight="1">
      <c r="A119" s="99"/>
      <c r="B119" s="161"/>
      <c r="C119" s="116"/>
      <c r="D119" s="116"/>
      <c r="E119" s="116"/>
      <c r="F119" s="116"/>
      <c r="G119" s="117"/>
      <c r="H119" s="117"/>
      <c r="I119" s="117"/>
      <c r="J119" s="713"/>
      <c r="K119" s="2649"/>
      <c r="L119" s="2649"/>
      <c r="M119" s="2649"/>
      <c r="N119" s="2649"/>
      <c r="O119" s="2649"/>
      <c r="P119" s="2649"/>
      <c r="Q119" s="715"/>
      <c r="R119" s="713"/>
      <c r="S119" s="2649"/>
      <c r="T119" s="2649"/>
      <c r="U119" s="2649"/>
      <c r="V119" s="715"/>
      <c r="W119" s="2629"/>
      <c r="X119" s="94"/>
      <c r="Y119" s="713"/>
      <c r="Z119" s="2649"/>
      <c r="AA119" s="2649"/>
      <c r="AB119" s="2649"/>
      <c r="AC119" s="2649"/>
      <c r="AD119" s="2649"/>
      <c r="AE119" s="2649"/>
      <c r="AF119" s="715"/>
      <c r="AG119" s="713"/>
      <c r="AH119" s="2649"/>
      <c r="AI119" s="2649"/>
      <c r="AJ119" s="2649"/>
      <c r="AK119" s="715"/>
      <c r="AL119" s="2629"/>
      <c r="AM119" s="94"/>
      <c r="AN119" s="878"/>
      <c r="AO119" s="2662"/>
      <c r="AP119" s="2662"/>
      <c r="AQ119" s="2662"/>
      <c r="AR119" s="2662"/>
      <c r="AS119" s="2662"/>
      <c r="AT119" s="2662"/>
      <c r="AU119" s="880"/>
      <c r="AV119" s="878"/>
      <c r="AW119" s="2662"/>
      <c r="AX119" s="2662"/>
      <c r="AY119" s="2662"/>
      <c r="AZ119" s="880"/>
      <c r="BA119" s="2629"/>
      <c r="BB119" s="359"/>
      <c r="BC119" s="542"/>
      <c r="BD119" s="542"/>
      <c r="BE119" s="542"/>
      <c r="BF119" s="542"/>
      <c r="BG119" s="542"/>
      <c r="BH119" s="2629"/>
      <c r="BI119" s="359"/>
      <c r="BJ119" s="542"/>
      <c r="BK119" s="542"/>
      <c r="BL119" s="542"/>
      <c r="BM119" s="542"/>
      <c r="BN119" s="544"/>
    </row>
    <row r="120" spans="1:66" s="98" customFormat="1" ht="15" customHeight="1" thickBot="1">
      <c r="A120" s="99"/>
      <c r="B120" s="131" t="s">
        <v>1701</v>
      </c>
      <c r="C120" s="132"/>
      <c r="D120" s="132"/>
      <c r="E120" s="132"/>
      <c r="F120" s="132"/>
      <c r="G120" s="145"/>
      <c r="H120" s="133"/>
      <c r="I120" s="146" t="s">
        <v>498</v>
      </c>
      <c r="J120" s="717">
        <f>SUM(J114:J115,J117:J118)</f>
        <v>0</v>
      </c>
      <c r="K120" s="718">
        <f t="shared" ref="K120:V120" si="34">SUM(K114:K115,K117:K118)</f>
        <v>0</v>
      </c>
      <c r="L120" s="718">
        <f t="shared" si="34"/>
        <v>0</v>
      </c>
      <c r="M120" s="718">
        <f t="shared" si="34"/>
        <v>0</v>
      </c>
      <c r="N120" s="718">
        <f t="shared" si="34"/>
        <v>0</v>
      </c>
      <c r="O120" s="718">
        <f t="shared" si="34"/>
        <v>0</v>
      </c>
      <c r="P120" s="718">
        <f t="shared" si="34"/>
        <v>0</v>
      </c>
      <c r="Q120" s="719">
        <f t="shared" si="34"/>
        <v>0</v>
      </c>
      <c r="R120" s="717">
        <f t="shared" si="34"/>
        <v>5.7456183020727643E-2</v>
      </c>
      <c r="S120" s="718">
        <f t="shared" si="34"/>
        <v>5.7168902105623996E-2</v>
      </c>
      <c r="T120" s="718">
        <f t="shared" si="34"/>
        <v>5.6883057595095883E-2</v>
      </c>
      <c r="U120" s="718">
        <f t="shared" si="34"/>
        <v>5.6598642307120396E-2</v>
      </c>
      <c r="V120" s="719">
        <f t="shared" si="34"/>
        <v>5.6315649095584792E-2</v>
      </c>
      <c r="W120" s="2630"/>
      <c r="X120" s="146" t="s">
        <v>498</v>
      </c>
      <c r="Y120" s="717">
        <f>SUM(Y114:Y115,Y117:Y118)</f>
        <v>0</v>
      </c>
      <c r="Z120" s="718">
        <f t="shared" ref="Z120:AK120" si="35">SUM(Z114:Z115,Z117:Z118)</f>
        <v>0</v>
      </c>
      <c r="AA120" s="718">
        <f t="shared" si="35"/>
        <v>0</v>
      </c>
      <c r="AB120" s="718">
        <f t="shared" si="35"/>
        <v>0</v>
      </c>
      <c r="AC120" s="718">
        <f t="shared" si="35"/>
        <v>0</v>
      </c>
      <c r="AD120" s="718">
        <f t="shared" si="35"/>
        <v>0</v>
      </c>
      <c r="AE120" s="718">
        <f t="shared" si="35"/>
        <v>0</v>
      </c>
      <c r="AF120" s="719">
        <f t="shared" si="35"/>
        <v>0</v>
      </c>
      <c r="AG120" s="717">
        <f t="shared" si="35"/>
        <v>0</v>
      </c>
      <c r="AH120" s="718">
        <f t="shared" si="35"/>
        <v>0</v>
      </c>
      <c r="AI120" s="718">
        <f t="shared" si="35"/>
        <v>0</v>
      </c>
      <c r="AJ120" s="718">
        <f t="shared" si="35"/>
        <v>0</v>
      </c>
      <c r="AK120" s="719">
        <f t="shared" si="35"/>
        <v>0</v>
      </c>
      <c r="AL120" s="2630"/>
      <c r="AM120" s="1083" t="s">
        <v>1876</v>
      </c>
      <c r="AN120" s="873">
        <f>SUM(AN114:AN115,AN117:AN118)</f>
        <v>0</v>
      </c>
      <c r="AO120" s="781">
        <f t="shared" ref="AO120:AZ120" si="36">SUM(AO114:AO115,AO117:AO118)</f>
        <v>0</v>
      </c>
      <c r="AP120" s="781">
        <f t="shared" si="36"/>
        <v>0</v>
      </c>
      <c r="AQ120" s="781">
        <f t="shared" si="36"/>
        <v>0</v>
      </c>
      <c r="AR120" s="781">
        <f t="shared" si="36"/>
        <v>0</v>
      </c>
      <c r="AS120" s="781">
        <f t="shared" si="36"/>
        <v>0</v>
      </c>
      <c r="AT120" s="781">
        <f t="shared" si="36"/>
        <v>0</v>
      </c>
      <c r="AU120" s="874">
        <f t="shared" si="36"/>
        <v>0</v>
      </c>
      <c r="AV120" s="873">
        <f t="shared" si="36"/>
        <v>185.73558102588905</v>
      </c>
      <c r="AW120" s="781">
        <f t="shared" si="36"/>
        <v>185.73558102588905</v>
      </c>
      <c r="AX120" s="781">
        <f t="shared" si="36"/>
        <v>185.73558102588905</v>
      </c>
      <c r="AY120" s="781">
        <f t="shared" si="36"/>
        <v>185.73558102588905</v>
      </c>
      <c r="AZ120" s="874">
        <f t="shared" si="36"/>
        <v>185.73558102588905</v>
      </c>
      <c r="BA120" s="2630"/>
      <c r="BB120" s="2630"/>
      <c r="BC120" s="2630"/>
      <c r="BD120" s="2630"/>
      <c r="BE120" s="2630"/>
      <c r="BF120" s="2630"/>
      <c r="BG120" s="2630"/>
      <c r="BH120" s="2630"/>
      <c r="BI120" s="2630"/>
      <c r="BJ120" s="2630"/>
      <c r="BK120" s="2630"/>
      <c r="BL120" s="2630"/>
      <c r="BM120" s="2630"/>
      <c r="BN120" s="2651"/>
    </row>
    <row r="121" spans="1:66" ht="13.5" thickBot="1">
      <c r="I121" s="173"/>
      <c r="J121" s="175"/>
    </row>
    <row r="122" spans="1:66" s="100" customFormat="1" ht="30" customHeight="1" thickBot="1">
      <c r="A122" s="89"/>
      <c r="B122" s="621" t="s">
        <v>2783</v>
      </c>
      <c r="C122" s="101"/>
      <c r="D122" s="102"/>
      <c r="E122" s="102"/>
      <c r="F122" s="102"/>
      <c r="G122" s="103"/>
      <c r="H122" s="103"/>
      <c r="I122" s="105" t="s">
        <v>1864</v>
      </c>
      <c r="J122" s="106"/>
      <c r="K122" s="106"/>
      <c r="L122" s="106"/>
      <c r="M122" s="106"/>
      <c r="N122" s="106"/>
      <c r="O122" s="106"/>
      <c r="P122" s="106"/>
      <c r="Q122" s="106"/>
      <c r="R122" s="105"/>
      <c r="S122" s="105"/>
      <c r="T122" s="105"/>
      <c r="U122" s="105"/>
      <c r="V122" s="105"/>
      <c r="W122" s="956"/>
      <c r="X122" s="1689"/>
      <c r="Y122" s="1689"/>
      <c r="Z122" s="1689"/>
      <c r="AA122" s="1689"/>
      <c r="AB122" s="1689"/>
      <c r="AC122" s="1689"/>
      <c r="AD122" s="1689"/>
      <c r="AE122" s="1689"/>
      <c r="AF122" s="1689"/>
      <c r="AG122" s="1689"/>
      <c r="AH122" s="1689"/>
      <c r="AI122" s="1689"/>
      <c r="AJ122" s="1689"/>
      <c r="AK122" s="1689"/>
      <c r="AL122" s="1354"/>
      <c r="AM122" s="105" t="s">
        <v>2231</v>
      </c>
      <c r="AN122" s="106"/>
      <c r="AO122" s="106"/>
      <c r="AP122" s="106"/>
      <c r="AQ122" s="106"/>
      <c r="AR122" s="106"/>
      <c r="AS122" s="106"/>
      <c r="AT122" s="106"/>
      <c r="AU122" s="106"/>
      <c r="AV122" s="105"/>
      <c r="AW122" s="105"/>
      <c r="AX122" s="105"/>
      <c r="AY122" s="105"/>
      <c r="AZ122" s="105"/>
      <c r="BA122" s="103"/>
      <c r="BB122" s="105" t="s">
        <v>2690</v>
      </c>
      <c r="BC122" s="105"/>
      <c r="BD122" s="603"/>
      <c r="BE122" s="603"/>
      <c r="BF122" s="603"/>
      <c r="BG122" s="105"/>
      <c r="BH122" s="103"/>
      <c r="BI122" s="105" t="s">
        <v>2691</v>
      </c>
      <c r="BJ122" s="105"/>
      <c r="BK122" s="603"/>
      <c r="BL122" s="603"/>
      <c r="BM122" s="105"/>
      <c r="BN122" s="187"/>
    </row>
    <row r="123" spans="1:66" s="157" customFormat="1" ht="30" customHeight="1">
      <c r="A123" s="99"/>
      <c r="B123" s="109"/>
      <c r="C123" s="110"/>
      <c r="D123" s="110"/>
      <c r="E123" s="110"/>
      <c r="F123" s="110"/>
      <c r="G123" s="111"/>
      <c r="H123" s="111"/>
      <c r="I123" s="117"/>
      <c r="J123" s="695" t="s">
        <v>1666</v>
      </c>
      <c r="K123" s="152"/>
      <c r="L123" s="152"/>
      <c r="M123" s="152"/>
      <c r="N123" s="152"/>
      <c r="O123" s="152"/>
      <c r="P123" s="152"/>
      <c r="Q123" s="153"/>
      <c r="R123" s="696" t="s">
        <v>2</v>
      </c>
      <c r="S123" s="155"/>
      <c r="T123" s="155"/>
      <c r="U123" s="155"/>
      <c r="V123" s="156"/>
      <c r="W123" s="2663"/>
      <c r="X123" s="2502"/>
      <c r="Y123" s="2502"/>
      <c r="Z123" s="2502"/>
      <c r="AA123" s="2502"/>
      <c r="AB123" s="2502"/>
      <c r="AC123" s="2502"/>
      <c r="AD123" s="2502"/>
      <c r="AE123" s="2502"/>
      <c r="AF123" s="2502"/>
      <c r="AG123" s="2502"/>
      <c r="AH123" s="2502"/>
      <c r="AI123" s="2502"/>
      <c r="AJ123" s="2502"/>
      <c r="AK123" s="2502"/>
      <c r="AL123" s="2632"/>
      <c r="AM123" s="94"/>
      <c r="AN123" s="695" t="s">
        <v>1666</v>
      </c>
      <c r="AO123" s="152"/>
      <c r="AP123" s="152"/>
      <c r="AQ123" s="152"/>
      <c r="AR123" s="152"/>
      <c r="AS123" s="152"/>
      <c r="AT123" s="152"/>
      <c r="AU123" s="153"/>
      <c r="AV123" s="696" t="s">
        <v>2</v>
      </c>
      <c r="AW123" s="155"/>
      <c r="AX123" s="155"/>
      <c r="AY123" s="155"/>
      <c r="AZ123" s="156"/>
      <c r="BA123" s="2632"/>
      <c r="BB123" s="2633" t="s">
        <v>2785</v>
      </c>
      <c r="BC123" s="2633"/>
      <c r="BD123" s="2633" t="s">
        <v>2786</v>
      </c>
      <c r="BE123" s="2633"/>
      <c r="BF123" s="2633" t="s">
        <v>2693</v>
      </c>
      <c r="BG123" s="2639"/>
      <c r="BH123" s="2632"/>
      <c r="BI123" s="2633" t="s">
        <v>2785</v>
      </c>
      <c r="BJ123" s="2633"/>
      <c r="BK123" s="2633" t="s">
        <v>2786</v>
      </c>
      <c r="BL123" s="2633"/>
      <c r="BM123" s="2633" t="s">
        <v>2693</v>
      </c>
      <c r="BN123" s="2634"/>
    </row>
    <row r="124" spans="1:66" s="98" customFormat="1" ht="15" customHeight="1">
      <c r="A124" s="99"/>
      <c r="B124" s="115"/>
      <c r="C124" s="116"/>
      <c r="D124" s="116"/>
      <c r="E124" s="116"/>
      <c r="F124" s="116"/>
      <c r="G124" s="117"/>
      <c r="H124" s="117"/>
      <c r="I124" s="119" t="s">
        <v>1667</v>
      </c>
      <c r="J124" s="158" t="s">
        <v>453</v>
      </c>
      <c r="K124" s="137" t="s">
        <v>455</v>
      </c>
      <c r="L124" s="137" t="s">
        <v>457</v>
      </c>
      <c r="M124" s="137" t="s">
        <v>459</v>
      </c>
      <c r="N124" s="137" t="s">
        <v>461</v>
      </c>
      <c r="O124" s="137" t="s">
        <v>463</v>
      </c>
      <c r="P124" s="137" t="s">
        <v>465</v>
      </c>
      <c r="Q124" s="138" t="s">
        <v>467</v>
      </c>
      <c r="R124" s="120" t="s">
        <v>469</v>
      </c>
      <c r="S124" s="121" t="s">
        <v>471</v>
      </c>
      <c r="T124" s="121" t="s">
        <v>473</v>
      </c>
      <c r="U124" s="121" t="s">
        <v>475</v>
      </c>
      <c r="V124" s="122" t="s">
        <v>477</v>
      </c>
      <c r="W124" s="2664"/>
      <c r="X124" s="2503"/>
      <c r="Y124" s="2503"/>
      <c r="Z124" s="2503"/>
      <c r="AA124" s="2503"/>
      <c r="AB124" s="2503"/>
      <c r="AC124" s="2503"/>
      <c r="AD124" s="2503"/>
      <c r="AE124" s="2503"/>
      <c r="AF124" s="2503"/>
      <c r="AG124" s="2503"/>
      <c r="AH124" s="2503"/>
      <c r="AI124" s="2503"/>
      <c r="AJ124" s="2503"/>
      <c r="AK124" s="2503"/>
      <c r="AL124" s="2629"/>
      <c r="AM124" s="119" t="s">
        <v>1667</v>
      </c>
      <c r="AN124" s="158" t="s">
        <v>453</v>
      </c>
      <c r="AO124" s="137" t="s">
        <v>455</v>
      </c>
      <c r="AP124" s="137" t="s">
        <v>457</v>
      </c>
      <c r="AQ124" s="137" t="s">
        <v>459</v>
      </c>
      <c r="AR124" s="137" t="s">
        <v>461</v>
      </c>
      <c r="AS124" s="137" t="s">
        <v>463</v>
      </c>
      <c r="AT124" s="137" t="s">
        <v>465</v>
      </c>
      <c r="AU124" s="138" t="s">
        <v>467</v>
      </c>
      <c r="AV124" s="120" t="s">
        <v>469</v>
      </c>
      <c r="AW124" s="121" t="s">
        <v>471</v>
      </c>
      <c r="AX124" s="121" t="s">
        <v>473</v>
      </c>
      <c r="AY124" s="121" t="s">
        <v>475</v>
      </c>
      <c r="AZ124" s="122" t="s">
        <v>477</v>
      </c>
      <c r="BA124" s="2629"/>
      <c r="BB124" s="2635" t="s">
        <v>1667</v>
      </c>
      <c r="BC124" s="2635" t="s">
        <v>2142</v>
      </c>
      <c r="BD124" s="2635" t="s">
        <v>1667</v>
      </c>
      <c r="BE124" s="2635" t="s">
        <v>2142</v>
      </c>
      <c r="BF124" s="2642" t="s">
        <v>1667</v>
      </c>
      <c r="BG124" s="2635" t="s">
        <v>2142</v>
      </c>
      <c r="BH124" s="2629"/>
      <c r="BI124" s="2635" t="s">
        <v>1667</v>
      </c>
      <c r="BJ124" s="2635" t="s">
        <v>2142</v>
      </c>
      <c r="BK124" s="2635" t="s">
        <v>1667</v>
      </c>
      <c r="BL124" s="2635" t="s">
        <v>2142</v>
      </c>
      <c r="BM124" s="2635" t="s">
        <v>1667</v>
      </c>
      <c r="BN124" s="2636" t="s">
        <v>2142</v>
      </c>
    </row>
    <row r="125" spans="1:66" s="98" customFormat="1" ht="15" customHeight="1">
      <c r="A125" s="99"/>
      <c r="B125" s="115"/>
      <c r="C125" s="116" t="s">
        <v>1682</v>
      </c>
      <c r="D125" s="116"/>
      <c r="E125" s="116"/>
      <c r="F125" s="116"/>
      <c r="G125" s="117"/>
      <c r="H125" s="117"/>
      <c r="I125" s="92"/>
      <c r="J125" s="619"/>
      <c r="K125" s="93"/>
      <c r="L125" s="93"/>
      <c r="M125" s="93"/>
      <c r="N125" s="93"/>
      <c r="O125" s="93"/>
      <c r="P125" s="93"/>
      <c r="Q125" s="618"/>
      <c r="R125" s="619"/>
      <c r="S125" s="93"/>
      <c r="T125" s="93"/>
      <c r="U125" s="93"/>
      <c r="V125" s="618"/>
      <c r="W125" s="2664"/>
      <c r="X125" s="2503"/>
      <c r="Y125" s="2503"/>
      <c r="Z125" s="2503"/>
      <c r="AA125" s="2503"/>
      <c r="AB125" s="2503"/>
      <c r="AC125" s="2503"/>
      <c r="AD125" s="2503"/>
      <c r="AE125" s="2503"/>
      <c r="AF125" s="2503"/>
      <c r="AG125" s="2503"/>
      <c r="AH125" s="2503"/>
      <c r="AI125" s="2503"/>
      <c r="AJ125" s="2503"/>
      <c r="AK125" s="2503"/>
      <c r="AL125" s="2629"/>
      <c r="AM125" s="93"/>
      <c r="AN125" s="619"/>
      <c r="AO125" s="93"/>
      <c r="AP125" s="93"/>
      <c r="AQ125" s="93"/>
      <c r="AR125" s="93"/>
      <c r="AS125" s="93"/>
      <c r="AT125" s="93"/>
      <c r="AU125" s="618"/>
      <c r="AV125" s="619"/>
      <c r="AW125" s="93"/>
      <c r="AX125" s="93"/>
      <c r="AY125" s="93"/>
      <c r="AZ125" s="618"/>
      <c r="BA125" s="2629"/>
      <c r="BB125" s="2665"/>
      <c r="BC125" s="2665"/>
      <c r="BD125" s="2665"/>
      <c r="BE125" s="2665"/>
      <c r="BF125" s="2665"/>
      <c r="BG125" s="2665"/>
      <c r="BH125" s="2629"/>
      <c r="BI125" s="2665"/>
      <c r="BJ125" s="2665"/>
      <c r="BK125" s="2665"/>
      <c r="BL125" s="2665"/>
      <c r="BM125" s="2665"/>
      <c r="BN125" s="2666"/>
    </row>
    <row r="126" spans="1:66" s="98" customFormat="1" ht="15" customHeight="1">
      <c r="A126" s="99"/>
      <c r="B126" s="161"/>
      <c r="C126" s="185"/>
      <c r="D126" s="116" t="s">
        <v>2521</v>
      </c>
      <c r="E126" s="116"/>
      <c r="F126" s="116"/>
      <c r="G126" s="117"/>
      <c r="H126" s="117"/>
      <c r="I126" s="117"/>
      <c r="J126" s="159"/>
      <c r="K126" s="94"/>
      <c r="L126" s="94"/>
      <c r="M126" s="94"/>
      <c r="N126" s="94"/>
      <c r="O126" s="94"/>
      <c r="P126" s="94"/>
      <c r="Q126" s="160"/>
      <c r="R126" s="159"/>
      <c r="S126" s="94"/>
      <c r="T126" s="94"/>
      <c r="U126" s="94"/>
      <c r="V126" s="160"/>
      <c r="W126" s="2664"/>
      <c r="X126" s="2503"/>
      <c r="Y126" s="2503"/>
      <c r="Z126" s="2503"/>
      <c r="AA126" s="2503"/>
      <c r="AB126" s="2503"/>
      <c r="AC126" s="2503"/>
      <c r="AD126" s="2503"/>
      <c r="AE126" s="2503"/>
      <c r="AF126" s="2503"/>
      <c r="AG126" s="2503"/>
      <c r="AH126" s="2503"/>
      <c r="AI126" s="2503"/>
      <c r="AJ126" s="2503"/>
      <c r="AK126" s="2503"/>
      <c r="AL126" s="2629"/>
      <c r="AM126" s="94"/>
      <c r="AN126" s="159"/>
      <c r="AO126" s="94"/>
      <c r="AP126" s="94"/>
      <c r="AQ126" s="94"/>
      <c r="AR126" s="94"/>
      <c r="AS126" s="94"/>
      <c r="AT126" s="94"/>
      <c r="AU126" s="160"/>
      <c r="AV126" s="159"/>
      <c r="AW126" s="94"/>
      <c r="AX126" s="94"/>
      <c r="AY126" s="94"/>
      <c r="AZ126" s="160"/>
      <c r="BA126" s="2629"/>
      <c r="BB126" s="359"/>
      <c r="BC126" s="542"/>
      <c r="BD126" s="542"/>
      <c r="BE126" s="542"/>
      <c r="BF126" s="542"/>
      <c r="BG126" s="542"/>
      <c r="BH126" s="2629"/>
      <c r="BI126" s="359"/>
      <c r="BJ126" s="542"/>
      <c r="BK126" s="542"/>
      <c r="BL126" s="542"/>
      <c r="BM126" s="542"/>
      <c r="BN126" s="544"/>
    </row>
    <row r="127" spans="1:66" s="98" customFormat="1" ht="15" customHeight="1">
      <c r="A127" s="99"/>
      <c r="B127" s="161"/>
      <c r="C127" s="185"/>
      <c r="D127" s="162"/>
      <c r="E127" s="230" t="s">
        <v>2787</v>
      </c>
      <c r="F127" s="230"/>
      <c r="G127" s="163"/>
      <c r="H127" s="163"/>
      <c r="I127" s="164" t="s">
        <v>498</v>
      </c>
      <c r="J127" s="143">
        <v>0.13063420212003957</v>
      </c>
      <c r="K127" s="141">
        <v>0.10257804201433542</v>
      </c>
      <c r="L127" s="141">
        <v>0.15549070607487234</v>
      </c>
      <c r="M127" s="141">
        <v>1.0482035998641986E-2</v>
      </c>
      <c r="N127" s="141">
        <v>1.9504066007676096E-2</v>
      </c>
      <c r="O127" s="141">
        <v>3.0022610061174008E-2</v>
      </c>
      <c r="P127" s="141">
        <v>7.8726588610551568E-2</v>
      </c>
      <c r="Q127" s="144">
        <v>5.830381240125098E-2</v>
      </c>
      <c r="R127" s="143">
        <v>6.7794889534959268E-2</v>
      </c>
      <c r="S127" s="141">
        <v>6.7455915087284476E-2</v>
      </c>
      <c r="T127" s="141">
        <v>6.711863551184806E-2</v>
      </c>
      <c r="U127" s="141">
        <v>6.678304233428882E-2</v>
      </c>
      <c r="V127" s="144">
        <v>6.6449127122617371E-2</v>
      </c>
      <c r="W127" s="2664"/>
      <c r="X127" s="2503"/>
      <c r="Y127" s="2503"/>
      <c r="Z127" s="2503"/>
      <c r="AA127" s="2503"/>
      <c r="AB127" s="2503"/>
      <c r="AC127" s="2503"/>
      <c r="AD127" s="2503"/>
      <c r="AE127" s="2503"/>
      <c r="AF127" s="2503"/>
      <c r="AG127" s="2503"/>
      <c r="AH127" s="2503"/>
      <c r="AI127" s="2503"/>
      <c r="AJ127" s="2503"/>
      <c r="AK127" s="2503"/>
      <c r="AL127" s="2629"/>
      <c r="AM127" s="607" t="s">
        <v>1876</v>
      </c>
      <c r="AN127" s="165">
        <v>193</v>
      </c>
      <c r="AO127" s="166">
        <v>163</v>
      </c>
      <c r="AP127" s="166">
        <v>328</v>
      </c>
      <c r="AQ127" s="166">
        <v>30</v>
      </c>
      <c r="AR127" s="166">
        <v>65</v>
      </c>
      <c r="AS127" s="166">
        <v>85</v>
      </c>
      <c r="AT127" s="166">
        <v>149.29310723274773</v>
      </c>
      <c r="AU127" s="167"/>
      <c r="AV127" s="165">
        <v>130.60809348625838</v>
      </c>
      <c r="AW127" s="166">
        <v>130.60809348625838</v>
      </c>
      <c r="AX127" s="166">
        <v>130.60809348625838</v>
      </c>
      <c r="AY127" s="166">
        <v>130.60809348625838</v>
      </c>
      <c r="AZ127" s="167">
        <v>130.60809348625838</v>
      </c>
      <c r="BA127" s="2629"/>
      <c r="BB127" s="545" t="s">
        <v>2788</v>
      </c>
      <c r="BC127" s="188">
        <v>0</v>
      </c>
      <c r="BD127" s="545" t="s">
        <v>627</v>
      </c>
      <c r="BE127" s="188">
        <v>0</v>
      </c>
      <c r="BF127" s="607" t="s">
        <v>627</v>
      </c>
      <c r="BG127" s="868">
        <v>0</v>
      </c>
      <c r="BH127" s="2629"/>
      <c r="BI127" s="545" t="s">
        <v>2788</v>
      </c>
      <c r="BJ127" s="188">
        <v>0</v>
      </c>
      <c r="BK127" s="545" t="s">
        <v>627</v>
      </c>
      <c r="BL127" s="188">
        <v>0</v>
      </c>
      <c r="BM127" s="607" t="s">
        <v>627</v>
      </c>
      <c r="BN127" s="872">
        <v>0</v>
      </c>
    </row>
    <row r="128" spans="1:66" s="98" customFormat="1" ht="15" customHeight="1">
      <c r="A128" s="99"/>
      <c r="B128" s="161"/>
      <c r="C128" s="185"/>
      <c r="D128" s="162"/>
      <c r="E128" s="162" t="s">
        <v>1555</v>
      </c>
      <c r="F128" s="162"/>
      <c r="G128" s="163"/>
      <c r="H128" s="163"/>
      <c r="I128" s="164" t="s">
        <v>498</v>
      </c>
      <c r="J128" s="143">
        <v>8.629840230152494E-3</v>
      </c>
      <c r="K128" s="141">
        <v>5.514948495394377E-3</v>
      </c>
      <c r="L128" s="141">
        <v>1.8384330860397965E-2</v>
      </c>
      <c r="M128" s="141">
        <v>4.5977925495712226E-3</v>
      </c>
      <c r="N128" s="141">
        <v>5.8061315502953479E-4</v>
      </c>
      <c r="O128" s="141">
        <v>1.1613647115800781E-3</v>
      </c>
      <c r="P128" s="141">
        <v>7.1466276091055611E-3</v>
      </c>
      <c r="Q128" s="144">
        <v>5.0626166214476388E-3</v>
      </c>
      <c r="R128" s="143">
        <v>3.7386117289093176E-2</v>
      </c>
      <c r="S128" s="141">
        <v>3.7199186702647713E-2</v>
      </c>
      <c r="T128" s="141">
        <v>3.7013190769134473E-2</v>
      </c>
      <c r="U128" s="141">
        <v>3.6828124815288799E-2</v>
      </c>
      <c r="V128" s="144">
        <v>3.6643984191212356E-2</v>
      </c>
      <c r="W128" s="2664"/>
      <c r="X128" s="2503"/>
      <c r="Y128" s="2503"/>
      <c r="Z128" s="2503"/>
      <c r="AA128" s="2503"/>
      <c r="AB128" s="2503"/>
      <c r="AC128" s="2503"/>
      <c r="AD128" s="2503"/>
      <c r="AE128" s="2503"/>
      <c r="AF128" s="2503"/>
      <c r="AG128" s="2503"/>
      <c r="AH128" s="2503"/>
      <c r="AI128" s="2503"/>
      <c r="AJ128" s="2503"/>
      <c r="AK128" s="2503"/>
      <c r="AL128" s="2629"/>
      <c r="AM128" s="607" t="s">
        <v>1876</v>
      </c>
      <c r="AN128" s="165">
        <v>32</v>
      </c>
      <c r="AO128" s="166">
        <v>18</v>
      </c>
      <c r="AP128" s="166">
        <v>52</v>
      </c>
      <c r="AQ128" s="166">
        <v>12</v>
      </c>
      <c r="AR128" s="166">
        <v>3</v>
      </c>
      <c r="AS128" s="166">
        <v>7</v>
      </c>
      <c r="AT128" s="166">
        <v>22.453944167880383</v>
      </c>
      <c r="AU128" s="167"/>
      <c r="AV128" s="165">
        <v>87.072062324172251</v>
      </c>
      <c r="AW128" s="166">
        <v>87.072062324172251</v>
      </c>
      <c r="AX128" s="166">
        <v>87.072062324172251</v>
      </c>
      <c r="AY128" s="166">
        <v>87.072062324172251</v>
      </c>
      <c r="AZ128" s="167">
        <v>87.072062324172251</v>
      </c>
      <c r="BA128" s="2629"/>
      <c r="BB128" s="2629"/>
      <c r="BC128" s="2629"/>
      <c r="BD128" s="2629"/>
      <c r="BE128" s="2629"/>
      <c r="BF128" s="542"/>
      <c r="BG128" s="542"/>
      <c r="BH128" s="2629"/>
      <c r="BI128" s="2629"/>
      <c r="BJ128" s="2629"/>
      <c r="BK128" s="2629"/>
      <c r="BL128" s="2629"/>
      <c r="BM128" s="542"/>
      <c r="BN128" s="544"/>
    </row>
    <row r="129" spans="1:66" s="98" customFormat="1" ht="15" customHeight="1">
      <c r="A129" s="99"/>
      <c r="B129" s="161"/>
      <c r="C129" s="185"/>
      <c r="D129" s="116" t="s">
        <v>2427</v>
      </c>
      <c r="E129" s="116"/>
      <c r="F129" s="116"/>
      <c r="G129" s="117"/>
      <c r="H129" s="117"/>
      <c r="I129" s="117"/>
      <c r="J129" s="713"/>
      <c r="K129" s="2649"/>
      <c r="L129" s="2649"/>
      <c r="M129" s="2649"/>
      <c r="N129" s="2649"/>
      <c r="O129" s="2649"/>
      <c r="P129" s="2649"/>
      <c r="Q129" s="715"/>
      <c r="R129" s="713"/>
      <c r="S129" s="2649"/>
      <c r="T129" s="2649"/>
      <c r="U129" s="2649"/>
      <c r="V129" s="715"/>
      <c r="W129" s="2664"/>
      <c r="X129" s="2503"/>
      <c r="Y129" s="2503"/>
      <c r="Z129" s="2503"/>
      <c r="AA129" s="2503"/>
      <c r="AB129" s="2503"/>
      <c r="AC129" s="2503"/>
      <c r="AD129" s="2503"/>
      <c r="AE129" s="2503"/>
      <c r="AF129" s="2503"/>
      <c r="AG129" s="2503"/>
      <c r="AH129" s="2503"/>
      <c r="AI129" s="2503"/>
      <c r="AJ129" s="2503"/>
      <c r="AK129" s="2503"/>
      <c r="AL129" s="2629"/>
      <c r="AM129" s="94"/>
      <c r="AN129" s="159"/>
      <c r="AO129" s="94"/>
      <c r="AP129" s="94"/>
      <c r="AQ129" s="94"/>
      <c r="AR129" s="94"/>
      <c r="AS129" s="94"/>
      <c r="AT129" s="94"/>
      <c r="AU129" s="160"/>
      <c r="AV129" s="159"/>
      <c r="AW129" s="94"/>
      <c r="AX129" s="94"/>
      <c r="AY129" s="94"/>
      <c r="AZ129" s="160"/>
      <c r="BA129" s="2629"/>
      <c r="BB129" s="359"/>
      <c r="BC129" s="542"/>
      <c r="BD129" s="542"/>
      <c r="BE129" s="542"/>
      <c r="BF129" s="542"/>
      <c r="BG129" s="542"/>
      <c r="BH129" s="2629"/>
      <c r="BI129" s="359"/>
      <c r="BJ129" s="542"/>
      <c r="BK129" s="542"/>
      <c r="BL129" s="542"/>
      <c r="BM129" s="542"/>
      <c r="BN129" s="544"/>
    </row>
    <row r="130" spans="1:66" s="98" customFormat="1" ht="15" customHeight="1">
      <c r="A130" s="99"/>
      <c r="B130" s="161"/>
      <c r="C130" s="185"/>
      <c r="D130" s="162"/>
      <c r="E130" s="230" t="s">
        <v>2787</v>
      </c>
      <c r="F130" s="230"/>
      <c r="G130" s="163"/>
      <c r="H130" s="163"/>
      <c r="I130" s="164" t="s">
        <v>498</v>
      </c>
      <c r="J130" s="143">
        <v>5.2685009233718839E-3</v>
      </c>
      <c r="K130" s="141">
        <v>7.7209278935521279E-3</v>
      </c>
      <c r="L130" s="141">
        <v>1.0681559662678825E-2</v>
      </c>
      <c r="M130" s="141">
        <v>1.0595813754076739E-2</v>
      </c>
      <c r="N130" s="141">
        <v>0</v>
      </c>
      <c r="O130" s="141">
        <v>0</v>
      </c>
      <c r="P130" s="141">
        <v>8.4411918746102529E-3</v>
      </c>
      <c r="Q130" s="144">
        <v>5.7489124875685655E-3</v>
      </c>
      <c r="R130" s="143">
        <v>1.1311836041737374E-2</v>
      </c>
      <c r="S130" s="141">
        <v>1.1255276861528687E-2</v>
      </c>
      <c r="T130" s="141">
        <v>1.1199000477221043E-2</v>
      </c>
      <c r="U130" s="141">
        <v>1.1143005474834938E-2</v>
      </c>
      <c r="V130" s="144">
        <v>1.1087290447460763E-2</v>
      </c>
      <c r="W130" s="2664"/>
      <c r="X130" s="2503"/>
      <c r="Y130" s="2503"/>
      <c r="Z130" s="2503"/>
      <c r="AA130" s="2503"/>
      <c r="AB130" s="2503"/>
      <c r="AC130" s="2503"/>
      <c r="AD130" s="2503"/>
      <c r="AE130" s="2503"/>
      <c r="AF130" s="2503"/>
      <c r="AG130" s="2503"/>
      <c r="AH130" s="2503"/>
      <c r="AI130" s="2503"/>
      <c r="AJ130" s="2503"/>
      <c r="AK130" s="2503"/>
      <c r="AL130" s="2629"/>
      <c r="AM130" s="607" t="s">
        <v>1876</v>
      </c>
      <c r="AN130" s="165">
        <v>1</v>
      </c>
      <c r="AO130" s="166">
        <v>3</v>
      </c>
      <c r="AP130" s="166">
        <v>2</v>
      </c>
      <c r="AQ130" s="166">
        <v>1</v>
      </c>
      <c r="AR130" s="166">
        <v>0</v>
      </c>
      <c r="AS130" s="166"/>
      <c r="AT130" s="166">
        <v>1.698244329075163</v>
      </c>
      <c r="AU130" s="167"/>
      <c r="AV130" s="165">
        <v>0.64190651374161434</v>
      </c>
      <c r="AW130" s="166">
        <v>0.64190651374161434</v>
      </c>
      <c r="AX130" s="166">
        <v>0.64190651374161434</v>
      </c>
      <c r="AY130" s="166">
        <v>0.64190651374161434</v>
      </c>
      <c r="AZ130" s="167">
        <v>0.64190651374161434</v>
      </c>
      <c r="BA130" s="2629"/>
      <c r="BB130" s="545" t="s">
        <v>2788</v>
      </c>
      <c r="BC130" s="188">
        <v>0</v>
      </c>
      <c r="BD130" s="545" t="s">
        <v>627</v>
      </c>
      <c r="BE130" s="188">
        <v>0</v>
      </c>
      <c r="BF130" s="607" t="s">
        <v>627</v>
      </c>
      <c r="BG130" s="868">
        <v>0</v>
      </c>
      <c r="BH130" s="2629"/>
      <c r="BI130" s="545" t="s">
        <v>2788</v>
      </c>
      <c r="BJ130" s="188">
        <v>0</v>
      </c>
      <c r="BK130" s="545" t="s">
        <v>627</v>
      </c>
      <c r="BL130" s="188">
        <v>0</v>
      </c>
      <c r="BM130" s="607" t="s">
        <v>627</v>
      </c>
      <c r="BN130" s="872">
        <v>0</v>
      </c>
    </row>
    <row r="131" spans="1:66" s="98" customFormat="1" ht="15" customHeight="1">
      <c r="A131" s="99"/>
      <c r="B131" s="161"/>
      <c r="C131" s="185"/>
      <c r="D131" s="162"/>
      <c r="E131" s="162" t="s">
        <v>1555</v>
      </c>
      <c r="F131" s="162"/>
      <c r="G131" s="163"/>
      <c r="H131" s="163"/>
      <c r="I131" s="164" t="s">
        <v>498</v>
      </c>
      <c r="J131" s="143">
        <v>0</v>
      </c>
      <c r="K131" s="141">
        <v>0</v>
      </c>
      <c r="L131" s="141">
        <v>3.5354482423842238E-4</v>
      </c>
      <c r="M131" s="141">
        <v>3.8314937913093531E-4</v>
      </c>
      <c r="N131" s="141">
        <v>0</v>
      </c>
      <c r="O131" s="141">
        <v>0</v>
      </c>
      <c r="P131" s="141">
        <v>1.6714827328406128E-4</v>
      </c>
      <c r="Q131" s="144">
        <v>1.3508669087663111E-4</v>
      </c>
      <c r="R131" s="143">
        <v>1.8374353051789878E-4</v>
      </c>
      <c r="S131" s="141">
        <v>1.8282481286530929E-4</v>
      </c>
      <c r="T131" s="141">
        <v>1.8191068880098275E-4</v>
      </c>
      <c r="U131" s="141">
        <v>1.8100113535697782E-4</v>
      </c>
      <c r="V131" s="144">
        <v>1.8009612968019294E-4</v>
      </c>
      <c r="W131" s="2664"/>
      <c r="X131" s="2503"/>
      <c r="Y131" s="2503"/>
      <c r="Z131" s="2503"/>
      <c r="AA131" s="2503"/>
      <c r="AB131" s="2503"/>
      <c r="AC131" s="2503"/>
      <c r="AD131" s="2503"/>
      <c r="AE131" s="2503"/>
      <c r="AF131" s="2503"/>
      <c r="AG131" s="2503"/>
      <c r="AH131" s="2503"/>
      <c r="AI131" s="2503"/>
      <c r="AJ131" s="2503"/>
      <c r="AK131" s="2503"/>
      <c r="AL131" s="2629"/>
      <c r="AM131" s="607" t="s">
        <v>1876</v>
      </c>
      <c r="AN131" s="165">
        <v>0</v>
      </c>
      <c r="AO131" s="166">
        <v>0</v>
      </c>
      <c r="AP131" s="166">
        <v>1</v>
      </c>
      <c r="AQ131" s="166">
        <v>1</v>
      </c>
      <c r="AR131" s="166">
        <v>0</v>
      </c>
      <c r="AS131" s="166"/>
      <c r="AT131" s="166">
        <v>0.44690640238820073</v>
      </c>
      <c r="AU131" s="167"/>
      <c r="AV131" s="165">
        <v>0.42793767582774289</v>
      </c>
      <c r="AW131" s="166">
        <v>0.42793767582774289</v>
      </c>
      <c r="AX131" s="166">
        <v>0.42793767582774289</v>
      </c>
      <c r="AY131" s="166">
        <v>0.42793767582774289</v>
      </c>
      <c r="AZ131" s="167">
        <v>0.42793767582774289</v>
      </c>
      <c r="BA131" s="2629"/>
      <c r="BB131" s="2629"/>
      <c r="BC131" s="2629"/>
      <c r="BD131" s="2629"/>
      <c r="BE131" s="2629"/>
      <c r="BF131" s="542"/>
      <c r="BG131" s="542"/>
      <c r="BH131" s="2629"/>
      <c r="BI131" s="2629"/>
      <c r="BJ131" s="2629"/>
      <c r="BK131" s="2629"/>
      <c r="BL131" s="2629"/>
      <c r="BM131" s="542"/>
      <c r="BN131" s="544"/>
    </row>
    <row r="132" spans="1:66" s="98" customFormat="1" ht="15" customHeight="1">
      <c r="A132" s="99"/>
      <c r="B132" s="161"/>
      <c r="C132" s="116"/>
      <c r="D132" s="116"/>
      <c r="E132" s="116"/>
      <c r="F132" s="116"/>
      <c r="G132" s="117"/>
      <c r="H132" s="117"/>
      <c r="I132" s="117"/>
      <c r="J132" s="713"/>
      <c r="K132" s="2649"/>
      <c r="L132" s="2649"/>
      <c r="M132" s="2649"/>
      <c r="N132" s="2649"/>
      <c r="O132" s="2649"/>
      <c r="P132" s="2649"/>
      <c r="Q132" s="715"/>
      <c r="R132" s="713"/>
      <c r="S132" s="2649"/>
      <c r="T132" s="2649"/>
      <c r="U132" s="2649"/>
      <c r="V132" s="715"/>
      <c r="W132" s="2664"/>
      <c r="X132" s="2503"/>
      <c r="Y132" s="2503"/>
      <c r="Z132" s="2503"/>
      <c r="AA132" s="2503"/>
      <c r="AB132" s="2503"/>
      <c r="AC132" s="2503"/>
      <c r="AD132" s="2503"/>
      <c r="AE132" s="2503"/>
      <c r="AF132" s="2503"/>
      <c r="AG132" s="2503"/>
      <c r="AH132" s="2503"/>
      <c r="AI132" s="2503"/>
      <c r="AJ132" s="2503"/>
      <c r="AK132" s="2503"/>
      <c r="AL132" s="2629"/>
      <c r="AM132" s="94"/>
      <c r="AN132" s="159"/>
      <c r="AO132" s="94"/>
      <c r="AP132" s="94"/>
      <c r="AQ132" s="94"/>
      <c r="AR132" s="94"/>
      <c r="AS132" s="94"/>
      <c r="AT132" s="94"/>
      <c r="AU132" s="160"/>
      <c r="AV132" s="159"/>
      <c r="AW132" s="94"/>
      <c r="AX132" s="94"/>
      <c r="AY132" s="94"/>
      <c r="AZ132" s="160"/>
      <c r="BA132" s="2629"/>
      <c r="BB132" s="359"/>
      <c r="BC132" s="542"/>
      <c r="BD132" s="542"/>
      <c r="BE132" s="542"/>
      <c r="BF132" s="542"/>
      <c r="BG132" s="542"/>
      <c r="BH132" s="2629"/>
      <c r="BI132" s="359"/>
      <c r="BJ132" s="542"/>
      <c r="BK132" s="542"/>
      <c r="BL132" s="542"/>
      <c r="BM132" s="542"/>
      <c r="BN132" s="544"/>
    </row>
    <row r="133" spans="1:66" s="98" customFormat="1" ht="15" customHeight="1">
      <c r="A133" s="99"/>
      <c r="B133" s="115"/>
      <c r="C133" s="116" t="s">
        <v>1683</v>
      </c>
      <c r="D133" s="116"/>
      <c r="E133" s="116"/>
      <c r="F133" s="116"/>
      <c r="G133" s="117"/>
      <c r="H133" s="117"/>
      <c r="I133" s="92"/>
      <c r="J133" s="619"/>
      <c r="K133" s="93"/>
      <c r="L133" s="93"/>
      <c r="M133" s="93"/>
      <c r="N133" s="93"/>
      <c r="O133" s="93"/>
      <c r="P133" s="93"/>
      <c r="Q133" s="618"/>
      <c r="R133" s="619"/>
      <c r="S133" s="93"/>
      <c r="T133" s="93"/>
      <c r="U133" s="93"/>
      <c r="V133" s="618"/>
      <c r="W133" s="2664"/>
      <c r="X133" s="2503"/>
      <c r="Y133" s="2503"/>
      <c r="Z133" s="2503"/>
      <c r="AA133" s="2503"/>
      <c r="AB133" s="2503"/>
      <c r="AC133" s="2503"/>
      <c r="AD133" s="2503"/>
      <c r="AE133" s="2503"/>
      <c r="AF133" s="2503"/>
      <c r="AG133" s="2503"/>
      <c r="AH133" s="2503"/>
      <c r="AI133" s="2503"/>
      <c r="AJ133" s="2503"/>
      <c r="AK133" s="2503"/>
      <c r="AL133" s="2629"/>
      <c r="AM133" s="93"/>
      <c r="AN133" s="619"/>
      <c r="AO133" s="93"/>
      <c r="AP133" s="93"/>
      <c r="AQ133" s="93"/>
      <c r="AR133" s="93"/>
      <c r="AS133" s="93"/>
      <c r="AT133" s="93"/>
      <c r="AU133" s="618"/>
      <c r="AV133" s="619"/>
      <c r="AW133" s="93"/>
      <c r="AX133" s="93"/>
      <c r="AY133" s="93"/>
      <c r="AZ133" s="618"/>
      <c r="BA133" s="2629"/>
      <c r="BB133" s="2665"/>
      <c r="BC133" s="2665"/>
      <c r="BD133" s="2665"/>
      <c r="BE133" s="2665"/>
      <c r="BF133" s="2665"/>
      <c r="BG133" s="2665"/>
      <c r="BH133" s="2629"/>
      <c r="BI133" s="2665"/>
      <c r="BJ133" s="2665"/>
      <c r="BK133" s="2665"/>
      <c r="BL133" s="2665"/>
      <c r="BM133" s="2665"/>
      <c r="BN133" s="2666"/>
    </row>
    <row r="134" spans="1:66" s="98" customFormat="1" ht="15" customHeight="1">
      <c r="A134" s="99"/>
      <c r="B134" s="161"/>
      <c r="C134" s="185"/>
      <c r="D134" s="116" t="s">
        <v>2521</v>
      </c>
      <c r="E134" s="116"/>
      <c r="F134" s="116"/>
      <c r="G134" s="117"/>
      <c r="H134" s="117"/>
      <c r="I134" s="117"/>
      <c r="J134" s="159"/>
      <c r="K134" s="94"/>
      <c r="L134" s="94"/>
      <c r="M134" s="94"/>
      <c r="N134" s="94"/>
      <c r="O134" s="94"/>
      <c r="P134" s="94"/>
      <c r="Q134" s="160"/>
      <c r="R134" s="159"/>
      <c r="S134" s="94"/>
      <c r="T134" s="94"/>
      <c r="U134" s="94"/>
      <c r="V134" s="160"/>
      <c r="W134" s="2664"/>
      <c r="X134" s="2503"/>
      <c r="Y134" s="2503"/>
      <c r="Z134" s="2503"/>
      <c r="AA134" s="2503"/>
      <c r="AB134" s="2503"/>
      <c r="AC134" s="2503"/>
      <c r="AD134" s="2503"/>
      <c r="AE134" s="2503"/>
      <c r="AF134" s="2503"/>
      <c r="AG134" s="2503"/>
      <c r="AH134" s="2503"/>
      <c r="AI134" s="2503"/>
      <c r="AJ134" s="2503"/>
      <c r="AK134" s="2503"/>
      <c r="AL134" s="2629"/>
      <c r="AM134" s="94"/>
      <c r="AN134" s="159"/>
      <c r="AO134" s="94"/>
      <c r="AP134" s="94"/>
      <c r="AQ134" s="94"/>
      <c r="AR134" s="94"/>
      <c r="AS134" s="94"/>
      <c r="AT134" s="94"/>
      <c r="AU134" s="160"/>
      <c r="AV134" s="159"/>
      <c r="AW134" s="94"/>
      <c r="AX134" s="94"/>
      <c r="AY134" s="94"/>
      <c r="AZ134" s="160"/>
      <c r="BA134" s="2629"/>
      <c r="BB134" s="359"/>
      <c r="BC134" s="542"/>
      <c r="BD134" s="542"/>
      <c r="BE134" s="542"/>
      <c r="BF134" s="542"/>
      <c r="BG134" s="542"/>
      <c r="BH134" s="2629"/>
      <c r="BI134" s="359"/>
      <c r="BJ134" s="542"/>
      <c r="BK134" s="542"/>
      <c r="BL134" s="542"/>
      <c r="BM134" s="542"/>
      <c r="BN134" s="544"/>
    </row>
    <row r="135" spans="1:66" s="98" customFormat="1" ht="15" customHeight="1">
      <c r="A135" s="99"/>
      <c r="B135" s="161"/>
      <c r="C135" s="185"/>
      <c r="D135" s="162"/>
      <c r="E135" s="230" t="s">
        <v>2787</v>
      </c>
      <c r="F135" s="230"/>
      <c r="G135" s="163"/>
      <c r="H135" s="163"/>
      <c r="I135" s="164" t="s">
        <v>498</v>
      </c>
      <c r="J135" s="143">
        <v>0</v>
      </c>
      <c r="K135" s="141">
        <v>0</v>
      </c>
      <c r="L135" s="141">
        <v>0</v>
      </c>
      <c r="M135" s="141">
        <v>0</v>
      </c>
      <c r="N135" s="141">
        <v>0</v>
      </c>
      <c r="O135" s="141">
        <v>0</v>
      </c>
      <c r="P135" s="141">
        <v>0</v>
      </c>
      <c r="Q135" s="144">
        <v>0</v>
      </c>
      <c r="R135" s="143">
        <v>0</v>
      </c>
      <c r="S135" s="141">
        <v>0</v>
      </c>
      <c r="T135" s="141">
        <v>0</v>
      </c>
      <c r="U135" s="141">
        <v>0</v>
      </c>
      <c r="V135" s="144">
        <v>0</v>
      </c>
      <c r="W135" s="2664"/>
      <c r="X135" s="2503"/>
      <c r="Y135" s="2503"/>
      <c r="Z135" s="2503"/>
      <c r="AA135" s="2503"/>
      <c r="AB135" s="2503"/>
      <c r="AC135" s="2503"/>
      <c r="AD135" s="2503"/>
      <c r="AE135" s="2503"/>
      <c r="AF135" s="2503"/>
      <c r="AG135" s="2503"/>
      <c r="AH135" s="2503"/>
      <c r="AI135" s="2503"/>
      <c r="AJ135" s="2503"/>
      <c r="AK135" s="2503"/>
      <c r="AL135" s="2629"/>
      <c r="AM135" s="607" t="s">
        <v>1876</v>
      </c>
      <c r="AN135" s="165">
        <v>0</v>
      </c>
      <c r="AO135" s="166">
        <v>0</v>
      </c>
      <c r="AP135" s="166">
        <v>0</v>
      </c>
      <c r="AQ135" s="166">
        <v>0</v>
      </c>
      <c r="AR135" s="166">
        <v>0</v>
      </c>
      <c r="AS135" s="166">
        <v>0</v>
      </c>
      <c r="AT135" s="166">
        <v>0</v>
      </c>
      <c r="AU135" s="167">
        <v>0</v>
      </c>
      <c r="AV135" s="165">
        <v>0</v>
      </c>
      <c r="AW135" s="166">
        <v>0</v>
      </c>
      <c r="AX135" s="166">
        <v>0</v>
      </c>
      <c r="AY135" s="166">
        <v>0</v>
      </c>
      <c r="AZ135" s="167">
        <v>0</v>
      </c>
      <c r="BA135" s="2629"/>
      <c r="BB135" s="545" t="s">
        <v>2788</v>
      </c>
      <c r="BC135" s="188">
        <v>0</v>
      </c>
      <c r="BD135" s="545" t="s">
        <v>627</v>
      </c>
      <c r="BE135" s="188">
        <v>0</v>
      </c>
      <c r="BF135" s="607" t="s">
        <v>627</v>
      </c>
      <c r="BG135" s="868">
        <v>0</v>
      </c>
      <c r="BH135" s="2629"/>
      <c r="BI135" s="545" t="s">
        <v>2788</v>
      </c>
      <c r="BJ135" s="188">
        <v>0</v>
      </c>
      <c r="BK135" s="545" t="s">
        <v>627</v>
      </c>
      <c r="BL135" s="188">
        <v>0</v>
      </c>
      <c r="BM135" s="607" t="s">
        <v>627</v>
      </c>
      <c r="BN135" s="872">
        <v>0</v>
      </c>
    </row>
    <row r="136" spans="1:66" s="98" customFormat="1" ht="15" customHeight="1">
      <c r="A136" s="99"/>
      <c r="B136" s="161"/>
      <c r="C136" s="185"/>
      <c r="D136" s="162"/>
      <c r="E136" s="162" t="s">
        <v>1555</v>
      </c>
      <c r="F136" s="162"/>
      <c r="G136" s="163"/>
      <c r="H136" s="163"/>
      <c r="I136" s="164" t="s">
        <v>498</v>
      </c>
      <c r="J136" s="143">
        <v>0</v>
      </c>
      <c r="K136" s="141">
        <v>0</v>
      </c>
      <c r="L136" s="141">
        <v>0</v>
      </c>
      <c r="M136" s="141">
        <v>0</v>
      </c>
      <c r="N136" s="141">
        <v>0</v>
      </c>
      <c r="O136" s="141">
        <v>0</v>
      </c>
      <c r="P136" s="141">
        <v>0</v>
      </c>
      <c r="Q136" s="144">
        <v>0</v>
      </c>
      <c r="R136" s="143">
        <v>0</v>
      </c>
      <c r="S136" s="141">
        <v>0</v>
      </c>
      <c r="T136" s="141">
        <v>0</v>
      </c>
      <c r="U136" s="141">
        <v>0</v>
      </c>
      <c r="V136" s="144">
        <v>0</v>
      </c>
      <c r="W136" s="2664"/>
      <c r="X136" s="2503"/>
      <c r="Y136" s="2503"/>
      <c r="Z136" s="2503"/>
      <c r="AA136" s="2503"/>
      <c r="AB136" s="2503"/>
      <c r="AC136" s="2503"/>
      <c r="AD136" s="2503"/>
      <c r="AE136" s="2503"/>
      <c r="AF136" s="2503"/>
      <c r="AG136" s="2503"/>
      <c r="AH136" s="2503"/>
      <c r="AI136" s="2503"/>
      <c r="AJ136" s="2503"/>
      <c r="AK136" s="2503"/>
      <c r="AL136" s="2629"/>
      <c r="AM136" s="607" t="s">
        <v>1876</v>
      </c>
      <c r="AN136" s="165">
        <v>0</v>
      </c>
      <c r="AO136" s="166">
        <v>0</v>
      </c>
      <c r="AP136" s="166">
        <v>0</v>
      </c>
      <c r="AQ136" s="166">
        <v>0</v>
      </c>
      <c r="AR136" s="166">
        <v>0</v>
      </c>
      <c r="AS136" s="166">
        <v>0</v>
      </c>
      <c r="AT136" s="166">
        <v>0</v>
      </c>
      <c r="AU136" s="167">
        <v>0</v>
      </c>
      <c r="AV136" s="165">
        <v>0</v>
      </c>
      <c r="AW136" s="166">
        <v>0</v>
      </c>
      <c r="AX136" s="166">
        <v>0</v>
      </c>
      <c r="AY136" s="166">
        <v>0</v>
      </c>
      <c r="AZ136" s="167">
        <v>0</v>
      </c>
      <c r="BA136" s="2629"/>
      <c r="BB136" s="2629"/>
      <c r="BC136" s="2629"/>
      <c r="BD136" s="2629"/>
      <c r="BE136" s="2629"/>
      <c r="BF136" s="542"/>
      <c r="BG136" s="542"/>
      <c r="BH136" s="2629"/>
      <c r="BI136" s="2629"/>
      <c r="BJ136" s="2629"/>
      <c r="BK136" s="2629"/>
      <c r="BL136" s="2629"/>
      <c r="BM136" s="542"/>
      <c r="BN136" s="544"/>
    </row>
    <row r="137" spans="1:66" s="98" customFormat="1" ht="15" customHeight="1">
      <c r="A137" s="99"/>
      <c r="B137" s="161"/>
      <c r="C137" s="185"/>
      <c r="D137" s="116" t="s">
        <v>2427</v>
      </c>
      <c r="E137" s="116"/>
      <c r="F137" s="116"/>
      <c r="G137" s="117"/>
      <c r="H137" s="117"/>
      <c r="I137" s="117"/>
      <c r="J137" s="713"/>
      <c r="K137" s="2649"/>
      <c r="L137" s="2649"/>
      <c r="M137" s="2649"/>
      <c r="N137" s="2649"/>
      <c r="O137" s="2649"/>
      <c r="P137" s="2649"/>
      <c r="Q137" s="715"/>
      <c r="R137" s="713"/>
      <c r="S137" s="2649"/>
      <c r="T137" s="2649"/>
      <c r="U137" s="2649"/>
      <c r="V137" s="715"/>
      <c r="W137" s="2664"/>
      <c r="X137" s="2503"/>
      <c r="Y137" s="2503"/>
      <c r="Z137" s="2503"/>
      <c r="AA137" s="2503"/>
      <c r="AB137" s="2503"/>
      <c r="AC137" s="2503"/>
      <c r="AD137" s="2503"/>
      <c r="AE137" s="2503"/>
      <c r="AF137" s="2503"/>
      <c r="AG137" s="2503"/>
      <c r="AH137" s="2503"/>
      <c r="AI137" s="2503"/>
      <c r="AJ137" s="2503"/>
      <c r="AK137" s="2503"/>
      <c r="AL137" s="2629"/>
      <c r="AM137" s="94"/>
      <c r="AN137" s="159"/>
      <c r="AO137" s="94"/>
      <c r="AP137" s="94"/>
      <c r="AQ137" s="94"/>
      <c r="AR137" s="94"/>
      <c r="AS137" s="94"/>
      <c r="AT137" s="94"/>
      <c r="AU137" s="160"/>
      <c r="AV137" s="159"/>
      <c r="AW137" s="94"/>
      <c r="AX137" s="94"/>
      <c r="AY137" s="94"/>
      <c r="AZ137" s="160"/>
      <c r="BA137" s="2629"/>
      <c r="BB137" s="359"/>
      <c r="BC137" s="542"/>
      <c r="BD137" s="542"/>
      <c r="BE137" s="542"/>
      <c r="BF137" s="542"/>
      <c r="BG137" s="542"/>
      <c r="BH137" s="2629"/>
      <c r="BI137" s="359"/>
      <c r="BJ137" s="542"/>
      <c r="BK137" s="542"/>
      <c r="BL137" s="542"/>
      <c r="BM137" s="542"/>
      <c r="BN137" s="544"/>
    </row>
    <row r="138" spans="1:66" s="98" customFormat="1" ht="15" customHeight="1">
      <c r="A138" s="99"/>
      <c r="B138" s="161"/>
      <c r="C138" s="185"/>
      <c r="D138" s="162"/>
      <c r="E138" s="230" t="s">
        <v>2787</v>
      </c>
      <c r="F138" s="230"/>
      <c r="G138" s="163"/>
      <c r="H138" s="163"/>
      <c r="I138" s="164" t="s">
        <v>498</v>
      </c>
      <c r="J138" s="143">
        <v>0</v>
      </c>
      <c r="K138" s="141">
        <v>0</v>
      </c>
      <c r="L138" s="141">
        <v>0</v>
      </c>
      <c r="M138" s="141">
        <v>0</v>
      </c>
      <c r="N138" s="141">
        <v>0</v>
      </c>
      <c r="O138" s="141">
        <v>0</v>
      </c>
      <c r="P138" s="141">
        <v>0</v>
      </c>
      <c r="Q138" s="144">
        <v>0</v>
      </c>
      <c r="R138" s="143">
        <v>0</v>
      </c>
      <c r="S138" s="141">
        <v>0</v>
      </c>
      <c r="T138" s="141">
        <v>0</v>
      </c>
      <c r="U138" s="141">
        <v>0</v>
      </c>
      <c r="V138" s="144">
        <v>0</v>
      </c>
      <c r="W138" s="2664"/>
      <c r="X138" s="2503"/>
      <c r="Y138" s="2503"/>
      <c r="Z138" s="2503"/>
      <c r="AA138" s="2503"/>
      <c r="AB138" s="2503"/>
      <c r="AC138" s="2503"/>
      <c r="AD138" s="2503"/>
      <c r="AE138" s="2503"/>
      <c r="AF138" s="2503"/>
      <c r="AG138" s="2503"/>
      <c r="AH138" s="2503"/>
      <c r="AI138" s="2503"/>
      <c r="AJ138" s="2503"/>
      <c r="AK138" s="2503"/>
      <c r="AL138" s="2629"/>
      <c r="AM138" s="607" t="s">
        <v>1876</v>
      </c>
      <c r="AN138" s="165">
        <v>0</v>
      </c>
      <c r="AO138" s="166">
        <v>0</v>
      </c>
      <c r="AP138" s="166">
        <v>0</v>
      </c>
      <c r="AQ138" s="166">
        <v>0</v>
      </c>
      <c r="AR138" s="166">
        <v>0</v>
      </c>
      <c r="AS138" s="166">
        <v>0</v>
      </c>
      <c r="AT138" s="166">
        <v>0</v>
      </c>
      <c r="AU138" s="167">
        <v>0</v>
      </c>
      <c r="AV138" s="165">
        <v>0</v>
      </c>
      <c r="AW138" s="166">
        <v>0</v>
      </c>
      <c r="AX138" s="166">
        <v>0</v>
      </c>
      <c r="AY138" s="166">
        <v>0</v>
      </c>
      <c r="AZ138" s="167">
        <v>0</v>
      </c>
      <c r="BA138" s="2629"/>
      <c r="BB138" s="545" t="s">
        <v>2788</v>
      </c>
      <c r="BC138" s="188">
        <v>0</v>
      </c>
      <c r="BD138" s="545" t="s">
        <v>627</v>
      </c>
      <c r="BE138" s="188">
        <v>0</v>
      </c>
      <c r="BF138" s="607" t="s">
        <v>627</v>
      </c>
      <c r="BG138" s="868">
        <v>0</v>
      </c>
      <c r="BH138" s="2629"/>
      <c r="BI138" s="545" t="s">
        <v>2788</v>
      </c>
      <c r="BJ138" s="188">
        <v>0</v>
      </c>
      <c r="BK138" s="545" t="s">
        <v>627</v>
      </c>
      <c r="BL138" s="188">
        <v>0</v>
      </c>
      <c r="BM138" s="607" t="s">
        <v>627</v>
      </c>
      <c r="BN138" s="872">
        <v>0</v>
      </c>
    </row>
    <row r="139" spans="1:66" s="98" customFormat="1" ht="15" customHeight="1">
      <c r="A139" s="99"/>
      <c r="B139" s="161"/>
      <c r="C139" s="185"/>
      <c r="D139" s="162"/>
      <c r="E139" s="162" t="s">
        <v>1555</v>
      </c>
      <c r="F139" s="162"/>
      <c r="G139" s="163"/>
      <c r="H139" s="163"/>
      <c r="I139" s="164" t="s">
        <v>498</v>
      </c>
      <c r="J139" s="143">
        <v>0</v>
      </c>
      <c r="K139" s="141">
        <v>0</v>
      </c>
      <c r="L139" s="141">
        <v>0</v>
      </c>
      <c r="M139" s="141">
        <v>0</v>
      </c>
      <c r="N139" s="141">
        <v>0</v>
      </c>
      <c r="O139" s="141">
        <v>0</v>
      </c>
      <c r="P139" s="141">
        <v>0</v>
      </c>
      <c r="Q139" s="144">
        <v>0</v>
      </c>
      <c r="R139" s="143">
        <v>0</v>
      </c>
      <c r="S139" s="141">
        <v>0</v>
      </c>
      <c r="T139" s="141">
        <v>0</v>
      </c>
      <c r="U139" s="141">
        <v>0</v>
      </c>
      <c r="V139" s="144">
        <v>0</v>
      </c>
      <c r="W139" s="2664"/>
      <c r="X139" s="2503"/>
      <c r="Y139" s="2503"/>
      <c r="Z139" s="2503"/>
      <c r="AA139" s="2503"/>
      <c r="AB139" s="2503"/>
      <c r="AC139" s="2503"/>
      <c r="AD139" s="2503"/>
      <c r="AE139" s="2503"/>
      <c r="AF139" s="2503"/>
      <c r="AG139" s="2503"/>
      <c r="AH139" s="2503"/>
      <c r="AI139" s="2503"/>
      <c r="AJ139" s="2503"/>
      <c r="AK139" s="2503"/>
      <c r="AL139" s="2629"/>
      <c r="AM139" s="607" t="s">
        <v>1876</v>
      </c>
      <c r="AN139" s="165">
        <v>0</v>
      </c>
      <c r="AO139" s="166">
        <v>0</v>
      </c>
      <c r="AP139" s="166">
        <v>0</v>
      </c>
      <c r="AQ139" s="166">
        <v>0</v>
      </c>
      <c r="AR139" s="166">
        <v>0</v>
      </c>
      <c r="AS139" s="166">
        <v>0</v>
      </c>
      <c r="AT139" s="166">
        <v>0</v>
      </c>
      <c r="AU139" s="167">
        <v>0</v>
      </c>
      <c r="AV139" s="165">
        <v>0</v>
      </c>
      <c r="AW139" s="166">
        <v>0</v>
      </c>
      <c r="AX139" s="166">
        <v>0</v>
      </c>
      <c r="AY139" s="166">
        <v>0</v>
      </c>
      <c r="AZ139" s="167">
        <v>0</v>
      </c>
      <c r="BA139" s="2629"/>
      <c r="BB139" s="2629"/>
      <c r="BC139" s="2629"/>
      <c r="BD139" s="2629"/>
      <c r="BE139" s="2629"/>
      <c r="BF139" s="542"/>
      <c r="BG139" s="542"/>
      <c r="BH139" s="2629"/>
      <c r="BI139" s="2629"/>
      <c r="BJ139" s="2629"/>
      <c r="BK139" s="2629"/>
      <c r="BL139" s="2629"/>
      <c r="BM139" s="542"/>
      <c r="BN139" s="544"/>
    </row>
    <row r="140" spans="1:66" s="98" customFormat="1" ht="15" customHeight="1">
      <c r="A140" s="99"/>
      <c r="B140" s="161"/>
      <c r="C140" s="116"/>
      <c r="D140" s="116"/>
      <c r="E140" s="116"/>
      <c r="F140" s="116"/>
      <c r="G140" s="117"/>
      <c r="H140" s="117"/>
      <c r="I140" s="117"/>
      <c r="J140" s="713"/>
      <c r="K140" s="2649"/>
      <c r="L140" s="2649"/>
      <c r="M140" s="2649"/>
      <c r="N140" s="2649"/>
      <c r="O140" s="2649"/>
      <c r="P140" s="2649"/>
      <c r="Q140" s="715"/>
      <c r="R140" s="713"/>
      <c r="S140" s="2649"/>
      <c r="T140" s="2649"/>
      <c r="U140" s="2649"/>
      <c r="V140" s="715"/>
      <c r="W140" s="2664"/>
      <c r="X140" s="2503"/>
      <c r="Y140" s="2503"/>
      <c r="Z140" s="2503"/>
      <c r="AA140" s="2503"/>
      <c r="AB140" s="2503"/>
      <c r="AC140" s="2503"/>
      <c r="AD140" s="2503"/>
      <c r="AE140" s="2503"/>
      <c r="AF140" s="2503"/>
      <c r="AG140" s="2503"/>
      <c r="AH140" s="2503"/>
      <c r="AI140" s="2503"/>
      <c r="AJ140" s="2503"/>
      <c r="AK140" s="2503"/>
      <c r="AL140" s="2629"/>
      <c r="AM140" s="94"/>
      <c r="AN140" s="159"/>
      <c r="AO140" s="94"/>
      <c r="AP140" s="94"/>
      <c r="AQ140" s="94"/>
      <c r="AR140" s="94"/>
      <c r="AS140" s="94"/>
      <c r="AT140" s="94"/>
      <c r="AU140" s="160"/>
      <c r="AV140" s="159"/>
      <c r="AW140" s="94"/>
      <c r="AX140" s="94"/>
      <c r="AY140" s="94"/>
      <c r="AZ140" s="160"/>
      <c r="BA140" s="2629"/>
      <c r="BB140" s="359"/>
      <c r="BC140" s="542"/>
      <c r="BD140" s="542"/>
      <c r="BE140" s="542"/>
      <c r="BF140" s="542"/>
      <c r="BG140" s="542"/>
      <c r="BH140" s="2629"/>
      <c r="BI140" s="359"/>
      <c r="BJ140" s="542"/>
      <c r="BK140" s="542"/>
      <c r="BL140" s="542"/>
      <c r="BM140" s="542"/>
      <c r="BN140" s="544"/>
    </row>
    <row r="141" spans="1:66" s="98" customFormat="1" ht="15" customHeight="1">
      <c r="A141" s="99"/>
      <c r="B141" s="115"/>
      <c r="C141" s="116" t="s">
        <v>1684</v>
      </c>
      <c r="D141" s="116"/>
      <c r="E141" s="116"/>
      <c r="F141" s="116"/>
      <c r="G141" s="117"/>
      <c r="H141" s="117"/>
      <c r="I141" s="92"/>
      <c r="J141" s="619"/>
      <c r="K141" s="93"/>
      <c r="L141" s="93"/>
      <c r="M141" s="93"/>
      <c r="N141" s="93"/>
      <c r="O141" s="93"/>
      <c r="P141" s="93"/>
      <c r="Q141" s="618"/>
      <c r="R141" s="619"/>
      <c r="S141" s="93"/>
      <c r="T141" s="93"/>
      <c r="U141" s="93"/>
      <c r="V141" s="618"/>
      <c r="W141" s="2664"/>
      <c r="X141" s="2503"/>
      <c r="Y141" s="2503"/>
      <c r="Z141" s="2503"/>
      <c r="AA141" s="2503"/>
      <c r="AB141" s="2503"/>
      <c r="AC141" s="2503"/>
      <c r="AD141" s="2503"/>
      <c r="AE141" s="2503"/>
      <c r="AF141" s="2503"/>
      <c r="AG141" s="2503"/>
      <c r="AH141" s="2503"/>
      <c r="AI141" s="2503"/>
      <c r="AJ141" s="2503"/>
      <c r="AK141" s="2503"/>
      <c r="AL141" s="2629"/>
      <c r="AM141" s="93"/>
      <c r="AN141" s="619"/>
      <c r="AO141" s="93"/>
      <c r="AP141" s="93"/>
      <c r="AQ141" s="93"/>
      <c r="AR141" s="93"/>
      <c r="AS141" s="93"/>
      <c r="AT141" s="93"/>
      <c r="AU141" s="618"/>
      <c r="AV141" s="619"/>
      <c r="AW141" s="93"/>
      <c r="AX141" s="93"/>
      <c r="AY141" s="93"/>
      <c r="AZ141" s="618"/>
      <c r="BA141" s="2629"/>
      <c r="BB141" s="2665"/>
      <c r="BC141" s="2665"/>
      <c r="BD141" s="2665"/>
      <c r="BE141" s="2665"/>
      <c r="BF141" s="2665"/>
      <c r="BG141" s="2665"/>
      <c r="BH141" s="2629"/>
      <c r="BI141" s="2665"/>
      <c r="BJ141" s="2665"/>
      <c r="BK141" s="2665"/>
      <c r="BL141" s="2665"/>
      <c r="BM141" s="2665"/>
      <c r="BN141" s="2666"/>
    </row>
    <row r="142" spans="1:66" s="98" customFormat="1" ht="15" customHeight="1">
      <c r="A142" s="99"/>
      <c r="B142" s="161"/>
      <c r="C142" s="185"/>
      <c r="D142" s="116" t="s">
        <v>2521</v>
      </c>
      <c r="E142" s="116"/>
      <c r="F142" s="116"/>
      <c r="G142" s="117"/>
      <c r="H142" s="117"/>
      <c r="I142" s="117"/>
      <c r="J142" s="159"/>
      <c r="K142" s="94"/>
      <c r="L142" s="94"/>
      <c r="M142" s="94"/>
      <c r="N142" s="94"/>
      <c r="O142" s="94"/>
      <c r="P142" s="94"/>
      <c r="Q142" s="160"/>
      <c r="R142" s="159"/>
      <c r="S142" s="94"/>
      <c r="T142" s="94"/>
      <c r="U142" s="94"/>
      <c r="V142" s="160"/>
      <c r="W142" s="2664"/>
      <c r="X142" s="2503"/>
      <c r="Y142" s="2503"/>
      <c r="Z142" s="2503"/>
      <c r="AA142" s="2503"/>
      <c r="AB142" s="2503"/>
      <c r="AC142" s="2503"/>
      <c r="AD142" s="2503"/>
      <c r="AE142" s="2503"/>
      <c r="AF142" s="2503"/>
      <c r="AG142" s="2503"/>
      <c r="AH142" s="2503"/>
      <c r="AI142" s="2503"/>
      <c r="AJ142" s="2503"/>
      <c r="AK142" s="2503"/>
      <c r="AL142" s="2629"/>
      <c r="AM142" s="94"/>
      <c r="AN142" s="159"/>
      <c r="AO142" s="94"/>
      <c r="AP142" s="94"/>
      <c r="AQ142" s="94"/>
      <c r="AR142" s="94"/>
      <c r="AS142" s="94"/>
      <c r="AT142" s="94"/>
      <c r="AU142" s="160"/>
      <c r="AV142" s="159"/>
      <c r="AW142" s="94"/>
      <c r="AX142" s="94"/>
      <c r="AY142" s="94"/>
      <c r="AZ142" s="160"/>
      <c r="BA142" s="2629"/>
      <c r="BB142" s="359"/>
      <c r="BC142" s="542"/>
      <c r="BD142" s="542"/>
      <c r="BE142" s="542"/>
      <c r="BF142" s="542"/>
      <c r="BG142" s="542"/>
      <c r="BH142" s="2629"/>
      <c r="BI142" s="359"/>
      <c r="BJ142" s="542"/>
      <c r="BK142" s="542"/>
      <c r="BL142" s="542"/>
      <c r="BM142" s="542"/>
      <c r="BN142" s="544"/>
    </row>
    <row r="143" spans="1:66" s="98" customFormat="1" ht="15" customHeight="1">
      <c r="A143" s="99"/>
      <c r="B143" s="161"/>
      <c r="C143" s="185"/>
      <c r="D143" s="162"/>
      <c r="E143" s="230" t="s">
        <v>2787</v>
      </c>
      <c r="F143" s="230"/>
      <c r="G143" s="163"/>
      <c r="H143" s="163"/>
      <c r="I143" s="164" t="s">
        <v>498</v>
      </c>
      <c r="J143" s="143">
        <v>0</v>
      </c>
      <c r="K143" s="141">
        <v>0</v>
      </c>
      <c r="L143" s="141">
        <v>0</v>
      </c>
      <c r="M143" s="141">
        <v>0</v>
      </c>
      <c r="N143" s="141">
        <v>0</v>
      </c>
      <c r="O143" s="141">
        <v>0</v>
      </c>
      <c r="P143" s="141">
        <v>0</v>
      </c>
      <c r="Q143" s="144">
        <v>0</v>
      </c>
      <c r="R143" s="143">
        <v>0</v>
      </c>
      <c r="S143" s="141">
        <v>0</v>
      </c>
      <c r="T143" s="141">
        <v>0</v>
      </c>
      <c r="U143" s="141">
        <v>0</v>
      </c>
      <c r="V143" s="144">
        <v>0</v>
      </c>
      <c r="W143" s="2664"/>
      <c r="X143" s="2503"/>
      <c r="Y143" s="2503"/>
      <c r="Z143" s="2503"/>
      <c r="AA143" s="2503"/>
      <c r="AB143" s="2503"/>
      <c r="AC143" s="2503"/>
      <c r="AD143" s="2503"/>
      <c r="AE143" s="2503"/>
      <c r="AF143" s="2503"/>
      <c r="AG143" s="2503"/>
      <c r="AH143" s="2503"/>
      <c r="AI143" s="2503"/>
      <c r="AJ143" s="2503"/>
      <c r="AK143" s="2503"/>
      <c r="AL143" s="2629"/>
      <c r="AM143" s="607" t="s">
        <v>1876</v>
      </c>
      <c r="AN143" s="165">
        <v>0</v>
      </c>
      <c r="AO143" s="166">
        <v>0</v>
      </c>
      <c r="AP143" s="166">
        <v>0</v>
      </c>
      <c r="AQ143" s="166">
        <v>0</v>
      </c>
      <c r="AR143" s="166">
        <v>0</v>
      </c>
      <c r="AS143" s="166">
        <v>0</v>
      </c>
      <c r="AT143" s="166">
        <v>0</v>
      </c>
      <c r="AU143" s="167">
        <v>0</v>
      </c>
      <c r="AV143" s="165">
        <v>0</v>
      </c>
      <c r="AW143" s="166">
        <v>0</v>
      </c>
      <c r="AX143" s="166">
        <v>0</v>
      </c>
      <c r="AY143" s="166">
        <v>0</v>
      </c>
      <c r="AZ143" s="167">
        <v>0</v>
      </c>
      <c r="BA143" s="2629"/>
      <c r="BB143" s="545" t="s">
        <v>2788</v>
      </c>
      <c r="BC143" s="188">
        <v>0</v>
      </c>
      <c r="BD143" s="545" t="s">
        <v>627</v>
      </c>
      <c r="BE143" s="188">
        <v>0</v>
      </c>
      <c r="BF143" s="607" t="s">
        <v>627</v>
      </c>
      <c r="BG143" s="868">
        <v>0</v>
      </c>
      <c r="BH143" s="2629"/>
      <c r="BI143" s="545" t="s">
        <v>2788</v>
      </c>
      <c r="BJ143" s="188">
        <v>0</v>
      </c>
      <c r="BK143" s="545" t="s">
        <v>627</v>
      </c>
      <c r="BL143" s="188">
        <v>0</v>
      </c>
      <c r="BM143" s="607" t="s">
        <v>627</v>
      </c>
      <c r="BN143" s="872">
        <v>0</v>
      </c>
    </row>
    <row r="144" spans="1:66" s="98" customFormat="1" ht="15" customHeight="1">
      <c r="A144" s="99"/>
      <c r="B144" s="161"/>
      <c r="C144" s="185"/>
      <c r="D144" s="162"/>
      <c r="E144" s="162" t="s">
        <v>1555</v>
      </c>
      <c r="F144" s="162"/>
      <c r="G144" s="163"/>
      <c r="H144" s="163"/>
      <c r="I144" s="164" t="s">
        <v>498</v>
      </c>
      <c r="J144" s="143">
        <v>0</v>
      </c>
      <c r="K144" s="141">
        <v>0</v>
      </c>
      <c r="L144" s="141">
        <v>0</v>
      </c>
      <c r="M144" s="141">
        <v>0</v>
      </c>
      <c r="N144" s="141">
        <v>0</v>
      </c>
      <c r="O144" s="141">
        <v>0</v>
      </c>
      <c r="P144" s="141">
        <v>0</v>
      </c>
      <c r="Q144" s="144">
        <v>0</v>
      </c>
      <c r="R144" s="143">
        <v>0</v>
      </c>
      <c r="S144" s="141">
        <v>0</v>
      </c>
      <c r="T144" s="141">
        <v>0</v>
      </c>
      <c r="U144" s="141">
        <v>0</v>
      </c>
      <c r="V144" s="144">
        <v>0</v>
      </c>
      <c r="W144" s="2664"/>
      <c r="X144" s="2503"/>
      <c r="Y144" s="2503"/>
      <c r="Z144" s="2503"/>
      <c r="AA144" s="2503"/>
      <c r="AB144" s="2503"/>
      <c r="AC144" s="2503"/>
      <c r="AD144" s="2503"/>
      <c r="AE144" s="2503"/>
      <c r="AF144" s="2503"/>
      <c r="AG144" s="2503"/>
      <c r="AH144" s="2503"/>
      <c r="AI144" s="2503"/>
      <c r="AJ144" s="2503"/>
      <c r="AK144" s="2503"/>
      <c r="AL144" s="2629"/>
      <c r="AM144" s="607" t="s">
        <v>1876</v>
      </c>
      <c r="AN144" s="165">
        <v>0</v>
      </c>
      <c r="AO144" s="166">
        <v>0</v>
      </c>
      <c r="AP144" s="166">
        <v>0</v>
      </c>
      <c r="AQ144" s="166">
        <v>0</v>
      </c>
      <c r="AR144" s="166">
        <v>0</v>
      </c>
      <c r="AS144" s="166">
        <v>0</v>
      </c>
      <c r="AT144" s="166">
        <v>0</v>
      </c>
      <c r="AU144" s="167">
        <v>0</v>
      </c>
      <c r="AV144" s="165">
        <v>0</v>
      </c>
      <c r="AW144" s="166">
        <v>0</v>
      </c>
      <c r="AX144" s="166">
        <v>0</v>
      </c>
      <c r="AY144" s="166">
        <v>0</v>
      </c>
      <c r="AZ144" s="167">
        <v>0</v>
      </c>
      <c r="BA144" s="2629"/>
      <c r="BB144" s="2629"/>
      <c r="BC144" s="2629"/>
      <c r="BD144" s="2629"/>
      <c r="BE144" s="2629"/>
      <c r="BF144" s="542"/>
      <c r="BG144" s="542"/>
      <c r="BH144" s="2629"/>
      <c r="BI144" s="2629"/>
      <c r="BJ144" s="2629"/>
      <c r="BK144" s="2629"/>
      <c r="BL144" s="2629"/>
      <c r="BM144" s="542"/>
      <c r="BN144" s="544"/>
    </row>
    <row r="145" spans="1:66" s="98" customFormat="1" ht="15" customHeight="1">
      <c r="A145" s="99"/>
      <c r="B145" s="161"/>
      <c r="C145" s="185"/>
      <c r="D145" s="116" t="s">
        <v>2427</v>
      </c>
      <c r="E145" s="116"/>
      <c r="F145" s="116"/>
      <c r="G145" s="117"/>
      <c r="H145" s="117"/>
      <c r="I145" s="117"/>
      <c r="J145" s="713"/>
      <c r="K145" s="2649"/>
      <c r="L145" s="2649"/>
      <c r="M145" s="2649"/>
      <c r="N145" s="2649"/>
      <c r="O145" s="2649"/>
      <c r="P145" s="2649"/>
      <c r="Q145" s="715"/>
      <c r="R145" s="713"/>
      <c r="S145" s="2649"/>
      <c r="T145" s="2649"/>
      <c r="U145" s="2649"/>
      <c r="V145" s="715"/>
      <c r="W145" s="2664"/>
      <c r="X145" s="2503"/>
      <c r="Y145" s="2503"/>
      <c r="Z145" s="2503"/>
      <c r="AA145" s="2503"/>
      <c r="AB145" s="2503"/>
      <c r="AC145" s="2503"/>
      <c r="AD145" s="2503"/>
      <c r="AE145" s="2503"/>
      <c r="AF145" s="2503"/>
      <c r="AG145" s="2503"/>
      <c r="AH145" s="2503"/>
      <c r="AI145" s="2503"/>
      <c r="AJ145" s="2503"/>
      <c r="AK145" s="2503"/>
      <c r="AL145" s="2629"/>
      <c r="AM145" s="94"/>
      <c r="AN145" s="159"/>
      <c r="AO145" s="94"/>
      <c r="AP145" s="94"/>
      <c r="AQ145" s="94"/>
      <c r="AR145" s="94"/>
      <c r="AS145" s="94"/>
      <c r="AT145" s="94"/>
      <c r="AU145" s="160"/>
      <c r="AV145" s="159"/>
      <c r="AW145" s="94"/>
      <c r="AX145" s="94"/>
      <c r="AY145" s="94"/>
      <c r="AZ145" s="160"/>
      <c r="BA145" s="2629"/>
      <c r="BB145" s="359"/>
      <c r="BC145" s="542"/>
      <c r="BD145" s="542"/>
      <c r="BE145" s="542"/>
      <c r="BF145" s="542"/>
      <c r="BG145" s="542"/>
      <c r="BH145" s="2629"/>
      <c r="BI145" s="359"/>
      <c r="BJ145" s="542"/>
      <c r="BK145" s="542"/>
      <c r="BL145" s="542"/>
      <c r="BM145" s="542"/>
      <c r="BN145" s="544"/>
    </row>
    <row r="146" spans="1:66" s="98" customFormat="1" ht="15" customHeight="1">
      <c r="A146" s="99"/>
      <c r="B146" s="161"/>
      <c r="C146" s="185"/>
      <c r="D146" s="162"/>
      <c r="E146" s="230" t="s">
        <v>2787</v>
      </c>
      <c r="F146" s="230"/>
      <c r="G146" s="163"/>
      <c r="H146" s="163"/>
      <c r="I146" s="164" t="s">
        <v>498</v>
      </c>
      <c r="J146" s="143">
        <v>0</v>
      </c>
      <c r="K146" s="141">
        <v>0</v>
      </c>
      <c r="L146" s="141">
        <v>0</v>
      </c>
      <c r="M146" s="141">
        <v>0</v>
      </c>
      <c r="N146" s="141">
        <v>0</v>
      </c>
      <c r="O146" s="141">
        <v>0</v>
      </c>
      <c r="P146" s="141">
        <v>0</v>
      </c>
      <c r="Q146" s="144">
        <v>0</v>
      </c>
      <c r="R146" s="143">
        <v>0</v>
      </c>
      <c r="S146" s="141">
        <v>0</v>
      </c>
      <c r="T146" s="141">
        <v>0</v>
      </c>
      <c r="U146" s="141">
        <v>0</v>
      </c>
      <c r="V146" s="144">
        <v>0</v>
      </c>
      <c r="W146" s="2664"/>
      <c r="X146" s="2503"/>
      <c r="Y146" s="2503"/>
      <c r="Z146" s="2503"/>
      <c r="AA146" s="2503"/>
      <c r="AB146" s="2503"/>
      <c r="AC146" s="2503"/>
      <c r="AD146" s="2503"/>
      <c r="AE146" s="2503"/>
      <c r="AF146" s="2503"/>
      <c r="AG146" s="2503"/>
      <c r="AH146" s="2503"/>
      <c r="AI146" s="2503"/>
      <c r="AJ146" s="2503"/>
      <c r="AK146" s="2503"/>
      <c r="AL146" s="2629"/>
      <c r="AM146" s="607" t="s">
        <v>1876</v>
      </c>
      <c r="AN146" s="165">
        <v>0</v>
      </c>
      <c r="AO146" s="166">
        <v>0</v>
      </c>
      <c r="AP146" s="166">
        <v>0</v>
      </c>
      <c r="AQ146" s="166">
        <v>0</v>
      </c>
      <c r="AR146" s="166">
        <v>0</v>
      </c>
      <c r="AS146" s="166">
        <v>0</v>
      </c>
      <c r="AT146" s="166">
        <v>0</v>
      </c>
      <c r="AU146" s="167">
        <v>0</v>
      </c>
      <c r="AV146" s="165">
        <v>0</v>
      </c>
      <c r="AW146" s="166">
        <v>0</v>
      </c>
      <c r="AX146" s="166">
        <v>0</v>
      </c>
      <c r="AY146" s="166">
        <v>0</v>
      </c>
      <c r="AZ146" s="167">
        <v>0</v>
      </c>
      <c r="BA146" s="2629"/>
      <c r="BB146" s="545" t="s">
        <v>2788</v>
      </c>
      <c r="BC146" s="188">
        <v>0</v>
      </c>
      <c r="BD146" s="545" t="s">
        <v>627</v>
      </c>
      <c r="BE146" s="188">
        <v>0</v>
      </c>
      <c r="BF146" s="607" t="s">
        <v>627</v>
      </c>
      <c r="BG146" s="868">
        <v>0</v>
      </c>
      <c r="BH146" s="2629"/>
      <c r="BI146" s="545" t="s">
        <v>2788</v>
      </c>
      <c r="BJ146" s="188">
        <v>0</v>
      </c>
      <c r="BK146" s="545" t="s">
        <v>627</v>
      </c>
      <c r="BL146" s="188">
        <v>0</v>
      </c>
      <c r="BM146" s="607" t="s">
        <v>627</v>
      </c>
      <c r="BN146" s="872">
        <v>0</v>
      </c>
    </row>
    <row r="147" spans="1:66" s="98" customFormat="1" ht="15" customHeight="1">
      <c r="A147" s="99"/>
      <c r="B147" s="161"/>
      <c r="C147" s="185"/>
      <c r="D147" s="162"/>
      <c r="E147" s="162" t="s">
        <v>1555</v>
      </c>
      <c r="F147" s="162"/>
      <c r="G147" s="163"/>
      <c r="H147" s="163"/>
      <c r="I147" s="164" t="s">
        <v>498</v>
      </c>
      <c r="J147" s="143">
        <v>0</v>
      </c>
      <c r="K147" s="141">
        <v>0</v>
      </c>
      <c r="L147" s="141">
        <v>0</v>
      </c>
      <c r="M147" s="141">
        <v>0</v>
      </c>
      <c r="N147" s="141">
        <v>0</v>
      </c>
      <c r="O147" s="141">
        <v>0</v>
      </c>
      <c r="P147" s="141">
        <v>0</v>
      </c>
      <c r="Q147" s="144">
        <v>0</v>
      </c>
      <c r="R147" s="143">
        <v>0</v>
      </c>
      <c r="S147" s="141">
        <v>0</v>
      </c>
      <c r="T147" s="141">
        <v>0</v>
      </c>
      <c r="U147" s="141">
        <v>0</v>
      </c>
      <c r="V147" s="144">
        <v>0</v>
      </c>
      <c r="W147" s="2664"/>
      <c r="X147" s="2503"/>
      <c r="Y147" s="2503"/>
      <c r="Z147" s="2503"/>
      <c r="AA147" s="2503"/>
      <c r="AB147" s="2503"/>
      <c r="AC147" s="2503"/>
      <c r="AD147" s="2503"/>
      <c r="AE147" s="2503"/>
      <c r="AF147" s="2503"/>
      <c r="AG147" s="2503"/>
      <c r="AH147" s="2503"/>
      <c r="AI147" s="2503"/>
      <c r="AJ147" s="2503"/>
      <c r="AK147" s="2503"/>
      <c r="AL147" s="2629"/>
      <c r="AM147" s="607" t="s">
        <v>1876</v>
      </c>
      <c r="AN147" s="165">
        <v>0</v>
      </c>
      <c r="AO147" s="166">
        <v>0</v>
      </c>
      <c r="AP147" s="166">
        <v>0</v>
      </c>
      <c r="AQ147" s="166">
        <v>0</v>
      </c>
      <c r="AR147" s="166">
        <v>0</v>
      </c>
      <c r="AS147" s="166">
        <v>0</v>
      </c>
      <c r="AT147" s="166">
        <v>0</v>
      </c>
      <c r="AU147" s="167">
        <v>0</v>
      </c>
      <c r="AV147" s="165">
        <v>0</v>
      </c>
      <c r="AW147" s="166">
        <v>0</v>
      </c>
      <c r="AX147" s="166">
        <v>0</v>
      </c>
      <c r="AY147" s="166">
        <v>0</v>
      </c>
      <c r="AZ147" s="167">
        <v>0</v>
      </c>
      <c r="BA147" s="2629"/>
      <c r="BB147" s="2629"/>
      <c r="BC147" s="2629"/>
      <c r="BD147" s="2629"/>
      <c r="BE147" s="2629"/>
      <c r="BF147" s="542"/>
      <c r="BG147" s="542"/>
      <c r="BH147" s="2629"/>
      <c r="BI147" s="2629"/>
      <c r="BJ147" s="2629"/>
      <c r="BK147" s="2629"/>
      <c r="BL147" s="2629"/>
      <c r="BM147" s="542"/>
      <c r="BN147" s="544"/>
    </row>
    <row r="148" spans="1:66" s="98" customFormat="1" ht="15" customHeight="1">
      <c r="A148" s="99"/>
      <c r="B148" s="161"/>
      <c r="C148" s="116"/>
      <c r="D148" s="116"/>
      <c r="E148" s="116"/>
      <c r="F148" s="116"/>
      <c r="G148" s="117"/>
      <c r="H148" s="117"/>
      <c r="I148" s="117"/>
      <c r="J148" s="713"/>
      <c r="K148" s="2649"/>
      <c r="L148" s="2649"/>
      <c r="M148" s="2649"/>
      <c r="N148" s="2649"/>
      <c r="O148" s="2649"/>
      <c r="P148" s="2649"/>
      <c r="Q148" s="715"/>
      <c r="R148" s="713"/>
      <c r="S148" s="2649"/>
      <c r="T148" s="2649"/>
      <c r="U148" s="2649"/>
      <c r="V148" s="715"/>
      <c r="W148" s="2664"/>
      <c r="X148" s="2503"/>
      <c r="Y148" s="2503"/>
      <c r="Z148" s="2503"/>
      <c r="AA148" s="2503"/>
      <c r="AB148" s="2503"/>
      <c r="AC148" s="2503"/>
      <c r="AD148" s="2503"/>
      <c r="AE148" s="2503"/>
      <c r="AF148" s="2503"/>
      <c r="AG148" s="2503"/>
      <c r="AH148" s="2503"/>
      <c r="AI148" s="2503"/>
      <c r="AJ148" s="2503"/>
      <c r="AK148" s="2503"/>
      <c r="AL148" s="2629"/>
      <c r="AM148" s="94"/>
      <c r="AN148" s="159"/>
      <c r="AO148" s="94"/>
      <c r="AP148" s="94"/>
      <c r="AQ148" s="94"/>
      <c r="AR148" s="94"/>
      <c r="AS148" s="94"/>
      <c r="AT148" s="94"/>
      <c r="AU148" s="160"/>
      <c r="AV148" s="159"/>
      <c r="AW148" s="94"/>
      <c r="AX148" s="94"/>
      <c r="AY148" s="94"/>
      <c r="AZ148" s="160"/>
      <c r="BA148" s="2629"/>
      <c r="BB148" s="359"/>
      <c r="BC148" s="542"/>
      <c r="BD148" s="542"/>
      <c r="BE148" s="542"/>
      <c r="BF148" s="542"/>
      <c r="BG148" s="542"/>
      <c r="BH148" s="2629"/>
      <c r="BI148" s="359"/>
      <c r="BJ148" s="542"/>
      <c r="BK148" s="542"/>
      <c r="BL148" s="542"/>
      <c r="BM148" s="542"/>
      <c r="BN148" s="544"/>
    </row>
    <row r="149" spans="1:66" s="98" customFormat="1" ht="15" customHeight="1">
      <c r="A149" s="99"/>
      <c r="B149" s="115"/>
      <c r="C149" s="116" t="s">
        <v>1685</v>
      </c>
      <c r="D149" s="116"/>
      <c r="E149" s="116"/>
      <c r="F149" s="116"/>
      <c r="G149" s="117"/>
      <c r="H149" s="117"/>
      <c r="I149" s="92"/>
      <c r="J149" s="619"/>
      <c r="K149" s="93"/>
      <c r="L149" s="93"/>
      <c r="M149" s="93"/>
      <c r="N149" s="93"/>
      <c r="O149" s="93"/>
      <c r="P149" s="93"/>
      <c r="Q149" s="618"/>
      <c r="R149" s="619"/>
      <c r="S149" s="93"/>
      <c r="T149" s="93"/>
      <c r="U149" s="93"/>
      <c r="V149" s="618"/>
      <c r="W149" s="2664"/>
      <c r="X149" s="2503"/>
      <c r="Y149" s="2503"/>
      <c r="Z149" s="2503"/>
      <c r="AA149" s="2503"/>
      <c r="AB149" s="2503"/>
      <c r="AC149" s="2503"/>
      <c r="AD149" s="2503"/>
      <c r="AE149" s="2503"/>
      <c r="AF149" s="2503"/>
      <c r="AG149" s="2503"/>
      <c r="AH149" s="2503"/>
      <c r="AI149" s="2503"/>
      <c r="AJ149" s="2503"/>
      <c r="AK149" s="2503"/>
      <c r="AL149" s="2629"/>
      <c r="AM149" s="93"/>
      <c r="AN149" s="619"/>
      <c r="AO149" s="93"/>
      <c r="AP149" s="93"/>
      <c r="AQ149" s="93"/>
      <c r="AR149" s="93"/>
      <c r="AS149" s="93"/>
      <c r="AT149" s="93"/>
      <c r="AU149" s="618"/>
      <c r="AV149" s="619"/>
      <c r="AW149" s="93"/>
      <c r="AX149" s="93"/>
      <c r="AY149" s="93"/>
      <c r="AZ149" s="618"/>
      <c r="BA149" s="2629"/>
      <c r="BB149" s="2665"/>
      <c r="BC149" s="2665"/>
      <c r="BD149" s="2665"/>
      <c r="BE149" s="2665"/>
      <c r="BF149" s="2665"/>
      <c r="BG149" s="2665"/>
      <c r="BH149" s="2629"/>
      <c r="BI149" s="2665"/>
      <c r="BJ149" s="2665"/>
      <c r="BK149" s="2665"/>
      <c r="BL149" s="2665"/>
      <c r="BM149" s="2665"/>
      <c r="BN149" s="2666"/>
    </row>
    <row r="150" spans="1:66" s="98" customFormat="1" ht="15" customHeight="1">
      <c r="A150" s="99"/>
      <c r="B150" s="161"/>
      <c r="C150" s="185"/>
      <c r="D150" s="116" t="s">
        <v>2521</v>
      </c>
      <c r="E150" s="116"/>
      <c r="F150" s="116"/>
      <c r="G150" s="117"/>
      <c r="H150" s="117"/>
      <c r="I150" s="117"/>
      <c r="J150" s="159"/>
      <c r="K150" s="94"/>
      <c r="L150" s="94"/>
      <c r="M150" s="94"/>
      <c r="N150" s="94"/>
      <c r="O150" s="94"/>
      <c r="P150" s="94"/>
      <c r="Q150" s="160"/>
      <c r="R150" s="159"/>
      <c r="S150" s="94"/>
      <c r="T150" s="94"/>
      <c r="U150" s="94"/>
      <c r="V150" s="160"/>
      <c r="W150" s="2664"/>
      <c r="X150" s="2503"/>
      <c r="Y150" s="2503"/>
      <c r="Z150" s="2503"/>
      <c r="AA150" s="2503"/>
      <c r="AB150" s="2503"/>
      <c r="AC150" s="2503"/>
      <c r="AD150" s="2503"/>
      <c r="AE150" s="2503"/>
      <c r="AF150" s="2503"/>
      <c r="AG150" s="2503"/>
      <c r="AH150" s="2503"/>
      <c r="AI150" s="2503"/>
      <c r="AJ150" s="2503"/>
      <c r="AK150" s="2503"/>
      <c r="AL150" s="2629"/>
      <c r="AM150" s="94"/>
      <c r="AN150" s="159"/>
      <c r="AO150" s="94"/>
      <c r="AP150" s="94"/>
      <c r="AQ150" s="94"/>
      <c r="AR150" s="94"/>
      <c r="AS150" s="94"/>
      <c r="AT150" s="94"/>
      <c r="AU150" s="160"/>
      <c r="AV150" s="159"/>
      <c r="AW150" s="94"/>
      <c r="AX150" s="94"/>
      <c r="AY150" s="94"/>
      <c r="AZ150" s="160"/>
      <c r="BA150" s="2629"/>
      <c r="BB150" s="359"/>
      <c r="BC150" s="542"/>
      <c r="BD150" s="542"/>
      <c r="BE150" s="542"/>
      <c r="BF150" s="542"/>
      <c r="BG150" s="542"/>
      <c r="BH150" s="2629"/>
      <c r="BI150" s="359"/>
      <c r="BJ150" s="542"/>
      <c r="BK150" s="542"/>
      <c r="BL150" s="542"/>
      <c r="BM150" s="542"/>
      <c r="BN150" s="544"/>
    </row>
    <row r="151" spans="1:66" s="98" customFormat="1" ht="15" customHeight="1">
      <c r="A151" s="99"/>
      <c r="B151" s="161"/>
      <c r="C151" s="185"/>
      <c r="D151" s="162"/>
      <c r="E151" s="230" t="s">
        <v>2787</v>
      </c>
      <c r="F151" s="230"/>
      <c r="G151" s="163"/>
      <c r="H151" s="163"/>
      <c r="I151" s="164" t="s">
        <v>498</v>
      </c>
      <c r="J151" s="143">
        <v>0</v>
      </c>
      <c r="K151" s="141">
        <v>0</v>
      </c>
      <c r="L151" s="141">
        <v>0</v>
      </c>
      <c r="M151" s="141">
        <v>0</v>
      </c>
      <c r="N151" s="141">
        <v>0</v>
      </c>
      <c r="O151" s="141">
        <v>0</v>
      </c>
      <c r="P151" s="141">
        <v>0</v>
      </c>
      <c r="Q151" s="144">
        <v>0</v>
      </c>
      <c r="R151" s="143">
        <v>0</v>
      </c>
      <c r="S151" s="141">
        <v>0</v>
      </c>
      <c r="T151" s="141">
        <v>0</v>
      </c>
      <c r="U151" s="141">
        <v>0</v>
      </c>
      <c r="V151" s="144">
        <v>0</v>
      </c>
      <c r="W151" s="2664"/>
      <c r="X151" s="2503"/>
      <c r="Y151" s="2503"/>
      <c r="Z151" s="2503"/>
      <c r="AA151" s="2503"/>
      <c r="AB151" s="2503"/>
      <c r="AC151" s="2503"/>
      <c r="AD151" s="2503"/>
      <c r="AE151" s="2503"/>
      <c r="AF151" s="2503"/>
      <c r="AG151" s="2503"/>
      <c r="AH151" s="2503"/>
      <c r="AI151" s="2503"/>
      <c r="AJ151" s="2503"/>
      <c r="AK151" s="2503"/>
      <c r="AL151" s="2629"/>
      <c r="AM151" s="607" t="s">
        <v>1876</v>
      </c>
      <c r="AN151" s="165">
        <v>0</v>
      </c>
      <c r="AO151" s="166">
        <v>0</v>
      </c>
      <c r="AP151" s="166">
        <v>0</v>
      </c>
      <c r="AQ151" s="166">
        <v>0</v>
      </c>
      <c r="AR151" s="166">
        <v>0</v>
      </c>
      <c r="AS151" s="166">
        <v>0</v>
      </c>
      <c r="AT151" s="166">
        <v>0</v>
      </c>
      <c r="AU151" s="167">
        <v>0</v>
      </c>
      <c r="AV151" s="165">
        <v>0</v>
      </c>
      <c r="AW151" s="166">
        <v>0</v>
      </c>
      <c r="AX151" s="166">
        <v>0</v>
      </c>
      <c r="AY151" s="166">
        <v>0</v>
      </c>
      <c r="AZ151" s="167">
        <v>0</v>
      </c>
      <c r="BA151" s="2629"/>
      <c r="BB151" s="545" t="s">
        <v>2788</v>
      </c>
      <c r="BC151" s="188">
        <v>0</v>
      </c>
      <c r="BD151" s="545" t="s">
        <v>627</v>
      </c>
      <c r="BE151" s="188">
        <v>0</v>
      </c>
      <c r="BF151" s="607" t="s">
        <v>627</v>
      </c>
      <c r="BG151" s="868">
        <v>0</v>
      </c>
      <c r="BH151" s="2629"/>
      <c r="BI151" s="545" t="s">
        <v>2788</v>
      </c>
      <c r="BJ151" s="188">
        <v>0</v>
      </c>
      <c r="BK151" s="545" t="s">
        <v>627</v>
      </c>
      <c r="BL151" s="188">
        <v>0</v>
      </c>
      <c r="BM151" s="607" t="s">
        <v>627</v>
      </c>
      <c r="BN151" s="872">
        <v>0</v>
      </c>
    </row>
    <row r="152" spans="1:66" s="98" customFormat="1" ht="15" customHeight="1">
      <c r="A152" s="99"/>
      <c r="B152" s="161"/>
      <c r="C152" s="185"/>
      <c r="D152" s="162"/>
      <c r="E152" s="162" t="s">
        <v>1555</v>
      </c>
      <c r="F152" s="162"/>
      <c r="G152" s="163"/>
      <c r="H152" s="163"/>
      <c r="I152" s="164" t="s">
        <v>498</v>
      </c>
      <c r="J152" s="143">
        <v>0</v>
      </c>
      <c r="K152" s="141">
        <v>0</v>
      </c>
      <c r="L152" s="141">
        <v>0</v>
      </c>
      <c r="M152" s="141">
        <v>0</v>
      </c>
      <c r="N152" s="141">
        <v>0</v>
      </c>
      <c r="O152" s="141">
        <v>0</v>
      </c>
      <c r="P152" s="141">
        <v>0</v>
      </c>
      <c r="Q152" s="144">
        <v>0</v>
      </c>
      <c r="R152" s="143">
        <v>0</v>
      </c>
      <c r="S152" s="141">
        <v>0</v>
      </c>
      <c r="T152" s="141">
        <v>0</v>
      </c>
      <c r="U152" s="141">
        <v>0</v>
      </c>
      <c r="V152" s="144">
        <v>0</v>
      </c>
      <c r="W152" s="2664"/>
      <c r="X152" s="2503"/>
      <c r="Y152" s="2503"/>
      <c r="Z152" s="2503"/>
      <c r="AA152" s="2503"/>
      <c r="AB152" s="2503"/>
      <c r="AC152" s="2503"/>
      <c r="AD152" s="2503"/>
      <c r="AE152" s="2503"/>
      <c r="AF152" s="2503"/>
      <c r="AG152" s="2503"/>
      <c r="AH152" s="2503"/>
      <c r="AI152" s="2503"/>
      <c r="AJ152" s="2503"/>
      <c r="AK152" s="2503"/>
      <c r="AL152" s="2629"/>
      <c r="AM152" s="607" t="s">
        <v>1876</v>
      </c>
      <c r="AN152" s="165">
        <v>0</v>
      </c>
      <c r="AO152" s="166">
        <v>0</v>
      </c>
      <c r="AP152" s="166">
        <v>0</v>
      </c>
      <c r="AQ152" s="166">
        <v>0</v>
      </c>
      <c r="AR152" s="166">
        <v>0</v>
      </c>
      <c r="AS152" s="166">
        <v>0</v>
      </c>
      <c r="AT152" s="166">
        <v>0</v>
      </c>
      <c r="AU152" s="167">
        <v>0</v>
      </c>
      <c r="AV152" s="165">
        <v>0</v>
      </c>
      <c r="AW152" s="166">
        <v>0</v>
      </c>
      <c r="AX152" s="166">
        <v>0</v>
      </c>
      <c r="AY152" s="166">
        <v>0</v>
      </c>
      <c r="AZ152" s="167">
        <v>0</v>
      </c>
      <c r="BA152" s="2629"/>
      <c r="BB152" s="2629"/>
      <c r="BC152" s="2629"/>
      <c r="BD152" s="2629"/>
      <c r="BE152" s="2629"/>
      <c r="BF152" s="542"/>
      <c r="BG152" s="542"/>
      <c r="BH152" s="2629"/>
      <c r="BI152" s="2629"/>
      <c r="BJ152" s="2629"/>
      <c r="BK152" s="2629"/>
      <c r="BL152" s="2629"/>
      <c r="BM152" s="542"/>
      <c r="BN152" s="544"/>
    </row>
    <row r="153" spans="1:66" s="98" customFormat="1" ht="15" customHeight="1">
      <c r="A153" s="99"/>
      <c r="B153" s="161"/>
      <c r="C153" s="185"/>
      <c r="D153" s="116" t="s">
        <v>2427</v>
      </c>
      <c r="E153" s="116"/>
      <c r="F153" s="116"/>
      <c r="G153" s="117"/>
      <c r="H153" s="117"/>
      <c r="I153" s="117"/>
      <c r="J153" s="713"/>
      <c r="K153" s="2649"/>
      <c r="L153" s="2649"/>
      <c r="M153" s="2649"/>
      <c r="N153" s="2649"/>
      <c r="O153" s="2649"/>
      <c r="P153" s="2649"/>
      <c r="Q153" s="715"/>
      <c r="R153" s="713"/>
      <c r="S153" s="2649"/>
      <c r="T153" s="2649"/>
      <c r="U153" s="2649"/>
      <c r="V153" s="715"/>
      <c r="W153" s="2664"/>
      <c r="X153" s="2503"/>
      <c r="Y153" s="2503"/>
      <c r="Z153" s="2503"/>
      <c r="AA153" s="2503"/>
      <c r="AB153" s="2503"/>
      <c r="AC153" s="2503"/>
      <c r="AD153" s="2503"/>
      <c r="AE153" s="2503"/>
      <c r="AF153" s="2503"/>
      <c r="AG153" s="2503"/>
      <c r="AH153" s="2503"/>
      <c r="AI153" s="2503"/>
      <c r="AJ153" s="2503"/>
      <c r="AK153" s="2503"/>
      <c r="AL153" s="2629"/>
      <c r="AM153" s="94"/>
      <c r="AN153" s="159"/>
      <c r="AO153" s="94"/>
      <c r="AP153" s="94"/>
      <c r="AQ153" s="94"/>
      <c r="AR153" s="94"/>
      <c r="AS153" s="94"/>
      <c r="AT153" s="94"/>
      <c r="AU153" s="160"/>
      <c r="AV153" s="159"/>
      <c r="AW153" s="94"/>
      <c r="AX153" s="94"/>
      <c r="AY153" s="94"/>
      <c r="AZ153" s="160"/>
      <c r="BA153" s="2629"/>
      <c r="BB153" s="359"/>
      <c r="BC153" s="542"/>
      <c r="BD153" s="542"/>
      <c r="BE153" s="542"/>
      <c r="BF153" s="542"/>
      <c r="BG153" s="542"/>
      <c r="BH153" s="2629"/>
      <c r="BI153" s="359"/>
      <c r="BJ153" s="542"/>
      <c r="BK153" s="542"/>
      <c r="BL153" s="542"/>
      <c r="BM153" s="542"/>
      <c r="BN153" s="544"/>
    </row>
    <row r="154" spans="1:66" s="98" customFormat="1" ht="15" customHeight="1">
      <c r="A154" s="99"/>
      <c r="B154" s="161"/>
      <c r="C154" s="185"/>
      <c r="D154" s="162"/>
      <c r="E154" s="230" t="s">
        <v>2787</v>
      </c>
      <c r="F154" s="230"/>
      <c r="G154" s="163"/>
      <c r="H154" s="163"/>
      <c r="I154" s="164" t="s">
        <v>498</v>
      </c>
      <c r="J154" s="143">
        <v>0</v>
      </c>
      <c r="K154" s="141">
        <v>0</v>
      </c>
      <c r="L154" s="141">
        <v>0</v>
      </c>
      <c r="M154" s="141">
        <v>0</v>
      </c>
      <c r="N154" s="141">
        <v>0</v>
      </c>
      <c r="O154" s="141">
        <v>0</v>
      </c>
      <c r="P154" s="141">
        <v>0</v>
      </c>
      <c r="Q154" s="144">
        <v>0</v>
      </c>
      <c r="R154" s="143">
        <v>0</v>
      </c>
      <c r="S154" s="141">
        <v>0</v>
      </c>
      <c r="T154" s="141">
        <v>0</v>
      </c>
      <c r="U154" s="141">
        <v>0</v>
      </c>
      <c r="V154" s="144">
        <v>0</v>
      </c>
      <c r="W154" s="2664"/>
      <c r="X154" s="2503"/>
      <c r="Y154" s="2503"/>
      <c r="Z154" s="2503"/>
      <c r="AA154" s="2503"/>
      <c r="AB154" s="2503"/>
      <c r="AC154" s="2503"/>
      <c r="AD154" s="2503"/>
      <c r="AE154" s="2503"/>
      <c r="AF154" s="2503"/>
      <c r="AG154" s="2503"/>
      <c r="AH154" s="2503"/>
      <c r="AI154" s="2503"/>
      <c r="AJ154" s="2503"/>
      <c r="AK154" s="2503"/>
      <c r="AL154" s="2629"/>
      <c r="AM154" s="607" t="s">
        <v>1876</v>
      </c>
      <c r="AN154" s="165">
        <v>0</v>
      </c>
      <c r="AO154" s="166">
        <v>0</v>
      </c>
      <c r="AP154" s="166">
        <v>0</v>
      </c>
      <c r="AQ154" s="166">
        <v>0</v>
      </c>
      <c r="AR154" s="166">
        <v>0</v>
      </c>
      <c r="AS154" s="166">
        <v>0</v>
      </c>
      <c r="AT154" s="166">
        <v>0</v>
      </c>
      <c r="AU154" s="167">
        <v>0</v>
      </c>
      <c r="AV154" s="165">
        <v>0</v>
      </c>
      <c r="AW154" s="166">
        <v>0</v>
      </c>
      <c r="AX154" s="166">
        <v>0</v>
      </c>
      <c r="AY154" s="166">
        <v>0</v>
      </c>
      <c r="AZ154" s="167">
        <v>0</v>
      </c>
      <c r="BA154" s="2629"/>
      <c r="BB154" s="545" t="s">
        <v>2788</v>
      </c>
      <c r="BC154" s="188">
        <v>0</v>
      </c>
      <c r="BD154" s="545" t="s">
        <v>627</v>
      </c>
      <c r="BE154" s="188">
        <v>0</v>
      </c>
      <c r="BF154" s="607" t="s">
        <v>627</v>
      </c>
      <c r="BG154" s="868">
        <v>0</v>
      </c>
      <c r="BH154" s="2629"/>
      <c r="BI154" s="545" t="s">
        <v>2788</v>
      </c>
      <c r="BJ154" s="188">
        <v>0</v>
      </c>
      <c r="BK154" s="545" t="s">
        <v>627</v>
      </c>
      <c r="BL154" s="188">
        <v>0</v>
      </c>
      <c r="BM154" s="607" t="s">
        <v>627</v>
      </c>
      <c r="BN154" s="872">
        <v>0</v>
      </c>
    </row>
    <row r="155" spans="1:66" s="98" customFormat="1" ht="15" customHeight="1">
      <c r="A155" s="99"/>
      <c r="B155" s="161"/>
      <c r="C155" s="185"/>
      <c r="D155" s="162"/>
      <c r="E155" s="162" t="s">
        <v>1555</v>
      </c>
      <c r="F155" s="162"/>
      <c r="G155" s="163"/>
      <c r="H155" s="163"/>
      <c r="I155" s="164" t="s">
        <v>498</v>
      </c>
      <c r="J155" s="143">
        <v>0</v>
      </c>
      <c r="K155" s="141">
        <v>0</v>
      </c>
      <c r="L155" s="141">
        <v>0</v>
      </c>
      <c r="M155" s="141">
        <v>0</v>
      </c>
      <c r="N155" s="141">
        <v>0</v>
      </c>
      <c r="O155" s="141">
        <v>0</v>
      </c>
      <c r="P155" s="141">
        <v>0</v>
      </c>
      <c r="Q155" s="144">
        <v>0</v>
      </c>
      <c r="R155" s="143">
        <v>0</v>
      </c>
      <c r="S155" s="141">
        <v>0</v>
      </c>
      <c r="T155" s="141">
        <v>0</v>
      </c>
      <c r="U155" s="141">
        <v>0</v>
      </c>
      <c r="V155" s="144">
        <v>0</v>
      </c>
      <c r="W155" s="2664"/>
      <c r="X155" s="2503"/>
      <c r="Y155" s="2503"/>
      <c r="Z155" s="2503"/>
      <c r="AA155" s="2503"/>
      <c r="AB155" s="2503"/>
      <c r="AC155" s="2503"/>
      <c r="AD155" s="2503"/>
      <c r="AE155" s="2503"/>
      <c r="AF155" s="2503"/>
      <c r="AG155" s="2503"/>
      <c r="AH155" s="2503"/>
      <c r="AI155" s="2503"/>
      <c r="AJ155" s="2503"/>
      <c r="AK155" s="2503"/>
      <c r="AL155" s="2629"/>
      <c r="AM155" s="607" t="s">
        <v>1876</v>
      </c>
      <c r="AN155" s="165">
        <v>0</v>
      </c>
      <c r="AO155" s="166">
        <v>0</v>
      </c>
      <c r="AP155" s="166">
        <v>0</v>
      </c>
      <c r="AQ155" s="166">
        <v>0</v>
      </c>
      <c r="AR155" s="166">
        <v>0</v>
      </c>
      <c r="AS155" s="166">
        <v>0</v>
      </c>
      <c r="AT155" s="166">
        <v>0</v>
      </c>
      <c r="AU155" s="167">
        <v>0</v>
      </c>
      <c r="AV155" s="165">
        <v>0</v>
      </c>
      <c r="AW155" s="166">
        <v>0</v>
      </c>
      <c r="AX155" s="166">
        <v>0</v>
      </c>
      <c r="AY155" s="166">
        <v>0</v>
      </c>
      <c r="AZ155" s="167">
        <v>0</v>
      </c>
      <c r="BA155" s="2629"/>
      <c r="BB155" s="2629"/>
      <c r="BC155" s="2629"/>
      <c r="BD155" s="2629"/>
      <c r="BE155" s="2629"/>
      <c r="BF155" s="542"/>
      <c r="BG155" s="542"/>
      <c r="BH155" s="2629"/>
      <c r="BI155" s="2629"/>
      <c r="BJ155" s="2629"/>
      <c r="BK155" s="2629"/>
      <c r="BL155" s="2629"/>
      <c r="BM155" s="542"/>
      <c r="BN155" s="544"/>
    </row>
    <row r="156" spans="1:66" s="98" customFormat="1" ht="15" customHeight="1">
      <c r="A156" s="99"/>
      <c r="B156" s="161"/>
      <c r="C156" s="116"/>
      <c r="D156" s="116"/>
      <c r="E156" s="116"/>
      <c r="F156" s="116"/>
      <c r="G156" s="117"/>
      <c r="H156" s="117"/>
      <c r="I156" s="117"/>
      <c r="J156" s="713"/>
      <c r="K156" s="2649"/>
      <c r="L156" s="2649"/>
      <c r="M156" s="2649"/>
      <c r="N156" s="2649"/>
      <c r="O156" s="2649"/>
      <c r="P156" s="2649"/>
      <c r="Q156" s="715"/>
      <c r="R156" s="713"/>
      <c r="S156" s="2649"/>
      <c r="T156" s="2649"/>
      <c r="U156" s="2649"/>
      <c r="V156" s="715"/>
      <c r="W156" s="2664"/>
      <c r="X156" s="2503"/>
      <c r="Y156" s="2503"/>
      <c r="Z156" s="2503"/>
      <c r="AA156" s="2503"/>
      <c r="AB156" s="2503"/>
      <c r="AC156" s="2503"/>
      <c r="AD156" s="2503"/>
      <c r="AE156" s="2503"/>
      <c r="AF156" s="2503"/>
      <c r="AG156" s="2503"/>
      <c r="AH156" s="2503"/>
      <c r="AI156" s="2503"/>
      <c r="AJ156" s="2503"/>
      <c r="AK156" s="2503"/>
      <c r="AL156" s="2629"/>
      <c r="AM156" s="94"/>
      <c r="AN156" s="159"/>
      <c r="AO156" s="94"/>
      <c r="AP156" s="94"/>
      <c r="AQ156" s="94"/>
      <c r="AR156" s="94"/>
      <c r="AS156" s="94"/>
      <c r="AT156" s="94"/>
      <c r="AU156" s="160"/>
      <c r="AV156" s="159"/>
      <c r="AW156" s="94"/>
      <c r="AX156" s="94"/>
      <c r="AY156" s="94"/>
      <c r="AZ156" s="160"/>
      <c r="BA156" s="2629"/>
      <c r="BB156" s="359"/>
      <c r="BC156" s="542"/>
      <c r="BD156" s="542"/>
      <c r="BE156" s="542"/>
      <c r="BF156" s="542"/>
      <c r="BG156" s="542"/>
      <c r="BH156" s="2629"/>
      <c r="BI156" s="359"/>
      <c r="BJ156" s="542"/>
      <c r="BK156" s="542"/>
      <c r="BL156" s="542"/>
      <c r="BM156" s="542"/>
      <c r="BN156" s="544"/>
    </row>
    <row r="157" spans="1:66" s="98" customFormat="1" ht="15" customHeight="1">
      <c r="A157" s="99"/>
      <c r="B157" s="115"/>
      <c r="C157" s="116" t="s">
        <v>2670</v>
      </c>
      <c r="D157" s="116"/>
      <c r="E157" s="116"/>
      <c r="F157" s="116"/>
      <c r="G157" s="117"/>
      <c r="H157" s="117"/>
      <c r="I157" s="92"/>
      <c r="J157" s="619"/>
      <c r="K157" s="93"/>
      <c r="L157" s="93"/>
      <c r="M157" s="93"/>
      <c r="N157" s="93"/>
      <c r="O157" s="93"/>
      <c r="P157" s="93"/>
      <c r="Q157" s="618"/>
      <c r="R157" s="619"/>
      <c r="S157" s="93"/>
      <c r="T157" s="93"/>
      <c r="U157" s="93"/>
      <c r="V157" s="618"/>
      <c r="W157" s="2664"/>
      <c r="X157" s="2503"/>
      <c r="Y157" s="2503"/>
      <c r="Z157" s="2503"/>
      <c r="AA157" s="2503"/>
      <c r="AB157" s="2503"/>
      <c r="AC157" s="2503"/>
      <c r="AD157" s="2503"/>
      <c r="AE157" s="2503"/>
      <c r="AF157" s="2503"/>
      <c r="AG157" s="2503"/>
      <c r="AH157" s="2503"/>
      <c r="AI157" s="2503"/>
      <c r="AJ157" s="2503"/>
      <c r="AK157" s="2503"/>
      <c r="AL157" s="2629"/>
      <c r="AM157" s="93"/>
      <c r="AN157" s="619"/>
      <c r="AO157" s="93"/>
      <c r="AP157" s="93"/>
      <c r="AQ157" s="93"/>
      <c r="AR157" s="93"/>
      <c r="AS157" s="93"/>
      <c r="AT157" s="93"/>
      <c r="AU157" s="618"/>
      <c r="AV157" s="619"/>
      <c r="AW157" s="93"/>
      <c r="AX157" s="93"/>
      <c r="AY157" s="93"/>
      <c r="AZ157" s="618"/>
      <c r="BA157" s="2629"/>
      <c r="BB157" s="2665"/>
      <c r="BC157" s="2665"/>
      <c r="BD157" s="2665"/>
      <c r="BE157" s="2665"/>
      <c r="BF157" s="2665"/>
      <c r="BG157" s="2665"/>
      <c r="BH157" s="2629"/>
      <c r="BI157" s="2665"/>
      <c r="BJ157" s="2665"/>
      <c r="BK157" s="2665"/>
      <c r="BL157" s="2665"/>
      <c r="BM157" s="2665"/>
      <c r="BN157" s="2666"/>
    </row>
    <row r="158" spans="1:66" s="98" customFormat="1" ht="15" customHeight="1">
      <c r="A158" s="99"/>
      <c r="B158" s="161"/>
      <c r="C158" s="185"/>
      <c r="D158" s="116" t="s">
        <v>2521</v>
      </c>
      <c r="E158" s="116"/>
      <c r="F158" s="116"/>
      <c r="G158" s="117"/>
      <c r="H158" s="117"/>
      <c r="I158" s="117"/>
      <c r="J158" s="159"/>
      <c r="K158" s="94"/>
      <c r="L158" s="94"/>
      <c r="M158" s="94"/>
      <c r="N158" s="94"/>
      <c r="O158" s="94"/>
      <c r="P158" s="94"/>
      <c r="Q158" s="160"/>
      <c r="R158" s="159"/>
      <c r="S158" s="94"/>
      <c r="T158" s="94"/>
      <c r="U158" s="94"/>
      <c r="V158" s="160"/>
      <c r="W158" s="2664"/>
      <c r="X158" s="2503"/>
      <c r="Y158" s="2503"/>
      <c r="Z158" s="2503"/>
      <c r="AA158" s="2503"/>
      <c r="AB158" s="2503"/>
      <c r="AC158" s="2503"/>
      <c r="AD158" s="2503"/>
      <c r="AE158" s="2503"/>
      <c r="AF158" s="2503"/>
      <c r="AG158" s="2503"/>
      <c r="AH158" s="2503"/>
      <c r="AI158" s="2503"/>
      <c r="AJ158" s="2503"/>
      <c r="AK158" s="2503"/>
      <c r="AL158" s="2629"/>
      <c r="AM158" s="94"/>
      <c r="AN158" s="159"/>
      <c r="AO158" s="94"/>
      <c r="AP158" s="94"/>
      <c r="AQ158" s="94"/>
      <c r="AR158" s="94"/>
      <c r="AS158" s="94"/>
      <c r="AT158" s="94"/>
      <c r="AU158" s="160"/>
      <c r="AV158" s="159"/>
      <c r="AW158" s="94"/>
      <c r="AX158" s="94"/>
      <c r="AY158" s="94"/>
      <c r="AZ158" s="160"/>
      <c r="BA158" s="2629"/>
      <c r="BB158" s="359"/>
      <c r="BC158" s="542"/>
      <c r="BD158" s="542"/>
      <c r="BE158" s="542"/>
      <c r="BF158" s="542"/>
      <c r="BG158" s="542"/>
      <c r="BH158" s="2629"/>
      <c r="BI158" s="359"/>
      <c r="BJ158" s="542"/>
      <c r="BK158" s="542"/>
      <c r="BL158" s="542"/>
      <c r="BM158" s="542"/>
      <c r="BN158" s="544"/>
    </row>
    <row r="159" spans="1:66" s="98" customFormat="1" ht="15" customHeight="1">
      <c r="A159" s="99"/>
      <c r="B159" s="161"/>
      <c r="C159" s="185"/>
      <c r="D159" s="162"/>
      <c r="E159" s="230" t="s">
        <v>2787</v>
      </c>
      <c r="F159" s="230"/>
      <c r="G159" s="163"/>
      <c r="H159" s="163"/>
      <c r="I159" s="164" t="s">
        <v>498</v>
      </c>
      <c r="J159" s="143">
        <v>0</v>
      </c>
      <c r="K159" s="141">
        <v>0</v>
      </c>
      <c r="L159" s="141">
        <v>0</v>
      </c>
      <c r="M159" s="141">
        <v>0</v>
      </c>
      <c r="N159" s="141">
        <v>0</v>
      </c>
      <c r="O159" s="141">
        <v>0</v>
      </c>
      <c r="P159" s="141">
        <v>0</v>
      </c>
      <c r="Q159" s="144">
        <v>0</v>
      </c>
      <c r="R159" s="143">
        <v>0</v>
      </c>
      <c r="S159" s="141">
        <v>0</v>
      </c>
      <c r="T159" s="141">
        <v>0</v>
      </c>
      <c r="U159" s="141">
        <v>0</v>
      </c>
      <c r="V159" s="144">
        <v>0</v>
      </c>
      <c r="W159" s="2664"/>
      <c r="X159" s="2503"/>
      <c r="Y159" s="2503"/>
      <c r="Z159" s="2503"/>
      <c r="AA159" s="2503"/>
      <c r="AB159" s="2503"/>
      <c r="AC159" s="2503"/>
      <c r="AD159" s="2503"/>
      <c r="AE159" s="2503"/>
      <c r="AF159" s="2503"/>
      <c r="AG159" s="2503"/>
      <c r="AH159" s="2503"/>
      <c r="AI159" s="2503"/>
      <c r="AJ159" s="2503"/>
      <c r="AK159" s="2503"/>
      <c r="AL159" s="2629"/>
      <c r="AM159" s="607" t="s">
        <v>1876</v>
      </c>
      <c r="AN159" s="165">
        <v>0</v>
      </c>
      <c r="AO159" s="166">
        <v>0</v>
      </c>
      <c r="AP159" s="166">
        <v>0</v>
      </c>
      <c r="AQ159" s="166">
        <v>0</v>
      </c>
      <c r="AR159" s="166">
        <v>0</v>
      </c>
      <c r="AS159" s="166">
        <v>0</v>
      </c>
      <c r="AT159" s="166">
        <v>0</v>
      </c>
      <c r="AU159" s="167">
        <v>0</v>
      </c>
      <c r="AV159" s="165">
        <v>0</v>
      </c>
      <c r="AW159" s="166">
        <v>0</v>
      </c>
      <c r="AX159" s="166">
        <v>0</v>
      </c>
      <c r="AY159" s="166">
        <v>0</v>
      </c>
      <c r="AZ159" s="167">
        <v>0</v>
      </c>
      <c r="BA159" s="2629"/>
      <c r="BB159" s="545" t="s">
        <v>2788</v>
      </c>
      <c r="BC159" s="188">
        <v>0</v>
      </c>
      <c r="BD159" s="545" t="s">
        <v>627</v>
      </c>
      <c r="BE159" s="188">
        <v>0</v>
      </c>
      <c r="BF159" s="607" t="s">
        <v>627</v>
      </c>
      <c r="BG159" s="868">
        <v>0</v>
      </c>
      <c r="BH159" s="2629"/>
      <c r="BI159" s="545" t="s">
        <v>2788</v>
      </c>
      <c r="BJ159" s="188">
        <v>0</v>
      </c>
      <c r="BK159" s="545" t="s">
        <v>627</v>
      </c>
      <c r="BL159" s="188">
        <v>0</v>
      </c>
      <c r="BM159" s="607" t="s">
        <v>627</v>
      </c>
      <c r="BN159" s="872">
        <v>0</v>
      </c>
    </row>
    <row r="160" spans="1:66" s="98" customFormat="1" ht="15" customHeight="1">
      <c r="A160" s="99"/>
      <c r="B160" s="161"/>
      <c r="C160" s="185"/>
      <c r="D160" s="162"/>
      <c r="E160" s="162" t="s">
        <v>1555</v>
      </c>
      <c r="F160" s="162"/>
      <c r="G160" s="163"/>
      <c r="H160" s="163"/>
      <c r="I160" s="164" t="s">
        <v>498</v>
      </c>
      <c r="J160" s="143">
        <v>0</v>
      </c>
      <c r="K160" s="141">
        <v>0</v>
      </c>
      <c r="L160" s="141">
        <v>0</v>
      </c>
      <c r="M160" s="141">
        <v>0</v>
      </c>
      <c r="N160" s="141">
        <v>0</v>
      </c>
      <c r="O160" s="141">
        <v>0</v>
      </c>
      <c r="P160" s="141">
        <v>0</v>
      </c>
      <c r="Q160" s="144">
        <v>0</v>
      </c>
      <c r="R160" s="143">
        <v>0</v>
      </c>
      <c r="S160" s="141">
        <v>0</v>
      </c>
      <c r="T160" s="141">
        <v>0</v>
      </c>
      <c r="U160" s="141">
        <v>0</v>
      </c>
      <c r="V160" s="144">
        <v>0</v>
      </c>
      <c r="W160" s="2664"/>
      <c r="X160" s="2503"/>
      <c r="Y160" s="2503"/>
      <c r="Z160" s="2503"/>
      <c r="AA160" s="2503"/>
      <c r="AB160" s="2503"/>
      <c r="AC160" s="2503"/>
      <c r="AD160" s="2503"/>
      <c r="AE160" s="2503"/>
      <c r="AF160" s="2503"/>
      <c r="AG160" s="2503"/>
      <c r="AH160" s="2503"/>
      <c r="AI160" s="2503"/>
      <c r="AJ160" s="2503"/>
      <c r="AK160" s="2503"/>
      <c r="AL160" s="2629"/>
      <c r="AM160" s="607" t="s">
        <v>1876</v>
      </c>
      <c r="AN160" s="165">
        <v>0</v>
      </c>
      <c r="AO160" s="166">
        <v>0</v>
      </c>
      <c r="AP160" s="166">
        <v>0</v>
      </c>
      <c r="AQ160" s="166">
        <v>0</v>
      </c>
      <c r="AR160" s="166">
        <v>0</v>
      </c>
      <c r="AS160" s="166">
        <v>0</v>
      </c>
      <c r="AT160" s="166">
        <v>0</v>
      </c>
      <c r="AU160" s="167">
        <v>0</v>
      </c>
      <c r="AV160" s="165">
        <v>0</v>
      </c>
      <c r="AW160" s="166">
        <v>0</v>
      </c>
      <c r="AX160" s="166">
        <v>0</v>
      </c>
      <c r="AY160" s="166">
        <v>0</v>
      </c>
      <c r="AZ160" s="167">
        <v>0</v>
      </c>
      <c r="BA160" s="2629"/>
      <c r="BB160" s="2629"/>
      <c r="BC160" s="2629"/>
      <c r="BD160" s="2629"/>
      <c r="BE160" s="2629"/>
      <c r="BF160" s="542"/>
      <c r="BG160" s="542"/>
      <c r="BH160" s="2629"/>
      <c r="BI160" s="2629"/>
      <c r="BJ160" s="2629"/>
      <c r="BK160" s="2629"/>
      <c r="BL160" s="2629"/>
      <c r="BM160" s="542"/>
      <c r="BN160" s="544"/>
    </row>
    <row r="161" spans="1:66" s="98" customFormat="1" ht="15" customHeight="1">
      <c r="A161" s="99"/>
      <c r="B161" s="161"/>
      <c r="C161" s="185"/>
      <c r="D161" s="116" t="s">
        <v>2427</v>
      </c>
      <c r="E161" s="116"/>
      <c r="F161" s="116"/>
      <c r="G161" s="117"/>
      <c r="H161" s="117"/>
      <c r="I161" s="117"/>
      <c r="J161" s="713"/>
      <c r="K161" s="2649"/>
      <c r="L161" s="2649"/>
      <c r="M161" s="2649"/>
      <c r="N161" s="2649"/>
      <c r="O161" s="2649"/>
      <c r="P161" s="2649"/>
      <c r="Q161" s="715"/>
      <c r="R161" s="713"/>
      <c r="S161" s="2649"/>
      <c r="T161" s="2649"/>
      <c r="U161" s="2649"/>
      <c r="V161" s="715"/>
      <c r="W161" s="2664"/>
      <c r="X161" s="2503"/>
      <c r="Y161" s="2503"/>
      <c r="Z161" s="2503"/>
      <c r="AA161" s="2503"/>
      <c r="AB161" s="2503"/>
      <c r="AC161" s="2503"/>
      <c r="AD161" s="2503"/>
      <c r="AE161" s="2503"/>
      <c r="AF161" s="2503"/>
      <c r="AG161" s="2503"/>
      <c r="AH161" s="2503"/>
      <c r="AI161" s="2503"/>
      <c r="AJ161" s="2503"/>
      <c r="AK161" s="2503"/>
      <c r="AL161" s="2629"/>
      <c r="AM161" s="94"/>
      <c r="AN161" s="159"/>
      <c r="AO161" s="94"/>
      <c r="AP161" s="94"/>
      <c r="AQ161" s="94"/>
      <c r="AR161" s="94"/>
      <c r="AS161" s="94"/>
      <c r="AT161" s="94"/>
      <c r="AU161" s="160"/>
      <c r="AV161" s="159"/>
      <c r="AW161" s="94"/>
      <c r="AX161" s="94"/>
      <c r="AY161" s="94"/>
      <c r="AZ161" s="160"/>
      <c r="BA161" s="2629"/>
      <c r="BB161" s="359"/>
      <c r="BC161" s="542"/>
      <c r="BD161" s="542"/>
      <c r="BE161" s="542"/>
      <c r="BF161" s="542"/>
      <c r="BG161" s="542"/>
      <c r="BH161" s="2629"/>
      <c r="BI161" s="359"/>
      <c r="BJ161" s="542"/>
      <c r="BK161" s="542"/>
      <c r="BL161" s="542"/>
      <c r="BM161" s="542"/>
      <c r="BN161" s="544"/>
    </row>
    <row r="162" spans="1:66" s="98" customFormat="1" ht="15" customHeight="1">
      <c r="A162" s="99"/>
      <c r="B162" s="161"/>
      <c r="C162" s="185"/>
      <c r="D162" s="162"/>
      <c r="E162" s="230" t="s">
        <v>2787</v>
      </c>
      <c r="F162" s="230"/>
      <c r="G162" s="163"/>
      <c r="H162" s="163"/>
      <c r="I162" s="164" t="s">
        <v>498</v>
      </c>
      <c r="J162" s="143">
        <v>0</v>
      </c>
      <c r="K162" s="141">
        <v>0</v>
      </c>
      <c r="L162" s="141">
        <v>0</v>
      </c>
      <c r="M162" s="141">
        <v>0</v>
      </c>
      <c r="N162" s="141">
        <v>0</v>
      </c>
      <c r="O162" s="141">
        <v>0</v>
      </c>
      <c r="P162" s="141">
        <v>0</v>
      </c>
      <c r="Q162" s="144">
        <v>0</v>
      </c>
      <c r="R162" s="143">
        <v>0</v>
      </c>
      <c r="S162" s="141">
        <v>0</v>
      </c>
      <c r="T162" s="141">
        <v>0</v>
      </c>
      <c r="U162" s="141">
        <v>0</v>
      </c>
      <c r="V162" s="144">
        <v>0</v>
      </c>
      <c r="W162" s="2664"/>
      <c r="X162" s="2503"/>
      <c r="Y162" s="2503"/>
      <c r="Z162" s="2503"/>
      <c r="AA162" s="2503"/>
      <c r="AB162" s="2503"/>
      <c r="AC162" s="2503"/>
      <c r="AD162" s="2503"/>
      <c r="AE162" s="2503"/>
      <c r="AF162" s="2503"/>
      <c r="AG162" s="2503"/>
      <c r="AH162" s="2503"/>
      <c r="AI162" s="2503"/>
      <c r="AJ162" s="2503"/>
      <c r="AK162" s="2503"/>
      <c r="AL162" s="2629"/>
      <c r="AM162" s="607" t="s">
        <v>1876</v>
      </c>
      <c r="AN162" s="165">
        <v>0</v>
      </c>
      <c r="AO162" s="166">
        <v>0</v>
      </c>
      <c r="AP162" s="166">
        <v>0</v>
      </c>
      <c r="AQ162" s="166">
        <v>0</v>
      </c>
      <c r="AR162" s="166">
        <v>0</v>
      </c>
      <c r="AS162" s="166">
        <v>0</v>
      </c>
      <c r="AT162" s="166">
        <v>0</v>
      </c>
      <c r="AU162" s="167">
        <v>0</v>
      </c>
      <c r="AV162" s="165">
        <v>0</v>
      </c>
      <c r="AW162" s="166">
        <v>0</v>
      </c>
      <c r="AX162" s="166">
        <v>0</v>
      </c>
      <c r="AY162" s="166">
        <v>0</v>
      </c>
      <c r="AZ162" s="167">
        <v>0</v>
      </c>
      <c r="BA162" s="2629"/>
      <c r="BB162" s="545" t="s">
        <v>2788</v>
      </c>
      <c r="BC162" s="188">
        <v>0</v>
      </c>
      <c r="BD162" s="545" t="s">
        <v>627</v>
      </c>
      <c r="BE162" s="188">
        <v>0</v>
      </c>
      <c r="BF162" s="607" t="s">
        <v>627</v>
      </c>
      <c r="BG162" s="868">
        <v>0</v>
      </c>
      <c r="BH162" s="2629"/>
      <c r="BI162" s="545" t="s">
        <v>2788</v>
      </c>
      <c r="BJ162" s="188">
        <v>0</v>
      </c>
      <c r="BK162" s="545" t="s">
        <v>627</v>
      </c>
      <c r="BL162" s="188">
        <v>0</v>
      </c>
      <c r="BM162" s="607" t="s">
        <v>627</v>
      </c>
      <c r="BN162" s="872">
        <v>0</v>
      </c>
    </row>
    <row r="163" spans="1:66" s="98" customFormat="1" ht="15" customHeight="1">
      <c r="A163" s="99"/>
      <c r="B163" s="161"/>
      <c r="C163" s="185"/>
      <c r="D163" s="162"/>
      <c r="E163" s="162" t="s">
        <v>1555</v>
      </c>
      <c r="F163" s="162"/>
      <c r="G163" s="163"/>
      <c r="H163" s="163"/>
      <c r="I163" s="164" t="s">
        <v>498</v>
      </c>
      <c r="J163" s="143">
        <v>0</v>
      </c>
      <c r="K163" s="141">
        <v>0</v>
      </c>
      <c r="L163" s="141">
        <v>0</v>
      </c>
      <c r="M163" s="141">
        <v>0</v>
      </c>
      <c r="N163" s="141">
        <v>0</v>
      </c>
      <c r="O163" s="141">
        <v>0</v>
      </c>
      <c r="P163" s="141">
        <v>0</v>
      </c>
      <c r="Q163" s="144">
        <v>0</v>
      </c>
      <c r="R163" s="143">
        <v>0</v>
      </c>
      <c r="S163" s="141">
        <v>0</v>
      </c>
      <c r="T163" s="141">
        <v>0</v>
      </c>
      <c r="U163" s="141">
        <v>0</v>
      </c>
      <c r="V163" s="144">
        <v>0</v>
      </c>
      <c r="W163" s="2664"/>
      <c r="X163" s="2503"/>
      <c r="Y163" s="2503"/>
      <c r="Z163" s="2503"/>
      <c r="AA163" s="2503"/>
      <c r="AB163" s="2503"/>
      <c r="AC163" s="2503"/>
      <c r="AD163" s="2503"/>
      <c r="AE163" s="2503"/>
      <c r="AF163" s="2503"/>
      <c r="AG163" s="2503"/>
      <c r="AH163" s="2503"/>
      <c r="AI163" s="2503"/>
      <c r="AJ163" s="2503"/>
      <c r="AK163" s="2503"/>
      <c r="AL163" s="2629"/>
      <c r="AM163" s="607" t="s">
        <v>1876</v>
      </c>
      <c r="AN163" s="165">
        <v>0</v>
      </c>
      <c r="AO163" s="166">
        <v>0</v>
      </c>
      <c r="AP163" s="166">
        <v>0</v>
      </c>
      <c r="AQ163" s="166">
        <v>0</v>
      </c>
      <c r="AR163" s="166">
        <v>0</v>
      </c>
      <c r="AS163" s="166">
        <v>0</v>
      </c>
      <c r="AT163" s="166">
        <v>0</v>
      </c>
      <c r="AU163" s="167">
        <v>0</v>
      </c>
      <c r="AV163" s="165">
        <v>0</v>
      </c>
      <c r="AW163" s="166">
        <v>0</v>
      </c>
      <c r="AX163" s="166">
        <v>0</v>
      </c>
      <c r="AY163" s="166">
        <v>0</v>
      </c>
      <c r="AZ163" s="167">
        <v>0</v>
      </c>
      <c r="BA163" s="2629"/>
      <c r="BB163" s="2629"/>
      <c r="BC163" s="2629"/>
      <c r="BD163" s="2629"/>
      <c r="BE163" s="2629"/>
      <c r="BF163" s="542"/>
      <c r="BG163" s="542"/>
      <c r="BH163" s="2629"/>
      <c r="BI163" s="2629"/>
      <c r="BJ163" s="2629"/>
      <c r="BK163" s="2629"/>
      <c r="BL163" s="2629"/>
      <c r="BM163" s="542"/>
      <c r="BN163" s="544"/>
    </row>
    <row r="164" spans="1:66" s="98" customFormat="1" ht="15" customHeight="1">
      <c r="A164" s="99"/>
      <c r="B164" s="161"/>
      <c r="C164" s="116"/>
      <c r="D164" s="116"/>
      <c r="E164" s="116"/>
      <c r="F164" s="116"/>
      <c r="G164" s="117"/>
      <c r="H164" s="117"/>
      <c r="I164" s="117"/>
      <c r="J164" s="713"/>
      <c r="K164" s="2649"/>
      <c r="L164" s="2649"/>
      <c r="M164" s="2649"/>
      <c r="N164" s="2649"/>
      <c r="O164" s="2649"/>
      <c r="P164" s="2649"/>
      <c r="Q164" s="715"/>
      <c r="R164" s="713"/>
      <c r="S164" s="2649"/>
      <c r="T164" s="2649"/>
      <c r="U164" s="2649"/>
      <c r="V164" s="715"/>
      <c r="W164" s="2664"/>
      <c r="X164" s="2503"/>
      <c r="Y164" s="2503"/>
      <c r="Z164" s="2503"/>
      <c r="AA164" s="2503"/>
      <c r="AB164" s="2503"/>
      <c r="AC164" s="2503"/>
      <c r="AD164" s="2503"/>
      <c r="AE164" s="2503"/>
      <c r="AF164" s="2503"/>
      <c r="AG164" s="2503"/>
      <c r="AH164" s="2503"/>
      <c r="AI164" s="2503"/>
      <c r="AJ164" s="2503"/>
      <c r="AK164" s="2503"/>
      <c r="AL164" s="2629"/>
      <c r="AM164" s="94"/>
      <c r="AN164" s="159"/>
      <c r="AO164" s="94"/>
      <c r="AP164" s="94"/>
      <c r="AQ164" s="94"/>
      <c r="AR164" s="94"/>
      <c r="AS164" s="94"/>
      <c r="AT164" s="94"/>
      <c r="AU164" s="160"/>
      <c r="AV164" s="159"/>
      <c r="AW164" s="94"/>
      <c r="AX164" s="94"/>
      <c r="AY164" s="94"/>
      <c r="AZ164" s="160"/>
      <c r="BA164" s="2629"/>
      <c r="BB164" s="359"/>
      <c r="BC164" s="542"/>
      <c r="BD164" s="542"/>
      <c r="BE164" s="542"/>
      <c r="BF164" s="542"/>
      <c r="BG164" s="542"/>
      <c r="BH164" s="2629"/>
      <c r="BI164" s="359"/>
      <c r="BJ164" s="542"/>
      <c r="BK164" s="542"/>
      <c r="BL164" s="542"/>
      <c r="BM164" s="542"/>
      <c r="BN164" s="544"/>
    </row>
    <row r="165" spans="1:66" s="98" customFormat="1" ht="15" customHeight="1">
      <c r="A165" s="99"/>
      <c r="B165" s="115"/>
      <c r="C165" s="116" t="s">
        <v>2722</v>
      </c>
      <c r="D165" s="116"/>
      <c r="E165" s="116"/>
      <c r="F165" s="116"/>
      <c r="G165" s="117"/>
      <c r="H165" s="117"/>
      <c r="I165" s="92"/>
      <c r="J165" s="619"/>
      <c r="K165" s="93"/>
      <c r="L165" s="93"/>
      <c r="M165" s="93"/>
      <c r="N165" s="93"/>
      <c r="O165" s="93"/>
      <c r="P165" s="93"/>
      <c r="Q165" s="618"/>
      <c r="R165" s="619"/>
      <c r="S165" s="93"/>
      <c r="T165" s="93"/>
      <c r="U165" s="93"/>
      <c r="V165" s="618"/>
      <c r="W165" s="2664"/>
      <c r="X165" s="2503"/>
      <c r="Y165" s="2503"/>
      <c r="Z165" s="2503"/>
      <c r="AA165" s="2503"/>
      <c r="AB165" s="2503"/>
      <c r="AC165" s="2503"/>
      <c r="AD165" s="2503"/>
      <c r="AE165" s="2503"/>
      <c r="AF165" s="2503"/>
      <c r="AG165" s="2503"/>
      <c r="AH165" s="2503"/>
      <c r="AI165" s="2503"/>
      <c r="AJ165" s="2503"/>
      <c r="AK165" s="2503"/>
      <c r="AL165" s="2629"/>
      <c r="AM165" s="93"/>
      <c r="AN165" s="619"/>
      <c r="AO165" s="93"/>
      <c r="AP165" s="93"/>
      <c r="AQ165" s="93"/>
      <c r="AR165" s="93"/>
      <c r="AS165" s="93"/>
      <c r="AT165" s="93"/>
      <c r="AU165" s="618"/>
      <c r="AV165" s="619"/>
      <c r="AW165" s="93"/>
      <c r="AX165" s="93"/>
      <c r="AY165" s="93"/>
      <c r="AZ165" s="618"/>
      <c r="BA165" s="2629"/>
      <c r="BB165" s="2665"/>
      <c r="BC165" s="2665"/>
      <c r="BD165" s="2665"/>
      <c r="BE165" s="2665"/>
      <c r="BF165" s="2665"/>
      <c r="BG165" s="2665"/>
      <c r="BH165" s="2629"/>
      <c r="BI165" s="2665"/>
      <c r="BJ165" s="2665"/>
      <c r="BK165" s="2665"/>
      <c r="BL165" s="2665"/>
      <c r="BM165" s="2665"/>
      <c r="BN165" s="2666"/>
    </row>
    <row r="166" spans="1:66" s="98" customFormat="1" ht="15" customHeight="1">
      <c r="A166" s="99"/>
      <c r="B166" s="161"/>
      <c r="C166" s="185"/>
      <c r="D166" s="116" t="s">
        <v>2521</v>
      </c>
      <c r="E166" s="116"/>
      <c r="F166" s="116"/>
      <c r="G166" s="117"/>
      <c r="H166" s="117"/>
      <c r="I166" s="117"/>
      <c r="J166" s="159"/>
      <c r="K166" s="94"/>
      <c r="L166" s="94"/>
      <c r="M166" s="94"/>
      <c r="N166" s="94"/>
      <c r="O166" s="94"/>
      <c r="P166" s="94"/>
      <c r="Q166" s="160"/>
      <c r="R166" s="159"/>
      <c r="S166" s="94"/>
      <c r="T166" s="94"/>
      <c r="U166" s="94"/>
      <c r="V166" s="160"/>
      <c r="W166" s="2664"/>
      <c r="X166" s="2503"/>
      <c r="Y166" s="2503"/>
      <c r="Z166" s="2503"/>
      <c r="AA166" s="2503"/>
      <c r="AB166" s="2503"/>
      <c r="AC166" s="2503"/>
      <c r="AD166" s="2503"/>
      <c r="AE166" s="2503"/>
      <c r="AF166" s="2503"/>
      <c r="AG166" s="2503"/>
      <c r="AH166" s="2503"/>
      <c r="AI166" s="2503"/>
      <c r="AJ166" s="2503"/>
      <c r="AK166" s="2503"/>
      <c r="AL166" s="2629"/>
      <c r="AM166" s="94"/>
      <c r="AN166" s="159"/>
      <c r="AO166" s="94"/>
      <c r="AP166" s="94"/>
      <c r="AQ166" s="94"/>
      <c r="AR166" s="94"/>
      <c r="AS166" s="94"/>
      <c r="AT166" s="94"/>
      <c r="AU166" s="160"/>
      <c r="AV166" s="159"/>
      <c r="AW166" s="94"/>
      <c r="AX166" s="94"/>
      <c r="AY166" s="94"/>
      <c r="AZ166" s="160"/>
      <c r="BA166" s="2629"/>
      <c r="BB166" s="359"/>
      <c r="BC166" s="542"/>
      <c r="BD166" s="542"/>
      <c r="BE166" s="542"/>
      <c r="BF166" s="542"/>
      <c r="BG166" s="542"/>
      <c r="BH166" s="2629"/>
      <c r="BI166" s="359"/>
      <c r="BJ166" s="542"/>
      <c r="BK166" s="542"/>
      <c r="BL166" s="542"/>
      <c r="BM166" s="542"/>
      <c r="BN166" s="544"/>
    </row>
    <row r="167" spans="1:66" s="98" customFormat="1" ht="15" customHeight="1">
      <c r="A167" s="99"/>
      <c r="B167" s="161"/>
      <c r="C167" s="185"/>
      <c r="D167" s="162"/>
      <c r="E167" s="230" t="s">
        <v>2787</v>
      </c>
      <c r="F167" s="230"/>
      <c r="G167" s="163"/>
      <c r="H167" s="163"/>
      <c r="I167" s="164" t="s">
        <v>498</v>
      </c>
      <c r="J167" s="143">
        <v>0</v>
      </c>
      <c r="K167" s="141">
        <v>0</v>
      </c>
      <c r="L167" s="141">
        <v>0</v>
      </c>
      <c r="M167" s="141">
        <v>0</v>
      </c>
      <c r="N167" s="141">
        <v>0</v>
      </c>
      <c r="O167" s="141">
        <v>0</v>
      </c>
      <c r="P167" s="141">
        <v>0</v>
      </c>
      <c r="Q167" s="144">
        <v>0</v>
      </c>
      <c r="R167" s="143">
        <v>0</v>
      </c>
      <c r="S167" s="141">
        <v>0</v>
      </c>
      <c r="T167" s="141">
        <v>0</v>
      </c>
      <c r="U167" s="141">
        <v>0</v>
      </c>
      <c r="V167" s="144">
        <v>0</v>
      </c>
      <c r="W167" s="2664"/>
      <c r="X167" s="2503"/>
      <c r="Y167" s="2503"/>
      <c r="Z167" s="2503"/>
      <c r="AA167" s="2503"/>
      <c r="AB167" s="2503"/>
      <c r="AC167" s="2503"/>
      <c r="AD167" s="2503"/>
      <c r="AE167" s="2503"/>
      <c r="AF167" s="2503"/>
      <c r="AG167" s="2503"/>
      <c r="AH167" s="2503"/>
      <c r="AI167" s="2503"/>
      <c r="AJ167" s="2503"/>
      <c r="AK167" s="2503"/>
      <c r="AL167" s="2629"/>
      <c r="AM167" s="607" t="s">
        <v>1876</v>
      </c>
      <c r="AN167" s="165">
        <v>0</v>
      </c>
      <c r="AO167" s="166">
        <v>0</v>
      </c>
      <c r="AP167" s="166">
        <v>0</v>
      </c>
      <c r="AQ167" s="166">
        <v>0</v>
      </c>
      <c r="AR167" s="166">
        <v>0</v>
      </c>
      <c r="AS167" s="166">
        <v>0</v>
      </c>
      <c r="AT167" s="166">
        <v>0</v>
      </c>
      <c r="AU167" s="167">
        <v>0</v>
      </c>
      <c r="AV167" s="165">
        <v>0</v>
      </c>
      <c r="AW167" s="166">
        <v>0</v>
      </c>
      <c r="AX167" s="166">
        <v>0</v>
      </c>
      <c r="AY167" s="166">
        <v>0</v>
      </c>
      <c r="AZ167" s="167">
        <v>0</v>
      </c>
      <c r="BA167" s="2629"/>
      <c r="BB167" s="545" t="s">
        <v>2788</v>
      </c>
      <c r="BC167" s="188">
        <v>0</v>
      </c>
      <c r="BD167" s="545" t="s">
        <v>627</v>
      </c>
      <c r="BE167" s="188">
        <v>0</v>
      </c>
      <c r="BF167" s="607" t="s">
        <v>627</v>
      </c>
      <c r="BG167" s="868">
        <v>0</v>
      </c>
      <c r="BH167" s="2629"/>
      <c r="BI167" s="545" t="s">
        <v>2788</v>
      </c>
      <c r="BJ167" s="188">
        <v>0</v>
      </c>
      <c r="BK167" s="545" t="s">
        <v>627</v>
      </c>
      <c r="BL167" s="188">
        <v>0</v>
      </c>
      <c r="BM167" s="607" t="s">
        <v>627</v>
      </c>
      <c r="BN167" s="872">
        <v>0</v>
      </c>
    </row>
    <row r="168" spans="1:66" s="98" customFormat="1" ht="15" customHeight="1">
      <c r="A168" s="99"/>
      <c r="B168" s="161"/>
      <c r="C168" s="185"/>
      <c r="D168" s="162"/>
      <c r="E168" s="162" t="s">
        <v>1555</v>
      </c>
      <c r="F168" s="162"/>
      <c r="G168" s="163"/>
      <c r="H168" s="163"/>
      <c r="I168" s="164" t="s">
        <v>498</v>
      </c>
      <c r="J168" s="143">
        <v>0</v>
      </c>
      <c r="K168" s="141">
        <v>0</v>
      </c>
      <c r="L168" s="141">
        <v>0</v>
      </c>
      <c r="M168" s="141">
        <v>0</v>
      </c>
      <c r="N168" s="141">
        <v>0</v>
      </c>
      <c r="O168" s="141">
        <v>0</v>
      </c>
      <c r="P168" s="141">
        <v>0</v>
      </c>
      <c r="Q168" s="144">
        <v>0</v>
      </c>
      <c r="R168" s="143">
        <v>0</v>
      </c>
      <c r="S168" s="141">
        <v>0</v>
      </c>
      <c r="T168" s="141">
        <v>0</v>
      </c>
      <c r="U168" s="141">
        <v>0</v>
      </c>
      <c r="V168" s="144">
        <v>0</v>
      </c>
      <c r="W168" s="2664"/>
      <c r="X168" s="2503"/>
      <c r="Y168" s="2503"/>
      <c r="Z168" s="2503"/>
      <c r="AA168" s="2503"/>
      <c r="AB168" s="2503"/>
      <c r="AC168" s="2503"/>
      <c r="AD168" s="2503"/>
      <c r="AE168" s="2503"/>
      <c r="AF168" s="2503"/>
      <c r="AG168" s="2503"/>
      <c r="AH168" s="2503"/>
      <c r="AI168" s="2503"/>
      <c r="AJ168" s="2503"/>
      <c r="AK168" s="2503"/>
      <c r="AL168" s="2629"/>
      <c r="AM168" s="607" t="s">
        <v>1876</v>
      </c>
      <c r="AN168" s="165">
        <v>0</v>
      </c>
      <c r="AO168" s="166">
        <v>0</v>
      </c>
      <c r="AP168" s="166">
        <v>0</v>
      </c>
      <c r="AQ168" s="166">
        <v>0</v>
      </c>
      <c r="AR168" s="166">
        <v>0</v>
      </c>
      <c r="AS168" s="166">
        <v>0</v>
      </c>
      <c r="AT168" s="166">
        <v>0</v>
      </c>
      <c r="AU168" s="167">
        <v>0</v>
      </c>
      <c r="AV168" s="165">
        <v>0</v>
      </c>
      <c r="AW168" s="166">
        <v>0</v>
      </c>
      <c r="AX168" s="166">
        <v>0</v>
      </c>
      <c r="AY168" s="166">
        <v>0</v>
      </c>
      <c r="AZ168" s="167">
        <v>0</v>
      </c>
      <c r="BA168" s="2629"/>
      <c r="BB168" s="2629"/>
      <c r="BC168" s="2629"/>
      <c r="BD168" s="2629"/>
      <c r="BE168" s="2629"/>
      <c r="BF168" s="542"/>
      <c r="BG168" s="542"/>
      <c r="BH168" s="2629"/>
      <c r="BI168" s="2629"/>
      <c r="BJ168" s="2629"/>
      <c r="BK168" s="2629"/>
      <c r="BL168" s="2629"/>
      <c r="BM168" s="542"/>
      <c r="BN168" s="544"/>
    </row>
    <row r="169" spans="1:66" s="98" customFormat="1" ht="15" customHeight="1">
      <c r="A169" s="99"/>
      <c r="B169" s="161"/>
      <c r="C169" s="185"/>
      <c r="D169" s="116" t="s">
        <v>2427</v>
      </c>
      <c r="E169" s="116"/>
      <c r="F169" s="116"/>
      <c r="G169" s="117"/>
      <c r="H169" s="117"/>
      <c r="I169" s="117"/>
      <c r="J169" s="713"/>
      <c r="K169" s="2649"/>
      <c r="L169" s="2649"/>
      <c r="M169" s="2649"/>
      <c r="N169" s="2649"/>
      <c r="O169" s="2649"/>
      <c r="P169" s="2649"/>
      <c r="Q169" s="715"/>
      <c r="R169" s="713"/>
      <c r="S169" s="2649"/>
      <c r="T169" s="2649"/>
      <c r="U169" s="2649"/>
      <c r="V169" s="715"/>
      <c r="W169" s="2664"/>
      <c r="X169" s="2503"/>
      <c r="Y169" s="2503"/>
      <c r="Z169" s="2503"/>
      <c r="AA169" s="2503"/>
      <c r="AB169" s="2503"/>
      <c r="AC169" s="2503"/>
      <c r="AD169" s="2503"/>
      <c r="AE169" s="2503"/>
      <c r="AF169" s="2503"/>
      <c r="AG169" s="2503"/>
      <c r="AH169" s="2503"/>
      <c r="AI169" s="2503"/>
      <c r="AJ169" s="2503"/>
      <c r="AK169" s="2503"/>
      <c r="AL169" s="2629"/>
      <c r="AM169" s="94"/>
      <c r="AN169" s="159"/>
      <c r="AO169" s="94"/>
      <c r="AP169" s="94"/>
      <c r="AQ169" s="94"/>
      <c r="AR169" s="94"/>
      <c r="AS169" s="94"/>
      <c r="AT169" s="94"/>
      <c r="AU169" s="160"/>
      <c r="AV169" s="159"/>
      <c r="AW169" s="94"/>
      <c r="AX169" s="94"/>
      <c r="AY169" s="94"/>
      <c r="AZ169" s="160"/>
      <c r="BA169" s="2629"/>
      <c r="BB169" s="359"/>
      <c r="BC169" s="542"/>
      <c r="BD169" s="542"/>
      <c r="BE169" s="542"/>
      <c r="BF169" s="542"/>
      <c r="BG169" s="542"/>
      <c r="BH169" s="2629"/>
      <c r="BI169" s="359"/>
      <c r="BJ169" s="542"/>
      <c r="BK169" s="542"/>
      <c r="BL169" s="542"/>
      <c r="BM169" s="542"/>
      <c r="BN169" s="544"/>
    </row>
    <row r="170" spans="1:66" s="98" customFormat="1" ht="15" customHeight="1">
      <c r="A170" s="99"/>
      <c r="B170" s="161"/>
      <c r="C170" s="185"/>
      <c r="D170" s="162"/>
      <c r="E170" s="230" t="s">
        <v>2787</v>
      </c>
      <c r="F170" s="230"/>
      <c r="G170" s="163"/>
      <c r="H170" s="163"/>
      <c r="I170" s="164" t="s">
        <v>498</v>
      </c>
      <c r="J170" s="143">
        <v>0</v>
      </c>
      <c r="K170" s="141">
        <v>0</v>
      </c>
      <c r="L170" s="141">
        <v>0</v>
      </c>
      <c r="M170" s="141">
        <v>0</v>
      </c>
      <c r="N170" s="141">
        <v>0</v>
      </c>
      <c r="O170" s="141">
        <v>0</v>
      </c>
      <c r="P170" s="141">
        <v>0</v>
      </c>
      <c r="Q170" s="144">
        <v>0</v>
      </c>
      <c r="R170" s="143">
        <v>0</v>
      </c>
      <c r="S170" s="141">
        <v>0</v>
      </c>
      <c r="T170" s="141">
        <v>0</v>
      </c>
      <c r="U170" s="141">
        <v>0</v>
      </c>
      <c r="V170" s="144">
        <v>0</v>
      </c>
      <c r="W170" s="2664"/>
      <c r="X170" s="2503"/>
      <c r="Y170" s="2503"/>
      <c r="Z170" s="2503"/>
      <c r="AA170" s="2503"/>
      <c r="AB170" s="2503"/>
      <c r="AC170" s="2503"/>
      <c r="AD170" s="2503"/>
      <c r="AE170" s="2503"/>
      <c r="AF170" s="2503"/>
      <c r="AG170" s="2503"/>
      <c r="AH170" s="2503"/>
      <c r="AI170" s="2503"/>
      <c r="AJ170" s="2503"/>
      <c r="AK170" s="2503"/>
      <c r="AL170" s="2629"/>
      <c r="AM170" s="607" t="s">
        <v>1876</v>
      </c>
      <c r="AN170" s="165">
        <v>0</v>
      </c>
      <c r="AO170" s="166">
        <v>0</v>
      </c>
      <c r="AP170" s="166">
        <v>0</v>
      </c>
      <c r="AQ170" s="166">
        <v>0</v>
      </c>
      <c r="AR170" s="166">
        <v>0</v>
      </c>
      <c r="AS170" s="166">
        <v>0</v>
      </c>
      <c r="AT170" s="166">
        <v>0</v>
      </c>
      <c r="AU170" s="167">
        <v>0</v>
      </c>
      <c r="AV170" s="165">
        <v>0</v>
      </c>
      <c r="AW170" s="166">
        <v>0</v>
      </c>
      <c r="AX170" s="166">
        <v>0</v>
      </c>
      <c r="AY170" s="166">
        <v>0</v>
      </c>
      <c r="AZ170" s="167">
        <v>0</v>
      </c>
      <c r="BA170" s="2629"/>
      <c r="BB170" s="545" t="s">
        <v>2788</v>
      </c>
      <c r="BC170" s="188">
        <v>0</v>
      </c>
      <c r="BD170" s="545" t="s">
        <v>627</v>
      </c>
      <c r="BE170" s="188">
        <v>0</v>
      </c>
      <c r="BF170" s="607" t="s">
        <v>627</v>
      </c>
      <c r="BG170" s="868">
        <v>0</v>
      </c>
      <c r="BH170" s="2629"/>
      <c r="BI170" s="545" t="s">
        <v>2788</v>
      </c>
      <c r="BJ170" s="188">
        <v>0</v>
      </c>
      <c r="BK170" s="545" t="s">
        <v>627</v>
      </c>
      <c r="BL170" s="188">
        <v>0</v>
      </c>
      <c r="BM170" s="607" t="s">
        <v>627</v>
      </c>
      <c r="BN170" s="872">
        <v>0</v>
      </c>
    </row>
    <row r="171" spans="1:66" s="98" customFormat="1" ht="15" customHeight="1">
      <c r="A171" s="99"/>
      <c r="B171" s="161"/>
      <c r="C171" s="185"/>
      <c r="D171" s="162"/>
      <c r="E171" s="162" t="s">
        <v>1555</v>
      </c>
      <c r="F171" s="162"/>
      <c r="G171" s="163"/>
      <c r="H171" s="163"/>
      <c r="I171" s="164" t="s">
        <v>498</v>
      </c>
      <c r="J171" s="143">
        <v>0</v>
      </c>
      <c r="K171" s="141">
        <v>0</v>
      </c>
      <c r="L171" s="141">
        <v>0</v>
      </c>
      <c r="M171" s="141">
        <v>0</v>
      </c>
      <c r="N171" s="141">
        <v>0</v>
      </c>
      <c r="O171" s="141">
        <v>0</v>
      </c>
      <c r="P171" s="141">
        <v>0</v>
      </c>
      <c r="Q171" s="144">
        <v>0</v>
      </c>
      <c r="R171" s="143">
        <v>0</v>
      </c>
      <c r="S171" s="141">
        <v>0</v>
      </c>
      <c r="T171" s="141">
        <v>0</v>
      </c>
      <c r="U171" s="141">
        <v>0</v>
      </c>
      <c r="V171" s="144">
        <v>0</v>
      </c>
      <c r="W171" s="2664"/>
      <c r="X171" s="2503"/>
      <c r="Y171" s="2503"/>
      <c r="Z171" s="2503"/>
      <c r="AA171" s="2503"/>
      <c r="AB171" s="2503"/>
      <c r="AC171" s="2503"/>
      <c r="AD171" s="2503"/>
      <c r="AE171" s="2503"/>
      <c r="AF171" s="2503"/>
      <c r="AG171" s="2503"/>
      <c r="AH171" s="2503"/>
      <c r="AI171" s="2503"/>
      <c r="AJ171" s="2503"/>
      <c r="AK171" s="2503"/>
      <c r="AL171" s="2629"/>
      <c r="AM171" s="607" t="s">
        <v>1876</v>
      </c>
      <c r="AN171" s="165">
        <v>0</v>
      </c>
      <c r="AO171" s="166">
        <v>0</v>
      </c>
      <c r="AP171" s="166">
        <v>0</v>
      </c>
      <c r="AQ171" s="166">
        <v>0</v>
      </c>
      <c r="AR171" s="166">
        <v>0</v>
      </c>
      <c r="AS171" s="166">
        <v>0</v>
      </c>
      <c r="AT171" s="166">
        <v>0</v>
      </c>
      <c r="AU171" s="167">
        <v>0</v>
      </c>
      <c r="AV171" s="165">
        <v>0</v>
      </c>
      <c r="AW171" s="166">
        <v>0</v>
      </c>
      <c r="AX171" s="166">
        <v>0</v>
      </c>
      <c r="AY171" s="166">
        <v>0</v>
      </c>
      <c r="AZ171" s="167">
        <v>0</v>
      </c>
      <c r="BA171" s="2629"/>
      <c r="BB171" s="2629"/>
      <c r="BC171" s="2629"/>
      <c r="BD171" s="2629"/>
      <c r="BE171" s="2629"/>
      <c r="BF171" s="542"/>
      <c r="BG171" s="542"/>
      <c r="BH171" s="2629"/>
      <c r="BI171" s="2629"/>
      <c r="BJ171" s="2629"/>
      <c r="BK171" s="2629"/>
      <c r="BL171" s="2629"/>
      <c r="BM171" s="542"/>
      <c r="BN171" s="544"/>
    </row>
    <row r="172" spans="1:66" s="98" customFormat="1" ht="15" customHeight="1">
      <c r="A172" s="99"/>
      <c r="B172" s="161"/>
      <c r="C172" s="116"/>
      <c r="D172" s="116"/>
      <c r="E172" s="116"/>
      <c r="F172" s="116"/>
      <c r="G172" s="117"/>
      <c r="H172" s="117"/>
      <c r="I172" s="117"/>
      <c r="J172" s="713"/>
      <c r="K172" s="2649"/>
      <c r="L172" s="2649"/>
      <c r="M172" s="2649"/>
      <c r="N172" s="2649"/>
      <c r="O172" s="2649"/>
      <c r="P172" s="2649"/>
      <c r="Q172" s="715"/>
      <c r="R172" s="713"/>
      <c r="S172" s="2649"/>
      <c r="T172" s="2649"/>
      <c r="U172" s="2649"/>
      <c r="V172" s="715"/>
      <c r="W172" s="2664"/>
      <c r="X172" s="2503"/>
      <c r="Y172" s="2503"/>
      <c r="Z172" s="2503"/>
      <c r="AA172" s="2503"/>
      <c r="AB172" s="2503"/>
      <c r="AC172" s="2503"/>
      <c r="AD172" s="2503"/>
      <c r="AE172" s="2503"/>
      <c r="AF172" s="2503"/>
      <c r="AG172" s="2503"/>
      <c r="AH172" s="2503"/>
      <c r="AI172" s="2503"/>
      <c r="AJ172" s="2503"/>
      <c r="AK172" s="2503"/>
      <c r="AL172" s="2629"/>
      <c r="AM172" s="94"/>
      <c r="AN172" s="159"/>
      <c r="AO172" s="94"/>
      <c r="AP172" s="94"/>
      <c r="AQ172" s="94"/>
      <c r="AR172" s="94"/>
      <c r="AS172" s="94"/>
      <c r="AT172" s="94"/>
      <c r="AU172" s="160"/>
      <c r="AV172" s="159"/>
      <c r="AW172" s="94"/>
      <c r="AX172" s="94"/>
      <c r="AY172" s="94"/>
      <c r="AZ172" s="160"/>
      <c r="BA172" s="2629"/>
      <c r="BB172" s="359"/>
      <c r="BC172" s="542"/>
      <c r="BD172" s="542"/>
      <c r="BE172" s="542"/>
      <c r="BF172" s="542"/>
      <c r="BG172" s="542"/>
      <c r="BH172" s="2629"/>
      <c r="BI172" s="359"/>
      <c r="BJ172" s="542"/>
      <c r="BK172" s="542"/>
      <c r="BL172" s="542"/>
      <c r="BM172" s="542"/>
      <c r="BN172" s="544"/>
    </row>
    <row r="173" spans="1:66" s="98" customFormat="1" ht="15" customHeight="1">
      <c r="A173" s="99"/>
      <c r="B173" s="115"/>
      <c r="C173" s="116" t="s">
        <v>2755</v>
      </c>
      <c r="D173" s="116"/>
      <c r="E173" s="116"/>
      <c r="F173" s="116"/>
      <c r="G173" s="117"/>
      <c r="H173" s="117"/>
      <c r="I173" s="92"/>
      <c r="J173" s="619"/>
      <c r="K173" s="93"/>
      <c r="L173" s="93"/>
      <c r="M173" s="93"/>
      <c r="N173" s="93"/>
      <c r="O173" s="93"/>
      <c r="P173" s="93"/>
      <c r="Q173" s="618"/>
      <c r="R173" s="619"/>
      <c r="S173" s="93"/>
      <c r="T173" s="93"/>
      <c r="U173" s="93"/>
      <c r="V173" s="618"/>
      <c r="W173" s="2664"/>
      <c r="X173" s="2503"/>
      <c r="Y173" s="2503"/>
      <c r="Z173" s="2503"/>
      <c r="AA173" s="2503"/>
      <c r="AB173" s="2503"/>
      <c r="AC173" s="2503"/>
      <c r="AD173" s="2503"/>
      <c r="AE173" s="2503"/>
      <c r="AF173" s="2503"/>
      <c r="AG173" s="2503"/>
      <c r="AH173" s="2503"/>
      <c r="AI173" s="2503"/>
      <c r="AJ173" s="2503"/>
      <c r="AK173" s="2503"/>
      <c r="AL173" s="2629"/>
      <c r="AM173" s="93"/>
      <c r="AN173" s="619"/>
      <c r="AO173" s="93"/>
      <c r="AP173" s="93"/>
      <c r="AQ173" s="93"/>
      <c r="AR173" s="93"/>
      <c r="AS173" s="93"/>
      <c r="AT173" s="93"/>
      <c r="AU173" s="618"/>
      <c r="AV173" s="619"/>
      <c r="AW173" s="93"/>
      <c r="AX173" s="93"/>
      <c r="AY173" s="93"/>
      <c r="AZ173" s="618"/>
      <c r="BA173" s="2629"/>
      <c r="BB173" s="2665"/>
      <c r="BC173" s="2665"/>
      <c r="BD173" s="2665"/>
      <c r="BE173" s="2665"/>
      <c r="BF173" s="2665"/>
      <c r="BG173" s="2665"/>
      <c r="BH173" s="2629"/>
      <c r="BI173" s="2665"/>
      <c r="BJ173" s="2665"/>
      <c r="BK173" s="2665"/>
      <c r="BL173" s="2665"/>
      <c r="BM173" s="2665"/>
      <c r="BN173" s="2666"/>
    </row>
    <row r="174" spans="1:66" s="98" customFormat="1" ht="15" customHeight="1">
      <c r="A174" s="99"/>
      <c r="B174" s="161"/>
      <c r="C174" s="185"/>
      <c r="D174" s="116" t="s">
        <v>2521</v>
      </c>
      <c r="E174" s="116"/>
      <c r="F174" s="116"/>
      <c r="G174" s="117"/>
      <c r="H174" s="117"/>
      <c r="I174" s="117"/>
      <c r="J174" s="159"/>
      <c r="K174" s="94"/>
      <c r="L174" s="94"/>
      <c r="M174" s="94"/>
      <c r="N174" s="94"/>
      <c r="O174" s="94"/>
      <c r="P174" s="94"/>
      <c r="Q174" s="160"/>
      <c r="R174" s="159"/>
      <c r="S174" s="94"/>
      <c r="T174" s="94"/>
      <c r="U174" s="94"/>
      <c r="V174" s="160"/>
      <c r="W174" s="2664"/>
      <c r="X174" s="2503"/>
      <c r="Y174" s="2503"/>
      <c r="Z174" s="2503"/>
      <c r="AA174" s="2503"/>
      <c r="AB174" s="2503"/>
      <c r="AC174" s="2503"/>
      <c r="AD174" s="2503"/>
      <c r="AE174" s="2503"/>
      <c r="AF174" s="2503"/>
      <c r="AG174" s="2503"/>
      <c r="AH174" s="2503"/>
      <c r="AI174" s="2503"/>
      <c r="AJ174" s="2503"/>
      <c r="AK174" s="2503"/>
      <c r="AL174" s="2629"/>
      <c r="AM174" s="94"/>
      <c r="AN174" s="159"/>
      <c r="AO174" s="94"/>
      <c r="AP174" s="94"/>
      <c r="AQ174" s="94"/>
      <c r="AR174" s="94"/>
      <c r="AS174" s="94"/>
      <c r="AT174" s="94"/>
      <c r="AU174" s="160"/>
      <c r="AV174" s="159"/>
      <c r="AW174" s="94"/>
      <c r="AX174" s="94"/>
      <c r="AY174" s="94"/>
      <c r="AZ174" s="160"/>
      <c r="BA174" s="2629"/>
      <c r="BB174" s="359"/>
      <c r="BC174" s="542"/>
      <c r="BD174" s="542"/>
      <c r="BE174" s="542"/>
      <c r="BF174" s="542"/>
      <c r="BG174" s="542"/>
      <c r="BH174" s="2629"/>
      <c r="BI174" s="359"/>
      <c r="BJ174" s="542"/>
      <c r="BK174" s="542"/>
      <c r="BL174" s="542"/>
      <c r="BM174" s="542"/>
      <c r="BN174" s="544"/>
    </row>
    <row r="175" spans="1:66" s="98" customFormat="1" ht="15" customHeight="1">
      <c r="A175" s="99"/>
      <c r="B175" s="161"/>
      <c r="C175" s="185"/>
      <c r="D175" s="162"/>
      <c r="E175" s="230" t="s">
        <v>2787</v>
      </c>
      <c r="F175" s="230"/>
      <c r="G175" s="163"/>
      <c r="H175" s="163"/>
      <c r="I175" s="164" t="s">
        <v>498</v>
      </c>
      <c r="J175" s="143">
        <v>0</v>
      </c>
      <c r="K175" s="141">
        <v>0</v>
      </c>
      <c r="L175" s="141">
        <v>0</v>
      </c>
      <c r="M175" s="141">
        <v>0</v>
      </c>
      <c r="N175" s="141">
        <v>0</v>
      </c>
      <c r="O175" s="141">
        <v>0</v>
      </c>
      <c r="P175" s="141">
        <v>0</v>
      </c>
      <c r="Q175" s="144">
        <v>0</v>
      </c>
      <c r="R175" s="143">
        <v>0</v>
      </c>
      <c r="S175" s="141">
        <v>0</v>
      </c>
      <c r="T175" s="141">
        <v>0</v>
      </c>
      <c r="U175" s="141">
        <v>0</v>
      </c>
      <c r="V175" s="144">
        <v>0</v>
      </c>
      <c r="W175" s="2664"/>
      <c r="X175" s="2503"/>
      <c r="Y175" s="2503"/>
      <c r="Z175" s="2503"/>
      <c r="AA175" s="2503"/>
      <c r="AB175" s="2503"/>
      <c r="AC175" s="2503"/>
      <c r="AD175" s="2503"/>
      <c r="AE175" s="2503"/>
      <c r="AF175" s="2503"/>
      <c r="AG175" s="2503"/>
      <c r="AH175" s="2503"/>
      <c r="AI175" s="2503"/>
      <c r="AJ175" s="2503"/>
      <c r="AK175" s="2503"/>
      <c r="AL175" s="2629"/>
      <c r="AM175" s="607" t="s">
        <v>1876</v>
      </c>
      <c r="AN175" s="165">
        <v>0</v>
      </c>
      <c r="AO175" s="166">
        <v>0</v>
      </c>
      <c r="AP175" s="166">
        <v>0</v>
      </c>
      <c r="AQ175" s="166">
        <v>0</v>
      </c>
      <c r="AR175" s="166">
        <v>0</v>
      </c>
      <c r="AS175" s="166">
        <v>0</v>
      </c>
      <c r="AT175" s="166">
        <v>0</v>
      </c>
      <c r="AU175" s="167">
        <v>0</v>
      </c>
      <c r="AV175" s="165">
        <v>0</v>
      </c>
      <c r="AW175" s="166">
        <v>0</v>
      </c>
      <c r="AX175" s="166">
        <v>0</v>
      </c>
      <c r="AY175" s="166">
        <v>0</v>
      </c>
      <c r="AZ175" s="167">
        <v>0</v>
      </c>
      <c r="BA175" s="2629"/>
      <c r="BB175" s="545" t="s">
        <v>2788</v>
      </c>
      <c r="BC175" s="188">
        <v>0</v>
      </c>
      <c r="BD175" s="545" t="s">
        <v>627</v>
      </c>
      <c r="BE175" s="188">
        <v>0</v>
      </c>
      <c r="BF175" s="607" t="s">
        <v>627</v>
      </c>
      <c r="BG175" s="868">
        <v>0</v>
      </c>
      <c r="BH175" s="2629"/>
      <c r="BI175" s="545" t="s">
        <v>2788</v>
      </c>
      <c r="BJ175" s="188">
        <v>0</v>
      </c>
      <c r="BK175" s="545" t="s">
        <v>627</v>
      </c>
      <c r="BL175" s="188">
        <v>0</v>
      </c>
      <c r="BM175" s="607" t="s">
        <v>627</v>
      </c>
      <c r="BN175" s="872">
        <v>0</v>
      </c>
    </row>
    <row r="176" spans="1:66" s="98" customFormat="1" ht="15" customHeight="1">
      <c r="A176" s="99"/>
      <c r="B176" s="161"/>
      <c r="C176" s="185"/>
      <c r="D176" s="162"/>
      <c r="E176" s="162" t="s">
        <v>1555</v>
      </c>
      <c r="F176" s="162"/>
      <c r="G176" s="163"/>
      <c r="H176" s="163"/>
      <c r="I176" s="164" t="s">
        <v>498</v>
      </c>
      <c r="J176" s="143">
        <v>0</v>
      </c>
      <c r="K176" s="141">
        <v>0</v>
      </c>
      <c r="L176" s="141">
        <v>0</v>
      </c>
      <c r="M176" s="141">
        <v>0</v>
      </c>
      <c r="N176" s="141">
        <v>0</v>
      </c>
      <c r="O176" s="141">
        <v>0</v>
      </c>
      <c r="P176" s="141">
        <v>0</v>
      </c>
      <c r="Q176" s="144">
        <v>0</v>
      </c>
      <c r="R176" s="143">
        <v>0</v>
      </c>
      <c r="S176" s="141">
        <v>0</v>
      </c>
      <c r="T176" s="141">
        <v>0</v>
      </c>
      <c r="U176" s="141">
        <v>0</v>
      </c>
      <c r="V176" s="144">
        <v>0</v>
      </c>
      <c r="W176" s="2664"/>
      <c r="X176" s="2503"/>
      <c r="Y176" s="2503"/>
      <c r="Z176" s="2503"/>
      <c r="AA176" s="2503"/>
      <c r="AB176" s="2503"/>
      <c r="AC176" s="2503"/>
      <c r="AD176" s="2503"/>
      <c r="AE176" s="2503"/>
      <c r="AF176" s="2503"/>
      <c r="AG176" s="2503"/>
      <c r="AH176" s="2503"/>
      <c r="AI176" s="2503"/>
      <c r="AJ176" s="2503"/>
      <c r="AK176" s="2503"/>
      <c r="AL176" s="2629"/>
      <c r="AM176" s="607" t="s">
        <v>1876</v>
      </c>
      <c r="AN176" s="165">
        <v>0</v>
      </c>
      <c r="AO176" s="166">
        <v>0</v>
      </c>
      <c r="AP176" s="166">
        <v>0</v>
      </c>
      <c r="AQ176" s="166">
        <v>0</v>
      </c>
      <c r="AR176" s="166">
        <v>0</v>
      </c>
      <c r="AS176" s="166">
        <v>0</v>
      </c>
      <c r="AT176" s="166">
        <v>0</v>
      </c>
      <c r="AU176" s="167">
        <v>0</v>
      </c>
      <c r="AV176" s="165">
        <v>0</v>
      </c>
      <c r="AW176" s="166">
        <v>0</v>
      </c>
      <c r="AX176" s="166">
        <v>0</v>
      </c>
      <c r="AY176" s="166">
        <v>0</v>
      </c>
      <c r="AZ176" s="167">
        <v>0</v>
      </c>
      <c r="BA176" s="2629"/>
      <c r="BB176" s="2629"/>
      <c r="BC176" s="2629"/>
      <c r="BD176" s="2629"/>
      <c r="BE176" s="2629"/>
      <c r="BF176" s="542"/>
      <c r="BG176" s="542"/>
      <c r="BH176" s="2629"/>
      <c r="BI176" s="2629"/>
      <c r="BJ176" s="2629"/>
      <c r="BK176" s="2629"/>
      <c r="BL176" s="2629"/>
      <c r="BM176" s="542"/>
      <c r="BN176" s="544"/>
    </row>
    <row r="177" spans="1:66" s="98" customFormat="1" ht="15" customHeight="1">
      <c r="A177" s="99"/>
      <c r="B177" s="161"/>
      <c r="C177" s="185"/>
      <c r="D177" s="116" t="s">
        <v>2427</v>
      </c>
      <c r="E177" s="116"/>
      <c r="F177" s="116"/>
      <c r="G177" s="117"/>
      <c r="H177" s="117"/>
      <c r="I177" s="117"/>
      <c r="J177" s="713"/>
      <c r="K177" s="2649"/>
      <c r="L177" s="2649"/>
      <c r="M177" s="2649"/>
      <c r="N177" s="2649"/>
      <c r="O177" s="2649"/>
      <c r="P177" s="2649"/>
      <c r="Q177" s="715"/>
      <c r="R177" s="713"/>
      <c r="S177" s="2649"/>
      <c r="T177" s="2649"/>
      <c r="U177" s="2649"/>
      <c r="V177" s="715"/>
      <c r="W177" s="2664"/>
      <c r="X177" s="2503"/>
      <c r="Y177" s="2503"/>
      <c r="Z177" s="2503"/>
      <c r="AA177" s="2503"/>
      <c r="AB177" s="2503"/>
      <c r="AC177" s="2503"/>
      <c r="AD177" s="2503"/>
      <c r="AE177" s="2503"/>
      <c r="AF177" s="2503"/>
      <c r="AG177" s="2503"/>
      <c r="AH177" s="2503"/>
      <c r="AI177" s="2503"/>
      <c r="AJ177" s="2503"/>
      <c r="AK177" s="2503"/>
      <c r="AL177" s="2629"/>
      <c r="AM177" s="94"/>
      <c r="AN177" s="159"/>
      <c r="AO177" s="94"/>
      <c r="AP177" s="94"/>
      <c r="AQ177" s="94"/>
      <c r="AR177" s="94"/>
      <c r="AS177" s="94"/>
      <c r="AT177" s="94"/>
      <c r="AU177" s="160"/>
      <c r="AV177" s="159"/>
      <c r="AW177" s="94"/>
      <c r="AX177" s="94"/>
      <c r="AY177" s="94"/>
      <c r="AZ177" s="160"/>
      <c r="BA177" s="2629"/>
      <c r="BB177" s="359"/>
      <c r="BC177" s="542"/>
      <c r="BD177" s="542"/>
      <c r="BE177" s="542"/>
      <c r="BF177" s="542"/>
      <c r="BG177" s="542"/>
      <c r="BH177" s="2629"/>
      <c r="BI177" s="359"/>
      <c r="BJ177" s="542"/>
      <c r="BK177" s="542"/>
      <c r="BL177" s="542"/>
      <c r="BM177" s="542"/>
      <c r="BN177" s="544"/>
    </row>
    <row r="178" spans="1:66" s="98" customFormat="1" ht="15" customHeight="1">
      <c r="A178" s="99"/>
      <c r="B178" s="161"/>
      <c r="C178" s="185"/>
      <c r="D178" s="162"/>
      <c r="E178" s="230" t="s">
        <v>2787</v>
      </c>
      <c r="F178" s="230"/>
      <c r="G178" s="163"/>
      <c r="H178" s="163"/>
      <c r="I178" s="164" t="s">
        <v>498</v>
      </c>
      <c r="J178" s="143">
        <v>0</v>
      </c>
      <c r="K178" s="141">
        <v>0</v>
      </c>
      <c r="L178" s="141">
        <v>0</v>
      </c>
      <c r="M178" s="141">
        <v>0</v>
      </c>
      <c r="N178" s="141">
        <v>0</v>
      </c>
      <c r="O178" s="141">
        <v>0</v>
      </c>
      <c r="P178" s="141">
        <v>0</v>
      </c>
      <c r="Q178" s="144">
        <v>0</v>
      </c>
      <c r="R178" s="143">
        <v>0</v>
      </c>
      <c r="S178" s="141">
        <v>0</v>
      </c>
      <c r="T178" s="141">
        <v>0</v>
      </c>
      <c r="U178" s="141">
        <v>0</v>
      </c>
      <c r="V178" s="144">
        <v>0</v>
      </c>
      <c r="W178" s="2664"/>
      <c r="X178" s="2503"/>
      <c r="Y178" s="2503"/>
      <c r="Z178" s="2503"/>
      <c r="AA178" s="2503"/>
      <c r="AB178" s="2503"/>
      <c r="AC178" s="2503"/>
      <c r="AD178" s="2503"/>
      <c r="AE178" s="2503"/>
      <c r="AF178" s="2503"/>
      <c r="AG178" s="2503"/>
      <c r="AH178" s="2503"/>
      <c r="AI178" s="2503"/>
      <c r="AJ178" s="2503"/>
      <c r="AK178" s="2503"/>
      <c r="AL178" s="2629"/>
      <c r="AM178" s="607" t="s">
        <v>1876</v>
      </c>
      <c r="AN178" s="165">
        <v>0</v>
      </c>
      <c r="AO178" s="166">
        <v>0</v>
      </c>
      <c r="AP178" s="166">
        <v>0</v>
      </c>
      <c r="AQ178" s="166">
        <v>0</v>
      </c>
      <c r="AR178" s="166">
        <v>0</v>
      </c>
      <c r="AS178" s="166">
        <v>0</v>
      </c>
      <c r="AT178" s="166">
        <v>0</v>
      </c>
      <c r="AU178" s="167">
        <v>0</v>
      </c>
      <c r="AV178" s="165">
        <v>0</v>
      </c>
      <c r="AW178" s="166">
        <v>0</v>
      </c>
      <c r="AX178" s="166">
        <v>0</v>
      </c>
      <c r="AY178" s="166">
        <v>0</v>
      </c>
      <c r="AZ178" s="167">
        <v>0</v>
      </c>
      <c r="BA178" s="2629"/>
      <c r="BB178" s="545" t="s">
        <v>2788</v>
      </c>
      <c r="BC178" s="188">
        <v>0</v>
      </c>
      <c r="BD178" s="545" t="s">
        <v>627</v>
      </c>
      <c r="BE178" s="188">
        <v>0</v>
      </c>
      <c r="BF178" s="607" t="s">
        <v>627</v>
      </c>
      <c r="BG178" s="868">
        <v>0</v>
      </c>
      <c r="BH178" s="2629"/>
      <c r="BI178" s="545" t="s">
        <v>2788</v>
      </c>
      <c r="BJ178" s="188">
        <v>0</v>
      </c>
      <c r="BK178" s="545" t="s">
        <v>627</v>
      </c>
      <c r="BL178" s="188">
        <v>0</v>
      </c>
      <c r="BM178" s="607" t="s">
        <v>627</v>
      </c>
      <c r="BN178" s="872">
        <v>0</v>
      </c>
    </row>
    <row r="179" spans="1:66" s="98" customFormat="1" ht="15" customHeight="1">
      <c r="A179" s="99"/>
      <c r="B179" s="161"/>
      <c r="C179" s="185"/>
      <c r="D179" s="162"/>
      <c r="E179" s="162" t="s">
        <v>1555</v>
      </c>
      <c r="F179" s="162"/>
      <c r="G179" s="163"/>
      <c r="H179" s="163"/>
      <c r="I179" s="164" t="s">
        <v>498</v>
      </c>
      <c r="J179" s="143">
        <v>0</v>
      </c>
      <c r="K179" s="141">
        <v>0</v>
      </c>
      <c r="L179" s="141">
        <v>0</v>
      </c>
      <c r="M179" s="141">
        <v>0</v>
      </c>
      <c r="N179" s="141">
        <v>0</v>
      </c>
      <c r="O179" s="141">
        <v>0</v>
      </c>
      <c r="P179" s="141">
        <v>0</v>
      </c>
      <c r="Q179" s="144">
        <v>0</v>
      </c>
      <c r="R179" s="143">
        <v>0</v>
      </c>
      <c r="S179" s="141">
        <v>0</v>
      </c>
      <c r="T179" s="141">
        <v>0</v>
      </c>
      <c r="U179" s="141">
        <v>0</v>
      </c>
      <c r="V179" s="144">
        <v>0</v>
      </c>
      <c r="W179" s="2664"/>
      <c r="X179" s="2503"/>
      <c r="Y179" s="2503"/>
      <c r="Z179" s="2503"/>
      <c r="AA179" s="2503"/>
      <c r="AB179" s="2503"/>
      <c r="AC179" s="2503"/>
      <c r="AD179" s="2503"/>
      <c r="AE179" s="2503"/>
      <c r="AF179" s="2503"/>
      <c r="AG179" s="2503"/>
      <c r="AH179" s="2503"/>
      <c r="AI179" s="2503"/>
      <c r="AJ179" s="2503"/>
      <c r="AK179" s="2503"/>
      <c r="AL179" s="2629"/>
      <c r="AM179" s="607" t="s">
        <v>1876</v>
      </c>
      <c r="AN179" s="165">
        <v>0</v>
      </c>
      <c r="AO179" s="166">
        <v>0</v>
      </c>
      <c r="AP179" s="166">
        <v>0</v>
      </c>
      <c r="AQ179" s="166">
        <v>0</v>
      </c>
      <c r="AR179" s="166">
        <v>0</v>
      </c>
      <c r="AS179" s="166">
        <v>0</v>
      </c>
      <c r="AT179" s="166">
        <v>0</v>
      </c>
      <c r="AU179" s="167">
        <v>0</v>
      </c>
      <c r="AV179" s="165">
        <v>0</v>
      </c>
      <c r="AW179" s="166">
        <v>0</v>
      </c>
      <c r="AX179" s="166">
        <v>0</v>
      </c>
      <c r="AY179" s="166">
        <v>0</v>
      </c>
      <c r="AZ179" s="167">
        <v>0</v>
      </c>
      <c r="BA179" s="2629"/>
      <c r="BB179" s="2629"/>
      <c r="BC179" s="2629"/>
      <c r="BD179" s="2629"/>
      <c r="BE179" s="2629"/>
      <c r="BF179" s="542"/>
      <c r="BG179" s="542"/>
      <c r="BH179" s="2629"/>
      <c r="BI179" s="2629"/>
      <c r="BJ179" s="2629"/>
      <c r="BK179" s="2629"/>
      <c r="BL179" s="2629"/>
      <c r="BM179" s="542"/>
      <c r="BN179" s="544"/>
    </row>
    <row r="180" spans="1:66" s="98" customFormat="1" ht="15" customHeight="1">
      <c r="A180" s="99"/>
      <c r="B180" s="161"/>
      <c r="C180" s="116"/>
      <c r="D180" s="116"/>
      <c r="E180" s="116"/>
      <c r="F180" s="116"/>
      <c r="G180" s="117"/>
      <c r="H180" s="117"/>
      <c r="I180" s="117"/>
      <c r="J180" s="713"/>
      <c r="K180" s="2649"/>
      <c r="L180" s="2649"/>
      <c r="M180" s="2649"/>
      <c r="N180" s="2649"/>
      <c r="O180" s="2649"/>
      <c r="P180" s="2649"/>
      <c r="Q180" s="715"/>
      <c r="R180" s="713"/>
      <c r="S180" s="2649"/>
      <c r="T180" s="2649"/>
      <c r="U180" s="2649"/>
      <c r="V180" s="715"/>
      <c r="W180" s="2664"/>
      <c r="X180" s="2503"/>
      <c r="Y180" s="2503"/>
      <c r="Z180" s="2503"/>
      <c r="AA180" s="2503"/>
      <c r="AB180" s="2503"/>
      <c r="AC180" s="2503"/>
      <c r="AD180" s="2503"/>
      <c r="AE180" s="2503"/>
      <c r="AF180" s="2503"/>
      <c r="AG180" s="2503"/>
      <c r="AH180" s="2503"/>
      <c r="AI180" s="2503"/>
      <c r="AJ180" s="2503"/>
      <c r="AK180" s="2503"/>
      <c r="AL180" s="2629"/>
      <c r="AM180" s="94"/>
      <c r="AN180" s="159"/>
      <c r="AO180" s="94"/>
      <c r="AP180" s="94"/>
      <c r="AQ180" s="94"/>
      <c r="AR180" s="94"/>
      <c r="AS180" s="94"/>
      <c r="AT180" s="94"/>
      <c r="AU180" s="160"/>
      <c r="AV180" s="159"/>
      <c r="AW180" s="94"/>
      <c r="AX180" s="94"/>
      <c r="AY180" s="94"/>
      <c r="AZ180" s="160"/>
      <c r="BA180" s="2629"/>
      <c r="BB180" s="359"/>
      <c r="BC180" s="542"/>
      <c r="BD180" s="542"/>
      <c r="BE180" s="542"/>
      <c r="BF180" s="542"/>
      <c r="BG180" s="542"/>
      <c r="BH180" s="2629"/>
      <c r="BI180" s="359"/>
      <c r="BJ180" s="542"/>
      <c r="BK180" s="542"/>
      <c r="BL180" s="542"/>
      <c r="BM180" s="542"/>
      <c r="BN180" s="544"/>
    </row>
    <row r="181" spans="1:66" s="98" customFormat="1" ht="15" customHeight="1">
      <c r="A181" s="99"/>
      <c r="B181" s="115"/>
      <c r="C181" s="116" t="s">
        <v>2774</v>
      </c>
      <c r="D181" s="116"/>
      <c r="E181" s="116"/>
      <c r="F181" s="116"/>
      <c r="G181" s="117"/>
      <c r="H181" s="117"/>
      <c r="I181" s="92"/>
      <c r="J181" s="619"/>
      <c r="K181" s="93"/>
      <c r="L181" s="93"/>
      <c r="M181" s="93"/>
      <c r="N181" s="93"/>
      <c r="O181" s="93"/>
      <c r="P181" s="93"/>
      <c r="Q181" s="618"/>
      <c r="R181" s="619"/>
      <c r="S181" s="93"/>
      <c r="T181" s="93"/>
      <c r="U181" s="93"/>
      <c r="V181" s="618"/>
      <c r="W181" s="2664"/>
      <c r="X181" s="2503"/>
      <c r="Y181" s="2503"/>
      <c r="Z181" s="2503"/>
      <c r="AA181" s="2503"/>
      <c r="AB181" s="2503"/>
      <c r="AC181" s="2503"/>
      <c r="AD181" s="2503"/>
      <c r="AE181" s="2503"/>
      <c r="AF181" s="2503"/>
      <c r="AG181" s="2503"/>
      <c r="AH181" s="2503"/>
      <c r="AI181" s="2503"/>
      <c r="AJ181" s="2503"/>
      <c r="AK181" s="2503"/>
      <c r="AL181" s="2629"/>
      <c r="AM181" s="93"/>
      <c r="AN181" s="619"/>
      <c r="AO181" s="93"/>
      <c r="AP181" s="93"/>
      <c r="AQ181" s="93"/>
      <c r="AR181" s="93"/>
      <c r="AS181" s="93"/>
      <c r="AT181" s="93"/>
      <c r="AU181" s="618"/>
      <c r="AV181" s="619"/>
      <c r="AW181" s="93"/>
      <c r="AX181" s="93"/>
      <c r="AY181" s="93"/>
      <c r="AZ181" s="618"/>
      <c r="BA181" s="2629"/>
      <c r="BB181" s="2665"/>
      <c r="BC181" s="2665"/>
      <c r="BD181" s="2665"/>
      <c r="BE181" s="2665"/>
      <c r="BF181" s="2665"/>
      <c r="BG181" s="2665"/>
      <c r="BH181" s="2629"/>
      <c r="BI181" s="2665"/>
      <c r="BJ181" s="2665"/>
      <c r="BK181" s="2665"/>
      <c r="BL181" s="2665"/>
      <c r="BM181" s="2665"/>
      <c r="BN181" s="2666"/>
    </row>
    <row r="182" spans="1:66" s="98" customFormat="1" ht="15" customHeight="1">
      <c r="A182" s="99"/>
      <c r="B182" s="161"/>
      <c r="C182" s="185"/>
      <c r="D182" s="116" t="s">
        <v>2521</v>
      </c>
      <c r="E182" s="116"/>
      <c r="F182" s="116"/>
      <c r="G182" s="117"/>
      <c r="H182" s="117"/>
      <c r="I182" s="117"/>
      <c r="J182" s="159"/>
      <c r="K182" s="94"/>
      <c r="L182" s="94"/>
      <c r="M182" s="94"/>
      <c r="N182" s="94"/>
      <c r="O182" s="94"/>
      <c r="P182" s="94"/>
      <c r="Q182" s="160"/>
      <c r="R182" s="159"/>
      <c r="S182" s="94"/>
      <c r="T182" s="94"/>
      <c r="U182" s="94"/>
      <c r="V182" s="160"/>
      <c r="W182" s="2664"/>
      <c r="X182" s="2503"/>
      <c r="Y182" s="2503"/>
      <c r="Z182" s="2503"/>
      <c r="AA182" s="2503"/>
      <c r="AB182" s="2503"/>
      <c r="AC182" s="2503"/>
      <c r="AD182" s="2503"/>
      <c r="AE182" s="2503"/>
      <c r="AF182" s="2503"/>
      <c r="AG182" s="2503"/>
      <c r="AH182" s="2503"/>
      <c r="AI182" s="2503"/>
      <c r="AJ182" s="2503"/>
      <c r="AK182" s="2503"/>
      <c r="AL182" s="2629"/>
      <c r="AM182" s="94"/>
      <c r="AN182" s="159"/>
      <c r="AO182" s="94"/>
      <c r="AP182" s="94"/>
      <c r="AQ182" s="94"/>
      <c r="AR182" s="94"/>
      <c r="AS182" s="94"/>
      <c r="AT182" s="94"/>
      <c r="AU182" s="160"/>
      <c r="AV182" s="159"/>
      <c r="AW182" s="94"/>
      <c r="AX182" s="94"/>
      <c r="AY182" s="94"/>
      <c r="AZ182" s="160"/>
      <c r="BA182" s="2629"/>
      <c r="BB182" s="359"/>
      <c r="BC182" s="542"/>
      <c r="BD182" s="542"/>
      <c r="BE182" s="542"/>
      <c r="BF182" s="542"/>
      <c r="BG182" s="542"/>
      <c r="BH182" s="2629"/>
      <c r="BI182" s="359"/>
      <c r="BJ182" s="542"/>
      <c r="BK182" s="542"/>
      <c r="BL182" s="542"/>
      <c r="BM182" s="542"/>
      <c r="BN182" s="544"/>
    </row>
    <row r="183" spans="1:66" s="98" customFormat="1" ht="15" customHeight="1">
      <c r="A183" s="99"/>
      <c r="B183" s="161"/>
      <c r="C183" s="185"/>
      <c r="D183" s="162"/>
      <c r="E183" s="230" t="s">
        <v>2787</v>
      </c>
      <c r="F183" s="230"/>
      <c r="G183" s="163"/>
      <c r="H183" s="163"/>
      <c r="I183" s="164" t="s">
        <v>498</v>
      </c>
      <c r="J183" s="143">
        <v>0</v>
      </c>
      <c r="K183" s="141">
        <v>0</v>
      </c>
      <c r="L183" s="141">
        <v>0</v>
      </c>
      <c r="M183" s="141">
        <v>0</v>
      </c>
      <c r="N183" s="141">
        <v>0</v>
      </c>
      <c r="O183" s="141">
        <v>0</v>
      </c>
      <c r="P183" s="141">
        <v>0</v>
      </c>
      <c r="Q183" s="144">
        <v>0</v>
      </c>
      <c r="R183" s="143">
        <v>0</v>
      </c>
      <c r="S183" s="141">
        <v>0</v>
      </c>
      <c r="T183" s="141">
        <v>0</v>
      </c>
      <c r="U183" s="141">
        <v>0</v>
      </c>
      <c r="V183" s="144">
        <v>0</v>
      </c>
      <c r="W183" s="2664"/>
      <c r="X183" s="2503"/>
      <c r="Y183" s="2503"/>
      <c r="Z183" s="2503"/>
      <c r="AA183" s="2503"/>
      <c r="AB183" s="2503"/>
      <c r="AC183" s="2503"/>
      <c r="AD183" s="2503"/>
      <c r="AE183" s="2503"/>
      <c r="AF183" s="2503"/>
      <c r="AG183" s="2503"/>
      <c r="AH183" s="2503"/>
      <c r="AI183" s="2503"/>
      <c r="AJ183" s="2503"/>
      <c r="AK183" s="2503"/>
      <c r="AL183" s="2629"/>
      <c r="AM183" s="607" t="s">
        <v>1876</v>
      </c>
      <c r="AN183" s="165">
        <v>0</v>
      </c>
      <c r="AO183" s="166">
        <v>0</v>
      </c>
      <c r="AP183" s="166">
        <v>0</v>
      </c>
      <c r="AQ183" s="166">
        <v>0</v>
      </c>
      <c r="AR183" s="166">
        <v>0</v>
      </c>
      <c r="AS183" s="166">
        <v>0</v>
      </c>
      <c r="AT183" s="166">
        <v>0</v>
      </c>
      <c r="AU183" s="167">
        <v>0</v>
      </c>
      <c r="AV183" s="165">
        <v>0</v>
      </c>
      <c r="AW183" s="166">
        <v>0</v>
      </c>
      <c r="AX183" s="166">
        <v>0</v>
      </c>
      <c r="AY183" s="166">
        <v>0</v>
      </c>
      <c r="AZ183" s="167">
        <v>0</v>
      </c>
      <c r="BA183" s="2629"/>
      <c r="BB183" s="545" t="s">
        <v>2788</v>
      </c>
      <c r="BC183" s="188">
        <v>0</v>
      </c>
      <c r="BD183" s="545" t="s">
        <v>627</v>
      </c>
      <c r="BE183" s="188">
        <v>0</v>
      </c>
      <c r="BF183" s="607" t="s">
        <v>627</v>
      </c>
      <c r="BG183" s="868">
        <v>0</v>
      </c>
      <c r="BH183" s="2629"/>
      <c r="BI183" s="545" t="s">
        <v>2788</v>
      </c>
      <c r="BJ183" s="188">
        <v>0</v>
      </c>
      <c r="BK183" s="545" t="s">
        <v>627</v>
      </c>
      <c r="BL183" s="188">
        <v>0</v>
      </c>
      <c r="BM183" s="607" t="s">
        <v>627</v>
      </c>
      <c r="BN183" s="872">
        <v>0</v>
      </c>
    </row>
    <row r="184" spans="1:66" s="98" customFormat="1" ht="15" customHeight="1">
      <c r="A184" s="99"/>
      <c r="B184" s="161"/>
      <c r="C184" s="185"/>
      <c r="D184" s="162"/>
      <c r="E184" s="162" t="s">
        <v>1555</v>
      </c>
      <c r="F184" s="162"/>
      <c r="G184" s="163"/>
      <c r="H184" s="163"/>
      <c r="I184" s="164" t="s">
        <v>498</v>
      </c>
      <c r="J184" s="143">
        <v>0</v>
      </c>
      <c r="K184" s="141">
        <v>0</v>
      </c>
      <c r="L184" s="141">
        <v>0</v>
      </c>
      <c r="M184" s="141">
        <v>0</v>
      </c>
      <c r="N184" s="141">
        <v>0</v>
      </c>
      <c r="O184" s="141">
        <v>0</v>
      </c>
      <c r="P184" s="141">
        <v>0</v>
      </c>
      <c r="Q184" s="144">
        <v>0</v>
      </c>
      <c r="R184" s="143">
        <v>0</v>
      </c>
      <c r="S184" s="141">
        <v>0</v>
      </c>
      <c r="T184" s="141">
        <v>0</v>
      </c>
      <c r="U184" s="141">
        <v>0</v>
      </c>
      <c r="V184" s="144">
        <v>0</v>
      </c>
      <c r="W184" s="2664"/>
      <c r="X184" s="2503"/>
      <c r="Y184" s="2503"/>
      <c r="Z184" s="2503"/>
      <c r="AA184" s="2503"/>
      <c r="AB184" s="2503"/>
      <c r="AC184" s="2503"/>
      <c r="AD184" s="2503"/>
      <c r="AE184" s="2503"/>
      <c r="AF184" s="2503"/>
      <c r="AG184" s="2503"/>
      <c r="AH184" s="2503"/>
      <c r="AI184" s="2503"/>
      <c r="AJ184" s="2503"/>
      <c r="AK184" s="2503"/>
      <c r="AL184" s="2629"/>
      <c r="AM184" s="607" t="s">
        <v>1876</v>
      </c>
      <c r="AN184" s="165">
        <v>0</v>
      </c>
      <c r="AO184" s="166">
        <v>0</v>
      </c>
      <c r="AP184" s="166">
        <v>0</v>
      </c>
      <c r="AQ184" s="166">
        <v>0</v>
      </c>
      <c r="AR184" s="166">
        <v>0</v>
      </c>
      <c r="AS184" s="166">
        <v>0</v>
      </c>
      <c r="AT184" s="166">
        <v>0</v>
      </c>
      <c r="AU184" s="167">
        <v>0</v>
      </c>
      <c r="AV184" s="165">
        <v>0</v>
      </c>
      <c r="AW184" s="166">
        <v>0</v>
      </c>
      <c r="AX184" s="166">
        <v>0</v>
      </c>
      <c r="AY184" s="166">
        <v>0</v>
      </c>
      <c r="AZ184" s="167">
        <v>0</v>
      </c>
      <c r="BA184" s="2629"/>
      <c r="BB184" s="2629"/>
      <c r="BC184" s="2629"/>
      <c r="BD184" s="2629"/>
      <c r="BE184" s="2629"/>
      <c r="BF184" s="542"/>
      <c r="BG184" s="542"/>
      <c r="BH184" s="2629"/>
      <c r="BI184" s="2629"/>
      <c r="BJ184" s="2629"/>
      <c r="BK184" s="2629"/>
      <c r="BL184" s="2629"/>
      <c r="BM184" s="542"/>
      <c r="BN184" s="544"/>
    </row>
    <row r="185" spans="1:66" s="98" customFormat="1" ht="15" customHeight="1">
      <c r="A185" s="99"/>
      <c r="B185" s="161"/>
      <c r="C185" s="185"/>
      <c r="D185" s="116" t="s">
        <v>2427</v>
      </c>
      <c r="E185" s="116"/>
      <c r="F185" s="116"/>
      <c r="G185" s="117"/>
      <c r="H185" s="117"/>
      <c r="I185" s="117"/>
      <c r="J185" s="713"/>
      <c r="K185" s="2649"/>
      <c r="L185" s="2649"/>
      <c r="M185" s="2649"/>
      <c r="N185" s="2649"/>
      <c r="O185" s="2649"/>
      <c r="P185" s="2649"/>
      <c r="Q185" s="715"/>
      <c r="R185" s="713"/>
      <c r="S185" s="2649"/>
      <c r="T185" s="2649"/>
      <c r="U185" s="2649"/>
      <c r="V185" s="715"/>
      <c r="W185" s="2664"/>
      <c r="X185" s="2503"/>
      <c r="Y185" s="2503"/>
      <c r="Z185" s="2503"/>
      <c r="AA185" s="2503"/>
      <c r="AB185" s="2503"/>
      <c r="AC185" s="2503"/>
      <c r="AD185" s="2503"/>
      <c r="AE185" s="2503"/>
      <c r="AF185" s="2503"/>
      <c r="AG185" s="2503"/>
      <c r="AH185" s="2503"/>
      <c r="AI185" s="2503"/>
      <c r="AJ185" s="2503"/>
      <c r="AK185" s="2503"/>
      <c r="AL185" s="2629"/>
      <c r="AM185" s="94"/>
      <c r="AN185" s="159"/>
      <c r="AO185" s="94"/>
      <c r="AP185" s="94"/>
      <c r="AQ185" s="94"/>
      <c r="AR185" s="94"/>
      <c r="AS185" s="94"/>
      <c r="AT185" s="94"/>
      <c r="AU185" s="160"/>
      <c r="AV185" s="159"/>
      <c r="AW185" s="94"/>
      <c r="AX185" s="94"/>
      <c r="AY185" s="94"/>
      <c r="AZ185" s="160"/>
      <c r="BA185" s="2629"/>
      <c r="BB185" s="359"/>
      <c r="BC185" s="542"/>
      <c r="BD185" s="542"/>
      <c r="BE185" s="542"/>
      <c r="BF185" s="542"/>
      <c r="BG185" s="542"/>
      <c r="BH185" s="2629"/>
      <c r="BI185" s="359"/>
      <c r="BJ185" s="542"/>
      <c r="BK185" s="542"/>
      <c r="BL185" s="542"/>
      <c r="BM185" s="542"/>
      <c r="BN185" s="544"/>
    </row>
    <row r="186" spans="1:66" s="98" customFormat="1" ht="15" customHeight="1">
      <c r="A186" s="99"/>
      <c r="B186" s="161"/>
      <c r="C186" s="185"/>
      <c r="D186" s="162"/>
      <c r="E186" s="230" t="s">
        <v>2787</v>
      </c>
      <c r="F186" s="230"/>
      <c r="G186" s="163"/>
      <c r="H186" s="163"/>
      <c r="I186" s="164" t="s">
        <v>498</v>
      </c>
      <c r="J186" s="143">
        <v>0</v>
      </c>
      <c r="K186" s="141">
        <v>0</v>
      </c>
      <c r="L186" s="141">
        <v>0</v>
      </c>
      <c r="M186" s="141">
        <v>0</v>
      </c>
      <c r="N186" s="141">
        <v>0</v>
      </c>
      <c r="O186" s="141">
        <v>0</v>
      </c>
      <c r="P186" s="141">
        <v>0</v>
      </c>
      <c r="Q186" s="144">
        <v>0</v>
      </c>
      <c r="R186" s="143">
        <v>0</v>
      </c>
      <c r="S186" s="141">
        <v>0</v>
      </c>
      <c r="T186" s="141">
        <v>0</v>
      </c>
      <c r="U186" s="141">
        <v>0</v>
      </c>
      <c r="V186" s="144">
        <v>0</v>
      </c>
      <c r="W186" s="2664"/>
      <c r="X186" s="2503"/>
      <c r="Y186" s="2503"/>
      <c r="Z186" s="2503"/>
      <c r="AA186" s="2503"/>
      <c r="AB186" s="2503"/>
      <c r="AC186" s="2503"/>
      <c r="AD186" s="2503"/>
      <c r="AE186" s="2503"/>
      <c r="AF186" s="2503"/>
      <c r="AG186" s="2503"/>
      <c r="AH186" s="2503"/>
      <c r="AI186" s="2503"/>
      <c r="AJ186" s="2503"/>
      <c r="AK186" s="2503"/>
      <c r="AL186" s="2629"/>
      <c r="AM186" s="607" t="s">
        <v>1876</v>
      </c>
      <c r="AN186" s="165">
        <v>0</v>
      </c>
      <c r="AO186" s="166">
        <v>0</v>
      </c>
      <c r="AP186" s="166">
        <v>0</v>
      </c>
      <c r="AQ186" s="166">
        <v>0</v>
      </c>
      <c r="AR186" s="166">
        <v>0</v>
      </c>
      <c r="AS186" s="166">
        <v>0</v>
      </c>
      <c r="AT186" s="166">
        <v>0</v>
      </c>
      <c r="AU186" s="167">
        <v>0</v>
      </c>
      <c r="AV186" s="165">
        <v>0</v>
      </c>
      <c r="AW186" s="166">
        <v>0</v>
      </c>
      <c r="AX186" s="166">
        <v>0</v>
      </c>
      <c r="AY186" s="166">
        <v>0</v>
      </c>
      <c r="AZ186" s="167">
        <v>0</v>
      </c>
      <c r="BA186" s="2629"/>
      <c r="BB186" s="545" t="s">
        <v>2788</v>
      </c>
      <c r="BC186" s="188">
        <v>0</v>
      </c>
      <c r="BD186" s="545" t="s">
        <v>627</v>
      </c>
      <c r="BE186" s="188">
        <v>0</v>
      </c>
      <c r="BF186" s="607" t="s">
        <v>627</v>
      </c>
      <c r="BG186" s="868">
        <v>0</v>
      </c>
      <c r="BH186" s="2629"/>
      <c r="BI186" s="545" t="s">
        <v>2788</v>
      </c>
      <c r="BJ186" s="188">
        <v>0</v>
      </c>
      <c r="BK186" s="545" t="s">
        <v>627</v>
      </c>
      <c r="BL186" s="188">
        <v>0</v>
      </c>
      <c r="BM186" s="607" t="s">
        <v>627</v>
      </c>
      <c r="BN186" s="872">
        <v>0</v>
      </c>
    </row>
    <row r="187" spans="1:66" s="98" customFormat="1" ht="15" customHeight="1">
      <c r="A187" s="99"/>
      <c r="B187" s="161"/>
      <c r="C187" s="185"/>
      <c r="D187" s="162"/>
      <c r="E187" s="162" t="s">
        <v>1555</v>
      </c>
      <c r="F187" s="162"/>
      <c r="G187" s="163"/>
      <c r="H187" s="163"/>
      <c r="I187" s="164" t="s">
        <v>498</v>
      </c>
      <c r="J187" s="143">
        <v>0</v>
      </c>
      <c r="K187" s="141">
        <v>0</v>
      </c>
      <c r="L187" s="141">
        <v>0</v>
      </c>
      <c r="M187" s="141">
        <v>0</v>
      </c>
      <c r="N187" s="141">
        <v>0</v>
      </c>
      <c r="O187" s="141">
        <v>0</v>
      </c>
      <c r="P187" s="141">
        <v>0</v>
      </c>
      <c r="Q187" s="144">
        <v>0</v>
      </c>
      <c r="R187" s="143">
        <v>0</v>
      </c>
      <c r="S187" s="141">
        <v>0</v>
      </c>
      <c r="T187" s="141">
        <v>0</v>
      </c>
      <c r="U187" s="141">
        <v>0</v>
      </c>
      <c r="V187" s="144">
        <v>0</v>
      </c>
      <c r="W187" s="2664"/>
      <c r="X187" s="2503"/>
      <c r="Y187" s="2503"/>
      <c r="Z187" s="2503"/>
      <c r="AA187" s="2503"/>
      <c r="AB187" s="2503"/>
      <c r="AC187" s="2503"/>
      <c r="AD187" s="2503"/>
      <c r="AE187" s="2503"/>
      <c r="AF187" s="2503"/>
      <c r="AG187" s="2503"/>
      <c r="AH187" s="2503"/>
      <c r="AI187" s="2503"/>
      <c r="AJ187" s="2503"/>
      <c r="AK187" s="2503"/>
      <c r="AL187" s="2629"/>
      <c r="AM187" s="607" t="s">
        <v>1876</v>
      </c>
      <c r="AN187" s="165">
        <v>0</v>
      </c>
      <c r="AO187" s="166">
        <v>0</v>
      </c>
      <c r="AP187" s="166">
        <v>0</v>
      </c>
      <c r="AQ187" s="166">
        <v>0</v>
      </c>
      <c r="AR187" s="166">
        <v>0</v>
      </c>
      <c r="AS187" s="166">
        <v>0</v>
      </c>
      <c r="AT187" s="166">
        <v>0</v>
      </c>
      <c r="AU187" s="167">
        <v>0</v>
      </c>
      <c r="AV187" s="165">
        <v>0</v>
      </c>
      <c r="AW187" s="166">
        <v>0</v>
      </c>
      <c r="AX187" s="166">
        <v>0</v>
      </c>
      <c r="AY187" s="166">
        <v>0</v>
      </c>
      <c r="AZ187" s="167">
        <v>0</v>
      </c>
      <c r="BA187" s="2629"/>
      <c r="BB187" s="2629"/>
      <c r="BC187" s="2629"/>
      <c r="BD187" s="2629"/>
      <c r="BE187" s="2629"/>
      <c r="BF187" s="542"/>
      <c r="BG187" s="542"/>
      <c r="BH187" s="2629"/>
      <c r="BI187" s="2629"/>
      <c r="BJ187" s="2629"/>
      <c r="BK187" s="2629"/>
      <c r="BL187" s="2629"/>
      <c r="BM187" s="542"/>
      <c r="BN187" s="544"/>
    </row>
    <row r="188" spans="1:66" s="98" customFormat="1" ht="15" customHeight="1">
      <c r="A188" s="99"/>
      <c r="B188" s="161"/>
      <c r="C188" s="116"/>
      <c r="D188" s="116"/>
      <c r="E188" s="116"/>
      <c r="F188" s="116"/>
      <c r="G188" s="117"/>
      <c r="H188" s="117"/>
      <c r="I188" s="117"/>
      <c r="J188" s="713"/>
      <c r="K188" s="2649"/>
      <c r="L188" s="2649"/>
      <c r="M188" s="2649"/>
      <c r="N188" s="2649"/>
      <c r="O188" s="2649"/>
      <c r="P188" s="2649"/>
      <c r="Q188" s="715"/>
      <c r="R188" s="713"/>
      <c r="S188" s="2649"/>
      <c r="T188" s="2649"/>
      <c r="U188" s="2649"/>
      <c r="V188" s="715"/>
      <c r="W188" s="2664"/>
      <c r="X188" s="2503"/>
      <c r="Y188" s="2503"/>
      <c r="Z188" s="2503"/>
      <c r="AA188" s="2503"/>
      <c r="AB188" s="2503"/>
      <c r="AC188" s="2503"/>
      <c r="AD188" s="2503"/>
      <c r="AE188" s="2503"/>
      <c r="AF188" s="2503"/>
      <c r="AG188" s="2503"/>
      <c r="AH188" s="2503"/>
      <c r="AI188" s="2503"/>
      <c r="AJ188" s="2503"/>
      <c r="AK188" s="2503"/>
      <c r="AL188" s="2629"/>
      <c r="AM188" s="94"/>
      <c r="AN188" s="159"/>
      <c r="AO188" s="94"/>
      <c r="AP188" s="94"/>
      <c r="AQ188" s="94"/>
      <c r="AR188" s="94"/>
      <c r="AS188" s="94"/>
      <c r="AT188" s="94"/>
      <c r="AU188" s="160"/>
      <c r="AV188" s="159"/>
      <c r="AW188" s="94"/>
      <c r="AX188" s="94"/>
      <c r="AY188" s="94"/>
      <c r="AZ188" s="160"/>
      <c r="BA188" s="2629"/>
      <c r="BB188" s="359"/>
      <c r="BC188" s="542"/>
      <c r="BD188" s="542"/>
      <c r="BE188" s="542"/>
      <c r="BF188" s="542"/>
      <c r="BG188" s="542"/>
      <c r="BH188" s="2629"/>
      <c r="BI188" s="359"/>
      <c r="BJ188" s="542"/>
      <c r="BK188" s="542"/>
      <c r="BL188" s="542"/>
      <c r="BM188" s="542"/>
      <c r="BN188" s="544"/>
    </row>
    <row r="189" spans="1:66" s="98" customFormat="1" ht="15" customHeight="1" thickBot="1">
      <c r="A189" s="99"/>
      <c r="B189" s="131" t="s">
        <v>1701</v>
      </c>
      <c r="C189" s="132"/>
      <c r="D189" s="132"/>
      <c r="E189" s="132"/>
      <c r="F189" s="132"/>
      <c r="G189" s="145"/>
      <c r="H189" s="133"/>
      <c r="I189" s="146" t="s">
        <v>498</v>
      </c>
      <c r="J189" s="717">
        <f>SUM(J127:J187)</f>
        <v>0.14453254327356396</v>
      </c>
      <c r="K189" s="718">
        <f t="shared" ref="K189:V189" si="37">SUM(K127:K187)</f>
        <v>0.11581391840328191</v>
      </c>
      <c r="L189" s="718">
        <f t="shared" si="37"/>
        <v>0.18491014142218754</v>
      </c>
      <c r="M189" s="718">
        <f t="shared" si="37"/>
        <v>2.6058791681420883E-2</v>
      </c>
      <c r="N189" s="718">
        <f t="shared" si="37"/>
        <v>2.0084679162705631E-2</v>
      </c>
      <c r="O189" s="718">
        <f t="shared" si="37"/>
        <v>3.1183974772754086E-2</v>
      </c>
      <c r="P189" s="718">
        <f t="shared" si="37"/>
        <v>9.4481556367551456E-2</v>
      </c>
      <c r="Q189" s="719">
        <f t="shared" si="37"/>
        <v>6.9250428201143813E-2</v>
      </c>
      <c r="R189" s="717">
        <f t="shared" si="37"/>
        <v>0.11667658639630771</v>
      </c>
      <c r="S189" s="718">
        <f t="shared" si="37"/>
        <v>0.11609320346432619</v>
      </c>
      <c r="T189" s="718">
        <f t="shared" si="37"/>
        <v>0.11551273744700455</v>
      </c>
      <c r="U189" s="718">
        <f t="shared" si="37"/>
        <v>0.11493517375976953</v>
      </c>
      <c r="V189" s="719">
        <f t="shared" si="37"/>
        <v>0.11436049789097068</v>
      </c>
      <c r="W189" s="133"/>
      <c r="X189" s="1692"/>
      <c r="Y189" s="1692"/>
      <c r="Z189" s="1692"/>
      <c r="AA189" s="1692"/>
      <c r="AB189" s="1692"/>
      <c r="AC189" s="1692"/>
      <c r="AD189" s="1692"/>
      <c r="AE189" s="1692"/>
      <c r="AF189" s="1692"/>
      <c r="AG189" s="1692"/>
      <c r="AH189" s="1692"/>
      <c r="AI189" s="1692"/>
      <c r="AJ189" s="1692"/>
      <c r="AK189" s="1692"/>
      <c r="AL189" s="2630"/>
      <c r="AM189" s="2667" t="s">
        <v>1876</v>
      </c>
      <c r="AN189" s="717">
        <f>SUM(AN127:AN187)</f>
        <v>226</v>
      </c>
      <c r="AO189" s="718">
        <f t="shared" ref="AO189:AZ189" si="38">SUM(AO127:AO187)</f>
        <v>184</v>
      </c>
      <c r="AP189" s="718">
        <f t="shared" si="38"/>
        <v>383</v>
      </c>
      <c r="AQ189" s="718">
        <f t="shared" si="38"/>
        <v>44</v>
      </c>
      <c r="AR189" s="718">
        <f t="shared" si="38"/>
        <v>68</v>
      </c>
      <c r="AS189" s="718">
        <f t="shared" si="38"/>
        <v>92</v>
      </c>
      <c r="AT189" s="718">
        <f t="shared" si="38"/>
        <v>173.89220213209148</v>
      </c>
      <c r="AU189" s="719">
        <f t="shared" si="38"/>
        <v>0</v>
      </c>
      <c r="AV189" s="717">
        <f t="shared" si="38"/>
        <v>218.74999999999997</v>
      </c>
      <c r="AW189" s="718">
        <f t="shared" si="38"/>
        <v>218.74999999999997</v>
      </c>
      <c r="AX189" s="718">
        <f t="shared" si="38"/>
        <v>218.74999999999997</v>
      </c>
      <c r="AY189" s="718">
        <f t="shared" si="38"/>
        <v>218.74999999999997</v>
      </c>
      <c r="AZ189" s="719">
        <f t="shared" si="38"/>
        <v>218.74999999999997</v>
      </c>
      <c r="BA189" s="2630"/>
      <c r="BB189" s="2630"/>
      <c r="BC189" s="2630"/>
      <c r="BD189" s="2630"/>
      <c r="BE189" s="2630"/>
      <c r="BF189" s="2630"/>
      <c r="BG189" s="2630"/>
      <c r="BH189" s="2630"/>
      <c r="BI189" s="2630"/>
      <c r="BJ189" s="2630"/>
      <c r="BK189" s="2630"/>
      <c r="BL189" s="2630"/>
      <c r="BM189" s="2630"/>
      <c r="BN189" s="2651"/>
    </row>
    <row r="190" spans="1:66" ht="13.5" thickBot="1"/>
    <row r="191" spans="1:66" s="100" customFormat="1" ht="30" customHeight="1" thickBot="1">
      <c r="A191" s="89"/>
      <c r="B191" s="621" t="s">
        <v>2784</v>
      </c>
      <c r="C191" s="101"/>
      <c r="D191" s="102"/>
      <c r="E191" s="102"/>
      <c r="F191" s="102"/>
      <c r="G191" s="103"/>
      <c r="H191" s="103"/>
      <c r="I191" s="105" t="s">
        <v>1864</v>
      </c>
      <c r="J191" s="106"/>
      <c r="K191" s="106"/>
      <c r="L191" s="106"/>
      <c r="M191" s="106"/>
      <c r="N191" s="106"/>
      <c r="O191" s="106"/>
      <c r="P191" s="106"/>
      <c r="Q191" s="106"/>
      <c r="R191" s="105"/>
      <c r="S191" s="105"/>
      <c r="T191" s="105"/>
      <c r="U191" s="105"/>
      <c r="V191" s="105"/>
      <c r="W191" s="103"/>
      <c r="X191" s="105" t="s">
        <v>2202</v>
      </c>
      <c r="Y191" s="106"/>
      <c r="Z191" s="106"/>
      <c r="AA191" s="106"/>
      <c r="AB191" s="106"/>
      <c r="AC191" s="106"/>
      <c r="AD191" s="106"/>
      <c r="AE191" s="106"/>
      <c r="AF191" s="106"/>
      <c r="AG191" s="105"/>
      <c r="AH191" s="105"/>
      <c r="AI191" s="105"/>
      <c r="AJ191" s="105"/>
      <c r="AK191" s="105"/>
      <c r="AL191" s="956"/>
      <c r="AM191" s="105" t="s">
        <v>2231</v>
      </c>
      <c r="AN191" s="106"/>
      <c r="AO191" s="106"/>
      <c r="AP191" s="106"/>
      <c r="AQ191" s="106"/>
      <c r="AR191" s="106"/>
      <c r="AS191" s="106"/>
      <c r="AT191" s="106"/>
      <c r="AU191" s="106"/>
      <c r="AV191" s="105"/>
      <c r="AW191" s="105"/>
      <c r="AX191" s="105"/>
      <c r="AY191" s="105"/>
      <c r="AZ191" s="187"/>
    </row>
    <row r="192" spans="1:66" s="157" customFormat="1" ht="30" customHeight="1">
      <c r="A192" s="99"/>
      <c r="B192" s="109"/>
      <c r="C192" s="110"/>
      <c r="D192" s="110"/>
      <c r="E192" s="110"/>
      <c r="F192" s="110"/>
      <c r="G192" s="111"/>
      <c r="H192" s="111"/>
      <c r="I192" s="117"/>
      <c r="J192" s="695" t="s">
        <v>1666</v>
      </c>
      <c r="K192" s="152"/>
      <c r="L192" s="152"/>
      <c r="M192" s="152"/>
      <c r="N192" s="152"/>
      <c r="O192" s="152"/>
      <c r="P192" s="152"/>
      <c r="Q192" s="153"/>
      <c r="R192" s="696" t="s">
        <v>2</v>
      </c>
      <c r="S192" s="155"/>
      <c r="T192" s="155"/>
      <c r="U192" s="155"/>
      <c r="V192" s="156"/>
      <c r="W192" s="113"/>
      <c r="X192" s="94"/>
      <c r="Y192" s="695" t="s">
        <v>1666</v>
      </c>
      <c r="Z192" s="152"/>
      <c r="AA192" s="152"/>
      <c r="AB192" s="152"/>
      <c r="AC192" s="152"/>
      <c r="AD192" s="152"/>
      <c r="AE192" s="152"/>
      <c r="AF192" s="153"/>
      <c r="AG192" s="696" t="s">
        <v>2</v>
      </c>
      <c r="AH192" s="155"/>
      <c r="AI192" s="155"/>
      <c r="AJ192" s="155"/>
      <c r="AK192" s="156"/>
      <c r="AL192" s="2663"/>
      <c r="AM192" s="94"/>
      <c r="AN192" s="695" t="s">
        <v>1666</v>
      </c>
      <c r="AO192" s="152"/>
      <c r="AP192" s="152"/>
      <c r="AQ192" s="152"/>
      <c r="AR192" s="152"/>
      <c r="AS192" s="152"/>
      <c r="AT192" s="152"/>
      <c r="AU192" s="153"/>
      <c r="AV192" s="696" t="s">
        <v>2</v>
      </c>
      <c r="AW192" s="155"/>
      <c r="AX192" s="155"/>
      <c r="AY192" s="155"/>
      <c r="AZ192" s="156"/>
      <c r="BA192" s="2632"/>
      <c r="BB192" s="2632"/>
      <c r="BC192" s="2632"/>
      <c r="BD192" s="2632"/>
      <c r="BE192" s="2632"/>
      <c r="BF192" s="2632"/>
      <c r="BG192" s="2632"/>
      <c r="BH192" s="2632"/>
      <c r="BI192" s="2632"/>
      <c r="BJ192" s="2632"/>
      <c r="BK192" s="2632"/>
      <c r="BL192" s="2632"/>
      <c r="BM192" s="2632"/>
      <c r="BN192" s="2632"/>
    </row>
    <row r="193" spans="1:66" s="98" customFormat="1" ht="15" customHeight="1">
      <c r="A193" s="99"/>
      <c r="B193" s="115"/>
      <c r="C193" s="116"/>
      <c r="D193" s="116"/>
      <c r="E193" s="116"/>
      <c r="F193" s="116"/>
      <c r="G193" s="117"/>
      <c r="H193" s="117"/>
      <c r="I193" s="119" t="s">
        <v>1667</v>
      </c>
      <c r="J193" s="158" t="s">
        <v>453</v>
      </c>
      <c r="K193" s="137" t="s">
        <v>455</v>
      </c>
      <c r="L193" s="137" t="s">
        <v>457</v>
      </c>
      <c r="M193" s="137" t="s">
        <v>459</v>
      </c>
      <c r="N193" s="137" t="s">
        <v>461</v>
      </c>
      <c r="O193" s="137" t="s">
        <v>463</v>
      </c>
      <c r="P193" s="137" t="s">
        <v>465</v>
      </c>
      <c r="Q193" s="138" t="s">
        <v>467</v>
      </c>
      <c r="R193" s="120" t="s">
        <v>469</v>
      </c>
      <c r="S193" s="121" t="s">
        <v>471</v>
      </c>
      <c r="T193" s="121" t="s">
        <v>473</v>
      </c>
      <c r="U193" s="121" t="s">
        <v>475</v>
      </c>
      <c r="V193" s="122" t="s">
        <v>477</v>
      </c>
      <c r="W193" s="94"/>
      <c r="X193" s="119" t="s">
        <v>1667</v>
      </c>
      <c r="Y193" s="158" t="s">
        <v>453</v>
      </c>
      <c r="Z193" s="137" t="s">
        <v>455</v>
      </c>
      <c r="AA193" s="137" t="s">
        <v>457</v>
      </c>
      <c r="AB193" s="137" t="s">
        <v>459</v>
      </c>
      <c r="AC193" s="137" t="s">
        <v>461</v>
      </c>
      <c r="AD193" s="137" t="s">
        <v>463</v>
      </c>
      <c r="AE193" s="137" t="s">
        <v>465</v>
      </c>
      <c r="AF193" s="138" t="s">
        <v>467</v>
      </c>
      <c r="AG193" s="120" t="s">
        <v>469</v>
      </c>
      <c r="AH193" s="121" t="s">
        <v>471</v>
      </c>
      <c r="AI193" s="121" t="s">
        <v>473</v>
      </c>
      <c r="AJ193" s="121" t="s">
        <v>475</v>
      </c>
      <c r="AK193" s="122" t="s">
        <v>477</v>
      </c>
      <c r="AL193" s="2664"/>
      <c r="AM193" s="119" t="s">
        <v>1667</v>
      </c>
      <c r="AN193" s="158" t="s">
        <v>453</v>
      </c>
      <c r="AO193" s="137" t="s">
        <v>455</v>
      </c>
      <c r="AP193" s="137" t="s">
        <v>457</v>
      </c>
      <c r="AQ193" s="137" t="s">
        <v>459</v>
      </c>
      <c r="AR193" s="137" t="s">
        <v>461</v>
      </c>
      <c r="AS193" s="137" t="s">
        <v>463</v>
      </c>
      <c r="AT193" s="137" t="s">
        <v>465</v>
      </c>
      <c r="AU193" s="138" t="s">
        <v>467</v>
      </c>
      <c r="AV193" s="120" t="s">
        <v>469</v>
      </c>
      <c r="AW193" s="121" t="s">
        <v>471</v>
      </c>
      <c r="AX193" s="121" t="s">
        <v>473</v>
      </c>
      <c r="AY193" s="121" t="s">
        <v>475</v>
      </c>
      <c r="AZ193" s="122" t="s">
        <v>477</v>
      </c>
      <c r="BA193" s="2629"/>
      <c r="BB193" s="2629"/>
      <c r="BC193" s="2629"/>
      <c r="BD193" s="2629"/>
      <c r="BE193" s="2629"/>
      <c r="BF193" s="2629"/>
      <c r="BG193" s="2629"/>
      <c r="BH193" s="2629"/>
      <c r="BI193" s="2629"/>
      <c r="BJ193" s="2629"/>
      <c r="BK193" s="2629"/>
      <c r="BL193" s="2629"/>
      <c r="BM193" s="2629"/>
      <c r="BN193" s="2629"/>
    </row>
    <row r="194" spans="1:66" s="98" customFormat="1" ht="15" customHeight="1">
      <c r="A194" s="99"/>
      <c r="B194" s="115"/>
      <c r="C194" s="116" t="s">
        <v>1682</v>
      </c>
      <c r="D194" s="116"/>
      <c r="E194" s="116"/>
      <c r="F194" s="116"/>
      <c r="G194" s="117"/>
      <c r="H194" s="117"/>
      <c r="I194" s="92"/>
      <c r="J194" s="619"/>
      <c r="K194" s="93"/>
      <c r="L194" s="93"/>
      <c r="M194" s="93"/>
      <c r="N194" s="93"/>
      <c r="O194" s="93"/>
      <c r="P194" s="93"/>
      <c r="Q194" s="618"/>
      <c r="R194" s="619"/>
      <c r="S194" s="93"/>
      <c r="T194" s="93"/>
      <c r="U194" s="93"/>
      <c r="V194" s="618"/>
      <c r="W194" s="94"/>
      <c r="X194" s="93"/>
      <c r="Y194" s="619"/>
      <c r="Z194" s="93"/>
      <c r="AA194" s="93"/>
      <c r="AB194" s="93"/>
      <c r="AC194" s="93"/>
      <c r="AD194" s="93"/>
      <c r="AE194" s="93"/>
      <c r="AF194" s="618"/>
      <c r="AG194" s="619"/>
      <c r="AH194" s="93"/>
      <c r="AI194" s="93"/>
      <c r="AJ194" s="93"/>
      <c r="AK194" s="618"/>
      <c r="AL194" s="2664"/>
      <c r="AM194" s="93"/>
      <c r="AN194" s="619"/>
      <c r="AO194" s="93"/>
      <c r="AP194" s="93"/>
      <c r="AQ194" s="93"/>
      <c r="AR194" s="93"/>
      <c r="AS194" s="93"/>
      <c r="AT194" s="93"/>
      <c r="AU194" s="618"/>
      <c r="AV194" s="619"/>
      <c r="AW194" s="93"/>
      <c r="AX194" s="93"/>
      <c r="AY194" s="93"/>
      <c r="AZ194" s="618"/>
      <c r="BA194" s="2629"/>
      <c r="BB194" s="2629"/>
      <c r="BC194" s="2629"/>
      <c r="BD194" s="2629"/>
      <c r="BE194" s="2629"/>
      <c r="BF194" s="2629"/>
      <c r="BG194" s="2629"/>
      <c r="BH194" s="2629"/>
      <c r="BI194" s="2629"/>
      <c r="BJ194" s="2629"/>
      <c r="BK194" s="2629"/>
      <c r="BL194" s="2629"/>
      <c r="BM194" s="2629"/>
      <c r="BN194" s="2629"/>
    </row>
    <row r="195" spans="1:66" s="98" customFormat="1" ht="15" customHeight="1">
      <c r="A195" s="99"/>
      <c r="B195" s="161"/>
      <c r="C195" s="185"/>
      <c r="D195" s="116" t="s">
        <v>2521</v>
      </c>
      <c r="E195" s="116"/>
      <c r="F195" s="116"/>
      <c r="G195" s="117"/>
      <c r="H195" s="117"/>
      <c r="I195" s="117"/>
      <c r="J195" s="159"/>
      <c r="K195" s="94"/>
      <c r="L195" s="94"/>
      <c r="M195" s="94"/>
      <c r="N195" s="94"/>
      <c r="O195" s="94"/>
      <c r="P195" s="94"/>
      <c r="Q195" s="160"/>
      <c r="R195" s="159"/>
      <c r="S195" s="94"/>
      <c r="T195" s="94"/>
      <c r="U195" s="94"/>
      <c r="V195" s="160"/>
      <c r="W195" s="94"/>
      <c r="X195" s="94"/>
      <c r="Y195" s="159"/>
      <c r="Z195" s="94"/>
      <c r="AA195" s="94"/>
      <c r="AB195" s="94"/>
      <c r="AC195" s="94"/>
      <c r="AD195" s="94"/>
      <c r="AE195" s="94"/>
      <c r="AF195" s="160"/>
      <c r="AG195" s="159"/>
      <c r="AH195" s="94"/>
      <c r="AI195" s="94"/>
      <c r="AJ195" s="94"/>
      <c r="AK195" s="160"/>
      <c r="AL195" s="2664"/>
      <c r="AM195" s="94"/>
      <c r="AN195" s="159"/>
      <c r="AO195" s="94"/>
      <c r="AP195" s="94"/>
      <c r="AQ195" s="94"/>
      <c r="AR195" s="94"/>
      <c r="AS195" s="94"/>
      <c r="AT195" s="94"/>
      <c r="AU195" s="160"/>
      <c r="AV195" s="159"/>
      <c r="AW195" s="94"/>
      <c r="AX195" s="94"/>
      <c r="AY195" s="94"/>
      <c r="AZ195" s="160"/>
      <c r="BA195" s="2629"/>
      <c r="BB195" s="2629"/>
      <c r="BC195" s="2629"/>
      <c r="BD195" s="2629"/>
      <c r="BE195" s="2629"/>
      <c r="BF195" s="2629"/>
      <c r="BG195" s="2629"/>
      <c r="BH195" s="2629"/>
      <c r="BI195" s="2629"/>
      <c r="BJ195" s="2629"/>
      <c r="BK195" s="2629"/>
      <c r="BL195" s="2629"/>
      <c r="BM195" s="2629"/>
      <c r="BN195" s="2629"/>
    </row>
    <row r="196" spans="1:66" s="98" customFormat="1" ht="15" customHeight="1">
      <c r="A196" s="99"/>
      <c r="B196" s="161"/>
      <c r="C196" s="185"/>
      <c r="D196" s="162"/>
      <c r="E196" s="230" t="s">
        <v>2787</v>
      </c>
      <c r="F196" s="230"/>
      <c r="G196" s="163"/>
      <c r="H196" s="163"/>
      <c r="I196" s="164" t="s">
        <v>498</v>
      </c>
      <c r="J196" s="143">
        <v>1.5567806470263781E-2</v>
      </c>
      <c r="K196" s="141">
        <v>8.8239175926310039E-3</v>
      </c>
      <c r="L196" s="141">
        <v>1.0903311706469703E-2</v>
      </c>
      <c r="M196" s="141">
        <v>2.2711077997057634E-2</v>
      </c>
      <c r="N196" s="141">
        <v>2.7005629856782284E-2</v>
      </c>
      <c r="O196" s="141">
        <v>8.830179429757062E-3</v>
      </c>
      <c r="P196" s="141">
        <v>1.4541737673047832E-2</v>
      </c>
      <c r="Q196" s="144">
        <v>1.3412768598642995E-2</v>
      </c>
      <c r="R196" s="143">
        <v>1.5785769542833158E-2</v>
      </c>
      <c r="S196" s="141">
        <v>1.5706840695118993E-2</v>
      </c>
      <c r="T196" s="141">
        <v>1.5628306491643398E-2</v>
      </c>
      <c r="U196" s="141">
        <v>1.5550164959185179E-2</v>
      </c>
      <c r="V196" s="144">
        <v>1.5472414134389252E-2</v>
      </c>
      <c r="W196" s="2664"/>
      <c r="X196" s="607" t="s">
        <v>498</v>
      </c>
      <c r="Y196" s="165">
        <v>0</v>
      </c>
      <c r="Z196" s="166">
        <v>0</v>
      </c>
      <c r="AA196" s="166">
        <v>0</v>
      </c>
      <c r="AB196" s="166">
        <v>0</v>
      </c>
      <c r="AC196" s="166">
        <v>0</v>
      </c>
      <c r="AD196" s="166">
        <v>0</v>
      </c>
      <c r="AE196" s="166">
        <v>0</v>
      </c>
      <c r="AF196" s="167">
        <v>0</v>
      </c>
      <c r="AG196" s="165">
        <v>-1.3260046415979852E-2</v>
      </c>
      <c r="AH196" s="166">
        <v>-1.3193746183899954E-2</v>
      </c>
      <c r="AI196" s="166">
        <v>-1.3127777452980454E-2</v>
      </c>
      <c r="AJ196" s="166">
        <v>-1.306213856571555E-2</v>
      </c>
      <c r="AK196" s="167">
        <v>-1.2996827872886972E-2</v>
      </c>
      <c r="AL196" s="2664"/>
      <c r="AM196" s="607" t="s">
        <v>1876</v>
      </c>
      <c r="AN196" s="165">
        <v>23</v>
      </c>
      <c r="AO196" s="166">
        <v>14</v>
      </c>
      <c r="AP196" s="166">
        <v>23</v>
      </c>
      <c r="AQ196" s="166">
        <v>65</v>
      </c>
      <c r="AR196" s="166">
        <v>90</v>
      </c>
      <c r="AS196" s="166">
        <v>25</v>
      </c>
      <c r="AT196" s="166">
        <v>36.62710450021055</v>
      </c>
      <c r="AU196" s="167"/>
      <c r="AV196" s="165">
        <v>28.06098192587568</v>
      </c>
      <c r="AW196" s="166">
        <v>28.06098192587568</v>
      </c>
      <c r="AX196" s="166">
        <v>28.06098192587568</v>
      </c>
      <c r="AY196" s="166">
        <v>28.06098192587568</v>
      </c>
      <c r="AZ196" s="167">
        <v>28.06098192587568</v>
      </c>
      <c r="BA196" s="2629"/>
      <c r="BB196" s="2629"/>
      <c r="BC196" s="2629"/>
      <c r="BD196" s="2629"/>
      <c r="BE196" s="2629"/>
      <c r="BF196" s="2629"/>
      <c r="BG196" s="2629"/>
      <c r="BH196" s="2629"/>
      <c r="BI196" s="2629"/>
      <c r="BJ196" s="2629"/>
      <c r="BK196" s="2629"/>
      <c r="BL196" s="2629"/>
      <c r="BM196" s="2629"/>
      <c r="BN196" s="2629"/>
    </row>
    <row r="197" spans="1:66" s="98" customFormat="1" ht="15" customHeight="1">
      <c r="A197" s="99"/>
      <c r="B197" s="161"/>
      <c r="C197" s="185"/>
      <c r="D197" s="162"/>
      <c r="E197" s="162" t="s">
        <v>1555</v>
      </c>
      <c r="F197" s="162"/>
      <c r="G197" s="163"/>
      <c r="H197" s="163"/>
      <c r="I197" s="164" t="s">
        <v>498</v>
      </c>
      <c r="J197" s="143">
        <v>6.2026976654221064E-3</v>
      </c>
      <c r="K197" s="141">
        <v>5.514948495394377E-3</v>
      </c>
      <c r="L197" s="141">
        <v>7.4244413090068699E-3</v>
      </c>
      <c r="M197" s="141">
        <v>6.5135394452258983E-3</v>
      </c>
      <c r="N197" s="141">
        <v>1.5483017467454259E-3</v>
      </c>
      <c r="O197" s="141">
        <v>1.6590924451143974E-3</v>
      </c>
      <c r="P197" s="141">
        <v>6.0028809808974869E-3</v>
      </c>
      <c r="Q197" s="144">
        <v>4.6011894776811163E-3</v>
      </c>
      <c r="R197" s="143">
        <v>8.7052082491059675E-3</v>
      </c>
      <c r="S197" s="141">
        <v>8.6616822078604359E-3</v>
      </c>
      <c r="T197" s="141">
        <v>8.6183737968211337E-3</v>
      </c>
      <c r="U197" s="141">
        <v>8.5752819278370283E-3</v>
      </c>
      <c r="V197" s="144">
        <v>8.5324055181978439E-3</v>
      </c>
      <c r="W197" s="2664"/>
      <c r="X197" s="607" t="s">
        <v>498</v>
      </c>
      <c r="Y197" s="165">
        <v>0</v>
      </c>
      <c r="Z197" s="166">
        <v>0</v>
      </c>
      <c r="AA197" s="166">
        <v>0</v>
      </c>
      <c r="AB197" s="166">
        <v>0</v>
      </c>
      <c r="AC197" s="166">
        <v>0</v>
      </c>
      <c r="AD197" s="166">
        <v>0</v>
      </c>
      <c r="AE197" s="166">
        <v>0</v>
      </c>
      <c r="AF197" s="167">
        <v>0</v>
      </c>
      <c r="AG197" s="165">
        <v>-7.3123749292490128E-3</v>
      </c>
      <c r="AH197" s="166">
        <v>-7.2758130546027658E-3</v>
      </c>
      <c r="AI197" s="166">
        <v>-7.2394339893297518E-3</v>
      </c>
      <c r="AJ197" s="166">
        <v>-7.203236819383103E-3</v>
      </c>
      <c r="AK197" s="167">
        <v>-7.1672206352861884E-3</v>
      </c>
      <c r="AL197" s="2664"/>
      <c r="AM197" s="607" t="s">
        <v>1876</v>
      </c>
      <c r="AN197" s="165">
        <v>23</v>
      </c>
      <c r="AO197" s="166">
        <v>21</v>
      </c>
      <c r="AP197" s="166">
        <v>21</v>
      </c>
      <c r="AQ197" s="166">
        <v>17</v>
      </c>
      <c r="AR197" s="166">
        <v>8</v>
      </c>
      <c r="AS197" s="166">
        <v>10</v>
      </c>
      <c r="AT197" s="166">
        <v>20.482826420379009</v>
      </c>
      <c r="AU197" s="167"/>
      <c r="AV197" s="165">
        <v>18.707321283917121</v>
      </c>
      <c r="AW197" s="166">
        <v>18.707321283917121</v>
      </c>
      <c r="AX197" s="166">
        <v>18.707321283917121</v>
      </c>
      <c r="AY197" s="166">
        <v>18.707321283917121</v>
      </c>
      <c r="AZ197" s="167">
        <v>18.707321283917121</v>
      </c>
      <c r="BA197" s="2629"/>
      <c r="BB197" s="2629"/>
      <c r="BC197" s="2629"/>
      <c r="BD197" s="2629"/>
      <c r="BE197" s="2629"/>
      <c r="BF197" s="2629"/>
      <c r="BG197" s="2629"/>
      <c r="BH197" s="2629"/>
      <c r="BI197" s="2629"/>
      <c r="BJ197" s="2629"/>
      <c r="BK197" s="2629"/>
      <c r="BL197" s="2629"/>
      <c r="BM197" s="2629"/>
      <c r="BN197" s="2629"/>
    </row>
    <row r="198" spans="1:66" s="98" customFormat="1" ht="15" customHeight="1">
      <c r="A198" s="99"/>
      <c r="B198" s="161"/>
      <c r="C198" s="185"/>
      <c r="D198" s="116" t="s">
        <v>2427</v>
      </c>
      <c r="E198" s="116"/>
      <c r="F198" s="116"/>
      <c r="G198" s="117"/>
      <c r="H198" s="117"/>
      <c r="I198" s="117"/>
      <c r="J198" s="713"/>
      <c r="K198" s="2649"/>
      <c r="L198" s="2649"/>
      <c r="M198" s="2649"/>
      <c r="N198" s="2649"/>
      <c r="O198" s="2649"/>
      <c r="P198" s="2649"/>
      <c r="Q198" s="715"/>
      <c r="R198" s="713"/>
      <c r="S198" s="2649"/>
      <c r="T198" s="2649"/>
      <c r="U198" s="2649"/>
      <c r="V198" s="715"/>
      <c r="W198" s="2664"/>
      <c r="X198" s="94"/>
      <c r="Y198" s="159"/>
      <c r="Z198" s="94"/>
      <c r="AA198" s="94"/>
      <c r="AB198" s="94"/>
      <c r="AC198" s="94"/>
      <c r="AD198" s="94"/>
      <c r="AE198" s="94"/>
      <c r="AF198" s="160"/>
      <c r="AG198" s="159"/>
      <c r="AH198" s="94"/>
      <c r="AI198" s="94"/>
      <c r="AJ198" s="94"/>
      <c r="AK198" s="160"/>
      <c r="AL198" s="2664"/>
      <c r="AM198" s="94"/>
      <c r="AN198" s="159"/>
      <c r="AO198" s="94"/>
      <c r="AP198" s="94"/>
      <c r="AQ198" s="94"/>
      <c r="AR198" s="94"/>
      <c r="AS198" s="94"/>
      <c r="AT198" s="94"/>
      <c r="AU198" s="160"/>
      <c r="AV198" s="159"/>
      <c r="AW198" s="94"/>
      <c r="AX198" s="94"/>
      <c r="AY198" s="94"/>
      <c r="AZ198" s="160"/>
      <c r="BA198" s="2629"/>
      <c r="BB198" s="2629"/>
      <c r="BC198" s="2629"/>
      <c r="BD198" s="2629"/>
      <c r="BE198" s="2629"/>
      <c r="BF198" s="2629"/>
      <c r="BG198" s="2629"/>
      <c r="BH198" s="2629"/>
      <c r="BI198" s="2629"/>
      <c r="BJ198" s="2629"/>
      <c r="BK198" s="2629"/>
      <c r="BL198" s="2629"/>
      <c r="BM198" s="2629"/>
      <c r="BN198" s="2629"/>
    </row>
    <row r="199" spans="1:66" s="98" customFormat="1" ht="15" customHeight="1">
      <c r="A199" s="99"/>
      <c r="B199" s="161"/>
      <c r="C199" s="185"/>
      <c r="D199" s="162"/>
      <c r="E199" s="230" t="s">
        <v>2787</v>
      </c>
      <c r="F199" s="230"/>
      <c r="G199" s="163"/>
      <c r="H199" s="163"/>
      <c r="I199" s="164" t="s">
        <v>498</v>
      </c>
      <c r="J199" s="143">
        <v>5.2685009233718839E-3</v>
      </c>
      <c r="K199" s="141">
        <v>7.7209278935521279E-3</v>
      </c>
      <c r="L199" s="141">
        <v>5.3407798313394126E-3</v>
      </c>
      <c r="M199" s="141">
        <v>0</v>
      </c>
      <c r="N199" s="141">
        <v>2.9386303373737689E-2</v>
      </c>
      <c r="O199" s="141">
        <v>2.9259813187239154E-2</v>
      </c>
      <c r="P199" s="141">
        <v>1.7359967618892497E-2</v>
      </c>
      <c r="Q199" s="144">
        <v>1.539482207043176E-2</v>
      </c>
      <c r="R199" s="143">
        <v>2.6339158908003008E-3</v>
      </c>
      <c r="S199" s="141">
        <v>2.6207463113462992E-3</v>
      </c>
      <c r="T199" s="141">
        <v>2.6076425797895678E-3</v>
      </c>
      <c r="U199" s="141">
        <v>2.5946043668906198E-3</v>
      </c>
      <c r="V199" s="144">
        <v>2.5816313450561668E-3</v>
      </c>
      <c r="W199" s="2664"/>
      <c r="X199" s="607" t="s">
        <v>498</v>
      </c>
      <c r="Y199" s="165">
        <v>0</v>
      </c>
      <c r="Z199" s="166">
        <v>0</v>
      </c>
      <c r="AA199" s="166">
        <v>0</v>
      </c>
      <c r="AB199" s="166">
        <v>0</v>
      </c>
      <c r="AC199" s="166">
        <v>0</v>
      </c>
      <c r="AD199" s="166">
        <v>0</v>
      </c>
      <c r="AE199" s="166">
        <v>0</v>
      </c>
      <c r="AF199" s="167">
        <v>0</v>
      </c>
      <c r="AG199" s="165">
        <v>-2.2124893482722528E-3</v>
      </c>
      <c r="AH199" s="166">
        <v>-2.2014269015308914E-3</v>
      </c>
      <c r="AI199" s="166">
        <v>-2.1904197670232369E-3</v>
      </c>
      <c r="AJ199" s="166">
        <v>-2.1794676681881208E-3</v>
      </c>
      <c r="AK199" s="167">
        <v>-2.1685703298471803E-3</v>
      </c>
      <c r="AL199" s="2664"/>
      <c r="AM199" s="607" t="s">
        <v>1876</v>
      </c>
      <c r="AN199" s="165">
        <v>1</v>
      </c>
      <c r="AO199" s="166">
        <v>3</v>
      </c>
      <c r="AP199" s="166">
        <v>1</v>
      </c>
      <c r="AQ199" s="166">
        <v>0</v>
      </c>
      <c r="AR199" s="166">
        <v>2</v>
      </c>
      <c r="AS199" s="166">
        <v>4</v>
      </c>
      <c r="AT199" s="166">
        <v>2.4431850399387627</v>
      </c>
      <c r="AU199" s="167"/>
      <c r="AV199" s="165">
        <v>0.13791279391196729</v>
      </c>
      <c r="AW199" s="166">
        <v>0.13791279391196729</v>
      </c>
      <c r="AX199" s="166">
        <v>0.13791279391196729</v>
      </c>
      <c r="AY199" s="166">
        <v>0.13791279391196729</v>
      </c>
      <c r="AZ199" s="167">
        <v>0.13791279391196729</v>
      </c>
      <c r="BA199" s="2629"/>
      <c r="BB199" s="2629"/>
      <c r="BC199" s="2629"/>
      <c r="BD199" s="2629"/>
      <c r="BE199" s="2629"/>
      <c r="BF199" s="2629"/>
      <c r="BG199" s="2629"/>
      <c r="BH199" s="2629"/>
      <c r="BI199" s="2629"/>
      <c r="BJ199" s="2629"/>
      <c r="BK199" s="2629"/>
      <c r="BL199" s="2629"/>
      <c r="BM199" s="2629"/>
      <c r="BN199" s="2629"/>
    </row>
    <row r="200" spans="1:66" s="98" customFormat="1" ht="15" customHeight="1">
      <c r="A200" s="99"/>
      <c r="B200" s="161"/>
      <c r="C200" s="185"/>
      <c r="D200" s="162"/>
      <c r="E200" s="162" t="s">
        <v>1555</v>
      </c>
      <c r="F200" s="162"/>
      <c r="G200" s="163"/>
      <c r="H200" s="163"/>
      <c r="I200" s="164" t="s">
        <v>498</v>
      </c>
      <c r="J200" s="143">
        <v>0</v>
      </c>
      <c r="K200" s="141">
        <v>1.1029896990788755E-3</v>
      </c>
      <c r="L200" s="141">
        <v>7.0708964847684475E-4</v>
      </c>
      <c r="M200" s="141">
        <v>0</v>
      </c>
      <c r="N200" s="141">
        <v>3.8707543668635647E-4</v>
      </c>
      <c r="O200" s="141">
        <v>0</v>
      </c>
      <c r="P200" s="141">
        <v>4.1452855966964749E-4</v>
      </c>
      <c r="Q200" s="144">
        <v>3.6601679472786976E-4</v>
      </c>
      <c r="R200" s="143">
        <v>4.2783947988386155E-5</v>
      </c>
      <c r="S200" s="141">
        <v>4.257002824844422E-5</v>
      </c>
      <c r="T200" s="141">
        <v>4.2357178107202002E-5</v>
      </c>
      <c r="U200" s="141">
        <v>4.2145392216665989E-5</v>
      </c>
      <c r="V200" s="144">
        <v>4.1934665255582659E-5</v>
      </c>
      <c r="W200" s="2664"/>
      <c r="X200" s="607" t="s">
        <v>498</v>
      </c>
      <c r="Y200" s="165">
        <v>0</v>
      </c>
      <c r="Z200" s="166">
        <v>0</v>
      </c>
      <c r="AA200" s="166">
        <v>0</v>
      </c>
      <c r="AB200" s="166">
        <v>0</v>
      </c>
      <c r="AC200" s="166">
        <v>0</v>
      </c>
      <c r="AD200" s="166">
        <v>0</v>
      </c>
      <c r="AE200" s="166">
        <v>0</v>
      </c>
      <c r="AF200" s="167">
        <v>0</v>
      </c>
      <c r="AG200" s="165">
        <v>-3.5938516310244369E-5</v>
      </c>
      <c r="AH200" s="166">
        <v>-3.5758823728693144E-5</v>
      </c>
      <c r="AI200" s="166">
        <v>-3.5580029610049684E-5</v>
      </c>
      <c r="AJ200" s="166">
        <v>-3.5402129461999427E-5</v>
      </c>
      <c r="AK200" s="167">
        <v>-3.5225118814689433E-5</v>
      </c>
      <c r="AL200" s="2664"/>
      <c r="AM200" s="607" t="s">
        <v>1876</v>
      </c>
      <c r="AN200" s="165">
        <v>0</v>
      </c>
      <c r="AO200" s="166">
        <v>2</v>
      </c>
      <c r="AP200" s="166">
        <v>2</v>
      </c>
      <c r="AQ200" s="166">
        <v>0</v>
      </c>
      <c r="AR200" s="166">
        <v>2</v>
      </c>
      <c r="AS200" s="166"/>
      <c r="AT200" s="166">
        <v>1.1148514259914744</v>
      </c>
      <c r="AU200" s="167"/>
      <c r="AV200" s="165">
        <v>9.1941862607978195E-2</v>
      </c>
      <c r="AW200" s="166">
        <v>9.1941862607978195E-2</v>
      </c>
      <c r="AX200" s="166">
        <v>9.1941862607978195E-2</v>
      </c>
      <c r="AY200" s="166">
        <v>9.1941862607978195E-2</v>
      </c>
      <c r="AZ200" s="167">
        <v>9.1941862607978195E-2</v>
      </c>
      <c r="BA200" s="2629"/>
      <c r="BB200" s="2629"/>
      <c r="BC200" s="2629"/>
      <c r="BD200" s="2629"/>
      <c r="BE200" s="2629"/>
      <c r="BF200" s="2629"/>
      <c r="BG200" s="2629"/>
      <c r="BH200" s="2629"/>
      <c r="BI200" s="2629"/>
      <c r="BJ200" s="2629"/>
      <c r="BK200" s="2629"/>
      <c r="BL200" s="2629"/>
      <c r="BM200" s="2629"/>
      <c r="BN200" s="2629"/>
    </row>
    <row r="201" spans="1:66" s="98" customFormat="1" ht="15" customHeight="1">
      <c r="A201" s="99"/>
      <c r="B201" s="161"/>
      <c r="C201" s="116"/>
      <c r="D201" s="116"/>
      <c r="E201" s="116"/>
      <c r="F201" s="116"/>
      <c r="G201" s="117"/>
      <c r="H201" s="117"/>
      <c r="I201" s="117"/>
      <c r="J201" s="713"/>
      <c r="K201" s="2649"/>
      <c r="L201" s="2649"/>
      <c r="M201" s="2649"/>
      <c r="N201" s="2649"/>
      <c r="O201" s="2649"/>
      <c r="P201" s="2649"/>
      <c r="Q201" s="715"/>
      <c r="R201" s="713"/>
      <c r="S201" s="2649"/>
      <c r="T201" s="2649"/>
      <c r="U201" s="2649"/>
      <c r="V201" s="715"/>
      <c r="W201" s="2664"/>
      <c r="X201" s="94"/>
      <c r="Y201" s="159"/>
      <c r="Z201" s="94"/>
      <c r="AA201" s="94"/>
      <c r="AB201" s="94"/>
      <c r="AC201" s="94"/>
      <c r="AD201" s="94"/>
      <c r="AE201" s="94"/>
      <c r="AF201" s="160"/>
      <c r="AG201" s="159"/>
      <c r="AH201" s="94"/>
      <c r="AI201" s="94"/>
      <c r="AJ201" s="94"/>
      <c r="AK201" s="160"/>
      <c r="AL201" s="2664"/>
      <c r="AM201" s="94"/>
      <c r="AN201" s="159"/>
      <c r="AO201" s="94"/>
      <c r="AP201" s="94"/>
      <c r="AQ201" s="94"/>
      <c r="AR201" s="94"/>
      <c r="AS201" s="94"/>
      <c r="AT201" s="94"/>
      <c r="AU201" s="160"/>
      <c r="AV201" s="159"/>
      <c r="AW201" s="94"/>
      <c r="AX201" s="94"/>
      <c r="AY201" s="94"/>
      <c r="AZ201" s="160"/>
      <c r="BA201" s="2629"/>
      <c r="BB201" s="2629"/>
      <c r="BC201" s="2629"/>
      <c r="BD201" s="2629"/>
      <c r="BE201" s="2629"/>
      <c r="BF201" s="2629"/>
      <c r="BG201" s="2629"/>
      <c r="BH201" s="2629"/>
      <c r="BI201" s="2629"/>
      <c r="BJ201" s="2629"/>
      <c r="BK201" s="2629"/>
      <c r="BL201" s="2629"/>
      <c r="BM201" s="2629"/>
      <c r="BN201" s="2629"/>
    </row>
    <row r="202" spans="1:66" s="98" customFormat="1" ht="15" customHeight="1">
      <c r="A202" s="99"/>
      <c r="B202" s="115"/>
      <c r="C202" s="116" t="s">
        <v>1683</v>
      </c>
      <c r="D202" s="116"/>
      <c r="E202" s="116"/>
      <c r="F202" s="116"/>
      <c r="G202" s="117"/>
      <c r="H202" s="117"/>
      <c r="I202" s="92"/>
      <c r="J202" s="619"/>
      <c r="K202" s="93"/>
      <c r="L202" s="93"/>
      <c r="M202" s="93"/>
      <c r="N202" s="93"/>
      <c r="O202" s="93"/>
      <c r="P202" s="93"/>
      <c r="Q202" s="618"/>
      <c r="R202" s="619"/>
      <c r="S202" s="93"/>
      <c r="T202" s="93"/>
      <c r="U202" s="93"/>
      <c r="V202" s="618"/>
      <c r="W202" s="2664"/>
      <c r="X202" s="93"/>
      <c r="Y202" s="619"/>
      <c r="Z202" s="93"/>
      <c r="AA202" s="93"/>
      <c r="AB202" s="93"/>
      <c r="AC202" s="93"/>
      <c r="AD202" s="93"/>
      <c r="AE202" s="93"/>
      <c r="AF202" s="618"/>
      <c r="AG202" s="619"/>
      <c r="AH202" s="93"/>
      <c r="AI202" s="93"/>
      <c r="AJ202" s="93"/>
      <c r="AK202" s="618"/>
      <c r="AL202" s="2664"/>
      <c r="AM202" s="93"/>
      <c r="AN202" s="619"/>
      <c r="AO202" s="93"/>
      <c r="AP202" s="93"/>
      <c r="AQ202" s="93"/>
      <c r="AR202" s="93"/>
      <c r="AS202" s="93"/>
      <c r="AT202" s="93"/>
      <c r="AU202" s="618"/>
      <c r="AV202" s="619"/>
      <c r="AW202" s="93"/>
      <c r="AX202" s="93"/>
      <c r="AY202" s="93"/>
      <c r="AZ202" s="618"/>
      <c r="BA202" s="2629"/>
      <c r="BB202" s="2629"/>
      <c r="BC202" s="2629"/>
      <c r="BD202" s="2629"/>
      <c r="BE202" s="2629"/>
      <c r="BF202" s="2629"/>
      <c r="BG202" s="2629"/>
      <c r="BH202" s="2629"/>
      <c r="BI202" s="2629"/>
      <c r="BJ202" s="2629"/>
      <c r="BK202" s="2629"/>
      <c r="BL202" s="2629"/>
      <c r="BM202" s="2629"/>
      <c r="BN202" s="2629"/>
    </row>
    <row r="203" spans="1:66" s="98" customFormat="1" ht="15" customHeight="1">
      <c r="A203" s="99"/>
      <c r="B203" s="161"/>
      <c r="C203" s="185"/>
      <c r="D203" s="116" t="s">
        <v>2521</v>
      </c>
      <c r="E203" s="116"/>
      <c r="F203" s="116"/>
      <c r="G203" s="117"/>
      <c r="H203" s="117"/>
      <c r="I203" s="117"/>
      <c r="J203" s="159"/>
      <c r="K203" s="94"/>
      <c r="L203" s="94"/>
      <c r="M203" s="94"/>
      <c r="N203" s="94"/>
      <c r="O203" s="94"/>
      <c r="P203" s="94"/>
      <c r="Q203" s="160"/>
      <c r="R203" s="159"/>
      <c r="S203" s="94"/>
      <c r="T203" s="94"/>
      <c r="U203" s="94"/>
      <c r="V203" s="160"/>
      <c r="W203" s="2664"/>
      <c r="X203" s="94"/>
      <c r="Y203" s="159"/>
      <c r="Z203" s="94"/>
      <c r="AA203" s="94"/>
      <c r="AB203" s="94"/>
      <c r="AC203" s="94"/>
      <c r="AD203" s="94"/>
      <c r="AE203" s="94"/>
      <c r="AF203" s="160"/>
      <c r="AG203" s="159"/>
      <c r="AH203" s="94"/>
      <c r="AI203" s="94"/>
      <c r="AJ203" s="94"/>
      <c r="AK203" s="160"/>
      <c r="AL203" s="2664"/>
      <c r="AM203" s="94"/>
      <c r="AN203" s="159"/>
      <c r="AO203" s="94"/>
      <c r="AP203" s="94"/>
      <c r="AQ203" s="94"/>
      <c r="AR203" s="94"/>
      <c r="AS203" s="94"/>
      <c r="AT203" s="94"/>
      <c r="AU203" s="160"/>
      <c r="AV203" s="159"/>
      <c r="AW203" s="94"/>
      <c r="AX203" s="94"/>
      <c r="AY203" s="94"/>
      <c r="AZ203" s="160"/>
      <c r="BA203" s="2629"/>
      <c r="BB203" s="2629"/>
      <c r="BC203" s="2629"/>
      <c r="BD203" s="2629"/>
      <c r="BE203" s="2629"/>
      <c r="BF203" s="2629"/>
      <c r="BG203" s="2629"/>
      <c r="BH203" s="2629"/>
      <c r="BI203" s="2629"/>
      <c r="BJ203" s="2629"/>
      <c r="BK203" s="2629"/>
      <c r="BL203" s="2629"/>
      <c r="BM203" s="2629"/>
      <c r="BN203" s="2629"/>
    </row>
    <row r="204" spans="1:66" s="98" customFormat="1" ht="15" customHeight="1">
      <c r="A204" s="99"/>
      <c r="B204" s="161"/>
      <c r="C204" s="185"/>
      <c r="D204" s="162"/>
      <c r="E204" s="230" t="s">
        <v>2787</v>
      </c>
      <c r="F204" s="230"/>
      <c r="G204" s="163"/>
      <c r="H204" s="163"/>
      <c r="I204" s="164" t="s">
        <v>498</v>
      </c>
      <c r="J204" s="143">
        <v>0</v>
      </c>
      <c r="K204" s="141">
        <v>0</v>
      </c>
      <c r="L204" s="141">
        <v>0</v>
      </c>
      <c r="M204" s="141">
        <v>0</v>
      </c>
      <c r="N204" s="141">
        <v>0</v>
      </c>
      <c r="O204" s="141">
        <v>0</v>
      </c>
      <c r="P204" s="141">
        <v>0</v>
      </c>
      <c r="Q204" s="144">
        <v>0</v>
      </c>
      <c r="R204" s="143">
        <v>0</v>
      </c>
      <c r="S204" s="141">
        <v>0</v>
      </c>
      <c r="T204" s="141">
        <v>0</v>
      </c>
      <c r="U204" s="141">
        <v>0</v>
      </c>
      <c r="V204" s="144">
        <v>0</v>
      </c>
      <c r="W204" s="2664"/>
      <c r="X204" s="607" t="s">
        <v>498</v>
      </c>
      <c r="Y204" s="165">
        <v>0</v>
      </c>
      <c r="Z204" s="166">
        <v>0</v>
      </c>
      <c r="AA204" s="166">
        <v>0</v>
      </c>
      <c r="AB204" s="166">
        <v>0</v>
      </c>
      <c r="AC204" s="166">
        <v>0</v>
      </c>
      <c r="AD204" s="166">
        <v>0</v>
      </c>
      <c r="AE204" s="166">
        <v>0</v>
      </c>
      <c r="AF204" s="167">
        <v>0</v>
      </c>
      <c r="AG204" s="165">
        <v>0</v>
      </c>
      <c r="AH204" s="166">
        <v>0</v>
      </c>
      <c r="AI204" s="166">
        <v>0</v>
      </c>
      <c r="AJ204" s="166">
        <v>0</v>
      </c>
      <c r="AK204" s="167">
        <v>0</v>
      </c>
      <c r="AL204" s="2664"/>
      <c r="AM204" s="607" t="s">
        <v>1876</v>
      </c>
      <c r="AN204" s="165">
        <v>0</v>
      </c>
      <c r="AO204" s="166">
        <v>0</v>
      </c>
      <c r="AP204" s="166">
        <v>0</v>
      </c>
      <c r="AQ204" s="166">
        <v>0</v>
      </c>
      <c r="AR204" s="166">
        <v>0</v>
      </c>
      <c r="AS204" s="166">
        <v>0</v>
      </c>
      <c r="AT204" s="166">
        <v>0</v>
      </c>
      <c r="AU204" s="167">
        <v>0</v>
      </c>
      <c r="AV204" s="165">
        <v>0</v>
      </c>
      <c r="AW204" s="166">
        <v>0</v>
      </c>
      <c r="AX204" s="166">
        <v>0</v>
      </c>
      <c r="AY204" s="166">
        <v>0</v>
      </c>
      <c r="AZ204" s="167">
        <v>0</v>
      </c>
      <c r="BA204" s="2629"/>
      <c r="BB204" s="2629"/>
      <c r="BC204" s="2629"/>
      <c r="BD204" s="2629"/>
      <c r="BE204" s="2629"/>
      <c r="BF204" s="2629"/>
      <c r="BG204" s="2629"/>
      <c r="BH204" s="2629"/>
      <c r="BI204" s="2629"/>
      <c r="BJ204" s="2629"/>
      <c r="BK204" s="2629"/>
      <c r="BL204" s="2629"/>
      <c r="BM204" s="2629"/>
      <c r="BN204" s="2629"/>
    </row>
    <row r="205" spans="1:66" s="98" customFormat="1" ht="15" customHeight="1">
      <c r="A205" s="99"/>
      <c r="B205" s="161"/>
      <c r="C205" s="185"/>
      <c r="D205" s="162"/>
      <c r="E205" s="162" t="s">
        <v>1555</v>
      </c>
      <c r="F205" s="162"/>
      <c r="G205" s="163"/>
      <c r="H205" s="163"/>
      <c r="I205" s="164" t="s">
        <v>498</v>
      </c>
      <c r="J205" s="143">
        <v>0</v>
      </c>
      <c r="K205" s="141">
        <v>0</v>
      </c>
      <c r="L205" s="141">
        <v>0</v>
      </c>
      <c r="M205" s="141">
        <v>0</v>
      </c>
      <c r="N205" s="141">
        <v>0</v>
      </c>
      <c r="O205" s="141">
        <v>0</v>
      </c>
      <c r="P205" s="141">
        <v>0</v>
      </c>
      <c r="Q205" s="144">
        <v>0</v>
      </c>
      <c r="R205" s="143">
        <v>0</v>
      </c>
      <c r="S205" s="141">
        <v>0</v>
      </c>
      <c r="T205" s="141">
        <v>0</v>
      </c>
      <c r="U205" s="141">
        <v>0</v>
      </c>
      <c r="V205" s="144">
        <v>0</v>
      </c>
      <c r="W205" s="2664"/>
      <c r="X205" s="607" t="s">
        <v>498</v>
      </c>
      <c r="Y205" s="165">
        <v>0</v>
      </c>
      <c r="Z205" s="166">
        <v>0</v>
      </c>
      <c r="AA205" s="166">
        <v>0</v>
      </c>
      <c r="AB205" s="166">
        <v>0</v>
      </c>
      <c r="AC205" s="166">
        <v>0</v>
      </c>
      <c r="AD205" s="166">
        <v>0</v>
      </c>
      <c r="AE205" s="166">
        <v>0</v>
      </c>
      <c r="AF205" s="167">
        <v>0</v>
      </c>
      <c r="AG205" s="165">
        <v>0</v>
      </c>
      <c r="AH205" s="166">
        <v>0</v>
      </c>
      <c r="AI205" s="166">
        <v>0</v>
      </c>
      <c r="AJ205" s="166">
        <v>0</v>
      </c>
      <c r="AK205" s="167">
        <v>0</v>
      </c>
      <c r="AL205" s="2664"/>
      <c r="AM205" s="607" t="s">
        <v>1876</v>
      </c>
      <c r="AN205" s="165">
        <v>0</v>
      </c>
      <c r="AO205" s="166">
        <v>0</v>
      </c>
      <c r="AP205" s="166">
        <v>0</v>
      </c>
      <c r="AQ205" s="166">
        <v>0</v>
      </c>
      <c r="AR205" s="166">
        <v>0</v>
      </c>
      <c r="AS205" s="166">
        <v>0</v>
      </c>
      <c r="AT205" s="166">
        <v>0</v>
      </c>
      <c r="AU205" s="167">
        <v>0</v>
      </c>
      <c r="AV205" s="165">
        <v>0</v>
      </c>
      <c r="AW205" s="166">
        <v>0</v>
      </c>
      <c r="AX205" s="166">
        <v>0</v>
      </c>
      <c r="AY205" s="166">
        <v>0</v>
      </c>
      <c r="AZ205" s="167">
        <v>0</v>
      </c>
      <c r="BA205" s="2629"/>
      <c r="BB205" s="2629"/>
      <c r="BC205" s="2629"/>
      <c r="BD205" s="2629"/>
      <c r="BE205" s="2629"/>
      <c r="BF205" s="2629"/>
      <c r="BG205" s="2629"/>
      <c r="BH205" s="2629"/>
      <c r="BI205" s="2629"/>
      <c r="BJ205" s="2629"/>
      <c r="BK205" s="2629"/>
      <c r="BL205" s="2629"/>
      <c r="BM205" s="2629"/>
      <c r="BN205" s="2629"/>
    </row>
    <row r="206" spans="1:66" s="98" customFormat="1" ht="15" customHeight="1">
      <c r="A206" s="99"/>
      <c r="B206" s="161"/>
      <c r="C206" s="185"/>
      <c r="D206" s="116" t="s">
        <v>2427</v>
      </c>
      <c r="E206" s="116"/>
      <c r="F206" s="116"/>
      <c r="G206" s="117"/>
      <c r="H206" s="117"/>
      <c r="I206" s="117"/>
      <c r="J206" s="713"/>
      <c r="K206" s="2649"/>
      <c r="L206" s="2649"/>
      <c r="M206" s="2649"/>
      <c r="N206" s="2649"/>
      <c r="O206" s="2649"/>
      <c r="P206" s="2649"/>
      <c r="Q206" s="715"/>
      <c r="R206" s="713"/>
      <c r="S206" s="2649"/>
      <c r="T206" s="2649"/>
      <c r="U206" s="2649"/>
      <c r="V206" s="715"/>
      <c r="W206" s="2664"/>
      <c r="X206" s="94"/>
      <c r="Y206" s="159"/>
      <c r="Z206" s="94"/>
      <c r="AA206" s="94"/>
      <c r="AB206" s="94"/>
      <c r="AC206" s="94"/>
      <c r="AD206" s="94"/>
      <c r="AE206" s="94"/>
      <c r="AF206" s="160"/>
      <c r="AG206" s="159"/>
      <c r="AH206" s="94"/>
      <c r="AI206" s="94"/>
      <c r="AJ206" s="94"/>
      <c r="AK206" s="160"/>
      <c r="AL206" s="2664"/>
      <c r="AM206" s="94"/>
      <c r="AN206" s="159"/>
      <c r="AO206" s="94"/>
      <c r="AP206" s="94"/>
      <c r="AQ206" s="94"/>
      <c r="AR206" s="94"/>
      <c r="AS206" s="94"/>
      <c r="AT206" s="94"/>
      <c r="AU206" s="160"/>
      <c r="AV206" s="159"/>
      <c r="AW206" s="94"/>
      <c r="AX206" s="94"/>
      <c r="AY206" s="94"/>
      <c r="AZ206" s="160"/>
      <c r="BA206" s="2629"/>
      <c r="BB206" s="2629"/>
      <c r="BC206" s="2629"/>
      <c r="BD206" s="2629"/>
      <c r="BE206" s="2629"/>
      <c r="BF206" s="2629"/>
      <c r="BG206" s="2629"/>
      <c r="BH206" s="2629"/>
      <c r="BI206" s="2629"/>
      <c r="BJ206" s="2629"/>
      <c r="BK206" s="2629"/>
      <c r="BL206" s="2629"/>
      <c r="BM206" s="2629"/>
      <c r="BN206" s="2629"/>
    </row>
    <row r="207" spans="1:66" s="98" customFormat="1" ht="15" customHeight="1">
      <c r="A207" s="99"/>
      <c r="B207" s="161"/>
      <c r="C207" s="185"/>
      <c r="D207" s="162"/>
      <c r="E207" s="230" t="s">
        <v>2787</v>
      </c>
      <c r="F207" s="230"/>
      <c r="G207" s="163"/>
      <c r="H207" s="163"/>
      <c r="I207" s="164" t="s">
        <v>498</v>
      </c>
      <c r="J207" s="143">
        <v>0</v>
      </c>
      <c r="K207" s="141">
        <v>0</v>
      </c>
      <c r="L207" s="141">
        <v>0</v>
      </c>
      <c r="M207" s="141">
        <v>0</v>
      </c>
      <c r="N207" s="141">
        <v>0</v>
      </c>
      <c r="O207" s="141">
        <v>0</v>
      </c>
      <c r="P207" s="141">
        <v>0</v>
      </c>
      <c r="Q207" s="144">
        <v>0</v>
      </c>
      <c r="R207" s="143">
        <v>0</v>
      </c>
      <c r="S207" s="141">
        <v>0</v>
      </c>
      <c r="T207" s="141">
        <v>0</v>
      </c>
      <c r="U207" s="141">
        <v>0</v>
      </c>
      <c r="V207" s="144">
        <v>0</v>
      </c>
      <c r="W207" s="2664"/>
      <c r="X207" s="607" t="s">
        <v>498</v>
      </c>
      <c r="Y207" s="165">
        <v>0</v>
      </c>
      <c r="Z207" s="166">
        <v>0</v>
      </c>
      <c r="AA207" s="166">
        <v>0</v>
      </c>
      <c r="AB207" s="166">
        <v>0</v>
      </c>
      <c r="AC207" s="166">
        <v>0</v>
      </c>
      <c r="AD207" s="166">
        <v>0</v>
      </c>
      <c r="AE207" s="166">
        <v>0</v>
      </c>
      <c r="AF207" s="167">
        <v>0</v>
      </c>
      <c r="AG207" s="165">
        <v>0</v>
      </c>
      <c r="AH207" s="166">
        <v>0</v>
      </c>
      <c r="AI207" s="166">
        <v>0</v>
      </c>
      <c r="AJ207" s="166">
        <v>0</v>
      </c>
      <c r="AK207" s="167">
        <v>0</v>
      </c>
      <c r="AL207" s="2664"/>
      <c r="AM207" s="607" t="s">
        <v>1876</v>
      </c>
      <c r="AN207" s="165">
        <v>0</v>
      </c>
      <c r="AO207" s="166">
        <v>0</v>
      </c>
      <c r="AP207" s="166">
        <v>0</v>
      </c>
      <c r="AQ207" s="166">
        <v>0</v>
      </c>
      <c r="AR207" s="166">
        <v>0</v>
      </c>
      <c r="AS207" s="166">
        <v>0</v>
      </c>
      <c r="AT207" s="166">
        <v>0</v>
      </c>
      <c r="AU207" s="167">
        <v>0</v>
      </c>
      <c r="AV207" s="165">
        <v>0</v>
      </c>
      <c r="AW207" s="166">
        <v>0</v>
      </c>
      <c r="AX207" s="166">
        <v>0</v>
      </c>
      <c r="AY207" s="166">
        <v>0</v>
      </c>
      <c r="AZ207" s="167">
        <v>0</v>
      </c>
      <c r="BA207" s="2629"/>
      <c r="BB207" s="2629"/>
      <c r="BC207" s="2629"/>
      <c r="BD207" s="2629"/>
      <c r="BE207" s="2629"/>
      <c r="BF207" s="2629"/>
      <c r="BG207" s="2629"/>
      <c r="BH207" s="2629"/>
      <c r="BI207" s="2629"/>
      <c r="BJ207" s="2629"/>
      <c r="BK207" s="2629"/>
      <c r="BL207" s="2629"/>
      <c r="BM207" s="2629"/>
      <c r="BN207" s="2629"/>
    </row>
    <row r="208" spans="1:66" s="98" customFormat="1" ht="15" customHeight="1">
      <c r="A208" s="99"/>
      <c r="B208" s="161"/>
      <c r="C208" s="185"/>
      <c r="D208" s="162"/>
      <c r="E208" s="162" t="s">
        <v>1555</v>
      </c>
      <c r="F208" s="162"/>
      <c r="G208" s="163"/>
      <c r="H208" s="163"/>
      <c r="I208" s="164" t="s">
        <v>498</v>
      </c>
      <c r="J208" s="143">
        <v>0</v>
      </c>
      <c r="K208" s="141">
        <v>0</v>
      </c>
      <c r="L208" s="141">
        <v>0</v>
      </c>
      <c r="M208" s="141">
        <v>0</v>
      </c>
      <c r="N208" s="141">
        <v>0</v>
      </c>
      <c r="O208" s="141">
        <v>0</v>
      </c>
      <c r="P208" s="141">
        <v>0</v>
      </c>
      <c r="Q208" s="144">
        <v>0</v>
      </c>
      <c r="R208" s="143">
        <v>0</v>
      </c>
      <c r="S208" s="141">
        <v>0</v>
      </c>
      <c r="T208" s="141">
        <v>0</v>
      </c>
      <c r="U208" s="141">
        <v>0</v>
      </c>
      <c r="V208" s="144">
        <v>0</v>
      </c>
      <c r="W208" s="2664"/>
      <c r="X208" s="607" t="s">
        <v>498</v>
      </c>
      <c r="Y208" s="165">
        <v>0</v>
      </c>
      <c r="Z208" s="166">
        <v>0</v>
      </c>
      <c r="AA208" s="166">
        <v>0</v>
      </c>
      <c r="AB208" s="166">
        <v>0</v>
      </c>
      <c r="AC208" s="166">
        <v>0</v>
      </c>
      <c r="AD208" s="166">
        <v>0</v>
      </c>
      <c r="AE208" s="166">
        <v>0</v>
      </c>
      <c r="AF208" s="167">
        <v>0</v>
      </c>
      <c r="AG208" s="165">
        <v>0</v>
      </c>
      <c r="AH208" s="166">
        <v>0</v>
      </c>
      <c r="AI208" s="166">
        <v>0</v>
      </c>
      <c r="AJ208" s="166">
        <v>0</v>
      </c>
      <c r="AK208" s="167">
        <v>0</v>
      </c>
      <c r="AL208" s="2664"/>
      <c r="AM208" s="607" t="s">
        <v>1876</v>
      </c>
      <c r="AN208" s="165">
        <v>0</v>
      </c>
      <c r="AO208" s="166">
        <v>0</v>
      </c>
      <c r="AP208" s="166">
        <v>0</v>
      </c>
      <c r="AQ208" s="166">
        <v>0</v>
      </c>
      <c r="AR208" s="166">
        <v>0</v>
      </c>
      <c r="AS208" s="166">
        <v>0</v>
      </c>
      <c r="AT208" s="166">
        <v>0</v>
      </c>
      <c r="AU208" s="167">
        <v>0</v>
      </c>
      <c r="AV208" s="165">
        <v>0</v>
      </c>
      <c r="AW208" s="166">
        <v>0</v>
      </c>
      <c r="AX208" s="166">
        <v>0</v>
      </c>
      <c r="AY208" s="166">
        <v>0</v>
      </c>
      <c r="AZ208" s="167">
        <v>0</v>
      </c>
      <c r="BA208" s="2629"/>
      <c r="BB208" s="2629"/>
      <c r="BC208" s="2629"/>
      <c r="BD208" s="2629"/>
      <c r="BE208" s="2629"/>
      <c r="BF208" s="2629"/>
      <c r="BG208" s="2629"/>
      <c r="BH208" s="2629"/>
      <c r="BI208" s="2629"/>
      <c r="BJ208" s="2629"/>
      <c r="BK208" s="2629"/>
      <c r="BL208" s="2629"/>
      <c r="BM208" s="2629"/>
      <c r="BN208" s="2629"/>
    </row>
    <row r="209" spans="1:66" s="98" customFormat="1" ht="15" customHeight="1">
      <c r="A209" s="99"/>
      <c r="B209" s="161"/>
      <c r="C209" s="116"/>
      <c r="D209" s="116"/>
      <c r="E209" s="116"/>
      <c r="F209" s="116"/>
      <c r="G209" s="117"/>
      <c r="H209" s="117"/>
      <c r="I209" s="117"/>
      <c r="J209" s="713"/>
      <c r="K209" s="2649"/>
      <c r="L209" s="2649"/>
      <c r="M209" s="2649"/>
      <c r="N209" s="2649"/>
      <c r="O209" s="2649"/>
      <c r="P209" s="2649"/>
      <c r="Q209" s="715"/>
      <c r="R209" s="713"/>
      <c r="S209" s="2649"/>
      <c r="T209" s="2649"/>
      <c r="U209" s="2649"/>
      <c r="V209" s="715"/>
      <c r="W209" s="2664"/>
      <c r="X209" s="94"/>
      <c r="Y209" s="159"/>
      <c r="Z209" s="94"/>
      <c r="AA209" s="94"/>
      <c r="AB209" s="94"/>
      <c r="AC209" s="94"/>
      <c r="AD209" s="94"/>
      <c r="AE209" s="94"/>
      <c r="AF209" s="160"/>
      <c r="AG209" s="159"/>
      <c r="AH209" s="94"/>
      <c r="AI209" s="94"/>
      <c r="AJ209" s="94"/>
      <c r="AK209" s="160"/>
      <c r="AL209" s="2664"/>
      <c r="AM209" s="94"/>
      <c r="AN209" s="159"/>
      <c r="AO209" s="94"/>
      <c r="AP209" s="94"/>
      <c r="AQ209" s="94"/>
      <c r="AR209" s="94"/>
      <c r="AS209" s="94"/>
      <c r="AT209" s="94"/>
      <c r="AU209" s="160"/>
      <c r="AV209" s="159"/>
      <c r="AW209" s="94"/>
      <c r="AX209" s="94"/>
      <c r="AY209" s="94"/>
      <c r="AZ209" s="160"/>
      <c r="BA209" s="2629"/>
      <c r="BB209" s="2629"/>
      <c r="BC209" s="2629"/>
      <c r="BD209" s="2629"/>
      <c r="BE209" s="2629"/>
      <c r="BF209" s="2629"/>
      <c r="BG209" s="2629"/>
      <c r="BH209" s="2629"/>
      <c r="BI209" s="2629"/>
      <c r="BJ209" s="2629"/>
      <c r="BK209" s="2629"/>
      <c r="BL209" s="2629"/>
      <c r="BM209" s="2629"/>
      <c r="BN209" s="2629"/>
    </row>
    <row r="210" spans="1:66" s="98" customFormat="1" ht="15" customHeight="1">
      <c r="A210" s="99"/>
      <c r="B210" s="115"/>
      <c r="C210" s="116" t="s">
        <v>1684</v>
      </c>
      <c r="D210" s="116"/>
      <c r="E210" s="116"/>
      <c r="F210" s="116"/>
      <c r="G210" s="117"/>
      <c r="H210" s="117"/>
      <c r="I210" s="92"/>
      <c r="J210" s="619"/>
      <c r="K210" s="93"/>
      <c r="L210" s="93"/>
      <c r="M210" s="93"/>
      <c r="N210" s="93"/>
      <c r="O210" s="93"/>
      <c r="P210" s="93"/>
      <c r="Q210" s="618"/>
      <c r="R210" s="619"/>
      <c r="S210" s="93"/>
      <c r="T210" s="93"/>
      <c r="U210" s="93"/>
      <c r="V210" s="618"/>
      <c r="W210" s="2664"/>
      <c r="X210" s="93"/>
      <c r="Y210" s="619"/>
      <c r="Z210" s="93"/>
      <c r="AA210" s="93"/>
      <c r="AB210" s="93"/>
      <c r="AC210" s="93"/>
      <c r="AD210" s="93"/>
      <c r="AE210" s="93"/>
      <c r="AF210" s="618"/>
      <c r="AG210" s="619"/>
      <c r="AH210" s="93"/>
      <c r="AI210" s="93"/>
      <c r="AJ210" s="93"/>
      <c r="AK210" s="618"/>
      <c r="AL210" s="2664"/>
      <c r="AM210" s="93"/>
      <c r="AN210" s="619"/>
      <c r="AO210" s="93"/>
      <c r="AP210" s="93"/>
      <c r="AQ210" s="93"/>
      <c r="AR210" s="93"/>
      <c r="AS210" s="93"/>
      <c r="AT210" s="93"/>
      <c r="AU210" s="618"/>
      <c r="AV210" s="619"/>
      <c r="AW210" s="93"/>
      <c r="AX210" s="93"/>
      <c r="AY210" s="93"/>
      <c r="AZ210" s="618"/>
      <c r="BA210" s="2629"/>
      <c r="BB210" s="2629"/>
      <c r="BC210" s="2629"/>
      <c r="BD210" s="2629"/>
      <c r="BE210" s="2629"/>
      <c r="BF210" s="2629"/>
      <c r="BG210" s="2629"/>
      <c r="BH210" s="2629"/>
      <c r="BI210" s="2629"/>
      <c r="BJ210" s="2629"/>
      <c r="BK210" s="2629"/>
      <c r="BL210" s="2629"/>
      <c r="BM210" s="2629"/>
      <c r="BN210" s="2629"/>
    </row>
    <row r="211" spans="1:66" s="98" customFormat="1" ht="15" customHeight="1">
      <c r="A211" s="99"/>
      <c r="B211" s="161"/>
      <c r="C211" s="185"/>
      <c r="D211" s="116" t="s">
        <v>2521</v>
      </c>
      <c r="E211" s="116"/>
      <c r="F211" s="116"/>
      <c r="G211" s="117"/>
      <c r="H211" s="117"/>
      <c r="I211" s="117"/>
      <c r="J211" s="159"/>
      <c r="K211" s="94"/>
      <c r="L211" s="94"/>
      <c r="M211" s="94"/>
      <c r="N211" s="94"/>
      <c r="O211" s="94"/>
      <c r="P211" s="94"/>
      <c r="Q211" s="160"/>
      <c r="R211" s="159"/>
      <c r="S211" s="94"/>
      <c r="T211" s="94"/>
      <c r="U211" s="94"/>
      <c r="V211" s="160"/>
      <c r="W211" s="2664"/>
      <c r="X211" s="94"/>
      <c r="Y211" s="159"/>
      <c r="Z211" s="94"/>
      <c r="AA211" s="94"/>
      <c r="AB211" s="94"/>
      <c r="AC211" s="94"/>
      <c r="AD211" s="94"/>
      <c r="AE211" s="94"/>
      <c r="AF211" s="160"/>
      <c r="AG211" s="159"/>
      <c r="AH211" s="94"/>
      <c r="AI211" s="94"/>
      <c r="AJ211" s="94"/>
      <c r="AK211" s="160"/>
      <c r="AL211" s="2664"/>
      <c r="AM211" s="94"/>
      <c r="AN211" s="159"/>
      <c r="AO211" s="94"/>
      <c r="AP211" s="94"/>
      <c r="AQ211" s="94"/>
      <c r="AR211" s="94"/>
      <c r="AS211" s="94"/>
      <c r="AT211" s="94"/>
      <c r="AU211" s="160"/>
      <c r="AV211" s="159"/>
      <c r="AW211" s="94"/>
      <c r="AX211" s="94"/>
      <c r="AY211" s="94"/>
      <c r="AZ211" s="160"/>
      <c r="BA211" s="2629"/>
      <c r="BB211" s="2629"/>
      <c r="BC211" s="2629"/>
      <c r="BD211" s="2629"/>
      <c r="BE211" s="2629"/>
      <c r="BF211" s="2629"/>
      <c r="BG211" s="2629"/>
      <c r="BH211" s="2629"/>
      <c r="BI211" s="2629"/>
      <c r="BJ211" s="2629"/>
      <c r="BK211" s="2629"/>
      <c r="BL211" s="2629"/>
      <c r="BM211" s="2629"/>
      <c r="BN211" s="2629"/>
    </row>
    <row r="212" spans="1:66" s="98" customFormat="1" ht="15" customHeight="1">
      <c r="A212" s="99"/>
      <c r="B212" s="161"/>
      <c r="C212" s="185"/>
      <c r="D212" s="162"/>
      <c r="E212" s="230" t="s">
        <v>2787</v>
      </c>
      <c r="F212" s="230"/>
      <c r="G212" s="163"/>
      <c r="H212" s="163"/>
      <c r="I212" s="164" t="s">
        <v>498</v>
      </c>
      <c r="J212" s="143">
        <v>0</v>
      </c>
      <c r="K212" s="141">
        <v>0</v>
      </c>
      <c r="L212" s="141">
        <v>0</v>
      </c>
      <c r="M212" s="141">
        <v>0</v>
      </c>
      <c r="N212" s="141">
        <v>0</v>
      </c>
      <c r="O212" s="141">
        <v>0</v>
      </c>
      <c r="P212" s="141">
        <v>0</v>
      </c>
      <c r="Q212" s="144">
        <v>0</v>
      </c>
      <c r="R212" s="143">
        <v>0</v>
      </c>
      <c r="S212" s="141">
        <v>0</v>
      </c>
      <c r="T212" s="141">
        <v>0</v>
      </c>
      <c r="U212" s="141">
        <v>0</v>
      </c>
      <c r="V212" s="144">
        <v>0</v>
      </c>
      <c r="W212" s="2664"/>
      <c r="X212" s="607" t="s">
        <v>498</v>
      </c>
      <c r="Y212" s="165">
        <v>0</v>
      </c>
      <c r="Z212" s="166">
        <v>0</v>
      </c>
      <c r="AA212" s="166">
        <v>0</v>
      </c>
      <c r="AB212" s="166">
        <v>0</v>
      </c>
      <c r="AC212" s="166">
        <v>0</v>
      </c>
      <c r="AD212" s="166">
        <v>0</v>
      </c>
      <c r="AE212" s="166">
        <v>0</v>
      </c>
      <c r="AF212" s="167">
        <v>0</v>
      </c>
      <c r="AG212" s="165">
        <v>0</v>
      </c>
      <c r="AH212" s="166">
        <v>0</v>
      </c>
      <c r="AI212" s="166">
        <v>0</v>
      </c>
      <c r="AJ212" s="166">
        <v>0</v>
      </c>
      <c r="AK212" s="167">
        <v>0</v>
      </c>
      <c r="AL212" s="2664"/>
      <c r="AM212" s="607" t="s">
        <v>1876</v>
      </c>
      <c r="AN212" s="165">
        <v>0</v>
      </c>
      <c r="AO212" s="166">
        <v>0</v>
      </c>
      <c r="AP212" s="166">
        <v>0</v>
      </c>
      <c r="AQ212" s="166">
        <v>0</v>
      </c>
      <c r="AR212" s="166">
        <v>0</v>
      </c>
      <c r="AS212" s="166">
        <v>0</v>
      </c>
      <c r="AT212" s="166">
        <v>0</v>
      </c>
      <c r="AU212" s="167">
        <v>0</v>
      </c>
      <c r="AV212" s="165">
        <v>0</v>
      </c>
      <c r="AW212" s="166">
        <v>0</v>
      </c>
      <c r="AX212" s="166">
        <v>0</v>
      </c>
      <c r="AY212" s="166">
        <v>0</v>
      </c>
      <c r="AZ212" s="167">
        <v>0</v>
      </c>
      <c r="BA212" s="2629"/>
      <c r="BB212" s="2629"/>
      <c r="BC212" s="2629"/>
      <c r="BD212" s="2629"/>
      <c r="BE212" s="2629"/>
      <c r="BF212" s="2629"/>
      <c r="BG212" s="2629"/>
      <c r="BH212" s="2629"/>
      <c r="BI212" s="2629"/>
      <c r="BJ212" s="2629"/>
      <c r="BK212" s="2629"/>
      <c r="BL212" s="2629"/>
      <c r="BM212" s="2629"/>
      <c r="BN212" s="2629"/>
    </row>
    <row r="213" spans="1:66" s="98" customFormat="1" ht="15" customHeight="1">
      <c r="A213" s="99"/>
      <c r="B213" s="161"/>
      <c r="C213" s="185"/>
      <c r="D213" s="162"/>
      <c r="E213" s="162" t="s">
        <v>1555</v>
      </c>
      <c r="F213" s="162"/>
      <c r="G213" s="163"/>
      <c r="H213" s="163"/>
      <c r="I213" s="164" t="s">
        <v>498</v>
      </c>
      <c r="J213" s="143">
        <v>0</v>
      </c>
      <c r="K213" s="141">
        <v>0</v>
      </c>
      <c r="L213" s="141">
        <v>0</v>
      </c>
      <c r="M213" s="141">
        <v>0</v>
      </c>
      <c r="N213" s="141">
        <v>0</v>
      </c>
      <c r="O213" s="141">
        <v>0</v>
      </c>
      <c r="P213" s="141">
        <v>0</v>
      </c>
      <c r="Q213" s="144">
        <v>0</v>
      </c>
      <c r="R213" s="143">
        <v>0</v>
      </c>
      <c r="S213" s="141">
        <v>0</v>
      </c>
      <c r="T213" s="141">
        <v>0</v>
      </c>
      <c r="U213" s="141">
        <v>0</v>
      </c>
      <c r="V213" s="144">
        <v>0</v>
      </c>
      <c r="W213" s="2664"/>
      <c r="X213" s="607" t="s">
        <v>498</v>
      </c>
      <c r="Y213" s="165">
        <v>0</v>
      </c>
      <c r="Z213" s="166">
        <v>0</v>
      </c>
      <c r="AA213" s="166">
        <v>0</v>
      </c>
      <c r="AB213" s="166">
        <v>0</v>
      </c>
      <c r="AC213" s="166">
        <v>0</v>
      </c>
      <c r="AD213" s="166">
        <v>0</v>
      </c>
      <c r="AE213" s="166">
        <v>0</v>
      </c>
      <c r="AF213" s="167">
        <v>0</v>
      </c>
      <c r="AG213" s="165">
        <v>0</v>
      </c>
      <c r="AH213" s="166">
        <v>0</v>
      </c>
      <c r="AI213" s="166">
        <v>0</v>
      </c>
      <c r="AJ213" s="166">
        <v>0</v>
      </c>
      <c r="AK213" s="167">
        <v>0</v>
      </c>
      <c r="AL213" s="2664"/>
      <c r="AM213" s="607" t="s">
        <v>1876</v>
      </c>
      <c r="AN213" s="165">
        <v>0</v>
      </c>
      <c r="AO213" s="166">
        <v>0</v>
      </c>
      <c r="AP213" s="166">
        <v>0</v>
      </c>
      <c r="AQ213" s="166">
        <v>0</v>
      </c>
      <c r="AR213" s="166">
        <v>0</v>
      </c>
      <c r="AS213" s="166">
        <v>0</v>
      </c>
      <c r="AT213" s="166">
        <v>0</v>
      </c>
      <c r="AU213" s="167">
        <v>0</v>
      </c>
      <c r="AV213" s="165">
        <v>0</v>
      </c>
      <c r="AW213" s="166">
        <v>0</v>
      </c>
      <c r="AX213" s="166">
        <v>0</v>
      </c>
      <c r="AY213" s="166">
        <v>0</v>
      </c>
      <c r="AZ213" s="167">
        <v>0</v>
      </c>
      <c r="BA213" s="2629"/>
      <c r="BB213" s="2629"/>
      <c r="BC213" s="2629"/>
      <c r="BD213" s="2629"/>
      <c r="BE213" s="2629"/>
      <c r="BF213" s="2629"/>
      <c r="BG213" s="2629"/>
      <c r="BH213" s="2629"/>
      <c r="BI213" s="2629"/>
      <c r="BJ213" s="2629"/>
      <c r="BK213" s="2629"/>
      <c r="BL213" s="2629"/>
      <c r="BM213" s="2629"/>
      <c r="BN213" s="2629"/>
    </row>
    <row r="214" spans="1:66" s="98" customFormat="1" ht="15" customHeight="1">
      <c r="A214" s="99"/>
      <c r="B214" s="161"/>
      <c r="C214" s="185"/>
      <c r="D214" s="116" t="s">
        <v>2427</v>
      </c>
      <c r="E214" s="116"/>
      <c r="F214" s="116"/>
      <c r="G214" s="117"/>
      <c r="H214" s="117"/>
      <c r="I214" s="117"/>
      <c r="J214" s="713"/>
      <c r="K214" s="2649"/>
      <c r="L214" s="2649"/>
      <c r="M214" s="2649"/>
      <c r="N214" s="2649"/>
      <c r="O214" s="2649"/>
      <c r="P214" s="2649"/>
      <c r="Q214" s="715"/>
      <c r="R214" s="713"/>
      <c r="S214" s="2649"/>
      <c r="T214" s="2649"/>
      <c r="U214" s="2649"/>
      <c r="V214" s="715"/>
      <c r="W214" s="2664"/>
      <c r="X214" s="94"/>
      <c r="Y214" s="159"/>
      <c r="Z214" s="94"/>
      <c r="AA214" s="94"/>
      <c r="AB214" s="94"/>
      <c r="AC214" s="94"/>
      <c r="AD214" s="94"/>
      <c r="AE214" s="94"/>
      <c r="AF214" s="160"/>
      <c r="AG214" s="159"/>
      <c r="AH214" s="94"/>
      <c r="AI214" s="94"/>
      <c r="AJ214" s="94"/>
      <c r="AK214" s="160"/>
      <c r="AL214" s="2664"/>
      <c r="AM214" s="94"/>
      <c r="AN214" s="159"/>
      <c r="AO214" s="94"/>
      <c r="AP214" s="94"/>
      <c r="AQ214" s="94"/>
      <c r="AR214" s="94"/>
      <c r="AS214" s="94"/>
      <c r="AT214" s="94"/>
      <c r="AU214" s="160"/>
      <c r="AV214" s="159"/>
      <c r="AW214" s="94"/>
      <c r="AX214" s="94"/>
      <c r="AY214" s="94"/>
      <c r="AZ214" s="160"/>
      <c r="BA214" s="2629"/>
      <c r="BB214" s="2629"/>
      <c r="BC214" s="2629"/>
      <c r="BD214" s="2629"/>
      <c r="BE214" s="2629"/>
      <c r="BF214" s="2629"/>
      <c r="BG214" s="2629"/>
      <c r="BH214" s="2629"/>
      <c r="BI214" s="2629"/>
      <c r="BJ214" s="2629"/>
      <c r="BK214" s="2629"/>
      <c r="BL214" s="2629"/>
      <c r="BM214" s="2629"/>
      <c r="BN214" s="2629"/>
    </row>
    <row r="215" spans="1:66" s="98" customFormat="1" ht="15" customHeight="1">
      <c r="A215" s="99"/>
      <c r="B215" s="161"/>
      <c r="C215" s="185"/>
      <c r="D215" s="162"/>
      <c r="E215" s="230" t="s">
        <v>2787</v>
      </c>
      <c r="F215" s="230"/>
      <c r="G215" s="163"/>
      <c r="H215" s="163"/>
      <c r="I215" s="164" t="s">
        <v>498</v>
      </c>
      <c r="J215" s="143">
        <v>0</v>
      </c>
      <c r="K215" s="141">
        <v>0</v>
      </c>
      <c r="L215" s="141">
        <v>0</v>
      </c>
      <c r="M215" s="141">
        <v>0</v>
      </c>
      <c r="N215" s="141">
        <v>0</v>
      </c>
      <c r="O215" s="141">
        <v>0</v>
      </c>
      <c r="P215" s="141">
        <v>0</v>
      </c>
      <c r="Q215" s="144">
        <v>0</v>
      </c>
      <c r="R215" s="143">
        <v>0</v>
      </c>
      <c r="S215" s="141">
        <v>0</v>
      </c>
      <c r="T215" s="141">
        <v>0</v>
      </c>
      <c r="U215" s="141">
        <v>0</v>
      </c>
      <c r="V215" s="144">
        <v>0</v>
      </c>
      <c r="W215" s="2664"/>
      <c r="X215" s="607" t="s">
        <v>498</v>
      </c>
      <c r="Y215" s="165">
        <v>0</v>
      </c>
      <c r="Z215" s="166">
        <v>0</v>
      </c>
      <c r="AA215" s="166">
        <v>0</v>
      </c>
      <c r="AB215" s="166">
        <v>0</v>
      </c>
      <c r="AC215" s="166">
        <v>0</v>
      </c>
      <c r="AD215" s="166">
        <v>0</v>
      </c>
      <c r="AE215" s="166">
        <v>0</v>
      </c>
      <c r="AF215" s="167">
        <v>0</v>
      </c>
      <c r="AG215" s="165">
        <v>0</v>
      </c>
      <c r="AH215" s="166">
        <v>0</v>
      </c>
      <c r="AI215" s="166">
        <v>0</v>
      </c>
      <c r="AJ215" s="166">
        <v>0</v>
      </c>
      <c r="AK215" s="167">
        <v>0</v>
      </c>
      <c r="AL215" s="2664"/>
      <c r="AM215" s="607" t="s">
        <v>1876</v>
      </c>
      <c r="AN215" s="165">
        <v>0</v>
      </c>
      <c r="AO215" s="166">
        <v>0</v>
      </c>
      <c r="AP215" s="166">
        <v>0</v>
      </c>
      <c r="AQ215" s="166">
        <v>0</v>
      </c>
      <c r="AR215" s="166">
        <v>0</v>
      </c>
      <c r="AS215" s="166">
        <v>0</v>
      </c>
      <c r="AT215" s="166">
        <v>0</v>
      </c>
      <c r="AU215" s="167">
        <v>0</v>
      </c>
      <c r="AV215" s="165">
        <v>0</v>
      </c>
      <c r="AW215" s="166">
        <v>0</v>
      </c>
      <c r="AX215" s="166">
        <v>0</v>
      </c>
      <c r="AY215" s="166">
        <v>0</v>
      </c>
      <c r="AZ215" s="167">
        <v>0</v>
      </c>
      <c r="BA215" s="2629"/>
      <c r="BB215" s="2629"/>
      <c r="BC215" s="2629"/>
      <c r="BD215" s="2629"/>
      <c r="BE215" s="2629"/>
      <c r="BF215" s="2629"/>
      <c r="BG215" s="2629"/>
      <c r="BH215" s="2629"/>
      <c r="BI215" s="2629"/>
      <c r="BJ215" s="2629"/>
      <c r="BK215" s="2629"/>
      <c r="BL215" s="2629"/>
      <c r="BM215" s="2629"/>
      <c r="BN215" s="2629"/>
    </row>
    <row r="216" spans="1:66" s="98" customFormat="1" ht="15" customHeight="1">
      <c r="A216" s="99"/>
      <c r="B216" s="161"/>
      <c r="C216" s="185"/>
      <c r="D216" s="162"/>
      <c r="E216" s="162" t="s">
        <v>1555</v>
      </c>
      <c r="F216" s="162"/>
      <c r="G216" s="163"/>
      <c r="H216" s="163"/>
      <c r="I216" s="164" t="s">
        <v>498</v>
      </c>
      <c r="J216" s="143">
        <v>0</v>
      </c>
      <c r="K216" s="141">
        <v>0</v>
      </c>
      <c r="L216" s="141">
        <v>0</v>
      </c>
      <c r="M216" s="141">
        <v>0</v>
      </c>
      <c r="N216" s="141">
        <v>0</v>
      </c>
      <c r="O216" s="141">
        <v>0</v>
      </c>
      <c r="P216" s="141">
        <v>0</v>
      </c>
      <c r="Q216" s="144">
        <v>0</v>
      </c>
      <c r="R216" s="143">
        <v>0</v>
      </c>
      <c r="S216" s="141">
        <v>0</v>
      </c>
      <c r="T216" s="141">
        <v>0</v>
      </c>
      <c r="U216" s="141">
        <v>0</v>
      </c>
      <c r="V216" s="144">
        <v>0</v>
      </c>
      <c r="W216" s="2664"/>
      <c r="X216" s="607" t="s">
        <v>498</v>
      </c>
      <c r="Y216" s="165">
        <v>0</v>
      </c>
      <c r="Z216" s="166">
        <v>0</v>
      </c>
      <c r="AA216" s="166">
        <v>0</v>
      </c>
      <c r="AB216" s="166">
        <v>0</v>
      </c>
      <c r="AC216" s="166">
        <v>0</v>
      </c>
      <c r="AD216" s="166">
        <v>0</v>
      </c>
      <c r="AE216" s="166">
        <v>0</v>
      </c>
      <c r="AF216" s="167">
        <v>0</v>
      </c>
      <c r="AG216" s="165">
        <v>0</v>
      </c>
      <c r="AH216" s="166">
        <v>0</v>
      </c>
      <c r="AI216" s="166">
        <v>0</v>
      </c>
      <c r="AJ216" s="166">
        <v>0</v>
      </c>
      <c r="AK216" s="167">
        <v>0</v>
      </c>
      <c r="AL216" s="2664"/>
      <c r="AM216" s="607" t="s">
        <v>1876</v>
      </c>
      <c r="AN216" s="165">
        <v>0</v>
      </c>
      <c r="AO216" s="166">
        <v>0</v>
      </c>
      <c r="AP216" s="166">
        <v>0</v>
      </c>
      <c r="AQ216" s="166">
        <v>0</v>
      </c>
      <c r="AR216" s="166">
        <v>0</v>
      </c>
      <c r="AS216" s="166">
        <v>0</v>
      </c>
      <c r="AT216" s="166">
        <v>0</v>
      </c>
      <c r="AU216" s="167">
        <v>0</v>
      </c>
      <c r="AV216" s="165">
        <v>0</v>
      </c>
      <c r="AW216" s="166">
        <v>0</v>
      </c>
      <c r="AX216" s="166">
        <v>0</v>
      </c>
      <c r="AY216" s="166">
        <v>0</v>
      </c>
      <c r="AZ216" s="167">
        <v>0</v>
      </c>
      <c r="BA216" s="2629"/>
      <c r="BB216" s="2629"/>
      <c r="BC216" s="2629"/>
      <c r="BD216" s="2629"/>
      <c r="BE216" s="2629"/>
      <c r="BF216" s="2629"/>
      <c r="BG216" s="2629"/>
      <c r="BH216" s="2629"/>
      <c r="BI216" s="2629"/>
      <c r="BJ216" s="2629"/>
      <c r="BK216" s="2629"/>
      <c r="BL216" s="2629"/>
      <c r="BM216" s="2629"/>
      <c r="BN216" s="2629"/>
    </row>
    <row r="217" spans="1:66" s="98" customFormat="1" ht="15" customHeight="1">
      <c r="A217" s="99"/>
      <c r="B217" s="161"/>
      <c r="C217" s="116"/>
      <c r="D217" s="116"/>
      <c r="E217" s="116"/>
      <c r="F217" s="116"/>
      <c r="G217" s="117"/>
      <c r="H217" s="117"/>
      <c r="I217" s="117"/>
      <c r="J217" s="713"/>
      <c r="K217" s="2649"/>
      <c r="L217" s="2649"/>
      <c r="M217" s="2649"/>
      <c r="N217" s="2649"/>
      <c r="O217" s="2649"/>
      <c r="P217" s="2649"/>
      <c r="Q217" s="715"/>
      <c r="R217" s="713"/>
      <c r="S217" s="2649"/>
      <c r="T217" s="2649"/>
      <c r="U217" s="2649"/>
      <c r="V217" s="715"/>
      <c r="W217" s="2664"/>
      <c r="X217" s="94"/>
      <c r="Y217" s="159"/>
      <c r="Z217" s="94"/>
      <c r="AA217" s="94"/>
      <c r="AB217" s="94"/>
      <c r="AC217" s="94"/>
      <c r="AD217" s="94"/>
      <c r="AE217" s="94"/>
      <c r="AF217" s="160"/>
      <c r="AG217" s="159"/>
      <c r="AH217" s="94"/>
      <c r="AI217" s="94"/>
      <c r="AJ217" s="94"/>
      <c r="AK217" s="160"/>
      <c r="AL217" s="2664"/>
      <c r="AM217" s="94"/>
      <c r="AN217" s="159"/>
      <c r="AO217" s="94"/>
      <c r="AP217" s="94"/>
      <c r="AQ217" s="94"/>
      <c r="AR217" s="94"/>
      <c r="AS217" s="94"/>
      <c r="AT217" s="94"/>
      <c r="AU217" s="160"/>
      <c r="AV217" s="159"/>
      <c r="AW217" s="94"/>
      <c r="AX217" s="94"/>
      <c r="AY217" s="94"/>
      <c r="AZ217" s="160"/>
      <c r="BA217" s="2629"/>
      <c r="BB217" s="2629"/>
      <c r="BC217" s="2629"/>
      <c r="BD217" s="2629"/>
      <c r="BE217" s="2629"/>
      <c r="BF217" s="2629"/>
      <c r="BG217" s="2629"/>
      <c r="BH217" s="2629"/>
      <c r="BI217" s="2629"/>
      <c r="BJ217" s="2629"/>
      <c r="BK217" s="2629"/>
      <c r="BL217" s="2629"/>
      <c r="BM217" s="2629"/>
      <c r="BN217" s="2629"/>
    </row>
    <row r="218" spans="1:66" s="98" customFormat="1" ht="15" customHeight="1">
      <c r="A218" s="99"/>
      <c r="B218" s="115"/>
      <c r="C218" s="116" t="s">
        <v>1685</v>
      </c>
      <c r="D218" s="116"/>
      <c r="E218" s="116"/>
      <c r="F218" s="116"/>
      <c r="G218" s="117"/>
      <c r="H218" s="117"/>
      <c r="I218" s="92"/>
      <c r="J218" s="619"/>
      <c r="K218" s="93"/>
      <c r="L218" s="93"/>
      <c r="M218" s="93"/>
      <c r="N218" s="93"/>
      <c r="O218" s="93"/>
      <c r="P218" s="93"/>
      <c r="Q218" s="618"/>
      <c r="R218" s="619"/>
      <c r="S218" s="93"/>
      <c r="T218" s="93"/>
      <c r="U218" s="93"/>
      <c r="V218" s="618"/>
      <c r="W218" s="2664"/>
      <c r="X218" s="93"/>
      <c r="Y218" s="619"/>
      <c r="Z218" s="93"/>
      <c r="AA218" s="93"/>
      <c r="AB218" s="93"/>
      <c r="AC218" s="93"/>
      <c r="AD218" s="93"/>
      <c r="AE218" s="93"/>
      <c r="AF218" s="618"/>
      <c r="AG218" s="619"/>
      <c r="AH218" s="93"/>
      <c r="AI218" s="93"/>
      <c r="AJ218" s="93"/>
      <c r="AK218" s="618"/>
      <c r="AL218" s="2664"/>
      <c r="AM218" s="93"/>
      <c r="AN218" s="619"/>
      <c r="AO218" s="93"/>
      <c r="AP218" s="93"/>
      <c r="AQ218" s="93"/>
      <c r="AR218" s="93"/>
      <c r="AS218" s="93"/>
      <c r="AT218" s="93"/>
      <c r="AU218" s="618"/>
      <c r="AV218" s="619"/>
      <c r="AW218" s="93"/>
      <c r="AX218" s="93"/>
      <c r="AY218" s="93"/>
      <c r="AZ218" s="618"/>
      <c r="BA218" s="2629"/>
      <c r="BB218" s="2629"/>
      <c r="BC218" s="2629"/>
      <c r="BD218" s="2629"/>
      <c r="BE218" s="2629"/>
      <c r="BF218" s="2629"/>
      <c r="BG218" s="2629"/>
      <c r="BH218" s="2629"/>
      <c r="BI218" s="2629"/>
      <c r="BJ218" s="2629"/>
      <c r="BK218" s="2629"/>
      <c r="BL218" s="2629"/>
      <c r="BM218" s="2629"/>
      <c r="BN218" s="2629"/>
    </row>
    <row r="219" spans="1:66" s="98" customFormat="1" ht="15" customHeight="1">
      <c r="A219" s="99"/>
      <c r="B219" s="161"/>
      <c r="C219" s="185"/>
      <c r="D219" s="116" t="s">
        <v>2521</v>
      </c>
      <c r="E219" s="116"/>
      <c r="F219" s="116"/>
      <c r="G219" s="117"/>
      <c r="H219" s="117"/>
      <c r="I219" s="117"/>
      <c r="J219" s="159"/>
      <c r="K219" s="94"/>
      <c r="L219" s="94"/>
      <c r="M219" s="94"/>
      <c r="N219" s="94"/>
      <c r="O219" s="94"/>
      <c r="P219" s="94"/>
      <c r="Q219" s="160"/>
      <c r="R219" s="159"/>
      <c r="S219" s="94"/>
      <c r="T219" s="94"/>
      <c r="U219" s="94"/>
      <c r="V219" s="160"/>
      <c r="W219" s="2664"/>
      <c r="X219" s="94"/>
      <c r="Y219" s="159"/>
      <c r="Z219" s="94"/>
      <c r="AA219" s="94"/>
      <c r="AB219" s="94"/>
      <c r="AC219" s="94"/>
      <c r="AD219" s="94"/>
      <c r="AE219" s="94"/>
      <c r="AF219" s="160"/>
      <c r="AG219" s="159"/>
      <c r="AH219" s="94"/>
      <c r="AI219" s="94"/>
      <c r="AJ219" s="94"/>
      <c r="AK219" s="160"/>
      <c r="AL219" s="2664"/>
      <c r="AM219" s="94"/>
      <c r="AN219" s="159"/>
      <c r="AO219" s="94"/>
      <c r="AP219" s="94"/>
      <c r="AQ219" s="94"/>
      <c r="AR219" s="94"/>
      <c r="AS219" s="94"/>
      <c r="AT219" s="94"/>
      <c r="AU219" s="160"/>
      <c r="AV219" s="159"/>
      <c r="AW219" s="94"/>
      <c r="AX219" s="94"/>
      <c r="AY219" s="94"/>
      <c r="AZ219" s="160"/>
      <c r="BA219" s="2629"/>
      <c r="BB219" s="2629"/>
      <c r="BC219" s="2629"/>
      <c r="BD219" s="2629"/>
      <c r="BE219" s="2629"/>
      <c r="BF219" s="2629"/>
      <c r="BG219" s="2629"/>
      <c r="BH219" s="2629"/>
      <c r="BI219" s="2629"/>
      <c r="BJ219" s="2629"/>
      <c r="BK219" s="2629"/>
      <c r="BL219" s="2629"/>
      <c r="BM219" s="2629"/>
      <c r="BN219" s="2629"/>
    </row>
    <row r="220" spans="1:66" s="98" customFormat="1" ht="15" customHeight="1">
      <c r="A220" s="99"/>
      <c r="B220" s="161"/>
      <c r="C220" s="185"/>
      <c r="D220" s="162"/>
      <c r="E220" s="230" t="s">
        <v>2787</v>
      </c>
      <c r="F220" s="230"/>
      <c r="G220" s="163"/>
      <c r="H220" s="163"/>
      <c r="I220" s="164" t="s">
        <v>498</v>
      </c>
      <c r="J220" s="143">
        <v>0</v>
      </c>
      <c r="K220" s="141">
        <v>0</v>
      </c>
      <c r="L220" s="141">
        <v>0</v>
      </c>
      <c r="M220" s="141">
        <v>0</v>
      </c>
      <c r="N220" s="141">
        <v>0</v>
      </c>
      <c r="O220" s="141">
        <v>0</v>
      </c>
      <c r="P220" s="141">
        <v>0</v>
      </c>
      <c r="Q220" s="144">
        <v>0</v>
      </c>
      <c r="R220" s="143">
        <v>0</v>
      </c>
      <c r="S220" s="141">
        <v>0</v>
      </c>
      <c r="T220" s="141">
        <v>0</v>
      </c>
      <c r="U220" s="141">
        <v>0</v>
      </c>
      <c r="V220" s="144">
        <v>0</v>
      </c>
      <c r="W220" s="2664"/>
      <c r="X220" s="607" t="s">
        <v>498</v>
      </c>
      <c r="Y220" s="165">
        <v>0</v>
      </c>
      <c r="Z220" s="166">
        <v>0</v>
      </c>
      <c r="AA220" s="166">
        <v>0</v>
      </c>
      <c r="AB220" s="166">
        <v>0</v>
      </c>
      <c r="AC220" s="166">
        <v>0</v>
      </c>
      <c r="AD220" s="166">
        <v>0</v>
      </c>
      <c r="AE220" s="166">
        <v>0</v>
      </c>
      <c r="AF220" s="167">
        <v>0</v>
      </c>
      <c r="AG220" s="165">
        <v>0</v>
      </c>
      <c r="AH220" s="166">
        <v>0</v>
      </c>
      <c r="AI220" s="166">
        <v>0</v>
      </c>
      <c r="AJ220" s="166">
        <v>0</v>
      </c>
      <c r="AK220" s="167">
        <v>0</v>
      </c>
      <c r="AL220" s="2664"/>
      <c r="AM220" s="607" t="s">
        <v>1876</v>
      </c>
      <c r="AN220" s="165">
        <v>0</v>
      </c>
      <c r="AO220" s="166">
        <v>0</v>
      </c>
      <c r="AP220" s="166">
        <v>0</v>
      </c>
      <c r="AQ220" s="166">
        <v>0</v>
      </c>
      <c r="AR220" s="166">
        <v>0</v>
      </c>
      <c r="AS220" s="166">
        <v>0</v>
      </c>
      <c r="AT220" s="166">
        <v>0</v>
      </c>
      <c r="AU220" s="167">
        <v>0</v>
      </c>
      <c r="AV220" s="165">
        <v>0</v>
      </c>
      <c r="AW220" s="166">
        <v>0</v>
      </c>
      <c r="AX220" s="166">
        <v>0</v>
      </c>
      <c r="AY220" s="166">
        <v>0</v>
      </c>
      <c r="AZ220" s="167">
        <v>0</v>
      </c>
      <c r="BA220" s="2629"/>
      <c r="BB220" s="2629"/>
      <c r="BC220" s="2629"/>
      <c r="BD220" s="2629"/>
      <c r="BE220" s="2629"/>
      <c r="BF220" s="2629"/>
      <c r="BG220" s="2629"/>
      <c r="BH220" s="2629"/>
      <c r="BI220" s="2629"/>
      <c r="BJ220" s="2629"/>
      <c r="BK220" s="2629"/>
      <c r="BL220" s="2629"/>
      <c r="BM220" s="2629"/>
      <c r="BN220" s="2629"/>
    </row>
    <row r="221" spans="1:66" s="98" customFormat="1" ht="15" customHeight="1">
      <c r="A221" s="99"/>
      <c r="B221" s="161"/>
      <c r="C221" s="185"/>
      <c r="D221" s="162"/>
      <c r="E221" s="162" t="s">
        <v>1555</v>
      </c>
      <c r="F221" s="162"/>
      <c r="G221" s="163"/>
      <c r="H221" s="163"/>
      <c r="I221" s="164" t="s">
        <v>498</v>
      </c>
      <c r="J221" s="143">
        <v>0</v>
      </c>
      <c r="K221" s="141">
        <v>0</v>
      </c>
      <c r="L221" s="141">
        <v>0</v>
      </c>
      <c r="M221" s="141">
        <v>0</v>
      </c>
      <c r="N221" s="141">
        <v>0</v>
      </c>
      <c r="O221" s="141">
        <v>0</v>
      </c>
      <c r="P221" s="141">
        <v>0</v>
      </c>
      <c r="Q221" s="144">
        <v>0</v>
      </c>
      <c r="R221" s="143">
        <v>0</v>
      </c>
      <c r="S221" s="141">
        <v>0</v>
      </c>
      <c r="T221" s="141">
        <v>0</v>
      </c>
      <c r="U221" s="141">
        <v>0</v>
      </c>
      <c r="V221" s="144">
        <v>0</v>
      </c>
      <c r="W221" s="2664"/>
      <c r="X221" s="607" t="s">
        <v>498</v>
      </c>
      <c r="Y221" s="165">
        <v>0</v>
      </c>
      <c r="Z221" s="166">
        <v>0</v>
      </c>
      <c r="AA221" s="166">
        <v>0</v>
      </c>
      <c r="AB221" s="166">
        <v>0</v>
      </c>
      <c r="AC221" s="166">
        <v>0</v>
      </c>
      <c r="AD221" s="166">
        <v>0</v>
      </c>
      <c r="AE221" s="166">
        <v>0</v>
      </c>
      <c r="AF221" s="167">
        <v>0</v>
      </c>
      <c r="AG221" s="165">
        <v>0</v>
      </c>
      <c r="AH221" s="166">
        <v>0</v>
      </c>
      <c r="AI221" s="166">
        <v>0</v>
      </c>
      <c r="AJ221" s="166">
        <v>0</v>
      </c>
      <c r="AK221" s="167">
        <v>0</v>
      </c>
      <c r="AL221" s="2664"/>
      <c r="AM221" s="607" t="s">
        <v>1876</v>
      </c>
      <c r="AN221" s="165">
        <v>0</v>
      </c>
      <c r="AO221" s="166">
        <v>0</v>
      </c>
      <c r="AP221" s="166">
        <v>0</v>
      </c>
      <c r="AQ221" s="166">
        <v>0</v>
      </c>
      <c r="AR221" s="166">
        <v>0</v>
      </c>
      <c r="AS221" s="166">
        <v>0</v>
      </c>
      <c r="AT221" s="166">
        <v>0</v>
      </c>
      <c r="AU221" s="167">
        <v>0</v>
      </c>
      <c r="AV221" s="165">
        <v>0</v>
      </c>
      <c r="AW221" s="166">
        <v>0</v>
      </c>
      <c r="AX221" s="166">
        <v>0</v>
      </c>
      <c r="AY221" s="166">
        <v>0</v>
      </c>
      <c r="AZ221" s="167">
        <v>0</v>
      </c>
      <c r="BA221" s="2629"/>
      <c r="BB221" s="2629"/>
      <c r="BC221" s="2629"/>
      <c r="BD221" s="2629"/>
      <c r="BE221" s="2629"/>
      <c r="BF221" s="2629"/>
      <c r="BG221" s="2629"/>
      <c r="BH221" s="2629"/>
      <c r="BI221" s="2629"/>
      <c r="BJ221" s="2629"/>
      <c r="BK221" s="2629"/>
      <c r="BL221" s="2629"/>
      <c r="BM221" s="2629"/>
      <c r="BN221" s="2629"/>
    </row>
    <row r="222" spans="1:66" s="98" customFormat="1" ht="15" customHeight="1">
      <c r="A222" s="99"/>
      <c r="B222" s="161"/>
      <c r="C222" s="185"/>
      <c r="D222" s="116" t="s">
        <v>2427</v>
      </c>
      <c r="E222" s="116"/>
      <c r="F222" s="116"/>
      <c r="G222" s="117"/>
      <c r="H222" s="117"/>
      <c r="I222" s="117"/>
      <c r="J222" s="713"/>
      <c r="K222" s="2649"/>
      <c r="L222" s="2649"/>
      <c r="M222" s="2649"/>
      <c r="N222" s="2649"/>
      <c r="O222" s="2649"/>
      <c r="P222" s="2649"/>
      <c r="Q222" s="715"/>
      <c r="R222" s="713"/>
      <c r="S222" s="2649"/>
      <c r="T222" s="2649"/>
      <c r="U222" s="2649"/>
      <c r="V222" s="715"/>
      <c r="W222" s="2664"/>
      <c r="X222" s="94"/>
      <c r="Y222" s="159"/>
      <c r="Z222" s="94"/>
      <c r="AA222" s="94"/>
      <c r="AB222" s="94"/>
      <c r="AC222" s="94"/>
      <c r="AD222" s="94"/>
      <c r="AE222" s="94"/>
      <c r="AF222" s="160"/>
      <c r="AG222" s="159"/>
      <c r="AH222" s="94"/>
      <c r="AI222" s="94"/>
      <c r="AJ222" s="94"/>
      <c r="AK222" s="160"/>
      <c r="AL222" s="2664"/>
      <c r="AM222" s="94"/>
      <c r="AN222" s="159"/>
      <c r="AO222" s="94"/>
      <c r="AP222" s="94"/>
      <c r="AQ222" s="94"/>
      <c r="AR222" s="94"/>
      <c r="AS222" s="94"/>
      <c r="AT222" s="94"/>
      <c r="AU222" s="160"/>
      <c r="AV222" s="159"/>
      <c r="AW222" s="94"/>
      <c r="AX222" s="94"/>
      <c r="AY222" s="94"/>
      <c r="AZ222" s="160"/>
      <c r="BA222" s="2629"/>
      <c r="BB222" s="2629"/>
      <c r="BC222" s="2629"/>
      <c r="BD222" s="2629"/>
      <c r="BE222" s="2629"/>
      <c r="BF222" s="2629"/>
      <c r="BG222" s="2629"/>
      <c r="BH222" s="2629"/>
      <c r="BI222" s="2629"/>
      <c r="BJ222" s="2629"/>
      <c r="BK222" s="2629"/>
      <c r="BL222" s="2629"/>
      <c r="BM222" s="2629"/>
      <c r="BN222" s="2629"/>
    </row>
    <row r="223" spans="1:66" s="98" customFormat="1" ht="15" customHeight="1">
      <c r="A223" s="99"/>
      <c r="B223" s="161"/>
      <c r="C223" s="185"/>
      <c r="D223" s="162"/>
      <c r="E223" s="230" t="s">
        <v>2787</v>
      </c>
      <c r="F223" s="230"/>
      <c r="G223" s="163"/>
      <c r="H223" s="163"/>
      <c r="I223" s="164" t="s">
        <v>498</v>
      </c>
      <c r="J223" s="143">
        <v>0</v>
      </c>
      <c r="K223" s="141">
        <v>0</v>
      </c>
      <c r="L223" s="141">
        <v>0</v>
      </c>
      <c r="M223" s="141">
        <v>0</v>
      </c>
      <c r="N223" s="141">
        <v>0</v>
      </c>
      <c r="O223" s="141">
        <v>0</v>
      </c>
      <c r="P223" s="141">
        <v>0</v>
      </c>
      <c r="Q223" s="144">
        <v>0</v>
      </c>
      <c r="R223" s="143">
        <v>0</v>
      </c>
      <c r="S223" s="141">
        <v>0</v>
      </c>
      <c r="T223" s="141">
        <v>0</v>
      </c>
      <c r="U223" s="141">
        <v>0</v>
      </c>
      <c r="V223" s="144">
        <v>0</v>
      </c>
      <c r="W223" s="2664"/>
      <c r="X223" s="607" t="s">
        <v>498</v>
      </c>
      <c r="Y223" s="165">
        <v>0</v>
      </c>
      <c r="Z223" s="166">
        <v>0</v>
      </c>
      <c r="AA223" s="166">
        <v>0</v>
      </c>
      <c r="AB223" s="166">
        <v>0</v>
      </c>
      <c r="AC223" s="166">
        <v>0</v>
      </c>
      <c r="AD223" s="166">
        <v>0</v>
      </c>
      <c r="AE223" s="166">
        <v>0</v>
      </c>
      <c r="AF223" s="167">
        <v>0</v>
      </c>
      <c r="AG223" s="165">
        <v>0</v>
      </c>
      <c r="AH223" s="166">
        <v>0</v>
      </c>
      <c r="AI223" s="166">
        <v>0</v>
      </c>
      <c r="AJ223" s="166">
        <v>0</v>
      </c>
      <c r="AK223" s="167">
        <v>0</v>
      </c>
      <c r="AL223" s="2664"/>
      <c r="AM223" s="607" t="s">
        <v>1876</v>
      </c>
      <c r="AN223" s="165">
        <v>0</v>
      </c>
      <c r="AO223" s="166">
        <v>0</v>
      </c>
      <c r="AP223" s="166">
        <v>0</v>
      </c>
      <c r="AQ223" s="166">
        <v>0</v>
      </c>
      <c r="AR223" s="166">
        <v>0</v>
      </c>
      <c r="AS223" s="166">
        <v>0</v>
      </c>
      <c r="AT223" s="166">
        <v>0</v>
      </c>
      <c r="AU223" s="167">
        <v>0</v>
      </c>
      <c r="AV223" s="165">
        <v>0</v>
      </c>
      <c r="AW223" s="166">
        <v>0</v>
      </c>
      <c r="AX223" s="166">
        <v>0</v>
      </c>
      <c r="AY223" s="166">
        <v>0</v>
      </c>
      <c r="AZ223" s="167">
        <v>0</v>
      </c>
      <c r="BA223" s="2629"/>
      <c r="BB223" s="2629"/>
      <c r="BC223" s="2629"/>
      <c r="BD223" s="2629"/>
      <c r="BE223" s="2629"/>
      <c r="BF223" s="2629"/>
      <c r="BG223" s="2629"/>
      <c r="BH223" s="2629"/>
      <c r="BI223" s="2629"/>
      <c r="BJ223" s="2629"/>
      <c r="BK223" s="2629"/>
      <c r="BL223" s="2629"/>
      <c r="BM223" s="2629"/>
      <c r="BN223" s="2629"/>
    </row>
    <row r="224" spans="1:66" s="98" customFormat="1" ht="15" customHeight="1">
      <c r="A224" s="99"/>
      <c r="B224" s="161"/>
      <c r="C224" s="185"/>
      <c r="D224" s="162"/>
      <c r="E224" s="162" t="s">
        <v>1555</v>
      </c>
      <c r="F224" s="162"/>
      <c r="G224" s="163"/>
      <c r="H224" s="163"/>
      <c r="I224" s="164" t="s">
        <v>498</v>
      </c>
      <c r="J224" s="143">
        <v>0</v>
      </c>
      <c r="K224" s="141">
        <v>0</v>
      </c>
      <c r="L224" s="141">
        <v>0</v>
      </c>
      <c r="M224" s="141">
        <v>0</v>
      </c>
      <c r="N224" s="141">
        <v>0</v>
      </c>
      <c r="O224" s="141">
        <v>0</v>
      </c>
      <c r="P224" s="141">
        <v>0</v>
      </c>
      <c r="Q224" s="144">
        <v>0</v>
      </c>
      <c r="R224" s="143">
        <v>0</v>
      </c>
      <c r="S224" s="141">
        <v>0</v>
      </c>
      <c r="T224" s="141">
        <v>0</v>
      </c>
      <c r="U224" s="141">
        <v>0</v>
      </c>
      <c r="V224" s="144">
        <v>0</v>
      </c>
      <c r="W224" s="2664"/>
      <c r="X224" s="607" t="s">
        <v>498</v>
      </c>
      <c r="Y224" s="165">
        <v>0</v>
      </c>
      <c r="Z224" s="166">
        <v>0</v>
      </c>
      <c r="AA224" s="166">
        <v>0</v>
      </c>
      <c r="AB224" s="166">
        <v>0</v>
      </c>
      <c r="AC224" s="166">
        <v>0</v>
      </c>
      <c r="AD224" s="166">
        <v>0</v>
      </c>
      <c r="AE224" s="166">
        <v>0</v>
      </c>
      <c r="AF224" s="167">
        <v>0</v>
      </c>
      <c r="AG224" s="165">
        <v>0</v>
      </c>
      <c r="AH224" s="166">
        <v>0</v>
      </c>
      <c r="AI224" s="166">
        <v>0</v>
      </c>
      <c r="AJ224" s="166">
        <v>0</v>
      </c>
      <c r="AK224" s="167">
        <v>0</v>
      </c>
      <c r="AL224" s="2664"/>
      <c r="AM224" s="607" t="s">
        <v>1876</v>
      </c>
      <c r="AN224" s="165">
        <v>0</v>
      </c>
      <c r="AO224" s="166">
        <v>0</v>
      </c>
      <c r="AP224" s="166">
        <v>0</v>
      </c>
      <c r="AQ224" s="166">
        <v>0</v>
      </c>
      <c r="AR224" s="166">
        <v>0</v>
      </c>
      <c r="AS224" s="166">
        <v>0</v>
      </c>
      <c r="AT224" s="166">
        <v>0</v>
      </c>
      <c r="AU224" s="167">
        <v>0</v>
      </c>
      <c r="AV224" s="165">
        <v>0</v>
      </c>
      <c r="AW224" s="166">
        <v>0</v>
      </c>
      <c r="AX224" s="166">
        <v>0</v>
      </c>
      <c r="AY224" s="166">
        <v>0</v>
      </c>
      <c r="AZ224" s="167">
        <v>0</v>
      </c>
      <c r="BA224" s="2629"/>
      <c r="BB224" s="2629"/>
      <c r="BC224" s="2629"/>
      <c r="BD224" s="2629"/>
      <c r="BE224" s="2629"/>
      <c r="BF224" s="2629"/>
      <c r="BG224" s="2629"/>
      <c r="BH224" s="2629"/>
      <c r="BI224" s="2629"/>
      <c r="BJ224" s="2629"/>
      <c r="BK224" s="2629"/>
      <c r="BL224" s="2629"/>
      <c r="BM224" s="2629"/>
      <c r="BN224" s="2629"/>
    </row>
    <row r="225" spans="1:66" s="98" customFormat="1" ht="15" customHeight="1">
      <c r="A225" s="99"/>
      <c r="B225" s="161"/>
      <c r="C225" s="116"/>
      <c r="D225" s="116"/>
      <c r="E225" s="116"/>
      <c r="F225" s="116"/>
      <c r="G225" s="117"/>
      <c r="H225" s="117"/>
      <c r="I225" s="117"/>
      <c r="J225" s="713"/>
      <c r="K225" s="2649"/>
      <c r="L225" s="2649"/>
      <c r="M225" s="2649"/>
      <c r="N225" s="2649"/>
      <c r="O225" s="2649"/>
      <c r="P225" s="2649"/>
      <c r="Q225" s="715"/>
      <c r="R225" s="713"/>
      <c r="S225" s="2649"/>
      <c r="T225" s="2649"/>
      <c r="U225" s="2649"/>
      <c r="V225" s="715"/>
      <c r="W225" s="2664"/>
      <c r="X225" s="94"/>
      <c r="Y225" s="159"/>
      <c r="Z225" s="94"/>
      <c r="AA225" s="94"/>
      <c r="AB225" s="94"/>
      <c r="AC225" s="94"/>
      <c r="AD225" s="94"/>
      <c r="AE225" s="94"/>
      <c r="AF225" s="160"/>
      <c r="AG225" s="159"/>
      <c r="AH225" s="94"/>
      <c r="AI225" s="94"/>
      <c r="AJ225" s="94"/>
      <c r="AK225" s="160"/>
      <c r="AL225" s="2664"/>
      <c r="AM225" s="94"/>
      <c r="AN225" s="159"/>
      <c r="AO225" s="94"/>
      <c r="AP225" s="94"/>
      <c r="AQ225" s="94"/>
      <c r="AR225" s="94"/>
      <c r="AS225" s="94"/>
      <c r="AT225" s="94"/>
      <c r="AU225" s="160"/>
      <c r="AV225" s="159"/>
      <c r="AW225" s="94"/>
      <c r="AX225" s="94"/>
      <c r="AY225" s="94"/>
      <c r="AZ225" s="160"/>
      <c r="BA225" s="2629"/>
      <c r="BB225" s="2629"/>
      <c r="BC225" s="2629"/>
      <c r="BD225" s="2629"/>
      <c r="BE225" s="2629"/>
      <c r="BF225" s="2629"/>
      <c r="BG225" s="2629"/>
      <c r="BH225" s="2629"/>
      <c r="BI225" s="2629"/>
      <c r="BJ225" s="2629"/>
      <c r="BK225" s="2629"/>
      <c r="BL225" s="2629"/>
      <c r="BM225" s="2629"/>
      <c r="BN225" s="2629"/>
    </row>
    <row r="226" spans="1:66" s="98" customFormat="1" ht="15" customHeight="1">
      <c r="A226" s="99"/>
      <c r="B226" s="115"/>
      <c r="C226" s="116" t="s">
        <v>2670</v>
      </c>
      <c r="D226" s="116"/>
      <c r="E226" s="116"/>
      <c r="F226" s="116"/>
      <c r="G226" s="117"/>
      <c r="H226" s="117"/>
      <c r="I226" s="92"/>
      <c r="J226" s="619"/>
      <c r="K226" s="93"/>
      <c r="L226" s="93"/>
      <c r="M226" s="93"/>
      <c r="N226" s="93"/>
      <c r="O226" s="93"/>
      <c r="P226" s="93"/>
      <c r="Q226" s="618"/>
      <c r="R226" s="619"/>
      <c r="S226" s="93"/>
      <c r="T226" s="93"/>
      <c r="U226" s="93"/>
      <c r="V226" s="618"/>
      <c r="W226" s="2664"/>
      <c r="X226" s="93"/>
      <c r="Y226" s="619"/>
      <c r="Z226" s="93"/>
      <c r="AA226" s="93"/>
      <c r="AB226" s="93"/>
      <c r="AC226" s="93"/>
      <c r="AD226" s="93"/>
      <c r="AE226" s="93"/>
      <c r="AF226" s="618"/>
      <c r="AG226" s="619"/>
      <c r="AH226" s="93"/>
      <c r="AI226" s="93"/>
      <c r="AJ226" s="93"/>
      <c r="AK226" s="618"/>
      <c r="AL226" s="2664"/>
      <c r="AM226" s="93"/>
      <c r="AN226" s="619"/>
      <c r="AO226" s="93"/>
      <c r="AP226" s="93"/>
      <c r="AQ226" s="93"/>
      <c r="AR226" s="93"/>
      <c r="AS226" s="93"/>
      <c r="AT226" s="93"/>
      <c r="AU226" s="618"/>
      <c r="AV226" s="619"/>
      <c r="AW226" s="93"/>
      <c r="AX226" s="93"/>
      <c r="AY226" s="93"/>
      <c r="AZ226" s="618"/>
      <c r="BA226" s="2629"/>
      <c r="BB226" s="2629"/>
      <c r="BC226" s="2629"/>
      <c r="BD226" s="2629"/>
      <c r="BE226" s="2629"/>
      <c r="BF226" s="2629"/>
      <c r="BG226" s="2629"/>
      <c r="BH226" s="2629"/>
      <c r="BI226" s="2629"/>
      <c r="BJ226" s="2629"/>
      <c r="BK226" s="2629"/>
      <c r="BL226" s="2629"/>
      <c r="BM226" s="2629"/>
      <c r="BN226" s="2629"/>
    </row>
    <row r="227" spans="1:66" s="98" customFormat="1" ht="15" customHeight="1">
      <c r="A227" s="99"/>
      <c r="B227" s="161"/>
      <c r="C227" s="185"/>
      <c r="D227" s="116" t="s">
        <v>2521</v>
      </c>
      <c r="E227" s="116"/>
      <c r="F227" s="116"/>
      <c r="G227" s="117"/>
      <c r="H227" s="117"/>
      <c r="I227" s="117"/>
      <c r="J227" s="159"/>
      <c r="K227" s="94"/>
      <c r="L227" s="94"/>
      <c r="M227" s="94"/>
      <c r="N227" s="94"/>
      <c r="O227" s="94"/>
      <c r="P227" s="94"/>
      <c r="Q227" s="160"/>
      <c r="R227" s="159"/>
      <c r="S227" s="94"/>
      <c r="T227" s="94"/>
      <c r="U227" s="94"/>
      <c r="V227" s="160"/>
      <c r="W227" s="2664"/>
      <c r="X227" s="94"/>
      <c r="Y227" s="159"/>
      <c r="Z227" s="94"/>
      <c r="AA227" s="94"/>
      <c r="AB227" s="94"/>
      <c r="AC227" s="94"/>
      <c r="AD227" s="94"/>
      <c r="AE227" s="94"/>
      <c r="AF227" s="160"/>
      <c r="AG227" s="159"/>
      <c r="AH227" s="94"/>
      <c r="AI227" s="94"/>
      <c r="AJ227" s="94"/>
      <c r="AK227" s="160"/>
      <c r="AL227" s="2664"/>
      <c r="AM227" s="94"/>
      <c r="AN227" s="159"/>
      <c r="AO227" s="94"/>
      <c r="AP227" s="94"/>
      <c r="AQ227" s="94"/>
      <c r="AR227" s="94"/>
      <c r="AS227" s="94"/>
      <c r="AT227" s="94"/>
      <c r="AU227" s="160"/>
      <c r="AV227" s="159"/>
      <c r="AW227" s="94"/>
      <c r="AX227" s="94"/>
      <c r="AY227" s="94"/>
      <c r="AZ227" s="160"/>
      <c r="BA227" s="2629"/>
      <c r="BB227" s="2629"/>
      <c r="BC227" s="2629"/>
      <c r="BD227" s="2629"/>
      <c r="BE227" s="2629"/>
      <c r="BF227" s="2629"/>
      <c r="BG227" s="2629"/>
      <c r="BH227" s="2629"/>
      <c r="BI227" s="2629"/>
      <c r="BJ227" s="2629"/>
      <c r="BK227" s="2629"/>
      <c r="BL227" s="2629"/>
      <c r="BM227" s="2629"/>
      <c r="BN227" s="2629"/>
    </row>
    <row r="228" spans="1:66" s="98" customFormat="1" ht="15" customHeight="1">
      <c r="A228" s="99"/>
      <c r="B228" s="161"/>
      <c r="C228" s="185"/>
      <c r="D228" s="162"/>
      <c r="E228" s="230" t="s">
        <v>2787</v>
      </c>
      <c r="F228" s="230"/>
      <c r="G228" s="163"/>
      <c r="H228" s="163"/>
      <c r="I228" s="164" t="s">
        <v>498</v>
      </c>
      <c r="J228" s="143">
        <v>0</v>
      </c>
      <c r="K228" s="141">
        <v>0</v>
      </c>
      <c r="L228" s="141">
        <v>0</v>
      </c>
      <c r="M228" s="141">
        <v>0</v>
      </c>
      <c r="N228" s="141">
        <v>0</v>
      </c>
      <c r="O228" s="141">
        <v>0</v>
      </c>
      <c r="P228" s="141">
        <v>0</v>
      </c>
      <c r="Q228" s="144">
        <v>0</v>
      </c>
      <c r="R228" s="143">
        <v>0</v>
      </c>
      <c r="S228" s="141">
        <v>0</v>
      </c>
      <c r="T228" s="141">
        <v>0</v>
      </c>
      <c r="U228" s="141">
        <v>0</v>
      </c>
      <c r="V228" s="144">
        <v>0</v>
      </c>
      <c r="W228" s="2664"/>
      <c r="X228" s="607" t="s">
        <v>498</v>
      </c>
      <c r="Y228" s="165">
        <v>0</v>
      </c>
      <c r="Z228" s="166">
        <v>0</v>
      </c>
      <c r="AA228" s="166">
        <v>0</v>
      </c>
      <c r="AB228" s="166">
        <v>0</v>
      </c>
      <c r="AC228" s="166">
        <v>0</v>
      </c>
      <c r="AD228" s="166">
        <v>0</v>
      </c>
      <c r="AE228" s="166">
        <v>0</v>
      </c>
      <c r="AF228" s="167">
        <v>0</v>
      </c>
      <c r="AG228" s="165">
        <v>0</v>
      </c>
      <c r="AH228" s="166">
        <v>0</v>
      </c>
      <c r="AI228" s="166">
        <v>0</v>
      </c>
      <c r="AJ228" s="166">
        <v>0</v>
      </c>
      <c r="AK228" s="167">
        <v>0</v>
      </c>
      <c r="AL228" s="2664"/>
      <c r="AM228" s="607" t="s">
        <v>1876</v>
      </c>
      <c r="AN228" s="165">
        <v>0</v>
      </c>
      <c r="AO228" s="166">
        <v>0</v>
      </c>
      <c r="AP228" s="166">
        <v>0</v>
      </c>
      <c r="AQ228" s="166">
        <v>0</v>
      </c>
      <c r="AR228" s="166">
        <v>0</v>
      </c>
      <c r="AS228" s="166">
        <v>0</v>
      </c>
      <c r="AT228" s="166">
        <v>0</v>
      </c>
      <c r="AU228" s="167">
        <v>0</v>
      </c>
      <c r="AV228" s="165">
        <v>0</v>
      </c>
      <c r="AW228" s="166">
        <v>0</v>
      </c>
      <c r="AX228" s="166">
        <v>0</v>
      </c>
      <c r="AY228" s="166">
        <v>0</v>
      </c>
      <c r="AZ228" s="167">
        <v>0</v>
      </c>
      <c r="BA228" s="2629"/>
      <c r="BB228" s="2629"/>
      <c r="BC228" s="2629"/>
      <c r="BD228" s="2629"/>
      <c r="BE228" s="2629"/>
      <c r="BF228" s="2629"/>
      <c r="BG228" s="2629"/>
      <c r="BH228" s="2629"/>
      <c r="BI228" s="2629"/>
      <c r="BJ228" s="2629"/>
      <c r="BK228" s="2629"/>
      <c r="BL228" s="2629"/>
      <c r="BM228" s="2629"/>
      <c r="BN228" s="2629"/>
    </row>
    <row r="229" spans="1:66" s="98" customFormat="1" ht="15" customHeight="1">
      <c r="A229" s="99"/>
      <c r="B229" s="161"/>
      <c r="C229" s="185"/>
      <c r="D229" s="162"/>
      <c r="E229" s="162" t="s">
        <v>1555</v>
      </c>
      <c r="F229" s="162"/>
      <c r="G229" s="163"/>
      <c r="H229" s="163"/>
      <c r="I229" s="164" t="s">
        <v>498</v>
      </c>
      <c r="J229" s="143">
        <v>0</v>
      </c>
      <c r="K229" s="141">
        <v>0</v>
      </c>
      <c r="L229" s="141">
        <v>0</v>
      </c>
      <c r="M229" s="141">
        <v>0</v>
      </c>
      <c r="N229" s="141">
        <v>0</v>
      </c>
      <c r="O229" s="141">
        <v>0</v>
      </c>
      <c r="P229" s="141">
        <v>0</v>
      </c>
      <c r="Q229" s="144">
        <v>0</v>
      </c>
      <c r="R229" s="143">
        <v>0</v>
      </c>
      <c r="S229" s="141">
        <v>0</v>
      </c>
      <c r="T229" s="141">
        <v>0</v>
      </c>
      <c r="U229" s="141">
        <v>0</v>
      </c>
      <c r="V229" s="144">
        <v>0</v>
      </c>
      <c r="W229" s="2664"/>
      <c r="X229" s="607" t="s">
        <v>498</v>
      </c>
      <c r="Y229" s="165">
        <v>0</v>
      </c>
      <c r="Z229" s="166">
        <v>0</v>
      </c>
      <c r="AA229" s="166">
        <v>0</v>
      </c>
      <c r="AB229" s="166">
        <v>0</v>
      </c>
      <c r="AC229" s="166">
        <v>0</v>
      </c>
      <c r="AD229" s="166">
        <v>0</v>
      </c>
      <c r="AE229" s="166">
        <v>0</v>
      </c>
      <c r="AF229" s="167">
        <v>0</v>
      </c>
      <c r="AG229" s="165">
        <v>0</v>
      </c>
      <c r="AH229" s="166">
        <v>0</v>
      </c>
      <c r="AI229" s="166">
        <v>0</v>
      </c>
      <c r="AJ229" s="166">
        <v>0</v>
      </c>
      <c r="AK229" s="167">
        <v>0</v>
      </c>
      <c r="AL229" s="2664"/>
      <c r="AM229" s="607" t="s">
        <v>1876</v>
      </c>
      <c r="AN229" s="165">
        <v>0</v>
      </c>
      <c r="AO229" s="166">
        <v>0</v>
      </c>
      <c r="AP229" s="166">
        <v>0</v>
      </c>
      <c r="AQ229" s="166">
        <v>0</v>
      </c>
      <c r="AR229" s="166">
        <v>0</v>
      </c>
      <c r="AS229" s="166">
        <v>0</v>
      </c>
      <c r="AT229" s="166">
        <v>0</v>
      </c>
      <c r="AU229" s="167">
        <v>0</v>
      </c>
      <c r="AV229" s="165">
        <v>0</v>
      </c>
      <c r="AW229" s="166">
        <v>0</v>
      </c>
      <c r="AX229" s="166">
        <v>0</v>
      </c>
      <c r="AY229" s="166">
        <v>0</v>
      </c>
      <c r="AZ229" s="167">
        <v>0</v>
      </c>
      <c r="BA229" s="2629"/>
      <c r="BB229" s="2629"/>
      <c r="BC229" s="2629"/>
      <c r="BD229" s="2629"/>
      <c r="BE229" s="2629"/>
      <c r="BF229" s="2629"/>
      <c r="BG229" s="2629"/>
      <c r="BH229" s="2629"/>
      <c r="BI229" s="2629"/>
      <c r="BJ229" s="2629"/>
      <c r="BK229" s="2629"/>
      <c r="BL229" s="2629"/>
      <c r="BM229" s="2629"/>
      <c r="BN229" s="2629"/>
    </row>
    <row r="230" spans="1:66" s="98" customFormat="1" ht="15" customHeight="1">
      <c r="A230" s="99"/>
      <c r="B230" s="161"/>
      <c r="C230" s="185"/>
      <c r="D230" s="116" t="s">
        <v>2427</v>
      </c>
      <c r="E230" s="116"/>
      <c r="F230" s="116"/>
      <c r="G230" s="117"/>
      <c r="H230" s="117"/>
      <c r="I230" s="117"/>
      <c r="J230" s="713"/>
      <c r="K230" s="2649"/>
      <c r="L230" s="2649"/>
      <c r="M230" s="2649"/>
      <c r="N230" s="2649"/>
      <c r="O230" s="2649"/>
      <c r="P230" s="2649"/>
      <c r="Q230" s="715"/>
      <c r="R230" s="713"/>
      <c r="S230" s="2649"/>
      <c r="T230" s="2649"/>
      <c r="U230" s="2649"/>
      <c r="V230" s="715"/>
      <c r="W230" s="2664"/>
      <c r="X230" s="94"/>
      <c r="Y230" s="159"/>
      <c r="Z230" s="94"/>
      <c r="AA230" s="94"/>
      <c r="AB230" s="94"/>
      <c r="AC230" s="94"/>
      <c r="AD230" s="94"/>
      <c r="AE230" s="94"/>
      <c r="AF230" s="160"/>
      <c r="AG230" s="159"/>
      <c r="AH230" s="94"/>
      <c r="AI230" s="94"/>
      <c r="AJ230" s="94"/>
      <c r="AK230" s="160"/>
      <c r="AL230" s="2664"/>
      <c r="AM230" s="94"/>
      <c r="AN230" s="159"/>
      <c r="AO230" s="94"/>
      <c r="AP230" s="94"/>
      <c r="AQ230" s="94"/>
      <c r="AR230" s="94"/>
      <c r="AS230" s="94"/>
      <c r="AT230" s="94"/>
      <c r="AU230" s="160"/>
      <c r="AV230" s="159"/>
      <c r="AW230" s="94"/>
      <c r="AX230" s="94"/>
      <c r="AY230" s="94"/>
      <c r="AZ230" s="160"/>
      <c r="BA230" s="2629"/>
      <c r="BB230" s="2629"/>
      <c r="BC230" s="2629"/>
      <c r="BD230" s="2629"/>
      <c r="BE230" s="2629"/>
      <c r="BF230" s="2629"/>
      <c r="BG230" s="2629"/>
      <c r="BH230" s="2629"/>
      <c r="BI230" s="2629"/>
      <c r="BJ230" s="2629"/>
      <c r="BK230" s="2629"/>
      <c r="BL230" s="2629"/>
      <c r="BM230" s="2629"/>
      <c r="BN230" s="2629"/>
    </row>
    <row r="231" spans="1:66" s="98" customFormat="1" ht="15" customHeight="1">
      <c r="A231" s="99"/>
      <c r="B231" s="161"/>
      <c r="C231" s="185"/>
      <c r="D231" s="162"/>
      <c r="E231" s="230" t="s">
        <v>2787</v>
      </c>
      <c r="F231" s="230"/>
      <c r="G231" s="163"/>
      <c r="H231" s="163"/>
      <c r="I231" s="164" t="s">
        <v>498</v>
      </c>
      <c r="J231" s="143">
        <v>0</v>
      </c>
      <c r="K231" s="141">
        <v>0</v>
      </c>
      <c r="L231" s="141">
        <v>0</v>
      </c>
      <c r="M231" s="141">
        <v>0</v>
      </c>
      <c r="N231" s="141">
        <v>0</v>
      </c>
      <c r="O231" s="141">
        <v>0</v>
      </c>
      <c r="P231" s="141">
        <v>0</v>
      </c>
      <c r="Q231" s="144">
        <v>0</v>
      </c>
      <c r="R231" s="143">
        <v>0</v>
      </c>
      <c r="S231" s="141">
        <v>0</v>
      </c>
      <c r="T231" s="141">
        <v>0</v>
      </c>
      <c r="U231" s="141">
        <v>0</v>
      </c>
      <c r="V231" s="144">
        <v>0</v>
      </c>
      <c r="W231" s="2664"/>
      <c r="X231" s="607" t="s">
        <v>498</v>
      </c>
      <c r="Y231" s="165">
        <v>0</v>
      </c>
      <c r="Z231" s="166">
        <v>0</v>
      </c>
      <c r="AA231" s="166">
        <v>0</v>
      </c>
      <c r="AB231" s="166">
        <v>0</v>
      </c>
      <c r="AC231" s="166">
        <v>0</v>
      </c>
      <c r="AD231" s="166">
        <v>0</v>
      </c>
      <c r="AE231" s="166">
        <v>0</v>
      </c>
      <c r="AF231" s="167">
        <v>0</v>
      </c>
      <c r="AG231" s="165">
        <v>0</v>
      </c>
      <c r="AH231" s="166">
        <v>0</v>
      </c>
      <c r="AI231" s="166">
        <v>0</v>
      </c>
      <c r="AJ231" s="166">
        <v>0</v>
      </c>
      <c r="AK231" s="167">
        <v>0</v>
      </c>
      <c r="AL231" s="2664"/>
      <c r="AM231" s="607" t="s">
        <v>1876</v>
      </c>
      <c r="AN231" s="165">
        <v>0</v>
      </c>
      <c r="AO231" s="166">
        <v>0</v>
      </c>
      <c r="AP231" s="166">
        <v>0</v>
      </c>
      <c r="AQ231" s="166">
        <v>0</v>
      </c>
      <c r="AR231" s="166">
        <v>0</v>
      </c>
      <c r="AS231" s="166">
        <v>0</v>
      </c>
      <c r="AT231" s="166">
        <v>0</v>
      </c>
      <c r="AU231" s="167">
        <v>0</v>
      </c>
      <c r="AV231" s="165">
        <v>0</v>
      </c>
      <c r="AW231" s="166">
        <v>0</v>
      </c>
      <c r="AX231" s="166">
        <v>0</v>
      </c>
      <c r="AY231" s="166">
        <v>0</v>
      </c>
      <c r="AZ231" s="167">
        <v>0</v>
      </c>
      <c r="BA231" s="2629"/>
      <c r="BB231" s="2629"/>
      <c r="BC231" s="2629"/>
      <c r="BD231" s="2629"/>
      <c r="BE231" s="2629"/>
      <c r="BF231" s="2629"/>
      <c r="BG231" s="2629"/>
      <c r="BH231" s="2629"/>
      <c r="BI231" s="2629"/>
      <c r="BJ231" s="2629"/>
      <c r="BK231" s="2629"/>
      <c r="BL231" s="2629"/>
      <c r="BM231" s="2629"/>
      <c r="BN231" s="2629"/>
    </row>
    <row r="232" spans="1:66" s="98" customFormat="1" ht="15" customHeight="1">
      <c r="A232" s="99"/>
      <c r="B232" s="161"/>
      <c r="C232" s="185"/>
      <c r="D232" s="162"/>
      <c r="E232" s="162" t="s">
        <v>1555</v>
      </c>
      <c r="F232" s="162"/>
      <c r="G232" s="163"/>
      <c r="H232" s="163"/>
      <c r="I232" s="164" t="s">
        <v>498</v>
      </c>
      <c r="J232" s="143">
        <v>0</v>
      </c>
      <c r="K232" s="141">
        <v>0</v>
      </c>
      <c r="L232" s="141">
        <v>0</v>
      </c>
      <c r="M232" s="141">
        <v>0</v>
      </c>
      <c r="N232" s="141">
        <v>0</v>
      </c>
      <c r="O232" s="141">
        <v>0</v>
      </c>
      <c r="P232" s="141">
        <v>0</v>
      </c>
      <c r="Q232" s="144">
        <v>0</v>
      </c>
      <c r="R232" s="143">
        <v>0</v>
      </c>
      <c r="S232" s="141">
        <v>0</v>
      </c>
      <c r="T232" s="141">
        <v>0</v>
      </c>
      <c r="U232" s="141">
        <v>0</v>
      </c>
      <c r="V232" s="144">
        <v>0</v>
      </c>
      <c r="W232" s="2664"/>
      <c r="X232" s="607" t="s">
        <v>498</v>
      </c>
      <c r="Y232" s="165">
        <v>0</v>
      </c>
      <c r="Z232" s="166">
        <v>0</v>
      </c>
      <c r="AA232" s="166">
        <v>0</v>
      </c>
      <c r="AB232" s="166">
        <v>0</v>
      </c>
      <c r="AC232" s="166">
        <v>0</v>
      </c>
      <c r="AD232" s="166">
        <v>0</v>
      </c>
      <c r="AE232" s="166">
        <v>0</v>
      </c>
      <c r="AF232" s="167">
        <v>0</v>
      </c>
      <c r="AG232" s="165">
        <v>0</v>
      </c>
      <c r="AH232" s="166">
        <v>0</v>
      </c>
      <c r="AI232" s="166">
        <v>0</v>
      </c>
      <c r="AJ232" s="166">
        <v>0</v>
      </c>
      <c r="AK232" s="167">
        <v>0</v>
      </c>
      <c r="AL232" s="2664"/>
      <c r="AM232" s="607" t="s">
        <v>1876</v>
      </c>
      <c r="AN232" s="165">
        <v>0</v>
      </c>
      <c r="AO232" s="166">
        <v>0</v>
      </c>
      <c r="AP232" s="166">
        <v>0</v>
      </c>
      <c r="AQ232" s="166">
        <v>0</v>
      </c>
      <c r="AR232" s="166">
        <v>0</v>
      </c>
      <c r="AS232" s="166">
        <v>0</v>
      </c>
      <c r="AT232" s="166">
        <v>0</v>
      </c>
      <c r="AU232" s="167">
        <v>0</v>
      </c>
      <c r="AV232" s="165">
        <v>0</v>
      </c>
      <c r="AW232" s="166">
        <v>0</v>
      </c>
      <c r="AX232" s="166">
        <v>0</v>
      </c>
      <c r="AY232" s="166">
        <v>0</v>
      </c>
      <c r="AZ232" s="167">
        <v>0</v>
      </c>
      <c r="BA232" s="2629"/>
      <c r="BB232" s="2629"/>
      <c r="BC232" s="2629"/>
      <c r="BD232" s="2629"/>
      <c r="BE232" s="2629"/>
      <c r="BF232" s="2629"/>
      <c r="BG232" s="2629"/>
      <c r="BH232" s="2629"/>
      <c r="BI232" s="2629"/>
      <c r="BJ232" s="2629"/>
      <c r="BK232" s="2629"/>
      <c r="BL232" s="2629"/>
      <c r="BM232" s="2629"/>
      <c r="BN232" s="2629"/>
    </row>
    <row r="233" spans="1:66" s="98" customFormat="1" ht="15" customHeight="1">
      <c r="A233" s="99"/>
      <c r="B233" s="161"/>
      <c r="C233" s="116"/>
      <c r="D233" s="116"/>
      <c r="E233" s="116"/>
      <c r="F233" s="116"/>
      <c r="G233" s="117"/>
      <c r="H233" s="117"/>
      <c r="I233" s="117"/>
      <c r="J233" s="713"/>
      <c r="K233" s="2649"/>
      <c r="L233" s="2649"/>
      <c r="M233" s="2649"/>
      <c r="N233" s="2649"/>
      <c r="O233" s="2649"/>
      <c r="P233" s="2649"/>
      <c r="Q233" s="715"/>
      <c r="R233" s="713"/>
      <c r="S233" s="2649"/>
      <c r="T233" s="2649"/>
      <c r="U233" s="2649"/>
      <c r="V233" s="715"/>
      <c r="W233" s="2664"/>
      <c r="X233" s="94"/>
      <c r="Y233" s="159"/>
      <c r="Z233" s="94"/>
      <c r="AA233" s="94"/>
      <c r="AB233" s="94"/>
      <c r="AC233" s="94"/>
      <c r="AD233" s="94"/>
      <c r="AE233" s="94"/>
      <c r="AF233" s="160"/>
      <c r="AG233" s="159"/>
      <c r="AH233" s="94"/>
      <c r="AI233" s="94"/>
      <c r="AJ233" s="94"/>
      <c r="AK233" s="160"/>
      <c r="AL233" s="2664"/>
      <c r="AM233" s="94"/>
      <c r="AN233" s="159"/>
      <c r="AO233" s="94"/>
      <c r="AP233" s="94"/>
      <c r="AQ233" s="94"/>
      <c r="AR233" s="94"/>
      <c r="AS233" s="94"/>
      <c r="AT233" s="94"/>
      <c r="AU233" s="160"/>
      <c r="AV233" s="159"/>
      <c r="AW233" s="94"/>
      <c r="AX233" s="94"/>
      <c r="AY233" s="94"/>
      <c r="AZ233" s="160"/>
      <c r="BA233" s="2629"/>
      <c r="BB233" s="2629"/>
      <c r="BC233" s="2629"/>
      <c r="BD233" s="2629"/>
      <c r="BE233" s="2629"/>
      <c r="BF233" s="2629"/>
      <c r="BG233" s="2629"/>
      <c r="BH233" s="2629"/>
      <c r="BI233" s="2629"/>
      <c r="BJ233" s="2629"/>
      <c r="BK233" s="2629"/>
      <c r="BL233" s="2629"/>
      <c r="BM233" s="2629"/>
      <c r="BN233" s="2629"/>
    </row>
    <row r="234" spans="1:66" s="98" customFormat="1" ht="15" customHeight="1">
      <c r="A234" s="99"/>
      <c r="B234" s="115"/>
      <c r="C234" s="116" t="s">
        <v>2722</v>
      </c>
      <c r="D234" s="116"/>
      <c r="E234" s="116"/>
      <c r="F234" s="116"/>
      <c r="G234" s="117"/>
      <c r="H234" s="117"/>
      <c r="I234" s="92"/>
      <c r="J234" s="619"/>
      <c r="K234" s="93"/>
      <c r="L234" s="93"/>
      <c r="M234" s="93"/>
      <c r="N234" s="93"/>
      <c r="O234" s="93"/>
      <c r="P234" s="93"/>
      <c r="Q234" s="618"/>
      <c r="R234" s="619"/>
      <c r="S234" s="93"/>
      <c r="T234" s="93"/>
      <c r="U234" s="93"/>
      <c r="V234" s="618"/>
      <c r="W234" s="2664"/>
      <c r="X234" s="93"/>
      <c r="Y234" s="619"/>
      <c r="Z234" s="93"/>
      <c r="AA234" s="93"/>
      <c r="AB234" s="93"/>
      <c r="AC234" s="93"/>
      <c r="AD234" s="93"/>
      <c r="AE234" s="93"/>
      <c r="AF234" s="618"/>
      <c r="AG234" s="619"/>
      <c r="AH234" s="93"/>
      <c r="AI234" s="93"/>
      <c r="AJ234" s="93"/>
      <c r="AK234" s="618"/>
      <c r="AL234" s="2629"/>
      <c r="AM234" s="93"/>
      <c r="AN234" s="619"/>
      <c r="AO234" s="93"/>
      <c r="AP234" s="93"/>
      <c r="AQ234" s="93"/>
      <c r="AR234" s="93"/>
      <c r="AS234" s="93"/>
      <c r="AT234" s="93"/>
      <c r="AU234" s="618"/>
      <c r="AV234" s="619"/>
      <c r="AW234" s="93"/>
      <c r="AX234" s="93"/>
      <c r="AY234" s="93"/>
      <c r="AZ234" s="618"/>
      <c r="BA234" s="2629"/>
      <c r="BB234" s="2629"/>
      <c r="BC234" s="2629"/>
      <c r="BD234" s="2629"/>
      <c r="BE234" s="2629"/>
      <c r="BF234" s="2629"/>
      <c r="BG234" s="2629"/>
      <c r="BH234" s="2629"/>
      <c r="BI234" s="2629"/>
      <c r="BJ234" s="2629"/>
      <c r="BK234" s="2629"/>
      <c r="BL234" s="2629"/>
      <c r="BM234" s="2629"/>
      <c r="BN234" s="2629"/>
    </row>
    <row r="235" spans="1:66" s="98" customFormat="1" ht="15" customHeight="1">
      <c r="A235" s="99"/>
      <c r="B235" s="161"/>
      <c r="C235" s="185"/>
      <c r="D235" s="116" t="s">
        <v>2521</v>
      </c>
      <c r="E235" s="116"/>
      <c r="F235" s="116"/>
      <c r="G235" s="117"/>
      <c r="H235" s="117"/>
      <c r="I235" s="117"/>
      <c r="J235" s="159"/>
      <c r="K235" s="94"/>
      <c r="L235" s="94"/>
      <c r="M235" s="94"/>
      <c r="N235" s="94"/>
      <c r="O235" s="94"/>
      <c r="P235" s="94"/>
      <c r="Q235" s="160"/>
      <c r="R235" s="159"/>
      <c r="S235" s="94"/>
      <c r="T235" s="94"/>
      <c r="U235" s="94"/>
      <c r="V235" s="160"/>
      <c r="W235" s="2664"/>
      <c r="X235" s="94"/>
      <c r="Y235" s="159"/>
      <c r="Z235" s="94"/>
      <c r="AA235" s="94"/>
      <c r="AB235" s="94"/>
      <c r="AC235" s="94"/>
      <c r="AD235" s="94"/>
      <c r="AE235" s="94"/>
      <c r="AF235" s="160"/>
      <c r="AG235" s="159"/>
      <c r="AH235" s="94"/>
      <c r="AI235" s="94"/>
      <c r="AJ235" s="94"/>
      <c r="AK235" s="160"/>
      <c r="AL235" s="2629"/>
      <c r="AM235" s="94"/>
      <c r="AN235" s="159"/>
      <c r="AO235" s="94"/>
      <c r="AP235" s="94"/>
      <c r="AQ235" s="94"/>
      <c r="AR235" s="94"/>
      <c r="AS235" s="94"/>
      <c r="AT235" s="94"/>
      <c r="AU235" s="160"/>
      <c r="AV235" s="159"/>
      <c r="AW235" s="94"/>
      <c r="AX235" s="94"/>
      <c r="AY235" s="94"/>
      <c r="AZ235" s="160"/>
      <c r="BA235" s="2629"/>
      <c r="BB235" s="2629"/>
      <c r="BC235" s="2629"/>
      <c r="BD235" s="2629"/>
      <c r="BE235" s="2629"/>
      <c r="BF235" s="2629"/>
      <c r="BG235" s="2629"/>
      <c r="BH235" s="2629"/>
      <c r="BI235" s="2629"/>
      <c r="BJ235" s="2629"/>
      <c r="BK235" s="2629"/>
      <c r="BL235" s="2629"/>
      <c r="BM235" s="2629"/>
      <c r="BN235" s="2629"/>
    </row>
    <row r="236" spans="1:66" s="98" customFormat="1" ht="15" customHeight="1">
      <c r="A236" s="99"/>
      <c r="B236" s="161"/>
      <c r="C236" s="185"/>
      <c r="D236" s="162"/>
      <c r="E236" s="230" t="s">
        <v>2787</v>
      </c>
      <c r="F236" s="230"/>
      <c r="G236" s="163"/>
      <c r="H236" s="163"/>
      <c r="I236" s="164" t="s">
        <v>498</v>
      </c>
      <c r="J236" s="143">
        <v>0</v>
      </c>
      <c r="K236" s="141">
        <v>0</v>
      </c>
      <c r="L236" s="141">
        <v>0</v>
      </c>
      <c r="M236" s="141">
        <v>0</v>
      </c>
      <c r="N236" s="141">
        <v>0</v>
      </c>
      <c r="O236" s="141">
        <v>0</v>
      </c>
      <c r="P236" s="141">
        <v>0</v>
      </c>
      <c r="Q236" s="144">
        <v>0</v>
      </c>
      <c r="R236" s="143">
        <v>0</v>
      </c>
      <c r="S236" s="141">
        <v>0</v>
      </c>
      <c r="T236" s="141">
        <v>0</v>
      </c>
      <c r="U236" s="141">
        <v>0</v>
      </c>
      <c r="V236" s="144">
        <v>0</v>
      </c>
      <c r="W236" s="2664"/>
      <c r="X236" s="607" t="s">
        <v>498</v>
      </c>
      <c r="Y236" s="165">
        <v>0</v>
      </c>
      <c r="Z236" s="166">
        <v>0</v>
      </c>
      <c r="AA236" s="166">
        <v>0</v>
      </c>
      <c r="AB236" s="166">
        <v>0</v>
      </c>
      <c r="AC236" s="166">
        <v>0</v>
      </c>
      <c r="AD236" s="166">
        <v>0</v>
      </c>
      <c r="AE236" s="166">
        <v>0</v>
      </c>
      <c r="AF236" s="167">
        <v>0</v>
      </c>
      <c r="AG236" s="165">
        <v>0</v>
      </c>
      <c r="AH236" s="166">
        <v>0</v>
      </c>
      <c r="AI236" s="166">
        <v>0</v>
      </c>
      <c r="AJ236" s="166">
        <v>0</v>
      </c>
      <c r="AK236" s="167">
        <v>0</v>
      </c>
      <c r="AL236" s="2629"/>
      <c r="AM236" s="607" t="s">
        <v>1876</v>
      </c>
      <c r="AN236" s="165">
        <v>0</v>
      </c>
      <c r="AO236" s="166">
        <v>0</v>
      </c>
      <c r="AP236" s="166">
        <v>0</v>
      </c>
      <c r="AQ236" s="166">
        <v>0</v>
      </c>
      <c r="AR236" s="166">
        <v>0</v>
      </c>
      <c r="AS236" s="166">
        <v>0</v>
      </c>
      <c r="AT236" s="166">
        <v>0</v>
      </c>
      <c r="AU236" s="167">
        <v>0</v>
      </c>
      <c r="AV236" s="165">
        <v>0</v>
      </c>
      <c r="AW236" s="166">
        <v>0</v>
      </c>
      <c r="AX236" s="166">
        <v>0</v>
      </c>
      <c r="AY236" s="166">
        <v>0</v>
      </c>
      <c r="AZ236" s="167">
        <v>0</v>
      </c>
      <c r="BA236" s="2629"/>
      <c r="BB236" s="2629"/>
      <c r="BC236" s="2629"/>
      <c r="BD236" s="2629"/>
      <c r="BE236" s="2629"/>
      <c r="BF236" s="2629"/>
      <c r="BG236" s="2629"/>
      <c r="BH236" s="2629"/>
      <c r="BI236" s="2629"/>
      <c r="BJ236" s="2629"/>
      <c r="BK236" s="2629"/>
      <c r="BL236" s="2629"/>
      <c r="BM236" s="2629"/>
      <c r="BN236" s="2629"/>
    </row>
    <row r="237" spans="1:66" s="98" customFormat="1" ht="15" customHeight="1">
      <c r="A237" s="99"/>
      <c r="B237" s="161"/>
      <c r="C237" s="185"/>
      <c r="D237" s="162"/>
      <c r="E237" s="162" t="s">
        <v>1555</v>
      </c>
      <c r="F237" s="162"/>
      <c r="G237" s="163"/>
      <c r="H237" s="163"/>
      <c r="I237" s="164" t="s">
        <v>498</v>
      </c>
      <c r="J237" s="143">
        <v>0</v>
      </c>
      <c r="K237" s="141">
        <v>0</v>
      </c>
      <c r="L237" s="141">
        <v>0</v>
      </c>
      <c r="M237" s="141">
        <v>0</v>
      </c>
      <c r="N237" s="141">
        <v>0</v>
      </c>
      <c r="O237" s="141">
        <v>0</v>
      </c>
      <c r="P237" s="141">
        <v>0</v>
      </c>
      <c r="Q237" s="144">
        <v>0</v>
      </c>
      <c r="R237" s="143">
        <v>0</v>
      </c>
      <c r="S237" s="141">
        <v>0</v>
      </c>
      <c r="T237" s="141">
        <v>0</v>
      </c>
      <c r="U237" s="141">
        <v>0</v>
      </c>
      <c r="V237" s="144">
        <v>0</v>
      </c>
      <c r="W237" s="2664"/>
      <c r="X237" s="607" t="s">
        <v>498</v>
      </c>
      <c r="Y237" s="165">
        <v>0</v>
      </c>
      <c r="Z237" s="166">
        <v>0</v>
      </c>
      <c r="AA237" s="166">
        <v>0</v>
      </c>
      <c r="AB237" s="166">
        <v>0</v>
      </c>
      <c r="AC237" s="166">
        <v>0</v>
      </c>
      <c r="AD237" s="166">
        <v>0</v>
      </c>
      <c r="AE237" s="166">
        <v>0</v>
      </c>
      <c r="AF237" s="167">
        <v>0</v>
      </c>
      <c r="AG237" s="165">
        <v>0</v>
      </c>
      <c r="AH237" s="166">
        <v>0</v>
      </c>
      <c r="AI237" s="166">
        <v>0</v>
      </c>
      <c r="AJ237" s="166">
        <v>0</v>
      </c>
      <c r="AK237" s="167">
        <v>0</v>
      </c>
      <c r="AL237" s="2629"/>
      <c r="AM237" s="607" t="s">
        <v>1876</v>
      </c>
      <c r="AN237" s="165">
        <v>0</v>
      </c>
      <c r="AO237" s="166">
        <v>0</v>
      </c>
      <c r="AP237" s="166">
        <v>0</v>
      </c>
      <c r="AQ237" s="166">
        <v>0</v>
      </c>
      <c r="AR237" s="166">
        <v>0</v>
      </c>
      <c r="AS237" s="166">
        <v>0</v>
      </c>
      <c r="AT237" s="166">
        <v>0</v>
      </c>
      <c r="AU237" s="167">
        <v>0</v>
      </c>
      <c r="AV237" s="165">
        <v>0</v>
      </c>
      <c r="AW237" s="166">
        <v>0</v>
      </c>
      <c r="AX237" s="166">
        <v>0</v>
      </c>
      <c r="AY237" s="166">
        <v>0</v>
      </c>
      <c r="AZ237" s="167">
        <v>0</v>
      </c>
      <c r="BA237" s="2629"/>
      <c r="BB237" s="2629"/>
      <c r="BC237" s="2629"/>
      <c r="BD237" s="2629"/>
      <c r="BE237" s="2629"/>
      <c r="BF237" s="2629"/>
      <c r="BG237" s="2629"/>
      <c r="BH237" s="2629"/>
      <c r="BI237" s="2629"/>
      <c r="BJ237" s="2629"/>
      <c r="BK237" s="2629"/>
      <c r="BL237" s="2629"/>
      <c r="BM237" s="2629"/>
      <c r="BN237" s="2629"/>
    </row>
    <row r="238" spans="1:66" s="98" customFormat="1" ht="15" customHeight="1">
      <c r="A238" s="99"/>
      <c r="B238" s="161"/>
      <c r="C238" s="185"/>
      <c r="D238" s="116" t="s">
        <v>2427</v>
      </c>
      <c r="E238" s="116"/>
      <c r="F238" s="116"/>
      <c r="G238" s="117"/>
      <c r="H238" s="117"/>
      <c r="I238" s="117"/>
      <c r="J238" s="713"/>
      <c r="K238" s="2649"/>
      <c r="L238" s="2649"/>
      <c r="M238" s="2649"/>
      <c r="N238" s="2649"/>
      <c r="O238" s="2649"/>
      <c r="P238" s="2649"/>
      <c r="Q238" s="715"/>
      <c r="R238" s="713"/>
      <c r="S238" s="2649"/>
      <c r="T238" s="2649"/>
      <c r="U238" s="2649"/>
      <c r="V238" s="715"/>
      <c r="W238" s="2664"/>
      <c r="X238" s="94"/>
      <c r="Y238" s="159"/>
      <c r="Z238" s="94"/>
      <c r="AA238" s="94"/>
      <c r="AB238" s="94"/>
      <c r="AC238" s="94"/>
      <c r="AD238" s="94"/>
      <c r="AE238" s="94"/>
      <c r="AF238" s="160"/>
      <c r="AG238" s="159"/>
      <c r="AH238" s="94"/>
      <c r="AI238" s="94"/>
      <c r="AJ238" s="94"/>
      <c r="AK238" s="160"/>
      <c r="AL238" s="2629"/>
      <c r="AM238" s="94"/>
      <c r="AN238" s="159"/>
      <c r="AO238" s="94"/>
      <c r="AP238" s="94"/>
      <c r="AQ238" s="94"/>
      <c r="AR238" s="94"/>
      <c r="AS238" s="94"/>
      <c r="AT238" s="94"/>
      <c r="AU238" s="160"/>
      <c r="AV238" s="159"/>
      <c r="AW238" s="94"/>
      <c r="AX238" s="94"/>
      <c r="AY238" s="94"/>
      <c r="AZ238" s="160"/>
      <c r="BA238" s="2629"/>
      <c r="BB238" s="2629"/>
      <c r="BC238" s="2629"/>
      <c r="BD238" s="2629"/>
      <c r="BE238" s="2629"/>
      <c r="BF238" s="2629"/>
      <c r="BG238" s="2629"/>
      <c r="BH238" s="2629"/>
      <c r="BI238" s="2629"/>
      <c r="BJ238" s="2629"/>
      <c r="BK238" s="2629"/>
      <c r="BL238" s="2629"/>
      <c r="BM238" s="2629"/>
      <c r="BN238" s="2629"/>
    </row>
    <row r="239" spans="1:66" s="98" customFormat="1" ht="15" customHeight="1">
      <c r="A239" s="99"/>
      <c r="B239" s="161"/>
      <c r="C239" s="185"/>
      <c r="D239" s="162"/>
      <c r="E239" s="230" t="s">
        <v>2787</v>
      </c>
      <c r="F239" s="230"/>
      <c r="G239" s="163"/>
      <c r="H239" s="163"/>
      <c r="I239" s="164" t="s">
        <v>498</v>
      </c>
      <c r="J239" s="143">
        <v>0</v>
      </c>
      <c r="K239" s="141">
        <v>0</v>
      </c>
      <c r="L239" s="141">
        <v>0</v>
      </c>
      <c r="M239" s="141">
        <v>0</v>
      </c>
      <c r="N239" s="141">
        <v>0</v>
      </c>
      <c r="O239" s="141">
        <v>0</v>
      </c>
      <c r="P239" s="141">
        <v>0</v>
      </c>
      <c r="Q239" s="144">
        <v>0</v>
      </c>
      <c r="R239" s="143">
        <v>0</v>
      </c>
      <c r="S239" s="141">
        <v>0</v>
      </c>
      <c r="T239" s="141">
        <v>0</v>
      </c>
      <c r="U239" s="141">
        <v>0</v>
      </c>
      <c r="V239" s="144">
        <v>0</v>
      </c>
      <c r="W239" s="2664"/>
      <c r="X239" s="607" t="s">
        <v>498</v>
      </c>
      <c r="Y239" s="165">
        <v>0</v>
      </c>
      <c r="Z239" s="166">
        <v>0</v>
      </c>
      <c r="AA239" s="166">
        <v>0</v>
      </c>
      <c r="AB239" s="166">
        <v>0</v>
      </c>
      <c r="AC239" s="166">
        <v>0</v>
      </c>
      <c r="AD239" s="166">
        <v>0</v>
      </c>
      <c r="AE239" s="166">
        <v>0</v>
      </c>
      <c r="AF239" s="167">
        <v>0</v>
      </c>
      <c r="AG239" s="165">
        <v>0</v>
      </c>
      <c r="AH239" s="166">
        <v>0</v>
      </c>
      <c r="AI239" s="166">
        <v>0</v>
      </c>
      <c r="AJ239" s="166">
        <v>0</v>
      </c>
      <c r="AK239" s="167">
        <v>0</v>
      </c>
      <c r="AL239" s="2629"/>
      <c r="AM239" s="607" t="s">
        <v>1876</v>
      </c>
      <c r="AN239" s="165">
        <v>0</v>
      </c>
      <c r="AO239" s="166">
        <v>0</v>
      </c>
      <c r="AP239" s="166">
        <v>0</v>
      </c>
      <c r="AQ239" s="166">
        <v>0</v>
      </c>
      <c r="AR239" s="166">
        <v>0</v>
      </c>
      <c r="AS239" s="166">
        <v>0</v>
      </c>
      <c r="AT239" s="166">
        <v>0</v>
      </c>
      <c r="AU239" s="167">
        <v>0</v>
      </c>
      <c r="AV239" s="165">
        <v>0</v>
      </c>
      <c r="AW239" s="166">
        <v>0</v>
      </c>
      <c r="AX239" s="166">
        <v>0</v>
      </c>
      <c r="AY239" s="166">
        <v>0</v>
      </c>
      <c r="AZ239" s="167">
        <v>0</v>
      </c>
      <c r="BA239" s="2629"/>
      <c r="BB239" s="2629"/>
      <c r="BC239" s="2629"/>
      <c r="BD239" s="2629"/>
      <c r="BE239" s="2629"/>
      <c r="BF239" s="2629"/>
      <c r="BG239" s="2629"/>
      <c r="BH239" s="2629"/>
      <c r="BI239" s="2629"/>
      <c r="BJ239" s="2629"/>
      <c r="BK239" s="2629"/>
      <c r="BL239" s="2629"/>
      <c r="BM239" s="2629"/>
      <c r="BN239" s="2629"/>
    </row>
    <row r="240" spans="1:66" s="98" customFormat="1" ht="15" customHeight="1">
      <c r="A240" s="99"/>
      <c r="B240" s="161"/>
      <c r="C240" s="185"/>
      <c r="D240" s="162"/>
      <c r="E240" s="162" t="s">
        <v>1555</v>
      </c>
      <c r="F240" s="162"/>
      <c r="G240" s="163"/>
      <c r="H240" s="163"/>
      <c r="I240" s="164" t="s">
        <v>498</v>
      </c>
      <c r="J240" s="143">
        <v>0</v>
      </c>
      <c r="K240" s="141">
        <v>0</v>
      </c>
      <c r="L240" s="141">
        <v>0</v>
      </c>
      <c r="M240" s="141">
        <v>0</v>
      </c>
      <c r="N240" s="141">
        <v>0</v>
      </c>
      <c r="O240" s="141">
        <v>0</v>
      </c>
      <c r="P240" s="141">
        <v>0</v>
      </c>
      <c r="Q240" s="144">
        <v>0</v>
      </c>
      <c r="R240" s="143">
        <v>0</v>
      </c>
      <c r="S240" s="141">
        <v>0</v>
      </c>
      <c r="T240" s="141">
        <v>0</v>
      </c>
      <c r="U240" s="141">
        <v>0</v>
      </c>
      <c r="V240" s="144">
        <v>0</v>
      </c>
      <c r="W240" s="2664"/>
      <c r="X240" s="607" t="s">
        <v>498</v>
      </c>
      <c r="Y240" s="165">
        <v>0</v>
      </c>
      <c r="Z240" s="166">
        <v>0</v>
      </c>
      <c r="AA240" s="166">
        <v>0</v>
      </c>
      <c r="AB240" s="166">
        <v>0</v>
      </c>
      <c r="AC240" s="166">
        <v>0</v>
      </c>
      <c r="AD240" s="166">
        <v>0</v>
      </c>
      <c r="AE240" s="166">
        <v>0</v>
      </c>
      <c r="AF240" s="167">
        <v>0</v>
      </c>
      <c r="AG240" s="165">
        <v>0</v>
      </c>
      <c r="AH240" s="166">
        <v>0</v>
      </c>
      <c r="AI240" s="166">
        <v>0</v>
      </c>
      <c r="AJ240" s="166">
        <v>0</v>
      </c>
      <c r="AK240" s="167">
        <v>0</v>
      </c>
      <c r="AL240" s="2629"/>
      <c r="AM240" s="607" t="s">
        <v>1876</v>
      </c>
      <c r="AN240" s="165">
        <v>0</v>
      </c>
      <c r="AO240" s="166">
        <v>0</v>
      </c>
      <c r="AP240" s="166">
        <v>0</v>
      </c>
      <c r="AQ240" s="166">
        <v>0</v>
      </c>
      <c r="AR240" s="166">
        <v>0</v>
      </c>
      <c r="AS240" s="166">
        <v>0</v>
      </c>
      <c r="AT240" s="166">
        <v>0</v>
      </c>
      <c r="AU240" s="167">
        <v>0</v>
      </c>
      <c r="AV240" s="165">
        <v>0</v>
      </c>
      <c r="AW240" s="166">
        <v>0</v>
      </c>
      <c r="AX240" s="166">
        <v>0</v>
      </c>
      <c r="AY240" s="166">
        <v>0</v>
      </c>
      <c r="AZ240" s="167">
        <v>0</v>
      </c>
      <c r="BA240" s="2629"/>
      <c r="BB240" s="2629"/>
      <c r="BC240" s="2629"/>
      <c r="BD240" s="2629"/>
      <c r="BE240" s="2629"/>
      <c r="BF240" s="2629"/>
      <c r="BG240" s="2629"/>
      <c r="BH240" s="2629"/>
      <c r="BI240" s="2629"/>
      <c r="BJ240" s="2629"/>
      <c r="BK240" s="2629"/>
      <c r="BL240" s="2629"/>
      <c r="BM240" s="2629"/>
      <c r="BN240" s="2629"/>
    </row>
    <row r="241" spans="1:66" s="98" customFormat="1" ht="15" customHeight="1">
      <c r="A241" s="99"/>
      <c r="B241" s="161"/>
      <c r="C241" s="116"/>
      <c r="D241" s="116"/>
      <c r="E241" s="116"/>
      <c r="F241" s="116"/>
      <c r="G241" s="117"/>
      <c r="H241" s="117"/>
      <c r="I241" s="117"/>
      <c r="J241" s="713"/>
      <c r="K241" s="2649"/>
      <c r="L241" s="2649"/>
      <c r="M241" s="2649"/>
      <c r="N241" s="2649"/>
      <c r="O241" s="2649"/>
      <c r="P241" s="2649"/>
      <c r="Q241" s="715"/>
      <c r="R241" s="713"/>
      <c r="S241" s="2649"/>
      <c r="T241" s="2649"/>
      <c r="U241" s="2649"/>
      <c r="V241" s="715"/>
      <c r="W241" s="2664"/>
      <c r="X241" s="94"/>
      <c r="Y241" s="159"/>
      <c r="Z241" s="94"/>
      <c r="AA241" s="94"/>
      <c r="AB241" s="94"/>
      <c r="AC241" s="94"/>
      <c r="AD241" s="94"/>
      <c r="AE241" s="94"/>
      <c r="AF241" s="160"/>
      <c r="AG241" s="159"/>
      <c r="AH241" s="94"/>
      <c r="AI241" s="94"/>
      <c r="AJ241" s="94"/>
      <c r="AK241" s="160"/>
      <c r="AL241" s="2629"/>
      <c r="AM241" s="94"/>
      <c r="AN241" s="159"/>
      <c r="AO241" s="94"/>
      <c r="AP241" s="94"/>
      <c r="AQ241" s="94"/>
      <c r="AR241" s="94"/>
      <c r="AS241" s="94"/>
      <c r="AT241" s="94"/>
      <c r="AU241" s="160"/>
      <c r="AV241" s="159"/>
      <c r="AW241" s="94"/>
      <c r="AX241" s="94"/>
      <c r="AY241" s="94"/>
      <c r="AZ241" s="160"/>
      <c r="BA241" s="2629"/>
      <c r="BB241" s="2629"/>
      <c r="BC241" s="2629"/>
      <c r="BD241" s="2629"/>
      <c r="BE241" s="2629"/>
      <c r="BF241" s="2629"/>
      <c r="BG241" s="2629"/>
      <c r="BH241" s="2629"/>
      <c r="BI241" s="2629"/>
      <c r="BJ241" s="2629"/>
      <c r="BK241" s="2629"/>
      <c r="BL241" s="2629"/>
      <c r="BM241" s="2629"/>
      <c r="BN241" s="2629"/>
    </row>
    <row r="242" spans="1:66" s="98" customFormat="1" ht="15" customHeight="1">
      <c r="A242" s="99"/>
      <c r="B242" s="115"/>
      <c r="C242" s="116" t="s">
        <v>2755</v>
      </c>
      <c r="D242" s="116"/>
      <c r="E242" s="116"/>
      <c r="F242" s="116"/>
      <c r="G242" s="117"/>
      <c r="H242" s="117"/>
      <c r="I242" s="92"/>
      <c r="J242" s="619"/>
      <c r="K242" s="93"/>
      <c r="L242" s="93"/>
      <c r="M242" s="93"/>
      <c r="N242" s="93"/>
      <c r="O242" s="93"/>
      <c r="P242" s="93"/>
      <c r="Q242" s="618"/>
      <c r="R242" s="619"/>
      <c r="S242" s="93"/>
      <c r="T242" s="93"/>
      <c r="U242" s="93"/>
      <c r="V242" s="618"/>
      <c r="W242" s="2664"/>
      <c r="X242" s="93"/>
      <c r="Y242" s="619"/>
      <c r="Z242" s="93"/>
      <c r="AA242" s="93"/>
      <c r="AB242" s="93"/>
      <c r="AC242" s="93"/>
      <c r="AD242" s="93"/>
      <c r="AE242" s="93"/>
      <c r="AF242" s="618"/>
      <c r="AG242" s="619"/>
      <c r="AH242" s="93"/>
      <c r="AI242" s="93"/>
      <c r="AJ242" s="93"/>
      <c r="AK242" s="618"/>
      <c r="AL242" s="2629"/>
      <c r="AM242" s="93"/>
      <c r="AN242" s="619"/>
      <c r="AO242" s="93"/>
      <c r="AP242" s="93"/>
      <c r="AQ242" s="93"/>
      <c r="AR242" s="93"/>
      <c r="AS242" s="93"/>
      <c r="AT242" s="93"/>
      <c r="AU242" s="618"/>
      <c r="AV242" s="619"/>
      <c r="AW242" s="93"/>
      <c r="AX242" s="93"/>
      <c r="AY242" s="93"/>
      <c r="AZ242" s="618"/>
      <c r="BA242" s="2629"/>
      <c r="BB242" s="2629"/>
      <c r="BC242" s="2629"/>
      <c r="BD242" s="2629"/>
      <c r="BE242" s="2629"/>
      <c r="BF242" s="2629"/>
      <c r="BG242" s="2629"/>
      <c r="BH242" s="2629"/>
      <c r="BI242" s="2629"/>
      <c r="BJ242" s="2629"/>
      <c r="BK242" s="2629"/>
      <c r="BL242" s="2629"/>
      <c r="BM242" s="2629"/>
      <c r="BN242" s="2629"/>
    </row>
    <row r="243" spans="1:66" s="98" customFormat="1" ht="15" customHeight="1">
      <c r="A243" s="99"/>
      <c r="B243" s="161"/>
      <c r="C243" s="185"/>
      <c r="D243" s="116" t="s">
        <v>2521</v>
      </c>
      <c r="E243" s="116"/>
      <c r="F243" s="116"/>
      <c r="G243" s="117"/>
      <c r="H243" s="117"/>
      <c r="I243" s="117"/>
      <c r="J243" s="159"/>
      <c r="K243" s="94"/>
      <c r="L243" s="94"/>
      <c r="M243" s="94"/>
      <c r="N243" s="94"/>
      <c r="O243" s="94"/>
      <c r="P243" s="94"/>
      <c r="Q243" s="160"/>
      <c r="R243" s="159"/>
      <c r="S243" s="94"/>
      <c r="T243" s="94"/>
      <c r="U243" s="94"/>
      <c r="V243" s="160"/>
      <c r="W243" s="2664"/>
      <c r="X243" s="94"/>
      <c r="Y243" s="159"/>
      <c r="Z243" s="94"/>
      <c r="AA243" s="94"/>
      <c r="AB243" s="94"/>
      <c r="AC243" s="94"/>
      <c r="AD243" s="94"/>
      <c r="AE243" s="94"/>
      <c r="AF243" s="160"/>
      <c r="AG243" s="159"/>
      <c r="AH243" s="94"/>
      <c r="AI243" s="94"/>
      <c r="AJ243" s="94"/>
      <c r="AK243" s="160"/>
      <c r="AL243" s="2629"/>
      <c r="AM243" s="94"/>
      <c r="AN243" s="159"/>
      <c r="AO243" s="94"/>
      <c r="AP243" s="94"/>
      <c r="AQ243" s="94"/>
      <c r="AR243" s="94"/>
      <c r="AS243" s="94"/>
      <c r="AT243" s="94"/>
      <c r="AU243" s="160"/>
      <c r="AV243" s="159"/>
      <c r="AW243" s="94"/>
      <c r="AX243" s="94"/>
      <c r="AY243" s="94"/>
      <c r="AZ243" s="160"/>
      <c r="BA243" s="2629"/>
      <c r="BB243" s="2629"/>
      <c r="BC243" s="2629"/>
      <c r="BD243" s="2629"/>
      <c r="BE243" s="2629"/>
      <c r="BF243" s="2629"/>
      <c r="BG243" s="2629"/>
      <c r="BH243" s="2629"/>
      <c r="BI243" s="2629"/>
      <c r="BJ243" s="2629"/>
      <c r="BK243" s="2629"/>
      <c r="BL243" s="2629"/>
      <c r="BM243" s="2629"/>
      <c r="BN243" s="2629"/>
    </row>
    <row r="244" spans="1:66" s="98" customFormat="1" ht="15" customHeight="1">
      <c r="A244" s="99"/>
      <c r="B244" s="161"/>
      <c r="C244" s="185"/>
      <c r="D244" s="162"/>
      <c r="E244" s="230" t="s">
        <v>2787</v>
      </c>
      <c r="F244" s="230"/>
      <c r="G244" s="163"/>
      <c r="H244" s="163"/>
      <c r="I244" s="164" t="s">
        <v>498</v>
      </c>
      <c r="J244" s="143">
        <v>0</v>
      </c>
      <c r="K244" s="141">
        <v>0</v>
      </c>
      <c r="L244" s="141">
        <v>0</v>
      </c>
      <c r="M244" s="141">
        <v>0</v>
      </c>
      <c r="N244" s="141">
        <v>0</v>
      </c>
      <c r="O244" s="141">
        <v>0</v>
      </c>
      <c r="P244" s="141">
        <v>0</v>
      </c>
      <c r="Q244" s="144">
        <v>0</v>
      </c>
      <c r="R244" s="143">
        <v>0</v>
      </c>
      <c r="S244" s="141">
        <v>0</v>
      </c>
      <c r="T244" s="141">
        <v>0</v>
      </c>
      <c r="U244" s="141">
        <v>0</v>
      </c>
      <c r="V244" s="144">
        <v>0</v>
      </c>
      <c r="W244" s="2664"/>
      <c r="X244" s="607" t="s">
        <v>498</v>
      </c>
      <c r="Y244" s="165">
        <v>0</v>
      </c>
      <c r="Z244" s="166">
        <v>0</v>
      </c>
      <c r="AA244" s="166">
        <v>0</v>
      </c>
      <c r="AB244" s="166">
        <v>0</v>
      </c>
      <c r="AC244" s="166">
        <v>0</v>
      </c>
      <c r="AD244" s="166">
        <v>0</v>
      </c>
      <c r="AE244" s="166">
        <v>0</v>
      </c>
      <c r="AF244" s="167">
        <v>0</v>
      </c>
      <c r="AG244" s="165">
        <v>0</v>
      </c>
      <c r="AH244" s="166">
        <v>0</v>
      </c>
      <c r="AI244" s="166">
        <v>0</v>
      </c>
      <c r="AJ244" s="166">
        <v>0</v>
      </c>
      <c r="AK244" s="167">
        <v>0</v>
      </c>
      <c r="AL244" s="2629"/>
      <c r="AM244" s="607" t="s">
        <v>1876</v>
      </c>
      <c r="AN244" s="165">
        <v>0</v>
      </c>
      <c r="AO244" s="166">
        <v>0</v>
      </c>
      <c r="AP244" s="166">
        <v>0</v>
      </c>
      <c r="AQ244" s="166">
        <v>0</v>
      </c>
      <c r="AR244" s="166">
        <v>0</v>
      </c>
      <c r="AS244" s="166">
        <v>0</v>
      </c>
      <c r="AT244" s="166">
        <v>0</v>
      </c>
      <c r="AU244" s="167">
        <v>0</v>
      </c>
      <c r="AV244" s="165">
        <v>0</v>
      </c>
      <c r="AW244" s="166">
        <v>0</v>
      </c>
      <c r="AX244" s="166">
        <v>0</v>
      </c>
      <c r="AY244" s="166">
        <v>0</v>
      </c>
      <c r="AZ244" s="167">
        <v>0</v>
      </c>
      <c r="BA244" s="2629"/>
      <c r="BB244" s="2629"/>
      <c r="BC244" s="2629"/>
      <c r="BD244" s="2629"/>
      <c r="BE244" s="2629"/>
      <c r="BF244" s="2629"/>
      <c r="BG244" s="2629"/>
      <c r="BH244" s="2629"/>
      <c r="BI244" s="2629"/>
      <c r="BJ244" s="2629"/>
      <c r="BK244" s="2629"/>
      <c r="BL244" s="2629"/>
      <c r="BM244" s="2629"/>
      <c r="BN244" s="2629"/>
    </row>
    <row r="245" spans="1:66" s="98" customFormat="1" ht="15" customHeight="1">
      <c r="A245" s="99"/>
      <c r="B245" s="161"/>
      <c r="C245" s="185"/>
      <c r="D245" s="162"/>
      <c r="E245" s="162" t="s">
        <v>1555</v>
      </c>
      <c r="F245" s="162"/>
      <c r="G245" s="163"/>
      <c r="H245" s="163"/>
      <c r="I245" s="164" t="s">
        <v>498</v>
      </c>
      <c r="J245" s="143">
        <v>0</v>
      </c>
      <c r="K245" s="141">
        <v>0</v>
      </c>
      <c r="L245" s="141">
        <v>0</v>
      </c>
      <c r="M245" s="141">
        <v>0</v>
      </c>
      <c r="N245" s="141">
        <v>0</v>
      </c>
      <c r="O245" s="141">
        <v>0</v>
      </c>
      <c r="P245" s="141">
        <v>0</v>
      </c>
      <c r="Q245" s="144">
        <v>0</v>
      </c>
      <c r="R245" s="143">
        <v>0</v>
      </c>
      <c r="S245" s="141">
        <v>0</v>
      </c>
      <c r="T245" s="141">
        <v>0</v>
      </c>
      <c r="U245" s="141">
        <v>0</v>
      </c>
      <c r="V245" s="144">
        <v>0</v>
      </c>
      <c r="W245" s="2664"/>
      <c r="X245" s="607" t="s">
        <v>498</v>
      </c>
      <c r="Y245" s="165">
        <v>0</v>
      </c>
      <c r="Z245" s="166">
        <v>0</v>
      </c>
      <c r="AA245" s="166">
        <v>0</v>
      </c>
      <c r="AB245" s="166">
        <v>0</v>
      </c>
      <c r="AC245" s="166">
        <v>0</v>
      </c>
      <c r="AD245" s="166">
        <v>0</v>
      </c>
      <c r="AE245" s="166">
        <v>0</v>
      </c>
      <c r="AF245" s="167">
        <v>0</v>
      </c>
      <c r="AG245" s="165">
        <v>0</v>
      </c>
      <c r="AH245" s="166">
        <v>0</v>
      </c>
      <c r="AI245" s="166">
        <v>0</v>
      </c>
      <c r="AJ245" s="166">
        <v>0</v>
      </c>
      <c r="AK245" s="167">
        <v>0</v>
      </c>
      <c r="AL245" s="2629"/>
      <c r="AM245" s="607" t="s">
        <v>1876</v>
      </c>
      <c r="AN245" s="165">
        <v>0</v>
      </c>
      <c r="AO245" s="166">
        <v>0</v>
      </c>
      <c r="AP245" s="166">
        <v>0</v>
      </c>
      <c r="AQ245" s="166">
        <v>0</v>
      </c>
      <c r="AR245" s="166">
        <v>0</v>
      </c>
      <c r="AS245" s="166">
        <v>0</v>
      </c>
      <c r="AT245" s="166">
        <v>0</v>
      </c>
      <c r="AU245" s="167">
        <v>0</v>
      </c>
      <c r="AV245" s="165">
        <v>0</v>
      </c>
      <c r="AW245" s="166">
        <v>0</v>
      </c>
      <c r="AX245" s="166">
        <v>0</v>
      </c>
      <c r="AY245" s="166">
        <v>0</v>
      </c>
      <c r="AZ245" s="167">
        <v>0</v>
      </c>
      <c r="BA245" s="2629"/>
      <c r="BB245" s="2629"/>
      <c r="BC245" s="2629"/>
      <c r="BD245" s="2629"/>
      <c r="BE245" s="2629"/>
      <c r="BF245" s="2629"/>
      <c r="BG245" s="2629"/>
      <c r="BH245" s="2629"/>
      <c r="BI245" s="2629"/>
      <c r="BJ245" s="2629"/>
      <c r="BK245" s="2629"/>
      <c r="BL245" s="2629"/>
      <c r="BM245" s="2629"/>
      <c r="BN245" s="2629"/>
    </row>
    <row r="246" spans="1:66" s="98" customFormat="1" ht="15" customHeight="1">
      <c r="A246" s="99"/>
      <c r="B246" s="161"/>
      <c r="C246" s="185"/>
      <c r="D246" s="116" t="s">
        <v>2427</v>
      </c>
      <c r="E246" s="116"/>
      <c r="F246" s="116"/>
      <c r="G246" s="117"/>
      <c r="H246" s="117"/>
      <c r="I246" s="117"/>
      <c r="J246" s="713"/>
      <c r="K246" s="2649"/>
      <c r="L246" s="2649"/>
      <c r="M246" s="2649"/>
      <c r="N246" s="2649"/>
      <c r="O246" s="2649"/>
      <c r="P246" s="2649"/>
      <c r="Q246" s="715"/>
      <c r="R246" s="713"/>
      <c r="S246" s="2649"/>
      <c r="T246" s="2649"/>
      <c r="U246" s="2649"/>
      <c r="V246" s="715"/>
      <c r="W246" s="2664"/>
      <c r="X246" s="94"/>
      <c r="Y246" s="159"/>
      <c r="Z246" s="94"/>
      <c r="AA246" s="94"/>
      <c r="AB246" s="94"/>
      <c r="AC246" s="94"/>
      <c r="AD246" s="94"/>
      <c r="AE246" s="94"/>
      <c r="AF246" s="160"/>
      <c r="AG246" s="159"/>
      <c r="AH246" s="94"/>
      <c r="AI246" s="94"/>
      <c r="AJ246" s="94"/>
      <c r="AK246" s="160"/>
      <c r="AL246" s="2629"/>
      <c r="AM246" s="94"/>
      <c r="AN246" s="159"/>
      <c r="AO246" s="94"/>
      <c r="AP246" s="94"/>
      <c r="AQ246" s="94"/>
      <c r="AR246" s="94"/>
      <c r="AS246" s="94"/>
      <c r="AT246" s="94"/>
      <c r="AU246" s="160"/>
      <c r="AV246" s="159"/>
      <c r="AW246" s="94"/>
      <c r="AX246" s="94"/>
      <c r="AY246" s="94"/>
      <c r="AZ246" s="160"/>
      <c r="BA246" s="2629"/>
      <c r="BB246" s="2629"/>
      <c r="BC246" s="2629"/>
      <c r="BD246" s="2629"/>
      <c r="BE246" s="2629"/>
      <c r="BF246" s="2629"/>
      <c r="BG246" s="2629"/>
      <c r="BH246" s="2629"/>
      <c r="BI246" s="2629"/>
      <c r="BJ246" s="2629"/>
      <c r="BK246" s="2629"/>
      <c r="BL246" s="2629"/>
      <c r="BM246" s="2629"/>
      <c r="BN246" s="2629"/>
    </row>
    <row r="247" spans="1:66" s="98" customFormat="1" ht="15" customHeight="1">
      <c r="A247" s="99"/>
      <c r="B247" s="161"/>
      <c r="C247" s="185"/>
      <c r="D247" s="162"/>
      <c r="E247" s="230" t="s">
        <v>2787</v>
      </c>
      <c r="F247" s="230"/>
      <c r="G247" s="163"/>
      <c r="H247" s="163"/>
      <c r="I247" s="164" t="s">
        <v>498</v>
      </c>
      <c r="J247" s="143">
        <v>0</v>
      </c>
      <c r="K247" s="141">
        <v>0</v>
      </c>
      <c r="L247" s="141">
        <v>0</v>
      </c>
      <c r="M247" s="141">
        <v>0</v>
      </c>
      <c r="N247" s="141">
        <v>0</v>
      </c>
      <c r="O247" s="141">
        <v>0</v>
      </c>
      <c r="P247" s="141">
        <v>0</v>
      </c>
      <c r="Q247" s="144">
        <v>0</v>
      </c>
      <c r="R247" s="143">
        <v>0</v>
      </c>
      <c r="S247" s="141">
        <v>0</v>
      </c>
      <c r="T247" s="141">
        <v>0</v>
      </c>
      <c r="U247" s="141">
        <v>0</v>
      </c>
      <c r="V247" s="144">
        <v>0</v>
      </c>
      <c r="W247" s="2664"/>
      <c r="X247" s="607" t="s">
        <v>498</v>
      </c>
      <c r="Y247" s="165">
        <v>0</v>
      </c>
      <c r="Z247" s="166">
        <v>0</v>
      </c>
      <c r="AA247" s="166">
        <v>0</v>
      </c>
      <c r="AB247" s="166">
        <v>0</v>
      </c>
      <c r="AC247" s="166">
        <v>0</v>
      </c>
      <c r="AD247" s="166">
        <v>0</v>
      </c>
      <c r="AE247" s="166">
        <v>0</v>
      </c>
      <c r="AF247" s="167">
        <v>0</v>
      </c>
      <c r="AG247" s="165">
        <v>0</v>
      </c>
      <c r="AH247" s="166">
        <v>0</v>
      </c>
      <c r="AI247" s="166">
        <v>0</v>
      </c>
      <c r="AJ247" s="166">
        <v>0</v>
      </c>
      <c r="AK247" s="167">
        <v>0</v>
      </c>
      <c r="AL247" s="2629"/>
      <c r="AM247" s="607" t="s">
        <v>1876</v>
      </c>
      <c r="AN247" s="165">
        <v>0</v>
      </c>
      <c r="AO247" s="166">
        <v>0</v>
      </c>
      <c r="AP247" s="166">
        <v>0</v>
      </c>
      <c r="AQ247" s="166">
        <v>0</v>
      </c>
      <c r="AR247" s="166">
        <v>0</v>
      </c>
      <c r="AS247" s="166">
        <v>0</v>
      </c>
      <c r="AT247" s="166">
        <v>0</v>
      </c>
      <c r="AU247" s="167">
        <v>0</v>
      </c>
      <c r="AV247" s="165">
        <v>0</v>
      </c>
      <c r="AW247" s="166">
        <v>0</v>
      </c>
      <c r="AX247" s="166">
        <v>0</v>
      </c>
      <c r="AY247" s="166">
        <v>0</v>
      </c>
      <c r="AZ247" s="167">
        <v>0</v>
      </c>
      <c r="BA247" s="2629"/>
      <c r="BB247" s="2629"/>
      <c r="BC247" s="2629"/>
      <c r="BD247" s="2629"/>
      <c r="BE247" s="2629"/>
      <c r="BF247" s="2629"/>
      <c r="BG247" s="2629"/>
      <c r="BH247" s="2629"/>
      <c r="BI247" s="2629"/>
      <c r="BJ247" s="2629"/>
      <c r="BK247" s="2629"/>
      <c r="BL247" s="2629"/>
      <c r="BM247" s="2629"/>
      <c r="BN247" s="2629"/>
    </row>
    <row r="248" spans="1:66" s="98" customFormat="1" ht="15" customHeight="1">
      <c r="A248" s="99"/>
      <c r="B248" s="161"/>
      <c r="C248" s="185"/>
      <c r="D248" s="162"/>
      <c r="E248" s="162" t="s">
        <v>1555</v>
      </c>
      <c r="F248" s="162"/>
      <c r="G248" s="163"/>
      <c r="H248" s="163"/>
      <c r="I248" s="164" t="s">
        <v>498</v>
      </c>
      <c r="J248" s="143">
        <v>0</v>
      </c>
      <c r="K248" s="141">
        <v>0</v>
      </c>
      <c r="L248" s="141">
        <v>0</v>
      </c>
      <c r="M248" s="141">
        <v>0</v>
      </c>
      <c r="N248" s="141">
        <v>0</v>
      </c>
      <c r="O248" s="141">
        <v>0</v>
      </c>
      <c r="P248" s="141">
        <v>0</v>
      </c>
      <c r="Q248" s="144">
        <v>0</v>
      </c>
      <c r="R248" s="143">
        <v>0</v>
      </c>
      <c r="S248" s="141">
        <v>0</v>
      </c>
      <c r="T248" s="141">
        <v>0</v>
      </c>
      <c r="U248" s="141">
        <v>0</v>
      </c>
      <c r="V248" s="144">
        <v>0</v>
      </c>
      <c r="W248" s="2664"/>
      <c r="X248" s="607" t="s">
        <v>498</v>
      </c>
      <c r="Y248" s="165">
        <v>0</v>
      </c>
      <c r="Z248" s="166">
        <v>0</v>
      </c>
      <c r="AA248" s="166">
        <v>0</v>
      </c>
      <c r="AB248" s="166">
        <v>0</v>
      </c>
      <c r="AC248" s="166">
        <v>0</v>
      </c>
      <c r="AD248" s="166">
        <v>0</v>
      </c>
      <c r="AE248" s="166">
        <v>0</v>
      </c>
      <c r="AF248" s="167">
        <v>0</v>
      </c>
      <c r="AG248" s="165">
        <v>0</v>
      </c>
      <c r="AH248" s="166">
        <v>0</v>
      </c>
      <c r="AI248" s="166">
        <v>0</v>
      </c>
      <c r="AJ248" s="166">
        <v>0</v>
      </c>
      <c r="AK248" s="167">
        <v>0</v>
      </c>
      <c r="AL248" s="2629"/>
      <c r="AM248" s="607" t="s">
        <v>1876</v>
      </c>
      <c r="AN248" s="165">
        <v>0</v>
      </c>
      <c r="AO248" s="166">
        <v>0</v>
      </c>
      <c r="AP248" s="166">
        <v>0</v>
      </c>
      <c r="AQ248" s="166">
        <v>0</v>
      </c>
      <c r="AR248" s="166">
        <v>0</v>
      </c>
      <c r="AS248" s="166">
        <v>0</v>
      </c>
      <c r="AT248" s="166">
        <v>0</v>
      </c>
      <c r="AU248" s="167">
        <v>0</v>
      </c>
      <c r="AV248" s="165">
        <v>0</v>
      </c>
      <c r="AW248" s="166">
        <v>0</v>
      </c>
      <c r="AX248" s="166">
        <v>0</v>
      </c>
      <c r="AY248" s="166">
        <v>0</v>
      </c>
      <c r="AZ248" s="167">
        <v>0</v>
      </c>
      <c r="BA248" s="2629"/>
      <c r="BB248" s="2629"/>
      <c r="BC248" s="2629"/>
      <c r="BD248" s="2629"/>
      <c r="BE248" s="2629"/>
      <c r="BF248" s="2629"/>
      <c r="BG248" s="2629"/>
      <c r="BH248" s="2629"/>
      <c r="BI248" s="2629"/>
      <c r="BJ248" s="2629"/>
      <c r="BK248" s="2629"/>
      <c r="BL248" s="2629"/>
      <c r="BM248" s="2629"/>
      <c r="BN248" s="2629"/>
    </row>
    <row r="249" spans="1:66" s="98" customFormat="1" ht="15" customHeight="1">
      <c r="A249" s="99"/>
      <c r="B249" s="161"/>
      <c r="C249" s="116"/>
      <c r="D249" s="116"/>
      <c r="E249" s="116"/>
      <c r="F249" s="116"/>
      <c r="G249" s="117"/>
      <c r="H249" s="117"/>
      <c r="I249" s="117"/>
      <c r="J249" s="713"/>
      <c r="K249" s="2649"/>
      <c r="L249" s="2649"/>
      <c r="M249" s="2649"/>
      <c r="N249" s="2649"/>
      <c r="O249" s="2649"/>
      <c r="P249" s="2649"/>
      <c r="Q249" s="715"/>
      <c r="R249" s="713"/>
      <c r="S249" s="2649"/>
      <c r="T249" s="2649"/>
      <c r="U249" s="2649"/>
      <c r="V249" s="715"/>
      <c r="W249" s="2664"/>
      <c r="X249" s="94"/>
      <c r="Y249" s="159"/>
      <c r="Z249" s="94"/>
      <c r="AA249" s="94"/>
      <c r="AB249" s="94"/>
      <c r="AC249" s="94"/>
      <c r="AD249" s="94"/>
      <c r="AE249" s="94"/>
      <c r="AF249" s="160"/>
      <c r="AG249" s="159"/>
      <c r="AH249" s="94"/>
      <c r="AI249" s="94"/>
      <c r="AJ249" s="94"/>
      <c r="AK249" s="160"/>
      <c r="AL249" s="2629"/>
      <c r="AM249" s="94"/>
      <c r="AN249" s="159"/>
      <c r="AO249" s="94"/>
      <c r="AP249" s="94"/>
      <c r="AQ249" s="94"/>
      <c r="AR249" s="94"/>
      <c r="AS249" s="94"/>
      <c r="AT249" s="94"/>
      <c r="AU249" s="160"/>
      <c r="AV249" s="159"/>
      <c r="AW249" s="94"/>
      <c r="AX249" s="94"/>
      <c r="AY249" s="94"/>
      <c r="AZ249" s="160"/>
      <c r="BA249" s="2629"/>
      <c r="BB249" s="2629"/>
      <c r="BC249" s="2629"/>
      <c r="BD249" s="2629"/>
      <c r="BE249" s="2629"/>
      <c r="BF249" s="2629"/>
      <c r="BG249" s="2629"/>
      <c r="BH249" s="2629"/>
      <c r="BI249" s="2629"/>
      <c r="BJ249" s="2629"/>
      <c r="BK249" s="2629"/>
      <c r="BL249" s="2629"/>
      <c r="BM249" s="2629"/>
      <c r="BN249" s="2629"/>
    </row>
    <row r="250" spans="1:66" s="98" customFormat="1" ht="15" customHeight="1">
      <c r="A250" s="99"/>
      <c r="B250" s="115"/>
      <c r="C250" s="116" t="s">
        <v>2774</v>
      </c>
      <c r="D250" s="116"/>
      <c r="E250" s="116"/>
      <c r="F250" s="116"/>
      <c r="G250" s="117"/>
      <c r="H250" s="117"/>
      <c r="I250" s="92"/>
      <c r="J250" s="619"/>
      <c r="K250" s="93"/>
      <c r="L250" s="93"/>
      <c r="M250" s="93"/>
      <c r="N250" s="93"/>
      <c r="O250" s="93"/>
      <c r="P250" s="93"/>
      <c r="Q250" s="618"/>
      <c r="R250" s="619"/>
      <c r="S250" s="93"/>
      <c r="T250" s="93"/>
      <c r="U250" s="93"/>
      <c r="V250" s="618"/>
      <c r="W250" s="2664"/>
      <c r="X250" s="93"/>
      <c r="Y250" s="619"/>
      <c r="Z250" s="93"/>
      <c r="AA250" s="93"/>
      <c r="AB250" s="93"/>
      <c r="AC250" s="93"/>
      <c r="AD250" s="93"/>
      <c r="AE250" s="93"/>
      <c r="AF250" s="618"/>
      <c r="AG250" s="619"/>
      <c r="AH250" s="93"/>
      <c r="AI250" s="93"/>
      <c r="AJ250" s="93"/>
      <c r="AK250" s="618"/>
      <c r="AL250" s="2629"/>
      <c r="AM250" s="93"/>
      <c r="AN250" s="619"/>
      <c r="AO250" s="93"/>
      <c r="AP250" s="93"/>
      <c r="AQ250" s="93"/>
      <c r="AR250" s="93"/>
      <c r="AS250" s="93"/>
      <c r="AT250" s="93"/>
      <c r="AU250" s="618"/>
      <c r="AV250" s="619"/>
      <c r="AW250" s="93"/>
      <c r="AX250" s="93"/>
      <c r="AY250" s="93"/>
      <c r="AZ250" s="618"/>
      <c r="BA250" s="2629"/>
      <c r="BB250" s="2629"/>
      <c r="BC250" s="2629"/>
      <c r="BD250" s="2629"/>
      <c r="BE250" s="2629"/>
      <c r="BF250" s="2629"/>
      <c r="BG250" s="2629"/>
      <c r="BH250" s="2629"/>
      <c r="BI250" s="2629"/>
      <c r="BJ250" s="2629"/>
      <c r="BK250" s="2629"/>
      <c r="BL250" s="2629"/>
      <c r="BM250" s="2629"/>
      <c r="BN250" s="2629"/>
    </row>
    <row r="251" spans="1:66" s="98" customFormat="1" ht="15" customHeight="1">
      <c r="A251" s="99"/>
      <c r="B251" s="161"/>
      <c r="C251" s="185"/>
      <c r="D251" s="116" t="s">
        <v>2521</v>
      </c>
      <c r="E251" s="116"/>
      <c r="F251" s="116"/>
      <c r="G251" s="117"/>
      <c r="H251" s="117"/>
      <c r="I251" s="117"/>
      <c r="J251" s="159"/>
      <c r="K251" s="94"/>
      <c r="L251" s="94"/>
      <c r="M251" s="94"/>
      <c r="N251" s="94"/>
      <c r="O251" s="94"/>
      <c r="P251" s="94"/>
      <c r="Q251" s="160"/>
      <c r="R251" s="159"/>
      <c r="S251" s="94"/>
      <c r="T251" s="94"/>
      <c r="U251" s="94"/>
      <c r="V251" s="160"/>
      <c r="W251" s="2664"/>
      <c r="X251" s="94"/>
      <c r="Y251" s="159"/>
      <c r="Z251" s="94"/>
      <c r="AA251" s="94"/>
      <c r="AB251" s="94"/>
      <c r="AC251" s="94"/>
      <c r="AD251" s="94"/>
      <c r="AE251" s="94"/>
      <c r="AF251" s="160"/>
      <c r="AG251" s="159"/>
      <c r="AH251" s="94"/>
      <c r="AI251" s="94"/>
      <c r="AJ251" s="94"/>
      <c r="AK251" s="160"/>
      <c r="AL251" s="2629"/>
      <c r="AM251" s="94"/>
      <c r="AN251" s="159"/>
      <c r="AO251" s="94"/>
      <c r="AP251" s="94"/>
      <c r="AQ251" s="94"/>
      <c r="AR251" s="94"/>
      <c r="AS251" s="94"/>
      <c r="AT251" s="94"/>
      <c r="AU251" s="160"/>
      <c r="AV251" s="159"/>
      <c r="AW251" s="94"/>
      <c r="AX251" s="94"/>
      <c r="AY251" s="94"/>
      <c r="AZ251" s="160"/>
      <c r="BA251" s="2629"/>
      <c r="BB251" s="2629"/>
      <c r="BC251" s="2629"/>
      <c r="BD251" s="2629"/>
      <c r="BE251" s="2629"/>
      <c r="BF251" s="2629"/>
      <c r="BG251" s="2629"/>
      <c r="BH251" s="2629"/>
      <c r="BI251" s="2629"/>
      <c r="BJ251" s="2629"/>
      <c r="BK251" s="2629"/>
      <c r="BL251" s="2629"/>
      <c r="BM251" s="2629"/>
      <c r="BN251" s="2629"/>
    </row>
    <row r="252" spans="1:66" s="98" customFormat="1" ht="15" customHeight="1">
      <c r="A252" s="99"/>
      <c r="B252" s="161"/>
      <c r="C252" s="185"/>
      <c r="D252" s="162"/>
      <c r="E252" s="230" t="s">
        <v>2787</v>
      </c>
      <c r="F252" s="230"/>
      <c r="G252" s="163"/>
      <c r="H252" s="163"/>
      <c r="I252" s="164" t="s">
        <v>498</v>
      </c>
      <c r="J252" s="143">
        <v>0</v>
      </c>
      <c r="K252" s="141">
        <v>0</v>
      </c>
      <c r="L252" s="141">
        <v>0</v>
      </c>
      <c r="M252" s="141">
        <v>0</v>
      </c>
      <c r="N252" s="141">
        <v>0</v>
      </c>
      <c r="O252" s="141">
        <v>0</v>
      </c>
      <c r="P252" s="141">
        <v>0</v>
      </c>
      <c r="Q252" s="144">
        <v>0</v>
      </c>
      <c r="R252" s="143">
        <v>0</v>
      </c>
      <c r="S252" s="141">
        <v>0</v>
      </c>
      <c r="T252" s="141">
        <v>0</v>
      </c>
      <c r="U252" s="141">
        <v>0</v>
      </c>
      <c r="V252" s="144">
        <v>0</v>
      </c>
      <c r="W252" s="2664"/>
      <c r="X252" s="607" t="s">
        <v>498</v>
      </c>
      <c r="Y252" s="165">
        <v>0</v>
      </c>
      <c r="Z252" s="166">
        <v>0</v>
      </c>
      <c r="AA252" s="166">
        <v>0</v>
      </c>
      <c r="AB252" s="166">
        <v>0</v>
      </c>
      <c r="AC252" s="166">
        <v>0</v>
      </c>
      <c r="AD252" s="166">
        <v>0</v>
      </c>
      <c r="AE252" s="166">
        <v>0</v>
      </c>
      <c r="AF252" s="167">
        <v>0</v>
      </c>
      <c r="AG252" s="165">
        <v>0</v>
      </c>
      <c r="AH252" s="166">
        <v>0</v>
      </c>
      <c r="AI252" s="166">
        <v>0</v>
      </c>
      <c r="AJ252" s="166">
        <v>0</v>
      </c>
      <c r="AK252" s="167">
        <v>0</v>
      </c>
      <c r="AL252" s="2629"/>
      <c r="AM252" s="607" t="s">
        <v>1876</v>
      </c>
      <c r="AN252" s="165">
        <v>0</v>
      </c>
      <c r="AO252" s="166">
        <v>0</v>
      </c>
      <c r="AP252" s="166">
        <v>0</v>
      </c>
      <c r="AQ252" s="166">
        <v>0</v>
      </c>
      <c r="AR252" s="166">
        <v>0</v>
      </c>
      <c r="AS252" s="166">
        <v>0</v>
      </c>
      <c r="AT252" s="166">
        <v>0</v>
      </c>
      <c r="AU252" s="167">
        <v>0</v>
      </c>
      <c r="AV252" s="165">
        <v>0</v>
      </c>
      <c r="AW252" s="166">
        <v>0</v>
      </c>
      <c r="AX252" s="166">
        <v>0</v>
      </c>
      <c r="AY252" s="166">
        <v>0</v>
      </c>
      <c r="AZ252" s="167">
        <v>0</v>
      </c>
      <c r="BA252" s="2629"/>
      <c r="BB252" s="2629"/>
      <c r="BC252" s="2629"/>
      <c r="BD252" s="2629"/>
      <c r="BE252" s="2629"/>
      <c r="BF252" s="2629"/>
      <c r="BG252" s="2629"/>
      <c r="BH252" s="2629"/>
      <c r="BI252" s="2629"/>
      <c r="BJ252" s="2629"/>
      <c r="BK252" s="2629"/>
      <c r="BL252" s="2629"/>
      <c r="BM252" s="2629"/>
      <c r="BN252" s="2629"/>
    </row>
    <row r="253" spans="1:66" s="98" customFormat="1" ht="15" customHeight="1">
      <c r="A253" s="99"/>
      <c r="B253" s="161"/>
      <c r="C253" s="185"/>
      <c r="D253" s="162"/>
      <c r="E253" s="162" t="s">
        <v>1555</v>
      </c>
      <c r="F253" s="162"/>
      <c r="G253" s="163"/>
      <c r="H253" s="163"/>
      <c r="I253" s="164" t="s">
        <v>498</v>
      </c>
      <c r="J253" s="143">
        <v>0</v>
      </c>
      <c r="K253" s="141">
        <v>0</v>
      </c>
      <c r="L253" s="141">
        <v>0</v>
      </c>
      <c r="M253" s="141">
        <v>0</v>
      </c>
      <c r="N253" s="141">
        <v>0</v>
      </c>
      <c r="O253" s="141">
        <v>0</v>
      </c>
      <c r="P253" s="141">
        <v>0</v>
      </c>
      <c r="Q253" s="144">
        <v>0</v>
      </c>
      <c r="R253" s="143">
        <v>0</v>
      </c>
      <c r="S253" s="141">
        <v>0</v>
      </c>
      <c r="T253" s="141">
        <v>0</v>
      </c>
      <c r="U253" s="141">
        <v>0</v>
      </c>
      <c r="V253" s="144">
        <v>0</v>
      </c>
      <c r="W253" s="2664"/>
      <c r="X253" s="607" t="s">
        <v>498</v>
      </c>
      <c r="Y253" s="165">
        <v>0</v>
      </c>
      <c r="Z253" s="166">
        <v>0</v>
      </c>
      <c r="AA253" s="166">
        <v>0</v>
      </c>
      <c r="AB253" s="166">
        <v>0</v>
      </c>
      <c r="AC253" s="166">
        <v>0</v>
      </c>
      <c r="AD253" s="166">
        <v>0</v>
      </c>
      <c r="AE253" s="166">
        <v>0</v>
      </c>
      <c r="AF253" s="167">
        <v>0</v>
      </c>
      <c r="AG253" s="165">
        <v>0</v>
      </c>
      <c r="AH253" s="166">
        <v>0</v>
      </c>
      <c r="AI253" s="166">
        <v>0</v>
      </c>
      <c r="AJ253" s="166">
        <v>0</v>
      </c>
      <c r="AK253" s="167">
        <v>0</v>
      </c>
      <c r="AL253" s="2629"/>
      <c r="AM253" s="607" t="s">
        <v>1876</v>
      </c>
      <c r="AN253" s="165">
        <v>0</v>
      </c>
      <c r="AO253" s="166">
        <v>0</v>
      </c>
      <c r="AP253" s="166">
        <v>0</v>
      </c>
      <c r="AQ253" s="166">
        <v>0</v>
      </c>
      <c r="AR253" s="166">
        <v>0</v>
      </c>
      <c r="AS253" s="166">
        <v>0</v>
      </c>
      <c r="AT253" s="166">
        <v>0</v>
      </c>
      <c r="AU253" s="167">
        <v>0</v>
      </c>
      <c r="AV253" s="165">
        <v>0</v>
      </c>
      <c r="AW253" s="166">
        <v>0</v>
      </c>
      <c r="AX253" s="166">
        <v>0</v>
      </c>
      <c r="AY253" s="166">
        <v>0</v>
      </c>
      <c r="AZ253" s="167">
        <v>0</v>
      </c>
      <c r="BA253" s="2629"/>
      <c r="BB253" s="2629"/>
      <c r="BC253" s="2629"/>
      <c r="BD253" s="2629"/>
      <c r="BE253" s="2629"/>
      <c r="BF253" s="2629"/>
      <c r="BG253" s="2629"/>
      <c r="BH253" s="2629"/>
      <c r="BI253" s="2629"/>
      <c r="BJ253" s="2629"/>
      <c r="BK253" s="2629"/>
      <c r="BL253" s="2629"/>
      <c r="BM253" s="2629"/>
      <c r="BN253" s="2629"/>
    </row>
    <row r="254" spans="1:66" s="98" customFormat="1" ht="15" customHeight="1">
      <c r="A254" s="99"/>
      <c r="B254" s="161"/>
      <c r="C254" s="185"/>
      <c r="D254" s="116" t="s">
        <v>2427</v>
      </c>
      <c r="E254" s="116"/>
      <c r="F254" s="116"/>
      <c r="G254" s="117"/>
      <c r="H254" s="117"/>
      <c r="I254" s="117"/>
      <c r="J254" s="713"/>
      <c r="K254" s="2649"/>
      <c r="L254" s="2649"/>
      <c r="M254" s="2649"/>
      <c r="N254" s="2649"/>
      <c r="O254" s="2649"/>
      <c r="P254" s="2649"/>
      <c r="Q254" s="715"/>
      <c r="R254" s="713"/>
      <c r="S254" s="2649"/>
      <c r="T254" s="2649"/>
      <c r="U254" s="2649"/>
      <c r="V254" s="715"/>
      <c r="W254" s="2664"/>
      <c r="X254" s="94"/>
      <c r="Y254" s="159"/>
      <c r="Z254" s="94"/>
      <c r="AA254" s="94"/>
      <c r="AB254" s="94"/>
      <c r="AC254" s="94"/>
      <c r="AD254" s="94"/>
      <c r="AE254" s="94"/>
      <c r="AF254" s="160"/>
      <c r="AG254" s="159"/>
      <c r="AH254" s="94"/>
      <c r="AI254" s="94"/>
      <c r="AJ254" s="94"/>
      <c r="AK254" s="160"/>
      <c r="AL254" s="2629"/>
      <c r="AM254" s="94"/>
      <c r="AN254" s="159"/>
      <c r="AO254" s="94"/>
      <c r="AP254" s="94"/>
      <c r="AQ254" s="94"/>
      <c r="AR254" s="94"/>
      <c r="AS254" s="94"/>
      <c r="AT254" s="94"/>
      <c r="AU254" s="160"/>
      <c r="AV254" s="159"/>
      <c r="AW254" s="94"/>
      <c r="AX254" s="94"/>
      <c r="AY254" s="94"/>
      <c r="AZ254" s="160"/>
      <c r="BA254" s="2629"/>
      <c r="BB254" s="2629"/>
      <c r="BC254" s="2629"/>
      <c r="BD254" s="2629"/>
      <c r="BE254" s="2629"/>
      <c r="BF254" s="2629"/>
      <c r="BG254" s="2629"/>
      <c r="BH254" s="2629"/>
      <c r="BI254" s="2629"/>
      <c r="BJ254" s="2629"/>
      <c r="BK254" s="2629"/>
      <c r="BL254" s="2629"/>
      <c r="BM254" s="2629"/>
      <c r="BN254" s="2629"/>
    </row>
    <row r="255" spans="1:66" s="98" customFormat="1" ht="15" customHeight="1">
      <c r="A255" s="99"/>
      <c r="B255" s="161"/>
      <c r="C255" s="185"/>
      <c r="D255" s="162"/>
      <c r="E255" s="230" t="s">
        <v>2787</v>
      </c>
      <c r="F255" s="230"/>
      <c r="G255" s="163"/>
      <c r="H255" s="163"/>
      <c r="I255" s="164" t="s">
        <v>498</v>
      </c>
      <c r="J255" s="143">
        <v>0</v>
      </c>
      <c r="K255" s="141">
        <v>0</v>
      </c>
      <c r="L255" s="141">
        <v>0</v>
      </c>
      <c r="M255" s="141">
        <v>0</v>
      </c>
      <c r="N255" s="141">
        <v>0</v>
      </c>
      <c r="O255" s="141">
        <v>0</v>
      </c>
      <c r="P255" s="141">
        <v>0</v>
      </c>
      <c r="Q255" s="144">
        <v>0</v>
      </c>
      <c r="R255" s="143">
        <v>0</v>
      </c>
      <c r="S255" s="141">
        <v>0</v>
      </c>
      <c r="T255" s="141">
        <v>0</v>
      </c>
      <c r="U255" s="141">
        <v>0</v>
      </c>
      <c r="V255" s="144">
        <v>0</v>
      </c>
      <c r="W255" s="2664"/>
      <c r="X255" s="607" t="s">
        <v>498</v>
      </c>
      <c r="Y255" s="165">
        <v>0</v>
      </c>
      <c r="Z255" s="166">
        <v>0</v>
      </c>
      <c r="AA255" s="166">
        <v>0</v>
      </c>
      <c r="AB255" s="166">
        <v>0</v>
      </c>
      <c r="AC255" s="166">
        <v>0</v>
      </c>
      <c r="AD255" s="166">
        <v>0</v>
      </c>
      <c r="AE255" s="166">
        <v>0</v>
      </c>
      <c r="AF255" s="167">
        <v>0</v>
      </c>
      <c r="AG255" s="165">
        <v>0</v>
      </c>
      <c r="AH255" s="166">
        <v>0</v>
      </c>
      <c r="AI255" s="166">
        <v>0</v>
      </c>
      <c r="AJ255" s="166">
        <v>0</v>
      </c>
      <c r="AK255" s="167">
        <v>0</v>
      </c>
      <c r="AL255" s="2629"/>
      <c r="AM255" s="607" t="s">
        <v>1876</v>
      </c>
      <c r="AN255" s="165">
        <v>0</v>
      </c>
      <c r="AO255" s="166">
        <v>0</v>
      </c>
      <c r="AP255" s="166">
        <v>0</v>
      </c>
      <c r="AQ255" s="166">
        <v>0</v>
      </c>
      <c r="AR255" s="166">
        <v>0</v>
      </c>
      <c r="AS255" s="166">
        <v>0</v>
      </c>
      <c r="AT255" s="166">
        <v>0</v>
      </c>
      <c r="AU255" s="167">
        <v>0</v>
      </c>
      <c r="AV255" s="165">
        <v>0</v>
      </c>
      <c r="AW255" s="166">
        <v>0</v>
      </c>
      <c r="AX255" s="166">
        <v>0</v>
      </c>
      <c r="AY255" s="166">
        <v>0</v>
      </c>
      <c r="AZ255" s="167">
        <v>0</v>
      </c>
      <c r="BA255" s="2629"/>
      <c r="BB255" s="2629"/>
      <c r="BC255" s="2629"/>
      <c r="BD255" s="2629"/>
      <c r="BE255" s="2629"/>
      <c r="BF255" s="2629"/>
      <c r="BG255" s="2629"/>
      <c r="BH255" s="2629"/>
      <c r="BI255" s="2629"/>
      <c r="BJ255" s="2629"/>
      <c r="BK255" s="2629"/>
      <c r="BL255" s="2629"/>
      <c r="BM255" s="2629"/>
      <c r="BN255" s="2629"/>
    </row>
    <row r="256" spans="1:66" s="98" customFormat="1" ht="15" customHeight="1">
      <c r="A256" s="99"/>
      <c r="B256" s="161"/>
      <c r="C256" s="185"/>
      <c r="D256" s="162"/>
      <c r="E256" s="162" t="s">
        <v>1555</v>
      </c>
      <c r="F256" s="162"/>
      <c r="G256" s="163"/>
      <c r="H256" s="163"/>
      <c r="I256" s="164" t="s">
        <v>498</v>
      </c>
      <c r="J256" s="143">
        <v>0</v>
      </c>
      <c r="K256" s="141">
        <v>0</v>
      </c>
      <c r="L256" s="141">
        <v>0</v>
      </c>
      <c r="M256" s="141">
        <v>0</v>
      </c>
      <c r="N256" s="141">
        <v>0</v>
      </c>
      <c r="O256" s="141">
        <v>0</v>
      </c>
      <c r="P256" s="141">
        <v>0</v>
      </c>
      <c r="Q256" s="144">
        <v>0</v>
      </c>
      <c r="R256" s="143">
        <v>0</v>
      </c>
      <c r="S256" s="141">
        <v>0</v>
      </c>
      <c r="T256" s="141">
        <v>0</v>
      </c>
      <c r="U256" s="141">
        <v>0</v>
      </c>
      <c r="V256" s="144">
        <v>0</v>
      </c>
      <c r="W256" s="2664"/>
      <c r="X256" s="607" t="s">
        <v>498</v>
      </c>
      <c r="Y256" s="165">
        <v>0</v>
      </c>
      <c r="Z256" s="166">
        <v>0</v>
      </c>
      <c r="AA256" s="166">
        <v>0</v>
      </c>
      <c r="AB256" s="166">
        <v>0</v>
      </c>
      <c r="AC256" s="166">
        <v>0</v>
      </c>
      <c r="AD256" s="166">
        <v>0</v>
      </c>
      <c r="AE256" s="166">
        <v>0</v>
      </c>
      <c r="AF256" s="167">
        <v>0</v>
      </c>
      <c r="AG256" s="165">
        <v>0</v>
      </c>
      <c r="AH256" s="166">
        <v>0</v>
      </c>
      <c r="AI256" s="166">
        <v>0</v>
      </c>
      <c r="AJ256" s="166">
        <v>0</v>
      </c>
      <c r="AK256" s="167">
        <v>0</v>
      </c>
      <c r="AL256" s="2629"/>
      <c r="AM256" s="607" t="s">
        <v>1876</v>
      </c>
      <c r="AN256" s="165">
        <v>0</v>
      </c>
      <c r="AO256" s="166">
        <v>0</v>
      </c>
      <c r="AP256" s="166">
        <v>0</v>
      </c>
      <c r="AQ256" s="166">
        <v>0</v>
      </c>
      <c r="AR256" s="166">
        <v>0</v>
      </c>
      <c r="AS256" s="166">
        <v>0</v>
      </c>
      <c r="AT256" s="166">
        <v>0</v>
      </c>
      <c r="AU256" s="167">
        <v>0</v>
      </c>
      <c r="AV256" s="165">
        <v>0</v>
      </c>
      <c r="AW256" s="166">
        <v>0</v>
      </c>
      <c r="AX256" s="166">
        <v>0</v>
      </c>
      <c r="AY256" s="166">
        <v>0</v>
      </c>
      <c r="AZ256" s="167">
        <v>0</v>
      </c>
      <c r="BA256" s="2629"/>
      <c r="BB256" s="2629"/>
      <c r="BC256" s="2629"/>
      <c r="BD256" s="2629"/>
      <c r="BE256" s="2629"/>
      <c r="BF256" s="2629"/>
      <c r="BG256" s="2629"/>
      <c r="BH256" s="2629"/>
      <c r="BI256" s="2629"/>
      <c r="BJ256" s="2629"/>
      <c r="BK256" s="2629"/>
      <c r="BL256" s="2629"/>
      <c r="BM256" s="2629"/>
      <c r="BN256" s="2629"/>
    </row>
    <row r="257" spans="1:66" s="98" customFormat="1" ht="15" customHeight="1">
      <c r="A257" s="99"/>
      <c r="B257" s="161"/>
      <c r="C257" s="116"/>
      <c r="D257" s="116"/>
      <c r="E257" s="116"/>
      <c r="F257" s="116"/>
      <c r="G257" s="117"/>
      <c r="H257" s="117"/>
      <c r="I257" s="117"/>
      <c r="J257" s="713"/>
      <c r="K257" s="2649"/>
      <c r="L257" s="2649"/>
      <c r="M257" s="2649"/>
      <c r="N257" s="2649"/>
      <c r="O257" s="2649"/>
      <c r="P257" s="2649"/>
      <c r="Q257" s="715"/>
      <c r="R257" s="713"/>
      <c r="S257" s="2649"/>
      <c r="T257" s="2649"/>
      <c r="U257" s="2649"/>
      <c r="V257" s="715"/>
      <c r="W257" s="2664"/>
      <c r="X257" s="94"/>
      <c r="Y257" s="159"/>
      <c r="Z257" s="94"/>
      <c r="AA257" s="94"/>
      <c r="AB257" s="94"/>
      <c r="AC257" s="94"/>
      <c r="AD257" s="94"/>
      <c r="AE257" s="94"/>
      <c r="AF257" s="160"/>
      <c r="AG257" s="159"/>
      <c r="AH257" s="94"/>
      <c r="AI257" s="94"/>
      <c r="AJ257" s="94"/>
      <c r="AK257" s="160"/>
      <c r="AL257" s="2629"/>
      <c r="AM257" s="94"/>
      <c r="AN257" s="159"/>
      <c r="AO257" s="94"/>
      <c r="AP257" s="94"/>
      <c r="AQ257" s="94"/>
      <c r="AR257" s="94"/>
      <c r="AS257" s="94"/>
      <c r="AT257" s="94"/>
      <c r="AU257" s="160"/>
      <c r="AV257" s="159"/>
      <c r="AW257" s="94"/>
      <c r="AX257" s="94"/>
      <c r="AY257" s="94"/>
      <c r="AZ257" s="160"/>
      <c r="BA257" s="2629"/>
      <c r="BB257" s="2629"/>
      <c r="BC257" s="2629"/>
      <c r="BD257" s="2629"/>
      <c r="BE257" s="2629"/>
      <c r="BF257" s="2629"/>
      <c r="BG257" s="2629"/>
      <c r="BH257" s="2629"/>
      <c r="BI257" s="2629"/>
      <c r="BJ257" s="2629"/>
      <c r="BK257" s="2629"/>
      <c r="BL257" s="2629"/>
      <c r="BM257" s="2629"/>
      <c r="BN257" s="2629"/>
    </row>
    <row r="258" spans="1:66" s="98" customFormat="1" ht="15" customHeight="1" thickBot="1">
      <c r="A258" s="99"/>
      <c r="B258" s="131" t="s">
        <v>1701</v>
      </c>
      <c r="C258" s="132"/>
      <c r="D258" s="132"/>
      <c r="E258" s="132"/>
      <c r="F258" s="132"/>
      <c r="G258" s="145"/>
      <c r="H258" s="133"/>
      <c r="I258" s="146" t="s">
        <v>498</v>
      </c>
      <c r="J258" s="717">
        <f>SUM(J196:J256)</f>
        <v>2.7039005059057774E-2</v>
      </c>
      <c r="K258" s="718">
        <f t="shared" ref="K258:V258" si="39">SUM(K196:K256)</f>
        <v>2.3162783680656385E-2</v>
      </c>
      <c r="L258" s="718">
        <f t="shared" si="39"/>
        <v>2.4375622495292831E-2</v>
      </c>
      <c r="M258" s="718">
        <f t="shared" si="39"/>
        <v>2.9224617442283531E-2</v>
      </c>
      <c r="N258" s="718">
        <f t="shared" si="39"/>
        <v>5.8327310413951755E-2</v>
      </c>
      <c r="O258" s="718">
        <f t="shared" si="39"/>
        <v>3.9749085062110612E-2</v>
      </c>
      <c r="P258" s="718">
        <f t="shared" si="39"/>
        <v>3.831911483250746E-2</v>
      </c>
      <c r="Q258" s="719">
        <f t="shared" si="39"/>
        <v>3.3774796941483741E-2</v>
      </c>
      <c r="R258" s="717">
        <f t="shared" si="39"/>
        <v>2.7167677630727815E-2</v>
      </c>
      <c r="S258" s="718">
        <f t="shared" si="39"/>
        <v>2.7031839242574175E-2</v>
      </c>
      <c r="T258" s="718">
        <f t="shared" si="39"/>
        <v>2.6896680046361299E-2</v>
      </c>
      <c r="U258" s="718">
        <f t="shared" si="39"/>
        <v>2.6762196646129492E-2</v>
      </c>
      <c r="V258" s="719">
        <f t="shared" si="39"/>
        <v>2.6628385662898848E-2</v>
      </c>
      <c r="W258" s="133"/>
      <c r="X258" s="146" t="s">
        <v>498</v>
      </c>
      <c r="Y258" s="717">
        <f>SUM(Y196:Y256)</f>
        <v>0</v>
      </c>
      <c r="Z258" s="718">
        <f t="shared" ref="Z258:AK258" si="40">SUM(Z196:Z256)</f>
        <v>0</v>
      </c>
      <c r="AA258" s="718">
        <f t="shared" si="40"/>
        <v>0</v>
      </c>
      <c r="AB258" s="718">
        <f t="shared" si="40"/>
        <v>0</v>
      </c>
      <c r="AC258" s="718">
        <f t="shared" si="40"/>
        <v>0</v>
      </c>
      <c r="AD258" s="718">
        <f t="shared" si="40"/>
        <v>0</v>
      </c>
      <c r="AE258" s="718">
        <f t="shared" si="40"/>
        <v>0</v>
      </c>
      <c r="AF258" s="719">
        <f t="shared" si="40"/>
        <v>0</v>
      </c>
      <c r="AG258" s="717">
        <f t="shared" si="40"/>
        <v>-2.2820849209811363E-2</v>
      </c>
      <c r="AH258" s="718">
        <f t="shared" si="40"/>
        <v>-2.2706744963762304E-2</v>
      </c>
      <c r="AI258" s="718">
        <f t="shared" si="40"/>
        <v>-2.2593211238943492E-2</v>
      </c>
      <c r="AJ258" s="718">
        <f t="shared" si="40"/>
        <v>-2.2480245182748774E-2</v>
      </c>
      <c r="AK258" s="719">
        <f t="shared" si="40"/>
        <v>-2.236784395683503E-2</v>
      </c>
      <c r="AL258" s="2630"/>
      <c r="AM258" s="1121"/>
      <c r="AN258" s="1122"/>
      <c r="AO258" s="1121"/>
      <c r="AP258" s="1121"/>
      <c r="AQ258" s="1121"/>
      <c r="AR258" s="1121"/>
      <c r="AS258" s="1121"/>
      <c r="AT258" s="1121"/>
      <c r="AU258" s="1123"/>
      <c r="AV258" s="1122"/>
      <c r="AW258" s="1121"/>
      <c r="AX258" s="1121"/>
      <c r="AY258" s="1121"/>
      <c r="AZ258" s="1123"/>
      <c r="BA258" s="2629"/>
      <c r="BB258" s="2629"/>
      <c r="BC258" s="2629"/>
      <c r="BD258" s="2629"/>
      <c r="BE258" s="2629"/>
      <c r="BF258" s="2629"/>
      <c r="BG258" s="2629"/>
      <c r="BH258" s="2629"/>
      <c r="BI258" s="2629"/>
      <c r="BJ258" s="2629"/>
      <c r="BK258" s="2629"/>
      <c r="BL258" s="2629"/>
      <c r="BM258" s="2629"/>
      <c r="BN258" s="2629"/>
    </row>
    <row r="259" spans="1:66" ht="13.5" thickBot="1"/>
    <row r="260" spans="1:66" s="100" customFormat="1" ht="30" customHeight="1" thickBot="1">
      <c r="A260" s="89"/>
      <c r="B260" s="621" t="s">
        <v>78</v>
      </c>
      <c r="C260" s="101"/>
      <c r="D260" s="102"/>
      <c r="E260" s="102"/>
      <c r="F260" s="102"/>
      <c r="G260" s="103"/>
      <c r="H260" s="103"/>
      <c r="I260" s="105" t="s">
        <v>1864</v>
      </c>
      <c r="J260" s="106"/>
      <c r="K260" s="106"/>
      <c r="L260" s="106"/>
      <c r="M260" s="106"/>
      <c r="N260" s="106"/>
      <c r="O260" s="106"/>
      <c r="P260" s="106"/>
      <c r="Q260" s="106"/>
      <c r="R260" s="105"/>
      <c r="S260" s="105"/>
      <c r="T260" s="105"/>
      <c r="U260" s="105"/>
      <c r="V260" s="105"/>
      <c r="W260" s="103"/>
      <c r="X260" s="105" t="s">
        <v>2202</v>
      </c>
      <c r="Y260" s="106"/>
      <c r="Z260" s="106"/>
      <c r="AA260" s="106"/>
      <c r="AB260" s="106"/>
      <c r="AC260" s="106"/>
      <c r="AD260" s="106"/>
      <c r="AE260" s="106"/>
      <c r="AF260" s="106"/>
      <c r="AG260" s="105"/>
      <c r="AH260" s="105"/>
      <c r="AI260" s="105"/>
      <c r="AJ260" s="105"/>
      <c r="AK260" s="105"/>
      <c r="AL260" s="956"/>
      <c r="AM260" s="105" t="s">
        <v>2231</v>
      </c>
      <c r="AN260" s="106"/>
      <c r="AO260" s="106"/>
      <c r="AP260" s="106"/>
      <c r="AQ260" s="106"/>
      <c r="AR260" s="106"/>
      <c r="AS260" s="106"/>
      <c r="AT260" s="106"/>
      <c r="AU260" s="106"/>
      <c r="AV260" s="105"/>
      <c r="AW260" s="105"/>
      <c r="AX260" s="105"/>
      <c r="AY260" s="105"/>
      <c r="AZ260" s="187"/>
    </row>
    <row r="261" spans="1:66" s="157" customFormat="1" ht="30" customHeight="1">
      <c r="A261" s="99"/>
      <c r="B261" s="109"/>
      <c r="C261" s="110"/>
      <c r="D261" s="110"/>
      <c r="E261" s="110"/>
      <c r="F261" s="110"/>
      <c r="G261" s="111"/>
      <c r="H261" s="111"/>
      <c r="I261" s="117"/>
      <c r="J261" s="695" t="s">
        <v>1666</v>
      </c>
      <c r="K261" s="152"/>
      <c r="L261" s="152"/>
      <c r="M261" s="152"/>
      <c r="N261" s="152"/>
      <c r="O261" s="152"/>
      <c r="P261" s="152"/>
      <c r="Q261" s="153"/>
      <c r="R261" s="696" t="s">
        <v>2</v>
      </c>
      <c r="S261" s="155"/>
      <c r="T261" s="155"/>
      <c r="U261" s="155"/>
      <c r="V261" s="156"/>
      <c r="W261" s="113"/>
      <c r="X261" s="94"/>
      <c r="Y261" s="695" t="s">
        <v>1666</v>
      </c>
      <c r="Z261" s="152"/>
      <c r="AA261" s="152"/>
      <c r="AB261" s="152"/>
      <c r="AC261" s="152"/>
      <c r="AD261" s="152"/>
      <c r="AE261" s="152"/>
      <c r="AF261" s="153"/>
      <c r="AG261" s="696" t="s">
        <v>2</v>
      </c>
      <c r="AH261" s="155"/>
      <c r="AI261" s="155"/>
      <c r="AJ261" s="155"/>
      <c r="AK261" s="156"/>
      <c r="AL261" s="2663"/>
      <c r="AM261" s="94"/>
      <c r="AN261" s="695" t="s">
        <v>1666</v>
      </c>
      <c r="AO261" s="152"/>
      <c r="AP261" s="152"/>
      <c r="AQ261" s="152"/>
      <c r="AR261" s="152"/>
      <c r="AS261" s="152"/>
      <c r="AT261" s="152"/>
      <c r="AU261" s="153"/>
      <c r="AV261" s="696" t="s">
        <v>2</v>
      </c>
      <c r="AW261" s="155"/>
      <c r="AX261" s="155"/>
      <c r="AY261" s="155"/>
      <c r="AZ261" s="156"/>
      <c r="BA261" s="2632"/>
      <c r="BB261" s="2632"/>
      <c r="BC261" s="2632"/>
      <c r="BD261" s="2632"/>
      <c r="BE261" s="2632"/>
      <c r="BF261" s="2632"/>
      <c r="BG261" s="2632"/>
      <c r="BH261" s="2632"/>
      <c r="BI261" s="2632"/>
      <c r="BJ261" s="2632"/>
      <c r="BK261" s="2632"/>
      <c r="BL261" s="2632"/>
      <c r="BM261" s="2632"/>
      <c r="BN261" s="2632"/>
    </row>
    <row r="262" spans="1:66" s="98" customFormat="1" ht="15" customHeight="1">
      <c r="A262" s="99"/>
      <c r="B262" s="115"/>
      <c r="C262" s="116"/>
      <c r="D262" s="116"/>
      <c r="E262" s="116"/>
      <c r="F262" s="116"/>
      <c r="G262" s="117"/>
      <c r="H262" s="117"/>
      <c r="I262" s="119" t="s">
        <v>1667</v>
      </c>
      <c r="J262" s="158" t="s">
        <v>453</v>
      </c>
      <c r="K262" s="137" t="s">
        <v>455</v>
      </c>
      <c r="L262" s="137" t="s">
        <v>457</v>
      </c>
      <c r="M262" s="137" t="s">
        <v>459</v>
      </c>
      <c r="N262" s="137" t="s">
        <v>461</v>
      </c>
      <c r="O262" s="137" t="s">
        <v>463</v>
      </c>
      <c r="P262" s="137" t="s">
        <v>465</v>
      </c>
      <c r="Q262" s="138" t="s">
        <v>467</v>
      </c>
      <c r="R262" s="120" t="s">
        <v>469</v>
      </c>
      <c r="S262" s="121" t="s">
        <v>471</v>
      </c>
      <c r="T262" s="121" t="s">
        <v>473</v>
      </c>
      <c r="U262" s="121" t="s">
        <v>475</v>
      </c>
      <c r="V262" s="122" t="s">
        <v>477</v>
      </c>
      <c r="W262" s="94"/>
      <c r="X262" s="119" t="s">
        <v>1667</v>
      </c>
      <c r="Y262" s="158" t="s">
        <v>453</v>
      </c>
      <c r="Z262" s="137" t="s">
        <v>455</v>
      </c>
      <c r="AA262" s="137" t="s">
        <v>457</v>
      </c>
      <c r="AB262" s="137" t="s">
        <v>459</v>
      </c>
      <c r="AC262" s="137" t="s">
        <v>461</v>
      </c>
      <c r="AD262" s="137" t="s">
        <v>463</v>
      </c>
      <c r="AE262" s="137" t="s">
        <v>465</v>
      </c>
      <c r="AF262" s="138" t="s">
        <v>467</v>
      </c>
      <c r="AG262" s="120" t="s">
        <v>469</v>
      </c>
      <c r="AH262" s="121" t="s">
        <v>471</v>
      </c>
      <c r="AI262" s="121" t="s">
        <v>473</v>
      </c>
      <c r="AJ262" s="121" t="s">
        <v>475</v>
      </c>
      <c r="AK262" s="122" t="s">
        <v>477</v>
      </c>
      <c r="AL262" s="2664"/>
      <c r="AM262" s="119" t="s">
        <v>1667</v>
      </c>
      <c r="AN262" s="158" t="s">
        <v>453</v>
      </c>
      <c r="AO262" s="137" t="s">
        <v>455</v>
      </c>
      <c r="AP262" s="137" t="s">
        <v>457</v>
      </c>
      <c r="AQ262" s="137" t="s">
        <v>459</v>
      </c>
      <c r="AR262" s="137" t="s">
        <v>461</v>
      </c>
      <c r="AS262" s="137" t="s">
        <v>463</v>
      </c>
      <c r="AT262" s="137" t="s">
        <v>465</v>
      </c>
      <c r="AU262" s="138" t="s">
        <v>467</v>
      </c>
      <c r="AV262" s="120" t="s">
        <v>469</v>
      </c>
      <c r="AW262" s="121" t="s">
        <v>471</v>
      </c>
      <c r="AX262" s="121" t="s">
        <v>473</v>
      </c>
      <c r="AY262" s="121" t="s">
        <v>475</v>
      </c>
      <c r="AZ262" s="122" t="s">
        <v>477</v>
      </c>
      <c r="BA262" s="2629"/>
      <c r="BB262" s="2629"/>
      <c r="BC262" s="2629"/>
      <c r="BD262" s="2629"/>
      <c r="BE262" s="2629"/>
      <c r="BF262" s="2629"/>
      <c r="BG262" s="2629"/>
      <c r="BH262" s="2629"/>
      <c r="BI262" s="2629"/>
      <c r="BJ262" s="2629"/>
      <c r="BK262" s="2629"/>
      <c r="BL262" s="2629"/>
      <c r="BM262" s="2629"/>
      <c r="BN262" s="2629"/>
    </row>
    <row r="263" spans="1:66" s="98" customFormat="1" ht="15" customHeight="1">
      <c r="A263" s="99"/>
      <c r="B263" s="115"/>
      <c r="C263" s="116" t="s">
        <v>1682</v>
      </c>
      <c r="D263" s="116"/>
      <c r="E263" s="116"/>
      <c r="F263" s="116"/>
      <c r="G263" s="117"/>
      <c r="H263" s="117"/>
      <c r="I263" s="92"/>
      <c r="J263" s="619"/>
      <c r="K263" s="93"/>
      <c r="L263" s="93"/>
      <c r="M263" s="93"/>
      <c r="N263" s="93"/>
      <c r="O263" s="93"/>
      <c r="P263" s="93"/>
      <c r="Q263" s="618"/>
      <c r="R263" s="619"/>
      <c r="S263" s="93"/>
      <c r="T263" s="93"/>
      <c r="U263" s="93"/>
      <c r="V263" s="618"/>
      <c r="W263" s="94"/>
      <c r="X263" s="93"/>
      <c r="Y263" s="619"/>
      <c r="Z263" s="93"/>
      <c r="AA263" s="93"/>
      <c r="AB263" s="93"/>
      <c r="AC263" s="93"/>
      <c r="AD263" s="93"/>
      <c r="AE263" s="93"/>
      <c r="AF263" s="618"/>
      <c r="AG263" s="619"/>
      <c r="AH263" s="93"/>
      <c r="AI263" s="93"/>
      <c r="AJ263" s="93"/>
      <c r="AK263" s="618"/>
      <c r="AL263" s="2664"/>
      <c r="AM263" s="93"/>
      <c r="AN263" s="619"/>
      <c r="AO263" s="93"/>
      <c r="AP263" s="93"/>
      <c r="AQ263" s="93"/>
      <c r="AR263" s="93"/>
      <c r="AS263" s="93"/>
      <c r="AT263" s="93"/>
      <c r="AU263" s="618"/>
      <c r="AV263" s="619"/>
      <c r="AW263" s="93"/>
      <c r="AX263" s="93"/>
      <c r="AY263" s="93"/>
      <c r="AZ263" s="618"/>
      <c r="BA263" s="2629"/>
      <c r="BB263" s="2629"/>
      <c r="BC263" s="2629"/>
      <c r="BD263" s="2629"/>
      <c r="BE263" s="2629"/>
      <c r="BF263" s="2629"/>
      <c r="BG263" s="2629"/>
      <c r="BH263" s="2629"/>
      <c r="BI263" s="2629"/>
      <c r="BJ263" s="2629"/>
      <c r="BK263" s="2629"/>
      <c r="BL263" s="2629"/>
      <c r="BM263" s="2629"/>
      <c r="BN263" s="2629"/>
    </row>
    <row r="264" spans="1:66" s="98" customFormat="1" ht="15" customHeight="1">
      <c r="A264" s="99"/>
      <c r="B264" s="161"/>
      <c r="C264" s="185"/>
      <c r="D264" s="116" t="s">
        <v>2521</v>
      </c>
      <c r="E264" s="116"/>
      <c r="F264" s="116"/>
      <c r="G264" s="117"/>
      <c r="H264" s="117"/>
      <c r="I264" s="117"/>
      <c r="J264" s="159"/>
      <c r="K264" s="94"/>
      <c r="L264" s="94"/>
      <c r="M264" s="94"/>
      <c r="N264" s="94"/>
      <c r="O264" s="94"/>
      <c r="P264" s="94"/>
      <c r="Q264" s="160"/>
      <c r="R264" s="159"/>
      <c r="S264" s="94"/>
      <c r="T264" s="94"/>
      <c r="U264" s="94"/>
      <c r="V264" s="160"/>
      <c r="W264" s="94"/>
      <c r="X264" s="94"/>
      <c r="Y264" s="159"/>
      <c r="Z264" s="94"/>
      <c r="AA264" s="94"/>
      <c r="AB264" s="94"/>
      <c r="AC264" s="94"/>
      <c r="AD264" s="94"/>
      <c r="AE264" s="94"/>
      <c r="AF264" s="160"/>
      <c r="AG264" s="159"/>
      <c r="AH264" s="94"/>
      <c r="AI264" s="94"/>
      <c r="AJ264" s="94"/>
      <c r="AK264" s="160"/>
      <c r="AL264" s="2664"/>
      <c r="AM264" s="94"/>
      <c r="AN264" s="159"/>
      <c r="AO264" s="94"/>
      <c r="AP264" s="94"/>
      <c r="AQ264" s="94"/>
      <c r="AR264" s="94"/>
      <c r="AS264" s="94"/>
      <c r="AT264" s="94"/>
      <c r="AU264" s="160"/>
      <c r="AV264" s="159"/>
      <c r="AW264" s="94"/>
      <c r="AX264" s="94"/>
      <c r="AY264" s="94"/>
      <c r="AZ264" s="160"/>
      <c r="BA264" s="2629"/>
      <c r="BB264" s="2629"/>
      <c r="BC264" s="2629"/>
      <c r="BD264" s="2629"/>
      <c r="BE264" s="2629"/>
      <c r="BF264" s="2629"/>
      <c r="BG264" s="2629"/>
      <c r="BH264" s="2629"/>
      <c r="BI264" s="2629"/>
      <c r="BJ264" s="2629"/>
      <c r="BK264" s="2629"/>
      <c r="BL264" s="2629"/>
      <c r="BM264" s="2629"/>
      <c r="BN264" s="2629"/>
    </row>
    <row r="265" spans="1:66" s="98" customFormat="1" ht="15" customHeight="1">
      <c r="A265" s="99"/>
      <c r="B265" s="161"/>
      <c r="C265" s="185"/>
      <c r="D265" s="162"/>
      <c r="E265" s="230" t="s">
        <v>2787</v>
      </c>
      <c r="F265" s="230"/>
      <c r="G265" s="163"/>
      <c r="H265" s="163"/>
      <c r="I265" s="164" t="s">
        <v>498</v>
      </c>
      <c r="J265" s="143">
        <v>0</v>
      </c>
      <c r="K265" s="141">
        <v>0</v>
      </c>
      <c r="L265" s="141">
        <v>0</v>
      </c>
      <c r="M265" s="141">
        <v>0</v>
      </c>
      <c r="N265" s="141">
        <v>0</v>
      </c>
      <c r="O265" s="141">
        <v>0</v>
      </c>
      <c r="P265" s="141">
        <v>0</v>
      </c>
      <c r="Q265" s="144">
        <v>0</v>
      </c>
      <c r="R265" s="143">
        <v>0</v>
      </c>
      <c r="S265" s="141">
        <v>0</v>
      </c>
      <c r="T265" s="141">
        <v>0</v>
      </c>
      <c r="U265" s="141">
        <v>0</v>
      </c>
      <c r="V265" s="144">
        <v>0</v>
      </c>
      <c r="W265" s="2664"/>
      <c r="X265" s="607" t="s">
        <v>498</v>
      </c>
      <c r="Y265" s="165">
        <v>0</v>
      </c>
      <c r="Z265" s="166">
        <v>0</v>
      </c>
      <c r="AA265" s="166">
        <v>0</v>
      </c>
      <c r="AB265" s="166">
        <v>0</v>
      </c>
      <c r="AC265" s="166">
        <v>0</v>
      </c>
      <c r="AD265" s="166">
        <v>0</v>
      </c>
      <c r="AE265" s="166">
        <v>0</v>
      </c>
      <c r="AF265" s="167">
        <v>0</v>
      </c>
      <c r="AG265" s="165">
        <v>0</v>
      </c>
      <c r="AH265" s="166">
        <v>0</v>
      </c>
      <c r="AI265" s="166">
        <v>0</v>
      </c>
      <c r="AJ265" s="166">
        <v>0</v>
      </c>
      <c r="AK265" s="167">
        <v>0</v>
      </c>
      <c r="AL265" s="2664"/>
      <c r="AM265" s="607" t="s">
        <v>1876</v>
      </c>
      <c r="AN265" s="165">
        <v>0</v>
      </c>
      <c r="AO265" s="166">
        <v>0</v>
      </c>
      <c r="AP265" s="166">
        <v>0</v>
      </c>
      <c r="AQ265" s="166">
        <v>0</v>
      </c>
      <c r="AR265" s="166">
        <v>0</v>
      </c>
      <c r="AS265" s="166">
        <v>0</v>
      </c>
      <c r="AT265" s="166">
        <v>0</v>
      </c>
      <c r="AU265" s="167">
        <v>0</v>
      </c>
      <c r="AV265" s="165">
        <v>0</v>
      </c>
      <c r="AW265" s="166">
        <v>0</v>
      </c>
      <c r="AX265" s="166">
        <v>0</v>
      </c>
      <c r="AY265" s="166">
        <v>0</v>
      </c>
      <c r="AZ265" s="167">
        <v>0</v>
      </c>
      <c r="BA265" s="2629"/>
      <c r="BB265" s="2629"/>
      <c r="BC265" s="2629"/>
      <c r="BD265" s="2629"/>
      <c r="BE265" s="2629"/>
      <c r="BF265" s="2629"/>
      <c r="BG265" s="2629"/>
      <c r="BH265" s="2629"/>
      <c r="BI265" s="2629"/>
      <c r="BJ265" s="2629"/>
      <c r="BK265" s="2629"/>
      <c r="BL265" s="2629"/>
      <c r="BM265" s="2629"/>
      <c r="BN265" s="2629"/>
    </row>
    <row r="266" spans="1:66" s="98" customFormat="1" ht="15" customHeight="1">
      <c r="A266" s="99"/>
      <c r="B266" s="161"/>
      <c r="C266" s="185"/>
      <c r="D266" s="162"/>
      <c r="E266" s="162" t="s">
        <v>1555</v>
      </c>
      <c r="F266" s="162"/>
      <c r="G266" s="163"/>
      <c r="H266" s="163"/>
      <c r="I266" s="164" t="s">
        <v>498</v>
      </c>
      <c r="J266" s="143">
        <v>0</v>
      </c>
      <c r="K266" s="141">
        <v>0</v>
      </c>
      <c r="L266" s="141">
        <v>0</v>
      </c>
      <c r="M266" s="141">
        <v>0</v>
      </c>
      <c r="N266" s="141">
        <v>0</v>
      </c>
      <c r="O266" s="141">
        <v>0</v>
      </c>
      <c r="P266" s="141">
        <v>0</v>
      </c>
      <c r="Q266" s="144">
        <v>0</v>
      </c>
      <c r="R266" s="143">
        <v>0</v>
      </c>
      <c r="S266" s="141">
        <v>0</v>
      </c>
      <c r="T266" s="141">
        <v>0</v>
      </c>
      <c r="U266" s="141">
        <v>0</v>
      </c>
      <c r="V266" s="144">
        <v>0</v>
      </c>
      <c r="W266" s="2664"/>
      <c r="X266" s="607" t="s">
        <v>498</v>
      </c>
      <c r="Y266" s="165">
        <v>0</v>
      </c>
      <c r="Z266" s="166">
        <v>0</v>
      </c>
      <c r="AA266" s="166">
        <v>0</v>
      </c>
      <c r="AB266" s="166">
        <v>0</v>
      </c>
      <c r="AC266" s="166">
        <v>0</v>
      </c>
      <c r="AD266" s="166">
        <v>0</v>
      </c>
      <c r="AE266" s="166">
        <v>0</v>
      </c>
      <c r="AF266" s="167">
        <v>0</v>
      </c>
      <c r="AG266" s="165">
        <v>0</v>
      </c>
      <c r="AH266" s="166">
        <v>0</v>
      </c>
      <c r="AI266" s="166">
        <v>0</v>
      </c>
      <c r="AJ266" s="166">
        <v>0</v>
      </c>
      <c r="AK266" s="167">
        <v>0</v>
      </c>
      <c r="AL266" s="2664"/>
      <c r="AM266" s="607" t="s">
        <v>1876</v>
      </c>
      <c r="AN266" s="165">
        <v>0</v>
      </c>
      <c r="AO266" s="166">
        <v>0</v>
      </c>
      <c r="AP266" s="166">
        <v>0</v>
      </c>
      <c r="AQ266" s="166">
        <v>0</v>
      </c>
      <c r="AR266" s="166">
        <v>0</v>
      </c>
      <c r="AS266" s="166">
        <v>0</v>
      </c>
      <c r="AT266" s="166">
        <v>0</v>
      </c>
      <c r="AU266" s="167">
        <v>0</v>
      </c>
      <c r="AV266" s="165">
        <v>0</v>
      </c>
      <c r="AW266" s="166">
        <v>0</v>
      </c>
      <c r="AX266" s="166">
        <v>0</v>
      </c>
      <c r="AY266" s="166">
        <v>0</v>
      </c>
      <c r="AZ266" s="167">
        <v>0</v>
      </c>
      <c r="BA266" s="2629"/>
      <c r="BB266" s="2629"/>
      <c r="BC266" s="2629"/>
      <c r="BD266" s="2629"/>
      <c r="BE266" s="2629"/>
      <c r="BF266" s="2629"/>
      <c r="BG266" s="2629"/>
      <c r="BH266" s="2629"/>
      <c r="BI266" s="2629"/>
      <c r="BJ266" s="2629"/>
      <c r="BK266" s="2629"/>
      <c r="BL266" s="2629"/>
      <c r="BM266" s="2629"/>
      <c r="BN266" s="2629"/>
    </row>
    <row r="267" spans="1:66" s="98" customFormat="1" ht="15" customHeight="1">
      <c r="A267" s="99"/>
      <c r="B267" s="161"/>
      <c r="C267" s="185"/>
      <c r="D267" s="116" t="s">
        <v>2427</v>
      </c>
      <c r="E267" s="116"/>
      <c r="F267" s="116"/>
      <c r="G267" s="117"/>
      <c r="H267" s="117"/>
      <c r="I267" s="117"/>
      <c r="J267" s="713"/>
      <c r="K267" s="2649"/>
      <c r="L267" s="2649"/>
      <c r="M267" s="2649"/>
      <c r="N267" s="2649"/>
      <c r="O267" s="2649"/>
      <c r="P267" s="2649"/>
      <c r="Q267" s="715"/>
      <c r="R267" s="713"/>
      <c r="S267" s="2649"/>
      <c r="T267" s="2649"/>
      <c r="U267" s="2649"/>
      <c r="V267" s="715"/>
      <c r="W267" s="2664"/>
      <c r="X267" s="94"/>
      <c r="Y267" s="159"/>
      <c r="Z267" s="94"/>
      <c r="AA267" s="94"/>
      <c r="AB267" s="94"/>
      <c r="AC267" s="94"/>
      <c r="AD267" s="94"/>
      <c r="AE267" s="94"/>
      <c r="AF267" s="160"/>
      <c r="AG267" s="159"/>
      <c r="AH267" s="94"/>
      <c r="AI267" s="94"/>
      <c r="AJ267" s="94"/>
      <c r="AK267" s="160"/>
      <c r="AL267" s="2664"/>
      <c r="AM267" s="94"/>
      <c r="AN267" s="159"/>
      <c r="AO267" s="94"/>
      <c r="AP267" s="94"/>
      <c r="AQ267" s="94"/>
      <c r="AR267" s="94"/>
      <c r="AS267" s="94"/>
      <c r="AT267" s="94"/>
      <c r="AU267" s="160"/>
      <c r="AV267" s="159"/>
      <c r="AW267" s="94"/>
      <c r="AX267" s="94"/>
      <c r="AY267" s="94"/>
      <c r="AZ267" s="160"/>
      <c r="BA267" s="2629"/>
      <c r="BB267" s="2629"/>
      <c r="BC267" s="2629"/>
      <c r="BD267" s="2629"/>
      <c r="BE267" s="2629"/>
      <c r="BF267" s="2629"/>
      <c r="BG267" s="2629"/>
      <c r="BH267" s="2629"/>
      <c r="BI267" s="2629"/>
      <c r="BJ267" s="2629"/>
      <c r="BK267" s="2629"/>
      <c r="BL267" s="2629"/>
      <c r="BM267" s="2629"/>
      <c r="BN267" s="2629"/>
    </row>
    <row r="268" spans="1:66" s="98" customFormat="1" ht="15" customHeight="1">
      <c r="A268" s="99"/>
      <c r="B268" s="161"/>
      <c r="C268" s="185"/>
      <c r="D268" s="162"/>
      <c r="E268" s="230" t="s">
        <v>2787</v>
      </c>
      <c r="F268" s="230"/>
      <c r="G268" s="163"/>
      <c r="H268" s="163"/>
      <c r="I268" s="164" t="s">
        <v>498</v>
      </c>
      <c r="J268" s="143">
        <v>0</v>
      </c>
      <c r="K268" s="141">
        <v>0</v>
      </c>
      <c r="L268" s="141">
        <v>0</v>
      </c>
      <c r="M268" s="141">
        <v>0</v>
      </c>
      <c r="N268" s="141">
        <v>0</v>
      </c>
      <c r="O268" s="141">
        <v>0</v>
      </c>
      <c r="P268" s="141">
        <v>0</v>
      </c>
      <c r="Q268" s="144">
        <v>0</v>
      </c>
      <c r="R268" s="143">
        <v>0</v>
      </c>
      <c r="S268" s="141">
        <v>0</v>
      </c>
      <c r="T268" s="141">
        <v>0</v>
      </c>
      <c r="U268" s="141">
        <v>0</v>
      </c>
      <c r="V268" s="144">
        <v>0</v>
      </c>
      <c r="W268" s="2664"/>
      <c r="X268" s="607" t="s">
        <v>498</v>
      </c>
      <c r="Y268" s="165">
        <v>0</v>
      </c>
      <c r="Z268" s="166">
        <v>0</v>
      </c>
      <c r="AA268" s="166">
        <v>0</v>
      </c>
      <c r="AB268" s="166">
        <v>0</v>
      </c>
      <c r="AC268" s="166">
        <v>0</v>
      </c>
      <c r="AD268" s="166">
        <v>0</v>
      </c>
      <c r="AE268" s="166">
        <v>0</v>
      </c>
      <c r="AF268" s="167">
        <v>0</v>
      </c>
      <c r="AG268" s="165">
        <v>0</v>
      </c>
      <c r="AH268" s="166">
        <v>0</v>
      </c>
      <c r="AI268" s="166">
        <v>0</v>
      </c>
      <c r="AJ268" s="166">
        <v>0</v>
      </c>
      <c r="AK268" s="167">
        <v>0</v>
      </c>
      <c r="AL268" s="2664"/>
      <c r="AM268" s="607" t="s">
        <v>1876</v>
      </c>
      <c r="AN268" s="165">
        <v>0</v>
      </c>
      <c r="AO268" s="166">
        <v>0</v>
      </c>
      <c r="AP268" s="166">
        <v>0</v>
      </c>
      <c r="AQ268" s="166">
        <v>0</v>
      </c>
      <c r="AR268" s="166">
        <v>0</v>
      </c>
      <c r="AS268" s="166">
        <v>0</v>
      </c>
      <c r="AT268" s="166">
        <v>0</v>
      </c>
      <c r="AU268" s="167">
        <v>0</v>
      </c>
      <c r="AV268" s="165">
        <v>0</v>
      </c>
      <c r="AW268" s="166">
        <v>0</v>
      </c>
      <c r="AX268" s="166">
        <v>0</v>
      </c>
      <c r="AY268" s="166">
        <v>0</v>
      </c>
      <c r="AZ268" s="167">
        <v>0</v>
      </c>
      <c r="BA268" s="2629"/>
      <c r="BB268" s="2629"/>
      <c r="BC268" s="2629"/>
      <c r="BD268" s="2629"/>
      <c r="BE268" s="2629"/>
      <c r="BF268" s="2629"/>
      <c r="BG268" s="2629"/>
      <c r="BH268" s="2629"/>
      <c r="BI268" s="2629"/>
      <c r="BJ268" s="2629"/>
      <c r="BK268" s="2629"/>
      <c r="BL268" s="2629"/>
      <c r="BM268" s="2629"/>
      <c r="BN268" s="2629"/>
    </row>
    <row r="269" spans="1:66" s="98" customFormat="1" ht="15" customHeight="1">
      <c r="A269" s="99"/>
      <c r="B269" s="161"/>
      <c r="C269" s="185"/>
      <c r="D269" s="162"/>
      <c r="E269" s="162" t="s">
        <v>1555</v>
      </c>
      <c r="F269" s="162"/>
      <c r="G269" s="163"/>
      <c r="H269" s="163"/>
      <c r="I269" s="164" t="s">
        <v>498</v>
      </c>
      <c r="J269" s="143">
        <v>0</v>
      </c>
      <c r="K269" s="141">
        <v>0</v>
      </c>
      <c r="L269" s="141">
        <v>0</v>
      </c>
      <c r="M269" s="141">
        <v>0</v>
      </c>
      <c r="N269" s="141">
        <v>0</v>
      </c>
      <c r="O269" s="141">
        <v>0</v>
      </c>
      <c r="P269" s="141">
        <v>0</v>
      </c>
      <c r="Q269" s="144">
        <v>0</v>
      </c>
      <c r="R269" s="143">
        <v>0</v>
      </c>
      <c r="S269" s="141">
        <v>0</v>
      </c>
      <c r="T269" s="141">
        <v>0</v>
      </c>
      <c r="U269" s="141">
        <v>0</v>
      </c>
      <c r="V269" s="144">
        <v>0</v>
      </c>
      <c r="W269" s="2664"/>
      <c r="X269" s="607" t="s">
        <v>498</v>
      </c>
      <c r="Y269" s="165">
        <v>0</v>
      </c>
      <c r="Z269" s="166">
        <v>0</v>
      </c>
      <c r="AA269" s="166">
        <v>0</v>
      </c>
      <c r="AB269" s="166">
        <v>0</v>
      </c>
      <c r="AC269" s="166">
        <v>0</v>
      </c>
      <c r="AD269" s="166">
        <v>0</v>
      </c>
      <c r="AE269" s="166">
        <v>0</v>
      </c>
      <c r="AF269" s="167">
        <v>0</v>
      </c>
      <c r="AG269" s="165">
        <v>0</v>
      </c>
      <c r="AH269" s="166">
        <v>0</v>
      </c>
      <c r="AI269" s="166">
        <v>0</v>
      </c>
      <c r="AJ269" s="166">
        <v>0</v>
      </c>
      <c r="AK269" s="167">
        <v>0</v>
      </c>
      <c r="AL269" s="2664"/>
      <c r="AM269" s="607" t="s">
        <v>1876</v>
      </c>
      <c r="AN269" s="165">
        <v>0</v>
      </c>
      <c r="AO269" s="166">
        <v>0</v>
      </c>
      <c r="AP269" s="166">
        <v>0</v>
      </c>
      <c r="AQ269" s="166">
        <v>0</v>
      </c>
      <c r="AR269" s="166">
        <v>0</v>
      </c>
      <c r="AS269" s="166">
        <v>0</v>
      </c>
      <c r="AT269" s="166">
        <v>0</v>
      </c>
      <c r="AU269" s="167">
        <v>0</v>
      </c>
      <c r="AV269" s="165">
        <v>0</v>
      </c>
      <c r="AW269" s="166">
        <v>0</v>
      </c>
      <c r="AX269" s="166">
        <v>0</v>
      </c>
      <c r="AY269" s="166">
        <v>0</v>
      </c>
      <c r="AZ269" s="167">
        <v>0</v>
      </c>
      <c r="BA269" s="2629"/>
      <c r="BB269" s="2629"/>
      <c r="BC269" s="2629"/>
      <c r="BD269" s="2629"/>
      <c r="BE269" s="2629"/>
      <c r="BF269" s="2629"/>
      <c r="BG269" s="2629"/>
      <c r="BH269" s="2629"/>
      <c r="BI269" s="2629"/>
      <c r="BJ269" s="2629"/>
      <c r="BK269" s="2629"/>
      <c r="BL269" s="2629"/>
      <c r="BM269" s="2629"/>
      <c r="BN269" s="2629"/>
    </row>
    <row r="270" spans="1:66" s="98" customFormat="1" ht="15" customHeight="1">
      <c r="A270" s="99"/>
      <c r="B270" s="161"/>
      <c r="C270" s="116"/>
      <c r="D270" s="116"/>
      <c r="E270" s="116"/>
      <c r="F270" s="116"/>
      <c r="G270" s="117"/>
      <c r="H270" s="117"/>
      <c r="I270" s="117"/>
      <c r="J270" s="713"/>
      <c r="K270" s="2649"/>
      <c r="L270" s="2649"/>
      <c r="M270" s="2649"/>
      <c r="N270" s="2649"/>
      <c r="O270" s="2649"/>
      <c r="P270" s="2649"/>
      <c r="Q270" s="715"/>
      <c r="R270" s="713"/>
      <c r="S270" s="2649"/>
      <c r="T270" s="2649"/>
      <c r="U270" s="2649"/>
      <c r="V270" s="715"/>
      <c r="W270" s="2664"/>
      <c r="X270" s="94"/>
      <c r="Y270" s="159"/>
      <c r="Z270" s="94"/>
      <c r="AA270" s="94"/>
      <c r="AB270" s="94"/>
      <c r="AC270" s="94"/>
      <c r="AD270" s="94"/>
      <c r="AE270" s="94"/>
      <c r="AF270" s="160"/>
      <c r="AG270" s="159"/>
      <c r="AH270" s="94"/>
      <c r="AI270" s="94"/>
      <c r="AJ270" s="94"/>
      <c r="AK270" s="160"/>
      <c r="AL270" s="2664"/>
      <c r="AM270" s="94"/>
      <c r="AN270" s="159"/>
      <c r="AO270" s="94"/>
      <c r="AP270" s="94"/>
      <c r="AQ270" s="94"/>
      <c r="AR270" s="94"/>
      <c r="AS270" s="94"/>
      <c r="AT270" s="94"/>
      <c r="AU270" s="160"/>
      <c r="AV270" s="159"/>
      <c r="AW270" s="94"/>
      <c r="AX270" s="94"/>
      <c r="AY270" s="94"/>
      <c r="AZ270" s="160"/>
      <c r="BA270" s="2629"/>
      <c r="BB270" s="2629"/>
      <c r="BC270" s="2629"/>
      <c r="BD270" s="2629"/>
      <c r="BE270" s="2629"/>
      <c r="BF270" s="2629"/>
      <c r="BG270" s="2629"/>
      <c r="BH270" s="2629"/>
      <c r="BI270" s="2629"/>
      <c r="BJ270" s="2629"/>
      <c r="BK270" s="2629"/>
      <c r="BL270" s="2629"/>
      <c r="BM270" s="2629"/>
      <c r="BN270" s="2629"/>
    </row>
    <row r="271" spans="1:66" s="98" customFormat="1" ht="15" customHeight="1">
      <c r="A271" s="99"/>
      <c r="B271" s="115"/>
      <c r="C271" s="116" t="s">
        <v>1683</v>
      </c>
      <c r="D271" s="116"/>
      <c r="E271" s="116"/>
      <c r="F271" s="116"/>
      <c r="G271" s="117"/>
      <c r="H271" s="117"/>
      <c r="I271" s="92"/>
      <c r="J271" s="619"/>
      <c r="K271" s="93"/>
      <c r="L271" s="93"/>
      <c r="M271" s="93"/>
      <c r="N271" s="93"/>
      <c r="O271" s="93"/>
      <c r="P271" s="93"/>
      <c r="Q271" s="618"/>
      <c r="R271" s="619"/>
      <c r="S271" s="93"/>
      <c r="T271" s="93"/>
      <c r="U271" s="93"/>
      <c r="V271" s="618"/>
      <c r="W271" s="2664"/>
      <c r="X271" s="93"/>
      <c r="Y271" s="619"/>
      <c r="Z271" s="93"/>
      <c r="AA271" s="93"/>
      <c r="AB271" s="93"/>
      <c r="AC271" s="93"/>
      <c r="AD271" s="93"/>
      <c r="AE271" s="93"/>
      <c r="AF271" s="618"/>
      <c r="AG271" s="619"/>
      <c r="AH271" s="93"/>
      <c r="AI271" s="93"/>
      <c r="AJ271" s="93"/>
      <c r="AK271" s="618"/>
      <c r="AL271" s="2664"/>
      <c r="AM271" s="93"/>
      <c r="AN271" s="619"/>
      <c r="AO271" s="93"/>
      <c r="AP271" s="93"/>
      <c r="AQ271" s="93"/>
      <c r="AR271" s="93"/>
      <c r="AS271" s="93"/>
      <c r="AT271" s="93"/>
      <c r="AU271" s="618"/>
      <c r="AV271" s="619"/>
      <c r="AW271" s="93"/>
      <c r="AX271" s="93"/>
      <c r="AY271" s="93"/>
      <c r="AZ271" s="618"/>
      <c r="BA271" s="2629"/>
      <c r="BB271" s="2629"/>
      <c r="BC271" s="2629"/>
      <c r="BD271" s="2629"/>
      <c r="BE271" s="2629"/>
      <c r="BF271" s="2629"/>
      <c r="BG271" s="2629"/>
      <c r="BH271" s="2629"/>
      <c r="BI271" s="2629"/>
      <c r="BJ271" s="2629"/>
      <c r="BK271" s="2629"/>
      <c r="BL271" s="2629"/>
      <c r="BM271" s="2629"/>
      <c r="BN271" s="2629"/>
    </row>
    <row r="272" spans="1:66" s="98" customFormat="1" ht="15" customHeight="1">
      <c r="A272" s="99"/>
      <c r="B272" s="161"/>
      <c r="C272" s="185"/>
      <c r="D272" s="116" t="s">
        <v>2521</v>
      </c>
      <c r="E272" s="116"/>
      <c r="F272" s="116"/>
      <c r="G272" s="117"/>
      <c r="H272" s="117"/>
      <c r="I272" s="117"/>
      <c r="J272" s="159"/>
      <c r="K272" s="94"/>
      <c r="L272" s="94"/>
      <c r="M272" s="94"/>
      <c r="N272" s="94"/>
      <c r="O272" s="94"/>
      <c r="P272" s="94"/>
      <c r="Q272" s="160"/>
      <c r="R272" s="159"/>
      <c r="S272" s="94"/>
      <c r="T272" s="94"/>
      <c r="U272" s="94"/>
      <c r="V272" s="160"/>
      <c r="W272" s="2664"/>
      <c r="X272" s="94"/>
      <c r="Y272" s="159"/>
      <c r="Z272" s="94"/>
      <c r="AA272" s="94"/>
      <c r="AB272" s="94"/>
      <c r="AC272" s="94"/>
      <c r="AD272" s="94"/>
      <c r="AE272" s="94"/>
      <c r="AF272" s="160"/>
      <c r="AG272" s="159"/>
      <c r="AH272" s="94"/>
      <c r="AI272" s="94"/>
      <c r="AJ272" s="94"/>
      <c r="AK272" s="160"/>
      <c r="AL272" s="2664"/>
      <c r="AM272" s="94"/>
      <c r="AN272" s="159"/>
      <c r="AO272" s="94"/>
      <c r="AP272" s="94"/>
      <c r="AQ272" s="94"/>
      <c r="AR272" s="94"/>
      <c r="AS272" s="94"/>
      <c r="AT272" s="94"/>
      <c r="AU272" s="160"/>
      <c r="AV272" s="159"/>
      <c r="AW272" s="94"/>
      <c r="AX272" s="94"/>
      <c r="AY272" s="94"/>
      <c r="AZ272" s="160"/>
      <c r="BA272" s="2629"/>
      <c r="BB272" s="2629"/>
      <c r="BC272" s="2629"/>
      <c r="BD272" s="2629"/>
      <c r="BE272" s="2629"/>
      <c r="BF272" s="2629"/>
      <c r="BG272" s="2629"/>
      <c r="BH272" s="2629"/>
      <c r="BI272" s="2629"/>
      <c r="BJ272" s="2629"/>
      <c r="BK272" s="2629"/>
      <c r="BL272" s="2629"/>
      <c r="BM272" s="2629"/>
      <c r="BN272" s="2629"/>
    </row>
    <row r="273" spans="1:66" s="98" customFormat="1" ht="15" customHeight="1">
      <c r="A273" s="99"/>
      <c r="B273" s="161"/>
      <c r="C273" s="185"/>
      <c r="D273" s="162"/>
      <c r="E273" s="230" t="s">
        <v>2787</v>
      </c>
      <c r="F273" s="230"/>
      <c r="G273" s="163"/>
      <c r="H273" s="163"/>
      <c r="I273" s="164" t="s">
        <v>498</v>
      </c>
      <c r="J273" s="143">
        <v>0</v>
      </c>
      <c r="K273" s="141">
        <v>0</v>
      </c>
      <c r="L273" s="141">
        <v>0</v>
      </c>
      <c r="M273" s="141">
        <v>0</v>
      </c>
      <c r="N273" s="141">
        <v>0</v>
      </c>
      <c r="O273" s="141">
        <v>0</v>
      </c>
      <c r="P273" s="141">
        <v>0</v>
      </c>
      <c r="Q273" s="144">
        <v>0</v>
      </c>
      <c r="R273" s="143">
        <v>0</v>
      </c>
      <c r="S273" s="141">
        <v>0</v>
      </c>
      <c r="T273" s="141">
        <v>0</v>
      </c>
      <c r="U273" s="141">
        <v>0</v>
      </c>
      <c r="V273" s="144">
        <v>0</v>
      </c>
      <c r="W273" s="2664"/>
      <c r="X273" s="607" t="s">
        <v>498</v>
      </c>
      <c r="Y273" s="165">
        <v>0</v>
      </c>
      <c r="Z273" s="166">
        <v>0</v>
      </c>
      <c r="AA273" s="166">
        <v>0</v>
      </c>
      <c r="AB273" s="166">
        <v>0</v>
      </c>
      <c r="AC273" s="166">
        <v>0</v>
      </c>
      <c r="AD273" s="166">
        <v>0</v>
      </c>
      <c r="AE273" s="166">
        <v>0</v>
      </c>
      <c r="AF273" s="167">
        <v>0</v>
      </c>
      <c r="AG273" s="165">
        <v>0</v>
      </c>
      <c r="AH273" s="166">
        <v>0</v>
      </c>
      <c r="AI273" s="166">
        <v>0</v>
      </c>
      <c r="AJ273" s="166">
        <v>0</v>
      </c>
      <c r="AK273" s="167">
        <v>0</v>
      </c>
      <c r="AL273" s="2664"/>
      <c r="AM273" s="607" t="s">
        <v>1876</v>
      </c>
      <c r="AN273" s="165">
        <v>0</v>
      </c>
      <c r="AO273" s="166">
        <v>0</v>
      </c>
      <c r="AP273" s="166">
        <v>0</v>
      </c>
      <c r="AQ273" s="166">
        <v>0</v>
      </c>
      <c r="AR273" s="166">
        <v>0</v>
      </c>
      <c r="AS273" s="166">
        <v>0</v>
      </c>
      <c r="AT273" s="166">
        <v>0</v>
      </c>
      <c r="AU273" s="167">
        <v>0</v>
      </c>
      <c r="AV273" s="165">
        <v>0</v>
      </c>
      <c r="AW273" s="166">
        <v>0</v>
      </c>
      <c r="AX273" s="166">
        <v>0</v>
      </c>
      <c r="AY273" s="166">
        <v>0</v>
      </c>
      <c r="AZ273" s="167">
        <v>0</v>
      </c>
      <c r="BA273" s="2629"/>
      <c r="BB273" s="2629"/>
      <c r="BC273" s="2629"/>
      <c r="BD273" s="2629"/>
      <c r="BE273" s="2629"/>
      <c r="BF273" s="2629"/>
      <c r="BG273" s="2629"/>
      <c r="BH273" s="2629"/>
      <c r="BI273" s="2629"/>
      <c r="BJ273" s="2629"/>
      <c r="BK273" s="2629"/>
      <c r="BL273" s="2629"/>
      <c r="BM273" s="2629"/>
      <c r="BN273" s="2629"/>
    </row>
    <row r="274" spans="1:66" s="98" customFormat="1" ht="15" customHeight="1">
      <c r="A274" s="99"/>
      <c r="B274" s="161"/>
      <c r="C274" s="185"/>
      <c r="D274" s="162"/>
      <c r="E274" s="162" t="s">
        <v>1555</v>
      </c>
      <c r="F274" s="162"/>
      <c r="G274" s="163"/>
      <c r="H274" s="163"/>
      <c r="I274" s="164" t="s">
        <v>498</v>
      </c>
      <c r="J274" s="143">
        <v>0</v>
      </c>
      <c r="K274" s="141">
        <v>0</v>
      </c>
      <c r="L274" s="141">
        <v>0</v>
      </c>
      <c r="M274" s="141">
        <v>0</v>
      </c>
      <c r="N274" s="141">
        <v>0</v>
      </c>
      <c r="O274" s="141">
        <v>0</v>
      </c>
      <c r="P274" s="141">
        <v>0</v>
      </c>
      <c r="Q274" s="144">
        <v>0</v>
      </c>
      <c r="R274" s="143">
        <v>0</v>
      </c>
      <c r="S274" s="141">
        <v>0</v>
      </c>
      <c r="T274" s="141">
        <v>0</v>
      </c>
      <c r="U274" s="141">
        <v>0</v>
      </c>
      <c r="V274" s="144">
        <v>0</v>
      </c>
      <c r="W274" s="2664"/>
      <c r="X274" s="607" t="s">
        <v>498</v>
      </c>
      <c r="Y274" s="165">
        <v>0</v>
      </c>
      <c r="Z274" s="166">
        <v>0</v>
      </c>
      <c r="AA274" s="166">
        <v>0</v>
      </c>
      <c r="AB274" s="166">
        <v>0</v>
      </c>
      <c r="AC274" s="166">
        <v>0</v>
      </c>
      <c r="AD274" s="166">
        <v>0</v>
      </c>
      <c r="AE274" s="166">
        <v>0</v>
      </c>
      <c r="AF274" s="167">
        <v>0</v>
      </c>
      <c r="AG274" s="165">
        <v>0</v>
      </c>
      <c r="AH274" s="166">
        <v>0</v>
      </c>
      <c r="AI274" s="166">
        <v>0</v>
      </c>
      <c r="AJ274" s="166">
        <v>0</v>
      </c>
      <c r="AK274" s="167">
        <v>0</v>
      </c>
      <c r="AL274" s="2664"/>
      <c r="AM274" s="607" t="s">
        <v>1876</v>
      </c>
      <c r="AN274" s="165">
        <v>0</v>
      </c>
      <c r="AO274" s="166">
        <v>0</v>
      </c>
      <c r="AP274" s="166">
        <v>0</v>
      </c>
      <c r="AQ274" s="166">
        <v>0</v>
      </c>
      <c r="AR274" s="166">
        <v>0</v>
      </c>
      <c r="AS274" s="166">
        <v>0</v>
      </c>
      <c r="AT274" s="166">
        <v>0</v>
      </c>
      <c r="AU274" s="167">
        <v>0</v>
      </c>
      <c r="AV274" s="165">
        <v>0</v>
      </c>
      <c r="AW274" s="166">
        <v>0</v>
      </c>
      <c r="AX274" s="166">
        <v>0</v>
      </c>
      <c r="AY274" s="166">
        <v>0</v>
      </c>
      <c r="AZ274" s="167">
        <v>0</v>
      </c>
      <c r="BA274" s="2629"/>
      <c r="BB274" s="2629"/>
      <c r="BC274" s="2629"/>
      <c r="BD274" s="2629"/>
      <c r="BE274" s="2629"/>
      <c r="BF274" s="2629"/>
      <c r="BG274" s="2629"/>
      <c r="BH274" s="2629"/>
      <c r="BI274" s="2629"/>
      <c r="BJ274" s="2629"/>
      <c r="BK274" s="2629"/>
      <c r="BL274" s="2629"/>
      <c r="BM274" s="2629"/>
      <c r="BN274" s="2629"/>
    </row>
    <row r="275" spans="1:66" s="98" customFormat="1" ht="15" customHeight="1">
      <c r="A275" s="99"/>
      <c r="B275" s="161"/>
      <c r="C275" s="185"/>
      <c r="D275" s="116" t="s">
        <v>2427</v>
      </c>
      <c r="E275" s="116"/>
      <c r="F275" s="116"/>
      <c r="G275" s="117"/>
      <c r="H275" s="117"/>
      <c r="I275" s="117"/>
      <c r="J275" s="713"/>
      <c r="K275" s="2649"/>
      <c r="L275" s="2649"/>
      <c r="M275" s="2649"/>
      <c r="N275" s="2649"/>
      <c r="O275" s="2649"/>
      <c r="P275" s="2649"/>
      <c r="Q275" s="715"/>
      <c r="R275" s="713"/>
      <c r="S275" s="2649"/>
      <c r="T275" s="2649"/>
      <c r="U275" s="2649"/>
      <c r="V275" s="715"/>
      <c r="W275" s="2664"/>
      <c r="X275" s="94"/>
      <c r="Y275" s="159"/>
      <c r="Z275" s="94"/>
      <c r="AA275" s="94"/>
      <c r="AB275" s="94"/>
      <c r="AC275" s="94"/>
      <c r="AD275" s="94"/>
      <c r="AE275" s="94"/>
      <c r="AF275" s="160"/>
      <c r="AG275" s="159"/>
      <c r="AH275" s="94"/>
      <c r="AI275" s="94"/>
      <c r="AJ275" s="94"/>
      <c r="AK275" s="160"/>
      <c r="AL275" s="2664"/>
      <c r="AM275" s="94"/>
      <c r="AN275" s="159"/>
      <c r="AO275" s="94"/>
      <c r="AP275" s="94"/>
      <c r="AQ275" s="94"/>
      <c r="AR275" s="94"/>
      <c r="AS275" s="94"/>
      <c r="AT275" s="94"/>
      <c r="AU275" s="160"/>
      <c r="AV275" s="159"/>
      <c r="AW275" s="94"/>
      <c r="AX275" s="94"/>
      <c r="AY275" s="94"/>
      <c r="AZ275" s="160"/>
      <c r="BA275" s="2629"/>
      <c r="BB275" s="2629"/>
      <c r="BC275" s="2629"/>
      <c r="BD275" s="2629"/>
      <c r="BE275" s="2629"/>
      <c r="BF275" s="2629"/>
      <c r="BG275" s="2629"/>
      <c r="BH275" s="2629"/>
      <c r="BI275" s="2629"/>
      <c r="BJ275" s="2629"/>
      <c r="BK275" s="2629"/>
      <c r="BL275" s="2629"/>
      <c r="BM275" s="2629"/>
      <c r="BN275" s="2629"/>
    </row>
    <row r="276" spans="1:66" s="98" customFormat="1" ht="15" customHeight="1">
      <c r="A276" s="99"/>
      <c r="B276" s="161"/>
      <c r="C276" s="185"/>
      <c r="D276" s="162"/>
      <c r="E276" s="230" t="s">
        <v>2787</v>
      </c>
      <c r="F276" s="230"/>
      <c r="G276" s="163"/>
      <c r="H276" s="163"/>
      <c r="I276" s="164" t="s">
        <v>498</v>
      </c>
      <c r="J276" s="143">
        <v>0</v>
      </c>
      <c r="K276" s="141">
        <v>0</v>
      </c>
      <c r="L276" s="141">
        <v>0</v>
      </c>
      <c r="M276" s="141">
        <v>0</v>
      </c>
      <c r="N276" s="141">
        <v>0</v>
      </c>
      <c r="O276" s="141">
        <v>0</v>
      </c>
      <c r="P276" s="141">
        <v>0</v>
      </c>
      <c r="Q276" s="144">
        <v>0</v>
      </c>
      <c r="R276" s="143">
        <v>0</v>
      </c>
      <c r="S276" s="141">
        <v>0</v>
      </c>
      <c r="T276" s="141">
        <v>0</v>
      </c>
      <c r="U276" s="141">
        <v>0</v>
      </c>
      <c r="V276" s="144">
        <v>0</v>
      </c>
      <c r="W276" s="2664"/>
      <c r="X276" s="607" t="s">
        <v>498</v>
      </c>
      <c r="Y276" s="165">
        <v>0</v>
      </c>
      <c r="Z276" s="166">
        <v>0</v>
      </c>
      <c r="AA276" s="166">
        <v>0</v>
      </c>
      <c r="AB276" s="166">
        <v>0</v>
      </c>
      <c r="AC276" s="166">
        <v>0</v>
      </c>
      <c r="AD276" s="166">
        <v>0</v>
      </c>
      <c r="AE276" s="166">
        <v>0</v>
      </c>
      <c r="AF276" s="167">
        <v>0</v>
      </c>
      <c r="AG276" s="165">
        <v>0</v>
      </c>
      <c r="AH276" s="166">
        <v>0</v>
      </c>
      <c r="AI276" s="166">
        <v>0</v>
      </c>
      <c r="AJ276" s="166">
        <v>0</v>
      </c>
      <c r="AK276" s="167">
        <v>0</v>
      </c>
      <c r="AL276" s="2664"/>
      <c r="AM276" s="607" t="s">
        <v>1876</v>
      </c>
      <c r="AN276" s="165">
        <v>0</v>
      </c>
      <c r="AO276" s="166">
        <v>0</v>
      </c>
      <c r="AP276" s="166">
        <v>0</v>
      </c>
      <c r="AQ276" s="166">
        <v>0</v>
      </c>
      <c r="AR276" s="166">
        <v>0</v>
      </c>
      <c r="AS276" s="166">
        <v>0</v>
      </c>
      <c r="AT276" s="166">
        <v>0</v>
      </c>
      <c r="AU276" s="167">
        <v>0</v>
      </c>
      <c r="AV276" s="165">
        <v>0</v>
      </c>
      <c r="AW276" s="166">
        <v>0</v>
      </c>
      <c r="AX276" s="166">
        <v>0</v>
      </c>
      <c r="AY276" s="166">
        <v>0</v>
      </c>
      <c r="AZ276" s="167">
        <v>0</v>
      </c>
      <c r="BA276" s="2629"/>
      <c r="BB276" s="2629"/>
      <c r="BC276" s="2629"/>
      <c r="BD276" s="2629"/>
      <c r="BE276" s="2629"/>
      <c r="BF276" s="2629"/>
      <c r="BG276" s="2629"/>
      <c r="BH276" s="2629"/>
      <c r="BI276" s="2629"/>
      <c r="BJ276" s="2629"/>
      <c r="BK276" s="2629"/>
      <c r="BL276" s="2629"/>
      <c r="BM276" s="2629"/>
      <c r="BN276" s="2629"/>
    </row>
    <row r="277" spans="1:66" s="98" customFormat="1" ht="15" customHeight="1">
      <c r="A277" s="99"/>
      <c r="B277" s="161"/>
      <c r="C277" s="185"/>
      <c r="D277" s="162"/>
      <c r="E277" s="162" t="s">
        <v>1555</v>
      </c>
      <c r="F277" s="162"/>
      <c r="G277" s="163"/>
      <c r="H277" s="163"/>
      <c r="I277" s="164" t="s">
        <v>498</v>
      </c>
      <c r="J277" s="143">
        <v>0</v>
      </c>
      <c r="K277" s="141">
        <v>0</v>
      </c>
      <c r="L277" s="141">
        <v>0</v>
      </c>
      <c r="M277" s="141">
        <v>0</v>
      </c>
      <c r="N277" s="141">
        <v>0</v>
      </c>
      <c r="O277" s="141">
        <v>0</v>
      </c>
      <c r="P277" s="141">
        <v>0</v>
      </c>
      <c r="Q277" s="144">
        <v>0</v>
      </c>
      <c r="R277" s="143">
        <v>0</v>
      </c>
      <c r="S277" s="141">
        <v>0</v>
      </c>
      <c r="T277" s="141">
        <v>0</v>
      </c>
      <c r="U277" s="141">
        <v>0</v>
      </c>
      <c r="V277" s="144">
        <v>0</v>
      </c>
      <c r="W277" s="2664"/>
      <c r="X277" s="607" t="s">
        <v>498</v>
      </c>
      <c r="Y277" s="165">
        <v>0</v>
      </c>
      <c r="Z277" s="166">
        <v>0</v>
      </c>
      <c r="AA277" s="166">
        <v>0</v>
      </c>
      <c r="AB277" s="166">
        <v>0</v>
      </c>
      <c r="AC277" s="166">
        <v>0</v>
      </c>
      <c r="AD277" s="166">
        <v>0</v>
      </c>
      <c r="AE277" s="166">
        <v>0</v>
      </c>
      <c r="AF277" s="167">
        <v>0</v>
      </c>
      <c r="AG277" s="165">
        <v>0</v>
      </c>
      <c r="AH277" s="166">
        <v>0</v>
      </c>
      <c r="AI277" s="166">
        <v>0</v>
      </c>
      <c r="AJ277" s="166">
        <v>0</v>
      </c>
      <c r="AK277" s="167">
        <v>0</v>
      </c>
      <c r="AL277" s="2664"/>
      <c r="AM277" s="607" t="s">
        <v>1876</v>
      </c>
      <c r="AN277" s="165">
        <v>0</v>
      </c>
      <c r="AO277" s="166">
        <v>0</v>
      </c>
      <c r="AP277" s="166">
        <v>0</v>
      </c>
      <c r="AQ277" s="166">
        <v>0</v>
      </c>
      <c r="AR277" s="166">
        <v>0</v>
      </c>
      <c r="AS277" s="166">
        <v>0</v>
      </c>
      <c r="AT277" s="166">
        <v>0</v>
      </c>
      <c r="AU277" s="167">
        <v>0</v>
      </c>
      <c r="AV277" s="165">
        <v>0</v>
      </c>
      <c r="AW277" s="166">
        <v>0</v>
      </c>
      <c r="AX277" s="166">
        <v>0</v>
      </c>
      <c r="AY277" s="166">
        <v>0</v>
      </c>
      <c r="AZ277" s="167">
        <v>0</v>
      </c>
      <c r="BA277" s="2629"/>
      <c r="BB277" s="2629"/>
      <c r="BC277" s="2629"/>
      <c r="BD277" s="2629"/>
      <c r="BE277" s="2629"/>
      <c r="BF277" s="2629"/>
      <c r="BG277" s="2629"/>
      <c r="BH277" s="2629"/>
      <c r="BI277" s="2629"/>
      <c r="BJ277" s="2629"/>
      <c r="BK277" s="2629"/>
      <c r="BL277" s="2629"/>
      <c r="BM277" s="2629"/>
      <c r="BN277" s="2629"/>
    </row>
    <row r="278" spans="1:66" s="98" customFormat="1" ht="15" customHeight="1">
      <c r="A278" s="99"/>
      <c r="B278" s="161"/>
      <c r="C278" s="116"/>
      <c r="D278" s="116"/>
      <c r="E278" s="116"/>
      <c r="F278" s="116"/>
      <c r="G278" s="117"/>
      <c r="H278" s="117"/>
      <c r="I278" s="117"/>
      <c r="J278" s="713"/>
      <c r="K278" s="2649"/>
      <c r="L278" s="2649"/>
      <c r="M278" s="2649"/>
      <c r="N278" s="2649"/>
      <c r="O278" s="2649"/>
      <c r="P278" s="2649"/>
      <c r="Q278" s="715"/>
      <c r="R278" s="713"/>
      <c r="S278" s="2649"/>
      <c r="T278" s="2649"/>
      <c r="U278" s="2649"/>
      <c r="V278" s="715"/>
      <c r="W278" s="2664"/>
      <c r="X278" s="94"/>
      <c r="Y278" s="159"/>
      <c r="Z278" s="94"/>
      <c r="AA278" s="94"/>
      <c r="AB278" s="94"/>
      <c r="AC278" s="94"/>
      <c r="AD278" s="94"/>
      <c r="AE278" s="94"/>
      <c r="AF278" s="160"/>
      <c r="AG278" s="159"/>
      <c r="AH278" s="94"/>
      <c r="AI278" s="94"/>
      <c r="AJ278" s="94"/>
      <c r="AK278" s="160"/>
      <c r="AL278" s="2664"/>
      <c r="AM278" s="94"/>
      <c r="AN278" s="159"/>
      <c r="AO278" s="94"/>
      <c r="AP278" s="94"/>
      <c r="AQ278" s="94"/>
      <c r="AR278" s="94"/>
      <c r="AS278" s="94"/>
      <c r="AT278" s="94"/>
      <c r="AU278" s="160"/>
      <c r="AV278" s="159"/>
      <c r="AW278" s="94"/>
      <c r="AX278" s="94"/>
      <c r="AY278" s="94"/>
      <c r="AZ278" s="160"/>
      <c r="BA278" s="2629"/>
      <c r="BB278" s="2629"/>
      <c r="BC278" s="2629"/>
      <c r="BD278" s="2629"/>
      <c r="BE278" s="2629"/>
      <c r="BF278" s="2629"/>
      <c r="BG278" s="2629"/>
      <c r="BH278" s="2629"/>
      <c r="BI278" s="2629"/>
      <c r="BJ278" s="2629"/>
      <c r="BK278" s="2629"/>
      <c r="BL278" s="2629"/>
      <c r="BM278" s="2629"/>
      <c r="BN278" s="2629"/>
    </row>
    <row r="279" spans="1:66" s="98" customFormat="1" ht="15" customHeight="1">
      <c r="A279" s="99"/>
      <c r="B279" s="115"/>
      <c r="C279" s="116" t="s">
        <v>1684</v>
      </c>
      <c r="D279" s="116"/>
      <c r="E279" s="116"/>
      <c r="F279" s="116"/>
      <c r="G279" s="117"/>
      <c r="H279" s="117"/>
      <c r="I279" s="92"/>
      <c r="J279" s="619"/>
      <c r="K279" s="93"/>
      <c r="L279" s="93"/>
      <c r="M279" s="93"/>
      <c r="N279" s="93"/>
      <c r="O279" s="93"/>
      <c r="P279" s="93"/>
      <c r="Q279" s="618"/>
      <c r="R279" s="619"/>
      <c r="S279" s="93"/>
      <c r="T279" s="93"/>
      <c r="U279" s="93"/>
      <c r="V279" s="618"/>
      <c r="W279" s="2664"/>
      <c r="X279" s="93"/>
      <c r="Y279" s="619"/>
      <c r="Z279" s="93"/>
      <c r="AA279" s="93"/>
      <c r="AB279" s="93"/>
      <c r="AC279" s="93"/>
      <c r="AD279" s="93"/>
      <c r="AE279" s="93"/>
      <c r="AF279" s="618"/>
      <c r="AG279" s="619"/>
      <c r="AH279" s="93"/>
      <c r="AI279" s="93"/>
      <c r="AJ279" s="93"/>
      <c r="AK279" s="618"/>
      <c r="AL279" s="2664"/>
      <c r="AM279" s="93"/>
      <c r="AN279" s="619"/>
      <c r="AO279" s="93"/>
      <c r="AP279" s="93"/>
      <c r="AQ279" s="93"/>
      <c r="AR279" s="93"/>
      <c r="AS279" s="93"/>
      <c r="AT279" s="93"/>
      <c r="AU279" s="618"/>
      <c r="AV279" s="619"/>
      <c r="AW279" s="93"/>
      <c r="AX279" s="93"/>
      <c r="AY279" s="93"/>
      <c r="AZ279" s="618"/>
      <c r="BA279" s="2629"/>
      <c r="BB279" s="2629"/>
      <c r="BC279" s="2629"/>
      <c r="BD279" s="2629"/>
      <c r="BE279" s="2629"/>
      <c r="BF279" s="2629"/>
      <c r="BG279" s="2629"/>
      <c r="BH279" s="2629"/>
      <c r="BI279" s="2629"/>
      <c r="BJ279" s="2629"/>
      <c r="BK279" s="2629"/>
      <c r="BL279" s="2629"/>
      <c r="BM279" s="2629"/>
      <c r="BN279" s="2629"/>
    </row>
    <row r="280" spans="1:66" s="98" customFormat="1" ht="15" customHeight="1">
      <c r="A280" s="99"/>
      <c r="B280" s="161"/>
      <c r="C280" s="185"/>
      <c r="D280" s="116" t="s">
        <v>2521</v>
      </c>
      <c r="E280" s="116"/>
      <c r="F280" s="116"/>
      <c r="G280" s="117"/>
      <c r="H280" s="117"/>
      <c r="I280" s="117"/>
      <c r="J280" s="159"/>
      <c r="K280" s="94"/>
      <c r="L280" s="94"/>
      <c r="M280" s="94"/>
      <c r="N280" s="94"/>
      <c r="O280" s="94"/>
      <c r="P280" s="94"/>
      <c r="Q280" s="160"/>
      <c r="R280" s="159"/>
      <c r="S280" s="94"/>
      <c r="T280" s="94"/>
      <c r="U280" s="94"/>
      <c r="V280" s="160"/>
      <c r="W280" s="2664"/>
      <c r="X280" s="94"/>
      <c r="Y280" s="159"/>
      <c r="Z280" s="94"/>
      <c r="AA280" s="94"/>
      <c r="AB280" s="94"/>
      <c r="AC280" s="94"/>
      <c r="AD280" s="94"/>
      <c r="AE280" s="94"/>
      <c r="AF280" s="160"/>
      <c r="AG280" s="159"/>
      <c r="AH280" s="94"/>
      <c r="AI280" s="94"/>
      <c r="AJ280" s="94"/>
      <c r="AK280" s="160"/>
      <c r="AL280" s="2664"/>
      <c r="AM280" s="94"/>
      <c r="AN280" s="159"/>
      <c r="AO280" s="94"/>
      <c r="AP280" s="94"/>
      <c r="AQ280" s="94"/>
      <c r="AR280" s="94"/>
      <c r="AS280" s="94"/>
      <c r="AT280" s="94"/>
      <c r="AU280" s="160"/>
      <c r="AV280" s="159"/>
      <c r="AW280" s="94"/>
      <c r="AX280" s="94"/>
      <c r="AY280" s="94"/>
      <c r="AZ280" s="160"/>
      <c r="BA280" s="2629"/>
      <c r="BB280" s="2629"/>
      <c r="BC280" s="2629"/>
      <c r="BD280" s="2629"/>
      <c r="BE280" s="2629"/>
      <c r="BF280" s="2629"/>
      <c r="BG280" s="2629"/>
      <c r="BH280" s="2629"/>
      <c r="BI280" s="2629"/>
      <c r="BJ280" s="2629"/>
      <c r="BK280" s="2629"/>
      <c r="BL280" s="2629"/>
      <c r="BM280" s="2629"/>
      <c r="BN280" s="2629"/>
    </row>
    <row r="281" spans="1:66" s="98" customFormat="1" ht="15" customHeight="1">
      <c r="A281" s="99"/>
      <c r="B281" s="161"/>
      <c r="C281" s="185"/>
      <c r="D281" s="162"/>
      <c r="E281" s="230" t="s">
        <v>2787</v>
      </c>
      <c r="F281" s="230"/>
      <c r="G281" s="163"/>
      <c r="H281" s="163"/>
      <c r="I281" s="164" t="s">
        <v>498</v>
      </c>
      <c r="J281" s="143">
        <v>0</v>
      </c>
      <c r="K281" s="141">
        <v>0</v>
      </c>
      <c r="L281" s="141">
        <v>0</v>
      </c>
      <c r="M281" s="141">
        <v>0</v>
      </c>
      <c r="N281" s="141">
        <v>0</v>
      </c>
      <c r="O281" s="141">
        <v>0</v>
      </c>
      <c r="P281" s="141">
        <v>0</v>
      </c>
      <c r="Q281" s="144">
        <v>0</v>
      </c>
      <c r="R281" s="143">
        <v>0</v>
      </c>
      <c r="S281" s="141">
        <v>0</v>
      </c>
      <c r="T281" s="141">
        <v>0</v>
      </c>
      <c r="U281" s="141">
        <v>0</v>
      </c>
      <c r="V281" s="144">
        <v>0</v>
      </c>
      <c r="W281" s="2664"/>
      <c r="X281" s="607" t="s">
        <v>498</v>
      </c>
      <c r="Y281" s="165">
        <v>0</v>
      </c>
      <c r="Z281" s="166">
        <v>0</v>
      </c>
      <c r="AA281" s="166">
        <v>0</v>
      </c>
      <c r="AB281" s="166">
        <v>0</v>
      </c>
      <c r="AC281" s="166">
        <v>0</v>
      </c>
      <c r="AD281" s="166">
        <v>0</v>
      </c>
      <c r="AE281" s="166">
        <v>0</v>
      </c>
      <c r="AF281" s="167">
        <v>0</v>
      </c>
      <c r="AG281" s="165">
        <v>0</v>
      </c>
      <c r="AH281" s="166">
        <v>0</v>
      </c>
      <c r="AI281" s="166">
        <v>0</v>
      </c>
      <c r="AJ281" s="166">
        <v>0</v>
      </c>
      <c r="AK281" s="167">
        <v>0</v>
      </c>
      <c r="AL281" s="2664"/>
      <c r="AM281" s="607" t="s">
        <v>1876</v>
      </c>
      <c r="AN281" s="165">
        <v>0</v>
      </c>
      <c r="AO281" s="166">
        <v>0</v>
      </c>
      <c r="AP281" s="166">
        <v>0</v>
      </c>
      <c r="AQ281" s="166">
        <v>0</v>
      </c>
      <c r="AR281" s="166">
        <v>0</v>
      </c>
      <c r="AS281" s="166">
        <v>0</v>
      </c>
      <c r="AT281" s="166">
        <v>0</v>
      </c>
      <c r="AU281" s="167">
        <v>0</v>
      </c>
      <c r="AV281" s="165">
        <v>0</v>
      </c>
      <c r="AW281" s="166">
        <v>0</v>
      </c>
      <c r="AX281" s="166">
        <v>0</v>
      </c>
      <c r="AY281" s="166">
        <v>0</v>
      </c>
      <c r="AZ281" s="167">
        <v>0</v>
      </c>
      <c r="BA281" s="2629"/>
      <c r="BB281" s="2629"/>
      <c r="BC281" s="2629"/>
      <c r="BD281" s="2629"/>
      <c r="BE281" s="2629"/>
      <c r="BF281" s="2629"/>
      <c r="BG281" s="2629"/>
      <c r="BH281" s="2629"/>
      <c r="BI281" s="2629"/>
      <c r="BJ281" s="2629"/>
      <c r="BK281" s="2629"/>
      <c r="BL281" s="2629"/>
      <c r="BM281" s="2629"/>
      <c r="BN281" s="2629"/>
    </row>
    <row r="282" spans="1:66" s="98" customFormat="1" ht="15" customHeight="1">
      <c r="A282" s="99"/>
      <c r="B282" s="161"/>
      <c r="C282" s="185"/>
      <c r="D282" s="162"/>
      <c r="E282" s="162" t="s">
        <v>1555</v>
      </c>
      <c r="F282" s="162"/>
      <c r="G282" s="163"/>
      <c r="H282" s="163"/>
      <c r="I282" s="164" t="s">
        <v>498</v>
      </c>
      <c r="J282" s="143">
        <v>0</v>
      </c>
      <c r="K282" s="141">
        <v>0</v>
      </c>
      <c r="L282" s="141">
        <v>0</v>
      </c>
      <c r="M282" s="141">
        <v>0</v>
      </c>
      <c r="N282" s="141">
        <v>0</v>
      </c>
      <c r="O282" s="141">
        <v>0</v>
      </c>
      <c r="P282" s="141">
        <v>0</v>
      </c>
      <c r="Q282" s="144">
        <v>0</v>
      </c>
      <c r="R282" s="143">
        <v>0</v>
      </c>
      <c r="S282" s="141">
        <v>0</v>
      </c>
      <c r="T282" s="141">
        <v>0</v>
      </c>
      <c r="U282" s="141">
        <v>0</v>
      </c>
      <c r="V282" s="144">
        <v>0</v>
      </c>
      <c r="W282" s="2664"/>
      <c r="X282" s="607" t="s">
        <v>498</v>
      </c>
      <c r="Y282" s="165">
        <v>0</v>
      </c>
      <c r="Z282" s="166">
        <v>0</v>
      </c>
      <c r="AA282" s="166">
        <v>0</v>
      </c>
      <c r="AB282" s="166">
        <v>0</v>
      </c>
      <c r="AC282" s="166">
        <v>0</v>
      </c>
      <c r="AD282" s="166">
        <v>0</v>
      </c>
      <c r="AE282" s="166">
        <v>0</v>
      </c>
      <c r="AF282" s="167">
        <v>0</v>
      </c>
      <c r="AG282" s="165">
        <v>0</v>
      </c>
      <c r="AH282" s="166">
        <v>0</v>
      </c>
      <c r="AI282" s="166">
        <v>0</v>
      </c>
      <c r="AJ282" s="166">
        <v>0</v>
      </c>
      <c r="AK282" s="167">
        <v>0</v>
      </c>
      <c r="AL282" s="2664"/>
      <c r="AM282" s="607" t="s">
        <v>1876</v>
      </c>
      <c r="AN282" s="165">
        <v>0</v>
      </c>
      <c r="AO282" s="166">
        <v>0</v>
      </c>
      <c r="AP282" s="166">
        <v>0</v>
      </c>
      <c r="AQ282" s="166">
        <v>0</v>
      </c>
      <c r="AR282" s="166">
        <v>0</v>
      </c>
      <c r="AS282" s="166">
        <v>0</v>
      </c>
      <c r="AT282" s="166">
        <v>0</v>
      </c>
      <c r="AU282" s="167">
        <v>0</v>
      </c>
      <c r="AV282" s="165">
        <v>0</v>
      </c>
      <c r="AW282" s="166">
        <v>0</v>
      </c>
      <c r="AX282" s="166">
        <v>0</v>
      </c>
      <c r="AY282" s="166">
        <v>0</v>
      </c>
      <c r="AZ282" s="167">
        <v>0</v>
      </c>
      <c r="BA282" s="2629"/>
      <c r="BB282" s="2629"/>
      <c r="BC282" s="2629"/>
      <c r="BD282" s="2629"/>
      <c r="BE282" s="2629"/>
      <c r="BF282" s="2629"/>
      <c r="BG282" s="2629"/>
      <c r="BH282" s="2629"/>
      <c r="BI282" s="2629"/>
      <c r="BJ282" s="2629"/>
      <c r="BK282" s="2629"/>
      <c r="BL282" s="2629"/>
      <c r="BM282" s="2629"/>
      <c r="BN282" s="2629"/>
    </row>
    <row r="283" spans="1:66" s="98" customFormat="1" ht="15" customHeight="1">
      <c r="A283" s="99"/>
      <c r="B283" s="161"/>
      <c r="C283" s="185"/>
      <c r="D283" s="116" t="s">
        <v>2427</v>
      </c>
      <c r="E283" s="116"/>
      <c r="F283" s="116"/>
      <c r="G283" s="117"/>
      <c r="H283" s="117"/>
      <c r="I283" s="117"/>
      <c r="J283" s="713"/>
      <c r="K283" s="2649"/>
      <c r="L283" s="2649"/>
      <c r="M283" s="2649"/>
      <c r="N283" s="2649"/>
      <c r="O283" s="2649"/>
      <c r="P283" s="2649"/>
      <c r="Q283" s="715"/>
      <c r="R283" s="713"/>
      <c r="S283" s="2649"/>
      <c r="T283" s="2649"/>
      <c r="U283" s="2649"/>
      <c r="V283" s="715"/>
      <c r="W283" s="2664"/>
      <c r="X283" s="94"/>
      <c r="Y283" s="159"/>
      <c r="Z283" s="94"/>
      <c r="AA283" s="94"/>
      <c r="AB283" s="94"/>
      <c r="AC283" s="94"/>
      <c r="AD283" s="94"/>
      <c r="AE283" s="94"/>
      <c r="AF283" s="160"/>
      <c r="AG283" s="159"/>
      <c r="AH283" s="94"/>
      <c r="AI283" s="94"/>
      <c r="AJ283" s="94"/>
      <c r="AK283" s="160"/>
      <c r="AL283" s="2664"/>
      <c r="AM283" s="94"/>
      <c r="AN283" s="159"/>
      <c r="AO283" s="94"/>
      <c r="AP283" s="94"/>
      <c r="AQ283" s="94"/>
      <c r="AR283" s="94"/>
      <c r="AS283" s="94"/>
      <c r="AT283" s="94"/>
      <c r="AU283" s="160"/>
      <c r="AV283" s="159"/>
      <c r="AW283" s="94"/>
      <c r="AX283" s="94"/>
      <c r="AY283" s="94"/>
      <c r="AZ283" s="160"/>
      <c r="BA283" s="2629"/>
      <c r="BB283" s="2629"/>
      <c r="BC283" s="2629"/>
      <c r="BD283" s="2629"/>
      <c r="BE283" s="2629"/>
      <c r="BF283" s="2629"/>
      <c r="BG283" s="2629"/>
      <c r="BH283" s="2629"/>
      <c r="BI283" s="2629"/>
      <c r="BJ283" s="2629"/>
      <c r="BK283" s="2629"/>
      <c r="BL283" s="2629"/>
      <c r="BM283" s="2629"/>
      <c r="BN283" s="2629"/>
    </row>
    <row r="284" spans="1:66" s="98" customFormat="1" ht="15" customHeight="1">
      <c r="A284" s="99"/>
      <c r="B284" s="161"/>
      <c r="C284" s="185"/>
      <c r="D284" s="162"/>
      <c r="E284" s="230" t="s">
        <v>2787</v>
      </c>
      <c r="F284" s="230"/>
      <c r="G284" s="163"/>
      <c r="H284" s="163"/>
      <c r="I284" s="164" t="s">
        <v>498</v>
      </c>
      <c r="J284" s="143">
        <v>0</v>
      </c>
      <c r="K284" s="141">
        <v>0</v>
      </c>
      <c r="L284" s="141">
        <v>0</v>
      </c>
      <c r="M284" s="141">
        <v>0</v>
      </c>
      <c r="N284" s="141">
        <v>0</v>
      </c>
      <c r="O284" s="141">
        <v>0</v>
      </c>
      <c r="P284" s="141">
        <v>0</v>
      </c>
      <c r="Q284" s="144">
        <v>0</v>
      </c>
      <c r="R284" s="143">
        <v>0</v>
      </c>
      <c r="S284" s="141">
        <v>0</v>
      </c>
      <c r="T284" s="141">
        <v>0</v>
      </c>
      <c r="U284" s="141">
        <v>0</v>
      </c>
      <c r="V284" s="144">
        <v>0</v>
      </c>
      <c r="W284" s="2664"/>
      <c r="X284" s="607" t="s">
        <v>498</v>
      </c>
      <c r="Y284" s="165">
        <v>0</v>
      </c>
      <c r="Z284" s="166">
        <v>0</v>
      </c>
      <c r="AA284" s="166">
        <v>0</v>
      </c>
      <c r="AB284" s="166">
        <v>0</v>
      </c>
      <c r="AC284" s="166">
        <v>0</v>
      </c>
      <c r="AD284" s="166">
        <v>0</v>
      </c>
      <c r="AE284" s="166">
        <v>0</v>
      </c>
      <c r="AF284" s="167">
        <v>0</v>
      </c>
      <c r="AG284" s="165">
        <v>0</v>
      </c>
      <c r="AH284" s="166">
        <v>0</v>
      </c>
      <c r="AI284" s="166">
        <v>0</v>
      </c>
      <c r="AJ284" s="166">
        <v>0</v>
      </c>
      <c r="AK284" s="167">
        <v>0</v>
      </c>
      <c r="AL284" s="2664"/>
      <c r="AM284" s="607" t="s">
        <v>1876</v>
      </c>
      <c r="AN284" s="165">
        <v>0</v>
      </c>
      <c r="AO284" s="166">
        <v>0</v>
      </c>
      <c r="AP284" s="166">
        <v>0</v>
      </c>
      <c r="AQ284" s="166">
        <v>0</v>
      </c>
      <c r="AR284" s="166">
        <v>0</v>
      </c>
      <c r="AS284" s="166">
        <v>0</v>
      </c>
      <c r="AT284" s="166">
        <v>0</v>
      </c>
      <c r="AU284" s="167">
        <v>0</v>
      </c>
      <c r="AV284" s="165">
        <v>0</v>
      </c>
      <c r="AW284" s="166">
        <v>0</v>
      </c>
      <c r="AX284" s="166">
        <v>0</v>
      </c>
      <c r="AY284" s="166">
        <v>0</v>
      </c>
      <c r="AZ284" s="167">
        <v>0</v>
      </c>
      <c r="BA284" s="2629"/>
      <c r="BB284" s="2629"/>
      <c r="BC284" s="2629"/>
      <c r="BD284" s="2629"/>
      <c r="BE284" s="2629"/>
      <c r="BF284" s="2629"/>
      <c r="BG284" s="2629"/>
      <c r="BH284" s="2629"/>
      <c r="BI284" s="2629"/>
      <c r="BJ284" s="2629"/>
      <c r="BK284" s="2629"/>
      <c r="BL284" s="2629"/>
      <c r="BM284" s="2629"/>
      <c r="BN284" s="2629"/>
    </row>
    <row r="285" spans="1:66" s="98" customFormat="1" ht="15" customHeight="1">
      <c r="A285" s="99"/>
      <c r="B285" s="161"/>
      <c r="C285" s="185"/>
      <c r="D285" s="162"/>
      <c r="E285" s="162" t="s">
        <v>1555</v>
      </c>
      <c r="F285" s="162"/>
      <c r="G285" s="163"/>
      <c r="H285" s="163"/>
      <c r="I285" s="164" t="s">
        <v>498</v>
      </c>
      <c r="J285" s="143">
        <v>0</v>
      </c>
      <c r="K285" s="141">
        <v>0</v>
      </c>
      <c r="L285" s="141">
        <v>0</v>
      </c>
      <c r="M285" s="141">
        <v>0</v>
      </c>
      <c r="N285" s="141">
        <v>0</v>
      </c>
      <c r="O285" s="141">
        <v>0</v>
      </c>
      <c r="P285" s="141">
        <v>0</v>
      </c>
      <c r="Q285" s="144">
        <v>0</v>
      </c>
      <c r="R285" s="143">
        <v>0</v>
      </c>
      <c r="S285" s="141">
        <v>0</v>
      </c>
      <c r="T285" s="141">
        <v>0</v>
      </c>
      <c r="U285" s="141">
        <v>0</v>
      </c>
      <c r="V285" s="144">
        <v>0</v>
      </c>
      <c r="W285" s="2664"/>
      <c r="X285" s="607" t="s">
        <v>498</v>
      </c>
      <c r="Y285" s="165">
        <v>0</v>
      </c>
      <c r="Z285" s="166">
        <v>0</v>
      </c>
      <c r="AA285" s="166">
        <v>0</v>
      </c>
      <c r="AB285" s="166">
        <v>0</v>
      </c>
      <c r="AC285" s="166">
        <v>0</v>
      </c>
      <c r="AD285" s="166">
        <v>0</v>
      </c>
      <c r="AE285" s="166">
        <v>0</v>
      </c>
      <c r="AF285" s="167">
        <v>0</v>
      </c>
      <c r="AG285" s="165">
        <v>0</v>
      </c>
      <c r="AH285" s="166">
        <v>0</v>
      </c>
      <c r="AI285" s="166">
        <v>0</v>
      </c>
      <c r="AJ285" s="166">
        <v>0</v>
      </c>
      <c r="AK285" s="167">
        <v>0</v>
      </c>
      <c r="AL285" s="2664"/>
      <c r="AM285" s="607" t="s">
        <v>1876</v>
      </c>
      <c r="AN285" s="165">
        <v>0</v>
      </c>
      <c r="AO285" s="166">
        <v>0</v>
      </c>
      <c r="AP285" s="166">
        <v>0</v>
      </c>
      <c r="AQ285" s="166">
        <v>0</v>
      </c>
      <c r="AR285" s="166">
        <v>0</v>
      </c>
      <c r="AS285" s="166">
        <v>0</v>
      </c>
      <c r="AT285" s="166">
        <v>0</v>
      </c>
      <c r="AU285" s="167">
        <v>0</v>
      </c>
      <c r="AV285" s="165">
        <v>0</v>
      </c>
      <c r="AW285" s="166">
        <v>0</v>
      </c>
      <c r="AX285" s="166">
        <v>0</v>
      </c>
      <c r="AY285" s="166">
        <v>0</v>
      </c>
      <c r="AZ285" s="167">
        <v>0</v>
      </c>
      <c r="BA285" s="2629"/>
      <c r="BB285" s="2629"/>
      <c r="BC285" s="2629"/>
      <c r="BD285" s="2629"/>
      <c r="BE285" s="2629"/>
      <c r="BF285" s="2629"/>
      <c r="BG285" s="2629"/>
      <c r="BH285" s="2629"/>
      <c r="BI285" s="2629"/>
      <c r="BJ285" s="2629"/>
      <c r="BK285" s="2629"/>
      <c r="BL285" s="2629"/>
      <c r="BM285" s="2629"/>
      <c r="BN285" s="2629"/>
    </row>
    <row r="286" spans="1:66" s="98" customFormat="1" ht="15" customHeight="1">
      <c r="A286" s="99"/>
      <c r="B286" s="161"/>
      <c r="C286" s="116"/>
      <c r="D286" s="116"/>
      <c r="E286" s="116"/>
      <c r="F286" s="116"/>
      <c r="G286" s="117"/>
      <c r="H286" s="117"/>
      <c r="I286" s="117"/>
      <c r="J286" s="713"/>
      <c r="K286" s="2649"/>
      <c r="L286" s="2649"/>
      <c r="M286" s="2649"/>
      <c r="N286" s="2649"/>
      <c r="O286" s="2649"/>
      <c r="P286" s="2649"/>
      <c r="Q286" s="715"/>
      <c r="R286" s="713"/>
      <c r="S286" s="2649"/>
      <c r="T286" s="2649"/>
      <c r="U286" s="2649"/>
      <c r="V286" s="715"/>
      <c r="W286" s="2664"/>
      <c r="X286" s="94"/>
      <c r="Y286" s="159"/>
      <c r="Z286" s="94"/>
      <c r="AA286" s="94"/>
      <c r="AB286" s="94"/>
      <c r="AC286" s="94"/>
      <c r="AD286" s="94"/>
      <c r="AE286" s="94"/>
      <c r="AF286" s="160"/>
      <c r="AG286" s="159"/>
      <c r="AH286" s="94"/>
      <c r="AI286" s="94"/>
      <c r="AJ286" s="94"/>
      <c r="AK286" s="160"/>
      <c r="AL286" s="2664"/>
      <c r="AM286" s="94"/>
      <c r="AN286" s="159"/>
      <c r="AO286" s="94"/>
      <c r="AP286" s="94"/>
      <c r="AQ286" s="94"/>
      <c r="AR286" s="94"/>
      <c r="AS286" s="94"/>
      <c r="AT286" s="94"/>
      <c r="AU286" s="160"/>
      <c r="AV286" s="159"/>
      <c r="AW286" s="94"/>
      <c r="AX286" s="94"/>
      <c r="AY286" s="94"/>
      <c r="AZ286" s="160"/>
      <c r="BA286" s="2629"/>
      <c r="BB286" s="2629"/>
      <c r="BC286" s="2629"/>
      <c r="BD286" s="2629"/>
      <c r="BE286" s="2629"/>
      <c r="BF286" s="2629"/>
      <c r="BG286" s="2629"/>
      <c r="BH286" s="2629"/>
      <c r="BI286" s="2629"/>
      <c r="BJ286" s="2629"/>
      <c r="BK286" s="2629"/>
      <c r="BL286" s="2629"/>
      <c r="BM286" s="2629"/>
      <c r="BN286" s="2629"/>
    </row>
    <row r="287" spans="1:66" s="98" customFormat="1" ht="15" customHeight="1">
      <c r="A287" s="99"/>
      <c r="B287" s="115"/>
      <c r="C287" s="116" t="s">
        <v>1685</v>
      </c>
      <c r="D287" s="116"/>
      <c r="E287" s="116"/>
      <c r="F287" s="116"/>
      <c r="G287" s="117"/>
      <c r="H287" s="117"/>
      <c r="I287" s="92"/>
      <c r="J287" s="619"/>
      <c r="K287" s="93"/>
      <c r="L287" s="93"/>
      <c r="M287" s="93"/>
      <c r="N287" s="93"/>
      <c r="O287" s="93"/>
      <c r="P287" s="93"/>
      <c r="Q287" s="618"/>
      <c r="R287" s="619"/>
      <c r="S287" s="93"/>
      <c r="T287" s="93"/>
      <c r="U287" s="93"/>
      <c r="V287" s="618"/>
      <c r="W287" s="2664"/>
      <c r="X287" s="93"/>
      <c r="Y287" s="619"/>
      <c r="Z287" s="93"/>
      <c r="AA287" s="93"/>
      <c r="AB287" s="93"/>
      <c r="AC287" s="93"/>
      <c r="AD287" s="93"/>
      <c r="AE287" s="93"/>
      <c r="AF287" s="618"/>
      <c r="AG287" s="619"/>
      <c r="AH287" s="93"/>
      <c r="AI287" s="93"/>
      <c r="AJ287" s="93"/>
      <c r="AK287" s="618"/>
      <c r="AL287" s="2664"/>
      <c r="AM287" s="93"/>
      <c r="AN287" s="619"/>
      <c r="AO287" s="93"/>
      <c r="AP287" s="93"/>
      <c r="AQ287" s="93"/>
      <c r="AR287" s="93"/>
      <c r="AS287" s="93"/>
      <c r="AT287" s="93"/>
      <c r="AU287" s="618"/>
      <c r="AV287" s="619"/>
      <c r="AW287" s="93"/>
      <c r="AX287" s="93"/>
      <c r="AY287" s="93"/>
      <c r="AZ287" s="618"/>
      <c r="BA287" s="2629"/>
      <c r="BB287" s="2629"/>
      <c r="BC287" s="2629"/>
      <c r="BD287" s="2629"/>
      <c r="BE287" s="2629"/>
      <c r="BF287" s="2629"/>
      <c r="BG287" s="2629"/>
      <c r="BH287" s="2629"/>
      <c r="BI287" s="2629"/>
      <c r="BJ287" s="2629"/>
      <c r="BK287" s="2629"/>
      <c r="BL287" s="2629"/>
      <c r="BM287" s="2629"/>
      <c r="BN287" s="2629"/>
    </row>
    <row r="288" spans="1:66" s="98" customFormat="1" ht="15" customHeight="1">
      <c r="A288" s="99"/>
      <c r="B288" s="161"/>
      <c r="C288" s="185"/>
      <c r="D288" s="116" t="s">
        <v>2521</v>
      </c>
      <c r="E288" s="116"/>
      <c r="F288" s="116"/>
      <c r="G288" s="117"/>
      <c r="H288" s="117"/>
      <c r="I288" s="117"/>
      <c r="J288" s="159"/>
      <c r="K288" s="94"/>
      <c r="L288" s="94"/>
      <c r="M288" s="94"/>
      <c r="N288" s="94"/>
      <c r="O288" s="94"/>
      <c r="P288" s="94"/>
      <c r="Q288" s="160"/>
      <c r="R288" s="159"/>
      <c r="S288" s="94"/>
      <c r="T288" s="94"/>
      <c r="U288" s="94"/>
      <c r="V288" s="160"/>
      <c r="W288" s="2664"/>
      <c r="X288" s="94"/>
      <c r="Y288" s="159"/>
      <c r="Z288" s="94"/>
      <c r="AA288" s="94"/>
      <c r="AB288" s="94"/>
      <c r="AC288" s="94"/>
      <c r="AD288" s="94"/>
      <c r="AE288" s="94"/>
      <c r="AF288" s="160"/>
      <c r="AG288" s="159"/>
      <c r="AH288" s="94"/>
      <c r="AI288" s="94"/>
      <c r="AJ288" s="94"/>
      <c r="AK288" s="160"/>
      <c r="AL288" s="2664"/>
      <c r="AM288" s="94"/>
      <c r="AN288" s="159"/>
      <c r="AO288" s="94"/>
      <c r="AP288" s="94"/>
      <c r="AQ288" s="94"/>
      <c r="AR288" s="94"/>
      <c r="AS288" s="94"/>
      <c r="AT288" s="94"/>
      <c r="AU288" s="160"/>
      <c r="AV288" s="159"/>
      <c r="AW288" s="94"/>
      <c r="AX288" s="94"/>
      <c r="AY288" s="94"/>
      <c r="AZ288" s="160"/>
      <c r="BA288" s="2629"/>
      <c r="BB288" s="2629"/>
      <c r="BC288" s="2629"/>
      <c r="BD288" s="2629"/>
      <c r="BE288" s="2629"/>
      <c r="BF288" s="2629"/>
      <c r="BG288" s="2629"/>
      <c r="BH288" s="2629"/>
      <c r="BI288" s="2629"/>
      <c r="BJ288" s="2629"/>
      <c r="BK288" s="2629"/>
      <c r="BL288" s="2629"/>
      <c r="BM288" s="2629"/>
      <c r="BN288" s="2629"/>
    </row>
    <row r="289" spans="1:66" s="98" customFormat="1" ht="15" customHeight="1">
      <c r="A289" s="99"/>
      <c r="B289" s="161"/>
      <c r="C289" s="185"/>
      <c r="D289" s="162"/>
      <c r="E289" s="230" t="s">
        <v>2787</v>
      </c>
      <c r="F289" s="230"/>
      <c r="G289" s="163"/>
      <c r="H289" s="163"/>
      <c r="I289" s="164" t="s">
        <v>498</v>
      </c>
      <c r="J289" s="143">
        <v>0</v>
      </c>
      <c r="K289" s="141">
        <v>0</v>
      </c>
      <c r="L289" s="141">
        <v>0</v>
      </c>
      <c r="M289" s="141">
        <v>0</v>
      </c>
      <c r="N289" s="141">
        <v>0</v>
      </c>
      <c r="O289" s="141">
        <v>0</v>
      </c>
      <c r="P289" s="141">
        <v>0</v>
      </c>
      <c r="Q289" s="144">
        <v>0</v>
      </c>
      <c r="R289" s="143">
        <v>0</v>
      </c>
      <c r="S289" s="141">
        <v>0</v>
      </c>
      <c r="T289" s="141">
        <v>0</v>
      </c>
      <c r="U289" s="141">
        <v>0</v>
      </c>
      <c r="V289" s="144">
        <v>0</v>
      </c>
      <c r="W289" s="2664"/>
      <c r="X289" s="607" t="s">
        <v>498</v>
      </c>
      <c r="Y289" s="165">
        <v>0</v>
      </c>
      <c r="Z289" s="166">
        <v>0</v>
      </c>
      <c r="AA289" s="166">
        <v>0</v>
      </c>
      <c r="AB289" s="166">
        <v>0</v>
      </c>
      <c r="AC289" s="166">
        <v>0</v>
      </c>
      <c r="AD289" s="166">
        <v>0</v>
      </c>
      <c r="AE289" s="166">
        <v>0</v>
      </c>
      <c r="AF289" s="167">
        <v>0</v>
      </c>
      <c r="AG289" s="165">
        <v>0</v>
      </c>
      <c r="AH289" s="166">
        <v>0</v>
      </c>
      <c r="AI289" s="166">
        <v>0</v>
      </c>
      <c r="AJ289" s="166">
        <v>0</v>
      </c>
      <c r="AK289" s="167">
        <v>0</v>
      </c>
      <c r="AL289" s="2664"/>
      <c r="AM289" s="607" t="s">
        <v>1876</v>
      </c>
      <c r="AN289" s="165">
        <v>0</v>
      </c>
      <c r="AO289" s="166">
        <v>0</v>
      </c>
      <c r="AP289" s="166">
        <v>0</v>
      </c>
      <c r="AQ289" s="166">
        <v>0</v>
      </c>
      <c r="AR289" s="166">
        <v>0</v>
      </c>
      <c r="AS289" s="166">
        <v>0</v>
      </c>
      <c r="AT289" s="166">
        <v>0</v>
      </c>
      <c r="AU289" s="167">
        <v>0</v>
      </c>
      <c r="AV289" s="165">
        <v>0</v>
      </c>
      <c r="AW289" s="166">
        <v>0</v>
      </c>
      <c r="AX289" s="166">
        <v>0</v>
      </c>
      <c r="AY289" s="166">
        <v>0</v>
      </c>
      <c r="AZ289" s="167">
        <v>0</v>
      </c>
      <c r="BA289" s="2629"/>
      <c r="BB289" s="2629"/>
      <c r="BC289" s="2629"/>
      <c r="BD289" s="2629"/>
      <c r="BE289" s="2629"/>
      <c r="BF289" s="2629"/>
      <c r="BG289" s="2629"/>
      <c r="BH289" s="2629"/>
      <c r="BI289" s="2629"/>
      <c r="BJ289" s="2629"/>
      <c r="BK289" s="2629"/>
      <c r="BL289" s="2629"/>
      <c r="BM289" s="2629"/>
      <c r="BN289" s="2629"/>
    </row>
    <row r="290" spans="1:66" s="98" customFormat="1" ht="15" customHeight="1">
      <c r="A290" s="99"/>
      <c r="B290" s="161"/>
      <c r="C290" s="185"/>
      <c r="D290" s="162"/>
      <c r="E290" s="162" t="s">
        <v>1555</v>
      </c>
      <c r="F290" s="162"/>
      <c r="G290" s="163"/>
      <c r="H290" s="163"/>
      <c r="I290" s="164" t="s">
        <v>498</v>
      </c>
      <c r="J290" s="143">
        <v>0</v>
      </c>
      <c r="K290" s="141">
        <v>0</v>
      </c>
      <c r="L290" s="141">
        <v>0</v>
      </c>
      <c r="M290" s="141">
        <v>0</v>
      </c>
      <c r="N290" s="141">
        <v>0</v>
      </c>
      <c r="O290" s="141">
        <v>0</v>
      </c>
      <c r="P290" s="141">
        <v>0</v>
      </c>
      <c r="Q290" s="144">
        <v>0</v>
      </c>
      <c r="R290" s="143">
        <v>0</v>
      </c>
      <c r="S290" s="141">
        <v>0</v>
      </c>
      <c r="T290" s="141">
        <v>0</v>
      </c>
      <c r="U290" s="141">
        <v>0</v>
      </c>
      <c r="V290" s="144">
        <v>0</v>
      </c>
      <c r="W290" s="2664"/>
      <c r="X290" s="607" t="s">
        <v>498</v>
      </c>
      <c r="Y290" s="165">
        <v>0</v>
      </c>
      <c r="Z290" s="166">
        <v>0</v>
      </c>
      <c r="AA290" s="166">
        <v>0</v>
      </c>
      <c r="AB290" s="166">
        <v>0</v>
      </c>
      <c r="AC290" s="166">
        <v>0</v>
      </c>
      <c r="AD290" s="166">
        <v>0</v>
      </c>
      <c r="AE290" s="166">
        <v>0</v>
      </c>
      <c r="AF290" s="167">
        <v>0</v>
      </c>
      <c r="AG290" s="165">
        <v>0</v>
      </c>
      <c r="AH290" s="166">
        <v>0</v>
      </c>
      <c r="AI290" s="166">
        <v>0</v>
      </c>
      <c r="AJ290" s="166">
        <v>0</v>
      </c>
      <c r="AK290" s="167">
        <v>0</v>
      </c>
      <c r="AL290" s="2664"/>
      <c r="AM290" s="607" t="s">
        <v>1876</v>
      </c>
      <c r="AN290" s="165">
        <v>0</v>
      </c>
      <c r="AO290" s="166">
        <v>0</v>
      </c>
      <c r="AP290" s="166">
        <v>0</v>
      </c>
      <c r="AQ290" s="166">
        <v>0</v>
      </c>
      <c r="AR290" s="166">
        <v>0</v>
      </c>
      <c r="AS290" s="166">
        <v>0</v>
      </c>
      <c r="AT290" s="166">
        <v>0</v>
      </c>
      <c r="AU290" s="167">
        <v>0</v>
      </c>
      <c r="AV290" s="165">
        <v>0</v>
      </c>
      <c r="AW290" s="166">
        <v>0</v>
      </c>
      <c r="AX290" s="166">
        <v>0</v>
      </c>
      <c r="AY290" s="166">
        <v>0</v>
      </c>
      <c r="AZ290" s="167">
        <v>0</v>
      </c>
      <c r="BA290" s="2629"/>
      <c r="BB290" s="2629"/>
      <c r="BC290" s="2629"/>
      <c r="BD290" s="2629"/>
      <c r="BE290" s="2629"/>
      <c r="BF290" s="2629"/>
      <c r="BG290" s="2629"/>
      <c r="BH290" s="2629"/>
      <c r="BI290" s="2629"/>
      <c r="BJ290" s="2629"/>
      <c r="BK290" s="2629"/>
      <c r="BL290" s="2629"/>
      <c r="BM290" s="2629"/>
      <c r="BN290" s="2629"/>
    </row>
    <row r="291" spans="1:66" s="98" customFormat="1" ht="15" customHeight="1">
      <c r="A291" s="99"/>
      <c r="B291" s="161"/>
      <c r="C291" s="185"/>
      <c r="D291" s="116" t="s">
        <v>2427</v>
      </c>
      <c r="E291" s="116"/>
      <c r="F291" s="116"/>
      <c r="G291" s="117"/>
      <c r="H291" s="117"/>
      <c r="I291" s="117"/>
      <c r="J291" s="713"/>
      <c r="K291" s="2649"/>
      <c r="L291" s="2649"/>
      <c r="M291" s="2649"/>
      <c r="N291" s="2649"/>
      <c r="O291" s="2649"/>
      <c r="P291" s="2649"/>
      <c r="Q291" s="715"/>
      <c r="R291" s="713"/>
      <c r="S291" s="2649"/>
      <c r="T291" s="2649"/>
      <c r="U291" s="2649"/>
      <c r="V291" s="715"/>
      <c r="W291" s="2664"/>
      <c r="X291" s="94"/>
      <c r="Y291" s="159"/>
      <c r="Z291" s="94"/>
      <c r="AA291" s="94"/>
      <c r="AB291" s="94"/>
      <c r="AC291" s="94"/>
      <c r="AD291" s="94"/>
      <c r="AE291" s="94"/>
      <c r="AF291" s="160"/>
      <c r="AG291" s="159"/>
      <c r="AH291" s="94"/>
      <c r="AI291" s="94"/>
      <c r="AJ291" s="94"/>
      <c r="AK291" s="160"/>
      <c r="AL291" s="2664"/>
      <c r="AM291" s="94"/>
      <c r="AN291" s="159"/>
      <c r="AO291" s="94"/>
      <c r="AP291" s="94"/>
      <c r="AQ291" s="94"/>
      <c r="AR291" s="94"/>
      <c r="AS291" s="94"/>
      <c r="AT291" s="94"/>
      <c r="AU291" s="160"/>
      <c r="AV291" s="159"/>
      <c r="AW291" s="94"/>
      <c r="AX291" s="94"/>
      <c r="AY291" s="94"/>
      <c r="AZ291" s="160"/>
      <c r="BA291" s="2629"/>
      <c r="BB291" s="2629"/>
      <c r="BC291" s="2629"/>
      <c r="BD291" s="2629"/>
      <c r="BE291" s="2629"/>
      <c r="BF291" s="2629"/>
      <c r="BG291" s="2629"/>
      <c r="BH291" s="2629"/>
      <c r="BI291" s="2629"/>
      <c r="BJ291" s="2629"/>
      <c r="BK291" s="2629"/>
      <c r="BL291" s="2629"/>
      <c r="BM291" s="2629"/>
      <c r="BN291" s="2629"/>
    </row>
    <row r="292" spans="1:66" s="98" customFormat="1" ht="15" customHeight="1">
      <c r="A292" s="99"/>
      <c r="B292" s="161"/>
      <c r="C292" s="185"/>
      <c r="D292" s="162"/>
      <c r="E292" s="230" t="s">
        <v>2787</v>
      </c>
      <c r="F292" s="230"/>
      <c r="G292" s="163"/>
      <c r="H292" s="163"/>
      <c r="I292" s="164" t="s">
        <v>498</v>
      </c>
      <c r="J292" s="143">
        <v>0</v>
      </c>
      <c r="K292" s="141">
        <v>0</v>
      </c>
      <c r="L292" s="141">
        <v>0</v>
      </c>
      <c r="M292" s="141">
        <v>0</v>
      </c>
      <c r="N292" s="141">
        <v>0</v>
      </c>
      <c r="O292" s="141">
        <v>0</v>
      </c>
      <c r="P292" s="141">
        <v>0</v>
      </c>
      <c r="Q292" s="144">
        <v>0</v>
      </c>
      <c r="R292" s="143">
        <v>0</v>
      </c>
      <c r="S292" s="141">
        <v>0</v>
      </c>
      <c r="T292" s="141">
        <v>0</v>
      </c>
      <c r="U292" s="141">
        <v>0</v>
      </c>
      <c r="V292" s="144">
        <v>0</v>
      </c>
      <c r="W292" s="2664"/>
      <c r="X292" s="607" t="s">
        <v>498</v>
      </c>
      <c r="Y292" s="165">
        <v>0</v>
      </c>
      <c r="Z292" s="166">
        <v>0</v>
      </c>
      <c r="AA292" s="166">
        <v>0</v>
      </c>
      <c r="AB292" s="166">
        <v>0</v>
      </c>
      <c r="AC292" s="166">
        <v>0</v>
      </c>
      <c r="AD292" s="166">
        <v>0</v>
      </c>
      <c r="AE292" s="166">
        <v>0</v>
      </c>
      <c r="AF292" s="167">
        <v>0</v>
      </c>
      <c r="AG292" s="165">
        <v>0</v>
      </c>
      <c r="AH292" s="166">
        <v>0</v>
      </c>
      <c r="AI292" s="166">
        <v>0</v>
      </c>
      <c r="AJ292" s="166">
        <v>0</v>
      </c>
      <c r="AK292" s="167">
        <v>0</v>
      </c>
      <c r="AL292" s="2664"/>
      <c r="AM292" s="607" t="s">
        <v>1876</v>
      </c>
      <c r="AN292" s="165">
        <v>0</v>
      </c>
      <c r="AO292" s="166">
        <v>0</v>
      </c>
      <c r="AP292" s="166">
        <v>0</v>
      </c>
      <c r="AQ292" s="166">
        <v>0</v>
      </c>
      <c r="AR292" s="166">
        <v>0</v>
      </c>
      <c r="AS292" s="166">
        <v>0</v>
      </c>
      <c r="AT292" s="166">
        <v>0</v>
      </c>
      <c r="AU292" s="167">
        <v>0</v>
      </c>
      <c r="AV292" s="165">
        <v>0</v>
      </c>
      <c r="AW292" s="166">
        <v>0</v>
      </c>
      <c r="AX292" s="166">
        <v>0</v>
      </c>
      <c r="AY292" s="166">
        <v>0</v>
      </c>
      <c r="AZ292" s="167">
        <v>0</v>
      </c>
      <c r="BA292" s="2629"/>
      <c r="BB292" s="2629"/>
      <c r="BC292" s="2629"/>
      <c r="BD292" s="2629"/>
      <c r="BE292" s="2629"/>
      <c r="BF292" s="2629"/>
      <c r="BG292" s="2629"/>
      <c r="BH292" s="2629"/>
      <c r="BI292" s="2629"/>
      <c r="BJ292" s="2629"/>
      <c r="BK292" s="2629"/>
      <c r="BL292" s="2629"/>
      <c r="BM292" s="2629"/>
      <c r="BN292" s="2629"/>
    </row>
    <row r="293" spans="1:66" s="98" customFormat="1" ht="15" customHeight="1">
      <c r="A293" s="99"/>
      <c r="B293" s="161"/>
      <c r="C293" s="185"/>
      <c r="D293" s="162"/>
      <c r="E293" s="162" t="s">
        <v>1555</v>
      </c>
      <c r="F293" s="162"/>
      <c r="G293" s="163"/>
      <c r="H293" s="163"/>
      <c r="I293" s="164" t="s">
        <v>498</v>
      </c>
      <c r="J293" s="143">
        <v>0</v>
      </c>
      <c r="K293" s="141">
        <v>0</v>
      </c>
      <c r="L293" s="141">
        <v>0</v>
      </c>
      <c r="M293" s="141">
        <v>0</v>
      </c>
      <c r="N293" s="141">
        <v>0</v>
      </c>
      <c r="O293" s="141">
        <v>0</v>
      </c>
      <c r="P293" s="141">
        <v>0</v>
      </c>
      <c r="Q293" s="144">
        <v>0</v>
      </c>
      <c r="R293" s="143">
        <v>0</v>
      </c>
      <c r="S293" s="141">
        <v>0</v>
      </c>
      <c r="T293" s="141">
        <v>0</v>
      </c>
      <c r="U293" s="141">
        <v>0</v>
      </c>
      <c r="V293" s="144">
        <v>0</v>
      </c>
      <c r="W293" s="2664"/>
      <c r="X293" s="607" t="s">
        <v>498</v>
      </c>
      <c r="Y293" s="165">
        <v>0</v>
      </c>
      <c r="Z293" s="166">
        <v>0</v>
      </c>
      <c r="AA293" s="166">
        <v>0</v>
      </c>
      <c r="AB293" s="166">
        <v>0</v>
      </c>
      <c r="AC293" s="166">
        <v>0</v>
      </c>
      <c r="AD293" s="166">
        <v>0</v>
      </c>
      <c r="AE293" s="166">
        <v>0</v>
      </c>
      <c r="AF293" s="167">
        <v>0</v>
      </c>
      <c r="AG293" s="165">
        <v>0</v>
      </c>
      <c r="AH293" s="166">
        <v>0</v>
      </c>
      <c r="AI293" s="166">
        <v>0</v>
      </c>
      <c r="AJ293" s="166">
        <v>0</v>
      </c>
      <c r="AK293" s="167">
        <v>0</v>
      </c>
      <c r="AL293" s="2664"/>
      <c r="AM293" s="607" t="s">
        <v>1876</v>
      </c>
      <c r="AN293" s="165">
        <v>0</v>
      </c>
      <c r="AO293" s="166">
        <v>0</v>
      </c>
      <c r="AP293" s="166">
        <v>0</v>
      </c>
      <c r="AQ293" s="166">
        <v>0</v>
      </c>
      <c r="AR293" s="166">
        <v>0</v>
      </c>
      <c r="AS293" s="166">
        <v>0</v>
      </c>
      <c r="AT293" s="166">
        <v>0</v>
      </c>
      <c r="AU293" s="167">
        <v>0</v>
      </c>
      <c r="AV293" s="165">
        <v>0</v>
      </c>
      <c r="AW293" s="166">
        <v>0</v>
      </c>
      <c r="AX293" s="166">
        <v>0</v>
      </c>
      <c r="AY293" s="166">
        <v>0</v>
      </c>
      <c r="AZ293" s="167">
        <v>0</v>
      </c>
      <c r="BA293" s="2629"/>
      <c r="BB293" s="2629"/>
      <c r="BC293" s="2629"/>
      <c r="BD293" s="2629"/>
      <c r="BE293" s="2629"/>
      <c r="BF293" s="2629"/>
      <c r="BG293" s="2629"/>
      <c r="BH293" s="2629"/>
      <c r="BI293" s="2629"/>
      <c r="BJ293" s="2629"/>
      <c r="BK293" s="2629"/>
      <c r="BL293" s="2629"/>
      <c r="BM293" s="2629"/>
      <c r="BN293" s="2629"/>
    </row>
    <row r="294" spans="1:66" s="98" customFormat="1" ht="15" customHeight="1">
      <c r="A294" s="99"/>
      <c r="B294" s="161"/>
      <c r="C294" s="116"/>
      <c r="D294" s="116"/>
      <c r="E294" s="116"/>
      <c r="F294" s="116"/>
      <c r="G294" s="117"/>
      <c r="H294" s="117"/>
      <c r="I294" s="117"/>
      <c r="J294" s="713"/>
      <c r="K294" s="2649"/>
      <c r="L294" s="2649"/>
      <c r="M294" s="2649"/>
      <c r="N294" s="2649"/>
      <c r="O294" s="2649"/>
      <c r="P294" s="2649"/>
      <c r="Q294" s="715"/>
      <c r="R294" s="713"/>
      <c r="S294" s="2649"/>
      <c r="T294" s="2649"/>
      <c r="U294" s="2649"/>
      <c r="V294" s="715"/>
      <c r="W294" s="2664"/>
      <c r="X294" s="94"/>
      <c r="Y294" s="159"/>
      <c r="Z294" s="94"/>
      <c r="AA294" s="94"/>
      <c r="AB294" s="94"/>
      <c r="AC294" s="94"/>
      <c r="AD294" s="94"/>
      <c r="AE294" s="94"/>
      <c r="AF294" s="160"/>
      <c r="AG294" s="159"/>
      <c r="AH294" s="94"/>
      <c r="AI294" s="94"/>
      <c r="AJ294" s="94"/>
      <c r="AK294" s="160"/>
      <c r="AL294" s="2664"/>
      <c r="AM294" s="94"/>
      <c r="AN294" s="159"/>
      <c r="AO294" s="94"/>
      <c r="AP294" s="94"/>
      <c r="AQ294" s="94"/>
      <c r="AR294" s="94"/>
      <c r="AS294" s="94"/>
      <c r="AT294" s="94"/>
      <c r="AU294" s="160"/>
      <c r="AV294" s="159"/>
      <c r="AW294" s="94"/>
      <c r="AX294" s="94"/>
      <c r="AY294" s="94"/>
      <c r="AZ294" s="160"/>
      <c r="BA294" s="2629"/>
      <c r="BB294" s="2629"/>
      <c r="BC294" s="2629"/>
      <c r="BD294" s="2629"/>
      <c r="BE294" s="2629"/>
      <c r="BF294" s="2629"/>
      <c r="BG294" s="2629"/>
      <c r="BH294" s="2629"/>
      <c r="BI294" s="2629"/>
      <c r="BJ294" s="2629"/>
      <c r="BK294" s="2629"/>
      <c r="BL294" s="2629"/>
      <c r="BM294" s="2629"/>
      <c r="BN294" s="2629"/>
    </row>
    <row r="295" spans="1:66" s="98" customFormat="1" ht="15" customHeight="1">
      <c r="A295" s="99"/>
      <c r="B295" s="115"/>
      <c r="C295" s="116" t="s">
        <v>2670</v>
      </c>
      <c r="D295" s="116"/>
      <c r="E295" s="116"/>
      <c r="F295" s="116"/>
      <c r="G295" s="117"/>
      <c r="H295" s="117"/>
      <c r="I295" s="92"/>
      <c r="J295" s="619"/>
      <c r="K295" s="93"/>
      <c r="L295" s="93"/>
      <c r="M295" s="93"/>
      <c r="N295" s="93"/>
      <c r="O295" s="93"/>
      <c r="P295" s="93"/>
      <c r="Q295" s="618"/>
      <c r="R295" s="619"/>
      <c r="S295" s="93"/>
      <c r="T295" s="93"/>
      <c r="U295" s="93"/>
      <c r="V295" s="618"/>
      <c r="W295" s="2664"/>
      <c r="X295" s="93"/>
      <c r="Y295" s="619"/>
      <c r="Z295" s="93"/>
      <c r="AA295" s="93"/>
      <c r="AB295" s="93"/>
      <c r="AC295" s="93"/>
      <c r="AD295" s="93"/>
      <c r="AE295" s="93"/>
      <c r="AF295" s="618"/>
      <c r="AG295" s="619"/>
      <c r="AH295" s="93"/>
      <c r="AI295" s="93"/>
      <c r="AJ295" s="93"/>
      <c r="AK295" s="618"/>
      <c r="AL295" s="2664"/>
      <c r="AM295" s="93"/>
      <c r="AN295" s="619"/>
      <c r="AO295" s="93"/>
      <c r="AP295" s="93"/>
      <c r="AQ295" s="93"/>
      <c r="AR295" s="93"/>
      <c r="AS295" s="93"/>
      <c r="AT295" s="93"/>
      <c r="AU295" s="618"/>
      <c r="AV295" s="619"/>
      <c r="AW295" s="93"/>
      <c r="AX295" s="93"/>
      <c r="AY295" s="93"/>
      <c r="AZ295" s="618"/>
      <c r="BA295" s="2629"/>
      <c r="BB295" s="2629"/>
      <c r="BC295" s="2629"/>
      <c r="BD295" s="2629"/>
      <c r="BE295" s="2629"/>
      <c r="BF295" s="2629"/>
      <c r="BG295" s="2629"/>
      <c r="BH295" s="2629"/>
      <c r="BI295" s="2629"/>
      <c r="BJ295" s="2629"/>
      <c r="BK295" s="2629"/>
      <c r="BL295" s="2629"/>
      <c r="BM295" s="2629"/>
      <c r="BN295" s="2629"/>
    </row>
    <row r="296" spans="1:66" s="98" customFormat="1" ht="15" customHeight="1">
      <c r="A296" s="99"/>
      <c r="B296" s="161"/>
      <c r="C296" s="185"/>
      <c r="D296" s="116" t="s">
        <v>2521</v>
      </c>
      <c r="E296" s="116"/>
      <c r="F296" s="116"/>
      <c r="G296" s="117"/>
      <c r="H296" s="117"/>
      <c r="I296" s="117"/>
      <c r="J296" s="159"/>
      <c r="K296" s="94"/>
      <c r="L296" s="94"/>
      <c r="M296" s="94"/>
      <c r="N296" s="94"/>
      <c r="O296" s="94"/>
      <c r="P296" s="94"/>
      <c r="Q296" s="160"/>
      <c r="R296" s="159"/>
      <c r="S296" s="94"/>
      <c r="T296" s="94"/>
      <c r="U296" s="94"/>
      <c r="V296" s="160"/>
      <c r="W296" s="2664"/>
      <c r="X296" s="94"/>
      <c r="Y296" s="159"/>
      <c r="Z296" s="94"/>
      <c r="AA296" s="94"/>
      <c r="AB296" s="94"/>
      <c r="AC296" s="94"/>
      <c r="AD296" s="94"/>
      <c r="AE296" s="94"/>
      <c r="AF296" s="160"/>
      <c r="AG296" s="159"/>
      <c r="AH296" s="94"/>
      <c r="AI296" s="94"/>
      <c r="AJ296" s="94"/>
      <c r="AK296" s="160"/>
      <c r="AL296" s="2664"/>
      <c r="AM296" s="94"/>
      <c r="AN296" s="159"/>
      <c r="AO296" s="94"/>
      <c r="AP296" s="94"/>
      <c r="AQ296" s="94"/>
      <c r="AR296" s="94"/>
      <c r="AS296" s="94"/>
      <c r="AT296" s="94"/>
      <c r="AU296" s="160"/>
      <c r="AV296" s="159"/>
      <c r="AW296" s="94"/>
      <c r="AX296" s="94"/>
      <c r="AY296" s="94"/>
      <c r="AZ296" s="160"/>
      <c r="BA296" s="2629"/>
      <c r="BB296" s="2629"/>
      <c r="BC296" s="2629"/>
      <c r="BD296" s="2629"/>
      <c r="BE296" s="2629"/>
      <c r="BF296" s="2629"/>
      <c r="BG296" s="2629"/>
      <c r="BH296" s="2629"/>
      <c r="BI296" s="2629"/>
      <c r="BJ296" s="2629"/>
      <c r="BK296" s="2629"/>
      <c r="BL296" s="2629"/>
      <c r="BM296" s="2629"/>
      <c r="BN296" s="2629"/>
    </row>
    <row r="297" spans="1:66" s="98" customFormat="1" ht="15" customHeight="1">
      <c r="A297" s="99"/>
      <c r="B297" s="161"/>
      <c r="C297" s="185"/>
      <c r="D297" s="162"/>
      <c r="E297" s="230" t="s">
        <v>2787</v>
      </c>
      <c r="F297" s="230"/>
      <c r="G297" s="163"/>
      <c r="H297" s="163"/>
      <c r="I297" s="164" t="s">
        <v>498</v>
      </c>
      <c r="J297" s="143">
        <v>0</v>
      </c>
      <c r="K297" s="141">
        <v>0</v>
      </c>
      <c r="L297" s="141">
        <v>0</v>
      </c>
      <c r="M297" s="141">
        <v>0</v>
      </c>
      <c r="N297" s="141">
        <v>0</v>
      </c>
      <c r="O297" s="141">
        <v>0</v>
      </c>
      <c r="P297" s="141">
        <v>0</v>
      </c>
      <c r="Q297" s="144">
        <v>0</v>
      </c>
      <c r="R297" s="143">
        <v>0</v>
      </c>
      <c r="S297" s="141">
        <v>0</v>
      </c>
      <c r="T297" s="141">
        <v>0</v>
      </c>
      <c r="U297" s="141">
        <v>0</v>
      </c>
      <c r="V297" s="144">
        <v>0</v>
      </c>
      <c r="W297" s="2664"/>
      <c r="X297" s="607" t="s">
        <v>498</v>
      </c>
      <c r="Y297" s="165">
        <v>0</v>
      </c>
      <c r="Z297" s="166">
        <v>0</v>
      </c>
      <c r="AA297" s="166">
        <v>0</v>
      </c>
      <c r="AB297" s="166">
        <v>0</v>
      </c>
      <c r="AC297" s="166">
        <v>0</v>
      </c>
      <c r="AD297" s="166">
        <v>0</v>
      </c>
      <c r="AE297" s="166">
        <v>0</v>
      </c>
      <c r="AF297" s="167">
        <v>0</v>
      </c>
      <c r="AG297" s="165">
        <v>0</v>
      </c>
      <c r="AH297" s="166">
        <v>0</v>
      </c>
      <c r="AI297" s="166">
        <v>0</v>
      </c>
      <c r="AJ297" s="166">
        <v>0</v>
      </c>
      <c r="AK297" s="167">
        <v>0</v>
      </c>
      <c r="AL297" s="2664"/>
      <c r="AM297" s="607" t="s">
        <v>1876</v>
      </c>
      <c r="AN297" s="165">
        <v>0</v>
      </c>
      <c r="AO297" s="166">
        <v>0</v>
      </c>
      <c r="AP297" s="166">
        <v>0</v>
      </c>
      <c r="AQ297" s="166">
        <v>0</v>
      </c>
      <c r="AR297" s="166">
        <v>0</v>
      </c>
      <c r="AS297" s="166">
        <v>0</v>
      </c>
      <c r="AT297" s="166">
        <v>0</v>
      </c>
      <c r="AU297" s="167">
        <v>0</v>
      </c>
      <c r="AV297" s="165">
        <v>0</v>
      </c>
      <c r="AW297" s="166">
        <v>0</v>
      </c>
      <c r="AX297" s="166">
        <v>0</v>
      </c>
      <c r="AY297" s="166">
        <v>0</v>
      </c>
      <c r="AZ297" s="167">
        <v>0</v>
      </c>
      <c r="BA297" s="2629"/>
      <c r="BB297" s="2629"/>
      <c r="BC297" s="2629"/>
      <c r="BD297" s="2629"/>
      <c r="BE297" s="2629"/>
      <c r="BF297" s="2629"/>
      <c r="BG297" s="2629"/>
      <c r="BH297" s="2629"/>
      <c r="BI297" s="2629"/>
      <c r="BJ297" s="2629"/>
      <c r="BK297" s="2629"/>
      <c r="BL297" s="2629"/>
      <c r="BM297" s="2629"/>
      <c r="BN297" s="2629"/>
    </row>
    <row r="298" spans="1:66" s="98" customFormat="1" ht="15" customHeight="1">
      <c r="A298" s="99"/>
      <c r="B298" s="161"/>
      <c r="C298" s="185"/>
      <c r="D298" s="162"/>
      <c r="E298" s="162" t="s">
        <v>1555</v>
      </c>
      <c r="F298" s="162"/>
      <c r="G298" s="163"/>
      <c r="H298" s="163"/>
      <c r="I298" s="164" t="s">
        <v>498</v>
      </c>
      <c r="J298" s="143">
        <v>0</v>
      </c>
      <c r="K298" s="141">
        <v>0</v>
      </c>
      <c r="L298" s="141">
        <v>0</v>
      </c>
      <c r="M298" s="141">
        <v>0</v>
      </c>
      <c r="N298" s="141">
        <v>0</v>
      </c>
      <c r="O298" s="141">
        <v>0</v>
      </c>
      <c r="P298" s="141">
        <v>0</v>
      </c>
      <c r="Q298" s="144">
        <v>0</v>
      </c>
      <c r="R298" s="143">
        <v>0</v>
      </c>
      <c r="S298" s="141">
        <v>0</v>
      </c>
      <c r="T298" s="141">
        <v>0</v>
      </c>
      <c r="U298" s="141">
        <v>0</v>
      </c>
      <c r="V298" s="144">
        <v>0</v>
      </c>
      <c r="W298" s="2664"/>
      <c r="X298" s="607" t="s">
        <v>498</v>
      </c>
      <c r="Y298" s="165">
        <v>0</v>
      </c>
      <c r="Z298" s="166">
        <v>0</v>
      </c>
      <c r="AA298" s="166">
        <v>0</v>
      </c>
      <c r="AB298" s="166">
        <v>0</v>
      </c>
      <c r="AC298" s="166">
        <v>0</v>
      </c>
      <c r="AD298" s="166">
        <v>0</v>
      </c>
      <c r="AE298" s="166">
        <v>0</v>
      </c>
      <c r="AF298" s="167">
        <v>0</v>
      </c>
      <c r="AG298" s="165">
        <v>0</v>
      </c>
      <c r="AH298" s="166">
        <v>0</v>
      </c>
      <c r="AI298" s="166">
        <v>0</v>
      </c>
      <c r="AJ298" s="166">
        <v>0</v>
      </c>
      <c r="AK298" s="167">
        <v>0</v>
      </c>
      <c r="AL298" s="2664"/>
      <c r="AM298" s="607" t="s">
        <v>1876</v>
      </c>
      <c r="AN298" s="165">
        <v>0</v>
      </c>
      <c r="AO298" s="166">
        <v>0</v>
      </c>
      <c r="AP298" s="166">
        <v>0</v>
      </c>
      <c r="AQ298" s="166">
        <v>0</v>
      </c>
      <c r="AR298" s="166">
        <v>0</v>
      </c>
      <c r="AS298" s="166">
        <v>0</v>
      </c>
      <c r="AT298" s="166">
        <v>0</v>
      </c>
      <c r="AU298" s="167">
        <v>0</v>
      </c>
      <c r="AV298" s="165">
        <v>0</v>
      </c>
      <c r="AW298" s="166">
        <v>0</v>
      </c>
      <c r="AX298" s="166">
        <v>0</v>
      </c>
      <c r="AY298" s="166">
        <v>0</v>
      </c>
      <c r="AZ298" s="167">
        <v>0</v>
      </c>
      <c r="BA298" s="2629"/>
      <c r="BB298" s="2629"/>
      <c r="BC298" s="2629"/>
      <c r="BD298" s="2629"/>
      <c r="BE298" s="2629"/>
      <c r="BF298" s="2629"/>
      <c r="BG298" s="2629"/>
      <c r="BH298" s="2629"/>
      <c r="BI298" s="2629"/>
      <c r="BJ298" s="2629"/>
      <c r="BK298" s="2629"/>
      <c r="BL298" s="2629"/>
      <c r="BM298" s="2629"/>
      <c r="BN298" s="2629"/>
    </row>
    <row r="299" spans="1:66" s="98" customFormat="1" ht="15" customHeight="1">
      <c r="A299" s="99"/>
      <c r="B299" s="161"/>
      <c r="C299" s="185"/>
      <c r="D299" s="116" t="s">
        <v>2427</v>
      </c>
      <c r="E299" s="116"/>
      <c r="F299" s="116"/>
      <c r="G299" s="117"/>
      <c r="H299" s="117"/>
      <c r="I299" s="117"/>
      <c r="J299" s="713"/>
      <c r="K299" s="2649"/>
      <c r="L299" s="2649"/>
      <c r="M299" s="2649"/>
      <c r="N299" s="2649"/>
      <c r="O299" s="2649"/>
      <c r="P299" s="2649"/>
      <c r="Q299" s="715"/>
      <c r="R299" s="713"/>
      <c r="S299" s="2649"/>
      <c r="T299" s="2649"/>
      <c r="U299" s="2649"/>
      <c r="V299" s="715"/>
      <c r="W299" s="2664"/>
      <c r="X299" s="94"/>
      <c r="Y299" s="159"/>
      <c r="Z299" s="94"/>
      <c r="AA299" s="94"/>
      <c r="AB299" s="94"/>
      <c r="AC299" s="94"/>
      <c r="AD299" s="94"/>
      <c r="AE299" s="94"/>
      <c r="AF299" s="160"/>
      <c r="AG299" s="159"/>
      <c r="AH299" s="94"/>
      <c r="AI299" s="94"/>
      <c r="AJ299" s="94"/>
      <c r="AK299" s="160"/>
      <c r="AL299" s="2664"/>
      <c r="AM299" s="94"/>
      <c r="AN299" s="159"/>
      <c r="AO299" s="94"/>
      <c r="AP299" s="94"/>
      <c r="AQ299" s="94"/>
      <c r="AR299" s="94"/>
      <c r="AS299" s="94"/>
      <c r="AT299" s="94"/>
      <c r="AU299" s="160"/>
      <c r="AV299" s="159"/>
      <c r="AW299" s="94"/>
      <c r="AX299" s="94"/>
      <c r="AY299" s="94"/>
      <c r="AZ299" s="160"/>
      <c r="BA299" s="2629"/>
      <c r="BB299" s="2629"/>
      <c r="BC299" s="2629"/>
      <c r="BD299" s="2629"/>
      <c r="BE299" s="2629"/>
      <c r="BF299" s="2629"/>
      <c r="BG299" s="2629"/>
      <c r="BH299" s="2629"/>
      <c r="BI299" s="2629"/>
      <c r="BJ299" s="2629"/>
      <c r="BK299" s="2629"/>
      <c r="BL299" s="2629"/>
      <c r="BM299" s="2629"/>
      <c r="BN299" s="2629"/>
    </row>
    <row r="300" spans="1:66" s="98" customFormat="1" ht="15" customHeight="1">
      <c r="A300" s="99"/>
      <c r="B300" s="161"/>
      <c r="C300" s="185"/>
      <c r="D300" s="162"/>
      <c r="E300" s="230" t="s">
        <v>2787</v>
      </c>
      <c r="F300" s="230"/>
      <c r="G300" s="163"/>
      <c r="H300" s="163"/>
      <c r="I300" s="164" t="s">
        <v>498</v>
      </c>
      <c r="J300" s="143">
        <v>0</v>
      </c>
      <c r="K300" s="141">
        <v>0</v>
      </c>
      <c r="L300" s="141">
        <v>0</v>
      </c>
      <c r="M300" s="141">
        <v>0</v>
      </c>
      <c r="N300" s="141">
        <v>0</v>
      </c>
      <c r="O300" s="141">
        <v>0</v>
      </c>
      <c r="P300" s="141">
        <v>0</v>
      </c>
      <c r="Q300" s="144">
        <v>0</v>
      </c>
      <c r="R300" s="143">
        <v>0</v>
      </c>
      <c r="S300" s="141">
        <v>0</v>
      </c>
      <c r="T300" s="141">
        <v>0</v>
      </c>
      <c r="U300" s="141">
        <v>0</v>
      </c>
      <c r="V300" s="144">
        <v>0</v>
      </c>
      <c r="W300" s="2664"/>
      <c r="X300" s="607" t="s">
        <v>498</v>
      </c>
      <c r="Y300" s="165">
        <v>0</v>
      </c>
      <c r="Z300" s="166">
        <v>0</v>
      </c>
      <c r="AA300" s="166">
        <v>0</v>
      </c>
      <c r="AB300" s="166">
        <v>0</v>
      </c>
      <c r="AC300" s="166">
        <v>0</v>
      </c>
      <c r="AD300" s="166">
        <v>0</v>
      </c>
      <c r="AE300" s="166">
        <v>0</v>
      </c>
      <c r="AF300" s="167">
        <v>0</v>
      </c>
      <c r="AG300" s="165">
        <v>0</v>
      </c>
      <c r="AH300" s="166">
        <v>0</v>
      </c>
      <c r="AI300" s="166">
        <v>0</v>
      </c>
      <c r="AJ300" s="166">
        <v>0</v>
      </c>
      <c r="AK300" s="167">
        <v>0</v>
      </c>
      <c r="AL300" s="2664"/>
      <c r="AM300" s="607" t="s">
        <v>1876</v>
      </c>
      <c r="AN300" s="165">
        <v>0</v>
      </c>
      <c r="AO300" s="166">
        <v>0</v>
      </c>
      <c r="AP300" s="166">
        <v>0</v>
      </c>
      <c r="AQ300" s="166">
        <v>0</v>
      </c>
      <c r="AR300" s="166">
        <v>0</v>
      </c>
      <c r="AS300" s="166">
        <v>0</v>
      </c>
      <c r="AT300" s="166">
        <v>0</v>
      </c>
      <c r="AU300" s="167">
        <v>0</v>
      </c>
      <c r="AV300" s="165">
        <v>0</v>
      </c>
      <c r="AW300" s="166">
        <v>0</v>
      </c>
      <c r="AX300" s="166">
        <v>0</v>
      </c>
      <c r="AY300" s="166">
        <v>0</v>
      </c>
      <c r="AZ300" s="167">
        <v>0</v>
      </c>
      <c r="BA300" s="2629"/>
      <c r="BB300" s="2629"/>
      <c r="BC300" s="2629"/>
      <c r="BD300" s="2629"/>
      <c r="BE300" s="2629"/>
      <c r="BF300" s="2629"/>
      <c r="BG300" s="2629"/>
      <c r="BH300" s="2629"/>
      <c r="BI300" s="2629"/>
      <c r="BJ300" s="2629"/>
      <c r="BK300" s="2629"/>
      <c r="BL300" s="2629"/>
      <c r="BM300" s="2629"/>
      <c r="BN300" s="2629"/>
    </row>
    <row r="301" spans="1:66" s="98" customFormat="1" ht="15" customHeight="1">
      <c r="A301" s="99"/>
      <c r="B301" s="161"/>
      <c r="C301" s="185"/>
      <c r="D301" s="162"/>
      <c r="E301" s="162" t="s">
        <v>1555</v>
      </c>
      <c r="F301" s="162"/>
      <c r="G301" s="163"/>
      <c r="H301" s="163"/>
      <c r="I301" s="164" t="s">
        <v>498</v>
      </c>
      <c r="J301" s="143">
        <v>0</v>
      </c>
      <c r="K301" s="141">
        <v>0</v>
      </c>
      <c r="L301" s="141">
        <v>0</v>
      </c>
      <c r="M301" s="141">
        <v>0</v>
      </c>
      <c r="N301" s="141">
        <v>0</v>
      </c>
      <c r="O301" s="141">
        <v>0</v>
      </c>
      <c r="P301" s="141">
        <v>0</v>
      </c>
      <c r="Q301" s="144">
        <v>0</v>
      </c>
      <c r="R301" s="143">
        <v>0</v>
      </c>
      <c r="S301" s="141">
        <v>0</v>
      </c>
      <c r="T301" s="141">
        <v>0</v>
      </c>
      <c r="U301" s="141">
        <v>0</v>
      </c>
      <c r="V301" s="144">
        <v>0</v>
      </c>
      <c r="W301" s="2664"/>
      <c r="X301" s="607" t="s">
        <v>498</v>
      </c>
      <c r="Y301" s="165">
        <v>0</v>
      </c>
      <c r="Z301" s="166">
        <v>0</v>
      </c>
      <c r="AA301" s="166">
        <v>0</v>
      </c>
      <c r="AB301" s="166">
        <v>0</v>
      </c>
      <c r="AC301" s="166">
        <v>0</v>
      </c>
      <c r="AD301" s="166">
        <v>0</v>
      </c>
      <c r="AE301" s="166">
        <v>0</v>
      </c>
      <c r="AF301" s="167">
        <v>0</v>
      </c>
      <c r="AG301" s="165">
        <v>0</v>
      </c>
      <c r="AH301" s="166">
        <v>0</v>
      </c>
      <c r="AI301" s="166">
        <v>0</v>
      </c>
      <c r="AJ301" s="166">
        <v>0</v>
      </c>
      <c r="AK301" s="167">
        <v>0</v>
      </c>
      <c r="AL301" s="2664"/>
      <c r="AM301" s="607" t="s">
        <v>1876</v>
      </c>
      <c r="AN301" s="165">
        <v>0</v>
      </c>
      <c r="AO301" s="166">
        <v>0</v>
      </c>
      <c r="AP301" s="166">
        <v>0</v>
      </c>
      <c r="AQ301" s="166">
        <v>0</v>
      </c>
      <c r="AR301" s="166">
        <v>0</v>
      </c>
      <c r="AS301" s="166">
        <v>0</v>
      </c>
      <c r="AT301" s="166">
        <v>0</v>
      </c>
      <c r="AU301" s="167">
        <v>0</v>
      </c>
      <c r="AV301" s="165">
        <v>0</v>
      </c>
      <c r="AW301" s="166">
        <v>0</v>
      </c>
      <c r="AX301" s="166">
        <v>0</v>
      </c>
      <c r="AY301" s="166">
        <v>0</v>
      </c>
      <c r="AZ301" s="167">
        <v>0</v>
      </c>
      <c r="BA301" s="2629"/>
      <c r="BB301" s="2629"/>
      <c r="BC301" s="2629"/>
      <c r="BD301" s="2629"/>
      <c r="BE301" s="2629"/>
      <c r="BF301" s="2629"/>
      <c r="BG301" s="2629"/>
      <c r="BH301" s="2629"/>
      <c r="BI301" s="2629"/>
      <c r="BJ301" s="2629"/>
      <c r="BK301" s="2629"/>
      <c r="BL301" s="2629"/>
      <c r="BM301" s="2629"/>
      <c r="BN301" s="2629"/>
    </row>
    <row r="302" spans="1:66" s="98" customFormat="1" ht="15" customHeight="1">
      <c r="A302" s="99"/>
      <c r="B302" s="161"/>
      <c r="C302" s="116"/>
      <c r="D302" s="116"/>
      <c r="E302" s="116"/>
      <c r="F302" s="116"/>
      <c r="G302" s="117"/>
      <c r="H302" s="117"/>
      <c r="I302" s="117"/>
      <c r="J302" s="713"/>
      <c r="K302" s="2649"/>
      <c r="L302" s="2649"/>
      <c r="M302" s="2649"/>
      <c r="N302" s="2649"/>
      <c r="O302" s="2649"/>
      <c r="P302" s="2649"/>
      <c r="Q302" s="715"/>
      <c r="R302" s="713"/>
      <c r="S302" s="2649"/>
      <c r="T302" s="2649"/>
      <c r="U302" s="2649"/>
      <c r="V302" s="715"/>
      <c r="W302" s="2664"/>
      <c r="X302" s="94"/>
      <c r="Y302" s="159"/>
      <c r="Z302" s="94"/>
      <c r="AA302" s="94"/>
      <c r="AB302" s="94"/>
      <c r="AC302" s="94"/>
      <c r="AD302" s="94"/>
      <c r="AE302" s="94"/>
      <c r="AF302" s="160"/>
      <c r="AG302" s="159"/>
      <c r="AH302" s="94"/>
      <c r="AI302" s="94"/>
      <c r="AJ302" s="94"/>
      <c r="AK302" s="160"/>
      <c r="AL302" s="2664"/>
      <c r="AM302" s="94"/>
      <c r="AN302" s="159"/>
      <c r="AO302" s="94"/>
      <c r="AP302" s="94"/>
      <c r="AQ302" s="94"/>
      <c r="AR302" s="94"/>
      <c r="AS302" s="94"/>
      <c r="AT302" s="94"/>
      <c r="AU302" s="160"/>
      <c r="AV302" s="159"/>
      <c r="AW302" s="94"/>
      <c r="AX302" s="94"/>
      <c r="AY302" s="94"/>
      <c r="AZ302" s="160"/>
      <c r="BA302" s="2629"/>
      <c r="BB302" s="2629"/>
      <c r="BC302" s="2629"/>
      <c r="BD302" s="2629"/>
      <c r="BE302" s="2629"/>
      <c r="BF302" s="2629"/>
      <c r="BG302" s="2629"/>
      <c r="BH302" s="2629"/>
      <c r="BI302" s="2629"/>
      <c r="BJ302" s="2629"/>
      <c r="BK302" s="2629"/>
      <c r="BL302" s="2629"/>
      <c r="BM302" s="2629"/>
      <c r="BN302" s="2629"/>
    </row>
    <row r="303" spans="1:66" s="98" customFormat="1" ht="15" customHeight="1">
      <c r="A303" s="99"/>
      <c r="B303" s="115"/>
      <c r="C303" s="116" t="s">
        <v>2722</v>
      </c>
      <c r="D303" s="116"/>
      <c r="E303" s="116"/>
      <c r="F303" s="116"/>
      <c r="G303" s="117"/>
      <c r="H303" s="117"/>
      <c r="I303" s="92"/>
      <c r="J303" s="619"/>
      <c r="K303" s="93"/>
      <c r="L303" s="93"/>
      <c r="M303" s="93"/>
      <c r="N303" s="93"/>
      <c r="O303" s="93"/>
      <c r="P303" s="93"/>
      <c r="Q303" s="618"/>
      <c r="R303" s="619"/>
      <c r="S303" s="93"/>
      <c r="T303" s="93"/>
      <c r="U303" s="93"/>
      <c r="V303" s="618"/>
      <c r="W303" s="2664"/>
      <c r="X303" s="93"/>
      <c r="Y303" s="619"/>
      <c r="Z303" s="93"/>
      <c r="AA303" s="93"/>
      <c r="AB303" s="93"/>
      <c r="AC303" s="93"/>
      <c r="AD303" s="93"/>
      <c r="AE303" s="93"/>
      <c r="AF303" s="618"/>
      <c r="AG303" s="619"/>
      <c r="AH303" s="93"/>
      <c r="AI303" s="93"/>
      <c r="AJ303" s="93"/>
      <c r="AK303" s="618"/>
      <c r="AL303" s="2629"/>
      <c r="AM303" s="93"/>
      <c r="AN303" s="619"/>
      <c r="AO303" s="93"/>
      <c r="AP303" s="93"/>
      <c r="AQ303" s="93"/>
      <c r="AR303" s="93"/>
      <c r="AS303" s="93"/>
      <c r="AT303" s="93"/>
      <c r="AU303" s="618"/>
      <c r="AV303" s="619"/>
      <c r="AW303" s="93"/>
      <c r="AX303" s="93"/>
      <c r="AY303" s="93"/>
      <c r="AZ303" s="618"/>
      <c r="BA303" s="2629"/>
      <c r="BB303" s="2629"/>
      <c r="BC303" s="2629"/>
      <c r="BD303" s="2629"/>
      <c r="BE303" s="2629"/>
      <c r="BF303" s="2629"/>
      <c r="BG303" s="2629"/>
      <c r="BH303" s="2629"/>
      <c r="BI303" s="2629"/>
      <c r="BJ303" s="2629"/>
      <c r="BK303" s="2629"/>
      <c r="BL303" s="2629"/>
      <c r="BM303" s="2629"/>
      <c r="BN303" s="2629"/>
    </row>
    <row r="304" spans="1:66" s="98" customFormat="1" ht="15" customHeight="1">
      <c r="A304" s="99"/>
      <c r="B304" s="161"/>
      <c r="C304" s="185"/>
      <c r="D304" s="116" t="s">
        <v>2521</v>
      </c>
      <c r="E304" s="116"/>
      <c r="F304" s="116"/>
      <c r="G304" s="117"/>
      <c r="H304" s="117"/>
      <c r="I304" s="117"/>
      <c r="J304" s="159"/>
      <c r="K304" s="94"/>
      <c r="L304" s="94"/>
      <c r="M304" s="94"/>
      <c r="N304" s="94"/>
      <c r="O304" s="94"/>
      <c r="P304" s="94"/>
      <c r="Q304" s="160"/>
      <c r="R304" s="159"/>
      <c r="S304" s="94"/>
      <c r="T304" s="94"/>
      <c r="U304" s="94"/>
      <c r="V304" s="160"/>
      <c r="W304" s="2664"/>
      <c r="X304" s="94"/>
      <c r="Y304" s="159"/>
      <c r="Z304" s="94"/>
      <c r="AA304" s="94"/>
      <c r="AB304" s="94"/>
      <c r="AC304" s="94"/>
      <c r="AD304" s="94"/>
      <c r="AE304" s="94"/>
      <c r="AF304" s="160"/>
      <c r="AG304" s="159"/>
      <c r="AH304" s="94"/>
      <c r="AI304" s="94"/>
      <c r="AJ304" s="94"/>
      <c r="AK304" s="160"/>
      <c r="AL304" s="2629"/>
      <c r="AM304" s="94"/>
      <c r="AN304" s="159"/>
      <c r="AO304" s="94"/>
      <c r="AP304" s="94"/>
      <c r="AQ304" s="94"/>
      <c r="AR304" s="94"/>
      <c r="AS304" s="94"/>
      <c r="AT304" s="94"/>
      <c r="AU304" s="160"/>
      <c r="AV304" s="159"/>
      <c r="AW304" s="94"/>
      <c r="AX304" s="94"/>
      <c r="AY304" s="94"/>
      <c r="AZ304" s="160"/>
      <c r="BA304" s="2629"/>
      <c r="BB304" s="2629"/>
      <c r="BC304" s="2629"/>
      <c r="BD304" s="2629"/>
      <c r="BE304" s="2629"/>
      <c r="BF304" s="2629"/>
      <c r="BG304" s="2629"/>
      <c r="BH304" s="2629"/>
      <c r="BI304" s="2629"/>
      <c r="BJ304" s="2629"/>
      <c r="BK304" s="2629"/>
      <c r="BL304" s="2629"/>
      <c r="BM304" s="2629"/>
      <c r="BN304" s="2629"/>
    </row>
    <row r="305" spans="1:66" s="98" customFormat="1" ht="15" customHeight="1">
      <c r="A305" s="99"/>
      <c r="B305" s="161"/>
      <c r="C305" s="185"/>
      <c r="D305" s="162"/>
      <c r="E305" s="230" t="s">
        <v>2787</v>
      </c>
      <c r="F305" s="230"/>
      <c r="G305" s="163"/>
      <c r="H305" s="163"/>
      <c r="I305" s="164" t="s">
        <v>498</v>
      </c>
      <c r="J305" s="143">
        <v>0</v>
      </c>
      <c r="K305" s="141">
        <v>0</v>
      </c>
      <c r="L305" s="141">
        <v>0</v>
      </c>
      <c r="M305" s="141">
        <v>0</v>
      </c>
      <c r="N305" s="141">
        <v>0</v>
      </c>
      <c r="O305" s="141">
        <v>0</v>
      </c>
      <c r="P305" s="141">
        <v>0</v>
      </c>
      <c r="Q305" s="144">
        <v>0</v>
      </c>
      <c r="R305" s="143">
        <v>0</v>
      </c>
      <c r="S305" s="141">
        <v>0</v>
      </c>
      <c r="T305" s="141">
        <v>0</v>
      </c>
      <c r="U305" s="141">
        <v>0</v>
      </c>
      <c r="V305" s="144">
        <v>0</v>
      </c>
      <c r="W305" s="2664"/>
      <c r="X305" s="607" t="s">
        <v>498</v>
      </c>
      <c r="Y305" s="165">
        <v>0</v>
      </c>
      <c r="Z305" s="166">
        <v>0</v>
      </c>
      <c r="AA305" s="166">
        <v>0</v>
      </c>
      <c r="AB305" s="166">
        <v>0</v>
      </c>
      <c r="AC305" s="166">
        <v>0</v>
      </c>
      <c r="AD305" s="166">
        <v>0</v>
      </c>
      <c r="AE305" s="166">
        <v>0</v>
      </c>
      <c r="AF305" s="167">
        <v>0</v>
      </c>
      <c r="AG305" s="165">
        <v>0</v>
      </c>
      <c r="AH305" s="166">
        <v>0</v>
      </c>
      <c r="AI305" s="166">
        <v>0</v>
      </c>
      <c r="AJ305" s="166">
        <v>0</v>
      </c>
      <c r="AK305" s="167">
        <v>0</v>
      </c>
      <c r="AL305" s="2629"/>
      <c r="AM305" s="607" t="s">
        <v>1876</v>
      </c>
      <c r="AN305" s="165">
        <v>0</v>
      </c>
      <c r="AO305" s="166">
        <v>0</v>
      </c>
      <c r="AP305" s="166">
        <v>0</v>
      </c>
      <c r="AQ305" s="166">
        <v>0</v>
      </c>
      <c r="AR305" s="166">
        <v>0</v>
      </c>
      <c r="AS305" s="166">
        <v>0</v>
      </c>
      <c r="AT305" s="166">
        <v>0</v>
      </c>
      <c r="AU305" s="167">
        <v>0</v>
      </c>
      <c r="AV305" s="165">
        <v>0</v>
      </c>
      <c r="AW305" s="166">
        <v>0</v>
      </c>
      <c r="AX305" s="166">
        <v>0</v>
      </c>
      <c r="AY305" s="166">
        <v>0</v>
      </c>
      <c r="AZ305" s="167">
        <v>0</v>
      </c>
      <c r="BA305" s="2629"/>
      <c r="BB305" s="2629"/>
      <c r="BC305" s="2629"/>
      <c r="BD305" s="2629"/>
      <c r="BE305" s="2629"/>
      <c r="BF305" s="2629"/>
      <c r="BG305" s="2629"/>
      <c r="BH305" s="2629"/>
      <c r="BI305" s="2629"/>
      <c r="BJ305" s="2629"/>
      <c r="BK305" s="2629"/>
      <c r="BL305" s="2629"/>
      <c r="BM305" s="2629"/>
      <c r="BN305" s="2629"/>
    </row>
    <row r="306" spans="1:66" s="98" customFormat="1" ht="15" customHeight="1">
      <c r="A306" s="99"/>
      <c r="B306" s="161"/>
      <c r="C306" s="185"/>
      <c r="D306" s="162"/>
      <c r="E306" s="162" t="s">
        <v>1555</v>
      </c>
      <c r="F306" s="162"/>
      <c r="G306" s="163"/>
      <c r="H306" s="163"/>
      <c r="I306" s="164" t="s">
        <v>498</v>
      </c>
      <c r="J306" s="143">
        <v>0</v>
      </c>
      <c r="K306" s="141">
        <v>0</v>
      </c>
      <c r="L306" s="141">
        <v>0</v>
      </c>
      <c r="M306" s="141">
        <v>0</v>
      </c>
      <c r="N306" s="141">
        <v>0</v>
      </c>
      <c r="O306" s="141">
        <v>0</v>
      </c>
      <c r="P306" s="141">
        <v>0</v>
      </c>
      <c r="Q306" s="144">
        <v>0</v>
      </c>
      <c r="R306" s="143">
        <v>0</v>
      </c>
      <c r="S306" s="141">
        <v>0</v>
      </c>
      <c r="T306" s="141">
        <v>0</v>
      </c>
      <c r="U306" s="141">
        <v>0</v>
      </c>
      <c r="V306" s="144">
        <v>0</v>
      </c>
      <c r="W306" s="2664"/>
      <c r="X306" s="607" t="s">
        <v>498</v>
      </c>
      <c r="Y306" s="165">
        <v>0</v>
      </c>
      <c r="Z306" s="166">
        <v>0</v>
      </c>
      <c r="AA306" s="166">
        <v>0</v>
      </c>
      <c r="AB306" s="166">
        <v>0</v>
      </c>
      <c r="AC306" s="166">
        <v>0</v>
      </c>
      <c r="AD306" s="166">
        <v>0</v>
      </c>
      <c r="AE306" s="166">
        <v>0</v>
      </c>
      <c r="AF306" s="167">
        <v>0</v>
      </c>
      <c r="AG306" s="165">
        <v>0</v>
      </c>
      <c r="AH306" s="166">
        <v>0</v>
      </c>
      <c r="AI306" s="166">
        <v>0</v>
      </c>
      <c r="AJ306" s="166">
        <v>0</v>
      </c>
      <c r="AK306" s="167">
        <v>0</v>
      </c>
      <c r="AL306" s="2629"/>
      <c r="AM306" s="607" t="s">
        <v>1876</v>
      </c>
      <c r="AN306" s="165">
        <v>0</v>
      </c>
      <c r="AO306" s="166">
        <v>0</v>
      </c>
      <c r="AP306" s="166">
        <v>0</v>
      </c>
      <c r="AQ306" s="166">
        <v>0</v>
      </c>
      <c r="AR306" s="166">
        <v>0</v>
      </c>
      <c r="AS306" s="166">
        <v>0</v>
      </c>
      <c r="AT306" s="166">
        <v>0</v>
      </c>
      <c r="AU306" s="167">
        <v>0</v>
      </c>
      <c r="AV306" s="165">
        <v>0</v>
      </c>
      <c r="AW306" s="166">
        <v>0</v>
      </c>
      <c r="AX306" s="166">
        <v>0</v>
      </c>
      <c r="AY306" s="166">
        <v>0</v>
      </c>
      <c r="AZ306" s="167">
        <v>0</v>
      </c>
      <c r="BA306" s="2629"/>
      <c r="BB306" s="2629"/>
      <c r="BC306" s="2629"/>
      <c r="BD306" s="2629"/>
      <c r="BE306" s="2629"/>
      <c r="BF306" s="2629"/>
      <c r="BG306" s="2629"/>
      <c r="BH306" s="2629"/>
      <c r="BI306" s="2629"/>
      <c r="BJ306" s="2629"/>
      <c r="BK306" s="2629"/>
      <c r="BL306" s="2629"/>
      <c r="BM306" s="2629"/>
      <c r="BN306" s="2629"/>
    </row>
    <row r="307" spans="1:66" s="98" customFormat="1" ht="15" customHeight="1">
      <c r="A307" s="99"/>
      <c r="B307" s="161"/>
      <c r="C307" s="185"/>
      <c r="D307" s="116" t="s">
        <v>2427</v>
      </c>
      <c r="E307" s="116"/>
      <c r="F307" s="116"/>
      <c r="G307" s="117"/>
      <c r="H307" s="117"/>
      <c r="I307" s="117"/>
      <c r="J307" s="713"/>
      <c r="K307" s="2649"/>
      <c r="L307" s="2649"/>
      <c r="M307" s="2649"/>
      <c r="N307" s="2649"/>
      <c r="O307" s="2649"/>
      <c r="P307" s="2649"/>
      <c r="Q307" s="715"/>
      <c r="R307" s="713"/>
      <c r="S307" s="2649"/>
      <c r="T307" s="2649"/>
      <c r="U307" s="2649"/>
      <c r="V307" s="715"/>
      <c r="W307" s="2664"/>
      <c r="X307" s="94"/>
      <c r="Y307" s="159"/>
      <c r="Z307" s="94"/>
      <c r="AA307" s="94"/>
      <c r="AB307" s="94"/>
      <c r="AC307" s="94"/>
      <c r="AD307" s="94"/>
      <c r="AE307" s="94"/>
      <c r="AF307" s="160"/>
      <c r="AG307" s="159"/>
      <c r="AH307" s="94"/>
      <c r="AI307" s="94"/>
      <c r="AJ307" s="94"/>
      <c r="AK307" s="160"/>
      <c r="AL307" s="2629"/>
      <c r="AM307" s="94"/>
      <c r="AN307" s="159"/>
      <c r="AO307" s="94"/>
      <c r="AP307" s="94"/>
      <c r="AQ307" s="94"/>
      <c r="AR307" s="94"/>
      <c r="AS307" s="94"/>
      <c r="AT307" s="94"/>
      <c r="AU307" s="160"/>
      <c r="AV307" s="159"/>
      <c r="AW307" s="94"/>
      <c r="AX307" s="94"/>
      <c r="AY307" s="94"/>
      <c r="AZ307" s="160"/>
      <c r="BA307" s="2629"/>
      <c r="BB307" s="2629"/>
      <c r="BC307" s="2629"/>
      <c r="BD307" s="2629"/>
      <c r="BE307" s="2629"/>
      <c r="BF307" s="2629"/>
      <c r="BG307" s="2629"/>
      <c r="BH307" s="2629"/>
      <c r="BI307" s="2629"/>
      <c r="BJ307" s="2629"/>
      <c r="BK307" s="2629"/>
      <c r="BL307" s="2629"/>
      <c r="BM307" s="2629"/>
      <c r="BN307" s="2629"/>
    </row>
    <row r="308" spans="1:66" s="98" customFormat="1" ht="15" customHeight="1">
      <c r="A308" s="99"/>
      <c r="B308" s="161"/>
      <c r="C308" s="185"/>
      <c r="D308" s="162"/>
      <c r="E308" s="230" t="s">
        <v>2787</v>
      </c>
      <c r="F308" s="230"/>
      <c r="G308" s="163"/>
      <c r="H308" s="163"/>
      <c r="I308" s="164" t="s">
        <v>498</v>
      </c>
      <c r="J308" s="143">
        <v>0</v>
      </c>
      <c r="K308" s="141">
        <v>0</v>
      </c>
      <c r="L308" s="141">
        <v>0</v>
      </c>
      <c r="M308" s="141">
        <v>0</v>
      </c>
      <c r="N308" s="141">
        <v>0</v>
      </c>
      <c r="O308" s="141">
        <v>0</v>
      </c>
      <c r="P308" s="141">
        <v>0</v>
      </c>
      <c r="Q308" s="144">
        <v>0</v>
      </c>
      <c r="R308" s="143">
        <v>0</v>
      </c>
      <c r="S308" s="141">
        <v>0</v>
      </c>
      <c r="T308" s="141">
        <v>0</v>
      </c>
      <c r="U308" s="141">
        <v>0</v>
      </c>
      <c r="V308" s="144">
        <v>0</v>
      </c>
      <c r="W308" s="2664"/>
      <c r="X308" s="607" t="s">
        <v>498</v>
      </c>
      <c r="Y308" s="165">
        <v>0</v>
      </c>
      <c r="Z308" s="166">
        <v>0</v>
      </c>
      <c r="AA308" s="166">
        <v>0</v>
      </c>
      <c r="AB308" s="166">
        <v>0</v>
      </c>
      <c r="AC308" s="166">
        <v>0</v>
      </c>
      <c r="AD308" s="166">
        <v>0</v>
      </c>
      <c r="AE308" s="166">
        <v>0</v>
      </c>
      <c r="AF308" s="167">
        <v>0</v>
      </c>
      <c r="AG308" s="165">
        <v>0</v>
      </c>
      <c r="AH308" s="166">
        <v>0</v>
      </c>
      <c r="AI308" s="166">
        <v>0</v>
      </c>
      <c r="AJ308" s="166">
        <v>0</v>
      </c>
      <c r="AK308" s="167">
        <v>0</v>
      </c>
      <c r="AL308" s="2629"/>
      <c r="AM308" s="607" t="s">
        <v>1876</v>
      </c>
      <c r="AN308" s="165">
        <v>0</v>
      </c>
      <c r="AO308" s="166">
        <v>0</v>
      </c>
      <c r="AP308" s="166">
        <v>0</v>
      </c>
      <c r="AQ308" s="166">
        <v>0</v>
      </c>
      <c r="AR308" s="166">
        <v>0</v>
      </c>
      <c r="AS308" s="166">
        <v>0</v>
      </c>
      <c r="AT308" s="166">
        <v>0</v>
      </c>
      <c r="AU308" s="167">
        <v>0</v>
      </c>
      <c r="AV308" s="165">
        <v>0</v>
      </c>
      <c r="AW308" s="166">
        <v>0</v>
      </c>
      <c r="AX308" s="166">
        <v>0</v>
      </c>
      <c r="AY308" s="166">
        <v>0</v>
      </c>
      <c r="AZ308" s="167">
        <v>0</v>
      </c>
      <c r="BA308" s="2629"/>
      <c r="BB308" s="2629"/>
      <c r="BC308" s="2629"/>
      <c r="BD308" s="2629"/>
      <c r="BE308" s="2629"/>
      <c r="BF308" s="2629"/>
      <c r="BG308" s="2629"/>
      <c r="BH308" s="2629"/>
      <c r="BI308" s="2629"/>
      <c r="BJ308" s="2629"/>
      <c r="BK308" s="2629"/>
      <c r="BL308" s="2629"/>
      <c r="BM308" s="2629"/>
      <c r="BN308" s="2629"/>
    </row>
    <row r="309" spans="1:66" s="98" customFormat="1" ht="15" customHeight="1">
      <c r="A309" s="99"/>
      <c r="B309" s="161"/>
      <c r="C309" s="185"/>
      <c r="D309" s="162"/>
      <c r="E309" s="162" t="s">
        <v>1555</v>
      </c>
      <c r="F309" s="162"/>
      <c r="G309" s="163"/>
      <c r="H309" s="163"/>
      <c r="I309" s="164" t="s">
        <v>498</v>
      </c>
      <c r="J309" s="143">
        <v>0</v>
      </c>
      <c r="K309" s="141">
        <v>0</v>
      </c>
      <c r="L309" s="141">
        <v>0</v>
      </c>
      <c r="M309" s="141">
        <v>0</v>
      </c>
      <c r="N309" s="141">
        <v>0</v>
      </c>
      <c r="O309" s="141">
        <v>0</v>
      </c>
      <c r="P309" s="141">
        <v>0</v>
      </c>
      <c r="Q309" s="144">
        <v>0</v>
      </c>
      <c r="R309" s="143">
        <v>0</v>
      </c>
      <c r="S309" s="141">
        <v>0</v>
      </c>
      <c r="T309" s="141">
        <v>0</v>
      </c>
      <c r="U309" s="141">
        <v>0</v>
      </c>
      <c r="V309" s="144">
        <v>0</v>
      </c>
      <c r="W309" s="2664"/>
      <c r="X309" s="607" t="s">
        <v>498</v>
      </c>
      <c r="Y309" s="165">
        <v>0</v>
      </c>
      <c r="Z309" s="166">
        <v>0</v>
      </c>
      <c r="AA309" s="166">
        <v>0</v>
      </c>
      <c r="AB309" s="166">
        <v>0</v>
      </c>
      <c r="AC309" s="166">
        <v>0</v>
      </c>
      <c r="AD309" s="166">
        <v>0</v>
      </c>
      <c r="AE309" s="166">
        <v>0</v>
      </c>
      <c r="AF309" s="167">
        <v>0</v>
      </c>
      <c r="AG309" s="165">
        <v>0</v>
      </c>
      <c r="AH309" s="166">
        <v>0</v>
      </c>
      <c r="AI309" s="166">
        <v>0</v>
      </c>
      <c r="AJ309" s="166">
        <v>0</v>
      </c>
      <c r="AK309" s="167">
        <v>0</v>
      </c>
      <c r="AL309" s="2629"/>
      <c r="AM309" s="607" t="s">
        <v>1876</v>
      </c>
      <c r="AN309" s="165">
        <v>0</v>
      </c>
      <c r="AO309" s="166">
        <v>0</v>
      </c>
      <c r="AP309" s="166">
        <v>0</v>
      </c>
      <c r="AQ309" s="166">
        <v>0</v>
      </c>
      <c r="AR309" s="166">
        <v>0</v>
      </c>
      <c r="AS309" s="166">
        <v>0</v>
      </c>
      <c r="AT309" s="166">
        <v>0</v>
      </c>
      <c r="AU309" s="167">
        <v>0</v>
      </c>
      <c r="AV309" s="165">
        <v>0</v>
      </c>
      <c r="AW309" s="166">
        <v>0</v>
      </c>
      <c r="AX309" s="166">
        <v>0</v>
      </c>
      <c r="AY309" s="166">
        <v>0</v>
      </c>
      <c r="AZ309" s="167">
        <v>0</v>
      </c>
      <c r="BA309" s="2629"/>
      <c r="BB309" s="2629"/>
      <c r="BC309" s="2629"/>
      <c r="BD309" s="2629"/>
      <c r="BE309" s="2629"/>
      <c r="BF309" s="2629"/>
      <c r="BG309" s="2629"/>
      <c r="BH309" s="2629"/>
      <c r="BI309" s="2629"/>
      <c r="BJ309" s="2629"/>
      <c r="BK309" s="2629"/>
      <c r="BL309" s="2629"/>
      <c r="BM309" s="2629"/>
      <c r="BN309" s="2629"/>
    </row>
    <row r="310" spans="1:66" s="98" customFormat="1" ht="15" customHeight="1">
      <c r="A310" s="99"/>
      <c r="B310" s="161"/>
      <c r="C310" s="116"/>
      <c r="D310" s="116"/>
      <c r="E310" s="116"/>
      <c r="F310" s="116"/>
      <c r="G310" s="117"/>
      <c r="H310" s="117"/>
      <c r="I310" s="117"/>
      <c r="J310" s="713"/>
      <c r="K310" s="2649"/>
      <c r="L310" s="2649"/>
      <c r="M310" s="2649"/>
      <c r="N310" s="2649"/>
      <c r="O310" s="2649"/>
      <c r="P310" s="2649"/>
      <c r="Q310" s="715"/>
      <c r="R310" s="713"/>
      <c r="S310" s="2649"/>
      <c r="T310" s="2649"/>
      <c r="U310" s="2649"/>
      <c r="V310" s="715"/>
      <c r="W310" s="2664"/>
      <c r="X310" s="94"/>
      <c r="Y310" s="159"/>
      <c r="Z310" s="94"/>
      <c r="AA310" s="94"/>
      <c r="AB310" s="94"/>
      <c r="AC310" s="94"/>
      <c r="AD310" s="94"/>
      <c r="AE310" s="94"/>
      <c r="AF310" s="160"/>
      <c r="AG310" s="159"/>
      <c r="AH310" s="94"/>
      <c r="AI310" s="94"/>
      <c r="AJ310" s="94"/>
      <c r="AK310" s="160"/>
      <c r="AL310" s="2629"/>
      <c r="AM310" s="94"/>
      <c r="AN310" s="159"/>
      <c r="AO310" s="94"/>
      <c r="AP310" s="94"/>
      <c r="AQ310" s="94"/>
      <c r="AR310" s="94"/>
      <c r="AS310" s="94"/>
      <c r="AT310" s="94"/>
      <c r="AU310" s="160"/>
      <c r="AV310" s="159"/>
      <c r="AW310" s="94"/>
      <c r="AX310" s="94"/>
      <c r="AY310" s="94"/>
      <c r="AZ310" s="160"/>
      <c r="BA310" s="2629"/>
      <c r="BB310" s="2629"/>
      <c r="BC310" s="2629"/>
      <c r="BD310" s="2629"/>
      <c r="BE310" s="2629"/>
      <c r="BF310" s="2629"/>
      <c r="BG310" s="2629"/>
      <c r="BH310" s="2629"/>
      <c r="BI310" s="2629"/>
      <c r="BJ310" s="2629"/>
      <c r="BK310" s="2629"/>
      <c r="BL310" s="2629"/>
      <c r="BM310" s="2629"/>
      <c r="BN310" s="2629"/>
    </row>
    <row r="311" spans="1:66" s="98" customFormat="1" ht="15" customHeight="1">
      <c r="A311" s="99"/>
      <c r="B311" s="115"/>
      <c r="C311" s="116" t="s">
        <v>2755</v>
      </c>
      <c r="D311" s="116"/>
      <c r="E311" s="116"/>
      <c r="F311" s="116"/>
      <c r="G311" s="117"/>
      <c r="H311" s="117"/>
      <c r="I311" s="92"/>
      <c r="J311" s="619"/>
      <c r="K311" s="93"/>
      <c r="L311" s="93"/>
      <c r="M311" s="93"/>
      <c r="N311" s="93"/>
      <c r="O311" s="93"/>
      <c r="P311" s="93"/>
      <c r="Q311" s="618"/>
      <c r="R311" s="619"/>
      <c r="S311" s="93"/>
      <c r="T311" s="93"/>
      <c r="U311" s="93"/>
      <c r="V311" s="618"/>
      <c r="W311" s="2664"/>
      <c r="X311" s="93"/>
      <c r="Y311" s="619"/>
      <c r="Z311" s="93"/>
      <c r="AA311" s="93"/>
      <c r="AB311" s="93"/>
      <c r="AC311" s="93"/>
      <c r="AD311" s="93"/>
      <c r="AE311" s="93"/>
      <c r="AF311" s="618"/>
      <c r="AG311" s="619"/>
      <c r="AH311" s="93"/>
      <c r="AI311" s="93"/>
      <c r="AJ311" s="93"/>
      <c r="AK311" s="618"/>
      <c r="AL311" s="2629"/>
      <c r="AM311" s="93"/>
      <c r="AN311" s="619"/>
      <c r="AO311" s="93"/>
      <c r="AP311" s="93"/>
      <c r="AQ311" s="93"/>
      <c r="AR311" s="93"/>
      <c r="AS311" s="93"/>
      <c r="AT311" s="93"/>
      <c r="AU311" s="618"/>
      <c r="AV311" s="619"/>
      <c r="AW311" s="93"/>
      <c r="AX311" s="93"/>
      <c r="AY311" s="93"/>
      <c r="AZ311" s="618"/>
      <c r="BA311" s="2629"/>
      <c r="BB311" s="2629"/>
      <c r="BC311" s="2629"/>
      <c r="BD311" s="2629"/>
      <c r="BE311" s="2629"/>
      <c r="BF311" s="2629"/>
      <c r="BG311" s="2629"/>
      <c r="BH311" s="2629"/>
      <c r="BI311" s="2629"/>
      <c r="BJ311" s="2629"/>
      <c r="BK311" s="2629"/>
      <c r="BL311" s="2629"/>
      <c r="BM311" s="2629"/>
      <c r="BN311" s="2629"/>
    </row>
    <row r="312" spans="1:66" s="98" customFormat="1" ht="15" customHeight="1">
      <c r="A312" s="99"/>
      <c r="B312" s="161"/>
      <c r="C312" s="185"/>
      <c r="D312" s="116" t="s">
        <v>2521</v>
      </c>
      <c r="E312" s="116"/>
      <c r="F312" s="116"/>
      <c r="G312" s="117"/>
      <c r="H312" s="117"/>
      <c r="I312" s="117"/>
      <c r="J312" s="159"/>
      <c r="K312" s="94"/>
      <c r="L312" s="94"/>
      <c r="M312" s="94"/>
      <c r="N312" s="94"/>
      <c r="O312" s="94"/>
      <c r="P312" s="94"/>
      <c r="Q312" s="160"/>
      <c r="R312" s="159"/>
      <c r="S312" s="94"/>
      <c r="T312" s="94"/>
      <c r="U312" s="94"/>
      <c r="V312" s="160"/>
      <c r="W312" s="2664"/>
      <c r="X312" s="94"/>
      <c r="Y312" s="159"/>
      <c r="Z312" s="94"/>
      <c r="AA312" s="94"/>
      <c r="AB312" s="94"/>
      <c r="AC312" s="94"/>
      <c r="AD312" s="94"/>
      <c r="AE312" s="94"/>
      <c r="AF312" s="160"/>
      <c r="AG312" s="159"/>
      <c r="AH312" s="94"/>
      <c r="AI312" s="94"/>
      <c r="AJ312" s="94"/>
      <c r="AK312" s="160"/>
      <c r="AL312" s="2629"/>
      <c r="AM312" s="94"/>
      <c r="AN312" s="159"/>
      <c r="AO312" s="94"/>
      <c r="AP312" s="94"/>
      <c r="AQ312" s="94"/>
      <c r="AR312" s="94"/>
      <c r="AS312" s="94"/>
      <c r="AT312" s="94"/>
      <c r="AU312" s="160"/>
      <c r="AV312" s="159"/>
      <c r="AW312" s="94"/>
      <c r="AX312" s="94"/>
      <c r="AY312" s="94"/>
      <c r="AZ312" s="160"/>
      <c r="BA312" s="2629"/>
      <c r="BB312" s="2629"/>
      <c r="BC312" s="2629"/>
      <c r="BD312" s="2629"/>
      <c r="BE312" s="2629"/>
      <c r="BF312" s="2629"/>
      <c r="BG312" s="2629"/>
      <c r="BH312" s="2629"/>
      <c r="BI312" s="2629"/>
      <c r="BJ312" s="2629"/>
      <c r="BK312" s="2629"/>
      <c r="BL312" s="2629"/>
      <c r="BM312" s="2629"/>
      <c r="BN312" s="2629"/>
    </row>
    <row r="313" spans="1:66" s="98" customFormat="1" ht="15" customHeight="1">
      <c r="A313" s="99"/>
      <c r="B313" s="161"/>
      <c r="C313" s="185"/>
      <c r="D313" s="162"/>
      <c r="E313" s="230" t="s">
        <v>2787</v>
      </c>
      <c r="F313" s="230"/>
      <c r="G313" s="163"/>
      <c r="H313" s="163"/>
      <c r="I313" s="164" t="s">
        <v>498</v>
      </c>
      <c r="J313" s="143">
        <v>0</v>
      </c>
      <c r="K313" s="141">
        <v>0</v>
      </c>
      <c r="L313" s="141">
        <v>0</v>
      </c>
      <c r="M313" s="141">
        <v>0</v>
      </c>
      <c r="N313" s="141">
        <v>0</v>
      </c>
      <c r="O313" s="141">
        <v>0</v>
      </c>
      <c r="P313" s="141">
        <v>0</v>
      </c>
      <c r="Q313" s="144">
        <v>0</v>
      </c>
      <c r="R313" s="143">
        <v>0</v>
      </c>
      <c r="S313" s="141">
        <v>0</v>
      </c>
      <c r="T313" s="141">
        <v>0</v>
      </c>
      <c r="U313" s="141">
        <v>0</v>
      </c>
      <c r="V313" s="144">
        <v>0</v>
      </c>
      <c r="W313" s="2664"/>
      <c r="X313" s="607" t="s">
        <v>498</v>
      </c>
      <c r="Y313" s="165">
        <v>0</v>
      </c>
      <c r="Z313" s="166">
        <v>0</v>
      </c>
      <c r="AA313" s="166">
        <v>0</v>
      </c>
      <c r="AB313" s="166">
        <v>0</v>
      </c>
      <c r="AC313" s="166">
        <v>0</v>
      </c>
      <c r="AD313" s="166">
        <v>0</v>
      </c>
      <c r="AE313" s="166">
        <v>0</v>
      </c>
      <c r="AF313" s="167">
        <v>0</v>
      </c>
      <c r="AG313" s="165">
        <v>0</v>
      </c>
      <c r="AH313" s="166">
        <v>0</v>
      </c>
      <c r="AI313" s="166">
        <v>0</v>
      </c>
      <c r="AJ313" s="166">
        <v>0</v>
      </c>
      <c r="AK313" s="167">
        <v>0</v>
      </c>
      <c r="AL313" s="2629"/>
      <c r="AM313" s="607" t="s">
        <v>1876</v>
      </c>
      <c r="AN313" s="165">
        <v>0</v>
      </c>
      <c r="AO313" s="166">
        <v>0</v>
      </c>
      <c r="AP313" s="166">
        <v>0</v>
      </c>
      <c r="AQ313" s="166">
        <v>0</v>
      </c>
      <c r="AR313" s="166">
        <v>0</v>
      </c>
      <c r="AS313" s="166">
        <v>0</v>
      </c>
      <c r="AT313" s="166">
        <v>0</v>
      </c>
      <c r="AU313" s="167">
        <v>0</v>
      </c>
      <c r="AV313" s="165">
        <v>0</v>
      </c>
      <c r="AW313" s="166">
        <v>0</v>
      </c>
      <c r="AX313" s="166">
        <v>0</v>
      </c>
      <c r="AY313" s="166">
        <v>0</v>
      </c>
      <c r="AZ313" s="167">
        <v>0</v>
      </c>
      <c r="BA313" s="2629"/>
      <c r="BB313" s="2629"/>
      <c r="BC313" s="2629"/>
      <c r="BD313" s="2629"/>
      <c r="BE313" s="2629"/>
      <c r="BF313" s="2629"/>
      <c r="BG313" s="2629"/>
      <c r="BH313" s="2629"/>
      <c r="BI313" s="2629"/>
      <c r="BJ313" s="2629"/>
      <c r="BK313" s="2629"/>
      <c r="BL313" s="2629"/>
      <c r="BM313" s="2629"/>
      <c r="BN313" s="2629"/>
    </row>
    <row r="314" spans="1:66" s="98" customFormat="1" ht="15" customHeight="1">
      <c r="A314" s="99"/>
      <c r="B314" s="161"/>
      <c r="C314" s="185"/>
      <c r="D314" s="162"/>
      <c r="E314" s="162" t="s">
        <v>1555</v>
      </c>
      <c r="F314" s="162"/>
      <c r="G314" s="163"/>
      <c r="H314" s="163"/>
      <c r="I314" s="164" t="s">
        <v>498</v>
      </c>
      <c r="J314" s="143">
        <v>0</v>
      </c>
      <c r="K314" s="141">
        <v>0</v>
      </c>
      <c r="L314" s="141">
        <v>0</v>
      </c>
      <c r="M314" s="141">
        <v>0</v>
      </c>
      <c r="N314" s="141">
        <v>0</v>
      </c>
      <c r="O314" s="141">
        <v>0</v>
      </c>
      <c r="P314" s="141">
        <v>0</v>
      </c>
      <c r="Q314" s="144">
        <v>0</v>
      </c>
      <c r="R314" s="143">
        <v>0</v>
      </c>
      <c r="S314" s="141">
        <v>0</v>
      </c>
      <c r="T314" s="141">
        <v>0</v>
      </c>
      <c r="U314" s="141">
        <v>0</v>
      </c>
      <c r="V314" s="144">
        <v>0</v>
      </c>
      <c r="W314" s="2664"/>
      <c r="X314" s="607" t="s">
        <v>498</v>
      </c>
      <c r="Y314" s="165">
        <v>0</v>
      </c>
      <c r="Z314" s="166">
        <v>0</v>
      </c>
      <c r="AA314" s="166">
        <v>0</v>
      </c>
      <c r="AB314" s="166">
        <v>0</v>
      </c>
      <c r="AC314" s="166">
        <v>0</v>
      </c>
      <c r="AD314" s="166">
        <v>0</v>
      </c>
      <c r="AE314" s="166">
        <v>0</v>
      </c>
      <c r="AF314" s="167">
        <v>0</v>
      </c>
      <c r="AG314" s="165">
        <v>0</v>
      </c>
      <c r="AH314" s="166">
        <v>0</v>
      </c>
      <c r="AI314" s="166">
        <v>0</v>
      </c>
      <c r="AJ314" s="166">
        <v>0</v>
      </c>
      <c r="AK314" s="167">
        <v>0</v>
      </c>
      <c r="AL314" s="2629"/>
      <c r="AM314" s="607" t="s">
        <v>1876</v>
      </c>
      <c r="AN314" s="165">
        <v>0</v>
      </c>
      <c r="AO314" s="166">
        <v>0</v>
      </c>
      <c r="AP314" s="166">
        <v>0</v>
      </c>
      <c r="AQ314" s="166">
        <v>0</v>
      </c>
      <c r="AR314" s="166">
        <v>0</v>
      </c>
      <c r="AS314" s="166">
        <v>0</v>
      </c>
      <c r="AT314" s="166">
        <v>0</v>
      </c>
      <c r="AU314" s="167">
        <v>0</v>
      </c>
      <c r="AV314" s="165">
        <v>0</v>
      </c>
      <c r="AW314" s="166">
        <v>0</v>
      </c>
      <c r="AX314" s="166">
        <v>0</v>
      </c>
      <c r="AY314" s="166">
        <v>0</v>
      </c>
      <c r="AZ314" s="167">
        <v>0</v>
      </c>
      <c r="BA314" s="2629"/>
      <c r="BB314" s="2629"/>
      <c r="BC314" s="2629"/>
      <c r="BD314" s="2629"/>
      <c r="BE314" s="2629"/>
      <c r="BF314" s="2629"/>
      <c r="BG314" s="2629"/>
      <c r="BH314" s="2629"/>
      <c r="BI314" s="2629"/>
      <c r="BJ314" s="2629"/>
      <c r="BK314" s="2629"/>
      <c r="BL314" s="2629"/>
      <c r="BM314" s="2629"/>
      <c r="BN314" s="2629"/>
    </row>
    <row r="315" spans="1:66" s="98" customFormat="1" ht="15" customHeight="1">
      <c r="A315" s="99"/>
      <c r="B315" s="161"/>
      <c r="C315" s="185"/>
      <c r="D315" s="116" t="s">
        <v>2427</v>
      </c>
      <c r="E315" s="116"/>
      <c r="F315" s="116"/>
      <c r="G315" s="117"/>
      <c r="H315" s="117"/>
      <c r="I315" s="117"/>
      <c r="J315" s="713"/>
      <c r="K315" s="2649"/>
      <c r="L315" s="2649"/>
      <c r="M315" s="2649"/>
      <c r="N315" s="2649"/>
      <c r="O315" s="2649"/>
      <c r="P315" s="2649"/>
      <c r="Q315" s="715"/>
      <c r="R315" s="713"/>
      <c r="S315" s="2649"/>
      <c r="T315" s="2649"/>
      <c r="U315" s="2649"/>
      <c r="V315" s="715"/>
      <c r="W315" s="2664"/>
      <c r="X315" s="94"/>
      <c r="Y315" s="159"/>
      <c r="Z315" s="94"/>
      <c r="AA315" s="94"/>
      <c r="AB315" s="94"/>
      <c r="AC315" s="94"/>
      <c r="AD315" s="94"/>
      <c r="AE315" s="94"/>
      <c r="AF315" s="160"/>
      <c r="AG315" s="159"/>
      <c r="AH315" s="94"/>
      <c r="AI315" s="94"/>
      <c r="AJ315" s="94"/>
      <c r="AK315" s="160"/>
      <c r="AL315" s="2629"/>
      <c r="AM315" s="94"/>
      <c r="AN315" s="159"/>
      <c r="AO315" s="94"/>
      <c r="AP315" s="94"/>
      <c r="AQ315" s="94"/>
      <c r="AR315" s="94"/>
      <c r="AS315" s="94"/>
      <c r="AT315" s="94"/>
      <c r="AU315" s="160"/>
      <c r="AV315" s="159"/>
      <c r="AW315" s="94"/>
      <c r="AX315" s="94"/>
      <c r="AY315" s="94"/>
      <c r="AZ315" s="160"/>
      <c r="BA315" s="2629"/>
      <c r="BB315" s="2629"/>
      <c r="BC315" s="2629"/>
      <c r="BD315" s="2629"/>
      <c r="BE315" s="2629"/>
      <c r="BF315" s="2629"/>
      <c r="BG315" s="2629"/>
      <c r="BH315" s="2629"/>
      <c r="BI315" s="2629"/>
      <c r="BJ315" s="2629"/>
      <c r="BK315" s="2629"/>
      <c r="BL315" s="2629"/>
      <c r="BM315" s="2629"/>
      <c r="BN315" s="2629"/>
    </row>
    <row r="316" spans="1:66" s="98" customFormat="1" ht="15" customHeight="1">
      <c r="A316" s="99"/>
      <c r="B316" s="161"/>
      <c r="C316" s="185"/>
      <c r="D316" s="162"/>
      <c r="E316" s="230" t="s">
        <v>2787</v>
      </c>
      <c r="F316" s="230"/>
      <c r="G316" s="163"/>
      <c r="H316" s="163"/>
      <c r="I316" s="164" t="s">
        <v>498</v>
      </c>
      <c r="J316" s="143">
        <v>0</v>
      </c>
      <c r="K316" s="141">
        <v>0</v>
      </c>
      <c r="L316" s="141">
        <v>0</v>
      </c>
      <c r="M316" s="141">
        <v>0</v>
      </c>
      <c r="N316" s="141">
        <v>0</v>
      </c>
      <c r="O316" s="141">
        <v>0</v>
      </c>
      <c r="P316" s="141">
        <v>0</v>
      </c>
      <c r="Q316" s="144">
        <v>0</v>
      </c>
      <c r="R316" s="143">
        <v>0</v>
      </c>
      <c r="S316" s="141">
        <v>0</v>
      </c>
      <c r="T316" s="141">
        <v>0</v>
      </c>
      <c r="U316" s="141">
        <v>0</v>
      </c>
      <c r="V316" s="144">
        <v>0</v>
      </c>
      <c r="W316" s="2664"/>
      <c r="X316" s="607" t="s">
        <v>498</v>
      </c>
      <c r="Y316" s="165">
        <v>0</v>
      </c>
      <c r="Z316" s="166">
        <v>0</v>
      </c>
      <c r="AA316" s="166">
        <v>0</v>
      </c>
      <c r="AB316" s="166">
        <v>0</v>
      </c>
      <c r="AC316" s="166">
        <v>0</v>
      </c>
      <c r="AD316" s="166">
        <v>0</v>
      </c>
      <c r="AE316" s="166">
        <v>0</v>
      </c>
      <c r="AF316" s="167">
        <v>0</v>
      </c>
      <c r="AG316" s="165">
        <v>0</v>
      </c>
      <c r="AH316" s="166">
        <v>0</v>
      </c>
      <c r="AI316" s="166">
        <v>0</v>
      </c>
      <c r="AJ316" s="166">
        <v>0</v>
      </c>
      <c r="AK316" s="167">
        <v>0</v>
      </c>
      <c r="AL316" s="2629"/>
      <c r="AM316" s="607" t="s">
        <v>1876</v>
      </c>
      <c r="AN316" s="165">
        <v>0</v>
      </c>
      <c r="AO316" s="166">
        <v>0</v>
      </c>
      <c r="AP316" s="166">
        <v>0</v>
      </c>
      <c r="AQ316" s="166">
        <v>0</v>
      </c>
      <c r="AR316" s="166">
        <v>0</v>
      </c>
      <c r="AS316" s="166">
        <v>0</v>
      </c>
      <c r="AT316" s="166">
        <v>0</v>
      </c>
      <c r="AU316" s="167">
        <v>0</v>
      </c>
      <c r="AV316" s="165">
        <v>0</v>
      </c>
      <c r="AW316" s="166">
        <v>0</v>
      </c>
      <c r="AX316" s="166">
        <v>0</v>
      </c>
      <c r="AY316" s="166">
        <v>0</v>
      </c>
      <c r="AZ316" s="167">
        <v>0</v>
      </c>
      <c r="BA316" s="2629"/>
      <c r="BB316" s="2629"/>
      <c r="BC316" s="2629"/>
      <c r="BD316" s="2629"/>
      <c r="BE316" s="2629"/>
      <c r="BF316" s="2629"/>
      <c r="BG316" s="2629"/>
      <c r="BH316" s="2629"/>
      <c r="BI316" s="2629"/>
      <c r="BJ316" s="2629"/>
      <c r="BK316" s="2629"/>
      <c r="BL316" s="2629"/>
      <c r="BM316" s="2629"/>
      <c r="BN316" s="2629"/>
    </row>
    <row r="317" spans="1:66" s="98" customFormat="1" ht="15" customHeight="1">
      <c r="A317" s="99"/>
      <c r="B317" s="161"/>
      <c r="C317" s="185"/>
      <c r="D317" s="162"/>
      <c r="E317" s="162" t="s">
        <v>1555</v>
      </c>
      <c r="F317" s="162"/>
      <c r="G317" s="163"/>
      <c r="H317" s="163"/>
      <c r="I317" s="164" t="s">
        <v>498</v>
      </c>
      <c r="J317" s="143">
        <v>0</v>
      </c>
      <c r="K317" s="141">
        <v>0</v>
      </c>
      <c r="L317" s="141">
        <v>0</v>
      </c>
      <c r="M317" s="141">
        <v>0</v>
      </c>
      <c r="N317" s="141">
        <v>0</v>
      </c>
      <c r="O317" s="141">
        <v>0</v>
      </c>
      <c r="P317" s="141">
        <v>0</v>
      </c>
      <c r="Q317" s="144">
        <v>0</v>
      </c>
      <c r="R317" s="143">
        <v>0</v>
      </c>
      <c r="S317" s="141">
        <v>0</v>
      </c>
      <c r="T317" s="141">
        <v>0</v>
      </c>
      <c r="U317" s="141">
        <v>0</v>
      </c>
      <c r="V317" s="144">
        <v>0</v>
      </c>
      <c r="W317" s="2664"/>
      <c r="X317" s="607" t="s">
        <v>498</v>
      </c>
      <c r="Y317" s="165">
        <v>0</v>
      </c>
      <c r="Z317" s="166">
        <v>0</v>
      </c>
      <c r="AA317" s="166">
        <v>0</v>
      </c>
      <c r="AB317" s="166">
        <v>0</v>
      </c>
      <c r="AC317" s="166">
        <v>0</v>
      </c>
      <c r="AD317" s="166">
        <v>0</v>
      </c>
      <c r="AE317" s="166">
        <v>0</v>
      </c>
      <c r="AF317" s="167">
        <v>0</v>
      </c>
      <c r="AG317" s="165">
        <v>0</v>
      </c>
      <c r="AH317" s="166">
        <v>0</v>
      </c>
      <c r="AI317" s="166">
        <v>0</v>
      </c>
      <c r="AJ317" s="166">
        <v>0</v>
      </c>
      <c r="AK317" s="167">
        <v>0</v>
      </c>
      <c r="AL317" s="2629"/>
      <c r="AM317" s="607" t="s">
        <v>1876</v>
      </c>
      <c r="AN317" s="165">
        <v>0</v>
      </c>
      <c r="AO317" s="166">
        <v>0</v>
      </c>
      <c r="AP317" s="166">
        <v>0</v>
      </c>
      <c r="AQ317" s="166">
        <v>0</v>
      </c>
      <c r="AR317" s="166">
        <v>0</v>
      </c>
      <c r="AS317" s="166">
        <v>0</v>
      </c>
      <c r="AT317" s="166">
        <v>0</v>
      </c>
      <c r="AU317" s="167">
        <v>0</v>
      </c>
      <c r="AV317" s="165">
        <v>0</v>
      </c>
      <c r="AW317" s="166">
        <v>0</v>
      </c>
      <c r="AX317" s="166">
        <v>0</v>
      </c>
      <c r="AY317" s="166">
        <v>0</v>
      </c>
      <c r="AZ317" s="167">
        <v>0</v>
      </c>
      <c r="BA317" s="2629"/>
      <c r="BB317" s="2629"/>
      <c r="BC317" s="2629"/>
      <c r="BD317" s="2629"/>
      <c r="BE317" s="2629"/>
      <c r="BF317" s="2629"/>
      <c r="BG317" s="2629"/>
      <c r="BH317" s="2629"/>
      <c r="BI317" s="2629"/>
      <c r="BJ317" s="2629"/>
      <c r="BK317" s="2629"/>
      <c r="BL317" s="2629"/>
      <c r="BM317" s="2629"/>
      <c r="BN317" s="2629"/>
    </row>
    <row r="318" spans="1:66" s="98" customFormat="1" ht="15" customHeight="1">
      <c r="A318" s="99"/>
      <c r="B318" s="161"/>
      <c r="C318" s="116"/>
      <c r="D318" s="116"/>
      <c r="E318" s="116"/>
      <c r="F318" s="116"/>
      <c r="G318" s="117"/>
      <c r="H318" s="117"/>
      <c r="I318" s="117"/>
      <c r="J318" s="713"/>
      <c r="K318" s="2649"/>
      <c r="L318" s="2649"/>
      <c r="M318" s="2649"/>
      <c r="N318" s="2649"/>
      <c r="O318" s="2649"/>
      <c r="P318" s="2649"/>
      <c r="Q318" s="715"/>
      <c r="R318" s="713"/>
      <c r="S318" s="2649"/>
      <c r="T318" s="2649"/>
      <c r="U318" s="2649"/>
      <c r="V318" s="715"/>
      <c r="W318" s="2664"/>
      <c r="X318" s="94"/>
      <c r="Y318" s="159"/>
      <c r="Z318" s="94"/>
      <c r="AA318" s="94"/>
      <c r="AB318" s="94"/>
      <c r="AC318" s="94"/>
      <c r="AD318" s="94"/>
      <c r="AE318" s="94"/>
      <c r="AF318" s="160"/>
      <c r="AG318" s="159"/>
      <c r="AH318" s="94"/>
      <c r="AI318" s="94"/>
      <c r="AJ318" s="94"/>
      <c r="AK318" s="160"/>
      <c r="AL318" s="2629"/>
      <c r="AM318" s="94"/>
      <c r="AN318" s="159"/>
      <c r="AO318" s="94"/>
      <c r="AP318" s="94"/>
      <c r="AQ318" s="94"/>
      <c r="AR318" s="94"/>
      <c r="AS318" s="94"/>
      <c r="AT318" s="94"/>
      <c r="AU318" s="160"/>
      <c r="AV318" s="159"/>
      <c r="AW318" s="94"/>
      <c r="AX318" s="94"/>
      <c r="AY318" s="94"/>
      <c r="AZ318" s="160"/>
      <c r="BA318" s="2629"/>
      <c r="BB318" s="2629"/>
      <c r="BC318" s="2629"/>
      <c r="BD318" s="2629"/>
      <c r="BE318" s="2629"/>
      <c r="BF318" s="2629"/>
      <c r="BG318" s="2629"/>
      <c r="BH318" s="2629"/>
      <c r="BI318" s="2629"/>
      <c r="BJ318" s="2629"/>
      <c r="BK318" s="2629"/>
      <c r="BL318" s="2629"/>
      <c r="BM318" s="2629"/>
      <c r="BN318" s="2629"/>
    </row>
    <row r="319" spans="1:66" s="98" customFormat="1" ht="15" customHeight="1">
      <c r="A319" s="99"/>
      <c r="B319" s="115"/>
      <c r="C319" s="116" t="s">
        <v>2774</v>
      </c>
      <c r="D319" s="116"/>
      <c r="E319" s="116"/>
      <c r="F319" s="116"/>
      <c r="G319" s="117"/>
      <c r="H319" s="117"/>
      <c r="I319" s="92"/>
      <c r="J319" s="619"/>
      <c r="K319" s="93"/>
      <c r="L319" s="93"/>
      <c r="M319" s="93"/>
      <c r="N319" s="93"/>
      <c r="O319" s="93"/>
      <c r="P319" s="93"/>
      <c r="Q319" s="618"/>
      <c r="R319" s="619"/>
      <c r="S319" s="93"/>
      <c r="T319" s="93"/>
      <c r="U319" s="93"/>
      <c r="V319" s="618"/>
      <c r="W319" s="2664"/>
      <c r="X319" s="93"/>
      <c r="Y319" s="619"/>
      <c r="Z319" s="93"/>
      <c r="AA319" s="93"/>
      <c r="AB319" s="93"/>
      <c r="AC319" s="93"/>
      <c r="AD319" s="93"/>
      <c r="AE319" s="93"/>
      <c r="AF319" s="618"/>
      <c r="AG319" s="619"/>
      <c r="AH319" s="93"/>
      <c r="AI319" s="93"/>
      <c r="AJ319" s="93"/>
      <c r="AK319" s="618"/>
      <c r="AL319" s="2629"/>
      <c r="AM319" s="93"/>
      <c r="AN319" s="619"/>
      <c r="AO319" s="93"/>
      <c r="AP319" s="93"/>
      <c r="AQ319" s="93"/>
      <c r="AR319" s="93"/>
      <c r="AS319" s="93"/>
      <c r="AT319" s="93"/>
      <c r="AU319" s="618"/>
      <c r="AV319" s="619"/>
      <c r="AW319" s="93"/>
      <c r="AX319" s="93"/>
      <c r="AY319" s="93"/>
      <c r="AZ319" s="618"/>
      <c r="BA319" s="2629"/>
      <c r="BB319" s="2629"/>
      <c r="BC319" s="2629"/>
      <c r="BD319" s="2629"/>
      <c r="BE319" s="2629"/>
      <c r="BF319" s="2629"/>
      <c r="BG319" s="2629"/>
      <c r="BH319" s="2629"/>
      <c r="BI319" s="2629"/>
      <c r="BJ319" s="2629"/>
      <c r="BK319" s="2629"/>
      <c r="BL319" s="2629"/>
      <c r="BM319" s="2629"/>
      <c r="BN319" s="2629"/>
    </row>
    <row r="320" spans="1:66" s="98" customFormat="1" ht="15" customHeight="1">
      <c r="A320" s="99"/>
      <c r="B320" s="161"/>
      <c r="C320" s="185"/>
      <c r="D320" s="116" t="s">
        <v>2521</v>
      </c>
      <c r="E320" s="116"/>
      <c r="F320" s="116"/>
      <c r="G320" s="117"/>
      <c r="H320" s="117"/>
      <c r="I320" s="117"/>
      <c r="J320" s="159"/>
      <c r="K320" s="94"/>
      <c r="L320" s="94"/>
      <c r="M320" s="94"/>
      <c r="N320" s="94"/>
      <c r="O320" s="94"/>
      <c r="P320" s="94"/>
      <c r="Q320" s="160"/>
      <c r="R320" s="159"/>
      <c r="S320" s="94"/>
      <c r="T320" s="94"/>
      <c r="U320" s="94"/>
      <c r="V320" s="160"/>
      <c r="W320" s="2664"/>
      <c r="X320" s="94"/>
      <c r="Y320" s="159"/>
      <c r="Z320" s="94"/>
      <c r="AA320" s="94"/>
      <c r="AB320" s="94"/>
      <c r="AC320" s="94"/>
      <c r="AD320" s="94"/>
      <c r="AE320" s="94"/>
      <c r="AF320" s="160"/>
      <c r="AG320" s="159"/>
      <c r="AH320" s="94"/>
      <c r="AI320" s="94"/>
      <c r="AJ320" s="94"/>
      <c r="AK320" s="160"/>
      <c r="AL320" s="2629"/>
      <c r="AM320" s="94"/>
      <c r="AN320" s="159"/>
      <c r="AO320" s="94"/>
      <c r="AP320" s="94"/>
      <c r="AQ320" s="94"/>
      <c r="AR320" s="94"/>
      <c r="AS320" s="94"/>
      <c r="AT320" s="94"/>
      <c r="AU320" s="160"/>
      <c r="AV320" s="159"/>
      <c r="AW320" s="94"/>
      <c r="AX320" s="94"/>
      <c r="AY320" s="94"/>
      <c r="AZ320" s="160"/>
      <c r="BA320" s="2629"/>
      <c r="BB320" s="2629"/>
      <c r="BC320" s="2629"/>
      <c r="BD320" s="2629"/>
      <c r="BE320" s="2629"/>
      <c r="BF320" s="2629"/>
      <c r="BG320" s="2629"/>
      <c r="BH320" s="2629"/>
      <c r="BI320" s="2629"/>
      <c r="BJ320" s="2629"/>
      <c r="BK320" s="2629"/>
      <c r="BL320" s="2629"/>
      <c r="BM320" s="2629"/>
      <c r="BN320" s="2629"/>
    </row>
    <row r="321" spans="1:66" s="98" customFormat="1" ht="15" customHeight="1">
      <c r="A321" s="99"/>
      <c r="B321" s="161"/>
      <c r="C321" s="185"/>
      <c r="D321" s="162"/>
      <c r="E321" s="230" t="s">
        <v>2787</v>
      </c>
      <c r="F321" s="230"/>
      <c r="G321" s="163"/>
      <c r="H321" s="163"/>
      <c r="I321" s="164" t="s">
        <v>498</v>
      </c>
      <c r="J321" s="143">
        <v>0</v>
      </c>
      <c r="K321" s="141">
        <v>0</v>
      </c>
      <c r="L321" s="141">
        <v>0</v>
      </c>
      <c r="M321" s="141">
        <v>0</v>
      </c>
      <c r="N321" s="141">
        <v>0</v>
      </c>
      <c r="O321" s="141">
        <v>0</v>
      </c>
      <c r="P321" s="141">
        <v>0</v>
      </c>
      <c r="Q321" s="144">
        <v>0</v>
      </c>
      <c r="R321" s="143">
        <v>0</v>
      </c>
      <c r="S321" s="141">
        <v>0</v>
      </c>
      <c r="T321" s="141">
        <v>0</v>
      </c>
      <c r="U321" s="141">
        <v>0</v>
      </c>
      <c r="V321" s="144">
        <v>0</v>
      </c>
      <c r="W321" s="2664"/>
      <c r="X321" s="607" t="s">
        <v>498</v>
      </c>
      <c r="Y321" s="165">
        <v>0</v>
      </c>
      <c r="Z321" s="166">
        <v>0</v>
      </c>
      <c r="AA321" s="166">
        <v>0</v>
      </c>
      <c r="AB321" s="166">
        <v>0</v>
      </c>
      <c r="AC321" s="166">
        <v>0</v>
      </c>
      <c r="AD321" s="166">
        <v>0</v>
      </c>
      <c r="AE321" s="166">
        <v>0</v>
      </c>
      <c r="AF321" s="167">
        <v>0</v>
      </c>
      <c r="AG321" s="165">
        <v>0</v>
      </c>
      <c r="AH321" s="166">
        <v>0</v>
      </c>
      <c r="AI321" s="166">
        <v>0</v>
      </c>
      <c r="AJ321" s="166">
        <v>0</v>
      </c>
      <c r="AK321" s="167">
        <v>0</v>
      </c>
      <c r="AL321" s="2629"/>
      <c r="AM321" s="607" t="s">
        <v>1876</v>
      </c>
      <c r="AN321" s="165">
        <v>0</v>
      </c>
      <c r="AO321" s="166">
        <v>0</v>
      </c>
      <c r="AP321" s="166">
        <v>0</v>
      </c>
      <c r="AQ321" s="166">
        <v>0</v>
      </c>
      <c r="AR321" s="166">
        <v>0</v>
      </c>
      <c r="AS321" s="166">
        <v>0</v>
      </c>
      <c r="AT321" s="166">
        <v>0</v>
      </c>
      <c r="AU321" s="167">
        <v>0</v>
      </c>
      <c r="AV321" s="165">
        <v>0</v>
      </c>
      <c r="AW321" s="166">
        <v>0</v>
      </c>
      <c r="AX321" s="166">
        <v>0</v>
      </c>
      <c r="AY321" s="166">
        <v>0</v>
      </c>
      <c r="AZ321" s="167">
        <v>0</v>
      </c>
      <c r="BA321" s="2629"/>
      <c r="BB321" s="2629"/>
      <c r="BC321" s="2629"/>
      <c r="BD321" s="2629"/>
      <c r="BE321" s="2629"/>
      <c r="BF321" s="2629"/>
      <c r="BG321" s="2629"/>
      <c r="BH321" s="2629"/>
      <c r="BI321" s="2629"/>
      <c r="BJ321" s="2629"/>
      <c r="BK321" s="2629"/>
      <c r="BL321" s="2629"/>
      <c r="BM321" s="2629"/>
      <c r="BN321" s="2629"/>
    </row>
    <row r="322" spans="1:66" s="98" customFormat="1" ht="15" customHeight="1">
      <c r="A322" s="99"/>
      <c r="B322" s="161"/>
      <c r="C322" s="185"/>
      <c r="D322" s="162"/>
      <c r="E322" s="162" t="s">
        <v>1555</v>
      </c>
      <c r="F322" s="162"/>
      <c r="G322" s="163"/>
      <c r="H322" s="163"/>
      <c r="I322" s="164" t="s">
        <v>498</v>
      </c>
      <c r="J322" s="143">
        <v>0</v>
      </c>
      <c r="K322" s="141">
        <v>0</v>
      </c>
      <c r="L322" s="141">
        <v>0</v>
      </c>
      <c r="M322" s="141">
        <v>0</v>
      </c>
      <c r="N322" s="141">
        <v>0</v>
      </c>
      <c r="O322" s="141">
        <v>0</v>
      </c>
      <c r="P322" s="141">
        <v>0</v>
      </c>
      <c r="Q322" s="144">
        <v>0</v>
      </c>
      <c r="R322" s="143">
        <v>0</v>
      </c>
      <c r="S322" s="141">
        <v>0</v>
      </c>
      <c r="T322" s="141">
        <v>0</v>
      </c>
      <c r="U322" s="141">
        <v>0</v>
      </c>
      <c r="V322" s="144">
        <v>0</v>
      </c>
      <c r="W322" s="2664"/>
      <c r="X322" s="607" t="s">
        <v>498</v>
      </c>
      <c r="Y322" s="165">
        <v>0</v>
      </c>
      <c r="Z322" s="166">
        <v>0</v>
      </c>
      <c r="AA322" s="166">
        <v>0</v>
      </c>
      <c r="AB322" s="166">
        <v>0</v>
      </c>
      <c r="AC322" s="166">
        <v>0</v>
      </c>
      <c r="AD322" s="166">
        <v>0</v>
      </c>
      <c r="AE322" s="166">
        <v>0</v>
      </c>
      <c r="AF322" s="167">
        <v>0</v>
      </c>
      <c r="AG322" s="165">
        <v>0</v>
      </c>
      <c r="AH322" s="166">
        <v>0</v>
      </c>
      <c r="AI322" s="166">
        <v>0</v>
      </c>
      <c r="AJ322" s="166">
        <v>0</v>
      </c>
      <c r="AK322" s="167">
        <v>0</v>
      </c>
      <c r="AL322" s="2629"/>
      <c r="AM322" s="607" t="s">
        <v>1876</v>
      </c>
      <c r="AN322" s="165">
        <v>0</v>
      </c>
      <c r="AO322" s="166">
        <v>0</v>
      </c>
      <c r="AP322" s="166">
        <v>0</v>
      </c>
      <c r="AQ322" s="166">
        <v>0</v>
      </c>
      <c r="AR322" s="166">
        <v>0</v>
      </c>
      <c r="AS322" s="166">
        <v>0</v>
      </c>
      <c r="AT322" s="166">
        <v>0</v>
      </c>
      <c r="AU322" s="167">
        <v>0</v>
      </c>
      <c r="AV322" s="165">
        <v>0</v>
      </c>
      <c r="AW322" s="166">
        <v>0</v>
      </c>
      <c r="AX322" s="166">
        <v>0</v>
      </c>
      <c r="AY322" s="166">
        <v>0</v>
      </c>
      <c r="AZ322" s="167">
        <v>0</v>
      </c>
      <c r="BA322" s="2629"/>
      <c r="BB322" s="2629"/>
      <c r="BC322" s="2629"/>
      <c r="BD322" s="2629"/>
      <c r="BE322" s="2629"/>
      <c r="BF322" s="2629"/>
      <c r="BG322" s="2629"/>
      <c r="BH322" s="2629"/>
      <c r="BI322" s="2629"/>
      <c r="BJ322" s="2629"/>
      <c r="BK322" s="2629"/>
      <c r="BL322" s="2629"/>
      <c r="BM322" s="2629"/>
      <c r="BN322" s="2629"/>
    </row>
    <row r="323" spans="1:66" s="98" customFormat="1" ht="15" customHeight="1">
      <c r="A323" s="99"/>
      <c r="B323" s="161"/>
      <c r="C323" s="185"/>
      <c r="D323" s="116" t="s">
        <v>2427</v>
      </c>
      <c r="E323" s="116"/>
      <c r="F323" s="116"/>
      <c r="G323" s="117"/>
      <c r="H323" s="117"/>
      <c r="I323" s="117"/>
      <c r="J323" s="713"/>
      <c r="K323" s="2649"/>
      <c r="L323" s="2649"/>
      <c r="M323" s="2649"/>
      <c r="N323" s="2649"/>
      <c r="O323" s="2649"/>
      <c r="P323" s="2649"/>
      <c r="Q323" s="715"/>
      <c r="R323" s="713"/>
      <c r="S323" s="2649"/>
      <c r="T323" s="2649"/>
      <c r="U323" s="2649"/>
      <c r="V323" s="715"/>
      <c r="W323" s="2664"/>
      <c r="X323" s="94"/>
      <c r="Y323" s="159"/>
      <c r="Z323" s="94"/>
      <c r="AA323" s="94"/>
      <c r="AB323" s="94"/>
      <c r="AC323" s="94"/>
      <c r="AD323" s="94"/>
      <c r="AE323" s="94"/>
      <c r="AF323" s="160"/>
      <c r="AG323" s="159"/>
      <c r="AH323" s="94"/>
      <c r="AI323" s="94"/>
      <c r="AJ323" s="94"/>
      <c r="AK323" s="160"/>
      <c r="AL323" s="2629"/>
      <c r="AM323" s="94"/>
      <c r="AN323" s="159"/>
      <c r="AO323" s="94"/>
      <c r="AP323" s="94"/>
      <c r="AQ323" s="94"/>
      <c r="AR323" s="94"/>
      <c r="AS323" s="94"/>
      <c r="AT323" s="94"/>
      <c r="AU323" s="160"/>
      <c r="AV323" s="159"/>
      <c r="AW323" s="94"/>
      <c r="AX323" s="94"/>
      <c r="AY323" s="94"/>
      <c r="AZ323" s="160"/>
      <c r="BA323" s="2629"/>
      <c r="BB323" s="2629"/>
      <c r="BC323" s="2629"/>
      <c r="BD323" s="2629"/>
      <c r="BE323" s="2629"/>
      <c r="BF323" s="2629"/>
      <c r="BG323" s="2629"/>
      <c r="BH323" s="2629"/>
      <c r="BI323" s="2629"/>
      <c r="BJ323" s="2629"/>
      <c r="BK323" s="2629"/>
      <c r="BL323" s="2629"/>
      <c r="BM323" s="2629"/>
      <c r="BN323" s="2629"/>
    </row>
    <row r="324" spans="1:66" s="98" customFormat="1" ht="15" customHeight="1">
      <c r="A324" s="99"/>
      <c r="B324" s="161"/>
      <c r="C324" s="185"/>
      <c r="D324" s="162"/>
      <c r="E324" s="230" t="s">
        <v>2787</v>
      </c>
      <c r="F324" s="230"/>
      <c r="G324" s="163"/>
      <c r="H324" s="163"/>
      <c r="I324" s="164" t="s">
        <v>498</v>
      </c>
      <c r="J324" s="143">
        <v>0</v>
      </c>
      <c r="K324" s="141">
        <v>0</v>
      </c>
      <c r="L324" s="141">
        <v>0</v>
      </c>
      <c r="M324" s="141">
        <v>0</v>
      </c>
      <c r="N324" s="141">
        <v>0</v>
      </c>
      <c r="O324" s="141">
        <v>0</v>
      </c>
      <c r="P324" s="141">
        <v>0</v>
      </c>
      <c r="Q324" s="144">
        <v>0</v>
      </c>
      <c r="R324" s="143">
        <v>0</v>
      </c>
      <c r="S324" s="141">
        <v>0</v>
      </c>
      <c r="T324" s="141">
        <v>0</v>
      </c>
      <c r="U324" s="141">
        <v>0</v>
      </c>
      <c r="V324" s="144">
        <v>0</v>
      </c>
      <c r="W324" s="2664"/>
      <c r="X324" s="607" t="s">
        <v>498</v>
      </c>
      <c r="Y324" s="165">
        <v>0</v>
      </c>
      <c r="Z324" s="166">
        <v>0</v>
      </c>
      <c r="AA324" s="166">
        <v>0</v>
      </c>
      <c r="AB324" s="166">
        <v>0</v>
      </c>
      <c r="AC324" s="166">
        <v>0</v>
      </c>
      <c r="AD324" s="166">
        <v>0</v>
      </c>
      <c r="AE324" s="166">
        <v>0</v>
      </c>
      <c r="AF324" s="167">
        <v>0</v>
      </c>
      <c r="AG324" s="165">
        <v>0</v>
      </c>
      <c r="AH324" s="166">
        <v>0</v>
      </c>
      <c r="AI324" s="166">
        <v>0</v>
      </c>
      <c r="AJ324" s="166">
        <v>0</v>
      </c>
      <c r="AK324" s="167">
        <v>0</v>
      </c>
      <c r="AL324" s="2629"/>
      <c r="AM324" s="607" t="s">
        <v>1876</v>
      </c>
      <c r="AN324" s="165">
        <v>0</v>
      </c>
      <c r="AO324" s="166">
        <v>0</v>
      </c>
      <c r="AP324" s="166">
        <v>0</v>
      </c>
      <c r="AQ324" s="166">
        <v>0</v>
      </c>
      <c r="AR324" s="166">
        <v>0</v>
      </c>
      <c r="AS324" s="166">
        <v>0</v>
      </c>
      <c r="AT324" s="166">
        <v>0</v>
      </c>
      <c r="AU324" s="167">
        <v>0</v>
      </c>
      <c r="AV324" s="165">
        <v>0</v>
      </c>
      <c r="AW324" s="166">
        <v>0</v>
      </c>
      <c r="AX324" s="166">
        <v>0</v>
      </c>
      <c r="AY324" s="166">
        <v>0</v>
      </c>
      <c r="AZ324" s="167">
        <v>0</v>
      </c>
      <c r="BA324" s="2629"/>
      <c r="BB324" s="2629"/>
      <c r="BC324" s="2629"/>
      <c r="BD324" s="2629"/>
      <c r="BE324" s="2629"/>
      <c r="BF324" s="2629"/>
      <c r="BG324" s="2629"/>
      <c r="BH324" s="2629"/>
      <c r="BI324" s="2629"/>
      <c r="BJ324" s="2629"/>
      <c r="BK324" s="2629"/>
      <c r="BL324" s="2629"/>
      <c r="BM324" s="2629"/>
      <c r="BN324" s="2629"/>
    </row>
    <row r="325" spans="1:66" s="98" customFormat="1" ht="15" customHeight="1">
      <c r="A325" s="99"/>
      <c r="B325" s="161"/>
      <c r="C325" s="185"/>
      <c r="D325" s="162"/>
      <c r="E325" s="162" t="s">
        <v>1555</v>
      </c>
      <c r="F325" s="162"/>
      <c r="G325" s="163"/>
      <c r="H325" s="163"/>
      <c r="I325" s="164" t="s">
        <v>498</v>
      </c>
      <c r="J325" s="143">
        <v>0</v>
      </c>
      <c r="K325" s="141">
        <v>0</v>
      </c>
      <c r="L325" s="141">
        <v>0</v>
      </c>
      <c r="M325" s="141">
        <v>0</v>
      </c>
      <c r="N325" s="141">
        <v>0</v>
      </c>
      <c r="O325" s="141">
        <v>0</v>
      </c>
      <c r="P325" s="141">
        <v>0</v>
      </c>
      <c r="Q325" s="144">
        <v>0</v>
      </c>
      <c r="R325" s="143">
        <v>0</v>
      </c>
      <c r="S325" s="141">
        <v>0</v>
      </c>
      <c r="T325" s="141">
        <v>0</v>
      </c>
      <c r="U325" s="141">
        <v>0</v>
      </c>
      <c r="V325" s="144">
        <v>0</v>
      </c>
      <c r="W325" s="2664"/>
      <c r="X325" s="607" t="s">
        <v>498</v>
      </c>
      <c r="Y325" s="165">
        <v>0</v>
      </c>
      <c r="Z325" s="166">
        <v>0</v>
      </c>
      <c r="AA325" s="166">
        <v>0</v>
      </c>
      <c r="AB325" s="166">
        <v>0</v>
      </c>
      <c r="AC325" s="166">
        <v>0</v>
      </c>
      <c r="AD325" s="166">
        <v>0</v>
      </c>
      <c r="AE325" s="166">
        <v>0</v>
      </c>
      <c r="AF325" s="167">
        <v>0</v>
      </c>
      <c r="AG325" s="165">
        <v>0</v>
      </c>
      <c r="AH325" s="166">
        <v>0</v>
      </c>
      <c r="AI325" s="166">
        <v>0</v>
      </c>
      <c r="AJ325" s="166">
        <v>0</v>
      </c>
      <c r="AK325" s="167">
        <v>0</v>
      </c>
      <c r="AL325" s="2629"/>
      <c r="AM325" s="607" t="s">
        <v>1876</v>
      </c>
      <c r="AN325" s="165">
        <v>0</v>
      </c>
      <c r="AO325" s="166">
        <v>0</v>
      </c>
      <c r="AP325" s="166">
        <v>0</v>
      </c>
      <c r="AQ325" s="166">
        <v>0</v>
      </c>
      <c r="AR325" s="166">
        <v>0</v>
      </c>
      <c r="AS325" s="166">
        <v>0</v>
      </c>
      <c r="AT325" s="166">
        <v>0</v>
      </c>
      <c r="AU325" s="167">
        <v>0</v>
      </c>
      <c r="AV325" s="165">
        <v>0</v>
      </c>
      <c r="AW325" s="166">
        <v>0</v>
      </c>
      <c r="AX325" s="166">
        <v>0</v>
      </c>
      <c r="AY325" s="166">
        <v>0</v>
      </c>
      <c r="AZ325" s="167">
        <v>0</v>
      </c>
      <c r="BA325" s="2629"/>
      <c r="BB325" s="2629"/>
      <c r="BC325" s="2629"/>
      <c r="BD325" s="2629"/>
      <c r="BE325" s="2629"/>
      <c r="BF325" s="2629"/>
      <c r="BG325" s="2629"/>
      <c r="BH325" s="2629"/>
      <c r="BI325" s="2629"/>
      <c r="BJ325" s="2629"/>
      <c r="BK325" s="2629"/>
      <c r="BL325" s="2629"/>
      <c r="BM325" s="2629"/>
      <c r="BN325" s="2629"/>
    </row>
    <row r="326" spans="1:66" s="98" customFormat="1" ht="15" customHeight="1">
      <c r="A326" s="99"/>
      <c r="B326" s="161"/>
      <c r="C326" s="116"/>
      <c r="D326" s="116"/>
      <c r="E326" s="116"/>
      <c r="F326" s="116"/>
      <c r="G326" s="117"/>
      <c r="H326" s="117"/>
      <c r="I326" s="117"/>
      <c r="J326" s="713"/>
      <c r="K326" s="2649"/>
      <c r="L326" s="2649"/>
      <c r="M326" s="2649"/>
      <c r="N326" s="2649"/>
      <c r="O326" s="2649"/>
      <c r="P326" s="2649"/>
      <c r="Q326" s="715"/>
      <c r="R326" s="713"/>
      <c r="S326" s="2649"/>
      <c r="T326" s="2649"/>
      <c r="U326" s="2649"/>
      <c r="V326" s="715"/>
      <c r="W326" s="2664"/>
      <c r="X326" s="94"/>
      <c r="Y326" s="159"/>
      <c r="Z326" s="94"/>
      <c r="AA326" s="94"/>
      <c r="AB326" s="94"/>
      <c r="AC326" s="94"/>
      <c r="AD326" s="94"/>
      <c r="AE326" s="94"/>
      <c r="AF326" s="160"/>
      <c r="AG326" s="159"/>
      <c r="AH326" s="94"/>
      <c r="AI326" s="94"/>
      <c r="AJ326" s="94"/>
      <c r="AK326" s="160"/>
      <c r="AL326" s="2629"/>
      <c r="AM326" s="94"/>
      <c r="AN326" s="159"/>
      <c r="AO326" s="94"/>
      <c r="AP326" s="94"/>
      <c r="AQ326" s="94"/>
      <c r="AR326" s="94"/>
      <c r="AS326" s="94"/>
      <c r="AT326" s="94"/>
      <c r="AU326" s="160"/>
      <c r="AV326" s="159"/>
      <c r="AW326" s="94"/>
      <c r="AX326" s="94"/>
      <c r="AY326" s="94"/>
      <c r="AZ326" s="160"/>
      <c r="BA326" s="2629"/>
      <c r="BB326" s="2629"/>
      <c r="BC326" s="2629"/>
      <c r="BD326" s="2629"/>
      <c r="BE326" s="2629"/>
      <c r="BF326" s="2629"/>
      <c r="BG326" s="2629"/>
      <c r="BH326" s="2629"/>
      <c r="BI326" s="2629"/>
      <c r="BJ326" s="2629"/>
      <c r="BK326" s="2629"/>
      <c r="BL326" s="2629"/>
      <c r="BM326" s="2629"/>
      <c r="BN326" s="2629"/>
    </row>
    <row r="327" spans="1:66" s="98" customFormat="1" ht="15" customHeight="1" thickBot="1">
      <c r="A327" s="99"/>
      <c r="B327" s="131" t="s">
        <v>1701</v>
      </c>
      <c r="C327" s="132"/>
      <c r="D327" s="132"/>
      <c r="E327" s="132"/>
      <c r="F327" s="132"/>
      <c r="G327" s="145"/>
      <c r="H327" s="133"/>
      <c r="I327" s="146" t="s">
        <v>498</v>
      </c>
      <c r="J327" s="717">
        <f>SUM(J265:J325)</f>
        <v>0</v>
      </c>
      <c r="K327" s="718">
        <f t="shared" ref="K327:V327" si="41">SUM(K265:K325)</f>
        <v>0</v>
      </c>
      <c r="L327" s="718">
        <f t="shared" si="41"/>
        <v>0</v>
      </c>
      <c r="M327" s="718">
        <f t="shared" si="41"/>
        <v>0</v>
      </c>
      <c r="N327" s="718">
        <f t="shared" si="41"/>
        <v>0</v>
      </c>
      <c r="O327" s="718">
        <f t="shared" si="41"/>
        <v>0</v>
      </c>
      <c r="P327" s="718">
        <f t="shared" si="41"/>
        <v>0</v>
      </c>
      <c r="Q327" s="719">
        <f t="shared" si="41"/>
        <v>0</v>
      </c>
      <c r="R327" s="717">
        <f t="shared" si="41"/>
        <v>0</v>
      </c>
      <c r="S327" s="718">
        <f t="shared" si="41"/>
        <v>0</v>
      </c>
      <c r="T327" s="718">
        <f t="shared" si="41"/>
        <v>0</v>
      </c>
      <c r="U327" s="718">
        <f t="shared" si="41"/>
        <v>0</v>
      </c>
      <c r="V327" s="719">
        <f t="shared" si="41"/>
        <v>0</v>
      </c>
      <c r="W327" s="133"/>
      <c r="X327" s="146" t="s">
        <v>498</v>
      </c>
      <c r="Y327" s="717">
        <f>SUM(Y265:Y325)</f>
        <v>0</v>
      </c>
      <c r="Z327" s="718">
        <f t="shared" ref="Z327:AK327" si="42">SUM(Z265:Z325)</f>
        <v>0</v>
      </c>
      <c r="AA327" s="718">
        <f t="shared" si="42"/>
        <v>0</v>
      </c>
      <c r="AB327" s="718">
        <f t="shared" si="42"/>
        <v>0</v>
      </c>
      <c r="AC327" s="718">
        <f t="shared" si="42"/>
        <v>0</v>
      </c>
      <c r="AD327" s="718">
        <f t="shared" si="42"/>
        <v>0</v>
      </c>
      <c r="AE327" s="718">
        <f t="shared" si="42"/>
        <v>0</v>
      </c>
      <c r="AF327" s="719">
        <f t="shared" si="42"/>
        <v>0</v>
      </c>
      <c r="AG327" s="717">
        <f t="shared" si="42"/>
        <v>0</v>
      </c>
      <c r="AH327" s="718">
        <f t="shared" si="42"/>
        <v>0</v>
      </c>
      <c r="AI327" s="718">
        <f t="shared" si="42"/>
        <v>0</v>
      </c>
      <c r="AJ327" s="718">
        <f t="shared" si="42"/>
        <v>0</v>
      </c>
      <c r="AK327" s="719">
        <f t="shared" si="42"/>
        <v>0</v>
      </c>
      <c r="AL327" s="2630"/>
      <c r="AM327" s="1121"/>
      <c r="AN327" s="1122"/>
      <c r="AO327" s="1121"/>
      <c r="AP327" s="1121"/>
      <c r="AQ327" s="1121"/>
      <c r="AR327" s="1121"/>
      <c r="AS327" s="1121"/>
      <c r="AT327" s="1121"/>
      <c r="AU327" s="1123"/>
      <c r="AV327" s="1122"/>
      <c r="AW327" s="1121"/>
      <c r="AX327" s="1121"/>
      <c r="AY327" s="1121"/>
      <c r="AZ327" s="1123"/>
      <c r="BA327" s="2629"/>
      <c r="BB327" s="2629"/>
      <c r="BC327" s="2629"/>
      <c r="BD327" s="2629"/>
      <c r="BE327" s="2629"/>
      <c r="BF327" s="2629"/>
      <c r="BG327" s="2629"/>
      <c r="BH327" s="2629"/>
      <c r="BI327" s="2629"/>
      <c r="BJ327" s="2629"/>
      <c r="BK327" s="2629"/>
      <c r="BL327" s="2629"/>
      <c r="BM327" s="2629"/>
      <c r="BN327" s="2629"/>
    </row>
    <row r="328" spans="1:66" ht="13.5" thickBot="1"/>
    <row r="329" spans="1:66" s="100" customFormat="1" ht="30" customHeight="1" thickBot="1">
      <c r="A329" s="89"/>
      <c r="B329" s="621" t="s">
        <v>1688</v>
      </c>
      <c r="C329" s="101"/>
      <c r="D329" s="102"/>
      <c r="E329" s="102"/>
      <c r="F329" s="102"/>
      <c r="G329" s="103"/>
      <c r="H329" s="103"/>
      <c r="I329" s="105" t="s">
        <v>1864</v>
      </c>
      <c r="J329" s="106"/>
      <c r="K329" s="106"/>
      <c r="L329" s="106"/>
      <c r="M329" s="106"/>
      <c r="N329" s="106"/>
      <c r="O329" s="106"/>
      <c r="P329" s="106"/>
      <c r="Q329" s="106"/>
      <c r="R329" s="105"/>
      <c r="S329" s="105"/>
      <c r="T329" s="105"/>
      <c r="U329" s="105"/>
      <c r="V329" s="105"/>
      <c r="W329" s="103"/>
      <c r="X329" s="105" t="s">
        <v>2202</v>
      </c>
      <c r="Y329" s="106"/>
      <c r="Z329" s="106"/>
      <c r="AA329" s="106"/>
      <c r="AB329" s="106"/>
      <c r="AC329" s="106"/>
      <c r="AD329" s="106"/>
      <c r="AE329" s="106"/>
      <c r="AF329" s="106"/>
      <c r="AG329" s="105"/>
      <c r="AH329" s="105"/>
      <c r="AI329" s="105"/>
      <c r="AJ329" s="105"/>
      <c r="AK329" s="105"/>
      <c r="AL329" s="103"/>
      <c r="AM329" s="105" t="s">
        <v>2231</v>
      </c>
      <c r="AN329" s="106"/>
      <c r="AO329" s="106"/>
      <c r="AP329" s="106"/>
      <c r="AQ329" s="106"/>
      <c r="AR329" s="106"/>
      <c r="AS329" s="106"/>
      <c r="AT329" s="106"/>
      <c r="AU329" s="106"/>
      <c r="AV329" s="105"/>
      <c r="AW329" s="105"/>
      <c r="AX329" s="105"/>
      <c r="AY329" s="105"/>
      <c r="AZ329" s="105"/>
      <c r="BA329" s="103"/>
      <c r="BB329" s="105" t="s">
        <v>2690</v>
      </c>
      <c r="BC329" s="105"/>
      <c r="BD329" s="603"/>
      <c r="BE329" s="603"/>
      <c r="BF329" s="603"/>
      <c r="BG329" s="105"/>
      <c r="BH329" s="103"/>
      <c r="BI329" s="105" t="s">
        <v>2691</v>
      </c>
      <c r="BJ329" s="105"/>
      <c r="BK329" s="603"/>
      <c r="BL329" s="603"/>
      <c r="BM329" s="105"/>
      <c r="BN329" s="187"/>
    </row>
    <row r="330" spans="1:66" s="157" customFormat="1" ht="30" customHeight="1">
      <c r="A330" s="99"/>
      <c r="B330" s="109"/>
      <c r="C330" s="110"/>
      <c r="D330" s="110"/>
      <c r="E330" s="110"/>
      <c r="F330" s="110"/>
      <c r="G330" s="111"/>
      <c r="H330" s="111"/>
      <c r="I330" s="117"/>
      <c r="J330" s="695" t="s">
        <v>1666</v>
      </c>
      <c r="K330" s="152"/>
      <c r="L330" s="152"/>
      <c r="M330" s="152"/>
      <c r="N330" s="152"/>
      <c r="O330" s="152"/>
      <c r="P330" s="152"/>
      <c r="Q330" s="153"/>
      <c r="R330" s="696" t="s">
        <v>2</v>
      </c>
      <c r="S330" s="155"/>
      <c r="T330" s="155"/>
      <c r="U330" s="155"/>
      <c r="V330" s="156"/>
      <c r="W330" s="2632"/>
      <c r="X330" s="94"/>
      <c r="Y330" s="695" t="s">
        <v>1666</v>
      </c>
      <c r="Z330" s="152"/>
      <c r="AA330" s="152"/>
      <c r="AB330" s="152"/>
      <c r="AC330" s="152"/>
      <c r="AD330" s="152"/>
      <c r="AE330" s="152"/>
      <c r="AF330" s="153"/>
      <c r="AG330" s="696" t="s">
        <v>2</v>
      </c>
      <c r="AH330" s="155"/>
      <c r="AI330" s="155"/>
      <c r="AJ330" s="155"/>
      <c r="AK330" s="156"/>
      <c r="AL330" s="2632"/>
      <c r="AM330" s="94"/>
      <c r="AN330" s="695" t="s">
        <v>1666</v>
      </c>
      <c r="AO330" s="152"/>
      <c r="AP330" s="152"/>
      <c r="AQ330" s="152"/>
      <c r="AR330" s="152"/>
      <c r="AS330" s="152"/>
      <c r="AT330" s="152"/>
      <c r="AU330" s="153"/>
      <c r="AV330" s="696" t="s">
        <v>2</v>
      </c>
      <c r="AW330" s="155"/>
      <c r="AX330" s="155"/>
      <c r="AY330" s="155"/>
      <c r="AZ330" s="156"/>
      <c r="BA330" s="2632"/>
      <c r="BB330" s="2633" t="s">
        <v>2785</v>
      </c>
      <c r="BC330" s="2633"/>
      <c r="BD330" s="2633"/>
      <c r="BE330" s="2633"/>
      <c r="BF330" s="2633" t="s">
        <v>2693</v>
      </c>
      <c r="BG330" s="2639"/>
      <c r="BH330" s="2632"/>
      <c r="BI330" s="2633" t="s">
        <v>2785</v>
      </c>
      <c r="BJ330" s="2633"/>
      <c r="BK330" s="2633"/>
      <c r="BL330" s="2633"/>
      <c r="BM330" s="2633" t="s">
        <v>2693</v>
      </c>
      <c r="BN330" s="2634"/>
    </row>
    <row r="331" spans="1:66" s="98" customFormat="1" ht="15" customHeight="1">
      <c r="A331" s="99"/>
      <c r="B331" s="115"/>
      <c r="C331" s="116"/>
      <c r="D331" s="116"/>
      <c r="E331" s="116"/>
      <c r="F331" s="116"/>
      <c r="G331" s="117"/>
      <c r="H331" s="117"/>
      <c r="I331" s="119" t="s">
        <v>1667</v>
      </c>
      <c r="J331" s="158" t="s">
        <v>453</v>
      </c>
      <c r="K331" s="137" t="s">
        <v>455</v>
      </c>
      <c r="L331" s="137" t="s">
        <v>457</v>
      </c>
      <c r="M331" s="137" t="s">
        <v>459</v>
      </c>
      <c r="N331" s="137" t="s">
        <v>461</v>
      </c>
      <c r="O331" s="137" t="s">
        <v>463</v>
      </c>
      <c r="P331" s="137" t="s">
        <v>465</v>
      </c>
      <c r="Q331" s="138" t="s">
        <v>467</v>
      </c>
      <c r="R331" s="120" t="s">
        <v>469</v>
      </c>
      <c r="S331" s="121" t="s">
        <v>471</v>
      </c>
      <c r="T331" s="121" t="s">
        <v>473</v>
      </c>
      <c r="U331" s="121" t="s">
        <v>475</v>
      </c>
      <c r="V331" s="122" t="s">
        <v>477</v>
      </c>
      <c r="W331" s="2629"/>
      <c r="X331" s="119" t="s">
        <v>1667</v>
      </c>
      <c r="Y331" s="158" t="s">
        <v>453</v>
      </c>
      <c r="Z331" s="137" t="s">
        <v>455</v>
      </c>
      <c r="AA331" s="137" t="s">
        <v>457</v>
      </c>
      <c r="AB331" s="137" t="s">
        <v>459</v>
      </c>
      <c r="AC331" s="137" t="s">
        <v>461</v>
      </c>
      <c r="AD331" s="137" t="s">
        <v>463</v>
      </c>
      <c r="AE331" s="137" t="s">
        <v>465</v>
      </c>
      <c r="AF331" s="138" t="s">
        <v>467</v>
      </c>
      <c r="AG331" s="120" t="s">
        <v>469</v>
      </c>
      <c r="AH331" s="121" t="s">
        <v>471</v>
      </c>
      <c r="AI331" s="121" t="s">
        <v>473</v>
      </c>
      <c r="AJ331" s="121" t="s">
        <v>475</v>
      </c>
      <c r="AK331" s="122" t="s">
        <v>477</v>
      </c>
      <c r="AL331" s="2629"/>
      <c r="AM331" s="119" t="s">
        <v>1667</v>
      </c>
      <c r="AN331" s="158" t="s">
        <v>453</v>
      </c>
      <c r="AO331" s="137" t="s">
        <v>455</v>
      </c>
      <c r="AP331" s="137" t="s">
        <v>457</v>
      </c>
      <c r="AQ331" s="137" t="s">
        <v>459</v>
      </c>
      <c r="AR331" s="137" t="s">
        <v>461</v>
      </c>
      <c r="AS331" s="137" t="s">
        <v>463</v>
      </c>
      <c r="AT331" s="137" t="s">
        <v>465</v>
      </c>
      <c r="AU331" s="138" t="s">
        <v>467</v>
      </c>
      <c r="AV331" s="120" t="s">
        <v>469</v>
      </c>
      <c r="AW331" s="121" t="s">
        <v>471</v>
      </c>
      <c r="AX331" s="121" t="s">
        <v>473</v>
      </c>
      <c r="AY331" s="121" t="s">
        <v>475</v>
      </c>
      <c r="AZ331" s="122" t="s">
        <v>477</v>
      </c>
      <c r="BA331" s="2629"/>
      <c r="BB331" s="2635" t="s">
        <v>1667</v>
      </c>
      <c r="BC331" s="2635" t="s">
        <v>2142</v>
      </c>
      <c r="BD331" s="2642"/>
      <c r="BE331" s="2642"/>
      <c r="BF331" s="2642" t="s">
        <v>1667</v>
      </c>
      <c r="BG331" s="2635" t="s">
        <v>2142</v>
      </c>
      <c r="BH331" s="2629"/>
      <c r="BI331" s="2635" t="s">
        <v>1667</v>
      </c>
      <c r="BJ331" s="2635" t="s">
        <v>2142</v>
      </c>
      <c r="BK331" s="2642"/>
      <c r="BL331" s="2642"/>
      <c r="BM331" s="2635" t="s">
        <v>1667</v>
      </c>
      <c r="BN331" s="2636" t="s">
        <v>2142</v>
      </c>
    </row>
    <row r="332" spans="1:66" s="98" customFormat="1" ht="15" customHeight="1">
      <c r="A332" s="99"/>
      <c r="B332" s="161"/>
      <c r="C332" s="116" t="s">
        <v>2521</v>
      </c>
      <c r="D332" s="116"/>
      <c r="E332" s="116"/>
      <c r="F332" s="116"/>
      <c r="G332" s="117"/>
      <c r="H332" s="117"/>
      <c r="I332" s="117"/>
      <c r="J332" s="159"/>
      <c r="K332" s="94"/>
      <c r="L332" s="94"/>
      <c r="M332" s="94"/>
      <c r="N332" s="94"/>
      <c r="O332" s="94"/>
      <c r="P332" s="94"/>
      <c r="Q332" s="160"/>
      <c r="R332" s="159"/>
      <c r="S332" s="94"/>
      <c r="T332" s="94"/>
      <c r="U332" s="94"/>
      <c r="V332" s="160"/>
      <c r="W332" s="2629"/>
      <c r="X332" s="94"/>
      <c r="Y332" s="159"/>
      <c r="Z332" s="94"/>
      <c r="AA332" s="94"/>
      <c r="AB332" s="94"/>
      <c r="AC332" s="94"/>
      <c r="AD332" s="94"/>
      <c r="AE332" s="94"/>
      <c r="AF332" s="160"/>
      <c r="AG332" s="159"/>
      <c r="AH332" s="94"/>
      <c r="AI332" s="94"/>
      <c r="AJ332" s="94"/>
      <c r="AK332" s="160"/>
      <c r="AL332" s="2629"/>
      <c r="AM332" s="94"/>
      <c r="AN332" s="159"/>
      <c r="AO332" s="94"/>
      <c r="AP332" s="94"/>
      <c r="AQ332" s="94"/>
      <c r="AR332" s="94"/>
      <c r="AS332" s="94"/>
      <c r="AT332" s="94"/>
      <c r="AU332" s="160"/>
      <c r="AV332" s="159"/>
      <c r="AW332" s="94"/>
      <c r="AX332" s="94"/>
      <c r="AY332" s="94"/>
      <c r="AZ332" s="160"/>
      <c r="BA332" s="2629"/>
      <c r="BB332" s="359"/>
      <c r="BC332" s="542"/>
      <c r="BD332" s="542"/>
      <c r="BE332" s="542"/>
      <c r="BF332" s="542"/>
      <c r="BG332" s="542"/>
      <c r="BH332" s="2629"/>
      <c r="BI332" s="359"/>
      <c r="BJ332" s="542"/>
      <c r="BK332" s="542"/>
      <c r="BL332" s="542"/>
      <c r="BM332" s="542"/>
      <c r="BN332" s="544"/>
    </row>
    <row r="333" spans="1:66" s="98" customFormat="1" ht="15" customHeight="1">
      <c r="A333" s="99"/>
      <c r="B333" s="161"/>
      <c r="C333" s="162"/>
      <c r="D333" s="1124" t="s">
        <v>2791</v>
      </c>
      <c r="E333" s="1124"/>
      <c r="F333" s="1124"/>
      <c r="G333" s="163"/>
      <c r="H333" s="163"/>
      <c r="I333" s="164" t="s">
        <v>498</v>
      </c>
      <c r="J333" s="143">
        <v>0</v>
      </c>
      <c r="K333" s="141">
        <v>0</v>
      </c>
      <c r="L333" s="141">
        <v>0</v>
      </c>
      <c r="M333" s="141">
        <v>0</v>
      </c>
      <c r="N333" s="141">
        <v>0</v>
      </c>
      <c r="O333" s="141">
        <v>0</v>
      </c>
      <c r="P333" s="141">
        <v>0</v>
      </c>
      <c r="Q333" s="144">
        <v>0</v>
      </c>
      <c r="R333" s="143">
        <v>0</v>
      </c>
      <c r="S333" s="141">
        <v>0</v>
      </c>
      <c r="T333" s="141">
        <v>0</v>
      </c>
      <c r="U333" s="141">
        <v>0</v>
      </c>
      <c r="V333" s="144">
        <v>0</v>
      </c>
      <c r="W333" s="2629"/>
      <c r="X333" s="607" t="s">
        <v>498</v>
      </c>
      <c r="Y333" s="143">
        <v>0</v>
      </c>
      <c r="Z333" s="141">
        <v>0</v>
      </c>
      <c r="AA333" s="141">
        <v>0</v>
      </c>
      <c r="AB333" s="141">
        <v>0</v>
      </c>
      <c r="AC333" s="141">
        <v>0</v>
      </c>
      <c r="AD333" s="141">
        <v>0</v>
      </c>
      <c r="AE333" s="141">
        <v>0</v>
      </c>
      <c r="AF333" s="144">
        <v>0</v>
      </c>
      <c r="AG333" s="143">
        <v>0</v>
      </c>
      <c r="AH333" s="141">
        <v>0</v>
      </c>
      <c r="AI333" s="141">
        <v>0</v>
      </c>
      <c r="AJ333" s="141">
        <v>0</v>
      </c>
      <c r="AK333" s="144">
        <v>0</v>
      </c>
      <c r="AL333" s="2629"/>
      <c r="AM333" s="607" t="s">
        <v>1876</v>
      </c>
      <c r="AN333" s="165">
        <v>0</v>
      </c>
      <c r="AO333" s="166">
        <v>0</v>
      </c>
      <c r="AP333" s="166">
        <v>0</v>
      </c>
      <c r="AQ333" s="166">
        <v>0</v>
      </c>
      <c r="AR333" s="166">
        <v>0</v>
      </c>
      <c r="AS333" s="166">
        <v>0</v>
      </c>
      <c r="AT333" s="166">
        <v>0</v>
      </c>
      <c r="AU333" s="167">
        <v>0</v>
      </c>
      <c r="AV333" s="165">
        <v>0</v>
      </c>
      <c r="AW333" s="166">
        <v>0</v>
      </c>
      <c r="AX333" s="166">
        <v>0</v>
      </c>
      <c r="AY333" s="166">
        <v>0</v>
      </c>
      <c r="AZ333" s="167">
        <v>0</v>
      </c>
      <c r="BA333" s="2629"/>
      <c r="BB333" s="545" t="s">
        <v>2788</v>
      </c>
      <c r="BC333" s="188">
        <v>0</v>
      </c>
      <c r="BD333" s="1372"/>
      <c r="BE333" s="1372"/>
      <c r="BF333" s="607" t="s">
        <v>627</v>
      </c>
      <c r="BG333" s="868">
        <v>0</v>
      </c>
      <c r="BH333" s="2629"/>
      <c r="BI333" s="545" t="s">
        <v>2788</v>
      </c>
      <c r="BJ333" s="188">
        <v>0</v>
      </c>
      <c r="BK333" s="1372"/>
      <c r="BL333" s="1372"/>
      <c r="BM333" s="545" t="s">
        <v>627</v>
      </c>
      <c r="BN333" s="872">
        <v>0</v>
      </c>
    </row>
    <row r="334" spans="1:66" s="98" customFormat="1" ht="15" customHeight="1">
      <c r="A334" s="99"/>
      <c r="B334" s="161"/>
      <c r="C334" s="162"/>
      <c r="D334" s="1124" t="s">
        <v>2792</v>
      </c>
      <c r="E334" s="1124"/>
      <c r="F334" s="1124"/>
      <c r="G334" s="163"/>
      <c r="H334" s="163"/>
      <c r="I334" s="164" t="s">
        <v>498</v>
      </c>
      <c r="J334" s="143">
        <v>1.1845798068993518</v>
      </c>
      <c r="K334" s="141">
        <v>1.8177270240819865</v>
      </c>
      <c r="L334" s="141">
        <v>2.0658879282658495</v>
      </c>
      <c r="M334" s="141">
        <v>1.1138688343278316</v>
      </c>
      <c r="N334" s="141">
        <v>0.22207702307921179</v>
      </c>
      <c r="O334" s="141">
        <v>0.16803897998046874</v>
      </c>
      <c r="P334" s="141">
        <v>1.1282370995547639</v>
      </c>
      <c r="Q334" s="144">
        <v>0.82093785845460288</v>
      </c>
      <c r="R334" s="143">
        <v>0</v>
      </c>
      <c r="S334" s="141">
        <v>0</v>
      </c>
      <c r="T334" s="141">
        <v>0</v>
      </c>
      <c r="U334" s="141">
        <v>0</v>
      </c>
      <c r="V334" s="144">
        <v>0</v>
      </c>
      <c r="W334" s="2629"/>
      <c r="X334" s="607" t="s">
        <v>498</v>
      </c>
      <c r="Y334" s="143">
        <v>0</v>
      </c>
      <c r="Z334" s="141">
        <v>0</v>
      </c>
      <c r="AA334" s="141">
        <v>0</v>
      </c>
      <c r="AB334" s="141">
        <v>0</v>
      </c>
      <c r="AC334" s="141">
        <v>0</v>
      </c>
      <c r="AD334" s="141">
        <v>0</v>
      </c>
      <c r="AE334" s="141">
        <v>0</v>
      </c>
      <c r="AF334" s="144">
        <v>0</v>
      </c>
      <c r="AG334" s="143">
        <v>0</v>
      </c>
      <c r="AH334" s="141">
        <v>0</v>
      </c>
      <c r="AI334" s="141">
        <v>0</v>
      </c>
      <c r="AJ334" s="141">
        <v>0</v>
      </c>
      <c r="AK334" s="144">
        <v>0</v>
      </c>
      <c r="AL334" s="2629"/>
      <c r="AM334" s="607" t="s">
        <v>1876</v>
      </c>
      <c r="AN334" s="165">
        <v>1286</v>
      </c>
      <c r="AO334" s="166">
        <v>1065</v>
      </c>
      <c r="AP334" s="166">
        <v>1122</v>
      </c>
      <c r="AQ334" s="166">
        <v>890</v>
      </c>
      <c r="AR334" s="166">
        <v>351</v>
      </c>
      <c r="AS334" s="166">
        <v>286</v>
      </c>
      <c r="AT334" s="166">
        <v>845.34287562246368</v>
      </c>
      <c r="AU334" s="167">
        <v>696.39255288955997</v>
      </c>
      <c r="AV334" s="165">
        <v>0</v>
      </c>
      <c r="AW334" s="166">
        <v>0</v>
      </c>
      <c r="AX334" s="166">
        <v>0</v>
      </c>
      <c r="AY334" s="166">
        <v>0</v>
      </c>
      <c r="AZ334" s="167">
        <v>0</v>
      </c>
      <c r="BA334" s="2629"/>
      <c r="BB334" s="545" t="s">
        <v>2788</v>
      </c>
      <c r="BC334" s="188">
        <v>0</v>
      </c>
      <c r="BD334" s="1372"/>
      <c r="BE334" s="1372"/>
      <c r="BF334" s="607" t="s">
        <v>627</v>
      </c>
      <c r="BG334" s="868">
        <v>0</v>
      </c>
      <c r="BH334" s="2629"/>
      <c r="BI334" s="545" t="s">
        <v>2788</v>
      </c>
      <c r="BJ334" s="188">
        <v>0</v>
      </c>
      <c r="BK334" s="1372"/>
      <c r="BL334" s="1372"/>
      <c r="BM334" s="545" t="s">
        <v>627</v>
      </c>
      <c r="BN334" s="872">
        <v>0</v>
      </c>
    </row>
    <row r="335" spans="1:66" s="98" customFormat="1" ht="15" customHeight="1">
      <c r="A335" s="99"/>
      <c r="B335" s="161"/>
      <c r="C335" s="162"/>
      <c r="D335" s="1124" t="s">
        <v>2793</v>
      </c>
      <c r="E335" s="1124"/>
      <c r="F335" s="1124"/>
      <c r="G335" s="163"/>
      <c r="H335" s="163"/>
      <c r="I335" s="164" t="s">
        <v>498</v>
      </c>
      <c r="J335" s="143">
        <v>8.4638141102785873</v>
      </c>
      <c r="K335" s="141">
        <v>8.1510938761928884</v>
      </c>
      <c r="L335" s="141">
        <v>5.4580789160439247</v>
      </c>
      <c r="M335" s="141">
        <v>5.716984655116172</v>
      </c>
      <c r="N335" s="141">
        <v>5.0163716832802905</v>
      </c>
      <c r="O335" s="141">
        <v>5.1724387718923657</v>
      </c>
      <c r="P335" s="141">
        <v>6.5966117872704046</v>
      </c>
      <c r="Q335" s="144">
        <v>5.4761151689425276</v>
      </c>
      <c r="R335" s="143">
        <v>5.9186804030688664</v>
      </c>
      <c r="S335" s="141">
        <v>5.7713052610324516</v>
      </c>
      <c r="T335" s="141">
        <v>5.6275997600327434</v>
      </c>
      <c r="U335" s="141">
        <v>5.4874725260079273</v>
      </c>
      <c r="V335" s="144">
        <v>5.3508344601103293</v>
      </c>
      <c r="W335" s="2629"/>
      <c r="X335" s="607" t="s">
        <v>498</v>
      </c>
      <c r="Y335" s="143">
        <v>0</v>
      </c>
      <c r="Z335" s="141">
        <v>0</v>
      </c>
      <c r="AA335" s="141">
        <v>0</v>
      </c>
      <c r="AB335" s="141">
        <v>0</v>
      </c>
      <c r="AC335" s="141">
        <v>0</v>
      </c>
      <c r="AD335" s="141">
        <v>0</v>
      </c>
      <c r="AE335" s="141">
        <v>0</v>
      </c>
      <c r="AF335" s="144">
        <v>0</v>
      </c>
      <c r="AG335" s="143">
        <v>0</v>
      </c>
      <c r="AH335" s="141">
        <v>0</v>
      </c>
      <c r="AI335" s="141">
        <v>0</v>
      </c>
      <c r="AJ335" s="141">
        <v>0</v>
      </c>
      <c r="AK335" s="144">
        <v>0</v>
      </c>
      <c r="AL335" s="2629"/>
      <c r="AM335" s="607" t="s">
        <v>1876</v>
      </c>
      <c r="AN335" s="165">
        <v>4461</v>
      </c>
      <c r="AO335" s="166">
        <v>4176</v>
      </c>
      <c r="AP335" s="166">
        <v>3838</v>
      </c>
      <c r="AQ335" s="166">
        <v>3910</v>
      </c>
      <c r="AR335" s="166">
        <v>3917</v>
      </c>
      <c r="AS335" s="166">
        <v>4636</v>
      </c>
      <c r="AT335" s="166">
        <v>4265.9273327374549</v>
      </c>
      <c r="AU335" s="167">
        <v>4009.3725596851727</v>
      </c>
      <c r="AV335" s="165">
        <v>4148.57619031579</v>
      </c>
      <c r="AW335" s="166">
        <v>4065.6046665094741</v>
      </c>
      <c r="AX335" s="166">
        <v>3984.2925731792848</v>
      </c>
      <c r="AY335" s="166">
        <v>3904.6067217156992</v>
      </c>
      <c r="AZ335" s="167">
        <v>3826.514587281385</v>
      </c>
      <c r="BA335" s="2629"/>
      <c r="BB335" s="545" t="s">
        <v>2788</v>
      </c>
      <c r="BC335" s="188">
        <v>0</v>
      </c>
      <c r="BD335" s="1372"/>
      <c r="BE335" s="1372"/>
      <c r="BF335" s="607" t="s">
        <v>627</v>
      </c>
      <c r="BG335" s="868">
        <v>0</v>
      </c>
      <c r="BH335" s="2629"/>
      <c r="BI335" s="545" t="s">
        <v>2788</v>
      </c>
      <c r="BJ335" s="188">
        <v>0</v>
      </c>
      <c r="BK335" s="1372"/>
      <c r="BL335" s="1372"/>
      <c r="BM335" s="545" t="s">
        <v>627</v>
      </c>
      <c r="BN335" s="872">
        <v>0</v>
      </c>
    </row>
    <row r="336" spans="1:66" s="98" customFormat="1" ht="15" customHeight="1">
      <c r="A336" s="99"/>
      <c r="B336" s="161"/>
      <c r="C336" s="162"/>
      <c r="D336" s="1124" t="s">
        <v>2794</v>
      </c>
      <c r="E336" s="1124"/>
      <c r="F336" s="1124"/>
      <c r="G336" s="163"/>
      <c r="H336" s="163"/>
      <c r="I336" s="164" t="s">
        <v>498</v>
      </c>
      <c r="J336" s="143">
        <v>0</v>
      </c>
      <c r="K336" s="141">
        <v>0</v>
      </c>
      <c r="L336" s="141">
        <v>0</v>
      </c>
      <c r="M336" s="141">
        <v>0</v>
      </c>
      <c r="N336" s="141">
        <v>0</v>
      </c>
      <c r="O336" s="141">
        <v>0</v>
      </c>
      <c r="P336" s="141">
        <v>0</v>
      </c>
      <c r="Q336" s="144">
        <v>0</v>
      </c>
      <c r="R336" s="143">
        <v>0</v>
      </c>
      <c r="S336" s="141">
        <v>0</v>
      </c>
      <c r="T336" s="141">
        <v>0</v>
      </c>
      <c r="U336" s="141">
        <v>0</v>
      </c>
      <c r="V336" s="144">
        <v>0</v>
      </c>
      <c r="W336" s="2629"/>
      <c r="X336" s="607" t="s">
        <v>498</v>
      </c>
      <c r="Y336" s="143">
        <v>0</v>
      </c>
      <c r="Z336" s="141">
        <v>0</v>
      </c>
      <c r="AA336" s="141">
        <v>0</v>
      </c>
      <c r="AB336" s="141">
        <v>0</v>
      </c>
      <c r="AC336" s="141">
        <v>0</v>
      </c>
      <c r="AD336" s="141">
        <v>0</v>
      </c>
      <c r="AE336" s="141">
        <v>0</v>
      </c>
      <c r="AF336" s="144">
        <v>0</v>
      </c>
      <c r="AG336" s="143">
        <v>0</v>
      </c>
      <c r="AH336" s="141">
        <v>0</v>
      </c>
      <c r="AI336" s="141">
        <v>0</v>
      </c>
      <c r="AJ336" s="141">
        <v>0</v>
      </c>
      <c r="AK336" s="144">
        <v>0</v>
      </c>
      <c r="AL336" s="2629"/>
      <c r="AM336" s="607" t="s">
        <v>1876</v>
      </c>
      <c r="AN336" s="165">
        <v>0</v>
      </c>
      <c r="AO336" s="166">
        <v>0</v>
      </c>
      <c r="AP336" s="166">
        <v>0</v>
      </c>
      <c r="AQ336" s="166">
        <v>0</v>
      </c>
      <c r="AR336" s="166">
        <v>0</v>
      </c>
      <c r="AS336" s="166">
        <v>0</v>
      </c>
      <c r="AT336" s="166">
        <v>0</v>
      </c>
      <c r="AU336" s="167">
        <v>0</v>
      </c>
      <c r="AV336" s="165">
        <v>0</v>
      </c>
      <c r="AW336" s="166">
        <v>0</v>
      </c>
      <c r="AX336" s="166">
        <v>0</v>
      </c>
      <c r="AY336" s="166">
        <v>0</v>
      </c>
      <c r="AZ336" s="167">
        <v>0</v>
      </c>
      <c r="BA336" s="2629"/>
      <c r="BB336" s="545" t="s">
        <v>2788</v>
      </c>
      <c r="BC336" s="188">
        <v>0</v>
      </c>
      <c r="BD336" s="1372"/>
      <c r="BE336" s="1372"/>
      <c r="BF336" s="607" t="s">
        <v>627</v>
      </c>
      <c r="BG336" s="868">
        <v>0</v>
      </c>
      <c r="BH336" s="2629"/>
      <c r="BI336" s="545" t="s">
        <v>2788</v>
      </c>
      <c r="BJ336" s="188">
        <v>0</v>
      </c>
      <c r="BK336" s="1372"/>
      <c r="BL336" s="1372"/>
      <c r="BM336" s="545" t="s">
        <v>627</v>
      </c>
      <c r="BN336" s="872">
        <v>0</v>
      </c>
    </row>
    <row r="337" spans="1:66" s="98" customFormat="1" ht="15" customHeight="1">
      <c r="A337" s="99"/>
      <c r="B337" s="161"/>
      <c r="C337" s="162"/>
      <c r="D337" s="1124" t="s">
        <v>2795</v>
      </c>
      <c r="E337" s="1124"/>
      <c r="F337" s="1124"/>
      <c r="G337" s="163"/>
      <c r="H337" s="163"/>
      <c r="I337" s="164" t="s">
        <v>498</v>
      </c>
      <c r="J337" s="143">
        <v>0</v>
      </c>
      <c r="K337" s="141">
        <v>0</v>
      </c>
      <c r="L337" s="141">
        <v>0</v>
      </c>
      <c r="M337" s="141">
        <v>0</v>
      </c>
      <c r="N337" s="141">
        <v>0</v>
      </c>
      <c r="O337" s="141">
        <v>0</v>
      </c>
      <c r="P337" s="141">
        <v>0</v>
      </c>
      <c r="Q337" s="144">
        <v>0</v>
      </c>
      <c r="R337" s="143">
        <v>0</v>
      </c>
      <c r="S337" s="141">
        <v>0</v>
      </c>
      <c r="T337" s="141">
        <v>0</v>
      </c>
      <c r="U337" s="141">
        <v>0</v>
      </c>
      <c r="V337" s="144">
        <v>0</v>
      </c>
      <c r="W337" s="2629"/>
      <c r="X337" s="607" t="s">
        <v>498</v>
      </c>
      <c r="Y337" s="143">
        <v>0</v>
      </c>
      <c r="Z337" s="141">
        <v>0</v>
      </c>
      <c r="AA337" s="141">
        <v>0</v>
      </c>
      <c r="AB337" s="141">
        <v>0</v>
      </c>
      <c r="AC337" s="141">
        <v>0</v>
      </c>
      <c r="AD337" s="141">
        <v>0</v>
      </c>
      <c r="AE337" s="141">
        <v>0</v>
      </c>
      <c r="AF337" s="144">
        <v>0</v>
      </c>
      <c r="AG337" s="143">
        <v>0</v>
      </c>
      <c r="AH337" s="141">
        <v>0</v>
      </c>
      <c r="AI337" s="141">
        <v>0</v>
      </c>
      <c r="AJ337" s="141">
        <v>0</v>
      </c>
      <c r="AK337" s="144">
        <v>0</v>
      </c>
      <c r="AL337" s="2629"/>
      <c r="AM337" s="607" t="s">
        <v>1876</v>
      </c>
      <c r="AN337" s="165">
        <v>0</v>
      </c>
      <c r="AO337" s="166">
        <v>0</v>
      </c>
      <c r="AP337" s="166">
        <v>0</v>
      </c>
      <c r="AQ337" s="166">
        <v>0</v>
      </c>
      <c r="AR337" s="166">
        <v>0</v>
      </c>
      <c r="AS337" s="166">
        <v>0</v>
      </c>
      <c r="AT337" s="166">
        <v>0</v>
      </c>
      <c r="AU337" s="167">
        <v>0</v>
      </c>
      <c r="AV337" s="165">
        <v>0</v>
      </c>
      <c r="AW337" s="166">
        <v>0</v>
      </c>
      <c r="AX337" s="166">
        <v>0</v>
      </c>
      <c r="AY337" s="166">
        <v>0</v>
      </c>
      <c r="AZ337" s="167">
        <v>0</v>
      </c>
      <c r="BA337" s="2629"/>
      <c r="BB337" s="545" t="s">
        <v>2788</v>
      </c>
      <c r="BC337" s="188">
        <v>0</v>
      </c>
      <c r="BD337" s="1372"/>
      <c r="BE337" s="1372"/>
      <c r="BF337" s="607" t="s">
        <v>627</v>
      </c>
      <c r="BG337" s="868">
        <v>0</v>
      </c>
      <c r="BH337" s="2629"/>
      <c r="BI337" s="545" t="s">
        <v>2788</v>
      </c>
      <c r="BJ337" s="188">
        <v>0</v>
      </c>
      <c r="BK337" s="1372"/>
      <c r="BL337" s="1372"/>
      <c r="BM337" s="545" t="s">
        <v>627</v>
      </c>
      <c r="BN337" s="872">
        <v>0</v>
      </c>
    </row>
    <row r="338" spans="1:66" s="98" customFormat="1" ht="15" customHeight="1">
      <c r="A338" s="99"/>
      <c r="B338" s="161"/>
      <c r="C338" s="162"/>
      <c r="D338" s="1124" t="s">
        <v>2796</v>
      </c>
      <c r="E338" s="1124"/>
      <c r="F338" s="1124"/>
      <c r="G338" s="163"/>
      <c r="H338" s="163"/>
      <c r="I338" s="164" t="s">
        <v>498</v>
      </c>
      <c r="J338" s="143">
        <v>1.2374520013510975</v>
      </c>
      <c r="K338" s="141">
        <v>1.0246774304442752</v>
      </c>
      <c r="L338" s="141">
        <v>1.2828171888553255</v>
      </c>
      <c r="M338" s="141">
        <v>1.7035901831963831</v>
      </c>
      <c r="N338" s="141">
        <v>2.1264648723052813</v>
      </c>
      <c r="O338" s="141">
        <v>1.4276945535777523</v>
      </c>
      <c r="P338" s="141">
        <v>1.5254739326361939</v>
      </c>
      <c r="Q338" s="144">
        <v>1.3007335372031406</v>
      </c>
      <c r="R338" s="143">
        <v>2.7774175337052767</v>
      </c>
      <c r="S338" s="141">
        <v>2.7635304460367505</v>
      </c>
      <c r="T338" s="141">
        <v>2.749712793806566</v>
      </c>
      <c r="U338" s="141">
        <v>2.7359642298375335</v>
      </c>
      <c r="V338" s="144">
        <v>2.7222844086883455</v>
      </c>
      <c r="W338" s="2629"/>
      <c r="X338" s="607" t="s">
        <v>498</v>
      </c>
      <c r="Y338" s="143">
        <v>0</v>
      </c>
      <c r="Z338" s="141">
        <v>0</v>
      </c>
      <c r="AA338" s="141">
        <v>0</v>
      </c>
      <c r="AB338" s="141">
        <v>0</v>
      </c>
      <c r="AC338" s="141">
        <v>0</v>
      </c>
      <c r="AD338" s="141">
        <v>0</v>
      </c>
      <c r="AE338" s="141">
        <v>0</v>
      </c>
      <c r="AF338" s="144">
        <v>0</v>
      </c>
      <c r="AG338" s="143">
        <v>0</v>
      </c>
      <c r="AH338" s="141">
        <v>0</v>
      </c>
      <c r="AI338" s="141">
        <v>0</v>
      </c>
      <c r="AJ338" s="141">
        <v>0</v>
      </c>
      <c r="AK338" s="144">
        <v>0</v>
      </c>
      <c r="AL338" s="2629"/>
      <c r="AM338" s="607" t="s">
        <v>1876</v>
      </c>
      <c r="AN338" s="165">
        <v>1620</v>
      </c>
      <c r="AO338" s="166">
        <v>862</v>
      </c>
      <c r="AP338" s="166">
        <v>1485</v>
      </c>
      <c r="AQ338" s="166">
        <v>1449</v>
      </c>
      <c r="AR338" s="166">
        <v>1601</v>
      </c>
      <c r="AS338" s="166">
        <v>1713</v>
      </c>
      <c r="AT338" s="166">
        <v>1489.9622262948035</v>
      </c>
      <c r="AU338" s="167">
        <v>1438.3683527329304</v>
      </c>
      <c r="AV338" s="165">
        <v>2346.1999999999998</v>
      </c>
      <c r="AW338" s="166">
        <v>2346.1999999999998</v>
      </c>
      <c r="AX338" s="166">
        <v>2346.1999999999998</v>
      </c>
      <c r="AY338" s="166">
        <v>2346.1999999999998</v>
      </c>
      <c r="AZ338" s="167">
        <v>2346.1999999999998</v>
      </c>
      <c r="BA338" s="2629"/>
      <c r="BB338" s="545" t="s">
        <v>2788</v>
      </c>
      <c r="BC338" s="188">
        <v>0</v>
      </c>
      <c r="BD338" s="1372"/>
      <c r="BE338" s="1372"/>
      <c r="BF338" s="607" t="s">
        <v>627</v>
      </c>
      <c r="BG338" s="868">
        <v>0</v>
      </c>
      <c r="BH338" s="2629"/>
      <c r="BI338" s="545" t="s">
        <v>2788</v>
      </c>
      <c r="BJ338" s="188">
        <v>0</v>
      </c>
      <c r="BK338" s="1372"/>
      <c r="BL338" s="1372"/>
      <c r="BM338" s="545" t="s">
        <v>627</v>
      </c>
      <c r="BN338" s="872">
        <v>0</v>
      </c>
    </row>
    <row r="339" spans="1:66" s="98" customFormat="1" ht="15" customHeight="1">
      <c r="A339" s="99"/>
      <c r="B339" s="161"/>
      <c r="C339" s="162"/>
      <c r="D339" s="1124" t="s">
        <v>2797</v>
      </c>
      <c r="E339" s="1124"/>
      <c r="F339" s="1124"/>
      <c r="G339" s="163"/>
      <c r="H339" s="163"/>
      <c r="I339" s="164" t="s">
        <v>498</v>
      </c>
      <c r="J339" s="143">
        <v>0</v>
      </c>
      <c r="K339" s="141">
        <v>0</v>
      </c>
      <c r="L339" s="141">
        <v>0</v>
      </c>
      <c r="M339" s="141">
        <v>0</v>
      </c>
      <c r="N339" s="141">
        <v>0</v>
      </c>
      <c r="O339" s="141">
        <v>0</v>
      </c>
      <c r="P339" s="141">
        <v>0</v>
      </c>
      <c r="Q339" s="144">
        <v>0</v>
      </c>
      <c r="R339" s="143">
        <v>0</v>
      </c>
      <c r="S339" s="141">
        <v>0</v>
      </c>
      <c r="T339" s="141">
        <v>0</v>
      </c>
      <c r="U339" s="141">
        <v>0</v>
      </c>
      <c r="V339" s="144">
        <v>0</v>
      </c>
      <c r="W339" s="2629"/>
      <c r="X339" s="607" t="s">
        <v>498</v>
      </c>
      <c r="Y339" s="143">
        <v>0</v>
      </c>
      <c r="Z339" s="141">
        <v>0</v>
      </c>
      <c r="AA339" s="141">
        <v>0</v>
      </c>
      <c r="AB339" s="141">
        <v>0</v>
      </c>
      <c r="AC339" s="141">
        <v>0</v>
      </c>
      <c r="AD339" s="141">
        <v>0</v>
      </c>
      <c r="AE339" s="141">
        <v>0</v>
      </c>
      <c r="AF339" s="144">
        <v>0</v>
      </c>
      <c r="AG339" s="143">
        <v>0</v>
      </c>
      <c r="AH339" s="141">
        <v>0</v>
      </c>
      <c r="AI339" s="141">
        <v>0</v>
      </c>
      <c r="AJ339" s="141">
        <v>0</v>
      </c>
      <c r="AK339" s="144">
        <v>0</v>
      </c>
      <c r="AL339" s="2629"/>
      <c r="AM339" s="607" t="s">
        <v>1876</v>
      </c>
      <c r="AN339" s="165">
        <v>0</v>
      </c>
      <c r="AO339" s="166">
        <v>0</v>
      </c>
      <c r="AP339" s="166">
        <v>0</v>
      </c>
      <c r="AQ339" s="166">
        <v>0</v>
      </c>
      <c r="AR339" s="166">
        <v>0</v>
      </c>
      <c r="AS339" s="166">
        <v>0</v>
      </c>
      <c r="AT339" s="166">
        <v>0</v>
      </c>
      <c r="AU339" s="167">
        <v>0</v>
      </c>
      <c r="AV339" s="165">
        <v>0</v>
      </c>
      <c r="AW339" s="166">
        <v>0</v>
      </c>
      <c r="AX339" s="166">
        <v>0</v>
      </c>
      <c r="AY339" s="166">
        <v>0</v>
      </c>
      <c r="AZ339" s="167">
        <v>0</v>
      </c>
      <c r="BA339" s="2629"/>
      <c r="BB339" s="545" t="s">
        <v>2788</v>
      </c>
      <c r="BC339" s="188">
        <v>0</v>
      </c>
      <c r="BD339" s="1372"/>
      <c r="BE339" s="1372"/>
      <c r="BF339" s="607" t="s">
        <v>627</v>
      </c>
      <c r="BG339" s="868">
        <v>0</v>
      </c>
      <c r="BH339" s="2629"/>
      <c r="BI339" s="545" t="s">
        <v>2788</v>
      </c>
      <c r="BJ339" s="188">
        <v>0</v>
      </c>
      <c r="BK339" s="1372"/>
      <c r="BL339" s="1372"/>
      <c r="BM339" s="545" t="s">
        <v>627</v>
      </c>
      <c r="BN339" s="872">
        <v>0</v>
      </c>
    </row>
    <row r="340" spans="1:66" s="98" customFormat="1" ht="15" customHeight="1">
      <c r="A340" s="99"/>
      <c r="B340" s="161"/>
      <c r="C340" s="116" t="s">
        <v>2427</v>
      </c>
      <c r="D340" s="116"/>
      <c r="E340" s="116"/>
      <c r="F340" s="116"/>
      <c r="G340" s="117"/>
      <c r="H340" s="117"/>
      <c r="I340" s="117"/>
      <c r="J340" s="713"/>
      <c r="K340" s="2649"/>
      <c r="L340" s="2649"/>
      <c r="M340" s="2649"/>
      <c r="N340" s="2649"/>
      <c r="O340" s="2649"/>
      <c r="P340" s="2649"/>
      <c r="Q340" s="715"/>
      <c r="R340" s="713"/>
      <c r="S340" s="2649"/>
      <c r="T340" s="2649"/>
      <c r="U340" s="2649"/>
      <c r="V340" s="715"/>
      <c r="W340" s="2629"/>
      <c r="X340" s="94"/>
      <c r="Y340" s="713"/>
      <c r="Z340" s="2649"/>
      <c r="AA340" s="2649"/>
      <c r="AB340" s="2649"/>
      <c r="AC340" s="2649"/>
      <c r="AD340" s="2649"/>
      <c r="AE340" s="2649"/>
      <c r="AF340" s="715"/>
      <c r="AG340" s="713"/>
      <c r="AH340" s="2649"/>
      <c r="AI340" s="2649"/>
      <c r="AJ340" s="2649"/>
      <c r="AK340" s="715"/>
      <c r="AL340" s="2629"/>
      <c r="AM340" s="94"/>
      <c r="AN340" s="159"/>
      <c r="AO340" s="94"/>
      <c r="AP340" s="94"/>
      <c r="AQ340" s="94"/>
      <c r="AR340" s="94"/>
      <c r="AS340" s="94"/>
      <c r="AT340" s="94"/>
      <c r="AU340" s="160"/>
      <c r="AV340" s="159"/>
      <c r="AW340" s="94"/>
      <c r="AX340" s="94"/>
      <c r="AY340" s="94"/>
      <c r="AZ340" s="160"/>
      <c r="BA340" s="2629"/>
      <c r="BB340" s="2629"/>
      <c r="BC340" s="2668"/>
      <c r="BD340" s="2668"/>
      <c r="BE340" s="2668"/>
      <c r="BF340" s="2629"/>
      <c r="BG340" s="1125"/>
      <c r="BH340" s="2629"/>
      <c r="BI340" s="2629"/>
      <c r="BJ340" s="2668"/>
      <c r="BK340" s="2668"/>
      <c r="BL340" s="2668"/>
      <c r="BM340" s="2629"/>
      <c r="BN340" s="1126"/>
    </row>
    <row r="341" spans="1:66" s="98" customFormat="1" ht="15" customHeight="1">
      <c r="A341" s="99"/>
      <c r="B341" s="161"/>
      <c r="C341" s="162"/>
      <c r="D341" s="1124" t="s">
        <v>2791</v>
      </c>
      <c r="E341" s="1124"/>
      <c r="F341" s="1124"/>
      <c r="G341" s="163"/>
      <c r="H341" s="163"/>
      <c r="I341" s="164" t="s">
        <v>498</v>
      </c>
      <c r="J341" s="143">
        <v>0</v>
      </c>
      <c r="K341" s="141">
        <v>0</v>
      </c>
      <c r="L341" s="141">
        <v>0</v>
      </c>
      <c r="M341" s="141">
        <v>0</v>
      </c>
      <c r="N341" s="141">
        <v>0</v>
      </c>
      <c r="O341" s="141">
        <v>0</v>
      </c>
      <c r="P341" s="141">
        <v>0</v>
      </c>
      <c r="Q341" s="144">
        <v>0</v>
      </c>
      <c r="R341" s="143">
        <v>0</v>
      </c>
      <c r="S341" s="141">
        <v>0</v>
      </c>
      <c r="T341" s="141">
        <v>0</v>
      </c>
      <c r="U341" s="141">
        <v>0</v>
      </c>
      <c r="V341" s="144">
        <v>0</v>
      </c>
      <c r="W341" s="2629"/>
      <c r="X341" s="607" t="s">
        <v>498</v>
      </c>
      <c r="Y341" s="143">
        <v>0</v>
      </c>
      <c r="Z341" s="141">
        <v>0</v>
      </c>
      <c r="AA341" s="141">
        <v>0</v>
      </c>
      <c r="AB341" s="141">
        <v>0</v>
      </c>
      <c r="AC341" s="141">
        <v>0</v>
      </c>
      <c r="AD341" s="141">
        <v>0</v>
      </c>
      <c r="AE341" s="141">
        <v>0</v>
      </c>
      <c r="AF341" s="144">
        <v>0</v>
      </c>
      <c r="AG341" s="143">
        <v>0</v>
      </c>
      <c r="AH341" s="141">
        <v>0</v>
      </c>
      <c r="AI341" s="141">
        <v>0</v>
      </c>
      <c r="AJ341" s="141">
        <v>0</v>
      </c>
      <c r="AK341" s="144">
        <v>0</v>
      </c>
      <c r="AL341" s="2629"/>
      <c r="AM341" s="607" t="s">
        <v>1876</v>
      </c>
      <c r="AN341" s="165">
        <v>0</v>
      </c>
      <c r="AO341" s="166">
        <v>0</v>
      </c>
      <c r="AP341" s="166">
        <v>0</v>
      </c>
      <c r="AQ341" s="166">
        <v>0</v>
      </c>
      <c r="AR341" s="166">
        <v>0</v>
      </c>
      <c r="AS341" s="166">
        <v>0</v>
      </c>
      <c r="AT341" s="166">
        <v>0</v>
      </c>
      <c r="AU341" s="167">
        <v>0</v>
      </c>
      <c r="AV341" s="165">
        <v>0</v>
      </c>
      <c r="AW341" s="166">
        <v>0</v>
      </c>
      <c r="AX341" s="166">
        <v>0</v>
      </c>
      <c r="AY341" s="166">
        <v>0</v>
      </c>
      <c r="AZ341" s="167">
        <v>0</v>
      </c>
      <c r="BA341" s="2629"/>
      <c r="BB341" s="545" t="s">
        <v>2788</v>
      </c>
      <c r="BC341" s="188">
        <v>0</v>
      </c>
      <c r="BD341" s="1372"/>
      <c r="BE341" s="1372"/>
      <c r="BF341" s="607" t="s">
        <v>627</v>
      </c>
      <c r="BG341" s="868">
        <v>0</v>
      </c>
      <c r="BH341" s="2629"/>
      <c r="BI341" s="545" t="s">
        <v>2788</v>
      </c>
      <c r="BJ341" s="188">
        <v>0</v>
      </c>
      <c r="BK341" s="1372"/>
      <c r="BL341" s="1372"/>
      <c r="BM341" s="545" t="s">
        <v>627</v>
      </c>
      <c r="BN341" s="872">
        <v>0</v>
      </c>
    </row>
    <row r="342" spans="1:66" s="98" customFormat="1" ht="15" customHeight="1">
      <c r="A342" s="99"/>
      <c r="B342" s="161"/>
      <c r="C342" s="162"/>
      <c r="D342" s="1124" t="s">
        <v>2792</v>
      </c>
      <c r="E342" s="1124"/>
      <c r="F342" s="1124"/>
      <c r="G342" s="163"/>
      <c r="H342" s="163"/>
      <c r="I342" s="164" t="s">
        <v>498</v>
      </c>
      <c r="J342" s="143">
        <v>0</v>
      </c>
      <c r="K342" s="141">
        <v>0</v>
      </c>
      <c r="L342" s="141">
        <v>0</v>
      </c>
      <c r="M342" s="141">
        <v>0</v>
      </c>
      <c r="N342" s="141">
        <v>0</v>
      </c>
      <c r="O342" s="141">
        <v>0</v>
      </c>
      <c r="P342" s="141">
        <v>0</v>
      </c>
      <c r="Q342" s="144">
        <v>0</v>
      </c>
      <c r="R342" s="143">
        <v>0</v>
      </c>
      <c r="S342" s="141">
        <v>0</v>
      </c>
      <c r="T342" s="141">
        <v>0</v>
      </c>
      <c r="U342" s="141">
        <v>0</v>
      </c>
      <c r="V342" s="144">
        <v>0</v>
      </c>
      <c r="W342" s="2629"/>
      <c r="X342" s="607" t="s">
        <v>498</v>
      </c>
      <c r="Y342" s="143">
        <v>0</v>
      </c>
      <c r="Z342" s="141">
        <v>0</v>
      </c>
      <c r="AA342" s="141">
        <v>0</v>
      </c>
      <c r="AB342" s="141">
        <v>0</v>
      </c>
      <c r="AC342" s="141">
        <v>0</v>
      </c>
      <c r="AD342" s="141">
        <v>0</v>
      </c>
      <c r="AE342" s="141">
        <v>0</v>
      </c>
      <c r="AF342" s="144">
        <v>0</v>
      </c>
      <c r="AG342" s="143">
        <v>0</v>
      </c>
      <c r="AH342" s="141">
        <v>0</v>
      </c>
      <c r="AI342" s="141">
        <v>0</v>
      </c>
      <c r="AJ342" s="141">
        <v>0</v>
      </c>
      <c r="AK342" s="144">
        <v>0</v>
      </c>
      <c r="AL342" s="2629"/>
      <c r="AM342" s="607" t="s">
        <v>1876</v>
      </c>
      <c r="AN342" s="165">
        <v>0</v>
      </c>
      <c r="AO342" s="166">
        <v>0</v>
      </c>
      <c r="AP342" s="166">
        <v>0</v>
      </c>
      <c r="AQ342" s="166">
        <v>0</v>
      </c>
      <c r="AR342" s="166">
        <v>0</v>
      </c>
      <c r="AS342" s="166">
        <v>0</v>
      </c>
      <c r="AT342" s="166">
        <v>0</v>
      </c>
      <c r="AU342" s="167">
        <v>0</v>
      </c>
      <c r="AV342" s="165">
        <v>0</v>
      </c>
      <c r="AW342" s="166">
        <v>0</v>
      </c>
      <c r="AX342" s="166">
        <v>0</v>
      </c>
      <c r="AY342" s="166">
        <v>0</v>
      </c>
      <c r="AZ342" s="167">
        <v>0</v>
      </c>
      <c r="BA342" s="2629"/>
      <c r="BB342" s="545" t="s">
        <v>2788</v>
      </c>
      <c r="BC342" s="188">
        <v>0</v>
      </c>
      <c r="BD342" s="1372"/>
      <c r="BE342" s="1372"/>
      <c r="BF342" s="607" t="s">
        <v>627</v>
      </c>
      <c r="BG342" s="868">
        <v>0</v>
      </c>
      <c r="BH342" s="2629"/>
      <c r="BI342" s="545" t="s">
        <v>2788</v>
      </c>
      <c r="BJ342" s="188">
        <v>0</v>
      </c>
      <c r="BK342" s="1372"/>
      <c r="BL342" s="1372"/>
      <c r="BM342" s="545" t="s">
        <v>627</v>
      </c>
      <c r="BN342" s="872">
        <v>0</v>
      </c>
    </row>
    <row r="343" spans="1:66" s="98" customFormat="1" ht="15" customHeight="1">
      <c r="A343" s="99"/>
      <c r="B343" s="161"/>
      <c r="C343" s="162"/>
      <c r="D343" s="1124" t="s">
        <v>2793</v>
      </c>
      <c r="E343" s="1124"/>
      <c r="F343" s="1124"/>
      <c r="G343" s="163"/>
      <c r="H343" s="163"/>
      <c r="I343" s="164" t="s">
        <v>498</v>
      </c>
      <c r="J343" s="143">
        <v>6.7870211208878123E-2</v>
      </c>
      <c r="K343" s="141">
        <v>5.514948495394377E-2</v>
      </c>
      <c r="L343" s="141">
        <v>1.3193674598042359E-2</v>
      </c>
      <c r="M343" s="141">
        <v>1.0293004224655738E-2</v>
      </c>
      <c r="N343" s="141">
        <v>1.1395050072756666E-2</v>
      </c>
      <c r="O343" s="141">
        <v>3.9096317803375101E-3</v>
      </c>
      <c r="P343" s="141">
        <v>2.7295481055388801E-2</v>
      </c>
      <c r="Q343" s="144">
        <v>2.1400063925545776E-2</v>
      </c>
      <c r="R343" s="143">
        <v>0</v>
      </c>
      <c r="S343" s="141">
        <v>0</v>
      </c>
      <c r="T343" s="141">
        <v>0</v>
      </c>
      <c r="U343" s="141">
        <v>0</v>
      </c>
      <c r="V343" s="144">
        <v>0</v>
      </c>
      <c r="W343" s="2629"/>
      <c r="X343" s="607" t="s">
        <v>498</v>
      </c>
      <c r="Y343" s="143">
        <v>0</v>
      </c>
      <c r="Z343" s="141">
        <v>0</v>
      </c>
      <c r="AA343" s="141">
        <v>0</v>
      </c>
      <c r="AB343" s="141">
        <v>0</v>
      </c>
      <c r="AC343" s="141">
        <v>0</v>
      </c>
      <c r="AD343" s="141">
        <v>0</v>
      </c>
      <c r="AE343" s="141">
        <v>0</v>
      </c>
      <c r="AF343" s="144">
        <v>0</v>
      </c>
      <c r="AG343" s="143">
        <v>0</v>
      </c>
      <c r="AH343" s="141">
        <v>0</v>
      </c>
      <c r="AI343" s="141">
        <v>0</v>
      </c>
      <c r="AJ343" s="141">
        <v>0</v>
      </c>
      <c r="AK343" s="144">
        <v>0</v>
      </c>
      <c r="AL343" s="2629"/>
      <c r="AM343" s="607" t="s">
        <v>1876</v>
      </c>
      <c r="AN343" s="165">
        <v>184</v>
      </c>
      <c r="AO343" s="166">
        <v>64</v>
      </c>
      <c r="AP343" s="166">
        <v>68</v>
      </c>
      <c r="AQ343" s="166">
        <v>58</v>
      </c>
      <c r="AR343" s="166">
        <v>71</v>
      </c>
      <c r="AS343" s="166">
        <v>101</v>
      </c>
      <c r="AT343" s="166">
        <v>90.70832342984464</v>
      </c>
      <c r="AU343" s="167">
        <v>80.516107590677038</v>
      </c>
      <c r="AV343" s="165">
        <v>0</v>
      </c>
      <c r="AW343" s="166">
        <v>0</v>
      </c>
      <c r="AX343" s="166">
        <v>0</v>
      </c>
      <c r="AY343" s="166">
        <v>0</v>
      </c>
      <c r="AZ343" s="167">
        <v>0</v>
      </c>
      <c r="BA343" s="2629"/>
      <c r="BB343" s="545" t="s">
        <v>2788</v>
      </c>
      <c r="BC343" s="188">
        <v>0</v>
      </c>
      <c r="BD343" s="1372"/>
      <c r="BE343" s="1372"/>
      <c r="BF343" s="607" t="s">
        <v>627</v>
      </c>
      <c r="BG343" s="868">
        <v>0</v>
      </c>
      <c r="BH343" s="2629"/>
      <c r="BI343" s="545" t="s">
        <v>2788</v>
      </c>
      <c r="BJ343" s="188">
        <v>0</v>
      </c>
      <c r="BK343" s="1372"/>
      <c r="BL343" s="1372"/>
      <c r="BM343" s="545" t="s">
        <v>627</v>
      </c>
      <c r="BN343" s="872">
        <v>0</v>
      </c>
    </row>
    <row r="344" spans="1:66" s="98" customFormat="1" ht="15" customHeight="1">
      <c r="A344" s="99"/>
      <c r="B344" s="161"/>
      <c r="C344" s="162"/>
      <c r="D344" s="1124" t="s">
        <v>2796</v>
      </c>
      <c r="E344" s="1124"/>
      <c r="F344" s="1124"/>
      <c r="G344" s="163"/>
      <c r="H344" s="163"/>
      <c r="I344" s="164" t="s">
        <v>498</v>
      </c>
      <c r="J344" s="143">
        <v>0</v>
      </c>
      <c r="K344" s="141">
        <v>0</v>
      </c>
      <c r="L344" s="141">
        <v>0</v>
      </c>
      <c r="M344" s="141">
        <v>0</v>
      </c>
      <c r="N344" s="141">
        <v>0</v>
      </c>
      <c r="O344" s="141">
        <v>0</v>
      </c>
      <c r="P344" s="141">
        <v>0</v>
      </c>
      <c r="Q344" s="144">
        <v>0</v>
      </c>
      <c r="R344" s="143">
        <v>0</v>
      </c>
      <c r="S344" s="141">
        <v>0</v>
      </c>
      <c r="T344" s="141">
        <v>0</v>
      </c>
      <c r="U344" s="141">
        <v>0</v>
      </c>
      <c r="V344" s="144">
        <v>0</v>
      </c>
      <c r="W344" s="2629"/>
      <c r="X344" s="607" t="s">
        <v>498</v>
      </c>
      <c r="Y344" s="143">
        <v>0</v>
      </c>
      <c r="Z344" s="141">
        <v>0</v>
      </c>
      <c r="AA344" s="141">
        <v>0</v>
      </c>
      <c r="AB344" s="141">
        <v>0</v>
      </c>
      <c r="AC344" s="141">
        <v>0</v>
      </c>
      <c r="AD344" s="141">
        <v>0</v>
      </c>
      <c r="AE344" s="141">
        <v>0</v>
      </c>
      <c r="AF344" s="144">
        <v>0</v>
      </c>
      <c r="AG344" s="143">
        <v>0</v>
      </c>
      <c r="AH344" s="141">
        <v>0</v>
      </c>
      <c r="AI344" s="141">
        <v>0</v>
      </c>
      <c r="AJ344" s="141">
        <v>0</v>
      </c>
      <c r="AK344" s="144">
        <v>0</v>
      </c>
      <c r="AL344" s="2629"/>
      <c r="AM344" s="607" t="s">
        <v>1876</v>
      </c>
      <c r="AN344" s="165">
        <v>0</v>
      </c>
      <c r="AO344" s="166">
        <v>0</v>
      </c>
      <c r="AP344" s="166">
        <v>0</v>
      </c>
      <c r="AQ344" s="166">
        <v>0</v>
      </c>
      <c r="AR344" s="166">
        <v>0</v>
      </c>
      <c r="AS344" s="166">
        <v>0</v>
      </c>
      <c r="AT344" s="166">
        <v>0</v>
      </c>
      <c r="AU344" s="167">
        <v>0</v>
      </c>
      <c r="AV344" s="165">
        <v>0</v>
      </c>
      <c r="AW344" s="166">
        <v>0</v>
      </c>
      <c r="AX344" s="166">
        <v>0</v>
      </c>
      <c r="AY344" s="166">
        <v>0</v>
      </c>
      <c r="AZ344" s="167">
        <v>0</v>
      </c>
      <c r="BA344" s="2629"/>
      <c r="BB344" s="545" t="s">
        <v>2788</v>
      </c>
      <c r="BC344" s="188">
        <v>0</v>
      </c>
      <c r="BD344" s="1372"/>
      <c r="BE344" s="1372"/>
      <c r="BF344" s="607" t="s">
        <v>627</v>
      </c>
      <c r="BG344" s="868">
        <v>0</v>
      </c>
      <c r="BH344" s="2629"/>
      <c r="BI344" s="545" t="s">
        <v>2788</v>
      </c>
      <c r="BJ344" s="188">
        <v>0</v>
      </c>
      <c r="BK344" s="1372"/>
      <c r="BL344" s="1372"/>
      <c r="BM344" s="545" t="s">
        <v>627</v>
      </c>
      <c r="BN344" s="872">
        <v>0</v>
      </c>
    </row>
    <row r="345" spans="1:66" s="98" customFormat="1" ht="15" customHeight="1">
      <c r="A345" s="99"/>
      <c r="B345" s="161"/>
      <c r="C345" s="162"/>
      <c r="D345" s="2669" t="s">
        <v>2798</v>
      </c>
      <c r="E345" s="2669"/>
      <c r="F345" s="2669"/>
      <c r="G345" s="2670"/>
      <c r="H345" s="163"/>
      <c r="I345" s="164" t="s">
        <v>498</v>
      </c>
      <c r="J345" s="143">
        <v>2.0261619229468245E-2</v>
      </c>
      <c r="K345" s="141">
        <v>5.8458454051180386E-2</v>
      </c>
      <c r="L345" s="141">
        <v>0.13385197495641427</v>
      </c>
      <c r="M345" s="141">
        <v>0.26099453159579561</v>
      </c>
      <c r="N345" s="141">
        <v>7.1801763721572294E-4</v>
      </c>
      <c r="O345" s="141">
        <v>0.26913663371414515</v>
      </c>
      <c r="P345" s="141">
        <v>0.12580901744144063</v>
      </c>
      <c r="Q345" s="144">
        <v>0.11112210428226287</v>
      </c>
      <c r="R345" s="143">
        <v>0</v>
      </c>
      <c r="S345" s="141">
        <v>0</v>
      </c>
      <c r="T345" s="141">
        <v>0</v>
      </c>
      <c r="U345" s="141">
        <v>0</v>
      </c>
      <c r="V345" s="144">
        <v>0</v>
      </c>
      <c r="W345" s="2629"/>
      <c r="X345" s="607" t="s">
        <v>498</v>
      </c>
      <c r="Y345" s="143">
        <v>0</v>
      </c>
      <c r="Z345" s="141">
        <v>0</v>
      </c>
      <c r="AA345" s="141">
        <v>0</v>
      </c>
      <c r="AB345" s="141">
        <v>0</v>
      </c>
      <c r="AC345" s="141">
        <v>0</v>
      </c>
      <c r="AD345" s="141">
        <v>0</v>
      </c>
      <c r="AE345" s="141">
        <v>0</v>
      </c>
      <c r="AF345" s="144">
        <v>0</v>
      </c>
      <c r="AG345" s="143">
        <v>0</v>
      </c>
      <c r="AH345" s="141">
        <v>0</v>
      </c>
      <c r="AI345" s="141">
        <v>0</v>
      </c>
      <c r="AJ345" s="141">
        <v>0</v>
      </c>
      <c r="AK345" s="144">
        <v>0</v>
      </c>
      <c r="AL345" s="2629"/>
      <c r="AM345" s="607" t="s">
        <v>1876</v>
      </c>
      <c r="AN345" s="165">
        <v>0</v>
      </c>
      <c r="AO345" s="166">
        <v>0</v>
      </c>
      <c r="AP345" s="166">
        <v>0</v>
      </c>
      <c r="AQ345" s="166">
        <v>0</v>
      </c>
      <c r="AR345" s="166">
        <v>0</v>
      </c>
      <c r="AS345" s="166">
        <v>0</v>
      </c>
      <c r="AT345" s="166">
        <v>0</v>
      </c>
      <c r="AU345" s="167">
        <v>0</v>
      </c>
      <c r="AV345" s="165">
        <v>0</v>
      </c>
      <c r="AW345" s="166">
        <v>0</v>
      </c>
      <c r="AX345" s="166">
        <v>0</v>
      </c>
      <c r="AY345" s="166">
        <v>0</v>
      </c>
      <c r="AZ345" s="167">
        <v>0</v>
      </c>
      <c r="BA345" s="2629"/>
      <c r="BB345" s="545" t="s">
        <v>2788</v>
      </c>
      <c r="BC345" s="188">
        <v>0</v>
      </c>
      <c r="BD345" s="1372"/>
      <c r="BE345" s="1372"/>
      <c r="BF345" s="607" t="s">
        <v>627</v>
      </c>
      <c r="BG345" s="868">
        <v>0</v>
      </c>
      <c r="BH345" s="2629"/>
      <c r="BI345" s="545" t="s">
        <v>2788</v>
      </c>
      <c r="BJ345" s="188">
        <v>0</v>
      </c>
      <c r="BK345" s="1372"/>
      <c r="BL345" s="1372"/>
      <c r="BM345" s="545" t="s">
        <v>627</v>
      </c>
      <c r="BN345" s="872">
        <v>0</v>
      </c>
    </row>
    <row r="346" spans="1:66" s="98" customFormat="1" ht="15" customHeight="1">
      <c r="A346" s="99"/>
      <c r="B346" s="161"/>
      <c r="C346" s="116"/>
      <c r="D346" s="116"/>
      <c r="E346" s="116"/>
      <c r="F346" s="116"/>
      <c r="G346" s="117"/>
      <c r="H346" s="117"/>
      <c r="I346" s="117"/>
      <c r="J346" s="159"/>
      <c r="K346" s="117"/>
      <c r="L346" s="117"/>
      <c r="M346" s="117"/>
      <c r="N346" s="117"/>
      <c r="O346" s="117"/>
      <c r="P346" s="117"/>
      <c r="Q346" s="160"/>
      <c r="R346" s="159"/>
      <c r="S346" s="117"/>
      <c r="T346" s="117"/>
      <c r="U346" s="117"/>
      <c r="V346" s="160"/>
      <c r="W346" s="185"/>
      <c r="X346" s="117"/>
      <c r="Y346" s="159"/>
      <c r="Z346" s="117"/>
      <c r="AA346" s="117"/>
      <c r="AB346" s="117"/>
      <c r="AC346" s="117"/>
      <c r="AD346" s="117"/>
      <c r="AE346" s="117"/>
      <c r="AF346" s="160"/>
      <c r="AG346" s="159"/>
      <c r="AH346" s="117"/>
      <c r="AI346" s="117"/>
      <c r="AJ346" s="117"/>
      <c r="AK346" s="160"/>
      <c r="AL346" s="185"/>
      <c r="AM346" s="117"/>
      <c r="AN346" s="159"/>
      <c r="AO346" s="117"/>
      <c r="AP346" s="117"/>
      <c r="AQ346" s="117"/>
      <c r="AR346" s="117"/>
      <c r="AS346" s="117"/>
      <c r="AT346" s="117"/>
      <c r="AU346" s="160"/>
      <c r="AV346" s="159"/>
      <c r="AW346" s="117"/>
      <c r="AX346" s="117"/>
      <c r="AY346" s="117"/>
      <c r="AZ346" s="160"/>
      <c r="BA346" s="185"/>
      <c r="BB346" s="340"/>
      <c r="BC346" s="340"/>
      <c r="BD346" s="340"/>
      <c r="BE346" s="340"/>
      <c r="BF346" s="340"/>
      <c r="BG346" s="340"/>
      <c r="BH346" s="340"/>
      <c r="BI346" s="340"/>
      <c r="BJ346" s="340"/>
      <c r="BK346" s="340"/>
      <c r="BL346" s="340"/>
      <c r="BM346" s="340"/>
      <c r="BN346" s="1127"/>
    </row>
    <row r="347" spans="1:66" s="98" customFormat="1" ht="15" customHeight="1" thickBot="1">
      <c r="A347" s="99"/>
      <c r="B347" s="131" t="s">
        <v>1701</v>
      </c>
      <c r="C347" s="132"/>
      <c r="D347" s="132"/>
      <c r="E347" s="132"/>
      <c r="F347" s="132"/>
      <c r="G347" s="145"/>
      <c r="H347" s="133"/>
      <c r="I347" s="146" t="s">
        <v>498</v>
      </c>
      <c r="J347" s="717">
        <f>SUM(J333:J345)</f>
        <v>10.973977748967386</v>
      </c>
      <c r="K347" s="718">
        <f t="shared" ref="K347:V347" si="43">SUM(K333:K345)</f>
        <v>11.107106269724273</v>
      </c>
      <c r="L347" s="718">
        <f t="shared" si="43"/>
        <v>8.9538296827195563</v>
      </c>
      <c r="M347" s="718">
        <f t="shared" si="43"/>
        <v>8.8057312084608377</v>
      </c>
      <c r="N347" s="718">
        <f t="shared" si="43"/>
        <v>7.3770266463747562</v>
      </c>
      <c r="O347" s="718">
        <f t="shared" si="43"/>
        <v>7.0412185709450688</v>
      </c>
      <c r="P347" s="718">
        <f t="shared" si="43"/>
        <v>9.403427317958192</v>
      </c>
      <c r="Q347" s="719">
        <f t="shared" si="43"/>
        <v>7.73030873280808</v>
      </c>
      <c r="R347" s="717">
        <f t="shared" si="43"/>
        <v>8.6960979367741427</v>
      </c>
      <c r="S347" s="718">
        <f t="shared" si="43"/>
        <v>8.5348357070692025</v>
      </c>
      <c r="T347" s="718">
        <f t="shared" si="43"/>
        <v>8.3773125538393103</v>
      </c>
      <c r="U347" s="718">
        <f t="shared" si="43"/>
        <v>8.2234367558454604</v>
      </c>
      <c r="V347" s="719">
        <f t="shared" si="43"/>
        <v>8.0731188687986748</v>
      </c>
      <c r="W347" s="192"/>
      <c r="X347" s="146" t="s">
        <v>498</v>
      </c>
      <c r="Y347" s="717">
        <f>SUM(Y333:Y345)</f>
        <v>0</v>
      </c>
      <c r="Z347" s="718">
        <f t="shared" ref="Z347:AK347" si="44">SUM(Z333:Z345)</f>
        <v>0</v>
      </c>
      <c r="AA347" s="718">
        <f t="shared" si="44"/>
        <v>0</v>
      </c>
      <c r="AB347" s="718">
        <f t="shared" si="44"/>
        <v>0</v>
      </c>
      <c r="AC347" s="718">
        <f t="shared" si="44"/>
        <v>0</v>
      </c>
      <c r="AD347" s="718">
        <f t="shared" si="44"/>
        <v>0</v>
      </c>
      <c r="AE347" s="718">
        <f t="shared" si="44"/>
        <v>0</v>
      </c>
      <c r="AF347" s="719">
        <f t="shared" si="44"/>
        <v>0</v>
      </c>
      <c r="AG347" s="717">
        <f t="shared" si="44"/>
        <v>0</v>
      </c>
      <c r="AH347" s="718">
        <f t="shared" si="44"/>
        <v>0</v>
      </c>
      <c r="AI347" s="718">
        <f t="shared" si="44"/>
        <v>0</v>
      </c>
      <c r="AJ347" s="718">
        <f t="shared" si="44"/>
        <v>0</v>
      </c>
      <c r="AK347" s="719">
        <f t="shared" si="44"/>
        <v>0</v>
      </c>
      <c r="AL347" s="192"/>
      <c r="AM347" s="195" t="s">
        <v>1876</v>
      </c>
      <c r="AN347" s="717">
        <f>SUM(AN333:AN345)</f>
        <v>7551</v>
      </c>
      <c r="AO347" s="718">
        <f t="shared" ref="AO347:AZ347" si="45">SUM(AO333:AO345)</f>
        <v>6167</v>
      </c>
      <c r="AP347" s="718">
        <f t="shared" si="45"/>
        <v>6513</v>
      </c>
      <c r="AQ347" s="718">
        <f t="shared" si="45"/>
        <v>6307</v>
      </c>
      <c r="AR347" s="718">
        <f t="shared" si="45"/>
        <v>5940</v>
      </c>
      <c r="AS347" s="718">
        <f t="shared" si="45"/>
        <v>6736</v>
      </c>
      <c r="AT347" s="718">
        <f t="shared" si="45"/>
        <v>6691.9407580845664</v>
      </c>
      <c r="AU347" s="719">
        <f t="shared" si="45"/>
        <v>6224.64957289834</v>
      </c>
      <c r="AV347" s="717">
        <f t="shared" si="45"/>
        <v>6494.7761903157898</v>
      </c>
      <c r="AW347" s="718">
        <f t="shared" si="45"/>
        <v>6411.8046665094735</v>
      </c>
      <c r="AX347" s="718">
        <f t="shared" si="45"/>
        <v>6330.4925731792846</v>
      </c>
      <c r="AY347" s="718">
        <f t="shared" si="45"/>
        <v>6250.8067217156986</v>
      </c>
      <c r="AZ347" s="719">
        <f t="shared" si="45"/>
        <v>6172.7145872813853</v>
      </c>
      <c r="BA347" s="192"/>
      <c r="BB347" s="192"/>
      <c r="BC347" s="192"/>
      <c r="BD347" s="192"/>
      <c r="BE347" s="192"/>
      <c r="BF347" s="192"/>
      <c r="BG347" s="192"/>
      <c r="BH347" s="192"/>
      <c r="BI347" s="192"/>
      <c r="BJ347" s="192"/>
      <c r="BK347" s="192"/>
      <c r="BL347" s="192"/>
      <c r="BM347" s="192"/>
      <c r="BN347" s="217"/>
    </row>
    <row r="348" spans="1:66">
      <c r="B348" s="173"/>
    </row>
    <row r="349" spans="1:66">
      <c r="B349" s="173"/>
    </row>
    <row r="350" spans="1:66">
      <c r="B350" s="173"/>
    </row>
    <row r="351" spans="1:66">
      <c r="B351" s="173"/>
    </row>
    <row r="352" spans="1:66">
      <c r="B352" s="173"/>
    </row>
    <row r="353" spans="2:14">
      <c r="B353" s="173"/>
    </row>
    <row r="356" spans="2:14" ht="14.25">
      <c r="K356" s="12"/>
      <c r="L356" s="12"/>
      <c r="M356" s="12"/>
      <c r="N356" s="12"/>
    </row>
    <row r="357" spans="2:14" ht="14.25">
      <c r="K357" s="12"/>
      <c r="L357" s="12"/>
      <c r="M357" s="12"/>
      <c r="N357" s="12"/>
    </row>
    <row r="358" spans="2:14" ht="14.25">
      <c r="K358" s="12"/>
      <c r="L358" s="12"/>
      <c r="M358" s="12"/>
      <c r="N358" s="12"/>
    </row>
    <row r="359" spans="2:14" ht="14.25">
      <c r="K359" s="12"/>
      <c r="L359" s="12"/>
      <c r="M359" s="12"/>
      <c r="N359" s="12"/>
    </row>
    <row r="360" spans="2:14" ht="14.25">
      <c r="K360" s="12"/>
      <c r="L360" s="12"/>
      <c r="M360" s="12"/>
      <c r="N360" s="12"/>
    </row>
    <row r="361" spans="2:14" ht="14.25">
      <c r="K361" s="12"/>
      <c r="L361" s="12"/>
      <c r="M361" s="12"/>
      <c r="N361" s="12"/>
    </row>
    <row r="362" spans="2:14" ht="14.25">
      <c r="K362" s="12"/>
      <c r="L362" s="12"/>
      <c r="M362" s="12"/>
      <c r="N362" s="12"/>
    </row>
    <row r="363" spans="2:14" ht="14.25">
      <c r="K363" s="12"/>
      <c r="L363" s="12"/>
      <c r="M363" s="12"/>
      <c r="N363" s="12"/>
    </row>
    <row r="364" spans="2:14" ht="14.25">
      <c r="K364" s="12"/>
      <c r="L364" s="12"/>
      <c r="M364" s="12"/>
      <c r="N364" s="12"/>
    </row>
    <row r="365" spans="2:14" ht="14.25">
      <c r="K365" s="12"/>
      <c r="L365" s="12"/>
      <c r="M365" s="12"/>
      <c r="N365" s="12"/>
    </row>
    <row r="366" spans="2:14" ht="14.25">
      <c r="K366" s="12"/>
      <c r="L366" s="12"/>
      <c r="M366" s="12"/>
      <c r="N366" s="12"/>
    </row>
    <row r="367" spans="2:14" ht="14.25">
      <c r="K367" s="12"/>
      <c r="L367" s="12"/>
      <c r="M367" s="12"/>
      <c r="N367" s="12"/>
    </row>
    <row r="368" spans="2:14" ht="14.25">
      <c r="K368" s="12"/>
      <c r="L368" s="12"/>
      <c r="M368" s="12"/>
      <c r="N368" s="12"/>
    </row>
    <row r="369" spans="11:14" ht="14.25">
      <c r="K369" s="12"/>
      <c r="L369" s="12"/>
      <c r="M369" s="12"/>
      <c r="N369" s="12"/>
    </row>
    <row r="370" spans="11:14" ht="14.25">
      <c r="K370" s="12"/>
      <c r="L370" s="12"/>
      <c r="M370" s="12"/>
      <c r="N370" s="12"/>
    </row>
    <row r="371" spans="11:14" ht="14.25">
      <c r="K371" s="12"/>
      <c r="L371" s="12"/>
      <c r="M371" s="12"/>
      <c r="N371" s="12"/>
    </row>
    <row r="372" spans="11:14" ht="14.25">
      <c r="K372" s="12"/>
      <c r="L372" s="12"/>
      <c r="M372" s="12"/>
      <c r="N372" s="12"/>
    </row>
    <row r="373" spans="11:14" ht="14.25">
      <c r="K373" s="12"/>
      <c r="L373" s="12"/>
      <c r="M373" s="12"/>
      <c r="N373" s="12"/>
    </row>
    <row r="374" spans="11:14" ht="14.25">
      <c r="K374" s="12"/>
      <c r="L374" s="12"/>
      <c r="M374" s="12"/>
      <c r="N374" s="12"/>
    </row>
    <row r="375" spans="11:14" ht="14.25">
      <c r="K375" s="12"/>
      <c r="L375" s="12"/>
      <c r="M375" s="12"/>
      <c r="N375" s="12"/>
    </row>
    <row r="376" spans="11:14" ht="14.25">
      <c r="K376" s="12"/>
      <c r="L376" s="12"/>
      <c r="M376" s="12"/>
      <c r="N376" s="12"/>
    </row>
    <row r="377" spans="11:14" ht="14.25">
      <c r="K377" s="12"/>
      <c r="L377" s="12"/>
      <c r="M377" s="12"/>
      <c r="N377" s="12"/>
    </row>
    <row r="378" spans="11:14" ht="14.25">
      <c r="K378" s="12"/>
      <c r="L378" s="12"/>
      <c r="M378" s="12"/>
      <c r="N378" s="12"/>
    </row>
    <row r="379" spans="11:14" ht="14.25">
      <c r="K379" s="12"/>
      <c r="L379" s="12"/>
      <c r="M379" s="12"/>
      <c r="N379" s="12"/>
    </row>
    <row r="380" spans="11:14" ht="14.25">
      <c r="K380" s="12"/>
      <c r="L380" s="12"/>
      <c r="M380" s="12"/>
      <c r="N380" s="12"/>
    </row>
    <row r="381" spans="11:14" ht="14.25">
      <c r="K381" s="12"/>
      <c r="L381" s="12"/>
      <c r="M381" s="12"/>
      <c r="N381" s="12"/>
    </row>
    <row r="382" spans="11:14" ht="14.25">
      <c r="K382" s="12"/>
      <c r="L382" s="12"/>
      <c r="M382" s="12"/>
      <c r="N382" s="12"/>
    </row>
    <row r="383" spans="11:14" ht="14.25">
      <c r="K383" s="12"/>
      <c r="L383" s="12"/>
      <c r="M383" s="12"/>
      <c r="N383" s="12"/>
    </row>
    <row r="384" spans="11:14" ht="14.25">
      <c r="K384" s="12"/>
      <c r="L384" s="12"/>
      <c r="M384" s="12"/>
      <c r="N384" s="12"/>
    </row>
    <row r="385" spans="11:14" ht="14.25">
      <c r="K385" s="12"/>
      <c r="L385" s="12"/>
      <c r="M385" s="12"/>
      <c r="N385" s="12"/>
    </row>
    <row r="386" spans="11:14" ht="14.25">
      <c r="K386" s="12"/>
      <c r="L386" s="12"/>
      <c r="M386" s="12"/>
      <c r="N386" s="12"/>
    </row>
    <row r="387" spans="11:14" ht="14.25">
      <c r="K387" s="12"/>
      <c r="L387" s="12"/>
      <c r="M387" s="12"/>
      <c r="N387" s="12"/>
    </row>
    <row r="388" spans="11:14" ht="14.25">
      <c r="K388" s="12"/>
      <c r="L388" s="12"/>
      <c r="M388" s="12"/>
      <c r="N388" s="12"/>
    </row>
    <row r="389" spans="11:14" ht="14.25">
      <c r="K389" s="12"/>
      <c r="L389" s="12"/>
      <c r="M389" s="12"/>
      <c r="N389" s="12"/>
    </row>
    <row r="390" spans="11:14" ht="14.25">
      <c r="K390" s="12"/>
      <c r="L390" s="12"/>
      <c r="M390" s="12"/>
      <c r="N390" s="12"/>
    </row>
    <row r="391" spans="11:14" ht="14.25">
      <c r="K391" s="12"/>
      <c r="L391" s="12"/>
      <c r="M391" s="12"/>
      <c r="N391" s="12"/>
    </row>
    <row r="392" spans="11:14" ht="14.25">
      <c r="K392" s="12"/>
      <c r="L392" s="12"/>
      <c r="M392" s="12"/>
      <c r="N392" s="12"/>
    </row>
    <row r="393" spans="11:14" ht="14.25">
      <c r="K393" s="12"/>
      <c r="L393" s="12"/>
      <c r="M393" s="12"/>
      <c r="N393" s="12"/>
    </row>
    <row r="394" spans="11:14" ht="14.25">
      <c r="K394" s="12"/>
      <c r="L394" s="12"/>
      <c r="M394" s="12"/>
      <c r="N394" s="12"/>
    </row>
    <row r="395" spans="11:14" ht="14.25">
      <c r="K395" s="12"/>
      <c r="L395" s="12"/>
      <c r="M395" s="12"/>
      <c r="N395" s="12"/>
    </row>
    <row r="396" spans="11:14" ht="14.25">
      <c r="K396" s="12"/>
      <c r="L396" s="12"/>
      <c r="M396" s="12"/>
      <c r="N396" s="12"/>
    </row>
    <row r="397" spans="11:14" ht="14.25">
      <c r="K397" s="12"/>
      <c r="L397" s="12"/>
      <c r="M397" s="12"/>
      <c r="N397" s="12"/>
    </row>
    <row r="398" spans="11:14" ht="14.25">
      <c r="K398" s="12"/>
      <c r="L398" s="12"/>
      <c r="M398" s="12"/>
      <c r="N398" s="12"/>
    </row>
    <row r="399" spans="11:14" ht="14.25">
      <c r="K399" s="12"/>
      <c r="L399" s="12"/>
      <c r="M399" s="12"/>
      <c r="N399" s="12"/>
    </row>
    <row r="400" spans="11:14" ht="14.25">
      <c r="K400" s="12"/>
      <c r="L400" s="12"/>
      <c r="M400" s="12"/>
      <c r="N400" s="12"/>
    </row>
    <row r="401" spans="11:14" ht="14.25">
      <c r="K401" s="12"/>
      <c r="L401" s="12"/>
      <c r="M401" s="12"/>
      <c r="N401" s="12"/>
    </row>
    <row r="402" spans="11:14" ht="14.25">
      <c r="K402" s="12"/>
      <c r="L402" s="12"/>
      <c r="M402" s="12"/>
      <c r="N402" s="12"/>
    </row>
    <row r="403" spans="11:14" ht="14.25">
      <c r="K403" s="12"/>
      <c r="L403" s="12"/>
      <c r="M403" s="12"/>
      <c r="N403" s="12"/>
    </row>
    <row r="404" spans="11:14" ht="14.25">
      <c r="K404" s="12"/>
      <c r="L404" s="12"/>
      <c r="M404" s="12"/>
      <c r="N404" s="12"/>
    </row>
    <row r="405" spans="11:14" ht="14.25">
      <c r="K405" s="12"/>
      <c r="L405" s="12"/>
      <c r="M405" s="12"/>
      <c r="N405" s="12"/>
    </row>
    <row r="406" spans="11:14" ht="14.25">
      <c r="K406" s="12"/>
      <c r="L406" s="12"/>
      <c r="M406" s="12"/>
      <c r="N406" s="12"/>
    </row>
    <row r="407" spans="11:14" ht="14.25">
      <c r="K407" s="12"/>
      <c r="L407" s="12"/>
      <c r="M407" s="12"/>
      <c r="N407" s="12"/>
    </row>
    <row r="408" spans="11:14" ht="14.25">
      <c r="K408" s="12"/>
      <c r="L408" s="12"/>
      <c r="M408" s="12"/>
      <c r="N408" s="12"/>
    </row>
    <row r="409" spans="11:14" ht="14.25">
      <c r="K409" s="12"/>
      <c r="L409" s="12"/>
      <c r="M409" s="12"/>
      <c r="N409" s="12"/>
    </row>
    <row r="410" spans="11:14" ht="14.25">
      <c r="K410" s="12"/>
      <c r="L410" s="12"/>
      <c r="M410" s="12"/>
      <c r="N410" s="12"/>
    </row>
    <row r="411" spans="11:14" ht="14.25">
      <c r="K411" s="12"/>
      <c r="L411" s="12"/>
      <c r="M411" s="12"/>
      <c r="N411" s="12"/>
    </row>
    <row r="412" spans="11:14" ht="14.25">
      <c r="K412" s="12"/>
      <c r="L412" s="12"/>
      <c r="M412" s="12"/>
      <c r="N412" s="12"/>
    </row>
    <row r="413" spans="11:14" ht="14.25">
      <c r="K413" s="12"/>
      <c r="L413" s="12"/>
      <c r="M413" s="12"/>
      <c r="N413" s="12"/>
    </row>
    <row r="414" spans="11:14" ht="14.25">
      <c r="K414" s="12"/>
      <c r="L414" s="12"/>
      <c r="M414" s="12"/>
      <c r="N414" s="12"/>
    </row>
    <row r="415" spans="11:14" ht="14.25">
      <c r="K415" s="12"/>
      <c r="L415" s="12"/>
      <c r="M415" s="12"/>
      <c r="N415" s="12"/>
    </row>
    <row r="416" spans="11:14" ht="14.25">
      <c r="K416" s="12"/>
      <c r="L416" s="12"/>
      <c r="M416" s="12"/>
      <c r="N416" s="12"/>
    </row>
    <row r="417" spans="11:14" ht="14.25">
      <c r="K417" s="12"/>
      <c r="L417" s="12"/>
      <c r="M417" s="12"/>
      <c r="N417" s="12"/>
    </row>
    <row r="418" spans="11:14" ht="14.25">
      <c r="K418" s="12"/>
      <c r="L418" s="12"/>
      <c r="M418" s="12"/>
      <c r="N418" s="12"/>
    </row>
    <row r="419" spans="11:14" ht="14.25">
      <c r="K419" s="12"/>
      <c r="L419" s="12"/>
      <c r="M419" s="12"/>
      <c r="N419" s="12"/>
    </row>
    <row r="420" spans="11:14" ht="14.25">
      <c r="K420" s="12"/>
      <c r="L420" s="12"/>
      <c r="M420" s="12"/>
      <c r="N420" s="12"/>
    </row>
    <row r="421" spans="11:14" ht="14.25">
      <c r="K421" s="12"/>
      <c r="L421" s="12"/>
      <c r="M421" s="12"/>
      <c r="N421" s="12"/>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tabColor rgb="FFFF6600"/>
  </sheetPr>
  <dimension ref="A1:BH141"/>
  <sheetViews>
    <sheetView showGridLines="0" topLeftCell="A13" zoomScale="50" zoomScaleNormal="50" workbookViewId="0">
      <pane xSplit="7" topLeftCell="J1" activePane="topRight" state="frozen"/>
      <selection activeCell="G14" sqref="G14"/>
      <selection pane="topRight" activeCell="R31" sqref="R31"/>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28" width="15.625" style="173" customWidth="1"/>
    <col min="29" max="29" width="15.625" style="175" customWidth="1"/>
    <col min="30" max="37" width="15.625" style="173" customWidth="1"/>
    <col min="38" max="38" width="5.625" style="173" customWidth="1"/>
    <col min="39" max="82" width="15.625" style="173" customWidth="1"/>
    <col min="83" max="88" width="13.625" style="173" customWidth="1"/>
    <col min="89" max="16384" width="11.875" style="173"/>
  </cols>
  <sheetData>
    <row r="1" spans="1:59" s="2" customFormat="1" ht="25.15" customHeight="1">
      <c r="A1" s="1" t="s">
        <v>0</v>
      </c>
      <c r="E1" s="3"/>
      <c r="H1" s="4" t="s">
        <v>1</v>
      </c>
      <c r="J1" s="3"/>
    </row>
    <row r="2" spans="1:59" s="2" customFormat="1" ht="25.15" customHeight="1">
      <c r="A2" s="5" t="str">
        <f>Fixed_Data!I12</f>
        <v>MASTER</v>
      </c>
      <c r="B2" s="6"/>
      <c r="D2" s="7"/>
      <c r="E2" s="3"/>
    </row>
    <row r="3" spans="1:59" s="9" customFormat="1" ht="25.15" customHeight="1" thickBot="1">
      <c r="A3" s="8" t="str">
        <f>Fixed_Data!A3</f>
        <v>RIIO-GD2</v>
      </c>
      <c r="D3" s="10"/>
      <c r="E3" s="11"/>
    </row>
    <row r="4" spans="1:59" s="89" customFormat="1" ht="25.15" customHeight="1">
      <c r="B4" s="90" t="s">
        <v>2799</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59"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59"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59"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59" s="100" customFormat="1" ht="30" customHeight="1" thickBot="1">
      <c r="B8" s="621" t="s">
        <v>1744</v>
      </c>
      <c r="C8" s="102"/>
      <c r="D8" s="102"/>
      <c r="E8" s="102"/>
      <c r="F8" s="102"/>
      <c r="G8" s="103"/>
      <c r="H8" s="104"/>
      <c r="I8" s="105" t="s">
        <v>1864</v>
      </c>
      <c r="J8" s="106"/>
      <c r="K8" s="106"/>
      <c r="L8" s="106"/>
      <c r="M8" s="106"/>
      <c r="N8" s="106"/>
      <c r="O8" s="106"/>
      <c r="P8" s="106"/>
      <c r="Q8" s="106"/>
      <c r="R8" s="106"/>
      <c r="S8" s="106"/>
      <c r="T8" s="106"/>
      <c r="U8" s="106"/>
      <c r="V8" s="107"/>
      <c r="AG8" s="108"/>
      <c r="AH8" s="108"/>
      <c r="AI8" s="108"/>
      <c r="AJ8" s="108"/>
      <c r="AK8" s="108"/>
      <c r="AL8" s="108"/>
      <c r="AM8" s="108"/>
      <c r="AN8" s="108"/>
      <c r="AO8" s="108"/>
      <c r="AP8" s="108"/>
      <c r="AQ8" s="108"/>
      <c r="AT8" s="108"/>
      <c r="AU8" s="108"/>
      <c r="AV8" s="108"/>
      <c r="AW8" s="108"/>
      <c r="AX8" s="108"/>
      <c r="AY8" s="108"/>
      <c r="AZ8" s="108"/>
      <c r="BA8" s="108"/>
      <c r="BB8" s="108"/>
      <c r="BC8" s="108"/>
      <c r="BD8" s="108"/>
      <c r="BE8" s="108"/>
      <c r="BF8" s="108"/>
    </row>
    <row r="9" spans="1:59"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G9" s="114"/>
      <c r="AH9" s="114"/>
      <c r="AI9" s="114"/>
      <c r="AJ9" s="114"/>
      <c r="AK9" s="114"/>
      <c r="AL9" s="114"/>
      <c r="AM9" s="114"/>
      <c r="AN9" s="114"/>
      <c r="AO9" s="114"/>
      <c r="AP9" s="114"/>
      <c r="AQ9" s="114"/>
      <c r="AT9" s="114"/>
      <c r="AU9" s="114"/>
      <c r="AV9" s="114"/>
      <c r="AW9" s="114"/>
      <c r="AX9" s="114"/>
      <c r="AY9" s="114"/>
      <c r="AZ9" s="114"/>
      <c r="BA9" s="114"/>
      <c r="BB9" s="114"/>
      <c r="BC9" s="114"/>
      <c r="BD9" s="114"/>
      <c r="BE9" s="114"/>
      <c r="BF9" s="114"/>
    </row>
    <row r="10" spans="1:59"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Y10" s="92"/>
      <c r="Z10" s="92"/>
      <c r="AG10" s="92"/>
      <c r="AH10" s="92"/>
      <c r="AI10" s="92"/>
      <c r="AJ10" s="92"/>
      <c r="AK10" s="92"/>
      <c r="AL10" s="92"/>
      <c r="AM10" s="92"/>
      <c r="AN10" s="92"/>
      <c r="AO10" s="92"/>
      <c r="AP10" s="92"/>
      <c r="AQ10" s="92"/>
      <c r="AR10" s="94"/>
      <c r="AS10" s="94"/>
      <c r="AT10" s="92"/>
      <c r="AU10" s="92"/>
      <c r="AV10" s="92"/>
      <c r="AW10" s="92"/>
      <c r="AX10" s="92"/>
      <c r="AY10" s="92"/>
      <c r="AZ10" s="92"/>
      <c r="BA10" s="92"/>
      <c r="BB10" s="92"/>
      <c r="BC10" s="92"/>
      <c r="BD10" s="92"/>
      <c r="BE10" s="92"/>
      <c r="BF10" s="92"/>
      <c r="BG10" s="94"/>
    </row>
    <row r="11" spans="1:59"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Y11" s="92"/>
      <c r="Z11" s="92"/>
      <c r="AG11" s="92"/>
      <c r="AH11" s="92"/>
      <c r="AI11" s="92"/>
      <c r="AJ11" s="92"/>
      <c r="AK11" s="92"/>
      <c r="AL11" s="92"/>
      <c r="AM11" s="92"/>
      <c r="AN11" s="92"/>
      <c r="AO11" s="92"/>
      <c r="AP11" s="92"/>
      <c r="AQ11" s="92"/>
      <c r="AR11" s="94"/>
      <c r="AS11" s="94"/>
      <c r="AT11" s="92"/>
      <c r="AU11" s="92"/>
      <c r="AV11" s="92"/>
      <c r="AW11" s="92"/>
      <c r="AX11" s="92"/>
      <c r="AY11" s="92"/>
      <c r="AZ11" s="92"/>
      <c r="BA11" s="92"/>
      <c r="BB11" s="92"/>
      <c r="BC11" s="92"/>
      <c r="BD11" s="92"/>
      <c r="BE11" s="92"/>
      <c r="BF11" s="92"/>
      <c r="BG11" s="94"/>
    </row>
    <row r="12" spans="1:59" s="89" customFormat="1" ht="15" customHeight="1">
      <c r="B12" s="123"/>
      <c r="C12" s="127"/>
      <c r="D12" s="127" t="s">
        <v>2800</v>
      </c>
      <c r="E12" s="127"/>
      <c r="F12" s="127"/>
      <c r="G12" s="117"/>
      <c r="H12" s="118"/>
      <c r="I12" s="119" t="s">
        <v>498</v>
      </c>
      <c r="J12" s="128">
        <f>J27</f>
        <v>0.10394239891873502</v>
      </c>
      <c r="K12" s="129">
        <f t="shared" ref="K12:V12" si="0">K27</f>
        <v>3.3089690972366264E-3</v>
      </c>
      <c r="L12" s="129">
        <f t="shared" si="0"/>
        <v>1.1845109035597472E-2</v>
      </c>
      <c r="M12" s="129">
        <f t="shared" si="0"/>
        <v>0</v>
      </c>
      <c r="N12" s="129">
        <f t="shared" si="0"/>
        <v>6.4392291602848345E-2</v>
      </c>
      <c r="O12" s="129">
        <f t="shared" si="0"/>
        <v>1.5977124682041671E-3</v>
      </c>
      <c r="P12" s="129">
        <f t="shared" si="0"/>
        <v>0.08</v>
      </c>
      <c r="Q12" s="130">
        <f t="shared" si="0"/>
        <v>0.08</v>
      </c>
      <c r="R12" s="128">
        <f t="shared" si="0"/>
        <v>0.31029225432727409</v>
      </c>
      <c r="S12" s="129">
        <f t="shared" si="0"/>
        <v>0.30874079305563773</v>
      </c>
      <c r="T12" s="129">
        <f t="shared" si="0"/>
        <v>0.30719708909035953</v>
      </c>
      <c r="U12" s="129">
        <f t="shared" si="0"/>
        <v>0.30566110364490773</v>
      </c>
      <c r="V12" s="130">
        <f t="shared" si="0"/>
        <v>0.3041327981266832</v>
      </c>
      <c r="AG12" s="92"/>
      <c r="AH12" s="92"/>
      <c r="AI12" s="92"/>
      <c r="AJ12" s="92"/>
      <c r="AK12" s="92"/>
      <c r="AL12" s="92"/>
      <c r="AM12" s="92"/>
      <c r="AN12" s="92"/>
      <c r="AO12" s="92"/>
      <c r="AP12" s="92"/>
      <c r="AQ12" s="92"/>
      <c r="AR12" s="94"/>
      <c r="AS12" s="94"/>
      <c r="AT12" s="92"/>
      <c r="AU12" s="92"/>
      <c r="AV12" s="92"/>
      <c r="AW12" s="92"/>
      <c r="AX12" s="92"/>
      <c r="AY12" s="92"/>
      <c r="AZ12" s="92"/>
      <c r="BA12" s="92"/>
      <c r="BB12" s="92"/>
      <c r="BC12" s="92"/>
      <c r="BD12" s="92"/>
      <c r="BE12" s="92"/>
      <c r="BF12" s="92"/>
      <c r="BG12" s="94"/>
    </row>
    <row r="13" spans="1:59" s="89" customFormat="1" ht="15" customHeight="1">
      <c r="B13" s="123"/>
      <c r="C13" s="127"/>
      <c r="D13" s="127" t="s">
        <v>2801</v>
      </c>
      <c r="E13" s="127"/>
      <c r="F13" s="127"/>
      <c r="G13" s="117"/>
      <c r="H13" s="118"/>
      <c r="I13" s="119" t="s">
        <v>498</v>
      </c>
      <c r="J13" s="128">
        <f>J33</f>
        <v>0</v>
      </c>
      <c r="K13" s="129">
        <f t="shared" ref="K13:V13" si="1">K33</f>
        <v>3.1986701273287392E-2</v>
      </c>
      <c r="L13" s="129">
        <f t="shared" si="1"/>
        <v>0</v>
      </c>
      <c r="M13" s="129">
        <f t="shared" si="1"/>
        <v>0</v>
      </c>
      <c r="N13" s="129">
        <f t="shared" si="1"/>
        <v>2.5376272552846634E-3</v>
      </c>
      <c r="O13" s="129">
        <f t="shared" si="1"/>
        <v>0</v>
      </c>
      <c r="P13" s="129">
        <f t="shared" si="1"/>
        <v>0</v>
      </c>
      <c r="Q13" s="130">
        <f t="shared" si="1"/>
        <v>0</v>
      </c>
      <c r="R13" s="128">
        <f t="shared" si="1"/>
        <v>0</v>
      </c>
      <c r="S13" s="129">
        <f t="shared" si="1"/>
        <v>0</v>
      </c>
      <c r="T13" s="129">
        <f t="shared" si="1"/>
        <v>0</v>
      </c>
      <c r="U13" s="129">
        <f t="shared" si="1"/>
        <v>0</v>
      </c>
      <c r="V13" s="130">
        <f t="shared" si="1"/>
        <v>0</v>
      </c>
      <c r="AG13" s="92"/>
      <c r="AH13" s="92"/>
      <c r="AI13" s="92"/>
      <c r="AJ13" s="92"/>
      <c r="AK13" s="92"/>
      <c r="AL13" s="92"/>
      <c r="AM13" s="92"/>
      <c r="AN13" s="92"/>
      <c r="AO13" s="92"/>
      <c r="AP13" s="92"/>
      <c r="AQ13" s="92"/>
      <c r="AR13" s="94"/>
      <c r="AS13" s="94"/>
      <c r="AT13" s="92"/>
      <c r="AU13" s="92"/>
      <c r="AV13" s="92"/>
      <c r="AW13" s="92"/>
      <c r="AX13" s="92"/>
      <c r="AY13" s="92"/>
      <c r="AZ13" s="92"/>
      <c r="BA13" s="92"/>
      <c r="BB13" s="92"/>
      <c r="BC13" s="92"/>
      <c r="BD13" s="92"/>
      <c r="BE13" s="92"/>
      <c r="BF13" s="92"/>
      <c r="BG13" s="94"/>
    </row>
    <row r="14" spans="1:59" s="89" customFormat="1" ht="15" customHeight="1">
      <c r="B14" s="123"/>
      <c r="C14" s="127"/>
      <c r="D14" s="127" t="s">
        <v>2802</v>
      </c>
      <c r="E14" s="127"/>
      <c r="F14" s="127"/>
      <c r="G14" s="117"/>
      <c r="H14" s="118"/>
      <c r="I14" s="119" t="s">
        <v>498</v>
      </c>
      <c r="J14" s="128">
        <f>J39</f>
        <v>0</v>
      </c>
      <c r="K14" s="129">
        <f t="shared" ref="K14:V14" si="2">K39</f>
        <v>0</v>
      </c>
      <c r="L14" s="129">
        <f t="shared" si="2"/>
        <v>0</v>
      </c>
      <c r="M14" s="129">
        <f t="shared" si="2"/>
        <v>0</v>
      </c>
      <c r="N14" s="129">
        <f t="shared" si="2"/>
        <v>0</v>
      </c>
      <c r="O14" s="129">
        <f t="shared" si="2"/>
        <v>0</v>
      </c>
      <c r="P14" s="129">
        <f t="shared" si="2"/>
        <v>0</v>
      </c>
      <c r="Q14" s="130">
        <f t="shared" si="2"/>
        <v>0</v>
      </c>
      <c r="R14" s="128">
        <f t="shared" si="2"/>
        <v>5.9671587370629643E-2</v>
      </c>
      <c r="S14" s="129">
        <f t="shared" si="2"/>
        <v>5.9373229433776493E-2</v>
      </c>
      <c r="T14" s="129">
        <f t="shared" si="2"/>
        <v>5.9076363286607612E-2</v>
      </c>
      <c r="U14" s="129">
        <f t="shared" si="2"/>
        <v>5.8780981470174576E-2</v>
      </c>
      <c r="V14" s="130">
        <f t="shared" si="2"/>
        <v>5.8487076562823703E-2</v>
      </c>
      <c r="AG14" s="92"/>
      <c r="AH14" s="92"/>
      <c r="AI14" s="92"/>
      <c r="AJ14" s="92"/>
      <c r="AK14" s="92"/>
      <c r="AL14" s="92"/>
      <c r="AM14" s="92"/>
      <c r="AN14" s="92"/>
      <c r="AO14" s="92"/>
      <c r="AP14" s="92"/>
      <c r="AQ14" s="92"/>
      <c r="AR14" s="94"/>
      <c r="AS14" s="94"/>
      <c r="AT14" s="92"/>
      <c r="AU14" s="92"/>
      <c r="AV14" s="92"/>
      <c r="AW14" s="92"/>
      <c r="AX14" s="92"/>
      <c r="AY14" s="92"/>
      <c r="AZ14" s="92"/>
      <c r="BA14" s="92"/>
      <c r="BB14" s="92"/>
      <c r="BC14" s="92"/>
      <c r="BD14" s="92"/>
      <c r="BE14" s="92"/>
      <c r="BF14" s="92"/>
      <c r="BG14" s="94"/>
    </row>
    <row r="15" spans="1:59" s="89" customFormat="1" ht="15" customHeight="1">
      <c r="B15" s="123"/>
      <c r="C15" s="127"/>
      <c r="D15" s="127" t="s">
        <v>2803</v>
      </c>
      <c r="E15" s="127"/>
      <c r="F15" s="127"/>
      <c r="G15" s="117"/>
      <c r="H15" s="118"/>
      <c r="I15" s="119" t="s">
        <v>498</v>
      </c>
      <c r="J15" s="128">
        <f>J45</f>
        <v>0</v>
      </c>
      <c r="K15" s="129">
        <f t="shared" ref="K15:V15" si="3">K45</f>
        <v>0</v>
      </c>
      <c r="L15" s="129">
        <f t="shared" si="3"/>
        <v>0</v>
      </c>
      <c r="M15" s="129">
        <f t="shared" si="3"/>
        <v>0</v>
      </c>
      <c r="N15" s="129">
        <f t="shared" si="3"/>
        <v>0</v>
      </c>
      <c r="O15" s="129">
        <f t="shared" si="3"/>
        <v>0</v>
      </c>
      <c r="P15" s="129">
        <f t="shared" si="3"/>
        <v>0</v>
      </c>
      <c r="Q15" s="130">
        <f t="shared" si="3"/>
        <v>0</v>
      </c>
      <c r="R15" s="128">
        <f t="shared" si="3"/>
        <v>0</v>
      </c>
      <c r="S15" s="129">
        <f t="shared" si="3"/>
        <v>0</v>
      </c>
      <c r="T15" s="129">
        <f t="shared" si="3"/>
        <v>0</v>
      </c>
      <c r="U15" s="129">
        <f t="shared" si="3"/>
        <v>0</v>
      </c>
      <c r="V15" s="130">
        <f t="shared" si="3"/>
        <v>0</v>
      </c>
      <c r="AG15" s="92"/>
      <c r="AH15" s="92"/>
      <c r="AI15" s="92"/>
      <c r="AJ15" s="92"/>
      <c r="AK15" s="92"/>
      <c r="AL15" s="92"/>
      <c r="AM15" s="92"/>
      <c r="AN15" s="92"/>
      <c r="AO15" s="92"/>
      <c r="AP15" s="92"/>
      <c r="AQ15" s="92"/>
      <c r="AR15" s="94"/>
      <c r="AS15" s="94"/>
      <c r="AT15" s="92"/>
      <c r="AU15" s="92"/>
      <c r="AV15" s="92"/>
      <c r="AW15" s="92"/>
      <c r="AX15" s="92"/>
      <c r="AY15" s="92"/>
      <c r="AZ15" s="92"/>
      <c r="BA15" s="92"/>
      <c r="BB15" s="92"/>
      <c r="BC15" s="92"/>
      <c r="BD15" s="92"/>
      <c r="BE15" s="92"/>
      <c r="BF15" s="92"/>
      <c r="BG15" s="94"/>
    </row>
    <row r="16" spans="1:59" s="89" customFormat="1" ht="15" customHeight="1">
      <c r="B16" s="123"/>
      <c r="C16" s="127"/>
      <c r="D16" s="127" t="s">
        <v>2804</v>
      </c>
      <c r="E16" s="127"/>
      <c r="F16" s="127"/>
      <c r="G16" s="117"/>
      <c r="H16" s="118"/>
      <c r="I16" s="119" t="s">
        <v>498</v>
      </c>
      <c r="J16" s="128">
        <f>J51</f>
        <v>0</v>
      </c>
      <c r="K16" s="129">
        <f t="shared" ref="K16:V16" si="4">K51</f>
        <v>0</v>
      </c>
      <c r="L16" s="129">
        <f t="shared" si="4"/>
        <v>0</v>
      </c>
      <c r="M16" s="129">
        <f t="shared" si="4"/>
        <v>0</v>
      </c>
      <c r="N16" s="129">
        <f t="shared" si="4"/>
        <v>7.486000403089757E-2</v>
      </c>
      <c r="O16" s="129">
        <f t="shared" si="4"/>
        <v>4.8963901476932262E-3</v>
      </c>
      <c r="P16" s="129">
        <f t="shared" si="4"/>
        <v>0</v>
      </c>
      <c r="Q16" s="130">
        <f t="shared" si="4"/>
        <v>0</v>
      </c>
      <c r="R16" s="128">
        <f t="shared" si="4"/>
        <v>0.1981949151953056</v>
      </c>
      <c r="S16" s="129">
        <f t="shared" si="4"/>
        <v>0.19720394061932908</v>
      </c>
      <c r="T16" s="129">
        <f t="shared" si="4"/>
        <v>0.19621792091623244</v>
      </c>
      <c r="U16" s="129">
        <f t="shared" si="4"/>
        <v>0.19523683131165129</v>
      </c>
      <c r="V16" s="130">
        <f t="shared" si="4"/>
        <v>0.19426064715509303</v>
      </c>
      <c r="AG16" s="92"/>
      <c r="AH16" s="92"/>
      <c r="AI16" s="92"/>
      <c r="AJ16" s="92"/>
      <c r="AK16" s="92"/>
      <c r="AL16" s="92"/>
      <c r="AM16" s="92"/>
      <c r="AN16" s="92"/>
      <c r="AO16" s="92"/>
      <c r="AP16" s="92"/>
      <c r="AQ16" s="92"/>
      <c r="AR16" s="94"/>
      <c r="AS16" s="94"/>
      <c r="AT16" s="92"/>
      <c r="AU16" s="92"/>
      <c r="AV16" s="92"/>
      <c r="AW16" s="92"/>
      <c r="AX16" s="92"/>
      <c r="AY16" s="92"/>
      <c r="AZ16" s="92"/>
      <c r="BA16" s="92"/>
      <c r="BB16" s="92"/>
      <c r="BC16" s="92"/>
      <c r="BD16" s="92"/>
      <c r="BE16" s="92"/>
      <c r="BF16" s="92"/>
      <c r="BG16" s="94"/>
    </row>
    <row r="17" spans="1:59" s="89" customFormat="1" ht="15" customHeight="1">
      <c r="B17" s="123"/>
      <c r="C17" s="127"/>
      <c r="D17" s="127" t="s">
        <v>2805</v>
      </c>
      <c r="E17" s="127"/>
      <c r="F17" s="127"/>
      <c r="G17" s="117"/>
      <c r="H17" s="118"/>
      <c r="I17" s="119" t="s">
        <v>498</v>
      </c>
      <c r="J17" s="128">
        <f>J57</f>
        <v>0</v>
      </c>
      <c r="K17" s="129">
        <f t="shared" ref="K17:V17" si="5">K57</f>
        <v>0</v>
      </c>
      <c r="L17" s="129">
        <f t="shared" si="5"/>
        <v>0</v>
      </c>
      <c r="M17" s="129">
        <f t="shared" si="5"/>
        <v>0</v>
      </c>
      <c r="N17" s="129">
        <f t="shared" si="5"/>
        <v>0</v>
      </c>
      <c r="O17" s="129">
        <f t="shared" si="5"/>
        <v>2.3430738428380278E-4</v>
      </c>
      <c r="P17" s="129">
        <f t="shared" si="5"/>
        <v>0</v>
      </c>
      <c r="Q17" s="130">
        <f t="shared" si="5"/>
        <v>0</v>
      </c>
      <c r="R17" s="128">
        <f t="shared" si="5"/>
        <v>0</v>
      </c>
      <c r="S17" s="129">
        <f t="shared" si="5"/>
        <v>0</v>
      </c>
      <c r="T17" s="129">
        <f t="shared" si="5"/>
        <v>0</v>
      </c>
      <c r="U17" s="129">
        <f t="shared" si="5"/>
        <v>0</v>
      </c>
      <c r="V17" s="130">
        <f t="shared" si="5"/>
        <v>0</v>
      </c>
      <c r="AG17" s="92"/>
      <c r="AH17" s="92"/>
      <c r="AI17" s="92"/>
      <c r="AJ17" s="92"/>
      <c r="AK17" s="92"/>
      <c r="AL17" s="92"/>
      <c r="AM17" s="92"/>
      <c r="AN17" s="92"/>
      <c r="AO17" s="92"/>
      <c r="AP17" s="92"/>
      <c r="AQ17" s="92"/>
      <c r="AR17" s="94"/>
      <c r="AS17" s="94"/>
      <c r="AT17" s="92"/>
      <c r="AU17" s="92"/>
      <c r="AV17" s="92"/>
      <c r="AW17" s="92"/>
      <c r="AX17" s="92"/>
      <c r="AY17" s="92"/>
      <c r="AZ17" s="92"/>
      <c r="BA17" s="92"/>
      <c r="BB17" s="92"/>
      <c r="BC17" s="92"/>
      <c r="BD17" s="92"/>
      <c r="BE17" s="92"/>
      <c r="BF17" s="92"/>
      <c r="BG17" s="94"/>
    </row>
    <row r="18" spans="1:59" s="89" customFormat="1" ht="15" customHeight="1" thickBot="1">
      <c r="B18" s="176" t="s">
        <v>1701</v>
      </c>
      <c r="C18" s="132"/>
      <c r="D18" s="132"/>
      <c r="E18" s="132"/>
      <c r="F18" s="132"/>
      <c r="G18" s="145"/>
      <c r="H18" s="133"/>
      <c r="I18" s="146" t="s">
        <v>498</v>
      </c>
      <c r="J18" s="148">
        <f>SUM(J12:J17)</f>
        <v>0.10394239891873502</v>
      </c>
      <c r="K18" s="147">
        <f t="shared" ref="K18:V18" si="6">SUM(K12:K17)</f>
        <v>3.5295670370524015E-2</v>
      </c>
      <c r="L18" s="147">
        <f t="shared" si="6"/>
        <v>1.1845109035597472E-2</v>
      </c>
      <c r="M18" s="147">
        <f t="shared" si="6"/>
        <v>0</v>
      </c>
      <c r="N18" s="147">
        <f t="shared" si="6"/>
        <v>0.14178992288903058</v>
      </c>
      <c r="O18" s="147">
        <f t="shared" si="6"/>
        <v>6.7284100001811968E-3</v>
      </c>
      <c r="P18" s="147">
        <f t="shared" si="6"/>
        <v>0.08</v>
      </c>
      <c r="Q18" s="149">
        <f t="shared" si="6"/>
        <v>0.08</v>
      </c>
      <c r="R18" s="148">
        <f t="shared" si="6"/>
        <v>0.56815875689320938</v>
      </c>
      <c r="S18" s="147">
        <f t="shared" si="6"/>
        <v>0.56531796310874327</v>
      </c>
      <c r="T18" s="147">
        <f t="shared" si="6"/>
        <v>0.56249137329319954</v>
      </c>
      <c r="U18" s="147">
        <f t="shared" si="6"/>
        <v>0.55967891642673362</v>
      </c>
      <c r="V18" s="149">
        <f t="shared" si="6"/>
        <v>0.55688052184459991</v>
      </c>
      <c r="AG18" s="92"/>
      <c r="AH18" s="92"/>
      <c r="AI18" s="92"/>
      <c r="AJ18" s="92"/>
      <c r="AK18" s="92"/>
      <c r="AL18" s="92"/>
      <c r="AM18" s="92"/>
      <c r="AN18" s="92"/>
      <c r="AO18" s="92"/>
      <c r="AP18" s="92"/>
      <c r="AQ18" s="92"/>
      <c r="AR18" s="94"/>
      <c r="AS18" s="94"/>
      <c r="AT18" s="92"/>
      <c r="AU18" s="92"/>
      <c r="AV18" s="92"/>
      <c r="AW18" s="92"/>
      <c r="AX18" s="92"/>
      <c r="AY18" s="92"/>
      <c r="AZ18" s="92"/>
      <c r="BA18" s="92"/>
      <c r="BB18" s="92"/>
      <c r="BC18" s="92"/>
      <c r="BD18" s="92"/>
      <c r="BE18" s="92"/>
      <c r="BF18" s="92"/>
      <c r="BG18" s="94"/>
    </row>
    <row r="19" spans="1:59" s="89" customFormat="1" ht="15" customHeight="1" thickBot="1">
      <c r="B19" s="134"/>
      <c r="C19" s="134"/>
      <c r="D19" s="134"/>
      <c r="E19" s="134"/>
      <c r="F19" s="134"/>
      <c r="H19" s="114"/>
      <c r="I19" s="93"/>
      <c r="J19" s="92"/>
      <c r="P19" s="92"/>
      <c r="Q19" s="92"/>
      <c r="R19" s="92"/>
      <c r="S19" s="92"/>
      <c r="T19" s="92"/>
      <c r="U19" s="92"/>
      <c r="V19" s="92"/>
      <c r="AG19" s="92"/>
      <c r="AH19" s="92"/>
      <c r="AI19" s="92"/>
      <c r="AJ19" s="92"/>
      <c r="AK19" s="92"/>
      <c r="AL19" s="92"/>
      <c r="AM19" s="92"/>
      <c r="AN19" s="92"/>
      <c r="AO19" s="92"/>
      <c r="AP19" s="92"/>
      <c r="AQ19" s="92"/>
      <c r="AR19" s="94"/>
      <c r="AS19" s="94"/>
      <c r="AT19" s="92"/>
      <c r="AU19" s="92"/>
      <c r="AV19" s="92"/>
      <c r="AW19" s="92"/>
      <c r="AX19" s="92"/>
      <c r="AY19" s="92"/>
      <c r="AZ19" s="92"/>
      <c r="BA19" s="92"/>
      <c r="BB19" s="92"/>
      <c r="BC19" s="92"/>
      <c r="BD19" s="92"/>
      <c r="BE19" s="92"/>
      <c r="BF19" s="92"/>
      <c r="BG19" s="94"/>
    </row>
    <row r="20" spans="1:59" s="100" customFormat="1" ht="30" customHeight="1" thickBot="1">
      <c r="A20" s="89"/>
      <c r="B20" s="621" t="s">
        <v>2806</v>
      </c>
      <c r="C20" s="101"/>
      <c r="D20" s="102"/>
      <c r="E20" s="102"/>
      <c r="F20" s="102"/>
      <c r="G20" s="103"/>
      <c r="H20" s="103"/>
      <c r="I20" s="105" t="s">
        <v>1864</v>
      </c>
      <c r="J20" s="106"/>
      <c r="K20" s="106"/>
      <c r="L20" s="106"/>
      <c r="M20" s="106"/>
      <c r="N20" s="106"/>
      <c r="O20" s="106"/>
      <c r="P20" s="106"/>
      <c r="Q20" s="106"/>
      <c r="R20" s="105"/>
      <c r="S20" s="105"/>
      <c r="T20" s="105"/>
      <c r="U20" s="105"/>
      <c r="V20" s="105"/>
      <c r="W20" s="103"/>
      <c r="X20" s="105" t="s">
        <v>2202</v>
      </c>
      <c r="Y20" s="106"/>
      <c r="Z20" s="106"/>
      <c r="AA20" s="106"/>
      <c r="AB20" s="106"/>
      <c r="AC20" s="106"/>
      <c r="AD20" s="106"/>
      <c r="AE20" s="106"/>
      <c r="AF20" s="106"/>
      <c r="AG20" s="105"/>
      <c r="AH20" s="105"/>
      <c r="AI20" s="105"/>
      <c r="AJ20" s="105"/>
      <c r="AK20" s="105"/>
      <c r="AL20" s="103"/>
      <c r="AM20" s="105" t="s">
        <v>2674</v>
      </c>
      <c r="AN20" s="106"/>
      <c r="AO20" s="106"/>
      <c r="AP20" s="106"/>
      <c r="AQ20" s="106"/>
      <c r="AR20" s="106"/>
      <c r="AS20" s="106"/>
      <c r="AT20" s="106"/>
      <c r="AU20" s="106"/>
      <c r="AV20" s="105"/>
      <c r="AW20" s="105"/>
      <c r="AX20" s="105"/>
      <c r="AY20" s="105"/>
      <c r="AZ20" s="187"/>
      <c r="BA20" s="1361"/>
    </row>
    <row r="21" spans="1:59" s="157" customFormat="1" ht="30" customHeight="1">
      <c r="A21" s="99"/>
      <c r="B21" s="109"/>
      <c r="C21" s="110"/>
      <c r="D21" s="110"/>
      <c r="E21" s="110"/>
      <c r="F21" s="110"/>
      <c r="G21" s="111"/>
      <c r="H21" s="111"/>
      <c r="I21" s="117"/>
      <c r="J21" s="695" t="s">
        <v>1666</v>
      </c>
      <c r="K21" s="152"/>
      <c r="L21" s="152"/>
      <c r="M21" s="152"/>
      <c r="N21" s="152"/>
      <c r="O21" s="152"/>
      <c r="P21" s="152"/>
      <c r="Q21" s="153"/>
      <c r="R21" s="696" t="s">
        <v>2</v>
      </c>
      <c r="S21" s="155"/>
      <c r="T21" s="155"/>
      <c r="U21" s="155"/>
      <c r="V21" s="156"/>
      <c r="W21" s="222"/>
      <c r="X21" s="117"/>
      <c r="Y21" s="695" t="s">
        <v>1666</v>
      </c>
      <c r="Z21" s="152"/>
      <c r="AA21" s="152"/>
      <c r="AB21" s="152"/>
      <c r="AC21" s="152"/>
      <c r="AD21" s="152"/>
      <c r="AE21" s="152"/>
      <c r="AF21" s="153"/>
      <c r="AG21" s="696" t="s">
        <v>2</v>
      </c>
      <c r="AH21" s="155"/>
      <c r="AI21" s="155"/>
      <c r="AJ21" s="155"/>
      <c r="AK21" s="156"/>
      <c r="AL21" s="222"/>
      <c r="AM21" s="117"/>
      <c r="AN21" s="695" t="s">
        <v>1666</v>
      </c>
      <c r="AO21" s="152"/>
      <c r="AP21" s="152"/>
      <c r="AQ21" s="152"/>
      <c r="AR21" s="152"/>
      <c r="AS21" s="152"/>
      <c r="AT21" s="152"/>
      <c r="AU21" s="153"/>
      <c r="AV21" s="696" t="s">
        <v>2</v>
      </c>
      <c r="AW21" s="155"/>
      <c r="AX21" s="155"/>
      <c r="AY21" s="155"/>
      <c r="AZ21" s="156"/>
      <c r="BA21" s="222"/>
    </row>
    <row r="22" spans="1:59" s="98" customFormat="1" ht="15" customHeight="1">
      <c r="A22" s="99"/>
      <c r="B22" s="115"/>
      <c r="C22" s="116"/>
      <c r="D22" s="116"/>
      <c r="E22" s="116"/>
      <c r="F22" s="116"/>
      <c r="G22" s="117"/>
      <c r="H22" s="117"/>
      <c r="I22" s="119" t="s">
        <v>1667</v>
      </c>
      <c r="J22" s="158" t="s">
        <v>453</v>
      </c>
      <c r="K22" s="137" t="s">
        <v>455</v>
      </c>
      <c r="L22" s="137" t="s">
        <v>457</v>
      </c>
      <c r="M22" s="137" t="s">
        <v>459</v>
      </c>
      <c r="N22" s="137" t="s">
        <v>461</v>
      </c>
      <c r="O22" s="137" t="s">
        <v>463</v>
      </c>
      <c r="P22" s="137" t="s">
        <v>465</v>
      </c>
      <c r="Q22" s="138" t="s">
        <v>467</v>
      </c>
      <c r="R22" s="120" t="s">
        <v>469</v>
      </c>
      <c r="S22" s="121" t="s">
        <v>471</v>
      </c>
      <c r="T22" s="121" t="s">
        <v>473</v>
      </c>
      <c r="U22" s="121" t="s">
        <v>475</v>
      </c>
      <c r="V22" s="122" t="s">
        <v>477</v>
      </c>
      <c r="W22" s="185"/>
      <c r="X22" s="119" t="s">
        <v>1667</v>
      </c>
      <c r="Y22" s="158" t="s">
        <v>453</v>
      </c>
      <c r="Z22" s="137" t="s">
        <v>455</v>
      </c>
      <c r="AA22" s="137" t="s">
        <v>457</v>
      </c>
      <c r="AB22" s="137" t="s">
        <v>459</v>
      </c>
      <c r="AC22" s="137" t="s">
        <v>461</v>
      </c>
      <c r="AD22" s="137" t="s">
        <v>463</v>
      </c>
      <c r="AE22" s="137" t="s">
        <v>465</v>
      </c>
      <c r="AF22" s="138" t="s">
        <v>467</v>
      </c>
      <c r="AG22" s="120" t="s">
        <v>469</v>
      </c>
      <c r="AH22" s="121" t="s">
        <v>471</v>
      </c>
      <c r="AI22" s="121" t="s">
        <v>473</v>
      </c>
      <c r="AJ22" s="121" t="s">
        <v>475</v>
      </c>
      <c r="AK22" s="122" t="s">
        <v>477</v>
      </c>
      <c r="AL22" s="185"/>
      <c r="AM22" s="119" t="s">
        <v>1667</v>
      </c>
      <c r="AN22" s="158" t="s">
        <v>453</v>
      </c>
      <c r="AO22" s="137" t="s">
        <v>455</v>
      </c>
      <c r="AP22" s="137" t="s">
        <v>457</v>
      </c>
      <c r="AQ22" s="137" t="s">
        <v>459</v>
      </c>
      <c r="AR22" s="137" t="s">
        <v>461</v>
      </c>
      <c r="AS22" s="137" t="s">
        <v>463</v>
      </c>
      <c r="AT22" s="137" t="s">
        <v>465</v>
      </c>
      <c r="AU22" s="138" t="s">
        <v>467</v>
      </c>
      <c r="AV22" s="120" t="s">
        <v>469</v>
      </c>
      <c r="AW22" s="121" t="s">
        <v>471</v>
      </c>
      <c r="AX22" s="121" t="s">
        <v>473</v>
      </c>
      <c r="AY22" s="121" t="s">
        <v>475</v>
      </c>
      <c r="AZ22" s="122" t="s">
        <v>477</v>
      </c>
      <c r="BA22" s="185"/>
    </row>
    <row r="23" spans="1:59" s="98" customFormat="1" ht="15" customHeight="1">
      <c r="A23" s="99"/>
      <c r="B23" s="161"/>
      <c r="C23" s="186" t="s">
        <v>2800</v>
      </c>
      <c r="D23" s="162"/>
      <c r="E23" s="116"/>
      <c r="F23" s="116"/>
      <c r="G23" s="117"/>
      <c r="H23" s="117"/>
      <c r="I23" s="117"/>
      <c r="J23" s="159"/>
      <c r="K23" s="117"/>
      <c r="L23" s="117"/>
      <c r="M23" s="117"/>
      <c r="N23" s="117"/>
      <c r="O23" s="117"/>
      <c r="P23" s="117"/>
      <c r="Q23" s="160"/>
      <c r="R23" s="159"/>
      <c r="S23" s="117"/>
      <c r="T23" s="117"/>
      <c r="U23" s="117"/>
      <c r="V23" s="160"/>
      <c r="W23" s="185"/>
      <c r="X23" s="117"/>
      <c r="Y23" s="159"/>
      <c r="Z23" s="117"/>
      <c r="AA23" s="117"/>
      <c r="AB23" s="117"/>
      <c r="AC23" s="117"/>
      <c r="AD23" s="117"/>
      <c r="AE23" s="117"/>
      <c r="AF23" s="160"/>
      <c r="AG23" s="159"/>
      <c r="AH23" s="117"/>
      <c r="AI23" s="117"/>
      <c r="AJ23" s="117"/>
      <c r="AK23" s="160"/>
      <c r="AL23" s="185"/>
      <c r="AM23" s="117"/>
      <c r="AN23" s="159"/>
      <c r="AO23" s="117"/>
      <c r="AP23" s="117"/>
      <c r="AQ23" s="117"/>
      <c r="AR23" s="117"/>
      <c r="AS23" s="117"/>
      <c r="AT23" s="117"/>
      <c r="AU23" s="160"/>
      <c r="AV23" s="159"/>
      <c r="AW23" s="117"/>
      <c r="AX23" s="117"/>
      <c r="AY23" s="117"/>
      <c r="AZ23" s="160"/>
      <c r="BA23" s="185"/>
    </row>
    <row r="24" spans="1:59" s="98" customFormat="1" ht="15" customHeight="1">
      <c r="A24" s="99"/>
      <c r="B24" s="161"/>
      <c r="C24" s="185"/>
      <c r="D24" s="162" t="s">
        <v>2676</v>
      </c>
      <c r="E24" s="162"/>
      <c r="F24" s="162"/>
      <c r="G24" s="163"/>
      <c r="H24" s="163"/>
      <c r="I24" s="164" t="s">
        <v>498</v>
      </c>
      <c r="J24" s="143">
        <v>3.0399988755300089E-2</v>
      </c>
      <c r="K24" s="141">
        <v>3.3089690972366264E-3</v>
      </c>
      <c r="L24" s="141">
        <v>5.0764753009703454E-3</v>
      </c>
      <c r="M24" s="141">
        <v>0</v>
      </c>
      <c r="N24" s="141">
        <v>8.5644919865857389E-3</v>
      </c>
      <c r="O24" s="141">
        <v>1.5977124682041671E-3</v>
      </c>
      <c r="P24" s="141">
        <v>3.7050287917343827E-2</v>
      </c>
      <c r="Q24" s="144">
        <v>3.7050287917343827E-2</v>
      </c>
      <c r="R24" s="143"/>
      <c r="S24" s="141"/>
      <c r="T24" s="141"/>
      <c r="U24" s="141"/>
      <c r="V24" s="144"/>
      <c r="W24" s="2629"/>
      <c r="X24" s="607" t="s">
        <v>498</v>
      </c>
      <c r="Y24" s="143">
        <v>0</v>
      </c>
      <c r="Z24" s="141">
        <v>0</v>
      </c>
      <c r="AA24" s="141">
        <v>0</v>
      </c>
      <c r="AB24" s="141">
        <v>0</v>
      </c>
      <c r="AC24" s="141">
        <v>0</v>
      </c>
      <c r="AD24" s="141">
        <v>0</v>
      </c>
      <c r="AE24" s="141">
        <v>0</v>
      </c>
      <c r="AF24" s="144">
        <v>0</v>
      </c>
      <c r="AG24" s="143">
        <v>0</v>
      </c>
      <c r="AH24" s="141">
        <v>0</v>
      </c>
      <c r="AI24" s="141">
        <v>0</v>
      </c>
      <c r="AJ24" s="141">
        <v>0</v>
      </c>
      <c r="AK24" s="144">
        <v>0</v>
      </c>
      <c r="AL24" s="2629"/>
      <c r="AM24" s="607" t="s">
        <v>2233</v>
      </c>
      <c r="AN24" s="143">
        <v>0</v>
      </c>
      <c r="AO24" s="141">
        <v>0</v>
      </c>
      <c r="AP24" s="141">
        <v>0</v>
      </c>
      <c r="AQ24" s="141">
        <v>0</v>
      </c>
      <c r="AR24" s="141">
        <v>0</v>
      </c>
      <c r="AS24" s="141">
        <v>0</v>
      </c>
      <c r="AT24" s="141">
        <v>0</v>
      </c>
      <c r="AU24" s="144">
        <v>0</v>
      </c>
      <c r="AV24" s="143">
        <v>0</v>
      </c>
      <c r="AW24" s="141">
        <v>0</v>
      </c>
      <c r="AX24" s="141">
        <v>0</v>
      </c>
      <c r="AY24" s="141">
        <v>0</v>
      </c>
      <c r="AZ24" s="144">
        <v>0</v>
      </c>
      <c r="BA24" s="185"/>
    </row>
    <row r="25" spans="1:59" s="98" customFormat="1" ht="15" customHeight="1">
      <c r="A25" s="99"/>
      <c r="B25" s="161"/>
      <c r="C25" s="185"/>
      <c r="D25" s="162" t="s">
        <v>2677</v>
      </c>
      <c r="E25" s="162"/>
      <c r="F25" s="162"/>
      <c r="G25" s="163"/>
      <c r="H25" s="163"/>
      <c r="I25" s="164" t="s">
        <v>498</v>
      </c>
      <c r="J25" s="143">
        <v>0</v>
      </c>
      <c r="K25" s="141">
        <v>0</v>
      </c>
      <c r="L25" s="141">
        <v>6.7686337346271278E-3</v>
      </c>
      <c r="M25" s="141">
        <v>0</v>
      </c>
      <c r="N25" s="141">
        <v>5.5827799616262601E-2</v>
      </c>
      <c r="O25" s="141">
        <v>0</v>
      </c>
      <c r="P25" s="141">
        <v>4.2949712082656175E-2</v>
      </c>
      <c r="Q25" s="144">
        <v>4.2949712082656175E-2</v>
      </c>
      <c r="R25" s="143">
        <v>0.31029225432727409</v>
      </c>
      <c r="S25" s="141">
        <v>0.30874079305563773</v>
      </c>
      <c r="T25" s="141">
        <v>0.30719708909035953</v>
      </c>
      <c r="U25" s="141">
        <v>0.30566110364490773</v>
      </c>
      <c r="V25" s="144">
        <v>0.3041327981266832</v>
      </c>
      <c r="W25" s="2629"/>
      <c r="X25" s="607" t="s">
        <v>498</v>
      </c>
      <c r="Y25" s="143">
        <v>0</v>
      </c>
      <c r="Z25" s="141">
        <v>0</v>
      </c>
      <c r="AA25" s="141">
        <v>0</v>
      </c>
      <c r="AB25" s="141">
        <v>0</v>
      </c>
      <c r="AC25" s="141">
        <v>0</v>
      </c>
      <c r="AD25" s="141">
        <v>0</v>
      </c>
      <c r="AE25" s="141">
        <v>0</v>
      </c>
      <c r="AF25" s="144">
        <v>0</v>
      </c>
      <c r="AG25" s="143">
        <v>0</v>
      </c>
      <c r="AH25" s="141">
        <v>0</v>
      </c>
      <c r="AI25" s="141">
        <v>0</v>
      </c>
      <c r="AJ25" s="141">
        <v>0</v>
      </c>
      <c r="AK25" s="144">
        <v>0</v>
      </c>
      <c r="AL25" s="2629"/>
      <c r="AM25" s="607" t="s">
        <v>2233</v>
      </c>
      <c r="AN25" s="143">
        <v>0</v>
      </c>
      <c r="AO25" s="141">
        <v>0</v>
      </c>
      <c r="AP25" s="141">
        <v>0</v>
      </c>
      <c r="AQ25" s="141">
        <v>0</v>
      </c>
      <c r="AR25" s="141">
        <v>0</v>
      </c>
      <c r="AS25" s="141">
        <v>0</v>
      </c>
      <c r="AT25" s="141">
        <v>0</v>
      </c>
      <c r="AU25" s="144">
        <v>0</v>
      </c>
      <c r="AV25" s="143">
        <v>0</v>
      </c>
      <c r="AW25" s="141">
        <v>0</v>
      </c>
      <c r="AX25" s="141">
        <v>0</v>
      </c>
      <c r="AY25" s="141">
        <v>0</v>
      </c>
      <c r="AZ25" s="144">
        <v>0</v>
      </c>
      <c r="BA25" s="185"/>
    </row>
    <row r="26" spans="1:59" s="98" customFormat="1" ht="15" customHeight="1">
      <c r="A26" s="99"/>
      <c r="B26" s="161"/>
      <c r="C26" s="185"/>
      <c r="D26" s="162" t="s">
        <v>2678</v>
      </c>
      <c r="E26" s="162"/>
      <c r="F26" s="162"/>
      <c r="G26" s="163"/>
      <c r="H26" s="163"/>
      <c r="I26" s="164" t="s">
        <v>498</v>
      </c>
      <c r="J26" s="143">
        <v>7.3542410163434935E-2</v>
      </c>
      <c r="K26" s="141">
        <v>0</v>
      </c>
      <c r="L26" s="141">
        <v>0</v>
      </c>
      <c r="M26" s="141">
        <v>0</v>
      </c>
      <c r="N26" s="141">
        <v>0</v>
      </c>
      <c r="O26" s="141">
        <v>0</v>
      </c>
      <c r="P26" s="141">
        <v>0</v>
      </c>
      <c r="Q26" s="144">
        <v>0</v>
      </c>
      <c r="R26" s="143"/>
      <c r="S26" s="141"/>
      <c r="T26" s="141"/>
      <c r="U26" s="141"/>
      <c r="V26" s="144"/>
      <c r="W26" s="2629"/>
      <c r="X26" s="607" t="s">
        <v>498</v>
      </c>
      <c r="Y26" s="143">
        <v>0</v>
      </c>
      <c r="Z26" s="141">
        <v>0</v>
      </c>
      <c r="AA26" s="141">
        <v>0</v>
      </c>
      <c r="AB26" s="141">
        <v>0</v>
      </c>
      <c r="AC26" s="141">
        <v>0</v>
      </c>
      <c r="AD26" s="141">
        <v>0</v>
      </c>
      <c r="AE26" s="141">
        <v>0</v>
      </c>
      <c r="AF26" s="144">
        <v>0</v>
      </c>
      <c r="AG26" s="143">
        <v>0</v>
      </c>
      <c r="AH26" s="141">
        <v>0</v>
      </c>
      <c r="AI26" s="141">
        <v>0</v>
      </c>
      <c r="AJ26" s="141">
        <v>0</v>
      </c>
      <c r="AK26" s="144">
        <v>0</v>
      </c>
      <c r="AL26" s="2629"/>
      <c r="AM26" s="607" t="s">
        <v>2233</v>
      </c>
      <c r="AN26" s="143">
        <v>0</v>
      </c>
      <c r="AO26" s="141">
        <v>0</v>
      </c>
      <c r="AP26" s="141">
        <v>0</v>
      </c>
      <c r="AQ26" s="141">
        <v>0</v>
      </c>
      <c r="AR26" s="141">
        <v>0</v>
      </c>
      <c r="AS26" s="141">
        <v>0</v>
      </c>
      <c r="AT26" s="141">
        <v>0</v>
      </c>
      <c r="AU26" s="144">
        <v>0</v>
      </c>
      <c r="AV26" s="143">
        <v>0</v>
      </c>
      <c r="AW26" s="141">
        <v>0</v>
      </c>
      <c r="AX26" s="141">
        <v>0</v>
      </c>
      <c r="AY26" s="141">
        <v>0</v>
      </c>
      <c r="AZ26" s="144">
        <v>0</v>
      </c>
      <c r="BA26" s="185"/>
    </row>
    <row r="27" spans="1:59" s="98" customFormat="1" ht="15" customHeight="1">
      <c r="A27" s="99"/>
      <c r="B27" s="161"/>
      <c r="C27" s="162" t="s">
        <v>1710</v>
      </c>
      <c r="D27" s="162"/>
      <c r="E27" s="162"/>
      <c r="F27" s="162"/>
      <c r="G27" s="163"/>
      <c r="H27" s="163"/>
      <c r="I27" s="164" t="s">
        <v>498</v>
      </c>
      <c r="J27" s="641">
        <f>SUM(J24:J26)</f>
        <v>0.10394239891873502</v>
      </c>
      <c r="K27" s="642">
        <f t="shared" ref="K27:V27" si="7">SUM(K24:K26)</f>
        <v>3.3089690972366264E-3</v>
      </c>
      <c r="L27" s="642">
        <f t="shared" si="7"/>
        <v>1.1845109035597472E-2</v>
      </c>
      <c r="M27" s="642">
        <f t="shared" si="7"/>
        <v>0</v>
      </c>
      <c r="N27" s="642">
        <f t="shared" si="7"/>
        <v>6.4392291602848345E-2</v>
      </c>
      <c r="O27" s="642">
        <f t="shared" si="7"/>
        <v>1.5977124682041671E-3</v>
      </c>
      <c r="P27" s="642">
        <f t="shared" si="7"/>
        <v>0.08</v>
      </c>
      <c r="Q27" s="643">
        <f t="shared" si="7"/>
        <v>0.08</v>
      </c>
      <c r="R27" s="641">
        <f t="shared" si="7"/>
        <v>0.31029225432727409</v>
      </c>
      <c r="S27" s="642">
        <f t="shared" si="7"/>
        <v>0.30874079305563773</v>
      </c>
      <c r="T27" s="642">
        <f t="shared" si="7"/>
        <v>0.30719708909035953</v>
      </c>
      <c r="U27" s="642">
        <f t="shared" si="7"/>
        <v>0.30566110364490773</v>
      </c>
      <c r="V27" s="643">
        <f t="shared" si="7"/>
        <v>0.3041327981266832</v>
      </c>
      <c r="W27" s="2629"/>
      <c r="X27" s="607" t="s">
        <v>498</v>
      </c>
      <c r="Y27" s="641">
        <f>SUM(Y24:Y26)</f>
        <v>0</v>
      </c>
      <c r="Z27" s="642">
        <f t="shared" ref="Z27:AK27" si="8">SUM(Z24:Z26)</f>
        <v>0</v>
      </c>
      <c r="AA27" s="642">
        <f t="shared" si="8"/>
        <v>0</v>
      </c>
      <c r="AB27" s="642">
        <f t="shared" si="8"/>
        <v>0</v>
      </c>
      <c r="AC27" s="642">
        <f t="shared" si="8"/>
        <v>0</v>
      </c>
      <c r="AD27" s="642">
        <f t="shared" si="8"/>
        <v>0</v>
      </c>
      <c r="AE27" s="642">
        <f t="shared" si="8"/>
        <v>0</v>
      </c>
      <c r="AF27" s="643">
        <f t="shared" si="8"/>
        <v>0</v>
      </c>
      <c r="AG27" s="641">
        <f t="shared" si="8"/>
        <v>0</v>
      </c>
      <c r="AH27" s="642">
        <f t="shared" si="8"/>
        <v>0</v>
      </c>
      <c r="AI27" s="642">
        <f t="shared" si="8"/>
        <v>0</v>
      </c>
      <c r="AJ27" s="642">
        <f t="shared" si="8"/>
        <v>0</v>
      </c>
      <c r="AK27" s="643">
        <f t="shared" si="8"/>
        <v>0</v>
      </c>
      <c r="AL27" s="2629"/>
      <c r="AM27" s="607" t="s">
        <v>2233</v>
      </c>
      <c r="AN27" s="641">
        <f>SUM(AN24:AN26)</f>
        <v>0</v>
      </c>
      <c r="AO27" s="642">
        <f t="shared" ref="AO27:AZ27" si="9">SUM(AO24:AO26)</f>
        <v>0</v>
      </c>
      <c r="AP27" s="642">
        <f t="shared" si="9"/>
        <v>0</v>
      </c>
      <c r="AQ27" s="642">
        <f t="shared" si="9"/>
        <v>0</v>
      </c>
      <c r="AR27" s="642">
        <f t="shared" si="9"/>
        <v>0</v>
      </c>
      <c r="AS27" s="642">
        <f t="shared" si="9"/>
        <v>0</v>
      </c>
      <c r="AT27" s="642">
        <f t="shared" si="9"/>
        <v>0</v>
      </c>
      <c r="AU27" s="643">
        <f t="shared" si="9"/>
        <v>0</v>
      </c>
      <c r="AV27" s="641">
        <f t="shared" si="9"/>
        <v>0</v>
      </c>
      <c r="AW27" s="642">
        <f t="shared" si="9"/>
        <v>0</v>
      </c>
      <c r="AX27" s="642">
        <f t="shared" si="9"/>
        <v>0</v>
      </c>
      <c r="AY27" s="642">
        <f t="shared" si="9"/>
        <v>0</v>
      </c>
      <c r="AZ27" s="643">
        <f t="shared" si="9"/>
        <v>0</v>
      </c>
      <c r="BA27" s="185"/>
    </row>
    <row r="28" spans="1:59" s="98" customFormat="1" ht="15" customHeight="1">
      <c r="A28" s="99"/>
      <c r="B28" s="123"/>
      <c r="C28" s="127"/>
      <c r="D28" s="127"/>
      <c r="E28" s="127"/>
      <c r="F28" s="127"/>
      <c r="G28" s="117"/>
      <c r="H28" s="117"/>
      <c r="I28" s="117"/>
      <c r="J28" s="159"/>
      <c r="K28" s="94"/>
      <c r="L28" s="94"/>
      <c r="M28" s="94"/>
      <c r="N28" s="94"/>
      <c r="O28" s="94"/>
      <c r="P28" s="94"/>
      <c r="Q28" s="160"/>
      <c r="R28" s="159"/>
      <c r="S28" s="94"/>
      <c r="T28" s="94"/>
      <c r="U28" s="94"/>
      <c r="V28" s="160"/>
      <c r="W28" s="2629"/>
      <c r="X28" s="94"/>
      <c r="Y28" s="159"/>
      <c r="Z28" s="94"/>
      <c r="AA28" s="94"/>
      <c r="AB28" s="94"/>
      <c r="AC28" s="94"/>
      <c r="AD28" s="94"/>
      <c r="AE28" s="94"/>
      <c r="AF28" s="160"/>
      <c r="AG28" s="159"/>
      <c r="AH28" s="94"/>
      <c r="AI28" s="94"/>
      <c r="AJ28" s="94"/>
      <c r="AK28" s="160"/>
      <c r="AL28" s="2629"/>
      <c r="AM28" s="94"/>
      <c r="AN28" s="159"/>
      <c r="AO28" s="94"/>
      <c r="AP28" s="94"/>
      <c r="AQ28" s="94"/>
      <c r="AR28" s="94"/>
      <c r="AS28" s="94"/>
      <c r="AT28" s="94"/>
      <c r="AU28" s="160"/>
      <c r="AV28" s="159"/>
      <c r="AW28" s="94"/>
      <c r="AX28" s="94"/>
      <c r="AY28" s="94"/>
      <c r="AZ28" s="160"/>
      <c r="BA28" s="185"/>
    </row>
    <row r="29" spans="1:59" s="98" customFormat="1" ht="15" customHeight="1">
      <c r="A29" s="99"/>
      <c r="B29" s="161"/>
      <c r="C29" s="186" t="s">
        <v>2801</v>
      </c>
      <c r="D29" s="162"/>
      <c r="E29" s="116"/>
      <c r="F29" s="116"/>
      <c r="G29" s="117"/>
      <c r="H29" s="117"/>
      <c r="I29" s="117"/>
      <c r="J29" s="159"/>
      <c r="K29" s="94"/>
      <c r="L29" s="94"/>
      <c r="M29" s="94"/>
      <c r="N29" s="94"/>
      <c r="O29" s="94"/>
      <c r="P29" s="94"/>
      <c r="Q29" s="160"/>
      <c r="R29" s="159"/>
      <c r="S29" s="94"/>
      <c r="T29" s="94"/>
      <c r="U29" s="94"/>
      <c r="V29" s="160"/>
      <c r="W29" s="2629"/>
      <c r="X29" s="94"/>
      <c r="Y29" s="159"/>
      <c r="Z29" s="94"/>
      <c r="AA29" s="94"/>
      <c r="AB29" s="94"/>
      <c r="AC29" s="94"/>
      <c r="AD29" s="94"/>
      <c r="AE29" s="94"/>
      <c r="AF29" s="160"/>
      <c r="AG29" s="159"/>
      <c r="AH29" s="94"/>
      <c r="AI29" s="94"/>
      <c r="AJ29" s="94"/>
      <c r="AK29" s="160"/>
      <c r="AL29" s="2629"/>
      <c r="AM29" s="94"/>
      <c r="AN29" s="159"/>
      <c r="AO29" s="94"/>
      <c r="AP29" s="94"/>
      <c r="AQ29" s="94"/>
      <c r="AR29" s="94"/>
      <c r="AS29" s="94"/>
      <c r="AT29" s="94"/>
      <c r="AU29" s="160"/>
      <c r="AV29" s="159"/>
      <c r="AW29" s="94"/>
      <c r="AX29" s="94"/>
      <c r="AY29" s="94"/>
      <c r="AZ29" s="160"/>
      <c r="BA29" s="185"/>
    </row>
    <row r="30" spans="1:59" s="98" customFormat="1" ht="15" customHeight="1">
      <c r="A30" s="99"/>
      <c r="B30" s="161"/>
      <c r="C30" s="185"/>
      <c r="D30" s="162" t="s">
        <v>2676</v>
      </c>
      <c r="E30" s="162"/>
      <c r="F30" s="162"/>
      <c r="G30" s="163"/>
      <c r="H30" s="163"/>
      <c r="I30" s="164" t="s">
        <v>498</v>
      </c>
      <c r="J30" s="143">
        <v>0</v>
      </c>
      <c r="K30" s="141">
        <v>0</v>
      </c>
      <c r="L30" s="141">
        <v>0</v>
      </c>
      <c r="M30" s="141">
        <v>0</v>
      </c>
      <c r="N30" s="141">
        <v>0</v>
      </c>
      <c r="O30" s="141">
        <v>0</v>
      </c>
      <c r="P30" s="141">
        <v>0</v>
      </c>
      <c r="Q30" s="144">
        <v>0</v>
      </c>
      <c r="R30" s="143">
        <v>0</v>
      </c>
      <c r="S30" s="141">
        <v>0</v>
      </c>
      <c r="T30" s="141">
        <v>0</v>
      </c>
      <c r="U30" s="141">
        <v>0</v>
      </c>
      <c r="V30" s="144">
        <v>0</v>
      </c>
      <c r="W30" s="2629"/>
      <c r="X30" s="607" t="s">
        <v>498</v>
      </c>
      <c r="Y30" s="143">
        <v>0</v>
      </c>
      <c r="Z30" s="141">
        <v>0</v>
      </c>
      <c r="AA30" s="141">
        <v>0</v>
      </c>
      <c r="AB30" s="141">
        <v>0</v>
      </c>
      <c r="AC30" s="141">
        <v>0</v>
      </c>
      <c r="AD30" s="141">
        <v>0</v>
      </c>
      <c r="AE30" s="141">
        <v>0</v>
      </c>
      <c r="AF30" s="144">
        <v>0</v>
      </c>
      <c r="AG30" s="143">
        <v>0</v>
      </c>
      <c r="AH30" s="141">
        <v>0</v>
      </c>
      <c r="AI30" s="141">
        <v>0</v>
      </c>
      <c r="AJ30" s="141">
        <v>0</v>
      </c>
      <c r="AK30" s="144">
        <v>0</v>
      </c>
      <c r="AL30" s="2629"/>
      <c r="AM30" s="607" t="s">
        <v>2233</v>
      </c>
      <c r="AN30" s="143">
        <v>0</v>
      </c>
      <c r="AO30" s="141">
        <v>0</v>
      </c>
      <c r="AP30" s="141">
        <v>0</v>
      </c>
      <c r="AQ30" s="141">
        <v>0</v>
      </c>
      <c r="AR30" s="141">
        <v>0</v>
      </c>
      <c r="AS30" s="141">
        <v>0</v>
      </c>
      <c r="AT30" s="141">
        <v>0</v>
      </c>
      <c r="AU30" s="144">
        <v>0</v>
      </c>
      <c r="AV30" s="143">
        <v>0</v>
      </c>
      <c r="AW30" s="141">
        <v>0</v>
      </c>
      <c r="AX30" s="141">
        <v>0</v>
      </c>
      <c r="AY30" s="141">
        <v>0</v>
      </c>
      <c r="AZ30" s="144">
        <v>0</v>
      </c>
      <c r="BA30" s="185"/>
    </row>
    <row r="31" spans="1:59" s="98" customFormat="1" ht="15" customHeight="1">
      <c r="A31" s="99"/>
      <c r="B31" s="161"/>
      <c r="C31" s="185"/>
      <c r="D31" s="162" t="s">
        <v>2677</v>
      </c>
      <c r="E31" s="162"/>
      <c r="F31" s="162"/>
      <c r="G31" s="163"/>
      <c r="H31" s="163"/>
      <c r="I31" s="164" t="s">
        <v>498</v>
      </c>
      <c r="J31" s="143">
        <v>0</v>
      </c>
      <c r="K31" s="141">
        <v>0</v>
      </c>
      <c r="L31" s="141">
        <v>0</v>
      </c>
      <c r="M31" s="141">
        <v>0</v>
      </c>
      <c r="N31" s="141">
        <v>2.5376272552846634E-3</v>
      </c>
      <c r="O31" s="141">
        <v>0</v>
      </c>
      <c r="P31" s="141">
        <v>0</v>
      </c>
      <c r="Q31" s="144">
        <v>0</v>
      </c>
      <c r="R31" s="143">
        <v>0</v>
      </c>
      <c r="S31" s="141">
        <v>0</v>
      </c>
      <c r="T31" s="141">
        <v>0</v>
      </c>
      <c r="U31" s="141">
        <v>0</v>
      </c>
      <c r="V31" s="144">
        <v>0</v>
      </c>
      <c r="W31" s="2629"/>
      <c r="X31" s="607" t="s">
        <v>498</v>
      </c>
      <c r="Y31" s="143">
        <v>0</v>
      </c>
      <c r="Z31" s="141">
        <v>0</v>
      </c>
      <c r="AA31" s="141">
        <v>0</v>
      </c>
      <c r="AB31" s="141">
        <v>0</v>
      </c>
      <c r="AC31" s="141">
        <v>0</v>
      </c>
      <c r="AD31" s="141">
        <v>0</v>
      </c>
      <c r="AE31" s="141">
        <v>0</v>
      </c>
      <c r="AF31" s="144">
        <v>0</v>
      </c>
      <c r="AG31" s="143">
        <v>0</v>
      </c>
      <c r="AH31" s="141">
        <v>0</v>
      </c>
      <c r="AI31" s="141">
        <v>0</v>
      </c>
      <c r="AJ31" s="141">
        <v>0</v>
      </c>
      <c r="AK31" s="144">
        <v>0</v>
      </c>
      <c r="AL31" s="2629"/>
      <c r="AM31" s="607" t="s">
        <v>2233</v>
      </c>
      <c r="AN31" s="143">
        <v>0</v>
      </c>
      <c r="AO31" s="141">
        <v>0</v>
      </c>
      <c r="AP31" s="141">
        <v>0</v>
      </c>
      <c r="AQ31" s="141">
        <v>0</v>
      </c>
      <c r="AR31" s="141">
        <v>0</v>
      </c>
      <c r="AS31" s="141">
        <v>0</v>
      </c>
      <c r="AT31" s="141">
        <v>0</v>
      </c>
      <c r="AU31" s="144">
        <v>0</v>
      </c>
      <c r="AV31" s="143">
        <v>0</v>
      </c>
      <c r="AW31" s="141">
        <v>0</v>
      </c>
      <c r="AX31" s="141">
        <v>0</v>
      </c>
      <c r="AY31" s="141">
        <v>0</v>
      </c>
      <c r="AZ31" s="144">
        <v>0</v>
      </c>
      <c r="BA31" s="185"/>
    </row>
    <row r="32" spans="1:59" s="98" customFormat="1" ht="15" customHeight="1">
      <c r="A32" s="99"/>
      <c r="B32" s="161"/>
      <c r="C32" s="185"/>
      <c r="D32" s="162" t="s">
        <v>2678</v>
      </c>
      <c r="E32" s="162"/>
      <c r="F32" s="162"/>
      <c r="G32" s="163"/>
      <c r="H32" s="163"/>
      <c r="I32" s="164" t="s">
        <v>498</v>
      </c>
      <c r="J32" s="143">
        <v>0</v>
      </c>
      <c r="K32" s="141">
        <v>3.1986701273287392E-2</v>
      </c>
      <c r="L32" s="141">
        <v>0</v>
      </c>
      <c r="M32" s="141">
        <v>0</v>
      </c>
      <c r="N32" s="141">
        <v>0</v>
      </c>
      <c r="O32" s="141">
        <v>0</v>
      </c>
      <c r="P32" s="141">
        <v>0</v>
      </c>
      <c r="Q32" s="144">
        <v>0</v>
      </c>
      <c r="R32" s="143">
        <v>0</v>
      </c>
      <c r="S32" s="141">
        <v>0</v>
      </c>
      <c r="T32" s="141">
        <v>0</v>
      </c>
      <c r="U32" s="141">
        <v>0</v>
      </c>
      <c r="V32" s="144">
        <v>0</v>
      </c>
      <c r="W32" s="2629"/>
      <c r="X32" s="607" t="s">
        <v>498</v>
      </c>
      <c r="Y32" s="143">
        <v>0</v>
      </c>
      <c r="Z32" s="141">
        <v>0</v>
      </c>
      <c r="AA32" s="141">
        <v>0</v>
      </c>
      <c r="AB32" s="141">
        <v>0</v>
      </c>
      <c r="AC32" s="141">
        <v>0</v>
      </c>
      <c r="AD32" s="141">
        <v>0</v>
      </c>
      <c r="AE32" s="141">
        <v>0</v>
      </c>
      <c r="AF32" s="144">
        <v>0</v>
      </c>
      <c r="AG32" s="143">
        <v>0</v>
      </c>
      <c r="AH32" s="141">
        <v>0</v>
      </c>
      <c r="AI32" s="141">
        <v>0</v>
      </c>
      <c r="AJ32" s="141">
        <v>0</v>
      </c>
      <c r="AK32" s="144">
        <v>0</v>
      </c>
      <c r="AL32" s="2629"/>
      <c r="AM32" s="607" t="s">
        <v>2233</v>
      </c>
      <c r="AN32" s="143">
        <v>0</v>
      </c>
      <c r="AO32" s="141">
        <v>0</v>
      </c>
      <c r="AP32" s="141">
        <v>0</v>
      </c>
      <c r="AQ32" s="141">
        <v>0</v>
      </c>
      <c r="AR32" s="141">
        <v>0</v>
      </c>
      <c r="AS32" s="141">
        <v>0</v>
      </c>
      <c r="AT32" s="141">
        <v>0</v>
      </c>
      <c r="AU32" s="144">
        <v>0</v>
      </c>
      <c r="AV32" s="143">
        <v>0</v>
      </c>
      <c r="AW32" s="141">
        <v>0</v>
      </c>
      <c r="AX32" s="141">
        <v>0</v>
      </c>
      <c r="AY32" s="141">
        <v>0</v>
      </c>
      <c r="AZ32" s="144">
        <v>0</v>
      </c>
      <c r="BA32" s="185"/>
    </row>
    <row r="33" spans="1:53" s="98" customFormat="1" ht="15" customHeight="1">
      <c r="A33" s="99"/>
      <c r="B33" s="161"/>
      <c r="C33" s="162" t="s">
        <v>1710</v>
      </c>
      <c r="D33" s="162"/>
      <c r="E33" s="162"/>
      <c r="F33" s="162"/>
      <c r="G33" s="163"/>
      <c r="H33" s="163"/>
      <c r="I33" s="164" t="s">
        <v>498</v>
      </c>
      <c r="J33" s="641">
        <f>SUM(J30:J32)</f>
        <v>0</v>
      </c>
      <c r="K33" s="642">
        <f t="shared" ref="K33:V33" si="10">SUM(K30:K32)</f>
        <v>3.1986701273287392E-2</v>
      </c>
      <c r="L33" s="642">
        <f t="shared" si="10"/>
        <v>0</v>
      </c>
      <c r="M33" s="642">
        <f t="shared" si="10"/>
        <v>0</v>
      </c>
      <c r="N33" s="642">
        <f t="shared" si="10"/>
        <v>2.5376272552846634E-3</v>
      </c>
      <c r="O33" s="642">
        <f t="shared" si="10"/>
        <v>0</v>
      </c>
      <c r="P33" s="642">
        <f t="shared" si="10"/>
        <v>0</v>
      </c>
      <c r="Q33" s="643">
        <f t="shared" si="10"/>
        <v>0</v>
      </c>
      <c r="R33" s="641">
        <f t="shared" si="10"/>
        <v>0</v>
      </c>
      <c r="S33" s="642">
        <f t="shared" si="10"/>
        <v>0</v>
      </c>
      <c r="T33" s="642">
        <f t="shared" si="10"/>
        <v>0</v>
      </c>
      <c r="U33" s="642">
        <f t="shared" si="10"/>
        <v>0</v>
      </c>
      <c r="V33" s="643">
        <f t="shared" si="10"/>
        <v>0</v>
      </c>
      <c r="W33" s="2629"/>
      <c r="X33" s="607" t="s">
        <v>498</v>
      </c>
      <c r="Y33" s="641">
        <f>SUM(Y30:Y32)</f>
        <v>0</v>
      </c>
      <c r="Z33" s="642">
        <f t="shared" ref="Z33:AK33" si="11">SUM(Z30:Z32)</f>
        <v>0</v>
      </c>
      <c r="AA33" s="642">
        <f t="shared" si="11"/>
        <v>0</v>
      </c>
      <c r="AB33" s="642">
        <f t="shared" si="11"/>
        <v>0</v>
      </c>
      <c r="AC33" s="642">
        <f t="shared" si="11"/>
        <v>0</v>
      </c>
      <c r="AD33" s="642">
        <f t="shared" si="11"/>
        <v>0</v>
      </c>
      <c r="AE33" s="642">
        <f t="shared" si="11"/>
        <v>0</v>
      </c>
      <c r="AF33" s="643">
        <f t="shared" si="11"/>
        <v>0</v>
      </c>
      <c r="AG33" s="641">
        <f t="shared" si="11"/>
        <v>0</v>
      </c>
      <c r="AH33" s="642">
        <f t="shared" si="11"/>
        <v>0</v>
      </c>
      <c r="AI33" s="642">
        <f t="shared" si="11"/>
        <v>0</v>
      </c>
      <c r="AJ33" s="642">
        <f t="shared" si="11"/>
        <v>0</v>
      </c>
      <c r="AK33" s="643">
        <f t="shared" si="11"/>
        <v>0</v>
      </c>
      <c r="AL33" s="2629"/>
      <c r="AM33" s="607" t="s">
        <v>2233</v>
      </c>
      <c r="AN33" s="641">
        <f>SUM(AN30:AN32)</f>
        <v>0</v>
      </c>
      <c r="AO33" s="642">
        <f t="shared" ref="AO33:AZ33" si="12">SUM(AO30:AO32)</f>
        <v>0</v>
      </c>
      <c r="AP33" s="642">
        <f t="shared" si="12"/>
        <v>0</v>
      </c>
      <c r="AQ33" s="642">
        <f t="shared" si="12"/>
        <v>0</v>
      </c>
      <c r="AR33" s="642">
        <f t="shared" si="12"/>
        <v>0</v>
      </c>
      <c r="AS33" s="642">
        <f t="shared" si="12"/>
        <v>0</v>
      </c>
      <c r="AT33" s="642">
        <f t="shared" si="12"/>
        <v>0</v>
      </c>
      <c r="AU33" s="643">
        <f t="shared" si="12"/>
        <v>0</v>
      </c>
      <c r="AV33" s="641">
        <f t="shared" si="12"/>
        <v>0</v>
      </c>
      <c r="AW33" s="642">
        <f t="shared" si="12"/>
        <v>0</v>
      </c>
      <c r="AX33" s="642">
        <f t="shared" si="12"/>
        <v>0</v>
      </c>
      <c r="AY33" s="642">
        <f t="shared" si="12"/>
        <v>0</v>
      </c>
      <c r="AZ33" s="643">
        <f t="shared" si="12"/>
        <v>0</v>
      </c>
      <c r="BA33" s="185"/>
    </row>
    <row r="34" spans="1:53" s="98" customFormat="1" ht="15" customHeight="1">
      <c r="A34" s="99"/>
      <c r="B34" s="123"/>
      <c r="C34" s="127"/>
      <c r="D34" s="127"/>
      <c r="E34" s="127"/>
      <c r="F34" s="127"/>
      <c r="G34" s="117"/>
      <c r="H34" s="117"/>
      <c r="I34" s="117"/>
      <c r="J34" s="159"/>
      <c r="K34" s="94"/>
      <c r="L34" s="94"/>
      <c r="M34" s="94"/>
      <c r="N34" s="94"/>
      <c r="O34" s="94"/>
      <c r="P34" s="94"/>
      <c r="Q34" s="160"/>
      <c r="R34" s="159"/>
      <c r="S34" s="94"/>
      <c r="T34" s="94"/>
      <c r="U34" s="94"/>
      <c r="V34" s="160"/>
      <c r="W34" s="2629"/>
      <c r="X34" s="94"/>
      <c r="Y34" s="159"/>
      <c r="Z34" s="94"/>
      <c r="AA34" s="94"/>
      <c r="AB34" s="94"/>
      <c r="AC34" s="94"/>
      <c r="AD34" s="94"/>
      <c r="AE34" s="94"/>
      <c r="AF34" s="160"/>
      <c r="AG34" s="159"/>
      <c r="AH34" s="94"/>
      <c r="AI34" s="94"/>
      <c r="AJ34" s="94"/>
      <c r="AK34" s="160"/>
      <c r="AL34" s="2629"/>
      <c r="AM34" s="94"/>
      <c r="AN34" s="159"/>
      <c r="AO34" s="94"/>
      <c r="AP34" s="94"/>
      <c r="AQ34" s="94"/>
      <c r="AR34" s="94"/>
      <c r="AS34" s="94"/>
      <c r="AT34" s="94"/>
      <c r="AU34" s="160"/>
      <c r="AV34" s="159"/>
      <c r="AW34" s="94"/>
      <c r="AX34" s="94"/>
      <c r="AY34" s="94"/>
      <c r="AZ34" s="160"/>
      <c r="BA34" s="185"/>
    </row>
    <row r="35" spans="1:53" s="98" customFormat="1" ht="15" customHeight="1">
      <c r="A35" s="99"/>
      <c r="B35" s="161"/>
      <c r="C35" s="186" t="s">
        <v>2802</v>
      </c>
      <c r="D35" s="162"/>
      <c r="E35" s="116"/>
      <c r="F35" s="116"/>
      <c r="G35" s="117"/>
      <c r="H35" s="117"/>
      <c r="I35" s="117"/>
      <c r="J35" s="159"/>
      <c r="K35" s="94"/>
      <c r="L35" s="94"/>
      <c r="M35" s="94"/>
      <c r="N35" s="94"/>
      <c r="O35" s="94"/>
      <c r="P35" s="94"/>
      <c r="Q35" s="160"/>
      <c r="R35" s="159"/>
      <c r="S35" s="94"/>
      <c r="T35" s="94"/>
      <c r="U35" s="94"/>
      <c r="V35" s="160"/>
      <c r="W35" s="2629"/>
      <c r="X35" s="94"/>
      <c r="Y35" s="159"/>
      <c r="Z35" s="94"/>
      <c r="AA35" s="94"/>
      <c r="AB35" s="94"/>
      <c r="AC35" s="94"/>
      <c r="AD35" s="94"/>
      <c r="AE35" s="94"/>
      <c r="AF35" s="160"/>
      <c r="AG35" s="159"/>
      <c r="AH35" s="94"/>
      <c r="AI35" s="94"/>
      <c r="AJ35" s="94"/>
      <c r="AK35" s="160"/>
      <c r="AL35" s="2629"/>
      <c r="AM35" s="94"/>
      <c r="AN35" s="159"/>
      <c r="AO35" s="94"/>
      <c r="AP35" s="94"/>
      <c r="AQ35" s="94"/>
      <c r="AR35" s="94"/>
      <c r="AS35" s="94"/>
      <c r="AT35" s="94"/>
      <c r="AU35" s="160"/>
      <c r="AV35" s="159"/>
      <c r="AW35" s="94"/>
      <c r="AX35" s="94"/>
      <c r="AY35" s="94"/>
      <c r="AZ35" s="160"/>
      <c r="BA35" s="185"/>
    </row>
    <row r="36" spans="1:53" s="98" customFormat="1" ht="15" customHeight="1">
      <c r="A36" s="99"/>
      <c r="B36" s="161"/>
      <c r="C36" s="185"/>
      <c r="D36" s="162" t="s">
        <v>2676</v>
      </c>
      <c r="E36" s="162"/>
      <c r="F36" s="162"/>
      <c r="G36" s="163"/>
      <c r="H36" s="163"/>
      <c r="I36" s="164" t="s">
        <v>498</v>
      </c>
      <c r="J36" s="143">
        <v>0</v>
      </c>
      <c r="K36" s="141">
        <v>0</v>
      </c>
      <c r="L36" s="141">
        <v>0</v>
      </c>
      <c r="M36" s="141">
        <v>0</v>
      </c>
      <c r="N36" s="141">
        <v>0</v>
      </c>
      <c r="O36" s="141">
        <v>0</v>
      </c>
      <c r="P36" s="141">
        <v>0</v>
      </c>
      <c r="Q36" s="144">
        <v>0</v>
      </c>
      <c r="R36" s="143">
        <v>0</v>
      </c>
      <c r="S36" s="141">
        <v>0</v>
      </c>
      <c r="T36" s="141">
        <v>0</v>
      </c>
      <c r="U36" s="141">
        <v>0</v>
      </c>
      <c r="V36" s="144">
        <v>0</v>
      </c>
      <c r="W36" s="2629"/>
      <c r="X36" s="607" t="s">
        <v>498</v>
      </c>
      <c r="Y36" s="143">
        <v>0</v>
      </c>
      <c r="Z36" s="141">
        <v>0</v>
      </c>
      <c r="AA36" s="141">
        <v>0</v>
      </c>
      <c r="AB36" s="141">
        <v>0</v>
      </c>
      <c r="AC36" s="141">
        <v>0</v>
      </c>
      <c r="AD36" s="141">
        <v>0</v>
      </c>
      <c r="AE36" s="141">
        <v>0</v>
      </c>
      <c r="AF36" s="144">
        <v>0</v>
      </c>
      <c r="AG36" s="143">
        <v>0</v>
      </c>
      <c r="AH36" s="141">
        <v>0</v>
      </c>
      <c r="AI36" s="141">
        <v>0</v>
      </c>
      <c r="AJ36" s="141">
        <v>0</v>
      </c>
      <c r="AK36" s="144">
        <v>0</v>
      </c>
      <c r="AL36" s="2629"/>
      <c r="AM36" s="607" t="s">
        <v>2233</v>
      </c>
      <c r="AN36" s="143">
        <v>0</v>
      </c>
      <c r="AO36" s="141">
        <v>0</v>
      </c>
      <c r="AP36" s="141">
        <v>0</v>
      </c>
      <c r="AQ36" s="141">
        <v>0</v>
      </c>
      <c r="AR36" s="141">
        <v>0</v>
      </c>
      <c r="AS36" s="141">
        <v>0</v>
      </c>
      <c r="AT36" s="141">
        <v>0</v>
      </c>
      <c r="AU36" s="144">
        <v>0</v>
      </c>
      <c r="AV36" s="143">
        <v>0</v>
      </c>
      <c r="AW36" s="141">
        <v>0</v>
      </c>
      <c r="AX36" s="141">
        <v>0</v>
      </c>
      <c r="AY36" s="141">
        <v>0</v>
      </c>
      <c r="AZ36" s="144">
        <v>0</v>
      </c>
      <c r="BA36" s="185"/>
    </row>
    <row r="37" spans="1:53" s="98" customFormat="1" ht="15" customHeight="1">
      <c r="A37" s="99"/>
      <c r="B37" s="161"/>
      <c r="C37" s="185"/>
      <c r="D37" s="162" t="s">
        <v>2677</v>
      </c>
      <c r="E37" s="162"/>
      <c r="F37" s="162"/>
      <c r="G37" s="163"/>
      <c r="H37" s="163"/>
      <c r="I37" s="164" t="s">
        <v>498</v>
      </c>
      <c r="J37" s="143">
        <v>0</v>
      </c>
      <c r="K37" s="141">
        <v>0</v>
      </c>
      <c r="L37" s="141">
        <v>0</v>
      </c>
      <c r="M37" s="141">
        <v>0</v>
      </c>
      <c r="N37" s="141">
        <v>0</v>
      </c>
      <c r="O37" s="141">
        <v>0</v>
      </c>
      <c r="P37" s="141">
        <v>0</v>
      </c>
      <c r="Q37" s="144">
        <v>0</v>
      </c>
      <c r="R37" s="143">
        <v>5.9671587370629643E-2</v>
      </c>
      <c r="S37" s="141">
        <v>5.9373229433776493E-2</v>
      </c>
      <c r="T37" s="141">
        <v>5.9076363286607612E-2</v>
      </c>
      <c r="U37" s="141">
        <v>5.8780981470174576E-2</v>
      </c>
      <c r="V37" s="144">
        <v>5.8487076562823703E-2</v>
      </c>
      <c r="W37" s="2629"/>
      <c r="X37" s="607" t="s">
        <v>498</v>
      </c>
      <c r="Y37" s="143">
        <v>0</v>
      </c>
      <c r="Z37" s="141">
        <v>0</v>
      </c>
      <c r="AA37" s="141">
        <v>0</v>
      </c>
      <c r="AB37" s="141">
        <v>0</v>
      </c>
      <c r="AC37" s="141">
        <v>0</v>
      </c>
      <c r="AD37" s="141">
        <v>0</v>
      </c>
      <c r="AE37" s="141">
        <v>0</v>
      </c>
      <c r="AF37" s="144">
        <v>0</v>
      </c>
      <c r="AG37" s="143">
        <v>0</v>
      </c>
      <c r="AH37" s="141">
        <v>0</v>
      </c>
      <c r="AI37" s="141">
        <v>0</v>
      </c>
      <c r="AJ37" s="141">
        <v>0</v>
      </c>
      <c r="AK37" s="144">
        <v>0</v>
      </c>
      <c r="AL37" s="2629"/>
      <c r="AM37" s="607" t="s">
        <v>2233</v>
      </c>
      <c r="AN37" s="143">
        <v>0</v>
      </c>
      <c r="AO37" s="141">
        <v>0</v>
      </c>
      <c r="AP37" s="141">
        <v>0</v>
      </c>
      <c r="AQ37" s="141">
        <v>0</v>
      </c>
      <c r="AR37" s="141">
        <v>0</v>
      </c>
      <c r="AS37" s="141">
        <v>0</v>
      </c>
      <c r="AT37" s="141">
        <v>0</v>
      </c>
      <c r="AU37" s="144">
        <v>0</v>
      </c>
      <c r="AV37" s="143">
        <v>0</v>
      </c>
      <c r="AW37" s="141">
        <v>0</v>
      </c>
      <c r="AX37" s="141">
        <v>0</v>
      </c>
      <c r="AY37" s="141">
        <v>0</v>
      </c>
      <c r="AZ37" s="144">
        <v>0</v>
      </c>
      <c r="BA37" s="185"/>
    </row>
    <row r="38" spans="1:53" s="98" customFormat="1" ht="15" customHeight="1">
      <c r="A38" s="99"/>
      <c r="B38" s="161"/>
      <c r="C38" s="185"/>
      <c r="D38" s="162" t="s">
        <v>2678</v>
      </c>
      <c r="E38" s="162"/>
      <c r="F38" s="162"/>
      <c r="G38" s="163"/>
      <c r="H38" s="163"/>
      <c r="I38" s="164" t="s">
        <v>498</v>
      </c>
      <c r="J38" s="143">
        <v>0</v>
      </c>
      <c r="K38" s="141">
        <v>0</v>
      </c>
      <c r="L38" s="141">
        <v>0</v>
      </c>
      <c r="M38" s="141">
        <v>0</v>
      </c>
      <c r="N38" s="141">
        <v>0</v>
      </c>
      <c r="O38" s="141">
        <v>0</v>
      </c>
      <c r="P38" s="141">
        <v>0</v>
      </c>
      <c r="Q38" s="144">
        <v>0</v>
      </c>
      <c r="R38" s="143">
        <v>0</v>
      </c>
      <c r="S38" s="141">
        <v>0</v>
      </c>
      <c r="T38" s="141">
        <v>0</v>
      </c>
      <c r="U38" s="141">
        <v>0</v>
      </c>
      <c r="V38" s="144">
        <v>0</v>
      </c>
      <c r="W38" s="2629"/>
      <c r="X38" s="607" t="s">
        <v>498</v>
      </c>
      <c r="Y38" s="143">
        <v>0</v>
      </c>
      <c r="Z38" s="141">
        <v>0</v>
      </c>
      <c r="AA38" s="141">
        <v>0</v>
      </c>
      <c r="AB38" s="141">
        <v>0</v>
      </c>
      <c r="AC38" s="141">
        <v>0</v>
      </c>
      <c r="AD38" s="141">
        <v>0</v>
      </c>
      <c r="AE38" s="141">
        <v>0</v>
      </c>
      <c r="AF38" s="144">
        <v>0</v>
      </c>
      <c r="AG38" s="143">
        <v>0</v>
      </c>
      <c r="AH38" s="141">
        <v>0</v>
      </c>
      <c r="AI38" s="141">
        <v>0</v>
      </c>
      <c r="AJ38" s="141">
        <v>0</v>
      </c>
      <c r="AK38" s="144">
        <v>0</v>
      </c>
      <c r="AL38" s="2629"/>
      <c r="AM38" s="607" t="s">
        <v>2233</v>
      </c>
      <c r="AN38" s="143">
        <v>0</v>
      </c>
      <c r="AO38" s="141">
        <v>0</v>
      </c>
      <c r="AP38" s="141">
        <v>0</v>
      </c>
      <c r="AQ38" s="141">
        <v>0</v>
      </c>
      <c r="AR38" s="141">
        <v>0</v>
      </c>
      <c r="AS38" s="141">
        <v>0</v>
      </c>
      <c r="AT38" s="141">
        <v>0</v>
      </c>
      <c r="AU38" s="144">
        <v>0</v>
      </c>
      <c r="AV38" s="143">
        <v>0</v>
      </c>
      <c r="AW38" s="141">
        <v>0</v>
      </c>
      <c r="AX38" s="141">
        <v>0</v>
      </c>
      <c r="AY38" s="141">
        <v>0</v>
      </c>
      <c r="AZ38" s="144">
        <v>0</v>
      </c>
      <c r="BA38" s="185"/>
    </row>
    <row r="39" spans="1:53" s="98" customFormat="1" ht="15" customHeight="1">
      <c r="A39" s="99"/>
      <c r="B39" s="161"/>
      <c r="C39" s="162" t="s">
        <v>1710</v>
      </c>
      <c r="D39" s="162"/>
      <c r="E39" s="162"/>
      <c r="F39" s="162"/>
      <c r="G39" s="163"/>
      <c r="H39" s="163"/>
      <c r="I39" s="164" t="s">
        <v>498</v>
      </c>
      <c r="J39" s="641">
        <f>SUM(J36:J38)</f>
        <v>0</v>
      </c>
      <c r="K39" s="642">
        <f t="shared" ref="K39:V39" si="13">SUM(K36:K38)</f>
        <v>0</v>
      </c>
      <c r="L39" s="642">
        <f t="shared" si="13"/>
        <v>0</v>
      </c>
      <c r="M39" s="642">
        <f t="shared" si="13"/>
        <v>0</v>
      </c>
      <c r="N39" s="642">
        <f t="shared" si="13"/>
        <v>0</v>
      </c>
      <c r="O39" s="642">
        <f t="shared" si="13"/>
        <v>0</v>
      </c>
      <c r="P39" s="642">
        <f t="shared" si="13"/>
        <v>0</v>
      </c>
      <c r="Q39" s="643">
        <f t="shared" si="13"/>
        <v>0</v>
      </c>
      <c r="R39" s="641">
        <f t="shared" si="13"/>
        <v>5.9671587370629643E-2</v>
      </c>
      <c r="S39" s="642">
        <f t="shared" si="13"/>
        <v>5.9373229433776493E-2</v>
      </c>
      <c r="T39" s="642">
        <f t="shared" si="13"/>
        <v>5.9076363286607612E-2</v>
      </c>
      <c r="U39" s="642">
        <f t="shared" si="13"/>
        <v>5.8780981470174576E-2</v>
      </c>
      <c r="V39" s="643">
        <f t="shared" si="13"/>
        <v>5.8487076562823703E-2</v>
      </c>
      <c r="W39" s="2629"/>
      <c r="X39" s="607" t="s">
        <v>498</v>
      </c>
      <c r="Y39" s="641">
        <f>SUM(Y36:Y38)</f>
        <v>0</v>
      </c>
      <c r="Z39" s="642">
        <f t="shared" ref="Z39:AK39" si="14">SUM(Z36:Z38)</f>
        <v>0</v>
      </c>
      <c r="AA39" s="642">
        <f t="shared" si="14"/>
        <v>0</v>
      </c>
      <c r="AB39" s="642">
        <f t="shared" si="14"/>
        <v>0</v>
      </c>
      <c r="AC39" s="642">
        <f t="shared" si="14"/>
        <v>0</v>
      </c>
      <c r="AD39" s="642">
        <f t="shared" si="14"/>
        <v>0</v>
      </c>
      <c r="AE39" s="642">
        <f t="shared" si="14"/>
        <v>0</v>
      </c>
      <c r="AF39" s="643">
        <f t="shared" si="14"/>
        <v>0</v>
      </c>
      <c r="AG39" s="641">
        <f t="shared" si="14"/>
        <v>0</v>
      </c>
      <c r="AH39" s="642">
        <f t="shared" si="14"/>
        <v>0</v>
      </c>
      <c r="AI39" s="642">
        <f t="shared" si="14"/>
        <v>0</v>
      </c>
      <c r="AJ39" s="642">
        <f t="shared" si="14"/>
        <v>0</v>
      </c>
      <c r="AK39" s="643">
        <f t="shared" si="14"/>
        <v>0</v>
      </c>
      <c r="AL39" s="2629"/>
      <c r="AM39" s="607" t="s">
        <v>2233</v>
      </c>
      <c r="AN39" s="641">
        <f>SUM(AN36:AN38)</f>
        <v>0</v>
      </c>
      <c r="AO39" s="642">
        <f t="shared" ref="AO39:AZ39" si="15">SUM(AO36:AO38)</f>
        <v>0</v>
      </c>
      <c r="AP39" s="642">
        <f t="shared" si="15"/>
        <v>0</v>
      </c>
      <c r="AQ39" s="642">
        <f t="shared" si="15"/>
        <v>0</v>
      </c>
      <c r="AR39" s="642">
        <f t="shared" si="15"/>
        <v>0</v>
      </c>
      <c r="AS39" s="642">
        <f t="shared" si="15"/>
        <v>0</v>
      </c>
      <c r="AT39" s="642">
        <f t="shared" si="15"/>
        <v>0</v>
      </c>
      <c r="AU39" s="643">
        <f t="shared" si="15"/>
        <v>0</v>
      </c>
      <c r="AV39" s="641">
        <f t="shared" si="15"/>
        <v>0</v>
      </c>
      <c r="AW39" s="642">
        <f t="shared" si="15"/>
        <v>0</v>
      </c>
      <c r="AX39" s="642">
        <f t="shared" si="15"/>
        <v>0</v>
      </c>
      <c r="AY39" s="642">
        <f t="shared" si="15"/>
        <v>0</v>
      </c>
      <c r="AZ39" s="643">
        <f t="shared" si="15"/>
        <v>0</v>
      </c>
      <c r="BA39" s="185"/>
    </row>
    <row r="40" spans="1:53" s="98" customFormat="1" ht="15" customHeight="1">
      <c r="A40" s="99"/>
      <c r="B40" s="123"/>
      <c r="C40" s="127"/>
      <c r="D40" s="127"/>
      <c r="E40" s="127"/>
      <c r="F40" s="127"/>
      <c r="G40" s="117"/>
      <c r="H40" s="117"/>
      <c r="I40" s="117"/>
      <c r="J40" s="159"/>
      <c r="K40" s="94"/>
      <c r="L40" s="94"/>
      <c r="M40" s="94"/>
      <c r="N40" s="94"/>
      <c r="O40" s="94"/>
      <c r="P40" s="94"/>
      <c r="Q40" s="160"/>
      <c r="R40" s="159"/>
      <c r="S40" s="94"/>
      <c r="T40" s="94"/>
      <c r="U40" s="94"/>
      <c r="V40" s="160"/>
      <c r="W40" s="2629"/>
      <c r="X40" s="94"/>
      <c r="Y40" s="159"/>
      <c r="Z40" s="94"/>
      <c r="AA40" s="94"/>
      <c r="AB40" s="94"/>
      <c r="AC40" s="94"/>
      <c r="AD40" s="94"/>
      <c r="AE40" s="94"/>
      <c r="AF40" s="160"/>
      <c r="AG40" s="159"/>
      <c r="AH40" s="94"/>
      <c r="AI40" s="94"/>
      <c r="AJ40" s="94"/>
      <c r="AK40" s="160"/>
      <c r="AL40" s="2629"/>
      <c r="AM40" s="94"/>
      <c r="AN40" s="159"/>
      <c r="AO40" s="94"/>
      <c r="AP40" s="94"/>
      <c r="AQ40" s="94"/>
      <c r="AR40" s="94"/>
      <c r="AS40" s="94"/>
      <c r="AT40" s="94"/>
      <c r="AU40" s="160"/>
      <c r="AV40" s="159"/>
      <c r="AW40" s="94"/>
      <c r="AX40" s="94"/>
      <c r="AY40" s="94"/>
      <c r="AZ40" s="160"/>
      <c r="BA40" s="185"/>
    </row>
    <row r="41" spans="1:53" s="98" customFormat="1" ht="15" customHeight="1">
      <c r="A41" s="99"/>
      <c r="B41" s="161"/>
      <c r="C41" s="186" t="s">
        <v>2803</v>
      </c>
      <c r="D41" s="162"/>
      <c r="E41" s="116"/>
      <c r="F41" s="116"/>
      <c r="G41" s="117"/>
      <c r="H41" s="117"/>
      <c r="I41" s="117"/>
      <c r="J41" s="159"/>
      <c r="K41" s="94"/>
      <c r="L41" s="94"/>
      <c r="M41" s="94"/>
      <c r="N41" s="94"/>
      <c r="O41" s="94"/>
      <c r="P41" s="94"/>
      <c r="Q41" s="160"/>
      <c r="R41" s="159"/>
      <c r="S41" s="94"/>
      <c r="T41" s="94"/>
      <c r="U41" s="94"/>
      <c r="V41" s="160"/>
      <c r="W41" s="2629"/>
      <c r="X41" s="94"/>
      <c r="Y41" s="159"/>
      <c r="Z41" s="94"/>
      <c r="AA41" s="94"/>
      <c r="AB41" s="94"/>
      <c r="AC41" s="94"/>
      <c r="AD41" s="94"/>
      <c r="AE41" s="94"/>
      <c r="AF41" s="160"/>
      <c r="AG41" s="159"/>
      <c r="AH41" s="94"/>
      <c r="AI41" s="94"/>
      <c r="AJ41" s="94"/>
      <c r="AK41" s="160"/>
      <c r="AL41" s="2629"/>
      <c r="AM41" s="94"/>
      <c r="AN41" s="159"/>
      <c r="AO41" s="94"/>
      <c r="AP41" s="94"/>
      <c r="AQ41" s="94"/>
      <c r="AR41" s="94"/>
      <c r="AS41" s="94"/>
      <c r="AT41" s="94"/>
      <c r="AU41" s="160"/>
      <c r="AV41" s="159"/>
      <c r="AW41" s="94"/>
      <c r="AX41" s="94"/>
      <c r="AY41" s="94"/>
      <c r="AZ41" s="160"/>
      <c r="BA41" s="185"/>
    </row>
    <row r="42" spans="1:53" s="98" customFormat="1" ht="15" customHeight="1">
      <c r="A42" s="99"/>
      <c r="B42" s="161"/>
      <c r="C42" s="185"/>
      <c r="D42" s="162" t="s">
        <v>2676</v>
      </c>
      <c r="E42" s="162"/>
      <c r="F42" s="162"/>
      <c r="G42" s="163"/>
      <c r="H42" s="163"/>
      <c r="I42" s="164" t="s">
        <v>498</v>
      </c>
      <c r="J42" s="143">
        <v>0</v>
      </c>
      <c r="K42" s="141">
        <v>0</v>
      </c>
      <c r="L42" s="141">
        <v>0</v>
      </c>
      <c r="M42" s="141">
        <v>0</v>
      </c>
      <c r="N42" s="141">
        <v>0</v>
      </c>
      <c r="O42" s="141">
        <v>0</v>
      </c>
      <c r="P42" s="141">
        <v>0</v>
      </c>
      <c r="Q42" s="144">
        <v>0</v>
      </c>
      <c r="R42" s="143">
        <v>0</v>
      </c>
      <c r="S42" s="141">
        <v>0</v>
      </c>
      <c r="T42" s="141">
        <v>0</v>
      </c>
      <c r="U42" s="141">
        <v>0</v>
      </c>
      <c r="V42" s="144">
        <v>0</v>
      </c>
      <c r="W42" s="2629"/>
      <c r="X42" s="607" t="s">
        <v>498</v>
      </c>
      <c r="Y42" s="143">
        <v>0</v>
      </c>
      <c r="Z42" s="141">
        <v>0</v>
      </c>
      <c r="AA42" s="141">
        <v>0</v>
      </c>
      <c r="AB42" s="141">
        <v>0</v>
      </c>
      <c r="AC42" s="141">
        <v>0</v>
      </c>
      <c r="AD42" s="141">
        <v>0</v>
      </c>
      <c r="AE42" s="141">
        <v>0</v>
      </c>
      <c r="AF42" s="144">
        <v>0</v>
      </c>
      <c r="AG42" s="143">
        <v>0</v>
      </c>
      <c r="AH42" s="141">
        <v>0</v>
      </c>
      <c r="AI42" s="141">
        <v>0</v>
      </c>
      <c r="AJ42" s="141">
        <v>0</v>
      </c>
      <c r="AK42" s="144">
        <v>0</v>
      </c>
      <c r="AL42" s="2629"/>
      <c r="AM42" s="607" t="s">
        <v>2233</v>
      </c>
      <c r="AN42" s="143">
        <v>0</v>
      </c>
      <c r="AO42" s="141">
        <v>0</v>
      </c>
      <c r="AP42" s="141">
        <v>0</v>
      </c>
      <c r="AQ42" s="141">
        <v>0</v>
      </c>
      <c r="AR42" s="141">
        <v>0</v>
      </c>
      <c r="AS42" s="141">
        <v>0</v>
      </c>
      <c r="AT42" s="141">
        <v>0</v>
      </c>
      <c r="AU42" s="144">
        <v>0</v>
      </c>
      <c r="AV42" s="143">
        <v>0</v>
      </c>
      <c r="AW42" s="141">
        <v>0</v>
      </c>
      <c r="AX42" s="141">
        <v>0</v>
      </c>
      <c r="AY42" s="141">
        <v>0</v>
      </c>
      <c r="AZ42" s="144">
        <v>0</v>
      </c>
      <c r="BA42" s="185"/>
    </row>
    <row r="43" spans="1:53" s="98" customFormat="1" ht="15" customHeight="1">
      <c r="A43" s="99"/>
      <c r="B43" s="161"/>
      <c r="C43" s="185"/>
      <c r="D43" s="162" t="s">
        <v>2677</v>
      </c>
      <c r="E43" s="162"/>
      <c r="F43" s="162"/>
      <c r="G43" s="163"/>
      <c r="H43" s="163"/>
      <c r="I43" s="164" t="s">
        <v>498</v>
      </c>
      <c r="J43" s="143">
        <v>0</v>
      </c>
      <c r="K43" s="141">
        <v>0</v>
      </c>
      <c r="L43" s="141">
        <v>0</v>
      </c>
      <c r="M43" s="141">
        <v>0</v>
      </c>
      <c r="N43" s="141">
        <v>0</v>
      </c>
      <c r="O43" s="141">
        <v>0</v>
      </c>
      <c r="P43" s="141">
        <v>0</v>
      </c>
      <c r="Q43" s="144">
        <v>0</v>
      </c>
      <c r="R43" s="143">
        <v>0</v>
      </c>
      <c r="S43" s="141">
        <v>0</v>
      </c>
      <c r="T43" s="141">
        <v>0</v>
      </c>
      <c r="U43" s="141">
        <v>0</v>
      </c>
      <c r="V43" s="144">
        <v>0</v>
      </c>
      <c r="W43" s="2629"/>
      <c r="X43" s="607" t="s">
        <v>498</v>
      </c>
      <c r="Y43" s="143">
        <v>0</v>
      </c>
      <c r="Z43" s="141">
        <v>0</v>
      </c>
      <c r="AA43" s="141">
        <v>0</v>
      </c>
      <c r="AB43" s="141">
        <v>0</v>
      </c>
      <c r="AC43" s="141">
        <v>0</v>
      </c>
      <c r="AD43" s="141">
        <v>0</v>
      </c>
      <c r="AE43" s="141">
        <v>0</v>
      </c>
      <c r="AF43" s="144">
        <v>0</v>
      </c>
      <c r="AG43" s="143">
        <v>0</v>
      </c>
      <c r="AH43" s="141">
        <v>0</v>
      </c>
      <c r="AI43" s="141">
        <v>0</v>
      </c>
      <c r="AJ43" s="141">
        <v>0</v>
      </c>
      <c r="AK43" s="144">
        <v>0</v>
      </c>
      <c r="AL43" s="2629"/>
      <c r="AM43" s="607" t="s">
        <v>2233</v>
      </c>
      <c r="AN43" s="143">
        <v>0</v>
      </c>
      <c r="AO43" s="141">
        <v>0</v>
      </c>
      <c r="AP43" s="141">
        <v>0</v>
      </c>
      <c r="AQ43" s="141">
        <v>0</v>
      </c>
      <c r="AR43" s="141">
        <v>0</v>
      </c>
      <c r="AS43" s="141">
        <v>0</v>
      </c>
      <c r="AT43" s="141">
        <v>0</v>
      </c>
      <c r="AU43" s="144">
        <v>0</v>
      </c>
      <c r="AV43" s="143">
        <v>0</v>
      </c>
      <c r="AW43" s="141">
        <v>0</v>
      </c>
      <c r="AX43" s="141">
        <v>0</v>
      </c>
      <c r="AY43" s="141">
        <v>0</v>
      </c>
      <c r="AZ43" s="144">
        <v>0</v>
      </c>
      <c r="BA43" s="185"/>
    </row>
    <row r="44" spans="1:53" s="98" customFormat="1" ht="15" customHeight="1">
      <c r="A44" s="99"/>
      <c r="B44" s="161"/>
      <c r="C44" s="185"/>
      <c r="D44" s="162" t="s">
        <v>2678</v>
      </c>
      <c r="E44" s="162"/>
      <c r="F44" s="162"/>
      <c r="G44" s="163"/>
      <c r="H44" s="163"/>
      <c r="I44" s="164" t="s">
        <v>498</v>
      </c>
      <c r="J44" s="143">
        <v>0</v>
      </c>
      <c r="K44" s="141">
        <v>0</v>
      </c>
      <c r="L44" s="141">
        <v>0</v>
      </c>
      <c r="M44" s="141">
        <v>0</v>
      </c>
      <c r="N44" s="141">
        <v>0</v>
      </c>
      <c r="O44" s="141">
        <v>0</v>
      </c>
      <c r="P44" s="141">
        <v>0</v>
      </c>
      <c r="Q44" s="144">
        <v>0</v>
      </c>
      <c r="R44" s="143">
        <v>0</v>
      </c>
      <c r="S44" s="141">
        <v>0</v>
      </c>
      <c r="T44" s="141">
        <v>0</v>
      </c>
      <c r="U44" s="141">
        <v>0</v>
      </c>
      <c r="V44" s="144">
        <v>0</v>
      </c>
      <c r="W44" s="2629"/>
      <c r="X44" s="607" t="s">
        <v>498</v>
      </c>
      <c r="Y44" s="143">
        <v>0</v>
      </c>
      <c r="Z44" s="141">
        <v>0</v>
      </c>
      <c r="AA44" s="141">
        <v>0</v>
      </c>
      <c r="AB44" s="141">
        <v>0</v>
      </c>
      <c r="AC44" s="141">
        <v>0</v>
      </c>
      <c r="AD44" s="141">
        <v>0</v>
      </c>
      <c r="AE44" s="141">
        <v>0</v>
      </c>
      <c r="AF44" s="144">
        <v>0</v>
      </c>
      <c r="AG44" s="143">
        <v>0</v>
      </c>
      <c r="AH44" s="141">
        <v>0</v>
      </c>
      <c r="AI44" s="141">
        <v>0</v>
      </c>
      <c r="AJ44" s="141">
        <v>0</v>
      </c>
      <c r="AK44" s="144">
        <v>0</v>
      </c>
      <c r="AL44" s="2629"/>
      <c r="AM44" s="607" t="s">
        <v>2233</v>
      </c>
      <c r="AN44" s="143">
        <v>0</v>
      </c>
      <c r="AO44" s="141">
        <v>0</v>
      </c>
      <c r="AP44" s="141">
        <v>0</v>
      </c>
      <c r="AQ44" s="141">
        <v>0</v>
      </c>
      <c r="AR44" s="141">
        <v>0</v>
      </c>
      <c r="AS44" s="141">
        <v>0</v>
      </c>
      <c r="AT44" s="141">
        <v>0</v>
      </c>
      <c r="AU44" s="144">
        <v>0</v>
      </c>
      <c r="AV44" s="143">
        <v>0</v>
      </c>
      <c r="AW44" s="141">
        <v>0</v>
      </c>
      <c r="AX44" s="141">
        <v>0</v>
      </c>
      <c r="AY44" s="141">
        <v>0</v>
      </c>
      <c r="AZ44" s="144">
        <v>0</v>
      </c>
      <c r="BA44" s="185"/>
    </row>
    <row r="45" spans="1:53" s="98" customFormat="1" ht="15" customHeight="1">
      <c r="A45" s="99"/>
      <c r="B45" s="161"/>
      <c r="C45" s="162" t="s">
        <v>1710</v>
      </c>
      <c r="D45" s="162"/>
      <c r="E45" s="162"/>
      <c r="F45" s="162"/>
      <c r="G45" s="163"/>
      <c r="H45" s="163"/>
      <c r="I45" s="164" t="s">
        <v>498</v>
      </c>
      <c r="J45" s="641">
        <f>SUM(J42:J44)</f>
        <v>0</v>
      </c>
      <c r="K45" s="642">
        <f t="shared" ref="K45:V45" si="16">SUM(K42:K44)</f>
        <v>0</v>
      </c>
      <c r="L45" s="642">
        <f t="shared" si="16"/>
        <v>0</v>
      </c>
      <c r="M45" s="642">
        <f t="shared" si="16"/>
        <v>0</v>
      </c>
      <c r="N45" s="642">
        <f t="shared" si="16"/>
        <v>0</v>
      </c>
      <c r="O45" s="642">
        <f t="shared" si="16"/>
        <v>0</v>
      </c>
      <c r="P45" s="642">
        <f t="shared" si="16"/>
        <v>0</v>
      </c>
      <c r="Q45" s="643">
        <f t="shared" si="16"/>
        <v>0</v>
      </c>
      <c r="R45" s="641">
        <f t="shared" si="16"/>
        <v>0</v>
      </c>
      <c r="S45" s="642">
        <f t="shared" si="16"/>
        <v>0</v>
      </c>
      <c r="T45" s="642">
        <f t="shared" si="16"/>
        <v>0</v>
      </c>
      <c r="U45" s="642">
        <f t="shared" si="16"/>
        <v>0</v>
      </c>
      <c r="V45" s="643">
        <f t="shared" si="16"/>
        <v>0</v>
      </c>
      <c r="W45" s="2629"/>
      <c r="X45" s="607" t="s">
        <v>498</v>
      </c>
      <c r="Y45" s="641">
        <f>SUM(Y42:Y44)</f>
        <v>0</v>
      </c>
      <c r="Z45" s="642">
        <f t="shared" ref="Z45:AK45" si="17">SUM(Z42:Z44)</f>
        <v>0</v>
      </c>
      <c r="AA45" s="642">
        <f t="shared" si="17"/>
        <v>0</v>
      </c>
      <c r="AB45" s="642">
        <f t="shared" si="17"/>
        <v>0</v>
      </c>
      <c r="AC45" s="642">
        <f t="shared" si="17"/>
        <v>0</v>
      </c>
      <c r="AD45" s="642">
        <f t="shared" si="17"/>
        <v>0</v>
      </c>
      <c r="AE45" s="642">
        <f t="shared" si="17"/>
        <v>0</v>
      </c>
      <c r="AF45" s="643">
        <f t="shared" si="17"/>
        <v>0</v>
      </c>
      <c r="AG45" s="641">
        <f t="shared" si="17"/>
        <v>0</v>
      </c>
      <c r="AH45" s="642">
        <f t="shared" si="17"/>
        <v>0</v>
      </c>
      <c r="AI45" s="642">
        <f t="shared" si="17"/>
        <v>0</v>
      </c>
      <c r="AJ45" s="642">
        <f t="shared" si="17"/>
        <v>0</v>
      </c>
      <c r="AK45" s="643">
        <f t="shared" si="17"/>
        <v>0</v>
      </c>
      <c r="AL45" s="2629"/>
      <c r="AM45" s="607" t="s">
        <v>2233</v>
      </c>
      <c r="AN45" s="641">
        <f>SUM(AN42:AN44)</f>
        <v>0</v>
      </c>
      <c r="AO45" s="642">
        <f t="shared" ref="AO45:AZ45" si="18">SUM(AO42:AO44)</f>
        <v>0</v>
      </c>
      <c r="AP45" s="642">
        <f t="shared" si="18"/>
        <v>0</v>
      </c>
      <c r="AQ45" s="642">
        <f t="shared" si="18"/>
        <v>0</v>
      </c>
      <c r="AR45" s="642">
        <f t="shared" si="18"/>
        <v>0</v>
      </c>
      <c r="AS45" s="642">
        <f t="shared" si="18"/>
        <v>0</v>
      </c>
      <c r="AT45" s="642">
        <f t="shared" si="18"/>
        <v>0</v>
      </c>
      <c r="AU45" s="643">
        <f t="shared" si="18"/>
        <v>0</v>
      </c>
      <c r="AV45" s="641">
        <f t="shared" si="18"/>
        <v>0</v>
      </c>
      <c r="AW45" s="642">
        <f t="shared" si="18"/>
        <v>0</v>
      </c>
      <c r="AX45" s="642">
        <f t="shared" si="18"/>
        <v>0</v>
      </c>
      <c r="AY45" s="642">
        <f t="shared" si="18"/>
        <v>0</v>
      </c>
      <c r="AZ45" s="643">
        <f t="shared" si="18"/>
        <v>0</v>
      </c>
      <c r="BA45" s="185"/>
    </row>
    <row r="46" spans="1:53" s="98" customFormat="1" ht="15" customHeight="1">
      <c r="A46" s="99"/>
      <c r="B46" s="123"/>
      <c r="C46" s="127"/>
      <c r="D46" s="127"/>
      <c r="E46" s="127"/>
      <c r="F46" s="127"/>
      <c r="G46" s="117"/>
      <c r="H46" s="117"/>
      <c r="I46" s="117"/>
      <c r="J46" s="159"/>
      <c r="K46" s="94"/>
      <c r="L46" s="94"/>
      <c r="M46" s="94"/>
      <c r="N46" s="94"/>
      <c r="O46" s="94"/>
      <c r="P46" s="94"/>
      <c r="Q46" s="160"/>
      <c r="R46" s="159"/>
      <c r="S46" s="94"/>
      <c r="T46" s="94"/>
      <c r="U46" s="94"/>
      <c r="V46" s="160"/>
      <c r="W46" s="2629"/>
      <c r="X46" s="94"/>
      <c r="Y46" s="159"/>
      <c r="Z46" s="94"/>
      <c r="AA46" s="94"/>
      <c r="AB46" s="94"/>
      <c r="AC46" s="94"/>
      <c r="AD46" s="94"/>
      <c r="AE46" s="94"/>
      <c r="AF46" s="160"/>
      <c r="AG46" s="159"/>
      <c r="AH46" s="94"/>
      <c r="AI46" s="94"/>
      <c r="AJ46" s="94"/>
      <c r="AK46" s="160"/>
      <c r="AL46" s="2629"/>
      <c r="AM46" s="94"/>
      <c r="AN46" s="159"/>
      <c r="AO46" s="94"/>
      <c r="AP46" s="94"/>
      <c r="AQ46" s="94"/>
      <c r="AR46" s="94"/>
      <c r="AS46" s="94"/>
      <c r="AT46" s="94"/>
      <c r="AU46" s="160"/>
      <c r="AV46" s="159"/>
      <c r="AW46" s="94"/>
      <c r="AX46" s="94"/>
      <c r="AY46" s="94"/>
      <c r="AZ46" s="160"/>
      <c r="BA46" s="185"/>
    </row>
    <row r="47" spans="1:53" s="98" customFormat="1" ht="15" customHeight="1">
      <c r="A47" s="99"/>
      <c r="B47" s="161"/>
      <c r="C47" s="186" t="s">
        <v>2804</v>
      </c>
      <c r="D47" s="162"/>
      <c r="E47" s="116"/>
      <c r="F47" s="116"/>
      <c r="G47" s="117"/>
      <c r="H47" s="117"/>
      <c r="I47" s="117"/>
      <c r="J47" s="159"/>
      <c r="K47" s="94"/>
      <c r="L47" s="94"/>
      <c r="M47" s="94"/>
      <c r="N47" s="94"/>
      <c r="O47" s="94"/>
      <c r="P47" s="94"/>
      <c r="Q47" s="160"/>
      <c r="R47" s="159"/>
      <c r="S47" s="94"/>
      <c r="T47" s="94"/>
      <c r="U47" s="94"/>
      <c r="V47" s="160"/>
      <c r="W47" s="2629"/>
      <c r="X47" s="94"/>
      <c r="Y47" s="159"/>
      <c r="Z47" s="94"/>
      <c r="AA47" s="94"/>
      <c r="AB47" s="94"/>
      <c r="AC47" s="94"/>
      <c r="AD47" s="94"/>
      <c r="AE47" s="94"/>
      <c r="AF47" s="160"/>
      <c r="AG47" s="159"/>
      <c r="AH47" s="94"/>
      <c r="AI47" s="94"/>
      <c r="AJ47" s="94"/>
      <c r="AK47" s="160"/>
      <c r="AL47" s="2629"/>
      <c r="AM47" s="94"/>
      <c r="AN47" s="159"/>
      <c r="AO47" s="94"/>
      <c r="AP47" s="94"/>
      <c r="AQ47" s="94"/>
      <c r="AR47" s="94"/>
      <c r="AS47" s="94"/>
      <c r="AT47" s="94"/>
      <c r="AU47" s="160"/>
      <c r="AV47" s="159"/>
      <c r="AW47" s="94"/>
      <c r="AX47" s="94"/>
      <c r="AY47" s="94"/>
      <c r="AZ47" s="160"/>
      <c r="BA47" s="185"/>
    </row>
    <row r="48" spans="1:53" s="98" customFormat="1" ht="15" customHeight="1">
      <c r="A48" s="99"/>
      <c r="B48" s="161"/>
      <c r="C48" s="185"/>
      <c r="D48" s="162" t="s">
        <v>2676</v>
      </c>
      <c r="E48" s="162"/>
      <c r="F48" s="162"/>
      <c r="G48" s="163"/>
      <c r="H48" s="163"/>
      <c r="I48" s="164" t="s">
        <v>498</v>
      </c>
      <c r="J48" s="143">
        <v>0</v>
      </c>
      <c r="K48" s="141">
        <v>0</v>
      </c>
      <c r="L48" s="141">
        <v>0</v>
      </c>
      <c r="M48" s="141">
        <v>0</v>
      </c>
      <c r="N48" s="141">
        <v>5.2972968954067348E-2</v>
      </c>
      <c r="O48" s="141">
        <v>2.754922645725895E-3</v>
      </c>
      <c r="P48" s="141">
        <v>0</v>
      </c>
      <c r="Q48" s="144">
        <v>0</v>
      </c>
      <c r="R48" s="143">
        <v>0</v>
      </c>
      <c r="S48" s="141">
        <v>0</v>
      </c>
      <c r="T48" s="141">
        <v>0</v>
      </c>
      <c r="U48" s="141">
        <v>0</v>
      </c>
      <c r="V48" s="144">
        <v>0</v>
      </c>
      <c r="W48" s="2629"/>
      <c r="X48" s="607" t="s">
        <v>498</v>
      </c>
      <c r="Y48" s="143">
        <v>0</v>
      </c>
      <c r="Z48" s="141">
        <v>0</v>
      </c>
      <c r="AA48" s="141">
        <v>0</v>
      </c>
      <c r="AB48" s="141">
        <v>0</v>
      </c>
      <c r="AC48" s="141">
        <v>0</v>
      </c>
      <c r="AD48" s="141">
        <v>0</v>
      </c>
      <c r="AE48" s="141">
        <v>0</v>
      </c>
      <c r="AF48" s="144">
        <v>0</v>
      </c>
      <c r="AG48" s="143">
        <v>0</v>
      </c>
      <c r="AH48" s="141">
        <v>0</v>
      </c>
      <c r="AI48" s="141">
        <v>0</v>
      </c>
      <c r="AJ48" s="141">
        <v>0</v>
      </c>
      <c r="AK48" s="144">
        <v>0</v>
      </c>
      <c r="AL48" s="2629"/>
      <c r="AM48" s="607" t="s">
        <v>2233</v>
      </c>
      <c r="AN48" s="143">
        <v>0</v>
      </c>
      <c r="AO48" s="141">
        <v>0</v>
      </c>
      <c r="AP48" s="141">
        <v>0</v>
      </c>
      <c r="AQ48" s="141">
        <v>0</v>
      </c>
      <c r="AR48" s="141">
        <v>0</v>
      </c>
      <c r="AS48" s="141">
        <v>0</v>
      </c>
      <c r="AT48" s="141">
        <v>0</v>
      </c>
      <c r="AU48" s="144">
        <v>0</v>
      </c>
      <c r="AV48" s="143">
        <v>0</v>
      </c>
      <c r="AW48" s="141">
        <v>0</v>
      </c>
      <c r="AX48" s="141">
        <v>0</v>
      </c>
      <c r="AY48" s="141">
        <v>0</v>
      </c>
      <c r="AZ48" s="144">
        <v>0</v>
      </c>
      <c r="BA48" s="185"/>
    </row>
    <row r="49" spans="1:60" s="98" customFormat="1" ht="15" customHeight="1">
      <c r="A49" s="99"/>
      <c r="B49" s="161"/>
      <c r="C49" s="185"/>
      <c r="D49" s="162" t="s">
        <v>2677</v>
      </c>
      <c r="E49" s="162"/>
      <c r="F49" s="162"/>
      <c r="G49" s="163"/>
      <c r="H49" s="163"/>
      <c r="I49" s="164" t="s">
        <v>498</v>
      </c>
      <c r="J49" s="143">
        <v>0</v>
      </c>
      <c r="K49" s="141">
        <v>0</v>
      </c>
      <c r="L49" s="141">
        <v>0</v>
      </c>
      <c r="M49" s="141">
        <v>0</v>
      </c>
      <c r="N49" s="141">
        <v>2.1887035076830222E-2</v>
      </c>
      <c r="O49" s="141">
        <v>1.061481479662586E-4</v>
      </c>
      <c r="P49" s="141">
        <v>0</v>
      </c>
      <c r="Q49" s="144">
        <v>0</v>
      </c>
      <c r="R49" s="143">
        <v>0.1981949151953056</v>
      </c>
      <c r="S49" s="141">
        <v>0.19720394061932908</v>
      </c>
      <c r="T49" s="141">
        <v>0.19621792091623244</v>
      </c>
      <c r="U49" s="141">
        <v>0.19523683131165129</v>
      </c>
      <c r="V49" s="144">
        <v>0.19426064715509303</v>
      </c>
      <c r="W49" s="2629"/>
      <c r="X49" s="607" t="s">
        <v>498</v>
      </c>
      <c r="Y49" s="143">
        <v>0</v>
      </c>
      <c r="Z49" s="141">
        <v>0</v>
      </c>
      <c r="AA49" s="141">
        <v>0</v>
      </c>
      <c r="AB49" s="141">
        <v>0</v>
      </c>
      <c r="AC49" s="141">
        <v>0</v>
      </c>
      <c r="AD49" s="141">
        <v>0</v>
      </c>
      <c r="AE49" s="141">
        <v>0</v>
      </c>
      <c r="AF49" s="144">
        <v>0</v>
      </c>
      <c r="AG49" s="143">
        <v>0</v>
      </c>
      <c r="AH49" s="141">
        <v>0</v>
      </c>
      <c r="AI49" s="141">
        <v>0</v>
      </c>
      <c r="AJ49" s="141">
        <v>0</v>
      </c>
      <c r="AK49" s="144">
        <v>0</v>
      </c>
      <c r="AL49" s="2629"/>
      <c r="AM49" s="607" t="s">
        <v>2233</v>
      </c>
      <c r="AN49" s="143">
        <v>0</v>
      </c>
      <c r="AO49" s="141">
        <v>0</v>
      </c>
      <c r="AP49" s="141">
        <v>0</v>
      </c>
      <c r="AQ49" s="141">
        <v>0</v>
      </c>
      <c r="AR49" s="141">
        <v>0</v>
      </c>
      <c r="AS49" s="141">
        <v>0</v>
      </c>
      <c r="AT49" s="141">
        <v>0</v>
      </c>
      <c r="AU49" s="144">
        <v>0</v>
      </c>
      <c r="AV49" s="143">
        <v>0</v>
      </c>
      <c r="AW49" s="141">
        <v>0</v>
      </c>
      <c r="AX49" s="141">
        <v>0</v>
      </c>
      <c r="AY49" s="141">
        <v>0</v>
      </c>
      <c r="AZ49" s="144">
        <v>0</v>
      </c>
      <c r="BA49" s="185"/>
    </row>
    <row r="50" spans="1:60" s="98" customFormat="1" ht="15" customHeight="1">
      <c r="A50" s="99"/>
      <c r="B50" s="161"/>
      <c r="C50" s="185"/>
      <c r="D50" s="162" t="s">
        <v>2678</v>
      </c>
      <c r="E50" s="162"/>
      <c r="F50" s="162"/>
      <c r="G50" s="163"/>
      <c r="H50" s="163"/>
      <c r="I50" s="164" t="s">
        <v>498</v>
      </c>
      <c r="J50" s="143">
        <v>0</v>
      </c>
      <c r="K50" s="141">
        <v>0</v>
      </c>
      <c r="L50" s="141">
        <v>0</v>
      </c>
      <c r="M50" s="141">
        <v>0</v>
      </c>
      <c r="N50" s="141">
        <v>0</v>
      </c>
      <c r="O50" s="141">
        <v>2.0353193540010731E-3</v>
      </c>
      <c r="P50" s="141">
        <v>0</v>
      </c>
      <c r="Q50" s="144">
        <v>0</v>
      </c>
      <c r="R50" s="143">
        <v>0</v>
      </c>
      <c r="S50" s="141">
        <v>0</v>
      </c>
      <c r="T50" s="141">
        <v>0</v>
      </c>
      <c r="U50" s="141">
        <v>0</v>
      </c>
      <c r="V50" s="144">
        <v>0</v>
      </c>
      <c r="W50" s="2629"/>
      <c r="X50" s="607" t="s">
        <v>498</v>
      </c>
      <c r="Y50" s="143">
        <v>0</v>
      </c>
      <c r="Z50" s="141">
        <v>0</v>
      </c>
      <c r="AA50" s="141">
        <v>0</v>
      </c>
      <c r="AB50" s="141">
        <v>0</v>
      </c>
      <c r="AC50" s="141">
        <v>0</v>
      </c>
      <c r="AD50" s="141">
        <v>0</v>
      </c>
      <c r="AE50" s="141">
        <v>0</v>
      </c>
      <c r="AF50" s="144">
        <v>0</v>
      </c>
      <c r="AG50" s="143">
        <v>0</v>
      </c>
      <c r="AH50" s="141">
        <v>0</v>
      </c>
      <c r="AI50" s="141">
        <v>0</v>
      </c>
      <c r="AJ50" s="141">
        <v>0</v>
      </c>
      <c r="AK50" s="144">
        <v>0</v>
      </c>
      <c r="AL50" s="2629"/>
      <c r="AM50" s="607" t="s">
        <v>2233</v>
      </c>
      <c r="AN50" s="143">
        <v>0</v>
      </c>
      <c r="AO50" s="141">
        <v>0</v>
      </c>
      <c r="AP50" s="141">
        <v>0</v>
      </c>
      <c r="AQ50" s="141">
        <v>0</v>
      </c>
      <c r="AR50" s="141">
        <v>0</v>
      </c>
      <c r="AS50" s="141">
        <v>0</v>
      </c>
      <c r="AT50" s="141">
        <v>0</v>
      </c>
      <c r="AU50" s="144">
        <v>0</v>
      </c>
      <c r="AV50" s="143">
        <v>0</v>
      </c>
      <c r="AW50" s="141">
        <v>0</v>
      </c>
      <c r="AX50" s="141">
        <v>0</v>
      </c>
      <c r="AY50" s="141">
        <v>0</v>
      </c>
      <c r="AZ50" s="144">
        <v>0</v>
      </c>
      <c r="BA50" s="185"/>
    </row>
    <row r="51" spans="1:60" s="98" customFormat="1" ht="15" customHeight="1">
      <c r="A51" s="99"/>
      <c r="B51" s="161"/>
      <c r="C51" s="162" t="s">
        <v>1710</v>
      </c>
      <c r="D51" s="162"/>
      <c r="E51" s="162"/>
      <c r="F51" s="162"/>
      <c r="G51" s="163"/>
      <c r="H51" s="163"/>
      <c r="I51" s="164" t="s">
        <v>498</v>
      </c>
      <c r="J51" s="641">
        <f>SUM(J48:J50)</f>
        <v>0</v>
      </c>
      <c r="K51" s="642">
        <f t="shared" ref="K51:V51" si="19">SUM(K48:K50)</f>
        <v>0</v>
      </c>
      <c r="L51" s="642">
        <f t="shared" si="19"/>
        <v>0</v>
      </c>
      <c r="M51" s="642">
        <f t="shared" si="19"/>
        <v>0</v>
      </c>
      <c r="N51" s="642">
        <f t="shared" si="19"/>
        <v>7.486000403089757E-2</v>
      </c>
      <c r="O51" s="642">
        <f t="shared" si="19"/>
        <v>4.8963901476932262E-3</v>
      </c>
      <c r="P51" s="642">
        <f t="shared" si="19"/>
        <v>0</v>
      </c>
      <c r="Q51" s="643">
        <f t="shared" si="19"/>
        <v>0</v>
      </c>
      <c r="R51" s="641">
        <f t="shared" si="19"/>
        <v>0.1981949151953056</v>
      </c>
      <c r="S51" s="642">
        <f t="shared" si="19"/>
        <v>0.19720394061932908</v>
      </c>
      <c r="T51" s="642">
        <f t="shared" si="19"/>
        <v>0.19621792091623244</v>
      </c>
      <c r="U51" s="642">
        <f t="shared" si="19"/>
        <v>0.19523683131165129</v>
      </c>
      <c r="V51" s="643">
        <f t="shared" si="19"/>
        <v>0.19426064715509303</v>
      </c>
      <c r="W51" s="2629"/>
      <c r="X51" s="607" t="s">
        <v>498</v>
      </c>
      <c r="Y51" s="641">
        <f>SUM(Y48:Y50)</f>
        <v>0</v>
      </c>
      <c r="Z51" s="642">
        <f t="shared" ref="Z51:AK51" si="20">SUM(Z48:Z50)</f>
        <v>0</v>
      </c>
      <c r="AA51" s="642">
        <f t="shared" si="20"/>
        <v>0</v>
      </c>
      <c r="AB51" s="642">
        <f t="shared" si="20"/>
        <v>0</v>
      </c>
      <c r="AC51" s="642">
        <f t="shared" si="20"/>
        <v>0</v>
      </c>
      <c r="AD51" s="642">
        <f t="shared" si="20"/>
        <v>0</v>
      </c>
      <c r="AE51" s="642">
        <f t="shared" si="20"/>
        <v>0</v>
      </c>
      <c r="AF51" s="643">
        <f t="shared" si="20"/>
        <v>0</v>
      </c>
      <c r="AG51" s="641">
        <f t="shared" si="20"/>
        <v>0</v>
      </c>
      <c r="AH51" s="642">
        <f t="shared" si="20"/>
        <v>0</v>
      </c>
      <c r="AI51" s="642">
        <f t="shared" si="20"/>
        <v>0</v>
      </c>
      <c r="AJ51" s="642">
        <f t="shared" si="20"/>
        <v>0</v>
      </c>
      <c r="AK51" s="643">
        <f t="shared" si="20"/>
        <v>0</v>
      </c>
      <c r="AL51" s="2629"/>
      <c r="AM51" s="607" t="s">
        <v>2233</v>
      </c>
      <c r="AN51" s="641">
        <f>SUM(AN48:AN50)</f>
        <v>0</v>
      </c>
      <c r="AO51" s="642">
        <f t="shared" ref="AO51:AZ51" si="21">SUM(AO48:AO50)</f>
        <v>0</v>
      </c>
      <c r="AP51" s="642">
        <f t="shared" si="21"/>
        <v>0</v>
      </c>
      <c r="AQ51" s="642">
        <f t="shared" si="21"/>
        <v>0</v>
      </c>
      <c r="AR51" s="642">
        <f t="shared" si="21"/>
        <v>0</v>
      </c>
      <c r="AS51" s="642">
        <f t="shared" si="21"/>
        <v>0</v>
      </c>
      <c r="AT51" s="642">
        <f t="shared" si="21"/>
        <v>0</v>
      </c>
      <c r="AU51" s="643">
        <f t="shared" si="21"/>
        <v>0</v>
      </c>
      <c r="AV51" s="641">
        <f t="shared" si="21"/>
        <v>0</v>
      </c>
      <c r="AW51" s="642">
        <f t="shared" si="21"/>
        <v>0</v>
      </c>
      <c r="AX51" s="642">
        <f t="shared" si="21"/>
        <v>0</v>
      </c>
      <c r="AY51" s="642">
        <f t="shared" si="21"/>
        <v>0</v>
      </c>
      <c r="AZ51" s="643">
        <f t="shared" si="21"/>
        <v>0</v>
      </c>
      <c r="BA51" s="185"/>
    </row>
    <row r="52" spans="1:60" s="98" customFormat="1" ht="15" customHeight="1">
      <c r="A52" s="99"/>
      <c r="B52" s="123"/>
      <c r="C52" s="127"/>
      <c r="D52" s="127"/>
      <c r="E52" s="127"/>
      <c r="F52" s="127"/>
      <c r="G52" s="117"/>
      <c r="H52" s="117"/>
      <c r="I52" s="117"/>
      <c r="J52" s="159"/>
      <c r="K52" s="94"/>
      <c r="L52" s="94"/>
      <c r="M52" s="94"/>
      <c r="N52" s="94"/>
      <c r="O52" s="94"/>
      <c r="P52" s="94"/>
      <c r="Q52" s="160"/>
      <c r="R52" s="159"/>
      <c r="S52" s="94"/>
      <c r="T52" s="94"/>
      <c r="U52" s="94"/>
      <c r="V52" s="160"/>
      <c r="W52" s="2629"/>
      <c r="X52" s="94"/>
      <c r="Y52" s="159"/>
      <c r="Z52" s="94"/>
      <c r="AA52" s="94"/>
      <c r="AB52" s="94"/>
      <c r="AC52" s="94"/>
      <c r="AD52" s="94"/>
      <c r="AE52" s="94"/>
      <c r="AF52" s="160"/>
      <c r="AG52" s="159"/>
      <c r="AH52" s="94"/>
      <c r="AI52" s="94"/>
      <c r="AJ52" s="94"/>
      <c r="AK52" s="160"/>
      <c r="AL52" s="2629"/>
      <c r="AM52" s="94"/>
      <c r="AN52" s="159"/>
      <c r="AO52" s="94"/>
      <c r="AP52" s="94"/>
      <c r="AQ52" s="94"/>
      <c r="AR52" s="94"/>
      <c r="AS52" s="94"/>
      <c r="AT52" s="94"/>
      <c r="AU52" s="160"/>
      <c r="AV52" s="159"/>
      <c r="AW52" s="94"/>
      <c r="AX52" s="94"/>
      <c r="AY52" s="94"/>
      <c r="AZ52" s="160"/>
      <c r="BA52" s="185"/>
    </row>
    <row r="53" spans="1:60" s="98" customFormat="1" ht="15" customHeight="1">
      <c r="A53" s="99"/>
      <c r="B53" s="161"/>
      <c r="C53" s="186" t="s">
        <v>2805</v>
      </c>
      <c r="D53" s="162"/>
      <c r="E53" s="116"/>
      <c r="F53" s="116"/>
      <c r="G53" s="117"/>
      <c r="H53" s="117"/>
      <c r="I53" s="117"/>
      <c r="J53" s="159"/>
      <c r="K53" s="94"/>
      <c r="L53" s="94"/>
      <c r="M53" s="94"/>
      <c r="N53" s="94"/>
      <c r="O53" s="94"/>
      <c r="P53" s="94"/>
      <c r="Q53" s="160"/>
      <c r="R53" s="159"/>
      <c r="S53" s="94"/>
      <c r="T53" s="94"/>
      <c r="U53" s="94"/>
      <c r="V53" s="160"/>
      <c r="W53" s="2629"/>
      <c r="X53" s="94"/>
      <c r="Y53" s="159"/>
      <c r="Z53" s="94"/>
      <c r="AA53" s="94"/>
      <c r="AB53" s="94"/>
      <c r="AC53" s="94"/>
      <c r="AD53" s="94"/>
      <c r="AE53" s="94"/>
      <c r="AF53" s="160"/>
      <c r="AG53" s="159"/>
      <c r="AH53" s="94"/>
      <c r="AI53" s="94"/>
      <c r="AJ53" s="94"/>
      <c r="AK53" s="160"/>
      <c r="AL53" s="2629"/>
      <c r="AM53" s="94"/>
      <c r="AN53" s="159"/>
      <c r="AO53" s="94"/>
      <c r="AP53" s="94"/>
      <c r="AQ53" s="94"/>
      <c r="AR53" s="94"/>
      <c r="AS53" s="94"/>
      <c r="AT53" s="94"/>
      <c r="AU53" s="160"/>
      <c r="AV53" s="159"/>
      <c r="AW53" s="94"/>
      <c r="AX53" s="94"/>
      <c r="AY53" s="94"/>
      <c r="AZ53" s="160"/>
      <c r="BA53" s="185"/>
    </row>
    <row r="54" spans="1:60" s="98" customFormat="1" ht="15" customHeight="1">
      <c r="A54" s="99"/>
      <c r="B54" s="161"/>
      <c r="C54" s="185"/>
      <c r="D54" s="162" t="s">
        <v>2676</v>
      </c>
      <c r="E54" s="162"/>
      <c r="F54" s="162"/>
      <c r="G54" s="163"/>
      <c r="H54" s="163"/>
      <c r="I54" s="164" t="s">
        <v>498</v>
      </c>
      <c r="J54" s="143">
        <v>0</v>
      </c>
      <c r="K54" s="141">
        <v>0</v>
      </c>
      <c r="L54" s="141">
        <v>0</v>
      </c>
      <c r="M54" s="141">
        <v>0</v>
      </c>
      <c r="N54" s="141">
        <v>0</v>
      </c>
      <c r="O54" s="141">
        <v>0</v>
      </c>
      <c r="P54" s="141">
        <v>0</v>
      </c>
      <c r="Q54" s="144">
        <v>0</v>
      </c>
      <c r="R54" s="143">
        <v>0</v>
      </c>
      <c r="S54" s="141">
        <v>0</v>
      </c>
      <c r="T54" s="141">
        <v>0</v>
      </c>
      <c r="U54" s="141">
        <v>0</v>
      </c>
      <c r="V54" s="144">
        <v>0</v>
      </c>
      <c r="W54" s="2629"/>
      <c r="X54" s="607" t="s">
        <v>498</v>
      </c>
      <c r="Y54" s="143">
        <v>0</v>
      </c>
      <c r="Z54" s="141">
        <v>0</v>
      </c>
      <c r="AA54" s="141">
        <v>0</v>
      </c>
      <c r="AB54" s="141">
        <v>0</v>
      </c>
      <c r="AC54" s="141">
        <v>0</v>
      </c>
      <c r="AD54" s="141">
        <v>0</v>
      </c>
      <c r="AE54" s="141">
        <v>0</v>
      </c>
      <c r="AF54" s="144">
        <v>0</v>
      </c>
      <c r="AG54" s="143">
        <v>0</v>
      </c>
      <c r="AH54" s="141">
        <v>0</v>
      </c>
      <c r="AI54" s="141">
        <v>0</v>
      </c>
      <c r="AJ54" s="141">
        <v>0</v>
      </c>
      <c r="AK54" s="144">
        <v>0</v>
      </c>
      <c r="AL54" s="2629"/>
      <c r="AM54" s="607" t="s">
        <v>2233</v>
      </c>
      <c r="AN54" s="143">
        <v>0</v>
      </c>
      <c r="AO54" s="141">
        <v>0</v>
      </c>
      <c r="AP54" s="141">
        <v>0</v>
      </c>
      <c r="AQ54" s="141">
        <v>0</v>
      </c>
      <c r="AR54" s="141">
        <v>0</v>
      </c>
      <c r="AS54" s="141">
        <v>0</v>
      </c>
      <c r="AT54" s="141">
        <v>0</v>
      </c>
      <c r="AU54" s="144">
        <v>0</v>
      </c>
      <c r="AV54" s="143">
        <v>0</v>
      </c>
      <c r="AW54" s="141">
        <v>0</v>
      </c>
      <c r="AX54" s="141">
        <v>0</v>
      </c>
      <c r="AY54" s="141">
        <v>0</v>
      </c>
      <c r="AZ54" s="144">
        <v>0</v>
      </c>
      <c r="BA54" s="185"/>
    </row>
    <row r="55" spans="1:60" s="98" customFormat="1" ht="15" customHeight="1">
      <c r="A55" s="99"/>
      <c r="B55" s="161"/>
      <c r="C55" s="185"/>
      <c r="D55" s="162" t="s">
        <v>2677</v>
      </c>
      <c r="E55" s="162"/>
      <c r="F55" s="162"/>
      <c r="G55" s="163"/>
      <c r="H55" s="163"/>
      <c r="I55" s="164" t="s">
        <v>498</v>
      </c>
      <c r="J55" s="143">
        <v>0</v>
      </c>
      <c r="K55" s="141">
        <v>0</v>
      </c>
      <c r="L55" s="141">
        <v>0</v>
      </c>
      <c r="M55" s="141">
        <v>0</v>
      </c>
      <c r="N55" s="141">
        <v>0</v>
      </c>
      <c r="O55" s="141">
        <v>2.3430738428380278E-4</v>
      </c>
      <c r="P55" s="141">
        <v>0</v>
      </c>
      <c r="Q55" s="144">
        <v>0</v>
      </c>
      <c r="R55" s="143">
        <v>0</v>
      </c>
      <c r="S55" s="141">
        <v>0</v>
      </c>
      <c r="T55" s="141">
        <v>0</v>
      </c>
      <c r="U55" s="141">
        <v>0</v>
      </c>
      <c r="V55" s="144">
        <v>0</v>
      </c>
      <c r="W55" s="2629"/>
      <c r="X55" s="607" t="s">
        <v>498</v>
      </c>
      <c r="Y55" s="143">
        <v>0</v>
      </c>
      <c r="Z55" s="141">
        <v>0</v>
      </c>
      <c r="AA55" s="141">
        <v>0</v>
      </c>
      <c r="AB55" s="141">
        <v>0</v>
      </c>
      <c r="AC55" s="141">
        <v>0</v>
      </c>
      <c r="AD55" s="141">
        <v>0</v>
      </c>
      <c r="AE55" s="141">
        <v>0</v>
      </c>
      <c r="AF55" s="144">
        <v>0</v>
      </c>
      <c r="AG55" s="143">
        <v>0</v>
      </c>
      <c r="AH55" s="141">
        <v>0</v>
      </c>
      <c r="AI55" s="141">
        <v>0</v>
      </c>
      <c r="AJ55" s="141">
        <v>0</v>
      </c>
      <c r="AK55" s="144">
        <v>0</v>
      </c>
      <c r="AL55" s="2629"/>
      <c r="AM55" s="607" t="s">
        <v>2233</v>
      </c>
      <c r="AN55" s="143">
        <v>0</v>
      </c>
      <c r="AO55" s="141">
        <v>0</v>
      </c>
      <c r="AP55" s="141">
        <v>0</v>
      </c>
      <c r="AQ55" s="141">
        <v>0</v>
      </c>
      <c r="AR55" s="141">
        <v>0</v>
      </c>
      <c r="AS55" s="141">
        <v>0</v>
      </c>
      <c r="AT55" s="141">
        <v>0</v>
      </c>
      <c r="AU55" s="144">
        <v>0</v>
      </c>
      <c r="AV55" s="143">
        <v>0</v>
      </c>
      <c r="AW55" s="141">
        <v>0</v>
      </c>
      <c r="AX55" s="141">
        <v>0</v>
      </c>
      <c r="AY55" s="141">
        <v>0</v>
      </c>
      <c r="AZ55" s="144">
        <v>0</v>
      </c>
      <c r="BA55" s="185"/>
    </row>
    <row r="56" spans="1:60" s="98" customFormat="1" ht="15" customHeight="1">
      <c r="A56" s="99"/>
      <c r="B56" s="161"/>
      <c r="C56" s="185"/>
      <c r="D56" s="162" t="s">
        <v>2678</v>
      </c>
      <c r="E56" s="162"/>
      <c r="F56" s="162"/>
      <c r="G56" s="163"/>
      <c r="H56" s="163"/>
      <c r="I56" s="164" t="s">
        <v>498</v>
      </c>
      <c r="J56" s="143">
        <v>0</v>
      </c>
      <c r="K56" s="141">
        <v>0</v>
      </c>
      <c r="L56" s="141">
        <v>0</v>
      </c>
      <c r="M56" s="141">
        <v>0</v>
      </c>
      <c r="N56" s="141">
        <v>0</v>
      </c>
      <c r="O56" s="141">
        <v>0</v>
      </c>
      <c r="P56" s="141">
        <v>0</v>
      </c>
      <c r="Q56" s="144">
        <v>0</v>
      </c>
      <c r="R56" s="143">
        <v>0</v>
      </c>
      <c r="S56" s="141">
        <v>0</v>
      </c>
      <c r="T56" s="141">
        <v>0</v>
      </c>
      <c r="U56" s="141">
        <v>0</v>
      </c>
      <c r="V56" s="144">
        <v>0</v>
      </c>
      <c r="W56" s="2629"/>
      <c r="X56" s="607" t="s">
        <v>498</v>
      </c>
      <c r="Y56" s="143">
        <v>0</v>
      </c>
      <c r="Z56" s="141">
        <v>0</v>
      </c>
      <c r="AA56" s="141">
        <v>0</v>
      </c>
      <c r="AB56" s="141">
        <v>0</v>
      </c>
      <c r="AC56" s="141">
        <v>0</v>
      </c>
      <c r="AD56" s="141">
        <v>0</v>
      </c>
      <c r="AE56" s="141">
        <v>0</v>
      </c>
      <c r="AF56" s="144">
        <v>0</v>
      </c>
      <c r="AG56" s="143">
        <v>0</v>
      </c>
      <c r="AH56" s="141">
        <v>0</v>
      </c>
      <c r="AI56" s="141">
        <v>0</v>
      </c>
      <c r="AJ56" s="141">
        <v>0</v>
      </c>
      <c r="AK56" s="144">
        <v>0</v>
      </c>
      <c r="AL56" s="2629"/>
      <c r="AM56" s="607" t="s">
        <v>2233</v>
      </c>
      <c r="AN56" s="143">
        <v>0</v>
      </c>
      <c r="AO56" s="141">
        <v>0</v>
      </c>
      <c r="AP56" s="141">
        <v>0</v>
      </c>
      <c r="AQ56" s="141">
        <v>0</v>
      </c>
      <c r="AR56" s="141">
        <v>0</v>
      </c>
      <c r="AS56" s="141">
        <v>0</v>
      </c>
      <c r="AT56" s="141">
        <v>0</v>
      </c>
      <c r="AU56" s="144">
        <v>0</v>
      </c>
      <c r="AV56" s="143">
        <v>0</v>
      </c>
      <c r="AW56" s="141">
        <v>0</v>
      </c>
      <c r="AX56" s="141">
        <v>0</v>
      </c>
      <c r="AY56" s="141">
        <v>0</v>
      </c>
      <c r="AZ56" s="144">
        <v>0</v>
      </c>
      <c r="BA56" s="185"/>
    </row>
    <row r="57" spans="1:60" s="98" customFormat="1" ht="15" customHeight="1">
      <c r="A57" s="99"/>
      <c r="B57" s="161"/>
      <c r="C57" s="162" t="s">
        <v>1710</v>
      </c>
      <c r="D57" s="162"/>
      <c r="E57" s="162"/>
      <c r="F57" s="162"/>
      <c r="G57" s="163"/>
      <c r="H57" s="163"/>
      <c r="I57" s="164" t="s">
        <v>498</v>
      </c>
      <c r="J57" s="641">
        <f>SUM(J54:J56)</f>
        <v>0</v>
      </c>
      <c r="K57" s="642">
        <f t="shared" ref="K57:V57" si="22">SUM(K54:K56)</f>
        <v>0</v>
      </c>
      <c r="L57" s="642">
        <f t="shared" si="22"/>
        <v>0</v>
      </c>
      <c r="M57" s="642">
        <f t="shared" si="22"/>
        <v>0</v>
      </c>
      <c r="N57" s="642">
        <f t="shared" si="22"/>
        <v>0</v>
      </c>
      <c r="O57" s="642">
        <f t="shared" si="22"/>
        <v>2.3430738428380278E-4</v>
      </c>
      <c r="P57" s="642">
        <f t="shared" si="22"/>
        <v>0</v>
      </c>
      <c r="Q57" s="643">
        <f t="shared" si="22"/>
        <v>0</v>
      </c>
      <c r="R57" s="641">
        <f t="shared" si="22"/>
        <v>0</v>
      </c>
      <c r="S57" s="642">
        <f t="shared" si="22"/>
        <v>0</v>
      </c>
      <c r="T57" s="642">
        <f t="shared" si="22"/>
        <v>0</v>
      </c>
      <c r="U57" s="642">
        <f t="shared" si="22"/>
        <v>0</v>
      </c>
      <c r="V57" s="643">
        <f t="shared" si="22"/>
        <v>0</v>
      </c>
      <c r="W57" s="2629"/>
      <c r="X57" s="607" t="s">
        <v>498</v>
      </c>
      <c r="Y57" s="641">
        <f>SUM(Y54:Y56)</f>
        <v>0</v>
      </c>
      <c r="Z57" s="642">
        <f t="shared" ref="Z57:AK57" si="23">SUM(Z54:Z56)</f>
        <v>0</v>
      </c>
      <c r="AA57" s="642">
        <f t="shared" si="23"/>
        <v>0</v>
      </c>
      <c r="AB57" s="642">
        <f t="shared" si="23"/>
        <v>0</v>
      </c>
      <c r="AC57" s="642">
        <f t="shared" si="23"/>
        <v>0</v>
      </c>
      <c r="AD57" s="642">
        <f t="shared" si="23"/>
        <v>0</v>
      </c>
      <c r="AE57" s="642">
        <f t="shared" si="23"/>
        <v>0</v>
      </c>
      <c r="AF57" s="643">
        <f t="shared" si="23"/>
        <v>0</v>
      </c>
      <c r="AG57" s="641">
        <f t="shared" si="23"/>
        <v>0</v>
      </c>
      <c r="AH57" s="642">
        <f t="shared" si="23"/>
        <v>0</v>
      </c>
      <c r="AI57" s="642">
        <f t="shared" si="23"/>
        <v>0</v>
      </c>
      <c r="AJ57" s="642">
        <f t="shared" si="23"/>
        <v>0</v>
      </c>
      <c r="AK57" s="643">
        <f t="shared" si="23"/>
        <v>0</v>
      </c>
      <c r="AL57" s="2629"/>
      <c r="AM57" s="607" t="s">
        <v>2233</v>
      </c>
      <c r="AN57" s="641">
        <f>SUM(AN54:AN56)</f>
        <v>0</v>
      </c>
      <c r="AO57" s="642">
        <f t="shared" ref="AO57:AZ57" si="24">SUM(AO54:AO56)</f>
        <v>0</v>
      </c>
      <c r="AP57" s="642">
        <f t="shared" si="24"/>
        <v>0</v>
      </c>
      <c r="AQ57" s="642">
        <f t="shared" si="24"/>
        <v>0</v>
      </c>
      <c r="AR57" s="642">
        <f t="shared" si="24"/>
        <v>0</v>
      </c>
      <c r="AS57" s="642">
        <f t="shared" si="24"/>
        <v>0</v>
      </c>
      <c r="AT57" s="642">
        <f t="shared" si="24"/>
        <v>0</v>
      </c>
      <c r="AU57" s="643">
        <f t="shared" si="24"/>
        <v>0</v>
      </c>
      <c r="AV57" s="641">
        <f t="shared" si="24"/>
        <v>0</v>
      </c>
      <c r="AW57" s="642">
        <f t="shared" si="24"/>
        <v>0</v>
      </c>
      <c r="AX57" s="642">
        <f t="shared" si="24"/>
        <v>0</v>
      </c>
      <c r="AY57" s="642">
        <f t="shared" si="24"/>
        <v>0</v>
      </c>
      <c r="AZ57" s="643">
        <f t="shared" si="24"/>
        <v>0</v>
      </c>
      <c r="BA57" s="185"/>
    </row>
    <row r="58" spans="1:60" s="98" customFormat="1" ht="15" customHeight="1">
      <c r="A58" s="99"/>
      <c r="B58" s="123"/>
      <c r="C58" s="127"/>
      <c r="D58" s="127"/>
      <c r="E58" s="127"/>
      <c r="F58" s="127"/>
      <c r="G58" s="117"/>
      <c r="H58" s="117"/>
      <c r="I58" s="117"/>
      <c r="J58" s="159"/>
      <c r="K58" s="94"/>
      <c r="L58" s="94"/>
      <c r="M58" s="94"/>
      <c r="N58" s="94"/>
      <c r="O58" s="94"/>
      <c r="P58" s="94"/>
      <c r="Q58" s="160"/>
      <c r="R58" s="159"/>
      <c r="S58" s="94"/>
      <c r="T58" s="94"/>
      <c r="U58" s="94"/>
      <c r="V58" s="160"/>
      <c r="W58" s="2629"/>
      <c r="X58" s="94"/>
      <c r="Y58" s="159"/>
      <c r="Z58" s="94"/>
      <c r="AA58" s="94"/>
      <c r="AB58" s="94"/>
      <c r="AC58" s="94"/>
      <c r="AD58" s="94"/>
      <c r="AE58" s="94"/>
      <c r="AF58" s="160"/>
      <c r="AG58" s="159"/>
      <c r="AH58" s="94"/>
      <c r="AI58" s="94"/>
      <c r="AJ58" s="94"/>
      <c r="AK58" s="160"/>
      <c r="AL58" s="2629"/>
      <c r="AM58" s="94"/>
      <c r="AN58" s="159"/>
      <c r="AO58" s="94"/>
      <c r="AP58" s="94"/>
      <c r="AQ58" s="94"/>
      <c r="AR58" s="94"/>
      <c r="AS58" s="94"/>
      <c r="AT58" s="94"/>
      <c r="AU58" s="160"/>
      <c r="AV58" s="159"/>
      <c r="AW58" s="94"/>
      <c r="AX58" s="94"/>
      <c r="AY58" s="94"/>
      <c r="AZ58" s="160"/>
      <c r="BA58" s="185"/>
    </row>
    <row r="59" spans="1:60" s="98" customFormat="1" ht="15" customHeight="1" thickBot="1">
      <c r="A59" s="99"/>
      <c r="B59" s="191" t="s">
        <v>1701</v>
      </c>
      <c r="C59" s="193"/>
      <c r="D59" s="193"/>
      <c r="E59" s="193"/>
      <c r="F59" s="193"/>
      <c r="G59" s="194"/>
      <c r="H59" s="194"/>
      <c r="I59" s="195" t="s">
        <v>498</v>
      </c>
      <c r="J59" s="717">
        <f>SUM(J27,J33,J39,J45,J51,J57)</f>
        <v>0.10394239891873502</v>
      </c>
      <c r="K59" s="718">
        <f t="shared" ref="K59:V59" si="25">SUM(K27,K33,K39,K45,K51,K57)</f>
        <v>3.5295670370524015E-2</v>
      </c>
      <c r="L59" s="718">
        <f t="shared" si="25"/>
        <v>1.1845109035597472E-2</v>
      </c>
      <c r="M59" s="718">
        <f t="shared" si="25"/>
        <v>0</v>
      </c>
      <c r="N59" s="718">
        <f t="shared" si="25"/>
        <v>0.14178992288903058</v>
      </c>
      <c r="O59" s="718">
        <f t="shared" si="25"/>
        <v>6.7284100001811968E-3</v>
      </c>
      <c r="P59" s="718">
        <f t="shared" si="25"/>
        <v>0.08</v>
      </c>
      <c r="Q59" s="719">
        <f t="shared" si="25"/>
        <v>0.08</v>
      </c>
      <c r="R59" s="717">
        <f t="shared" si="25"/>
        <v>0.56815875689320938</v>
      </c>
      <c r="S59" s="718">
        <f t="shared" si="25"/>
        <v>0.56531796310874327</v>
      </c>
      <c r="T59" s="718">
        <f t="shared" si="25"/>
        <v>0.56249137329319954</v>
      </c>
      <c r="U59" s="718">
        <f t="shared" si="25"/>
        <v>0.55967891642673362</v>
      </c>
      <c r="V59" s="719">
        <f t="shared" si="25"/>
        <v>0.55688052184459991</v>
      </c>
      <c r="W59" s="2630"/>
      <c r="X59" s="1083" t="s">
        <v>498</v>
      </c>
      <c r="Y59" s="717">
        <f>SUM(Y27,Y33,Y39,Y45,Y51,Y57)</f>
        <v>0</v>
      </c>
      <c r="Z59" s="718">
        <f t="shared" ref="Z59:AK59" si="26">SUM(Z27,Z33,Z39,Z45,Z51,Z57)</f>
        <v>0</v>
      </c>
      <c r="AA59" s="718">
        <f t="shared" si="26"/>
        <v>0</v>
      </c>
      <c r="AB59" s="718">
        <f t="shared" si="26"/>
        <v>0</v>
      </c>
      <c r="AC59" s="718">
        <f t="shared" si="26"/>
        <v>0</v>
      </c>
      <c r="AD59" s="718">
        <f t="shared" si="26"/>
        <v>0</v>
      </c>
      <c r="AE59" s="718">
        <f t="shared" si="26"/>
        <v>0</v>
      </c>
      <c r="AF59" s="719">
        <f t="shared" si="26"/>
        <v>0</v>
      </c>
      <c r="AG59" s="717">
        <f t="shared" si="26"/>
        <v>0</v>
      </c>
      <c r="AH59" s="718">
        <f t="shared" si="26"/>
        <v>0</v>
      </c>
      <c r="AI59" s="718">
        <f t="shared" si="26"/>
        <v>0</v>
      </c>
      <c r="AJ59" s="718">
        <f t="shared" si="26"/>
        <v>0</v>
      </c>
      <c r="AK59" s="719">
        <f t="shared" si="26"/>
        <v>0</v>
      </c>
      <c r="AL59" s="2630"/>
      <c r="AM59" s="1083" t="s">
        <v>2233</v>
      </c>
      <c r="AN59" s="717">
        <f>SUM(AN27,AN33,AN39,AN45,AN51,AN57)</f>
        <v>0</v>
      </c>
      <c r="AO59" s="718">
        <f t="shared" ref="AO59:AZ59" si="27">SUM(AO27,AO33,AO39,AO45,AO51,AO57)</f>
        <v>0</v>
      </c>
      <c r="AP59" s="718">
        <f t="shared" si="27"/>
        <v>0</v>
      </c>
      <c r="AQ59" s="718">
        <f t="shared" si="27"/>
        <v>0</v>
      </c>
      <c r="AR59" s="718">
        <f t="shared" si="27"/>
        <v>0</v>
      </c>
      <c r="AS59" s="718">
        <f t="shared" si="27"/>
        <v>0</v>
      </c>
      <c r="AT59" s="718">
        <f t="shared" si="27"/>
        <v>0</v>
      </c>
      <c r="AU59" s="719">
        <f t="shared" si="27"/>
        <v>0</v>
      </c>
      <c r="AV59" s="717">
        <f t="shared" si="27"/>
        <v>0</v>
      </c>
      <c r="AW59" s="718">
        <f t="shared" si="27"/>
        <v>0</v>
      </c>
      <c r="AX59" s="718">
        <f t="shared" si="27"/>
        <v>0</v>
      </c>
      <c r="AY59" s="718">
        <f t="shared" si="27"/>
        <v>0</v>
      </c>
      <c r="AZ59" s="719">
        <f t="shared" si="27"/>
        <v>0</v>
      </c>
      <c r="BA59" s="185"/>
    </row>
    <row r="60" spans="1:60" s="99" customFormat="1" ht="15" customHeight="1" thickBot="1">
      <c r="B60" s="150"/>
      <c r="C60" s="150"/>
      <c r="D60" s="150"/>
      <c r="E60" s="150"/>
      <c r="F60" s="150"/>
      <c r="G60" s="97"/>
      <c r="H60" s="97"/>
      <c r="I60" s="98"/>
      <c r="J60" s="2629"/>
      <c r="K60" s="2629"/>
      <c r="L60" s="2629"/>
      <c r="M60" s="2629"/>
      <c r="N60" s="2629"/>
      <c r="O60" s="2629"/>
      <c r="P60" s="2629"/>
      <c r="Q60" s="2629"/>
      <c r="R60" s="2629"/>
      <c r="S60" s="2629"/>
      <c r="T60" s="2629"/>
      <c r="U60" s="2629"/>
      <c r="V60" s="2629"/>
      <c r="W60" s="2629"/>
      <c r="X60" s="2629"/>
      <c r="Y60" s="2631"/>
      <c r="Z60" s="2631"/>
      <c r="AA60" s="2631"/>
      <c r="AB60" s="2631"/>
      <c r="AC60" s="2631"/>
      <c r="AD60" s="2631"/>
      <c r="AE60" s="2631"/>
      <c r="AF60" s="2631"/>
      <c r="AG60" s="2631"/>
      <c r="AH60" s="2631"/>
      <c r="AI60" s="2631"/>
      <c r="AJ60" s="2631"/>
      <c r="AK60" s="2631"/>
      <c r="AL60" s="2631"/>
      <c r="AM60" s="2631"/>
      <c r="AN60" s="2631"/>
      <c r="AO60" s="2631"/>
      <c r="AP60" s="2631"/>
      <c r="AQ60" s="2631"/>
      <c r="AR60" s="2631"/>
      <c r="AS60" s="359"/>
      <c r="AT60" s="542"/>
      <c r="AU60" s="542"/>
      <c r="AV60" s="542"/>
      <c r="AW60" s="542"/>
      <c r="AX60" s="542"/>
      <c r="AY60" s="542"/>
      <c r="AZ60" s="544"/>
      <c r="BA60" s="97"/>
      <c r="BB60" s="97"/>
      <c r="BD60" s="97"/>
      <c r="BE60" s="97"/>
      <c r="BF60" s="97"/>
      <c r="BH60" s="97"/>
    </row>
    <row r="61" spans="1:60" ht="18.75" thickBot="1">
      <c r="B61" s="621" t="s">
        <v>2806</v>
      </c>
      <c r="C61" s="101"/>
      <c r="D61" s="102"/>
      <c r="E61" s="1368"/>
      <c r="F61" s="1368"/>
      <c r="G61" s="672"/>
      <c r="H61" s="672"/>
      <c r="I61" s="2510"/>
      <c r="J61" s="2511"/>
      <c r="K61" s="2511"/>
      <c r="L61" s="2511"/>
      <c r="M61" s="2511"/>
      <c r="N61" s="2511"/>
      <c r="O61" s="2511"/>
      <c r="P61" s="2511"/>
      <c r="Q61" s="2511"/>
      <c r="R61" s="2511"/>
      <c r="S61" s="2511"/>
      <c r="T61" s="2511"/>
      <c r="U61" s="2511"/>
      <c r="V61" s="2511"/>
      <c r="W61" s="672"/>
      <c r="X61" s="2511"/>
      <c r="Y61" s="2511"/>
      <c r="Z61" s="2511"/>
      <c r="AA61" s="2511"/>
      <c r="AB61" s="2511"/>
      <c r="AC61" s="2510"/>
      <c r="AD61" s="2511"/>
      <c r="AE61" s="2511"/>
      <c r="AF61" s="2511"/>
      <c r="AG61" s="2511"/>
      <c r="AH61" s="2511"/>
      <c r="AI61" s="2511"/>
      <c r="AJ61" s="2511"/>
      <c r="AK61" s="2511"/>
      <c r="AL61" s="1367"/>
      <c r="AM61" s="105" t="s">
        <v>2807</v>
      </c>
      <c r="AN61" s="106"/>
      <c r="AO61" s="106"/>
      <c r="AP61" s="106"/>
      <c r="AQ61" s="106"/>
      <c r="AR61" s="106"/>
      <c r="AS61" s="106"/>
      <c r="AT61" s="106"/>
      <c r="AU61" s="106"/>
      <c r="AV61" s="105"/>
      <c r="AW61" s="105"/>
      <c r="AX61" s="105"/>
      <c r="AY61" s="105"/>
      <c r="AZ61" s="187"/>
    </row>
    <row r="62" spans="1:60" ht="18">
      <c r="B62" s="109"/>
      <c r="C62" s="110"/>
      <c r="D62" s="110"/>
      <c r="I62" s="2512"/>
      <c r="J62" s="2513"/>
      <c r="K62" s="2513"/>
      <c r="L62" s="2513"/>
      <c r="M62" s="2513"/>
      <c r="N62" s="2513"/>
      <c r="O62" s="2513"/>
      <c r="P62" s="2513"/>
      <c r="Q62" s="2513"/>
      <c r="R62" s="2513"/>
      <c r="S62" s="2513"/>
      <c r="T62" s="2513"/>
      <c r="U62" s="2513"/>
      <c r="V62" s="2513"/>
      <c r="X62" s="2513"/>
      <c r="Y62" s="2513"/>
      <c r="Z62" s="2513"/>
      <c r="AA62" s="2513"/>
      <c r="AB62" s="2513"/>
      <c r="AC62" s="2512"/>
      <c r="AD62" s="2513"/>
      <c r="AE62" s="2513"/>
      <c r="AF62" s="2513"/>
      <c r="AG62" s="2513"/>
      <c r="AH62" s="2513"/>
      <c r="AI62" s="2513"/>
      <c r="AJ62" s="2513"/>
      <c r="AK62" s="2513"/>
      <c r="AM62" s="94"/>
      <c r="AN62" s="695" t="s">
        <v>1666</v>
      </c>
      <c r="AO62" s="152"/>
      <c r="AP62" s="152"/>
      <c r="AQ62" s="152"/>
      <c r="AR62" s="152"/>
      <c r="AS62" s="152"/>
      <c r="AT62" s="152"/>
      <c r="AU62" s="153"/>
      <c r="AV62" s="696" t="s">
        <v>2</v>
      </c>
      <c r="AW62" s="155"/>
      <c r="AX62" s="155"/>
      <c r="AY62" s="155"/>
      <c r="AZ62" s="156"/>
    </row>
    <row r="63" spans="1:60" ht="15">
      <c r="B63" s="115"/>
      <c r="C63" s="116"/>
      <c r="D63" s="116"/>
      <c r="I63" s="2512"/>
      <c r="J63" s="2513"/>
      <c r="K63" s="2513"/>
      <c r="L63" s="2513"/>
      <c r="M63" s="2513"/>
      <c r="N63" s="2513"/>
      <c r="O63" s="2513"/>
      <c r="P63" s="2513"/>
      <c r="Q63" s="2513"/>
      <c r="R63" s="2513"/>
      <c r="S63" s="2513"/>
      <c r="T63" s="2513"/>
      <c r="U63" s="2513"/>
      <c r="V63" s="2513"/>
      <c r="X63" s="2513"/>
      <c r="Y63" s="2513"/>
      <c r="Z63" s="2513"/>
      <c r="AA63" s="2513"/>
      <c r="AB63" s="2513"/>
      <c r="AC63" s="2512"/>
      <c r="AD63" s="2513"/>
      <c r="AE63" s="2513"/>
      <c r="AF63" s="2513"/>
      <c r="AG63" s="2513"/>
      <c r="AH63" s="2513"/>
      <c r="AI63" s="2513"/>
      <c r="AJ63" s="2513"/>
      <c r="AK63" s="2513"/>
      <c r="AM63" s="119" t="s">
        <v>1667</v>
      </c>
      <c r="AN63" s="158" t="s">
        <v>453</v>
      </c>
      <c r="AO63" s="137" t="s">
        <v>455</v>
      </c>
      <c r="AP63" s="137" t="s">
        <v>457</v>
      </c>
      <c r="AQ63" s="137" t="s">
        <v>459</v>
      </c>
      <c r="AR63" s="137" t="s">
        <v>461</v>
      </c>
      <c r="AS63" s="137" t="s">
        <v>463</v>
      </c>
      <c r="AT63" s="137" t="s">
        <v>465</v>
      </c>
      <c r="AU63" s="138" t="s">
        <v>467</v>
      </c>
      <c r="AV63" s="120" t="s">
        <v>469</v>
      </c>
      <c r="AW63" s="121" t="s">
        <v>471</v>
      </c>
      <c r="AX63" s="121" t="s">
        <v>473</v>
      </c>
      <c r="AY63" s="121" t="s">
        <v>475</v>
      </c>
      <c r="AZ63" s="122" t="s">
        <v>477</v>
      </c>
    </row>
    <row r="64" spans="1:60" ht="15">
      <c r="B64" s="161"/>
      <c r="C64" s="186" t="s">
        <v>2800</v>
      </c>
      <c r="D64" s="162"/>
      <c r="I64" s="2512"/>
      <c r="J64" s="2513"/>
      <c r="K64" s="2513"/>
      <c r="L64" s="2513"/>
      <c r="M64" s="2513"/>
      <c r="N64" s="2513"/>
      <c r="O64" s="2513"/>
      <c r="P64" s="2513"/>
      <c r="Q64" s="2513"/>
      <c r="R64" s="2513"/>
      <c r="S64" s="2513"/>
      <c r="T64" s="2513"/>
      <c r="U64" s="2513"/>
      <c r="V64" s="2513"/>
      <c r="X64" s="2513"/>
      <c r="Y64" s="2513"/>
      <c r="Z64" s="2513"/>
      <c r="AA64" s="2513"/>
      <c r="AB64" s="2513"/>
      <c r="AC64" s="2512"/>
      <c r="AD64" s="2513"/>
      <c r="AE64" s="2513"/>
      <c r="AF64" s="2513"/>
      <c r="AG64" s="2513"/>
      <c r="AH64" s="2513"/>
      <c r="AI64" s="2513"/>
      <c r="AJ64" s="2513"/>
      <c r="AK64" s="2513"/>
      <c r="AM64" s="94"/>
      <c r="AN64" s="159"/>
      <c r="AO64" s="94"/>
      <c r="AP64" s="94"/>
      <c r="AQ64" s="94"/>
      <c r="AR64" s="94"/>
      <c r="AS64" s="94"/>
      <c r="AT64" s="94"/>
      <c r="AU64" s="160"/>
      <c r="AV64" s="159"/>
      <c r="AW64" s="94"/>
      <c r="AX64" s="94"/>
      <c r="AY64" s="94"/>
      <c r="AZ64" s="160"/>
    </row>
    <row r="65" spans="2:52" ht="14.25">
      <c r="B65" s="161"/>
      <c r="C65" s="185"/>
      <c r="D65" s="162" t="s">
        <v>2676</v>
      </c>
      <c r="I65" s="2512"/>
      <c r="J65" s="2513"/>
      <c r="K65" s="2513"/>
      <c r="L65" s="2513"/>
      <c r="M65" s="2513"/>
      <c r="N65" s="2513"/>
      <c r="O65" s="2513"/>
      <c r="P65" s="2513"/>
      <c r="Q65" s="2513"/>
      <c r="R65" s="2513"/>
      <c r="S65" s="2513"/>
      <c r="T65" s="2513"/>
      <c r="U65" s="2513"/>
      <c r="V65" s="2513"/>
      <c r="X65" s="2513"/>
      <c r="Y65" s="2513"/>
      <c r="Z65" s="2513"/>
      <c r="AA65" s="2513"/>
      <c r="AB65" s="2513"/>
      <c r="AC65" s="2512"/>
      <c r="AD65" s="2513"/>
      <c r="AE65" s="2513"/>
      <c r="AF65" s="2513"/>
      <c r="AG65" s="2513"/>
      <c r="AH65" s="2513"/>
      <c r="AI65" s="2513"/>
      <c r="AJ65" s="2513"/>
      <c r="AK65" s="2513"/>
      <c r="AM65" s="607" t="s">
        <v>1876</v>
      </c>
      <c r="AN65" s="165">
        <v>1</v>
      </c>
      <c r="AO65" s="166">
        <v>3</v>
      </c>
      <c r="AP65" s="166">
        <v>3</v>
      </c>
      <c r="AQ65" s="166">
        <v>0</v>
      </c>
      <c r="AR65" s="166">
        <v>6</v>
      </c>
      <c r="AS65" s="166">
        <v>6</v>
      </c>
      <c r="AT65" s="166">
        <v>9</v>
      </c>
      <c r="AU65" s="167">
        <v>9</v>
      </c>
      <c r="AV65" s="165"/>
      <c r="AW65" s="166"/>
      <c r="AX65" s="166"/>
      <c r="AY65" s="166"/>
      <c r="AZ65" s="167"/>
    </row>
    <row r="66" spans="2:52" ht="14.25">
      <c r="B66" s="161"/>
      <c r="C66" s="185"/>
      <c r="D66" s="162" t="s">
        <v>2677</v>
      </c>
      <c r="I66" s="2512"/>
      <c r="J66" s="2513"/>
      <c r="K66" s="2513"/>
      <c r="L66" s="2513"/>
      <c r="M66" s="2513"/>
      <c r="N66" s="2513"/>
      <c r="O66" s="2513"/>
      <c r="P66" s="2513"/>
      <c r="Q66" s="2513"/>
      <c r="R66" s="2513"/>
      <c r="S66" s="2513"/>
      <c r="T66" s="2513"/>
      <c r="U66" s="2513"/>
      <c r="V66" s="2513"/>
      <c r="X66" s="2513"/>
      <c r="Y66" s="2513"/>
      <c r="Z66" s="2513"/>
      <c r="AA66" s="2513"/>
      <c r="AB66" s="2513"/>
      <c r="AC66" s="2512"/>
      <c r="AD66" s="2513"/>
      <c r="AE66" s="2513"/>
      <c r="AF66" s="2513"/>
      <c r="AG66" s="2513"/>
      <c r="AH66" s="2513"/>
      <c r="AI66" s="2513"/>
      <c r="AJ66" s="2513"/>
      <c r="AK66" s="2513"/>
      <c r="AM66" s="607" t="s">
        <v>1876</v>
      </c>
      <c r="AN66" s="165">
        <v>0</v>
      </c>
      <c r="AO66" s="166">
        <v>0</v>
      </c>
      <c r="AP66" s="166">
        <v>4</v>
      </c>
      <c r="AQ66" s="166">
        <v>0</v>
      </c>
      <c r="AR66" s="166">
        <v>21</v>
      </c>
      <c r="AS66" s="166"/>
      <c r="AT66" s="166">
        <v>13</v>
      </c>
      <c r="AU66" s="167">
        <v>13</v>
      </c>
      <c r="AV66" s="165">
        <v>10.4</v>
      </c>
      <c r="AW66" s="166">
        <v>10.4</v>
      </c>
      <c r="AX66" s="166">
        <v>10.4</v>
      </c>
      <c r="AY66" s="166">
        <v>10.4</v>
      </c>
      <c r="AZ66" s="167">
        <v>10.4</v>
      </c>
    </row>
    <row r="67" spans="2:52" ht="14.25">
      <c r="B67" s="161"/>
      <c r="C67" s="185"/>
      <c r="D67" s="162" t="s">
        <v>2678</v>
      </c>
      <c r="I67" s="2512"/>
      <c r="J67" s="2513"/>
      <c r="K67" s="2513"/>
      <c r="L67" s="2513"/>
      <c r="M67" s="2513"/>
      <c r="N67" s="2513"/>
      <c r="O67" s="2513"/>
      <c r="P67" s="2513"/>
      <c r="Q67" s="2513"/>
      <c r="R67" s="2513"/>
      <c r="S67" s="2513"/>
      <c r="T67" s="2513"/>
      <c r="U67" s="2513"/>
      <c r="V67" s="2513"/>
      <c r="X67" s="2513"/>
      <c r="Y67" s="2513"/>
      <c r="Z67" s="2513"/>
      <c r="AA67" s="2513"/>
      <c r="AB67" s="2513"/>
      <c r="AC67" s="2512"/>
      <c r="AD67" s="2513"/>
      <c r="AE67" s="2513"/>
      <c r="AF67" s="2513"/>
      <c r="AG67" s="2513"/>
      <c r="AH67" s="2513"/>
      <c r="AI67" s="2513"/>
      <c r="AJ67" s="2513"/>
      <c r="AK67" s="2513"/>
      <c r="AM67" s="607" t="s">
        <v>1876</v>
      </c>
      <c r="AN67" s="165">
        <v>2</v>
      </c>
      <c r="AO67" s="166">
        <v>0</v>
      </c>
      <c r="AP67" s="166">
        <v>0</v>
      </c>
      <c r="AQ67" s="166">
        <v>0</v>
      </c>
      <c r="AR67" s="166">
        <v>0</v>
      </c>
      <c r="AS67" s="166"/>
      <c r="AT67" s="166"/>
      <c r="AU67" s="167"/>
      <c r="AV67" s="165"/>
      <c r="AW67" s="166"/>
      <c r="AX67" s="166"/>
      <c r="AY67" s="166"/>
      <c r="AZ67" s="167"/>
    </row>
    <row r="68" spans="2:52" ht="14.25">
      <c r="B68" s="161"/>
      <c r="C68" s="162" t="s">
        <v>1710</v>
      </c>
      <c r="D68" s="162"/>
      <c r="I68" s="2512"/>
      <c r="J68" s="2513"/>
      <c r="K68" s="2513"/>
      <c r="L68" s="2513"/>
      <c r="M68" s="2513"/>
      <c r="N68" s="2513"/>
      <c r="O68" s="2513"/>
      <c r="P68" s="2513"/>
      <c r="Q68" s="2513"/>
      <c r="R68" s="2513"/>
      <c r="S68" s="2513"/>
      <c r="T68" s="2513"/>
      <c r="U68" s="2513"/>
      <c r="V68" s="2513"/>
      <c r="X68" s="2513"/>
      <c r="Y68" s="2513"/>
      <c r="Z68" s="2513"/>
      <c r="AA68" s="2513"/>
      <c r="AB68" s="2513"/>
      <c r="AC68" s="2512"/>
      <c r="AD68" s="2513"/>
      <c r="AE68" s="2513"/>
      <c r="AF68" s="2513"/>
      <c r="AG68" s="2513"/>
      <c r="AH68" s="2513"/>
      <c r="AI68" s="2513"/>
      <c r="AJ68" s="2513"/>
      <c r="AK68" s="2513"/>
      <c r="AM68" s="607" t="s">
        <v>1876</v>
      </c>
      <c r="AN68" s="1084">
        <f>SUM(AN65:AN67)</f>
        <v>3</v>
      </c>
      <c r="AO68" s="1085">
        <f t="shared" ref="AO68:AZ68" si="28">SUM(AO65:AO67)</f>
        <v>3</v>
      </c>
      <c r="AP68" s="1085">
        <f t="shared" si="28"/>
        <v>7</v>
      </c>
      <c r="AQ68" s="1085">
        <f t="shared" si="28"/>
        <v>0</v>
      </c>
      <c r="AR68" s="1085">
        <f t="shared" si="28"/>
        <v>27</v>
      </c>
      <c r="AS68" s="1085">
        <f t="shared" si="28"/>
        <v>6</v>
      </c>
      <c r="AT68" s="1085">
        <f t="shared" si="28"/>
        <v>22</v>
      </c>
      <c r="AU68" s="1086">
        <f t="shared" si="28"/>
        <v>22</v>
      </c>
      <c r="AV68" s="1084">
        <f t="shared" si="28"/>
        <v>10.4</v>
      </c>
      <c r="AW68" s="1085">
        <f t="shared" si="28"/>
        <v>10.4</v>
      </c>
      <c r="AX68" s="1085">
        <f t="shared" si="28"/>
        <v>10.4</v>
      </c>
      <c r="AY68" s="1085">
        <f t="shared" si="28"/>
        <v>10.4</v>
      </c>
      <c r="AZ68" s="1086">
        <f t="shared" si="28"/>
        <v>10.4</v>
      </c>
    </row>
    <row r="69" spans="2:52" ht="14.25">
      <c r="B69" s="123"/>
      <c r="C69" s="127"/>
      <c r="D69" s="127"/>
      <c r="I69" s="2512"/>
      <c r="J69" s="2513"/>
      <c r="K69" s="2513"/>
      <c r="L69" s="2513"/>
      <c r="M69" s="2513"/>
      <c r="N69" s="2513"/>
      <c r="O69" s="2513"/>
      <c r="P69" s="2513"/>
      <c r="Q69" s="2513"/>
      <c r="R69" s="2513"/>
      <c r="S69" s="2513"/>
      <c r="T69" s="2513"/>
      <c r="U69" s="2513"/>
      <c r="V69" s="2513"/>
      <c r="X69" s="2513"/>
      <c r="Y69" s="2513"/>
      <c r="Z69" s="2513"/>
      <c r="AA69" s="2513"/>
      <c r="AB69" s="2513"/>
      <c r="AC69" s="2512"/>
      <c r="AD69" s="2513"/>
      <c r="AE69" s="2513"/>
      <c r="AF69" s="2513"/>
      <c r="AG69" s="2513"/>
      <c r="AH69" s="2513"/>
      <c r="AI69" s="2513"/>
      <c r="AJ69" s="2513"/>
      <c r="AK69" s="2513"/>
      <c r="AM69" s="94"/>
      <c r="AN69" s="878"/>
      <c r="AO69" s="2662"/>
      <c r="AP69" s="2662"/>
      <c r="AQ69" s="2662"/>
      <c r="AR69" s="2662"/>
      <c r="AS69" s="2662"/>
      <c r="AT69" s="2662"/>
      <c r="AU69" s="880"/>
      <c r="AV69" s="878"/>
      <c r="AW69" s="2662"/>
      <c r="AX69" s="2662"/>
      <c r="AY69" s="2662"/>
      <c r="AZ69" s="880"/>
    </row>
    <row r="70" spans="2:52" ht="15">
      <c r="B70" s="161"/>
      <c r="C70" s="186" t="s">
        <v>2801</v>
      </c>
      <c r="D70" s="162"/>
      <c r="I70" s="2512"/>
      <c r="J70" s="2513"/>
      <c r="K70" s="2513"/>
      <c r="L70" s="2513"/>
      <c r="M70" s="2513"/>
      <c r="N70" s="2513"/>
      <c r="O70" s="2513"/>
      <c r="P70" s="2513"/>
      <c r="Q70" s="2513"/>
      <c r="R70" s="2513"/>
      <c r="S70" s="2513"/>
      <c r="T70" s="2513"/>
      <c r="U70" s="2513"/>
      <c r="V70" s="2513"/>
      <c r="X70" s="2513"/>
      <c r="Y70" s="2513"/>
      <c r="Z70" s="2513"/>
      <c r="AA70" s="2513"/>
      <c r="AB70" s="2513"/>
      <c r="AC70" s="2512"/>
      <c r="AD70" s="2513"/>
      <c r="AE70" s="2513"/>
      <c r="AF70" s="2513"/>
      <c r="AG70" s="2513"/>
      <c r="AH70" s="2513"/>
      <c r="AI70" s="2513"/>
      <c r="AJ70" s="2513"/>
      <c r="AK70" s="2513"/>
      <c r="AM70" s="94"/>
      <c r="AN70" s="878"/>
      <c r="AO70" s="2662"/>
      <c r="AP70" s="2662"/>
      <c r="AQ70" s="2662"/>
      <c r="AR70" s="2662"/>
      <c r="AS70" s="2662"/>
      <c r="AT70" s="2662"/>
      <c r="AU70" s="880"/>
      <c r="AV70" s="878"/>
      <c r="AW70" s="2662"/>
      <c r="AX70" s="2662"/>
      <c r="AY70" s="2662"/>
      <c r="AZ70" s="880"/>
    </row>
    <row r="71" spans="2:52" ht="14.25">
      <c r="B71" s="161"/>
      <c r="C71" s="185"/>
      <c r="D71" s="162" t="s">
        <v>2676</v>
      </c>
      <c r="I71" s="2512"/>
      <c r="J71" s="2513"/>
      <c r="K71" s="2513"/>
      <c r="L71" s="2513"/>
      <c r="M71" s="2513"/>
      <c r="N71" s="2513"/>
      <c r="O71" s="2513"/>
      <c r="P71" s="2513"/>
      <c r="Q71" s="2513"/>
      <c r="R71" s="2513"/>
      <c r="S71" s="2513"/>
      <c r="T71" s="2513"/>
      <c r="U71" s="2513"/>
      <c r="V71" s="2513"/>
      <c r="X71" s="2513"/>
      <c r="Y71" s="2513"/>
      <c r="Z71" s="2513"/>
      <c r="AA71" s="2513"/>
      <c r="AB71" s="2513"/>
      <c r="AC71" s="2512"/>
      <c r="AD71" s="2513"/>
      <c r="AE71" s="2513"/>
      <c r="AF71" s="2513"/>
      <c r="AG71" s="2513"/>
      <c r="AH71" s="2513"/>
      <c r="AI71" s="2513"/>
      <c r="AJ71" s="2513"/>
      <c r="AK71" s="2513"/>
      <c r="AM71" s="607" t="s">
        <v>1876</v>
      </c>
      <c r="AN71" s="165">
        <v>0</v>
      </c>
      <c r="AO71" s="166">
        <v>1</v>
      </c>
      <c r="AP71" s="166">
        <v>0</v>
      </c>
      <c r="AQ71" s="166">
        <v>0</v>
      </c>
      <c r="AR71" s="166">
        <v>0</v>
      </c>
      <c r="AS71" s="166">
        <v>0</v>
      </c>
      <c r="AT71" s="166">
        <v>0</v>
      </c>
      <c r="AU71" s="167">
        <v>0</v>
      </c>
      <c r="AV71" s="165">
        <v>0</v>
      </c>
      <c r="AW71" s="166">
        <v>0</v>
      </c>
      <c r="AX71" s="166">
        <v>0</v>
      </c>
      <c r="AY71" s="166">
        <v>0</v>
      </c>
      <c r="AZ71" s="167">
        <v>0</v>
      </c>
    </row>
    <row r="72" spans="2:52" ht="14.25">
      <c r="B72" s="161"/>
      <c r="C72" s="185"/>
      <c r="D72" s="162" t="s">
        <v>2677</v>
      </c>
      <c r="I72" s="2512"/>
      <c r="J72" s="2513"/>
      <c r="K72" s="2513"/>
      <c r="L72" s="2513"/>
      <c r="M72" s="2513"/>
      <c r="N72" s="2513"/>
      <c r="O72" s="2513"/>
      <c r="P72" s="2513"/>
      <c r="Q72" s="2513"/>
      <c r="R72" s="2513"/>
      <c r="S72" s="2513"/>
      <c r="T72" s="2513"/>
      <c r="U72" s="2513"/>
      <c r="V72" s="2513"/>
      <c r="X72" s="2513"/>
      <c r="Y72" s="2513"/>
      <c r="Z72" s="2513"/>
      <c r="AA72" s="2513"/>
      <c r="AB72" s="2513"/>
      <c r="AC72" s="2512"/>
      <c r="AD72" s="2513"/>
      <c r="AE72" s="2513"/>
      <c r="AF72" s="2513"/>
      <c r="AG72" s="2513"/>
      <c r="AH72" s="2513"/>
      <c r="AI72" s="2513"/>
      <c r="AJ72" s="2513"/>
      <c r="AK72" s="2513"/>
      <c r="AM72" s="607" t="s">
        <v>1876</v>
      </c>
      <c r="AN72" s="165">
        <v>0</v>
      </c>
      <c r="AO72" s="166">
        <v>0</v>
      </c>
      <c r="AP72" s="166">
        <v>0</v>
      </c>
      <c r="AQ72" s="166">
        <v>0</v>
      </c>
      <c r="AR72" s="166">
        <v>1</v>
      </c>
      <c r="AS72" s="166">
        <v>0</v>
      </c>
      <c r="AT72" s="166">
        <v>0</v>
      </c>
      <c r="AU72" s="167">
        <v>0</v>
      </c>
      <c r="AV72" s="165">
        <v>0</v>
      </c>
      <c r="AW72" s="166">
        <v>0</v>
      </c>
      <c r="AX72" s="166">
        <v>0</v>
      </c>
      <c r="AY72" s="166">
        <v>0</v>
      </c>
      <c r="AZ72" s="167">
        <v>0</v>
      </c>
    </row>
    <row r="73" spans="2:52" ht="14.25">
      <c r="B73" s="161"/>
      <c r="C73" s="185"/>
      <c r="D73" s="162" t="s">
        <v>2678</v>
      </c>
      <c r="I73" s="2512"/>
      <c r="J73" s="2513"/>
      <c r="K73" s="2513"/>
      <c r="L73" s="2513"/>
      <c r="M73" s="2513"/>
      <c r="N73" s="2513"/>
      <c r="O73" s="2513"/>
      <c r="P73" s="2513"/>
      <c r="Q73" s="2513"/>
      <c r="R73" s="2513"/>
      <c r="S73" s="2513"/>
      <c r="T73" s="2513"/>
      <c r="U73" s="2513"/>
      <c r="V73" s="2513"/>
      <c r="X73" s="2513"/>
      <c r="Y73" s="2513"/>
      <c r="Z73" s="2513"/>
      <c r="AA73" s="2513"/>
      <c r="AB73" s="2513"/>
      <c r="AC73" s="2512"/>
      <c r="AD73" s="2513"/>
      <c r="AE73" s="2513"/>
      <c r="AF73" s="2513"/>
      <c r="AG73" s="2513"/>
      <c r="AH73" s="2513"/>
      <c r="AI73" s="2513"/>
      <c r="AJ73" s="2513"/>
      <c r="AK73" s="2513"/>
      <c r="AM73" s="607" t="s">
        <v>1876</v>
      </c>
      <c r="AN73" s="165">
        <v>0</v>
      </c>
      <c r="AO73" s="166">
        <v>1</v>
      </c>
      <c r="AP73" s="166">
        <v>0</v>
      </c>
      <c r="AQ73" s="166">
        <v>0</v>
      </c>
      <c r="AR73" s="166">
        <v>0</v>
      </c>
      <c r="AS73" s="166">
        <v>0</v>
      </c>
      <c r="AT73" s="166">
        <v>0</v>
      </c>
      <c r="AU73" s="167">
        <v>0</v>
      </c>
      <c r="AV73" s="165">
        <v>0</v>
      </c>
      <c r="AW73" s="166">
        <v>0</v>
      </c>
      <c r="AX73" s="166">
        <v>0</v>
      </c>
      <c r="AY73" s="166">
        <v>0</v>
      </c>
      <c r="AZ73" s="167">
        <v>0</v>
      </c>
    </row>
    <row r="74" spans="2:52" ht="14.25">
      <c r="B74" s="161"/>
      <c r="C74" s="162" t="s">
        <v>1710</v>
      </c>
      <c r="D74" s="162"/>
      <c r="I74" s="2512"/>
      <c r="J74" s="2513"/>
      <c r="K74" s="2513"/>
      <c r="L74" s="2513"/>
      <c r="M74" s="2513"/>
      <c r="N74" s="2513"/>
      <c r="O74" s="2513"/>
      <c r="P74" s="2513"/>
      <c r="Q74" s="2513"/>
      <c r="R74" s="2513"/>
      <c r="S74" s="2513"/>
      <c r="T74" s="2513"/>
      <c r="U74" s="2513"/>
      <c r="V74" s="2513"/>
      <c r="X74" s="2513"/>
      <c r="Y74" s="2513"/>
      <c r="Z74" s="2513"/>
      <c r="AA74" s="2513"/>
      <c r="AB74" s="2513"/>
      <c r="AC74" s="2512"/>
      <c r="AD74" s="2513"/>
      <c r="AE74" s="2513"/>
      <c r="AF74" s="2513"/>
      <c r="AG74" s="2513"/>
      <c r="AH74" s="2513"/>
      <c r="AI74" s="2513"/>
      <c r="AJ74" s="2513"/>
      <c r="AK74" s="2513"/>
      <c r="AM74" s="607" t="s">
        <v>1876</v>
      </c>
      <c r="AN74" s="1084">
        <f>SUM(AN71:AN73)</f>
        <v>0</v>
      </c>
      <c r="AO74" s="1085">
        <f t="shared" ref="AO74:AZ74" si="29">SUM(AO71:AO73)</f>
        <v>2</v>
      </c>
      <c r="AP74" s="1085">
        <f t="shared" si="29"/>
        <v>0</v>
      </c>
      <c r="AQ74" s="1085">
        <f t="shared" si="29"/>
        <v>0</v>
      </c>
      <c r="AR74" s="1085">
        <f t="shared" si="29"/>
        <v>1</v>
      </c>
      <c r="AS74" s="1085">
        <f t="shared" si="29"/>
        <v>0</v>
      </c>
      <c r="AT74" s="1085">
        <f t="shared" si="29"/>
        <v>0</v>
      </c>
      <c r="AU74" s="1086">
        <f t="shared" si="29"/>
        <v>0</v>
      </c>
      <c r="AV74" s="1084">
        <f t="shared" si="29"/>
        <v>0</v>
      </c>
      <c r="AW74" s="1085">
        <f t="shared" si="29"/>
        <v>0</v>
      </c>
      <c r="AX74" s="1085">
        <f t="shared" si="29"/>
        <v>0</v>
      </c>
      <c r="AY74" s="1085">
        <f t="shared" si="29"/>
        <v>0</v>
      </c>
      <c r="AZ74" s="1086">
        <f t="shared" si="29"/>
        <v>0</v>
      </c>
    </row>
    <row r="75" spans="2:52" ht="14.25">
      <c r="B75" s="123"/>
      <c r="C75" s="127"/>
      <c r="D75" s="127"/>
      <c r="I75" s="2512"/>
      <c r="J75" s="2513"/>
      <c r="K75" s="2513"/>
      <c r="L75" s="2513"/>
      <c r="M75" s="2513"/>
      <c r="N75" s="2513"/>
      <c r="O75" s="2513"/>
      <c r="P75" s="2513"/>
      <c r="Q75" s="2513"/>
      <c r="R75" s="2513"/>
      <c r="S75" s="2513"/>
      <c r="T75" s="2513"/>
      <c r="U75" s="2513"/>
      <c r="V75" s="2513"/>
      <c r="X75" s="2513"/>
      <c r="Y75" s="2513"/>
      <c r="Z75" s="2513"/>
      <c r="AA75" s="2513"/>
      <c r="AB75" s="2513"/>
      <c r="AC75" s="2512"/>
      <c r="AD75" s="2513"/>
      <c r="AE75" s="2513"/>
      <c r="AF75" s="2513"/>
      <c r="AG75" s="2513"/>
      <c r="AH75" s="2513"/>
      <c r="AI75" s="2513"/>
      <c r="AJ75" s="2513"/>
      <c r="AK75" s="2513"/>
      <c r="AM75" s="94"/>
      <c r="AN75" s="878"/>
      <c r="AO75" s="2662"/>
      <c r="AP75" s="2662"/>
      <c r="AQ75" s="2662"/>
      <c r="AR75" s="2662"/>
      <c r="AS75" s="2662"/>
      <c r="AT75" s="2662"/>
      <c r="AU75" s="880"/>
      <c r="AV75" s="878"/>
      <c r="AW75" s="2662"/>
      <c r="AX75" s="2662"/>
      <c r="AY75" s="2662"/>
      <c r="AZ75" s="880"/>
    </row>
    <row r="76" spans="2:52" ht="15">
      <c r="B76" s="161"/>
      <c r="C76" s="186" t="s">
        <v>2802</v>
      </c>
      <c r="D76" s="162"/>
      <c r="I76" s="2512"/>
      <c r="J76" s="2513"/>
      <c r="K76" s="2513"/>
      <c r="L76" s="2513"/>
      <c r="M76" s="2513"/>
      <c r="N76" s="2513"/>
      <c r="O76" s="2513"/>
      <c r="P76" s="2513"/>
      <c r="Q76" s="2513"/>
      <c r="R76" s="2513"/>
      <c r="S76" s="2513"/>
      <c r="T76" s="2513"/>
      <c r="U76" s="2513"/>
      <c r="V76" s="2513"/>
      <c r="X76" s="2513"/>
      <c r="Y76" s="2513"/>
      <c r="Z76" s="2513"/>
      <c r="AA76" s="2513"/>
      <c r="AB76" s="2513"/>
      <c r="AC76" s="2512"/>
      <c r="AD76" s="2513"/>
      <c r="AE76" s="2513"/>
      <c r="AF76" s="2513"/>
      <c r="AG76" s="2513"/>
      <c r="AH76" s="2513"/>
      <c r="AI76" s="2513"/>
      <c r="AJ76" s="2513"/>
      <c r="AK76" s="2513"/>
      <c r="AM76" s="94"/>
      <c r="AN76" s="878"/>
      <c r="AO76" s="2662"/>
      <c r="AP76" s="2662"/>
      <c r="AQ76" s="2662"/>
      <c r="AR76" s="2662"/>
      <c r="AS76" s="2662"/>
      <c r="AT76" s="2662"/>
      <c r="AU76" s="880"/>
      <c r="AV76" s="878"/>
      <c r="AW76" s="2662"/>
      <c r="AX76" s="2662"/>
      <c r="AY76" s="2662"/>
      <c r="AZ76" s="880"/>
    </row>
    <row r="77" spans="2:52" ht="14.25">
      <c r="B77" s="161"/>
      <c r="C77" s="185"/>
      <c r="D77" s="162" t="s">
        <v>2676</v>
      </c>
      <c r="I77" s="2512"/>
      <c r="J77" s="2513"/>
      <c r="K77" s="2513"/>
      <c r="L77" s="2513"/>
      <c r="M77" s="2513"/>
      <c r="N77" s="2513"/>
      <c r="O77" s="2513"/>
      <c r="P77" s="2513"/>
      <c r="Q77" s="2513"/>
      <c r="R77" s="2513"/>
      <c r="S77" s="2513"/>
      <c r="T77" s="2513"/>
      <c r="U77" s="2513"/>
      <c r="V77" s="2513"/>
      <c r="X77" s="2513"/>
      <c r="Y77" s="2513"/>
      <c r="Z77" s="2513"/>
      <c r="AA77" s="2513"/>
      <c r="AB77" s="2513"/>
      <c r="AC77" s="2512"/>
      <c r="AD77" s="2513"/>
      <c r="AE77" s="2513"/>
      <c r="AF77" s="2513"/>
      <c r="AG77" s="2513"/>
      <c r="AH77" s="2513"/>
      <c r="AI77" s="2513"/>
      <c r="AJ77" s="2513"/>
      <c r="AK77" s="2513"/>
      <c r="AM77" s="607" t="s">
        <v>1876</v>
      </c>
      <c r="AN77" s="165">
        <v>0</v>
      </c>
      <c r="AO77" s="166">
        <v>0</v>
      </c>
      <c r="AP77" s="166">
        <v>0</v>
      </c>
      <c r="AQ77" s="166">
        <v>0</v>
      </c>
      <c r="AR77" s="166">
        <v>0</v>
      </c>
      <c r="AS77" s="166">
        <v>0</v>
      </c>
      <c r="AT77" s="166">
        <v>0</v>
      </c>
      <c r="AU77" s="167">
        <v>0</v>
      </c>
      <c r="AV77" s="165">
        <v>0</v>
      </c>
      <c r="AW77" s="166">
        <v>0</v>
      </c>
      <c r="AX77" s="166">
        <v>0</v>
      </c>
      <c r="AY77" s="166">
        <v>0</v>
      </c>
      <c r="AZ77" s="167">
        <v>0</v>
      </c>
    </row>
    <row r="78" spans="2:52" ht="14.25">
      <c r="B78" s="161"/>
      <c r="C78" s="185"/>
      <c r="D78" s="162" t="s">
        <v>2677</v>
      </c>
      <c r="I78" s="2512"/>
      <c r="J78" s="2513"/>
      <c r="K78" s="2513"/>
      <c r="L78" s="2513"/>
      <c r="M78" s="2513"/>
      <c r="N78" s="2513"/>
      <c r="O78" s="2513"/>
      <c r="P78" s="2513"/>
      <c r="Q78" s="2513"/>
      <c r="R78" s="2513"/>
      <c r="S78" s="2513"/>
      <c r="T78" s="2513"/>
      <c r="U78" s="2513"/>
      <c r="V78" s="2513"/>
      <c r="X78" s="2513"/>
      <c r="Y78" s="2513"/>
      <c r="Z78" s="2513"/>
      <c r="AA78" s="2513"/>
      <c r="AB78" s="2513"/>
      <c r="AC78" s="2512"/>
      <c r="AD78" s="2513"/>
      <c r="AE78" s="2513"/>
      <c r="AF78" s="2513"/>
      <c r="AG78" s="2513"/>
      <c r="AH78" s="2513"/>
      <c r="AI78" s="2513"/>
      <c r="AJ78" s="2513"/>
      <c r="AK78" s="2513"/>
      <c r="AM78" s="607" t="s">
        <v>1876</v>
      </c>
      <c r="AN78" s="165">
        <v>0</v>
      </c>
      <c r="AO78" s="166">
        <v>0</v>
      </c>
      <c r="AP78" s="166">
        <v>0</v>
      </c>
      <c r="AQ78" s="166">
        <v>0</v>
      </c>
      <c r="AR78" s="166">
        <v>0</v>
      </c>
      <c r="AS78" s="166">
        <v>0</v>
      </c>
      <c r="AT78" s="166">
        <v>0</v>
      </c>
      <c r="AU78" s="167">
        <v>0</v>
      </c>
      <c r="AV78" s="165">
        <v>4</v>
      </c>
      <c r="AW78" s="166">
        <v>4</v>
      </c>
      <c r="AX78" s="166">
        <v>4</v>
      </c>
      <c r="AY78" s="166">
        <v>4</v>
      </c>
      <c r="AZ78" s="167">
        <v>4</v>
      </c>
    </row>
    <row r="79" spans="2:52" ht="14.25">
      <c r="B79" s="161"/>
      <c r="C79" s="185"/>
      <c r="D79" s="162" t="s">
        <v>2678</v>
      </c>
      <c r="I79" s="2512"/>
      <c r="J79" s="2513"/>
      <c r="K79" s="2513"/>
      <c r="L79" s="2513"/>
      <c r="M79" s="2513"/>
      <c r="N79" s="2513"/>
      <c r="O79" s="2513"/>
      <c r="P79" s="2513"/>
      <c r="Q79" s="2513"/>
      <c r="R79" s="2513"/>
      <c r="S79" s="2513"/>
      <c r="T79" s="2513"/>
      <c r="U79" s="2513"/>
      <c r="V79" s="2513"/>
      <c r="X79" s="2513"/>
      <c r="Y79" s="2513"/>
      <c r="Z79" s="2513"/>
      <c r="AA79" s="2513"/>
      <c r="AB79" s="2513"/>
      <c r="AC79" s="2512"/>
      <c r="AD79" s="2513"/>
      <c r="AE79" s="2513"/>
      <c r="AF79" s="2513"/>
      <c r="AG79" s="2513"/>
      <c r="AH79" s="2513"/>
      <c r="AI79" s="2513"/>
      <c r="AJ79" s="2513"/>
      <c r="AK79" s="2513"/>
      <c r="AM79" s="607" t="s">
        <v>1876</v>
      </c>
      <c r="AN79" s="165">
        <v>0</v>
      </c>
      <c r="AO79" s="166">
        <v>0</v>
      </c>
      <c r="AP79" s="166">
        <v>0</v>
      </c>
      <c r="AQ79" s="166">
        <v>0</v>
      </c>
      <c r="AR79" s="166">
        <v>0</v>
      </c>
      <c r="AS79" s="166">
        <v>0</v>
      </c>
      <c r="AT79" s="166">
        <v>0</v>
      </c>
      <c r="AU79" s="167">
        <v>0</v>
      </c>
      <c r="AV79" s="165">
        <v>0</v>
      </c>
      <c r="AW79" s="166">
        <v>0</v>
      </c>
      <c r="AX79" s="166">
        <v>0</v>
      </c>
      <c r="AY79" s="166">
        <v>0</v>
      </c>
      <c r="AZ79" s="167">
        <v>0</v>
      </c>
    </row>
    <row r="80" spans="2:52" ht="14.25">
      <c r="B80" s="161"/>
      <c r="C80" s="162" t="s">
        <v>1710</v>
      </c>
      <c r="D80" s="162"/>
      <c r="I80" s="2512"/>
      <c r="J80" s="2513"/>
      <c r="K80" s="2513"/>
      <c r="L80" s="2513"/>
      <c r="M80" s="2513"/>
      <c r="N80" s="2513"/>
      <c r="O80" s="2513"/>
      <c r="P80" s="2513"/>
      <c r="Q80" s="2513"/>
      <c r="R80" s="2513"/>
      <c r="S80" s="2513"/>
      <c r="T80" s="2513"/>
      <c r="U80" s="2513"/>
      <c r="V80" s="2513"/>
      <c r="X80" s="2513"/>
      <c r="Y80" s="2513"/>
      <c r="Z80" s="2513"/>
      <c r="AA80" s="2513"/>
      <c r="AB80" s="2513"/>
      <c r="AC80" s="2512"/>
      <c r="AD80" s="2513"/>
      <c r="AE80" s="2513"/>
      <c r="AF80" s="2513"/>
      <c r="AG80" s="2513"/>
      <c r="AH80" s="2513"/>
      <c r="AI80" s="2513"/>
      <c r="AJ80" s="2513"/>
      <c r="AK80" s="2513"/>
      <c r="AM80" s="607" t="s">
        <v>1876</v>
      </c>
      <c r="AN80" s="1084">
        <f>SUM(AN77:AN79)</f>
        <v>0</v>
      </c>
      <c r="AO80" s="1085">
        <f t="shared" ref="AO80:AZ80" si="30">SUM(AO77:AO79)</f>
        <v>0</v>
      </c>
      <c r="AP80" s="1085">
        <f t="shared" si="30"/>
        <v>0</v>
      </c>
      <c r="AQ80" s="1085">
        <f t="shared" si="30"/>
        <v>0</v>
      </c>
      <c r="AR80" s="1085">
        <f t="shared" si="30"/>
        <v>0</v>
      </c>
      <c r="AS80" s="1085">
        <f t="shared" si="30"/>
        <v>0</v>
      </c>
      <c r="AT80" s="1085">
        <f t="shared" si="30"/>
        <v>0</v>
      </c>
      <c r="AU80" s="1086">
        <f t="shared" si="30"/>
        <v>0</v>
      </c>
      <c r="AV80" s="1084">
        <f t="shared" si="30"/>
        <v>4</v>
      </c>
      <c r="AW80" s="1085">
        <f t="shared" si="30"/>
        <v>4</v>
      </c>
      <c r="AX80" s="1085">
        <f t="shared" si="30"/>
        <v>4</v>
      </c>
      <c r="AY80" s="1085">
        <f t="shared" si="30"/>
        <v>4</v>
      </c>
      <c r="AZ80" s="1086">
        <f t="shared" si="30"/>
        <v>4</v>
      </c>
    </row>
    <row r="81" spans="2:52" ht="14.25">
      <c r="B81" s="123"/>
      <c r="C81" s="127"/>
      <c r="D81" s="127"/>
      <c r="I81" s="2512"/>
      <c r="J81" s="2513"/>
      <c r="K81" s="2513"/>
      <c r="L81" s="2513"/>
      <c r="M81" s="2513"/>
      <c r="N81" s="2513"/>
      <c r="O81" s="2513"/>
      <c r="P81" s="2513"/>
      <c r="Q81" s="2513"/>
      <c r="R81" s="2513"/>
      <c r="S81" s="2513"/>
      <c r="T81" s="2513"/>
      <c r="U81" s="2513"/>
      <c r="V81" s="2513"/>
      <c r="X81" s="2513"/>
      <c r="Y81" s="2513"/>
      <c r="Z81" s="2513"/>
      <c r="AA81" s="2513"/>
      <c r="AB81" s="2513"/>
      <c r="AC81" s="2512"/>
      <c r="AD81" s="2513"/>
      <c r="AE81" s="2513"/>
      <c r="AF81" s="2513"/>
      <c r="AG81" s="2513"/>
      <c r="AH81" s="2513"/>
      <c r="AI81" s="2513"/>
      <c r="AJ81" s="2513"/>
      <c r="AK81" s="2513"/>
      <c r="AM81" s="94"/>
      <c r="AN81" s="878"/>
      <c r="AO81" s="2662"/>
      <c r="AP81" s="2662"/>
      <c r="AQ81" s="2662"/>
      <c r="AR81" s="2662"/>
      <c r="AS81" s="2662"/>
      <c r="AT81" s="2662"/>
      <c r="AU81" s="880"/>
      <c r="AV81" s="878"/>
      <c r="AW81" s="2662"/>
      <c r="AX81" s="2662"/>
      <c r="AY81" s="2662"/>
      <c r="AZ81" s="880"/>
    </row>
    <row r="82" spans="2:52" ht="15">
      <c r="B82" s="161"/>
      <c r="C82" s="186" t="s">
        <v>2803</v>
      </c>
      <c r="D82" s="162"/>
      <c r="I82" s="2512"/>
      <c r="J82" s="2513"/>
      <c r="K82" s="2513"/>
      <c r="L82" s="2513"/>
      <c r="M82" s="2513"/>
      <c r="N82" s="2513"/>
      <c r="O82" s="2513"/>
      <c r="P82" s="2513"/>
      <c r="Q82" s="2513"/>
      <c r="R82" s="2513"/>
      <c r="S82" s="2513"/>
      <c r="T82" s="2513"/>
      <c r="U82" s="2513"/>
      <c r="V82" s="2513"/>
      <c r="X82" s="2513"/>
      <c r="Y82" s="2513"/>
      <c r="Z82" s="2513"/>
      <c r="AA82" s="2513"/>
      <c r="AB82" s="2513"/>
      <c r="AC82" s="2512"/>
      <c r="AD82" s="2513"/>
      <c r="AE82" s="2513"/>
      <c r="AF82" s="2513"/>
      <c r="AG82" s="2513"/>
      <c r="AH82" s="2513"/>
      <c r="AI82" s="2513"/>
      <c r="AJ82" s="2513"/>
      <c r="AK82" s="2513"/>
      <c r="AM82" s="94"/>
      <c r="AN82" s="878"/>
      <c r="AO82" s="2662"/>
      <c r="AP82" s="2662"/>
      <c r="AQ82" s="2662"/>
      <c r="AR82" s="2662"/>
      <c r="AS82" s="2662"/>
      <c r="AT82" s="2662"/>
      <c r="AU82" s="880"/>
      <c r="AV82" s="878"/>
      <c r="AW82" s="2662"/>
      <c r="AX82" s="2662"/>
      <c r="AY82" s="2662"/>
      <c r="AZ82" s="880"/>
    </row>
    <row r="83" spans="2:52" ht="14.25">
      <c r="B83" s="161"/>
      <c r="C83" s="185"/>
      <c r="D83" s="162" t="s">
        <v>2676</v>
      </c>
      <c r="I83" s="2512"/>
      <c r="J83" s="2513"/>
      <c r="K83" s="2513"/>
      <c r="L83" s="2513"/>
      <c r="M83" s="2513"/>
      <c r="N83" s="2513"/>
      <c r="O83" s="2513"/>
      <c r="P83" s="2513"/>
      <c r="Q83" s="2513"/>
      <c r="R83" s="2513"/>
      <c r="S83" s="2513"/>
      <c r="T83" s="2513"/>
      <c r="U83" s="2513"/>
      <c r="V83" s="2513"/>
      <c r="X83" s="2513"/>
      <c r="Y83" s="2513"/>
      <c r="Z83" s="2513"/>
      <c r="AA83" s="2513"/>
      <c r="AB83" s="2513"/>
      <c r="AC83" s="2512"/>
      <c r="AD83" s="2513"/>
      <c r="AE83" s="2513"/>
      <c r="AF83" s="2513"/>
      <c r="AG83" s="2513"/>
      <c r="AH83" s="2513"/>
      <c r="AI83" s="2513"/>
      <c r="AJ83" s="2513"/>
      <c r="AK83" s="2513"/>
      <c r="AM83" s="607" t="s">
        <v>1876</v>
      </c>
      <c r="AN83" s="165">
        <v>0</v>
      </c>
      <c r="AO83" s="166">
        <v>0</v>
      </c>
      <c r="AP83" s="166">
        <v>0</v>
      </c>
      <c r="AQ83" s="166">
        <v>0</v>
      </c>
      <c r="AR83" s="166">
        <v>0</v>
      </c>
      <c r="AS83" s="166">
        <v>0</v>
      </c>
      <c r="AT83" s="166">
        <v>0</v>
      </c>
      <c r="AU83" s="167">
        <v>0</v>
      </c>
      <c r="AV83" s="165">
        <v>0</v>
      </c>
      <c r="AW83" s="166">
        <v>0</v>
      </c>
      <c r="AX83" s="166">
        <v>0</v>
      </c>
      <c r="AY83" s="166">
        <v>0</v>
      </c>
      <c r="AZ83" s="167">
        <v>0</v>
      </c>
    </row>
    <row r="84" spans="2:52" ht="14.25">
      <c r="B84" s="161"/>
      <c r="C84" s="185"/>
      <c r="D84" s="162" t="s">
        <v>2677</v>
      </c>
      <c r="I84" s="2512"/>
      <c r="J84" s="2513"/>
      <c r="K84" s="2513"/>
      <c r="L84" s="2513"/>
      <c r="M84" s="2513"/>
      <c r="N84" s="2513"/>
      <c r="O84" s="2513"/>
      <c r="P84" s="2513"/>
      <c r="Q84" s="2513"/>
      <c r="R84" s="2513"/>
      <c r="S84" s="2513"/>
      <c r="T84" s="2513"/>
      <c r="U84" s="2513"/>
      <c r="V84" s="2513"/>
      <c r="X84" s="2513"/>
      <c r="Y84" s="2513"/>
      <c r="Z84" s="2513"/>
      <c r="AA84" s="2513"/>
      <c r="AB84" s="2513"/>
      <c r="AC84" s="2512"/>
      <c r="AD84" s="2513"/>
      <c r="AE84" s="2513"/>
      <c r="AF84" s="2513"/>
      <c r="AG84" s="2513"/>
      <c r="AH84" s="2513"/>
      <c r="AI84" s="2513"/>
      <c r="AJ84" s="2513"/>
      <c r="AK84" s="2513"/>
      <c r="AM84" s="607" t="s">
        <v>1876</v>
      </c>
      <c r="AN84" s="165">
        <v>0</v>
      </c>
      <c r="AO84" s="166">
        <v>0</v>
      </c>
      <c r="AP84" s="166">
        <v>0</v>
      </c>
      <c r="AQ84" s="166">
        <v>0</v>
      </c>
      <c r="AR84" s="166">
        <v>0</v>
      </c>
      <c r="AS84" s="166">
        <v>0</v>
      </c>
      <c r="AT84" s="166">
        <v>0</v>
      </c>
      <c r="AU84" s="167">
        <v>0</v>
      </c>
      <c r="AV84" s="165">
        <v>0</v>
      </c>
      <c r="AW84" s="166">
        <v>0</v>
      </c>
      <c r="AX84" s="166">
        <v>0</v>
      </c>
      <c r="AY84" s="166">
        <v>0</v>
      </c>
      <c r="AZ84" s="167">
        <v>0</v>
      </c>
    </row>
    <row r="85" spans="2:52" ht="14.25">
      <c r="B85" s="161"/>
      <c r="C85" s="185"/>
      <c r="D85" s="162" t="s">
        <v>2678</v>
      </c>
      <c r="I85" s="2512"/>
      <c r="J85" s="2513"/>
      <c r="K85" s="2513"/>
      <c r="L85" s="2513"/>
      <c r="M85" s="2513"/>
      <c r="N85" s="2513"/>
      <c r="O85" s="2513"/>
      <c r="P85" s="2513"/>
      <c r="Q85" s="2513"/>
      <c r="R85" s="2513"/>
      <c r="S85" s="2513"/>
      <c r="T85" s="2513"/>
      <c r="U85" s="2513"/>
      <c r="V85" s="2513"/>
      <c r="X85" s="2513"/>
      <c r="Y85" s="2513"/>
      <c r="Z85" s="2513"/>
      <c r="AA85" s="2513"/>
      <c r="AB85" s="2513"/>
      <c r="AC85" s="2512"/>
      <c r="AD85" s="2513"/>
      <c r="AE85" s="2513"/>
      <c r="AF85" s="2513"/>
      <c r="AG85" s="2513"/>
      <c r="AH85" s="2513"/>
      <c r="AI85" s="2513"/>
      <c r="AJ85" s="2513"/>
      <c r="AK85" s="2513"/>
      <c r="AM85" s="607" t="s">
        <v>1876</v>
      </c>
      <c r="AN85" s="165">
        <v>0</v>
      </c>
      <c r="AO85" s="166">
        <v>0</v>
      </c>
      <c r="AP85" s="166">
        <v>0</v>
      </c>
      <c r="AQ85" s="166">
        <v>0</v>
      </c>
      <c r="AR85" s="166">
        <v>0</v>
      </c>
      <c r="AS85" s="166">
        <v>0</v>
      </c>
      <c r="AT85" s="166">
        <v>0</v>
      </c>
      <c r="AU85" s="167">
        <v>0</v>
      </c>
      <c r="AV85" s="165">
        <v>0</v>
      </c>
      <c r="AW85" s="166">
        <v>0</v>
      </c>
      <c r="AX85" s="166">
        <v>0</v>
      </c>
      <c r="AY85" s="166">
        <v>0</v>
      </c>
      <c r="AZ85" s="167">
        <v>0</v>
      </c>
    </row>
    <row r="86" spans="2:52" ht="14.25">
      <c r="B86" s="161"/>
      <c r="C86" s="162" t="s">
        <v>1710</v>
      </c>
      <c r="D86" s="162"/>
      <c r="I86" s="2512"/>
      <c r="J86" s="2513"/>
      <c r="K86" s="2513"/>
      <c r="L86" s="2513"/>
      <c r="M86" s="2513"/>
      <c r="N86" s="2513"/>
      <c r="O86" s="2513"/>
      <c r="P86" s="2513"/>
      <c r="Q86" s="2513"/>
      <c r="R86" s="2513"/>
      <c r="S86" s="2513"/>
      <c r="T86" s="2513"/>
      <c r="U86" s="2513"/>
      <c r="V86" s="2513"/>
      <c r="X86" s="2513"/>
      <c r="Y86" s="2513"/>
      <c r="Z86" s="2513"/>
      <c r="AA86" s="2513"/>
      <c r="AB86" s="2513"/>
      <c r="AC86" s="2512"/>
      <c r="AD86" s="2513"/>
      <c r="AE86" s="2513"/>
      <c r="AF86" s="2513"/>
      <c r="AG86" s="2513"/>
      <c r="AH86" s="2513"/>
      <c r="AI86" s="2513"/>
      <c r="AJ86" s="2513"/>
      <c r="AK86" s="2513"/>
      <c r="AM86" s="607" t="s">
        <v>1876</v>
      </c>
      <c r="AN86" s="1084">
        <f>SUM(AN83:AN85)</f>
        <v>0</v>
      </c>
      <c r="AO86" s="1085">
        <f t="shared" ref="AO86:AZ86" si="31">SUM(AO83:AO85)</f>
        <v>0</v>
      </c>
      <c r="AP86" s="1085">
        <f t="shared" si="31"/>
        <v>0</v>
      </c>
      <c r="AQ86" s="1085">
        <f t="shared" si="31"/>
        <v>0</v>
      </c>
      <c r="AR86" s="1085">
        <f t="shared" si="31"/>
        <v>0</v>
      </c>
      <c r="AS86" s="1085">
        <f t="shared" si="31"/>
        <v>0</v>
      </c>
      <c r="AT86" s="1085">
        <f t="shared" si="31"/>
        <v>0</v>
      </c>
      <c r="AU86" s="1086">
        <f t="shared" si="31"/>
        <v>0</v>
      </c>
      <c r="AV86" s="1084">
        <f t="shared" si="31"/>
        <v>0</v>
      </c>
      <c r="AW86" s="1085">
        <f t="shared" si="31"/>
        <v>0</v>
      </c>
      <c r="AX86" s="1085">
        <f t="shared" si="31"/>
        <v>0</v>
      </c>
      <c r="AY86" s="1085">
        <f t="shared" si="31"/>
        <v>0</v>
      </c>
      <c r="AZ86" s="1086">
        <f t="shared" si="31"/>
        <v>0</v>
      </c>
    </row>
    <row r="87" spans="2:52" ht="14.25">
      <c r="B87" s="123"/>
      <c r="C87" s="127"/>
      <c r="D87" s="127"/>
      <c r="I87" s="2512"/>
      <c r="J87" s="2513"/>
      <c r="K87" s="2513"/>
      <c r="L87" s="2513"/>
      <c r="M87" s="2513"/>
      <c r="N87" s="2513"/>
      <c r="O87" s="2513"/>
      <c r="P87" s="2513"/>
      <c r="Q87" s="2513"/>
      <c r="R87" s="2513"/>
      <c r="S87" s="2513"/>
      <c r="T87" s="2513"/>
      <c r="U87" s="2513"/>
      <c r="V87" s="2513"/>
      <c r="X87" s="2513"/>
      <c r="Y87" s="2513"/>
      <c r="Z87" s="2513"/>
      <c r="AA87" s="2513"/>
      <c r="AB87" s="2513"/>
      <c r="AC87" s="2512"/>
      <c r="AD87" s="2513"/>
      <c r="AE87" s="2513"/>
      <c r="AF87" s="2513"/>
      <c r="AG87" s="2513"/>
      <c r="AH87" s="2513"/>
      <c r="AI87" s="2513"/>
      <c r="AJ87" s="2513"/>
      <c r="AK87" s="2513"/>
      <c r="AM87" s="94"/>
      <c r="AN87" s="878"/>
      <c r="AO87" s="2662"/>
      <c r="AP87" s="2662"/>
      <c r="AQ87" s="2662"/>
      <c r="AR87" s="2662"/>
      <c r="AS87" s="2662"/>
      <c r="AT87" s="2662"/>
      <c r="AU87" s="880"/>
      <c r="AV87" s="878"/>
      <c r="AW87" s="2662"/>
      <c r="AX87" s="2662"/>
      <c r="AY87" s="2662"/>
      <c r="AZ87" s="880"/>
    </row>
    <row r="88" spans="2:52" ht="15">
      <c r="B88" s="161"/>
      <c r="C88" s="186" t="s">
        <v>2804</v>
      </c>
      <c r="D88" s="162"/>
      <c r="I88" s="2512"/>
      <c r="J88" s="2513"/>
      <c r="K88" s="2513"/>
      <c r="L88" s="2513"/>
      <c r="M88" s="2513"/>
      <c r="N88" s="2513"/>
      <c r="O88" s="2513"/>
      <c r="P88" s="2513"/>
      <c r="Q88" s="2513"/>
      <c r="R88" s="2513"/>
      <c r="S88" s="2513"/>
      <c r="T88" s="2513"/>
      <c r="U88" s="2513"/>
      <c r="V88" s="2513"/>
      <c r="X88" s="2513"/>
      <c r="Y88" s="2513"/>
      <c r="Z88" s="2513"/>
      <c r="AA88" s="2513"/>
      <c r="AB88" s="2513"/>
      <c r="AC88" s="2512"/>
      <c r="AD88" s="2513"/>
      <c r="AE88" s="2513"/>
      <c r="AF88" s="2513"/>
      <c r="AG88" s="2513"/>
      <c r="AH88" s="2513"/>
      <c r="AI88" s="2513"/>
      <c r="AJ88" s="2513"/>
      <c r="AK88" s="2513"/>
      <c r="AM88" s="94"/>
      <c r="AN88" s="878"/>
      <c r="AO88" s="2662"/>
      <c r="AP88" s="2662"/>
      <c r="AQ88" s="2662"/>
      <c r="AR88" s="2662"/>
      <c r="AS88" s="2662"/>
      <c r="AT88" s="2662"/>
      <c r="AU88" s="880"/>
      <c r="AV88" s="878"/>
      <c r="AW88" s="2662"/>
      <c r="AX88" s="2662"/>
      <c r="AY88" s="2662"/>
      <c r="AZ88" s="880"/>
    </row>
    <row r="89" spans="2:52" ht="14.25">
      <c r="B89" s="161"/>
      <c r="C89" s="185"/>
      <c r="D89" s="162" t="s">
        <v>2676</v>
      </c>
      <c r="I89" s="2512"/>
      <c r="J89" s="2513"/>
      <c r="K89" s="2513"/>
      <c r="L89" s="2513"/>
      <c r="M89" s="2513"/>
      <c r="N89" s="2513"/>
      <c r="O89" s="2513"/>
      <c r="P89" s="2513"/>
      <c r="Q89" s="2513"/>
      <c r="R89" s="2513"/>
      <c r="S89" s="2513"/>
      <c r="T89" s="2513"/>
      <c r="U89" s="2513"/>
      <c r="V89" s="2513"/>
      <c r="X89" s="2513"/>
      <c r="Y89" s="2513"/>
      <c r="Z89" s="2513"/>
      <c r="AA89" s="2513"/>
      <c r="AB89" s="2513"/>
      <c r="AC89" s="2512"/>
      <c r="AD89" s="2513"/>
      <c r="AE89" s="2513"/>
      <c r="AF89" s="2513"/>
      <c r="AG89" s="2513"/>
      <c r="AH89" s="2513"/>
      <c r="AI89" s="2513"/>
      <c r="AJ89" s="2513"/>
      <c r="AK89" s="2513"/>
      <c r="AM89" s="607" t="s">
        <v>1876</v>
      </c>
      <c r="AN89" s="165">
        <v>0</v>
      </c>
      <c r="AO89" s="166">
        <v>0</v>
      </c>
      <c r="AP89" s="166">
        <v>0</v>
      </c>
      <c r="AQ89" s="166">
        <v>0</v>
      </c>
      <c r="AR89" s="166">
        <v>26</v>
      </c>
      <c r="AS89" s="166">
        <v>7</v>
      </c>
      <c r="AT89" s="166">
        <v>0</v>
      </c>
      <c r="AU89" s="167">
        <v>0</v>
      </c>
      <c r="AV89" s="165">
        <v>0</v>
      </c>
      <c r="AW89" s="166">
        <v>0</v>
      </c>
      <c r="AX89" s="166">
        <v>0</v>
      </c>
      <c r="AY89" s="166">
        <v>0</v>
      </c>
      <c r="AZ89" s="167">
        <v>0</v>
      </c>
    </row>
    <row r="90" spans="2:52" ht="14.25">
      <c r="B90" s="161"/>
      <c r="C90" s="185"/>
      <c r="D90" s="162" t="s">
        <v>2677</v>
      </c>
      <c r="I90" s="2512"/>
      <c r="J90" s="2513"/>
      <c r="K90" s="2513"/>
      <c r="L90" s="2513"/>
      <c r="M90" s="2513"/>
      <c r="N90" s="2513"/>
      <c r="O90" s="2513"/>
      <c r="P90" s="2513"/>
      <c r="Q90" s="2513"/>
      <c r="R90" s="2513"/>
      <c r="S90" s="2513"/>
      <c r="T90" s="2513"/>
      <c r="U90" s="2513"/>
      <c r="V90" s="2513"/>
      <c r="X90" s="2513"/>
      <c r="Y90" s="2513"/>
      <c r="Z90" s="2513"/>
      <c r="AA90" s="2513"/>
      <c r="AB90" s="2513"/>
      <c r="AC90" s="2512"/>
      <c r="AD90" s="2513"/>
      <c r="AE90" s="2513"/>
      <c r="AF90" s="2513"/>
      <c r="AG90" s="2513"/>
      <c r="AH90" s="2513"/>
      <c r="AI90" s="2513"/>
      <c r="AJ90" s="2513"/>
      <c r="AK90" s="2513"/>
      <c r="AM90" s="607" t="s">
        <v>1876</v>
      </c>
      <c r="AN90" s="165">
        <v>0</v>
      </c>
      <c r="AO90" s="166">
        <v>0</v>
      </c>
      <c r="AP90" s="166">
        <v>0</v>
      </c>
      <c r="AQ90" s="166">
        <v>0</v>
      </c>
      <c r="AR90" s="166">
        <v>3</v>
      </c>
      <c r="AS90" s="166">
        <v>4</v>
      </c>
      <c r="AT90" s="166">
        <v>0</v>
      </c>
      <c r="AU90" s="167">
        <v>0</v>
      </c>
      <c r="AV90" s="165">
        <v>31</v>
      </c>
      <c r="AW90" s="166">
        <v>31</v>
      </c>
      <c r="AX90" s="166">
        <v>31</v>
      </c>
      <c r="AY90" s="166">
        <v>31</v>
      </c>
      <c r="AZ90" s="167">
        <v>31</v>
      </c>
    </row>
    <row r="91" spans="2:52" ht="14.25">
      <c r="B91" s="161"/>
      <c r="C91" s="185"/>
      <c r="D91" s="162" t="s">
        <v>2678</v>
      </c>
      <c r="I91" s="2512"/>
      <c r="J91" s="2513"/>
      <c r="K91" s="2513"/>
      <c r="L91" s="2513"/>
      <c r="M91" s="2513"/>
      <c r="N91" s="2513"/>
      <c r="O91" s="2513"/>
      <c r="P91" s="2513"/>
      <c r="Q91" s="2513"/>
      <c r="R91" s="2513"/>
      <c r="S91" s="2513"/>
      <c r="T91" s="2513"/>
      <c r="U91" s="2513"/>
      <c r="V91" s="2513"/>
      <c r="X91" s="2513"/>
      <c r="Y91" s="2513"/>
      <c r="Z91" s="2513"/>
      <c r="AA91" s="2513"/>
      <c r="AB91" s="2513"/>
      <c r="AC91" s="2512"/>
      <c r="AD91" s="2513"/>
      <c r="AE91" s="2513"/>
      <c r="AF91" s="2513"/>
      <c r="AG91" s="2513"/>
      <c r="AH91" s="2513"/>
      <c r="AI91" s="2513"/>
      <c r="AJ91" s="2513"/>
      <c r="AK91" s="2513"/>
      <c r="AM91" s="607" t="s">
        <v>1876</v>
      </c>
      <c r="AN91" s="165">
        <v>0</v>
      </c>
      <c r="AO91" s="166">
        <v>0</v>
      </c>
      <c r="AP91" s="166">
        <v>0</v>
      </c>
      <c r="AQ91" s="166">
        <v>0</v>
      </c>
      <c r="AR91" s="166">
        <v>0</v>
      </c>
      <c r="AS91" s="166">
        <v>4</v>
      </c>
      <c r="AT91" s="166">
        <v>0</v>
      </c>
      <c r="AU91" s="167">
        <v>0</v>
      </c>
      <c r="AV91" s="165">
        <v>0</v>
      </c>
      <c r="AW91" s="166">
        <v>0</v>
      </c>
      <c r="AX91" s="166">
        <v>0</v>
      </c>
      <c r="AY91" s="166">
        <v>0</v>
      </c>
      <c r="AZ91" s="167">
        <v>0</v>
      </c>
    </row>
    <row r="92" spans="2:52" ht="14.25">
      <c r="B92" s="161"/>
      <c r="C92" s="162" t="s">
        <v>1710</v>
      </c>
      <c r="D92" s="162"/>
      <c r="I92" s="2512"/>
      <c r="J92" s="2513"/>
      <c r="K92" s="2513"/>
      <c r="L92" s="2513"/>
      <c r="M92" s="2513"/>
      <c r="N92" s="2513"/>
      <c r="O92" s="2513"/>
      <c r="P92" s="2513"/>
      <c r="Q92" s="2513"/>
      <c r="R92" s="2513"/>
      <c r="S92" s="2513"/>
      <c r="T92" s="2513"/>
      <c r="U92" s="2513"/>
      <c r="V92" s="2513"/>
      <c r="X92" s="2513"/>
      <c r="Y92" s="2513"/>
      <c r="Z92" s="2513"/>
      <c r="AA92" s="2513"/>
      <c r="AB92" s="2513"/>
      <c r="AC92" s="2512"/>
      <c r="AD92" s="2513"/>
      <c r="AE92" s="2513"/>
      <c r="AF92" s="2513"/>
      <c r="AG92" s="2513"/>
      <c r="AH92" s="2513"/>
      <c r="AI92" s="2513"/>
      <c r="AJ92" s="2513"/>
      <c r="AK92" s="2513"/>
      <c r="AM92" s="607" t="s">
        <v>1876</v>
      </c>
      <c r="AN92" s="1084">
        <f>SUM(AN89:AN91)</f>
        <v>0</v>
      </c>
      <c r="AO92" s="1085">
        <f t="shared" ref="AO92:AZ92" si="32">SUM(AO89:AO91)</f>
        <v>0</v>
      </c>
      <c r="AP92" s="1085">
        <f t="shared" si="32"/>
        <v>0</v>
      </c>
      <c r="AQ92" s="1085">
        <f t="shared" si="32"/>
        <v>0</v>
      </c>
      <c r="AR92" s="1085">
        <f t="shared" si="32"/>
        <v>29</v>
      </c>
      <c r="AS92" s="1085">
        <f t="shared" si="32"/>
        <v>15</v>
      </c>
      <c r="AT92" s="1085">
        <f t="shared" si="32"/>
        <v>0</v>
      </c>
      <c r="AU92" s="1086">
        <f t="shared" si="32"/>
        <v>0</v>
      </c>
      <c r="AV92" s="1084">
        <f t="shared" si="32"/>
        <v>31</v>
      </c>
      <c r="AW92" s="1085">
        <f t="shared" si="32"/>
        <v>31</v>
      </c>
      <c r="AX92" s="1085">
        <f t="shared" si="32"/>
        <v>31</v>
      </c>
      <c r="AY92" s="1085">
        <f t="shared" si="32"/>
        <v>31</v>
      </c>
      <c r="AZ92" s="1086">
        <f t="shared" si="32"/>
        <v>31</v>
      </c>
    </row>
    <row r="93" spans="2:52" ht="14.25">
      <c r="B93" s="123"/>
      <c r="C93" s="127"/>
      <c r="D93" s="127"/>
      <c r="I93" s="2512"/>
      <c r="J93" s="2513"/>
      <c r="K93" s="2513"/>
      <c r="L93" s="2513"/>
      <c r="M93" s="2513"/>
      <c r="N93" s="2513"/>
      <c r="O93" s="2513"/>
      <c r="P93" s="2513"/>
      <c r="Q93" s="2513"/>
      <c r="R93" s="2513"/>
      <c r="S93" s="2513"/>
      <c r="T93" s="2513"/>
      <c r="U93" s="2513"/>
      <c r="V93" s="2513"/>
      <c r="X93" s="2513"/>
      <c r="Y93" s="2513"/>
      <c r="Z93" s="2513"/>
      <c r="AA93" s="2513"/>
      <c r="AB93" s="2513"/>
      <c r="AC93" s="2512"/>
      <c r="AD93" s="2513"/>
      <c r="AE93" s="2513"/>
      <c r="AF93" s="2513"/>
      <c r="AG93" s="2513"/>
      <c r="AH93" s="2513"/>
      <c r="AI93" s="2513"/>
      <c r="AJ93" s="2513"/>
      <c r="AK93" s="2513"/>
      <c r="AM93" s="94"/>
      <c r="AN93" s="878"/>
      <c r="AO93" s="2662"/>
      <c r="AP93" s="2662"/>
      <c r="AQ93" s="2662"/>
      <c r="AR93" s="2662"/>
      <c r="AS93" s="2662"/>
      <c r="AT93" s="2662"/>
      <c r="AU93" s="880"/>
      <c r="AV93" s="878"/>
      <c r="AW93" s="2662"/>
      <c r="AX93" s="2662"/>
      <c r="AY93" s="2662"/>
      <c r="AZ93" s="880"/>
    </row>
    <row r="94" spans="2:52" ht="15">
      <c r="B94" s="161"/>
      <c r="C94" s="186" t="s">
        <v>2805</v>
      </c>
      <c r="D94" s="162"/>
      <c r="I94" s="2512"/>
      <c r="J94" s="2513"/>
      <c r="K94" s="2513"/>
      <c r="L94" s="2513"/>
      <c r="M94" s="2513"/>
      <c r="N94" s="2513"/>
      <c r="O94" s="2513"/>
      <c r="P94" s="2513"/>
      <c r="Q94" s="2513"/>
      <c r="R94" s="2513"/>
      <c r="S94" s="2513"/>
      <c r="T94" s="2513"/>
      <c r="U94" s="2513"/>
      <c r="V94" s="2513"/>
      <c r="X94" s="2513"/>
      <c r="Y94" s="2513"/>
      <c r="Z94" s="2513"/>
      <c r="AA94" s="2513"/>
      <c r="AB94" s="2513"/>
      <c r="AC94" s="2512"/>
      <c r="AD94" s="2513"/>
      <c r="AE94" s="2513"/>
      <c r="AF94" s="2513"/>
      <c r="AG94" s="2513"/>
      <c r="AH94" s="2513"/>
      <c r="AI94" s="2513"/>
      <c r="AJ94" s="2513"/>
      <c r="AK94" s="2513"/>
      <c r="AM94" s="94"/>
      <c r="AN94" s="878"/>
      <c r="AO94" s="2662"/>
      <c r="AP94" s="2662"/>
      <c r="AQ94" s="2662"/>
      <c r="AR94" s="2662"/>
      <c r="AS94" s="2662"/>
      <c r="AT94" s="2662"/>
      <c r="AU94" s="880"/>
      <c r="AV94" s="878"/>
      <c r="AW94" s="2662"/>
      <c r="AX94" s="2662"/>
      <c r="AY94" s="2662"/>
      <c r="AZ94" s="880"/>
    </row>
    <row r="95" spans="2:52" ht="14.25">
      <c r="B95" s="161"/>
      <c r="C95" s="185"/>
      <c r="D95" s="162" t="s">
        <v>2676</v>
      </c>
      <c r="I95" s="2512"/>
      <c r="J95" s="2513"/>
      <c r="K95" s="2513"/>
      <c r="L95" s="2513"/>
      <c r="M95" s="2513"/>
      <c r="N95" s="2513"/>
      <c r="O95" s="2513"/>
      <c r="P95" s="2513"/>
      <c r="Q95" s="2513"/>
      <c r="R95" s="2513"/>
      <c r="S95" s="2513"/>
      <c r="T95" s="2513"/>
      <c r="U95" s="2513"/>
      <c r="V95" s="2513"/>
      <c r="X95" s="2513"/>
      <c r="Y95" s="2513"/>
      <c r="Z95" s="2513"/>
      <c r="AA95" s="2513"/>
      <c r="AB95" s="2513"/>
      <c r="AC95" s="2512"/>
      <c r="AD95" s="2513"/>
      <c r="AE95" s="2513"/>
      <c r="AF95" s="2513"/>
      <c r="AG95" s="2513"/>
      <c r="AH95" s="2513"/>
      <c r="AI95" s="2513"/>
      <c r="AJ95" s="2513"/>
      <c r="AK95" s="2513"/>
      <c r="AM95" s="607" t="s">
        <v>1876</v>
      </c>
      <c r="AN95" s="165">
        <v>0</v>
      </c>
      <c r="AO95" s="166">
        <v>0</v>
      </c>
      <c r="AP95" s="166">
        <v>0</v>
      </c>
      <c r="AQ95" s="166">
        <v>0</v>
      </c>
      <c r="AR95" s="166">
        <v>0</v>
      </c>
      <c r="AS95" s="166"/>
      <c r="AT95" s="166">
        <v>0</v>
      </c>
      <c r="AU95" s="167">
        <v>0</v>
      </c>
      <c r="AV95" s="165">
        <v>0</v>
      </c>
      <c r="AW95" s="166">
        <v>0</v>
      </c>
      <c r="AX95" s="166">
        <v>0</v>
      </c>
      <c r="AY95" s="166">
        <v>0</v>
      </c>
      <c r="AZ95" s="167">
        <v>0</v>
      </c>
    </row>
    <row r="96" spans="2:52" ht="14.25">
      <c r="B96" s="161"/>
      <c r="C96" s="185"/>
      <c r="D96" s="162" t="s">
        <v>2677</v>
      </c>
      <c r="I96" s="2512"/>
      <c r="J96" s="2513"/>
      <c r="K96" s="2513"/>
      <c r="L96" s="2513"/>
      <c r="M96" s="2513"/>
      <c r="N96" s="2513"/>
      <c r="O96" s="2513"/>
      <c r="P96" s="2513"/>
      <c r="Q96" s="2513"/>
      <c r="R96" s="2513"/>
      <c r="S96" s="2513"/>
      <c r="T96" s="2513"/>
      <c r="U96" s="2513"/>
      <c r="V96" s="2513"/>
      <c r="X96" s="2513"/>
      <c r="Y96" s="2513"/>
      <c r="Z96" s="2513"/>
      <c r="AA96" s="2513"/>
      <c r="AB96" s="2513"/>
      <c r="AC96" s="2512"/>
      <c r="AD96" s="2513"/>
      <c r="AE96" s="2513"/>
      <c r="AF96" s="2513"/>
      <c r="AG96" s="2513"/>
      <c r="AH96" s="2513"/>
      <c r="AI96" s="2513"/>
      <c r="AJ96" s="2513"/>
      <c r="AK96" s="2513"/>
      <c r="AM96" s="607" t="s">
        <v>1876</v>
      </c>
      <c r="AN96" s="165">
        <v>0</v>
      </c>
      <c r="AO96" s="166">
        <v>0</v>
      </c>
      <c r="AP96" s="166">
        <v>0</v>
      </c>
      <c r="AQ96" s="166">
        <v>0</v>
      </c>
      <c r="AR96" s="166">
        <v>0</v>
      </c>
      <c r="AS96" s="166">
        <v>16</v>
      </c>
      <c r="AT96" s="166">
        <v>0</v>
      </c>
      <c r="AU96" s="167">
        <v>0</v>
      </c>
      <c r="AV96" s="165">
        <v>0</v>
      </c>
      <c r="AW96" s="166">
        <v>0</v>
      </c>
      <c r="AX96" s="166">
        <v>0</v>
      </c>
      <c r="AY96" s="166">
        <v>0</v>
      </c>
      <c r="AZ96" s="167">
        <v>0</v>
      </c>
    </row>
    <row r="97" spans="2:52" ht="14.25">
      <c r="B97" s="161"/>
      <c r="C97" s="185"/>
      <c r="D97" s="162" t="s">
        <v>2678</v>
      </c>
      <c r="I97" s="2512"/>
      <c r="J97" s="2513"/>
      <c r="K97" s="2513"/>
      <c r="L97" s="2513"/>
      <c r="M97" s="2513"/>
      <c r="N97" s="2513"/>
      <c r="O97" s="2513"/>
      <c r="P97" s="2513"/>
      <c r="Q97" s="2513"/>
      <c r="R97" s="2513"/>
      <c r="S97" s="2513"/>
      <c r="T97" s="2513"/>
      <c r="U97" s="2513"/>
      <c r="V97" s="2513"/>
      <c r="X97" s="2513"/>
      <c r="Y97" s="2513"/>
      <c r="Z97" s="2513"/>
      <c r="AA97" s="2513"/>
      <c r="AB97" s="2513"/>
      <c r="AC97" s="2512"/>
      <c r="AD97" s="2513"/>
      <c r="AE97" s="2513"/>
      <c r="AF97" s="2513"/>
      <c r="AG97" s="2513"/>
      <c r="AH97" s="2513"/>
      <c r="AI97" s="2513"/>
      <c r="AJ97" s="2513"/>
      <c r="AK97" s="2513"/>
      <c r="AM97" s="607" t="s">
        <v>1876</v>
      </c>
      <c r="AN97" s="165">
        <v>0</v>
      </c>
      <c r="AO97" s="166">
        <v>0</v>
      </c>
      <c r="AP97" s="166">
        <v>0</v>
      </c>
      <c r="AQ97" s="166">
        <v>0</v>
      </c>
      <c r="AR97" s="166">
        <v>0</v>
      </c>
      <c r="AS97" s="166"/>
      <c r="AT97" s="166">
        <v>0</v>
      </c>
      <c r="AU97" s="167">
        <v>0</v>
      </c>
      <c r="AV97" s="165">
        <v>0</v>
      </c>
      <c r="AW97" s="166">
        <v>0</v>
      </c>
      <c r="AX97" s="166">
        <v>0</v>
      </c>
      <c r="AY97" s="166">
        <v>0</v>
      </c>
      <c r="AZ97" s="167">
        <v>0</v>
      </c>
    </row>
    <row r="98" spans="2:52" ht="14.25">
      <c r="B98" s="161"/>
      <c r="C98" s="162" t="s">
        <v>1710</v>
      </c>
      <c r="D98" s="162"/>
      <c r="I98" s="2512"/>
      <c r="J98" s="2513"/>
      <c r="K98" s="2513"/>
      <c r="L98" s="2513"/>
      <c r="M98" s="2513"/>
      <c r="N98" s="2513"/>
      <c r="O98" s="2513"/>
      <c r="P98" s="2513"/>
      <c r="Q98" s="2513"/>
      <c r="R98" s="2513"/>
      <c r="S98" s="2513"/>
      <c r="T98" s="2513"/>
      <c r="U98" s="2513"/>
      <c r="V98" s="2513"/>
      <c r="X98" s="2513"/>
      <c r="Y98" s="2513"/>
      <c r="Z98" s="2513"/>
      <c r="AA98" s="2513"/>
      <c r="AB98" s="2513"/>
      <c r="AC98" s="2512"/>
      <c r="AD98" s="2513"/>
      <c r="AE98" s="2513"/>
      <c r="AF98" s="2513"/>
      <c r="AG98" s="2513"/>
      <c r="AH98" s="2513"/>
      <c r="AI98" s="2513"/>
      <c r="AJ98" s="2513"/>
      <c r="AK98" s="2513"/>
      <c r="AM98" s="607" t="s">
        <v>1876</v>
      </c>
      <c r="AN98" s="1084">
        <f>SUM(AN95:AN97)</f>
        <v>0</v>
      </c>
      <c r="AO98" s="1085">
        <f t="shared" ref="AO98:AZ98" si="33">SUM(AO95:AO97)</f>
        <v>0</v>
      </c>
      <c r="AP98" s="1085">
        <f t="shared" si="33"/>
        <v>0</v>
      </c>
      <c r="AQ98" s="1085">
        <f t="shared" si="33"/>
        <v>0</v>
      </c>
      <c r="AR98" s="1085">
        <f t="shared" si="33"/>
        <v>0</v>
      </c>
      <c r="AS98" s="1085">
        <f t="shared" si="33"/>
        <v>16</v>
      </c>
      <c r="AT98" s="1085">
        <f t="shared" si="33"/>
        <v>0</v>
      </c>
      <c r="AU98" s="1086">
        <f t="shared" si="33"/>
        <v>0</v>
      </c>
      <c r="AV98" s="1084">
        <f t="shared" si="33"/>
        <v>0</v>
      </c>
      <c r="AW98" s="1085">
        <f t="shared" si="33"/>
        <v>0</v>
      </c>
      <c r="AX98" s="1085">
        <f t="shared" si="33"/>
        <v>0</v>
      </c>
      <c r="AY98" s="1085">
        <f t="shared" si="33"/>
        <v>0</v>
      </c>
      <c r="AZ98" s="1086">
        <f t="shared" si="33"/>
        <v>0</v>
      </c>
    </row>
    <row r="99" spans="2:52" ht="14.25">
      <c r="B99" s="123"/>
      <c r="C99" s="127"/>
      <c r="D99" s="127"/>
      <c r="I99" s="2512"/>
      <c r="J99" s="2513"/>
      <c r="K99" s="2513"/>
      <c r="L99" s="2513"/>
      <c r="M99" s="2513"/>
      <c r="N99" s="2513"/>
      <c r="O99" s="2513"/>
      <c r="P99" s="2513"/>
      <c r="Q99" s="2513"/>
      <c r="R99" s="2513"/>
      <c r="S99" s="2513"/>
      <c r="T99" s="2513"/>
      <c r="U99" s="2513"/>
      <c r="V99" s="2513"/>
      <c r="X99" s="2513"/>
      <c r="Y99" s="2513"/>
      <c r="Z99" s="2513"/>
      <c r="AA99" s="2513"/>
      <c r="AB99" s="2513"/>
      <c r="AC99" s="2512"/>
      <c r="AD99" s="2513"/>
      <c r="AE99" s="2513"/>
      <c r="AF99" s="2513"/>
      <c r="AG99" s="2513"/>
      <c r="AH99" s="2513"/>
      <c r="AI99" s="2513"/>
      <c r="AJ99" s="2513"/>
      <c r="AK99" s="2513"/>
      <c r="AM99" s="94"/>
      <c r="AN99" s="878"/>
      <c r="AO99" s="2662"/>
      <c r="AP99" s="2662"/>
      <c r="AQ99" s="2662"/>
      <c r="AR99" s="2662"/>
      <c r="AS99" s="2662"/>
      <c r="AT99" s="2662"/>
      <c r="AU99" s="880"/>
      <c r="AV99" s="878"/>
      <c r="AW99" s="2662"/>
      <c r="AX99" s="2662"/>
      <c r="AY99" s="2662"/>
      <c r="AZ99" s="880"/>
    </row>
    <row r="100" spans="2:52" ht="15" thickBot="1">
      <c r="B100" s="191" t="s">
        <v>1701</v>
      </c>
      <c r="C100" s="193"/>
      <c r="D100" s="193"/>
      <c r="I100" s="2512"/>
      <c r="J100" s="2513"/>
      <c r="K100" s="2513"/>
      <c r="L100" s="2513"/>
      <c r="M100" s="2513"/>
      <c r="N100" s="2513"/>
      <c r="O100" s="2513"/>
      <c r="P100" s="2513"/>
      <c r="Q100" s="2513"/>
      <c r="R100" s="2513"/>
      <c r="S100" s="2513"/>
      <c r="T100" s="2513"/>
      <c r="U100" s="2513"/>
      <c r="V100" s="2513"/>
      <c r="X100" s="2513"/>
      <c r="Y100" s="2513"/>
      <c r="Z100" s="2513"/>
      <c r="AA100" s="2513"/>
      <c r="AB100" s="2513"/>
      <c r="AC100" s="2512"/>
      <c r="AD100" s="2513"/>
      <c r="AE100" s="2513"/>
      <c r="AF100" s="2513"/>
      <c r="AG100" s="2513"/>
      <c r="AH100" s="2513"/>
      <c r="AI100" s="2513"/>
      <c r="AJ100" s="2513"/>
      <c r="AK100" s="2513"/>
      <c r="AM100" s="1083" t="s">
        <v>1876</v>
      </c>
      <c r="AN100" s="873">
        <f>SUM(AN68,AN74,AN80,AN86,AN92,AN98)</f>
        <v>3</v>
      </c>
      <c r="AO100" s="781">
        <f t="shared" ref="AO100:AZ100" si="34">SUM(AO68,AO74,AO80,AO86,AO92,AO98)</f>
        <v>5</v>
      </c>
      <c r="AP100" s="781">
        <f t="shared" si="34"/>
        <v>7</v>
      </c>
      <c r="AQ100" s="781">
        <f t="shared" si="34"/>
        <v>0</v>
      </c>
      <c r="AR100" s="781">
        <f t="shared" si="34"/>
        <v>57</v>
      </c>
      <c r="AS100" s="781">
        <f t="shared" si="34"/>
        <v>37</v>
      </c>
      <c r="AT100" s="781">
        <f t="shared" si="34"/>
        <v>22</v>
      </c>
      <c r="AU100" s="874">
        <f t="shared" si="34"/>
        <v>22</v>
      </c>
      <c r="AV100" s="873">
        <f t="shared" si="34"/>
        <v>45.4</v>
      </c>
      <c r="AW100" s="781">
        <f t="shared" si="34"/>
        <v>45.4</v>
      </c>
      <c r="AX100" s="781">
        <f t="shared" si="34"/>
        <v>45.4</v>
      </c>
      <c r="AY100" s="781">
        <f t="shared" si="34"/>
        <v>45.4</v>
      </c>
      <c r="AZ100" s="874">
        <f t="shared" si="34"/>
        <v>45.4</v>
      </c>
    </row>
    <row r="101" spans="2:52" ht="13.5" thickBot="1">
      <c r="E101" s="1369"/>
      <c r="F101" s="1369"/>
      <c r="G101" s="1360"/>
      <c r="H101" s="1360"/>
      <c r="I101" s="1364"/>
      <c r="J101" s="1360"/>
      <c r="K101" s="1360"/>
      <c r="L101" s="1360"/>
      <c r="M101" s="1360"/>
      <c r="N101" s="1360"/>
      <c r="O101" s="1360"/>
      <c r="P101" s="1360"/>
      <c r="Q101" s="1360"/>
      <c r="R101" s="1360"/>
      <c r="S101" s="1360"/>
      <c r="T101" s="1360"/>
      <c r="U101" s="1360"/>
      <c r="V101" s="1360"/>
      <c r="W101" s="1360"/>
      <c r="X101" s="1360"/>
      <c r="Y101" s="1360"/>
      <c r="Z101" s="1360"/>
      <c r="AA101" s="1360"/>
      <c r="AB101" s="1360"/>
      <c r="AC101" s="1364"/>
      <c r="AD101" s="1360"/>
      <c r="AE101" s="1360"/>
      <c r="AF101" s="1360"/>
      <c r="AG101" s="1360"/>
      <c r="AH101" s="1360"/>
      <c r="AI101" s="1360"/>
      <c r="AJ101" s="1360"/>
      <c r="AK101" s="1360"/>
      <c r="AL101" s="1360"/>
      <c r="AZ101" s="659"/>
    </row>
    <row r="102" spans="2:52" ht="18.75" thickBot="1">
      <c r="B102" s="621" t="s">
        <v>2806</v>
      </c>
      <c r="C102" s="101"/>
      <c r="D102" s="102"/>
      <c r="I102" s="2512"/>
      <c r="J102" s="2513"/>
      <c r="K102" s="2513"/>
      <c r="L102" s="2513"/>
      <c r="M102" s="2513"/>
      <c r="N102" s="2513"/>
      <c r="O102" s="2513"/>
      <c r="P102" s="2513"/>
      <c r="Q102" s="2513"/>
      <c r="R102" s="2513"/>
      <c r="S102" s="2513"/>
      <c r="T102" s="2513"/>
      <c r="U102" s="2513"/>
      <c r="V102" s="2513"/>
      <c r="X102" s="2513"/>
      <c r="Y102" s="2513"/>
      <c r="Z102" s="2513"/>
      <c r="AA102" s="2513"/>
      <c r="AB102" s="2513"/>
      <c r="AC102" s="2512"/>
      <c r="AD102" s="2513"/>
      <c r="AE102" s="2513"/>
      <c r="AF102" s="2513"/>
      <c r="AG102" s="2513"/>
      <c r="AH102" s="2513"/>
      <c r="AI102" s="2513"/>
      <c r="AJ102" s="2513"/>
      <c r="AK102" s="2513"/>
      <c r="AL102" s="100"/>
      <c r="AM102" s="105" t="s">
        <v>2808</v>
      </c>
      <c r="AN102" s="106"/>
      <c r="AO102" s="106"/>
      <c r="AP102" s="106"/>
      <c r="AQ102" s="106"/>
      <c r="AR102" s="106"/>
      <c r="AS102" s="106"/>
      <c r="AT102" s="106"/>
      <c r="AU102" s="106"/>
      <c r="AV102" s="105"/>
      <c r="AW102" s="105"/>
      <c r="AX102" s="105"/>
      <c r="AY102" s="105"/>
      <c r="AZ102" s="187"/>
    </row>
    <row r="103" spans="2:52" ht="18">
      <c r="B103" s="109"/>
      <c r="C103" s="110"/>
      <c r="D103" s="110"/>
      <c r="I103" s="2512"/>
      <c r="J103" s="2513"/>
      <c r="K103" s="2513"/>
      <c r="L103" s="2513"/>
      <c r="M103" s="2513"/>
      <c r="N103" s="2513"/>
      <c r="O103" s="2513"/>
      <c r="P103" s="2513"/>
      <c r="Q103" s="2513"/>
      <c r="R103" s="2513"/>
      <c r="S103" s="2513"/>
      <c r="T103" s="2513"/>
      <c r="U103" s="2513"/>
      <c r="V103" s="2513"/>
      <c r="X103" s="2513"/>
      <c r="Y103" s="2513"/>
      <c r="Z103" s="2513"/>
      <c r="AA103" s="2513"/>
      <c r="AB103" s="2513"/>
      <c r="AC103" s="2512"/>
      <c r="AD103" s="2513"/>
      <c r="AE103" s="2513"/>
      <c r="AF103" s="2513"/>
      <c r="AG103" s="2513"/>
      <c r="AH103" s="2513"/>
      <c r="AI103" s="2513"/>
      <c r="AJ103" s="2513"/>
      <c r="AK103" s="2513"/>
      <c r="AL103" s="2632"/>
      <c r="AM103" s="94"/>
      <c r="AN103" s="695" t="s">
        <v>1666</v>
      </c>
      <c r="AO103" s="152"/>
      <c r="AP103" s="152"/>
      <c r="AQ103" s="152"/>
      <c r="AR103" s="152"/>
      <c r="AS103" s="152"/>
      <c r="AT103" s="152"/>
      <c r="AU103" s="153"/>
      <c r="AV103" s="696" t="s">
        <v>2</v>
      </c>
      <c r="AW103" s="155"/>
      <c r="AX103" s="155"/>
      <c r="AY103" s="155"/>
      <c r="AZ103" s="156"/>
    </row>
    <row r="104" spans="2:52" ht="15">
      <c r="B104" s="115"/>
      <c r="C104" s="116"/>
      <c r="D104" s="116"/>
      <c r="I104" s="2512"/>
      <c r="J104" s="2513"/>
      <c r="K104" s="2513"/>
      <c r="L104" s="2513"/>
      <c r="M104" s="2513"/>
      <c r="N104" s="2513"/>
      <c r="O104" s="2513"/>
      <c r="P104" s="2513"/>
      <c r="Q104" s="2513"/>
      <c r="R104" s="2513"/>
      <c r="S104" s="2513"/>
      <c r="T104" s="2513"/>
      <c r="U104" s="2513"/>
      <c r="V104" s="2513"/>
      <c r="X104" s="2513"/>
      <c r="Y104" s="2513"/>
      <c r="Z104" s="2513"/>
      <c r="AA104" s="2513"/>
      <c r="AB104" s="2513"/>
      <c r="AC104" s="2512"/>
      <c r="AD104" s="2513"/>
      <c r="AE104" s="2513"/>
      <c r="AF104" s="2513"/>
      <c r="AG104" s="2513"/>
      <c r="AH104" s="2513"/>
      <c r="AI104" s="2513"/>
      <c r="AJ104" s="2513"/>
      <c r="AK104" s="2513"/>
      <c r="AL104" s="2629"/>
      <c r="AM104" s="119" t="s">
        <v>1667</v>
      </c>
      <c r="AN104" s="158" t="s">
        <v>453</v>
      </c>
      <c r="AO104" s="137" t="s">
        <v>455</v>
      </c>
      <c r="AP104" s="137" t="s">
        <v>457</v>
      </c>
      <c r="AQ104" s="137" t="s">
        <v>459</v>
      </c>
      <c r="AR104" s="137" t="s">
        <v>461</v>
      </c>
      <c r="AS104" s="137" t="s">
        <v>463</v>
      </c>
      <c r="AT104" s="137" t="s">
        <v>465</v>
      </c>
      <c r="AU104" s="138" t="s">
        <v>467</v>
      </c>
      <c r="AV104" s="120" t="s">
        <v>469</v>
      </c>
      <c r="AW104" s="121" t="s">
        <v>471</v>
      </c>
      <c r="AX104" s="121" t="s">
        <v>473</v>
      </c>
      <c r="AY104" s="121" t="s">
        <v>475</v>
      </c>
      <c r="AZ104" s="122" t="s">
        <v>477</v>
      </c>
    </row>
    <row r="105" spans="2:52" ht="15">
      <c r="B105" s="161"/>
      <c r="C105" s="186" t="s">
        <v>2800</v>
      </c>
      <c r="D105" s="162"/>
      <c r="I105" s="2512"/>
      <c r="J105" s="2513"/>
      <c r="K105" s="2513"/>
      <c r="L105" s="2513"/>
      <c r="M105" s="2513"/>
      <c r="N105" s="2513"/>
      <c r="O105" s="2513"/>
      <c r="P105" s="2513"/>
      <c r="Q105" s="2513"/>
      <c r="R105" s="2513"/>
      <c r="S105" s="2513"/>
      <c r="T105" s="2513"/>
      <c r="U105" s="2513"/>
      <c r="V105" s="2513"/>
      <c r="X105" s="2513"/>
      <c r="Y105" s="2513"/>
      <c r="Z105" s="2513"/>
      <c r="AA105" s="2513"/>
      <c r="AB105" s="2513"/>
      <c r="AC105" s="2512"/>
      <c r="AD105" s="2513"/>
      <c r="AE105" s="2513"/>
      <c r="AF105" s="2513"/>
      <c r="AG105" s="2513"/>
      <c r="AH105" s="2513"/>
      <c r="AI105" s="2513"/>
      <c r="AJ105" s="2513"/>
      <c r="AK105" s="2513"/>
      <c r="AL105" s="2629"/>
      <c r="AM105" s="94"/>
      <c r="AN105" s="159"/>
      <c r="AO105" s="94"/>
      <c r="AP105" s="94"/>
      <c r="AQ105" s="94"/>
      <c r="AR105" s="94"/>
      <c r="AS105" s="94"/>
      <c r="AT105" s="94"/>
      <c r="AU105" s="160"/>
      <c r="AV105" s="159"/>
      <c r="AW105" s="94"/>
      <c r="AX105" s="94"/>
      <c r="AY105" s="94"/>
      <c r="AZ105" s="160"/>
    </row>
    <row r="106" spans="2:52" ht="14.25">
      <c r="B106" s="161"/>
      <c r="C106" s="185"/>
      <c r="D106" s="162" t="s">
        <v>2676</v>
      </c>
      <c r="I106" s="2512"/>
      <c r="J106" s="2513"/>
      <c r="K106" s="2513"/>
      <c r="L106" s="2513"/>
      <c r="M106" s="2513"/>
      <c r="N106" s="2513"/>
      <c r="O106" s="2513"/>
      <c r="P106" s="2513"/>
      <c r="Q106" s="2513"/>
      <c r="R106" s="2513"/>
      <c r="S106" s="2513"/>
      <c r="T106" s="2513"/>
      <c r="U106" s="2513"/>
      <c r="V106" s="2513"/>
      <c r="X106" s="2513"/>
      <c r="Y106" s="2513"/>
      <c r="Z106" s="2513"/>
      <c r="AA106" s="2513"/>
      <c r="AB106" s="2513"/>
      <c r="AC106" s="2512"/>
      <c r="AD106" s="2513"/>
      <c r="AE106" s="2513"/>
      <c r="AF106" s="2513"/>
      <c r="AG106" s="2513"/>
      <c r="AH106" s="2513"/>
      <c r="AI106" s="2513"/>
      <c r="AJ106" s="2513"/>
      <c r="AK106" s="2513"/>
      <c r="AL106" s="2629"/>
      <c r="AM106" s="607" t="s">
        <v>1876</v>
      </c>
      <c r="AN106" s="165">
        <v>1</v>
      </c>
      <c r="AO106" s="166">
        <v>8</v>
      </c>
      <c r="AP106" s="166">
        <v>24</v>
      </c>
      <c r="AQ106" s="166">
        <v>0</v>
      </c>
      <c r="AR106" s="166">
        <v>27</v>
      </c>
      <c r="AS106" s="166">
        <v>20</v>
      </c>
      <c r="AT106" s="166">
        <v>35</v>
      </c>
      <c r="AU106" s="167">
        <v>35</v>
      </c>
      <c r="AV106" s="165"/>
      <c r="AW106" s="166"/>
      <c r="AX106" s="166"/>
      <c r="AY106" s="166"/>
      <c r="AZ106" s="167"/>
    </row>
    <row r="107" spans="2:52" ht="14.25">
      <c r="B107" s="161"/>
      <c r="C107" s="185"/>
      <c r="D107" s="162" t="s">
        <v>2677</v>
      </c>
      <c r="I107" s="2512"/>
      <c r="J107" s="2513"/>
      <c r="K107" s="2513"/>
      <c r="L107" s="2513"/>
      <c r="M107" s="2513"/>
      <c r="N107" s="2513"/>
      <c r="O107" s="2513"/>
      <c r="P107" s="2513"/>
      <c r="Q107" s="2513"/>
      <c r="R107" s="2513"/>
      <c r="S107" s="2513"/>
      <c r="T107" s="2513"/>
      <c r="U107" s="2513"/>
      <c r="V107" s="2513"/>
      <c r="X107" s="2513"/>
      <c r="Y107" s="2513"/>
      <c r="Z107" s="2513"/>
      <c r="AA107" s="2513"/>
      <c r="AB107" s="2513"/>
      <c r="AC107" s="2512"/>
      <c r="AD107" s="2513"/>
      <c r="AE107" s="2513"/>
      <c r="AF107" s="2513"/>
      <c r="AG107" s="2513"/>
      <c r="AH107" s="2513"/>
      <c r="AI107" s="2513"/>
      <c r="AJ107" s="2513"/>
      <c r="AK107" s="2513"/>
      <c r="AL107" s="2629"/>
      <c r="AM107" s="607" t="s">
        <v>1876</v>
      </c>
      <c r="AN107" s="165">
        <v>0</v>
      </c>
      <c r="AO107" s="166">
        <v>0</v>
      </c>
      <c r="AP107" s="166">
        <v>32</v>
      </c>
      <c r="AQ107" s="166">
        <v>0</v>
      </c>
      <c r="AR107" s="166">
        <v>176</v>
      </c>
      <c r="AS107" s="166">
        <v>0</v>
      </c>
      <c r="AT107" s="166">
        <v>90</v>
      </c>
      <c r="AU107" s="167">
        <v>90</v>
      </c>
      <c r="AV107" s="165">
        <v>95.0167265458429</v>
      </c>
      <c r="AW107" s="166">
        <v>95.0167265458429</v>
      </c>
      <c r="AX107" s="166">
        <v>95.0167265458429</v>
      </c>
      <c r="AY107" s="166">
        <v>95.0167265458429</v>
      </c>
      <c r="AZ107" s="167">
        <v>95.0167265458429</v>
      </c>
    </row>
    <row r="108" spans="2:52" ht="14.25">
      <c r="B108" s="161"/>
      <c r="C108" s="185"/>
      <c r="D108" s="162" t="s">
        <v>2678</v>
      </c>
      <c r="I108" s="2512"/>
      <c r="J108" s="2513"/>
      <c r="K108" s="2513"/>
      <c r="L108" s="2513"/>
      <c r="M108" s="2513"/>
      <c r="N108" s="2513"/>
      <c r="O108" s="2513"/>
      <c r="P108" s="2513"/>
      <c r="Q108" s="2513"/>
      <c r="R108" s="2513"/>
      <c r="S108" s="2513"/>
      <c r="T108" s="2513"/>
      <c r="U108" s="2513"/>
      <c r="V108" s="2513"/>
      <c r="X108" s="2513"/>
      <c r="Y108" s="2513"/>
      <c r="Z108" s="2513"/>
      <c r="AA108" s="2513"/>
      <c r="AB108" s="2513"/>
      <c r="AC108" s="2512"/>
      <c r="AD108" s="2513"/>
      <c r="AE108" s="2513"/>
      <c r="AF108" s="2513"/>
      <c r="AG108" s="2513"/>
      <c r="AH108" s="2513"/>
      <c r="AI108" s="2513"/>
      <c r="AJ108" s="2513"/>
      <c r="AK108" s="2513"/>
      <c r="AL108" s="2629"/>
      <c r="AM108" s="607" t="s">
        <v>1876</v>
      </c>
      <c r="AN108" s="165" t="s">
        <v>1</v>
      </c>
      <c r="AO108" s="166">
        <v>0</v>
      </c>
      <c r="AP108" s="166">
        <v>0</v>
      </c>
      <c r="AQ108" s="166">
        <v>0</v>
      </c>
      <c r="AR108" s="166">
        <v>0</v>
      </c>
      <c r="AS108" s="166">
        <v>0</v>
      </c>
      <c r="AT108" s="166"/>
      <c r="AU108" s="167"/>
      <c r="AV108" s="165"/>
      <c r="AW108" s="166"/>
      <c r="AX108" s="166"/>
      <c r="AY108" s="166"/>
      <c r="AZ108" s="167"/>
    </row>
    <row r="109" spans="2:52" ht="14.25">
      <c r="B109" s="161"/>
      <c r="C109" s="162" t="s">
        <v>1710</v>
      </c>
      <c r="D109" s="162"/>
      <c r="I109" s="2512"/>
      <c r="J109" s="2513"/>
      <c r="K109" s="2513"/>
      <c r="L109" s="2513"/>
      <c r="M109" s="2513"/>
      <c r="N109" s="2513"/>
      <c r="O109" s="2513"/>
      <c r="P109" s="2513"/>
      <c r="Q109" s="2513"/>
      <c r="R109" s="2513"/>
      <c r="S109" s="2513"/>
      <c r="T109" s="2513"/>
      <c r="U109" s="2513"/>
      <c r="V109" s="2513"/>
      <c r="X109" s="2513"/>
      <c r="Y109" s="2513"/>
      <c r="Z109" s="2513"/>
      <c r="AA109" s="2513"/>
      <c r="AB109" s="2513"/>
      <c r="AC109" s="2512"/>
      <c r="AD109" s="2513"/>
      <c r="AE109" s="2513"/>
      <c r="AF109" s="2513"/>
      <c r="AG109" s="2513"/>
      <c r="AH109" s="2513"/>
      <c r="AI109" s="2513"/>
      <c r="AJ109" s="2513"/>
      <c r="AK109" s="2513"/>
      <c r="AL109" s="2629"/>
      <c r="AM109" s="607" t="s">
        <v>1876</v>
      </c>
      <c r="AN109" s="1084">
        <f>SUM(AN106:AN108)</f>
        <v>1</v>
      </c>
      <c r="AO109" s="1085">
        <f t="shared" ref="AO109:AZ109" si="35">SUM(AO106:AO108)</f>
        <v>8</v>
      </c>
      <c r="AP109" s="1085">
        <f t="shared" si="35"/>
        <v>56</v>
      </c>
      <c r="AQ109" s="1085">
        <f t="shared" si="35"/>
        <v>0</v>
      </c>
      <c r="AR109" s="1085">
        <f t="shared" si="35"/>
        <v>203</v>
      </c>
      <c r="AS109" s="1085">
        <f t="shared" si="35"/>
        <v>20</v>
      </c>
      <c r="AT109" s="1085">
        <f t="shared" si="35"/>
        <v>125</v>
      </c>
      <c r="AU109" s="1086">
        <f t="shared" si="35"/>
        <v>125</v>
      </c>
      <c r="AV109" s="1084">
        <f t="shared" si="35"/>
        <v>95.0167265458429</v>
      </c>
      <c r="AW109" s="1085">
        <f t="shared" si="35"/>
        <v>95.0167265458429</v>
      </c>
      <c r="AX109" s="1085">
        <f t="shared" si="35"/>
        <v>95.0167265458429</v>
      </c>
      <c r="AY109" s="1085">
        <f t="shared" si="35"/>
        <v>95.0167265458429</v>
      </c>
      <c r="AZ109" s="1086">
        <f t="shared" si="35"/>
        <v>95.0167265458429</v>
      </c>
    </row>
    <row r="110" spans="2:52" ht="14.25">
      <c r="B110" s="123"/>
      <c r="C110" s="127"/>
      <c r="D110" s="127"/>
      <c r="I110" s="2512"/>
      <c r="J110" s="2513"/>
      <c r="K110" s="2513"/>
      <c r="L110" s="2513"/>
      <c r="M110" s="2513"/>
      <c r="N110" s="2513"/>
      <c r="O110" s="2513"/>
      <c r="P110" s="2513"/>
      <c r="Q110" s="2513"/>
      <c r="R110" s="2513"/>
      <c r="S110" s="2513"/>
      <c r="T110" s="2513"/>
      <c r="U110" s="2513"/>
      <c r="V110" s="2513"/>
      <c r="X110" s="2513"/>
      <c r="Y110" s="2513"/>
      <c r="Z110" s="2513"/>
      <c r="AA110" s="2513"/>
      <c r="AB110" s="2513"/>
      <c r="AC110" s="2512"/>
      <c r="AD110" s="2513"/>
      <c r="AE110" s="2513"/>
      <c r="AF110" s="2513"/>
      <c r="AG110" s="2513"/>
      <c r="AH110" s="2513"/>
      <c r="AI110" s="2513"/>
      <c r="AJ110" s="2513"/>
      <c r="AK110" s="2513"/>
      <c r="AL110" s="2629"/>
      <c r="AM110" s="94"/>
      <c r="AN110" s="878"/>
      <c r="AO110" s="2662"/>
      <c r="AP110" s="2662"/>
      <c r="AQ110" s="2662"/>
      <c r="AR110" s="2662"/>
      <c r="AS110" s="2662"/>
      <c r="AT110" s="2662"/>
      <c r="AU110" s="880"/>
      <c r="AV110" s="878"/>
      <c r="AW110" s="2662"/>
      <c r="AX110" s="2662"/>
      <c r="AY110" s="2662"/>
      <c r="AZ110" s="880"/>
    </row>
    <row r="111" spans="2:52" ht="15">
      <c r="B111" s="161"/>
      <c r="C111" s="186" t="s">
        <v>2801</v>
      </c>
      <c r="D111" s="162"/>
      <c r="I111" s="2512"/>
      <c r="J111" s="2513"/>
      <c r="K111" s="2513"/>
      <c r="L111" s="2513"/>
      <c r="M111" s="2513"/>
      <c r="N111" s="2513"/>
      <c r="O111" s="2513"/>
      <c r="P111" s="2513"/>
      <c r="Q111" s="2513"/>
      <c r="R111" s="2513"/>
      <c r="S111" s="2513"/>
      <c r="T111" s="2513"/>
      <c r="U111" s="2513"/>
      <c r="V111" s="2513"/>
      <c r="X111" s="2513"/>
      <c r="Y111" s="2513"/>
      <c r="Z111" s="2513"/>
      <c r="AA111" s="2513"/>
      <c r="AB111" s="2513"/>
      <c r="AC111" s="2512"/>
      <c r="AD111" s="2513"/>
      <c r="AE111" s="2513"/>
      <c r="AF111" s="2513"/>
      <c r="AG111" s="2513"/>
      <c r="AH111" s="2513"/>
      <c r="AI111" s="2513"/>
      <c r="AJ111" s="2513"/>
      <c r="AK111" s="2513"/>
      <c r="AL111" s="2629"/>
      <c r="AM111" s="94"/>
      <c r="AN111" s="878"/>
      <c r="AO111" s="2662"/>
      <c r="AP111" s="2662"/>
      <c r="AQ111" s="2662"/>
      <c r="AR111" s="2662"/>
      <c r="AS111" s="2662"/>
      <c r="AT111" s="2662"/>
      <c r="AU111" s="880"/>
      <c r="AV111" s="878"/>
      <c r="AW111" s="2662"/>
      <c r="AX111" s="2662"/>
      <c r="AY111" s="2662"/>
      <c r="AZ111" s="880"/>
    </row>
    <row r="112" spans="2:52" ht="14.25">
      <c r="B112" s="161"/>
      <c r="C112" s="185"/>
      <c r="D112" s="162" t="s">
        <v>2676</v>
      </c>
      <c r="I112" s="2512"/>
      <c r="J112" s="2513"/>
      <c r="K112" s="2513"/>
      <c r="L112" s="2513"/>
      <c r="M112" s="2513"/>
      <c r="N112" s="2513"/>
      <c r="O112" s="2513"/>
      <c r="P112" s="2513"/>
      <c r="Q112" s="2513"/>
      <c r="R112" s="2513"/>
      <c r="S112" s="2513"/>
      <c r="T112" s="2513"/>
      <c r="U112" s="2513"/>
      <c r="V112" s="2513"/>
      <c r="X112" s="2513"/>
      <c r="Y112" s="2513"/>
      <c r="Z112" s="2513"/>
      <c r="AA112" s="2513"/>
      <c r="AB112" s="2513"/>
      <c r="AC112" s="2512"/>
      <c r="AD112" s="2513"/>
      <c r="AE112" s="2513"/>
      <c r="AF112" s="2513"/>
      <c r="AG112" s="2513"/>
      <c r="AH112" s="2513"/>
      <c r="AI112" s="2513"/>
      <c r="AJ112" s="2513"/>
      <c r="AK112" s="2513"/>
      <c r="AL112" s="2629"/>
      <c r="AM112" s="607" t="s">
        <v>1876</v>
      </c>
      <c r="AN112" s="165">
        <v>0</v>
      </c>
      <c r="AO112" s="166">
        <v>1</v>
      </c>
      <c r="AP112" s="166">
        <v>0</v>
      </c>
      <c r="AQ112" s="166">
        <v>0</v>
      </c>
      <c r="AR112" s="166">
        <v>0</v>
      </c>
      <c r="AS112" s="166">
        <v>0</v>
      </c>
      <c r="AT112" s="166">
        <v>0</v>
      </c>
      <c r="AU112" s="167">
        <v>0</v>
      </c>
      <c r="AV112" s="165">
        <v>0</v>
      </c>
      <c r="AW112" s="166">
        <v>0</v>
      </c>
      <c r="AX112" s="166">
        <v>0</v>
      </c>
      <c r="AY112" s="166">
        <v>0</v>
      </c>
      <c r="AZ112" s="167">
        <v>0</v>
      </c>
    </row>
    <row r="113" spans="2:52" ht="14.25">
      <c r="B113" s="161"/>
      <c r="C113" s="185"/>
      <c r="D113" s="162" t="s">
        <v>2677</v>
      </c>
      <c r="I113" s="2512"/>
      <c r="J113" s="2513"/>
      <c r="K113" s="2513"/>
      <c r="L113" s="2513"/>
      <c r="M113" s="2513"/>
      <c r="N113" s="2513"/>
      <c r="O113" s="2513"/>
      <c r="P113" s="2513"/>
      <c r="Q113" s="2513"/>
      <c r="R113" s="2513"/>
      <c r="S113" s="2513"/>
      <c r="T113" s="2513"/>
      <c r="U113" s="2513"/>
      <c r="V113" s="2513"/>
      <c r="X113" s="2513"/>
      <c r="Y113" s="2513"/>
      <c r="Z113" s="2513"/>
      <c r="AA113" s="2513"/>
      <c r="AB113" s="2513"/>
      <c r="AC113" s="2512"/>
      <c r="AD113" s="2513"/>
      <c r="AE113" s="2513"/>
      <c r="AF113" s="2513"/>
      <c r="AG113" s="2513"/>
      <c r="AH113" s="2513"/>
      <c r="AI113" s="2513"/>
      <c r="AJ113" s="2513"/>
      <c r="AK113" s="2513"/>
      <c r="AL113" s="2629"/>
      <c r="AM113" s="607" t="s">
        <v>1876</v>
      </c>
      <c r="AN113" s="165">
        <v>0</v>
      </c>
      <c r="AO113" s="166">
        <v>0</v>
      </c>
      <c r="AP113" s="166">
        <v>0</v>
      </c>
      <c r="AQ113" s="166">
        <v>0</v>
      </c>
      <c r="AR113" s="166">
        <v>8</v>
      </c>
      <c r="AS113" s="166">
        <v>0</v>
      </c>
      <c r="AT113" s="166">
        <v>0</v>
      </c>
      <c r="AU113" s="167">
        <v>0</v>
      </c>
      <c r="AV113" s="165">
        <v>0</v>
      </c>
      <c r="AW113" s="166">
        <v>0</v>
      </c>
      <c r="AX113" s="166">
        <v>0</v>
      </c>
      <c r="AY113" s="166">
        <v>0</v>
      </c>
      <c r="AZ113" s="167">
        <v>0</v>
      </c>
    </row>
    <row r="114" spans="2:52" ht="14.25">
      <c r="B114" s="161"/>
      <c r="C114" s="185"/>
      <c r="D114" s="162" t="s">
        <v>2678</v>
      </c>
      <c r="I114" s="2512"/>
      <c r="J114" s="2513"/>
      <c r="K114" s="2513"/>
      <c r="L114" s="2513"/>
      <c r="M114" s="2513"/>
      <c r="N114" s="2513"/>
      <c r="O114" s="2513"/>
      <c r="P114" s="2513"/>
      <c r="Q114" s="2513"/>
      <c r="R114" s="2513"/>
      <c r="S114" s="2513"/>
      <c r="T114" s="2513"/>
      <c r="U114" s="2513"/>
      <c r="V114" s="2513"/>
      <c r="X114" s="2513"/>
      <c r="Y114" s="2513"/>
      <c r="Z114" s="2513"/>
      <c r="AA114" s="2513"/>
      <c r="AB114" s="2513"/>
      <c r="AC114" s="2512"/>
      <c r="AD114" s="2513"/>
      <c r="AE114" s="2513"/>
      <c r="AF114" s="2513"/>
      <c r="AG114" s="2513"/>
      <c r="AH114" s="2513"/>
      <c r="AI114" s="2513"/>
      <c r="AJ114" s="2513"/>
      <c r="AK114" s="2513"/>
      <c r="AL114" s="2629"/>
      <c r="AM114" s="607" t="s">
        <v>1876</v>
      </c>
      <c r="AN114" s="165">
        <v>0</v>
      </c>
      <c r="AO114" s="166">
        <v>16</v>
      </c>
      <c r="AP114" s="166">
        <v>0</v>
      </c>
      <c r="AQ114" s="166">
        <v>0</v>
      </c>
      <c r="AR114" s="166">
        <v>0</v>
      </c>
      <c r="AS114" s="166">
        <v>0</v>
      </c>
      <c r="AT114" s="166">
        <v>0</v>
      </c>
      <c r="AU114" s="167">
        <v>0</v>
      </c>
      <c r="AV114" s="165">
        <v>0</v>
      </c>
      <c r="AW114" s="166">
        <v>0</v>
      </c>
      <c r="AX114" s="166">
        <v>0</v>
      </c>
      <c r="AY114" s="166">
        <v>0</v>
      </c>
      <c r="AZ114" s="167">
        <v>0</v>
      </c>
    </row>
    <row r="115" spans="2:52" ht="14.25">
      <c r="B115" s="161"/>
      <c r="C115" s="162" t="s">
        <v>1710</v>
      </c>
      <c r="D115" s="162"/>
      <c r="I115" s="2512"/>
      <c r="J115" s="2513"/>
      <c r="K115" s="2513"/>
      <c r="L115" s="2513"/>
      <c r="M115" s="2513"/>
      <c r="N115" s="2513"/>
      <c r="O115" s="2513"/>
      <c r="P115" s="2513"/>
      <c r="Q115" s="2513"/>
      <c r="R115" s="2513"/>
      <c r="S115" s="2513"/>
      <c r="T115" s="2513"/>
      <c r="U115" s="2513"/>
      <c r="V115" s="2513"/>
      <c r="X115" s="2513"/>
      <c r="Y115" s="2513"/>
      <c r="Z115" s="2513"/>
      <c r="AA115" s="2513"/>
      <c r="AB115" s="2513"/>
      <c r="AC115" s="2512"/>
      <c r="AD115" s="2513"/>
      <c r="AE115" s="2513"/>
      <c r="AF115" s="2513"/>
      <c r="AG115" s="2513"/>
      <c r="AH115" s="2513"/>
      <c r="AI115" s="2513"/>
      <c r="AJ115" s="2513"/>
      <c r="AK115" s="2513"/>
      <c r="AL115" s="2629"/>
      <c r="AM115" s="607" t="s">
        <v>1876</v>
      </c>
      <c r="AN115" s="1084">
        <f>SUM(AN112:AN114)</f>
        <v>0</v>
      </c>
      <c r="AO115" s="1085">
        <f t="shared" ref="AO115:AZ115" si="36">SUM(AO112:AO114)</f>
        <v>17</v>
      </c>
      <c r="AP115" s="1085">
        <f t="shared" si="36"/>
        <v>0</v>
      </c>
      <c r="AQ115" s="1085">
        <f t="shared" si="36"/>
        <v>0</v>
      </c>
      <c r="AR115" s="1085">
        <f t="shared" si="36"/>
        <v>8</v>
      </c>
      <c r="AS115" s="1085">
        <f t="shared" si="36"/>
        <v>0</v>
      </c>
      <c r="AT115" s="1085">
        <f t="shared" si="36"/>
        <v>0</v>
      </c>
      <c r="AU115" s="1086">
        <f t="shared" si="36"/>
        <v>0</v>
      </c>
      <c r="AV115" s="1084">
        <f t="shared" si="36"/>
        <v>0</v>
      </c>
      <c r="AW115" s="1085">
        <f t="shared" si="36"/>
        <v>0</v>
      </c>
      <c r="AX115" s="1085">
        <f t="shared" si="36"/>
        <v>0</v>
      </c>
      <c r="AY115" s="1085">
        <f t="shared" si="36"/>
        <v>0</v>
      </c>
      <c r="AZ115" s="1086">
        <f t="shared" si="36"/>
        <v>0</v>
      </c>
    </row>
    <row r="116" spans="2:52" ht="14.25">
      <c r="B116" s="123"/>
      <c r="C116" s="127"/>
      <c r="D116" s="127"/>
      <c r="I116" s="2512"/>
      <c r="J116" s="2513"/>
      <c r="K116" s="2513"/>
      <c r="L116" s="2513"/>
      <c r="M116" s="2513"/>
      <c r="N116" s="2513"/>
      <c r="O116" s="2513"/>
      <c r="P116" s="2513"/>
      <c r="Q116" s="2513"/>
      <c r="R116" s="2513"/>
      <c r="S116" s="2513"/>
      <c r="T116" s="2513"/>
      <c r="U116" s="2513"/>
      <c r="V116" s="2513"/>
      <c r="X116" s="2513"/>
      <c r="Y116" s="2513"/>
      <c r="Z116" s="2513"/>
      <c r="AA116" s="2513"/>
      <c r="AB116" s="2513"/>
      <c r="AC116" s="2512"/>
      <c r="AD116" s="2513"/>
      <c r="AE116" s="2513"/>
      <c r="AF116" s="2513"/>
      <c r="AG116" s="2513"/>
      <c r="AH116" s="2513"/>
      <c r="AI116" s="2513"/>
      <c r="AJ116" s="2513"/>
      <c r="AK116" s="2513"/>
      <c r="AL116" s="2629"/>
      <c r="AM116" s="94"/>
      <c r="AN116" s="878"/>
      <c r="AO116" s="2662"/>
      <c r="AP116" s="2662"/>
      <c r="AQ116" s="2662"/>
      <c r="AR116" s="2662"/>
      <c r="AS116" s="2662"/>
      <c r="AT116" s="2662"/>
      <c r="AU116" s="880"/>
      <c r="AV116" s="878"/>
      <c r="AW116" s="2662"/>
      <c r="AX116" s="2662"/>
      <c r="AY116" s="2662"/>
      <c r="AZ116" s="880"/>
    </row>
    <row r="117" spans="2:52" ht="15">
      <c r="B117" s="161"/>
      <c r="C117" s="186" t="s">
        <v>2802</v>
      </c>
      <c r="D117" s="162"/>
      <c r="I117" s="2512"/>
      <c r="J117" s="2513"/>
      <c r="K117" s="2513"/>
      <c r="L117" s="2513"/>
      <c r="M117" s="2513"/>
      <c r="N117" s="2513"/>
      <c r="O117" s="2513"/>
      <c r="P117" s="2513"/>
      <c r="Q117" s="2513"/>
      <c r="R117" s="2513"/>
      <c r="S117" s="2513"/>
      <c r="T117" s="2513"/>
      <c r="U117" s="2513"/>
      <c r="V117" s="2513"/>
      <c r="X117" s="2513"/>
      <c r="Y117" s="2513"/>
      <c r="Z117" s="2513"/>
      <c r="AA117" s="2513"/>
      <c r="AB117" s="2513"/>
      <c r="AC117" s="2512"/>
      <c r="AD117" s="2513"/>
      <c r="AE117" s="2513"/>
      <c r="AF117" s="2513"/>
      <c r="AG117" s="2513"/>
      <c r="AH117" s="2513"/>
      <c r="AI117" s="2513"/>
      <c r="AJ117" s="2513"/>
      <c r="AK117" s="2513"/>
      <c r="AL117" s="2629"/>
      <c r="AM117" s="94"/>
      <c r="AN117" s="878"/>
      <c r="AO117" s="2662"/>
      <c r="AP117" s="2662"/>
      <c r="AQ117" s="2662"/>
      <c r="AR117" s="2662"/>
      <c r="AS117" s="2662"/>
      <c r="AT117" s="2662"/>
      <c r="AU117" s="880"/>
      <c r="AV117" s="878"/>
      <c r="AW117" s="2662"/>
      <c r="AX117" s="2662"/>
      <c r="AY117" s="2662"/>
      <c r="AZ117" s="880"/>
    </row>
    <row r="118" spans="2:52" ht="14.25">
      <c r="B118" s="161"/>
      <c r="C118" s="185"/>
      <c r="D118" s="162" t="s">
        <v>2676</v>
      </c>
      <c r="I118" s="2512"/>
      <c r="J118" s="2513"/>
      <c r="K118" s="2513"/>
      <c r="L118" s="2513"/>
      <c r="M118" s="2513"/>
      <c r="N118" s="2513"/>
      <c r="O118" s="2513"/>
      <c r="P118" s="2513"/>
      <c r="Q118" s="2513"/>
      <c r="R118" s="2513"/>
      <c r="S118" s="2513"/>
      <c r="T118" s="2513"/>
      <c r="U118" s="2513"/>
      <c r="V118" s="2513"/>
      <c r="X118" s="2513"/>
      <c r="Y118" s="2513"/>
      <c r="Z118" s="2513"/>
      <c r="AA118" s="2513"/>
      <c r="AB118" s="2513"/>
      <c r="AC118" s="2512"/>
      <c r="AD118" s="2513"/>
      <c r="AE118" s="2513"/>
      <c r="AF118" s="2513"/>
      <c r="AG118" s="2513"/>
      <c r="AH118" s="2513"/>
      <c r="AI118" s="2513"/>
      <c r="AJ118" s="2513"/>
      <c r="AK118" s="2513"/>
      <c r="AL118" s="2629"/>
      <c r="AM118" s="607" t="s">
        <v>1876</v>
      </c>
      <c r="AN118" s="165">
        <v>0</v>
      </c>
      <c r="AO118" s="166">
        <v>0</v>
      </c>
      <c r="AP118" s="166">
        <v>0</v>
      </c>
      <c r="AQ118" s="166">
        <v>0</v>
      </c>
      <c r="AR118" s="166">
        <v>0</v>
      </c>
      <c r="AS118" s="166">
        <v>0</v>
      </c>
      <c r="AT118" s="166">
        <v>0</v>
      </c>
      <c r="AU118" s="167">
        <v>0</v>
      </c>
      <c r="AV118" s="165">
        <v>0</v>
      </c>
      <c r="AW118" s="166">
        <v>0</v>
      </c>
      <c r="AX118" s="166">
        <v>0</v>
      </c>
      <c r="AY118" s="166">
        <v>0</v>
      </c>
      <c r="AZ118" s="167">
        <v>0</v>
      </c>
    </row>
    <row r="119" spans="2:52" ht="14.25">
      <c r="B119" s="161"/>
      <c r="C119" s="185"/>
      <c r="D119" s="162" t="s">
        <v>2677</v>
      </c>
      <c r="I119" s="2512"/>
      <c r="J119" s="2513"/>
      <c r="K119" s="2513"/>
      <c r="L119" s="2513"/>
      <c r="M119" s="2513"/>
      <c r="N119" s="2513"/>
      <c r="O119" s="2513"/>
      <c r="P119" s="2513"/>
      <c r="Q119" s="2513"/>
      <c r="R119" s="2513"/>
      <c r="S119" s="2513"/>
      <c r="T119" s="2513"/>
      <c r="U119" s="2513"/>
      <c r="V119" s="2513"/>
      <c r="X119" s="2513"/>
      <c r="Y119" s="2513"/>
      <c r="Z119" s="2513"/>
      <c r="AA119" s="2513"/>
      <c r="AB119" s="2513"/>
      <c r="AC119" s="2512"/>
      <c r="AD119" s="2513"/>
      <c r="AE119" s="2513"/>
      <c r="AF119" s="2513"/>
      <c r="AG119" s="2513"/>
      <c r="AH119" s="2513"/>
      <c r="AI119" s="2513"/>
      <c r="AJ119" s="2513"/>
      <c r="AK119" s="2513"/>
      <c r="AL119" s="2629"/>
      <c r="AM119" s="607" t="s">
        <v>1876</v>
      </c>
      <c r="AN119" s="165">
        <v>0</v>
      </c>
      <c r="AO119" s="166">
        <v>0</v>
      </c>
      <c r="AP119" s="166">
        <v>0</v>
      </c>
      <c r="AQ119" s="166">
        <v>0</v>
      </c>
      <c r="AR119" s="166">
        <v>0</v>
      </c>
      <c r="AS119" s="166">
        <v>0</v>
      </c>
      <c r="AT119" s="166">
        <v>0</v>
      </c>
      <c r="AU119" s="167">
        <v>0</v>
      </c>
      <c r="AV119" s="165">
        <v>36.544894825324192</v>
      </c>
      <c r="AW119" s="166">
        <v>36.544894825324192</v>
      </c>
      <c r="AX119" s="166">
        <v>36.544894825324192</v>
      </c>
      <c r="AY119" s="166">
        <v>36.544894825324192</v>
      </c>
      <c r="AZ119" s="167">
        <v>36.544894825324192</v>
      </c>
    </row>
    <row r="120" spans="2:52" ht="14.25">
      <c r="B120" s="161"/>
      <c r="C120" s="185"/>
      <c r="D120" s="162" t="s">
        <v>2678</v>
      </c>
      <c r="I120" s="2512"/>
      <c r="J120" s="2513"/>
      <c r="K120" s="2513"/>
      <c r="L120" s="2513"/>
      <c r="M120" s="2513"/>
      <c r="N120" s="2513"/>
      <c r="O120" s="2513"/>
      <c r="P120" s="2513"/>
      <c r="Q120" s="2513"/>
      <c r="R120" s="2513"/>
      <c r="S120" s="2513"/>
      <c r="T120" s="2513"/>
      <c r="U120" s="2513"/>
      <c r="V120" s="2513"/>
      <c r="X120" s="2513"/>
      <c r="Y120" s="2513"/>
      <c r="Z120" s="2513"/>
      <c r="AA120" s="2513"/>
      <c r="AB120" s="2513"/>
      <c r="AC120" s="2512"/>
      <c r="AD120" s="2513"/>
      <c r="AE120" s="2513"/>
      <c r="AF120" s="2513"/>
      <c r="AG120" s="2513"/>
      <c r="AH120" s="2513"/>
      <c r="AI120" s="2513"/>
      <c r="AJ120" s="2513"/>
      <c r="AK120" s="2513"/>
      <c r="AL120" s="2629"/>
      <c r="AM120" s="607" t="s">
        <v>1876</v>
      </c>
      <c r="AN120" s="165">
        <v>0</v>
      </c>
      <c r="AO120" s="166">
        <v>0</v>
      </c>
      <c r="AP120" s="166">
        <v>0</v>
      </c>
      <c r="AQ120" s="166">
        <v>0</v>
      </c>
      <c r="AR120" s="166">
        <v>0</v>
      </c>
      <c r="AS120" s="166">
        <v>0</v>
      </c>
      <c r="AT120" s="166">
        <v>0</v>
      </c>
      <c r="AU120" s="167">
        <v>0</v>
      </c>
      <c r="AV120" s="165">
        <v>0</v>
      </c>
      <c r="AW120" s="166">
        <v>0</v>
      </c>
      <c r="AX120" s="166">
        <v>0</v>
      </c>
      <c r="AY120" s="166">
        <v>0</v>
      </c>
      <c r="AZ120" s="167">
        <v>0</v>
      </c>
    </row>
    <row r="121" spans="2:52" ht="14.25">
      <c r="B121" s="161"/>
      <c r="C121" s="162" t="s">
        <v>1710</v>
      </c>
      <c r="D121" s="162"/>
      <c r="I121" s="2512"/>
      <c r="J121" s="2513"/>
      <c r="K121" s="2513"/>
      <c r="L121" s="2513"/>
      <c r="M121" s="2513"/>
      <c r="N121" s="2513"/>
      <c r="O121" s="2513"/>
      <c r="P121" s="2513"/>
      <c r="Q121" s="2513"/>
      <c r="R121" s="2513"/>
      <c r="S121" s="2513"/>
      <c r="T121" s="2513"/>
      <c r="U121" s="2513"/>
      <c r="V121" s="2513"/>
      <c r="X121" s="2513"/>
      <c r="Y121" s="2513"/>
      <c r="Z121" s="2513"/>
      <c r="AA121" s="2513"/>
      <c r="AB121" s="2513"/>
      <c r="AC121" s="2512"/>
      <c r="AD121" s="2513"/>
      <c r="AE121" s="2513"/>
      <c r="AF121" s="2513"/>
      <c r="AG121" s="2513"/>
      <c r="AH121" s="2513"/>
      <c r="AI121" s="2513"/>
      <c r="AJ121" s="2513"/>
      <c r="AK121" s="2513"/>
      <c r="AL121" s="2629"/>
      <c r="AM121" s="607" t="s">
        <v>1876</v>
      </c>
      <c r="AN121" s="1084">
        <f>SUM(AN118:AN120)</f>
        <v>0</v>
      </c>
      <c r="AO121" s="1085">
        <f t="shared" ref="AO121:AZ121" si="37">SUM(AO118:AO120)</f>
        <v>0</v>
      </c>
      <c r="AP121" s="1085">
        <f t="shared" si="37"/>
        <v>0</v>
      </c>
      <c r="AQ121" s="1085">
        <f t="shared" si="37"/>
        <v>0</v>
      </c>
      <c r="AR121" s="1085">
        <f t="shared" si="37"/>
        <v>0</v>
      </c>
      <c r="AS121" s="1085">
        <f t="shared" si="37"/>
        <v>0</v>
      </c>
      <c r="AT121" s="1085">
        <f t="shared" si="37"/>
        <v>0</v>
      </c>
      <c r="AU121" s="1086">
        <f t="shared" si="37"/>
        <v>0</v>
      </c>
      <c r="AV121" s="1084">
        <f t="shared" si="37"/>
        <v>36.544894825324192</v>
      </c>
      <c r="AW121" s="1085">
        <f t="shared" si="37"/>
        <v>36.544894825324192</v>
      </c>
      <c r="AX121" s="1085">
        <f t="shared" si="37"/>
        <v>36.544894825324192</v>
      </c>
      <c r="AY121" s="1085">
        <f t="shared" si="37"/>
        <v>36.544894825324192</v>
      </c>
      <c r="AZ121" s="1086">
        <f t="shared" si="37"/>
        <v>36.544894825324192</v>
      </c>
    </row>
    <row r="122" spans="2:52" ht="14.25">
      <c r="B122" s="123"/>
      <c r="C122" s="127"/>
      <c r="D122" s="127"/>
      <c r="I122" s="2512"/>
      <c r="J122" s="2513"/>
      <c r="K122" s="2513"/>
      <c r="L122" s="2513"/>
      <c r="M122" s="2513"/>
      <c r="N122" s="2513"/>
      <c r="O122" s="2513"/>
      <c r="P122" s="2513"/>
      <c r="Q122" s="2513"/>
      <c r="R122" s="2513"/>
      <c r="S122" s="2513"/>
      <c r="T122" s="2513"/>
      <c r="U122" s="2513"/>
      <c r="V122" s="2513"/>
      <c r="X122" s="2513"/>
      <c r="Y122" s="2513"/>
      <c r="Z122" s="2513"/>
      <c r="AA122" s="2513"/>
      <c r="AB122" s="2513"/>
      <c r="AC122" s="2512"/>
      <c r="AD122" s="2513"/>
      <c r="AE122" s="2513"/>
      <c r="AF122" s="2513"/>
      <c r="AG122" s="2513"/>
      <c r="AH122" s="2513"/>
      <c r="AI122" s="2513"/>
      <c r="AJ122" s="2513"/>
      <c r="AK122" s="2513"/>
      <c r="AL122" s="2629"/>
      <c r="AM122" s="94"/>
      <c r="AN122" s="878"/>
      <c r="AO122" s="2662"/>
      <c r="AP122" s="2662"/>
      <c r="AQ122" s="2662"/>
      <c r="AR122" s="2662"/>
      <c r="AS122" s="2662"/>
      <c r="AT122" s="2662"/>
      <c r="AU122" s="880"/>
      <c r="AV122" s="878"/>
      <c r="AW122" s="2662"/>
      <c r="AX122" s="2662"/>
      <c r="AY122" s="2662"/>
      <c r="AZ122" s="880"/>
    </row>
    <row r="123" spans="2:52" ht="15">
      <c r="B123" s="161"/>
      <c r="C123" s="186" t="s">
        <v>2803</v>
      </c>
      <c r="D123" s="162"/>
      <c r="I123" s="2512"/>
      <c r="J123" s="2513"/>
      <c r="K123" s="2513"/>
      <c r="L123" s="2513"/>
      <c r="M123" s="2513"/>
      <c r="N123" s="2513"/>
      <c r="O123" s="2513"/>
      <c r="P123" s="2513"/>
      <c r="Q123" s="2513"/>
      <c r="R123" s="2513"/>
      <c r="S123" s="2513"/>
      <c r="T123" s="2513"/>
      <c r="U123" s="2513"/>
      <c r="V123" s="2513"/>
      <c r="X123" s="2513"/>
      <c r="Y123" s="2513"/>
      <c r="Z123" s="2513"/>
      <c r="AA123" s="2513"/>
      <c r="AB123" s="2513"/>
      <c r="AC123" s="2512"/>
      <c r="AD123" s="2513"/>
      <c r="AE123" s="2513"/>
      <c r="AF123" s="2513"/>
      <c r="AG123" s="2513"/>
      <c r="AH123" s="2513"/>
      <c r="AI123" s="2513"/>
      <c r="AJ123" s="2513"/>
      <c r="AK123" s="2513"/>
      <c r="AL123" s="2629"/>
      <c r="AM123" s="94"/>
      <c r="AN123" s="878"/>
      <c r="AO123" s="2662"/>
      <c r="AP123" s="2662"/>
      <c r="AQ123" s="2662"/>
      <c r="AR123" s="2662"/>
      <c r="AS123" s="2662"/>
      <c r="AT123" s="2662"/>
      <c r="AU123" s="880"/>
      <c r="AV123" s="878"/>
      <c r="AW123" s="2662"/>
      <c r="AX123" s="2662"/>
      <c r="AY123" s="2662"/>
      <c r="AZ123" s="880"/>
    </row>
    <row r="124" spans="2:52" ht="14.25">
      <c r="B124" s="161"/>
      <c r="C124" s="185"/>
      <c r="D124" s="162" t="s">
        <v>2676</v>
      </c>
      <c r="I124" s="2512"/>
      <c r="J124" s="2513"/>
      <c r="K124" s="2513"/>
      <c r="L124" s="2513"/>
      <c r="M124" s="2513"/>
      <c r="N124" s="2513"/>
      <c r="O124" s="2513"/>
      <c r="P124" s="2513"/>
      <c r="Q124" s="2513"/>
      <c r="R124" s="2513"/>
      <c r="S124" s="2513"/>
      <c r="T124" s="2513"/>
      <c r="U124" s="2513"/>
      <c r="V124" s="2513"/>
      <c r="X124" s="2513"/>
      <c r="Y124" s="2513"/>
      <c r="Z124" s="2513"/>
      <c r="AA124" s="2513"/>
      <c r="AB124" s="2513"/>
      <c r="AC124" s="2512"/>
      <c r="AD124" s="2513"/>
      <c r="AE124" s="2513"/>
      <c r="AF124" s="2513"/>
      <c r="AG124" s="2513"/>
      <c r="AH124" s="2513"/>
      <c r="AI124" s="2513"/>
      <c r="AJ124" s="2513"/>
      <c r="AK124" s="2513"/>
      <c r="AL124" s="2629"/>
      <c r="AM124" s="607" t="s">
        <v>1876</v>
      </c>
      <c r="AN124" s="165">
        <v>0</v>
      </c>
      <c r="AO124" s="166">
        <v>0</v>
      </c>
      <c r="AP124" s="166">
        <v>0</v>
      </c>
      <c r="AQ124" s="166">
        <v>0</v>
      </c>
      <c r="AR124" s="166">
        <v>0</v>
      </c>
      <c r="AS124" s="166">
        <v>0</v>
      </c>
      <c r="AT124" s="166">
        <v>0</v>
      </c>
      <c r="AU124" s="167">
        <v>0</v>
      </c>
      <c r="AV124" s="165">
        <v>0</v>
      </c>
      <c r="AW124" s="166">
        <v>0</v>
      </c>
      <c r="AX124" s="166">
        <v>0</v>
      </c>
      <c r="AY124" s="166">
        <v>0</v>
      </c>
      <c r="AZ124" s="167">
        <v>0</v>
      </c>
    </row>
    <row r="125" spans="2:52" ht="14.25">
      <c r="B125" s="161"/>
      <c r="C125" s="185"/>
      <c r="D125" s="162" t="s">
        <v>2677</v>
      </c>
      <c r="I125" s="2512"/>
      <c r="J125" s="2513"/>
      <c r="K125" s="2513"/>
      <c r="L125" s="2513"/>
      <c r="M125" s="2513"/>
      <c r="N125" s="2513"/>
      <c r="O125" s="2513"/>
      <c r="P125" s="2513"/>
      <c r="Q125" s="2513"/>
      <c r="R125" s="2513"/>
      <c r="S125" s="2513"/>
      <c r="T125" s="2513"/>
      <c r="U125" s="2513"/>
      <c r="V125" s="2513"/>
      <c r="X125" s="2513"/>
      <c r="Y125" s="2513"/>
      <c r="Z125" s="2513"/>
      <c r="AA125" s="2513"/>
      <c r="AB125" s="2513"/>
      <c r="AC125" s="2512"/>
      <c r="AD125" s="2513"/>
      <c r="AE125" s="2513"/>
      <c r="AF125" s="2513"/>
      <c r="AG125" s="2513"/>
      <c r="AH125" s="2513"/>
      <c r="AI125" s="2513"/>
      <c r="AJ125" s="2513"/>
      <c r="AK125" s="2513"/>
      <c r="AL125" s="2629"/>
      <c r="AM125" s="607" t="s">
        <v>1876</v>
      </c>
      <c r="AN125" s="165">
        <v>0</v>
      </c>
      <c r="AO125" s="166">
        <v>0</v>
      </c>
      <c r="AP125" s="166">
        <v>0</v>
      </c>
      <c r="AQ125" s="166">
        <v>0</v>
      </c>
      <c r="AR125" s="166">
        <v>0</v>
      </c>
      <c r="AS125" s="166">
        <v>0</v>
      </c>
      <c r="AT125" s="166">
        <v>0</v>
      </c>
      <c r="AU125" s="167">
        <v>0</v>
      </c>
      <c r="AV125" s="165">
        <v>0</v>
      </c>
      <c r="AW125" s="166">
        <v>0</v>
      </c>
      <c r="AX125" s="166">
        <v>0</v>
      </c>
      <c r="AY125" s="166">
        <v>0</v>
      </c>
      <c r="AZ125" s="167">
        <v>0</v>
      </c>
    </row>
    <row r="126" spans="2:52" ht="14.25">
      <c r="B126" s="161"/>
      <c r="C126" s="185"/>
      <c r="D126" s="162" t="s">
        <v>2678</v>
      </c>
      <c r="I126" s="2512"/>
      <c r="J126" s="2513"/>
      <c r="K126" s="2513"/>
      <c r="L126" s="2513"/>
      <c r="M126" s="2513"/>
      <c r="N126" s="2513"/>
      <c r="O126" s="2513"/>
      <c r="P126" s="2513"/>
      <c r="Q126" s="2513"/>
      <c r="R126" s="2513"/>
      <c r="S126" s="2513"/>
      <c r="T126" s="2513"/>
      <c r="U126" s="2513"/>
      <c r="V126" s="2513"/>
      <c r="X126" s="2513"/>
      <c r="Y126" s="2513"/>
      <c r="Z126" s="2513"/>
      <c r="AA126" s="2513"/>
      <c r="AB126" s="2513"/>
      <c r="AC126" s="2512"/>
      <c r="AD126" s="2513"/>
      <c r="AE126" s="2513"/>
      <c r="AF126" s="2513"/>
      <c r="AG126" s="2513"/>
      <c r="AH126" s="2513"/>
      <c r="AI126" s="2513"/>
      <c r="AJ126" s="2513"/>
      <c r="AK126" s="2513"/>
      <c r="AL126" s="2629"/>
      <c r="AM126" s="607" t="s">
        <v>1876</v>
      </c>
      <c r="AN126" s="165">
        <v>0</v>
      </c>
      <c r="AO126" s="166">
        <v>0</v>
      </c>
      <c r="AP126" s="166">
        <v>0</v>
      </c>
      <c r="AQ126" s="166">
        <v>0</v>
      </c>
      <c r="AR126" s="166">
        <v>0</v>
      </c>
      <c r="AS126" s="166">
        <v>0</v>
      </c>
      <c r="AT126" s="166">
        <v>0</v>
      </c>
      <c r="AU126" s="167">
        <v>0</v>
      </c>
      <c r="AV126" s="165">
        <v>0</v>
      </c>
      <c r="AW126" s="166">
        <v>0</v>
      </c>
      <c r="AX126" s="166">
        <v>0</v>
      </c>
      <c r="AY126" s="166">
        <v>0</v>
      </c>
      <c r="AZ126" s="167">
        <v>0</v>
      </c>
    </row>
    <row r="127" spans="2:52" ht="14.25">
      <c r="B127" s="161"/>
      <c r="C127" s="162" t="s">
        <v>1710</v>
      </c>
      <c r="D127" s="162"/>
      <c r="I127" s="2512"/>
      <c r="J127" s="2513"/>
      <c r="K127" s="2513"/>
      <c r="L127" s="2513"/>
      <c r="M127" s="2513"/>
      <c r="N127" s="2513"/>
      <c r="O127" s="2513"/>
      <c r="P127" s="2513"/>
      <c r="Q127" s="2513"/>
      <c r="R127" s="2513"/>
      <c r="S127" s="2513"/>
      <c r="T127" s="2513"/>
      <c r="U127" s="2513"/>
      <c r="V127" s="2513"/>
      <c r="X127" s="2513"/>
      <c r="Y127" s="2513"/>
      <c r="Z127" s="2513"/>
      <c r="AA127" s="2513"/>
      <c r="AB127" s="2513"/>
      <c r="AC127" s="2512"/>
      <c r="AD127" s="2513"/>
      <c r="AE127" s="2513"/>
      <c r="AF127" s="2513"/>
      <c r="AG127" s="2513"/>
      <c r="AH127" s="2513"/>
      <c r="AI127" s="2513"/>
      <c r="AJ127" s="2513"/>
      <c r="AK127" s="2513"/>
      <c r="AL127" s="2629"/>
      <c r="AM127" s="607" t="s">
        <v>1876</v>
      </c>
      <c r="AN127" s="1084">
        <f>SUM(AN124:AN126)</f>
        <v>0</v>
      </c>
      <c r="AO127" s="1085">
        <f t="shared" ref="AO127:AZ127" si="38">SUM(AO124:AO126)</f>
        <v>0</v>
      </c>
      <c r="AP127" s="1085">
        <f t="shared" si="38"/>
        <v>0</v>
      </c>
      <c r="AQ127" s="1085">
        <f t="shared" si="38"/>
        <v>0</v>
      </c>
      <c r="AR127" s="1085">
        <f t="shared" si="38"/>
        <v>0</v>
      </c>
      <c r="AS127" s="1085">
        <f t="shared" si="38"/>
        <v>0</v>
      </c>
      <c r="AT127" s="1085">
        <f t="shared" si="38"/>
        <v>0</v>
      </c>
      <c r="AU127" s="1086">
        <f t="shared" si="38"/>
        <v>0</v>
      </c>
      <c r="AV127" s="1084">
        <f t="shared" si="38"/>
        <v>0</v>
      </c>
      <c r="AW127" s="1085">
        <f t="shared" si="38"/>
        <v>0</v>
      </c>
      <c r="AX127" s="1085">
        <f t="shared" si="38"/>
        <v>0</v>
      </c>
      <c r="AY127" s="1085">
        <f t="shared" si="38"/>
        <v>0</v>
      </c>
      <c r="AZ127" s="1086">
        <f t="shared" si="38"/>
        <v>0</v>
      </c>
    </row>
    <row r="128" spans="2:52" ht="14.25">
      <c r="B128" s="123"/>
      <c r="C128" s="127"/>
      <c r="D128" s="127"/>
      <c r="I128" s="2512"/>
      <c r="J128" s="2513"/>
      <c r="K128" s="2513"/>
      <c r="L128" s="2513"/>
      <c r="M128" s="2513"/>
      <c r="N128" s="2513"/>
      <c r="O128" s="2513"/>
      <c r="P128" s="2513"/>
      <c r="Q128" s="2513"/>
      <c r="R128" s="2513"/>
      <c r="S128" s="2513"/>
      <c r="T128" s="2513"/>
      <c r="U128" s="2513"/>
      <c r="V128" s="2513"/>
      <c r="X128" s="2513"/>
      <c r="Y128" s="2513"/>
      <c r="Z128" s="2513"/>
      <c r="AA128" s="2513"/>
      <c r="AB128" s="2513"/>
      <c r="AC128" s="2512"/>
      <c r="AD128" s="2513"/>
      <c r="AE128" s="2513"/>
      <c r="AF128" s="2513"/>
      <c r="AG128" s="2513"/>
      <c r="AH128" s="2513"/>
      <c r="AI128" s="2513"/>
      <c r="AJ128" s="2513"/>
      <c r="AK128" s="2513"/>
      <c r="AL128" s="2629"/>
      <c r="AM128" s="94"/>
      <c r="AN128" s="878"/>
      <c r="AO128" s="2662"/>
      <c r="AP128" s="2662"/>
      <c r="AQ128" s="2662"/>
      <c r="AR128" s="2662"/>
      <c r="AS128" s="2662"/>
      <c r="AT128" s="2662"/>
      <c r="AU128" s="880"/>
      <c r="AV128" s="878"/>
      <c r="AW128" s="2662"/>
      <c r="AX128" s="2662"/>
      <c r="AY128" s="2662"/>
      <c r="AZ128" s="880"/>
    </row>
    <row r="129" spans="2:52" ht="15">
      <c r="B129" s="161"/>
      <c r="C129" s="186" t="s">
        <v>2804</v>
      </c>
      <c r="D129" s="162"/>
      <c r="I129" s="2512"/>
      <c r="J129" s="2513"/>
      <c r="K129" s="2513"/>
      <c r="L129" s="2513"/>
      <c r="M129" s="2513"/>
      <c r="N129" s="2513"/>
      <c r="O129" s="2513"/>
      <c r="P129" s="2513"/>
      <c r="Q129" s="2513"/>
      <c r="R129" s="2513"/>
      <c r="S129" s="2513"/>
      <c r="T129" s="2513"/>
      <c r="U129" s="2513"/>
      <c r="V129" s="2513"/>
      <c r="X129" s="2513"/>
      <c r="Y129" s="2513"/>
      <c r="Z129" s="2513"/>
      <c r="AA129" s="2513"/>
      <c r="AB129" s="2513"/>
      <c r="AC129" s="2512"/>
      <c r="AD129" s="2513"/>
      <c r="AE129" s="2513"/>
      <c r="AF129" s="2513"/>
      <c r="AG129" s="2513"/>
      <c r="AH129" s="2513"/>
      <c r="AI129" s="2513"/>
      <c r="AJ129" s="2513"/>
      <c r="AK129" s="2513"/>
      <c r="AL129" s="2629"/>
      <c r="AM129" s="94"/>
      <c r="AN129" s="878"/>
      <c r="AO129" s="2662"/>
      <c r="AP129" s="2662"/>
      <c r="AQ129" s="2662"/>
      <c r="AR129" s="2662"/>
      <c r="AS129" s="2662"/>
      <c r="AT129" s="2662"/>
      <c r="AU129" s="880"/>
      <c r="AV129" s="878"/>
      <c r="AW129" s="2662"/>
      <c r="AX129" s="2662"/>
      <c r="AY129" s="2662"/>
      <c r="AZ129" s="880"/>
    </row>
    <row r="130" spans="2:52" ht="14.25">
      <c r="B130" s="161"/>
      <c r="C130" s="185"/>
      <c r="D130" s="162" t="s">
        <v>2676</v>
      </c>
      <c r="I130" s="2512"/>
      <c r="J130" s="2513"/>
      <c r="K130" s="2513"/>
      <c r="L130" s="2513"/>
      <c r="M130" s="2513"/>
      <c r="N130" s="2513"/>
      <c r="O130" s="2513"/>
      <c r="P130" s="2513"/>
      <c r="Q130" s="2513"/>
      <c r="R130" s="2513"/>
      <c r="S130" s="2513"/>
      <c r="T130" s="2513"/>
      <c r="U130" s="2513"/>
      <c r="V130" s="2513"/>
      <c r="X130" s="2513"/>
      <c r="Y130" s="2513"/>
      <c r="Z130" s="2513"/>
      <c r="AA130" s="2513"/>
      <c r="AB130" s="2513"/>
      <c r="AC130" s="2512"/>
      <c r="AD130" s="2513"/>
      <c r="AE130" s="2513"/>
      <c r="AF130" s="2513"/>
      <c r="AG130" s="2513"/>
      <c r="AH130" s="2513"/>
      <c r="AI130" s="2513"/>
      <c r="AJ130" s="2513"/>
      <c r="AK130" s="2513"/>
      <c r="AL130" s="2629"/>
      <c r="AM130" s="607" t="s">
        <v>1876</v>
      </c>
      <c r="AN130" s="165">
        <v>0</v>
      </c>
      <c r="AO130" s="166">
        <v>0</v>
      </c>
      <c r="AP130" s="166">
        <v>0</v>
      </c>
      <c r="AQ130" s="166">
        <v>0</v>
      </c>
      <c r="AR130" s="166">
        <v>167</v>
      </c>
      <c r="AS130" s="166">
        <v>9</v>
      </c>
      <c r="AT130" s="166">
        <v>0</v>
      </c>
      <c r="AU130" s="167">
        <v>0</v>
      </c>
      <c r="AV130" s="165">
        <v>0</v>
      </c>
      <c r="AW130" s="166">
        <v>0</v>
      </c>
      <c r="AX130" s="166">
        <v>0</v>
      </c>
      <c r="AY130" s="166">
        <v>0</v>
      </c>
      <c r="AZ130" s="167">
        <v>0</v>
      </c>
    </row>
    <row r="131" spans="2:52" ht="14.25">
      <c r="B131" s="161"/>
      <c r="C131" s="185"/>
      <c r="D131" s="162" t="s">
        <v>2677</v>
      </c>
      <c r="I131" s="2512"/>
      <c r="J131" s="2513"/>
      <c r="K131" s="2513"/>
      <c r="L131" s="2513"/>
      <c r="M131" s="2513"/>
      <c r="N131" s="2513"/>
      <c r="O131" s="2513"/>
      <c r="P131" s="2513"/>
      <c r="Q131" s="2513"/>
      <c r="R131" s="2513"/>
      <c r="S131" s="2513"/>
      <c r="T131" s="2513"/>
      <c r="U131" s="2513"/>
      <c r="V131" s="2513"/>
      <c r="X131" s="2513"/>
      <c r="Y131" s="2513"/>
      <c r="Z131" s="2513"/>
      <c r="AA131" s="2513"/>
      <c r="AB131" s="2513"/>
      <c r="AC131" s="2512"/>
      <c r="AD131" s="2513"/>
      <c r="AE131" s="2513"/>
      <c r="AF131" s="2513"/>
      <c r="AG131" s="2513"/>
      <c r="AH131" s="2513"/>
      <c r="AI131" s="2513"/>
      <c r="AJ131" s="2513"/>
      <c r="AK131" s="2513"/>
      <c r="AL131" s="2629"/>
      <c r="AM131" s="607" t="s">
        <v>1876</v>
      </c>
      <c r="AN131" s="165">
        <v>0</v>
      </c>
      <c r="AO131" s="166">
        <v>0</v>
      </c>
      <c r="AP131" s="166">
        <v>0</v>
      </c>
      <c r="AQ131" s="166">
        <v>0</v>
      </c>
      <c r="AR131" s="166">
        <v>69</v>
      </c>
      <c r="AS131" s="166">
        <v>56</v>
      </c>
      <c r="AT131" s="166">
        <v>0</v>
      </c>
      <c r="AU131" s="167">
        <v>0</v>
      </c>
      <c r="AV131" s="165">
        <v>283.22293489626247</v>
      </c>
      <c r="AW131" s="166">
        <v>283.22293489626247</v>
      </c>
      <c r="AX131" s="166">
        <v>283.22293489626247</v>
      </c>
      <c r="AY131" s="166">
        <v>283.22293489626247</v>
      </c>
      <c r="AZ131" s="167">
        <v>283.22293489626247</v>
      </c>
    </row>
    <row r="132" spans="2:52" ht="14.25">
      <c r="B132" s="161"/>
      <c r="C132" s="185"/>
      <c r="D132" s="162" t="s">
        <v>2678</v>
      </c>
      <c r="I132" s="2512"/>
      <c r="J132" s="2513"/>
      <c r="K132" s="2513"/>
      <c r="L132" s="2513"/>
      <c r="M132" s="2513"/>
      <c r="N132" s="2513"/>
      <c r="O132" s="2513"/>
      <c r="P132" s="2513"/>
      <c r="Q132" s="2513"/>
      <c r="R132" s="2513"/>
      <c r="S132" s="2513"/>
      <c r="T132" s="2513"/>
      <c r="U132" s="2513"/>
      <c r="V132" s="2513"/>
      <c r="X132" s="2513"/>
      <c r="Y132" s="2513"/>
      <c r="Z132" s="2513"/>
      <c r="AA132" s="2513"/>
      <c r="AB132" s="2513"/>
      <c r="AC132" s="2512"/>
      <c r="AD132" s="2513"/>
      <c r="AE132" s="2513"/>
      <c r="AF132" s="2513"/>
      <c r="AG132" s="2513"/>
      <c r="AH132" s="2513"/>
      <c r="AI132" s="2513"/>
      <c r="AJ132" s="2513"/>
      <c r="AK132" s="2513"/>
      <c r="AL132" s="2629"/>
      <c r="AM132" s="607" t="s">
        <v>1876</v>
      </c>
      <c r="AN132" s="165">
        <v>0</v>
      </c>
      <c r="AO132" s="166">
        <v>0</v>
      </c>
      <c r="AP132" s="166">
        <v>0</v>
      </c>
      <c r="AQ132" s="166">
        <v>0</v>
      </c>
      <c r="AR132" s="166">
        <v>0</v>
      </c>
      <c r="AS132" s="166">
        <v>90</v>
      </c>
      <c r="AT132" s="166">
        <v>0</v>
      </c>
      <c r="AU132" s="167">
        <v>0</v>
      </c>
      <c r="AV132" s="165">
        <v>0</v>
      </c>
      <c r="AW132" s="166">
        <v>0</v>
      </c>
      <c r="AX132" s="166">
        <v>0</v>
      </c>
      <c r="AY132" s="166">
        <v>0</v>
      </c>
      <c r="AZ132" s="167">
        <v>0</v>
      </c>
    </row>
    <row r="133" spans="2:52" ht="14.25">
      <c r="B133" s="161"/>
      <c r="C133" s="162" t="s">
        <v>1710</v>
      </c>
      <c r="D133" s="162"/>
      <c r="I133" s="2512"/>
      <c r="J133" s="2513"/>
      <c r="K133" s="2513"/>
      <c r="L133" s="2513"/>
      <c r="M133" s="2513"/>
      <c r="N133" s="2513"/>
      <c r="O133" s="2513"/>
      <c r="P133" s="2513"/>
      <c r="Q133" s="2513"/>
      <c r="R133" s="2513"/>
      <c r="S133" s="2513"/>
      <c r="T133" s="2513"/>
      <c r="U133" s="2513"/>
      <c r="V133" s="2513"/>
      <c r="X133" s="2513"/>
      <c r="Y133" s="2513"/>
      <c r="Z133" s="2513"/>
      <c r="AA133" s="2513"/>
      <c r="AB133" s="2513"/>
      <c r="AC133" s="2512"/>
      <c r="AD133" s="2513"/>
      <c r="AE133" s="2513"/>
      <c r="AF133" s="2513"/>
      <c r="AG133" s="2513"/>
      <c r="AH133" s="2513"/>
      <c r="AI133" s="2513"/>
      <c r="AJ133" s="2513"/>
      <c r="AK133" s="2513"/>
      <c r="AL133" s="2629"/>
      <c r="AM133" s="607" t="s">
        <v>1876</v>
      </c>
      <c r="AN133" s="1084">
        <f>SUM(AN130:AN132)</f>
        <v>0</v>
      </c>
      <c r="AO133" s="1085">
        <f t="shared" ref="AO133:AZ133" si="39">SUM(AO130:AO132)</f>
        <v>0</v>
      </c>
      <c r="AP133" s="1085">
        <f t="shared" si="39"/>
        <v>0</v>
      </c>
      <c r="AQ133" s="1085">
        <f t="shared" si="39"/>
        <v>0</v>
      </c>
      <c r="AR133" s="1085">
        <f t="shared" si="39"/>
        <v>236</v>
      </c>
      <c r="AS133" s="1085">
        <f t="shared" si="39"/>
        <v>155</v>
      </c>
      <c r="AT133" s="1085">
        <f t="shared" si="39"/>
        <v>0</v>
      </c>
      <c r="AU133" s="1086">
        <f t="shared" si="39"/>
        <v>0</v>
      </c>
      <c r="AV133" s="1084">
        <f t="shared" si="39"/>
        <v>283.22293489626247</v>
      </c>
      <c r="AW133" s="1085">
        <f t="shared" si="39"/>
        <v>283.22293489626247</v>
      </c>
      <c r="AX133" s="1085">
        <f t="shared" si="39"/>
        <v>283.22293489626247</v>
      </c>
      <c r="AY133" s="1085">
        <f t="shared" si="39"/>
        <v>283.22293489626247</v>
      </c>
      <c r="AZ133" s="1086">
        <f t="shared" si="39"/>
        <v>283.22293489626247</v>
      </c>
    </row>
    <row r="134" spans="2:52" ht="14.25">
      <c r="B134" s="123"/>
      <c r="C134" s="127"/>
      <c r="D134" s="127"/>
      <c r="I134" s="2512"/>
      <c r="J134" s="2513"/>
      <c r="K134" s="2513"/>
      <c r="L134" s="2513"/>
      <c r="M134" s="2513"/>
      <c r="N134" s="2513"/>
      <c r="O134" s="2513"/>
      <c r="P134" s="2513"/>
      <c r="Q134" s="2513"/>
      <c r="R134" s="2513"/>
      <c r="S134" s="2513"/>
      <c r="T134" s="2513"/>
      <c r="U134" s="2513"/>
      <c r="V134" s="2513"/>
      <c r="X134" s="2513"/>
      <c r="Y134" s="2513"/>
      <c r="Z134" s="2513"/>
      <c r="AA134" s="2513"/>
      <c r="AB134" s="2513"/>
      <c r="AC134" s="2512"/>
      <c r="AD134" s="2513"/>
      <c r="AE134" s="2513"/>
      <c r="AF134" s="2513"/>
      <c r="AG134" s="2513"/>
      <c r="AH134" s="2513"/>
      <c r="AI134" s="2513"/>
      <c r="AJ134" s="2513"/>
      <c r="AK134" s="2513"/>
      <c r="AL134" s="2629"/>
      <c r="AM134" s="94"/>
      <c r="AN134" s="878"/>
      <c r="AO134" s="2662"/>
      <c r="AP134" s="2662"/>
      <c r="AQ134" s="2662"/>
      <c r="AR134" s="2662"/>
      <c r="AS134" s="2662"/>
      <c r="AT134" s="2662"/>
      <c r="AU134" s="880"/>
      <c r="AV134" s="878"/>
      <c r="AW134" s="2662"/>
      <c r="AX134" s="2662"/>
      <c r="AY134" s="2662"/>
      <c r="AZ134" s="880"/>
    </row>
    <row r="135" spans="2:52" ht="15">
      <c r="B135" s="161"/>
      <c r="C135" s="186" t="s">
        <v>2805</v>
      </c>
      <c r="D135" s="162"/>
      <c r="I135" s="2512"/>
      <c r="J135" s="2513"/>
      <c r="K135" s="2513"/>
      <c r="L135" s="2513"/>
      <c r="M135" s="2513"/>
      <c r="N135" s="2513"/>
      <c r="O135" s="2513"/>
      <c r="P135" s="2513"/>
      <c r="Q135" s="2513"/>
      <c r="R135" s="2513"/>
      <c r="S135" s="2513"/>
      <c r="T135" s="2513"/>
      <c r="U135" s="2513"/>
      <c r="V135" s="2513"/>
      <c r="X135" s="2513"/>
      <c r="Y135" s="2513"/>
      <c r="Z135" s="2513"/>
      <c r="AA135" s="2513"/>
      <c r="AB135" s="2513"/>
      <c r="AC135" s="2512"/>
      <c r="AD135" s="2513"/>
      <c r="AE135" s="2513"/>
      <c r="AF135" s="2513"/>
      <c r="AG135" s="2513"/>
      <c r="AH135" s="2513"/>
      <c r="AI135" s="2513"/>
      <c r="AJ135" s="2513"/>
      <c r="AK135" s="2513"/>
      <c r="AL135" s="2629"/>
      <c r="AM135" s="94"/>
      <c r="AN135" s="878"/>
      <c r="AO135" s="2662"/>
      <c r="AP135" s="2662"/>
      <c r="AQ135" s="2662"/>
      <c r="AR135" s="2662"/>
      <c r="AS135" s="2662"/>
      <c r="AT135" s="2662"/>
      <c r="AU135" s="880"/>
      <c r="AV135" s="878"/>
      <c r="AW135" s="2662"/>
      <c r="AX135" s="2662"/>
      <c r="AY135" s="2662"/>
      <c r="AZ135" s="880"/>
    </row>
    <row r="136" spans="2:52" ht="14.25">
      <c r="B136" s="161"/>
      <c r="C136" s="185"/>
      <c r="D136" s="162" t="s">
        <v>2676</v>
      </c>
      <c r="I136" s="2512"/>
      <c r="J136" s="2513"/>
      <c r="K136" s="2513"/>
      <c r="L136" s="2513"/>
      <c r="M136" s="2513"/>
      <c r="N136" s="2513"/>
      <c r="O136" s="2513"/>
      <c r="P136" s="2513"/>
      <c r="Q136" s="2513"/>
      <c r="R136" s="2513"/>
      <c r="S136" s="2513"/>
      <c r="T136" s="2513"/>
      <c r="U136" s="2513"/>
      <c r="V136" s="2513"/>
      <c r="X136" s="2513"/>
      <c r="Y136" s="2513"/>
      <c r="Z136" s="2513"/>
      <c r="AA136" s="2513"/>
      <c r="AB136" s="2513"/>
      <c r="AC136" s="2512"/>
      <c r="AD136" s="2513"/>
      <c r="AE136" s="2513"/>
      <c r="AF136" s="2513"/>
      <c r="AG136" s="2513"/>
      <c r="AH136" s="2513"/>
      <c r="AI136" s="2513"/>
      <c r="AJ136" s="2513"/>
      <c r="AK136" s="2513"/>
      <c r="AL136" s="2629"/>
      <c r="AM136" s="607" t="s">
        <v>1876</v>
      </c>
      <c r="AN136" s="165">
        <v>0</v>
      </c>
      <c r="AO136" s="166">
        <v>0</v>
      </c>
      <c r="AP136" s="166">
        <v>0</v>
      </c>
      <c r="AQ136" s="166">
        <v>0</v>
      </c>
      <c r="AR136" s="166">
        <v>0</v>
      </c>
      <c r="AS136" s="166"/>
      <c r="AT136" s="166">
        <v>0</v>
      </c>
      <c r="AU136" s="167">
        <v>0</v>
      </c>
      <c r="AV136" s="165">
        <v>0</v>
      </c>
      <c r="AW136" s="166">
        <v>0</v>
      </c>
      <c r="AX136" s="166">
        <v>0</v>
      </c>
      <c r="AY136" s="166">
        <v>0</v>
      </c>
      <c r="AZ136" s="167">
        <v>0</v>
      </c>
    </row>
    <row r="137" spans="2:52" ht="14.25">
      <c r="B137" s="161"/>
      <c r="C137" s="185"/>
      <c r="D137" s="162" t="s">
        <v>2677</v>
      </c>
      <c r="I137" s="2512"/>
      <c r="J137" s="2513"/>
      <c r="K137" s="2513"/>
      <c r="L137" s="2513"/>
      <c r="M137" s="2513"/>
      <c r="N137" s="2513"/>
      <c r="O137" s="2513"/>
      <c r="P137" s="2513"/>
      <c r="Q137" s="2513"/>
      <c r="R137" s="2513"/>
      <c r="S137" s="2513"/>
      <c r="T137" s="2513"/>
      <c r="U137" s="2513"/>
      <c r="V137" s="2513"/>
      <c r="X137" s="2513"/>
      <c r="Y137" s="2513"/>
      <c r="Z137" s="2513"/>
      <c r="AA137" s="2513"/>
      <c r="AB137" s="2513"/>
      <c r="AC137" s="2512"/>
      <c r="AD137" s="2513"/>
      <c r="AE137" s="2513"/>
      <c r="AF137" s="2513"/>
      <c r="AG137" s="2513"/>
      <c r="AH137" s="2513"/>
      <c r="AI137" s="2513"/>
      <c r="AJ137" s="2513"/>
      <c r="AK137" s="2513"/>
      <c r="AL137" s="2629"/>
      <c r="AM137" s="607" t="s">
        <v>1876</v>
      </c>
      <c r="AN137" s="165">
        <v>0</v>
      </c>
      <c r="AO137" s="166">
        <v>0</v>
      </c>
      <c r="AP137" s="166">
        <v>0</v>
      </c>
      <c r="AQ137" s="166">
        <v>0</v>
      </c>
      <c r="AR137" s="166">
        <v>0</v>
      </c>
      <c r="AS137" s="166">
        <v>160</v>
      </c>
      <c r="AT137" s="166">
        <v>0</v>
      </c>
      <c r="AU137" s="167">
        <v>0</v>
      </c>
      <c r="AV137" s="165">
        <v>0</v>
      </c>
      <c r="AW137" s="166">
        <v>0</v>
      </c>
      <c r="AX137" s="166">
        <v>0</v>
      </c>
      <c r="AY137" s="166">
        <v>0</v>
      </c>
      <c r="AZ137" s="167">
        <v>0</v>
      </c>
    </row>
    <row r="138" spans="2:52" ht="14.25">
      <c r="B138" s="161"/>
      <c r="C138" s="185"/>
      <c r="D138" s="162" t="s">
        <v>2678</v>
      </c>
      <c r="I138" s="2512"/>
      <c r="J138" s="2513"/>
      <c r="K138" s="2513"/>
      <c r="L138" s="2513"/>
      <c r="M138" s="2513"/>
      <c r="N138" s="2513"/>
      <c r="O138" s="2513"/>
      <c r="P138" s="2513"/>
      <c r="Q138" s="2513"/>
      <c r="R138" s="2513"/>
      <c r="S138" s="2513"/>
      <c r="T138" s="2513"/>
      <c r="U138" s="2513"/>
      <c r="V138" s="2513"/>
      <c r="X138" s="2513"/>
      <c r="Y138" s="2513"/>
      <c r="Z138" s="2513"/>
      <c r="AA138" s="2513"/>
      <c r="AB138" s="2513"/>
      <c r="AC138" s="2512"/>
      <c r="AD138" s="2513"/>
      <c r="AE138" s="2513"/>
      <c r="AF138" s="2513"/>
      <c r="AG138" s="2513"/>
      <c r="AH138" s="2513"/>
      <c r="AI138" s="2513"/>
      <c r="AJ138" s="2513"/>
      <c r="AK138" s="2513"/>
      <c r="AL138" s="2629"/>
      <c r="AM138" s="607" t="s">
        <v>1876</v>
      </c>
      <c r="AN138" s="165">
        <v>0</v>
      </c>
      <c r="AO138" s="166">
        <v>0</v>
      </c>
      <c r="AP138" s="166">
        <v>0</v>
      </c>
      <c r="AQ138" s="166">
        <v>0</v>
      </c>
      <c r="AR138" s="166">
        <v>0</v>
      </c>
      <c r="AS138" s="166"/>
      <c r="AT138" s="166">
        <v>0</v>
      </c>
      <c r="AU138" s="167">
        <v>0</v>
      </c>
      <c r="AV138" s="165">
        <v>0</v>
      </c>
      <c r="AW138" s="166">
        <v>0</v>
      </c>
      <c r="AX138" s="166">
        <v>0</v>
      </c>
      <c r="AY138" s="166">
        <v>0</v>
      </c>
      <c r="AZ138" s="167">
        <v>0</v>
      </c>
    </row>
    <row r="139" spans="2:52" ht="14.25">
      <c r="B139" s="161"/>
      <c r="C139" s="162" t="s">
        <v>1710</v>
      </c>
      <c r="D139" s="162"/>
      <c r="I139" s="2512"/>
      <c r="J139" s="2513"/>
      <c r="K139" s="2513"/>
      <c r="L139" s="2513"/>
      <c r="M139" s="2513"/>
      <c r="N139" s="2513"/>
      <c r="O139" s="2513"/>
      <c r="P139" s="2513"/>
      <c r="Q139" s="2513"/>
      <c r="R139" s="2513"/>
      <c r="S139" s="2513"/>
      <c r="T139" s="2513"/>
      <c r="U139" s="2513"/>
      <c r="V139" s="2513"/>
      <c r="X139" s="2513"/>
      <c r="Y139" s="2513"/>
      <c r="Z139" s="2513"/>
      <c r="AA139" s="2513"/>
      <c r="AB139" s="2513"/>
      <c r="AC139" s="2512"/>
      <c r="AD139" s="2513"/>
      <c r="AE139" s="2513"/>
      <c r="AF139" s="2513"/>
      <c r="AG139" s="2513"/>
      <c r="AH139" s="2513"/>
      <c r="AI139" s="2513"/>
      <c r="AJ139" s="2513"/>
      <c r="AK139" s="2513"/>
      <c r="AL139" s="185"/>
      <c r="AM139" s="164" t="s">
        <v>1876</v>
      </c>
      <c r="AN139" s="1084">
        <f>SUM(AN136:AN138)</f>
        <v>0</v>
      </c>
      <c r="AO139" s="1085">
        <f t="shared" ref="AO139" si="40">SUM(AO136:AO138)</f>
        <v>0</v>
      </c>
      <c r="AP139" s="1085">
        <f t="shared" ref="AP139" si="41">SUM(AP136:AP138)</f>
        <v>0</v>
      </c>
      <c r="AQ139" s="1085">
        <f t="shared" ref="AQ139" si="42">SUM(AQ136:AQ138)</f>
        <v>0</v>
      </c>
      <c r="AR139" s="1085">
        <f t="shared" ref="AR139" si="43">SUM(AR136:AR138)</f>
        <v>0</v>
      </c>
      <c r="AS139" s="1085">
        <f t="shared" ref="AS139" si="44">SUM(AS136:AS138)</f>
        <v>160</v>
      </c>
      <c r="AT139" s="1085">
        <f t="shared" ref="AT139" si="45">SUM(AT136:AT138)</f>
        <v>0</v>
      </c>
      <c r="AU139" s="1086">
        <f t="shared" ref="AU139" si="46">SUM(AU136:AU138)</f>
        <v>0</v>
      </c>
      <c r="AV139" s="1084">
        <f t="shared" ref="AV139" si="47">SUM(AV136:AV138)</f>
        <v>0</v>
      </c>
      <c r="AW139" s="1085">
        <f t="shared" ref="AW139" si="48">SUM(AW136:AW138)</f>
        <v>0</v>
      </c>
      <c r="AX139" s="1085">
        <f t="shared" ref="AX139" si="49">SUM(AX136:AX138)</f>
        <v>0</v>
      </c>
      <c r="AY139" s="1085">
        <f t="shared" ref="AY139" si="50">SUM(AY136:AY138)</f>
        <v>0</v>
      </c>
      <c r="AZ139" s="1086">
        <f t="shared" ref="AZ139" si="51">SUM(AZ136:AZ138)</f>
        <v>0</v>
      </c>
    </row>
    <row r="140" spans="2:52" ht="14.25">
      <c r="B140" s="123"/>
      <c r="C140" s="127"/>
      <c r="D140" s="127"/>
      <c r="I140" s="2512"/>
      <c r="J140" s="2513"/>
      <c r="K140" s="2513"/>
      <c r="L140" s="2513"/>
      <c r="M140" s="2513"/>
      <c r="N140" s="2513"/>
      <c r="O140" s="2513"/>
      <c r="P140" s="2513"/>
      <c r="Q140" s="2513"/>
      <c r="R140" s="2513"/>
      <c r="S140" s="2513"/>
      <c r="T140" s="2513"/>
      <c r="U140" s="2513"/>
      <c r="V140" s="2513"/>
      <c r="X140" s="2513"/>
      <c r="Y140" s="2513"/>
      <c r="Z140" s="2513"/>
      <c r="AA140" s="2513"/>
      <c r="AB140" s="2513"/>
      <c r="AC140" s="2512"/>
      <c r="AD140" s="2513"/>
      <c r="AE140" s="2513"/>
      <c r="AF140" s="2513"/>
      <c r="AG140" s="2513"/>
      <c r="AH140" s="2513"/>
      <c r="AI140" s="2513"/>
      <c r="AJ140" s="2513"/>
      <c r="AK140" s="2513"/>
      <c r="AL140" s="185"/>
      <c r="AM140" s="117"/>
      <c r="AN140" s="878"/>
      <c r="AO140" s="881"/>
      <c r="AP140" s="881"/>
      <c r="AQ140" s="881"/>
      <c r="AR140" s="881"/>
      <c r="AS140" s="881"/>
      <c r="AT140" s="881"/>
      <c r="AU140" s="880"/>
      <c r="AV140" s="878"/>
      <c r="AW140" s="881"/>
      <c r="AX140" s="881"/>
      <c r="AY140" s="881"/>
      <c r="AZ140" s="880"/>
    </row>
    <row r="141" spans="2:52" ht="15" thickBot="1">
      <c r="B141" s="191" t="s">
        <v>1701</v>
      </c>
      <c r="C141" s="193"/>
      <c r="D141" s="193"/>
      <c r="E141" s="658"/>
      <c r="F141" s="658"/>
      <c r="G141" s="657"/>
      <c r="H141" s="657"/>
      <c r="I141" s="2515"/>
      <c r="J141" s="2516"/>
      <c r="K141" s="2516"/>
      <c r="L141" s="2516"/>
      <c r="M141" s="2516"/>
      <c r="N141" s="2516"/>
      <c r="O141" s="2516"/>
      <c r="P141" s="2516"/>
      <c r="Q141" s="2516"/>
      <c r="R141" s="2516"/>
      <c r="S141" s="2516"/>
      <c r="T141" s="2516"/>
      <c r="U141" s="2516"/>
      <c r="V141" s="2516"/>
      <c r="W141" s="657"/>
      <c r="X141" s="2516"/>
      <c r="Y141" s="2516"/>
      <c r="Z141" s="2516"/>
      <c r="AA141" s="2516"/>
      <c r="AB141" s="2516"/>
      <c r="AC141" s="2515"/>
      <c r="AD141" s="2516"/>
      <c r="AE141" s="2516"/>
      <c r="AF141" s="2516"/>
      <c r="AG141" s="2516"/>
      <c r="AH141" s="2516"/>
      <c r="AI141" s="2516"/>
      <c r="AJ141" s="2516"/>
      <c r="AK141" s="2516"/>
      <c r="AL141" s="1356"/>
      <c r="AM141" s="195" t="s">
        <v>1876</v>
      </c>
      <c r="AN141" s="873">
        <f>SUM(AN109,AN115,AN121,AN127,AN133,AN139)</f>
        <v>1</v>
      </c>
      <c r="AO141" s="781">
        <f t="shared" ref="AO141:AZ141" si="52">SUM(AO109,AO115,AO121,AO127,AO133,AO139)</f>
        <v>25</v>
      </c>
      <c r="AP141" s="781">
        <f t="shared" si="52"/>
        <v>56</v>
      </c>
      <c r="AQ141" s="781">
        <f t="shared" si="52"/>
        <v>0</v>
      </c>
      <c r="AR141" s="781">
        <f t="shared" si="52"/>
        <v>447</v>
      </c>
      <c r="AS141" s="781">
        <f t="shared" si="52"/>
        <v>335</v>
      </c>
      <c r="AT141" s="781">
        <f t="shared" si="52"/>
        <v>125</v>
      </c>
      <c r="AU141" s="874">
        <f t="shared" si="52"/>
        <v>125</v>
      </c>
      <c r="AV141" s="873">
        <f t="shared" si="52"/>
        <v>414.78455626742959</v>
      </c>
      <c r="AW141" s="781">
        <f t="shared" si="52"/>
        <v>414.78455626742959</v>
      </c>
      <c r="AX141" s="781">
        <f t="shared" si="52"/>
        <v>414.78455626742959</v>
      </c>
      <c r="AY141" s="781">
        <f t="shared" si="52"/>
        <v>414.78455626742959</v>
      </c>
      <c r="AZ141" s="874">
        <f t="shared" si="52"/>
        <v>414.78455626742959</v>
      </c>
    </row>
  </sheetData>
  <mergeCells count="2">
    <mergeCell ref="J9:Q9"/>
    <mergeCell ref="R9:V9"/>
  </mergeCell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rgb="FFFF6600"/>
  </sheetPr>
  <dimension ref="A1:BH111"/>
  <sheetViews>
    <sheetView showGridLines="0" topLeftCell="K13" zoomScale="80" zoomScaleNormal="80" workbookViewId="0">
      <selection activeCell="J21" sqref="J21:V21"/>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6" width="15.625" style="173" customWidth="1"/>
    <col min="27" max="27" width="15.625" style="175" customWidth="1"/>
    <col min="28" max="57" width="15.625" style="173" customWidth="1"/>
    <col min="58" max="86" width="13.625" style="173" customWidth="1"/>
    <col min="87" max="16384" width="11.875" style="173"/>
  </cols>
  <sheetData>
    <row r="1" spans="1:57" s="2" customFormat="1" ht="25.15" customHeight="1">
      <c r="A1" s="1" t="s">
        <v>0</v>
      </c>
      <c r="E1" s="3"/>
      <c r="H1" s="4" t="s">
        <v>1</v>
      </c>
      <c r="J1" s="3"/>
    </row>
    <row r="2" spans="1:57" s="2" customFormat="1" ht="25.15" customHeight="1">
      <c r="A2" s="5" t="str">
        <f>Fixed_Data!I12</f>
        <v>MASTER</v>
      </c>
      <c r="B2" s="6"/>
      <c r="D2" s="7"/>
      <c r="E2" s="3"/>
    </row>
    <row r="3" spans="1:57" s="9" customFormat="1" ht="25.15" customHeight="1" thickBot="1">
      <c r="A3" s="8" t="str">
        <f>Fixed_Data!A3</f>
        <v>RIIO-GD2</v>
      </c>
      <c r="D3" s="10"/>
      <c r="E3" s="11"/>
    </row>
    <row r="4" spans="1:57" s="89" customFormat="1" ht="25.15" customHeight="1">
      <c r="B4" s="90" t="s">
        <v>2809</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4"/>
      <c r="AE4" s="92"/>
      <c r="AF4" s="92"/>
      <c r="AG4" s="92"/>
      <c r="AH4" s="92"/>
      <c r="AI4" s="92"/>
      <c r="AJ4" s="92"/>
      <c r="AK4" s="92"/>
      <c r="AL4" s="92"/>
      <c r="AM4" s="92"/>
      <c r="AN4" s="92"/>
      <c r="AO4" s="92"/>
      <c r="AP4" s="92"/>
      <c r="AQ4" s="92"/>
      <c r="AR4" s="94"/>
      <c r="AS4" s="94"/>
      <c r="AT4" s="92"/>
      <c r="AU4" s="92"/>
      <c r="AV4" s="92"/>
      <c r="AW4" s="92"/>
      <c r="AX4" s="92"/>
      <c r="AY4" s="92"/>
      <c r="AZ4" s="92"/>
      <c r="BA4" s="92"/>
      <c r="BB4" s="92"/>
      <c r="BC4" s="92"/>
      <c r="BD4" s="92"/>
      <c r="BE4" s="92"/>
    </row>
    <row r="5" spans="1:57"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c r="X5" s="92"/>
      <c r="Y5" s="92"/>
      <c r="Z5" s="92"/>
      <c r="AA5" s="92"/>
      <c r="AB5" s="92"/>
      <c r="AC5" s="92"/>
      <c r="AD5" s="94"/>
      <c r="AE5" s="92"/>
      <c r="AF5" s="92"/>
      <c r="AG5" s="92"/>
      <c r="AH5" s="92"/>
      <c r="AI5" s="92"/>
      <c r="AJ5" s="92"/>
      <c r="AK5" s="92"/>
      <c r="AL5" s="92"/>
      <c r="AM5" s="92"/>
      <c r="AN5" s="92"/>
      <c r="AO5" s="92"/>
      <c r="AP5" s="92"/>
      <c r="AQ5" s="92"/>
      <c r="AR5" s="94"/>
      <c r="AS5" s="94"/>
      <c r="AT5" s="92"/>
      <c r="AU5" s="92"/>
      <c r="AV5" s="92"/>
      <c r="AW5" s="92"/>
      <c r="AX5" s="92"/>
      <c r="AY5" s="92"/>
      <c r="AZ5" s="92"/>
      <c r="BA5" s="92"/>
      <c r="BB5" s="92"/>
      <c r="BC5" s="92"/>
      <c r="BD5" s="92"/>
      <c r="BE5" s="92"/>
    </row>
    <row r="6" spans="1:57"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4"/>
      <c r="AE6" s="92"/>
      <c r="AF6" s="92"/>
      <c r="AG6" s="92"/>
      <c r="AH6" s="92"/>
      <c r="AI6" s="92"/>
      <c r="AJ6" s="92"/>
      <c r="AK6" s="92"/>
      <c r="AL6" s="92"/>
      <c r="AM6" s="92"/>
      <c r="AN6" s="92"/>
      <c r="AO6" s="92"/>
      <c r="AP6" s="92"/>
      <c r="AQ6" s="92"/>
      <c r="AR6" s="94"/>
      <c r="AS6" s="94"/>
      <c r="AT6" s="92"/>
      <c r="AU6" s="92"/>
      <c r="AV6" s="92"/>
      <c r="AW6" s="92"/>
      <c r="AX6" s="92"/>
      <c r="AY6" s="92"/>
      <c r="AZ6" s="92"/>
      <c r="BA6" s="92"/>
      <c r="BB6" s="92"/>
      <c r="BC6" s="92"/>
      <c r="BD6" s="92"/>
      <c r="BE6" s="92"/>
    </row>
    <row r="7" spans="1:57"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6"/>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row>
    <row r="8" spans="1:57" s="100" customFormat="1" ht="30" customHeight="1" thickBot="1">
      <c r="B8" s="621" t="s">
        <v>1744</v>
      </c>
      <c r="C8" s="102"/>
      <c r="D8" s="102"/>
      <c r="E8" s="102"/>
      <c r="F8" s="102"/>
      <c r="G8" s="103"/>
      <c r="H8" s="104"/>
      <c r="I8" s="105" t="s">
        <v>1704</v>
      </c>
      <c r="J8" s="106"/>
      <c r="K8" s="106"/>
      <c r="L8" s="106"/>
      <c r="M8" s="106"/>
      <c r="N8" s="106"/>
      <c r="O8" s="106"/>
      <c r="P8" s="106"/>
      <c r="Q8" s="106"/>
      <c r="R8" s="106"/>
      <c r="S8" s="106"/>
      <c r="T8" s="106"/>
      <c r="U8" s="106"/>
      <c r="V8" s="107"/>
      <c r="AE8" s="108"/>
      <c r="AF8" s="108"/>
      <c r="AG8" s="108"/>
      <c r="AH8" s="108"/>
      <c r="AI8" s="108"/>
      <c r="AJ8" s="108"/>
      <c r="AK8" s="108"/>
      <c r="AL8" s="108"/>
      <c r="AM8" s="108"/>
      <c r="AN8" s="108"/>
      <c r="AO8" s="108"/>
      <c r="AR8" s="108"/>
      <c r="AS8" s="108"/>
      <c r="AT8" s="108"/>
      <c r="AU8" s="108"/>
      <c r="AV8" s="108"/>
      <c r="AW8" s="108"/>
      <c r="AX8" s="108"/>
      <c r="AY8" s="108"/>
      <c r="AZ8" s="108"/>
      <c r="BA8" s="108"/>
      <c r="BB8" s="108"/>
      <c r="BC8" s="108"/>
      <c r="BD8" s="108"/>
    </row>
    <row r="9" spans="1:57"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c r="AE9" s="114"/>
      <c r="AF9" s="114"/>
      <c r="AG9" s="114"/>
      <c r="AH9" s="114"/>
      <c r="AI9" s="114"/>
      <c r="AJ9" s="114"/>
      <c r="AK9" s="114"/>
      <c r="AL9" s="114"/>
      <c r="AM9" s="114"/>
      <c r="AN9" s="114"/>
      <c r="AO9" s="114"/>
      <c r="AR9" s="114"/>
      <c r="AS9" s="114"/>
      <c r="AT9" s="114"/>
      <c r="AU9" s="114"/>
      <c r="AV9" s="114"/>
      <c r="AW9" s="114"/>
      <c r="AX9" s="114"/>
      <c r="AY9" s="114"/>
      <c r="AZ9" s="114"/>
      <c r="BA9" s="114"/>
      <c r="BB9" s="114"/>
      <c r="BC9" s="114"/>
      <c r="BD9" s="114"/>
    </row>
    <row r="10" spans="1:57"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c r="X10" s="92"/>
      <c r="AE10" s="92"/>
      <c r="AF10" s="92"/>
      <c r="AG10" s="92"/>
      <c r="AH10" s="92"/>
      <c r="AI10" s="92"/>
      <c r="AJ10" s="92"/>
      <c r="AK10" s="92"/>
      <c r="AL10" s="92"/>
      <c r="AM10" s="92"/>
      <c r="AN10" s="92"/>
      <c r="AO10" s="92"/>
      <c r="AP10" s="94"/>
      <c r="AQ10" s="94"/>
      <c r="AR10" s="92"/>
      <c r="AS10" s="92"/>
      <c r="AT10" s="92"/>
      <c r="AU10" s="92"/>
      <c r="AV10" s="92"/>
      <c r="AW10" s="92"/>
      <c r="AX10" s="92"/>
      <c r="AY10" s="92"/>
      <c r="AZ10" s="92"/>
      <c r="BA10" s="92"/>
      <c r="BB10" s="92"/>
      <c r="BC10" s="92"/>
      <c r="BD10" s="92"/>
      <c r="BE10" s="94"/>
    </row>
    <row r="11" spans="1:57" s="89" customFormat="1" ht="15" customHeight="1">
      <c r="B11" s="115"/>
      <c r="C11" s="116" t="s">
        <v>2270</v>
      </c>
      <c r="D11" s="116"/>
      <c r="E11" s="116"/>
      <c r="F11" s="116"/>
      <c r="G11" s="117"/>
      <c r="H11" s="118"/>
      <c r="I11" s="118"/>
      <c r="J11" s="139"/>
      <c r="K11" s="118"/>
      <c r="L11" s="118"/>
      <c r="M11" s="118"/>
      <c r="N11" s="118"/>
      <c r="O11" s="118"/>
      <c r="P11" s="118"/>
      <c r="Q11" s="140"/>
      <c r="R11" s="139"/>
      <c r="S11" s="118"/>
      <c r="T11" s="118"/>
      <c r="U11" s="118"/>
      <c r="V11" s="140"/>
      <c r="W11" s="92"/>
      <c r="X11" s="92"/>
      <c r="AE11" s="92"/>
      <c r="AF11" s="92"/>
      <c r="AG11" s="92"/>
      <c r="AH11" s="92"/>
      <c r="AI11" s="92"/>
      <c r="AJ11" s="92"/>
      <c r="AK11" s="92"/>
      <c r="AL11" s="92"/>
      <c r="AM11" s="92"/>
      <c r="AN11" s="92"/>
      <c r="AO11" s="92"/>
      <c r="AP11" s="94"/>
      <c r="AQ11" s="94"/>
      <c r="AR11" s="92"/>
      <c r="AS11" s="92"/>
      <c r="AT11" s="92"/>
      <c r="AU11" s="92"/>
      <c r="AV11" s="92"/>
      <c r="AW11" s="92"/>
      <c r="AX11" s="92"/>
      <c r="AY11" s="92"/>
      <c r="AZ11" s="92"/>
      <c r="BA11" s="92"/>
      <c r="BB11" s="92"/>
      <c r="BC11" s="92"/>
      <c r="BD11" s="92"/>
      <c r="BE11" s="94"/>
    </row>
    <row r="12" spans="1:57" s="89" customFormat="1" ht="15" customHeight="1">
      <c r="B12" s="123"/>
      <c r="C12" s="127"/>
      <c r="D12" s="127" t="s">
        <v>2810</v>
      </c>
      <c r="E12" s="127"/>
      <c r="F12" s="127"/>
      <c r="G12" s="117"/>
      <c r="H12" s="118"/>
      <c r="I12" s="119" t="s">
        <v>498</v>
      </c>
      <c r="J12" s="128">
        <f>J32</f>
        <v>69.851971069900344</v>
      </c>
      <c r="K12" s="129">
        <f t="shared" ref="K12:V12" si="0">K32</f>
        <v>76.334608104151741</v>
      </c>
      <c r="L12" s="129">
        <f t="shared" si="0"/>
        <v>68.680165084842201</v>
      </c>
      <c r="M12" s="129">
        <f t="shared" si="0"/>
        <v>70.396417705130119</v>
      </c>
      <c r="N12" s="129">
        <f t="shared" si="0"/>
        <v>65.693452567855019</v>
      </c>
      <c r="O12" s="129">
        <f t="shared" si="0"/>
        <v>68.63751978546469</v>
      </c>
      <c r="P12" s="129">
        <f t="shared" si="0"/>
        <v>67.002212959552196</v>
      </c>
      <c r="Q12" s="130">
        <f t="shared" si="0"/>
        <v>61.81519078699958</v>
      </c>
      <c r="R12" s="128">
        <f t="shared" si="0"/>
        <v>61.542738661344011</v>
      </c>
      <c r="S12" s="129">
        <f t="shared" si="0"/>
        <v>61.235024968037273</v>
      </c>
      <c r="T12" s="129">
        <f t="shared" si="0"/>
        <v>60.928849843197099</v>
      </c>
      <c r="U12" s="129">
        <f t="shared" si="0"/>
        <v>60.624205593981095</v>
      </c>
      <c r="V12" s="130">
        <f t="shared" si="0"/>
        <v>60.321084566011208</v>
      </c>
      <c r="AE12" s="92"/>
      <c r="AF12" s="92"/>
      <c r="AG12" s="92"/>
      <c r="AH12" s="92"/>
      <c r="AI12" s="92"/>
      <c r="AJ12" s="92"/>
      <c r="AK12" s="92"/>
      <c r="AL12" s="92"/>
      <c r="AM12" s="92"/>
      <c r="AN12" s="92"/>
      <c r="AO12" s="92"/>
      <c r="AP12" s="94"/>
      <c r="AQ12" s="94"/>
      <c r="AR12" s="92"/>
      <c r="AS12" s="92"/>
      <c r="AT12" s="92"/>
      <c r="AU12" s="92"/>
      <c r="AV12" s="92"/>
      <c r="AW12" s="92"/>
      <c r="AX12" s="92"/>
      <c r="AY12" s="92"/>
      <c r="AZ12" s="92"/>
      <c r="BA12" s="92"/>
      <c r="BB12" s="92"/>
      <c r="BC12" s="92"/>
      <c r="BD12" s="92"/>
      <c r="BE12" s="94"/>
    </row>
    <row r="13" spans="1:57" s="89" customFormat="1" ht="15" customHeight="1">
      <c r="B13" s="123"/>
      <c r="C13" s="127"/>
      <c r="D13" s="127" t="s">
        <v>2811</v>
      </c>
      <c r="E13" s="127"/>
      <c r="F13" s="127"/>
      <c r="G13" s="117"/>
      <c r="H13" s="118"/>
      <c r="I13" s="119" t="s">
        <v>498</v>
      </c>
      <c r="J13" s="128">
        <f>J39</f>
        <v>2.6320417156674649</v>
      </c>
      <c r="K13" s="129">
        <f t="shared" ref="K13:V13" si="1">K39</f>
        <v>2.6985719737512812</v>
      </c>
      <c r="L13" s="129">
        <f t="shared" si="1"/>
        <v>1.9763779352550541</v>
      </c>
      <c r="M13" s="129">
        <f t="shared" si="1"/>
        <v>1.6806520718256166</v>
      </c>
      <c r="N13" s="129">
        <f t="shared" si="1"/>
        <v>2.6436864634743249</v>
      </c>
      <c r="O13" s="129">
        <f t="shared" si="1"/>
        <v>1.5357584821556225</v>
      </c>
      <c r="P13" s="129">
        <f t="shared" si="1"/>
        <v>4.8793504218412487</v>
      </c>
      <c r="Q13" s="130">
        <f t="shared" si="1"/>
        <v>4.6938083013291765</v>
      </c>
      <c r="R13" s="128">
        <f t="shared" si="1"/>
        <v>0.77026283366691273</v>
      </c>
      <c r="S13" s="129">
        <f t="shared" si="1"/>
        <v>0.76641151949857811</v>
      </c>
      <c r="T13" s="129">
        <f t="shared" si="1"/>
        <v>0.76257946190108516</v>
      </c>
      <c r="U13" s="129">
        <f t="shared" si="1"/>
        <v>0.75876656459157976</v>
      </c>
      <c r="V13" s="130">
        <f t="shared" si="1"/>
        <v>0.75497273176862179</v>
      </c>
      <c r="AE13" s="92"/>
      <c r="AF13" s="92"/>
      <c r="AG13" s="92"/>
      <c r="AH13" s="92"/>
      <c r="AI13" s="92"/>
      <c r="AJ13" s="92"/>
      <c r="AK13" s="92"/>
      <c r="AL13" s="92"/>
      <c r="AM13" s="92"/>
      <c r="AN13" s="92"/>
      <c r="AO13" s="92"/>
      <c r="AP13" s="94"/>
      <c r="AQ13" s="94"/>
      <c r="AR13" s="92"/>
      <c r="AS13" s="92"/>
      <c r="AT13" s="92"/>
      <c r="AU13" s="92"/>
      <c r="AV13" s="92"/>
      <c r="AW13" s="92"/>
      <c r="AX13" s="92"/>
      <c r="AY13" s="92"/>
      <c r="AZ13" s="92"/>
      <c r="BA13" s="92"/>
      <c r="BB13" s="92"/>
      <c r="BC13" s="92"/>
      <c r="BD13" s="92"/>
      <c r="BE13" s="94"/>
    </row>
    <row r="14" spans="1:57" s="89" customFormat="1" ht="15" customHeight="1">
      <c r="B14" s="123"/>
      <c r="C14" s="127"/>
      <c r="D14" s="127" t="s">
        <v>2812</v>
      </c>
      <c r="E14" s="127"/>
      <c r="F14" s="127"/>
      <c r="G14" s="117"/>
      <c r="H14" s="118"/>
      <c r="I14" s="119" t="s">
        <v>498</v>
      </c>
      <c r="J14" s="128">
        <f>J46</f>
        <v>5.7707365556045147</v>
      </c>
      <c r="K14" s="129">
        <f t="shared" ref="K14:V14" si="2">K46</f>
        <v>5.6307023123708593</v>
      </c>
      <c r="L14" s="129">
        <f t="shared" si="2"/>
        <v>3.6498029849322093</v>
      </c>
      <c r="M14" s="129">
        <f t="shared" si="2"/>
        <v>4.0539562685936152</v>
      </c>
      <c r="N14" s="129">
        <f t="shared" si="2"/>
        <v>8.3892036683696354</v>
      </c>
      <c r="O14" s="129">
        <f t="shared" si="2"/>
        <v>9.1146189076257524</v>
      </c>
      <c r="P14" s="129">
        <f t="shared" si="2"/>
        <v>10.02956248897943</v>
      </c>
      <c r="Q14" s="130">
        <f t="shared" si="2"/>
        <v>8.9252425435007883</v>
      </c>
      <c r="R14" s="128">
        <f t="shared" si="2"/>
        <v>7.6364954308446098</v>
      </c>
      <c r="S14" s="129">
        <f t="shared" si="2"/>
        <v>7.5983129536903862</v>
      </c>
      <c r="T14" s="129">
        <f t="shared" si="2"/>
        <v>7.5603213889219365</v>
      </c>
      <c r="U14" s="129">
        <f t="shared" si="2"/>
        <v>7.5225197819773246</v>
      </c>
      <c r="V14" s="130">
        <f t="shared" si="2"/>
        <v>7.4849071830674401</v>
      </c>
      <c r="AE14" s="92"/>
      <c r="AF14" s="92"/>
      <c r="AG14" s="92"/>
      <c r="AH14" s="92"/>
      <c r="AI14" s="92"/>
      <c r="AJ14" s="92"/>
      <c r="AK14" s="92"/>
      <c r="AL14" s="92"/>
      <c r="AM14" s="92"/>
      <c r="AN14" s="92"/>
      <c r="AO14" s="92"/>
      <c r="AP14" s="94"/>
      <c r="AQ14" s="94"/>
      <c r="AR14" s="92"/>
      <c r="AS14" s="92"/>
      <c r="AT14" s="92"/>
      <c r="AU14" s="92"/>
      <c r="AV14" s="92"/>
      <c r="AW14" s="92"/>
      <c r="AX14" s="92"/>
      <c r="AY14" s="92"/>
      <c r="AZ14" s="92"/>
      <c r="BA14" s="92"/>
      <c r="BB14" s="92"/>
      <c r="BC14" s="92"/>
      <c r="BD14" s="92"/>
      <c r="BE14" s="94"/>
    </row>
    <row r="15" spans="1:57" s="89" customFormat="1" ht="15" customHeight="1">
      <c r="B15" s="123"/>
      <c r="C15" s="127"/>
      <c r="D15" s="127" t="s">
        <v>2813</v>
      </c>
      <c r="E15" s="127"/>
      <c r="F15" s="127"/>
      <c r="G15" s="117"/>
      <c r="H15" s="118"/>
      <c r="I15" s="119" t="s">
        <v>498</v>
      </c>
      <c r="J15" s="128">
        <f>J53</f>
        <v>4.0656237837962497</v>
      </c>
      <c r="K15" s="129">
        <f t="shared" ref="K15:V15" si="3">K53</f>
        <v>2.6273815646326812</v>
      </c>
      <c r="L15" s="129">
        <f t="shared" si="3"/>
        <v>2.5199349600420513</v>
      </c>
      <c r="M15" s="129">
        <f t="shared" si="3"/>
        <v>1.6172634158066084</v>
      </c>
      <c r="N15" s="129">
        <f t="shared" si="3"/>
        <v>1.8938145602640353</v>
      </c>
      <c r="O15" s="129">
        <f t="shared" si="3"/>
        <v>4.6852117207465813</v>
      </c>
      <c r="P15" s="129">
        <f t="shared" si="3"/>
        <v>2.6498661757842474</v>
      </c>
      <c r="Q15" s="130">
        <f t="shared" si="3"/>
        <v>2.2475608035502797</v>
      </c>
      <c r="R15" s="128">
        <f t="shared" si="3"/>
        <v>6.5330191247029745</v>
      </c>
      <c r="S15" s="129">
        <f t="shared" si="3"/>
        <v>6.5003540290794595</v>
      </c>
      <c r="T15" s="129">
        <f t="shared" si="3"/>
        <v>6.4678522589340641</v>
      </c>
      <c r="U15" s="129">
        <f t="shared" si="3"/>
        <v>6.4355129976393926</v>
      </c>
      <c r="V15" s="130">
        <f t="shared" si="3"/>
        <v>6.403335432651196</v>
      </c>
      <c r="AE15" s="92"/>
      <c r="AF15" s="92"/>
      <c r="AG15" s="92"/>
      <c r="AH15" s="92"/>
      <c r="AI15" s="92"/>
      <c r="AJ15" s="92"/>
      <c r="AK15" s="92"/>
      <c r="AL15" s="92"/>
      <c r="AM15" s="92"/>
      <c r="AN15" s="92"/>
      <c r="AO15" s="92"/>
      <c r="AP15" s="94"/>
      <c r="AQ15" s="94"/>
      <c r="AR15" s="92"/>
      <c r="AS15" s="92"/>
      <c r="AT15" s="92"/>
      <c r="AU15" s="92"/>
      <c r="AV15" s="92"/>
      <c r="AW15" s="92"/>
      <c r="AX15" s="92"/>
      <c r="AY15" s="92"/>
      <c r="AZ15" s="92"/>
      <c r="BA15" s="92"/>
      <c r="BB15" s="92"/>
      <c r="BC15" s="92"/>
      <c r="BD15" s="92"/>
      <c r="BE15" s="94"/>
    </row>
    <row r="16" spans="1:57" s="89" customFormat="1" ht="15" customHeight="1">
      <c r="B16" s="123"/>
      <c r="C16" s="127"/>
      <c r="D16" s="127" t="s">
        <v>2814</v>
      </c>
      <c r="E16" s="127"/>
      <c r="F16" s="127"/>
      <c r="G16" s="117"/>
      <c r="H16" s="118"/>
      <c r="I16" s="119" t="s">
        <v>498</v>
      </c>
      <c r="J16" s="128">
        <f>J60</f>
        <v>2.4406600834770318</v>
      </c>
      <c r="K16" s="129">
        <f t="shared" ref="K16:V16" si="4">K60</f>
        <v>3.8516400291834327</v>
      </c>
      <c r="L16" s="129">
        <f t="shared" si="4"/>
        <v>5.1226898287718896</v>
      </c>
      <c r="M16" s="129">
        <f t="shared" si="4"/>
        <v>3.7854975264132493</v>
      </c>
      <c r="N16" s="129">
        <f t="shared" si="4"/>
        <v>6.3629771766297072</v>
      </c>
      <c r="O16" s="129">
        <f t="shared" si="4"/>
        <v>4.0446403580822832</v>
      </c>
      <c r="P16" s="129">
        <f t="shared" si="4"/>
        <v>3.3130316525695132</v>
      </c>
      <c r="Q16" s="130">
        <f t="shared" si="4"/>
        <v>3.0833023351138795</v>
      </c>
      <c r="R16" s="128">
        <f t="shared" si="4"/>
        <v>19.243702181241559</v>
      </c>
      <c r="S16" s="129">
        <f t="shared" si="4"/>
        <v>19.14748367033534</v>
      </c>
      <c r="T16" s="129">
        <f t="shared" si="4"/>
        <v>19.051746251983673</v>
      </c>
      <c r="U16" s="129">
        <f t="shared" si="4"/>
        <v>18.956487520723748</v>
      </c>
      <c r="V16" s="130">
        <f t="shared" si="4"/>
        <v>18.861705083120128</v>
      </c>
      <c r="AE16" s="92"/>
      <c r="AF16" s="92"/>
      <c r="AG16" s="92"/>
      <c r="AH16" s="92"/>
      <c r="AI16" s="92"/>
      <c r="AJ16" s="92"/>
      <c r="AK16" s="92"/>
      <c r="AL16" s="92"/>
      <c r="AM16" s="92"/>
      <c r="AN16" s="92"/>
      <c r="AO16" s="92"/>
      <c r="AP16" s="94"/>
      <c r="AQ16" s="94"/>
      <c r="AR16" s="92"/>
      <c r="AS16" s="92"/>
      <c r="AT16" s="92"/>
      <c r="AU16" s="92"/>
      <c r="AV16" s="92"/>
      <c r="AW16" s="92"/>
      <c r="AX16" s="92"/>
      <c r="AY16" s="92"/>
      <c r="AZ16" s="92"/>
      <c r="BA16" s="92"/>
      <c r="BB16" s="92"/>
      <c r="BC16" s="92"/>
      <c r="BD16" s="92"/>
      <c r="BE16" s="94"/>
    </row>
    <row r="17" spans="1:57" s="89" customFormat="1" ht="15" customHeight="1">
      <c r="B17" s="123"/>
      <c r="C17" s="127"/>
      <c r="D17" s="127" t="s">
        <v>2815</v>
      </c>
      <c r="E17" s="127"/>
      <c r="F17" s="127"/>
      <c r="G17" s="117"/>
      <c r="H17" s="118"/>
      <c r="I17" s="119" t="s">
        <v>498</v>
      </c>
      <c r="J17" s="128">
        <f>J67</f>
        <v>3.4971755677797574</v>
      </c>
      <c r="K17" s="129">
        <f t="shared" ref="K17:V17" si="5">K67</f>
        <v>1.9313349630871115</v>
      </c>
      <c r="L17" s="129">
        <f t="shared" si="5"/>
        <v>3.0450202438030596</v>
      </c>
      <c r="M17" s="129">
        <f t="shared" si="5"/>
        <v>0.92509080623674578</v>
      </c>
      <c r="N17" s="129">
        <f t="shared" si="5"/>
        <v>1.3760566995989709</v>
      </c>
      <c r="O17" s="129">
        <f t="shared" si="5"/>
        <v>1.1666165110616715</v>
      </c>
      <c r="P17" s="129">
        <f t="shared" si="5"/>
        <v>0.9303784172164653</v>
      </c>
      <c r="Q17" s="130">
        <f t="shared" si="5"/>
        <v>0.8004699057412421</v>
      </c>
      <c r="R17" s="128">
        <f t="shared" si="5"/>
        <v>2.3415570052626959</v>
      </c>
      <c r="S17" s="129">
        <f t="shared" si="5"/>
        <v>2.3298492202363814</v>
      </c>
      <c r="T17" s="129">
        <f t="shared" si="5"/>
        <v>2.3181999741352008</v>
      </c>
      <c r="U17" s="129">
        <f t="shared" si="5"/>
        <v>2.3066089742645248</v>
      </c>
      <c r="V17" s="130">
        <f t="shared" si="5"/>
        <v>2.2950759293932017</v>
      </c>
      <c r="AE17" s="92"/>
      <c r="AF17" s="92"/>
      <c r="AG17" s="92"/>
      <c r="AH17" s="92"/>
      <c r="AI17" s="92"/>
      <c r="AJ17" s="92"/>
      <c r="AK17" s="92"/>
      <c r="AL17" s="92"/>
      <c r="AM17" s="92"/>
      <c r="AN17" s="92"/>
      <c r="AO17" s="92"/>
      <c r="AP17" s="94"/>
      <c r="AQ17" s="94"/>
      <c r="AR17" s="92"/>
      <c r="AS17" s="92"/>
      <c r="AT17" s="92"/>
      <c r="AU17" s="92"/>
      <c r="AV17" s="92"/>
      <c r="AW17" s="92"/>
      <c r="AX17" s="92"/>
      <c r="AY17" s="92"/>
      <c r="AZ17" s="92"/>
      <c r="BA17" s="92"/>
      <c r="BB17" s="92"/>
      <c r="BC17" s="92"/>
      <c r="BD17" s="92"/>
      <c r="BE17" s="94"/>
    </row>
    <row r="18" spans="1:57" s="89" customFormat="1" ht="15" customHeight="1">
      <c r="B18" s="123"/>
      <c r="C18" s="127"/>
      <c r="D18" s="127" t="s">
        <v>2816</v>
      </c>
      <c r="E18" s="127"/>
      <c r="F18" s="127"/>
      <c r="G18" s="117"/>
      <c r="H18" s="118"/>
      <c r="I18" s="119" t="s">
        <v>498</v>
      </c>
      <c r="J18" s="128">
        <f>J74</f>
        <v>0</v>
      </c>
      <c r="K18" s="129">
        <f t="shared" ref="K18:V18" si="6">K74</f>
        <v>0</v>
      </c>
      <c r="L18" s="129">
        <f t="shared" si="6"/>
        <v>0</v>
      </c>
      <c r="M18" s="129">
        <f t="shared" si="6"/>
        <v>0</v>
      </c>
      <c r="N18" s="129">
        <f t="shared" si="6"/>
        <v>0</v>
      </c>
      <c r="O18" s="129">
        <f t="shared" si="6"/>
        <v>0</v>
      </c>
      <c r="P18" s="129">
        <f t="shared" si="6"/>
        <v>0</v>
      </c>
      <c r="Q18" s="130">
        <f t="shared" si="6"/>
        <v>0</v>
      </c>
      <c r="R18" s="128">
        <f t="shared" si="6"/>
        <v>0</v>
      </c>
      <c r="S18" s="129">
        <f t="shared" si="6"/>
        <v>0</v>
      </c>
      <c r="T18" s="129">
        <f t="shared" si="6"/>
        <v>0</v>
      </c>
      <c r="U18" s="129">
        <f t="shared" si="6"/>
        <v>0</v>
      </c>
      <c r="V18" s="130">
        <f t="shared" si="6"/>
        <v>0</v>
      </c>
      <c r="AE18" s="92"/>
      <c r="AF18" s="92"/>
      <c r="AG18" s="92"/>
      <c r="AH18" s="92"/>
      <c r="AI18" s="92"/>
      <c r="AJ18" s="92"/>
      <c r="AK18" s="92"/>
      <c r="AL18" s="92"/>
      <c r="AM18" s="92"/>
      <c r="AN18" s="92"/>
      <c r="AO18" s="92"/>
      <c r="AP18" s="94"/>
      <c r="AQ18" s="94"/>
      <c r="AR18" s="92"/>
      <c r="AS18" s="92"/>
      <c r="AT18" s="92"/>
      <c r="AU18" s="92"/>
      <c r="AV18" s="92"/>
      <c r="AW18" s="92"/>
      <c r="AX18" s="92"/>
      <c r="AY18" s="92"/>
      <c r="AZ18" s="92"/>
      <c r="BA18" s="92"/>
      <c r="BB18" s="92"/>
      <c r="BC18" s="92"/>
      <c r="BD18" s="92"/>
      <c r="BE18" s="94"/>
    </row>
    <row r="19" spans="1:57" s="89" customFormat="1" ht="15" customHeight="1">
      <c r="B19" s="123"/>
      <c r="C19" s="127"/>
      <c r="D19" s="127" t="s">
        <v>2817</v>
      </c>
      <c r="E19" s="127"/>
      <c r="F19" s="127"/>
      <c r="G19" s="117"/>
      <c r="H19" s="118"/>
      <c r="I19" s="119" t="s">
        <v>498</v>
      </c>
      <c r="J19" s="128">
        <f>J81</f>
        <v>10.973977748967384</v>
      </c>
      <c r="K19" s="129">
        <f t="shared" ref="K19:V19" si="7">K81</f>
        <v>11.107106269724273</v>
      </c>
      <c r="L19" s="129">
        <f t="shared" si="7"/>
        <v>8.9538296827195545</v>
      </c>
      <c r="M19" s="129">
        <f t="shared" si="7"/>
        <v>8.8057312084608377</v>
      </c>
      <c r="N19" s="129">
        <f t="shared" si="7"/>
        <v>7.3770266463747562</v>
      </c>
      <c r="O19" s="129">
        <f t="shared" si="7"/>
        <v>7.0412185709450696</v>
      </c>
      <c r="P19" s="129">
        <f t="shared" si="7"/>
        <v>9.403427317958192</v>
      </c>
      <c r="Q19" s="130">
        <f t="shared" si="7"/>
        <v>7.73030873280808</v>
      </c>
      <c r="R19" s="128">
        <f t="shared" si="7"/>
        <v>8.6960979367741427</v>
      </c>
      <c r="S19" s="129">
        <f t="shared" si="7"/>
        <v>8.5348357070692025</v>
      </c>
      <c r="T19" s="129">
        <f t="shared" si="7"/>
        <v>8.3773125538393103</v>
      </c>
      <c r="U19" s="129">
        <f t="shared" si="7"/>
        <v>8.2234367558454604</v>
      </c>
      <c r="V19" s="130">
        <f t="shared" si="7"/>
        <v>8.0731188687986748</v>
      </c>
      <c r="AE19" s="92"/>
      <c r="AF19" s="92"/>
      <c r="AG19" s="92"/>
      <c r="AH19" s="92"/>
      <c r="AI19" s="92"/>
      <c r="AJ19" s="92"/>
      <c r="AK19" s="92"/>
      <c r="AL19" s="92"/>
      <c r="AM19" s="92"/>
      <c r="AN19" s="92"/>
      <c r="AO19" s="92"/>
      <c r="AP19" s="94"/>
      <c r="AQ19" s="94"/>
      <c r="AR19" s="92"/>
      <c r="AS19" s="92"/>
      <c r="AT19" s="92"/>
      <c r="AU19" s="92"/>
      <c r="AV19" s="92"/>
      <c r="AW19" s="92"/>
      <c r="AX19" s="92"/>
      <c r="AY19" s="92"/>
      <c r="AZ19" s="92"/>
      <c r="BA19" s="92"/>
      <c r="BB19" s="92"/>
      <c r="BC19" s="92"/>
      <c r="BD19" s="92"/>
      <c r="BE19" s="94"/>
    </row>
    <row r="20" spans="1:57" s="89" customFormat="1" ht="15" customHeight="1">
      <c r="B20" s="123"/>
      <c r="C20" s="127"/>
      <c r="D20" s="127" t="s">
        <v>2014</v>
      </c>
      <c r="E20" s="127"/>
      <c r="F20" s="127"/>
      <c r="G20" s="117"/>
      <c r="H20" s="118"/>
      <c r="I20" s="955" t="s">
        <v>498</v>
      </c>
      <c r="J20" s="831">
        <f>J93</f>
        <v>0.10394239891873502</v>
      </c>
      <c r="K20" s="829">
        <f t="shared" ref="K20:V20" si="8">K93</f>
        <v>3.5295670370524015E-2</v>
      </c>
      <c r="L20" s="829">
        <f t="shared" si="8"/>
        <v>1.1845109035597472E-2</v>
      </c>
      <c r="M20" s="829">
        <f t="shared" si="8"/>
        <v>0</v>
      </c>
      <c r="N20" s="829">
        <f t="shared" si="8"/>
        <v>0.14178992288903056</v>
      </c>
      <c r="O20" s="829">
        <f t="shared" si="8"/>
        <v>6.7284100001811977E-3</v>
      </c>
      <c r="P20" s="829">
        <f t="shared" si="8"/>
        <v>0.08</v>
      </c>
      <c r="Q20" s="830">
        <f t="shared" si="8"/>
        <v>0.08</v>
      </c>
      <c r="R20" s="831">
        <f t="shared" si="8"/>
        <v>0.56815875689320938</v>
      </c>
      <c r="S20" s="829">
        <f t="shared" si="8"/>
        <v>0.56531796310874349</v>
      </c>
      <c r="T20" s="829">
        <f t="shared" si="8"/>
        <v>0.56249137329319976</v>
      </c>
      <c r="U20" s="829">
        <f t="shared" si="8"/>
        <v>0.55967891642673362</v>
      </c>
      <c r="V20" s="830">
        <f t="shared" si="8"/>
        <v>0.55688052184459991</v>
      </c>
      <c r="AE20" s="92"/>
      <c r="AF20" s="92"/>
      <c r="AG20" s="92"/>
      <c r="AH20" s="92"/>
      <c r="AI20" s="92"/>
      <c r="AJ20" s="92"/>
      <c r="AK20" s="92"/>
      <c r="AL20" s="92"/>
      <c r="AM20" s="92"/>
      <c r="AN20" s="92"/>
      <c r="AO20" s="92"/>
      <c r="AP20" s="94"/>
      <c r="AQ20" s="94"/>
      <c r="AR20" s="92"/>
      <c r="AS20" s="92"/>
      <c r="AT20" s="92"/>
      <c r="AU20" s="92"/>
      <c r="AV20" s="92"/>
      <c r="AW20" s="92"/>
      <c r="AX20" s="92"/>
      <c r="AY20" s="92"/>
      <c r="AZ20" s="92"/>
      <c r="BA20" s="92"/>
      <c r="BB20" s="92"/>
      <c r="BC20" s="92"/>
      <c r="BD20" s="92"/>
      <c r="BE20" s="94"/>
    </row>
    <row r="21" spans="1:57" s="89" customFormat="1" ht="15" customHeight="1" thickBot="1">
      <c r="B21" s="176" t="s">
        <v>1701</v>
      </c>
      <c r="C21" s="132"/>
      <c r="D21" s="132"/>
      <c r="E21" s="132"/>
      <c r="F21" s="132"/>
      <c r="G21" s="145"/>
      <c r="H21" s="133"/>
      <c r="I21" s="146" t="s">
        <v>498</v>
      </c>
      <c r="J21" s="148">
        <f>SUM(J12:J20)</f>
        <v>99.336128924111492</v>
      </c>
      <c r="K21" s="147">
        <f t="shared" ref="K21:V21" si="9">SUM(K12:K20)</f>
        <v>104.21664088727191</v>
      </c>
      <c r="L21" s="147">
        <f t="shared" si="9"/>
        <v>93.959665829401629</v>
      </c>
      <c r="M21" s="147">
        <f t="shared" si="9"/>
        <v>91.264609002466798</v>
      </c>
      <c r="N21" s="147">
        <f t="shared" si="9"/>
        <v>93.878007705455488</v>
      </c>
      <c r="O21" s="147">
        <f t="shared" si="9"/>
        <v>96.23231274608186</v>
      </c>
      <c r="P21" s="147">
        <f t="shared" si="9"/>
        <v>98.28782943390128</v>
      </c>
      <c r="Q21" s="149">
        <f t="shared" si="9"/>
        <v>89.375883409043027</v>
      </c>
      <c r="R21" s="148">
        <f t="shared" si="9"/>
        <v>107.33203193073011</v>
      </c>
      <c r="S21" s="147">
        <f t="shared" si="9"/>
        <v>106.67759003105536</v>
      </c>
      <c r="T21" s="147">
        <f t="shared" si="9"/>
        <v>106.02935310620555</v>
      </c>
      <c r="U21" s="147">
        <f t="shared" si="9"/>
        <v>105.38721710544986</v>
      </c>
      <c r="V21" s="149">
        <f t="shared" si="9"/>
        <v>104.75108031665508</v>
      </c>
      <c r="AE21" s="92"/>
      <c r="AF21" s="92"/>
      <c r="AG21" s="92"/>
      <c r="AH21" s="92"/>
      <c r="AI21" s="92"/>
      <c r="AJ21" s="92"/>
      <c r="AK21" s="92"/>
      <c r="AL21" s="92"/>
      <c r="AM21" s="92"/>
      <c r="AN21" s="92"/>
      <c r="AO21" s="92"/>
      <c r="AP21" s="94"/>
      <c r="AQ21" s="94"/>
      <c r="AR21" s="92"/>
      <c r="AS21" s="92"/>
      <c r="AT21" s="92"/>
      <c r="AU21" s="92"/>
      <c r="AV21" s="92"/>
      <c r="AW21" s="92"/>
      <c r="AX21" s="92"/>
      <c r="AY21" s="92"/>
      <c r="AZ21" s="92"/>
      <c r="BA21" s="92"/>
      <c r="BB21" s="92"/>
      <c r="BC21" s="92"/>
      <c r="BD21" s="92"/>
      <c r="BE21" s="94"/>
    </row>
    <row r="22" spans="1:57" s="89" customFormat="1" ht="15" customHeight="1">
      <c r="B22" s="134"/>
      <c r="C22" s="134"/>
      <c r="D22" s="134"/>
      <c r="E22" s="134"/>
      <c r="F22" s="134"/>
      <c r="H22" s="114"/>
      <c r="I22" s="93"/>
      <c r="J22" s="92"/>
      <c r="P22" s="92"/>
      <c r="Q22" s="92"/>
      <c r="R22" s="92"/>
      <c r="S22" s="92"/>
      <c r="T22" s="92"/>
      <c r="U22" s="92"/>
      <c r="V22" s="92"/>
      <c r="AE22" s="92"/>
      <c r="AF22" s="92"/>
      <c r="AG22" s="92"/>
      <c r="AH22" s="92"/>
      <c r="AI22" s="92"/>
      <c r="AJ22" s="92"/>
      <c r="AK22" s="92"/>
      <c r="AL22" s="92"/>
      <c r="AM22" s="92"/>
      <c r="AN22" s="92"/>
      <c r="AO22" s="92"/>
      <c r="AP22" s="94"/>
      <c r="AQ22" s="94"/>
      <c r="AR22" s="92"/>
      <c r="AS22" s="92"/>
      <c r="AT22" s="92"/>
      <c r="AU22" s="92"/>
      <c r="AV22" s="92"/>
      <c r="AW22" s="92"/>
      <c r="AX22" s="92"/>
      <c r="AY22" s="92"/>
      <c r="AZ22" s="92"/>
      <c r="BA22" s="92"/>
      <c r="BB22" s="92"/>
      <c r="BC22" s="92"/>
      <c r="BD22" s="92"/>
      <c r="BE22" s="94"/>
    </row>
    <row r="23" spans="1:57" s="89" customFormat="1" ht="15" customHeight="1" thickBot="1">
      <c r="B23" s="134"/>
      <c r="C23" s="134"/>
      <c r="D23" s="134"/>
      <c r="E23" s="134"/>
      <c r="F23" s="134"/>
      <c r="H23" s="114"/>
      <c r="I23" s="93"/>
      <c r="J23" s="92"/>
      <c r="P23" s="92"/>
      <c r="Q23" s="92"/>
      <c r="R23" s="92"/>
      <c r="S23" s="92"/>
      <c r="T23" s="92"/>
      <c r="U23" s="92"/>
      <c r="V23" s="92"/>
      <c r="AE23" s="92"/>
      <c r="AF23" s="92"/>
      <c r="AG23" s="92"/>
      <c r="AH23" s="92"/>
      <c r="AI23" s="92"/>
      <c r="AJ23" s="92"/>
      <c r="AK23" s="92"/>
      <c r="AL23" s="92"/>
      <c r="AM23" s="92"/>
      <c r="AN23" s="92"/>
      <c r="AO23" s="92"/>
      <c r="AP23" s="94"/>
      <c r="AQ23" s="94"/>
      <c r="AR23" s="92"/>
      <c r="AS23" s="92"/>
      <c r="AT23" s="92"/>
      <c r="AU23" s="92"/>
      <c r="AV23" s="92"/>
      <c r="AW23" s="92"/>
      <c r="AX23" s="92"/>
      <c r="AY23" s="92"/>
      <c r="AZ23" s="92"/>
      <c r="BA23" s="92"/>
      <c r="BB23" s="92"/>
      <c r="BC23" s="92"/>
      <c r="BD23" s="92"/>
      <c r="BE23" s="94"/>
    </row>
    <row r="24" spans="1:57" s="100" customFormat="1" ht="30" customHeight="1" thickBot="1">
      <c r="A24" s="89"/>
      <c r="B24" s="621" t="s">
        <v>2818</v>
      </c>
      <c r="C24" s="101"/>
      <c r="D24" s="102"/>
      <c r="E24" s="102"/>
      <c r="F24" s="102"/>
      <c r="G24" s="103"/>
      <c r="H24" s="103"/>
      <c r="I24" s="105" t="s">
        <v>1704</v>
      </c>
      <c r="J24" s="106"/>
      <c r="K24" s="106"/>
      <c r="L24" s="106"/>
      <c r="M24" s="106"/>
      <c r="N24" s="106"/>
      <c r="O24" s="106"/>
      <c r="P24" s="106"/>
      <c r="Q24" s="106"/>
      <c r="R24" s="105"/>
      <c r="S24" s="105"/>
      <c r="T24" s="105"/>
      <c r="U24" s="105"/>
      <c r="V24" s="105"/>
    </row>
    <row r="25" spans="1:57" s="157" customFormat="1" ht="30" customHeight="1">
      <c r="A25" s="99"/>
      <c r="B25" s="109"/>
      <c r="C25" s="110"/>
      <c r="D25" s="110"/>
      <c r="E25" s="110"/>
      <c r="F25" s="110"/>
      <c r="G25" s="111"/>
      <c r="H25" s="111"/>
      <c r="I25" s="117"/>
      <c r="J25" s="695" t="s">
        <v>1666</v>
      </c>
      <c r="K25" s="152"/>
      <c r="L25" s="152"/>
      <c r="M25" s="152"/>
      <c r="N25" s="152"/>
      <c r="O25" s="152"/>
      <c r="P25" s="152"/>
      <c r="Q25" s="153"/>
      <c r="R25" s="696" t="s">
        <v>2</v>
      </c>
      <c r="S25" s="155"/>
      <c r="T25" s="155"/>
      <c r="U25" s="155"/>
      <c r="V25" s="156"/>
    </row>
    <row r="26" spans="1:57" s="98" customFormat="1" ht="15" customHeight="1">
      <c r="A26" s="99"/>
      <c r="B26" s="115"/>
      <c r="C26" s="116"/>
      <c r="D26" s="116"/>
      <c r="E26" s="116"/>
      <c r="F26" s="116"/>
      <c r="G26" s="117"/>
      <c r="H26" s="117"/>
      <c r="I26" s="119" t="s">
        <v>1667</v>
      </c>
      <c r="J26" s="158" t="s">
        <v>453</v>
      </c>
      <c r="K26" s="137" t="s">
        <v>455</v>
      </c>
      <c r="L26" s="137" t="s">
        <v>457</v>
      </c>
      <c r="M26" s="137" t="s">
        <v>459</v>
      </c>
      <c r="N26" s="137" t="s">
        <v>461</v>
      </c>
      <c r="O26" s="137" t="s">
        <v>463</v>
      </c>
      <c r="P26" s="137" t="s">
        <v>465</v>
      </c>
      <c r="Q26" s="138" t="s">
        <v>467</v>
      </c>
      <c r="R26" s="120" t="s">
        <v>469</v>
      </c>
      <c r="S26" s="121" t="s">
        <v>471</v>
      </c>
      <c r="T26" s="121" t="s">
        <v>473</v>
      </c>
      <c r="U26" s="121" t="s">
        <v>475</v>
      </c>
      <c r="V26" s="122" t="s">
        <v>477</v>
      </c>
    </row>
    <row r="27" spans="1:57" s="98" customFormat="1" ht="15" customHeight="1">
      <c r="A27" s="99"/>
      <c r="B27" s="161"/>
      <c r="C27" s="116" t="s">
        <v>2810</v>
      </c>
      <c r="D27" s="116"/>
      <c r="E27" s="116"/>
      <c r="F27" s="116"/>
      <c r="G27" s="117"/>
      <c r="H27" s="117"/>
      <c r="I27" s="117"/>
      <c r="J27" s="159"/>
      <c r="K27" s="117"/>
      <c r="L27" s="117"/>
      <c r="M27" s="117"/>
      <c r="N27" s="117"/>
      <c r="O27" s="117"/>
      <c r="P27" s="117"/>
      <c r="Q27" s="160"/>
      <c r="R27" s="159"/>
      <c r="S27" s="117"/>
      <c r="T27" s="117"/>
      <c r="U27" s="117"/>
      <c r="V27" s="160"/>
    </row>
    <row r="28" spans="1:57" s="98" customFormat="1" ht="15" customHeight="1">
      <c r="A28" s="99"/>
      <c r="B28" s="161"/>
      <c r="C28" s="162"/>
      <c r="D28" s="230" t="s">
        <v>2819</v>
      </c>
      <c r="E28" s="162"/>
      <c r="F28" s="162"/>
      <c r="G28" s="163"/>
      <c r="H28" s="163"/>
      <c r="I28" s="164" t="s">
        <v>498</v>
      </c>
      <c r="J28" s="143">
        <v>2.1647494384814689</v>
      </c>
      <c r="K28" s="141">
        <v>4.3887960126348453</v>
      </c>
      <c r="L28" s="141">
        <v>3.526843648531389</v>
      </c>
      <c r="M28" s="141">
        <v>3.5323090956544401</v>
      </c>
      <c r="N28" s="141">
        <v>1.806602272587273</v>
      </c>
      <c r="O28" s="141">
        <v>2.018090445892446</v>
      </c>
      <c r="P28" s="141">
        <v>2.7721459785358591</v>
      </c>
      <c r="Q28" s="144">
        <v>2.5575384003518602</v>
      </c>
      <c r="R28" s="143">
        <v>2.546265980664236</v>
      </c>
      <c r="S28" s="141">
        <v>2.533534650760914</v>
      </c>
      <c r="T28" s="141">
        <v>2.5208669775071098</v>
      </c>
      <c r="U28" s="141">
        <v>2.5082626426195738</v>
      </c>
      <c r="V28" s="144">
        <v>2.4957213294064768</v>
      </c>
    </row>
    <row r="29" spans="1:57" s="98" customFormat="1" ht="15" customHeight="1">
      <c r="A29" s="99"/>
      <c r="B29" s="161"/>
      <c r="C29" s="162"/>
      <c r="D29" s="162" t="s">
        <v>2057</v>
      </c>
      <c r="E29" s="162"/>
      <c r="F29" s="162"/>
      <c r="G29" s="163"/>
      <c r="H29" s="163"/>
      <c r="I29" s="164" t="s">
        <v>498</v>
      </c>
      <c r="J29" s="143">
        <v>40.661133496844371</v>
      </c>
      <c r="K29" s="141">
        <v>46.629992518258547</v>
      </c>
      <c r="L29" s="141">
        <v>41.500134264559748</v>
      </c>
      <c r="M29" s="141">
        <v>42.380233058292795</v>
      </c>
      <c r="N29" s="141">
        <v>41.556763148801096</v>
      </c>
      <c r="O29" s="141">
        <v>45.540086548681344</v>
      </c>
      <c r="P29" s="141">
        <v>41.247240099087506</v>
      </c>
      <c r="Q29" s="144">
        <v>38.054056777221327</v>
      </c>
      <c r="R29" s="143">
        <v>37.886332492514398</v>
      </c>
      <c r="S29" s="141">
        <v>37.696900830051817</v>
      </c>
      <c r="T29" s="141">
        <v>37.508416325901564</v>
      </c>
      <c r="U29" s="141">
        <v>37.320874244272048</v>
      </c>
      <c r="V29" s="144">
        <v>37.134269873050691</v>
      </c>
    </row>
    <row r="30" spans="1:57" s="98" customFormat="1" ht="15" customHeight="1">
      <c r="A30" s="99"/>
      <c r="B30" s="161"/>
      <c r="C30" s="162"/>
      <c r="D30" s="162" t="s">
        <v>1754</v>
      </c>
      <c r="E30" s="162"/>
      <c r="F30" s="162"/>
      <c r="G30" s="163"/>
      <c r="H30" s="163"/>
      <c r="I30" s="164" t="s">
        <v>498</v>
      </c>
      <c r="J30" s="143">
        <v>10.385876017341721</v>
      </c>
      <c r="K30" s="141">
        <v>8.5625090339493095</v>
      </c>
      <c r="L30" s="141">
        <v>5.2593085572522416</v>
      </c>
      <c r="M30" s="141">
        <v>5.4055002639772711</v>
      </c>
      <c r="N30" s="141">
        <v>5.0107620778274722</v>
      </c>
      <c r="O30" s="141">
        <v>6.0496810088060382</v>
      </c>
      <c r="P30" s="141">
        <v>6.5067774778406786</v>
      </c>
      <c r="Q30" s="144">
        <v>6.0030508461576293</v>
      </c>
      <c r="R30" s="143">
        <v>5.9765922371550335</v>
      </c>
      <c r="S30" s="141">
        <v>5.9467092759692566</v>
      </c>
      <c r="T30" s="141">
        <v>5.9169757295894101</v>
      </c>
      <c r="U30" s="141">
        <v>5.8873908509414621</v>
      </c>
      <c r="V30" s="144">
        <v>5.857953896686757</v>
      </c>
    </row>
    <row r="31" spans="1:57" s="98" customFormat="1" ht="15" customHeight="1">
      <c r="A31" s="99"/>
      <c r="B31" s="161"/>
      <c r="C31" s="162"/>
      <c r="D31" s="162" t="s">
        <v>85</v>
      </c>
      <c r="E31" s="162"/>
      <c r="F31" s="162"/>
      <c r="G31" s="163"/>
      <c r="H31" s="163"/>
      <c r="I31" s="164" t="s">
        <v>498</v>
      </c>
      <c r="J31" s="143">
        <v>16.640212117232771</v>
      </c>
      <c r="K31" s="141">
        <v>16.753310539309041</v>
      </c>
      <c r="L31" s="141">
        <v>18.393878614498824</v>
      </c>
      <c r="M31" s="141">
        <v>19.07837528720561</v>
      </c>
      <c r="N31" s="141">
        <v>17.319325068639184</v>
      </c>
      <c r="O31" s="141">
        <v>15.029661782084862</v>
      </c>
      <c r="P31" s="141">
        <v>16.476049404088151</v>
      </c>
      <c r="Q31" s="144">
        <v>15.200544763268766</v>
      </c>
      <c r="R31" s="143">
        <v>15.133547951010344</v>
      </c>
      <c r="S31" s="141">
        <v>15.057880211255288</v>
      </c>
      <c r="T31" s="141">
        <v>14.982590810199012</v>
      </c>
      <c r="U31" s="141">
        <v>14.907677856148014</v>
      </c>
      <c r="V31" s="144">
        <v>14.833139466867276</v>
      </c>
    </row>
    <row r="32" spans="1:57" s="98" customFormat="1" ht="15" customHeight="1">
      <c r="A32" s="99"/>
      <c r="B32" s="161"/>
      <c r="C32" s="162" t="s">
        <v>1710</v>
      </c>
      <c r="D32" s="162"/>
      <c r="E32" s="162"/>
      <c r="F32" s="162"/>
      <c r="G32" s="163"/>
      <c r="H32" s="163"/>
      <c r="I32" s="164" t="s">
        <v>498</v>
      </c>
      <c r="J32" s="641">
        <f>SUM(J28:J31)</f>
        <v>69.851971069900344</v>
      </c>
      <c r="K32" s="642">
        <f t="shared" ref="K32:V32" si="10">SUM(K28:K31)</f>
        <v>76.334608104151741</v>
      </c>
      <c r="L32" s="642">
        <f t="shared" si="10"/>
        <v>68.680165084842201</v>
      </c>
      <c r="M32" s="642">
        <f t="shared" si="10"/>
        <v>70.396417705130119</v>
      </c>
      <c r="N32" s="642">
        <f t="shared" si="10"/>
        <v>65.693452567855019</v>
      </c>
      <c r="O32" s="642">
        <f t="shared" si="10"/>
        <v>68.63751978546469</v>
      </c>
      <c r="P32" s="642">
        <f t="shared" si="10"/>
        <v>67.002212959552196</v>
      </c>
      <c r="Q32" s="643">
        <f t="shared" si="10"/>
        <v>61.81519078699958</v>
      </c>
      <c r="R32" s="641">
        <f t="shared" si="10"/>
        <v>61.542738661344011</v>
      </c>
      <c r="S32" s="642">
        <f t="shared" si="10"/>
        <v>61.235024968037273</v>
      </c>
      <c r="T32" s="642">
        <f t="shared" si="10"/>
        <v>60.928849843197099</v>
      </c>
      <c r="U32" s="642">
        <f t="shared" si="10"/>
        <v>60.624205593981095</v>
      </c>
      <c r="V32" s="643">
        <f t="shared" si="10"/>
        <v>60.321084566011208</v>
      </c>
    </row>
    <row r="33" spans="1:22" s="98" customFormat="1" ht="15" customHeight="1">
      <c r="A33" s="99"/>
      <c r="B33" s="123"/>
      <c r="C33" s="127"/>
      <c r="D33" s="127"/>
      <c r="E33" s="127"/>
      <c r="F33" s="127"/>
      <c r="G33" s="117"/>
      <c r="H33" s="117"/>
      <c r="I33" s="117"/>
      <c r="J33" s="713"/>
      <c r="K33" s="2649"/>
      <c r="L33" s="2649"/>
      <c r="M33" s="2649"/>
      <c r="N33" s="2649"/>
      <c r="O33" s="2649"/>
      <c r="P33" s="2649"/>
      <c r="Q33" s="715"/>
      <c r="R33" s="713"/>
      <c r="S33" s="2649"/>
      <c r="T33" s="2649"/>
      <c r="U33" s="2649"/>
      <c r="V33" s="715"/>
    </row>
    <row r="34" spans="1:22" s="98" customFormat="1" ht="15" customHeight="1">
      <c r="A34" s="99"/>
      <c r="B34" s="161"/>
      <c r="C34" s="116" t="s">
        <v>2811</v>
      </c>
      <c r="D34" s="116"/>
      <c r="E34" s="116"/>
      <c r="F34" s="116"/>
      <c r="G34" s="117"/>
      <c r="H34" s="117"/>
      <c r="I34" s="117"/>
      <c r="J34" s="713"/>
      <c r="K34" s="2649"/>
      <c r="L34" s="2649"/>
      <c r="M34" s="2649"/>
      <c r="N34" s="2649"/>
      <c r="O34" s="2649"/>
      <c r="P34" s="2649"/>
      <c r="Q34" s="715"/>
      <c r="R34" s="713"/>
      <c r="S34" s="2649"/>
      <c r="T34" s="2649"/>
      <c r="U34" s="2649"/>
      <c r="V34" s="715"/>
    </row>
    <row r="35" spans="1:22" s="98" customFormat="1" ht="15" customHeight="1">
      <c r="A35" s="99"/>
      <c r="B35" s="161"/>
      <c r="C35" s="162"/>
      <c r="D35" s="230" t="s">
        <v>2819</v>
      </c>
      <c r="E35" s="162"/>
      <c r="F35" s="162"/>
      <c r="G35" s="163"/>
      <c r="H35" s="163"/>
      <c r="I35" s="164" t="s">
        <v>498</v>
      </c>
      <c r="J35" s="143">
        <v>8.5858951836261174E-2</v>
      </c>
      <c r="K35" s="141">
        <v>0.15108474066363939</v>
      </c>
      <c r="L35" s="141">
        <v>8.8232885923984525E-2</v>
      </c>
      <c r="M35" s="141">
        <v>7.2612233123322656E-2</v>
      </c>
      <c r="N35" s="141">
        <v>5.9977222246496847E-2</v>
      </c>
      <c r="O35" s="141">
        <v>3.4531883978398889E-2</v>
      </c>
      <c r="P35" s="141">
        <v>0.18243167628318011</v>
      </c>
      <c r="Q35" s="144">
        <v>0.17549453155288214</v>
      </c>
      <c r="R35" s="143">
        <v>2.8798985064790884E-2</v>
      </c>
      <c r="S35" s="141">
        <v>2.8654990139466926E-2</v>
      </c>
      <c r="T35" s="141">
        <v>2.851171518876959E-2</v>
      </c>
      <c r="U35" s="141">
        <v>2.8369156612825745E-2</v>
      </c>
      <c r="V35" s="144">
        <v>2.8227310829761612E-2</v>
      </c>
    </row>
    <row r="36" spans="1:22" s="98" customFormat="1" ht="15" customHeight="1">
      <c r="A36" s="99"/>
      <c r="B36" s="161"/>
      <c r="C36" s="162"/>
      <c r="D36" s="162" t="s">
        <v>2057</v>
      </c>
      <c r="E36" s="162"/>
      <c r="F36" s="162"/>
      <c r="G36" s="163"/>
      <c r="H36" s="163"/>
      <c r="I36" s="164" t="s">
        <v>498</v>
      </c>
      <c r="J36" s="143">
        <v>1.4304148725349244</v>
      </c>
      <c r="K36" s="141">
        <v>1.5505485063728244</v>
      </c>
      <c r="L36" s="141">
        <v>1.1661464855418866</v>
      </c>
      <c r="M36" s="141">
        <v>0.98614095224604115</v>
      </c>
      <c r="N36" s="141">
        <v>1.6528614839541895</v>
      </c>
      <c r="O36" s="141">
        <v>1.0050446273140645</v>
      </c>
      <c r="P36" s="141">
        <v>2.8871822675710574</v>
      </c>
      <c r="Q36" s="144">
        <v>2.7773943093559472</v>
      </c>
      <c r="R36" s="143">
        <v>0.45577566734650488</v>
      </c>
      <c r="S36" s="141">
        <v>0.45349678900977231</v>
      </c>
      <c r="T36" s="141">
        <v>0.45122930506472342</v>
      </c>
      <c r="U36" s="141">
        <v>0.44897315853939984</v>
      </c>
      <c r="V36" s="144">
        <v>0.44672829274670278</v>
      </c>
    </row>
    <row r="37" spans="1:22" s="98" customFormat="1" ht="15" customHeight="1">
      <c r="A37" s="99"/>
      <c r="B37" s="161"/>
      <c r="C37" s="162"/>
      <c r="D37" s="162" t="s">
        <v>1754</v>
      </c>
      <c r="E37" s="162"/>
      <c r="F37" s="162"/>
      <c r="G37" s="163"/>
      <c r="H37" s="163"/>
      <c r="I37" s="164" t="s">
        <v>498</v>
      </c>
      <c r="J37" s="143">
        <v>0.40504299631312385</v>
      </c>
      <c r="K37" s="141">
        <v>0.30658071463132669</v>
      </c>
      <c r="L37" s="141">
        <v>0.16170121999737916</v>
      </c>
      <c r="M37" s="141">
        <v>0.13498278362813795</v>
      </c>
      <c r="N37" s="141">
        <v>0.18755071707556079</v>
      </c>
      <c r="O37" s="141">
        <v>0.12101419101355794</v>
      </c>
      <c r="P37" s="141">
        <v>0.48799572642990008</v>
      </c>
      <c r="Q37" s="144">
        <v>0.46943920680029216</v>
      </c>
      <c r="R37" s="143">
        <v>7.7035863088389583E-2</v>
      </c>
      <c r="S37" s="141">
        <v>7.665068377294762E-2</v>
      </c>
      <c r="T37" s="141">
        <v>7.6267430354082885E-2</v>
      </c>
      <c r="U37" s="141">
        <v>7.5886093202312474E-2</v>
      </c>
      <c r="V37" s="144">
        <v>7.5506662736300897E-2</v>
      </c>
    </row>
    <row r="38" spans="1:22" s="98" customFormat="1" ht="15" customHeight="1">
      <c r="A38" s="99"/>
      <c r="B38" s="161"/>
      <c r="C38" s="162"/>
      <c r="D38" s="162" t="s">
        <v>85</v>
      </c>
      <c r="E38" s="162"/>
      <c r="F38" s="162"/>
      <c r="G38" s="163"/>
      <c r="H38" s="163"/>
      <c r="I38" s="164" t="s">
        <v>498</v>
      </c>
      <c r="J38" s="143">
        <v>0.71072489498315539</v>
      </c>
      <c r="K38" s="141">
        <v>0.6903580120834909</v>
      </c>
      <c r="L38" s="141">
        <v>0.56029734379180407</v>
      </c>
      <c r="M38" s="141">
        <v>0.48691610282811504</v>
      </c>
      <c r="N38" s="141">
        <v>0.74329704019807763</v>
      </c>
      <c r="O38" s="141">
        <v>0.37516777984960126</v>
      </c>
      <c r="P38" s="141">
        <v>1.3217407515571116</v>
      </c>
      <c r="Q38" s="144">
        <v>1.2714802536200553</v>
      </c>
      <c r="R38" s="143">
        <v>0.20865231816722743</v>
      </c>
      <c r="S38" s="141">
        <v>0.20760905657639128</v>
      </c>
      <c r="T38" s="141">
        <v>0.2065710112935093</v>
      </c>
      <c r="U38" s="141">
        <v>0.20553815623704177</v>
      </c>
      <c r="V38" s="144">
        <v>0.20451046545585652</v>
      </c>
    </row>
    <row r="39" spans="1:22" s="98" customFormat="1" ht="15" customHeight="1">
      <c r="A39" s="99"/>
      <c r="B39" s="161"/>
      <c r="C39" s="162" t="s">
        <v>1710</v>
      </c>
      <c r="D39" s="162"/>
      <c r="E39" s="162"/>
      <c r="F39" s="162"/>
      <c r="G39" s="163"/>
      <c r="H39" s="163"/>
      <c r="I39" s="164" t="s">
        <v>498</v>
      </c>
      <c r="J39" s="641">
        <f>SUM(J35:J38)</f>
        <v>2.6320417156674649</v>
      </c>
      <c r="K39" s="642">
        <f t="shared" ref="K39:V39" si="11">SUM(K35:K38)</f>
        <v>2.6985719737512812</v>
      </c>
      <c r="L39" s="642">
        <f t="shared" si="11"/>
        <v>1.9763779352550541</v>
      </c>
      <c r="M39" s="642">
        <f t="shared" si="11"/>
        <v>1.6806520718256166</v>
      </c>
      <c r="N39" s="642">
        <f t="shared" si="11"/>
        <v>2.6436864634743249</v>
      </c>
      <c r="O39" s="642">
        <f t="shared" si="11"/>
        <v>1.5357584821556225</v>
      </c>
      <c r="P39" s="642">
        <f t="shared" si="11"/>
        <v>4.8793504218412487</v>
      </c>
      <c r="Q39" s="643">
        <f t="shared" si="11"/>
        <v>4.6938083013291765</v>
      </c>
      <c r="R39" s="641">
        <f t="shared" si="11"/>
        <v>0.77026283366691273</v>
      </c>
      <c r="S39" s="642">
        <f t="shared" si="11"/>
        <v>0.76641151949857811</v>
      </c>
      <c r="T39" s="642">
        <f t="shared" si="11"/>
        <v>0.76257946190108516</v>
      </c>
      <c r="U39" s="642">
        <f t="shared" si="11"/>
        <v>0.75876656459157976</v>
      </c>
      <c r="V39" s="643">
        <f t="shared" si="11"/>
        <v>0.75497273176862179</v>
      </c>
    </row>
    <row r="40" spans="1:22" s="98" customFormat="1" ht="15" customHeight="1">
      <c r="A40" s="99"/>
      <c r="B40" s="123"/>
      <c r="C40" s="127"/>
      <c r="D40" s="127"/>
      <c r="E40" s="127"/>
      <c r="F40" s="127"/>
      <c r="G40" s="117"/>
      <c r="H40" s="117"/>
      <c r="I40" s="117"/>
      <c r="J40" s="713"/>
      <c r="K40" s="2649"/>
      <c r="L40" s="2649"/>
      <c r="M40" s="2649"/>
      <c r="N40" s="2649"/>
      <c r="O40" s="2649"/>
      <c r="P40" s="2649"/>
      <c r="Q40" s="715"/>
      <c r="R40" s="713"/>
      <c r="S40" s="2649"/>
      <c r="T40" s="2649"/>
      <c r="U40" s="2649"/>
      <c r="V40" s="715"/>
    </row>
    <row r="41" spans="1:22" s="98" customFormat="1" ht="15" customHeight="1">
      <c r="A41" s="99"/>
      <c r="B41" s="161"/>
      <c r="C41" s="116" t="s">
        <v>2812</v>
      </c>
      <c r="D41" s="116"/>
      <c r="E41" s="116"/>
      <c r="F41" s="116"/>
      <c r="G41" s="117"/>
      <c r="H41" s="117"/>
      <c r="I41" s="117"/>
      <c r="J41" s="713"/>
      <c r="K41" s="2649"/>
      <c r="L41" s="2649"/>
      <c r="M41" s="2649"/>
      <c r="N41" s="2649"/>
      <c r="O41" s="2649"/>
      <c r="P41" s="2649"/>
      <c r="Q41" s="715"/>
      <c r="R41" s="713"/>
      <c r="S41" s="2649"/>
      <c r="T41" s="2649"/>
      <c r="U41" s="2649"/>
      <c r="V41" s="715"/>
    </row>
    <row r="42" spans="1:22" s="98" customFormat="1" ht="15" customHeight="1">
      <c r="A42" s="99"/>
      <c r="B42" s="161"/>
      <c r="C42" s="162"/>
      <c r="D42" s="230" t="s">
        <v>2819</v>
      </c>
      <c r="E42" s="162"/>
      <c r="F42" s="162"/>
      <c r="G42" s="163"/>
      <c r="H42" s="163"/>
      <c r="I42" s="164" t="s">
        <v>498</v>
      </c>
      <c r="J42" s="143">
        <v>1.0912274069636667</v>
      </c>
      <c r="K42" s="141">
        <v>0.31694817643184181</v>
      </c>
      <c r="L42" s="141">
        <v>0.15997389201729864</v>
      </c>
      <c r="M42" s="141">
        <v>0.18081870162897934</v>
      </c>
      <c r="N42" s="141">
        <v>0.18865849514783353</v>
      </c>
      <c r="O42" s="141">
        <v>0.20002291354366228</v>
      </c>
      <c r="P42" s="141">
        <v>0.62799714661911044</v>
      </c>
      <c r="Q42" s="144">
        <v>0.5588505835983214</v>
      </c>
      <c r="R42" s="143">
        <v>0.47815618537796073</v>
      </c>
      <c r="S42" s="141">
        <v>0.47576540445107091</v>
      </c>
      <c r="T42" s="141">
        <v>0.47338657742881557</v>
      </c>
      <c r="U42" s="141">
        <v>0.47101964454167145</v>
      </c>
      <c r="V42" s="144">
        <v>0.46866454631896332</v>
      </c>
    </row>
    <row r="43" spans="1:22" s="98" customFormat="1" ht="15" customHeight="1">
      <c r="A43" s="99"/>
      <c r="B43" s="161"/>
      <c r="C43" s="162"/>
      <c r="D43" s="162" t="s">
        <v>2057</v>
      </c>
      <c r="E43" s="162"/>
      <c r="F43" s="162"/>
      <c r="G43" s="163"/>
      <c r="H43" s="163"/>
      <c r="I43" s="164" t="s">
        <v>498</v>
      </c>
      <c r="J43" s="143">
        <v>2.0821214647324826</v>
      </c>
      <c r="K43" s="141">
        <v>3.2741054342085407</v>
      </c>
      <c r="L43" s="141">
        <v>2.1492292617719322</v>
      </c>
      <c r="M43" s="141">
        <v>2.3926299984295523</v>
      </c>
      <c r="N43" s="141">
        <v>5.2424669623759961</v>
      </c>
      <c r="O43" s="141">
        <v>5.958424651031156</v>
      </c>
      <c r="P43" s="141">
        <v>5.7146060572937118</v>
      </c>
      <c r="Q43" s="144">
        <v>5.0853908291562124</v>
      </c>
      <c r="R43" s="143">
        <v>4.351093389522414</v>
      </c>
      <c r="S43" s="141">
        <v>4.3293379225748012</v>
      </c>
      <c r="T43" s="141">
        <v>4.307691232961929</v>
      </c>
      <c r="U43" s="141">
        <v>4.2861527767971177</v>
      </c>
      <c r="V43" s="144">
        <v>4.2647220129131336</v>
      </c>
    </row>
    <row r="44" spans="1:22" s="98" customFormat="1" ht="15" customHeight="1">
      <c r="A44" s="99"/>
      <c r="B44" s="161"/>
      <c r="C44" s="162"/>
      <c r="D44" s="162" t="s">
        <v>1754</v>
      </c>
      <c r="E44" s="162"/>
      <c r="F44" s="162"/>
      <c r="G44" s="163"/>
      <c r="H44" s="163"/>
      <c r="I44" s="164" t="s">
        <v>498</v>
      </c>
      <c r="J44" s="143">
        <v>0.5591176011579384</v>
      </c>
      <c r="K44" s="141">
        <v>0.63594779737133311</v>
      </c>
      <c r="L44" s="141">
        <v>0.29307165100973215</v>
      </c>
      <c r="M44" s="141">
        <v>0.3210210883010961</v>
      </c>
      <c r="N44" s="141">
        <v>0.59330757337171636</v>
      </c>
      <c r="O44" s="141">
        <v>0.71156396740225125</v>
      </c>
      <c r="P44" s="141">
        <v>0.86054289123172345</v>
      </c>
      <c r="Q44" s="144">
        <v>0.76579153196044303</v>
      </c>
      <c r="R44" s="143">
        <v>0.65521620351413379</v>
      </c>
      <c r="S44" s="141">
        <v>0.65194012249656297</v>
      </c>
      <c r="T44" s="141">
        <v>0.64868042188408026</v>
      </c>
      <c r="U44" s="141">
        <v>0.64543701977465961</v>
      </c>
      <c r="V44" s="144">
        <v>0.64220983467578674</v>
      </c>
    </row>
    <row r="45" spans="1:22" s="98" customFormat="1" ht="15" customHeight="1">
      <c r="A45" s="99"/>
      <c r="B45" s="161"/>
      <c r="C45" s="162"/>
      <c r="D45" s="162" t="s">
        <v>85</v>
      </c>
      <c r="E45" s="162"/>
      <c r="F45" s="162"/>
      <c r="G45" s="163"/>
      <c r="H45" s="163"/>
      <c r="I45" s="164" t="s">
        <v>498</v>
      </c>
      <c r="J45" s="143">
        <v>2.0382700827504263</v>
      </c>
      <c r="K45" s="141">
        <v>1.403700904359144</v>
      </c>
      <c r="L45" s="141">
        <v>1.0475281801332463</v>
      </c>
      <c r="M45" s="141">
        <v>1.1594864802339873</v>
      </c>
      <c r="N45" s="141">
        <v>2.3647706374740896</v>
      </c>
      <c r="O45" s="141">
        <v>2.2446073756486826</v>
      </c>
      <c r="P45" s="141">
        <v>2.826416393834883</v>
      </c>
      <c r="Q45" s="144">
        <v>2.5152095987858121</v>
      </c>
      <c r="R45" s="143">
        <v>2.1520296524301017</v>
      </c>
      <c r="S45" s="141">
        <v>2.1412695041679513</v>
      </c>
      <c r="T45" s="141">
        <v>2.1305631566471117</v>
      </c>
      <c r="U45" s="141">
        <v>2.1199103408638753</v>
      </c>
      <c r="V45" s="144">
        <v>2.1093107891595571</v>
      </c>
    </row>
    <row r="46" spans="1:22" s="98" customFormat="1" ht="15" customHeight="1">
      <c r="A46" s="99"/>
      <c r="B46" s="161"/>
      <c r="C46" s="162" t="s">
        <v>1710</v>
      </c>
      <c r="D46" s="162"/>
      <c r="E46" s="162"/>
      <c r="F46" s="162"/>
      <c r="G46" s="163"/>
      <c r="H46" s="163"/>
      <c r="I46" s="164" t="s">
        <v>498</v>
      </c>
      <c r="J46" s="641">
        <f>SUM(J42:J45)</f>
        <v>5.7707365556045147</v>
      </c>
      <c r="K46" s="642">
        <f t="shared" ref="K46:V46" si="12">SUM(K42:K45)</f>
        <v>5.6307023123708593</v>
      </c>
      <c r="L46" s="642">
        <f t="shared" si="12"/>
        <v>3.6498029849322093</v>
      </c>
      <c r="M46" s="642">
        <f t="shared" si="12"/>
        <v>4.0539562685936152</v>
      </c>
      <c r="N46" s="642">
        <f t="shared" si="12"/>
        <v>8.3892036683696354</v>
      </c>
      <c r="O46" s="642">
        <f t="shared" si="12"/>
        <v>9.1146189076257524</v>
      </c>
      <c r="P46" s="642">
        <f t="shared" si="12"/>
        <v>10.02956248897943</v>
      </c>
      <c r="Q46" s="643">
        <f t="shared" si="12"/>
        <v>8.9252425435007883</v>
      </c>
      <c r="R46" s="641">
        <f t="shared" si="12"/>
        <v>7.6364954308446098</v>
      </c>
      <c r="S46" s="642">
        <f t="shared" si="12"/>
        <v>7.5983129536903862</v>
      </c>
      <c r="T46" s="642">
        <f t="shared" si="12"/>
        <v>7.5603213889219365</v>
      </c>
      <c r="U46" s="642">
        <f t="shared" si="12"/>
        <v>7.5225197819773246</v>
      </c>
      <c r="V46" s="643">
        <f t="shared" si="12"/>
        <v>7.4849071830674401</v>
      </c>
    </row>
    <row r="47" spans="1:22" s="98" customFormat="1" ht="15" customHeight="1">
      <c r="A47" s="99"/>
      <c r="B47" s="123"/>
      <c r="C47" s="127"/>
      <c r="D47" s="127"/>
      <c r="E47" s="127"/>
      <c r="F47" s="127"/>
      <c r="G47" s="117"/>
      <c r="H47" s="117"/>
      <c r="I47" s="117"/>
      <c r="J47" s="713"/>
      <c r="K47" s="2649"/>
      <c r="L47" s="2649"/>
      <c r="M47" s="2649"/>
      <c r="N47" s="2649"/>
      <c r="O47" s="2649"/>
      <c r="P47" s="2649"/>
      <c r="Q47" s="715"/>
      <c r="R47" s="713"/>
      <c r="S47" s="2649"/>
      <c r="T47" s="2649"/>
      <c r="U47" s="2649"/>
      <c r="V47" s="715"/>
    </row>
    <row r="48" spans="1:22" s="98" customFormat="1" ht="15" customHeight="1">
      <c r="A48" s="99"/>
      <c r="B48" s="161"/>
      <c r="C48" s="116" t="s">
        <v>2813</v>
      </c>
      <c r="D48" s="116"/>
      <c r="E48" s="116"/>
      <c r="F48" s="116"/>
      <c r="G48" s="117"/>
      <c r="H48" s="117"/>
      <c r="I48" s="117"/>
      <c r="J48" s="713"/>
      <c r="K48" s="2649"/>
      <c r="L48" s="2649"/>
      <c r="M48" s="2649"/>
      <c r="N48" s="2649"/>
      <c r="O48" s="2649"/>
      <c r="P48" s="2649"/>
      <c r="Q48" s="715"/>
      <c r="R48" s="713"/>
      <c r="S48" s="2649"/>
      <c r="T48" s="2649"/>
      <c r="U48" s="2649"/>
      <c r="V48" s="715"/>
    </row>
    <row r="49" spans="1:22" s="98" customFormat="1" ht="15" customHeight="1">
      <c r="A49" s="99"/>
      <c r="B49" s="161"/>
      <c r="C49" s="162"/>
      <c r="D49" s="230" t="s">
        <v>2819</v>
      </c>
      <c r="E49" s="162"/>
      <c r="F49" s="162"/>
      <c r="G49" s="163"/>
      <c r="H49" s="163"/>
      <c r="I49" s="164" t="s">
        <v>498</v>
      </c>
      <c r="J49" s="143">
        <v>0.76879615912687316</v>
      </c>
      <c r="K49" s="141">
        <v>0.14789341533318123</v>
      </c>
      <c r="L49" s="141">
        <v>0.11045083936109237</v>
      </c>
      <c r="M49" s="141">
        <v>7.213483611150262E-2</v>
      </c>
      <c r="N49" s="141">
        <v>4.2588572068593476E-2</v>
      </c>
      <c r="O49" s="141">
        <v>0.10281830852725828</v>
      </c>
      <c r="P49" s="141">
        <v>0.16592033791539143</v>
      </c>
      <c r="Q49" s="144">
        <v>0.14073014381569057</v>
      </c>
      <c r="R49" s="143">
        <v>0.40906244650548296</v>
      </c>
      <c r="S49" s="141">
        <v>0.40701713427295555</v>
      </c>
      <c r="T49" s="141">
        <v>0.40498204860159082</v>
      </c>
      <c r="U49" s="141">
        <v>0.40295713835858288</v>
      </c>
      <c r="V49" s="144">
        <v>0.40094235266679001</v>
      </c>
    </row>
    <row r="50" spans="1:22" s="98" customFormat="1" ht="15" customHeight="1">
      <c r="A50" s="99"/>
      <c r="B50" s="161"/>
      <c r="C50" s="162"/>
      <c r="D50" s="162" t="s">
        <v>2057</v>
      </c>
      <c r="E50" s="162"/>
      <c r="F50" s="162"/>
      <c r="G50" s="163"/>
      <c r="H50" s="163"/>
      <c r="I50" s="164" t="s">
        <v>498</v>
      </c>
      <c r="J50" s="143">
        <v>1.4669050417052527</v>
      </c>
      <c r="K50" s="141">
        <v>1.5277533389757754</v>
      </c>
      <c r="L50" s="141">
        <v>1.4838932337563024</v>
      </c>
      <c r="M50" s="141">
        <v>0.95450288746305023</v>
      </c>
      <c r="N50" s="141">
        <v>1.1834568163464669</v>
      </c>
      <c r="O50" s="141">
        <v>3.0628248196795353</v>
      </c>
      <c r="P50" s="141">
        <v>1.5098306945884807</v>
      </c>
      <c r="Q50" s="144">
        <v>1.2806066661648867</v>
      </c>
      <c r="R50" s="143">
        <v>3.7223588470051214</v>
      </c>
      <c r="S50" s="141">
        <v>3.7037470527700957</v>
      </c>
      <c r="T50" s="141">
        <v>3.6852283175062461</v>
      </c>
      <c r="U50" s="141">
        <v>3.6668021759187144</v>
      </c>
      <c r="V50" s="144">
        <v>3.6484681650391213</v>
      </c>
    </row>
    <row r="51" spans="1:22" s="98" customFormat="1" ht="15" customHeight="1">
      <c r="A51" s="99"/>
      <c r="B51" s="161"/>
      <c r="C51" s="162"/>
      <c r="D51" s="162" t="s">
        <v>1754</v>
      </c>
      <c r="E51" s="162"/>
      <c r="F51" s="162"/>
      <c r="G51" s="163"/>
      <c r="H51" s="163"/>
      <c r="I51" s="164" t="s">
        <v>498</v>
      </c>
      <c r="J51" s="143">
        <v>0.39391190280539407</v>
      </c>
      <c r="K51" s="141">
        <v>0.29674406960055782</v>
      </c>
      <c r="L51" s="141">
        <v>0.20234557926155691</v>
      </c>
      <c r="M51" s="141">
        <v>0.12806641892856341</v>
      </c>
      <c r="N51" s="141">
        <v>0.13393577812429519</v>
      </c>
      <c r="O51" s="141">
        <v>0.36576711258270117</v>
      </c>
      <c r="P51" s="141">
        <v>0.2273602166387782</v>
      </c>
      <c r="Q51" s="144">
        <v>0.19284215779416938</v>
      </c>
      <c r="R51" s="143">
        <v>0.56053722903880232</v>
      </c>
      <c r="S51" s="141">
        <v>0.55773454289360824</v>
      </c>
      <c r="T51" s="141">
        <v>0.55494587017914021</v>
      </c>
      <c r="U51" s="141">
        <v>0.55217114082824448</v>
      </c>
      <c r="V51" s="144">
        <v>0.54941028512410339</v>
      </c>
    </row>
    <row r="52" spans="1:22" s="98" customFormat="1" ht="15" customHeight="1">
      <c r="A52" s="99"/>
      <c r="B52" s="161"/>
      <c r="C52" s="162"/>
      <c r="D52" s="162" t="s">
        <v>85</v>
      </c>
      <c r="E52" s="162"/>
      <c r="F52" s="162"/>
      <c r="G52" s="163"/>
      <c r="H52" s="163"/>
      <c r="I52" s="164" t="s">
        <v>498</v>
      </c>
      <c r="J52" s="143">
        <v>1.4360106801587296</v>
      </c>
      <c r="K52" s="141">
        <v>0.65499074072316676</v>
      </c>
      <c r="L52" s="141">
        <v>0.72324530766309958</v>
      </c>
      <c r="M52" s="141">
        <v>0.46255927330349228</v>
      </c>
      <c r="N52" s="141">
        <v>0.53383339372467975</v>
      </c>
      <c r="O52" s="141">
        <v>1.1538014799570857</v>
      </c>
      <c r="P52" s="141">
        <v>0.74675492664159682</v>
      </c>
      <c r="Q52" s="144">
        <v>0.63338183577553286</v>
      </c>
      <c r="R52" s="143">
        <v>1.841060602153568</v>
      </c>
      <c r="S52" s="141">
        <v>1.8318552991428005</v>
      </c>
      <c r="T52" s="141">
        <v>1.8226960226470865</v>
      </c>
      <c r="U52" s="141">
        <v>1.813582542533851</v>
      </c>
      <c r="V52" s="144">
        <v>1.8045146298211818</v>
      </c>
    </row>
    <row r="53" spans="1:22" s="98" customFormat="1" ht="15" customHeight="1">
      <c r="A53" s="99"/>
      <c r="B53" s="161"/>
      <c r="C53" s="162" t="s">
        <v>1710</v>
      </c>
      <c r="D53" s="162"/>
      <c r="E53" s="162"/>
      <c r="F53" s="162"/>
      <c r="G53" s="163"/>
      <c r="H53" s="163"/>
      <c r="I53" s="164" t="s">
        <v>498</v>
      </c>
      <c r="J53" s="641">
        <f>SUM(J49:J52)</f>
        <v>4.0656237837962497</v>
      </c>
      <c r="K53" s="642">
        <f t="shared" ref="K53:V53" si="13">SUM(K49:K52)</f>
        <v>2.6273815646326812</v>
      </c>
      <c r="L53" s="642">
        <f t="shared" si="13"/>
        <v>2.5199349600420513</v>
      </c>
      <c r="M53" s="642">
        <f t="shared" si="13"/>
        <v>1.6172634158066084</v>
      </c>
      <c r="N53" s="642">
        <f t="shared" si="13"/>
        <v>1.8938145602640353</v>
      </c>
      <c r="O53" s="642">
        <f t="shared" si="13"/>
        <v>4.6852117207465813</v>
      </c>
      <c r="P53" s="642">
        <f t="shared" si="13"/>
        <v>2.6498661757842474</v>
      </c>
      <c r="Q53" s="643">
        <f t="shared" si="13"/>
        <v>2.2475608035502797</v>
      </c>
      <c r="R53" s="641">
        <f t="shared" si="13"/>
        <v>6.5330191247029745</v>
      </c>
      <c r="S53" s="642">
        <f t="shared" si="13"/>
        <v>6.5003540290794595</v>
      </c>
      <c r="T53" s="642">
        <f t="shared" si="13"/>
        <v>6.4678522589340641</v>
      </c>
      <c r="U53" s="642">
        <f t="shared" si="13"/>
        <v>6.4355129976393926</v>
      </c>
      <c r="V53" s="643">
        <f t="shared" si="13"/>
        <v>6.403335432651196</v>
      </c>
    </row>
    <row r="54" spans="1:22" s="98" customFormat="1" ht="15" customHeight="1">
      <c r="A54" s="99"/>
      <c r="B54" s="123"/>
      <c r="C54" s="127"/>
      <c r="D54" s="127"/>
      <c r="E54" s="127"/>
      <c r="F54" s="127"/>
      <c r="G54" s="117"/>
      <c r="H54" s="117"/>
      <c r="I54" s="117"/>
      <c r="J54" s="713"/>
      <c r="K54" s="2649"/>
      <c r="L54" s="2649"/>
      <c r="M54" s="2649"/>
      <c r="N54" s="2649"/>
      <c r="O54" s="2649"/>
      <c r="P54" s="2649"/>
      <c r="Q54" s="715"/>
      <c r="R54" s="713"/>
      <c r="S54" s="2649"/>
      <c r="T54" s="2649"/>
      <c r="U54" s="2649"/>
      <c r="V54" s="715"/>
    </row>
    <row r="55" spans="1:22" s="98" customFormat="1" ht="15" customHeight="1">
      <c r="A55" s="99"/>
      <c r="B55" s="161"/>
      <c r="C55" s="116" t="s">
        <v>2814</v>
      </c>
      <c r="D55" s="116"/>
      <c r="E55" s="116"/>
      <c r="F55" s="116"/>
      <c r="G55" s="117"/>
      <c r="H55" s="117"/>
      <c r="I55" s="117"/>
      <c r="J55" s="713"/>
      <c r="K55" s="2649"/>
      <c r="L55" s="2649"/>
      <c r="M55" s="2649"/>
      <c r="N55" s="2649"/>
      <c r="O55" s="2649"/>
      <c r="P55" s="2649"/>
      <c r="Q55" s="715"/>
      <c r="R55" s="713"/>
      <c r="S55" s="2649"/>
      <c r="T55" s="2649"/>
      <c r="U55" s="2649"/>
      <c r="V55" s="715"/>
    </row>
    <row r="56" spans="1:22" s="98" customFormat="1" ht="15" customHeight="1">
      <c r="A56" s="99"/>
      <c r="B56" s="161"/>
      <c r="C56" s="162"/>
      <c r="D56" s="230" t="s">
        <v>2819</v>
      </c>
      <c r="E56" s="162"/>
      <c r="F56" s="162"/>
      <c r="G56" s="163"/>
      <c r="H56" s="163"/>
      <c r="I56" s="164" t="s">
        <v>498</v>
      </c>
      <c r="J56" s="143">
        <v>0.46152083854629744</v>
      </c>
      <c r="K56" s="141">
        <v>0.21680604226572192</v>
      </c>
      <c r="L56" s="141">
        <v>0.2245317440117359</v>
      </c>
      <c r="M56" s="141">
        <v>0.16884463037960132</v>
      </c>
      <c r="N56" s="141">
        <v>0.14309221068610242</v>
      </c>
      <c r="O56" s="141">
        <v>8.8760787133187996E-2</v>
      </c>
      <c r="P56" s="141">
        <v>0.18129507472910339</v>
      </c>
      <c r="Q56" s="144">
        <v>0.16872387163079217</v>
      </c>
      <c r="R56" s="143">
        <v>1.0530501337972344</v>
      </c>
      <c r="S56" s="141">
        <v>1.0477848831282477</v>
      </c>
      <c r="T56" s="141">
        <v>1.0425459587126067</v>
      </c>
      <c r="U56" s="141">
        <v>1.0373332289190433</v>
      </c>
      <c r="V56" s="144">
        <v>1.0321465627744482</v>
      </c>
    </row>
    <row r="57" spans="1:22" s="98" customFormat="1" ht="15" customHeight="1">
      <c r="A57" s="99"/>
      <c r="B57" s="161"/>
      <c r="C57" s="162"/>
      <c r="D57" s="162" t="s">
        <v>2057</v>
      </c>
      <c r="E57" s="162"/>
      <c r="F57" s="162"/>
      <c r="G57" s="163"/>
      <c r="H57" s="163"/>
      <c r="I57" s="164" t="s">
        <v>498</v>
      </c>
      <c r="J57" s="143">
        <v>0.88060695527470001</v>
      </c>
      <c r="K57" s="141">
        <v>2.2396274657352251</v>
      </c>
      <c r="L57" s="141">
        <v>3.0165559413565135</v>
      </c>
      <c r="M57" s="141">
        <v>2.2341866415395084</v>
      </c>
      <c r="N57" s="141">
        <v>3.9762650842063172</v>
      </c>
      <c r="O57" s="141">
        <v>2.6440693855000279</v>
      </c>
      <c r="P57" s="141">
        <v>1.9195527488091386</v>
      </c>
      <c r="Q57" s="144">
        <v>1.7864488159016469</v>
      </c>
      <c r="R57" s="143">
        <v>11.149697706817065</v>
      </c>
      <c r="S57" s="141">
        <v>11.093949218282974</v>
      </c>
      <c r="T57" s="141">
        <v>11.038479472191563</v>
      </c>
      <c r="U57" s="141">
        <v>10.983287074830601</v>
      </c>
      <c r="V57" s="144">
        <v>10.928370639456448</v>
      </c>
    </row>
    <row r="58" spans="1:22" s="98" customFormat="1" ht="15" customHeight="1">
      <c r="A58" s="99"/>
      <c r="B58" s="161"/>
      <c r="C58" s="162"/>
      <c r="D58" s="162" t="s">
        <v>1754</v>
      </c>
      <c r="E58" s="162"/>
      <c r="F58" s="162"/>
      <c r="G58" s="163"/>
      <c r="H58" s="163"/>
      <c r="I58" s="164" t="s">
        <v>498</v>
      </c>
      <c r="J58" s="143">
        <v>0.23647172210457304</v>
      </c>
      <c r="K58" s="141">
        <v>0.43501535988591455</v>
      </c>
      <c r="L58" s="141">
        <v>0.4113414263528597</v>
      </c>
      <c r="M58" s="141">
        <v>0.29976261586854025</v>
      </c>
      <c r="N58" s="141">
        <v>0.45000725901073069</v>
      </c>
      <c r="O58" s="141">
        <v>0.31575871345585216</v>
      </c>
      <c r="P58" s="141">
        <v>0.28480196499280952</v>
      </c>
      <c r="Q58" s="144">
        <v>0.26505347844361599</v>
      </c>
      <c r="R58" s="143">
        <v>1.6542685883195065</v>
      </c>
      <c r="S58" s="141">
        <v>1.6459972453779084</v>
      </c>
      <c r="T58" s="141">
        <v>1.6377672591510193</v>
      </c>
      <c r="U58" s="141">
        <v>1.6295784228552637</v>
      </c>
      <c r="V58" s="144">
        <v>1.6214305307409873</v>
      </c>
    </row>
    <row r="59" spans="1:22" s="98" customFormat="1" ht="15" customHeight="1">
      <c r="A59" s="99"/>
      <c r="B59" s="161"/>
      <c r="C59" s="162"/>
      <c r="D59" s="162" t="s">
        <v>85</v>
      </c>
      <c r="E59" s="162"/>
      <c r="F59" s="162"/>
      <c r="G59" s="163"/>
      <c r="H59" s="163"/>
      <c r="I59" s="164" t="s">
        <v>498</v>
      </c>
      <c r="J59" s="143">
        <v>0.86206056755146121</v>
      </c>
      <c r="K59" s="141">
        <v>0.96019116129657123</v>
      </c>
      <c r="L59" s="141">
        <v>1.4702607170507807</v>
      </c>
      <c r="M59" s="141">
        <v>1.082703638625599</v>
      </c>
      <c r="N59" s="141">
        <v>1.7936126227265572</v>
      </c>
      <c r="O59" s="141">
        <v>0.9960514719932152</v>
      </c>
      <c r="P59" s="141">
        <v>0.92738186403846168</v>
      </c>
      <c r="Q59" s="144">
        <v>0.86307616913782459</v>
      </c>
      <c r="R59" s="143">
        <v>5.3866857523077538</v>
      </c>
      <c r="S59" s="141">
        <v>5.3597523235462123</v>
      </c>
      <c r="T59" s="141">
        <v>5.3329535619284831</v>
      </c>
      <c r="U59" s="141">
        <v>5.3062887941188395</v>
      </c>
      <c r="V59" s="144">
        <v>5.2797573501482447</v>
      </c>
    </row>
    <row r="60" spans="1:22" s="98" customFormat="1" ht="15" customHeight="1">
      <c r="A60" s="99"/>
      <c r="B60" s="161"/>
      <c r="C60" s="162" t="s">
        <v>1710</v>
      </c>
      <c r="D60" s="162"/>
      <c r="E60" s="162"/>
      <c r="F60" s="162"/>
      <c r="G60" s="163"/>
      <c r="H60" s="163"/>
      <c r="I60" s="164" t="s">
        <v>498</v>
      </c>
      <c r="J60" s="641">
        <f>SUM(J56:J59)</f>
        <v>2.4406600834770318</v>
      </c>
      <c r="K60" s="642">
        <f t="shared" ref="K60:V60" si="14">SUM(K56:K59)</f>
        <v>3.8516400291834327</v>
      </c>
      <c r="L60" s="642">
        <f t="shared" si="14"/>
        <v>5.1226898287718896</v>
      </c>
      <c r="M60" s="642">
        <f t="shared" si="14"/>
        <v>3.7854975264132493</v>
      </c>
      <c r="N60" s="642">
        <f t="shared" si="14"/>
        <v>6.3629771766297072</v>
      </c>
      <c r="O60" s="642">
        <f t="shared" si="14"/>
        <v>4.0446403580822832</v>
      </c>
      <c r="P60" s="642">
        <f t="shared" si="14"/>
        <v>3.3130316525695132</v>
      </c>
      <c r="Q60" s="643">
        <f t="shared" si="14"/>
        <v>3.0833023351138795</v>
      </c>
      <c r="R60" s="641">
        <f t="shared" si="14"/>
        <v>19.243702181241559</v>
      </c>
      <c r="S60" s="642">
        <f t="shared" si="14"/>
        <v>19.14748367033534</v>
      </c>
      <c r="T60" s="642">
        <f t="shared" si="14"/>
        <v>19.051746251983673</v>
      </c>
      <c r="U60" s="642">
        <f t="shared" si="14"/>
        <v>18.956487520723748</v>
      </c>
      <c r="V60" s="643">
        <f t="shared" si="14"/>
        <v>18.861705083120128</v>
      </c>
    </row>
    <row r="61" spans="1:22" s="98" customFormat="1" ht="15" customHeight="1">
      <c r="A61" s="99"/>
      <c r="B61" s="123"/>
      <c r="C61" s="127"/>
      <c r="D61" s="127"/>
      <c r="E61" s="127"/>
      <c r="F61" s="127"/>
      <c r="G61" s="117"/>
      <c r="H61" s="117"/>
      <c r="I61" s="117"/>
      <c r="J61" s="713"/>
      <c r="K61" s="2649"/>
      <c r="L61" s="2649"/>
      <c r="M61" s="2649"/>
      <c r="N61" s="2649"/>
      <c r="O61" s="2649"/>
      <c r="P61" s="2649"/>
      <c r="Q61" s="715"/>
      <c r="R61" s="713"/>
      <c r="S61" s="2649"/>
      <c r="T61" s="2649"/>
      <c r="U61" s="2649"/>
      <c r="V61" s="715"/>
    </row>
    <row r="62" spans="1:22" s="98" customFormat="1" ht="15" customHeight="1">
      <c r="A62" s="99"/>
      <c r="B62" s="161"/>
      <c r="C62" s="116" t="s">
        <v>2815</v>
      </c>
      <c r="D62" s="116"/>
      <c r="E62" s="116"/>
      <c r="F62" s="116"/>
      <c r="G62" s="117"/>
      <c r="H62" s="117"/>
      <c r="I62" s="117"/>
      <c r="J62" s="713"/>
      <c r="K62" s="2649"/>
      <c r="L62" s="2649"/>
      <c r="M62" s="2649"/>
      <c r="N62" s="2649"/>
      <c r="O62" s="2649"/>
      <c r="P62" s="2649"/>
      <c r="Q62" s="715"/>
      <c r="R62" s="713"/>
      <c r="S62" s="2649"/>
      <c r="T62" s="2649"/>
      <c r="U62" s="2649"/>
      <c r="V62" s="715"/>
    </row>
    <row r="63" spans="1:22" s="98" customFormat="1" ht="15" customHeight="1">
      <c r="A63" s="99"/>
      <c r="B63" s="161"/>
      <c r="C63" s="162"/>
      <c r="D63" s="230" t="s">
        <v>2819</v>
      </c>
      <c r="E63" s="162"/>
      <c r="F63" s="162"/>
      <c r="G63" s="163"/>
      <c r="H63" s="163"/>
      <c r="I63" s="164" t="s">
        <v>498</v>
      </c>
      <c r="J63" s="143">
        <v>0.13992143894665407</v>
      </c>
      <c r="K63" s="141">
        <v>0.15551554653802635</v>
      </c>
      <c r="L63" s="141">
        <v>0.18657966944780049</v>
      </c>
      <c r="M63" s="141">
        <v>6.5571826353063726E-3</v>
      </c>
      <c r="N63" s="141">
        <v>1.3023569883227556E-2</v>
      </c>
      <c r="O63" s="141">
        <v>1.7181177559350846E-2</v>
      </c>
      <c r="P63" s="141">
        <v>3.5262829356868738E-2</v>
      </c>
      <c r="Q63" s="144">
        <v>3.0339089094426896E-2</v>
      </c>
      <c r="R63" s="143">
        <v>8.8748753816747253E-2</v>
      </c>
      <c r="S63" s="141">
        <v>8.8305010047663474E-2</v>
      </c>
      <c r="T63" s="141">
        <v>8.7863484997425217E-2</v>
      </c>
      <c r="U63" s="141">
        <v>8.742416757243808E-2</v>
      </c>
      <c r="V63" s="144">
        <v>8.6987046734575871E-2</v>
      </c>
    </row>
    <row r="64" spans="1:22" s="98" customFormat="1" ht="15" customHeight="1">
      <c r="A64" s="99"/>
      <c r="B64" s="161"/>
      <c r="C64" s="162"/>
      <c r="D64" s="162" t="s">
        <v>2057</v>
      </c>
      <c r="E64" s="162"/>
      <c r="F64" s="162"/>
      <c r="G64" s="163"/>
      <c r="H64" s="163"/>
      <c r="I64" s="164" t="s">
        <v>498</v>
      </c>
      <c r="J64" s="143">
        <v>2.3429085092818802</v>
      </c>
      <c r="K64" s="141">
        <v>0.79775272251128126</v>
      </c>
      <c r="L64" s="141">
        <v>1.966386392605731</v>
      </c>
      <c r="M64" s="141">
        <v>0.41188174763905511</v>
      </c>
      <c r="N64" s="141">
        <v>1.0698783205504634</v>
      </c>
      <c r="O64" s="141">
        <v>0.86027558541626148</v>
      </c>
      <c r="P64" s="141">
        <v>0.5784772820348929</v>
      </c>
      <c r="Q64" s="144">
        <v>0.49770464023585026</v>
      </c>
      <c r="R64" s="143">
        <v>1.4558995641651649</v>
      </c>
      <c r="S64" s="141">
        <v>1.4486200663443385</v>
      </c>
      <c r="T64" s="141">
        <v>1.4413769660126177</v>
      </c>
      <c r="U64" s="141">
        <v>1.4341700811825544</v>
      </c>
      <c r="V64" s="144">
        <v>1.4269992307766415</v>
      </c>
    </row>
    <row r="65" spans="1:22" s="98" customFormat="1" ht="15" customHeight="1">
      <c r="A65" s="99"/>
      <c r="B65" s="161"/>
      <c r="C65" s="162"/>
      <c r="D65" s="162" t="s">
        <v>1754</v>
      </c>
      <c r="E65" s="162"/>
      <c r="F65" s="162"/>
      <c r="G65" s="163"/>
      <c r="H65" s="163"/>
      <c r="I65" s="164" t="s">
        <v>498</v>
      </c>
      <c r="J65" s="143">
        <v>0.35965173068431067</v>
      </c>
      <c r="K65" s="141">
        <v>0.18577803126975043</v>
      </c>
      <c r="L65" s="141">
        <v>0.17582061993127646</v>
      </c>
      <c r="M65" s="141">
        <v>8.2377832113048846E-2</v>
      </c>
      <c r="N65" s="141">
        <v>0.10330598736397734</v>
      </c>
      <c r="O65" s="141">
        <v>7.2820718795687217E-2</v>
      </c>
      <c r="P65" s="141">
        <v>7.4776933462558301E-2</v>
      </c>
      <c r="Q65" s="144">
        <v>6.4335848481389152E-2</v>
      </c>
      <c r="R65" s="143">
        <v>0.18819702729688081</v>
      </c>
      <c r="S65" s="141">
        <v>0.18725604216039632</v>
      </c>
      <c r="T65" s="141">
        <v>0.18631976194959446</v>
      </c>
      <c r="U65" s="141">
        <v>0.18538816313984646</v>
      </c>
      <c r="V65" s="144">
        <v>0.18446122232414719</v>
      </c>
    </row>
    <row r="66" spans="1:22" s="98" customFormat="1" ht="15" customHeight="1">
      <c r="A66" s="99"/>
      <c r="B66" s="161"/>
      <c r="C66" s="162"/>
      <c r="D66" s="162" t="s">
        <v>85</v>
      </c>
      <c r="E66" s="162"/>
      <c r="F66" s="162"/>
      <c r="G66" s="163"/>
      <c r="H66" s="163"/>
      <c r="I66" s="164" t="s">
        <v>498</v>
      </c>
      <c r="J66" s="143">
        <v>0.65469388886691249</v>
      </c>
      <c r="K66" s="141">
        <v>0.79228866276805332</v>
      </c>
      <c r="L66" s="141">
        <v>0.71623356181825193</v>
      </c>
      <c r="M66" s="141">
        <v>0.42427404384933537</v>
      </c>
      <c r="N66" s="141">
        <v>0.18984882180130269</v>
      </c>
      <c r="O66" s="141">
        <v>0.21633902929037194</v>
      </c>
      <c r="P66" s="141">
        <v>0.24186137236214539</v>
      </c>
      <c r="Q66" s="144">
        <v>0.20809032792957582</v>
      </c>
      <c r="R66" s="143">
        <v>0.60871165998390309</v>
      </c>
      <c r="S66" s="141">
        <v>0.60566810168398333</v>
      </c>
      <c r="T66" s="141">
        <v>0.60263976117556373</v>
      </c>
      <c r="U66" s="141">
        <v>0.59962656236968592</v>
      </c>
      <c r="V66" s="144">
        <v>0.59662842955783735</v>
      </c>
    </row>
    <row r="67" spans="1:22" s="98" customFormat="1" ht="15" customHeight="1">
      <c r="A67" s="99"/>
      <c r="B67" s="161"/>
      <c r="C67" s="162" t="s">
        <v>1710</v>
      </c>
      <c r="D67" s="162"/>
      <c r="E67" s="162"/>
      <c r="F67" s="162"/>
      <c r="G67" s="163"/>
      <c r="H67" s="163"/>
      <c r="I67" s="164" t="s">
        <v>498</v>
      </c>
      <c r="J67" s="641">
        <f>SUM(J63:J66)</f>
        <v>3.4971755677797574</v>
      </c>
      <c r="K67" s="642">
        <f t="shared" ref="K67:V67" si="15">SUM(K63:K66)</f>
        <v>1.9313349630871115</v>
      </c>
      <c r="L67" s="642">
        <f t="shared" si="15"/>
        <v>3.0450202438030596</v>
      </c>
      <c r="M67" s="642">
        <f t="shared" si="15"/>
        <v>0.92509080623674578</v>
      </c>
      <c r="N67" s="642">
        <f t="shared" si="15"/>
        <v>1.3760566995989709</v>
      </c>
      <c r="O67" s="642">
        <f t="shared" si="15"/>
        <v>1.1666165110616715</v>
      </c>
      <c r="P67" s="642">
        <f t="shared" si="15"/>
        <v>0.9303784172164653</v>
      </c>
      <c r="Q67" s="643">
        <f t="shared" si="15"/>
        <v>0.8004699057412421</v>
      </c>
      <c r="R67" s="641">
        <f t="shared" si="15"/>
        <v>2.3415570052626959</v>
      </c>
      <c r="S67" s="642">
        <f t="shared" si="15"/>
        <v>2.3298492202363814</v>
      </c>
      <c r="T67" s="642">
        <f t="shared" si="15"/>
        <v>2.3181999741352008</v>
      </c>
      <c r="U67" s="642">
        <f t="shared" si="15"/>
        <v>2.3066089742645248</v>
      </c>
      <c r="V67" s="643">
        <f t="shared" si="15"/>
        <v>2.2950759293932017</v>
      </c>
    </row>
    <row r="68" spans="1:22" s="98" customFormat="1" ht="15" customHeight="1">
      <c r="A68" s="99"/>
      <c r="B68" s="123"/>
      <c r="C68" s="127"/>
      <c r="D68" s="127"/>
      <c r="E68" s="127"/>
      <c r="F68" s="127"/>
      <c r="G68" s="117"/>
      <c r="H68" s="117"/>
      <c r="I68" s="117"/>
      <c r="J68" s="713"/>
      <c r="K68" s="2649"/>
      <c r="L68" s="2649"/>
      <c r="M68" s="2649"/>
      <c r="N68" s="2649"/>
      <c r="O68" s="2649"/>
      <c r="P68" s="2649"/>
      <c r="Q68" s="715"/>
      <c r="R68" s="713"/>
      <c r="S68" s="2649"/>
      <c r="T68" s="2649"/>
      <c r="U68" s="2649"/>
      <c r="V68" s="715"/>
    </row>
    <row r="69" spans="1:22" s="98" customFormat="1" ht="15" customHeight="1">
      <c r="A69" s="99"/>
      <c r="B69" s="161"/>
      <c r="C69" s="116" t="s">
        <v>2816</v>
      </c>
      <c r="D69" s="116"/>
      <c r="E69" s="116"/>
      <c r="F69" s="116"/>
      <c r="G69" s="117"/>
      <c r="H69" s="117"/>
      <c r="I69" s="117"/>
      <c r="J69" s="713"/>
      <c r="K69" s="2649"/>
      <c r="L69" s="2649"/>
      <c r="M69" s="2649"/>
      <c r="N69" s="2649"/>
      <c r="O69" s="2649"/>
      <c r="P69" s="2649"/>
      <c r="Q69" s="715"/>
      <c r="R69" s="713"/>
      <c r="S69" s="2649"/>
      <c r="T69" s="2649"/>
      <c r="U69" s="2649"/>
      <c r="V69" s="715"/>
    </row>
    <row r="70" spans="1:22" s="98" customFormat="1" ht="15" customHeight="1">
      <c r="A70" s="99"/>
      <c r="B70" s="161"/>
      <c r="C70" s="162"/>
      <c r="D70" s="230" t="s">
        <v>2819</v>
      </c>
      <c r="E70" s="162"/>
      <c r="F70" s="162"/>
      <c r="G70" s="163"/>
      <c r="H70" s="163"/>
      <c r="I70" s="164" t="s">
        <v>498</v>
      </c>
      <c r="J70" s="143">
        <v>0</v>
      </c>
      <c r="K70" s="141">
        <v>0</v>
      </c>
      <c r="L70" s="141">
        <v>0</v>
      </c>
      <c r="M70" s="141">
        <v>0</v>
      </c>
      <c r="N70" s="141">
        <v>0</v>
      </c>
      <c r="O70" s="141">
        <v>0</v>
      </c>
      <c r="P70" s="141">
        <v>0</v>
      </c>
      <c r="Q70" s="144">
        <v>0</v>
      </c>
      <c r="R70" s="143">
        <v>0</v>
      </c>
      <c r="S70" s="141">
        <v>0</v>
      </c>
      <c r="T70" s="141">
        <v>0</v>
      </c>
      <c r="U70" s="141">
        <v>0</v>
      </c>
      <c r="V70" s="144">
        <v>0</v>
      </c>
    </row>
    <row r="71" spans="1:22" s="98" customFormat="1" ht="15" customHeight="1">
      <c r="A71" s="99"/>
      <c r="B71" s="161"/>
      <c r="C71" s="162"/>
      <c r="D71" s="162" t="s">
        <v>2057</v>
      </c>
      <c r="E71" s="162"/>
      <c r="F71" s="162"/>
      <c r="G71" s="163"/>
      <c r="H71" s="163"/>
      <c r="I71" s="164" t="s">
        <v>498</v>
      </c>
      <c r="J71" s="143">
        <v>0</v>
      </c>
      <c r="K71" s="141">
        <v>0</v>
      </c>
      <c r="L71" s="141">
        <v>0</v>
      </c>
      <c r="M71" s="141">
        <v>0</v>
      </c>
      <c r="N71" s="141">
        <v>0</v>
      </c>
      <c r="O71" s="141">
        <v>0</v>
      </c>
      <c r="P71" s="141">
        <v>0</v>
      </c>
      <c r="Q71" s="144">
        <v>0</v>
      </c>
      <c r="R71" s="143">
        <v>0</v>
      </c>
      <c r="S71" s="141">
        <v>0</v>
      </c>
      <c r="T71" s="141">
        <v>0</v>
      </c>
      <c r="U71" s="141">
        <v>0</v>
      </c>
      <c r="V71" s="144">
        <v>0</v>
      </c>
    </row>
    <row r="72" spans="1:22" s="98" customFormat="1" ht="15" customHeight="1">
      <c r="A72" s="99"/>
      <c r="B72" s="161"/>
      <c r="C72" s="162"/>
      <c r="D72" s="162" t="s">
        <v>1754</v>
      </c>
      <c r="E72" s="162"/>
      <c r="F72" s="162"/>
      <c r="G72" s="163"/>
      <c r="H72" s="163"/>
      <c r="I72" s="164" t="s">
        <v>498</v>
      </c>
      <c r="J72" s="143">
        <v>0</v>
      </c>
      <c r="K72" s="141">
        <v>0</v>
      </c>
      <c r="L72" s="141">
        <v>0</v>
      </c>
      <c r="M72" s="141">
        <v>0</v>
      </c>
      <c r="N72" s="141">
        <v>0</v>
      </c>
      <c r="O72" s="141">
        <v>0</v>
      </c>
      <c r="P72" s="141">
        <v>0</v>
      </c>
      <c r="Q72" s="144">
        <v>0</v>
      </c>
      <c r="R72" s="143">
        <v>0</v>
      </c>
      <c r="S72" s="141">
        <v>0</v>
      </c>
      <c r="T72" s="141">
        <v>0</v>
      </c>
      <c r="U72" s="141">
        <v>0</v>
      </c>
      <c r="V72" s="144">
        <v>0</v>
      </c>
    </row>
    <row r="73" spans="1:22" s="98" customFormat="1" ht="15" customHeight="1">
      <c r="A73" s="99"/>
      <c r="B73" s="161"/>
      <c r="C73" s="162"/>
      <c r="D73" s="162" t="s">
        <v>85</v>
      </c>
      <c r="E73" s="162"/>
      <c r="F73" s="162"/>
      <c r="G73" s="163"/>
      <c r="H73" s="163"/>
      <c r="I73" s="164" t="s">
        <v>498</v>
      </c>
      <c r="J73" s="143">
        <v>0</v>
      </c>
      <c r="K73" s="141">
        <v>0</v>
      </c>
      <c r="L73" s="141">
        <v>0</v>
      </c>
      <c r="M73" s="141">
        <v>0</v>
      </c>
      <c r="N73" s="141">
        <v>0</v>
      </c>
      <c r="O73" s="141">
        <v>0</v>
      </c>
      <c r="P73" s="141">
        <v>0</v>
      </c>
      <c r="Q73" s="144">
        <v>0</v>
      </c>
      <c r="R73" s="143">
        <v>0</v>
      </c>
      <c r="S73" s="141">
        <v>0</v>
      </c>
      <c r="T73" s="141">
        <v>0</v>
      </c>
      <c r="U73" s="141">
        <v>0</v>
      </c>
      <c r="V73" s="144">
        <v>0</v>
      </c>
    </row>
    <row r="74" spans="1:22" s="98" customFormat="1" ht="15" customHeight="1">
      <c r="A74" s="99"/>
      <c r="B74" s="161"/>
      <c r="C74" s="162" t="s">
        <v>1710</v>
      </c>
      <c r="D74" s="162"/>
      <c r="E74" s="162"/>
      <c r="F74" s="162"/>
      <c r="G74" s="163"/>
      <c r="H74" s="163"/>
      <c r="I74" s="164" t="s">
        <v>498</v>
      </c>
      <c r="J74" s="641">
        <f>SUM(J70:J73)</f>
        <v>0</v>
      </c>
      <c r="K74" s="642">
        <f t="shared" ref="K74:V74" si="16">SUM(K70:K73)</f>
        <v>0</v>
      </c>
      <c r="L74" s="642">
        <f t="shared" si="16"/>
        <v>0</v>
      </c>
      <c r="M74" s="642">
        <f t="shared" si="16"/>
        <v>0</v>
      </c>
      <c r="N74" s="642">
        <f t="shared" si="16"/>
        <v>0</v>
      </c>
      <c r="O74" s="642">
        <f t="shared" si="16"/>
        <v>0</v>
      </c>
      <c r="P74" s="642">
        <f t="shared" si="16"/>
        <v>0</v>
      </c>
      <c r="Q74" s="643">
        <f t="shared" si="16"/>
        <v>0</v>
      </c>
      <c r="R74" s="641">
        <f t="shared" si="16"/>
        <v>0</v>
      </c>
      <c r="S74" s="642">
        <f t="shared" si="16"/>
        <v>0</v>
      </c>
      <c r="T74" s="642">
        <f t="shared" si="16"/>
        <v>0</v>
      </c>
      <c r="U74" s="642">
        <f t="shared" si="16"/>
        <v>0</v>
      </c>
      <c r="V74" s="643">
        <f t="shared" si="16"/>
        <v>0</v>
      </c>
    </row>
    <row r="75" spans="1:22" s="98" customFormat="1" ht="15" customHeight="1">
      <c r="A75" s="99"/>
      <c r="B75" s="123"/>
      <c r="C75" s="127"/>
      <c r="D75" s="127"/>
      <c r="E75" s="127"/>
      <c r="F75" s="127"/>
      <c r="G75" s="117"/>
      <c r="H75" s="117"/>
      <c r="I75" s="117"/>
      <c r="J75" s="713"/>
      <c r="K75" s="2649"/>
      <c r="L75" s="2649"/>
      <c r="M75" s="2649"/>
      <c r="N75" s="2649"/>
      <c r="O75" s="2649"/>
      <c r="P75" s="2649"/>
      <c r="Q75" s="715"/>
      <c r="R75" s="713"/>
      <c r="S75" s="2649"/>
      <c r="T75" s="2649"/>
      <c r="U75" s="2649"/>
      <c r="V75" s="715"/>
    </row>
    <row r="76" spans="1:22" s="98" customFormat="1" ht="15" customHeight="1">
      <c r="A76" s="99"/>
      <c r="B76" s="161"/>
      <c r="C76" s="116" t="s">
        <v>2817</v>
      </c>
      <c r="D76" s="116"/>
      <c r="E76" s="116"/>
      <c r="F76" s="116"/>
      <c r="G76" s="117"/>
      <c r="H76" s="117"/>
      <c r="I76" s="117"/>
      <c r="J76" s="713"/>
      <c r="K76" s="2649"/>
      <c r="L76" s="2649"/>
      <c r="M76" s="2649"/>
      <c r="N76" s="2649"/>
      <c r="O76" s="2649"/>
      <c r="P76" s="2649"/>
      <c r="Q76" s="715"/>
      <c r="R76" s="713"/>
      <c r="S76" s="2649"/>
      <c r="T76" s="2649"/>
      <c r="U76" s="2649"/>
      <c r="V76" s="715"/>
    </row>
    <row r="77" spans="1:22" s="98" customFormat="1" ht="15" customHeight="1">
      <c r="A77" s="99"/>
      <c r="B77" s="161"/>
      <c r="C77" s="162"/>
      <c r="D77" s="230" t="s">
        <v>2819</v>
      </c>
      <c r="E77" s="162"/>
      <c r="F77" s="162"/>
      <c r="G77" s="163"/>
      <c r="H77" s="163"/>
      <c r="I77" s="164" t="s">
        <v>498</v>
      </c>
      <c r="J77" s="143">
        <v>6.0059526661505407</v>
      </c>
      <c r="K77" s="141">
        <v>4.5639262659663684</v>
      </c>
      <c r="L77" s="141">
        <v>4.6197816336680537</v>
      </c>
      <c r="M77" s="141">
        <v>4.5930322034521422</v>
      </c>
      <c r="N77" s="141">
        <v>5.2368945454018352</v>
      </c>
      <c r="O77" s="141">
        <v>4.5405643153555939</v>
      </c>
      <c r="P77" s="141">
        <v>5.146405493355231</v>
      </c>
      <c r="Q77" s="144">
        <v>4.2307237545058989</v>
      </c>
      <c r="R77" s="143">
        <v>4.7592909137609096</v>
      </c>
      <c r="S77" s="141">
        <v>4.6710336436441642</v>
      </c>
      <c r="T77" s="141">
        <v>4.5848227341851455</v>
      </c>
      <c r="U77" s="141">
        <v>4.5006079872303175</v>
      </c>
      <c r="V77" s="144">
        <v>4.4183404507790334</v>
      </c>
    </row>
    <row r="78" spans="1:22" s="98" customFormat="1" ht="15" customHeight="1">
      <c r="A78" s="99"/>
      <c r="B78" s="161"/>
      <c r="C78" s="162"/>
      <c r="D78" s="162" t="s">
        <v>2057</v>
      </c>
      <c r="E78" s="162"/>
      <c r="F78" s="162"/>
      <c r="G78" s="163"/>
      <c r="H78" s="163"/>
      <c r="I78" s="164" t="s">
        <v>498</v>
      </c>
      <c r="J78" s="143">
        <v>2.0838761642961909</v>
      </c>
      <c r="K78" s="141">
        <v>1.2707141644308693</v>
      </c>
      <c r="L78" s="141">
        <v>1.9138264080207741</v>
      </c>
      <c r="M78" s="141">
        <v>1.9027449825322544</v>
      </c>
      <c r="N78" s="141">
        <v>1.439332314940881</v>
      </c>
      <c r="O78" s="141">
        <v>1.666613305117413</v>
      </c>
      <c r="P78" s="141">
        <v>1.7856404030369581</v>
      </c>
      <c r="Q78" s="144">
        <v>1.4679277176833398</v>
      </c>
      <c r="R78" s="143">
        <v>1.6513238524229832</v>
      </c>
      <c r="S78" s="141">
        <v>1.620701363078588</v>
      </c>
      <c r="T78" s="141">
        <v>1.5907888963459635</v>
      </c>
      <c r="U78" s="141">
        <v>1.5615690350489408</v>
      </c>
      <c r="V78" s="144">
        <v>1.5330247943871045</v>
      </c>
    </row>
    <row r="79" spans="1:22" s="98" customFormat="1" ht="15" customHeight="1">
      <c r="A79" s="99"/>
      <c r="B79" s="161"/>
      <c r="C79" s="162"/>
      <c r="D79" s="162" t="s">
        <v>1754</v>
      </c>
      <c r="E79" s="162"/>
      <c r="F79" s="162"/>
      <c r="G79" s="163"/>
      <c r="H79" s="163"/>
      <c r="I79" s="164" t="s">
        <v>498</v>
      </c>
      <c r="J79" s="143">
        <v>0.6093802631134283</v>
      </c>
      <c r="K79" s="141">
        <v>0.54332455547218672</v>
      </c>
      <c r="L79" s="141">
        <v>0.6552000565349233</v>
      </c>
      <c r="M79" s="141">
        <v>0.65140632133713494</v>
      </c>
      <c r="N79" s="141">
        <v>0.25455129716485564</v>
      </c>
      <c r="O79" s="141">
        <v>0.31491869672100564</v>
      </c>
      <c r="P79" s="141">
        <v>0.52216827337057081</v>
      </c>
      <c r="Q79" s="144">
        <v>0.42926071815571898</v>
      </c>
      <c r="R79" s="143">
        <v>0.4828905771446646</v>
      </c>
      <c r="S79" s="141">
        <v>0.4739357549082972</v>
      </c>
      <c r="T79" s="141">
        <v>0.46518856197994257</v>
      </c>
      <c r="U79" s="141">
        <v>0.45664390511865954</v>
      </c>
      <c r="V79" s="144">
        <v>0.44829681752156247</v>
      </c>
    </row>
    <row r="80" spans="1:22" s="98" customFormat="1" ht="15" customHeight="1">
      <c r="A80" s="99"/>
      <c r="B80" s="161"/>
      <c r="C80" s="162"/>
      <c r="D80" s="162" t="s">
        <v>85</v>
      </c>
      <c r="E80" s="162"/>
      <c r="F80" s="162"/>
      <c r="G80" s="163"/>
      <c r="H80" s="163"/>
      <c r="I80" s="164" t="s">
        <v>498</v>
      </c>
      <c r="J80" s="143">
        <v>2.2747686554072257</v>
      </c>
      <c r="K80" s="141">
        <v>4.7291412838548492</v>
      </c>
      <c r="L80" s="141">
        <v>1.7650215844958039</v>
      </c>
      <c r="M80" s="141">
        <v>1.6585477011393064</v>
      </c>
      <c r="N80" s="141">
        <v>0.44624848886718471</v>
      </c>
      <c r="O80" s="141">
        <v>0.51912225375105658</v>
      </c>
      <c r="P80" s="141">
        <v>1.9492131481954316</v>
      </c>
      <c r="Q80" s="144">
        <v>1.6023965424631219</v>
      </c>
      <c r="R80" s="143">
        <v>1.8025925934455855</v>
      </c>
      <c r="S80" s="141">
        <v>1.7691649454381531</v>
      </c>
      <c r="T80" s="141">
        <v>1.7365123613282585</v>
      </c>
      <c r="U80" s="141">
        <v>1.7046158284475426</v>
      </c>
      <c r="V80" s="144">
        <v>1.6734568061109747</v>
      </c>
    </row>
    <row r="81" spans="1:58" s="98" customFormat="1" ht="15" customHeight="1">
      <c r="A81" s="99"/>
      <c r="B81" s="161"/>
      <c r="C81" s="162" t="s">
        <v>1710</v>
      </c>
      <c r="D81" s="162"/>
      <c r="E81" s="162"/>
      <c r="F81" s="162"/>
      <c r="G81" s="163"/>
      <c r="H81" s="163"/>
      <c r="I81" s="164" t="s">
        <v>498</v>
      </c>
      <c r="J81" s="641">
        <f>SUM(J77:J80)</f>
        <v>10.973977748967384</v>
      </c>
      <c r="K81" s="642">
        <f t="shared" ref="K81:V81" si="17">SUM(K77:K80)</f>
        <v>11.107106269724273</v>
      </c>
      <c r="L81" s="642">
        <f t="shared" si="17"/>
        <v>8.9538296827195545</v>
      </c>
      <c r="M81" s="642">
        <f t="shared" si="17"/>
        <v>8.8057312084608377</v>
      </c>
      <c r="N81" s="642">
        <f t="shared" si="17"/>
        <v>7.3770266463747562</v>
      </c>
      <c r="O81" s="642">
        <f t="shared" si="17"/>
        <v>7.0412185709450696</v>
      </c>
      <c r="P81" s="642">
        <f t="shared" si="17"/>
        <v>9.403427317958192</v>
      </c>
      <c r="Q81" s="643">
        <f t="shared" si="17"/>
        <v>7.73030873280808</v>
      </c>
      <c r="R81" s="641">
        <f t="shared" si="17"/>
        <v>8.6960979367741427</v>
      </c>
      <c r="S81" s="642">
        <f t="shared" si="17"/>
        <v>8.5348357070692025</v>
      </c>
      <c r="T81" s="642">
        <f t="shared" si="17"/>
        <v>8.3773125538393103</v>
      </c>
      <c r="U81" s="642">
        <f t="shared" si="17"/>
        <v>8.2234367558454604</v>
      </c>
      <c r="V81" s="643">
        <f t="shared" si="17"/>
        <v>8.0731188687986748</v>
      </c>
    </row>
    <row r="82" spans="1:58" s="98" customFormat="1" ht="15" customHeight="1">
      <c r="A82" s="99"/>
      <c r="B82" s="123"/>
      <c r="C82" s="127"/>
      <c r="D82" s="127"/>
      <c r="E82" s="127"/>
      <c r="F82" s="127"/>
      <c r="G82" s="117"/>
      <c r="H82" s="117"/>
      <c r="I82" s="117"/>
      <c r="J82" s="713"/>
      <c r="K82" s="2649"/>
      <c r="L82" s="2649"/>
      <c r="M82" s="2649"/>
      <c r="N82" s="2649"/>
      <c r="O82" s="2649"/>
      <c r="P82" s="2649"/>
      <c r="Q82" s="715"/>
      <c r="R82" s="713"/>
      <c r="S82" s="2649"/>
      <c r="T82" s="2649"/>
      <c r="U82" s="2649"/>
      <c r="V82" s="715"/>
    </row>
    <row r="83" spans="1:58" s="954" customFormat="1" ht="15" customHeight="1" thickBot="1">
      <c r="A83" s="951"/>
      <c r="B83" s="191" t="s">
        <v>1701</v>
      </c>
      <c r="C83" s="952"/>
      <c r="D83" s="952"/>
      <c r="E83" s="952"/>
      <c r="F83" s="952"/>
      <c r="G83" s="953"/>
      <c r="H83" s="953"/>
      <c r="I83" s="195" t="s">
        <v>498</v>
      </c>
      <c r="J83" s="717">
        <f>SUM(J32,J39,J46,J53,J60,J67,J74,J81)</f>
        <v>99.232186525192759</v>
      </c>
      <c r="K83" s="718">
        <f>SUM(K32,K39,K46,K53,K60,K67,K74,K81)</f>
        <v>104.18134521690138</v>
      </c>
      <c r="L83" s="718">
        <f t="shared" ref="L83:V83" si="18">SUM(L32,L39,L46,L53,L60,L67,L74,L81)</f>
        <v>93.947820720366039</v>
      </c>
      <c r="M83" s="718">
        <f t="shared" si="18"/>
        <v>91.264609002466798</v>
      </c>
      <c r="N83" s="718">
        <f t="shared" si="18"/>
        <v>93.736217782566456</v>
      </c>
      <c r="O83" s="718">
        <f>SUM(O32,O39,O46,O53,O60,O67,O74,O81)</f>
        <v>96.225584336081681</v>
      </c>
      <c r="P83" s="718">
        <f t="shared" si="18"/>
        <v>98.207829433901281</v>
      </c>
      <c r="Q83" s="719">
        <f t="shared" si="18"/>
        <v>89.295883409043029</v>
      </c>
      <c r="R83" s="717">
        <f t="shared" si="18"/>
        <v>106.7638731738369</v>
      </c>
      <c r="S83" s="718">
        <f t="shared" si="18"/>
        <v>106.11227206794662</v>
      </c>
      <c r="T83" s="718">
        <f>SUM(T32,T39,T46,T53,T60,T67,T74,T81)</f>
        <v>105.46686173291235</v>
      </c>
      <c r="U83" s="718">
        <f t="shared" si="18"/>
        <v>104.82753818902313</v>
      </c>
      <c r="V83" s="719">
        <f t="shared" si="18"/>
        <v>104.19419979481047</v>
      </c>
    </row>
    <row r="84" spans="1:58" s="99" customFormat="1" ht="15" customHeight="1" thickBot="1">
      <c r="B84" s="150"/>
      <c r="C84" s="150"/>
      <c r="D84" s="150"/>
      <c r="E84" s="150"/>
      <c r="F84" s="150"/>
      <c r="G84" s="97"/>
      <c r="H84" s="97"/>
      <c r="I84" s="98"/>
      <c r="J84" s="2629"/>
      <c r="K84" s="2629"/>
      <c r="L84" s="2629"/>
      <c r="M84" s="2629"/>
      <c r="N84" s="2629"/>
      <c r="O84" s="2629"/>
      <c r="P84" s="2629"/>
      <c r="Q84" s="2629"/>
      <c r="R84" s="2629"/>
      <c r="S84" s="2629"/>
      <c r="T84" s="2629"/>
      <c r="U84" s="2629"/>
      <c r="V84" s="2629"/>
      <c r="AQ84" s="96"/>
      <c r="AR84" s="97"/>
      <c r="AS84" s="97"/>
      <c r="AT84" s="97"/>
      <c r="AU84" s="97"/>
      <c r="AV84" s="97"/>
      <c r="AW84" s="97"/>
      <c r="AX84" s="97"/>
      <c r="AY84" s="97"/>
      <c r="AZ84" s="97"/>
      <c r="BB84" s="97"/>
      <c r="BC84" s="97"/>
      <c r="BD84" s="97"/>
      <c r="BF84" s="97"/>
    </row>
    <row r="85" spans="1:58" s="100" customFormat="1" ht="30" customHeight="1" thickBot="1">
      <c r="A85" s="89"/>
      <c r="B85" s="621" t="s">
        <v>2014</v>
      </c>
      <c r="C85" s="101"/>
      <c r="D85" s="102"/>
      <c r="E85" s="102"/>
      <c r="F85" s="102"/>
      <c r="G85" s="103"/>
      <c r="H85" s="103"/>
      <c r="I85" s="105" t="s">
        <v>1704</v>
      </c>
      <c r="J85" s="106"/>
      <c r="K85" s="106"/>
      <c r="L85" s="106"/>
      <c r="M85" s="106"/>
      <c r="N85" s="106"/>
      <c r="O85" s="106"/>
      <c r="P85" s="106"/>
      <c r="Q85" s="106"/>
      <c r="R85" s="105"/>
      <c r="S85" s="105"/>
      <c r="T85" s="105"/>
      <c r="U85" s="105"/>
      <c r="V85" s="187"/>
    </row>
    <row r="86" spans="1:58" s="157" customFormat="1" ht="30" customHeight="1">
      <c r="A86" s="99"/>
      <c r="B86" s="109"/>
      <c r="C86" s="110"/>
      <c r="D86" s="110"/>
      <c r="E86" s="110"/>
      <c r="F86" s="110"/>
      <c r="G86" s="111"/>
      <c r="H86" s="111"/>
      <c r="I86" s="117"/>
      <c r="J86" s="695" t="s">
        <v>1666</v>
      </c>
      <c r="K86" s="152"/>
      <c r="L86" s="152"/>
      <c r="M86" s="152"/>
      <c r="N86" s="152"/>
      <c r="O86" s="152"/>
      <c r="P86" s="152"/>
      <c r="Q86" s="153"/>
      <c r="R86" s="696" t="s">
        <v>2</v>
      </c>
      <c r="S86" s="155"/>
      <c r="T86" s="155"/>
      <c r="U86" s="155"/>
      <c r="V86" s="156"/>
    </row>
    <row r="87" spans="1:58" s="98" customFormat="1" ht="15" customHeight="1">
      <c r="A87" s="99"/>
      <c r="B87" s="115"/>
      <c r="C87" s="116"/>
      <c r="D87" s="116"/>
      <c r="E87" s="116"/>
      <c r="F87" s="116"/>
      <c r="G87" s="117"/>
      <c r="H87" s="117"/>
      <c r="I87" s="119" t="s">
        <v>1667</v>
      </c>
      <c r="J87" s="158" t="s">
        <v>453</v>
      </c>
      <c r="K87" s="137" t="s">
        <v>455</v>
      </c>
      <c r="L87" s="137" t="s">
        <v>457</v>
      </c>
      <c r="M87" s="137" t="s">
        <v>459</v>
      </c>
      <c r="N87" s="137" t="s">
        <v>461</v>
      </c>
      <c r="O87" s="137" t="s">
        <v>463</v>
      </c>
      <c r="P87" s="137" t="s">
        <v>465</v>
      </c>
      <c r="Q87" s="138" t="s">
        <v>467</v>
      </c>
      <c r="R87" s="120" t="s">
        <v>469</v>
      </c>
      <c r="S87" s="121" t="s">
        <v>471</v>
      </c>
      <c r="T87" s="121" t="s">
        <v>473</v>
      </c>
      <c r="U87" s="121" t="s">
        <v>475</v>
      </c>
      <c r="V87" s="122" t="s">
        <v>477</v>
      </c>
    </row>
    <row r="88" spans="1:58" s="98" customFormat="1" ht="15" customHeight="1">
      <c r="A88" s="99"/>
      <c r="B88" s="161"/>
      <c r="C88" s="116" t="s">
        <v>2820</v>
      </c>
      <c r="D88" s="116"/>
      <c r="E88" s="116"/>
      <c r="F88" s="116"/>
      <c r="G88" s="117"/>
      <c r="H88" s="117"/>
      <c r="I88" s="117"/>
      <c r="J88" s="159"/>
      <c r="K88" s="94"/>
      <c r="L88" s="94"/>
      <c r="M88" s="94"/>
      <c r="N88" s="94"/>
      <c r="O88" s="94"/>
      <c r="P88" s="94"/>
      <c r="Q88" s="160"/>
      <c r="R88" s="159"/>
      <c r="S88" s="94"/>
      <c r="T88" s="94"/>
      <c r="U88" s="94"/>
      <c r="V88" s="160"/>
    </row>
    <row r="89" spans="1:58" s="98" customFormat="1" ht="15" customHeight="1">
      <c r="A89" s="99"/>
      <c r="B89" s="161"/>
      <c r="C89" s="162"/>
      <c r="D89" s="230" t="s">
        <v>2819</v>
      </c>
      <c r="E89" s="162"/>
      <c r="F89" s="162"/>
      <c r="G89" s="163"/>
      <c r="H89" s="163"/>
      <c r="I89" s="164" t="s">
        <v>498</v>
      </c>
      <c r="J89" s="143">
        <v>1.9655167646756736E-2</v>
      </c>
      <c r="K89" s="141">
        <v>9.9269072917098789E-3</v>
      </c>
      <c r="L89" s="141">
        <v>1.0165785630492429E-4</v>
      </c>
      <c r="M89" s="141">
        <v>0</v>
      </c>
      <c r="N89" s="141">
        <v>0.15458677161986681</v>
      </c>
      <c r="O89" s="141">
        <v>1.4033679909057625E-2</v>
      </c>
      <c r="P89" s="141">
        <v>5.2951451017750222E-2</v>
      </c>
      <c r="Q89" s="144">
        <v>5.2951451017750222E-2</v>
      </c>
      <c r="R89" s="143">
        <v>0.37606038232420791</v>
      </c>
      <c r="S89" s="141">
        <v>0.37418008041258688</v>
      </c>
      <c r="T89" s="141">
        <v>0.37230918001052393</v>
      </c>
      <c r="U89" s="141">
        <v>0.37044763411047132</v>
      </c>
      <c r="V89" s="144">
        <v>0.36859539593991891</v>
      </c>
    </row>
    <row r="90" spans="1:58" s="98" customFormat="1" ht="15" customHeight="1">
      <c r="A90" s="99"/>
      <c r="B90" s="161"/>
      <c r="C90" s="162"/>
      <c r="D90" s="162" t="s">
        <v>2057</v>
      </c>
      <c r="E90" s="162"/>
      <c r="F90" s="162"/>
      <c r="G90" s="163"/>
      <c r="H90" s="163"/>
      <c r="I90" s="164" t="s">
        <v>498</v>
      </c>
      <c r="J90" s="143">
        <v>3.7503132884189237E-2</v>
      </c>
      <c r="K90" s="141">
        <v>1.5441855787104258E-2</v>
      </c>
      <c r="L90" s="141">
        <v>9.0111852728080449E-3</v>
      </c>
      <c r="M90" s="141">
        <v>0</v>
      </c>
      <c r="N90" s="141">
        <v>2.1275629605486393E-3</v>
      </c>
      <c r="O90" s="141">
        <v>0</v>
      </c>
      <c r="P90" s="141">
        <v>1.7111725944229092E-2</v>
      </c>
      <c r="Q90" s="144">
        <v>1.7111725944229092E-2</v>
      </c>
      <c r="R90" s="143">
        <v>0.12152721175963099</v>
      </c>
      <c r="S90" s="141">
        <v>0.12091957570083285</v>
      </c>
      <c r="T90" s="141">
        <v>0.12031497782232868</v>
      </c>
      <c r="U90" s="141">
        <v>0.11971340293321703</v>
      </c>
      <c r="V90" s="144">
        <v>0.11911483591855093</v>
      </c>
    </row>
    <row r="91" spans="1:58" s="98" customFormat="1" ht="15" customHeight="1">
      <c r="A91" s="99"/>
      <c r="B91" s="161"/>
      <c r="C91" s="162"/>
      <c r="D91" s="162" t="s">
        <v>1754</v>
      </c>
      <c r="E91" s="162"/>
      <c r="F91" s="162"/>
      <c r="G91" s="163"/>
      <c r="H91" s="163"/>
      <c r="I91" s="164" t="s">
        <v>498</v>
      </c>
      <c r="J91" s="143">
        <v>1.0070815775778671E-2</v>
      </c>
      <c r="K91" s="141">
        <v>2.205979398157751E-3</v>
      </c>
      <c r="L91" s="141">
        <v>0</v>
      </c>
      <c r="M91" s="141">
        <v>0</v>
      </c>
      <c r="N91" s="141">
        <v>2.1086989044633232E-5</v>
      </c>
      <c r="O91" s="141">
        <v>2.5767000018119809E-4</v>
      </c>
      <c r="P91" s="141">
        <v>3.352600489172082E-3</v>
      </c>
      <c r="Q91" s="144">
        <v>3.352600489172082E-3</v>
      </c>
      <c r="R91" s="143">
        <v>2.3810116578594696E-2</v>
      </c>
      <c r="S91" s="141">
        <v>2.3691065995701723E-2</v>
      </c>
      <c r="T91" s="141">
        <v>2.3572610665723213E-2</v>
      </c>
      <c r="U91" s="141">
        <v>2.3454747612394598E-2</v>
      </c>
      <c r="V91" s="144">
        <v>2.3337473874332621E-2</v>
      </c>
    </row>
    <row r="92" spans="1:58" s="98" customFormat="1" ht="15" customHeight="1">
      <c r="A92" s="99"/>
      <c r="B92" s="161"/>
      <c r="C92" s="162"/>
      <c r="D92" s="162" t="s">
        <v>85</v>
      </c>
      <c r="E92" s="162"/>
      <c r="F92" s="162"/>
      <c r="G92" s="163"/>
      <c r="H92" s="163"/>
      <c r="I92" s="164" t="s">
        <v>498</v>
      </c>
      <c r="J92" s="143">
        <v>3.6713282612010373E-2</v>
      </c>
      <c r="K92" s="141">
        <v>7.7209278935521288E-3</v>
      </c>
      <c r="L92" s="141">
        <v>2.732265906484504E-3</v>
      </c>
      <c r="M92" s="141">
        <v>0</v>
      </c>
      <c r="N92" s="141">
        <v>-1.4945498680429515E-2</v>
      </c>
      <c r="O92" s="141">
        <v>-7.5629399090576255E-3</v>
      </c>
      <c r="P92" s="141">
        <v>6.5842225488486148E-3</v>
      </c>
      <c r="Q92" s="144">
        <v>6.5842225488486148E-3</v>
      </c>
      <c r="R92" s="143">
        <v>4.6761046230775843E-2</v>
      </c>
      <c r="S92" s="141">
        <v>4.6527240999621973E-2</v>
      </c>
      <c r="T92" s="141">
        <v>4.6294604794623863E-2</v>
      </c>
      <c r="U92" s="141">
        <v>4.6063131770650738E-2</v>
      </c>
      <c r="V92" s="144">
        <v>4.5832816111797479E-2</v>
      </c>
    </row>
    <row r="93" spans="1:58" s="98" customFormat="1" ht="15" customHeight="1" thickBot="1">
      <c r="A93" s="99"/>
      <c r="B93" s="191"/>
      <c r="C93" s="193" t="s">
        <v>1710</v>
      </c>
      <c r="D93" s="193"/>
      <c r="E93" s="193"/>
      <c r="F93" s="193"/>
      <c r="G93" s="194"/>
      <c r="H93" s="194"/>
      <c r="I93" s="195" t="s">
        <v>498</v>
      </c>
      <c r="J93" s="1092">
        <f>SUM(J89:J92)</f>
        <v>0.10394239891873502</v>
      </c>
      <c r="K93" s="1093">
        <f t="shared" ref="K93:V93" si="19">SUM(K89:K92)</f>
        <v>3.5295670370524015E-2</v>
      </c>
      <c r="L93" s="1093">
        <f t="shared" si="19"/>
        <v>1.1845109035597472E-2</v>
      </c>
      <c r="M93" s="1093">
        <f t="shared" si="19"/>
        <v>0</v>
      </c>
      <c r="N93" s="1093">
        <f t="shared" si="19"/>
        <v>0.14178992288903056</v>
      </c>
      <c r="O93" s="1093">
        <f t="shared" si="19"/>
        <v>6.7284100001811977E-3</v>
      </c>
      <c r="P93" s="1093">
        <f t="shared" si="19"/>
        <v>0.08</v>
      </c>
      <c r="Q93" s="1094">
        <f t="shared" si="19"/>
        <v>0.08</v>
      </c>
      <c r="R93" s="1092">
        <f t="shared" si="19"/>
        <v>0.56815875689320938</v>
      </c>
      <c r="S93" s="1093">
        <f t="shared" si="19"/>
        <v>0.56531796310874349</v>
      </c>
      <c r="T93" s="1093">
        <f>SUM(T89:T92)</f>
        <v>0.56249137329319976</v>
      </c>
      <c r="U93" s="1093">
        <f t="shared" si="19"/>
        <v>0.55967891642673362</v>
      </c>
      <c r="V93" s="1094">
        <f t="shared" si="19"/>
        <v>0.55688052184459991</v>
      </c>
    </row>
    <row r="94" spans="1:58" s="99" customFormat="1" ht="15" customHeight="1">
      <c r="B94" s="150"/>
      <c r="C94" s="150"/>
      <c r="D94" s="150"/>
      <c r="E94" s="150"/>
      <c r="F94" s="150"/>
      <c r="G94" s="97"/>
      <c r="H94" s="97"/>
      <c r="I94" s="98"/>
      <c r="J94" s="98"/>
      <c r="K94" s="98"/>
      <c r="L94" s="98"/>
      <c r="M94" s="98"/>
      <c r="N94" s="98"/>
      <c r="O94" s="98"/>
      <c r="P94" s="98"/>
      <c r="Q94" s="98"/>
      <c r="R94" s="98"/>
      <c r="S94" s="98"/>
      <c r="T94" s="98"/>
      <c r="U94" s="98"/>
      <c r="V94" s="98"/>
      <c r="AQ94" s="96"/>
      <c r="AR94" s="97"/>
      <c r="AS94" s="97"/>
      <c r="AT94" s="97"/>
      <c r="AU94" s="97"/>
      <c r="AV94" s="97"/>
      <c r="AW94" s="97"/>
      <c r="AX94" s="97"/>
      <c r="AY94" s="97"/>
      <c r="AZ94" s="97"/>
      <c r="BB94" s="97"/>
      <c r="BC94" s="97"/>
      <c r="BD94" s="97"/>
      <c r="BF94" s="97"/>
    </row>
    <row r="95" spans="1:58">
      <c r="I95" s="173"/>
      <c r="J95" s="175"/>
      <c r="AA95" s="173"/>
    </row>
    <row r="96" spans="1:58">
      <c r="I96" s="173"/>
      <c r="J96" s="175"/>
      <c r="AA96" s="173"/>
    </row>
    <row r="97" spans="1:60">
      <c r="I97" s="173"/>
      <c r="J97" s="175"/>
      <c r="AA97" s="173"/>
    </row>
    <row r="98" spans="1:60">
      <c r="I98" s="173"/>
      <c r="J98" s="175"/>
      <c r="AA98" s="173"/>
    </row>
    <row r="99" spans="1:60">
      <c r="I99" s="173"/>
      <c r="J99" s="175"/>
      <c r="AA99" s="173"/>
      <c r="AZ99" s="175"/>
    </row>
    <row r="100" spans="1:60">
      <c r="B100" s="173"/>
    </row>
    <row r="101" spans="1:60">
      <c r="B101" s="173"/>
    </row>
    <row r="102" spans="1:60">
      <c r="B102" s="173"/>
    </row>
    <row r="103" spans="1:60">
      <c r="B103" s="173"/>
    </row>
    <row r="104" spans="1:60">
      <c r="B104" s="173"/>
    </row>
    <row r="105" spans="1:60" s="174" customFormat="1">
      <c r="A105" s="173"/>
      <c r="B105" s="173"/>
      <c r="G105" s="173"/>
      <c r="H105" s="173"/>
      <c r="I105" s="175"/>
      <c r="J105" s="173"/>
      <c r="K105" s="173"/>
      <c r="L105" s="173"/>
      <c r="M105" s="173"/>
      <c r="N105" s="173"/>
      <c r="O105" s="173"/>
      <c r="P105" s="173"/>
      <c r="Q105" s="173"/>
      <c r="R105" s="173"/>
      <c r="S105" s="173"/>
      <c r="T105" s="173"/>
      <c r="U105" s="173"/>
      <c r="V105" s="173"/>
      <c r="W105" s="173"/>
      <c r="X105" s="173"/>
      <c r="Y105" s="173"/>
      <c r="Z105" s="173"/>
      <c r="AA105" s="175"/>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c r="BE105" s="173"/>
      <c r="BF105" s="173"/>
      <c r="BG105" s="173"/>
      <c r="BH105" s="173"/>
    </row>
    <row r="106" spans="1:60" s="174" customFormat="1">
      <c r="A106" s="173"/>
      <c r="B106" s="173"/>
      <c r="G106" s="173"/>
      <c r="H106" s="173"/>
      <c r="I106" s="175"/>
      <c r="J106" s="173"/>
      <c r="K106" s="173"/>
      <c r="L106" s="173"/>
      <c r="M106" s="173"/>
      <c r="N106" s="173"/>
      <c r="O106" s="173"/>
      <c r="P106" s="173"/>
      <c r="Q106" s="173"/>
      <c r="R106" s="173"/>
      <c r="S106" s="173"/>
      <c r="T106" s="173"/>
      <c r="U106" s="173"/>
      <c r="V106" s="173"/>
      <c r="W106" s="173"/>
      <c r="X106" s="173"/>
      <c r="Y106" s="173"/>
      <c r="Z106" s="173"/>
      <c r="AA106" s="175"/>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row>
    <row r="107" spans="1:60" s="174" customFormat="1">
      <c r="A107" s="173"/>
      <c r="B107" s="173"/>
      <c r="G107" s="173"/>
      <c r="H107" s="173"/>
      <c r="I107" s="175"/>
      <c r="J107" s="173"/>
      <c r="K107" s="173"/>
      <c r="L107" s="173"/>
      <c r="M107" s="173"/>
      <c r="N107" s="173"/>
      <c r="O107" s="173"/>
      <c r="P107" s="173"/>
      <c r="Q107" s="173"/>
      <c r="R107" s="173"/>
      <c r="S107" s="173"/>
      <c r="T107" s="173"/>
      <c r="U107" s="173"/>
      <c r="V107" s="173"/>
      <c r="W107" s="173"/>
      <c r="X107" s="173"/>
      <c r="Y107" s="173"/>
      <c r="Z107" s="173"/>
      <c r="AA107" s="175"/>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row>
    <row r="108" spans="1:60" s="174" customFormat="1">
      <c r="A108" s="173"/>
      <c r="B108" s="173"/>
      <c r="G108" s="173"/>
      <c r="H108" s="173"/>
      <c r="I108" s="175"/>
      <c r="J108" s="173"/>
      <c r="K108" s="173"/>
      <c r="L108" s="173"/>
      <c r="M108" s="173"/>
      <c r="N108" s="173"/>
      <c r="O108" s="173"/>
      <c r="P108" s="173"/>
      <c r="Q108" s="173"/>
      <c r="R108" s="173"/>
      <c r="S108" s="173"/>
      <c r="T108" s="173"/>
      <c r="U108" s="173"/>
      <c r="V108" s="173"/>
      <c r="W108" s="173"/>
      <c r="X108" s="173"/>
      <c r="Y108" s="173"/>
      <c r="Z108" s="173"/>
      <c r="AA108" s="175"/>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row>
    <row r="109" spans="1:60" s="174" customFormat="1">
      <c r="A109" s="173"/>
      <c r="B109" s="173"/>
      <c r="G109" s="173"/>
      <c r="H109" s="173"/>
      <c r="I109" s="175"/>
      <c r="J109" s="173"/>
      <c r="K109" s="173"/>
      <c r="L109" s="173"/>
      <c r="M109" s="173"/>
      <c r="N109" s="173"/>
      <c r="O109" s="173"/>
      <c r="P109" s="173"/>
      <c r="Q109" s="173"/>
      <c r="R109" s="173"/>
      <c r="S109" s="173"/>
      <c r="T109" s="173"/>
      <c r="U109" s="173"/>
      <c r="V109" s="173"/>
      <c r="W109" s="173"/>
      <c r="X109" s="173"/>
      <c r="Y109" s="173"/>
      <c r="Z109" s="173"/>
      <c r="AA109" s="175"/>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c r="BD109" s="173"/>
      <c r="BE109" s="173"/>
      <c r="BF109" s="173"/>
      <c r="BG109" s="173"/>
      <c r="BH109" s="173"/>
    </row>
    <row r="110" spans="1:60" s="174" customFormat="1">
      <c r="A110" s="173"/>
      <c r="B110" s="173"/>
      <c r="G110" s="173"/>
      <c r="H110" s="173"/>
      <c r="I110" s="175"/>
      <c r="J110" s="173"/>
      <c r="K110" s="173"/>
      <c r="L110" s="173"/>
      <c r="M110" s="173"/>
      <c r="N110" s="173"/>
      <c r="O110" s="173"/>
      <c r="P110" s="173"/>
      <c r="Q110" s="173"/>
      <c r="R110" s="173"/>
      <c r="S110" s="173"/>
      <c r="T110" s="173"/>
      <c r="U110" s="173"/>
      <c r="V110" s="173"/>
      <c r="W110" s="173"/>
      <c r="X110" s="173"/>
      <c r="Y110" s="173"/>
      <c r="Z110" s="173"/>
      <c r="AA110" s="175"/>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row>
    <row r="111" spans="1:60" s="174" customFormat="1">
      <c r="A111" s="173"/>
      <c r="B111" s="173"/>
      <c r="G111" s="173"/>
      <c r="H111" s="173"/>
      <c r="I111" s="175"/>
      <c r="J111" s="173"/>
      <c r="K111" s="173"/>
      <c r="L111" s="173"/>
      <c r="M111" s="173"/>
      <c r="N111" s="173"/>
      <c r="O111" s="173"/>
      <c r="P111" s="173"/>
      <c r="Q111" s="173"/>
      <c r="R111" s="173"/>
      <c r="S111" s="173"/>
      <c r="T111" s="173"/>
      <c r="U111" s="173"/>
      <c r="V111" s="173"/>
      <c r="W111" s="173"/>
      <c r="X111" s="173"/>
      <c r="Y111" s="173"/>
      <c r="Z111" s="173"/>
      <c r="AA111" s="175"/>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3"/>
    </row>
  </sheetData>
  <mergeCells count="2">
    <mergeCell ref="J9:Q9"/>
    <mergeCell ref="R9:V9"/>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tabColor rgb="FFFF6600"/>
  </sheetPr>
  <dimension ref="A1:BJ14"/>
  <sheetViews>
    <sheetView showGridLines="0" zoomScale="80" zoomScaleNormal="80" workbookViewId="0">
      <selection activeCell="G14" sqref="G14"/>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8" width="15.625" style="173" customWidth="1"/>
    <col min="29" max="29" width="15.625" style="175" customWidth="1"/>
    <col min="30" max="59" width="15.625" style="173" customWidth="1"/>
    <col min="60" max="88" width="13.625" style="173" customWidth="1"/>
    <col min="89" max="16384" width="11.875" style="173"/>
  </cols>
  <sheetData>
    <row r="1" spans="1:62" s="2" customFormat="1" ht="25.15" customHeight="1">
      <c r="A1" s="1" t="s">
        <v>0</v>
      </c>
      <c r="E1" s="3"/>
      <c r="H1" s="4" t="s">
        <v>1</v>
      </c>
      <c r="J1" s="3"/>
    </row>
    <row r="2" spans="1:62" s="2" customFormat="1" ht="25.15" customHeight="1">
      <c r="A2" s="5" t="str">
        <f>Fixed_Data!I12</f>
        <v>MASTER</v>
      </c>
      <c r="B2" s="6"/>
      <c r="D2" s="7"/>
      <c r="E2" s="3"/>
    </row>
    <row r="3" spans="1:62" s="9" customFormat="1" ht="25.15" customHeight="1" thickBot="1">
      <c r="A3" s="8" t="str">
        <f>Fixed_Data!A3</f>
        <v>RIIO-GD2</v>
      </c>
      <c r="D3" s="10"/>
      <c r="E3" s="11"/>
    </row>
    <row r="4" spans="1:62" s="89" customFormat="1" ht="25.15" customHeight="1">
      <c r="B4" s="90" t="s">
        <v>2821</v>
      </c>
      <c r="C4" s="90"/>
      <c r="D4" s="90"/>
      <c r="E4" s="90"/>
      <c r="F4" s="90"/>
      <c r="G4" s="91"/>
      <c r="H4" s="92"/>
      <c r="I4" s="93"/>
      <c r="J4" s="94"/>
      <c r="K4" s="94"/>
      <c r="L4" s="94"/>
      <c r="M4" s="94"/>
      <c r="N4" s="94"/>
      <c r="O4" s="94"/>
      <c r="P4" s="94"/>
      <c r="Q4" s="94"/>
      <c r="R4" s="92"/>
      <c r="S4" s="92"/>
      <c r="T4" s="92"/>
      <c r="U4" s="92"/>
      <c r="V4" s="92"/>
      <c r="W4" s="92"/>
      <c r="X4" s="92"/>
      <c r="Y4" s="92"/>
      <c r="Z4" s="92"/>
      <c r="AA4" s="92"/>
      <c r="AB4" s="92"/>
      <c r="AC4" s="92"/>
      <c r="AD4" s="92"/>
      <c r="AE4" s="92"/>
      <c r="AF4" s="94"/>
      <c r="AG4" s="92"/>
      <c r="AH4" s="92"/>
      <c r="AI4" s="92"/>
      <c r="AJ4" s="92"/>
      <c r="AK4" s="92"/>
      <c r="AL4" s="92"/>
      <c r="AM4" s="92"/>
      <c r="AN4" s="92"/>
      <c r="AO4" s="92"/>
      <c r="AP4" s="92"/>
      <c r="AQ4" s="92"/>
      <c r="AR4" s="92"/>
      <c r="AS4" s="92"/>
      <c r="AT4" s="94"/>
      <c r="AU4" s="94"/>
      <c r="AV4" s="92"/>
      <c r="AW4" s="92"/>
      <c r="AX4" s="92"/>
      <c r="AY4" s="92"/>
      <c r="AZ4" s="92"/>
      <c r="BA4" s="92"/>
      <c r="BB4" s="92"/>
      <c r="BC4" s="92"/>
      <c r="BD4" s="92"/>
      <c r="BE4" s="92"/>
      <c r="BF4" s="92"/>
      <c r="BG4" s="92"/>
    </row>
    <row r="5" spans="1:62" s="89" customFormat="1" ht="25.15" customHeight="1">
      <c r="B5" s="95"/>
      <c r="C5" s="95"/>
      <c r="D5" s="95"/>
      <c r="E5" s="95"/>
      <c r="F5" s="95"/>
      <c r="G5" s="95"/>
      <c r="H5" s="95"/>
      <c r="I5" s="93"/>
      <c r="J5" s="94"/>
      <c r="K5" s="94"/>
      <c r="L5" s="94"/>
      <c r="M5" s="94"/>
      <c r="N5" s="94"/>
      <c r="O5" s="94"/>
      <c r="P5" s="94"/>
      <c r="Q5" s="94"/>
      <c r="R5" s="92"/>
      <c r="S5" s="92"/>
      <c r="T5" s="92"/>
      <c r="U5" s="92"/>
      <c r="V5" s="92"/>
      <c r="W5" s="92"/>
      <c r="X5" s="92"/>
      <c r="Y5" s="92"/>
      <c r="Z5" s="92"/>
      <c r="AA5" s="92"/>
      <c r="AB5" s="92"/>
      <c r="AC5" s="92"/>
      <c r="AD5" s="92"/>
      <c r="AE5" s="92"/>
      <c r="AF5" s="94"/>
      <c r="AG5" s="92"/>
      <c r="AH5" s="92"/>
      <c r="AI5" s="92"/>
      <c r="AJ5" s="92"/>
      <c r="AK5" s="92"/>
      <c r="AL5" s="92"/>
      <c r="AM5" s="92"/>
      <c r="AN5" s="92"/>
      <c r="AO5" s="92"/>
      <c r="AP5" s="92"/>
      <c r="AQ5" s="92"/>
      <c r="AR5" s="92"/>
      <c r="AS5" s="92"/>
      <c r="AT5" s="94"/>
      <c r="AU5" s="94"/>
      <c r="AV5" s="92"/>
      <c r="AW5" s="92"/>
      <c r="AX5" s="92"/>
      <c r="AY5" s="92"/>
      <c r="AZ5" s="92"/>
      <c r="BA5" s="92"/>
      <c r="BB5" s="92"/>
      <c r="BC5" s="92"/>
      <c r="BD5" s="92"/>
      <c r="BE5" s="92"/>
      <c r="BF5" s="92"/>
      <c r="BG5" s="92"/>
    </row>
    <row r="6" spans="1:62"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2"/>
      <c r="AC6" s="92"/>
      <c r="AD6" s="92"/>
      <c r="AE6" s="92"/>
      <c r="AF6" s="94"/>
      <c r="AG6" s="92"/>
      <c r="AH6" s="92"/>
      <c r="AI6" s="92"/>
      <c r="AJ6" s="92"/>
      <c r="AK6" s="92"/>
      <c r="AL6" s="92"/>
      <c r="AM6" s="92"/>
      <c r="AN6" s="92"/>
      <c r="AO6" s="92"/>
      <c r="AP6" s="92"/>
      <c r="AQ6" s="92"/>
      <c r="AR6" s="92"/>
      <c r="AS6" s="92"/>
      <c r="AT6" s="94"/>
      <c r="AU6" s="94"/>
      <c r="AV6" s="92"/>
      <c r="AW6" s="92"/>
      <c r="AX6" s="92"/>
      <c r="AY6" s="92"/>
      <c r="AZ6" s="92"/>
      <c r="BA6" s="92"/>
      <c r="BB6" s="92"/>
      <c r="BC6" s="92"/>
      <c r="BD6" s="92"/>
      <c r="BE6" s="92"/>
      <c r="BF6" s="92"/>
      <c r="BG6" s="92"/>
    </row>
    <row r="7" spans="1:62" s="99" customFormat="1" ht="15" customHeigh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6"/>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row>
    <row r="8" spans="1:62" s="174" customFormat="1">
      <c r="A8" s="173"/>
      <c r="B8" s="173"/>
      <c r="G8" s="173"/>
      <c r="H8" s="173"/>
      <c r="I8" s="175"/>
      <c r="J8" s="173"/>
      <c r="K8" s="173"/>
      <c r="L8" s="173"/>
      <c r="M8" s="173"/>
      <c r="N8" s="173"/>
      <c r="O8" s="173"/>
      <c r="P8" s="173"/>
      <c r="Q8" s="173"/>
      <c r="R8" s="173"/>
      <c r="S8" s="173"/>
      <c r="T8" s="173"/>
      <c r="U8" s="173"/>
      <c r="V8" s="173"/>
      <c r="W8" s="173"/>
      <c r="X8" s="173"/>
      <c r="Y8" s="173"/>
      <c r="Z8" s="173"/>
      <c r="AA8" s="173"/>
      <c r="AB8" s="173"/>
      <c r="AC8" s="175"/>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row>
    <row r="9" spans="1:62" s="174" customFormat="1">
      <c r="A9" s="173"/>
      <c r="B9" s="173"/>
      <c r="G9" s="173"/>
      <c r="H9" s="173"/>
      <c r="I9" s="175"/>
      <c r="J9" s="173"/>
      <c r="K9" s="173"/>
      <c r="L9" s="173"/>
      <c r="M9" s="173"/>
      <c r="N9" s="173"/>
      <c r="O9" s="173"/>
      <c r="P9" s="173"/>
      <c r="Q9" s="173"/>
      <c r="R9" s="173"/>
      <c r="S9" s="173"/>
      <c r="T9" s="173"/>
      <c r="U9" s="173"/>
      <c r="V9" s="173"/>
      <c r="W9" s="173"/>
      <c r="X9" s="173"/>
      <c r="Y9" s="173"/>
      <c r="Z9" s="173"/>
      <c r="AA9" s="173"/>
      <c r="AB9" s="173"/>
      <c r="AC9" s="175"/>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row>
    <row r="10" spans="1:62" s="174" customFormat="1">
      <c r="A10" s="173"/>
      <c r="B10" s="173"/>
      <c r="G10" s="173"/>
      <c r="H10" s="173"/>
      <c r="I10" s="175"/>
      <c r="J10" s="173"/>
      <c r="K10" s="173"/>
      <c r="L10" s="173"/>
      <c r="M10" s="173"/>
      <c r="N10" s="173"/>
      <c r="O10" s="173"/>
      <c r="P10" s="173"/>
      <c r="Q10" s="173"/>
      <c r="R10" s="173"/>
      <c r="S10" s="173"/>
      <c r="T10" s="173"/>
      <c r="U10" s="173"/>
      <c r="V10" s="173"/>
      <c r="W10" s="173"/>
      <c r="X10" s="173"/>
      <c r="Y10" s="173"/>
      <c r="Z10" s="173"/>
      <c r="AA10" s="173"/>
      <c r="AB10" s="173"/>
      <c r="AC10" s="175"/>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row>
    <row r="11" spans="1:62" s="174" customFormat="1">
      <c r="A11" s="173"/>
      <c r="B11" s="173"/>
      <c r="G11" s="173"/>
      <c r="H11" s="173"/>
      <c r="I11" s="175"/>
      <c r="J11" s="173"/>
      <c r="K11" s="173"/>
      <c r="L11" s="173"/>
      <c r="M11" s="173"/>
      <c r="N11" s="173"/>
      <c r="O11" s="173"/>
      <c r="P11" s="173"/>
      <c r="Q11" s="173"/>
      <c r="R11" s="173"/>
      <c r="S11" s="173"/>
      <c r="T11" s="173"/>
      <c r="U11" s="173"/>
      <c r="V11" s="173"/>
      <c r="W11" s="173"/>
      <c r="X11" s="173"/>
      <c r="Y11" s="173"/>
      <c r="Z11" s="173"/>
      <c r="AA11" s="173"/>
      <c r="AB11" s="173"/>
      <c r="AC11" s="175"/>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row>
    <row r="12" spans="1:62" s="174" customFormat="1">
      <c r="A12" s="173"/>
      <c r="B12" s="173"/>
      <c r="G12" s="173"/>
      <c r="H12" s="173"/>
      <c r="I12" s="175"/>
      <c r="J12" s="173"/>
      <c r="K12" s="173"/>
      <c r="L12" s="173"/>
      <c r="M12" s="173"/>
      <c r="N12" s="173"/>
      <c r="O12" s="173"/>
      <c r="P12" s="173"/>
      <c r="Q12" s="173"/>
      <c r="R12" s="173"/>
      <c r="S12" s="173"/>
      <c r="T12" s="173"/>
      <c r="U12" s="173"/>
      <c r="V12" s="173"/>
      <c r="W12" s="173"/>
      <c r="X12" s="173"/>
      <c r="Y12" s="173"/>
      <c r="Z12" s="173"/>
      <c r="AA12" s="173"/>
      <c r="AB12" s="173"/>
      <c r="AC12" s="175"/>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row>
    <row r="13" spans="1:62" s="174" customFormat="1">
      <c r="A13" s="173"/>
      <c r="B13" s="173"/>
      <c r="G13" s="173"/>
      <c r="H13" s="173"/>
      <c r="I13" s="175"/>
      <c r="J13" s="173"/>
      <c r="K13" s="173"/>
      <c r="L13" s="173"/>
      <c r="M13" s="173"/>
      <c r="N13" s="173"/>
      <c r="O13" s="173"/>
      <c r="P13" s="173"/>
      <c r="Q13" s="173"/>
      <c r="R13" s="173"/>
      <c r="S13" s="173"/>
      <c r="T13" s="173"/>
      <c r="U13" s="173"/>
      <c r="V13" s="173"/>
      <c r="W13" s="173"/>
      <c r="X13" s="173"/>
      <c r="Y13" s="173"/>
      <c r="Z13" s="173"/>
      <c r="AA13" s="173"/>
      <c r="AB13" s="173"/>
      <c r="AC13" s="175"/>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73"/>
    </row>
    <row r="14" spans="1:62" s="174" customFormat="1">
      <c r="A14" s="173"/>
      <c r="B14" s="173"/>
      <c r="G14" s="173"/>
      <c r="H14" s="173"/>
      <c r="I14" s="175"/>
      <c r="J14" s="173"/>
      <c r="K14" s="173"/>
      <c r="L14" s="173"/>
      <c r="M14" s="173"/>
      <c r="N14" s="173"/>
      <c r="O14" s="173"/>
      <c r="P14" s="173"/>
      <c r="Q14" s="173"/>
      <c r="R14" s="173"/>
      <c r="S14" s="173"/>
      <c r="T14" s="173"/>
      <c r="U14" s="173"/>
      <c r="V14" s="173"/>
      <c r="W14" s="173"/>
      <c r="X14" s="173"/>
      <c r="Y14" s="173"/>
      <c r="Z14" s="173"/>
      <c r="AA14" s="173"/>
      <c r="AB14" s="173"/>
      <c r="AC14" s="175"/>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row>
  </sheetData>
  <pageMargins left="0.7" right="0.7" top="0.75" bottom="0.75" header="0.3" footer="0.3"/>
  <pageSetup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tabColor rgb="FFFF6600"/>
  </sheetPr>
  <dimension ref="A1:W26"/>
  <sheetViews>
    <sheetView showGridLines="0" topLeftCell="H1" zoomScale="80" zoomScaleNormal="80" workbookViewId="0">
      <selection activeCell="J15" sqref="J15"/>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3" width="15.625" style="173" customWidth="1"/>
    <col min="24" max="26" width="13.625" style="173" customWidth="1"/>
    <col min="27" max="16384" width="11.875" style="173"/>
  </cols>
  <sheetData>
    <row r="1" spans="1:23" s="2" customFormat="1" ht="25.15" customHeight="1">
      <c r="A1" s="1" t="s">
        <v>0</v>
      </c>
      <c r="E1" s="3"/>
      <c r="H1" s="4" t="s">
        <v>1</v>
      </c>
      <c r="J1" s="3"/>
    </row>
    <row r="2" spans="1:23" s="2" customFormat="1" ht="25.15" customHeight="1">
      <c r="A2" s="5" t="str">
        <f>Fixed_Data!I12</f>
        <v>MASTER</v>
      </c>
      <c r="B2" s="6"/>
      <c r="D2" s="7"/>
      <c r="E2" s="3"/>
    </row>
    <row r="3" spans="1:23" s="9" customFormat="1" ht="25.15" customHeight="1" thickBot="1">
      <c r="A3" s="8" t="str">
        <f>Fixed_Data!A3</f>
        <v>RIIO-GD2</v>
      </c>
      <c r="D3" s="10"/>
      <c r="E3" s="11"/>
    </row>
    <row r="4" spans="1:23" s="89" customFormat="1" ht="25.15" customHeight="1">
      <c r="B4" s="90" t="s">
        <v>2822</v>
      </c>
      <c r="C4" s="90"/>
      <c r="D4" s="90"/>
      <c r="E4" s="90"/>
      <c r="F4" s="90"/>
      <c r="G4" s="91"/>
      <c r="H4" s="92"/>
      <c r="I4" s="93"/>
      <c r="J4" s="94"/>
      <c r="K4" s="94"/>
      <c r="L4" s="94"/>
      <c r="M4" s="94"/>
      <c r="N4" s="94"/>
      <c r="O4" s="94"/>
      <c r="P4" s="94"/>
      <c r="Q4" s="94"/>
      <c r="R4" s="92"/>
      <c r="S4" s="92"/>
      <c r="T4" s="92"/>
      <c r="U4" s="92"/>
      <c r="V4" s="92"/>
      <c r="W4" s="92"/>
    </row>
    <row r="5" spans="1:23"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row>
    <row r="6" spans="1:23" s="89" customFormat="1" ht="15" customHeight="1">
      <c r="B6" s="95"/>
      <c r="C6" s="95"/>
      <c r="D6" s="95"/>
      <c r="E6" s="95"/>
      <c r="F6" s="95"/>
      <c r="G6" s="95"/>
      <c r="H6" s="95"/>
      <c r="I6" s="93"/>
      <c r="J6" s="94"/>
      <c r="K6" s="94"/>
      <c r="L6" s="94"/>
      <c r="M6" s="94"/>
      <c r="N6" s="94"/>
      <c r="O6" s="94"/>
      <c r="P6" s="94"/>
      <c r="Q6" s="94"/>
      <c r="R6" s="92"/>
      <c r="S6" s="92"/>
      <c r="T6" s="92"/>
      <c r="U6" s="92"/>
      <c r="V6" s="92"/>
      <c r="W6" s="92"/>
    </row>
    <row r="7" spans="1:23" s="99" customFormat="1" ht="15" customHeight="1" thickBot="1">
      <c r="A7" s="89"/>
      <c r="B7" s="95"/>
      <c r="C7" s="95"/>
      <c r="D7" s="95"/>
      <c r="E7" s="95"/>
      <c r="F7" s="95"/>
      <c r="G7" s="95"/>
      <c r="H7" s="95"/>
      <c r="I7" s="96"/>
      <c r="J7" s="97"/>
      <c r="K7" s="97"/>
      <c r="L7" s="97"/>
      <c r="M7" s="97"/>
      <c r="N7" s="97"/>
      <c r="O7" s="97"/>
      <c r="P7" s="97"/>
      <c r="Q7" s="97"/>
      <c r="R7" s="97"/>
      <c r="S7" s="97"/>
      <c r="T7" s="97"/>
      <c r="U7" s="97"/>
      <c r="V7" s="97"/>
      <c r="W7" s="97"/>
    </row>
    <row r="8" spans="1:23" s="100" customFormat="1" ht="30" customHeight="1" thickBot="1">
      <c r="B8" s="621" t="s">
        <v>2823</v>
      </c>
      <c r="C8" s="102"/>
      <c r="D8" s="102"/>
      <c r="E8" s="102"/>
      <c r="F8" s="102"/>
      <c r="G8" s="103"/>
      <c r="H8" s="104"/>
      <c r="I8" s="105" t="s">
        <v>2824</v>
      </c>
      <c r="J8" s="106"/>
      <c r="K8" s="106"/>
      <c r="L8" s="106"/>
      <c r="M8" s="106"/>
      <c r="N8" s="106"/>
      <c r="O8" s="106"/>
      <c r="P8" s="106"/>
      <c r="Q8" s="106"/>
      <c r="R8" s="106"/>
      <c r="S8" s="106"/>
      <c r="T8" s="106"/>
      <c r="U8" s="106"/>
      <c r="V8" s="107"/>
      <c r="W8" s="1361"/>
    </row>
    <row r="9" spans="1:23" s="113" customFormat="1" ht="30" customHeight="1">
      <c r="A9" s="89"/>
      <c r="B9" s="109"/>
      <c r="C9" s="110"/>
      <c r="D9" s="110"/>
      <c r="E9" s="110"/>
      <c r="F9" s="110"/>
      <c r="G9" s="111"/>
      <c r="H9" s="112"/>
      <c r="I9" s="112"/>
      <c r="J9" s="3012" t="s">
        <v>1666</v>
      </c>
      <c r="K9" s="3013"/>
      <c r="L9" s="3013"/>
      <c r="M9" s="3013"/>
      <c r="N9" s="3013"/>
      <c r="O9" s="3013"/>
      <c r="P9" s="3013"/>
      <c r="Q9" s="3014"/>
      <c r="R9" s="3015" t="s">
        <v>2</v>
      </c>
      <c r="S9" s="3016"/>
      <c r="T9" s="3016"/>
      <c r="U9" s="3016"/>
      <c r="V9" s="3017"/>
    </row>
    <row r="10" spans="1:23" s="89" customFormat="1" ht="15" customHeight="1">
      <c r="B10" s="115"/>
      <c r="C10" s="116"/>
      <c r="D10" s="116"/>
      <c r="E10" s="116"/>
      <c r="F10" s="116"/>
      <c r="G10" s="117"/>
      <c r="H10" s="118"/>
      <c r="I10" s="119" t="s">
        <v>1667</v>
      </c>
      <c r="J10" s="120" t="s">
        <v>453</v>
      </c>
      <c r="K10" s="121" t="s">
        <v>455</v>
      </c>
      <c r="L10" s="121" t="s">
        <v>457</v>
      </c>
      <c r="M10" s="121" t="s">
        <v>459</v>
      </c>
      <c r="N10" s="121" t="s">
        <v>461</v>
      </c>
      <c r="O10" s="121" t="s">
        <v>463</v>
      </c>
      <c r="P10" s="121" t="s">
        <v>465</v>
      </c>
      <c r="Q10" s="122" t="s">
        <v>467</v>
      </c>
      <c r="R10" s="120" t="s">
        <v>469</v>
      </c>
      <c r="S10" s="121" t="s">
        <v>471</v>
      </c>
      <c r="T10" s="121" t="s">
        <v>473</v>
      </c>
      <c r="U10" s="121" t="s">
        <v>475</v>
      </c>
      <c r="V10" s="122" t="s">
        <v>477</v>
      </c>
      <c r="W10" s="92"/>
    </row>
    <row r="11" spans="1:23" s="89" customFormat="1" ht="15" customHeight="1">
      <c r="B11" s="115"/>
      <c r="C11" s="116" t="s">
        <v>2825</v>
      </c>
      <c r="D11" s="116"/>
      <c r="E11" s="116"/>
      <c r="F11" s="116"/>
      <c r="G11" s="117"/>
      <c r="H11" s="118"/>
      <c r="I11" s="118"/>
      <c r="J11" s="139"/>
      <c r="K11" s="118"/>
      <c r="L11" s="118"/>
      <c r="M11" s="118"/>
      <c r="N11" s="118"/>
      <c r="O11" s="118"/>
      <c r="P11" s="118"/>
      <c r="Q11" s="140"/>
      <c r="R11" s="139"/>
      <c r="S11" s="118"/>
      <c r="T11" s="118"/>
      <c r="U11" s="118"/>
      <c r="V11" s="140"/>
      <c r="W11" s="92"/>
    </row>
    <row r="12" spans="1:23" s="89" customFormat="1" ht="15" customHeight="1">
      <c r="B12" s="123"/>
      <c r="C12" s="127"/>
      <c r="D12" s="127" t="s">
        <v>2826</v>
      </c>
      <c r="E12" s="127"/>
      <c r="F12" s="127"/>
      <c r="G12" s="117"/>
      <c r="H12" s="118"/>
      <c r="I12" s="119" t="s">
        <v>2233</v>
      </c>
      <c r="J12" s="143">
        <v>9080.23</v>
      </c>
      <c r="K12" s="642">
        <f>J16</f>
        <v>8607.8553899999988</v>
      </c>
      <c r="L12" s="642">
        <f t="shared" ref="L12:V12" si="0">K16</f>
        <v>8079.0244299999986</v>
      </c>
      <c r="M12" s="642">
        <f t="shared" si="0"/>
        <v>7613.3256299999985</v>
      </c>
      <c r="N12" s="642">
        <f t="shared" si="0"/>
        <v>7131.9616300000025</v>
      </c>
      <c r="O12" s="642">
        <f t="shared" si="0"/>
        <v>6624.8746300000066</v>
      </c>
      <c r="P12" s="642">
        <f t="shared" si="0"/>
        <v>6105.2366300000067</v>
      </c>
      <c r="Q12" s="642">
        <f t="shared" si="0"/>
        <v>5615.4683845682412</v>
      </c>
      <c r="R12" s="642">
        <f t="shared" si="0"/>
        <v>5152.2664371364763</v>
      </c>
      <c r="S12" s="642">
        <f t="shared" si="0"/>
        <v>4684.0674909900144</v>
      </c>
      <c r="T12" s="642">
        <f t="shared" si="0"/>
        <v>4215.8685448435526</v>
      </c>
      <c r="U12" s="642">
        <f t="shared" si="0"/>
        <v>3747.6695986970913</v>
      </c>
      <c r="V12" s="643">
        <f t="shared" si="0"/>
        <v>3279.4706525506299</v>
      </c>
    </row>
    <row r="13" spans="1:23" s="89" customFormat="1" ht="15" customHeight="1">
      <c r="B13" s="123"/>
      <c r="C13" s="127"/>
      <c r="D13" s="127" t="s">
        <v>2827</v>
      </c>
      <c r="E13" s="127"/>
      <c r="F13" s="127"/>
      <c r="G13" s="117"/>
      <c r="H13" s="118"/>
      <c r="I13" s="119" t="s">
        <v>2233</v>
      </c>
      <c r="J13" s="143">
        <v>10.3</v>
      </c>
      <c r="K13" s="141">
        <v>10.3</v>
      </c>
      <c r="L13" s="141">
        <v>10.3</v>
      </c>
      <c r="M13" s="141">
        <v>10.3</v>
      </c>
      <c r="N13" s="141">
        <v>10.3</v>
      </c>
      <c r="O13" s="141">
        <v>10.3</v>
      </c>
      <c r="P13" s="141">
        <v>10.3</v>
      </c>
      <c r="Q13" s="144">
        <v>10.3</v>
      </c>
      <c r="R13" s="143">
        <v>10.3</v>
      </c>
      <c r="S13" s="141">
        <v>10.3</v>
      </c>
      <c r="T13" s="141">
        <v>10.3</v>
      </c>
      <c r="U13" s="141">
        <v>10.3</v>
      </c>
      <c r="V13" s="144">
        <v>10.3</v>
      </c>
    </row>
    <row r="14" spans="1:23" s="89" customFormat="1" ht="15" customHeight="1">
      <c r="B14" s="123"/>
      <c r="C14" s="127"/>
      <c r="D14" s="127" t="s">
        <v>2828</v>
      </c>
      <c r="E14" s="127"/>
      <c r="F14" s="127"/>
      <c r="G14" s="117"/>
      <c r="H14" s="118"/>
      <c r="I14" s="119" t="s">
        <v>2233</v>
      </c>
      <c r="J14" s="143">
        <v>6.6</v>
      </c>
      <c r="K14" s="141">
        <v>6.6</v>
      </c>
      <c r="L14" s="141">
        <v>6.6</v>
      </c>
      <c r="M14" s="141">
        <v>6.6</v>
      </c>
      <c r="N14" s="141">
        <v>6.6</v>
      </c>
      <c r="O14" s="141">
        <v>6.6</v>
      </c>
      <c r="P14" s="141">
        <v>6.6</v>
      </c>
      <c r="Q14" s="144">
        <v>6.6</v>
      </c>
      <c r="R14" s="143">
        <v>4.8</v>
      </c>
      <c r="S14" s="141">
        <v>4.8</v>
      </c>
      <c r="T14" s="141">
        <v>4.8</v>
      </c>
      <c r="U14" s="141">
        <v>4.8</v>
      </c>
      <c r="V14" s="144">
        <v>4.8</v>
      </c>
    </row>
    <row r="15" spans="1:23" s="89" customFormat="1" ht="15" customHeight="1">
      <c r="B15" s="123"/>
      <c r="C15" s="127"/>
      <c r="D15" s="127" t="s">
        <v>2829</v>
      </c>
      <c r="E15" s="127"/>
      <c r="F15" s="127"/>
      <c r="G15" s="117"/>
      <c r="H15" s="118"/>
      <c r="I15" s="119" t="s">
        <v>2233</v>
      </c>
      <c r="J15" s="641">
        <f>'4.00_Repex_Summary'!BC177+'4.00_Repex_Summary'!BC182</f>
        <v>-489.27461</v>
      </c>
      <c r="K15" s="642">
        <f>'4.00_Repex_Summary'!BD177+'4.00_Repex_Summary'!BD182</f>
        <v>-545.73095999999953</v>
      </c>
      <c r="L15" s="642">
        <f>'4.00_Repex_Summary'!BE177+'4.00_Repex_Summary'!BE182</f>
        <v>-482.59880000000038</v>
      </c>
      <c r="M15" s="642">
        <f>'4.00_Repex_Summary'!BF177+'4.00_Repex_Summary'!BF182</f>
        <v>-498.26399999999649</v>
      </c>
      <c r="N15" s="642">
        <f>'4.00_Repex_Summary'!BG177+'4.00_Repex_Summary'!BG182</f>
        <v>-523.98699999999656</v>
      </c>
      <c r="O15" s="642">
        <f>'4.00_Repex_Summary'!BH177+'4.00_Repex_Summary'!BH182</f>
        <v>-536.53800000000001</v>
      </c>
      <c r="P15" s="642">
        <f>'4.00_Repex_Summary'!BI177+'4.00_Repex_Summary'!BI182</f>
        <v>-506.66824543176568</v>
      </c>
      <c r="Q15" s="642">
        <f>'4.00_Repex_Summary'!BJ177+'4.00_Repex_Summary'!BJ182</f>
        <v>-480.10194743176572</v>
      </c>
      <c r="R15" s="642">
        <f>'4.00_Repex_Summary'!BK177+'4.00_Repex_Summary'!BK182</f>
        <v>-483.29894614646184</v>
      </c>
      <c r="S15" s="642">
        <f>'4.00_Repex_Summary'!BL177+'4.00_Repex_Summary'!BL182</f>
        <v>-483.29894614646184</v>
      </c>
      <c r="T15" s="642">
        <f>'4.00_Repex_Summary'!BM177+'4.00_Repex_Summary'!BM182</f>
        <v>-483.29894614646184</v>
      </c>
      <c r="U15" s="642">
        <f>'4.00_Repex_Summary'!BN177+'4.00_Repex_Summary'!BN182</f>
        <v>-483.29894614646184</v>
      </c>
      <c r="V15" s="643">
        <f>'4.00_Repex_Summary'!BO177+'4.00_Repex_Summary'!BO182</f>
        <v>-483.29894614646184</v>
      </c>
    </row>
    <row r="16" spans="1:23" s="89" customFormat="1" ht="15" customHeight="1" thickBot="1">
      <c r="B16" s="176"/>
      <c r="C16" s="132"/>
      <c r="D16" s="132" t="s">
        <v>2830</v>
      </c>
      <c r="E16" s="132"/>
      <c r="F16" s="132"/>
      <c r="G16" s="145"/>
      <c r="H16" s="133"/>
      <c r="I16" s="146" t="s">
        <v>2233</v>
      </c>
      <c r="J16" s="1092">
        <f>SUM(J12:J15)</f>
        <v>8607.8553899999988</v>
      </c>
      <c r="K16" s="1093">
        <f>SUM(K12:K15)</f>
        <v>8079.0244299999986</v>
      </c>
      <c r="L16" s="1093">
        <f t="shared" ref="L16:P16" si="1">SUM(L12:L15)</f>
        <v>7613.3256299999985</v>
      </c>
      <c r="M16" s="1093">
        <f t="shared" si="1"/>
        <v>7131.9616300000025</v>
      </c>
      <c r="N16" s="1093">
        <f t="shared" si="1"/>
        <v>6624.8746300000066</v>
      </c>
      <c r="O16" s="1093">
        <f t="shared" si="1"/>
        <v>6105.2366300000067</v>
      </c>
      <c r="P16" s="1093">
        <f t="shared" si="1"/>
        <v>5615.4683845682412</v>
      </c>
      <c r="Q16" s="1093">
        <f>SUM(Q12:Q15)</f>
        <v>5152.2664371364763</v>
      </c>
      <c r="R16" s="1092">
        <f>SUM(R12:R15)</f>
        <v>4684.0674909900144</v>
      </c>
      <c r="S16" s="1093">
        <f t="shared" ref="S16:U16" si="2">SUM(S12:S15)</f>
        <v>4215.8685448435526</v>
      </c>
      <c r="T16" s="1093">
        <f t="shared" si="2"/>
        <v>3747.6695986970913</v>
      </c>
      <c r="U16" s="1093">
        <f t="shared" si="2"/>
        <v>3279.4706525506299</v>
      </c>
      <c r="V16" s="1093">
        <f>SUM(V12:V15)</f>
        <v>2811.2717064041685</v>
      </c>
    </row>
    <row r="17" spans="1:23" s="89" customFormat="1" ht="15" customHeight="1">
      <c r="B17" s="134"/>
      <c r="C17" s="134"/>
      <c r="D17" s="134"/>
      <c r="E17" s="134"/>
      <c r="F17" s="134"/>
      <c r="H17" s="114"/>
      <c r="I17" s="93"/>
      <c r="J17" s="92"/>
      <c r="P17" s="92"/>
      <c r="Q17" s="92"/>
      <c r="R17" s="92"/>
      <c r="S17" s="92"/>
      <c r="T17" s="92"/>
      <c r="U17" s="92"/>
      <c r="V17" s="92"/>
    </row>
    <row r="18" spans="1:23">
      <c r="B18" s="173"/>
    </row>
    <row r="19" spans="1:23">
      <c r="B19" s="173"/>
    </row>
    <row r="20" spans="1:23" s="174" customFormat="1">
      <c r="A20" s="173"/>
      <c r="B20" s="173"/>
      <c r="G20" s="173"/>
      <c r="H20" s="173"/>
      <c r="I20" s="175"/>
      <c r="J20" s="173"/>
      <c r="K20" s="173"/>
      <c r="L20" s="173"/>
      <c r="M20" s="173"/>
      <c r="N20" s="173"/>
      <c r="O20" s="173"/>
      <c r="P20" s="173"/>
      <c r="Q20" s="173"/>
      <c r="R20" s="173"/>
      <c r="S20" s="173"/>
      <c r="T20" s="173"/>
      <c r="U20" s="173"/>
      <c r="V20" s="173"/>
      <c r="W20" s="173"/>
    </row>
    <row r="21" spans="1:23" s="174" customFormat="1">
      <c r="A21" s="173"/>
      <c r="B21" s="173"/>
      <c r="G21" s="173"/>
      <c r="H21" s="173"/>
      <c r="I21" s="175"/>
      <c r="J21" s="173"/>
      <c r="K21" s="173"/>
      <c r="L21" s="173"/>
      <c r="M21" s="173"/>
      <c r="N21" s="173"/>
      <c r="O21" s="173"/>
      <c r="P21" s="173"/>
      <c r="Q21" s="173"/>
      <c r="R21" s="173"/>
      <c r="S21" s="173"/>
      <c r="T21" s="173"/>
      <c r="U21" s="173"/>
      <c r="V21" s="173"/>
      <c r="W21" s="173"/>
    </row>
    <row r="22" spans="1:23" s="174" customFormat="1">
      <c r="A22" s="173"/>
      <c r="B22" s="173"/>
      <c r="G22" s="173"/>
      <c r="H22" s="173"/>
      <c r="I22" s="175"/>
      <c r="J22" s="173"/>
      <c r="K22" s="173"/>
      <c r="L22" s="173"/>
      <c r="M22" s="173"/>
      <c r="N22" s="173"/>
      <c r="O22" s="173"/>
      <c r="P22" s="173"/>
      <c r="Q22" s="173"/>
      <c r="R22" s="173"/>
      <c r="S22" s="173"/>
      <c r="T22" s="173"/>
      <c r="U22" s="173"/>
      <c r="V22" s="173"/>
      <c r="W22" s="173"/>
    </row>
    <row r="23" spans="1:23" s="174" customFormat="1">
      <c r="A23" s="173"/>
      <c r="B23" s="173"/>
      <c r="G23" s="173"/>
      <c r="H23" s="173"/>
      <c r="I23" s="175"/>
      <c r="J23" s="173"/>
      <c r="K23" s="173"/>
      <c r="L23" s="173"/>
      <c r="M23" s="173"/>
      <c r="N23" s="173"/>
      <c r="O23" s="173"/>
      <c r="P23" s="173"/>
      <c r="Q23" s="173"/>
      <c r="R23" s="173"/>
      <c r="S23" s="173"/>
      <c r="T23" s="173"/>
      <c r="U23" s="173"/>
      <c r="V23" s="173"/>
      <c r="W23" s="173"/>
    </row>
    <row r="24" spans="1:23" s="174" customFormat="1">
      <c r="A24" s="173"/>
      <c r="B24" s="173"/>
      <c r="G24" s="173"/>
      <c r="H24" s="173"/>
      <c r="I24" s="175"/>
      <c r="J24" s="173"/>
      <c r="K24" s="173"/>
      <c r="L24" s="173"/>
      <c r="M24" s="173"/>
      <c r="N24" s="173"/>
      <c r="O24" s="173"/>
      <c r="P24" s="173"/>
      <c r="Q24" s="173"/>
      <c r="R24" s="173"/>
      <c r="S24" s="173"/>
      <c r="T24" s="173"/>
      <c r="U24" s="173"/>
      <c r="V24" s="173"/>
      <c r="W24" s="173"/>
    </row>
    <row r="25" spans="1:23" s="174" customFormat="1">
      <c r="A25" s="173"/>
      <c r="B25" s="173"/>
      <c r="G25" s="173"/>
      <c r="H25" s="173"/>
      <c r="I25" s="175"/>
      <c r="J25" s="173"/>
      <c r="K25" s="173"/>
      <c r="L25" s="173"/>
      <c r="M25" s="173"/>
      <c r="N25" s="173"/>
      <c r="O25" s="173"/>
      <c r="P25" s="173"/>
      <c r="Q25" s="173"/>
      <c r="R25" s="173"/>
      <c r="S25" s="173"/>
      <c r="T25" s="173"/>
      <c r="U25" s="173"/>
      <c r="V25" s="173"/>
      <c r="W25" s="173"/>
    </row>
    <row r="26" spans="1:23" s="174" customFormat="1">
      <c r="A26" s="173"/>
      <c r="B26" s="173"/>
      <c r="G26" s="173"/>
      <c r="H26" s="173"/>
      <c r="I26" s="175"/>
      <c r="J26" s="173"/>
      <c r="K26" s="173"/>
      <c r="L26" s="173"/>
      <c r="M26" s="173"/>
      <c r="N26" s="173"/>
      <c r="O26" s="173"/>
      <c r="P26" s="173"/>
      <c r="Q26" s="173"/>
      <c r="R26" s="173"/>
      <c r="S26" s="173"/>
      <c r="T26" s="173"/>
      <c r="U26" s="173"/>
      <c r="V26" s="173"/>
      <c r="W26" s="173"/>
    </row>
  </sheetData>
  <mergeCells count="2">
    <mergeCell ref="J9:Q9"/>
    <mergeCell ref="R9:V9"/>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tabColor rgb="FFFF6600"/>
  </sheetPr>
  <dimension ref="A1:AN110"/>
  <sheetViews>
    <sheetView showGridLines="0" zoomScale="80" zoomScaleNormal="80" workbookViewId="0">
      <selection activeCell="G14" sqref="G14"/>
    </sheetView>
  </sheetViews>
  <sheetFormatPr defaultColWidth="11.875" defaultRowHeight="12.75"/>
  <cols>
    <col min="1" max="1" width="11.875" style="173" customWidth="1"/>
    <col min="2" max="6" width="4.375" style="174" customWidth="1"/>
    <col min="7" max="7" width="38.25" style="173" customWidth="1"/>
    <col min="8" max="8" width="11.875" style="173"/>
    <col min="9" max="9" width="15.625" style="175" customWidth="1"/>
    <col min="10" max="22" width="15.625" style="173" customWidth="1"/>
    <col min="23" max="23" width="5.625" style="173" customWidth="1"/>
    <col min="24" max="37" width="15.625" style="173" customWidth="1"/>
    <col min="38" max="38" width="5.625" style="173" customWidth="1"/>
    <col min="39" max="39" width="40.25" style="173" customWidth="1"/>
    <col min="40" max="40" width="65.5" style="173" customWidth="1"/>
    <col min="41" max="16384" width="11.875" style="173"/>
  </cols>
  <sheetData>
    <row r="1" spans="1:40" s="2" customFormat="1" ht="25.15" customHeight="1">
      <c r="A1" s="1" t="s">
        <v>0</v>
      </c>
      <c r="E1" s="3"/>
      <c r="H1" s="4" t="s">
        <v>1</v>
      </c>
      <c r="J1" s="3"/>
    </row>
    <row r="2" spans="1:40" s="2" customFormat="1" ht="25.15" customHeight="1">
      <c r="A2" s="5" t="str">
        <f>Fixed_Data!I12</f>
        <v>MASTER</v>
      </c>
      <c r="B2" s="6"/>
      <c r="D2" s="7"/>
      <c r="E2" s="3"/>
    </row>
    <row r="3" spans="1:40" s="9" customFormat="1" ht="25.15" customHeight="1" thickBot="1">
      <c r="A3" s="8" t="str">
        <f>Fixed_Data!A3</f>
        <v>RIIO-GD2</v>
      </c>
      <c r="D3" s="10"/>
      <c r="E3" s="11"/>
    </row>
    <row r="4" spans="1:40" s="89" customFormat="1" ht="25.15" customHeight="1">
      <c r="B4" s="90" t="s">
        <v>2831</v>
      </c>
      <c r="C4" s="90"/>
      <c r="D4" s="90"/>
      <c r="E4" s="90"/>
      <c r="F4" s="90"/>
      <c r="G4" s="91"/>
      <c r="H4" s="92"/>
      <c r="I4" s="93"/>
      <c r="J4" s="94"/>
      <c r="K4" s="94"/>
      <c r="L4" s="94"/>
      <c r="M4" s="94"/>
      <c r="N4" s="94"/>
      <c r="O4" s="94"/>
      <c r="P4" s="94"/>
      <c r="Q4" s="94"/>
      <c r="R4" s="92"/>
      <c r="S4" s="92"/>
      <c r="T4" s="92"/>
      <c r="U4" s="92"/>
      <c r="V4" s="92"/>
      <c r="W4" s="92"/>
    </row>
    <row r="5" spans="1:40" s="89" customFormat="1" ht="25.15" customHeight="1">
      <c r="B5" s="95" t="s">
        <v>1663</v>
      </c>
      <c r="C5" s="95"/>
      <c r="D5" s="95"/>
      <c r="E5" s="95"/>
      <c r="F5" s="95" t="s">
        <v>463</v>
      </c>
      <c r="G5" s="95"/>
      <c r="H5" s="95"/>
      <c r="I5" s="93"/>
      <c r="J5" s="94"/>
      <c r="K5" s="94"/>
      <c r="L5" s="94"/>
      <c r="M5" s="94"/>
      <c r="N5" s="94"/>
      <c r="O5" s="94"/>
      <c r="P5" s="94"/>
      <c r="Q5" s="94"/>
      <c r="R5" s="92"/>
      <c r="S5" s="92"/>
      <c r="T5" s="92"/>
      <c r="U5" s="92"/>
      <c r="V5" s="92"/>
      <c r="W5" s="92"/>
    </row>
    <row r="6" spans="1:40" s="89" customFormat="1" ht="15" customHeight="1">
      <c r="B6" s="95"/>
      <c r="C6" s="95"/>
      <c r="D6" s="95"/>
      <c r="E6" s="95"/>
      <c r="F6" s="95"/>
      <c r="G6" s="95"/>
      <c r="H6" s="95"/>
      <c r="I6" s="93"/>
      <c r="J6" s="94"/>
      <c r="K6" s="94"/>
      <c r="L6" s="94"/>
      <c r="M6" s="94"/>
      <c r="N6" s="94"/>
      <c r="O6" s="94"/>
      <c r="P6" s="94"/>
      <c r="Q6" s="94"/>
      <c r="R6" s="92"/>
      <c r="S6" s="92"/>
      <c r="T6" s="92"/>
      <c r="U6" s="92"/>
      <c r="V6" s="92"/>
      <c r="W6" s="92"/>
    </row>
    <row r="7" spans="1:40" s="99" customFormat="1" ht="15" customHeight="1" thickBot="1">
      <c r="A7" s="89"/>
      <c r="B7" s="95"/>
      <c r="C7" s="95"/>
      <c r="D7" s="95"/>
      <c r="E7" s="95"/>
      <c r="F7" s="95"/>
      <c r="G7" s="95"/>
      <c r="H7" s="95"/>
      <c r="I7" s="96"/>
      <c r="J7" s="97"/>
      <c r="K7" s="97"/>
      <c r="L7" s="97"/>
      <c r="M7" s="97"/>
      <c r="N7" s="97"/>
      <c r="O7" s="97"/>
      <c r="P7" s="97"/>
      <c r="Q7" s="97"/>
      <c r="R7" s="97"/>
      <c r="S7" s="97"/>
      <c r="T7" s="97"/>
      <c r="U7" s="97"/>
      <c r="V7" s="97"/>
      <c r="W7" s="97"/>
    </row>
    <row r="8" spans="1:40" s="89" customFormat="1" ht="30" customHeight="1" thickBot="1">
      <c r="B8" s="621" t="s">
        <v>2679</v>
      </c>
      <c r="C8" s="101"/>
      <c r="D8" s="102"/>
      <c r="E8" s="102"/>
      <c r="F8" s="102"/>
      <c r="G8" s="103"/>
      <c r="H8" s="103"/>
      <c r="I8" s="1689"/>
      <c r="J8" s="1689"/>
      <c r="K8" s="1689"/>
      <c r="L8" s="1689"/>
      <c r="M8" s="1689"/>
      <c r="N8" s="1689"/>
      <c r="O8" s="1689"/>
      <c r="P8" s="1689"/>
      <c r="Q8" s="1689"/>
      <c r="R8" s="1689"/>
      <c r="S8" s="1689"/>
      <c r="T8" s="1689"/>
      <c r="U8" s="1689"/>
      <c r="V8" s="1689"/>
      <c r="W8" s="103"/>
      <c r="X8" s="105" t="s">
        <v>2231</v>
      </c>
      <c r="Y8" s="106"/>
      <c r="Z8" s="106"/>
      <c r="AA8" s="106"/>
      <c r="AB8" s="106"/>
      <c r="AC8" s="106"/>
      <c r="AD8" s="106"/>
      <c r="AE8" s="106"/>
      <c r="AF8" s="106"/>
      <c r="AG8" s="105"/>
      <c r="AH8" s="105"/>
      <c r="AI8" s="105"/>
      <c r="AJ8" s="105"/>
      <c r="AK8" s="105"/>
      <c r="AL8" s="200"/>
      <c r="AM8" s="1493" t="s">
        <v>2832</v>
      </c>
      <c r="AN8" s="1490"/>
    </row>
    <row r="9" spans="1:40" s="89" customFormat="1" ht="30" customHeight="1">
      <c r="B9" s="109"/>
      <c r="C9" s="110"/>
      <c r="D9" s="110"/>
      <c r="E9" s="110"/>
      <c r="F9" s="110"/>
      <c r="G9" s="111"/>
      <c r="H9" s="111"/>
      <c r="I9" s="2450"/>
      <c r="J9" s="2450"/>
      <c r="K9" s="2450"/>
      <c r="L9" s="2450"/>
      <c r="M9" s="2450"/>
      <c r="N9" s="2450"/>
      <c r="O9" s="2450"/>
      <c r="P9" s="2450"/>
      <c r="Q9" s="2450"/>
      <c r="R9" s="2450"/>
      <c r="S9" s="2450"/>
      <c r="T9" s="2450"/>
      <c r="U9" s="2450"/>
      <c r="V9" s="2450"/>
      <c r="W9" s="111"/>
      <c r="X9" s="117"/>
      <c r="Y9" s="695" t="s">
        <v>1666</v>
      </c>
      <c r="Z9" s="152"/>
      <c r="AA9" s="152"/>
      <c r="AB9" s="152"/>
      <c r="AC9" s="152"/>
      <c r="AD9" s="152"/>
      <c r="AE9" s="152"/>
      <c r="AF9" s="153"/>
      <c r="AG9" s="696" t="s">
        <v>2</v>
      </c>
      <c r="AH9" s="155"/>
      <c r="AI9" s="155"/>
      <c r="AJ9" s="155"/>
      <c r="AK9" s="156"/>
      <c r="AL9" s="201"/>
      <c r="AM9" s="1494" t="s">
        <v>2833</v>
      </c>
      <c r="AN9" s="452" t="s">
        <v>2432</v>
      </c>
    </row>
    <row r="10" spans="1:40" s="89" customFormat="1" ht="13.5" customHeight="1">
      <c r="B10" s="115"/>
      <c r="C10" s="116"/>
      <c r="D10" s="116"/>
      <c r="E10" s="116"/>
      <c r="F10" s="116"/>
      <c r="G10" s="117"/>
      <c r="H10" s="117"/>
      <c r="I10" s="2451"/>
      <c r="J10" s="2451"/>
      <c r="K10" s="2451"/>
      <c r="L10" s="2451"/>
      <c r="M10" s="2451"/>
      <c r="N10" s="2451"/>
      <c r="O10" s="2451"/>
      <c r="P10" s="2451"/>
      <c r="Q10" s="2451"/>
      <c r="R10" s="2451"/>
      <c r="S10" s="2451"/>
      <c r="T10" s="2451"/>
      <c r="U10" s="2451"/>
      <c r="V10" s="2451"/>
      <c r="W10" s="117"/>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201"/>
      <c r="AM10" s="1495"/>
      <c r="AN10" s="462"/>
    </row>
    <row r="11" spans="1:40" s="99" customFormat="1" ht="13.5" customHeight="1">
      <c r="B11" s="161"/>
      <c r="C11" s="116" t="s">
        <v>1683</v>
      </c>
      <c r="D11" s="116"/>
      <c r="E11" s="116"/>
      <c r="F11" s="116"/>
      <c r="G11" s="117"/>
      <c r="H11" s="117"/>
      <c r="I11" s="2451"/>
      <c r="J11" s="2451"/>
      <c r="K11" s="2451"/>
      <c r="L11" s="2451"/>
      <c r="M11" s="2451"/>
      <c r="N11" s="2451"/>
      <c r="O11" s="2451"/>
      <c r="P11" s="2451"/>
      <c r="Q11" s="2451"/>
      <c r="R11" s="2451"/>
      <c r="S11" s="2451"/>
      <c r="T11" s="2451"/>
      <c r="U11" s="2451"/>
      <c r="V11" s="2451"/>
      <c r="W11" s="117"/>
      <c r="X11" s="117"/>
      <c r="Y11" s="159"/>
      <c r="Z11" s="117"/>
      <c r="AA11" s="117"/>
      <c r="AB11" s="117"/>
      <c r="AC11" s="117"/>
      <c r="AD11" s="117"/>
      <c r="AE11" s="117"/>
      <c r="AF11" s="160"/>
      <c r="AG11" s="159"/>
      <c r="AH11" s="117"/>
      <c r="AI11" s="117"/>
      <c r="AJ11" s="117"/>
      <c r="AK11" s="160"/>
      <c r="AL11" s="1491"/>
      <c r="AM11" s="405"/>
      <c r="AN11" s="210"/>
    </row>
    <row r="12" spans="1:40" ht="14.25">
      <c r="B12" s="161"/>
      <c r="C12" s="162"/>
      <c r="D12" s="230" t="s">
        <v>2726</v>
      </c>
      <c r="E12" s="162"/>
      <c r="F12" s="162"/>
      <c r="G12" s="163"/>
      <c r="H12" s="163"/>
      <c r="I12" s="2452"/>
      <c r="J12" s="2452"/>
      <c r="K12" s="2452"/>
      <c r="L12" s="2452"/>
      <c r="M12" s="2452"/>
      <c r="N12" s="2452"/>
      <c r="O12" s="2452"/>
      <c r="P12" s="2452"/>
      <c r="Q12" s="2452"/>
      <c r="R12" s="2452"/>
      <c r="S12" s="2452"/>
      <c r="T12" s="2452"/>
      <c r="U12" s="2452"/>
      <c r="V12" s="2452"/>
      <c r="W12" s="163"/>
      <c r="X12" s="164" t="s">
        <v>2233</v>
      </c>
      <c r="Y12" s="143">
        <v>0</v>
      </c>
      <c r="Z12" s="141">
        <v>0</v>
      </c>
      <c r="AA12" s="141">
        <v>0</v>
      </c>
      <c r="AB12" s="141">
        <v>0</v>
      </c>
      <c r="AC12" s="141">
        <v>0</v>
      </c>
      <c r="AD12" s="141">
        <v>0</v>
      </c>
      <c r="AE12" s="141">
        <v>0</v>
      </c>
      <c r="AF12" s="144">
        <v>0</v>
      </c>
      <c r="AG12" s="143">
        <v>0</v>
      </c>
      <c r="AH12" s="141">
        <v>0</v>
      </c>
      <c r="AI12" s="141">
        <v>0</v>
      </c>
      <c r="AJ12" s="141">
        <v>0</v>
      </c>
      <c r="AK12" s="144">
        <v>0</v>
      </c>
      <c r="AL12" s="660"/>
      <c r="AM12" s="1496"/>
      <c r="AN12" s="1492"/>
    </row>
    <row r="13" spans="1:40" ht="14.25">
      <c r="B13" s="161"/>
      <c r="C13" s="162"/>
      <c r="D13" s="162" t="s">
        <v>2727</v>
      </c>
      <c r="E13" s="162"/>
      <c r="F13" s="162"/>
      <c r="G13" s="163"/>
      <c r="H13" s="163"/>
      <c r="I13" s="2452"/>
      <c r="J13" s="2452"/>
      <c r="K13" s="2452"/>
      <c r="L13" s="2452"/>
      <c r="M13" s="2452"/>
      <c r="N13" s="2452"/>
      <c r="O13" s="2452"/>
      <c r="P13" s="2452"/>
      <c r="Q13" s="2452"/>
      <c r="R13" s="2452"/>
      <c r="S13" s="2452"/>
      <c r="T13" s="2452"/>
      <c r="U13" s="2452"/>
      <c r="V13" s="2452"/>
      <c r="W13" s="163"/>
      <c r="X13" s="164" t="s">
        <v>2233</v>
      </c>
      <c r="Y13" s="143">
        <v>0</v>
      </c>
      <c r="Z13" s="141">
        <v>0</v>
      </c>
      <c r="AA13" s="141">
        <v>0</v>
      </c>
      <c r="AB13" s="141">
        <v>0</v>
      </c>
      <c r="AC13" s="141">
        <v>0</v>
      </c>
      <c r="AD13" s="141">
        <v>0</v>
      </c>
      <c r="AE13" s="141">
        <v>0</v>
      </c>
      <c r="AF13" s="144">
        <v>0</v>
      </c>
      <c r="AG13" s="143">
        <v>0</v>
      </c>
      <c r="AH13" s="141">
        <v>0</v>
      </c>
      <c r="AI13" s="141">
        <v>0</v>
      </c>
      <c r="AJ13" s="141">
        <v>0</v>
      </c>
      <c r="AK13" s="144">
        <v>0</v>
      </c>
      <c r="AL13" s="660"/>
      <c r="AM13" s="1496"/>
      <c r="AN13" s="1492"/>
    </row>
    <row r="14" spans="1:40" ht="13.5" customHeight="1">
      <c r="B14" s="161"/>
      <c r="C14" s="162"/>
      <c r="D14" s="162" t="s">
        <v>2728</v>
      </c>
      <c r="E14" s="162"/>
      <c r="F14" s="162"/>
      <c r="G14" s="163"/>
      <c r="H14" s="163"/>
      <c r="I14" s="2452"/>
      <c r="J14" s="2452"/>
      <c r="K14" s="2452"/>
      <c r="L14" s="2452"/>
      <c r="M14" s="2452"/>
      <c r="N14" s="2452"/>
      <c r="O14" s="2452"/>
      <c r="P14" s="2452"/>
      <c r="Q14" s="2452"/>
      <c r="R14" s="2452"/>
      <c r="S14" s="2452"/>
      <c r="T14" s="2452"/>
      <c r="U14" s="2452"/>
      <c r="V14" s="2452"/>
      <c r="W14" s="163"/>
      <c r="X14" s="164" t="s">
        <v>2233</v>
      </c>
      <c r="Y14" s="143">
        <v>0</v>
      </c>
      <c r="Z14" s="141">
        <v>0</v>
      </c>
      <c r="AA14" s="141">
        <v>0</v>
      </c>
      <c r="AB14" s="141">
        <v>0</v>
      </c>
      <c r="AC14" s="141">
        <v>0</v>
      </c>
      <c r="AD14" s="141">
        <v>0</v>
      </c>
      <c r="AE14" s="141">
        <v>0</v>
      </c>
      <c r="AF14" s="144">
        <v>0</v>
      </c>
      <c r="AG14" s="143">
        <v>0</v>
      </c>
      <c r="AH14" s="141">
        <v>0</v>
      </c>
      <c r="AI14" s="141">
        <v>0</v>
      </c>
      <c r="AJ14" s="141">
        <v>0</v>
      </c>
      <c r="AK14" s="144">
        <v>0</v>
      </c>
      <c r="AL14" s="660"/>
      <c r="AM14" s="1496"/>
      <c r="AN14" s="1492"/>
    </row>
    <row r="15" spans="1:40" ht="14.25">
      <c r="B15" s="161"/>
      <c r="C15" s="162" t="s">
        <v>1710</v>
      </c>
      <c r="D15" s="162"/>
      <c r="E15" s="162"/>
      <c r="F15" s="162"/>
      <c r="G15" s="163"/>
      <c r="H15" s="163"/>
      <c r="I15" s="2452"/>
      <c r="J15" s="2452"/>
      <c r="K15" s="2452"/>
      <c r="L15" s="2452"/>
      <c r="M15" s="2452"/>
      <c r="N15" s="2452"/>
      <c r="O15" s="2452"/>
      <c r="P15" s="2452"/>
      <c r="Q15" s="2452"/>
      <c r="R15" s="2452"/>
      <c r="S15" s="2452"/>
      <c r="T15" s="2452"/>
      <c r="U15" s="2452"/>
      <c r="V15" s="2452"/>
      <c r="W15" s="163"/>
      <c r="X15" s="164" t="s">
        <v>2233</v>
      </c>
      <c r="Y15" s="641">
        <f t="shared" ref="Y15:AK15" si="0">SUM(Y12:Y14)</f>
        <v>0</v>
      </c>
      <c r="Z15" s="642">
        <f t="shared" si="0"/>
        <v>0</v>
      </c>
      <c r="AA15" s="642">
        <f t="shared" si="0"/>
        <v>0</v>
      </c>
      <c r="AB15" s="642">
        <f t="shared" si="0"/>
        <v>0</v>
      </c>
      <c r="AC15" s="642">
        <f t="shared" si="0"/>
        <v>0</v>
      </c>
      <c r="AD15" s="642">
        <f t="shared" si="0"/>
        <v>0</v>
      </c>
      <c r="AE15" s="642">
        <f t="shared" si="0"/>
        <v>0</v>
      </c>
      <c r="AF15" s="643">
        <f t="shared" si="0"/>
        <v>0</v>
      </c>
      <c r="AG15" s="641">
        <f t="shared" si="0"/>
        <v>0</v>
      </c>
      <c r="AH15" s="642">
        <f t="shared" si="0"/>
        <v>0</v>
      </c>
      <c r="AI15" s="642">
        <f t="shared" si="0"/>
        <v>0</v>
      </c>
      <c r="AJ15" s="642">
        <f t="shared" si="0"/>
        <v>0</v>
      </c>
      <c r="AK15" s="643">
        <f t="shared" si="0"/>
        <v>0</v>
      </c>
      <c r="AL15" s="660"/>
      <c r="AM15" s="664"/>
      <c r="AN15" s="659"/>
    </row>
    <row r="16" spans="1:40">
      <c r="B16" s="664"/>
      <c r="C16" s="662"/>
      <c r="D16" s="662"/>
      <c r="E16" s="662"/>
      <c r="F16" s="662"/>
      <c r="G16" s="660"/>
      <c r="H16" s="660"/>
      <c r="I16" s="2453"/>
      <c r="J16" s="2453"/>
      <c r="K16" s="2453"/>
      <c r="L16" s="2453"/>
      <c r="M16" s="2453"/>
      <c r="N16" s="2453"/>
      <c r="O16" s="2453"/>
      <c r="P16" s="2453"/>
      <c r="Q16" s="2453"/>
      <c r="R16" s="2453"/>
      <c r="S16" s="2453"/>
      <c r="T16" s="2453"/>
      <c r="U16" s="2453"/>
      <c r="V16" s="2453"/>
      <c r="W16" s="660"/>
      <c r="X16" s="660"/>
      <c r="Y16" s="664"/>
      <c r="Z16" s="660"/>
      <c r="AA16" s="660"/>
      <c r="AB16" s="660"/>
      <c r="AC16" s="660"/>
      <c r="AD16" s="660"/>
      <c r="AE16" s="660"/>
      <c r="AF16" s="659"/>
      <c r="AG16" s="664"/>
      <c r="AH16" s="660"/>
      <c r="AI16" s="660"/>
      <c r="AJ16" s="660"/>
      <c r="AK16" s="659"/>
      <c r="AL16" s="660"/>
      <c r="AM16" s="664"/>
      <c r="AN16" s="659"/>
    </row>
    <row r="17" spans="2:40" s="99" customFormat="1" ht="13.5" customHeight="1">
      <c r="B17" s="161"/>
      <c r="C17" s="116" t="s">
        <v>1684</v>
      </c>
      <c r="D17" s="116"/>
      <c r="E17" s="116"/>
      <c r="F17" s="116"/>
      <c r="G17" s="117"/>
      <c r="H17" s="117"/>
      <c r="I17" s="2451"/>
      <c r="J17" s="2451"/>
      <c r="K17" s="2451"/>
      <c r="L17" s="2451"/>
      <c r="M17" s="2451"/>
      <c r="N17" s="2451"/>
      <c r="O17" s="2451"/>
      <c r="P17" s="2451"/>
      <c r="Q17" s="2451"/>
      <c r="R17" s="2451"/>
      <c r="S17" s="2451"/>
      <c r="T17" s="2451"/>
      <c r="U17" s="2451"/>
      <c r="V17" s="2451"/>
      <c r="W17" s="117"/>
      <c r="X17" s="117"/>
      <c r="Y17" s="159"/>
      <c r="Z17" s="117"/>
      <c r="AA17" s="117"/>
      <c r="AB17" s="117"/>
      <c r="AC17" s="117"/>
      <c r="AD17" s="117"/>
      <c r="AE17" s="117"/>
      <c r="AF17" s="160"/>
      <c r="AG17" s="159"/>
      <c r="AH17" s="117"/>
      <c r="AI17" s="117"/>
      <c r="AJ17" s="117"/>
      <c r="AK17" s="160"/>
      <c r="AL17" s="1491"/>
      <c r="AM17" s="405"/>
      <c r="AN17" s="210"/>
    </row>
    <row r="18" spans="2:40" ht="14.25">
      <c r="B18" s="161"/>
      <c r="C18" s="162"/>
      <c r="D18" s="230" t="s">
        <v>2726</v>
      </c>
      <c r="E18" s="162"/>
      <c r="F18" s="162"/>
      <c r="G18" s="163"/>
      <c r="H18" s="163"/>
      <c r="I18" s="2452"/>
      <c r="J18" s="2452"/>
      <c r="K18" s="2452"/>
      <c r="L18" s="2452"/>
      <c r="M18" s="2452"/>
      <c r="N18" s="2452"/>
      <c r="O18" s="2452"/>
      <c r="P18" s="2452"/>
      <c r="Q18" s="2452"/>
      <c r="R18" s="2452"/>
      <c r="S18" s="2452"/>
      <c r="T18" s="2452"/>
      <c r="U18" s="2452"/>
      <c r="V18" s="2452"/>
      <c r="W18" s="163"/>
      <c r="X18" s="164" t="s">
        <v>2233</v>
      </c>
      <c r="Y18" s="143">
        <v>0</v>
      </c>
      <c r="Z18" s="141">
        <v>0</v>
      </c>
      <c r="AA18" s="141">
        <v>0</v>
      </c>
      <c r="AB18" s="141">
        <v>0</v>
      </c>
      <c r="AC18" s="141">
        <v>0</v>
      </c>
      <c r="AD18" s="141">
        <v>0</v>
      </c>
      <c r="AE18" s="141">
        <v>0</v>
      </c>
      <c r="AF18" s="144">
        <v>0</v>
      </c>
      <c r="AG18" s="143">
        <v>0</v>
      </c>
      <c r="AH18" s="141">
        <v>0</v>
      </c>
      <c r="AI18" s="141">
        <v>0</v>
      </c>
      <c r="AJ18" s="141">
        <v>0</v>
      </c>
      <c r="AK18" s="144">
        <v>0</v>
      </c>
      <c r="AL18" s="660"/>
      <c r="AM18" s="1496"/>
      <c r="AN18" s="1492"/>
    </row>
    <row r="19" spans="2:40" ht="14.25">
      <c r="B19" s="161"/>
      <c r="C19" s="162"/>
      <c r="D19" s="162" t="s">
        <v>2727</v>
      </c>
      <c r="E19" s="162"/>
      <c r="F19" s="162"/>
      <c r="G19" s="163"/>
      <c r="H19" s="163"/>
      <c r="I19" s="2452"/>
      <c r="J19" s="2452"/>
      <c r="K19" s="2452"/>
      <c r="L19" s="2452"/>
      <c r="M19" s="2452"/>
      <c r="N19" s="2452"/>
      <c r="O19" s="2452"/>
      <c r="P19" s="2452"/>
      <c r="Q19" s="2452"/>
      <c r="R19" s="2452"/>
      <c r="S19" s="2452"/>
      <c r="T19" s="2452"/>
      <c r="U19" s="2452"/>
      <c r="V19" s="2452"/>
      <c r="W19" s="163"/>
      <c r="X19" s="164" t="s">
        <v>2233</v>
      </c>
      <c r="Y19" s="143">
        <v>0</v>
      </c>
      <c r="Z19" s="141">
        <v>0</v>
      </c>
      <c r="AA19" s="141">
        <v>0</v>
      </c>
      <c r="AB19" s="141">
        <v>0</v>
      </c>
      <c r="AC19" s="141">
        <v>0</v>
      </c>
      <c r="AD19" s="141">
        <v>0</v>
      </c>
      <c r="AE19" s="141">
        <v>0</v>
      </c>
      <c r="AF19" s="144">
        <v>0</v>
      </c>
      <c r="AG19" s="143">
        <v>0</v>
      </c>
      <c r="AH19" s="141">
        <v>0</v>
      </c>
      <c r="AI19" s="141">
        <v>0</v>
      </c>
      <c r="AJ19" s="141">
        <v>0</v>
      </c>
      <c r="AK19" s="144">
        <v>0</v>
      </c>
      <c r="AL19" s="660"/>
      <c r="AM19" s="1496"/>
      <c r="AN19" s="1492"/>
    </row>
    <row r="20" spans="2:40" ht="13.5" customHeight="1">
      <c r="B20" s="161"/>
      <c r="C20" s="162"/>
      <c r="D20" s="162" t="s">
        <v>2728</v>
      </c>
      <c r="E20" s="162"/>
      <c r="F20" s="162"/>
      <c r="G20" s="163"/>
      <c r="H20" s="163"/>
      <c r="I20" s="2452"/>
      <c r="J20" s="2452"/>
      <c r="K20" s="2452"/>
      <c r="L20" s="2452"/>
      <c r="M20" s="2452"/>
      <c r="N20" s="2452"/>
      <c r="O20" s="2452"/>
      <c r="P20" s="2452"/>
      <c r="Q20" s="2452"/>
      <c r="R20" s="2452"/>
      <c r="S20" s="2452"/>
      <c r="T20" s="2452"/>
      <c r="U20" s="2452"/>
      <c r="V20" s="2452"/>
      <c r="W20" s="163"/>
      <c r="X20" s="164" t="s">
        <v>2233</v>
      </c>
      <c r="Y20" s="143">
        <v>0</v>
      </c>
      <c r="Z20" s="141">
        <v>0</v>
      </c>
      <c r="AA20" s="141">
        <v>0</v>
      </c>
      <c r="AB20" s="141">
        <v>0</v>
      </c>
      <c r="AC20" s="141">
        <v>0</v>
      </c>
      <c r="AD20" s="141">
        <v>0</v>
      </c>
      <c r="AE20" s="141">
        <v>0</v>
      </c>
      <c r="AF20" s="144">
        <v>0</v>
      </c>
      <c r="AG20" s="143">
        <v>0</v>
      </c>
      <c r="AH20" s="141">
        <v>0</v>
      </c>
      <c r="AI20" s="141">
        <v>0</v>
      </c>
      <c r="AJ20" s="141">
        <v>0</v>
      </c>
      <c r="AK20" s="144">
        <v>0</v>
      </c>
      <c r="AL20" s="660"/>
      <c r="AM20" s="1496"/>
      <c r="AN20" s="1492"/>
    </row>
    <row r="21" spans="2:40" ht="14.25">
      <c r="B21" s="161"/>
      <c r="C21" s="162" t="s">
        <v>1710</v>
      </c>
      <c r="D21" s="162"/>
      <c r="E21" s="162"/>
      <c r="F21" s="162"/>
      <c r="G21" s="163"/>
      <c r="H21" s="163"/>
      <c r="I21" s="2452"/>
      <c r="J21" s="2452"/>
      <c r="K21" s="2452"/>
      <c r="L21" s="2452"/>
      <c r="M21" s="2452"/>
      <c r="N21" s="2452"/>
      <c r="O21" s="2452"/>
      <c r="P21" s="2452"/>
      <c r="Q21" s="2452"/>
      <c r="R21" s="2452"/>
      <c r="S21" s="2452"/>
      <c r="T21" s="2452"/>
      <c r="U21" s="2452"/>
      <c r="V21" s="2452"/>
      <c r="W21" s="163"/>
      <c r="X21" s="164" t="s">
        <v>2233</v>
      </c>
      <c r="Y21" s="641">
        <f t="shared" ref="Y21:AK21" si="1">SUM(Y18:Y20)</f>
        <v>0</v>
      </c>
      <c r="Z21" s="642">
        <f t="shared" si="1"/>
        <v>0</v>
      </c>
      <c r="AA21" s="642">
        <f t="shared" si="1"/>
        <v>0</v>
      </c>
      <c r="AB21" s="642">
        <f t="shared" si="1"/>
        <v>0</v>
      </c>
      <c r="AC21" s="642">
        <f t="shared" si="1"/>
        <v>0</v>
      </c>
      <c r="AD21" s="642">
        <f t="shared" si="1"/>
        <v>0</v>
      </c>
      <c r="AE21" s="642">
        <f t="shared" si="1"/>
        <v>0</v>
      </c>
      <c r="AF21" s="643">
        <f t="shared" si="1"/>
        <v>0</v>
      </c>
      <c r="AG21" s="641">
        <f t="shared" si="1"/>
        <v>0</v>
      </c>
      <c r="AH21" s="642">
        <f t="shared" si="1"/>
        <v>0</v>
      </c>
      <c r="AI21" s="642">
        <f t="shared" si="1"/>
        <v>0</v>
      </c>
      <c r="AJ21" s="642">
        <f t="shared" si="1"/>
        <v>0</v>
      </c>
      <c r="AK21" s="643">
        <f t="shared" si="1"/>
        <v>0</v>
      </c>
      <c r="AL21" s="660"/>
      <c r="AM21" s="664"/>
      <c r="AN21" s="659"/>
    </row>
    <row r="22" spans="2:40">
      <c r="B22" s="664"/>
      <c r="C22" s="662"/>
      <c r="D22" s="662"/>
      <c r="E22" s="662"/>
      <c r="F22" s="662"/>
      <c r="G22" s="660"/>
      <c r="H22" s="660"/>
      <c r="I22" s="2453"/>
      <c r="J22" s="2453"/>
      <c r="K22" s="2453"/>
      <c r="L22" s="2453"/>
      <c r="M22" s="2453"/>
      <c r="N22" s="2453"/>
      <c r="O22" s="2453"/>
      <c r="P22" s="2453"/>
      <c r="Q22" s="2453"/>
      <c r="R22" s="2453"/>
      <c r="S22" s="2453"/>
      <c r="T22" s="2453"/>
      <c r="U22" s="2453"/>
      <c r="V22" s="2453"/>
      <c r="W22" s="660"/>
      <c r="X22" s="660"/>
      <c r="Y22" s="664"/>
      <c r="Z22" s="660"/>
      <c r="AA22" s="660"/>
      <c r="AB22" s="660"/>
      <c r="AC22" s="660"/>
      <c r="AD22" s="660"/>
      <c r="AE22" s="660"/>
      <c r="AF22" s="659"/>
      <c r="AG22" s="664"/>
      <c r="AH22" s="660"/>
      <c r="AI22" s="660"/>
      <c r="AJ22" s="660"/>
      <c r="AK22" s="659"/>
      <c r="AL22" s="660"/>
      <c r="AM22" s="664"/>
      <c r="AN22" s="659"/>
    </row>
    <row r="23" spans="2:40" s="99" customFormat="1" ht="13.5" customHeight="1">
      <c r="B23" s="161"/>
      <c r="C23" s="116" t="s">
        <v>1685</v>
      </c>
      <c r="D23" s="116"/>
      <c r="E23" s="116"/>
      <c r="F23" s="116"/>
      <c r="G23" s="117"/>
      <c r="H23" s="117"/>
      <c r="I23" s="2451"/>
      <c r="J23" s="2451"/>
      <c r="K23" s="2451"/>
      <c r="L23" s="2451"/>
      <c r="M23" s="2451"/>
      <c r="N23" s="2451"/>
      <c r="O23" s="2451"/>
      <c r="P23" s="2451"/>
      <c r="Q23" s="2451"/>
      <c r="R23" s="2451"/>
      <c r="S23" s="2451"/>
      <c r="T23" s="2451"/>
      <c r="U23" s="2451"/>
      <c r="V23" s="2451"/>
      <c r="W23" s="117"/>
      <c r="X23" s="117"/>
      <c r="Y23" s="159"/>
      <c r="Z23" s="117"/>
      <c r="AA23" s="117"/>
      <c r="AB23" s="117"/>
      <c r="AC23" s="117"/>
      <c r="AD23" s="117"/>
      <c r="AE23" s="117"/>
      <c r="AF23" s="160"/>
      <c r="AG23" s="159"/>
      <c r="AH23" s="117"/>
      <c r="AI23" s="117"/>
      <c r="AJ23" s="117"/>
      <c r="AK23" s="160"/>
      <c r="AL23" s="1491"/>
      <c r="AM23" s="405"/>
      <c r="AN23" s="210"/>
    </row>
    <row r="24" spans="2:40" ht="14.25">
      <c r="B24" s="161"/>
      <c r="C24" s="162"/>
      <c r="D24" s="230" t="s">
        <v>2736</v>
      </c>
      <c r="E24" s="162"/>
      <c r="F24" s="162"/>
      <c r="G24" s="163"/>
      <c r="H24" s="163"/>
      <c r="I24" s="2452"/>
      <c r="J24" s="2452"/>
      <c r="K24" s="2452"/>
      <c r="L24" s="2452"/>
      <c r="M24" s="2452"/>
      <c r="N24" s="2452"/>
      <c r="O24" s="2452"/>
      <c r="P24" s="2452"/>
      <c r="Q24" s="2452"/>
      <c r="R24" s="2452"/>
      <c r="S24" s="2452"/>
      <c r="T24" s="2452"/>
      <c r="U24" s="2452"/>
      <c r="V24" s="2452"/>
      <c r="W24" s="163"/>
      <c r="X24" s="164" t="s">
        <v>2233</v>
      </c>
      <c r="Y24" s="143">
        <v>0</v>
      </c>
      <c r="Z24" s="141">
        <v>0</v>
      </c>
      <c r="AA24" s="141">
        <v>0</v>
      </c>
      <c r="AB24" s="141">
        <v>0</v>
      </c>
      <c r="AC24" s="141">
        <v>0</v>
      </c>
      <c r="AD24" s="141">
        <v>0</v>
      </c>
      <c r="AE24" s="141">
        <v>0</v>
      </c>
      <c r="AF24" s="144">
        <v>0</v>
      </c>
      <c r="AG24" s="143">
        <v>0</v>
      </c>
      <c r="AH24" s="141">
        <v>0</v>
      </c>
      <c r="AI24" s="141">
        <v>0</v>
      </c>
      <c r="AJ24" s="141">
        <v>0</v>
      </c>
      <c r="AK24" s="144">
        <v>0</v>
      </c>
      <c r="AL24" s="660"/>
      <c r="AM24" s="1496"/>
      <c r="AN24" s="1492"/>
    </row>
    <row r="25" spans="2:40" ht="14.25">
      <c r="B25" s="161"/>
      <c r="C25" s="162"/>
      <c r="D25" s="162" t="s">
        <v>2737</v>
      </c>
      <c r="E25" s="162"/>
      <c r="F25" s="162"/>
      <c r="G25" s="163"/>
      <c r="H25" s="163"/>
      <c r="I25" s="2452"/>
      <c r="J25" s="2452"/>
      <c r="K25" s="2452"/>
      <c r="L25" s="2452"/>
      <c r="M25" s="2452"/>
      <c r="N25" s="2452"/>
      <c r="O25" s="2452"/>
      <c r="P25" s="2452"/>
      <c r="Q25" s="2452"/>
      <c r="R25" s="2452"/>
      <c r="S25" s="2452"/>
      <c r="T25" s="2452"/>
      <c r="U25" s="2452"/>
      <c r="V25" s="2452"/>
      <c r="W25" s="163"/>
      <c r="X25" s="164" t="s">
        <v>2233</v>
      </c>
      <c r="Y25" s="143">
        <v>0</v>
      </c>
      <c r="Z25" s="141">
        <v>0</v>
      </c>
      <c r="AA25" s="141">
        <v>0</v>
      </c>
      <c r="AB25" s="141">
        <v>0</v>
      </c>
      <c r="AC25" s="141">
        <v>0</v>
      </c>
      <c r="AD25" s="141">
        <v>0</v>
      </c>
      <c r="AE25" s="141">
        <v>0</v>
      </c>
      <c r="AF25" s="144">
        <v>0</v>
      </c>
      <c r="AG25" s="143">
        <v>0</v>
      </c>
      <c r="AH25" s="141">
        <v>0</v>
      </c>
      <c r="AI25" s="141">
        <v>0</v>
      </c>
      <c r="AJ25" s="141">
        <v>0</v>
      </c>
      <c r="AK25" s="144">
        <v>0</v>
      </c>
      <c r="AL25" s="660"/>
      <c r="AM25" s="1496"/>
      <c r="AN25" s="1492"/>
    </row>
    <row r="26" spans="2:40" ht="14.25">
      <c r="B26" s="161"/>
      <c r="C26" s="162" t="s">
        <v>1710</v>
      </c>
      <c r="D26" s="162"/>
      <c r="E26" s="162"/>
      <c r="F26" s="162"/>
      <c r="G26" s="163"/>
      <c r="H26" s="163"/>
      <c r="I26" s="2452"/>
      <c r="J26" s="2452"/>
      <c r="K26" s="2452"/>
      <c r="L26" s="2452"/>
      <c r="M26" s="2452"/>
      <c r="N26" s="2452"/>
      <c r="O26" s="2452"/>
      <c r="P26" s="2452"/>
      <c r="Q26" s="2452"/>
      <c r="R26" s="2452"/>
      <c r="S26" s="2452"/>
      <c r="T26" s="2452"/>
      <c r="U26" s="2452"/>
      <c r="V26" s="2452"/>
      <c r="W26" s="163"/>
      <c r="X26" s="164" t="s">
        <v>2233</v>
      </c>
      <c r="Y26" s="641">
        <f t="shared" ref="Y26:AK26" si="2">SUM(Y24:Y25)</f>
        <v>0</v>
      </c>
      <c r="Z26" s="642">
        <f t="shared" si="2"/>
        <v>0</v>
      </c>
      <c r="AA26" s="642">
        <f t="shared" si="2"/>
        <v>0</v>
      </c>
      <c r="AB26" s="642">
        <f t="shared" si="2"/>
        <v>0</v>
      </c>
      <c r="AC26" s="642">
        <f t="shared" si="2"/>
        <v>0</v>
      </c>
      <c r="AD26" s="642">
        <f t="shared" si="2"/>
        <v>0</v>
      </c>
      <c r="AE26" s="642">
        <f t="shared" si="2"/>
        <v>0</v>
      </c>
      <c r="AF26" s="643">
        <f t="shared" si="2"/>
        <v>0</v>
      </c>
      <c r="AG26" s="641">
        <f t="shared" si="2"/>
        <v>0</v>
      </c>
      <c r="AH26" s="642">
        <f t="shared" si="2"/>
        <v>0</v>
      </c>
      <c r="AI26" s="642">
        <f t="shared" si="2"/>
        <v>0</v>
      </c>
      <c r="AJ26" s="642">
        <f t="shared" si="2"/>
        <v>0</v>
      </c>
      <c r="AK26" s="643">
        <f t="shared" si="2"/>
        <v>0</v>
      </c>
      <c r="AL26" s="660"/>
      <c r="AM26" s="664"/>
      <c r="AN26" s="659"/>
    </row>
    <row r="27" spans="2:40">
      <c r="B27" s="664"/>
      <c r="C27" s="662"/>
      <c r="D27" s="662"/>
      <c r="E27" s="662"/>
      <c r="F27" s="662"/>
      <c r="G27" s="660"/>
      <c r="H27" s="660"/>
      <c r="I27" s="2453"/>
      <c r="J27" s="2453"/>
      <c r="K27" s="2453"/>
      <c r="L27" s="2453"/>
      <c r="M27" s="2453"/>
      <c r="N27" s="2453"/>
      <c r="O27" s="2453"/>
      <c r="P27" s="2453"/>
      <c r="Q27" s="2453"/>
      <c r="R27" s="2453"/>
      <c r="S27" s="2453"/>
      <c r="T27" s="2453"/>
      <c r="U27" s="2453"/>
      <c r="V27" s="2453"/>
      <c r="W27" s="660"/>
      <c r="X27" s="660"/>
      <c r="Y27" s="664"/>
      <c r="Z27" s="660"/>
      <c r="AA27" s="660"/>
      <c r="AB27" s="660"/>
      <c r="AC27" s="660"/>
      <c r="AD27" s="660"/>
      <c r="AE27" s="660"/>
      <c r="AF27" s="659"/>
      <c r="AG27" s="664"/>
      <c r="AH27" s="660"/>
      <c r="AI27" s="660"/>
      <c r="AJ27" s="660"/>
      <c r="AK27" s="659"/>
      <c r="AL27" s="660"/>
      <c r="AM27" s="664"/>
      <c r="AN27" s="659"/>
    </row>
    <row r="28" spans="2:40" s="99" customFormat="1" ht="13.5" customHeight="1">
      <c r="B28" s="161"/>
      <c r="C28" s="116" t="s">
        <v>2774</v>
      </c>
      <c r="D28" s="116"/>
      <c r="E28" s="116"/>
      <c r="F28" s="116"/>
      <c r="G28" s="117"/>
      <c r="H28" s="117"/>
      <c r="I28" s="2451"/>
      <c r="J28" s="2451"/>
      <c r="K28" s="2451"/>
      <c r="L28" s="2451"/>
      <c r="M28" s="2451"/>
      <c r="N28" s="2451"/>
      <c r="O28" s="2451"/>
      <c r="P28" s="2451"/>
      <c r="Q28" s="2451"/>
      <c r="R28" s="2451"/>
      <c r="S28" s="2451"/>
      <c r="T28" s="2451"/>
      <c r="U28" s="2451"/>
      <c r="V28" s="2451"/>
      <c r="W28" s="117"/>
      <c r="X28" s="117"/>
      <c r="Y28" s="159"/>
      <c r="Z28" s="117"/>
      <c r="AA28" s="117"/>
      <c r="AB28" s="117"/>
      <c r="AC28" s="117"/>
      <c r="AD28" s="117"/>
      <c r="AE28" s="117"/>
      <c r="AF28" s="160"/>
      <c r="AG28" s="159"/>
      <c r="AH28" s="117"/>
      <c r="AI28" s="117"/>
      <c r="AJ28" s="117"/>
      <c r="AK28" s="160"/>
      <c r="AL28" s="1491"/>
      <c r="AM28" s="405"/>
      <c r="AN28" s="210"/>
    </row>
    <row r="29" spans="2:40" ht="14.25">
      <c r="B29" s="161"/>
      <c r="C29" s="162"/>
      <c r="D29" s="230" t="s">
        <v>2726</v>
      </c>
      <c r="E29" s="162"/>
      <c r="F29" s="162"/>
      <c r="G29" s="163"/>
      <c r="H29" s="163"/>
      <c r="I29" s="2452"/>
      <c r="J29" s="2452"/>
      <c r="K29" s="2452"/>
      <c r="L29" s="2452"/>
      <c r="M29" s="2452"/>
      <c r="N29" s="2452"/>
      <c r="O29" s="2452"/>
      <c r="P29" s="2452"/>
      <c r="Q29" s="2452"/>
      <c r="R29" s="2452"/>
      <c r="S29" s="2452"/>
      <c r="T29" s="2452"/>
      <c r="U29" s="2452"/>
      <c r="V29" s="2452"/>
      <c r="W29" s="163"/>
      <c r="X29" s="164" t="s">
        <v>2233</v>
      </c>
      <c r="Y29" s="143">
        <v>0</v>
      </c>
      <c r="Z29" s="141">
        <v>0</v>
      </c>
      <c r="AA29" s="141">
        <v>0</v>
      </c>
      <c r="AB29" s="141">
        <v>0</v>
      </c>
      <c r="AC29" s="141">
        <v>0</v>
      </c>
      <c r="AD29" s="141">
        <v>0</v>
      </c>
      <c r="AE29" s="141">
        <v>0</v>
      </c>
      <c r="AF29" s="144">
        <v>0</v>
      </c>
      <c r="AG29" s="143">
        <v>0</v>
      </c>
      <c r="AH29" s="141">
        <v>0</v>
      </c>
      <c r="AI29" s="141">
        <v>0</v>
      </c>
      <c r="AJ29" s="141">
        <v>0</v>
      </c>
      <c r="AK29" s="144">
        <v>0</v>
      </c>
      <c r="AL29" s="660"/>
      <c r="AM29" s="1496"/>
      <c r="AN29" s="1492"/>
    </row>
    <row r="30" spans="2:40" ht="14.25">
      <c r="B30" s="161"/>
      <c r="C30" s="162"/>
      <c r="D30" s="162" t="s">
        <v>2727</v>
      </c>
      <c r="E30" s="162"/>
      <c r="F30" s="162"/>
      <c r="G30" s="163"/>
      <c r="H30" s="163"/>
      <c r="I30" s="2452"/>
      <c r="J30" s="2452"/>
      <c r="K30" s="2452"/>
      <c r="L30" s="2452"/>
      <c r="M30" s="2452"/>
      <c r="N30" s="2452"/>
      <c r="O30" s="2452"/>
      <c r="P30" s="2452"/>
      <c r="Q30" s="2452"/>
      <c r="R30" s="2452"/>
      <c r="S30" s="2452"/>
      <c r="T30" s="2452"/>
      <c r="U30" s="2452"/>
      <c r="V30" s="2452"/>
      <c r="W30" s="163"/>
      <c r="X30" s="164" t="s">
        <v>2233</v>
      </c>
      <c r="Y30" s="143">
        <v>0</v>
      </c>
      <c r="Z30" s="141">
        <v>0</v>
      </c>
      <c r="AA30" s="141">
        <v>0</v>
      </c>
      <c r="AB30" s="141">
        <v>0</v>
      </c>
      <c r="AC30" s="141">
        <v>0</v>
      </c>
      <c r="AD30" s="141">
        <v>0</v>
      </c>
      <c r="AE30" s="141">
        <v>0</v>
      </c>
      <c r="AF30" s="144">
        <v>0</v>
      </c>
      <c r="AG30" s="143">
        <v>0</v>
      </c>
      <c r="AH30" s="141">
        <v>0</v>
      </c>
      <c r="AI30" s="141">
        <v>0</v>
      </c>
      <c r="AJ30" s="141">
        <v>0</v>
      </c>
      <c r="AK30" s="144">
        <v>0</v>
      </c>
      <c r="AL30" s="660"/>
      <c r="AM30" s="1496"/>
      <c r="AN30" s="1492"/>
    </row>
    <row r="31" spans="2:40" ht="14.25">
      <c r="B31" s="161"/>
      <c r="C31" s="162"/>
      <c r="D31" s="162" t="s">
        <v>2728</v>
      </c>
      <c r="E31" s="162"/>
      <c r="F31" s="162"/>
      <c r="G31" s="163"/>
      <c r="H31" s="163"/>
      <c r="I31" s="2452"/>
      <c r="J31" s="2452"/>
      <c r="K31" s="2452"/>
      <c r="L31" s="2452"/>
      <c r="M31" s="2452"/>
      <c r="N31" s="2452"/>
      <c r="O31" s="2452"/>
      <c r="P31" s="2452"/>
      <c r="Q31" s="2452"/>
      <c r="R31" s="2452"/>
      <c r="S31" s="2452"/>
      <c r="T31" s="2452"/>
      <c r="U31" s="2452"/>
      <c r="V31" s="2452"/>
      <c r="W31" s="163"/>
      <c r="X31" s="164" t="s">
        <v>2233</v>
      </c>
      <c r="Y31" s="143">
        <v>0</v>
      </c>
      <c r="Z31" s="141">
        <v>0</v>
      </c>
      <c r="AA31" s="141">
        <v>0</v>
      </c>
      <c r="AB31" s="141">
        <v>0</v>
      </c>
      <c r="AC31" s="141">
        <v>0</v>
      </c>
      <c r="AD31" s="141">
        <v>0</v>
      </c>
      <c r="AE31" s="141">
        <v>0</v>
      </c>
      <c r="AF31" s="144">
        <v>0</v>
      </c>
      <c r="AG31" s="143">
        <v>0</v>
      </c>
      <c r="AH31" s="141">
        <v>0</v>
      </c>
      <c r="AI31" s="141">
        <v>0</v>
      </c>
      <c r="AJ31" s="141">
        <v>0</v>
      </c>
      <c r="AK31" s="144">
        <v>0</v>
      </c>
      <c r="AL31" s="660"/>
      <c r="AM31" s="1496"/>
      <c r="AN31" s="1492"/>
    </row>
    <row r="32" spans="2:40" ht="14.25">
      <c r="B32" s="161"/>
      <c r="C32" s="162"/>
      <c r="D32" s="162" t="s">
        <v>2736</v>
      </c>
      <c r="E32" s="162"/>
      <c r="F32" s="162"/>
      <c r="G32" s="163"/>
      <c r="H32" s="163"/>
      <c r="I32" s="2452"/>
      <c r="J32" s="2452"/>
      <c r="K32" s="2452"/>
      <c r="L32" s="2452"/>
      <c r="M32" s="2452"/>
      <c r="N32" s="2452"/>
      <c r="O32" s="2452"/>
      <c r="P32" s="2452"/>
      <c r="Q32" s="2452"/>
      <c r="R32" s="2452"/>
      <c r="S32" s="2452"/>
      <c r="T32" s="2452"/>
      <c r="U32" s="2452"/>
      <c r="V32" s="2452"/>
      <c r="W32" s="163"/>
      <c r="X32" s="164" t="s">
        <v>2233</v>
      </c>
      <c r="Y32" s="143">
        <v>0</v>
      </c>
      <c r="Z32" s="141">
        <v>0</v>
      </c>
      <c r="AA32" s="141">
        <v>0</v>
      </c>
      <c r="AB32" s="141">
        <v>0</v>
      </c>
      <c r="AC32" s="141">
        <v>0</v>
      </c>
      <c r="AD32" s="141">
        <v>0</v>
      </c>
      <c r="AE32" s="141">
        <v>0</v>
      </c>
      <c r="AF32" s="144">
        <v>0</v>
      </c>
      <c r="AG32" s="143">
        <v>0</v>
      </c>
      <c r="AH32" s="141">
        <v>0</v>
      </c>
      <c r="AI32" s="141">
        <v>0</v>
      </c>
      <c r="AJ32" s="141">
        <v>0</v>
      </c>
      <c r="AK32" s="144">
        <v>0</v>
      </c>
      <c r="AL32" s="660"/>
      <c r="AM32" s="1496"/>
      <c r="AN32" s="1492"/>
    </row>
    <row r="33" spans="1:40" ht="14.25">
      <c r="B33" s="161"/>
      <c r="C33" s="162"/>
      <c r="D33" s="162" t="s">
        <v>2737</v>
      </c>
      <c r="E33" s="162"/>
      <c r="F33" s="162"/>
      <c r="G33" s="163"/>
      <c r="H33" s="163"/>
      <c r="I33" s="2452"/>
      <c r="J33" s="2452"/>
      <c r="K33" s="2452"/>
      <c r="L33" s="2452"/>
      <c r="M33" s="2452"/>
      <c r="N33" s="2452"/>
      <c r="O33" s="2452"/>
      <c r="P33" s="2452"/>
      <c r="Q33" s="2452"/>
      <c r="R33" s="2452"/>
      <c r="S33" s="2452"/>
      <c r="T33" s="2452"/>
      <c r="U33" s="2452"/>
      <c r="V33" s="2452"/>
      <c r="W33" s="163"/>
      <c r="X33" s="164" t="s">
        <v>2233</v>
      </c>
      <c r="Y33" s="143">
        <v>0</v>
      </c>
      <c r="Z33" s="141">
        <v>0</v>
      </c>
      <c r="AA33" s="141">
        <v>0</v>
      </c>
      <c r="AB33" s="141">
        <v>0</v>
      </c>
      <c r="AC33" s="141">
        <v>0</v>
      </c>
      <c r="AD33" s="141">
        <v>0</v>
      </c>
      <c r="AE33" s="141">
        <v>0</v>
      </c>
      <c r="AF33" s="144">
        <v>0</v>
      </c>
      <c r="AG33" s="143">
        <v>0</v>
      </c>
      <c r="AH33" s="141">
        <v>0</v>
      </c>
      <c r="AI33" s="141">
        <v>0</v>
      </c>
      <c r="AJ33" s="141">
        <v>0</v>
      </c>
      <c r="AK33" s="144">
        <v>0</v>
      </c>
      <c r="AL33" s="660"/>
      <c r="AM33" s="1496"/>
      <c r="AN33" s="1492"/>
    </row>
    <row r="34" spans="1:40" ht="14.25">
      <c r="B34" s="161"/>
      <c r="C34" s="162" t="s">
        <v>1710</v>
      </c>
      <c r="D34" s="162"/>
      <c r="E34" s="162"/>
      <c r="F34" s="162"/>
      <c r="G34" s="163"/>
      <c r="H34" s="163"/>
      <c r="I34" s="2452"/>
      <c r="J34" s="2452"/>
      <c r="K34" s="2452"/>
      <c r="L34" s="2452"/>
      <c r="M34" s="2452"/>
      <c r="N34" s="2452"/>
      <c r="O34" s="2452"/>
      <c r="P34" s="2452"/>
      <c r="Q34" s="2452"/>
      <c r="R34" s="2452"/>
      <c r="S34" s="2452"/>
      <c r="T34" s="2452"/>
      <c r="U34" s="2452"/>
      <c r="V34" s="2452"/>
      <c r="W34" s="163"/>
      <c r="X34" s="164" t="s">
        <v>2233</v>
      </c>
      <c r="Y34" s="641">
        <f t="shared" ref="Y34:AK34" si="3">SUM(Y29:Y33)</f>
        <v>0</v>
      </c>
      <c r="Z34" s="642">
        <f t="shared" si="3"/>
        <v>0</v>
      </c>
      <c r="AA34" s="642">
        <f t="shared" si="3"/>
        <v>0</v>
      </c>
      <c r="AB34" s="642">
        <f t="shared" si="3"/>
        <v>0</v>
      </c>
      <c r="AC34" s="642">
        <f t="shared" si="3"/>
        <v>0</v>
      </c>
      <c r="AD34" s="642">
        <f t="shared" si="3"/>
        <v>0</v>
      </c>
      <c r="AE34" s="642">
        <f t="shared" si="3"/>
        <v>0</v>
      </c>
      <c r="AF34" s="643">
        <f t="shared" si="3"/>
        <v>0</v>
      </c>
      <c r="AG34" s="641">
        <f t="shared" si="3"/>
        <v>0</v>
      </c>
      <c r="AH34" s="642">
        <f t="shared" si="3"/>
        <v>0</v>
      </c>
      <c r="AI34" s="642">
        <f t="shared" si="3"/>
        <v>0</v>
      </c>
      <c r="AJ34" s="642">
        <f t="shared" si="3"/>
        <v>0</v>
      </c>
      <c r="AK34" s="643">
        <f t="shared" si="3"/>
        <v>0</v>
      </c>
      <c r="AL34" s="660"/>
      <c r="AM34" s="664"/>
      <c r="AN34" s="659"/>
    </row>
    <row r="35" spans="1:40">
      <c r="B35" s="664"/>
      <c r="C35" s="662"/>
      <c r="D35" s="662"/>
      <c r="E35" s="662"/>
      <c r="F35" s="662"/>
      <c r="G35" s="660"/>
      <c r="H35" s="660"/>
      <c r="I35" s="2453"/>
      <c r="J35" s="2453"/>
      <c r="K35" s="2453"/>
      <c r="L35" s="2453"/>
      <c r="M35" s="2453"/>
      <c r="N35" s="2453"/>
      <c r="O35" s="2453"/>
      <c r="P35" s="2453"/>
      <c r="Q35" s="2453"/>
      <c r="R35" s="2453"/>
      <c r="S35" s="2453"/>
      <c r="T35" s="2453"/>
      <c r="U35" s="2453"/>
      <c r="V35" s="2453"/>
      <c r="W35" s="660"/>
      <c r="X35" s="660"/>
      <c r="Y35" s="664"/>
      <c r="Z35" s="660"/>
      <c r="AA35" s="660"/>
      <c r="AB35" s="660"/>
      <c r="AC35" s="660"/>
      <c r="AD35" s="660"/>
      <c r="AE35" s="660"/>
      <c r="AF35" s="659"/>
      <c r="AG35" s="664"/>
      <c r="AH35" s="660"/>
      <c r="AI35" s="660"/>
      <c r="AJ35" s="660"/>
      <c r="AK35" s="659"/>
      <c r="AL35" s="660"/>
      <c r="AM35" s="664"/>
      <c r="AN35" s="659"/>
    </row>
    <row r="36" spans="1:40" s="99" customFormat="1" ht="13.5" customHeight="1">
      <c r="B36" s="161"/>
      <c r="C36" s="116" t="s">
        <v>2834</v>
      </c>
      <c r="D36" s="116"/>
      <c r="E36" s="116"/>
      <c r="F36" s="116"/>
      <c r="G36" s="117"/>
      <c r="H36" s="117"/>
      <c r="I36" s="2451"/>
      <c r="J36" s="2451"/>
      <c r="K36" s="2451"/>
      <c r="L36" s="2451"/>
      <c r="M36" s="2451"/>
      <c r="N36" s="2451"/>
      <c r="O36" s="2451"/>
      <c r="P36" s="2451"/>
      <c r="Q36" s="2451"/>
      <c r="R36" s="2451"/>
      <c r="S36" s="2451"/>
      <c r="T36" s="2451"/>
      <c r="U36" s="2451"/>
      <c r="V36" s="2451"/>
      <c r="W36" s="117"/>
      <c r="X36" s="117"/>
      <c r="Y36" s="159"/>
      <c r="Z36" s="117"/>
      <c r="AA36" s="117"/>
      <c r="AB36" s="117"/>
      <c r="AC36" s="117"/>
      <c r="AD36" s="117"/>
      <c r="AE36" s="117"/>
      <c r="AF36" s="160"/>
      <c r="AG36" s="159"/>
      <c r="AH36" s="117"/>
      <c r="AI36" s="117"/>
      <c r="AJ36" s="117"/>
      <c r="AK36" s="160"/>
      <c r="AL36" s="1491"/>
      <c r="AM36" s="405"/>
      <c r="AN36" s="210"/>
    </row>
    <row r="37" spans="1:40" ht="14.25">
      <c r="B37" s="161"/>
      <c r="C37" s="162"/>
      <c r="D37" s="230" t="s">
        <v>2726</v>
      </c>
      <c r="E37" s="162"/>
      <c r="F37" s="162"/>
      <c r="G37" s="163"/>
      <c r="H37" s="163"/>
      <c r="I37" s="2452"/>
      <c r="J37" s="2452"/>
      <c r="K37" s="2452"/>
      <c r="L37" s="2452"/>
      <c r="M37" s="2452"/>
      <c r="N37" s="2452"/>
      <c r="O37" s="2452"/>
      <c r="P37" s="2452"/>
      <c r="Q37" s="2452"/>
      <c r="R37" s="2452"/>
      <c r="S37" s="2452"/>
      <c r="T37" s="2452"/>
      <c r="U37" s="2452"/>
      <c r="V37" s="2452"/>
      <c r="W37" s="163"/>
      <c r="X37" s="164" t="s">
        <v>2233</v>
      </c>
      <c r="Y37" s="143">
        <v>0</v>
      </c>
      <c r="Z37" s="141">
        <v>0</v>
      </c>
      <c r="AA37" s="141">
        <v>0</v>
      </c>
      <c r="AB37" s="141">
        <v>0</v>
      </c>
      <c r="AC37" s="141">
        <v>0</v>
      </c>
      <c r="AD37" s="141">
        <v>0</v>
      </c>
      <c r="AE37" s="141">
        <v>0</v>
      </c>
      <c r="AF37" s="144">
        <v>0</v>
      </c>
      <c r="AG37" s="143">
        <v>0</v>
      </c>
      <c r="AH37" s="141">
        <v>0</v>
      </c>
      <c r="AI37" s="141">
        <v>0</v>
      </c>
      <c r="AJ37" s="141">
        <v>0</v>
      </c>
      <c r="AK37" s="144">
        <v>0</v>
      </c>
      <c r="AL37" s="660"/>
      <c r="AM37" s="1496"/>
      <c r="AN37" s="1492"/>
    </row>
    <row r="38" spans="1:40" ht="14.25">
      <c r="B38" s="161"/>
      <c r="C38" s="162"/>
      <c r="D38" s="162" t="s">
        <v>2727</v>
      </c>
      <c r="E38" s="162"/>
      <c r="F38" s="162"/>
      <c r="G38" s="163"/>
      <c r="H38" s="163"/>
      <c r="I38" s="2452"/>
      <c r="J38" s="2452"/>
      <c r="K38" s="2452"/>
      <c r="L38" s="2452"/>
      <c r="M38" s="2452"/>
      <c r="N38" s="2452"/>
      <c r="O38" s="2452"/>
      <c r="P38" s="2452"/>
      <c r="Q38" s="2452"/>
      <c r="R38" s="2452"/>
      <c r="S38" s="2452"/>
      <c r="T38" s="2452"/>
      <c r="U38" s="2452"/>
      <c r="V38" s="2452"/>
      <c r="W38" s="163"/>
      <c r="X38" s="164" t="s">
        <v>2233</v>
      </c>
      <c r="Y38" s="143">
        <v>0</v>
      </c>
      <c r="Z38" s="141">
        <v>0</v>
      </c>
      <c r="AA38" s="141">
        <v>0</v>
      </c>
      <c r="AB38" s="141">
        <v>0</v>
      </c>
      <c r="AC38" s="141">
        <v>0</v>
      </c>
      <c r="AD38" s="141">
        <v>0</v>
      </c>
      <c r="AE38" s="141">
        <v>0</v>
      </c>
      <c r="AF38" s="144">
        <v>0</v>
      </c>
      <c r="AG38" s="143">
        <v>0</v>
      </c>
      <c r="AH38" s="141">
        <v>0</v>
      </c>
      <c r="AI38" s="141">
        <v>0</v>
      </c>
      <c r="AJ38" s="141">
        <v>0</v>
      </c>
      <c r="AK38" s="144">
        <v>0</v>
      </c>
      <c r="AL38" s="660"/>
      <c r="AM38" s="1496"/>
      <c r="AN38" s="1492"/>
    </row>
    <row r="39" spans="1:40" ht="14.25">
      <c r="B39" s="161"/>
      <c r="C39" s="162"/>
      <c r="D39" s="162" t="s">
        <v>2728</v>
      </c>
      <c r="E39" s="162"/>
      <c r="F39" s="162"/>
      <c r="G39" s="163"/>
      <c r="H39" s="163"/>
      <c r="I39" s="2452"/>
      <c r="J39" s="2452"/>
      <c r="K39" s="2452"/>
      <c r="L39" s="2452"/>
      <c r="M39" s="2452"/>
      <c r="N39" s="2452"/>
      <c r="O39" s="2452"/>
      <c r="P39" s="2452"/>
      <c r="Q39" s="2452"/>
      <c r="R39" s="2452"/>
      <c r="S39" s="2452"/>
      <c r="T39" s="2452"/>
      <c r="U39" s="2452"/>
      <c r="V39" s="2452"/>
      <c r="W39" s="163"/>
      <c r="X39" s="164" t="s">
        <v>2233</v>
      </c>
      <c r="Y39" s="143">
        <v>0</v>
      </c>
      <c r="Z39" s="141">
        <v>0</v>
      </c>
      <c r="AA39" s="141">
        <v>0</v>
      </c>
      <c r="AB39" s="141">
        <v>0</v>
      </c>
      <c r="AC39" s="141">
        <v>0</v>
      </c>
      <c r="AD39" s="141">
        <v>0</v>
      </c>
      <c r="AE39" s="141">
        <v>0</v>
      </c>
      <c r="AF39" s="144">
        <v>0</v>
      </c>
      <c r="AG39" s="143">
        <v>0</v>
      </c>
      <c r="AH39" s="141">
        <v>0</v>
      </c>
      <c r="AI39" s="141">
        <v>0</v>
      </c>
      <c r="AJ39" s="141">
        <v>0</v>
      </c>
      <c r="AK39" s="144">
        <v>0</v>
      </c>
      <c r="AL39" s="660"/>
      <c r="AM39" s="1496"/>
      <c r="AN39" s="1492"/>
    </row>
    <row r="40" spans="1:40" ht="14.25">
      <c r="B40" s="161"/>
      <c r="C40" s="162"/>
      <c r="D40" s="162" t="s">
        <v>2736</v>
      </c>
      <c r="E40" s="162"/>
      <c r="F40" s="162"/>
      <c r="G40" s="163"/>
      <c r="H40" s="163"/>
      <c r="I40" s="2452"/>
      <c r="J40" s="2452"/>
      <c r="K40" s="2452"/>
      <c r="L40" s="2452"/>
      <c r="M40" s="2452"/>
      <c r="N40" s="2452"/>
      <c r="O40" s="2452"/>
      <c r="P40" s="2452"/>
      <c r="Q40" s="2452"/>
      <c r="R40" s="2452"/>
      <c r="S40" s="2452"/>
      <c r="T40" s="2452"/>
      <c r="U40" s="2452"/>
      <c r="V40" s="2452"/>
      <c r="W40" s="163"/>
      <c r="X40" s="164" t="s">
        <v>2233</v>
      </c>
      <c r="Y40" s="143">
        <v>0</v>
      </c>
      <c r="Z40" s="141">
        <v>0</v>
      </c>
      <c r="AA40" s="141">
        <v>0</v>
      </c>
      <c r="AB40" s="141">
        <v>0</v>
      </c>
      <c r="AC40" s="141">
        <v>0</v>
      </c>
      <c r="AD40" s="141">
        <v>0</v>
      </c>
      <c r="AE40" s="141">
        <v>0</v>
      </c>
      <c r="AF40" s="144">
        <v>0</v>
      </c>
      <c r="AG40" s="143">
        <v>0</v>
      </c>
      <c r="AH40" s="141">
        <v>0</v>
      </c>
      <c r="AI40" s="141">
        <v>0</v>
      </c>
      <c r="AJ40" s="141">
        <v>0</v>
      </c>
      <c r="AK40" s="144">
        <v>0</v>
      </c>
      <c r="AL40" s="660"/>
      <c r="AM40" s="1496"/>
      <c r="AN40" s="1492"/>
    </row>
    <row r="41" spans="1:40" ht="14.25">
      <c r="B41" s="161"/>
      <c r="C41" s="162"/>
      <c r="D41" s="162" t="s">
        <v>2737</v>
      </c>
      <c r="E41" s="162"/>
      <c r="F41" s="162"/>
      <c r="G41" s="163"/>
      <c r="H41" s="163"/>
      <c r="I41" s="2452"/>
      <c r="J41" s="2452"/>
      <c r="K41" s="2452"/>
      <c r="L41" s="2452"/>
      <c r="M41" s="2452"/>
      <c r="N41" s="2452"/>
      <c r="O41" s="2452"/>
      <c r="P41" s="2452"/>
      <c r="Q41" s="2452"/>
      <c r="R41" s="2452"/>
      <c r="S41" s="2452"/>
      <c r="T41" s="2452"/>
      <c r="U41" s="2452"/>
      <c r="V41" s="2452"/>
      <c r="W41" s="163"/>
      <c r="X41" s="164" t="s">
        <v>2233</v>
      </c>
      <c r="Y41" s="143">
        <v>0</v>
      </c>
      <c r="Z41" s="141">
        <v>0</v>
      </c>
      <c r="AA41" s="141">
        <v>0</v>
      </c>
      <c r="AB41" s="141">
        <v>0</v>
      </c>
      <c r="AC41" s="141">
        <v>0</v>
      </c>
      <c r="AD41" s="141">
        <v>0</v>
      </c>
      <c r="AE41" s="141">
        <v>0</v>
      </c>
      <c r="AF41" s="144">
        <v>0</v>
      </c>
      <c r="AG41" s="143">
        <v>0</v>
      </c>
      <c r="AH41" s="141">
        <v>0</v>
      </c>
      <c r="AI41" s="141">
        <v>0</v>
      </c>
      <c r="AJ41" s="141">
        <v>0</v>
      </c>
      <c r="AK41" s="144">
        <v>0</v>
      </c>
      <c r="AL41" s="660"/>
      <c r="AM41" s="1496"/>
      <c r="AN41" s="1492"/>
    </row>
    <row r="42" spans="1:40" ht="14.25">
      <c r="B42" s="161"/>
      <c r="C42" s="162" t="s">
        <v>1710</v>
      </c>
      <c r="D42" s="162"/>
      <c r="E42" s="162"/>
      <c r="F42" s="162"/>
      <c r="G42" s="163"/>
      <c r="H42" s="163"/>
      <c r="I42" s="2452"/>
      <c r="J42" s="2452"/>
      <c r="K42" s="2452"/>
      <c r="L42" s="2452"/>
      <c r="M42" s="2452"/>
      <c r="N42" s="2452"/>
      <c r="O42" s="2452"/>
      <c r="P42" s="2452"/>
      <c r="Q42" s="2452"/>
      <c r="R42" s="2452"/>
      <c r="S42" s="2452"/>
      <c r="T42" s="2452"/>
      <c r="U42" s="2452"/>
      <c r="V42" s="2452"/>
      <c r="W42" s="163"/>
      <c r="X42" s="164" t="s">
        <v>2233</v>
      </c>
      <c r="Y42" s="641">
        <f t="shared" ref="Y42:AK42" si="4">SUM(Y37:Y41)</f>
        <v>0</v>
      </c>
      <c r="Z42" s="642">
        <f t="shared" si="4"/>
        <v>0</v>
      </c>
      <c r="AA42" s="642">
        <f t="shared" si="4"/>
        <v>0</v>
      </c>
      <c r="AB42" s="642">
        <f t="shared" si="4"/>
        <v>0</v>
      </c>
      <c r="AC42" s="642">
        <f t="shared" si="4"/>
        <v>0</v>
      </c>
      <c r="AD42" s="642">
        <f t="shared" si="4"/>
        <v>0</v>
      </c>
      <c r="AE42" s="642">
        <f t="shared" si="4"/>
        <v>0</v>
      </c>
      <c r="AF42" s="643">
        <f t="shared" si="4"/>
        <v>0</v>
      </c>
      <c r="AG42" s="641">
        <f t="shared" si="4"/>
        <v>0</v>
      </c>
      <c r="AH42" s="642">
        <f t="shared" si="4"/>
        <v>0</v>
      </c>
      <c r="AI42" s="642">
        <f t="shared" si="4"/>
        <v>0</v>
      </c>
      <c r="AJ42" s="642">
        <f t="shared" si="4"/>
        <v>0</v>
      </c>
      <c r="AK42" s="643">
        <f t="shared" si="4"/>
        <v>0</v>
      </c>
      <c r="AL42" s="660"/>
      <c r="AM42" s="664"/>
      <c r="AN42" s="659"/>
    </row>
    <row r="43" spans="1:40">
      <c r="B43" s="664"/>
      <c r="C43" s="662"/>
      <c r="D43" s="662"/>
      <c r="E43" s="662"/>
      <c r="F43" s="662"/>
      <c r="G43" s="660"/>
      <c r="H43" s="660"/>
      <c r="I43" s="2453"/>
      <c r="J43" s="2453"/>
      <c r="K43" s="2453"/>
      <c r="L43" s="2453"/>
      <c r="M43" s="2453"/>
      <c r="N43" s="2453"/>
      <c r="O43" s="2453"/>
      <c r="P43" s="2453"/>
      <c r="Q43" s="2453"/>
      <c r="R43" s="2453"/>
      <c r="S43" s="2453"/>
      <c r="T43" s="2453"/>
      <c r="U43" s="2453"/>
      <c r="V43" s="2453"/>
      <c r="W43" s="660"/>
      <c r="X43" s="660"/>
      <c r="Y43" s="664"/>
      <c r="Z43" s="660"/>
      <c r="AA43" s="660"/>
      <c r="AB43" s="660"/>
      <c r="AC43" s="660"/>
      <c r="AD43" s="660"/>
      <c r="AE43" s="660"/>
      <c r="AF43" s="659"/>
      <c r="AG43" s="664"/>
      <c r="AH43" s="660"/>
      <c r="AI43" s="660"/>
      <c r="AJ43" s="660"/>
      <c r="AK43" s="659"/>
      <c r="AL43" s="660"/>
      <c r="AM43" s="664"/>
      <c r="AN43" s="659"/>
    </row>
    <row r="44" spans="1:40" s="174" customFormat="1" ht="15" thickBot="1">
      <c r="A44" s="173"/>
      <c r="B44" s="191" t="s">
        <v>1701</v>
      </c>
      <c r="C44" s="193"/>
      <c r="D44" s="193"/>
      <c r="E44" s="193"/>
      <c r="F44" s="193"/>
      <c r="G44" s="194"/>
      <c r="H44" s="194"/>
      <c r="I44" s="2454"/>
      <c r="J44" s="2454"/>
      <c r="K44" s="2454"/>
      <c r="L44" s="2454"/>
      <c r="M44" s="2454"/>
      <c r="N44" s="2454"/>
      <c r="O44" s="2454"/>
      <c r="P44" s="2454"/>
      <c r="Q44" s="2454"/>
      <c r="R44" s="2454"/>
      <c r="S44" s="2454"/>
      <c r="T44" s="2454"/>
      <c r="U44" s="2454"/>
      <c r="V44" s="2454"/>
      <c r="W44" s="194"/>
      <c r="X44" s="195" t="s">
        <v>2233</v>
      </c>
      <c r="Y44" s="717">
        <f>SUM(Y15,Y21,Y26,Y34,Y42)</f>
        <v>0</v>
      </c>
      <c r="Z44" s="718">
        <f t="shared" ref="Z44:AK44" si="5">SUM(Z15,Z21,Z26,Z34,Z42)</f>
        <v>0</v>
      </c>
      <c r="AA44" s="718">
        <f t="shared" si="5"/>
        <v>0</v>
      </c>
      <c r="AB44" s="718">
        <f t="shared" si="5"/>
        <v>0</v>
      </c>
      <c r="AC44" s="718">
        <f t="shared" si="5"/>
        <v>0</v>
      </c>
      <c r="AD44" s="718">
        <f t="shared" si="5"/>
        <v>0</v>
      </c>
      <c r="AE44" s="718">
        <f t="shared" si="5"/>
        <v>0</v>
      </c>
      <c r="AF44" s="719">
        <f t="shared" si="5"/>
        <v>0</v>
      </c>
      <c r="AG44" s="717">
        <f t="shared" si="5"/>
        <v>0</v>
      </c>
      <c r="AH44" s="718">
        <f t="shared" si="5"/>
        <v>0</v>
      </c>
      <c r="AI44" s="718">
        <f t="shared" si="5"/>
        <v>0</v>
      </c>
      <c r="AJ44" s="718">
        <f t="shared" si="5"/>
        <v>0</v>
      </c>
      <c r="AK44" s="719">
        <f t="shared" si="5"/>
        <v>0</v>
      </c>
      <c r="AL44" s="658"/>
      <c r="AM44" s="1381"/>
      <c r="AN44" s="1489"/>
    </row>
    <row r="45" spans="1:40" s="174" customFormat="1" ht="13.5" thickBot="1">
      <c r="A45" s="173"/>
      <c r="B45" s="173"/>
      <c r="G45" s="173"/>
      <c r="H45" s="173"/>
      <c r="I45" s="175"/>
      <c r="J45" s="173"/>
      <c r="K45" s="173"/>
      <c r="L45" s="173"/>
      <c r="M45" s="173"/>
      <c r="N45" s="173"/>
      <c r="O45" s="173"/>
      <c r="P45" s="173"/>
      <c r="Q45" s="173"/>
      <c r="R45" s="173"/>
      <c r="S45" s="173"/>
      <c r="T45" s="173"/>
      <c r="U45" s="173"/>
      <c r="V45" s="173"/>
      <c r="W45" s="173"/>
    </row>
    <row r="46" spans="1:40" s="89" customFormat="1" ht="30" customHeight="1" thickBot="1">
      <c r="B46" s="621" t="s">
        <v>2652</v>
      </c>
      <c r="C46" s="101"/>
      <c r="D46" s="102"/>
      <c r="E46" s="102"/>
      <c r="F46" s="102"/>
      <c r="G46" s="103"/>
      <c r="H46" s="103"/>
      <c r="I46" s="105" t="s">
        <v>1704</v>
      </c>
      <c r="J46" s="106"/>
      <c r="K46" s="106"/>
      <c r="L46" s="106"/>
      <c r="M46" s="106"/>
      <c r="N46" s="106"/>
      <c r="O46" s="106"/>
      <c r="P46" s="106"/>
      <c r="Q46" s="106"/>
      <c r="R46" s="105"/>
      <c r="S46" s="105"/>
      <c r="T46" s="105"/>
      <c r="U46" s="105"/>
      <c r="V46" s="105"/>
      <c r="W46" s="103"/>
      <c r="X46" s="105" t="s">
        <v>2231</v>
      </c>
      <c r="Y46" s="106"/>
      <c r="Z46" s="106"/>
      <c r="AA46" s="106"/>
      <c r="AB46" s="106"/>
      <c r="AC46" s="106"/>
      <c r="AD46" s="106"/>
      <c r="AE46" s="106"/>
      <c r="AF46" s="106"/>
      <c r="AG46" s="105"/>
      <c r="AH46" s="105"/>
      <c r="AI46" s="105"/>
      <c r="AJ46" s="105"/>
      <c r="AK46" s="105"/>
      <c r="AL46" s="200"/>
      <c r="AM46" s="1493" t="s">
        <v>2832</v>
      </c>
      <c r="AN46" s="1490"/>
    </row>
    <row r="47" spans="1:40" s="89" customFormat="1" ht="30" customHeight="1">
      <c r="B47" s="109"/>
      <c r="C47" s="110"/>
      <c r="D47" s="110"/>
      <c r="E47" s="110"/>
      <c r="F47" s="110"/>
      <c r="G47" s="111"/>
      <c r="H47" s="111"/>
      <c r="I47" s="117"/>
      <c r="J47" s="695" t="s">
        <v>1666</v>
      </c>
      <c r="K47" s="152"/>
      <c r="L47" s="152"/>
      <c r="M47" s="152"/>
      <c r="N47" s="152"/>
      <c r="O47" s="152"/>
      <c r="P47" s="152"/>
      <c r="Q47" s="153"/>
      <c r="R47" s="696" t="s">
        <v>2</v>
      </c>
      <c r="S47" s="155"/>
      <c r="T47" s="155"/>
      <c r="U47" s="155"/>
      <c r="V47" s="156"/>
      <c r="W47" s="111"/>
      <c r="X47" s="117"/>
      <c r="Y47" s="695" t="s">
        <v>1666</v>
      </c>
      <c r="Z47" s="152"/>
      <c r="AA47" s="152"/>
      <c r="AB47" s="152"/>
      <c r="AC47" s="152"/>
      <c r="AD47" s="152"/>
      <c r="AE47" s="152"/>
      <c r="AF47" s="153"/>
      <c r="AG47" s="696" t="s">
        <v>2</v>
      </c>
      <c r="AH47" s="155"/>
      <c r="AI47" s="155"/>
      <c r="AJ47" s="155"/>
      <c r="AK47" s="156"/>
      <c r="AL47" s="201"/>
      <c r="AM47" s="1494" t="s">
        <v>2833</v>
      </c>
      <c r="AN47" s="452" t="s">
        <v>2432</v>
      </c>
    </row>
    <row r="48" spans="1:40" s="89" customFormat="1" ht="13.5" customHeight="1">
      <c r="B48" s="115"/>
      <c r="C48" s="116"/>
      <c r="D48" s="116"/>
      <c r="E48" s="116"/>
      <c r="F48" s="116"/>
      <c r="G48" s="117"/>
      <c r="H48" s="117"/>
      <c r="I48" s="119" t="s">
        <v>1667</v>
      </c>
      <c r="J48" s="158" t="s">
        <v>453</v>
      </c>
      <c r="K48" s="137" t="s">
        <v>455</v>
      </c>
      <c r="L48" s="137" t="s">
        <v>457</v>
      </c>
      <c r="M48" s="137" t="s">
        <v>459</v>
      </c>
      <c r="N48" s="137" t="s">
        <v>461</v>
      </c>
      <c r="O48" s="137" t="s">
        <v>463</v>
      </c>
      <c r="P48" s="137" t="s">
        <v>465</v>
      </c>
      <c r="Q48" s="138" t="s">
        <v>467</v>
      </c>
      <c r="R48" s="120" t="s">
        <v>469</v>
      </c>
      <c r="S48" s="121" t="s">
        <v>471</v>
      </c>
      <c r="T48" s="121" t="s">
        <v>473</v>
      </c>
      <c r="U48" s="121" t="s">
        <v>475</v>
      </c>
      <c r="V48" s="122" t="s">
        <v>477</v>
      </c>
      <c r="W48" s="117"/>
      <c r="X48" s="119" t="s">
        <v>1667</v>
      </c>
      <c r="Y48" s="158" t="s">
        <v>453</v>
      </c>
      <c r="Z48" s="137" t="s">
        <v>455</v>
      </c>
      <c r="AA48" s="137" t="s">
        <v>457</v>
      </c>
      <c r="AB48" s="137" t="s">
        <v>459</v>
      </c>
      <c r="AC48" s="137" t="s">
        <v>461</v>
      </c>
      <c r="AD48" s="137" t="s">
        <v>463</v>
      </c>
      <c r="AE48" s="137" t="s">
        <v>465</v>
      </c>
      <c r="AF48" s="138" t="s">
        <v>467</v>
      </c>
      <c r="AG48" s="120" t="s">
        <v>469</v>
      </c>
      <c r="AH48" s="121" t="s">
        <v>471</v>
      </c>
      <c r="AI48" s="121" t="s">
        <v>473</v>
      </c>
      <c r="AJ48" s="121" t="s">
        <v>475</v>
      </c>
      <c r="AK48" s="122" t="s">
        <v>477</v>
      </c>
      <c r="AL48" s="201"/>
      <c r="AM48" s="1495"/>
      <c r="AN48" s="462"/>
    </row>
    <row r="49" spans="2:40" s="99" customFormat="1" ht="13.5" customHeight="1">
      <c r="B49" s="161"/>
      <c r="C49" s="116" t="s">
        <v>1683</v>
      </c>
      <c r="D49" s="116"/>
      <c r="E49" s="116"/>
      <c r="F49" s="116"/>
      <c r="G49" s="117"/>
      <c r="H49" s="117"/>
      <c r="I49" s="117"/>
      <c r="J49" s="159"/>
      <c r="K49" s="117"/>
      <c r="L49" s="117"/>
      <c r="M49" s="117"/>
      <c r="N49" s="117"/>
      <c r="O49" s="117"/>
      <c r="P49" s="117"/>
      <c r="Q49" s="160"/>
      <c r="R49" s="159"/>
      <c r="S49" s="117"/>
      <c r="T49" s="117"/>
      <c r="U49" s="117"/>
      <c r="V49" s="160"/>
      <c r="W49" s="117"/>
      <c r="X49" s="117"/>
      <c r="Y49" s="159"/>
      <c r="Z49" s="117"/>
      <c r="AA49" s="117"/>
      <c r="AB49" s="117"/>
      <c r="AC49" s="117"/>
      <c r="AD49" s="117"/>
      <c r="AE49" s="117"/>
      <c r="AF49" s="160"/>
      <c r="AG49" s="159"/>
      <c r="AH49" s="117"/>
      <c r="AI49" s="117"/>
      <c r="AJ49" s="117"/>
      <c r="AK49" s="160"/>
      <c r="AL49" s="1491"/>
      <c r="AM49" s="405"/>
      <c r="AN49" s="210"/>
    </row>
    <row r="50" spans="2:40" ht="14.25">
      <c r="B50" s="161"/>
      <c r="C50" s="162"/>
      <c r="D50" s="162" t="s">
        <v>2701</v>
      </c>
      <c r="E50" s="162"/>
      <c r="F50" s="162"/>
      <c r="G50" s="163"/>
      <c r="H50" s="163"/>
      <c r="I50" s="164" t="s">
        <v>498</v>
      </c>
      <c r="J50" s="143">
        <v>0</v>
      </c>
      <c r="K50" s="141">
        <v>0</v>
      </c>
      <c r="L50" s="141">
        <v>0</v>
      </c>
      <c r="M50" s="141">
        <v>0</v>
      </c>
      <c r="N50" s="141">
        <v>0</v>
      </c>
      <c r="O50" s="141">
        <v>0</v>
      </c>
      <c r="P50" s="141">
        <v>0</v>
      </c>
      <c r="Q50" s="144">
        <v>0</v>
      </c>
      <c r="R50" s="143">
        <v>0</v>
      </c>
      <c r="S50" s="141">
        <v>0</v>
      </c>
      <c r="T50" s="141">
        <v>0</v>
      </c>
      <c r="U50" s="141">
        <v>0</v>
      </c>
      <c r="V50" s="144">
        <v>0</v>
      </c>
      <c r="W50" s="163"/>
      <c r="X50" s="164" t="s">
        <v>498</v>
      </c>
      <c r="Y50" s="143">
        <v>0</v>
      </c>
      <c r="Z50" s="141">
        <v>0</v>
      </c>
      <c r="AA50" s="141">
        <v>0</v>
      </c>
      <c r="AB50" s="141">
        <v>0</v>
      </c>
      <c r="AC50" s="141">
        <v>0</v>
      </c>
      <c r="AD50" s="141">
        <v>0</v>
      </c>
      <c r="AE50" s="141">
        <v>0</v>
      </c>
      <c r="AF50" s="144">
        <v>0</v>
      </c>
      <c r="AG50" s="143">
        <v>0</v>
      </c>
      <c r="AH50" s="141">
        <v>0</v>
      </c>
      <c r="AI50" s="141">
        <v>0</v>
      </c>
      <c r="AJ50" s="141">
        <v>0</v>
      </c>
      <c r="AK50" s="144">
        <v>0</v>
      </c>
      <c r="AL50" s="660"/>
      <c r="AM50" s="1496"/>
      <c r="AN50" s="1492"/>
    </row>
    <row r="51" spans="2:40" ht="14.25">
      <c r="B51" s="161"/>
      <c r="C51" s="162"/>
      <c r="D51" s="162" t="s">
        <v>2702</v>
      </c>
      <c r="E51" s="162"/>
      <c r="F51" s="162"/>
      <c r="G51" s="163"/>
      <c r="H51" s="163"/>
      <c r="I51" s="164" t="s">
        <v>498</v>
      </c>
      <c r="J51" s="143">
        <v>0</v>
      </c>
      <c r="K51" s="141">
        <v>0</v>
      </c>
      <c r="L51" s="141">
        <v>0</v>
      </c>
      <c r="M51" s="141">
        <v>0</v>
      </c>
      <c r="N51" s="141">
        <v>0</v>
      </c>
      <c r="O51" s="141">
        <v>0</v>
      </c>
      <c r="P51" s="141">
        <v>0</v>
      </c>
      <c r="Q51" s="144">
        <v>0</v>
      </c>
      <c r="R51" s="143">
        <v>0</v>
      </c>
      <c r="S51" s="141">
        <v>0</v>
      </c>
      <c r="T51" s="141">
        <v>0</v>
      </c>
      <c r="U51" s="141">
        <v>0</v>
      </c>
      <c r="V51" s="144">
        <v>0</v>
      </c>
      <c r="W51" s="163"/>
      <c r="X51" s="164" t="s">
        <v>498</v>
      </c>
      <c r="Y51" s="143">
        <v>0</v>
      </c>
      <c r="Z51" s="141">
        <v>0</v>
      </c>
      <c r="AA51" s="141">
        <v>0</v>
      </c>
      <c r="AB51" s="141">
        <v>0</v>
      </c>
      <c r="AC51" s="141">
        <v>0</v>
      </c>
      <c r="AD51" s="141">
        <v>0</v>
      </c>
      <c r="AE51" s="141">
        <v>0</v>
      </c>
      <c r="AF51" s="144">
        <v>0</v>
      </c>
      <c r="AG51" s="143">
        <v>0</v>
      </c>
      <c r="AH51" s="141">
        <v>0</v>
      </c>
      <c r="AI51" s="141">
        <v>0</v>
      </c>
      <c r="AJ51" s="141">
        <v>0</v>
      </c>
      <c r="AK51" s="144">
        <v>0</v>
      </c>
      <c r="AL51" s="660"/>
      <c r="AM51" s="1496"/>
      <c r="AN51" s="1492"/>
    </row>
    <row r="52" spans="2:40" ht="14.25">
      <c r="B52" s="161"/>
      <c r="C52" s="162"/>
      <c r="D52" s="162" t="s">
        <v>2703</v>
      </c>
      <c r="E52" s="162"/>
      <c r="F52" s="162"/>
      <c r="G52" s="163"/>
      <c r="H52" s="163"/>
      <c r="I52" s="164" t="s">
        <v>498</v>
      </c>
      <c r="J52" s="143">
        <v>0</v>
      </c>
      <c r="K52" s="141">
        <v>0</v>
      </c>
      <c r="L52" s="141">
        <v>0</v>
      </c>
      <c r="M52" s="141">
        <v>0</v>
      </c>
      <c r="N52" s="141">
        <v>0</v>
      </c>
      <c r="O52" s="141">
        <v>0</v>
      </c>
      <c r="P52" s="141">
        <v>0</v>
      </c>
      <c r="Q52" s="144">
        <v>0</v>
      </c>
      <c r="R52" s="143">
        <v>0</v>
      </c>
      <c r="S52" s="141">
        <v>0</v>
      </c>
      <c r="T52" s="141">
        <v>0</v>
      </c>
      <c r="U52" s="141">
        <v>0</v>
      </c>
      <c r="V52" s="144">
        <v>0</v>
      </c>
      <c r="W52" s="163"/>
      <c r="X52" s="164" t="s">
        <v>498</v>
      </c>
      <c r="Y52" s="143">
        <v>0</v>
      </c>
      <c r="Z52" s="141">
        <v>0</v>
      </c>
      <c r="AA52" s="141">
        <v>0</v>
      </c>
      <c r="AB52" s="141">
        <v>0</v>
      </c>
      <c r="AC52" s="141">
        <v>0</v>
      </c>
      <c r="AD52" s="141">
        <v>0</v>
      </c>
      <c r="AE52" s="141">
        <v>0</v>
      </c>
      <c r="AF52" s="144">
        <v>0</v>
      </c>
      <c r="AG52" s="143">
        <v>0</v>
      </c>
      <c r="AH52" s="141">
        <v>0</v>
      </c>
      <c r="AI52" s="141">
        <v>0</v>
      </c>
      <c r="AJ52" s="141">
        <v>0</v>
      </c>
      <c r="AK52" s="144">
        <v>0</v>
      </c>
      <c r="AL52" s="660"/>
      <c r="AM52" s="1496"/>
      <c r="AN52" s="1492"/>
    </row>
    <row r="53" spans="2:40" ht="14.25">
      <c r="B53" s="161"/>
      <c r="C53" s="162"/>
      <c r="D53" s="162" t="s">
        <v>2704</v>
      </c>
      <c r="E53" s="162"/>
      <c r="F53" s="162"/>
      <c r="G53" s="163"/>
      <c r="H53" s="163"/>
      <c r="I53" s="164" t="s">
        <v>498</v>
      </c>
      <c r="J53" s="143">
        <v>0</v>
      </c>
      <c r="K53" s="141">
        <v>0</v>
      </c>
      <c r="L53" s="141">
        <v>0</v>
      </c>
      <c r="M53" s="141">
        <v>0</v>
      </c>
      <c r="N53" s="141">
        <v>0</v>
      </c>
      <c r="O53" s="141">
        <v>0</v>
      </c>
      <c r="P53" s="141">
        <v>0</v>
      </c>
      <c r="Q53" s="144">
        <v>0</v>
      </c>
      <c r="R53" s="143">
        <v>0</v>
      </c>
      <c r="S53" s="141">
        <v>0</v>
      </c>
      <c r="T53" s="141">
        <v>0</v>
      </c>
      <c r="U53" s="141">
        <v>0</v>
      </c>
      <c r="V53" s="144">
        <v>0</v>
      </c>
      <c r="W53" s="163"/>
      <c r="X53" s="164" t="s">
        <v>498</v>
      </c>
      <c r="Y53" s="143">
        <v>0</v>
      </c>
      <c r="Z53" s="141">
        <v>0</v>
      </c>
      <c r="AA53" s="141">
        <v>0</v>
      </c>
      <c r="AB53" s="141">
        <v>0</v>
      </c>
      <c r="AC53" s="141">
        <v>0</v>
      </c>
      <c r="AD53" s="141">
        <v>0</v>
      </c>
      <c r="AE53" s="141">
        <v>0</v>
      </c>
      <c r="AF53" s="144">
        <v>0</v>
      </c>
      <c r="AG53" s="143">
        <v>0</v>
      </c>
      <c r="AH53" s="141">
        <v>0</v>
      </c>
      <c r="AI53" s="141">
        <v>0</v>
      </c>
      <c r="AJ53" s="141">
        <v>0</v>
      </c>
      <c r="AK53" s="144">
        <v>0</v>
      </c>
      <c r="AL53" s="660"/>
      <c r="AM53" s="1496"/>
      <c r="AN53" s="1492"/>
    </row>
    <row r="54" spans="2:40" ht="14.25">
      <c r="B54" s="161"/>
      <c r="C54" s="162"/>
      <c r="D54" s="162" t="s">
        <v>2705</v>
      </c>
      <c r="E54" s="162"/>
      <c r="F54" s="162"/>
      <c r="G54" s="163"/>
      <c r="H54" s="163"/>
      <c r="I54" s="164" t="s">
        <v>498</v>
      </c>
      <c r="J54" s="143">
        <v>0</v>
      </c>
      <c r="K54" s="141">
        <v>0</v>
      </c>
      <c r="L54" s="141">
        <v>0</v>
      </c>
      <c r="M54" s="141">
        <v>0</v>
      </c>
      <c r="N54" s="141">
        <v>0</v>
      </c>
      <c r="O54" s="141">
        <v>0</v>
      </c>
      <c r="P54" s="141">
        <v>0</v>
      </c>
      <c r="Q54" s="144">
        <v>0</v>
      </c>
      <c r="R54" s="143">
        <v>0</v>
      </c>
      <c r="S54" s="141">
        <v>0</v>
      </c>
      <c r="T54" s="141">
        <v>0</v>
      </c>
      <c r="U54" s="141">
        <v>0</v>
      </c>
      <c r="V54" s="144">
        <v>0</v>
      </c>
      <c r="W54" s="163"/>
      <c r="X54" s="164" t="s">
        <v>498</v>
      </c>
      <c r="Y54" s="143">
        <v>0</v>
      </c>
      <c r="Z54" s="141">
        <v>0</v>
      </c>
      <c r="AA54" s="141">
        <v>0</v>
      </c>
      <c r="AB54" s="141">
        <v>0</v>
      </c>
      <c r="AC54" s="141">
        <v>0</v>
      </c>
      <c r="AD54" s="141">
        <v>0</v>
      </c>
      <c r="AE54" s="141">
        <v>0</v>
      </c>
      <c r="AF54" s="144">
        <v>0</v>
      </c>
      <c r="AG54" s="143">
        <v>0</v>
      </c>
      <c r="AH54" s="141">
        <v>0</v>
      </c>
      <c r="AI54" s="141">
        <v>0</v>
      </c>
      <c r="AJ54" s="141">
        <v>0</v>
      </c>
      <c r="AK54" s="144">
        <v>0</v>
      </c>
      <c r="AL54" s="660"/>
      <c r="AM54" s="1496"/>
      <c r="AN54" s="1492"/>
    </row>
    <row r="55" spans="2:40" ht="14.25">
      <c r="B55" s="161"/>
      <c r="C55" s="162"/>
      <c r="D55" s="162" t="s">
        <v>2706</v>
      </c>
      <c r="E55" s="162"/>
      <c r="F55" s="162"/>
      <c r="G55" s="163"/>
      <c r="H55" s="163"/>
      <c r="I55" s="164" t="s">
        <v>498</v>
      </c>
      <c r="J55" s="143">
        <v>0</v>
      </c>
      <c r="K55" s="141">
        <v>0</v>
      </c>
      <c r="L55" s="141">
        <v>0</v>
      </c>
      <c r="M55" s="141">
        <v>0</v>
      </c>
      <c r="N55" s="141">
        <v>0</v>
      </c>
      <c r="O55" s="141">
        <v>0</v>
      </c>
      <c r="P55" s="141">
        <v>0</v>
      </c>
      <c r="Q55" s="144">
        <v>0</v>
      </c>
      <c r="R55" s="143">
        <v>0</v>
      </c>
      <c r="S55" s="141">
        <v>0</v>
      </c>
      <c r="T55" s="141">
        <v>0</v>
      </c>
      <c r="U55" s="141">
        <v>0</v>
      </c>
      <c r="V55" s="144">
        <v>0</v>
      </c>
      <c r="W55" s="163"/>
      <c r="X55" s="164" t="s">
        <v>498</v>
      </c>
      <c r="Y55" s="143">
        <v>0</v>
      </c>
      <c r="Z55" s="141">
        <v>0</v>
      </c>
      <c r="AA55" s="141">
        <v>0</v>
      </c>
      <c r="AB55" s="141">
        <v>0</v>
      </c>
      <c r="AC55" s="141">
        <v>0</v>
      </c>
      <c r="AD55" s="141">
        <v>0</v>
      </c>
      <c r="AE55" s="141">
        <v>0</v>
      </c>
      <c r="AF55" s="144">
        <v>0</v>
      </c>
      <c r="AG55" s="143">
        <v>0</v>
      </c>
      <c r="AH55" s="141">
        <v>0</v>
      </c>
      <c r="AI55" s="141">
        <v>0</v>
      </c>
      <c r="AJ55" s="141">
        <v>0</v>
      </c>
      <c r="AK55" s="144">
        <v>0</v>
      </c>
      <c r="AL55" s="660"/>
      <c r="AM55" s="1496"/>
      <c r="AN55" s="1492"/>
    </row>
    <row r="56" spans="2:40" ht="14.25">
      <c r="B56" s="161"/>
      <c r="C56" s="162"/>
      <c r="D56" s="162" t="s">
        <v>2707</v>
      </c>
      <c r="E56" s="162"/>
      <c r="F56" s="162"/>
      <c r="G56" s="163"/>
      <c r="H56" s="163"/>
      <c r="I56" s="164" t="s">
        <v>498</v>
      </c>
      <c r="J56" s="143">
        <v>0</v>
      </c>
      <c r="K56" s="141">
        <v>0</v>
      </c>
      <c r="L56" s="141">
        <v>0</v>
      </c>
      <c r="M56" s="141">
        <v>0</v>
      </c>
      <c r="N56" s="141">
        <v>0</v>
      </c>
      <c r="O56" s="141">
        <v>0</v>
      </c>
      <c r="P56" s="141">
        <v>0</v>
      </c>
      <c r="Q56" s="144">
        <v>0</v>
      </c>
      <c r="R56" s="143">
        <v>0</v>
      </c>
      <c r="S56" s="141">
        <v>0</v>
      </c>
      <c r="T56" s="141">
        <v>0</v>
      </c>
      <c r="U56" s="141">
        <v>0</v>
      </c>
      <c r="V56" s="144">
        <v>0</v>
      </c>
      <c r="W56" s="163"/>
      <c r="X56" s="164" t="s">
        <v>498</v>
      </c>
      <c r="Y56" s="143">
        <v>0</v>
      </c>
      <c r="Z56" s="141">
        <v>0</v>
      </c>
      <c r="AA56" s="141">
        <v>0</v>
      </c>
      <c r="AB56" s="141">
        <v>0</v>
      </c>
      <c r="AC56" s="141">
        <v>0</v>
      </c>
      <c r="AD56" s="141">
        <v>0</v>
      </c>
      <c r="AE56" s="141">
        <v>0</v>
      </c>
      <c r="AF56" s="144">
        <v>0</v>
      </c>
      <c r="AG56" s="143">
        <v>0</v>
      </c>
      <c r="AH56" s="141">
        <v>0</v>
      </c>
      <c r="AI56" s="141">
        <v>0</v>
      </c>
      <c r="AJ56" s="141">
        <v>0</v>
      </c>
      <c r="AK56" s="144">
        <v>0</v>
      </c>
      <c r="AL56" s="660"/>
      <c r="AM56" s="1496"/>
      <c r="AN56" s="1492"/>
    </row>
    <row r="57" spans="2:40" ht="13.5" customHeight="1">
      <c r="B57" s="161"/>
      <c r="C57" s="162"/>
      <c r="D57" s="162" t="s">
        <v>2708</v>
      </c>
      <c r="E57" s="162"/>
      <c r="F57" s="162"/>
      <c r="G57" s="163"/>
      <c r="H57" s="163"/>
      <c r="I57" s="164" t="s">
        <v>498</v>
      </c>
      <c r="J57" s="143">
        <v>0</v>
      </c>
      <c r="K57" s="141">
        <v>0</v>
      </c>
      <c r="L57" s="141">
        <v>0</v>
      </c>
      <c r="M57" s="141">
        <v>0</v>
      </c>
      <c r="N57" s="141">
        <v>0</v>
      </c>
      <c r="O57" s="141">
        <v>0</v>
      </c>
      <c r="P57" s="141">
        <v>0</v>
      </c>
      <c r="Q57" s="144">
        <v>0</v>
      </c>
      <c r="R57" s="143">
        <v>0</v>
      </c>
      <c r="S57" s="141">
        <v>0</v>
      </c>
      <c r="T57" s="141">
        <v>0</v>
      </c>
      <c r="U57" s="141">
        <v>0</v>
      </c>
      <c r="V57" s="144">
        <v>0</v>
      </c>
      <c r="W57" s="163"/>
      <c r="X57" s="164" t="s">
        <v>498</v>
      </c>
      <c r="Y57" s="143">
        <v>0</v>
      </c>
      <c r="Z57" s="141">
        <v>0</v>
      </c>
      <c r="AA57" s="141">
        <v>0</v>
      </c>
      <c r="AB57" s="141">
        <v>0</v>
      </c>
      <c r="AC57" s="141">
        <v>0</v>
      </c>
      <c r="AD57" s="141">
        <v>0</v>
      </c>
      <c r="AE57" s="141">
        <v>0</v>
      </c>
      <c r="AF57" s="144">
        <v>0</v>
      </c>
      <c r="AG57" s="143">
        <v>0</v>
      </c>
      <c r="AH57" s="141">
        <v>0</v>
      </c>
      <c r="AI57" s="141">
        <v>0</v>
      </c>
      <c r="AJ57" s="141">
        <v>0</v>
      </c>
      <c r="AK57" s="144">
        <v>0</v>
      </c>
      <c r="AL57" s="660"/>
      <c r="AM57" s="1496"/>
      <c r="AN57" s="1492"/>
    </row>
    <row r="58" spans="2:40" ht="14.25">
      <c r="B58" s="161"/>
      <c r="C58" s="162" t="s">
        <v>1710</v>
      </c>
      <c r="D58" s="162"/>
      <c r="E58" s="162"/>
      <c r="F58" s="162"/>
      <c r="G58" s="163"/>
      <c r="H58" s="163"/>
      <c r="I58" s="164" t="s">
        <v>498</v>
      </c>
      <c r="J58" s="641">
        <f t="shared" ref="J58:V58" si="6">SUM(J50:J57)</f>
        <v>0</v>
      </c>
      <c r="K58" s="642">
        <f t="shared" si="6"/>
        <v>0</v>
      </c>
      <c r="L58" s="642">
        <f t="shared" si="6"/>
        <v>0</v>
      </c>
      <c r="M58" s="642">
        <f t="shared" si="6"/>
        <v>0</v>
      </c>
      <c r="N58" s="642">
        <f t="shared" si="6"/>
        <v>0</v>
      </c>
      <c r="O58" s="642">
        <f t="shared" si="6"/>
        <v>0</v>
      </c>
      <c r="P58" s="642">
        <f t="shared" si="6"/>
        <v>0</v>
      </c>
      <c r="Q58" s="643">
        <f t="shared" si="6"/>
        <v>0</v>
      </c>
      <c r="R58" s="641">
        <f t="shared" si="6"/>
        <v>0</v>
      </c>
      <c r="S58" s="642">
        <f t="shared" si="6"/>
        <v>0</v>
      </c>
      <c r="T58" s="642">
        <f t="shared" si="6"/>
        <v>0</v>
      </c>
      <c r="U58" s="642">
        <f t="shared" si="6"/>
        <v>0</v>
      </c>
      <c r="V58" s="643">
        <f t="shared" si="6"/>
        <v>0</v>
      </c>
      <c r="W58" s="163"/>
      <c r="X58" s="164" t="s">
        <v>498</v>
      </c>
      <c r="Y58" s="641">
        <f t="shared" ref="Y58:AK58" si="7">SUM(Y50:Y57)</f>
        <v>0</v>
      </c>
      <c r="Z58" s="642">
        <f t="shared" si="7"/>
        <v>0</v>
      </c>
      <c r="AA58" s="642">
        <f t="shared" si="7"/>
        <v>0</v>
      </c>
      <c r="AB58" s="642">
        <f t="shared" si="7"/>
        <v>0</v>
      </c>
      <c r="AC58" s="642">
        <f t="shared" si="7"/>
        <v>0</v>
      </c>
      <c r="AD58" s="642">
        <f t="shared" si="7"/>
        <v>0</v>
      </c>
      <c r="AE58" s="642">
        <f t="shared" si="7"/>
        <v>0</v>
      </c>
      <c r="AF58" s="643">
        <f t="shared" si="7"/>
        <v>0</v>
      </c>
      <c r="AG58" s="641">
        <f t="shared" si="7"/>
        <v>0</v>
      </c>
      <c r="AH58" s="642">
        <f t="shared" si="7"/>
        <v>0</v>
      </c>
      <c r="AI58" s="642">
        <f t="shared" si="7"/>
        <v>0</v>
      </c>
      <c r="AJ58" s="642">
        <f t="shared" si="7"/>
        <v>0</v>
      </c>
      <c r="AK58" s="643">
        <f t="shared" si="7"/>
        <v>0</v>
      </c>
      <c r="AL58" s="660"/>
      <c r="AM58" s="664"/>
      <c r="AN58" s="659"/>
    </row>
    <row r="59" spans="2:40">
      <c r="B59" s="664"/>
      <c r="C59" s="662"/>
      <c r="D59" s="662"/>
      <c r="E59" s="662"/>
      <c r="F59" s="662"/>
      <c r="G59" s="660"/>
      <c r="H59" s="660"/>
      <c r="I59" s="661"/>
      <c r="J59" s="664"/>
      <c r="K59" s="660"/>
      <c r="L59" s="660"/>
      <c r="M59" s="660"/>
      <c r="N59" s="660"/>
      <c r="O59" s="660"/>
      <c r="P59" s="660"/>
      <c r="Q59" s="659"/>
      <c r="R59" s="664"/>
      <c r="S59" s="660"/>
      <c r="T59" s="660"/>
      <c r="U59" s="660"/>
      <c r="V59" s="659"/>
      <c r="W59" s="660"/>
      <c r="X59" s="660"/>
      <c r="Y59" s="664"/>
      <c r="Z59" s="660"/>
      <c r="AA59" s="660"/>
      <c r="AB59" s="660"/>
      <c r="AC59" s="660"/>
      <c r="AD59" s="660"/>
      <c r="AE59" s="660"/>
      <c r="AF59" s="659"/>
      <c r="AG59" s="664"/>
      <c r="AH59" s="660"/>
      <c r="AI59" s="660"/>
      <c r="AJ59" s="660"/>
      <c r="AK59" s="659"/>
      <c r="AL59" s="660"/>
      <c r="AM59" s="664"/>
      <c r="AN59" s="659"/>
    </row>
    <row r="60" spans="2:40" s="99" customFormat="1" ht="13.5" customHeight="1">
      <c r="B60" s="161"/>
      <c r="C60" s="116" t="s">
        <v>1684</v>
      </c>
      <c r="D60" s="116"/>
      <c r="E60" s="116"/>
      <c r="F60" s="116"/>
      <c r="G60" s="117"/>
      <c r="H60" s="117"/>
      <c r="I60" s="117"/>
      <c r="J60" s="159"/>
      <c r="K60" s="117"/>
      <c r="L60" s="117"/>
      <c r="M60" s="117"/>
      <c r="N60" s="117"/>
      <c r="O60" s="117"/>
      <c r="P60" s="117"/>
      <c r="Q60" s="160"/>
      <c r="R60" s="159"/>
      <c r="S60" s="117"/>
      <c r="T60" s="117"/>
      <c r="U60" s="117"/>
      <c r="V60" s="160"/>
      <c r="W60" s="117"/>
      <c r="X60" s="117"/>
      <c r="Y60" s="159"/>
      <c r="Z60" s="117"/>
      <c r="AA60" s="117"/>
      <c r="AB60" s="117"/>
      <c r="AC60" s="117"/>
      <c r="AD60" s="117"/>
      <c r="AE60" s="117"/>
      <c r="AF60" s="160"/>
      <c r="AG60" s="159"/>
      <c r="AH60" s="117"/>
      <c r="AI60" s="117"/>
      <c r="AJ60" s="117"/>
      <c r="AK60" s="160"/>
      <c r="AL60" s="1491"/>
      <c r="AM60" s="405"/>
      <c r="AN60" s="210"/>
    </row>
    <row r="61" spans="2:40" ht="14.25">
      <c r="B61" s="161"/>
      <c r="C61" s="162"/>
      <c r="D61" s="162" t="s">
        <v>2701</v>
      </c>
      <c r="E61" s="162"/>
      <c r="F61" s="162"/>
      <c r="G61" s="163"/>
      <c r="H61" s="163"/>
      <c r="I61" s="164" t="s">
        <v>498</v>
      </c>
      <c r="J61" s="143">
        <v>0</v>
      </c>
      <c r="K61" s="141">
        <v>0</v>
      </c>
      <c r="L61" s="141">
        <v>0</v>
      </c>
      <c r="M61" s="141">
        <v>0</v>
      </c>
      <c r="N61" s="141">
        <v>0</v>
      </c>
      <c r="O61" s="141">
        <v>0</v>
      </c>
      <c r="P61" s="141">
        <v>0</v>
      </c>
      <c r="Q61" s="144">
        <v>0</v>
      </c>
      <c r="R61" s="143">
        <v>0</v>
      </c>
      <c r="S61" s="141">
        <v>0</v>
      </c>
      <c r="T61" s="141">
        <v>0</v>
      </c>
      <c r="U61" s="141">
        <v>0</v>
      </c>
      <c r="V61" s="144">
        <v>0</v>
      </c>
      <c r="W61" s="163"/>
      <c r="X61" s="164" t="s">
        <v>498</v>
      </c>
      <c r="Y61" s="143">
        <v>0</v>
      </c>
      <c r="Z61" s="141">
        <v>0</v>
      </c>
      <c r="AA61" s="141">
        <v>0</v>
      </c>
      <c r="AB61" s="141">
        <v>0</v>
      </c>
      <c r="AC61" s="141">
        <v>0</v>
      </c>
      <c r="AD61" s="141">
        <v>0</v>
      </c>
      <c r="AE61" s="141">
        <v>0</v>
      </c>
      <c r="AF61" s="144">
        <v>0</v>
      </c>
      <c r="AG61" s="143">
        <v>0</v>
      </c>
      <c r="AH61" s="141">
        <v>0</v>
      </c>
      <c r="AI61" s="141">
        <v>0</v>
      </c>
      <c r="AJ61" s="141">
        <v>0</v>
      </c>
      <c r="AK61" s="144">
        <v>0</v>
      </c>
      <c r="AL61" s="660"/>
      <c r="AM61" s="1496"/>
      <c r="AN61" s="1492"/>
    </row>
    <row r="62" spans="2:40" ht="14.25">
      <c r="B62" s="161"/>
      <c r="C62" s="162"/>
      <c r="D62" s="162" t="s">
        <v>2702</v>
      </c>
      <c r="E62" s="162"/>
      <c r="F62" s="162"/>
      <c r="G62" s="163"/>
      <c r="H62" s="163"/>
      <c r="I62" s="164" t="s">
        <v>498</v>
      </c>
      <c r="J62" s="143">
        <v>0</v>
      </c>
      <c r="K62" s="141">
        <v>0</v>
      </c>
      <c r="L62" s="141">
        <v>0</v>
      </c>
      <c r="M62" s="141">
        <v>0</v>
      </c>
      <c r="N62" s="141">
        <v>0</v>
      </c>
      <c r="O62" s="141">
        <v>0</v>
      </c>
      <c r="P62" s="141">
        <v>0</v>
      </c>
      <c r="Q62" s="144">
        <v>0</v>
      </c>
      <c r="R62" s="143">
        <v>0</v>
      </c>
      <c r="S62" s="141">
        <v>0</v>
      </c>
      <c r="T62" s="141">
        <v>0</v>
      </c>
      <c r="U62" s="141">
        <v>0</v>
      </c>
      <c r="V62" s="144">
        <v>0</v>
      </c>
      <c r="W62" s="163"/>
      <c r="X62" s="164" t="s">
        <v>498</v>
      </c>
      <c r="Y62" s="143">
        <v>0</v>
      </c>
      <c r="Z62" s="141">
        <v>0</v>
      </c>
      <c r="AA62" s="141">
        <v>0</v>
      </c>
      <c r="AB62" s="141">
        <v>0</v>
      </c>
      <c r="AC62" s="141">
        <v>0</v>
      </c>
      <c r="AD62" s="141">
        <v>0</v>
      </c>
      <c r="AE62" s="141">
        <v>0</v>
      </c>
      <c r="AF62" s="144">
        <v>0</v>
      </c>
      <c r="AG62" s="143">
        <v>0</v>
      </c>
      <c r="AH62" s="141">
        <v>0</v>
      </c>
      <c r="AI62" s="141">
        <v>0</v>
      </c>
      <c r="AJ62" s="141">
        <v>0</v>
      </c>
      <c r="AK62" s="144">
        <v>0</v>
      </c>
      <c r="AL62" s="660"/>
      <c r="AM62" s="1496"/>
      <c r="AN62" s="1492"/>
    </row>
    <row r="63" spans="2:40" ht="14.25">
      <c r="B63" s="161"/>
      <c r="C63" s="162"/>
      <c r="D63" s="162" t="s">
        <v>2703</v>
      </c>
      <c r="E63" s="162"/>
      <c r="F63" s="162"/>
      <c r="G63" s="163"/>
      <c r="H63" s="163"/>
      <c r="I63" s="164" t="s">
        <v>498</v>
      </c>
      <c r="J63" s="143">
        <v>0</v>
      </c>
      <c r="K63" s="141">
        <v>0</v>
      </c>
      <c r="L63" s="141">
        <v>0</v>
      </c>
      <c r="M63" s="141">
        <v>0</v>
      </c>
      <c r="N63" s="141">
        <v>0</v>
      </c>
      <c r="O63" s="141">
        <v>0</v>
      </c>
      <c r="P63" s="141">
        <v>0</v>
      </c>
      <c r="Q63" s="144">
        <v>0</v>
      </c>
      <c r="R63" s="143">
        <v>0</v>
      </c>
      <c r="S63" s="141">
        <v>0</v>
      </c>
      <c r="T63" s="141">
        <v>0</v>
      </c>
      <c r="U63" s="141">
        <v>0</v>
      </c>
      <c r="V63" s="144">
        <v>0</v>
      </c>
      <c r="W63" s="163"/>
      <c r="X63" s="164" t="s">
        <v>498</v>
      </c>
      <c r="Y63" s="143">
        <v>0</v>
      </c>
      <c r="Z63" s="141">
        <v>0</v>
      </c>
      <c r="AA63" s="141">
        <v>0</v>
      </c>
      <c r="AB63" s="141">
        <v>0</v>
      </c>
      <c r="AC63" s="141">
        <v>0</v>
      </c>
      <c r="AD63" s="141">
        <v>0</v>
      </c>
      <c r="AE63" s="141">
        <v>0</v>
      </c>
      <c r="AF63" s="144">
        <v>0</v>
      </c>
      <c r="AG63" s="143">
        <v>0</v>
      </c>
      <c r="AH63" s="141">
        <v>0</v>
      </c>
      <c r="AI63" s="141">
        <v>0</v>
      </c>
      <c r="AJ63" s="141">
        <v>0</v>
      </c>
      <c r="AK63" s="144">
        <v>0</v>
      </c>
      <c r="AL63" s="660"/>
      <c r="AM63" s="1496"/>
      <c r="AN63" s="1492"/>
    </row>
    <row r="64" spans="2:40" ht="14.25">
      <c r="B64" s="161"/>
      <c r="C64" s="162"/>
      <c r="D64" s="162" t="s">
        <v>2704</v>
      </c>
      <c r="E64" s="162"/>
      <c r="F64" s="162"/>
      <c r="G64" s="163"/>
      <c r="H64" s="163"/>
      <c r="I64" s="164" t="s">
        <v>498</v>
      </c>
      <c r="J64" s="143">
        <v>0</v>
      </c>
      <c r="K64" s="141">
        <v>0</v>
      </c>
      <c r="L64" s="141">
        <v>0</v>
      </c>
      <c r="M64" s="141">
        <v>0</v>
      </c>
      <c r="N64" s="141">
        <v>0</v>
      </c>
      <c r="O64" s="141">
        <v>0</v>
      </c>
      <c r="P64" s="141">
        <v>0</v>
      </c>
      <c r="Q64" s="144">
        <v>0</v>
      </c>
      <c r="R64" s="143">
        <v>0</v>
      </c>
      <c r="S64" s="141">
        <v>0</v>
      </c>
      <c r="T64" s="141">
        <v>0</v>
      </c>
      <c r="U64" s="141">
        <v>0</v>
      </c>
      <c r="V64" s="144">
        <v>0</v>
      </c>
      <c r="W64" s="163"/>
      <c r="X64" s="164" t="s">
        <v>498</v>
      </c>
      <c r="Y64" s="143">
        <v>0</v>
      </c>
      <c r="Z64" s="141">
        <v>0</v>
      </c>
      <c r="AA64" s="141">
        <v>0</v>
      </c>
      <c r="AB64" s="141">
        <v>0</v>
      </c>
      <c r="AC64" s="141">
        <v>0</v>
      </c>
      <c r="AD64" s="141">
        <v>0</v>
      </c>
      <c r="AE64" s="141">
        <v>0</v>
      </c>
      <c r="AF64" s="144">
        <v>0</v>
      </c>
      <c r="AG64" s="143">
        <v>0</v>
      </c>
      <c r="AH64" s="141">
        <v>0</v>
      </c>
      <c r="AI64" s="141">
        <v>0</v>
      </c>
      <c r="AJ64" s="141">
        <v>0</v>
      </c>
      <c r="AK64" s="144">
        <v>0</v>
      </c>
      <c r="AL64" s="660"/>
      <c r="AM64" s="1496"/>
      <c r="AN64" s="1492"/>
    </row>
    <row r="65" spans="2:40" ht="14.25">
      <c r="B65" s="161"/>
      <c r="C65" s="162"/>
      <c r="D65" s="162" t="s">
        <v>2705</v>
      </c>
      <c r="E65" s="162"/>
      <c r="F65" s="162"/>
      <c r="G65" s="163"/>
      <c r="H65" s="163"/>
      <c r="I65" s="164" t="s">
        <v>498</v>
      </c>
      <c r="J65" s="143">
        <v>0</v>
      </c>
      <c r="K65" s="141">
        <v>0</v>
      </c>
      <c r="L65" s="141">
        <v>0</v>
      </c>
      <c r="M65" s="141">
        <v>0</v>
      </c>
      <c r="N65" s="141">
        <v>0</v>
      </c>
      <c r="O65" s="141">
        <v>0</v>
      </c>
      <c r="P65" s="141">
        <v>0</v>
      </c>
      <c r="Q65" s="144">
        <v>0</v>
      </c>
      <c r="R65" s="143">
        <v>0</v>
      </c>
      <c r="S65" s="141">
        <v>0</v>
      </c>
      <c r="T65" s="141">
        <v>0</v>
      </c>
      <c r="U65" s="141">
        <v>0</v>
      </c>
      <c r="V65" s="144">
        <v>0</v>
      </c>
      <c r="W65" s="163"/>
      <c r="X65" s="164" t="s">
        <v>498</v>
      </c>
      <c r="Y65" s="143">
        <v>0</v>
      </c>
      <c r="Z65" s="141">
        <v>0</v>
      </c>
      <c r="AA65" s="141">
        <v>0</v>
      </c>
      <c r="AB65" s="141">
        <v>0</v>
      </c>
      <c r="AC65" s="141">
        <v>0</v>
      </c>
      <c r="AD65" s="141">
        <v>0</v>
      </c>
      <c r="AE65" s="141">
        <v>0</v>
      </c>
      <c r="AF65" s="144">
        <v>0</v>
      </c>
      <c r="AG65" s="143">
        <v>0</v>
      </c>
      <c r="AH65" s="141">
        <v>0</v>
      </c>
      <c r="AI65" s="141">
        <v>0</v>
      </c>
      <c r="AJ65" s="141">
        <v>0</v>
      </c>
      <c r="AK65" s="144">
        <v>0</v>
      </c>
      <c r="AL65" s="660"/>
      <c r="AM65" s="1496"/>
      <c r="AN65" s="1492"/>
    </row>
    <row r="66" spans="2:40" ht="14.25">
      <c r="B66" s="161"/>
      <c r="C66" s="162"/>
      <c r="D66" s="162" t="s">
        <v>2706</v>
      </c>
      <c r="E66" s="162"/>
      <c r="F66" s="162"/>
      <c r="G66" s="163"/>
      <c r="H66" s="163"/>
      <c r="I66" s="164" t="s">
        <v>498</v>
      </c>
      <c r="J66" s="143">
        <v>0</v>
      </c>
      <c r="K66" s="141">
        <v>0</v>
      </c>
      <c r="L66" s="141">
        <v>0</v>
      </c>
      <c r="M66" s="141">
        <v>0</v>
      </c>
      <c r="N66" s="141">
        <v>0</v>
      </c>
      <c r="O66" s="141">
        <v>0</v>
      </c>
      <c r="P66" s="141">
        <v>0</v>
      </c>
      <c r="Q66" s="144">
        <v>0</v>
      </c>
      <c r="R66" s="143">
        <v>0</v>
      </c>
      <c r="S66" s="141">
        <v>0</v>
      </c>
      <c r="T66" s="141">
        <v>0</v>
      </c>
      <c r="U66" s="141">
        <v>0</v>
      </c>
      <c r="V66" s="144">
        <v>0</v>
      </c>
      <c r="W66" s="163"/>
      <c r="X66" s="164" t="s">
        <v>498</v>
      </c>
      <c r="Y66" s="143">
        <v>0</v>
      </c>
      <c r="Z66" s="141">
        <v>0</v>
      </c>
      <c r="AA66" s="141">
        <v>0</v>
      </c>
      <c r="AB66" s="141">
        <v>0</v>
      </c>
      <c r="AC66" s="141">
        <v>0</v>
      </c>
      <c r="AD66" s="141">
        <v>0</v>
      </c>
      <c r="AE66" s="141">
        <v>0</v>
      </c>
      <c r="AF66" s="144">
        <v>0</v>
      </c>
      <c r="AG66" s="143">
        <v>0</v>
      </c>
      <c r="AH66" s="141">
        <v>0</v>
      </c>
      <c r="AI66" s="141">
        <v>0</v>
      </c>
      <c r="AJ66" s="141">
        <v>0</v>
      </c>
      <c r="AK66" s="144">
        <v>0</v>
      </c>
      <c r="AL66" s="660"/>
      <c r="AM66" s="1496"/>
      <c r="AN66" s="1492"/>
    </row>
    <row r="67" spans="2:40" ht="14.25">
      <c r="B67" s="161"/>
      <c r="C67" s="162"/>
      <c r="D67" s="162" t="s">
        <v>2707</v>
      </c>
      <c r="E67" s="162"/>
      <c r="F67" s="162"/>
      <c r="G67" s="163"/>
      <c r="H67" s="163"/>
      <c r="I67" s="164" t="s">
        <v>498</v>
      </c>
      <c r="J67" s="143">
        <v>0</v>
      </c>
      <c r="K67" s="141">
        <v>0</v>
      </c>
      <c r="L67" s="141">
        <v>0</v>
      </c>
      <c r="M67" s="141">
        <v>0</v>
      </c>
      <c r="N67" s="141">
        <v>0</v>
      </c>
      <c r="O67" s="141">
        <v>0</v>
      </c>
      <c r="P67" s="141">
        <v>0</v>
      </c>
      <c r="Q67" s="144">
        <v>0</v>
      </c>
      <c r="R67" s="143">
        <v>0</v>
      </c>
      <c r="S67" s="141">
        <v>0</v>
      </c>
      <c r="T67" s="141">
        <v>0</v>
      </c>
      <c r="U67" s="141">
        <v>0</v>
      </c>
      <c r="V67" s="144">
        <v>0</v>
      </c>
      <c r="W67" s="163"/>
      <c r="X67" s="164" t="s">
        <v>498</v>
      </c>
      <c r="Y67" s="143">
        <v>0</v>
      </c>
      <c r="Z67" s="141">
        <v>0</v>
      </c>
      <c r="AA67" s="141">
        <v>0</v>
      </c>
      <c r="AB67" s="141">
        <v>0</v>
      </c>
      <c r="AC67" s="141">
        <v>0</v>
      </c>
      <c r="AD67" s="141">
        <v>0</v>
      </c>
      <c r="AE67" s="141">
        <v>0</v>
      </c>
      <c r="AF67" s="144">
        <v>0</v>
      </c>
      <c r="AG67" s="143">
        <v>0</v>
      </c>
      <c r="AH67" s="141">
        <v>0</v>
      </c>
      <c r="AI67" s="141">
        <v>0</v>
      </c>
      <c r="AJ67" s="141">
        <v>0</v>
      </c>
      <c r="AK67" s="144">
        <v>0</v>
      </c>
      <c r="AL67" s="660"/>
      <c r="AM67" s="1496"/>
      <c r="AN67" s="1492"/>
    </row>
    <row r="68" spans="2:40" ht="13.5" customHeight="1">
      <c r="B68" s="161"/>
      <c r="C68" s="162"/>
      <c r="D68" s="162" t="s">
        <v>2708</v>
      </c>
      <c r="E68" s="162"/>
      <c r="F68" s="162"/>
      <c r="G68" s="163"/>
      <c r="H68" s="163"/>
      <c r="I68" s="164" t="s">
        <v>498</v>
      </c>
      <c r="J68" s="143">
        <v>0</v>
      </c>
      <c r="K68" s="141">
        <v>0</v>
      </c>
      <c r="L68" s="141">
        <v>0</v>
      </c>
      <c r="M68" s="141">
        <v>0</v>
      </c>
      <c r="N68" s="141">
        <v>0</v>
      </c>
      <c r="O68" s="141">
        <v>0</v>
      </c>
      <c r="P68" s="141">
        <v>0</v>
      </c>
      <c r="Q68" s="144">
        <v>0</v>
      </c>
      <c r="R68" s="143">
        <v>0</v>
      </c>
      <c r="S68" s="141">
        <v>0</v>
      </c>
      <c r="T68" s="141">
        <v>0</v>
      </c>
      <c r="U68" s="141">
        <v>0</v>
      </c>
      <c r="V68" s="144">
        <v>0</v>
      </c>
      <c r="W68" s="163"/>
      <c r="X68" s="164" t="s">
        <v>498</v>
      </c>
      <c r="Y68" s="143">
        <v>0</v>
      </c>
      <c r="Z68" s="141">
        <v>0</v>
      </c>
      <c r="AA68" s="141">
        <v>0</v>
      </c>
      <c r="AB68" s="141">
        <v>0</v>
      </c>
      <c r="AC68" s="141">
        <v>0</v>
      </c>
      <c r="AD68" s="141">
        <v>0</v>
      </c>
      <c r="AE68" s="141">
        <v>0</v>
      </c>
      <c r="AF68" s="144">
        <v>0</v>
      </c>
      <c r="AG68" s="143">
        <v>0</v>
      </c>
      <c r="AH68" s="141">
        <v>0</v>
      </c>
      <c r="AI68" s="141">
        <v>0</v>
      </c>
      <c r="AJ68" s="141">
        <v>0</v>
      </c>
      <c r="AK68" s="144">
        <v>0</v>
      </c>
      <c r="AL68" s="660"/>
      <c r="AM68" s="1496"/>
      <c r="AN68" s="1492"/>
    </row>
    <row r="69" spans="2:40" ht="14.25">
      <c r="B69" s="161"/>
      <c r="C69" s="162" t="s">
        <v>1710</v>
      </c>
      <c r="D69" s="162"/>
      <c r="E69" s="162"/>
      <c r="F69" s="162"/>
      <c r="G69" s="163"/>
      <c r="H69" s="163"/>
      <c r="I69" s="164" t="s">
        <v>498</v>
      </c>
      <c r="J69" s="641">
        <f t="shared" ref="J69:V69" si="8">SUM(J61:J68)</f>
        <v>0</v>
      </c>
      <c r="K69" s="642">
        <f t="shared" si="8"/>
        <v>0</v>
      </c>
      <c r="L69" s="642">
        <f t="shared" si="8"/>
        <v>0</v>
      </c>
      <c r="M69" s="642">
        <f t="shared" si="8"/>
        <v>0</v>
      </c>
      <c r="N69" s="642">
        <f t="shared" si="8"/>
        <v>0</v>
      </c>
      <c r="O69" s="642">
        <f t="shared" si="8"/>
        <v>0</v>
      </c>
      <c r="P69" s="642">
        <f t="shared" si="8"/>
        <v>0</v>
      </c>
      <c r="Q69" s="643">
        <f t="shared" si="8"/>
        <v>0</v>
      </c>
      <c r="R69" s="641">
        <f t="shared" si="8"/>
        <v>0</v>
      </c>
      <c r="S69" s="642">
        <f t="shared" si="8"/>
        <v>0</v>
      </c>
      <c r="T69" s="642">
        <f t="shared" si="8"/>
        <v>0</v>
      </c>
      <c r="U69" s="642">
        <f t="shared" si="8"/>
        <v>0</v>
      </c>
      <c r="V69" s="643">
        <f t="shared" si="8"/>
        <v>0</v>
      </c>
      <c r="W69" s="163"/>
      <c r="X69" s="164" t="s">
        <v>498</v>
      </c>
      <c r="Y69" s="641">
        <f t="shared" ref="Y69:AK69" si="9">SUM(Y61:Y68)</f>
        <v>0</v>
      </c>
      <c r="Z69" s="642">
        <f t="shared" si="9"/>
        <v>0</v>
      </c>
      <c r="AA69" s="642">
        <f t="shared" si="9"/>
        <v>0</v>
      </c>
      <c r="AB69" s="642">
        <f t="shared" si="9"/>
        <v>0</v>
      </c>
      <c r="AC69" s="642">
        <f t="shared" si="9"/>
        <v>0</v>
      </c>
      <c r="AD69" s="642">
        <f t="shared" si="9"/>
        <v>0</v>
      </c>
      <c r="AE69" s="642">
        <f t="shared" si="9"/>
        <v>0</v>
      </c>
      <c r="AF69" s="643">
        <f t="shared" si="9"/>
        <v>0</v>
      </c>
      <c r="AG69" s="641">
        <f t="shared" si="9"/>
        <v>0</v>
      </c>
      <c r="AH69" s="642">
        <f t="shared" si="9"/>
        <v>0</v>
      </c>
      <c r="AI69" s="642">
        <f t="shared" si="9"/>
        <v>0</v>
      </c>
      <c r="AJ69" s="642">
        <f t="shared" si="9"/>
        <v>0</v>
      </c>
      <c r="AK69" s="643">
        <f t="shared" si="9"/>
        <v>0</v>
      </c>
      <c r="AL69" s="660"/>
      <c r="AM69" s="664"/>
      <c r="AN69" s="659"/>
    </row>
    <row r="70" spans="2:40">
      <c r="B70" s="664"/>
      <c r="C70" s="662"/>
      <c r="D70" s="662"/>
      <c r="E70" s="662"/>
      <c r="F70" s="662"/>
      <c r="G70" s="660"/>
      <c r="H70" s="660"/>
      <c r="I70" s="661"/>
      <c r="J70" s="664"/>
      <c r="K70" s="660"/>
      <c r="L70" s="660"/>
      <c r="M70" s="660"/>
      <c r="N70" s="660"/>
      <c r="O70" s="660"/>
      <c r="P70" s="660"/>
      <c r="Q70" s="659"/>
      <c r="R70" s="664"/>
      <c r="S70" s="660"/>
      <c r="T70" s="660"/>
      <c r="U70" s="660"/>
      <c r="V70" s="659"/>
      <c r="W70" s="660"/>
      <c r="X70" s="660"/>
      <c r="Y70" s="664"/>
      <c r="Z70" s="660"/>
      <c r="AA70" s="660"/>
      <c r="AB70" s="660"/>
      <c r="AC70" s="660"/>
      <c r="AD70" s="660"/>
      <c r="AE70" s="660"/>
      <c r="AF70" s="659"/>
      <c r="AG70" s="664"/>
      <c r="AH70" s="660"/>
      <c r="AI70" s="660"/>
      <c r="AJ70" s="660"/>
      <c r="AK70" s="659"/>
      <c r="AL70" s="660"/>
      <c r="AM70" s="664"/>
      <c r="AN70" s="659"/>
    </row>
    <row r="71" spans="2:40" s="99" customFormat="1" ht="13.5" customHeight="1">
      <c r="B71" s="161"/>
      <c r="C71" s="116" t="s">
        <v>1685</v>
      </c>
      <c r="D71" s="116"/>
      <c r="E71" s="116"/>
      <c r="F71" s="116"/>
      <c r="G71" s="117"/>
      <c r="H71" s="117"/>
      <c r="I71" s="117"/>
      <c r="J71" s="159"/>
      <c r="K71" s="117"/>
      <c r="L71" s="117"/>
      <c r="M71" s="117"/>
      <c r="N71" s="117"/>
      <c r="O71" s="117"/>
      <c r="P71" s="117"/>
      <c r="Q71" s="160"/>
      <c r="R71" s="159"/>
      <c r="S71" s="117"/>
      <c r="T71" s="117"/>
      <c r="U71" s="117"/>
      <c r="V71" s="160"/>
      <c r="W71" s="117"/>
      <c r="X71" s="117"/>
      <c r="Y71" s="159"/>
      <c r="Z71" s="117"/>
      <c r="AA71" s="117"/>
      <c r="AB71" s="117"/>
      <c r="AC71" s="117"/>
      <c r="AD71" s="117"/>
      <c r="AE71" s="117"/>
      <c r="AF71" s="160"/>
      <c r="AG71" s="159"/>
      <c r="AH71" s="117"/>
      <c r="AI71" s="117"/>
      <c r="AJ71" s="117"/>
      <c r="AK71" s="160"/>
      <c r="AL71" s="1491"/>
      <c r="AM71" s="405"/>
      <c r="AN71" s="210"/>
    </row>
    <row r="72" spans="2:40" ht="14.25">
      <c r="B72" s="161"/>
      <c r="C72" s="162"/>
      <c r="D72" s="162" t="s">
        <v>2701</v>
      </c>
      <c r="E72" s="162"/>
      <c r="F72" s="162"/>
      <c r="G72" s="163"/>
      <c r="H72" s="163"/>
      <c r="I72" s="164" t="s">
        <v>498</v>
      </c>
      <c r="J72" s="143">
        <v>0</v>
      </c>
      <c r="K72" s="141">
        <v>0</v>
      </c>
      <c r="L72" s="141">
        <v>0</v>
      </c>
      <c r="M72" s="141">
        <v>0</v>
      </c>
      <c r="N72" s="141">
        <v>0</v>
      </c>
      <c r="O72" s="141">
        <v>0</v>
      </c>
      <c r="P72" s="141">
        <v>0</v>
      </c>
      <c r="Q72" s="144">
        <v>0</v>
      </c>
      <c r="R72" s="143">
        <v>0</v>
      </c>
      <c r="S72" s="141">
        <v>0</v>
      </c>
      <c r="T72" s="141">
        <v>0</v>
      </c>
      <c r="U72" s="141">
        <v>0</v>
      </c>
      <c r="V72" s="144">
        <v>0</v>
      </c>
      <c r="W72" s="163"/>
      <c r="X72" s="164" t="s">
        <v>498</v>
      </c>
      <c r="Y72" s="143">
        <v>0</v>
      </c>
      <c r="Z72" s="141">
        <v>0</v>
      </c>
      <c r="AA72" s="141">
        <v>0</v>
      </c>
      <c r="AB72" s="141">
        <v>0</v>
      </c>
      <c r="AC72" s="141">
        <v>0</v>
      </c>
      <c r="AD72" s="141">
        <v>0</v>
      </c>
      <c r="AE72" s="141">
        <v>0</v>
      </c>
      <c r="AF72" s="144">
        <v>0</v>
      </c>
      <c r="AG72" s="143">
        <v>0</v>
      </c>
      <c r="AH72" s="141">
        <v>0</v>
      </c>
      <c r="AI72" s="141">
        <v>0</v>
      </c>
      <c r="AJ72" s="141">
        <v>0</v>
      </c>
      <c r="AK72" s="144">
        <v>0</v>
      </c>
      <c r="AL72" s="660"/>
      <c r="AM72" s="1496"/>
      <c r="AN72" s="1492"/>
    </row>
    <row r="73" spans="2:40" ht="14.25">
      <c r="B73" s="161"/>
      <c r="C73" s="162"/>
      <c r="D73" s="162" t="s">
        <v>2702</v>
      </c>
      <c r="E73" s="162"/>
      <c r="F73" s="162"/>
      <c r="G73" s="163"/>
      <c r="H73" s="163"/>
      <c r="I73" s="164" t="s">
        <v>498</v>
      </c>
      <c r="J73" s="143">
        <v>0</v>
      </c>
      <c r="K73" s="141">
        <v>0</v>
      </c>
      <c r="L73" s="141">
        <v>0</v>
      </c>
      <c r="M73" s="141">
        <v>0</v>
      </c>
      <c r="N73" s="141">
        <v>0</v>
      </c>
      <c r="O73" s="141">
        <v>0</v>
      </c>
      <c r="P73" s="141">
        <v>0</v>
      </c>
      <c r="Q73" s="144">
        <v>0</v>
      </c>
      <c r="R73" s="143">
        <v>0</v>
      </c>
      <c r="S73" s="141">
        <v>0</v>
      </c>
      <c r="T73" s="141">
        <v>0</v>
      </c>
      <c r="U73" s="141">
        <v>0</v>
      </c>
      <c r="V73" s="144">
        <v>0</v>
      </c>
      <c r="W73" s="163"/>
      <c r="X73" s="164" t="s">
        <v>498</v>
      </c>
      <c r="Y73" s="143">
        <v>0</v>
      </c>
      <c r="Z73" s="141">
        <v>0</v>
      </c>
      <c r="AA73" s="141">
        <v>0</v>
      </c>
      <c r="AB73" s="141">
        <v>0</v>
      </c>
      <c r="AC73" s="141">
        <v>0</v>
      </c>
      <c r="AD73" s="141">
        <v>0</v>
      </c>
      <c r="AE73" s="141">
        <v>0</v>
      </c>
      <c r="AF73" s="144">
        <v>0</v>
      </c>
      <c r="AG73" s="143">
        <v>0</v>
      </c>
      <c r="AH73" s="141">
        <v>0</v>
      </c>
      <c r="AI73" s="141">
        <v>0</v>
      </c>
      <c r="AJ73" s="141">
        <v>0</v>
      </c>
      <c r="AK73" s="144">
        <v>0</v>
      </c>
      <c r="AL73" s="660"/>
      <c r="AM73" s="1496"/>
      <c r="AN73" s="1492"/>
    </row>
    <row r="74" spans="2:40" ht="14.25">
      <c r="B74" s="161"/>
      <c r="C74" s="162"/>
      <c r="D74" s="162" t="s">
        <v>2703</v>
      </c>
      <c r="E74" s="162"/>
      <c r="F74" s="162"/>
      <c r="G74" s="163"/>
      <c r="H74" s="163"/>
      <c r="I74" s="164" t="s">
        <v>498</v>
      </c>
      <c r="J74" s="143">
        <v>0</v>
      </c>
      <c r="K74" s="141">
        <v>0</v>
      </c>
      <c r="L74" s="141">
        <v>0</v>
      </c>
      <c r="M74" s="141">
        <v>0</v>
      </c>
      <c r="N74" s="141">
        <v>0</v>
      </c>
      <c r="O74" s="141">
        <v>0</v>
      </c>
      <c r="P74" s="141">
        <v>0</v>
      </c>
      <c r="Q74" s="144">
        <v>0</v>
      </c>
      <c r="R74" s="143">
        <v>0</v>
      </c>
      <c r="S74" s="141">
        <v>0</v>
      </c>
      <c r="T74" s="141">
        <v>0</v>
      </c>
      <c r="U74" s="141">
        <v>0</v>
      </c>
      <c r="V74" s="144">
        <v>0</v>
      </c>
      <c r="W74" s="163"/>
      <c r="X74" s="164" t="s">
        <v>498</v>
      </c>
      <c r="Y74" s="143">
        <v>0</v>
      </c>
      <c r="Z74" s="141">
        <v>0</v>
      </c>
      <c r="AA74" s="141">
        <v>0</v>
      </c>
      <c r="AB74" s="141">
        <v>0</v>
      </c>
      <c r="AC74" s="141">
        <v>0</v>
      </c>
      <c r="AD74" s="141">
        <v>0</v>
      </c>
      <c r="AE74" s="141">
        <v>0</v>
      </c>
      <c r="AF74" s="144">
        <v>0</v>
      </c>
      <c r="AG74" s="143">
        <v>0</v>
      </c>
      <c r="AH74" s="141">
        <v>0</v>
      </c>
      <c r="AI74" s="141">
        <v>0</v>
      </c>
      <c r="AJ74" s="141">
        <v>0</v>
      </c>
      <c r="AK74" s="144">
        <v>0</v>
      </c>
      <c r="AL74" s="660"/>
      <c r="AM74" s="1496"/>
      <c r="AN74" s="1492"/>
    </row>
    <row r="75" spans="2:40" ht="14.25">
      <c r="B75" s="161"/>
      <c r="C75" s="162"/>
      <c r="D75" s="162" t="s">
        <v>2704</v>
      </c>
      <c r="E75" s="162"/>
      <c r="F75" s="162"/>
      <c r="G75" s="163"/>
      <c r="H75" s="163"/>
      <c r="I75" s="164" t="s">
        <v>498</v>
      </c>
      <c r="J75" s="143">
        <v>0</v>
      </c>
      <c r="K75" s="141">
        <v>0</v>
      </c>
      <c r="L75" s="141">
        <v>0</v>
      </c>
      <c r="M75" s="141">
        <v>0</v>
      </c>
      <c r="N75" s="141">
        <v>0</v>
      </c>
      <c r="O75" s="141">
        <v>0</v>
      </c>
      <c r="P75" s="141">
        <v>0</v>
      </c>
      <c r="Q75" s="144">
        <v>0</v>
      </c>
      <c r="R75" s="143">
        <v>0</v>
      </c>
      <c r="S75" s="141">
        <v>0</v>
      </c>
      <c r="T75" s="141">
        <v>0</v>
      </c>
      <c r="U75" s="141">
        <v>0</v>
      </c>
      <c r="V75" s="144">
        <v>0</v>
      </c>
      <c r="W75" s="163"/>
      <c r="X75" s="164" t="s">
        <v>498</v>
      </c>
      <c r="Y75" s="143">
        <v>0</v>
      </c>
      <c r="Z75" s="141">
        <v>0</v>
      </c>
      <c r="AA75" s="141">
        <v>0</v>
      </c>
      <c r="AB75" s="141">
        <v>0</v>
      </c>
      <c r="AC75" s="141">
        <v>0</v>
      </c>
      <c r="AD75" s="141">
        <v>0</v>
      </c>
      <c r="AE75" s="141">
        <v>0</v>
      </c>
      <c r="AF75" s="144">
        <v>0</v>
      </c>
      <c r="AG75" s="143">
        <v>0</v>
      </c>
      <c r="AH75" s="141">
        <v>0</v>
      </c>
      <c r="AI75" s="141">
        <v>0</v>
      </c>
      <c r="AJ75" s="141">
        <v>0</v>
      </c>
      <c r="AK75" s="144">
        <v>0</v>
      </c>
      <c r="AL75" s="660"/>
      <c r="AM75" s="1496"/>
      <c r="AN75" s="1492"/>
    </row>
    <row r="76" spans="2:40" ht="14.25">
      <c r="B76" s="161"/>
      <c r="C76" s="162"/>
      <c r="D76" s="162" t="s">
        <v>2705</v>
      </c>
      <c r="E76" s="162"/>
      <c r="F76" s="162"/>
      <c r="G76" s="163"/>
      <c r="H76" s="163"/>
      <c r="I76" s="164" t="s">
        <v>498</v>
      </c>
      <c r="J76" s="143">
        <v>0</v>
      </c>
      <c r="K76" s="141">
        <v>0</v>
      </c>
      <c r="L76" s="141">
        <v>0</v>
      </c>
      <c r="M76" s="141">
        <v>0</v>
      </c>
      <c r="N76" s="141">
        <v>0</v>
      </c>
      <c r="O76" s="141">
        <v>0</v>
      </c>
      <c r="P76" s="141">
        <v>0</v>
      </c>
      <c r="Q76" s="144">
        <v>0</v>
      </c>
      <c r="R76" s="143">
        <v>0</v>
      </c>
      <c r="S76" s="141">
        <v>0</v>
      </c>
      <c r="T76" s="141">
        <v>0</v>
      </c>
      <c r="U76" s="141">
        <v>0</v>
      </c>
      <c r="V76" s="144">
        <v>0</v>
      </c>
      <c r="W76" s="163"/>
      <c r="X76" s="164" t="s">
        <v>498</v>
      </c>
      <c r="Y76" s="143">
        <v>0</v>
      </c>
      <c r="Z76" s="141">
        <v>0</v>
      </c>
      <c r="AA76" s="141">
        <v>0</v>
      </c>
      <c r="AB76" s="141">
        <v>0</v>
      </c>
      <c r="AC76" s="141">
        <v>0</v>
      </c>
      <c r="AD76" s="141">
        <v>0</v>
      </c>
      <c r="AE76" s="141">
        <v>0</v>
      </c>
      <c r="AF76" s="144">
        <v>0</v>
      </c>
      <c r="AG76" s="143">
        <v>0</v>
      </c>
      <c r="AH76" s="141">
        <v>0</v>
      </c>
      <c r="AI76" s="141">
        <v>0</v>
      </c>
      <c r="AJ76" s="141">
        <v>0</v>
      </c>
      <c r="AK76" s="144">
        <v>0</v>
      </c>
      <c r="AL76" s="660"/>
      <c r="AM76" s="1496"/>
      <c r="AN76" s="1492"/>
    </row>
    <row r="77" spans="2:40" ht="14.25">
      <c r="B77" s="161"/>
      <c r="C77" s="162"/>
      <c r="D77" s="162" t="s">
        <v>2706</v>
      </c>
      <c r="E77" s="162"/>
      <c r="F77" s="162"/>
      <c r="G77" s="163"/>
      <c r="H77" s="163"/>
      <c r="I77" s="164" t="s">
        <v>498</v>
      </c>
      <c r="J77" s="143">
        <v>0</v>
      </c>
      <c r="K77" s="141">
        <v>0</v>
      </c>
      <c r="L77" s="141">
        <v>0</v>
      </c>
      <c r="M77" s="141">
        <v>0</v>
      </c>
      <c r="N77" s="141">
        <v>0</v>
      </c>
      <c r="O77" s="141">
        <v>0</v>
      </c>
      <c r="P77" s="141">
        <v>0</v>
      </c>
      <c r="Q77" s="144">
        <v>0</v>
      </c>
      <c r="R77" s="143">
        <v>0</v>
      </c>
      <c r="S77" s="141">
        <v>0</v>
      </c>
      <c r="T77" s="141">
        <v>0</v>
      </c>
      <c r="U77" s="141">
        <v>0</v>
      </c>
      <c r="V77" s="144">
        <v>0</v>
      </c>
      <c r="W77" s="163"/>
      <c r="X77" s="164" t="s">
        <v>498</v>
      </c>
      <c r="Y77" s="143">
        <v>0</v>
      </c>
      <c r="Z77" s="141">
        <v>0</v>
      </c>
      <c r="AA77" s="141">
        <v>0</v>
      </c>
      <c r="AB77" s="141">
        <v>0</v>
      </c>
      <c r="AC77" s="141">
        <v>0</v>
      </c>
      <c r="AD77" s="141">
        <v>0</v>
      </c>
      <c r="AE77" s="141">
        <v>0</v>
      </c>
      <c r="AF77" s="144">
        <v>0</v>
      </c>
      <c r="AG77" s="143">
        <v>0</v>
      </c>
      <c r="AH77" s="141">
        <v>0</v>
      </c>
      <c r="AI77" s="141">
        <v>0</v>
      </c>
      <c r="AJ77" s="141">
        <v>0</v>
      </c>
      <c r="AK77" s="144">
        <v>0</v>
      </c>
      <c r="AL77" s="660"/>
      <c r="AM77" s="1496"/>
      <c r="AN77" s="1492"/>
    </row>
    <row r="78" spans="2:40" ht="14.25">
      <c r="B78" s="161"/>
      <c r="C78" s="162"/>
      <c r="D78" s="162" t="s">
        <v>2707</v>
      </c>
      <c r="E78" s="162"/>
      <c r="F78" s="162"/>
      <c r="G78" s="163"/>
      <c r="H78" s="163"/>
      <c r="I78" s="164" t="s">
        <v>498</v>
      </c>
      <c r="J78" s="143">
        <v>0</v>
      </c>
      <c r="K78" s="141">
        <v>0</v>
      </c>
      <c r="L78" s="141">
        <v>0</v>
      </c>
      <c r="M78" s="141">
        <v>0</v>
      </c>
      <c r="N78" s="141">
        <v>0</v>
      </c>
      <c r="O78" s="141">
        <v>0</v>
      </c>
      <c r="P78" s="141">
        <v>0</v>
      </c>
      <c r="Q78" s="144">
        <v>0</v>
      </c>
      <c r="R78" s="143">
        <v>0</v>
      </c>
      <c r="S78" s="141">
        <v>0</v>
      </c>
      <c r="T78" s="141">
        <v>0</v>
      </c>
      <c r="U78" s="141">
        <v>0</v>
      </c>
      <c r="V78" s="144">
        <v>0</v>
      </c>
      <c r="W78" s="163"/>
      <c r="X78" s="164" t="s">
        <v>498</v>
      </c>
      <c r="Y78" s="143">
        <v>0</v>
      </c>
      <c r="Z78" s="141">
        <v>0</v>
      </c>
      <c r="AA78" s="141">
        <v>0</v>
      </c>
      <c r="AB78" s="141">
        <v>0</v>
      </c>
      <c r="AC78" s="141">
        <v>0</v>
      </c>
      <c r="AD78" s="141">
        <v>0</v>
      </c>
      <c r="AE78" s="141">
        <v>0</v>
      </c>
      <c r="AF78" s="144">
        <v>0</v>
      </c>
      <c r="AG78" s="143">
        <v>0</v>
      </c>
      <c r="AH78" s="141">
        <v>0</v>
      </c>
      <c r="AI78" s="141">
        <v>0</v>
      </c>
      <c r="AJ78" s="141">
        <v>0</v>
      </c>
      <c r="AK78" s="144">
        <v>0</v>
      </c>
      <c r="AL78" s="660"/>
      <c r="AM78" s="1496"/>
      <c r="AN78" s="1492"/>
    </row>
    <row r="79" spans="2:40" ht="14.25">
      <c r="B79" s="161"/>
      <c r="C79" s="162"/>
      <c r="D79" s="162" t="s">
        <v>2708</v>
      </c>
      <c r="E79" s="162"/>
      <c r="F79" s="162"/>
      <c r="G79" s="163"/>
      <c r="H79" s="163"/>
      <c r="I79" s="164" t="s">
        <v>498</v>
      </c>
      <c r="J79" s="143">
        <v>0</v>
      </c>
      <c r="K79" s="141">
        <v>0</v>
      </c>
      <c r="L79" s="141">
        <v>0</v>
      </c>
      <c r="M79" s="141">
        <v>0</v>
      </c>
      <c r="N79" s="141">
        <v>0</v>
      </c>
      <c r="O79" s="141">
        <v>0</v>
      </c>
      <c r="P79" s="141">
        <v>0</v>
      </c>
      <c r="Q79" s="144">
        <v>0</v>
      </c>
      <c r="R79" s="143">
        <v>0</v>
      </c>
      <c r="S79" s="141">
        <v>0</v>
      </c>
      <c r="T79" s="141">
        <v>0</v>
      </c>
      <c r="U79" s="141">
        <v>0</v>
      </c>
      <c r="V79" s="144">
        <v>0</v>
      </c>
      <c r="W79" s="163"/>
      <c r="X79" s="164" t="s">
        <v>498</v>
      </c>
      <c r="Y79" s="143">
        <v>0</v>
      </c>
      <c r="Z79" s="141">
        <v>0</v>
      </c>
      <c r="AA79" s="141">
        <v>0</v>
      </c>
      <c r="AB79" s="141">
        <v>0</v>
      </c>
      <c r="AC79" s="141">
        <v>0</v>
      </c>
      <c r="AD79" s="141">
        <v>0</v>
      </c>
      <c r="AE79" s="141">
        <v>0</v>
      </c>
      <c r="AF79" s="144">
        <v>0</v>
      </c>
      <c r="AG79" s="143">
        <v>0</v>
      </c>
      <c r="AH79" s="141">
        <v>0</v>
      </c>
      <c r="AI79" s="141">
        <v>0</v>
      </c>
      <c r="AJ79" s="141">
        <v>0</v>
      </c>
      <c r="AK79" s="144">
        <v>0</v>
      </c>
      <c r="AL79" s="660"/>
      <c r="AM79" s="1496"/>
      <c r="AN79" s="1492"/>
    </row>
    <row r="80" spans="2:40" ht="14.25">
      <c r="B80" s="161"/>
      <c r="C80" s="162" t="s">
        <v>1710</v>
      </c>
      <c r="D80" s="162"/>
      <c r="E80" s="162"/>
      <c r="F80" s="162"/>
      <c r="G80" s="163"/>
      <c r="H80" s="163"/>
      <c r="I80" s="164" t="s">
        <v>498</v>
      </c>
      <c r="J80" s="641">
        <f t="shared" ref="J80:V80" si="10">SUM(J72:J79)</f>
        <v>0</v>
      </c>
      <c r="K80" s="642">
        <f t="shared" si="10"/>
        <v>0</v>
      </c>
      <c r="L80" s="642">
        <f t="shared" si="10"/>
        <v>0</v>
      </c>
      <c r="M80" s="642">
        <f t="shared" si="10"/>
        <v>0</v>
      </c>
      <c r="N80" s="642">
        <f t="shared" si="10"/>
        <v>0</v>
      </c>
      <c r="O80" s="642">
        <f t="shared" si="10"/>
        <v>0</v>
      </c>
      <c r="P80" s="642">
        <f t="shared" si="10"/>
        <v>0</v>
      </c>
      <c r="Q80" s="643">
        <f t="shared" si="10"/>
        <v>0</v>
      </c>
      <c r="R80" s="641">
        <f t="shared" si="10"/>
        <v>0</v>
      </c>
      <c r="S80" s="642">
        <f t="shared" si="10"/>
        <v>0</v>
      </c>
      <c r="T80" s="642">
        <f t="shared" si="10"/>
        <v>0</v>
      </c>
      <c r="U80" s="642">
        <f t="shared" si="10"/>
        <v>0</v>
      </c>
      <c r="V80" s="643">
        <f t="shared" si="10"/>
        <v>0</v>
      </c>
      <c r="W80" s="163"/>
      <c r="X80" s="164" t="s">
        <v>498</v>
      </c>
      <c r="Y80" s="641">
        <f t="shared" ref="Y80:AK80" si="11">SUM(Y72:Y79)</f>
        <v>0</v>
      </c>
      <c r="Z80" s="642">
        <f t="shared" si="11"/>
        <v>0</v>
      </c>
      <c r="AA80" s="642">
        <f t="shared" si="11"/>
        <v>0</v>
      </c>
      <c r="AB80" s="642">
        <f t="shared" si="11"/>
        <v>0</v>
      </c>
      <c r="AC80" s="642">
        <f t="shared" si="11"/>
        <v>0</v>
      </c>
      <c r="AD80" s="642">
        <f t="shared" si="11"/>
        <v>0</v>
      </c>
      <c r="AE80" s="642">
        <f t="shared" si="11"/>
        <v>0</v>
      </c>
      <c r="AF80" s="643">
        <f t="shared" si="11"/>
        <v>0</v>
      </c>
      <c r="AG80" s="641">
        <f t="shared" si="11"/>
        <v>0</v>
      </c>
      <c r="AH80" s="642">
        <f t="shared" si="11"/>
        <v>0</v>
      </c>
      <c r="AI80" s="642">
        <f t="shared" si="11"/>
        <v>0</v>
      </c>
      <c r="AJ80" s="642">
        <f t="shared" si="11"/>
        <v>0</v>
      </c>
      <c r="AK80" s="643">
        <f t="shared" si="11"/>
        <v>0</v>
      </c>
      <c r="AL80" s="660"/>
      <c r="AM80" s="664"/>
      <c r="AN80" s="659"/>
    </row>
    <row r="81" spans="2:40">
      <c r="B81" s="664"/>
      <c r="C81" s="662"/>
      <c r="D81" s="662"/>
      <c r="E81" s="662"/>
      <c r="F81" s="662"/>
      <c r="G81" s="660"/>
      <c r="H81" s="660"/>
      <c r="I81" s="661"/>
      <c r="J81" s="664"/>
      <c r="K81" s="660"/>
      <c r="L81" s="660"/>
      <c r="M81" s="660"/>
      <c r="N81" s="660"/>
      <c r="O81" s="660"/>
      <c r="P81" s="660"/>
      <c r="Q81" s="659"/>
      <c r="R81" s="664"/>
      <c r="S81" s="660"/>
      <c r="T81" s="660"/>
      <c r="U81" s="660"/>
      <c r="V81" s="659"/>
      <c r="W81" s="660"/>
      <c r="X81" s="660"/>
      <c r="Y81" s="664"/>
      <c r="Z81" s="660"/>
      <c r="AA81" s="660"/>
      <c r="AB81" s="660"/>
      <c r="AC81" s="660"/>
      <c r="AD81" s="660"/>
      <c r="AE81" s="660"/>
      <c r="AF81" s="659"/>
      <c r="AG81" s="664"/>
      <c r="AH81" s="660"/>
      <c r="AI81" s="660"/>
      <c r="AJ81" s="660"/>
      <c r="AK81" s="659"/>
      <c r="AL81" s="660"/>
      <c r="AM81" s="664"/>
      <c r="AN81" s="659"/>
    </row>
    <row r="82" spans="2:40" s="99" customFormat="1" ht="13.5" customHeight="1">
      <c r="B82" s="161"/>
      <c r="C82" s="116" t="s">
        <v>2774</v>
      </c>
      <c r="D82" s="116"/>
      <c r="E82" s="116"/>
      <c r="F82" s="116"/>
      <c r="G82" s="117"/>
      <c r="H82" s="117"/>
      <c r="I82" s="117"/>
      <c r="J82" s="159"/>
      <c r="K82" s="117"/>
      <c r="L82" s="117"/>
      <c r="M82" s="117"/>
      <c r="N82" s="117"/>
      <c r="O82" s="117"/>
      <c r="P82" s="117"/>
      <c r="Q82" s="160"/>
      <c r="R82" s="159"/>
      <c r="S82" s="117"/>
      <c r="T82" s="117"/>
      <c r="U82" s="117"/>
      <c r="V82" s="160"/>
      <c r="W82" s="117"/>
      <c r="X82" s="117"/>
      <c r="Y82" s="159"/>
      <c r="Z82" s="117"/>
      <c r="AA82" s="117"/>
      <c r="AB82" s="117"/>
      <c r="AC82" s="117"/>
      <c r="AD82" s="117"/>
      <c r="AE82" s="117"/>
      <c r="AF82" s="160"/>
      <c r="AG82" s="159"/>
      <c r="AH82" s="117"/>
      <c r="AI82" s="117"/>
      <c r="AJ82" s="117"/>
      <c r="AK82" s="160"/>
      <c r="AL82" s="1491"/>
      <c r="AM82" s="405"/>
      <c r="AN82" s="210"/>
    </row>
    <row r="83" spans="2:40" ht="14.25">
      <c r="B83" s="161"/>
      <c r="C83" s="162"/>
      <c r="D83" s="162" t="s">
        <v>2701</v>
      </c>
      <c r="E83" s="162"/>
      <c r="F83" s="162"/>
      <c r="G83" s="163"/>
      <c r="H83" s="163"/>
      <c r="I83" s="164" t="s">
        <v>498</v>
      </c>
      <c r="J83" s="143">
        <v>0</v>
      </c>
      <c r="K83" s="141">
        <v>0</v>
      </c>
      <c r="L83" s="141">
        <v>0</v>
      </c>
      <c r="M83" s="141">
        <v>0</v>
      </c>
      <c r="N83" s="141">
        <v>0</v>
      </c>
      <c r="O83" s="141">
        <v>0</v>
      </c>
      <c r="P83" s="141">
        <v>0</v>
      </c>
      <c r="Q83" s="144">
        <v>0</v>
      </c>
      <c r="R83" s="143">
        <v>0</v>
      </c>
      <c r="S83" s="141">
        <v>0</v>
      </c>
      <c r="T83" s="141">
        <v>0</v>
      </c>
      <c r="U83" s="141">
        <v>0</v>
      </c>
      <c r="V83" s="144">
        <v>0</v>
      </c>
      <c r="W83" s="163"/>
      <c r="X83" s="164" t="s">
        <v>498</v>
      </c>
      <c r="Y83" s="143">
        <v>0</v>
      </c>
      <c r="Z83" s="141">
        <v>0</v>
      </c>
      <c r="AA83" s="141">
        <v>0</v>
      </c>
      <c r="AB83" s="141">
        <v>0</v>
      </c>
      <c r="AC83" s="141">
        <v>0</v>
      </c>
      <c r="AD83" s="141">
        <v>0</v>
      </c>
      <c r="AE83" s="141">
        <v>0</v>
      </c>
      <c r="AF83" s="144">
        <v>0</v>
      </c>
      <c r="AG83" s="143">
        <v>0</v>
      </c>
      <c r="AH83" s="141">
        <v>0</v>
      </c>
      <c r="AI83" s="141">
        <v>0</v>
      </c>
      <c r="AJ83" s="141">
        <v>0</v>
      </c>
      <c r="AK83" s="144">
        <v>0</v>
      </c>
      <c r="AL83" s="660"/>
      <c r="AM83" s="1496"/>
      <c r="AN83" s="1492"/>
    </row>
    <row r="84" spans="2:40" ht="14.25">
      <c r="B84" s="161"/>
      <c r="C84" s="162"/>
      <c r="D84" s="162" t="s">
        <v>2702</v>
      </c>
      <c r="E84" s="162"/>
      <c r="F84" s="162"/>
      <c r="G84" s="163"/>
      <c r="H84" s="163"/>
      <c r="I84" s="164" t="s">
        <v>498</v>
      </c>
      <c r="J84" s="143">
        <v>0</v>
      </c>
      <c r="K84" s="141">
        <v>0</v>
      </c>
      <c r="L84" s="141">
        <v>0</v>
      </c>
      <c r="M84" s="141">
        <v>0</v>
      </c>
      <c r="N84" s="141">
        <v>0</v>
      </c>
      <c r="O84" s="141">
        <v>0</v>
      </c>
      <c r="P84" s="141">
        <v>0</v>
      </c>
      <c r="Q84" s="144">
        <v>0</v>
      </c>
      <c r="R84" s="143">
        <v>0</v>
      </c>
      <c r="S84" s="141">
        <v>0</v>
      </c>
      <c r="T84" s="141">
        <v>0</v>
      </c>
      <c r="U84" s="141">
        <v>0</v>
      </c>
      <c r="V84" s="144">
        <v>0</v>
      </c>
      <c r="W84" s="163"/>
      <c r="X84" s="164" t="s">
        <v>498</v>
      </c>
      <c r="Y84" s="143">
        <v>0</v>
      </c>
      <c r="Z84" s="141">
        <v>0</v>
      </c>
      <c r="AA84" s="141">
        <v>0</v>
      </c>
      <c r="AB84" s="141">
        <v>0</v>
      </c>
      <c r="AC84" s="141">
        <v>0</v>
      </c>
      <c r="AD84" s="141">
        <v>0</v>
      </c>
      <c r="AE84" s="141">
        <v>0</v>
      </c>
      <c r="AF84" s="144">
        <v>0</v>
      </c>
      <c r="AG84" s="143">
        <v>0</v>
      </c>
      <c r="AH84" s="141">
        <v>0</v>
      </c>
      <c r="AI84" s="141">
        <v>0</v>
      </c>
      <c r="AJ84" s="141">
        <v>0</v>
      </c>
      <c r="AK84" s="144">
        <v>0</v>
      </c>
      <c r="AL84" s="660"/>
      <c r="AM84" s="1496"/>
      <c r="AN84" s="1492"/>
    </row>
    <row r="85" spans="2:40" ht="14.25">
      <c r="B85" s="161"/>
      <c r="C85" s="162"/>
      <c r="D85" s="162" t="s">
        <v>2703</v>
      </c>
      <c r="E85" s="162"/>
      <c r="F85" s="162"/>
      <c r="G85" s="163"/>
      <c r="H85" s="163"/>
      <c r="I85" s="164" t="s">
        <v>498</v>
      </c>
      <c r="J85" s="143">
        <v>0</v>
      </c>
      <c r="K85" s="141">
        <v>0</v>
      </c>
      <c r="L85" s="141">
        <v>0</v>
      </c>
      <c r="M85" s="141">
        <v>0</v>
      </c>
      <c r="N85" s="141">
        <v>0</v>
      </c>
      <c r="O85" s="141">
        <v>0</v>
      </c>
      <c r="P85" s="141">
        <v>0</v>
      </c>
      <c r="Q85" s="144">
        <v>0</v>
      </c>
      <c r="R85" s="143">
        <v>0</v>
      </c>
      <c r="S85" s="141">
        <v>0</v>
      </c>
      <c r="T85" s="141">
        <v>0</v>
      </c>
      <c r="U85" s="141">
        <v>0</v>
      </c>
      <c r="V85" s="144">
        <v>0</v>
      </c>
      <c r="W85" s="163"/>
      <c r="X85" s="164" t="s">
        <v>498</v>
      </c>
      <c r="Y85" s="143">
        <v>0</v>
      </c>
      <c r="Z85" s="141">
        <v>0</v>
      </c>
      <c r="AA85" s="141">
        <v>0</v>
      </c>
      <c r="AB85" s="141">
        <v>0</v>
      </c>
      <c r="AC85" s="141">
        <v>0</v>
      </c>
      <c r="AD85" s="141">
        <v>0</v>
      </c>
      <c r="AE85" s="141">
        <v>0</v>
      </c>
      <c r="AF85" s="144">
        <v>0</v>
      </c>
      <c r="AG85" s="143">
        <v>0</v>
      </c>
      <c r="AH85" s="141">
        <v>0</v>
      </c>
      <c r="AI85" s="141">
        <v>0</v>
      </c>
      <c r="AJ85" s="141">
        <v>0</v>
      </c>
      <c r="AK85" s="144">
        <v>0</v>
      </c>
      <c r="AL85" s="660"/>
      <c r="AM85" s="1496"/>
      <c r="AN85" s="1492"/>
    </row>
    <row r="86" spans="2:40" ht="14.25">
      <c r="B86" s="161"/>
      <c r="C86" s="162"/>
      <c r="D86" s="162" t="s">
        <v>2704</v>
      </c>
      <c r="E86" s="162"/>
      <c r="F86" s="162"/>
      <c r="G86" s="163"/>
      <c r="H86" s="163"/>
      <c r="I86" s="164" t="s">
        <v>498</v>
      </c>
      <c r="J86" s="143">
        <v>0</v>
      </c>
      <c r="K86" s="141">
        <v>0</v>
      </c>
      <c r="L86" s="141">
        <v>0</v>
      </c>
      <c r="M86" s="141">
        <v>0</v>
      </c>
      <c r="N86" s="141">
        <v>0</v>
      </c>
      <c r="O86" s="141">
        <v>0</v>
      </c>
      <c r="P86" s="141">
        <v>0</v>
      </c>
      <c r="Q86" s="144">
        <v>0</v>
      </c>
      <c r="R86" s="143">
        <v>0</v>
      </c>
      <c r="S86" s="141">
        <v>0</v>
      </c>
      <c r="T86" s="141">
        <v>0</v>
      </c>
      <c r="U86" s="141">
        <v>0</v>
      </c>
      <c r="V86" s="144">
        <v>0</v>
      </c>
      <c r="W86" s="163"/>
      <c r="X86" s="164" t="s">
        <v>498</v>
      </c>
      <c r="Y86" s="143">
        <v>0</v>
      </c>
      <c r="Z86" s="141">
        <v>0</v>
      </c>
      <c r="AA86" s="141">
        <v>0</v>
      </c>
      <c r="AB86" s="141">
        <v>0</v>
      </c>
      <c r="AC86" s="141">
        <v>0</v>
      </c>
      <c r="AD86" s="141">
        <v>0</v>
      </c>
      <c r="AE86" s="141">
        <v>0</v>
      </c>
      <c r="AF86" s="144">
        <v>0</v>
      </c>
      <c r="AG86" s="143">
        <v>0</v>
      </c>
      <c r="AH86" s="141">
        <v>0</v>
      </c>
      <c r="AI86" s="141">
        <v>0</v>
      </c>
      <c r="AJ86" s="141">
        <v>0</v>
      </c>
      <c r="AK86" s="144">
        <v>0</v>
      </c>
      <c r="AL86" s="660"/>
      <c r="AM86" s="1496"/>
      <c r="AN86" s="1492"/>
    </row>
    <row r="87" spans="2:40" ht="14.25">
      <c r="B87" s="161"/>
      <c r="C87" s="162"/>
      <c r="D87" s="162" t="s">
        <v>2705</v>
      </c>
      <c r="E87" s="162"/>
      <c r="F87" s="162"/>
      <c r="G87" s="163"/>
      <c r="H87" s="163"/>
      <c r="I87" s="164" t="s">
        <v>498</v>
      </c>
      <c r="J87" s="143">
        <v>0</v>
      </c>
      <c r="K87" s="141">
        <v>0</v>
      </c>
      <c r="L87" s="141">
        <v>0</v>
      </c>
      <c r="M87" s="141">
        <v>0</v>
      </c>
      <c r="N87" s="141">
        <v>0</v>
      </c>
      <c r="O87" s="141">
        <v>0</v>
      </c>
      <c r="P87" s="141">
        <v>0</v>
      </c>
      <c r="Q87" s="144">
        <v>0</v>
      </c>
      <c r="R87" s="143">
        <v>0</v>
      </c>
      <c r="S87" s="141">
        <v>0</v>
      </c>
      <c r="T87" s="141">
        <v>0</v>
      </c>
      <c r="U87" s="141">
        <v>0</v>
      </c>
      <c r="V87" s="144">
        <v>0</v>
      </c>
      <c r="W87" s="163"/>
      <c r="X87" s="164" t="s">
        <v>498</v>
      </c>
      <c r="Y87" s="143">
        <v>0</v>
      </c>
      <c r="Z87" s="141">
        <v>0</v>
      </c>
      <c r="AA87" s="141">
        <v>0</v>
      </c>
      <c r="AB87" s="141">
        <v>0</v>
      </c>
      <c r="AC87" s="141">
        <v>0</v>
      </c>
      <c r="AD87" s="141">
        <v>0</v>
      </c>
      <c r="AE87" s="141">
        <v>0</v>
      </c>
      <c r="AF87" s="144">
        <v>0</v>
      </c>
      <c r="AG87" s="143">
        <v>0</v>
      </c>
      <c r="AH87" s="141">
        <v>0</v>
      </c>
      <c r="AI87" s="141">
        <v>0</v>
      </c>
      <c r="AJ87" s="141">
        <v>0</v>
      </c>
      <c r="AK87" s="144">
        <v>0</v>
      </c>
      <c r="AL87" s="660"/>
      <c r="AM87" s="1496"/>
      <c r="AN87" s="1492"/>
    </row>
    <row r="88" spans="2:40" ht="14.25">
      <c r="B88" s="161"/>
      <c r="C88" s="162"/>
      <c r="D88" s="162" t="s">
        <v>2706</v>
      </c>
      <c r="E88" s="162"/>
      <c r="F88" s="162"/>
      <c r="G88" s="163"/>
      <c r="H88" s="163"/>
      <c r="I88" s="164" t="s">
        <v>498</v>
      </c>
      <c r="J88" s="143">
        <v>0</v>
      </c>
      <c r="K88" s="141">
        <v>0</v>
      </c>
      <c r="L88" s="141">
        <v>0</v>
      </c>
      <c r="M88" s="141">
        <v>0</v>
      </c>
      <c r="N88" s="141">
        <v>0</v>
      </c>
      <c r="O88" s="141">
        <v>0</v>
      </c>
      <c r="P88" s="141">
        <v>0</v>
      </c>
      <c r="Q88" s="144">
        <v>0</v>
      </c>
      <c r="R88" s="143">
        <v>0</v>
      </c>
      <c r="S88" s="141">
        <v>0</v>
      </c>
      <c r="T88" s="141">
        <v>0</v>
      </c>
      <c r="U88" s="141">
        <v>0</v>
      </c>
      <c r="V88" s="144">
        <v>0</v>
      </c>
      <c r="W88" s="163"/>
      <c r="X88" s="164" t="s">
        <v>498</v>
      </c>
      <c r="Y88" s="143">
        <v>0</v>
      </c>
      <c r="Z88" s="141">
        <v>0</v>
      </c>
      <c r="AA88" s="141">
        <v>0</v>
      </c>
      <c r="AB88" s="141">
        <v>0</v>
      </c>
      <c r="AC88" s="141">
        <v>0</v>
      </c>
      <c r="AD88" s="141">
        <v>0</v>
      </c>
      <c r="AE88" s="141">
        <v>0</v>
      </c>
      <c r="AF88" s="144">
        <v>0</v>
      </c>
      <c r="AG88" s="143">
        <v>0</v>
      </c>
      <c r="AH88" s="141">
        <v>0</v>
      </c>
      <c r="AI88" s="141">
        <v>0</v>
      </c>
      <c r="AJ88" s="141">
        <v>0</v>
      </c>
      <c r="AK88" s="144">
        <v>0</v>
      </c>
      <c r="AL88" s="660"/>
      <c r="AM88" s="1496"/>
      <c r="AN88" s="1492"/>
    </row>
    <row r="89" spans="2:40" ht="14.25">
      <c r="B89" s="161"/>
      <c r="C89" s="162"/>
      <c r="D89" s="162" t="s">
        <v>2707</v>
      </c>
      <c r="E89" s="162"/>
      <c r="F89" s="162"/>
      <c r="G89" s="163"/>
      <c r="H89" s="163"/>
      <c r="I89" s="164" t="s">
        <v>498</v>
      </c>
      <c r="J89" s="143">
        <v>0</v>
      </c>
      <c r="K89" s="141">
        <v>0</v>
      </c>
      <c r="L89" s="141">
        <v>0</v>
      </c>
      <c r="M89" s="141">
        <v>0</v>
      </c>
      <c r="N89" s="141">
        <v>0</v>
      </c>
      <c r="O89" s="141">
        <v>0</v>
      </c>
      <c r="P89" s="141">
        <v>0</v>
      </c>
      <c r="Q89" s="144">
        <v>0</v>
      </c>
      <c r="R89" s="143">
        <v>0</v>
      </c>
      <c r="S89" s="141">
        <v>0</v>
      </c>
      <c r="T89" s="141">
        <v>0</v>
      </c>
      <c r="U89" s="141">
        <v>0</v>
      </c>
      <c r="V89" s="144">
        <v>0</v>
      </c>
      <c r="W89" s="163"/>
      <c r="X89" s="164" t="s">
        <v>498</v>
      </c>
      <c r="Y89" s="143">
        <v>0</v>
      </c>
      <c r="Z89" s="141">
        <v>0</v>
      </c>
      <c r="AA89" s="141">
        <v>0</v>
      </c>
      <c r="AB89" s="141">
        <v>0</v>
      </c>
      <c r="AC89" s="141">
        <v>0</v>
      </c>
      <c r="AD89" s="141">
        <v>0</v>
      </c>
      <c r="AE89" s="141">
        <v>0</v>
      </c>
      <c r="AF89" s="144">
        <v>0</v>
      </c>
      <c r="AG89" s="143">
        <v>0</v>
      </c>
      <c r="AH89" s="141">
        <v>0</v>
      </c>
      <c r="AI89" s="141">
        <v>0</v>
      </c>
      <c r="AJ89" s="141">
        <v>0</v>
      </c>
      <c r="AK89" s="144">
        <v>0</v>
      </c>
      <c r="AL89" s="660"/>
      <c r="AM89" s="1496"/>
      <c r="AN89" s="1492"/>
    </row>
    <row r="90" spans="2:40" ht="14.25">
      <c r="B90" s="161"/>
      <c r="C90" s="162"/>
      <c r="D90" s="162" t="s">
        <v>2708</v>
      </c>
      <c r="E90" s="162"/>
      <c r="F90" s="162"/>
      <c r="G90" s="163"/>
      <c r="H90" s="163"/>
      <c r="I90" s="164" t="s">
        <v>498</v>
      </c>
      <c r="J90" s="143">
        <v>0</v>
      </c>
      <c r="K90" s="141">
        <v>0</v>
      </c>
      <c r="L90" s="141">
        <v>0</v>
      </c>
      <c r="M90" s="141">
        <v>0</v>
      </c>
      <c r="N90" s="141">
        <v>0</v>
      </c>
      <c r="O90" s="141">
        <v>0</v>
      </c>
      <c r="P90" s="141">
        <v>0</v>
      </c>
      <c r="Q90" s="144">
        <v>0</v>
      </c>
      <c r="R90" s="143">
        <v>0</v>
      </c>
      <c r="S90" s="141">
        <v>0</v>
      </c>
      <c r="T90" s="141">
        <v>0</v>
      </c>
      <c r="U90" s="141">
        <v>0</v>
      </c>
      <c r="V90" s="144">
        <v>0</v>
      </c>
      <c r="W90" s="163"/>
      <c r="X90" s="164" t="s">
        <v>498</v>
      </c>
      <c r="Y90" s="143">
        <v>0</v>
      </c>
      <c r="Z90" s="141">
        <v>0</v>
      </c>
      <c r="AA90" s="141">
        <v>0</v>
      </c>
      <c r="AB90" s="141">
        <v>0</v>
      </c>
      <c r="AC90" s="141">
        <v>0</v>
      </c>
      <c r="AD90" s="141">
        <v>0</v>
      </c>
      <c r="AE90" s="141">
        <v>0</v>
      </c>
      <c r="AF90" s="144">
        <v>0</v>
      </c>
      <c r="AG90" s="143">
        <v>0</v>
      </c>
      <c r="AH90" s="141">
        <v>0</v>
      </c>
      <c r="AI90" s="141">
        <v>0</v>
      </c>
      <c r="AJ90" s="141">
        <v>0</v>
      </c>
      <c r="AK90" s="144">
        <v>0</v>
      </c>
      <c r="AL90" s="660"/>
      <c r="AM90" s="1496"/>
      <c r="AN90" s="1492"/>
    </row>
    <row r="91" spans="2:40" ht="14.25">
      <c r="B91" s="161"/>
      <c r="C91" s="162" t="s">
        <v>1710</v>
      </c>
      <c r="D91" s="162"/>
      <c r="E91" s="162"/>
      <c r="F91" s="162"/>
      <c r="G91" s="163"/>
      <c r="H91" s="163"/>
      <c r="I91" s="164" t="s">
        <v>498</v>
      </c>
      <c r="J91" s="641">
        <f t="shared" ref="J91:V91" si="12">SUM(J83:J90)</f>
        <v>0</v>
      </c>
      <c r="K91" s="642">
        <f t="shared" si="12"/>
        <v>0</v>
      </c>
      <c r="L91" s="642">
        <f t="shared" si="12"/>
        <v>0</v>
      </c>
      <c r="M91" s="642">
        <f t="shared" si="12"/>
        <v>0</v>
      </c>
      <c r="N91" s="642">
        <f t="shared" si="12"/>
        <v>0</v>
      </c>
      <c r="O91" s="642">
        <f t="shared" si="12"/>
        <v>0</v>
      </c>
      <c r="P91" s="642">
        <f t="shared" si="12"/>
        <v>0</v>
      </c>
      <c r="Q91" s="643">
        <f t="shared" si="12"/>
        <v>0</v>
      </c>
      <c r="R91" s="641">
        <f t="shared" si="12"/>
        <v>0</v>
      </c>
      <c r="S91" s="642">
        <f t="shared" si="12"/>
        <v>0</v>
      </c>
      <c r="T91" s="642">
        <f t="shared" si="12"/>
        <v>0</v>
      </c>
      <c r="U91" s="642">
        <f t="shared" si="12"/>
        <v>0</v>
      </c>
      <c r="V91" s="643">
        <f t="shared" si="12"/>
        <v>0</v>
      </c>
      <c r="W91" s="163"/>
      <c r="X91" s="164" t="s">
        <v>498</v>
      </c>
      <c r="Y91" s="641">
        <f t="shared" ref="Y91:AK91" si="13">SUM(Y83:Y90)</f>
        <v>0</v>
      </c>
      <c r="Z91" s="642">
        <f t="shared" si="13"/>
        <v>0</v>
      </c>
      <c r="AA91" s="642">
        <f t="shared" si="13"/>
        <v>0</v>
      </c>
      <c r="AB91" s="642">
        <f t="shared" si="13"/>
        <v>0</v>
      </c>
      <c r="AC91" s="642">
        <f t="shared" si="13"/>
        <v>0</v>
      </c>
      <c r="AD91" s="642">
        <f t="shared" si="13"/>
        <v>0</v>
      </c>
      <c r="AE91" s="642">
        <f t="shared" si="13"/>
        <v>0</v>
      </c>
      <c r="AF91" s="643">
        <f t="shared" si="13"/>
        <v>0</v>
      </c>
      <c r="AG91" s="641">
        <f t="shared" si="13"/>
        <v>0</v>
      </c>
      <c r="AH91" s="642">
        <f t="shared" si="13"/>
        <v>0</v>
      </c>
      <c r="AI91" s="642">
        <f t="shared" si="13"/>
        <v>0</v>
      </c>
      <c r="AJ91" s="642">
        <f t="shared" si="13"/>
        <v>0</v>
      </c>
      <c r="AK91" s="643">
        <f t="shared" si="13"/>
        <v>0</v>
      </c>
      <c r="AL91" s="660"/>
      <c r="AM91" s="664"/>
      <c r="AN91" s="659"/>
    </row>
    <row r="92" spans="2:40">
      <c r="B92" s="664"/>
      <c r="C92" s="662"/>
      <c r="D92" s="662"/>
      <c r="E92" s="662"/>
      <c r="F92" s="662"/>
      <c r="G92" s="660"/>
      <c r="H92" s="660"/>
      <c r="I92" s="661"/>
      <c r="J92" s="664"/>
      <c r="K92" s="660"/>
      <c r="L92" s="660"/>
      <c r="M92" s="660"/>
      <c r="N92" s="660"/>
      <c r="O92" s="660"/>
      <c r="P92" s="660"/>
      <c r="Q92" s="659"/>
      <c r="R92" s="664"/>
      <c r="S92" s="660"/>
      <c r="T92" s="660"/>
      <c r="U92" s="660"/>
      <c r="V92" s="659"/>
      <c r="W92" s="660"/>
      <c r="X92" s="660"/>
      <c r="Y92" s="664"/>
      <c r="Z92" s="660"/>
      <c r="AA92" s="660"/>
      <c r="AB92" s="660"/>
      <c r="AC92" s="660"/>
      <c r="AD92" s="660"/>
      <c r="AE92" s="660"/>
      <c r="AF92" s="659"/>
      <c r="AG92" s="664"/>
      <c r="AH92" s="660"/>
      <c r="AI92" s="660"/>
      <c r="AJ92" s="660"/>
      <c r="AK92" s="659"/>
      <c r="AL92" s="660"/>
      <c r="AM92" s="664"/>
      <c r="AN92" s="659"/>
    </row>
    <row r="93" spans="2:40" s="99" customFormat="1" ht="13.5" customHeight="1">
      <c r="B93" s="161"/>
      <c r="C93" s="116" t="s">
        <v>2834</v>
      </c>
      <c r="D93" s="116"/>
      <c r="E93" s="116"/>
      <c r="F93" s="116"/>
      <c r="G93" s="117"/>
      <c r="H93" s="117"/>
      <c r="I93" s="117"/>
      <c r="J93" s="159"/>
      <c r="K93" s="117"/>
      <c r="L93" s="117"/>
      <c r="M93" s="117"/>
      <c r="N93" s="117"/>
      <c r="O93" s="117"/>
      <c r="P93" s="117"/>
      <c r="Q93" s="160"/>
      <c r="R93" s="159"/>
      <c r="S93" s="117"/>
      <c r="T93" s="117"/>
      <c r="U93" s="117"/>
      <c r="V93" s="160"/>
      <c r="W93" s="117"/>
      <c r="X93" s="117"/>
      <c r="Y93" s="159"/>
      <c r="Z93" s="117"/>
      <c r="AA93" s="117"/>
      <c r="AB93" s="117"/>
      <c r="AC93" s="117"/>
      <c r="AD93" s="117"/>
      <c r="AE93" s="117"/>
      <c r="AF93" s="160"/>
      <c r="AG93" s="159"/>
      <c r="AH93" s="117"/>
      <c r="AI93" s="117"/>
      <c r="AJ93" s="117"/>
      <c r="AK93" s="160"/>
      <c r="AL93" s="1491"/>
      <c r="AM93" s="405"/>
      <c r="AN93" s="210"/>
    </row>
    <row r="94" spans="2:40" ht="14.25">
      <c r="B94" s="161"/>
      <c r="C94" s="162"/>
      <c r="D94" s="162" t="s">
        <v>2701</v>
      </c>
      <c r="E94" s="162"/>
      <c r="F94" s="162"/>
      <c r="G94" s="163"/>
      <c r="H94" s="163"/>
      <c r="I94" s="164" t="s">
        <v>498</v>
      </c>
      <c r="J94" s="143">
        <v>0</v>
      </c>
      <c r="K94" s="141">
        <v>0</v>
      </c>
      <c r="L94" s="141">
        <v>0</v>
      </c>
      <c r="M94" s="141">
        <v>0</v>
      </c>
      <c r="N94" s="141">
        <v>0</v>
      </c>
      <c r="O94" s="141">
        <v>0</v>
      </c>
      <c r="P94" s="141">
        <v>0</v>
      </c>
      <c r="Q94" s="144">
        <v>0</v>
      </c>
      <c r="R94" s="143">
        <v>0</v>
      </c>
      <c r="S94" s="141">
        <v>0</v>
      </c>
      <c r="T94" s="141">
        <v>0</v>
      </c>
      <c r="U94" s="141">
        <v>0</v>
      </c>
      <c r="V94" s="144">
        <v>0</v>
      </c>
      <c r="W94" s="163"/>
      <c r="X94" s="164" t="s">
        <v>498</v>
      </c>
      <c r="Y94" s="143">
        <v>0</v>
      </c>
      <c r="Z94" s="141">
        <v>0</v>
      </c>
      <c r="AA94" s="141">
        <v>0</v>
      </c>
      <c r="AB94" s="141">
        <v>0</v>
      </c>
      <c r="AC94" s="141">
        <v>0</v>
      </c>
      <c r="AD94" s="141">
        <v>0</v>
      </c>
      <c r="AE94" s="141">
        <v>0</v>
      </c>
      <c r="AF94" s="144">
        <v>0</v>
      </c>
      <c r="AG94" s="143">
        <v>0</v>
      </c>
      <c r="AH94" s="141">
        <v>0</v>
      </c>
      <c r="AI94" s="141">
        <v>0</v>
      </c>
      <c r="AJ94" s="141">
        <v>0</v>
      </c>
      <c r="AK94" s="144">
        <v>0</v>
      </c>
      <c r="AL94" s="660"/>
      <c r="AM94" s="1496"/>
      <c r="AN94" s="1492"/>
    </row>
    <row r="95" spans="2:40" ht="14.25">
      <c r="B95" s="161"/>
      <c r="C95" s="162"/>
      <c r="D95" s="162" t="s">
        <v>2702</v>
      </c>
      <c r="E95" s="162"/>
      <c r="F95" s="162"/>
      <c r="G95" s="163"/>
      <c r="H95" s="163"/>
      <c r="I95" s="164" t="s">
        <v>498</v>
      </c>
      <c r="J95" s="143">
        <v>0</v>
      </c>
      <c r="K95" s="141">
        <v>0</v>
      </c>
      <c r="L95" s="141">
        <v>0</v>
      </c>
      <c r="M95" s="141">
        <v>0</v>
      </c>
      <c r="N95" s="141">
        <v>0</v>
      </c>
      <c r="O95" s="141">
        <v>0</v>
      </c>
      <c r="P95" s="141">
        <v>0</v>
      </c>
      <c r="Q95" s="144">
        <v>0</v>
      </c>
      <c r="R95" s="143">
        <v>0</v>
      </c>
      <c r="S95" s="141">
        <v>0</v>
      </c>
      <c r="T95" s="141">
        <v>0</v>
      </c>
      <c r="U95" s="141">
        <v>0</v>
      </c>
      <c r="V95" s="144">
        <v>0</v>
      </c>
      <c r="W95" s="163"/>
      <c r="X95" s="164" t="s">
        <v>498</v>
      </c>
      <c r="Y95" s="143">
        <v>0</v>
      </c>
      <c r="Z95" s="141">
        <v>0</v>
      </c>
      <c r="AA95" s="141">
        <v>0</v>
      </c>
      <c r="AB95" s="141">
        <v>0</v>
      </c>
      <c r="AC95" s="141">
        <v>0</v>
      </c>
      <c r="AD95" s="141">
        <v>0</v>
      </c>
      <c r="AE95" s="141">
        <v>0</v>
      </c>
      <c r="AF95" s="144">
        <v>0</v>
      </c>
      <c r="AG95" s="143">
        <v>0</v>
      </c>
      <c r="AH95" s="141">
        <v>0</v>
      </c>
      <c r="AI95" s="141">
        <v>0</v>
      </c>
      <c r="AJ95" s="141">
        <v>0</v>
      </c>
      <c r="AK95" s="144">
        <v>0</v>
      </c>
      <c r="AL95" s="660"/>
      <c r="AM95" s="1496"/>
      <c r="AN95" s="1492"/>
    </row>
    <row r="96" spans="2:40" ht="14.25">
      <c r="B96" s="161"/>
      <c r="C96" s="162"/>
      <c r="D96" s="162" t="s">
        <v>2703</v>
      </c>
      <c r="E96" s="162"/>
      <c r="F96" s="162"/>
      <c r="G96" s="163"/>
      <c r="H96" s="163"/>
      <c r="I96" s="164" t="s">
        <v>498</v>
      </c>
      <c r="J96" s="143">
        <v>0</v>
      </c>
      <c r="K96" s="141">
        <v>0</v>
      </c>
      <c r="L96" s="141">
        <v>0</v>
      </c>
      <c r="M96" s="141">
        <v>0</v>
      </c>
      <c r="N96" s="141">
        <v>0</v>
      </c>
      <c r="O96" s="141">
        <v>0</v>
      </c>
      <c r="P96" s="141">
        <v>0</v>
      </c>
      <c r="Q96" s="144">
        <v>0</v>
      </c>
      <c r="R96" s="143">
        <v>0</v>
      </c>
      <c r="S96" s="141">
        <v>0</v>
      </c>
      <c r="T96" s="141">
        <v>0</v>
      </c>
      <c r="U96" s="141">
        <v>0</v>
      </c>
      <c r="V96" s="144">
        <v>0</v>
      </c>
      <c r="W96" s="163"/>
      <c r="X96" s="164" t="s">
        <v>498</v>
      </c>
      <c r="Y96" s="143">
        <v>0</v>
      </c>
      <c r="Z96" s="141">
        <v>0</v>
      </c>
      <c r="AA96" s="141">
        <v>0</v>
      </c>
      <c r="AB96" s="141">
        <v>0</v>
      </c>
      <c r="AC96" s="141">
        <v>0</v>
      </c>
      <c r="AD96" s="141">
        <v>0</v>
      </c>
      <c r="AE96" s="141">
        <v>0</v>
      </c>
      <c r="AF96" s="144">
        <v>0</v>
      </c>
      <c r="AG96" s="143">
        <v>0</v>
      </c>
      <c r="AH96" s="141">
        <v>0</v>
      </c>
      <c r="AI96" s="141">
        <v>0</v>
      </c>
      <c r="AJ96" s="141">
        <v>0</v>
      </c>
      <c r="AK96" s="144">
        <v>0</v>
      </c>
      <c r="AL96" s="660"/>
      <c r="AM96" s="1496"/>
      <c r="AN96" s="1492"/>
    </row>
    <row r="97" spans="1:40" ht="14.25">
      <c r="B97" s="161"/>
      <c r="C97" s="162"/>
      <c r="D97" s="162" t="s">
        <v>2704</v>
      </c>
      <c r="E97" s="162"/>
      <c r="F97" s="162"/>
      <c r="G97" s="163"/>
      <c r="H97" s="163"/>
      <c r="I97" s="164" t="s">
        <v>498</v>
      </c>
      <c r="J97" s="143">
        <v>0</v>
      </c>
      <c r="K97" s="141">
        <v>0</v>
      </c>
      <c r="L97" s="141">
        <v>0</v>
      </c>
      <c r="M97" s="141">
        <v>0</v>
      </c>
      <c r="N97" s="141">
        <v>0</v>
      </c>
      <c r="O97" s="141">
        <v>0</v>
      </c>
      <c r="P97" s="141">
        <v>0</v>
      </c>
      <c r="Q97" s="144">
        <v>0</v>
      </c>
      <c r="R97" s="143">
        <v>0</v>
      </c>
      <c r="S97" s="141">
        <v>0</v>
      </c>
      <c r="T97" s="141">
        <v>0</v>
      </c>
      <c r="U97" s="141">
        <v>0</v>
      </c>
      <c r="V97" s="144">
        <v>0</v>
      </c>
      <c r="W97" s="163"/>
      <c r="X97" s="164" t="s">
        <v>498</v>
      </c>
      <c r="Y97" s="143">
        <v>0</v>
      </c>
      <c r="Z97" s="141">
        <v>0</v>
      </c>
      <c r="AA97" s="141">
        <v>0</v>
      </c>
      <c r="AB97" s="141">
        <v>0</v>
      </c>
      <c r="AC97" s="141">
        <v>0</v>
      </c>
      <c r="AD97" s="141">
        <v>0</v>
      </c>
      <c r="AE97" s="141">
        <v>0</v>
      </c>
      <c r="AF97" s="144">
        <v>0</v>
      </c>
      <c r="AG97" s="143">
        <v>0</v>
      </c>
      <c r="AH97" s="141">
        <v>0</v>
      </c>
      <c r="AI97" s="141">
        <v>0</v>
      </c>
      <c r="AJ97" s="141">
        <v>0</v>
      </c>
      <c r="AK97" s="144">
        <v>0</v>
      </c>
      <c r="AL97" s="660"/>
      <c r="AM97" s="1496"/>
      <c r="AN97" s="1492"/>
    </row>
    <row r="98" spans="1:40" ht="14.25">
      <c r="B98" s="161"/>
      <c r="C98" s="162"/>
      <c r="D98" s="162" t="s">
        <v>2705</v>
      </c>
      <c r="E98" s="162"/>
      <c r="F98" s="162"/>
      <c r="G98" s="163"/>
      <c r="H98" s="163"/>
      <c r="I98" s="164" t="s">
        <v>498</v>
      </c>
      <c r="J98" s="143">
        <v>0</v>
      </c>
      <c r="K98" s="141">
        <v>0</v>
      </c>
      <c r="L98" s="141">
        <v>0</v>
      </c>
      <c r="M98" s="141">
        <v>0</v>
      </c>
      <c r="N98" s="141">
        <v>0</v>
      </c>
      <c r="O98" s="141">
        <v>0</v>
      </c>
      <c r="P98" s="141">
        <v>0</v>
      </c>
      <c r="Q98" s="144">
        <v>0</v>
      </c>
      <c r="R98" s="143">
        <v>0</v>
      </c>
      <c r="S98" s="141">
        <v>0</v>
      </c>
      <c r="T98" s="141">
        <v>0</v>
      </c>
      <c r="U98" s="141">
        <v>0</v>
      </c>
      <c r="V98" s="144">
        <v>0</v>
      </c>
      <c r="W98" s="163"/>
      <c r="X98" s="164" t="s">
        <v>498</v>
      </c>
      <c r="Y98" s="143">
        <v>0</v>
      </c>
      <c r="Z98" s="141">
        <v>0</v>
      </c>
      <c r="AA98" s="141">
        <v>0</v>
      </c>
      <c r="AB98" s="141">
        <v>0</v>
      </c>
      <c r="AC98" s="141">
        <v>0</v>
      </c>
      <c r="AD98" s="141">
        <v>0</v>
      </c>
      <c r="AE98" s="141">
        <v>0</v>
      </c>
      <c r="AF98" s="144">
        <v>0</v>
      </c>
      <c r="AG98" s="143">
        <v>0</v>
      </c>
      <c r="AH98" s="141">
        <v>0</v>
      </c>
      <c r="AI98" s="141">
        <v>0</v>
      </c>
      <c r="AJ98" s="141">
        <v>0</v>
      </c>
      <c r="AK98" s="144">
        <v>0</v>
      </c>
      <c r="AL98" s="660"/>
      <c r="AM98" s="1496"/>
      <c r="AN98" s="1492"/>
    </row>
    <row r="99" spans="1:40" ht="14.25">
      <c r="B99" s="161"/>
      <c r="C99" s="162"/>
      <c r="D99" s="162" t="s">
        <v>2706</v>
      </c>
      <c r="E99" s="162"/>
      <c r="F99" s="162"/>
      <c r="G99" s="163"/>
      <c r="H99" s="163"/>
      <c r="I99" s="164" t="s">
        <v>498</v>
      </c>
      <c r="J99" s="143">
        <v>0</v>
      </c>
      <c r="K99" s="141">
        <v>0</v>
      </c>
      <c r="L99" s="141">
        <v>0</v>
      </c>
      <c r="M99" s="141">
        <v>0</v>
      </c>
      <c r="N99" s="141">
        <v>0</v>
      </c>
      <c r="O99" s="141">
        <v>0</v>
      </c>
      <c r="P99" s="141">
        <v>0</v>
      </c>
      <c r="Q99" s="144">
        <v>0</v>
      </c>
      <c r="R99" s="143">
        <v>0</v>
      </c>
      <c r="S99" s="141">
        <v>0</v>
      </c>
      <c r="T99" s="141">
        <v>0</v>
      </c>
      <c r="U99" s="141">
        <v>0</v>
      </c>
      <c r="V99" s="144">
        <v>0</v>
      </c>
      <c r="W99" s="163"/>
      <c r="X99" s="164" t="s">
        <v>498</v>
      </c>
      <c r="Y99" s="143">
        <v>0</v>
      </c>
      <c r="Z99" s="141">
        <v>0</v>
      </c>
      <c r="AA99" s="141">
        <v>0</v>
      </c>
      <c r="AB99" s="141">
        <v>0</v>
      </c>
      <c r="AC99" s="141">
        <v>0</v>
      </c>
      <c r="AD99" s="141">
        <v>0</v>
      </c>
      <c r="AE99" s="141">
        <v>0</v>
      </c>
      <c r="AF99" s="144">
        <v>0</v>
      </c>
      <c r="AG99" s="143">
        <v>0</v>
      </c>
      <c r="AH99" s="141">
        <v>0</v>
      </c>
      <c r="AI99" s="141">
        <v>0</v>
      </c>
      <c r="AJ99" s="141">
        <v>0</v>
      </c>
      <c r="AK99" s="144">
        <v>0</v>
      </c>
      <c r="AL99" s="660"/>
      <c r="AM99" s="1496"/>
      <c r="AN99" s="1492"/>
    </row>
    <row r="100" spans="1:40" ht="14.25">
      <c r="B100" s="161"/>
      <c r="C100" s="162"/>
      <c r="D100" s="162" t="s">
        <v>2707</v>
      </c>
      <c r="E100" s="162"/>
      <c r="F100" s="162"/>
      <c r="G100" s="163"/>
      <c r="H100" s="163"/>
      <c r="I100" s="164" t="s">
        <v>498</v>
      </c>
      <c r="J100" s="143">
        <v>0</v>
      </c>
      <c r="K100" s="141">
        <v>0</v>
      </c>
      <c r="L100" s="141">
        <v>0</v>
      </c>
      <c r="M100" s="141">
        <v>0</v>
      </c>
      <c r="N100" s="141">
        <v>0</v>
      </c>
      <c r="O100" s="141">
        <v>0</v>
      </c>
      <c r="P100" s="141">
        <v>0</v>
      </c>
      <c r="Q100" s="144">
        <v>0</v>
      </c>
      <c r="R100" s="143">
        <v>0</v>
      </c>
      <c r="S100" s="141">
        <v>0</v>
      </c>
      <c r="T100" s="141">
        <v>0</v>
      </c>
      <c r="U100" s="141">
        <v>0</v>
      </c>
      <c r="V100" s="144">
        <v>0</v>
      </c>
      <c r="W100" s="163"/>
      <c r="X100" s="164" t="s">
        <v>498</v>
      </c>
      <c r="Y100" s="143">
        <v>0</v>
      </c>
      <c r="Z100" s="141">
        <v>0</v>
      </c>
      <c r="AA100" s="141">
        <v>0</v>
      </c>
      <c r="AB100" s="141">
        <v>0</v>
      </c>
      <c r="AC100" s="141">
        <v>0</v>
      </c>
      <c r="AD100" s="141">
        <v>0</v>
      </c>
      <c r="AE100" s="141">
        <v>0</v>
      </c>
      <c r="AF100" s="144">
        <v>0</v>
      </c>
      <c r="AG100" s="143">
        <v>0</v>
      </c>
      <c r="AH100" s="141">
        <v>0</v>
      </c>
      <c r="AI100" s="141">
        <v>0</v>
      </c>
      <c r="AJ100" s="141">
        <v>0</v>
      </c>
      <c r="AK100" s="144">
        <v>0</v>
      </c>
      <c r="AL100" s="660"/>
      <c r="AM100" s="1496"/>
      <c r="AN100" s="1492"/>
    </row>
    <row r="101" spans="1:40" ht="14.25">
      <c r="B101" s="161"/>
      <c r="C101" s="162"/>
      <c r="D101" s="162" t="s">
        <v>2708</v>
      </c>
      <c r="E101" s="162"/>
      <c r="F101" s="162"/>
      <c r="G101" s="163"/>
      <c r="H101" s="163"/>
      <c r="I101" s="164" t="s">
        <v>498</v>
      </c>
      <c r="J101" s="143">
        <v>0</v>
      </c>
      <c r="K101" s="141">
        <v>0</v>
      </c>
      <c r="L101" s="141">
        <v>0</v>
      </c>
      <c r="M101" s="141">
        <v>0</v>
      </c>
      <c r="N101" s="141">
        <v>0</v>
      </c>
      <c r="O101" s="141">
        <v>0</v>
      </c>
      <c r="P101" s="141">
        <v>0</v>
      </c>
      <c r="Q101" s="144">
        <v>0</v>
      </c>
      <c r="R101" s="143">
        <v>0</v>
      </c>
      <c r="S101" s="141">
        <v>0</v>
      </c>
      <c r="T101" s="141">
        <v>0</v>
      </c>
      <c r="U101" s="141">
        <v>0</v>
      </c>
      <c r="V101" s="144">
        <v>0</v>
      </c>
      <c r="W101" s="163"/>
      <c r="X101" s="164" t="s">
        <v>498</v>
      </c>
      <c r="Y101" s="143">
        <v>0</v>
      </c>
      <c r="Z101" s="141">
        <v>0</v>
      </c>
      <c r="AA101" s="141">
        <v>0</v>
      </c>
      <c r="AB101" s="141">
        <v>0</v>
      </c>
      <c r="AC101" s="141">
        <v>0</v>
      </c>
      <c r="AD101" s="141">
        <v>0</v>
      </c>
      <c r="AE101" s="141">
        <v>0</v>
      </c>
      <c r="AF101" s="144">
        <v>0</v>
      </c>
      <c r="AG101" s="143">
        <v>0</v>
      </c>
      <c r="AH101" s="141">
        <v>0</v>
      </c>
      <c r="AI101" s="141">
        <v>0</v>
      </c>
      <c r="AJ101" s="141">
        <v>0</v>
      </c>
      <c r="AK101" s="144">
        <v>0</v>
      </c>
      <c r="AL101" s="660"/>
      <c r="AM101" s="1496"/>
      <c r="AN101" s="1492"/>
    </row>
    <row r="102" spans="1:40" ht="14.25">
      <c r="B102" s="161"/>
      <c r="C102" s="162" t="s">
        <v>1710</v>
      </c>
      <c r="D102" s="162"/>
      <c r="E102" s="162"/>
      <c r="F102" s="162"/>
      <c r="G102" s="163"/>
      <c r="H102" s="163"/>
      <c r="I102" s="164" t="s">
        <v>498</v>
      </c>
      <c r="J102" s="641">
        <f t="shared" ref="J102:V102" si="14">SUM(J94:J101)</f>
        <v>0</v>
      </c>
      <c r="K102" s="642">
        <f t="shared" si="14"/>
        <v>0</v>
      </c>
      <c r="L102" s="642">
        <f t="shared" si="14"/>
        <v>0</v>
      </c>
      <c r="M102" s="642">
        <f t="shared" si="14"/>
        <v>0</v>
      </c>
      <c r="N102" s="642">
        <f t="shared" si="14"/>
        <v>0</v>
      </c>
      <c r="O102" s="642">
        <f t="shared" si="14"/>
        <v>0</v>
      </c>
      <c r="P102" s="642">
        <f t="shared" si="14"/>
        <v>0</v>
      </c>
      <c r="Q102" s="643">
        <f t="shared" si="14"/>
        <v>0</v>
      </c>
      <c r="R102" s="641">
        <f t="shared" si="14"/>
        <v>0</v>
      </c>
      <c r="S102" s="642">
        <f t="shared" si="14"/>
        <v>0</v>
      </c>
      <c r="T102" s="642">
        <f t="shared" si="14"/>
        <v>0</v>
      </c>
      <c r="U102" s="642">
        <f t="shared" si="14"/>
        <v>0</v>
      </c>
      <c r="V102" s="643">
        <f t="shared" si="14"/>
        <v>0</v>
      </c>
      <c r="W102" s="163"/>
      <c r="X102" s="164" t="s">
        <v>498</v>
      </c>
      <c r="Y102" s="641">
        <f t="shared" ref="Y102:AK102" si="15">SUM(Y94:Y101)</f>
        <v>0</v>
      </c>
      <c r="Z102" s="642">
        <f t="shared" si="15"/>
        <v>0</v>
      </c>
      <c r="AA102" s="642">
        <f t="shared" si="15"/>
        <v>0</v>
      </c>
      <c r="AB102" s="642">
        <f t="shared" si="15"/>
        <v>0</v>
      </c>
      <c r="AC102" s="642">
        <f t="shared" si="15"/>
        <v>0</v>
      </c>
      <c r="AD102" s="642">
        <f t="shared" si="15"/>
        <v>0</v>
      </c>
      <c r="AE102" s="642">
        <f t="shared" si="15"/>
        <v>0</v>
      </c>
      <c r="AF102" s="643">
        <f t="shared" si="15"/>
        <v>0</v>
      </c>
      <c r="AG102" s="641">
        <f t="shared" si="15"/>
        <v>0</v>
      </c>
      <c r="AH102" s="642">
        <f t="shared" si="15"/>
        <v>0</v>
      </c>
      <c r="AI102" s="642">
        <f t="shared" si="15"/>
        <v>0</v>
      </c>
      <c r="AJ102" s="642">
        <f t="shared" si="15"/>
        <v>0</v>
      </c>
      <c r="AK102" s="643">
        <f t="shared" si="15"/>
        <v>0</v>
      </c>
      <c r="AL102" s="660"/>
      <c r="AM102" s="664"/>
      <c r="AN102" s="659"/>
    </row>
    <row r="103" spans="1:40">
      <c r="B103" s="664"/>
      <c r="C103" s="662"/>
      <c r="D103" s="662"/>
      <c r="E103" s="662"/>
      <c r="F103" s="662"/>
      <c r="G103" s="660"/>
      <c r="H103" s="660"/>
      <c r="I103" s="661"/>
      <c r="J103" s="664"/>
      <c r="K103" s="660"/>
      <c r="L103" s="660"/>
      <c r="M103" s="660"/>
      <c r="N103" s="660"/>
      <c r="O103" s="660"/>
      <c r="P103" s="660"/>
      <c r="Q103" s="659"/>
      <c r="R103" s="664"/>
      <c r="S103" s="660"/>
      <c r="T103" s="660"/>
      <c r="U103" s="660"/>
      <c r="V103" s="659"/>
      <c r="W103" s="660"/>
      <c r="X103" s="660"/>
      <c r="Y103" s="664"/>
      <c r="Z103" s="660"/>
      <c r="AA103" s="660"/>
      <c r="AB103" s="660"/>
      <c r="AC103" s="660"/>
      <c r="AD103" s="660"/>
      <c r="AE103" s="660"/>
      <c r="AF103" s="659"/>
      <c r="AG103" s="664"/>
      <c r="AH103" s="660"/>
      <c r="AI103" s="660"/>
      <c r="AJ103" s="660"/>
      <c r="AK103" s="659"/>
      <c r="AL103" s="660"/>
      <c r="AM103" s="664"/>
      <c r="AN103" s="659"/>
    </row>
    <row r="104" spans="1:40" s="174" customFormat="1" ht="15" thickBot="1">
      <c r="A104" s="173"/>
      <c r="B104" s="191" t="s">
        <v>1701</v>
      </c>
      <c r="C104" s="193"/>
      <c r="D104" s="193"/>
      <c r="E104" s="193"/>
      <c r="F104" s="193"/>
      <c r="G104" s="194"/>
      <c r="H104" s="194"/>
      <c r="I104" s="195" t="s">
        <v>498</v>
      </c>
      <c r="J104" s="717">
        <f t="shared" ref="J104:V104" si="16">SUM(J58,J69,J80,J91,J102)</f>
        <v>0</v>
      </c>
      <c r="K104" s="718">
        <f t="shared" si="16"/>
        <v>0</v>
      </c>
      <c r="L104" s="718">
        <f t="shared" si="16"/>
        <v>0</v>
      </c>
      <c r="M104" s="718">
        <f t="shared" si="16"/>
        <v>0</v>
      </c>
      <c r="N104" s="718">
        <f t="shared" si="16"/>
        <v>0</v>
      </c>
      <c r="O104" s="718">
        <f t="shared" si="16"/>
        <v>0</v>
      </c>
      <c r="P104" s="718">
        <f t="shared" si="16"/>
        <v>0</v>
      </c>
      <c r="Q104" s="719">
        <f t="shared" si="16"/>
        <v>0</v>
      </c>
      <c r="R104" s="717">
        <f t="shared" si="16"/>
        <v>0</v>
      </c>
      <c r="S104" s="718">
        <f t="shared" si="16"/>
        <v>0</v>
      </c>
      <c r="T104" s="718">
        <f t="shared" si="16"/>
        <v>0</v>
      </c>
      <c r="U104" s="718">
        <f t="shared" si="16"/>
        <v>0</v>
      </c>
      <c r="V104" s="719">
        <f t="shared" si="16"/>
        <v>0</v>
      </c>
      <c r="W104" s="657"/>
      <c r="X104" s="195" t="s">
        <v>498</v>
      </c>
      <c r="Y104" s="717">
        <f t="shared" ref="Y104:AK104" si="17">SUM(Y58,Y69,Y80,Y91,Y102)</f>
        <v>0</v>
      </c>
      <c r="Z104" s="718">
        <f t="shared" si="17"/>
        <v>0</v>
      </c>
      <c r="AA104" s="718">
        <f t="shared" si="17"/>
        <v>0</v>
      </c>
      <c r="AB104" s="718">
        <f t="shared" si="17"/>
        <v>0</v>
      </c>
      <c r="AC104" s="718">
        <f t="shared" si="17"/>
        <v>0</v>
      </c>
      <c r="AD104" s="718">
        <f t="shared" si="17"/>
        <v>0</v>
      </c>
      <c r="AE104" s="718">
        <f t="shared" si="17"/>
        <v>0</v>
      </c>
      <c r="AF104" s="719">
        <f t="shared" si="17"/>
        <v>0</v>
      </c>
      <c r="AG104" s="717">
        <f t="shared" si="17"/>
        <v>0</v>
      </c>
      <c r="AH104" s="718">
        <f t="shared" si="17"/>
        <v>0</v>
      </c>
      <c r="AI104" s="718">
        <f t="shared" si="17"/>
        <v>0</v>
      </c>
      <c r="AJ104" s="718">
        <f t="shared" si="17"/>
        <v>0</v>
      </c>
      <c r="AK104" s="719">
        <f t="shared" si="17"/>
        <v>0</v>
      </c>
      <c r="AL104" s="658"/>
      <c r="AM104" s="1381"/>
      <c r="AN104" s="1489"/>
    </row>
    <row r="105" spans="1:40" s="174" customFormat="1">
      <c r="A105" s="173"/>
      <c r="B105" s="173"/>
      <c r="G105" s="173"/>
      <c r="H105" s="173"/>
      <c r="I105" s="175"/>
      <c r="J105" s="173"/>
      <c r="K105" s="173"/>
      <c r="L105" s="173"/>
      <c r="M105" s="173"/>
      <c r="N105" s="173"/>
      <c r="O105" s="173"/>
      <c r="P105" s="173"/>
      <c r="Q105" s="173"/>
      <c r="R105" s="173"/>
      <c r="S105" s="173"/>
      <c r="T105" s="173"/>
      <c r="U105" s="173"/>
      <c r="V105" s="173"/>
      <c r="W105" s="173"/>
    </row>
    <row r="106" spans="1:40" s="174" customFormat="1">
      <c r="A106" s="173"/>
      <c r="B106" s="173"/>
      <c r="G106" s="173"/>
      <c r="H106" s="173"/>
      <c r="I106" s="175"/>
      <c r="J106" s="173"/>
      <c r="K106" s="173"/>
      <c r="L106" s="173"/>
      <c r="M106" s="173"/>
      <c r="N106" s="173"/>
      <c r="O106" s="173"/>
      <c r="P106" s="173"/>
      <c r="Q106" s="173"/>
      <c r="R106" s="173"/>
      <c r="S106" s="173"/>
      <c r="T106" s="173"/>
      <c r="U106" s="173"/>
      <c r="V106" s="173"/>
      <c r="W106" s="173"/>
    </row>
    <row r="107" spans="1:40" s="174" customFormat="1">
      <c r="A107" s="173"/>
      <c r="B107" s="173"/>
      <c r="G107" s="173"/>
      <c r="H107" s="173"/>
      <c r="I107" s="175"/>
      <c r="J107" s="173"/>
      <c r="K107" s="173"/>
      <c r="L107" s="173"/>
      <c r="M107" s="173"/>
      <c r="N107" s="173"/>
      <c r="O107" s="173"/>
      <c r="P107" s="173"/>
      <c r="Q107" s="173"/>
      <c r="R107" s="173"/>
      <c r="S107" s="173"/>
      <c r="T107" s="173"/>
      <c r="U107" s="173"/>
      <c r="V107" s="173"/>
      <c r="W107" s="173"/>
    </row>
    <row r="108" spans="1:40" s="174" customFormat="1">
      <c r="A108" s="173"/>
      <c r="B108" s="173"/>
      <c r="G108" s="173"/>
      <c r="H108" s="173"/>
      <c r="I108" s="175"/>
      <c r="J108" s="173"/>
      <c r="K108" s="173"/>
      <c r="L108" s="173"/>
      <c r="M108" s="173"/>
      <c r="N108" s="173"/>
      <c r="O108" s="173"/>
      <c r="P108" s="173"/>
      <c r="Q108" s="173"/>
      <c r="R108" s="173"/>
      <c r="S108" s="173"/>
      <c r="T108" s="173"/>
      <c r="U108" s="173"/>
      <c r="V108" s="173"/>
      <c r="W108" s="173"/>
    </row>
    <row r="109" spans="1:40" s="174" customFormat="1">
      <c r="A109" s="173"/>
      <c r="B109" s="173"/>
      <c r="G109" s="173"/>
      <c r="H109" s="173"/>
      <c r="I109" s="175"/>
      <c r="J109" s="173"/>
      <c r="K109" s="173"/>
      <c r="L109" s="173"/>
      <c r="M109" s="173"/>
      <c r="N109" s="173"/>
      <c r="O109" s="173"/>
      <c r="P109" s="173"/>
      <c r="Q109" s="173"/>
      <c r="R109" s="173"/>
      <c r="S109" s="173"/>
      <c r="T109" s="173"/>
      <c r="U109" s="173"/>
      <c r="V109" s="173"/>
      <c r="W109" s="173"/>
    </row>
    <row r="110" spans="1:40" s="174" customFormat="1">
      <c r="A110" s="173"/>
      <c r="B110" s="173"/>
      <c r="G110" s="173"/>
      <c r="H110" s="173"/>
      <c r="I110" s="175"/>
      <c r="J110" s="173"/>
      <c r="K110" s="173"/>
      <c r="L110" s="173"/>
      <c r="M110" s="173"/>
      <c r="N110" s="173"/>
      <c r="O110" s="173"/>
      <c r="P110" s="173"/>
      <c r="Q110" s="173"/>
      <c r="R110" s="173"/>
      <c r="S110" s="173"/>
      <c r="T110" s="173"/>
      <c r="U110" s="173"/>
      <c r="V110" s="173"/>
      <c r="W110" s="17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AK78"/>
  <sheetViews>
    <sheetView topLeftCell="G35" zoomScale="80" zoomScaleNormal="80" workbookViewId="0">
      <selection activeCell="T57" sqref="T57"/>
    </sheetView>
  </sheetViews>
  <sheetFormatPr defaultColWidth="9" defaultRowHeight="0" customHeight="1" zeroHeight="1"/>
  <cols>
    <col min="1" max="1" width="15.375" hidden="1" customWidth="1"/>
    <col min="2" max="2" width="30" hidden="1" customWidth="1"/>
    <col min="3" max="3" width="9.625" hidden="1" customWidth="1"/>
    <col min="4" max="4" width="40.125" style="1302" hidden="1" customWidth="1"/>
    <col min="5" max="5" width="10.75" hidden="1" customWidth="1"/>
    <col min="6" max="6" width="14.5" hidden="1" customWidth="1"/>
    <col min="7" max="9" width="1.5" style="1194" customWidth="1"/>
    <col min="10" max="10" width="70.375" style="1194" customWidth="1"/>
    <col min="11" max="11" width="7.75" style="1194" customWidth="1"/>
    <col min="12" max="12" width="8.5" style="1194" customWidth="1"/>
    <col min="13" max="13" width="9" style="1194" customWidth="1"/>
    <col min="14" max="25" width="10.375" style="1194" customWidth="1"/>
    <col min="26" max="26" width="3.375" style="1194" customWidth="1"/>
    <col min="27" max="32" width="10.375" style="1194" customWidth="1"/>
    <col min="33" max="33" width="2" style="1194" customWidth="1"/>
    <col min="34" max="37" width="9" style="1194" customWidth="1"/>
    <col min="38" max="16384" width="9" style="1194"/>
  </cols>
  <sheetData>
    <row r="1" spans="1:37" ht="19.5" hidden="1" customHeight="1">
      <c r="A1" s="1155" t="s">
        <v>362</v>
      </c>
      <c r="B1" s="1155" t="s">
        <v>363</v>
      </c>
      <c r="C1" s="1155" t="s">
        <v>364</v>
      </c>
      <c r="D1" s="1303" t="s">
        <v>365</v>
      </c>
      <c r="E1" s="1193" t="s">
        <v>487</v>
      </c>
      <c r="F1" s="1193" t="s">
        <v>488</v>
      </c>
    </row>
    <row r="2" spans="1:37" s="1160" customFormat="1" ht="26.25">
      <c r="A2" s="1156" t="s">
        <v>489</v>
      </c>
      <c r="B2" s="1156"/>
      <c r="C2" s="1156" t="s">
        <v>367</v>
      </c>
      <c r="D2" s="1263"/>
      <c r="E2" s="1195"/>
      <c r="F2" s="1195"/>
      <c r="G2" s="1" t="s">
        <v>0</v>
      </c>
      <c r="H2" s="1196"/>
      <c r="I2" s="1197"/>
      <c r="J2" s="1198"/>
      <c r="K2" s="1198"/>
      <c r="L2" s="1198"/>
      <c r="M2" s="1198"/>
      <c r="N2" s="1198"/>
      <c r="O2" s="1198"/>
      <c r="P2" s="1198"/>
      <c r="Q2" s="1198"/>
      <c r="R2" s="1198"/>
      <c r="S2" s="1198"/>
      <c r="T2" s="1198"/>
      <c r="U2" s="1198"/>
      <c r="V2" s="1198"/>
      <c r="W2" s="1198"/>
      <c r="X2" s="1198"/>
      <c r="Y2" s="1198"/>
      <c r="Z2" s="1198"/>
      <c r="AA2" s="1243"/>
      <c r="AB2" s="1243"/>
      <c r="AC2" s="1243"/>
      <c r="AD2" s="1243"/>
      <c r="AE2" s="1243"/>
      <c r="AF2" s="1243"/>
      <c r="AG2" s="1243"/>
    </row>
    <row r="3" spans="1:37" s="1160" customFormat="1" ht="26.25">
      <c r="A3" s="1156" t="s">
        <v>489</v>
      </c>
      <c r="B3" s="1156"/>
      <c r="C3" s="1156" t="s">
        <v>367</v>
      </c>
      <c r="D3" s="1262"/>
      <c r="E3" s="1156"/>
      <c r="F3" s="1156"/>
      <c r="G3" s="5" t="str">
        <f>Fixed_Data!I12</f>
        <v>MASTER</v>
      </c>
      <c r="H3" s="1199"/>
      <c r="I3" s="1200"/>
      <c r="J3" s="1198"/>
      <c r="K3" s="1198"/>
      <c r="L3" s="1198"/>
      <c r="M3" s="1198"/>
      <c r="N3" s="1198"/>
      <c r="O3" s="1198"/>
      <c r="P3" s="1198"/>
      <c r="Q3" s="1198"/>
      <c r="R3" s="1198"/>
      <c r="S3" s="1198"/>
      <c r="T3" s="1198"/>
      <c r="U3" s="1198"/>
      <c r="V3" s="1198"/>
      <c r="W3" s="1198"/>
      <c r="X3" s="1198"/>
      <c r="Y3" s="1198"/>
      <c r="Z3" s="1198"/>
      <c r="AA3" s="1243"/>
      <c r="AB3" s="1243"/>
      <c r="AC3" s="1243"/>
      <c r="AD3" s="1243"/>
      <c r="AE3" s="1243"/>
      <c r="AF3" s="1243"/>
      <c r="AG3" s="1243"/>
    </row>
    <row r="4" spans="1:37" s="1321" customFormat="1" ht="27" thickBot="1">
      <c r="A4" s="1156" t="s">
        <v>489</v>
      </c>
      <c r="B4" s="1311"/>
      <c r="C4" s="1311" t="s">
        <v>367</v>
      </c>
      <c r="D4" s="1316"/>
      <c r="E4" s="1311"/>
      <c r="F4" s="1311"/>
      <c r="G4" s="1312" t="str">
        <f>Fixed_Data!A3</f>
        <v>RIIO-GD2</v>
      </c>
      <c r="H4" s="1317"/>
      <c r="I4" s="1318"/>
      <c r="J4" s="1319"/>
      <c r="K4" s="1319"/>
      <c r="L4" s="1319"/>
      <c r="M4" s="1319"/>
      <c r="N4" s="1319"/>
      <c r="O4" s="1319"/>
      <c r="P4" s="1319"/>
      <c r="Q4" s="1319"/>
      <c r="R4" s="1319"/>
      <c r="S4" s="1319"/>
      <c r="T4" s="1319"/>
      <c r="U4" s="1319"/>
      <c r="V4" s="1319"/>
      <c r="W4" s="1319"/>
      <c r="X4" s="1319"/>
      <c r="Y4" s="1319"/>
      <c r="Z4" s="1319"/>
      <c r="AA4" s="1320"/>
      <c r="AB4" s="1320"/>
      <c r="AC4" s="1320"/>
      <c r="AD4" s="1320"/>
      <c r="AE4" s="1320"/>
      <c r="AF4" s="1320"/>
      <c r="AG4" s="1320"/>
    </row>
    <row r="5" spans="1:37" s="1160" customFormat="1" ht="13.5" thickTop="1">
      <c r="A5" s="1156" t="s">
        <v>489</v>
      </c>
      <c r="B5" s="1310"/>
      <c r="C5" s="1310" t="s">
        <v>367</v>
      </c>
      <c r="D5" s="1315"/>
      <c r="E5" s="1310"/>
      <c r="F5" s="1310"/>
      <c r="G5" s="1202" t="s">
        <v>490</v>
      </c>
      <c r="H5" s="1204"/>
      <c r="I5" s="1204"/>
      <c r="J5"/>
      <c r="K5" s="1205"/>
      <c r="L5" s="1205"/>
      <c r="M5" s="1205"/>
      <c r="Z5" s="1194"/>
      <c r="AA5" s="1242"/>
      <c r="AB5" s="1242"/>
      <c r="AC5" s="1242"/>
      <c r="AD5" s="1242"/>
      <c r="AE5" s="1242"/>
      <c r="AF5" s="1242"/>
      <c r="AG5" s="1242"/>
    </row>
    <row r="6" spans="1:37" ht="12.75">
      <c r="A6" s="1156" t="s">
        <v>489</v>
      </c>
      <c r="B6" s="1156"/>
      <c r="C6" s="1156" t="s">
        <v>367</v>
      </c>
      <c r="D6" s="1262"/>
      <c r="E6" s="1156"/>
      <c r="F6" s="1156"/>
      <c r="Z6" s="1241"/>
      <c r="AA6" s="1241"/>
      <c r="AB6" s="1241"/>
      <c r="AC6" s="1241"/>
      <c r="AD6" s="1241"/>
      <c r="AE6" s="1241"/>
      <c r="AF6" s="1241"/>
      <c r="AG6" s="1241"/>
    </row>
    <row r="7" spans="1:37" s="1160" customFormat="1" ht="12.75" hidden="1">
      <c r="A7" s="1156" t="s">
        <v>489</v>
      </c>
      <c r="B7" s="1156" t="s">
        <v>491</v>
      </c>
      <c r="C7" s="1156" t="s">
        <v>370</v>
      </c>
      <c r="D7" s="1262"/>
      <c r="E7" s="1156"/>
      <c r="F7" s="1156"/>
      <c r="G7" s="1156" t="s">
        <v>367</v>
      </c>
      <c r="H7" s="1156" t="s">
        <v>367</v>
      </c>
      <c r="I7" s="1156" t="s">
        <v>367</v>
      </c>
      <c r="J7" s="1156" t="s">
        <v>367</v>
      </c>
      <c r="K7" s="1156" t="s">
        <v>492</v>
      </c>
      <c r="L7" s="1156" t="s">
        <v>367</v>
      </c>
      <c r="M7" s="1156" t="s">
        <v>371</v>
      </c>
      <c r="N7" s="1156" t="s">
        <v>371</v>
      </c>
      <c r="O7" s="1156" t="s">
        <v>371</v>
      </c>
      <c r="P7" s="1156" t="s">
        <v>371</v>
      </c>
      <c r="Q7" s="1156" t="s">
        <v>371</v>
      </c>
      <c r="R7" s="1156" t="s">
        <v>371</v>
      </c>
      <c r="S7" s="1156" t="s">
        <v>371</v>
      </c>
      <c r="T7" s="1156" t="s">
        <v>371</v>
      </c>
      <c r="U7" s="1156" t="s">
        <v>371</v>
      </c>
      <c r="V7" s="1156" t="s">
        <v>371</v>
      </c>
      <c r="W7" s="1156" t="s">
        <v>371</v>
      </c>
      <c r="X7" s="1156" t="s">
        <v>371</v>
      </c>
      <c r="Y7" s="1156" t="s">
        <v>371</v>
      </c>
    </row>
    <row r="8" spans="1:37" ht="12.75">
      <c r="A8" s="1156" t="s">
        <v>489</v>
      </c>
      <c r="B8" s="1156" t="s">
        <v>491</v>
      </c>
      <c r="C8" s="1156" t="s">
        <v>415</v>
      </c>
      <c r="D8" s="1262"/>
      <c r="E8" s="1156"/>
      <c r="F8" s="1156"/>
      <c r="H8" s="1275"/>
      <c r="I8" s="1207" t="s">
        <v>493</v>
      </c>
      <c r="M8" s="1203" t="s">
        <v>453</v>
      </c>
      <c r="N8" s="1203" t="s">
        <v>455</v>
      </c>
      <c r="O8" s="1203" t="s">
        <v>457</v>
      </c>
      <c r="P8" s="1203" t="s">
        <v>459</v>
      </c>
      <c r="Q8" s="1203" t="s">
        <v>461</v>
      </c>
      <c r="R8" s="1203" t="s">
        <v>463</v>
      </c>
      <c r="S8" s="1203" t="s">
        <v>465</v>
      </c>
      <c r="T8" s="1203" t="s">
        <v>467</v>
      </c>
      <c r="U8" s="1203" t="s">
        <v>469</v>
      </c>
      <c r="V8" s="1203" t="s">
        <v>471</v>
      </c>
      <c r="W8" s="1203" t="s">
        <v>473</v>
      </c>
      <c r="X8" s="1203" t="s">
        <v>475</v>
      </c>
      <c r="Y8" s="1203" t="s">
        <v>477</v>
      </c>
      <c r="Z8" s="1244"/>
      <c r="AA8" s="1244"/>
      <c r="AB8" s="1244"/>
      <c r="AC8" s="1244"/>
      <c r="AD8" s="1244"/>
      <c r="AE8" s="1244"/>
      <c r="AF8" s="1244"/>
      <c r="AG8" s="1241"/>
      <c r="AH8" s="1211"/>
      <c r="AI8" s="1211"/>
      <c r="AJ8" s="1211"/>
      <c r="AK8" s="1211"/>
    </row>
    <row r="9" spans="1:37" ht="15">
      <c r="A9" s="1156" t="s">
        <v>489</v>
      </c>
      <c r="B9" s="1156" t="s">
        <v>491</v>
      </c>
      <c r="C9" s="1156"/>
      <c r="D9" s="1262" t="s">
        <v>494</v>
      </c>
      <c r="E9" s="1156" t="s">
        <v>495</v>
      </c>
      <c r="F9" s="1156" t="s">
        <v>496</v>
      </c>
      <c r="G9"/>
      <c r="H9"/>
      <c r="I9"/>
      <c r="J9" s="1194" t="s">
        <v>497</v>
      </c>
      <c r="K9" s="1212" t="s">
        <v>498</v>
      </c>
      <c r="L9" s="1247" t="s">
        <v>499</v>
      </c>
      <c r="M9" s="1326">
        <f>'3.00_Capex_Summary'!AN17+'3.00_Capex_Summary'!AN22+'3.00_Capex_Summary'!AN30+'3.00_Capex_Summary'!AN38+'2.01_Opex_Cost_Matrix_C'!J34</f>
        <v>23.664344875123799</v>
      </c>
      <c r="N9" s="1326">
        <f>'3.00_Capex_Summary'!AO17+'3.00_Capex_Summary'!AO22+'3.00_Capex_Summary'!AO30+'3.00_Capex_Summary'!AO38+'2.01_Opex_Cost_Matrix_C'!K34</f>
        <v>29.168632266794695</v>
      </c>
      <c r="O9" s="1326">
        <f>'3.00_Capex_Summary'!AP17+'3.00_Capex_Summary'!AP22+'3.00_Capex_Summary'!AP30+'3.00_Capex_Summary'!AP38+'2.01_Opex_Cost_Matrix_C'!L34</f>
        <v>39.804507612432104</v>
      </c>
      <c r="P9" s="1326">
        <f>'3.00_Capex_Summary'!AQ17+'3.00_Capex_Summary'!AQ22+'3.00_Capex_Summary'!AQ30+'3.00_Capex_Summary'!AQ38+'2.01_Opex_Cost_Matrix_C'!M34</f>
        <v>33.19526896762239</v>
      </c>
      <c r="Q9" s="1326">
        <f>'3.00_Capex_Summary'!AR17+'3.00_Capex_Summary'!AR22+'3.00_Capex_Summary'!AR30+'3.00_Capex_Summary'!AR38+'2.01_Opex_Cost_Matrix_C'!N34</f>
        <v>27.773247501570165</v>
      </c>
      <c r="R9" s="1326">
        <f>'3.00_Capex_Summary'!AS17+'3.00_Capex_Summary'!AS22+'3.00_Capex_Summary'!AS30+'3.00_Capex_Summary'!AS38+'2.01_Opex_Cost_Matrix_C'!O34</f>
        <v>32.6203230539125</v>
      </c>
      <c r="S9" s="1326">
        <f>'3.00_Capex_Summary'!AT17+'3.00_Capex_Summary'!AT22+'3.00_Capex_Summary'!AT30+'3.00_Capex_Summary'!AT38+'2.01_Opex_Cost_Matrix_C'!P34</f>
        <v>34.117190927395143</v>
      </c>
      <c r="T9" s="1326">
        <f>'3.00_Capex_Summary'!AU17+'3.00_Capex_Summary'!AU22+'3.00_Capex_Summary'!AU30+'3.00_Capex_Summary'!AU38+'2.01_Opex_Cost_Matrix_C'!Q34</f>
        <v>35.723687594544842</v>
      </c>
      <c r="U9" s="1326">
        <f>'3.00_Capex_Summary'!AV17+'3.00_Capex_Summary'!AV22+'3.00_Capex_Summary'!AV30+'3.00_Capex_Summary'!AV38+'2.01_Opex_Cost_Matrix_C'!R34</f>
        <v>28.830302609438004</v>
      </c>
      <c r="V9" s="1326">
        <f>'3.00_Capex_Summary'!AW17+'3.00_Capex_Summary'!AW22+'3.00_Capex_Summary'!AW30+'3.00_Capex_Summary'!AW38+'2.01_Opex_Cost_Matrix_C'!S34</f>
        <v>36.710643924155711</v>
      </c>
      <c r="W9" s="1326">
        <f>'3.00_Capex_Summary'!AX17+'3.00_Capex_Summary'!AX22+'3.00_Capex_Summary'!AX30+'3.00_Capex_Summary'!AX38+'2.01_Opex_Cost_Matrix_C'!T34</f>
        <v>40.72257891542619</v>
      </c>
      <c r="X9" s="1326">
        <f>'3.00_Capex_Summary'!AY17+'3.00_Capex_Summary'!AY22+'3.00_Capex_Summary'!AY30+'3.00_Capex_Summary'!AY38+'2.01_Opex_Cost_Matrix_C'!U34</f>
        <v>36.414053521381369</v>
      </c>
      <c r="Y9" s="1326">
        <f>'3.00_Capex_Summary'!AZ17+'3.00_Capex_Summary'!AZ22+'3.00_Capex_Summary'!AZ30+'3.00_Capex_Summary'!AZ38+'2.01_Opex_Cost_Matrix_C'!V34</f>
        <v>32.062730224706726</v>
      </c>
      <c r="Z9" s="1252"/>
      <c r="AA9" s="2560" t="s">
        <v>500</v>
      </c>
      <c r="AB9" s="1252"/>
      <c r="AC9" s="1252"/>
      <c r="AD9" s="1252"/>
      <c r="AE9" s="1252"/>
      <c r="AF9" s="1252"/>
      <c r="AG9" s="1241"/>
    </row>
    <row r="10" spans="1:37" ht="15">
      <c r="A10" s="1156" t="s">
        <v>489</v>
      </c>
      <c r="B10" s="1156" t="s">
        <v>491</v>
      </c>
      <c r="C10" s="1156"/>
      <c r="D10" s="1262" t="s">
        <v>501</v>
      </c>
      <c r="E10" s="1156" t="s">
        <v>502</v>
      </c>
      <c r="F10" s="1156" t="s">
        <v>496</v>
      </c>
      <c r="G10"/>
      <c r="H10"/>
      <c r="I10"/>
      <c r="J10" s="1254" t="s">
        <v>503</v>
      </c>
      <c r="K10" s="1212" t="s">
        <v>498</v>
      </c>
      <c r="L10" s="1304" t="s">
        <v>504</v>
      </c>
      <c r="M10" s="1326">
        <f>'3.00_Capex_Summary'!AN40+'3.00_Capex_Summary'!AN42</f>
        <v>22.448104530247022</v>
      </c>
      <c r="N10" s="1326">
        <f>'3.00_Capex_Summary'!AO40+'3.00_Capex_Summary'!AO42</f>
        <v>26.076109838961031</v>
      </c>
      <c r="O10" s="1326">
        <f>'3.00_Capex_Summary'!AP40+'3.00_Capex_Summary'!AP42</f>
        <v>28.613742787883275</v>
      </c>
      <c r="P10" s="1326">
        <f>'3.00_Capex_Summary'!AQ40+'3.00_Capex_Summary'!AQ42</f>
        <v>33.567457677084739</v>
      </c>
      <c r="Q10" s="1326">
        <f>'3.00_Capex_Summary'!AR40+'3.00_Capex_Summary'!AR42</f>
        <v>28.185034895568002</v>
      </c>
      <c r="R10" s="1326">
        <f>'3.00_Capex_Summary'!AS40+'3.00_Capex_Summary'!AS42</f>
        <v>28.62937606017918</v>
      </c>
      <c r="S10" s="1326">
        <f>'3.00_Capex_Summary'!AT40+'3.00_Capex_Summary'!AT42</f>
        <v>28.373148095765448</v>
      </c>
      <c r="T10" s="1326">
        <f>'3.00_Capex_Summary'!AU40+'3.00_Capex_Summary'!AU42</f>
        <v>21.692784469658033</v>
      </c>
      <c r="U10" s="1326">
        <f>'3.00_Capex_Summary'!AV40+'3.00_Capex_Summary'!AV42</f>
        <v>25.218496087185919</v>
      </c>
      <c r="V10" s="1326">
        <f>'3.00_Capex_Summary'!AW40+'3.00_Capex_Summary'!AW42</f>
        <v>25.322767640080503</v>
      </c>
      <c r="W10" s="1326">
        <f>'3.00_Capex_Summary'!AX40+'3.00_Capex_Summary'!AX42</f>
        <v>22.04242265915968</v>
      </c>
      <c r="X10" s="1326">
        <f>'3.00_Capex_Summary'!AY40+'3.00_Capex_Summary'!AY42</f>
        <v>22.133763275450523</v>
      </c>
      <c r="Y10" s="1326">
        <f>'3.00_Capex_Summary'!AZ40+'3.00_Capex_Summary'!AZ42</f>
        <v>20.546264786495072</v>
      </c>
      <c r="Z10" s="1252"/>
      <c r="AA10" s="2560" t="s">
        <v>505</v>
      </c>
      <c r="AB10" s="1252"/>
      <c r="AC10" s="1252"/>
      <c r="AD10" s="1252"/>
      <c r="AE10" s="1252"/>
      <c r="AF10" s="1252"/>
      <c r="AG10" s="1241"/>
    </row>
    <row r="11" spans="1:37" ht="15">
      <c r="A11" s="1156" t="s">
        <v>489</v>
      </c>
      <c r="B11" s="1156" t="s">
        <v>491</v>
      </c>
      <c r="C11" s="1156"/>
      <c r="D11" s="1262" t="s">
        <v>506</v>
      </c>
      <c r="E11" s="1156" t="s">
        <v>507</v>
      </c>
      <c r="F11" s="1156" t="s">
        <v>496</v>
      </c>
      <c r="G11"/>
      <c r="H11"/>
      <c r="I11"/>
      <c r="J11" s="1254" t="s">
        <v>508</v>
      </c>
      <c r="K11" s="1212" t="s">
        <v>498</v>
      </c>
      <c r="L11" s="1304" t="s">
        <v>509</v>
      </c>
      <c r="M11" s="1326">
        <f>'2.00_Opex_Summary'!J42-'2.01_Opex_Cost_Matrix_C'!J34+GD1_Adjustments!J12</f>
        <v>89.829794315785179</v>
      </c>
      <c r="N11" s="1326">
        <f>'2.00_Opex_Summary'!K42-'2.01_Opex_Cost_Matrix_C'!K34</f>
        <v>91.283152370587487</v>
      </c>
      <c r="O11" s="1326">
        <f>'2.00_Opex_Summary'!L42-'2.01_Opex_Cost_Matrix_C'!L34</f>
        <v>85.608149270782221</v>
      </c>
      <c r="P11" s="1326">
        <f>'2.00_Opex_Summary'!M42-'2.01_Opex_Cost_Matrix_C'!M34</f>
        <v>84.189977320741789</v>
      </c>
      <c r="Q11" s="1326">
        <f>'2.00_Opex_Summary'!N42-'2.01_Opex_Cost_Matrix_C'!N34</f>
        <v>83.707674562876946</v>
      </c>
      <c r="R11" s="1326">
        <f>'2.00_Opex_Summary'!O42-'2.01_Opex_Cost_Matrix_C'!O34</f>
        <v>80.577808189091684</v>
      </c>
      <c r="S11" s="1326">
        <f>'2.00_Opex_Summary'!P42-'2.01_Opex_Cost_Matrix_C'!P34</f>
        <v>85.695598143929573</v>
      </c>
      <c r="T11" s="1326">
        <f>'2.00_Opex_Summary'!Q42-'2.01_Opex_Cost_Matrix_C'!Q34</f>
        <v>87.493767066975366</v>
      </c>
      <c r="U11" s="1326">
        <f>'2.00_Opex_Summary'!R42-'2.01_Opex_Cost_Matrix_C'!R34</f>
        <v>87.826896444845843</v>
      </c>
      <c r="V11" s="1326">
        <f>'2.00_Opex_Summary'!S42-'2.01_Opex_Cost_Matrix_C'!S34</f>
        <v>86.563012823589986</v>
      </c>
      <c r="W11" s="1326">
        <f>'2.00_Opex_Summary'!T42-'2.01_Opex_Cost_Matrix_C'!T34</f>
        <v>85.816418981275746</v>
      </c>
      <c r="X11" s="1326">
        <f>'2.00_Opex_Summary'!U42-'2.01_Opex_Cost_Matrix_C'!U34</f>
        <v>84.198432057053992</v>
      </c>
      <c r="Y11" s="1326">
        <f>'2.00_Opex_Summary'!V42-'2.01_Opex_Cost_Matrix_C'!V34</f>
        <v>84.909718941974617</v>
      </c>
      <c r="Z11" s="1252"/>
      <c r="AA11" s="1252"/>
      <c r="AB11" s="1252"/>
      <c r="AC11" s="1252"/>
      <c r="AD11" s="1252"/>
      <c r="AE11" s="1252"/>
      <c r="AF11" s="1252"/>
      <c r="AG11" s="1241"/>
    </row>
    <row r="12" spans="1:37" ht="15">
      <c r="A12" s="1156" t="s">
        <v>489</v>
      </c>
      <c r="B12" s="1156" t="s">
        <v>491</v>
      </c>
      <c r="C12" s="1156"/>
      <c r="D12" s="1262" t="s">
        <v>510</v>
      </c>
      <c r="E12" s="1156" t="s">
        <v>511</v>
      </c>
      <c r="F12" s="1156" t="s">
        <v>496</v>
      </c>
      <c r="G12"/>
      <c r="H12"/>
      <c r="I12"/>
      <c r="J12" s="1254" t="s">
        <v>512</v>
      </c>
      <c r="K12" s="1212" t="s">
        <v>498</v>
      </c>
      <c r="L12" s="1304" t="s">
        <v>513</v>
      </c>
      <c r="M12" s="1326">
        <f>'4.00_Repex_Summary'!AN40</f>
        <v>98.830704120863842</v>
      </c>
      <c r="N12" s="1326">
        <f>'4.00_Repex_Summary'!AO40</f>
        <v>103.78599985799354</v>
      </c>
      <c r="O12" s="1326">
        <f>'4.00_Repex_Summary'!AP40</f>
        <v>94.655909839103998</v>
      </c>
      <c r="P12" s="1326">
        <f>'4.00_Repex_Summary'!AQ40</f>
        <v>90.875450981340052</v>
      </c>
      <c r="Q12" s="1326">
        <f>'4.00_Repex_Summary'!AR40</f>
        <v>93.628315983069641</v>
      </c>
      <c r="R12" s="1326">
        <f>'4.00_Repex_Summary'!AS40</f>
        <v>97.110984312418068</v>
      </c>
      <c r="S12" s="1326">
        <f>'4.00_Repex_Summary'!AT40</f>
        <v>98.28782943390128</v>
      </c>
      <c r="T12" s="1326">
        <f>'4.00_Repex_Summary'!AU40</f>
        <v>89.375883409043013</v>
      </c>
      <c r="U12" s="1326">
        <f>'4.00_Repex_Summary'!AV40</f>
        <v>107.33203193073011</v>
      </c>
      <c r="V12" s="1326">
        <f>'4.00_Repex_Summary'!AW40</f>
        <v>106.67759003105536</v>
      </c>
      <c r="W12" s="1326">
        <f>'4.00_Repex_Summary'!AX40</f>
        <v>106.02935310620558</v>
      </c>
      <c r="X12" s="1326">
        <f>'4.00_Repex_Summary'!AY40</f>
        <v>105.38721710544988</v>
      </c>
      <c r="Y12" s="1326">
        <f>'4.00_Repex_Summary'!AZ40</f>
        <v>104.75108031665506</v>
      </c>
      <c r="Z12" s="1252"/>
      <c r="AA12" s="1252"/>
      <c r="AB12" s="1252"/>
      <c r="AC12" s="1252"/>
      <c r="AD12" s="1252"/>
      <c r="AE12" s="1252"/>
      <c r="AF12" s="1252"/>
      <c r="AG12" s="1241"/>
    </row>
    <row r="13" spans="1:37" ht="12.75">
      <c r="A13" s="1156" t="s">
        <v>489</v>
      </c>
      <c r="B13" s="1156"/>
      <c r="C13" s="1156"/>
      <c r="D13" s="1262" t="s">
        <v>514</v>
      </c>
      <c r="E13" s="1156"/>
      <c r="F13" s="1156" t="s">
        <v>496</v>
      </c>
      <c r="G13"/>
      <c r="H13"/>
      <c r="I13"/>
      <c r="J13" s="1210" t="s">
        <v>515</v>
      </c>
      <c r="K13" s="1212" t="s">
        <v>498</v>
      </c>
      <c r="L13" s="1247"/>
      <c r="M13" s="1214">
        <f>SUM(M9:M12)</f>
        <v>234.77294784201985</v>
      </c>
      <c r="N13" s="1214">
        <f>SUM(N9:N12)</f>
        <v>250.31389433433677</v>
      </c>
      <c r="O13" s="1214">
        <f>SUM(O9:O12)</f>
        <v>248.68230951020158</v>
      </c>
      <c r="P13" s="1214">
        <f>SUM(P9:P12)</f>
        <v>241.82815494678897</v>
      </c>
      <c r="Q13" s="1214">
        <f>SUM(Q9:Q12)</f>
        <v>233.29427294308476</v>
      </c>
      <c r="R13" s="1214">
        <f t="shared" ref="R13:Y13" si="0">SUM(R9:R12)</f>
        <v>238.93849161560144</v>
      </c>
      <c r="S13" s="1214">
        <f t="shared" si="0"/>
        <v>246.47376660099144</v>
      </c>
      <c r="T13" s="1214">
        <f t="shared" si="0"/>
        <v>234.28612254022124</v>
      </c>
      <c r="U13" s="1214">
        <f t="shared" si="0"/>
        <v>249.20772707219987</v>
      </c>
      <c r="V13" s="1214">
        <f t="shared" si="0"/>
        <v>255.27401441888156</v>
      </c>
      <c r="W13" s="1214">
        <f t="shared" si="0"/>
        <v>254.61077366206717</v>
      </c>
      <c r="X13" s="1214">
        <f t="shared" si="0"/>
        <v>248.13346595933578</v>
      </c>
      <c r="Y13" s="1214">
        <f t="shared" si="0"/>
        <v>242.26979426983149</v>
      </c>
      <c r="Z13" s="1251"/>
      <c r="AA13" s="1273"/>
      <c r="AB13" s="1251"/>
      <c r="AC13" s="1251"/>
      <c r="AD13" s="1251"/>
      <c r="AE13" s="1251"/>
      <c r="AF13" s="1251"/>
      <c r="AG13" s="1241"/>
    </row>
    <row r="14" spans="1:37" ht="12.75">
      <c r="A14" s="1156" t="s">
        <v>489</v>
      </c>
      <c r="B14" s="1156"/>
      <c r="C14" s="1156"/>
      <c r="D14" s="1262"/>
      <c r="E14" s="1156"/>
      <c r="F14" s="1156"/>
      <c r="H14" s="1241"/>
      <c r="I14" s="1241"/>
      <c r="L14" s="1247"/>
      <c r="M14" s="1247"/>
      <c r="N14" s="1247"/>
      <c r="O14" s="1247"/>
      <c r="P14" s="1247"/>
      <c r="Q14" s="1247"/>
      <c r="R14" s="1247"/>
      <c r="S14" s="1247"/>
      <c r="T14" s="1247"/>
      <c r="U14" s="1247"/>
      <c r="V14" s="1247"/>
      <c r="W14" s="1247"/>
      <c r="X14" s="1247"/>
      <c r="Y14" s="1247"/>
      <c r="Z14" s="1273"/>
      <c r="AA14" s="1273"/>
      <c r="AB14" s="1273"/>
      <c r="AC14" s="1273"/>
      <c r="AD14" s="1273"/>
      <c r="AE14" s="1273"/>
      <c r="AF14" s="1273"/>
      <c r="AG14" s="1241"/>
    </row>
    <row r="15" spans="1:37" s="1160" customFormat="1" ht="12.75" hidden="1">
      <c r="A15" s="1156" t="s">
        <v>489</v>
      </c>
      <c r="B15" s="1156" t="s">
        <v>516</v>
      </c>
      <c r="C15" s="1156" t="s">
        <v>370</v>
      </c>
      <c r="D15" s="1262"/>
      <c r="E15" s="1156"/>
      <c r="F15" s="1156"/>
      <c r="G15" s="1156" t="s">
        <v>367</v>
      </c>
      <c r="H15" s="1156" t="s">
        <v>367</v>
      </c>
      <c r="I15" s="1156" t="s">
        <v>367</v>
      </c>
      <c r="J15" s="1156" t="s">
        <v>367</v>
      </c>
      <c r="K15" s="1156" t="s">
        <v>492</v>
      </c>
      <c r="L15" s="1156" t="s">
        <v>367</v>
      </c>
      <c r="M15" s="1156" t="s">
        <v>371</v>
      </c>
      <c r="N15" s="1156" t="s">
        <v>371</v>
      </c>
      <c r="O15" s="1156" t="s">
        <v>371</v>
      </c>
      <c r="P15" s="1156" t="s">
        <v>371</v>
      </c>
      <c r="Q15" s="1156" t="s">
        <v>371</v>
      </c>
      <c r="R15" s="1156" t="s">
        <v>371</v>
      </c>
      <c r="S15" s="1156" t="s">
        <v>371</v>
      </c>
      <c r="T15" s="1156" t="s">
        <v>371</v>
      </c>
      <c r="U15" s="1156" t="s">
        <v>371</v>
      </c>
      <c r="V15" s="1156" t="s">
        <v>371</v>
      </c>
      <c r="W15" s="1156" t="s">
        <v>371</v>
      </c>
      <c r="X15" s="1156" t="s">
        <v>371</v>
      </c>
      <c r="Y15" s="1156" t="s">
        <v>371</v>
      </c>
    </row>
    <row r="16" spans="1:37" ht="12.75">
      <c r="A16" s="1156" t="s">
        <v>489</v>
      </c>
      <c r="B16" s="1156" t="s">
        <v>516</v>
      </c>
      <c r="C16" s="1156" t="s">
        <v>415</v>
      </c>
      <c r="D16" s="1262"/>
      <c r="E16" s="1156"/>
      <c r="F16" s="1156"/>
      <c r="G16" s="1241"/>
      <c r="I16" s="1305" t="s">
        <v>517</v>
      </c>
      <c r="L16" s="1247"/>
      <c r="M16" s="1203" t="s">
        <v>453</v>
      </c>
      <c r="N16" s="1203" t="s">
        <v>455</v>
      </c>
      <c r="O16" s="1203" t="s">
        <v>457</v>
      </c>
      <c r="P16" s="1203" t="s">
        <v>459</v>
      </c>
      <c r="Q16" s="1203" t="s">
        <v>461</v>
      </c>
      <c r="R16" s="1203" t="s">
        <v>463</v>
      </c>
      <c r="S16" s="1203" t="s">
        <v>465</v>
      </c>
      <c r="T16" s="1203" t="s">
        <v>467</v>
      </c>
      <c r="U16" s="1203" t="s">
        <v>469</v>
      </c>
      <c r="V16" s="1203" t="s">
        <v>471</v>
      </c>
      <c r="W16" s="1203" t="s">
        <v>473</v>
      </c>
      <c r="X16" s="1203" t="s">
        <v>475</v>
      </c>
      <c r="Y16" s="1203" t="s">
        <v>477</v>
      </c>
      <c r="Z16" s="1244"/>
      <c r="AA16" s="1244"/>
      <c r="AB16" s="2565"/>
      <c r="AC16" s="1244"/>
      <c r="AD16" s="1244"/>
      <c r="AE16" s="1244"/>
      <c r="AF16" s="1244"/>
      <c r="AG16" s="1241"/>
    </row>
    <row r="17" spans="1:33" ht="15">
      <c r="A17" s="1156" t="s">
        <v>489</v>
      </c>
      <c r="B17" s="1156" t="s">
        <v>516</v>
      </c>
      <c r="C17" s="1156"/>
      <c r="D17" s="1262" t="s">
        <v>518</v>
      </c>
      <c r="E17" s="1156" t="s">
        <v>519</v>
      </c>
      <c r="F17" s="1156" t="s">
        <v>496</v>
      </c>
      <c r="G17"/>
      <c r="H17"/>
      <c r="I17"/>
      <c r="J17" s="1241" t="s">
        <v>520</v>
      </c>
      <c r="K17" s="1212" t="s">
        <v>498</v>
      </c>
      <c r="L17" s="1247" t="s">
        <v>521</v>
      </c>
      <c r="M17" s="1796"/>
      <c r="N17" s="1796"/>
      <c r="O17" s="1796"/>
      <c r="P17" s="1796"/>
      <c r="Q17" s="1796"/>
      <c r="R17" s="1796"/>
      <c r="S17" s="1796"/>
      <c r="T17" s="1796"/>
      <c r="U17" s="1231"/>
      <c r="V17" s="1231"/>
      <c r="W17" s="1231"/>
      <c r="X17" s="1231"/>
      <c r="Y17" s="1231"/>
      <c r="Z17" s="1252"/>
      <c r="AA17" s="1252"/>
      <c r="AB17" s="1252"/>
      <c r="AC17" s="1252"/>
      <c r="AD17" s="1252"/>
      <c r="AE17" s="1252"/>
      <c r="AF17" s="1252"/>
      <c r="AG17" s="1241"/>
    </row>
    <row r="18" spans="1:33" ht="15">
      <c r="A18" s="1156" t="s">
        <v>489</v>
      </c>
      <c r="B18" s="1156" t="s">
        <v>516</v>
      </c>
      <c r="C18" s="1156"/>
      <c r="D18" s="1262" t="s">
        <v>522</v>
      </c>
      <c r="E18" s="1156" t="s">
        <v>523</v>
      </c>
      <c r="F18" s="1156" t="s">
        <v>496</v>
      </c>
      <c r="G18"/>
      <c r="H18"/>
      <c r="I18"/>
      <c r="J18" s="1241" t="s">
        <v>524</v>
      </c>
      <c r="K18" s="1212" t="s">
        <v>498</v>
      </c>
      <c r="L18" s="1304" t="s">
        <v>525</v>
      </c>
      <c r="M18" s="1796"/>
      <c r="N18" s="1796"/>
      <c r="O18" s="1796"/>
      <c r="P18" s="1796"/>
      <c r="Q18" s="1796"/>
      <c r="R18" s="1796"/>
      <c r="S18" s="1796"/>
      <c r="T18" s="1796"/>
      <c r="U18" s="1231"/>
      <c r="V18" s="1231"/>
      <c r="W18" s="1231"/>
      <c r="X18" s="1231"/>
      <c r="Y18" s="1231"/>
      <c r="Z18" s="1252"/>
      <c r="AA18" s="1252"/>
      <c r="AB18" s="1252"/>
      <c r="AC18" s="1252"/>
      <c r="AD18" s="1252"/>
      <c r="AE18" s="1252"/>
      <c r="AF18" s="1252"/>
      <c r="AG18" s="1241"/>
    </row>
    <row r="19" spans="1:33" ht="15">
      <c r="A19" s="1156" t="s">
        <v>489</v>
      </c>
      <c r="B19" s="1156" t="s">
        <v>516</v>
      </c>
      <c r="C19" s="1156"/>
      <c r="D19" s="1262" t="s">
        <v>526</v>
      </c>
      <c r="E19" s="1156" t="s">
        <v>527</v>
      </c>
      <c r="F19" s="1156" t="s">
        <v>496</v>
      </c>
      <c r="G19"/>
      <c r="H19"/>
      <c r="I19"/>
      <c r="J19" s="1241" t="s">
        <v>528</v>
      </c>
      <c r="K19" s="1212" t="s">
        <v>498</v>
      </c>
      <c r="L19" s="1304" t="s">
        <v>529</v>
      </c>
      <c r="M19" s="1796"/>
      <c r="N19" s="1796"/>
      <c r="O19" s="1796"/>
      <c r="P19" s="1796"/>
      <c r="Q19" s="1796"/>
      <c r="R19" s="1796"/>
      <c r="S19" s="1796"/>
      <c r="T19" s="1796"/>
      <c r="U19" s="1231"/>
      <c r="V19" s="1231"/>
      <c r="W19" s="1231"/>
      <c r="X19" s="1231"/>
      <c r="Y19" s="1231"/>
      <c r="Z19" s="1252"/>
      <c r="AA19" s="1252"/>
      <c r="AB19" s="1252"/>
      <c r="AC19" s="1252"/>
      <c r="AD19" s="1252"/>
      <c r="AE19" s="1252"/>
      <c r="AF19" s="1252"/>
      <c r="AG19" s="1241"/>
    </row>
    <row r="20" spans="1:33" ht="15">
      <c r="A20" s="1156" t="s">
        <v>489</v>
      </c>
      <c r="B20" s="1156" t="s">
        <v>516</v>
      </c>
      <c r="C20" s="1156"/>
      <c r="D20" s="1262" t="s">
        <v>530</v>
      </c>
      <c r="E20" s="1156" t="s">
        <v>531</v>
      </c>
      <c r="F20" s="1156" t="s">
        <v>496</v>
      </c>
      <c r="G20"/>
      <c r="H20"/>
      <c r="I20"/>
      <c r="J20" s="1241" t="s">
        <v>532</v>
      </c>
      <c r="K20" s="1212" t="s">
        <v>498</v>
      </c>
      <c r="L20" s="1304" t="s">
        <v>533</v>
      </c>
      <c r="M20" s="1796"/>
      <c r="N20" s="1796"/>
      <c r="O20" s="1796"/>
      <c r="P20" s="1796"/>
      <c r="Q20" s="1796"/>
      <c r="R20" s="1796"/>
      <c r="S20" s="1796"/>
      <c r="T20" s="1796"/>
      <c r="U20" s="1231"/>
      <c r="V20" s="1231"/>
      <c r="W20" s="1231"/>
      <c r="X20" s="1231"/>
      <c r="Y20" s="1231"/>
      <c r="Z20" s="1252"/>
      <c r="AA20" s="1252"/>
      <c r="AB20" s="1252"/>
      <c r="AC20" s="1252"/>
      <c r="AD20" s="1252"/>
      <c r="AE20" s="1252"/>
      <c r="AF20" s="1252"/>
      <c r="AG20" s="1241"/>
    </row>
    <row r="21" spans="1:33" ht="15">
      <c r="A21" s="1156" t="s">
        <v>489</v>
      </c>
      <c r="B21" s="1156" t="s">
        <v>516</v>
      </c>
      <c r="C21" s="1156"/>
      <c r="D21" s="1262" t="s">
        <v>534</v>
      </c>
      <c r="E21" s="1156" t="s">
        <v>535</v>
      </c>
      <c r="F21" s="1156" t="s">
        <v>496</v>
      </c>
      <c r="G21"/>
      <c r="H21"/>
      <c r="I21"/>
      <c r="J21" s="1194" t="s">
        <v>536</v>
      </c>
      <c r="K21" s="1212" t="s">
        <v>498</v>
      </c>
      <c r="L21" s="1304" t="s">
        <v>537</v>
      </c>
      <c r="M21" s="1796"/>
      <c r="N21" s="1796"/>
      <c r="O21" s="1796"/>
      <c r="P21" s="1796"/>
      <c r="Q21" s="1796"/>
      <c r="R21" s="1796"/>
      <c r="S21" s="1796"/>
      <c r="T21" s="1796"/>
      <c r="U21" s="1231"/>
      <c r="V21" s="1231"/>
      <c r="W21" s="1231"/>
      <c r="X21" s="1231"/>
      <c r="Y21" s="1231"/>
      <c r="Z21" s="1252"/>
      <c r="AA21" s="1252"/>
      <c r="AB21" s="1252"/>
      <c r="AC21" s="1252"/>
      <c r="AD21" s="1252"/>
      <c r="AE21" s="1252"/>
      <c r="AF21" s="1252"/>
      <c r="AG21" s="1241"/>
    </row>
    <row r="22" spans="1:33" ht="15">
      <c r="A22" s="1156" t="s">
        <v>489</v>
      </c>
      <c r="B22" s="1156" t="s">
        <v>516</v>
      </c>
      <c r="C22" s="1156"/>
      <c r="D22" s="1262" t="s">
        <v>538</v>
      </c>
      <c r="E22" s="1156" t="s">
        <v>539</v>
      </c>
      <c r="F22" s="1156" t="s">
        <v>496</v>
      </c>
      <c r="G22"/>
      <c r="H22"/>
      <c r="I22"/>
      <c r="J22" s="1194" t="s">
        <v>540</v>
      </c>
      <c r="K22" s="1212" t="s">
        <v>498</v>
      </c>
      <c r="L22" s="1304" t="s">
        <v>541</v>
      </c>
      <c r="M22" s="1796"/>
      <c r="N22" s="1796"/>
      <c r="O22" s="1796"/>
      <c r="P22" s="1796"/>
      <c r="Q22" s="1796"/>
      <c r="R22" s="1796"/>
      <c r="S22" s="1796"/>
      <c r="T22" s="1796"/>
      <c r="U22" s="1231"/>
      <c r="V22" s="1231"/>
      <c r="W22" s="1231"/>
      <c r="X22" s="1231"/>
      <c r="Y22" s="1231"/>
      <c r="Z22" s="1252"/>
      <c r="AA22" s="1252"/>
      <c r="AB22" s="1252"/>
      <c r="AC22" s="1252"/>
      <c r="AD22" s="1252"/>
      <c r="AE22" s="1252"/>
      <c r="AF22" s="1252"/>
      <c r="AG22" s="1241"/>
    </row>
    <row r="23" spans="1:33" ht="15">
      <c r="A23" s="1156" t="s">
        <v>489</v>
      </c>
      <c r="B23" s="1156" t="s">
        <v>516</v>
      </c>
      <c r="C23" s="1156"/>
      <c r="D23" s="1262" t="s">
        <v>542</v>
      </c>
      <c r="E23" s="1156" t="s">
        <v>543</v>
      </c>
      <c r="F23" s="1156" t="s">
        <v>496</v>
      </c>
      <c r="G23"/>
      <c r="H23"/>
      <c r="I23"/>
      <c r="J23" s="1194" t="s">
        <v>544</v>
      </c>
      <c r="K23" s="1212" t="s">
        <v>498</v>
      </c>
      <c r="L23" s="1304" t="s">
        <v>545</v>
      </c>
      <c r="M23" s="1796"/>
      <c r="N23" s="1796"/>
      <c r="O23" s="1796"/>
      <c r="P23" s="1796"/>
      <c r="Q23" s="1796"/>
      <c r="R23" s="1796"/>
      <c r="S23" s="1796"/>
      <c r="T23" s="1796"/>
      <c r="U23" s="1231"/>
      <c r="V23" s="1231"/>
      <c r="W23" s="1231"/>
      <c r="X23" s="1231"/>
      <c r="Y23" s="1231"/>
      <c r="Z23" s="1252"/>
      <c r="AA23" s="1252"/>
      <c r="AB23" s="1252"/>
      <c r="AC23" s="1252"/>
      <c r="AD23" s="1252"/>
      <c r="AE23" s="1252"/>
      <c r="AF23" s="1252"/>
      <c r="AG23" s="1241"/>
    </row>
    <row r="24" spans="1:33" ht="15">
      <c r="A24" s="1156" t="s">
        <v>489</v>
      </c>
      <c r="B24" s="1156" t="s">
        <v>516</v>
      </c>
      <c r="C24" s="1156"/>
      <c r="D24" s="1262" t="s">
        <v>546</v>
      </c>
      <c r="E24" s="1156" t="s">
        <v>547</v>
      </c>
      <c r="F24" s="1156" t="s">
        <v>496</v>
      </c>
      <c r="G24"/>
      <c r="H24"/>
      <c r="I24"/>
      <c r="J24" s="1194" t="s">
        <v>548</v>
      </c>
      <c r="K24" s="1212" t="s">
        <v>498</v>
      </c>
      <c r="L24" s="1304" t="s">
        <v>549</v>
      </c>
      <c r="M24" s="1796"/>
      <c r="N24" s="1796"/>
      <c r="O24" s="1796"/>
      <c r="P24" s="1796"/>
      <c r="Q24" s="1796"/>
      <c r="R24" s="1796"/>
      <c r="S24" s="1796"/>
      <c r="T24" s="1796"/>
      <c r="U24" s="1231"/>
      <c r="V24" s="1231"/>
      <c r="W24" s="1231"/>
      <c r="X24" s="1231"/>
      <c r="Y24" s="1231"/>
      <c r="Z24" s="1252"/>
      <c r="AA24" s="1252"/>
      <c r="AB24" s="1252"/>
      <c r="AC24" s="1252"/>
      <c r="AD24" s="1252"/>
      <c r="AE24" s="1252"/>
      <c r="AF24" s="1252"/>
      <c r="AG24" s="1241"/>
    </row>
    <row r="25" spans="1:33" ht="15">
      <c r="A25" s="1156" t="s">
        <v>489</v>
      </c>
      <c r="B25" s="1156" t="s">
        <v>516</v>
      </c>
      <c r="C25" s="1156"/>
      <c r="D25" s="1262" t="s">
        <v>550</v>
      </c>
      <c r="E25" s="1156" t="s">
        <v>551</v>
      </c>
      <c r="F25" s="1156" t="s">
        <v>496</v>
      </c>
      <c r="G25"/>
      <c r="H25"/>
      <c r="I25"/>
      <c r="J25" s="1194" t="s">
        <v>552</v>
      </c>
      <c r="K25" s="1212" t="s">
        <v>498</v>
      </c>
      <c r="L25" s="1304" t="s">
        <v>553</v>
      </c>
      <c r="M25" s="1796"/>
      <c r="N25" s="1796"/>
      <c r="O25" s="1796"/>
      <c r="P25" s="1796"/>
      <c r="Q25" s="1796"/>
      <c r="R25" s="1796"/>
      <c r="S25" s="1796"/>
      <c r="T25" s="1796"/>
      <c r="U25" s="1231"/>
      <c r="V25" s="1231"/>
      <c r="W25" s="1231"/>
      <c r="X25" s="1231"/>
      <c r="Y25" s="1231"/>
      <c r="Z25" s="1252"/>
      <c r="AA25" s="1252"/>
      <c r="AB25" s="1252"/>
      <c r="AC25" s="1252"/>
      <c r="AD25" s="1252"/>
      <c r="AE25" s="1252"/>
      <c r="AF25" s="1252"/>
      <c r="AG25" s="1241"/>
    </row>
    <row r="26" spans="1:33" ht="15">
      <c r="A26" s="1156" t="s">
        <v>489</v>
      </c>
      <c r="B26" s="1156" t="s">
        <v>516</v>
      </c>
      <c r="C26" s="1156"/>
      <c r="D26" s="1262" t="s">
        <v>554</v>
      </c>
      <c r="E26" s="1156" t="s">
        <v>555</v>
      </c>
      <c r="F26" s="1156" t="s">
        <v>496</v>
      </c>
      <c r="G26"/>
      <c r="H26"/>
      <c r="I26"/>
      <c r="J26" s="1194" t="s">
        <v>556</v>
      </c>
      <c r="K26" s="1212" t="s">
        <v>498</v>
      </c>
      <c r="L26" s="1304" t="s">
        <v>557</v>
      </c>
      <c r="M26" s="1231">
        <f>'2.02_Opex_Cost_Matrix_NC'!J20</f>
        <v>7.494125726912559</v>
      </c>
      <c r="N26" s="1231">
        <f>'2.02_Opex_Cost_Matrix_NC'!K20</f>
        <v>9.5677158857142821</v>
      </c>
      <c r="O26" s="1231">
        <f>'2.02_Opex_Cost_Matrix_NC'!L20</f>
        <v>8.2185892637800322</v>
      </c>
      <c r="P26" s="1231">
        <f>'2.02_Opex_Cost_Matrix_NC'!M20</f>
        <v>7.868716338606446</v>
      </c>
      <c r="Q26" s="1231">
        <f>'2.02_Opex_Cost_Matrix_NC'!N20</f>
        <v>7.8800220061443085</v>
      </c>
      <c r="R26" s="1231">
        <f>'2.02_Opex_Cost_Matrix_NC'!O20</f>
        <v>7.8800220061443085</v>
      </c>
      <c r="S26" s="1231">
        <f>'2.02_Opex_Cost_Matrix_NC'!P20</f>
        <v>15</v>
      </c>
      <c r="T26" s="1231">
        <f>'2.02_Opex_Cost_Matrix_NC'!Q20</f>
        <v>21</v>
      </c>
      <c r="U26" s="1231">
        <f>'2.02_Opex_Cost_Matrix_NC'!R20</f>
        <v>30.391852929403903</v>
      </c>
      <c r="V26" s="1231">
        <f>'2.02_Opex_Cost_Matrix_NC'!S20</f>
        <v>30.433321538800069</v>
      </c>
      <c r="W26" s="1231">
        <f>'2.02_Opex_Cost_Matrix_NC'!T20</f>
        <v>29.925479493570421</v>
      </c>
      <c r="X26" s="1231">
        <f>'2.02_Opex_Cost_Matrix_NC'!U20</f>
        <v>29.251646969231722</v>
      </c>
      <c r="Y26" s="1231">
        <f>'2.02_Opex_Cost_Matrix_NC'!V20</f>
        <v>28.678085319181509</v>
      </c>
      <c r="Z26" s="1252"/>
      <c r="AA26" s="1252"/>
      <c r="AB26" s="1252"/>
      <c r="AC26" s="1252"/>
      <c r="AD26" s="1252"/>
      <c r="AE26" s="1252"/>
      <c r="AF26" s="1252"/>
      <c r="AG26" s="1241"/>
    </row>
    <row r="27" spans="1:33" ht="15">
      <c r="A27" s="1156" t="s">
        <v>489</v>
      </c>
      <c r="B27" s="1156" t="s">
        <v>516</v>
      </c>
      <c r="C27" s="1156"/>
      <c r="D27" s="1262" t="s">
        <v>558</v>
      </c>
      <c r="E27" s="1156" t="s">
        <v>559</v>
      </c>
      <c r="F27" s="1156" t="s">
        <v>496</v>
      </c>
      <c r="G27"/>
      <c r="H27"/>
      <c r="I27"/>
      <c r="J27" s="1194" t="s">
        <v>560</v>
      </c>
      <c r="K27" s="1212" t="s">
        <v>498</v>
      </c>
      <c r="L27" s="1304" t="s">
        <v>561</v>
      </c>
      <c r="M27" s="1231">
        <f>'2.02_Opex_Cost_Matrix_NC'!J12</f>
        <v>9.6815551309763848</v>
      </c>
      <c r="N27" s="1231">
        <f>'2.02_Opex_Cost_Matrix_NC'!K12</f>
        <v>6.9401562211149486</v>
      </c>
      <c r="O27" s="1231">
        <f>'2.02_Opex_Cost_Matrix_NC'!L12</f>
        <v>5.4770473045426105</v>
      </c>
      <c r="P27" s="1231">
        <f>'2.02_Opex_Cost_Matrix_NC'!M12</f>
        <v>5.0092350911146282</v>
      </c>
      <c r="Q27" s="1231">
        <f>'2.02_Opex_Cost_Matrix_NC'!N12</f>
        <v>5.220360621008739</v>
      </c>
      <c r="R27" s="1231">
        <f>'2.02_Opex_Cost_Matrix_NC'!O12</f>
        <v>5.8186084900000097</v>
      </c>
      <c r="S27" s="1231">
        <f>'2.02_Opex_Cost_Matrix_NC'!P12</f>
        <v>5.7225254458266921</v>
      </c>
      <c r="T27" s="1231">
        <f>'2.02_Opex_Cost_Matrix_NC'!Q12</f>
        <v>5.5962734254435595</v>
      </c>
      <c r="U27" s="1231">
        <f>'2.02_Opex_Cost_Matrix_NC'!R12</f>
        <v>5.2882044854148607</v>
      </c>
      <c r="V27" s="1231">
        <f>'2.02_Opex_Cost_Matrix_NC'!S12</f>
        <v>5.0404825942723619</v>
      </c>
      <c r="W27" s="1231">
        <f>'2.02_Opex_Cost_Matrix_NC'!T12</f>
        <v>4.8052520178918448</v>
      </c>
      <c r="X27" s="1231">
        <f>'2.02_Opex_Cost_Matrix_NC'!U12</f>
        <v>4.5679175885932422</v>
      </c>
      <c r="Y27" s="1231">
        <f>'2.02_Opex_Cost_Matrix_NC'!V12</f>
        <v>4.3193049509041117</v>
      </c>
      <c r="Z27" s="1252"/>
      <c r="AA27" s="1252"/>
      <c r="AB27" s="1252"/>
      <c r="AC27" s="1252"/>
      <c r="AD27" s="1252"/>
      <c r="AE27" s="1252"/>
      <c r="AF27" s="1252"/>
      <c r="AG27" s="1241"/>
    </row>
    <row r="28" spans="1:33" ht="12.75">
      <c r="A28" s="1156" t="s">
        <v>489</v>
      </c>
      <c r="B28" s="1156" t="s">
        <v>516</v>
      </c>
      <c r="C28" s="1156"/>
      <c r="D28" s="1262" t="s">
        <v>562</v>
      </c>
      <c r="E28" s="1156"/>
      <c r="F28" s="1156"/>
      <c r="G28" s="1241"/>
      <c r="H28" s="1241"/>
      <c r="I28" s="1241"/>
      <c r="J28" s="1210" t="s">
        <v>563</v>
      </c>
      <c r="K28" s="1212" t="s">
        <v>498</v>
      </c>
      <c r="L28" s="1247"/>
      <c r="M28" s="1214">
        <f>SUM(M17:M27)</f>
        <v>17.175680857888942</v>
      </c>
      <c r="N28" s="1214">
        <f t="shared" ref="N28:Y28" si="1">SUM(N17:N27)</f>
        <v>16.507872106829232</v>
      </c>
      <c r="O28" s="1214">
        <f t="shared" si="1"/>
        <v>13.695636568322643</v>
      </c>
      <c r="P28" s="1214">
        <f t="shared" si="1"/>
        <v>12.877951429721074</v>
      </c>
      <c r="Q28" s="1214">
        <f t="shared" si="1"/>
        <v>13.100382627153047</v>
      </c>
      <c r="R28" s="1214">
        <f t="shared" si="1"/>
        <v>13.698630496144318</v>
      </c>
      <c r="S28" s="1214">
        <f t="shared" si="1"/>
        <v>20.72252544582669</v>
      </c>
      <c r="T28" s="1214">
        <f t="shared" si="1"/>
        <v>26.59627342544356</v>
      </c>
      <c r="U28" s="1214">
        <f t="shared" si="1"/>
        <v>35.680057414818762</v>
      </c>
      <c r="V28" s="1214">
        <f t="shared" si="1"/>
        <v>35.473804133072434</v>
      </c>
      <c r="W28" s="1214">
        <f t="shared" si="1"/>
        <v>34.730731511462267</v>
      </c>
      <c r="X28" s="1214">
        <f t="shared" si="1"/>
        <v>33.819564557824961</v>
      </c>
      <c r="Y28" s="1214">
        <f t="shared" si="1"/>
        <v>32.997390270085617</v>
      </c>
      <c r="Z28" s="1251"/>
      <c r="AA28" s="1251"/>
      <c r="AB28" s="1251"/>
      <c r="AC28" s="1251"/>
      <c r="AD28" s="1251"/>
      <c r="AE28" s="1251"/>
      <c r="AF28" s="1251"/>
      <c r="AG28" s="1241"/>
    </row>
    <row r="29" spans="1:33" ht="12.75">
      <c r="A29" s="1156"/>
      <c r="B29" s="1156"/>
      <c r="C29" s="1156" t="s">
        <v>367</v>
      </c>
      <c r="D29" s="1262"/>
      <c r="E29" s="1156"/>
      <c r="F29" s="1156"/>
      <c r="G29" s="1241"/>
      <c r="H29" s="1241"/>
      <c r="I29" s="1241"/>
      <c r="J29" s="1210"/>
      <c r="K29" s="1212"/>
      <c r="L29" s="1247"/>
      <c r="M29"/>
      <c r="N29"/>
      <c r="O29"/>
      <c r="P29"/>
      <c r="Q29"/>
      <c r="R29"/>
      <c r="S29"/>
      <c r="T29"/>
      <c r="U29"/>
      <c r="V29"/>
      <c r="W29"/>
      <c r="X29"/>
      <c r="Y29"/>
      <c r="Z29"/>
      <c r="AA29"/>
      <c r="AB29"/>
      <c r="AC29" s="1251"/>
      <c r="AD29" s="1251"/>
      <c r="AE29" s="1251"/>
      <c r="AF29" s="1251"/>
      <c r="AG29" s="1241"/>
    </row>
    <row r="30" spans="1:33" ht="12.75">
      <c r="A30" s="1156" t="s">
        <v>489</v>
      </c>
      <c r="B30" s="1156"/>
      <c r="C30" s="1156" t="s">
        <v>367</v>
      </c>
      <c r="D30" s="1262"/>
      <c r="E30" s="1156"/>
      <c r="F30" s="1156"/>
      <c r="G30" s="1241"/>
      <c r="H30" s="1241"/>
      <c r="I30" s="1241"/>
      <c r="J30" s="1241"/>
      <c r="L30" s="1212"/>
      <c r="M30"/>
      <c r="N30"/>
      <c r="O30"/>
      <c r="P30"/>
      <c r="Q30"/>
      <c r="R30"/>
      <c r="S30"/>
      <c r="T30"/>
      <c r="U30"/>
      <c r="V30"/>
      <c r="W30"/>
      <c r="X30"/>
      <c r="Y30"/>
      <c r="Z30"/>
      <c r="AA30"/>
      <c r="AB30"/>
      <c r="AC30" s="1251"/>
      <c r="AD30" s="1251"/>
      <c r="AE30" s="1251"/>
      <c r="AF30" s="1251"/>
      <c r="AG30" s="1241"/>
    </row>
    <row r="31" spans="1:33" ht="12.75">
      <c r="A31" s="1156" t="s">
        <v>489</v>
      </c>
      <c r="B31" s="1156"/>
      <c r="C31" s="1156" t="s">
        <v>367</v>
      </c>
      <c r="D31" s="1262"/>
      <c r="E31" s="1156"/>
      <c r="F31" s="1156"/>
      <c r="G31" s="1241"/>
      <c r="H31" s="1241"/>
      <c r="I31" s="1210" t="s">
        <v>564</v>
      </c>
      <c r="K31" s="1210"/>
      <c r="L31" s="1212"/>
      <c r="M31" s="1247"/>
      <c r="N31"/>
      <c r="O31"/>
      <c r="P31"/>
      <c r="Q31"/>
      <c r="R31"/>
      <c r="S31"/>
      <c r="T31"/>
      <c r="U31"/>
      <c r="V31"/>
      <c r="W31"/>
      <c r="X31"/>
      <c r="Y31"/>
      <c r="Z31"/>
      <c r="AA31" s="1251"/>
      <c r="AB31" s="1251"/>
      <c r="AC31" s="1251"/>
      <c r="AD31" s="1251"/>
      <c r="AE31" s="1251"/>
      <c r="AF31" s="1251"/>
      <c r="AG31" s="1241"/>
    </row>
    <row r="32" spans="1:33" ht="15">
      <c r="A32" s="1156" t="s">
        <v>489</v>
      </c>
      <c r="B32" s="1156" t="s">
        <v>565</v>
      </c>
      <c r="C32" s="1156"/>
      <c r="D32" s="1156" t="s">
        <v>566</v>
      </c>
      <c r="E32" s="1156"/>
      <c r="F32" s="1156" t="s">
        <v>496</v>
      </c>
      <c r="G32" s="1241"/>
      <c r="H32" s="1241"/>
      <c r="I32" s="1241"/>
      <c r="J32" s="1215" t="s">
        <v>567</v>
      </c>
      <c r="K32" s="1212" t="s">
        <v>498</v>
      </c>
      <c r="M32" s="1791">
        <v>0</v>
      </c>
      <c r="N32" s="1791">
        <v>0</v>
      </c>
      <c r="O32" s="1791">
        <v>0</v>
      </c>
      <c r="P32" s="1791">
        <v>0</v>
      </c>
      <c r="Q32" s="1791">
        <v>0</v>
      </c>
      <c r="R32" s="1791">
        <v>0</v>
      </c>
      <c r="S32" s="1791">
        <v>0</v>
      </c>
      <c r="T32" s="1792">
        <v>0</v>
      </c>
      <c r="U32" s="1231"/>
      <c r="V32" s="1231"/>
      <c r="W32" s="1231"/>
      <c r="X32" s="1231"/>
      <c r="Y32" s="1231"/>
      <c r="AA32" s="1251"/>
      <c r="AB32" s="1251"/>
      <c r="AC32" s="1251"/>
      <c r="AD32" s="1251"/>
      <c r="AE32" s="1251"/>
      <c r="AF32" s="1251"/>
      <c r="AG32" s="1241"/>
    </row>
    <row r="33" spans="1:33" ht="15">
      <c r="A33" s="1156" t="s">
        <v>489</v>
      </c>
      <c r="B33" s="1156" t="s">
        <v>565</v>
      </c>
      <c r="C33" s="1156"/>
      <c r="D33" s="1156" t="s">
        <v>568</v>
      </c>
      <c r="E33" s="1156"/>
      <c r="F33" s="1156" t="s">
        <v>496</v>
      </c>
      <c r="H33" s="1210"/>
      <c r="I33" s="1241"/>
      <c r="J33" s="1215" t="s">
        <v>569</v>
      </c>
      <c r="K33" s="1212" t="s">
        <v>498</v>
      </c>
      <c r="M33" s="1791">
        <v>0</v>
      </c>
      <c r="N33" s="1791">
        <v>0</v>
      </c>
      <c r="O33" s="1791">
        <v>0</v>
      </c>
      <c r="P33" s="1791">
        <v>0</v>
      </c>
      <c r="Q33" s="1791">
        <v>0</v>
      </c>
      <c r="R33" s="1791">
        <v>0</v>
      </c>
      <c r="S33" s="1791">
        <v>0</v>
      </c>
      <c r="T33" s="1792">
        <v>0</v>
      </c>
      <c r="U33" s="1231"/>
      <c r="V33" s="1231"/>
      <c r="W33" s="1231"/>
      <c r="X33" s="1231"/>
      <c r="Y33" s="1231"/>
      <c r="AA33" s="1251"/>
      <c r="AB33" s="1251"/>
      <c r="AC33" s="1251"/>
      <c r="AD33" s="1251"/>
      <c r="AE33" s="1251"/>
      <c r="AF33" s="1251"/>
      <c r="AG33" s="1241"/>
    </row>
    <row r="34" spans="1:33" ht="15">
      <c r="A34" s="1156" t="s">
        <v>489</v>
      </c>
      <c r="B34" s="1156" t="s">
        <v>565</v>
      </c>
      <c r="C34" s="1156"/>
      <c r="D34" s="1156" t="s">
        <v>570</v>
      </c>
      <c r="E34" s="1156"/>
      <c r="F34" s="1156" t="s">
        <v>496</v>
      </c>
      <c r="H34" s="1210"/>
      <c r="I34" s="1241"/>
      <c r="J34" s="1254" t="s">
        <v>571</v>
      </c>
      <c r="K34" s="1212" t="s">
        <v>498</v>
      </c>
      <c r="M34" s="1791">
        <v>0</v>
      </c>
      <c r="N34" s="1791">
        <v>0</v>
      </c>
      <c r="O34" s="1791">
        <v>0</v>
      </c>
      <c r="P34" s="1791">
        <v>0</v>
      </c>
      <c r="Q34" s="1791">
        <v>0</v>
      </c>
      <c r="R34" s="1791">
        <v>0</v>
      </c>
      <c r="S34" s="1791">
        <v>0</v>
      </c>
      <c r="T34" s="1792">
        <v>0</v>
      </c>
      <c r="U34" s="1231"/>
      <c r="V34" s="1231"/>
      <c r="W34" s="1231"/>
      <c r="X34" s="1231"/>
      <c r="Y34" s="1231"/>
      <c r="AA34" s="1251"/>
      <c r="AB34" s="1251"/>
      <c r="AC34" s="1251"/>
      <c r="AD34" s="1251"/>
      <c r="AE34" s="1251"/>
      <c r="AF34" s="1251"/>
      <c r="AG34" s="1241"/>
    </row>
    <row r="35" spans="1:33" ht="15">
      <c r="A35" s="1156" t="s">
        <v>489</v>
      </c>
      <c r="B35" s="1156" t="s">
        <v>565</v>
      </c>
      <c r="C35" s="1156"/>
      <c r="D35" s="1156" t="s">
        <v>572</v>
      </c>
      <c r="E35" s="1156"/>
      <c r="F35" s="1156" t="s">
        <v>496</v>
      </c>
      <c r="H35" s="1210"/>
      <c r="I35" s="1241"/>
      <c r="J35" s="1254" t="s">
        <v>573</v>
      </c>
      <c r="K35" s="1212" t="s">
        <v>498</v>
      </c>
      <c r="M35" s="1791">
        <v>0</v>
      </c>
      <c r="N35" s="1791">
        <v>0</v>
      </c>
      <c r="O35" s="1791">
        <v>0</v>
      </c>
      <c r="P35" s="1791">
        <v>0</v>
      </c>
      <c r="Q35" s="1791">
        <v>0</v>
      </c>
      <c r="R35" s="1791">
        <v>0</v>
      </c>
      <c r="S35" s="1791">
        <v>0</v>
      </c>
      <c r="T35" s="1792">
        <v>0</v>
      </c>
      <c r="U35" s="1231"/>
      <c r="V35" s="1231"/>
      <c r="W35" s="1231"/>
      <c r="X35" s="1231"/>
      <c r="Y35" s="1231"/>
      <c r="AA35" s="1251"/>
      <c r="AB35" s="1251"/>
      <c r="AC35" s="1251"/>
      <c r="AD35" s="1251"/>
      <c r="AE35" s="1251"/>
      <c r="AF35" s="1251"/>
      <c r="AG35" s="1241"/>
    </row>
    <row r="36" spans="1:33" ht="15">
      <c r="A36" s="1156" t="s">
        <v>489</v>
      </c>
      <c r="B36" s="1156" t="s">
        <v>565</v>
      </c>
      <c r="C36" s="1156"/>
      <c r="D36" s="1156" t="s">
        <v>574</v>
      </c>
      <c r="E36" s="1156"/>
      <c r="F36" s="1156" t="s">
        <v>496</v>
      </c>
      <c r="H36" s="1210"/>
      <c r="I36" s="1241"/>
      <c r="J36" s="1254" t="s">
        <v>575</v>
      </c>
      <c r="K36" s="1212" t="s">
        <v>498</v>
      </c>
      <c r="M36" s="1791">
        <v>0</v>
      </c>
      <c r="N36" s="1791">
        <v>0</v>
      </c>
      <c r="O36" s="1791">
        <v>0</v>
      </c>
      <c r="P36" s="1791">
        <v>0</v>
      </c>
      <c r="Q36" s="1791">
        <v>0</v>
      </c>
      <c r="R36" s="1791">
        <v>0</v>
      </c>
      <c r="S36" s="1791">
        <v>0</v>
      </c>
      <c r="T36" s="1792">
        <v>0</v>
      </c>
      <c r="U36" s="1231"/>
      <c r="V36" s="1231"/>
      <c r="W36" s="1231"/>
      <c r="X36" s="1231"/>
      <c r="Y36" s="1231"/>
      <c r="AA36" s="1251"/>
      <c r="AB36" s="1251"/>
      <c r="AC36" s="1251"/>
      <c r="AD36" s="1251"/>
      <c r="AE36" s="1251"/>
      <c r="AF36" s="1251"/>
      <c r="AG36" s="1241"/>
    </row>
    <row r="37" spans="1:33" ht="15">
      <c r="A37" s="1156" t="s">
        <v>489</v>
      </c>
      <c r="B37" s="1156" t="s">
        <v>565</v>
      </c>
      <c r="C37" s="1156"/>
      <c r="D37" s="1156" t="s">
        <v>576</v>
      </c>
      <c r="E37" s="1156"/>
      <c r="F37" s="1156" t="s">
        <v>496</v>
      </c>
      <c r="H37" s="1210"/>
      <c r="I37" s="1241"/>
      <c r="J37" s="1254" t="s">
        <v>577</v>
      </c>
      <c r="K37" s="1212" t="s">
        <v>498</v>
      </c>
      <c r="M37" s="1791">
        <v>0</v>
      </c>
      <c r="N37" s="1791">
        <v>0</v>
      </c>
      <c r="O37" s="1791">
        <v>0</v>
      </c>
      <c r="P37" s="1791">
        <v>0</v>
      </c>
      <c r="Q37" s="1791">
        <v>0</v>
      </c>
      <c r="R37" s="1791">
        <v>0</v>
      </c>
      <c r="S37" s="1791">
        <v>0</v>
      </c>
      <c r="T37" s="1792">
        <v>0</v>
      </c>
      <c r="U37" s="1231"/>
      <c r="V37" s="1231"/>
      <c r="W37" s="1231"/>
      <c r="X37" s="1231"/>
      <c r="Y37" s="1231"/>
      <c r="AA37" s="1251"/>
      <c r="AB37" s="1251"/>
      <c r="AC37" s="1251"/>
      <c r="AD37" s="1251"/>
      <c r="AE37" s="1251"/>
      <c r="AF37" s="1251"/>
      <c r="AG37" s="1241"/>
    </row>
    <row r="38" spans="1:33" ht="15">
      <c r="A38" s="1156" t="s">
        <v>489</v>
      </c>
      <c r="B38" s="1156" t="s">
        <v>565</v>
      </c>
      <c r="C38" s="1156"/>
      <c r="D38" s="1156" t="s">
        <v>578</v>
      </c>
      <c r="E38" s="1156"/>
      <c r="F38" s="1156" t="s">
        <v>496</v>
      </c>
      <c r="H38" s="1210"/>
      <c r="I38" s="1241"/>
      <c r="J38" s="1254" t="s">
        <v>579</v>
      </c>
      <c r="K38" s="1212" t="s">
        <v>498</v>
      </c>
      <c r="M38" s="1791">
        <v>0</v>
      </c>
      <c r="N38" s="1791">
        <v>0</v>
      </c>
      <c r="O38" s="1791">
        <v>0</v>
      </c>
      <c r="P38" s="1791">
        <v>0</v>
      </c>
      <c r="Q38" s="1791">
        <v>0</v>
      </c>
      <c r="R38" s="1791">
        <v>0</v>
      </c>
      <c r="S38" s="1791">
        <v>0</v>
      </c>
      <c r="T38" s="1792">
        <v>0</v>
      </c>
      <c r="U38" s="1231"/>
      <c r="V38" s="1231"/>
      <c r="W38" s="1231"/>
      <c r="X38" s="1231"/>
      <c r="Y38" s="1231"/>
      <c r="AA38" s="1251"/>
      <c r="AB38" s="1251"/>
      <c r="AC38" s="1251"/>
      <c r="AD38" s="1251"/>
      <c r="AE38" s="1251"/>
      <c r="AF38" s="1251"/>
      <c r="AG38" s="1241"/>
    </row>
    <row r="39" spans="1:33" ht="15">
      <c r="A39" s="1156" t="s">
        <v>489</v>
      </c>
      <c r="B39" s="1156" t="s">
        <v>565</v>
      </c>
      <c r="C39" s="1156"/>
      <c r="D39" s="1156" t="s">
        <v>580</v>
      </c>
      <c r="E39" s="1156"/>
      <c r="F39" s="1156" t="s">
        <v>496</v>
      </c>
      <c r="H39" s="1210"/>
      <c r="I39" s="1241"/>
      <c r="J39" s="1254" t="s">
        <v>581</v>
      </c>
      <c r="K39" s="1212" t="s">
        <v>498</v>
      </c>
      <c r="M39" s="1793"/>
      <c r="N39" s="1793"/>
      <c r="O39" s="1793"/>
      <c r="P39" s="1793"/>
      <c r="Q39" s="1793"/>
      <c r="R39" s="1793"/>
      <c r="S39" s="1793"/>
      <c r="T39" s="1794"/>
      <c r="U39" s="1795">
        <v>0</v>
      </c>
      <c r="V39" s="1793"/>
      <c r="W39" s="1793"/>
      <c r="X39" s="1793"/>
      <c r="Y39" s="1793"/>
      <c r="AA39" s="1251"/>
      <c r="AB39" s="1251"/>
      <c r="AC39" s="1251"/>
      <c r="AD39" s="1251"/>
      <c r="AE39" s="1251"/>
      <c r="AF39" s="1251"/>
      <c r="AG39" s="1241"/>
    </row>
    <row r="40" spans="1:33" ht="15">
      <c r="A40" s="1156" t="s">
        <v>489</v>
      </c>
      <c r="B40" s="1156" t="s">
        <v>565</v>
      </c>
      <c r="C40" s="1156"/>
      <c r="D40" s="1156" t="s">
        <v>582</v>
      </c>
      <c r="E40" s="1156"/>
      <c r="F40" s="1156" t="s">
        <v>496</v>
      </c>
      <c r="H40" s="1210"/>
      <c r="I40" s="1241"/>
      <c r="J40" s="1254" t="s">
        <v>583</v>
      </c>
      <c r="K40" s="1212" t="s">
        <v>498</v>
      </c>
      <c r="M40" s="1793"/>
      <c r="N40" s="1793"/>
      <c r="O40" s="1793"/>
      <c r="P40" s="1793"/>
      <c r="Q40" s="1793"/>
      <c r="R40" s="1793"/>
      <c r="S40" s="1793"/>
      <c r="T40" s="1794"/>
      <c r="U40" s="1231"/>
      <c r="V40" s="1793"/>
      <c r="W40" s="1793"/>
      <c r="X40" s="1793"/>
      <c r="Y40" s="1793"/>
      <c r="AA40" s="1251"/>
      <c r="AB40" s="1251"/>
      <c r="AC40" s="1251"/>
      <c r="AD40" s="1251"/>
      <c r="AE40" s="1251"/>
      <c r="AF40" s="1251"/>
      <c r="AG40" s="1241"/>
    </row>
    <row r="41" spans="1:33" ht="12.75">
      <c r="A41" s="1156" t="s">
        <v>489</v>
      </c>
      <c r="B41" s="1156"/>
      <c r="C41" s="1156" t="s">
        <v>367</v>
      </c>
      <c r="D41" s="1262"/>
      <c r="E41" s="1156"/>
      <c r="F41" s="1156"/>
      <c r="H41" s="1210"/>
      <c r="I41" s="1241"/>
      <c r="J41" s="1241"/>
      <c r="K41" s="1210"/>
      <c r="L41" s="1212"/>
      <c r="M41" s="1247"/>
      <c r="N41"/>
      <c r="O41"/>
      <c r="P41"/>
      <c r="Q41"/>
      <c r="R41"/>
      <c r="S41"/>
      <c r="T41"/>
      <c r="U41"/>
      <c r="V41"/>
      <c r="W41"/>
      <c r="X41"/>
      <c r="Y41"/>
      <c r="Z41"/>
      <c r="AA41" s="1251"/>
      <c r="AB41" s="1251"/>
      <c r="AC41" s="1251"/>
      <c r="AD41" s="1251"/>
      <c r="AE41" s="1251"/>
      <c r="AF41" s="1251"/>
      <c r="AG41" s="1241"/>
    </row>
    <row r="42" spans="1:33" ht="15">
      <c r="A42" s="1156" t="s">
        <v>489</v>
      </c>
      <c r="B42" s="1156"/>
      <c r="C42" s="1156" t="s">
        <v>367</v>
      </c>
      <c r="D42" s="1262"/>
      <c r="E42" s="1156"/>
      <c r="F42" s="1156"/>
      <c r="G42" s="1241"/>
      <c r="H42" s="1241"/>
      <c r="I42" s="1241"/>
      <c r="J42" s="1210"/>
      <c r="K42" s="1218"/>
      <c r="L42" s="1247"/>
      <c r="M42" s="1306"/>
      <c r="N42" s="1306"/>
      <c r="O42" s="1306"/>
      <c r="P42" s="1306"/>
      <c r="Q42" s="1306"/>
      <c r="R42" s="1252"/>
      <c r="S42" s="1252"/>
      <c r="T42" s="1252"/>
      <c r="U42" s="1252"/>
      <c r="V42" s="1252"/>
      <c r="W42" s="1252"/>
      <c r="X42" s="1252"/>
      <c r="Y42" s="1252"/>
      <c r="Z42" s="1252"/>
      <c r="AA42" s="1252"/>
      <c r="AB42" s="1252"/>
      <c r="AC42" s="1252"/>
      <c r="AD42" s="1252"/>
      <c r="AE42" s="1252"/>
      <c r="AF42" s="1252"/>
      <c r="AG42" s="1241"/>
    </row>
    <row r="43" spans="1:33" s="1160" customFormat="1" ht="12.75" hidden="1">
      <c r="A43" s="1156" t="s">
        <v>489</v>
      </c>
      <c r="B43" s="1156" t="s">
        <v>584</v>
      </c>
      <c r="C43" s="1156" t="s">
        <v>370</v>
      </c>
      <c r="D43" s="1262"/>
      <c r="E43" s="1156"/>
      <c r="F43" s="1156"/>
      <c r="G43" s="1156" t="s">
        <v>367</v>
      </c>
      <c r="H43" s="1156" t="s">
        <v>367</v>
      </c>
      <c r="I43" s="1156" t="s">
        <v>367</v>
      </c>
      <c r="J43" s="1156" t="s">
        <v>367</v>
      </c>
      <c r="K43" s="1156" t="s">
        <v>492</v>
      </c>
      <c r="L43" s="1156" t="s">
        <v>367</v>
      </c>
      <c r="M43" s="1156" t="s">
        <v>371</v>
      </c>
      <c r="N43" s="1156" t="s">
        <v>371</v>
      </c>
      <c r="O43" s="1156" t="s">
        <v>371</v>
      </c>
      <c r="P43" s="1156" t="s">
        <v>371</v>
      </c>
      <c r="Q43" s="1156" t="s">
        <v>371</v>
      </c>
      <c r="R43" s="1156" t="s">
        <v>371</v>
      </c>
      <c r="S43" s="1156" t="s">
        <v>371</v>
      </c>
      <c r="T43" s="1156" t="s">
        <v>371</v>
      </c>
      <c r="U43" s="1156" t="s">
        <v>371</v>
      </c>
      <c r="V43" s="1156" t="s">
        <v>371</v>
      </c>
      <c r="W43" s="1156" t="s">
        <v>371</v>
      </c>
      <c r="X43" s="1156" t="s">
        <v>371</v>
      </c>
      <c r="Y43" s="1156" t="s">
        <v>371</v>
      </c>
    </row>
    <row r="44" spans="1:33" ht="12.75">
      <c r="A44" s="1156" t="s">
        <v>489</v>
      </c>
      <c r="B44" s="1156" t="s">
        <v>584</v>
      </c>
      <c r="C44" s="1156" t="s">
        <v>415</v>
      </c>
      <c r="D44" s="1262"/>
      <c r="E44" s="1156"/>
      <c r="F44" s="1156"/>
      <c r="G44" s="1307"/>
      <c r="I44" s="1305" t="s">
        <v>585</v>
      </c>
      <c r="L44" s="1247"/>
      <c r="M44" s="1203" t="s">
        <v>453</v>
      </c>
      <c r="N44" s="1203" t="s">
        <v>455</v>
      </c>
      <c r="O44" s="1203" t="s">
        <v>457</v>
      </c>
      <c r="P44" s="1203" t="s">
        <v>459</v>
      </c>
      <c r="Q44" s="1203" t="s">
        <v>461</v>
      </c>
      <c r="R44" s="1203" t="s">
        <v>463</v>
      </c>
      <c r="S44" s="1203" t="s">
        <v>465</v>
      </c>
      <c r="T44" s="1203" t="s">
        <v>467</v>
      </c>
      <c r="U44" s="1203" t="s">
        <v>469</v>
      </c>
      <c r="V44" s="1203" t="s">
        <v>471</v>
      </c>
      <c r="W44" s="1203" t="s">
        <v>473</v>
      </c>
      <c r="X44" s="1203" t="s">
        <v>475</v>
      </c>
      <c r="Y44" s="1203" t="s">
        <v>477</v>
      </c>
      <c r="Z44" s="1244"/>
      <c r="AA44" s="1244"/>
      <c r="AB44" s="1244"/>
      <c r="AC44" s="1244"/>
      <c r="AD44" s="1244"/>
      <c r="AE44" s="1244"/>
      <c r="AF44" s="1244"/>
      <c r="AG44" s="1241"/>
    </row>
    <row r="45" spans="1:33" ht="15">
      <c r="A45" s="1156" t="s">
        <v>489</v>
      </c>
      <c r="B45" s="1156" t="s">
        <v>584</v>
      </c>
      <c r="C45" s="1156"/>
      <c r="D45" s="1262" t="s">
        <v>586</v>
      </c>
      <c r="E45" s="1156" t="s">
        <v>587</v>
      </c>
      <c r="F45" s="1156" t="s">
        <v>496</v>
      </c>
      <c r="G45"/>
      <c r="H45"/>
      <c r="I45"/>
      <c r="J45" s="1194" t="s">
        <v>588</v>
      </c>
      <c r="K45" s="1212" t="s">
        <v>498</v>
      </c>
      <c r="L45" s="1247" t="s">
        <v>589</v>
      </c>
      <c r="M45" s="1300">
        <f>SUM('2.02_Opex_Cost_Matrix_NC'!J16+'2.02_Opex_Cost_Matrix_NC'!J17)</f>
        <v>0.10279007071778427</v>
      </c>
      <c r="N45" s="1300">
        <f>SUM('2.02_Opex_Cost_Matrix_NC'!K16+'2.02_Opex_Cost_Matrix_NC'!K17)</f>
        <v>7.616202077922074E-2</v>
      </c>
      <c r="O45" s="1300">
        <f>SUM('2.02_Opex_Cost_Matrix_NC'!L16+'2.02_Opex_Cost_Matrix_NC'!L17)</f>
        <v>0.60279846845689322</v>
      </c>
      <c r="P45" s="1300">
        <f>SUM('2.02_Opex_Cost_Matrix_NC'!M16+'2.02_Opex_Cost_Matrix_NC'!M17)</f>
        <v>0.60298572009419127</v>
      </c>
      <c r="Q45" s="1300">
        <f>SUM('2.02_Opex_Cost_Matrix_NC'!N16+'2.02_Opex_Cost_Matrix_NC'!N17)</f>
        <v>0.93723669610633364</v>
      </c>
      <c r="R45" s="1300">
        <f>SUM('2.02_Opex_Cost_Matrix_NC'!O16+'2.02_Opex_Cost_Matrix_NC'!O17)</f>
        <v>0.93723669610633364</v>
      </c>
      <c r="S45" s="1300">
        <f>SUM('2.02_Opex_Cost_Matrix_NC'!P16+'2.02_Opex_Cost_Matrix_NC'!P17)</f>
        <v>0.93723669610633364</v>
      </c>
      <c r="T45" s="1300">
        <f>SUM('2.02_Opex_Cost_Matrix_NC'!Q16+'2.02_Opex_Cost_Matrix_NC'!Q17)</f>
        <v>0.93723669610633364</v>
      </c>
      <c r="U45" s="1796"/>
      <c r="V45" s="1796"/>
      <c r="W45" s="1796"/>
      <c r="X45" s="1796"/>
      <c r="Y45" s="1796"/>
      <c r="Z45" s="1252"/>
      <c r="AA45" s="1252"/>
      <c r="AB45" s="1252"/>
      <c r="AC45" s="1252"/>
      <c r="AD45" s="1252"/>
      <c r="AE45" s="1252"/>
      <c r="AF45" s="1252"/>
      <c r="AG45" s="1241"/>
    </row>
    <row r="46" spans="1:33" ht="12.75">
      <c r="A46" s="1156" t="s">
        <v>489</v>
      </c>
      <c r="B46" s="1156"/>
      <c r="C46" s="1156" t="s">
        <v>367</v>
      </c>
      <c r="D46" s="1262"/>
      <c r="E46" s="1156"/>
      <c r="F46" s="1156"/>
      <c r="G46"/>
      <c r="H46"/>
      <c r="I46"/>
      <c r="J46"/>
      <c r="K46"/>
      <c r="L46"/>
      <c r="M46"/>
      <c r="N46"/>
      <c r="O46"/>
      <c r="P46"/>
      <c r="Q46"/>
      <c r="R46"/>
      <c r="S46"/>
      <c r="T46"/>
      <c r="U46"/>
      <c r="V46"/>
      <c r="W46"/>
      <c r="X46"/>
      <c r="Y46"/>
      <c r="Z46"/>
      <c r="AA46"/>
      <c r="AB46"/>
      <c r="AC46"/>
      <c r="AD46"/>
      <c r="AE46"/>
      <c r="AF46"/>
      <c r="AG46"/>
    </row>
    <row r="47" spans="1:33" ht="15">
      <c r="A47" s="1156" t="s">
        <v>489</v>
      </c>
      <c r="B47" s="1156" t="s">
        <v>584</v>
      </c>
      <c r="C47" s="1156"/>
      <c r="D47" s="1262" t="s">
        <v>590</v>
      </c>
      <c r="E47" s="1156"/>
      <c r="F47" s="1156" t="s">
        <v>496</v>
      </c>
      <c r="G47" s="1307"/>
      <c r="H47" s="1241"/>
      <c r="I47" s="1241"/>
      <c r="J47" s="1194" t="s">
        <v>591</v>
      </c>
      <c r="K47" s="1212" t="s">
        <v>498</v>
      </c>
      <c r="L47" s="1247"/>
      <c r="M47" s="1231">
        <f>'2.02_Opex_Cost_Matrix_NC'!J15</f>
        <v>8.778358022190174</v>
      </c>
      <c r="N47" s="1231">
        <f>'2.02_Opex_Cost_Matrix_NC'!K15</f>
        <v>8.8568703584415545</v>
      </c>
      <c r="O47" s="1231">
        <f>'2.02_Opex_Cost_Matrix_NC'!L15</f>
        <v>9.3521124707696242</v>
      </c>
      <c r="P47" s="1231">
        <f>'2.02_Opex_Cost_Matrix_NC'!M15</f>
        <v>29.781380751117005</v>
      </c>
      <c r="Q47" s="1231">
        <f>'2.02_Opex_Cost_Matrix_NC'!N15</f>
        <v>11.130001309529005</v>
      </c>
      <c r="R47" s="1231">
        <f>'2.02_Opex_Cost_Matrix_NC'!O15</f>
        <v>4.2</v>
      </c>
      <c r="S47" s="1231">
        <f>'2.02_Opex_Cost_Matrix_NC'!P15</f>
        <v>4.2</v>
      </c>
      <c r="T47" s="1231">
        <f>'2.02_Opex_Cost_Matrix_NC'!Q15</f>
        <v>4.2</v>
      </c>
      <c r="U47" s="1231">
        <f>'2.02_Opex_Cost_Matrix_NC'!R15</f>
        <v>4.2</v>
      </c>
      <c r="V47" s="1231">
        <f>'2.02_Opex_Cost_Matrix_NC'!S15</f>
        <v>4.2</v>
      </c>
      <c r="W47" s="1231">
        <f>'2.02_Opex_Cost_Matrix_NC'!T15</f>
        <v>4.2</v>
      </c>
      <c r="X47" s="1231">
        <f>'2.02_Opex_Cost_Matrix_NC'!U15</f>
        <v>4.2</v>
      </c>
      <c r="Y47" s="1231">
        <f>'2.02_Opex_Cost_Matrix_NC'!V15</f>
        <v>4.2</v>
      </c>
      <c r="Z47" s="1252"/>
      <c r="AA47" s="1252"/>
      <c r="AB47" s="1252"/>
      <c r="AC47" s="1252"/>
      <c r="AD47" s="1252"/>
      <c r="AE47" s="1252"/>
      <c r="AF47" s="1252"/>
      <c r="AG47" s="1241"/>
    </row>
    <row r="48" spans="1:33" ht="15">
      <c r="A48" s="1156" t="s">
        <v>489</v>
      </c>
      <c r="B48" s="1156" t="s">
        <v>584</v>
      </c>
      <c r="C48" s="1156"/>
      <c r="D48" s="1262" t="s">
        <v>592</v>
      </c>
      <c r="E48" s="1156"/>
      <c r="F48" s="1156" t="s">
        <v>496</v>
      </c>
      <c r="G48" s="1307"/>
      <c r="H48" s="1241"/>
      <c r="I48" s="1241"/>
      <c r="J48" s="1254" t="s">
        <v>593</v>
      </c>
      <c r="K48" s="1212" t="s">
        <v>498</v>
      </c>
      <c r="L48" s="1247"/>
      <c r="M48" s="1231"/>
      <c r="N48" s="1231"/>
      <c r="O48" s="1231"/>
      <c r="P48" s="1231"/>
      <c r="Q48" s="1231"/>
      <c r="R48" s="1231"/>
      <c r="S48" s="1231"/>
      <c r="T48" s="1231"/>
      <c r="U48" s="1231"/>
      <c r="V48" s="1231"/>
      <c r="W48" s="1231"/>
      <c r="X48" s="1231"/>
      <c r="Y48" s="1231"/>
      <c r="Z48" s="1252"/>
      <c r="AA48" s="1252"/>
      <c r="AB48" s="1252"/>
      <c r="AC48" s="1252"/>
      <c r="AD48" s="1252"/>
      <c r="AE48" s="1252"/>
      <c r="AF48" s="1252"/>
      <c r="AG48" s="1241"/>
    </row>
    <row r="49" spans="1:33" s="1308" customFormat="1" ht="12.75">
      <c r="A49" s="1156" t="s">
        <v>489</v>
      </c>
      <c r="B49" s="1156" t="s">
        <v>584</v>
      </c>
      <c r="C49" s="1156"/>
      <c r="D49" s="1262" t="s">
        <v>594</v>
      </c>
      <c r="E49" s="1156" t="s">
        <v>595</v>
      </c>
      <c r="F49" s="1156" t="s">
        <v>496</v>
      </c>
      <c r="G49" s="1307"/>
      <c r="H49" s="1241"/>
      <c r="I49" s="1241"/>
      <c r="J49" s="1215" t="s">
        <v>596</v>
      </c>
      <c r="K49" s="1212" t="s">
        <v>498</v>
      </c>
      <c r="L49" s="1247" t="s">
        <v>597</v>
      </c>
      <c r="M49" s="1214">
        <f>SUM(M47:M48)</f>
        <v>8.778358022190174</v>
      </c>
      <c r="N49" s="1214">
        <f t="shared" ref="N49:O49" si="2">SUM(N47:N48)</f>
        <v>8.8568703584415545</v>
      </c>
      <c r="O49" s="1214">
        <f t="shared" si="2"/>
        <v>9.3521124707696242</v>
      </c>
      <c r="P49" s="1214">
        <f>SUM(P47:P48)</f>
        <v>29.781380751117005</v>
      </c>
      <c r="Q49" s="1214">
        <f t="shared" ref="Q49:Y49" si="3">SUM(Q47:Q48)</f>
        <v>11.130001309529005</v>
      </c>
      <c r="R49" s="1214">
        <f t="shared" si="3"/>
        <v>4.2</v>
      </c>
      <c r="S49" s="1214">
        <f t="shared" si="3"/>
        <v>4.2</v>
      </c>
      <c r="T49" s="1214">
        <f t="shared" si="3"/>
        <v>4.2</v>
      </c>
      <c r="U49" s="1214">
        <f t="shared" si="3"/>
        <v>4.2</v>
      </c>
      <c r="V49" s="1214">
        <f t="shared" si="3"/>
        <v>4.2</v>
      </c>
      <c r="W49" s="1214">
        <f t="shared" si="3"/>
        <v>4.2</v>
      </c>
      <c r="X49" s="1214">
        <f t="shared" si="3"/>
        <v>4.2</v>
      </c>
      <c r="Y49" s="1214">
        <f t="shared" si="3"/>
        <v>4.2</v>
      </c>
      <c r="Z49" s="1251"/>
      <c r="AA49" s="1251"/>
      <c r="AB49" s="1251"/>
      <c r="AC49" s="1251"/>
      <c r="AD49" s="1251"/>
      <c r="AE49" s="1251"/>
      <c r="AF49" s="1251"/>
      <c r="AG49" s="1243"/>
    </row>
    <row r="50" spans="1:33" s="1308" customFormat="1" ht="12.75">
      <c r="A50" s="1156" t="s">
        <v>489</v>
      </c>
      <c r="B50" s="1156"/>
      <c r="C50" s="1156" t="s">
        <v>367</v>
      </c>
      <c r="D50" s="1262"/>
      <c r="E50" s="1156"/>
      <c r="F50" s="1156"/>
      <c r="H50" s="1241"/>
      <c r="I50" s="1243"/>
      <c r="J50" s="1194"/>
      <c r="K50" s="1278"/>
      <c r="Z50" s="1243"/>
      <c r="AA50" s="1243"/>
      <c r="AB50" s="1243"/>
      <c r="AC50" s="1243"/>
      <c r="AD50" s="1243"/>
      <c r="AE50" s="1243"/>
      <c r="AF50" s="1243"/>
      <c r="AG50" s="1243"/>
    </row>
    <row r="51" spans="1:33" s="1160" customFormat="1" ht="12.75" hidden="1">
      <c r="A51" s="1156" t="s">
        <v>489</v>
      </c>
      <c r="B51" s="1156" t="s">
        <v>598</v>
      </c>
      <c r="C51" s="1156" t="s">
        <v>370</v>
      </c>
      <c r="D51" s="1262"/>
      <c r="E51" s="1156"/>
      <c r="F51" s="1156"/>
      <c r="G51" s="1156" t="s">
        <v>367</v>
      </c>
      <c r="H51" s="1156" t="s">
        <v>367</v>
      </c>
      <c r="I51" s="1156" t="s">
        <v>367</v>
      </c>
      <c r="J51" s="1156" t="s">
        <v>367</v>
      </c>
      <c r="K51" s="1156" t="s">
        <v>492</v>
      </c>
      <c r="L51" s="1156" t="s">
        <v>367</v>
      </c>
      <c r="M51" s="1156" t="s">
        <v>371</v>
      </c>
      <c r="N51" s="1156" t="s">
        <v>371</v>
      </c>
      <c r="O51" s="1156" t="s">
        <v>371</v>
      </c>
      <c r="P51" s="1156" t="s">
        <v>371</v>
      </c>
      <c r="Q51" s="1156" t="s">
        <v>371</v>
      </c>
      <c r="R51" s="1156" t="s">
        <v>371</v>
      </c>
      <c r="S51" s="1156" t="s">
        <v>371</v>
      </c>
      <c r="T51" s="1156" t="s">
        <v>371</v>
      </c>
      <c r="U51" s="1156" t="s">
        <v>371</v>
      </c>
      <c r="V51" s="1156" t="s">
        <v>371</v>
      </c>
      <c r="W51" s="1156" t="s">
        <v>371</v>
      </c>
      <c r="X51" s="1156" t="s">
        <v>371</v>
      </c>
      <c r="Y51" s="1156" t="s">
        <v>371</v>
      </c>
    </row>
    <row r="52" spans="1:33" ht="12.75">
      <c r="A52" s="1156" t="s">
        <v>489</v>
      </c>
      <c r="B52" s="1156" t="s">
        <v>598</v>
      </c>
      <c r="C52" s="1156" t="s">
        <v>415</v>
      </c>
      <c r="D52" s="1262"/>
      <c r="E52" s="1156"/>
      <c r="F52" s="1156"/>
      <c r="G52" s="1241"/>
      <c r="I52" s="1305" t="s">
        <v>599</v>
      </c>
      <c r="M52" s="1203" t="s">
        <v>453</v>
      </c>
      <c r="N52" s="1203" t="s">
        <v>455</v>
      </c>
      <c r="O52" s="1203" t="s">
        <v>457</v>
      </c>
      <c r="P52" s="1203" t="s">
        <v>459</v>
      </c>
      <c r="Q52" s="1203" t="s">
        <v>461</v>
      </c>
      <c r="R52" s="1203" t="s">
        <v>463</v>
      </c>
      <c r="S52" s="1203" t="s">
        <v>465</v>
      </c>
      <c r="T52" s="1203" t="s">
        <v>467</v>
      </c>
      <c r="U52" s="1203" t="s">
        <v>469</v>
      </c>
      <c r="V52" s="1203" t="s">
        <v>471</v>
      </c>
      <c r="W52" s="1203" t="s">
        <v>473</v>
      </c>
      <c r="X52" s="1203" t="s">
        <v>475</v>
      </c>
      <c r="Y52" s="1203" t="s">
        <v>477</v>
      </c>
      <c r="Z52" s="1244"/>
      <c r="AA52" s="1244"/>
      <c r="AB52" s="1244"/>
      <c r="AC52" s="1244"/>
      <c r="AD52" s="1244"/>
      <c r="AE52" s="1244"/>
      <c r="AF52" s="1244"/>
      <c r="AG52" s="1241"/>
    </row>
    <row r="53" spans="1:33" ht="15">
      <c r="A53" s="1156" t="s">
        <v>489</v>
      </c>
      <c r="B53" s="1156" t="s">
        <v>598</v>
      </c>
      <c r="C53" s="1156"/>
      <c r="D53" s="1262" t="s">
        <v>600</v>
      </c>
      <c r="E53" s="1156"/>
      <c r="F53" s="1156" t="s">
        <v>496</v>
      </c>
      <c r="G53"/>
      <c r="H53"/>
      <c r="I53"/>
      <c r="J53" s="1194" t="s">
        <v>601</v>
      </c>
      <c r="K53" s="1212" t="s">
        <v>498</v>
      </c>
      <c r="M53" s="1300">
        <f>SUM('2.02_Opex_Cost_Matrix_NC'!J13:J14,'2.02_Opex_Cost_Matrix_NC'!J18:J19,'2.02_Opex_Cost_Matrix_NC'!J21,'2.02_Opex_Cost_Matrix_NC'!J23:J24)</f>
        <v>48.274731130800944</v>
      </c>
      <c r="N53" s="1300">
        <f>SUM('2.02_Opex_Cost_Matrix_NC'!K13:K14,'2.02_Opex_Cost_Matrix_NC'!K18:K19,'2.02_Opex_Cost_Matrix_NC'!K21,'2.02_Opex_Cost_Matrix_NC'!K23:K24)</f>
        <v>49.745941340259719</v>
      </c>
      <c r="O53" s="1300">
        <f>SUM('2.02_Opex_Cost_Matrix_NC'!L13:L14,'2.02_Opex_Cost_Matrix_NC'!L18:L19,'2.02_Opex_Cost_Matrix_NC'!L21,'2.02_Opex_Cost_Matrix_NC'!L23:L24)</f>
        <v>53.005466600792076</v>
      </c>
      <c r="P53" s="1300">
        <f>SUM('2.02_Opex_Cost_Matrix_NC'!M13:M14,'2.02_Opex_Cost_Matrix_NC'!M18:M19,'2.02_Opex_Cost_Matrix_NC'!M21,'2.02_Opex_Cost_Matrix_NC'!M23:M24)</f>
        <v>51.769958150128666</v>
      </c>
      <c r="Q53" s="1300">
        <f>SUM('2.02_Opex_Cost_Matrix_NC'!N13:N14,'2.02_Opex_Cost_Matrix_NC'!N18:N19,'2.02_Opex_Cost_Matrix_NC'!N21,'2.02_Opex_Cost_Matrix_NC'!N23:N24)</f>
        <v>55.928313096021959</v>
      </c>
      <c r="R53" s="1300">
        <f>SUM('2.02_Opex_Cost_Matrix_NC'!O13:O14,'2.02_Opex_Cost_Matrix_NC'!O18:O19,'2.02_Opex_Cost_Matrix_NC'!O21,'2.02_Opex_Cost_Matrix_NC'!O23:O24)</f>
        <v>56.143147799353954</v>
      </c>
      <c r="S53" s="1300">
        <f>SUM('2.02_Opex_Cost_Matrix_NC'!P13:P14,'2.02_Opex_Cost_Matrix_NC'!P18:P19,'2.02_Opex_Cost_Matrix_NC'!P21,'2.02_Opex_Cost_Matrix_NC'!P23:P24)</f>
        <v>56.205017289353954</v>
      </c>
      <c r="T53" s="1300">
        <f>SUM('2.02_Opex_Cost_Matrix_NC'!Q13:Q14,'2.02_Opex_Cost_Matrix_NC'!Q18:Q19,'2.02_Opex_Cost_Matrix_NC'!Q21,'2.02_Opex_Cost_Matrix_NC'!Q23:Q24)</f>
        <v>56.195017289353956</v>
      </c>
      <c r="U53" s="1300">
        <f>SUM('2.02_Opex_Cost_Matrix_NC'!R13:R14,'2.02_Opex_Cost_Matrix_NC'!R18:R19,'2.02_Opex_Cost_Matrix_NC'!R21,'2.02_Opex_Cost_Matrix_NC'!R23:R24)</f>
        <v>59.526017289353959</v>
      </c>
      <c r="V53" s="1300">
        <f>SUM('2.02_Opex_Cost_Matrix_NC'!S13:S14,'2.02_Opex_Cost_Matrix_NC'!S18:S19,'2.02_Opex_Cost_Matrix_NC'!S21,'2.02_Opex_Cost_Matrix_NC'!S23:S24)</f>
        <v>59.598017289353955</v>
      </c>
      <c r="W53" s="1300">
        <f>SUM('2.02_Opex_Cost_Matrix_NC'!T13:T14,'2.02_Opex_Cost_Matrix_NC'!T18:T19,'2.02_Opex_Cost_Matrix_NC'!T21,'2.02_Opex_Cost_Matrix_NC'!T23:T24)</f>
        <v>58.168517289353957</v>
      </c>
      <c r="X53" s="1300">
        <f>SUM('2.02_Opex_Cost_Matrix_NC'!U13:U14,'2.02_Opex_Cost_Matrix_NC'!U18:U19,'2.02_Opex_Cost_Matrix_NC'!U21,'2.02_Opex_Cost_Matrix_NC'!U23:U24)</f>
        <v>57.564517289353951</v>
      </c>
      <c r="Y53" s="1300">
        <f>SUM('2.02_Opex_Cost_Matrix_NC'!V13:V14,'2.02_Opex_Cost_Matrix_NC'!V18:V19,'2.02_Opex_Cost_Matrix_NC'!V21,'2.02_Opex_Cost_Matrix_NC'!V23:V24)</f>
        <v>56.388017289353954</v>
      </c>
      <c r="Z53" s="1252"/>
      <c r="AA53" s="1252"/>
      <c r="AB53" s="1252"/>
      <c r="AC53" s="1252"/>
      <c r="AD53" s="1252"/>
      <c r="AE53" s="1252"/>
      <c r="AF53" s="1252"/>
      <c r="AG53" s="1241"/>
    </row>
    <row r="54" spans="1:33" customFormat="1" ht="12.75">
      <c r="A54" s="1156" t="s">
        <v>489</v>
      </c>
      <c r="B54" s="1156"/>
      <c r="C54" s="1156" t="s">
        <v>367</v>
      </c>
      <c r="D54" s="1262"/>
      <c r="E54" s="1156"/>
      <c r="F54" s="1156"/>
    </row>
    <row r="55" spans="1:33" s="1160" customFormat="1" ht="12.75" hidden="1">
      <c r="A55" s="1156" t="s">
        <v>489</v>
      </c>
      <c r="B55" s="1156" t="s">
        <v>602</v>
      </c>
      <c r="C55" s="1156" t="s">
        <v>370</v>
      </c>
      <c r="D55" s="1262"/>
      <c r="E55" s="1156"/>
      <c r="F55" s="1156"/>
      <c r="G55" s="1156" t="s">
        <v>367</v>
      </c>
      <c r="H55" s="1156" t="s">
        <v>367</v>
      </c>
      <c r="I55" s="1156" t="s">
        <v>367</v>
      </c>
      <c r="J55" s="1156" t="s">
        <v>367</v>
      </c>
      <c r="K55" s="1156" t="s">
        <v>492</v>
      </c>
      <c r="L55" s="1156" t="s">
        <v>367</v>
      </c>
      <c r="M55" s="1156" t="s">
        <v>371</v>
      </c>
      <c r="N55" s="1156" t="s">
        <v>371</v>
      </c>
      <c r="O55" s="1156" t="s">
        <v>371</v>
      </c>
      <c r="P55" s="1156" t="s">
        <v>371</v>
      </c>
      <c r="Q55" s="1156" t="s">
        <v>371</v>
      </c>
      <c r="R55" s="1156" t="s">
        <v>371</v>
      </c>
      <c r="S55" s="1156" t="s">
        <v>371</v>
      </c>
      <c r="T55" s="1156" t="s">
        <v>371</v>
      </c>
      <c r="U55" s="1156" t="s">
        <v>371</v>
      </c>
      <c r="V55" s="1156" t="s">
        <v>371</v>
      </c>
      <c r="W55" s="1156" t="s">
        <v>371</v>
      </c>
      <c r="X55" s="1156" t="s">
        <v>371</v>
      </c>
      <c r="Y55" s="1156" t="s">
        <v>371</v>
      </c>
    </row>
    <row r="56" spans="1:33" ht="12.75">
      <c r="A56" s="1156" t="s">
        <v>489</v>
      </c>
      <c r="B56" s="1156" t="s">
        <v>602</v>
      </c>
      <c r="C56" s="1156" t="s">
        <v>415</v>
      </c>
      <c r="D56" s="1262"/>
      <c r="E56" s="1156"/>
      <c r="F56" s="1156"/>
      <c r="G56" s="1241"/>
      <c r="I56" s="1305" t="s">
        <v>603</v>
      </c>
      <c r="M56" s="1203" t="s">
        <v>453</v>
      </c>
      <c r="N56" s="1203" t="s">
        <v>455</v>
      </c>
      <c r="O56" s="1203" t="s">
        <v>457</v>
      </c>
      <c r="P56" s="1203" t="s">
        <v>459</v>
      </c>
      <c r="Q56" s="1203" t="s">
        <v>461</v>
      </c>
      <c r="R56" s="1203" t="s">
        <v>463</v>
      </c>
      <c r="S56" s="1203" t="s">
        <v>465</v>
      </c>
      <c r="T56" s="1203" t="s">
        <v>467</v>
      </c>
      <c r="U56" s="1203" t="s">
        <v>469</v>
      </c>
      <c r="V56" s="1203" t="s">
        <v>471</v>
      </c>
      <c r="W56" s="1203" t="s">
        <v>473</v>
      </c>
      <c r="X56" s="1203" t="s">
        <v>475</v>
      </c>
      <c r="Y56" s="1203" t="s">
        <v>477</v>
      </c>
      <c r="Z56" s="1244"/>
      <c r="AA56" s="1244"/>
      <c r="AB56" s="1244"/>
      <c r="AC56" s="1244"/>
      <c r="AD56" s="1244"/>
      <c r="AE56" s="1244"/>
      <c r="AF56" s="1244"/>
      <c r="AG56" s="1241"/>
    </row>
    <row r="57" spans="1:33" ht="15">
      <c r="A57" s="1156" t="s">
        <v>489</v>
      </c>
      <c r="B57" s="1156" t="s">
        <v>602</v>
      </c>
      <c r="C57" s="1156"/>
      <c r="D57" s="1262" t="s">
        <v>604</v>
      </c>
      <c r="E57" s="1156"/>
      <c r="F57" s="1156" t="s">
        <v>496</v>
      </c>
      <c r="G57"/>
      <c r="H57"/>
      <c r="I57"/>
      <c r="J57" s="1194" t="s">
        <v>605</v>
      </c>
      <c r="K57" s="1212" t="s">
        <v>498</v>
      </c>
      <c r="M57" s="1231">
        <v>2.2902507613877119</v>
      </c>
      <c r="N57" s="1231">
        <v>1.8996375649350647</v>
      </c>
      <c r="O57" s="1231">
        <v>0.87362199665938578</v>
      </c>
      <c r="P57" s="1231">
        <v>0.85529733639422612</v>
      </c>
      <c r="Q57" s="1231">
        <v>0.7213889478310952</v>
      </c>
      <c r="R57" s="1231">
        <v>0.7</v>
      </c>
      <c r="S57" s="1231">
        <v>0.69973040895368843</v>
      </c>
      <c r="T57" s="1231">
        <v>0.69973040895368843</v>
      </c>
      <c r="U57" s="1231">
        <v>0.7211903018733572</v>
      </c>
      <c r="V57" s="1231">
        <v>0.7211903018733572</v>
      </c>
      <c r="W57" s="1231">
        <v>0.7211903018733572</v>
      </c>
      <c r="X57" s="1231">
        <v>0.7211903018733572</v>
      </c>
      <c r="Y57" s="1231">
        <v>0.7211903018733572</v>
      </c>
      <c r="Z57" s="1252"/>
      <c r="AA57" s="1252"/>
      <c r="AB57" s="1252"/>
      <c r="AC57" s="1252"/>
      <c r="AD57" s="1252"/>
      <c r="AE57" s="1252"/>
      <c r="AF57" s="1252"/>
      <c r="AG57" s="1241"/>
    </row>
    <row r="58" spans="1:33" ht="15">
      <c r="A58" s="1156" t="s">
        <v>489</v>
      </c>
      <c r="B58" s="1156" t="s">
        <v>602</v>
      </c>
      <c r="C58" s="1156"/>
      <c r="D58" s="1262" t="s">
        <v>606</v>
      </c>
      <c r="E58" s="1156"/>
      <c r="F58" s="1156" t="s">
        <v>496</v>
      </c>
      <c r="G58"/>
      <c r="H58"/>
      <c r="I58"/>
      <c r="J58" s="1194" t="s">
        <v>607</v>
      </c>
      <c r="K58" s="1212" t="s">
        <v>498</v>
      </c>
      <c r="M58" s="1231">
        <f>'2.00_Opex_Summary'!J49</f>
        <v>1.1258826299213638</v>
      </c>
      <c r="N58" s="1231">
        <f>'2.00_Opex_Summary'!K49</f>
        <v>1.5044758597402592</v>
      </c>
      <c r="O58" s="1231">
        <f>'2.00_Opex_Summary'!L49</f>
        <v>0.78625887190029542</v>
      </c>
      <c r="P58" s="1231">
        <f>'2.00_Opex_Summary'!M49</f>
        <v>0.89003446055979185</v>
      </c>
      <c r="Q58" s="1231">
        <f>'2.00_Opex_Summary'!N49</f>
        <v>0.6213552613578035</v>
      </c>
      <c r="R58" s="1231">
        <f>'2.00_Opex_Summary'!O49</f>
        <v>0.7211903018733572</v>
      </c>
      <c r="S58" s="1231">
        <f>'2.00_Opex_Summary'!P49</f>
        <v>0.7211903018733572</v>
      </c>
      <c r="T58" s="1231">
        <f>'2.00_Opex_Summary'!Q49</f>
        <v>0.7211903018733572</v>
      </c>
      <c r="U58" s="1231">
        <f>'2.00_Opex_Summary'!R49</f>
        <v>0.7211903018733572</v>
      </c>
      <c r="V58" s="1231">
        <f>'2.00_Opex_Summary'!S49</f>
        <v>0.7211903018733572</v>
      </c>
      <c r="W58" s="1231">
        <f>'2.00_Opex_Summary'!T49</f>
        <v>0.7211903018733572</v>
      </c>
      <c r="X58" s="1231">
        <f>'2.00_Opex_Summary'!U49</f>
        <v>0.7211903018733572</v>
      </c>
      <c r="Y58" s="1231">
        <f>'2.00_Opex_Summary'!V49</f>
        <v>0.7211903018733572</v>
      </c>
      <c r="Z58" s="1252"/>
      <c r="AA58" s="1252"/>
      <c r="AB58" s="1252"/>
      <c r="AC58" s="1252"/>
      <c r="AD58" s="1252"/>
      <c r="AE58" s="1252"/>
      <c r="AF58" s="1252"/>
      <c r="AG58" s="1241"/>
    </row>
    <row r="59" spans="1:33" ht="12.75">
      <c r="A59" s="1156" t="s">
        <v>489</v>
      </c>
      <c r="B59" s="1156" t="s">
        <v>602</v>
      </c>
      <c r="C59" s="1156"/>
      <c r="D59" s="1262" t="s">
        <v>608</v>
      </c>
      <c r="E59" s="1156"/>
      <c r="F59" s="1156" t="s">
        <v>496</v>
      </c>
      <c r="G59" s="1241"/>
      <c r="H59" s="1241"/>
      <c r="I59" s="1241"/>
      <c r="J59" s="1194" t="s">
        <v>609</v>
      </c>
      <c r="K59" s="1212" t="s">
        <v>498</v>
      </c>
      <c r="M59" s="1214">
        <f t="shared" ref="M59:Y59" si="4">SUM(M57, -M58)</f>
        <v>1.1643681314663481</v>
      </c>
      <c r="N59" s="1214">
        <f t="shared" si="4"/>
        <v>0.39516170519480553</v>
      </c>
      <c r="O59" s="1214">
        <f t="shared" si="4"/>
        <v>8.736312475909036E-2</v>
      </c>
      <c r="P59" s="1214">
        <f t="shared" si="4"/>
        <v>-3.4737124165565736E-2</v>
      </c>
      <c r="Q59" s="1214">
        <f t="shared" si="4"/>
        <v>0.10003368647329169</v>
      </c>
      <c r="R59" s="1214">
        <f t="shared" si="4"/>
        <v>-2.1190301873357242E-2</v>
      </c>
      <c r="S59" s="1214">
        <f t="shared" si="4"/>
        <v>-2.1459892919668766E-2</v>
      </c>
      <c r="T59" s="1214">
        <f t="shared" si="4"/>
        <v>-2.1459892919668766E-2</v>
      </c>
      <c r="U59" s="1214">
        <f t="shared" si="4"/>
        <v>0</v>
      </c>
      <c r="V59" s="1214">
        <f t="shared" si="4"/>
        <v>0</v>
      </c>
      <c r="W59" s="1214">
        <f t="shared" si="4"/>
        <v>0</v>
      </c>
      <c r="X59" s="1214">
        <f t="shared" si="4"/>
        <v>0</v>
      </c>
      <c r="Y59" s="1214">
        <f t="shared" si="4"/>
        <v>0</v>
      </c>
      <c r="Z59" s="1251"/>
      <c r="AA59" s="1251"/>
      <c r="AB59" s="1251"/>
      <c r="AC59" s="1251"/>
      <c r="AD59" s="1251"/>
      <c r="AE59" s="1251"/>
      <c r="AF59" s="1251"/>
      <c r="AG59" s="1241"/>
    </row>
    <row r="60" spans="1:33" ht="12.75">
      <c r="A60" s="1156" t="s">
        <v>489</v>
      </c>
      <c r="B60" s="1156"/>
      <c r="C60" s="1156" t="s">
        <v>367</v>
      </c>
      <c r="D60" s="1262"/>
      <c r="E60" s="1156"/>
      <c r="F60" s="1156"/>
      <c r="G60" s="1241"/>
      <c r="H60" s="1241"/>
      <c r="I60" s="1241"/>
      <c r="K60" s="1212"/>
      <c r="Z60" s="1241"/>
      <c r="AA60" s="1241"/>
      <c r="AB60" s="1241"/>
      <c r="AC60" s="1241"/>
      <c r="AD60" s="1241"/>
      <c r="AE60" s="1241"/>
      <c r="AF60" s="1241"/>
      <c r="AG60" s="1241"/>
    </row>
    <row r="61" spans="1:33" s="1160" customFormat="1" ht="12.75" hidden="1">
      <c r="A61" s="1156" t="s">
        <v>489</v>
      </c>
      <c r="B61" s="1156"/>
      <c r="C61" s="1156" t="s">
        <v>370</v>
      </c>
      <c r="D61" s="1262"/>
      <c r="E61" s="1156"/>
      <c r="F61" s="1156"/>
      <c r="G61" s="1156" t="s">
        <v>367</v>
      </c>
      <c r="H61" s="1156" t="s">
        <v>367</v>
      </c>
      <c r="I61" s="1156" t="s">
        <v>367</v>
      </c>
      <c r="J61" s="1156" t="s">
        <v>367</v>
      </c>
      <c r="K61" s="1156" t="s">
        <v>492</v>
      </c>
      <c r="L61" s="1156" t="s">
        <v>367</v>
      </c>
      <c r="M61" s="1156" t="s">
        <v>371</v>
      </c>
      <c r="N61" s="1156" t="s">
        <v>371</v>
      </c>
      <c r="O61" s="1156" t="s">
        <v>371</v>
      </c>
      <c r="P61" s="1156" t="s">
        <v>371</v>
      </c>
      <c r="Q61" s="1156" t="s">
        <v>371</v>
      </c>
      <c r="R61" s="1156" t="s">
        <v>371</v>
      </c>
      <c r="S61" s="1156" t="s">
        <v>371</v>
      </c>
      <c r="T61" s="1156" t="s">
        <v>371</v>
      </c>
      <c r="U61" s="1156" t="s">
        <v>371</v>
      </c>
      <c r="V61" s="1156" t="s">
        <v>371</v>
      </c>
      <c r="W61" s="1156" t="s">
        <v>371</v>
      </c>
      <c r="X61" s="1156" t="s">
        <v>371</v>
      </c>
      <c r="Y61" s="1156" t="s">
        <v>371</v>
      </c>
    </row>
    <row r="62" spans="1:33" ht="12.75">
      <c r="A62" s="1156" t="s">
        <v>489</v>
      </c>
      <c r="B62" s="1156" t="s">
        <v>610</v>
      </c>
      <c r="C62" s="1156" t="s">
        <v>415</v>
      </c>
      <c r="D62" s="1262"/>
      <c r="E62" s="1156"/>
      <c r="F62" s="1156"/>
      <c r="G62" s="1241"/>
      <c r="I62" s="1274" t="s">
        <v>611</v>
      </c>
      <c r="M62" s="1203" t="s">
        <v>453</v>
      </c>
      <c r="N62" s="1203" t="s">
        <v>455</v>
      </c>
      <c r="O62" s="1203" t="s">
        <v>457</v>
      </c>
      <c r="P62" s="1203" t="s">
        <v>459</v>
      </c>
      <c r="Q62" s="1203" t="s">
        <v>461</v>
      </c>
      <c r="R62" s="1203" t="s">
        <v>463</v>
      </c>
      <c r="S62" s="1203" t="s">
        <v>465</v>
      </c>
      <c r="T62" s="1203" t="s">
        <v>467</v>
      </c>
      <c r="U62" s="1203" t="s">
        <v>469</v>
      </c>
      <c r="V62" s="1203" t="s">
        <v>471</v>
      </c>
      <c r="W62" s="1203" t="s">
        <v>473</v>
      </c>
      <c r="X62" s="1203" t="s">
        <v>475</v>
      </c>
      <c r="Y62" s="1203" t="s">
        <v>477</v>
      </c>
      <c r="Z62" s="1244"/>
      <c r="AA62" s="1244"/>
      <c r="AB62" s="1244"/>
      <c r="AC62" s="1244"/>
      <c r="AD62" s="1244"/>
      <c r="AE62" s="1244"/>
      <c r="AF62" s="1244"/>
      <c r="AG62" s="1241"/>
    </row>
    <row r="63" spans="1:33" ht="15">
      <c r="A63" s="1156" t="s">
        <v>489</v>
      </c>
      <c r="B63" s="1156" t="s">
        <v>610</v>
      </c>
      <c r="C63" s="1156"/>
      <c r="D63" s="1262" t="s">
        <v>612</v>
      </c>
      <c r="E63" s="1156"/>
      <c r="F63" s="1156" t="s">
        <v>496</v>
      </c>
      <c r="G63" s="1241"/>
      <c r="H63" s="1241"/>
      <c r="I63" s="1241"/>
      <c r="J63" s="1215" t="s">
        <v>613</v>
      </c>
      <c r="K63" s="1212" t="s">
        <v>498</v>
      </c>
      <c r="M63" s="1231">
        <v>56.211869670286021</v>
      </c>
      <c r="N63" s="1231">
        <v>58.161361168831164</v>
      </c>
      <c r="O63" s="1231">
        <v>70.754645509443648</v>
      </c>
      <c r="P63" s="1231">
        <v>73.230557942073631</v>
      </c>
      <c r="Q63" s="1231">
        <v>73.023111522022504</v>
      </c>
      <c r="R63" s="1231">
        <v>71.016000000000005</v>
      </c>
      <c r="S63" s="1231">
        <v>74.925155708631152</v>
      </c>
      <c r="T63" s="1231">
        <v>79.192463241619805</v>
      </c>
      <c r="U63" s="1231">
        <v>80.392463241619808</v>
      </c>
      <c r="V63" s="1231">
        <v>81.592463241619811</v>
      </c>
      <c r="W63" s="1231">
        <v>82.792463241619814</v>
      </c>
      <c r="X63" s="1231">
        <v>83.992463241619816</v>
      </c>
      <c r="Y63" s="1231">
        <v>85.192463241619819</v>
      </c>
      <c r="Z63" s="1252"/>
      <c r="AA63" s="1252"/>
      <c r="AB63" s="1252"/>
      <c r="AC63" s="1252"/>
      <c r="AD63" s="1252"/>
      <c r="AE63" s="1252"/>
      <c r="AF63" s="1252"/>
      <c r="AG63" s="1241"/>
    </row>
    <row r="64" spans="1:33" ht="15">
      <c r="A64" s="1156" t="s">
        <v>489</v>
      </c>
      <c r="B64" s="1156" t="s">
        <v>610</v>
      </c>
      <c r="C64" s="1156"/>
      <c r="D64" s="1262" t="s">
        <v>614</v>
      </c>
      <c r="E64" s="1156"/>
      <c r="F64" s="1156" t="s">
        <v>496</v>
      </c>
      <c r="G64" s="1241"/>
      <c r="H64" s="1241"/>
      <c r="I64" s="1241"/>
      <c r="J64" s="1215" t="s">
        <v>62</v>
      </c>
      <c r="K64" s="1212" t="s">
        <v>498</v>
      </c>
      <c r="M64" s="1231">
        <f>M9+M10</f>
        <v>46.112449405370825</v>
      </c>
      <c r="N64" s="1231">
        <f t="shared" ref="N64:Y64" si="5">N9+N10</f>
        <v>55.244742105755726</v>
      </c>
      <c r="O64" s="1231">
        <f t="shared" si="5"/>
        <v>68.418250400315372</v>
      </c>
      <c r="P64" s="1231">
        <f t="shared" si="5"/>
        <v>66.762726644707129</v>
      </c>
      <c r="Q64" s="1231">
        <f t="shared" si="5"/>
        <v>55.958282397138163</v>
      </c>
      <c r="R64" s="1231">
        <f t="shared" si="5"/>
        <v>61.249699114091683</v>
      </c>
      <c r="S64" s="1231">
        <f t="shared" si="5"/>
        <v>62.490339023160587</v>
      </c>
      <c r="T64" s="1231">
        <f t="shared" si="5"/>
        <v>57.416472064202878</v>
      </c>
      <c r="U64" s="1231">
        <f t="shared" si="5"/>
        <v>54.048798696623919</v>
      </c>
      <c r="V64" s="1231">
        <f t="shared" si="5"/>
        <v>62.033411564236218</v>
      </c>
      <c r="W64" s="1231">
        <f t="shared" si="5"/>
        <v>62.765001574585867</v>
      </c>
      <c r="X64" s="1231">
        <f t="shared" si="5"/>
        <v>58.547816796831896</v>
      </c>
      <c r="Y64" s="1231">
        <f t="shared" si="5"/>
        <v>52.608995011201799</v>
      </c>
      <c r="Z64" s="1252"/>
      <c r="AA64" s="1252"/>
      <c r="AB64" s="1252"/>
      <c r="AC64" s="1252"/>
      <c r="AD64" s="1252"/>
      <c r="AE64" s="1252"/>
      <c r="AF64" s="1252"/>
      <c r="AG64" s="1241"/>
    </row>
    <row r="65" spans="1:33" ht="15">
      <c r="A65" s="1156" t="s">
        <v>489</v>
      </c>
      <c r="B65" s="1156" t="s">
        <v>610</v>
      </c>
      <c r="C65" s="1156"/>
      <c r="D65" s="1262" t="s">
        <v>615</v>
      </c>
      <c r="E65" s="1156"/>
      <c r="F65" s="1156" t="s">
        <v>496</v>
      </c>
      <c r="G65" s="1241"/>
      <c r="H65" s="1241"/>
      <c r="I65" s="1241"/>
      <c r="J65" s="1215" t="s">
        <v>71</v>
      </c>
      <c r="K65" s="1212" t="s">
        <v>498</v>
      </c>
      <c r="M65" s="1231">
        <f>M12</f>
        <v>98.830704120863842</v>
      </c>
      <c r="N65" s="1231">
        <f t="shared" ref="N65:Y65" si="6">N12</f>
        <v>103.78599985799354</v>
      </c>
      <c r="O65" s="1231">
        <f t="shared" si="6"/>
        <v>94.655909839103998</v>
      </c>
      <c r="P65" s="1231">
        <f t="shared" si="6"/>
        <v>90.875450981340052</v>
      </c>
      <c r="Q65" s="1231">
        <f t="shared" si="6"/>
        <v>93.628315983069641</v>
      </c>
      <c r="R65" s="1231">
        <f t="shared" si="6"/>
        <v>97.110984312418068</v>
      </c>
      <c r="S65" s="1231">
        <f t="shared" si="6"/>
        <v>98.28782943390128</v>
      </c>
      <c r="T65" s="1231">
        <f t="shared" si="6"/>
        <v>89.375883409043013</v>
      </c>
      <c r="U65" s="1231">
        <f t="shared" si="6"/>
        <v>107.33203193073011</v>
      </c>
      <c r="V65" s="1231">
        <f t="shared" si="6"/>
        <v>106.67759003105536</v>
      </c>
      <c r="W65" s="1231">
        <f t="shared" si="6"/>
        <v>106.02935310620558</v>
      </c>
      <c r="X65" s="1231">
        <f t="shared" si="6"/>
        <v>105.38721710544988</v>
      </c>
      <c r="Y65" s="1231">
        <f t="shared" si="6"/>
        <v>104.75108031665506</v>
      </c>
      <c r="Z65" s="1252"/>
      <c r="AA65" s="1252"/>
      <c r="AB65" s="1252"/>
      <c r="AC65" s="1252"/>
      <c r="AD65" s="1252"/>
      <c r="AE65" s="1252"/>
      <c r="AF65" s="1252"/>
      <c r="AG65" s="1241"/>
    </row>
    <row r="66" spans="1:33" ht="12.75">
      <c r="A66" s="1156" t="s">
        <v>489</v>
      </c>
      <c r="B66" s="1156"/>
      <c r="C66" s="1156" t="s">
        <v>367</v>
      </c>
      <c r="D66" s="1262"/>
      <c r="E66" s="1156"/>
      <c r="F66" s="1156"/>
      <c r="G66"/>
      <c r="H66"/>
      <c r="I66"/>
      <c r="J66"/>
      <c r="K66"/>
      <c r="L66"/>
      <c r="M66"/>
      <c r="N66"/>
      <c r="O66"/>
      <c r="P66"/>
      <c r="Q66"/>
      <c r="R66"/>
      <c r="S66"/>
      <c r="T66"/>
      <c r="U66"/>
      <c r="V66"/>
      <c r="W66"/>
      <c r="X66"/>
      <c r="Y66"/>
      <c r="Z66"/>
      <c r="AA66"/>
      <c r="AB66"/>
      <c r="AC66"/>
      <c r="AD66"/>
      <c r="AE66"/>
      <c r="AF66"/>
      <c r="AG66"/>
    </row>
    <row r="67" spans="1:33" s="1160" customFormat="1" ht="12.75" hidden="1">
      <c r="A67" s="1156" t="s">
        <v>489</v>
      </c>
      <c r="B67" s="1156"/>
      <c r="C67" s="1156" t="s">
        <v>370</v>
      </c>
      <c r="D67" s="1262"/>
      <c r="E67" s="1156"/>
      <c r="F67" s="1156"/>
      <c r="G67" s="1156" t="s">
        <v>367</v>
      </c>
      <c r="H67" s="1156" t="s">
        <v>367</v>
      </c>
      <c r="I67" s="1156" t="s">
        <v>367</v>
      </c>
      <c r="J67" s="1156" t="s">
        <v>367</v>
      </c>
      <c r="K67" s="1156" t="s">
        <v>492</v>
      </c>
      <c r="L67" s="1156" t="s">
        <v>367</v>
      </c>
      <c r="M67" s="1156" t="s">
        <v>371</v>
      </c>
      <c r="N67" s="1156" t="s">
        <v>371</v>
      </c>
      <c r="O67" s="1156" t="s">
        <v>371</v>
      </c>
      <c r="P67" s="1156" t="s">
        <v>371</v>
      </c>
      <c r="Q67" s="1156" t="s">
        <v>371</v>
      </c>
      <c r="R67" s="1156" t="s">
        <v>371</v>
      </c>
      <c r="S67" s="1156" t="s">
        <v>371</v>
      </c>
      <c r="T67" s="1156" t="s">
        <v>371</v>
      </c>
      <c r="U67" s="1156" t="s">
        <v>371</v>
      </c>
      <c r="V67" s="1156" t="s">
        <v>371</v>
      </c>
      <c r="W67" s="1156" t="s">
        <v>371</v>
      </c>
      <c r="X67" s="1156" t="s">
        <v>371</v>
      </c>
      <c r="Y67" s="1156" t="s">
        <v>371</v>
      </c>
    </row>
    <row r="68" spans="1:33" ht="12.75">
      <c r="A68" s="1156" t="s">
        <v>489</v>
      </c>
      <c r="B68" s="1156" t="s">
        <v>616</v>
      </c>
      <c r="C68" s="1156" t="s">
        <v>415</v>
      </c>
      <c r="D68" s="1262"/>
      <c r="E68" s="1156"/>
      <c r="F68" s="1156"/>
      <c r="G68" s="1241"/>
      <c r="I68" s="1274" t="s">
        <v>617</v>
      </c>
      <c r="M68" s="1203" t="s">
        <v>453</v>
      </c>
      <c r="N68" s="1203" t="s">
        <v>455</v>
      </c>
      <c r="O68" s="1203" t="s">
        <v>457</v>
      </c>
      <c r="P68" s="1203" t="s">
        <v>459</v>
      </c>
      <c r="Q68" s="1203" t="s">
        <v>461</v>
      </c>
      <c r="R68" s="1203" t="s">
        <v>463</v>
      </c>
      <c r="S68" s="1203" t="s">
        <v>465</v>
      </c>
      <c r="T68" s="1203" t="s">
        <v>467</v>
      </c>
      <c r="U68" s="1203" t="s">
        <v>469</v>
      </c>
      <c r="V68" s="1203" t="s">
        <v>471</v>
      </c>
      <c r="W68" s="1203" t="s">
        <v>473</v>
      </c>
      <c r="X68" s="1203" t="s">
        <v>475</v>
      </c>
      <c r="Y68" s="1203" t="s">
        <v>477</v>
      </c>
      <c r="Z68" s="1244"/>
      <c r="AA68" s="1244"/>
      <c r="AB68" s="1244"/>
      <c r="AC68" s="1244"/>
      <c r="AD68" s="1244"/>
      <c r="AE68" s="1244"/>
      <c r="AF68" s="1244"/>
      <c r="AG68" s="1241"/>
    </row>
    <row r="69" spans="1:33" ht="15">
      <c r="A69" s="1156" t="s">
        <v>489</v>
      </c>
      <c r="B69" s="1156" t="s">
        <v>616</v>
      </c>
      <c r="C69" s="1156"/>
      <c r="D69" s="1262" t="s">
        <v>616</v>
      </c>
      <c r="E69" s="1156"/>
      <c r="F69" s="1156" t="s">
        <v>496</v>
      </c>
      <c r="G69" s="1241"/>
      <c r="H69" s="1241"/>
      <c r="I69" s="1241"/>
      <c r="J69" s="1194" t="s">
        <v>617</v>
      </c>
      <c r="K69" s="1212" t="s">
        <v>498</v>
      </c>
      <c r="M69" s="1231"/>
      <c r="N69" s="1231"/>
      <c r="O69" s="1231"/>
      <c r="P69" s="1231"/>
      <c r="Q69" s="1231"/>
      <c r="R69" s="1231"/>
      <c r="S69" s="1231"/>
      <c r="T69" s="1231"/>
      <c r="U69" s="1231"/>
      <c r="V69" s="1231"/>
      <c r="W69" s="1231"/>
      <c r="X69" s="1231"/>
      <c r="Y69" s="1231"/>
      <c r="Z69" s="1252"/>
      <c r="AA69" s="1252"/>
      <c r="AB69" s="1252"/>
      <c r="AC69" s="1252"/>
      <c r="AD69" s="1252"/>
      <c r="AE69" s="1252"/>
      <c r="AF69" s="1252"/>
      <c r="AG69" s="1241"/>
    </row>
    <row r="70" spans="1:33" ht="15">
      <c r="A70" s="1156" t="s">
        <v>489</v>
      </c>
      <c r="B70" s="1156"/>
      <c r="C70" s="1156" t="s">
        <v>367</v>
      </c>
      <c r="D70" s="1262"/>
      <c r="E70" s="1156"/>
      <c r="F70" s="1156"/>
      <c r="G70"/>
      <c r="H70"/>
      <c r="I70"/>
      <c r="J70"/>
      <c r="K70"/>
      <c r="L70"/>
      <c r="M70" s="2558"/>
      <c r="N70" s="2558"/>
      <c r="O70" s="2558"/>
      <c r="P70" s="2558"/>
      <c r="Q70" s="2558"/>
      <c r="R70" s="2558"/>
      <c r="S70" s="2558"/>
      <c r="T70" s="2558"/>
      <c r="U70" s="2558"/>
      <c r="V70" s="2558"/>
      <c r="W70" s="2558"/>
      <c r="X70" s="2558"/>
      <c r="Y70" s="2558"/>
      <c r="Z70" s="1252"/>
      <c r="AA70" s="1252"/>
      <c r="AB70" s="1252"/>
      <c r="AC70" s="1252"/>
      <c r="AD70" s="1252"/>
      <c r="AE70" s="1252"/>
      <c r="AF70" s="1252"/>
      <c r="AG70" s="1241"/>
    </row>
    <row r="71" spans="1:33" ht="15">
      <c r="A71" s="1156" t="s">
        <v>489</v>
      </c>
      <c r="B71" s="1156"/>
      <c r="C71" s="1156" t="s">
        <v>367</v>
      </c>
      <c r="D71" s="1262"/>
      <c r="E71" s="1156"/>
      <c r="F71" s="1156"/>
      <c r="G71"/>
      <c r="H71"/>
      <c r="I71"/>
      <c r="J71"/>
      <c r="K71"/>
      <c r="L71"/>
      <c r="M71" s="2557"/>
      <c r="N71" s="2557"/>
      <c r="O71" s="2557"/>
      <c r="P71" s="2557"/>
      <c r="Q71" s="2557"/>
      <c r="R71" s="2557"/>
      <c r="S71" s="2557"/>
      <c r="T71" s="2557"/>
      <c r="U71" s="2557"/>
      <c r="V71" s="2557"/>
      <c r="W71" s="2557"/>
      <c r="X71" s="2557"/>
      <c r="Y71" s="2557"/>
      <c r="Z71" s="1252"/>
      <c r="AA71" s="1252"/>
      <c r="AB71" s="1252"/>
      <c r="AC71" s="1252"/>
      <c r="AD71" s="1252"/>
      <c r="AE71" s="1252"/>
      <c r="AF71" s="1252"/>
      <c r="AG71" s="1241"/>
    </row>
    <row r="72" spans="1:33" ht="15" hidden="1">
      <c r="A72" s="1156" t="s">
        <v>618</v>
      </c>
      <c r="B72" s="1156"/>
      <c r="C72" s="1156" t="s">
        <v>367</v>
      </c>
      <c r="D72" s="1262"/>
      <c r="E72" s="1156"/>
      <c r="F72" s="1156"/>
      <c r="G72"/>
      <c r="H72"/>
      <c r="I72"/>
      <c r="J72"/>
      <c r="K72"/>
      <c r="L72"/>
      <c r="M72"/>
      <c r="N72"/>
      <c r="O72"/>
      <c r="P72"/>
      <c r="Q72"/>
      <c r="R72"/>
      <c r="S72"/>
      <c r="T72"/>
      <c r="U72"/>
      <c r="V72"/>
      <c r="W72"/>
      <c r="X72"/>
      <c r="Y72"/>
      <c r="Z72" s="1252"/>
      <c r="AA72" s="1252"/>
      <c r="AB72" s="1252"/>
      <c r="AC72" s="1252"/>
      <c r="AD72" s="1252"/>
      <c r="AE72" s="1252"/>
      <c r="AF72" s="1252"/>
      <c r="AG72" s="1241"/>
    </row>
    <row r="73" spans="1:33" ht="15" hidden="1">
      <c r="A73" s="1156" t="s">
        <v>618</v>
      </c>
      <c r="B73" s="1156"/>
      <c r="C73" s="1156" t="s">
        <v>367</v>
      </c>
      <c r="D73" s="1262"/>
      <c r="E73" s="1156"/>
      <c r="F73" s="1156"/>
      <c r="G73"/>
      <c r="H73"/>
      <c r="I73"/>
      <c r="J73"/>
      <c r="K73"/>
      <c r="L73"/>
      <c r="M73"/>
      <c r="N73"/>
      <c r="O73"/>
      <c r="P73"/>
      <c r="Q73"/>
      <c r="R73"/>
      <c r="S73"/>
      <c r="T73"/>
      <c r="U73"/>
      <c r="V73"/>
      <c r="W73"/>
      <c r="X73"/>
      <c r="Y73"/>
      <c r="Z73" s="1252"/>
      <c r="AA73" s="1252"/>
      <c r="AB73" s="1252"/>
      <c r="AC73" s="1252"/>
      <c r="AD73" s="1252"/>
      <c r="AE73" s="1252"/>
      <c r="AF73" s="1252"/>
      <c r="AG73" s="1241"/>
    </row>
    <row r="74" spans="1:33" ht="15" hidden="1">
      <c r="A74" s="1156" t="s">
        <v>618</v>
      </c>
      <c r="B74" s="1156"/>
      <c r="C74" s="1156" t="s">
        <v>367</v>
      </c>
      <c r="D74" s="1262"/>
      <c r="E74" s="1156"/>
      <c r="F74" s="1156"/>
      <c r="G74"/>
      <c r="H74"/>
      <c r="I74"/>
      <c r="J74"/>
      <c r="K74"/>
      <c r="L74"/>
      <c r="M74"/>
      <c r="N74"/>
      <c r="O74"/>
      <c r="P74"/>
      <c r="Q74"/>
      <c r="R74"/>
      <c r="S74"/>
      <c r="T74"/>
      <c r="U74"/>
      <c r="V74"/>
      <c r="W74"/>
      <c r="X74"/>
      <c r="Y74"/>
      <c r="Z74" s="1252"/>
      <c r="AA74" s="1252"/>
      <c r="AB74" s="1252"/>
      <c r="AC74" s="1252"/>
      <c r="AD74" s="1252"/>
      <c r="AE74" s="1252"/>
      <c r="AF74" s="1252"/>
      <c r="AG74" s="1241"/>
    </row>
    <row r="75" spans="1:33" ht="15" hidden="1">
      <c r="A75" s="1156" t="s">
        <v>618</v>
      </c>
      <c r="B75" s="1156"/>
      <c r="C75" s="1156" t="s">
        <v>367</v>
      </c>
      <c r="D75" s="1262"/>
      <c r="E75" s="1156"/>
      <c r="F75" s="1156"/>
      <c r="G75"/>
      <c r="H75"/>
      <c r="I75"/>
      <c r="J75"/>
      <c r="K75"/>
      <c r="L75"/>
      <c r="M75"/>
      <c r="N75"/>
      <c r="O75"/>
      <c r="P75"/>
      <c r="Q75"/>
      <c r="R75"/>
      <c r="S75"/>
      <c r="T75"/>
      <c r="U75"/>
      <c r="V75"/>
      <c r="W75"/>
      <c r="X75"/>
      <c r="Y75"/>
      <c r="Z75" s="1252"/>
      <c r="AA75" s="1252"/>
      <c r="AB75" s="1252"/>
      <c r="AC75" s="1252"/>
      <c r="AD75" s="1252"/>
      <c r="AE75" s="1252"/>
      <c r="AF75" s="1252"/>
      <c r="AG75" s="1241"/>
    </row>
    <row r="76" spans="1:33" ht="15" hidden="1">
      <c r="A76" s="1156" t="s">
        <v>618</v>
      </c>
      <c r="B76" s="1156"/>
      <c r="C76" s="1156" t="s">
        <v>367</v>
      </c>
      <c r="D76" s="1262"/>
      <c r="E76" s="1156"/>
      <c r="F76" s="1156"/>
      <c r="G76"/>
      <c r="H76"/>
      <c r="I76"/>
      <c r="J76"/>
      <c r="K76"/>
      <c r="L76"/>
      <c r="M76"/>
      <c r="N76"/>
      <c r="O76"/>
      <c r="P76"/>
      <c r="Q76"/>
      <c r="R76"/>
      <c r="S76"/>
      <c r="T76"/>
      <c r="U76"/>
      <c r="V76"/>
      <c r="W76"/>
      <c r="X76"/>
      <c r="Y76"/>
      <c r="Z76" s="1252"/>
      <c r="AA76" s="1252"/>
      <c r="AB76" s="1252"/>
      <c r="AC76" s="1252"/>
      <c r="AD76" s="1252"/>
      <c r="AE76" s="1252"/>
      <c r="AF76" s="1252"/>
      <c r="AG76" s="1241"/>
    </row>
    <row r="77" spans="1:33" ht="15" hidden="1">
      <c r="A77" s="1156" t="s">
        <v>618</v>
      </c>
      <c r="B77" s="1156"/>
      <c r="C77" s="1156" t="s">
        <v>367</v>
      </c>
      <c r="D77" s="1262"/>
      <c r="E77" s="1156"/>
      <c r="F77" s="1156"/>
      <c r="G77"/>
      <c r="H77"/>
      <c r="I77"/>
      <c r="J77"/>
      <c r="K77"/>
      <c r="L77"/>
      <c r="M77"/>
      <c r="N77"/>
      <c r="O77"/>
      <c r="P77"/>
      <c r="Q77"/>
      <c r="R77"/>
      <c r="S77"/>
      <c r="T77"/>
      <c r="U77"/>
      <c r="V77"/>
      <c r="W77"/>
      <c r="X77"/>
      <c r="Y77"/>
      <c r="Z77" s="1252"/>
      <c r="AA77" s="1252"/>
      <c r="AB77" s="1252"/>
      <c r="AC77" s="1252"/>
      <c r="AD77" s="1252"/>
      <c r="AE77" s="1252"/>
      <c r="AF77" s="1252"/>
      <c r="AG77" s="1241"/>
    </row>
    <row r="78" spans="1:33" ht="15" hidden="1">
      <c r="A78" s="1156" t="s">
        <v>618</v>
      </c>
      <c r="B78" s="1156"/>
      <c r="C78" s="1156" t="s">
        <v>367</v>
      </c>
      <c r="D78" s="1262"/>
      <c r="E78" s="1156"/>
      <c r="F78" s="1156"/>
      <c r="G78"/>
      <c r="H78"/>
      <c r="I78"/>
      <c r="J78"/>
      <c r="K78"/>
      <c r="L78"/>
      <c r="M78"/>
      <c r="N78"/>
      <c r="O78"/>
      <c r="P78"/>
      <c r="Q78"/>
      <c r="R78"/>
      <c r="S78"/>
      <c r="T78"/>
      <c r="U78"/>
      <c r="V78"/>
      <c r="W78"/>
      <c r="X78"/>
      <c r="Y78"/>
      <c r="Z78" s="1252"/>
      <c r="AA78" s="1252"/>
      <c r="AB78" s="1252"/>
      <c r="AC78" s="1252"/>
      <c r="AD78" s="1252"/>
      <c r="AE78" s="1252"/>
      <c r="AF78" s="1252"/>
      <c r="AG78" s="1241"/>
    </row>
  </sheetData>
  <pageMargins left="0.70866141732283472" right="0.70866141732283472" top="0.74803149606299213" bottom="0.74803149606299213" header="0.31496062992125984" footer="0.31496062992125984"/>
  <pageSetup paperSize="9" scale="86" orientation="landscape" r:id="rId1"/>
  <headerFooter>
    <oddFooter>&amp;L&amp;D&amp;R&amp;F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tabColor rgb="FF00B050"/>
  </sheetPr>
  <dimension ref="A1:BH70"/>
  <sheetViews>
    <sheetView showGridLines="0" zoomScale="60" zoomScaleNormal="60" workbookViewId="0">
      <pane xSplit="7" topLeftCell="M1" activePane="topRight" state="frozen"/>
      <selection activeCell="G14" sqref="G14"/>
      <selection pane="topRight" activeCell="O46" sqref="O46"/>
    </sheetView>
  </sheetViews>
  <sheetFormatPr defaultColWidth="11.875" defaultRowHeight="14.25"/>
  <cols>
    <col min="1" max="1" width="11.875" style="173" customWidth="1"/>
    <col min="2" max="6" width="4.375" style="174" customWidth="1"/>
    <col min="7" max="7" width="38.125" style="542" customWidth="1"/>
    <col min="8" max="8" width="15.625" style="173" customWidth="1"/>
    <col min="9" max="9" width="15.625" style="175" customWidth="1"/>
    <col min="10" max="22" width="15.625" style="173" customWidth="1"/>
    <col min="23" max="23" width="5.625" style="173" customWidth="1"/>
    <col min="24" max="24" width="15.625" style="175" customWidth="1"/>
    <col min="25" max="37" width="15.625" style="173" customWidth="1"/>
    <col min="38" max="38" width="5.625" style="173" customWidth="1"/>
    <col min="39" max="39" width="15.625" style="175" customWidth="1"/>
    <col min="40" max="45" width="15.625" style="173" customWidth="1"/>
    <col min="46" max="46" width="5.625" style="173" customWidth="1"/>
    <col min="47" max="47" width="15.625" style="173" customWidth="1"/>
    <col min="48" max="48" width="20.125" style="173" customWidth="1"/>
    <col min="49" max="49" width="15.625" style="173" customWidth="1"/>
    <col min="50" max="50" width="19.625" style="173" customWidth="1"/>
    <col min="51" max="51" width="11.875" style="175"/>
    <col min="52" max="16384" width="11.875" style="173"/>
  </cols>
  <sheetData>
    <row r="1" spans="1:60" s="1025" customFormat="1" ht="25.15" customHeight="1">
      <c r="A1" s="1024" t="s">
        <v>0</v>
      </c>
      <c r="E1" s="1026"/>
      <c r="G1" s="1130"/>
      <c r="H1" s="1129" t="s">
        <v>1</v>
      </c>
      <c r="J1" s="1026"/>
    </row>
    <row r="2" spans="1:60" s="1025" customFormat="1" ht="25.15" customHeight="1">
      <c r="A2" s="1027" t="str">
        <f>Fixed_Data!I12</f>
        <v>MASTER</v>
      </c>
      <c r="B2" s="1028"/>
      <c r="D2" s="1029"/>
      <c r="E2" s="1026"/>
      <c r="G2" s="1130"/>
    </row>
    <row r="3" spans="1:60" s="1031" customFormat="1" ht="25.15" customHeight="1" thickBot="1">
      <c r="A3" s="1030" t="str">
        <f>Fixed_Data!A3</f>
        <v>RIIO-GD2</v>
      </c>
      <c r="D3" s="1032"/>
      <c r="E3" s="1033"/>
      <c r="G3" s="1131"/>
    </row>
    <row r="4" spans="1:60" s="89" customFormat="1" ht="25.15" customHeight="1">
      <c r="B4" s="90" t="s">
        <v>2835</v>
      </c>
      <c r="C4" s="90"/>
      <c r="D4" s="90"/>
      <c r="E4" s="90"/>
      <c r="F4" s="90"/>
      <c r="G4" s="1132"/>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3"/>
      <c r="AN4" s="94"/>
      <c r="AO4" s="94"/>
      <c r="AP4" s="94"/>
      <c r="AQ4" s="94"/>
      <c r="AR4" s="94"/>
      <c r="AS4" s="94"/>
      <c r="AT4" s="92"/>
      <c r="AU4" s="92"/>
      <c r="AV4" s="92"/>
      <c r="AW4" s="92"/>
      <c r="AX4" s="92"/>
      <c r="AY4" s="92"/>
      <c r="AZ4" s="92"/>
      <c r="BA4" s="92"/>
      <c r="BB4" s="94"/>
      <c r="BC4" s="92"/>
      <c r="BD4" s="92"/>
      <c r="BE4" s="92"/>
      <c r="BF4" s="92"/>
      <c r="BG4" s="92"/>
      <c r="BH4" s="92"/>
    </row>
    <row r="5" spans="1:60" s="89" customFormat="1" ht="25.15" customHeight="1">
      <c r="B5" s="95"/>
      <c r="C5" s="95"/>
      <c r="D5" s="95"/>
      <c r="E5" s="95"/>
      <c r="F5" s="95"/>
      <c r="G5" s="95"/>
      <c r="H5" s="95"/>
      <c r="I5" s="93"/>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3"/>
      <c r="AN5" s="94"/>
      <c r="AO5" s="94"/>
      <c r="AP5" s="94"/>
      <c r="AQ5" s="94"/>
      <c r="AR5" s="94"/>
      <c r="AS5" s="94"/>
      <c r="AT5" s="92"/>
      <c r="AU5" s="92"/>
      <c r="AV5" s="92"/>
      <c r="AW5" s="92"/>
      <c r="AX5" s="92"/>
      <c r="AY5" s="92"/>
      <c r="AZ5" s="92"/>
      <c r="BA5" s="92"/>
      <c r="BB5" s="94"/>
      <c r="BC5" s="92"/>
      <c r="BD5" s="92"/>
      <c r="BE5" s="92"/>
      <c r="BF5" s="92"/>
      <c r="BG5" s="92"/>
      <c r="BH5" s="92"/>
    </row>
    <row r="6" spans="1:60"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3"/>
      <c r="AN6" s="94"/>
      <c r="AO6" s="94"/>
      <c r="AP6" s="94"/>
      <c r="AQ6" s="94"/>
      <c r="AR6" s="94"/>
      <c r="AS6" s="94"/>
      <c r="AT6" s="92"/>
      <c r="AU6" s="92"/>
      <c r="AV6" s="92"/>
      <c r="AW6" s="92"/>
      <c r="AX6" s="92"/>
      <c r="AY6" s="92"/>
      <c r="AZ6" s="92"/>
      <c r="BA6" s="92"/>
      <c r="BB6" s="94"/>
      <c r="BC6" s="92"/>
      <c r="BD6" s="92"/>
      <c r="BE6" s="92"/>
      <c r="BF6" s="92"/>
      <c r="BG6" s="92"/>
      <c r="BH6" s="92"/>
    </row>
    <row r="7" spans="1:60"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7"/>
      <c r="AM7" s="96"/>
      <c r="AN7" s="97"/>
      <c r="AO7" s="97"/>
      <c r="AP7" s="97"/>
      <c r="AQ7" s="97"/>
      <c r="AR7" s="97"/>
      <c r="AS7" s="97"/>
      <c r="AT7" s="97"/>
      <c r="AU7" s="97"/>
      <c r="AV7" s="97"/>
      <c r="AW7" s="97"/>
      <c r="AX7" s="97"/>
      <c r="AY7" s="96"/>
      <c r="AZ7" s="98"/>
      <c r="BA7" s="98"/>
      <c r="BB7" s="98"/>
      <c r="BC7" s="98"/>
      <c r="BD7" s="98"/>
      <c r="BE7" s="98"/>
      <c r="BF7" s="98"/>
      <c r="BG7" s="98"/>
      <c r="BH7" s="98"/>
    </row>
    <row r="8" spans="1:60" s="100" customFormat="1" ht="30" customHeight="1" thickBot="1">
      <c r="A8" s="89"/>
      <c r="B8" s="621" t="s">
        <v>2836</v>
      </c>
      <c r="C8" s="102"/>
      <c r="D8" s="102"/>
      <c r="E8" s="102"/>
      <c r="F8" s="102"/>
      <c r="G8" s="763"/>
      <c r="H8" s="103"/>
      <c r="I8" s="105" t="s">
        <v>2837</v>
      </c>
      <c r="J8" s="106"/>
      <c r="K8" s="106"/>
      <c r="L8" s="106"/>
      <c r="M8" s="106"/>
      <c r="N8" s="106"/>
      <c r="O8" s="106"/>
      <c r="P8" s="106"/>
      <c r="Q8" s="106"/>
      <c r="R8" s="105"/>
      <c r="S8" s="105"/>
      <c r="T8" s="105"/>
      <c r="U8" s="105"/>
      <c r="V8" s="105"/>
      <c r="W8" s="103"/>
      <c r="X8" s="105" t="s">
        <v>2838</v>
      </c>
      <c r="Y8" s="106"/>
      <c r="Z8" s="106"/>
      <c r="AA8" s="106"/>
      <c r="AB8" s="106"/>
      <c r="AC8" s="106"/>
      <c r="AD8" s="106"/>
      <c r="AE8" s="106"/>
      <c r="AF8" s="106"/>
      <c r="AG8" s="105"/>
      <c r="AH8" s="105"/>
      <c r="AI8" s="105"/>
      <c r="AJ8" s="105"/>
      <c r="AK8" s="105"/>
      <c r="AL8" s="103"/>
      <c r="AM8" s="105" t="s">
        <v>2839</v>
      </c>
      <c r="AN8" s="106"/>
      <c r="AO8" s="106"/>
      <c r="AP8" s="106"/>
      <c r="AQ8" s="106"/>
      <c r="AR8" s="106"/>
      <c r="AS8" s="106"/>
      <c r="AT8" s="103"/>
      <c r="AU8" s="218" t="s">
        <v>1925</v>
      </c>
      <c r="AV8" s="219"/>
      <c r="AW8" s="220"/>
      <c r="AX8" s="221"/>
    </row>
    <row r="9" spans="1:60" s="157" customFormat="1" ht="30" customHeight="1">
      <c r="A9" s="99"/>
      <c r="B9" s="109"/>
      <c r="C9" s="110"/>
      <c r="D9" s="110"/>
      <c r="E9" s="110"/>
      <c r="F9" s="110"/>
      <c r="G9" s="117"/>
      <c r="H9" s="111"/>
      <c r="I9" s="117"/>
      <c r="J9" s="695" t="s">
        <v>1666</v>
      </c>
      <c r="K9" s="152"/>
      <c r="L9" s="152"/>
      <c r="M9" s="152"/>
      <c r="N9" s="152"/>
      <c r="O9" s="152"/>
      <c r="P9" s="152"/>
      <c r="Q9" s="153"/>
      <c r="R9" s="696" t="s">
        <v>2</v>
      </c>
      <c r="S9" s="155"/>
      <c r="T9" s="155"/>
      <c r="U9" s="155"/>
      <c r="V9" s="156"/>
      <c r="W9" s="222"/>
      <c r="X9" s="117"/>
      <c r="Y9" s="695" t="s">
        <v>1666</v>
      </c>
      <c r="Z9" s="152"/>
      <c r="AA9" s="152"/>
      <c r="AB9" s="152"/>
      <c r="AC9" s="152"/>
      <c r="AD9" s="152"/>
      <c r="AE9" s="152"/>
      <c r="AF9" s="153"/>
      <c r="AG9" s="696" t="s">
        <v>2</v>
      </c>
      <c r="AH9" s="155"/>
      <c r="AI9" s="155"/>
      <c r="AJ9" s="155"/>
      <c r="AK9" s="156"/>
      <c r="AL9" s="222"/>
      <c r="AM9" s="117"/>
      <c r="AN9" s="695" t="s">
        <v>1666</v>
      </c>
      <c r="AO9" s="152"/>
      <c r="AP9" s="152"/>
      <c r="AQ9" s="152"/>
      <c r="AR9" s="152"/>
      <c r="AS9" s="153"/>
      <c r="AT9" s="222"/>
      <c r="AU9" s="223" t="s">
        <v>2840</v>
      </c>
      <c r="AV9" s="203"/>
      <c r="AW9" s="224" t="s">
        <v>2841</v>
      </c>
      <c r="AX9" s="204"/>
    </row>
    <row r="10" spans="1:60"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8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185"/>
      <c r="AM10" s="119" t="s">
        <v>1667</v>
      </c>
      <c r="AN10" s="158" t="s">
        <v>453</v>
      </c>
      <c r="AO10" s="137" t="s">
        <v>455</v>
      </c>
      <c r="AP10" s="137" t="s">
        <v>457</v>
      </c>
      <c r="AQ10" s="137" t="s">
        <v>459</v>
      </c>
      <c r="AR10" s="137" t="s">
        <v>461</v>
      </c>
      <c r="AS10" s="138" t="s">
        <v>463</v>
      </c>
      <c r="AT10" s="185"/>
      <c r="AU10" s="225" t="s">
        <v>1667</v>
      </c>
      <c r="AV10" s="206" t="s">
        <v>2142</v>
      </c>
      <c r="AW10" s="226" t="s">
        <v>1667</v>
      </c>
      <c r="AX10" s="207" t="s">
        <v>2142</v>
      </c>
    </row>
    <row r="11" spans="1:60" s="98" customFormat="1" ht="15" customHeight="1">
      <c r="A11" s="99"/>
      <c r="B11" s="161"/>
      <c r="C11" s="180" t="s">
        <v>2842</v>
      </c>
      <c r="D11" s="162"/>
      <c r="E11" s="162"/>
      <c r="F11" s="162"/>
      <c r="G11" s="163"/>
      <c r="H11" s="163"/>
      <c r="I11" s="117"/>
      <c r="J11" s="159"/>
      <c r="K11" s="117"/>
      <c r="L11" s="117"/>
      <c r="M11" s="117"/>
      <c r="N11" s="117"/>
      <c r="O11" s="117"/>
      <c r="P11" s="117"/>
      <c r="Q11" s="160"/>
      <c r="R11" s="159"/>
      <c r="S11" s="117"/>
      <c r="T11" s="117"/>
      <c r="U11" s="117"/>
      <c r="V11" s="160"/>
      <c r="W11" s="185"/>
      <c r="X11" s="117"/>
      <c r="Y11" s="159"/>
      <c r="Z11" s="117"/>
      <c r="AA11" s="117"/>
      <c r="AB11" s="117"/>
      <c r="AC11" s="117"/>
      <c r="AD11" s="117"/>
      <c r="AE11" s="117"/>
      <c r="AF11" s="160"/>
      <c r="AG11" s="159"/>
      <c r="AH11" s="117"/>
      <c r="AI11" s="117"/>
      <c r="AJ11" s="117"/>
      <c r="AK11" s="160"/>
      <c r="AL11" s="185"/>
      <c r="AM11" s="117"/>
      <c r="AN11" s="159"/>
      <c r="AO11" s="117"/>
      <c r="AP11" s="117"/>
      <c r="AQ11" s="117"/>
      <c r="AR11" s="117"/>
      <c r="AS11" s="160"/>
      <c r="AT11" s="185"/>
      <c r="AU11" s="185"/>
      <c r="AV11" s="185"/>
      <c r="AW11" s="185"/>
      <c r="AX11" s="215"/>
    </row>
    <row r="12" spans="1:60" s="98" customFormat="1" ht="15" customHeight="1">
      <c r="A12" s="99"/>
      <c r="B12" s="161"/>
      <c r="C12" s="185"/>
      <c r="D12" s="162" t="s">
        <v>2843</v>
      </c>
      <c r="E12" s="162"/>
      <c r="F12" s="162"/>
      <c r="G12" s="163"/>
      <c r="H12" s="163"/>
      <c r="I12" s="164" t="s">
        <v>2233</v>
      </c>
      <c r="J12" s="143">
        <v>0</v>
      </c>
      <c r="K12" s="141">
        <v>0</v>
      </c>
      <c r="L12" s="141">
        <v>0.59</v>
      </c>
      <c r="M12" s="141">
        <v>0</v>
      </c>
      <c r="N12" s="141">
        <v>0</v>
      </c>
      <c r="O12" s="141">
        <v>0</v>
      </c>
      <c r="P12" s="141">
        <v>0.83499999999999996</v>
      </c>
      <c r="Q12" s="144">
        <v>0</v>
      </c>
      <c r="R12" s="143">
        <v>0</v>
      </c>
      <c r="S12" s="141">
        <v>0</v>
      </c>
      <c r="T12" s="141">
        <v>0</v>
      </c>
      <c r="U12" s="141">
        <v>0</v>
      </c>
      <c r="V12" s="144">
        <v>0</v>
      </c>
      <c r="W12" s="185"/>
      <c r="X12" s="164" t="s">
        <v>2233</v>
      </c>
      <c r="Y12" s="143">
        <v>-0.06</v>
      </c>
      <c r="Z12" s="141">
        <v>0</v>
      </c>
      <c r="AA12" s="141">
        <v>-3.03</v>
      </c>
      <c r="AB12" s="141">
        <v>0</v>
      </c>
      <c r="AC12" s="141">
        <v>0</v>
      </c>
      <c r="AD12" s="141">
        <v>0</v>
      </c>
      <c r="AE12" s="141">
        <v>0</v>
      </c>
      <c r="AF12" s="144">
        <v>0</v>
      </c>
      <c r="AG12" s="143">
        <v>0</v>
      </c>
      <c r="AH12" s="141">
        <v>0</v>
      </c>
      <c r="AI12" s="141">
        <v>0</v>
      </c>
      <c r="AJ12" s="141">
        <v>0</v>
      </c>
      <c r="AK12" s="144">
        <v>0</v>
      </c>
      <c r="AL12" s="185"/>
      <c r="AM12" s="164" t="s">
        <v>2233</v>
      </c>
      <c r="AN12" s="143">
        <v>0</v>
      </c>
      <c r="AO12" s="141">
        <v>0</v>
      </c>
      <c r="AP12" s="141">
        <v>0</v>
      </c>
      <c r="AQ12" s="141">
        <v>0</v>
      </c>
      <c r="AR12" s="141">
        <v>-8.4000000000000005E-2</v>
      </c>
      <c r="AS12" s="144">
        <v>-0.231000006198883</v>
      </c>
      <c r="AT12" s="185"/>
      <c r="AU12" s="164" t="s">
        <v>2233</v>
      </c>
      <c r="AV12" s="141">
        <v>298.21300000000002</v>
      </c>
      <c r="AW12" s="227" t="s">
        <v>2233</v>
      </c>
      <c r="AX12" s="130">
        <f>SUM(AV12,J12:N12,Y12:AC12,AN12:AR12)</f>
        <v>295.62900000000002</v>
      </c>
    </row>
    <row r="13" spans="1:60" s="98" customFormat="1" ht="15" customHeight="1">
      <c r="A13" s="99"/>
      <c r="B13" s="161"/>
      <c r="C13" s="185"/>
      <c r="D13" s="162" t="s">
        <v>2844</v>
      </c>
      <c r="E13" s="182"/>
      <c r="F13" s="182"/>
      <c r="G13" s="184"/>
      <c r="H13" s="184"/>
      <c r="I13" s="164" t="s">
        <v>2233</v>
      </c>
      <c r="J13" s="143">
        <v>0</v>
      </c>
      <c r="K13" s="141">
        <v>0</v>
      </c>
      <c r="L13" s="141">
        <v>0</v>
      </c>
      <c r="M13" s="141">
        <v>0</v>
      </c>
      <c r="N13" s="141">
        <v>0</v>
      </c>
      <c r="O13" s="141">
        <v>0</v>
      </c>
      <c r="P13" s="141">
        <v>0</v>
      </c>
      <c r="Q13" s="144">
        <v>0</v>
      </c>
      <c r="R13" s="143">
        <v>0</v>
      </c>
      <c r="S13" s="141">
        <v>0</v>
      </c>
      <c r="T13" s="141">
        <v>0</v>
      </c>
      <c r="U13" s="141">
        <v>0</v>
      </c>
      <c r="V13" s="144">
        <v>0</v>
      </c>
      <c r="W13" s="185"/>
      <c r="X13" s="164" t="s">
        <v>2233</v>
      </c>
      <c r="Y13" s="143">
        <v>-0.93</v>
      </c>
      <c r="Z13" s="141">
        <v>0</v>
      </c>
      <c r="AA13" s="141">
        <v>0</v>
      </c>
      <c r="AB13" s="141">
        <v>0</v>
      </c>
      <c r="AC13" s="141">
        <v>0</v>
      </c>
      <c r="AD13" s="141">
        <v>0</v>
      </c>
      <c r="AE13" s="141">
        <v>0</v>
      </c>
      <c r="AF13" s="144">
        <v>0</v>
      </c>
      <c r="AG13" s="143">
        <v>0</v>
      </c>
      <c r="AH13" s="141">
        <v>0</v>
      </c>
      <c r="AI13" s="141">
        <v>0</v>
      </c>
      <c r="AJ13" s="141">
        <v>0</v>
      </c>
      <c r="AK13" s="144">
        <v>0</v>
      </c>
      <c r="AL13" s="185"/>
      <c r="AM13" s="164" t="s">
        <v>2233</v>
      </c>
      <c r="AN13" s="143">
        <v>0</v>
      </c>
      <c r="AO13" s="141">
        <v>0</v>
      </c>
      <c r="AP13" s="141">
        <v>0</v>
      </c>
      <c r="AQ13" s="141">
        <v>0</v>
      </c>
      <c r="AR13" s="141">
        <v>0</v>
      </c>
      <c r="AS13" s="144">
        <v>0</v>
      </c>
      <c r="AT13" s="185"/>
      <c r="AU13" s="164" t="s">
        <v>2233</v>
      </c>
      <c r="AV13" s="141">
        <v>288.34500000000003</v>
      </c>
      <c r="AW13" s="227" t="s">
        <v>2233</v>
      </c>
      <c r="AX13" s="130">
        <f t="shared" ref="AX13:AX17" si="0">SUM(AV13,J13:N13,Y13:AC13,AN13:AR13)</f>
        <v>287.41500000000002</v>
      </c>
    </row>
    <row r="14" spans="1:60" s="98" customFormat="1" ht="15" customHeight="1">
      <c r="A14" s="99"/>
      <c r="B14" s="161"/>
      <c r="C14" s="185"/>
      <c r="D14" s="162" t="s">
        <v>2845</v>
      </c>
      <c r="E14" s="182"/>
      <c r="F14" s="182"/>
      <c r="G14" s="184"/>
      <c r="H14" s="184"/>
      <c r="I14" s="164" t="s">
        <v>2233</v>
      </c>
      <c r="J14" s="143">
        <v>0</v>
      </c>
      <c r="K14" s="141">
        <v>0</v>
      </c>
      <c r="L14" s="141">
        <v>0</v>
      </c>
      <c r="M14" s="141">
        <v>0</v>
      </c>
      <c r="N14" s="141">
        <v>0</v>
      </c>
      <c r="O14" s="141">
        <v>0</v>
      </c>
      <c r="P14" s="141">
        <v>0</v>
      </c>
      <c r="Q14" s="144">
        <v>0</v>
      </c>
      <c r="R14" s="143">
        <v>0</v>
      </c>
      <c r="S14" s="141">
        <v>0</v>
      </c>
      <c r="T14" s="141">
        <v>0</v>
      </c>
      <c r="U14" s="141">
        <v>0</v>
      </c>
      <c r="V14" s="144">
        <v>0</v>
      </c>
      <c r="W14" s="185"/>
      <c r="X14" s="164" t="s">
        <v>2233</v>
      </c>
      <c r="Y14" s="143">
        <v>0</v>
      </c>
      <c r="Z14" s="141">
        <v>0</v>
      </c>
      <c r="AA14" s="141">
        <v>0</v>
      </c>
      <c r="AB14" s="141">
        <v>0</v>
      </c>
      <c r="AC14" s="141">
        <v>-4.3999999999999997E-2</v>
      </c>
      <c r="AD14" s="141">
        <v>0</v>
      </c>
      <c r="AE14" s="141">
        <v>0</v>
      </c>
      <c r="AF14" s="144">
        <v>0</v>
      </c>
      <c r="AG14" s="143">
        <v>0</v>
      </c>
      <c r="AH14" s="141">
        <v>0</v>
      </c>
      <c r="AI14" s="141">
        <v>0</v>
      </c>
      <c r="AJ14" s="141">
        <v>0</v>
      </c>
      <c r="AK14" s="144">
        <v>0</v>
      </c>
      <c r="AL14" s="185"/>
      <c r="AM14" s="164" t="s">
        <v>2233</v>
      </c>
      <c r="AN14" s="143">
        <v>0</v>
      </c>
      <c r="AO14" s="141">
        <v>0</v>
      </c>
      <c r="AP14" s="141">
        <v>0</v>
      </c>
      <c r="AQ14" s="141">
        <v>0</v>
      </c>
      <c r="AR14" s="141">
        <v>0</v>
      </c>
      <c r="AS14" s="144">
        <v>0</v>
      </c>
      <c r="AT14" s="185"/>
      <c r="AU14" s="164" t="s">
        <v>2233</v>
      </c>
      <c r="AV14" s="141">
        <v>361.77499999999998</v>
      </c>
      <c r="AW14" s="227" t="s">
        <v>2233</v>
      </c>
      <c r="AX14" s="130">
        <f t="shared" si="0"/>
        <v>361.73099999999999</v>
      </c>
    </row>
    <row r="15" spans="1:60" s="98" customFormat="1" ht="15" customHeight="1">
      <c r="A15" s="99"/>
      <c r="B15" s="161"/>
      <c r="C15" s="185"/>
      <c r="D15" s="162" t="s">
        <v>2846</v>
      </c>
      <c r="E15" s="182"/>
      <c r="F15" s="182"/>
      <c r="G15" s="184"/>
      <c r="H15" s="184"/>
      <c r="I15" s="164" t="s">
        <v>2233</v>
      </c>
      <c r="J15" s="143">
        <v>0</v>
      </c>
      <c r="K15" s="141">
        <v>0</v>
      </c>
      <c r="L15" s="141">
        <v>0</v>
      </c>
      <c r="M15" s="141">
        <v>0</v>
      </c>
      <c r="N15" s="141">
        <v>0</v>
      </c>
      <c r="O15" s="141">
        <v>0</v>
      </c>
      <c r="P15" s="141">
        <v>0</v>
      </c>
      <c r="Q15" s="144">
        <v>0</v>
      </c>
      <c r="R15" s="143">
        <v>0</v>
      </c>
      <c r="S15" s="141">
        <v>0</v>
      </c>
      <c r="T15" s="141">
        <v>0</v>
      </c>
      <c r="U15" s="141">
        <v>0</v>
      </c>
      <c r="V15" s="144">
        <v>0</v>
      </c>
      <c r="W15" s="185"/>
      <c r="X15" s="164" t="s">
        <v>2233</v>
      </c>
      <c r="Y15" s="143">
        <v>0</v>
      </c>
      <c r="Z15" s="141">
        <v>0</v>
      </c>
      <c r="AA15" s="141">
        <v>0</v>
      </c>
      <c r="AB15" s="141">
        <v>0</v>
      </c>
      <c r="AC15" s="141">
        <v>0</v>
      </c>
      <c r="AD15" s="141">
        <v>0</v>
      </c>
      <c r="AE15" s="141">
        <v>0</v>
      </c>
      <c r="AF15" s="144">
        <v>0</v>
      </c>
      <c r="AG15" s="143">
        <v>0</v>
      </c>
      <c r="AH15" s="141">
        <v>0</v>
      </c>
      <c r="AI15" s="141">
        <v>0</v>
      </c>
      <c r="AJ15" s="141">
        <v>0</v>
      </c>
      <c r="AK15" s="144">
        <v>0</v>
      </c>
      <c r="AL15" s="185"/>
      <c r="AM15" s="164" t="s">
        <v>2233</v>
      </c>
      <c r="AN15" s="143">
        <v>0</v>
      </c>
      <c r="AO15" s="141">
        <v>0</v>
      </c>
      <c r="AP15" s="141">
        <v>0</v>
      </c>
      <c r="AQ15" s="141">
        <v>0</v>
      </c>
      <c r="AR15" s="141">
        <v>0</v>
      </c>
      <c r="AS15" s="144">
        <v>0</v>
      </c>
      <c r="AT15" s="185"/>
      <c r="AU15" s="164" t="s">
        <v>2233</v>
      </c>
      <c r="AV15" s="141">
        <v>128.655</v>
      </c>
      <c r="AW15" s="227" t="s">
        <v>2233</v>
      </c>
      <c r="AX15" s="130">
        <f t="shared" si="0"/>
        <v>128.655</v>
      </c>
    </row>
    <row r="16" spans="1:60" s="98" customFormat="1" ht="15" customHeight="1">
      <c r="A16" s="99"/>
      <c r="B16" s="181"/>
      <c r="C16" s="185"/>
      <c r="D16" s="162" t="s">
        <v>2847</v>
      </c>
      <c r="E16" s="182"/>
      <c r="F16" s="182"/>
      <c r="G16" s="184"/>
      <c r="H16" s="184"/>
      <c r="I16" s="164" t="s">
        <v>2233</v>
      </c>
      <c r="J16" s="143">
        <v>0</v>
      </c>
      <c r="K16" s="141">
        <v>0</v>
      </c>
      <c r="L16" s="141">
        <v>0</v>
      </c>
      <c r="M16" s="141">
        <v>0</v>
      </c>
      <c r="N16" s="141">
        <v>0</v>
      </c>
      <c r="O16" s="141">
        <v>0</v>
      </c>
      <c r="P16" s="141">
        <v>0</v>
      </c>
      <c r="Q16" s="144">
        <v>0</v>
      </c>
      <c r="R16" s="143">
        <v>0</v>
      </c>
      <c r="S16" s="141">
        <v>0</v>
      </c>
      <c r="T16" s="141">
        <v>0</v>
      </c>
      <c r="U16" s="141">
        <v>0</v>
      </c>
      <c r="V16" s="144">
        <v>0</v>
      </c>
      <c r="W16" s="185"/>
      <c r="X16" s="164" t="s">
        <v>2233</v>
      </c>
      <c r="Y16" s="143">
        <v>0</v>
      </c>
      <c r="Z16" s="141">
        <v>0</v>
      </c>
      <c r="AA16" s="141">
        <v>0</v>
      </c>
      <c r="AB16" s="141">
        <v>0</v>
      </c>
      <c r="AC16" s="141">
        <v>0</v>
      </c>
      <c r="AD16" s="141">
        <v>0</v>
      </c>
      <c r="AE16" s="141">
        <v>0</v>
      </c>
      <c r="AF16" s="144">
        <v>0</v>
      </c>
      <c r="AG16" s="143">
        <v>0</v>
      </c>
      <c r="AH16" s="141">
        <v>0</v>
      </c>
      <c r="AI16" s="141">
        <v>0</v>
      </c>
      <c r="AJ16" s="141">
        <v>0</v>
      </c>
      <c r="AK16" s="144">
        <v>0</v>
      </c>
      <c r="AL16" s="185"/>
      <c r="AM16" s="164" t="s">
        <v>2233</v>
      </c>
      <c r="AN16" s="143">
        <v>0</v>
      </c>
      <c r="AO16" s="141">
        <v>0</v>
      </c>
      <c r="AP16" s="141">
        <v>0</v>
      </c>
      <c r="AQ16" s="141">
        <v>0</v>
      </c>
      <c r="AR16" s="141">
        <v>0</v>
      </c>
      <c r="AS16" s="144">
        <v>0</v>
      </c>
      <c r="AT16" s="185"/>
      <c r="AU16" s="164" t="s">
        <v>2233</v>
      </c>
      <c r="AV16" s="141">
        <v>84.74</v>
      </c>
      <c r="AW16" s="227" t="s">
        <v>2233</v>
      </c>
      <c r="AX16" s="130">
        <f t="shared" si="0"/>
        <v>84.74</v>
      </c>
    </row>
    <row r="17" spans="1:50" s="98" customFormat="1" ht="15" customHeight="1">
      <c r="A17" s="99"/>
      <c r="B17" s="181"/>
      <c r="C17" s="185"/>
      <c r="D17" s="162" t="s">
        <v>2848</v>
      </c>
      <c r="E17" s="182"/>
      <c r="F17" s="182"/>
      <c r="G17" s="184"/>
      <c r="H17" s="184"/>
      <c r="I17" s="164" t="s">
        <v>2233</v>
      </c>
      <c r="J17" s="143">
        <v>0</v>
      </c>
      <c r="K17" s="141">
        <v>0</v>
      </c>
      <c r="L17" s="141">
        <v>0</v>
      </c>
      <c r="M17" s="141">
        <v>0</v>
      </c>
      <c r="N17" s="141">
        <v>0</v>
      </c>
      <c r="O17" s="141">
        <v>0</v>
      </c>
      <c r="P17" s="141">
        <v>0</v>
      </c>
      <c r="Q17" s="144">
        <v>0</v>
      </c>
      <c r="R17" s="143">
        <v>0</v>
      </c>
      <c r="S17" s="141">
        <v>0</v>
      </c>
      <c r="T17" s="141">
        <v>0</v>
      </c>
      <c r="U17" s="141">
        <v>0</v>
      </c>
      <c r="V17" s="144">
        <v>0</v>
      </c>
      <c r="W17" s="185"/>
      <c r="X17" s="164" t="s">
        <v>2233</v>
      </c>
      <c r="Y17" s="143">
        <v>0</v>
      </c>
      <c r="Z17" s="141">
        <v>0</v>
      </c>
      <c r="AA17" s="141">
        <v>0</v>
      </c>
      <c r="AB17" s="141">
        <v>0</v>
      </c>
      <c r="AC17" s="141">
        <v>0</v>
      </c>
      <c r="AD17" s="141">
        <v>0</v>
      </c>
      <c r="AE17" s="141">
        <v>0</v>
      </c>
      <c r="AF17" s="144">
        <v>0</v>
      </c>
      <c r="AG17" s="143">
        <v>0</v>
      </c>
      <c r="AH17" s="141">
        <v>0</v>
      </c>
      <c r="AI17" s="141">
        <v>0</v>
      </c>
      <c r="AJ17" s="141">
        <v>0</v>
      </c>
      <c r="AK17" s="144">
        <v>0</v>
      </c>
      <c r="AL17" s="185"/>
      <c r="AM17" s="164" t="s">
        <v>2233</v>
      </c>
      <c r="AN17" s="143">
        <v>0</v>
      </c>
      <c r="AO17" s="141">
        <v>0</v>
      </c>
      <c r="AP17" s="141">
        <v>0</v>
      </c>
      <c r="AQ17" s="141">
        <v>0</v>
      </c>
      <c r="AR17" s="141">
        <v>0</v>
      </c>
      <c r="AS17" s="144">
        <v>0</v>
      </c>
      <c r="AT17" s="185"/>
      <c r="AU17" s="164" t="s">
        <v>2233</v>
      </c>
      <c r="AV17" s="141">
        <v>32.200000000000003</v>
      </c>
      <c r="AW17" s="227" t="s">
        <v>2233</v>
      </c>
      <c r="AX17" s="130">
        <f t="shared" si="0"/>
        <v>32.200000000000003</v>
      </c>
    </row>
    <row r="18" spans="1:50" s="98" customFormat="1" ht="15" customHeight="1" thickBot="1">
      <c r="A18" s="99"/>
      <c r="B18" s="131" t="s">
        <v>1701</v>
      </c>
      <c r="C18" s="132"/>
      <c r="D18" s="132"/>
      <c r="E18" s="132"/>
      <c r="F18" s="132"/>
      <c r="G18" s="145"/>
      <c r="H18" s="133"/>
      <c r="I18" s="146" t="s">
        <v>2233</v>
      </c>
      <c r="J18" s="717">
        <f>SUM(J12:J17)</f>
        <v>0</v>
      </c>
      <c r="K18" s="718">
        <f t="shared" ref="K18:V18" si="1">SUM(K12:K17)</f>
        <v>0</v>
      </c>
      <c r="L18" s="718">
        <f t="shared" si="1"/>
        <v>0.59</v>
      </c>
      <c r="M18" s="718">
        <f t="shared" si="1"/>
        <v>0</v>
      </c>
      <c r="N18" s="718">
        <f t="shared" si="1"/>
        <v>0</v>
      </c>
      <c r="O18" s="718">
        <f t="shared" si="1"/>
        <v>0</v>
      </c>
      <c r="P18" s="718">
        <f t="shared" si="1"/>
        <v>0.83499999999999996</v>
      </c>
      <c r="Q18" s="719">
        <f t="shared" si="1"/>
        <v>0</v>
      </c>
      <c r="R18" s="717">
        <f t="shared" si="1"/>
        <v>0</v>
      </c>
      <c r="S18" s="718">
        <f t="shared" si="1"/>
        <v>0</v>
      </c>
      <c r="T18" s="718">
        <f t="shared" si="1"/>
        <v>0</v>
      </c>
      <c r="U18" s="718">
        <f t="shared" si="1"/>
        <v>0</v>
      </c>
      <c r="V18" s="719">
        <f t="shared" si="1"/>
        <v>0</v>
      </c>
      <c r="W18" s="192"/>
      <c r="X18" s="146" t="s">
        <v>2233</v>
      </c>
      <c r="Y18" s="717">
        <f>SUM(Y12:Y17)</f>
        <v>-0.99</v>
      </c>
      <c r="Z18" s="718">
        <f t="shared" ref="Z18" si="2">SUM(Z12:Z17)</f>
        <v>0</v>
      </c>
      <c r="AA18" s="718">
        <f t="shared" ref="AA18" si="3">SUM(AA12:AA17)</f>
        <v>-3.03</v>
      </c>
      <c r="AB18" s="718">
        <f t="shared" ref="AB18" si="4">SUM(AB12:AB17)</f>
        <v>0</v>
      </c>
      <c r="AC18" s="718">
        <f t="shared" ref="AC18" si="5">SUM(AC12:AC17)</f>
        <v>-4.3999999999999997E-2</v>
      </c>
      <c r="AD18" s="718">
        <f t="shared" ref="AD18" si="6">SUM(AD12:AD17)</f>
        <v>0</v>
      </c>
      <c r="AE18" s="718">
        <f t="shared" ref="AE18" si="7">SUM(AE12:AE17)</f>
        <v>0</v>
      </c>
      <c r="AF18" s="719">
        <f t="shared" ref="AF18" si="8">SUM(AF12:AF17)</f>
        <v>0</v>
      </c>
      <c r="AG18" s="717">
        <f t="shared" ref="AG18" si="9">SUM(AG12:AG17)</f>
        <v>0</v>
      </c>
      <c r="AH18" s="718">
        <f t="shared" ref="AH18" si="10">SUM(AH12:AH17)</f>
        <v>0</v>
      </c>
      <c r="AI18" s="718">
        <f t="shared" ref="AI18" si="11">SUM(AI12:AI17)</f>
        <v>0</v>
      </c>
      <c r="AJ18" s="718">
        <f t="shared" ref="AJ18" si="12">SUM(AJ12:AJ17)</f>
        <v>0</v>
      </c>
      <c r="AK18" s="719">
        <f t="shared" ref="AK18" si="13">SUM(AK12:AK17)</f>
        <v>0</v>
      </c>
      <c r="AL18" s="192"/>
      <c r="AM18" s="146" t="s">
        <v>2233</v>
      </c>
      <c r="AN18" s="717">
        <f>SUM(AN12:AN17)</f>
        <v>0</v>
      </c>
      <c r="AO18" s="718">
        <f t="shared" ref="AO18" si="14">SUM(AO12:AO17)</f>
        <v>0</v>
      </c>
      <c r="AP18" s="718">
        <f t="shared" ref="AP18" si="15">SUM(AP12:AP17)</f>
        <v>0</v>
      </c>
      <c r="AQ18" s="718">
        <f t="shared" ref="AQ18" si="16">SUM(AQ12:AQ17)</f>
        <v>0</v>
      </c>
      <c r="AR18" s="718">
        <f t="shared" ref="AR18:AS18" si="17">SUM(AR12:AR17)</f>
        <v>-8.4000000000000005E-2</v>
      </c>
      <c r="AS18" s="719">
        <f t="shared" si="17"/>
        <v>-0.231000006198883</v>
      </c>
      <c r="AT18" s="192"/>
      <c r="AU18" s="146" t="s">
        <v>2233</v>
      </c>
      <c r="AV18" s="718">
        <f>SUM(AV12:AV17)</f>
        <v>1193.9280000000001</v>
      </c>
      <c r="AW18" s="877" t="s">
        <v>2233</v>
      </c>
      <c r="AX18" s="719">
        <f>SUM(AX12:AX17)</f>
        <v>1190.3700000000001</v>
      </c>
    </row>
    <row r="19" spans="1:50" s="99" customFormat="1" ht="15" customHeight="1" thickBot="1">
      <c r="B19" s="150"/>
      <c r="C19" s="150"/>
      <c r="D19" s="150"/>
      <c r="E19" s="150"/>
      <c r="F19" s="150"/>
      <c r="G19" s="97"/>
      <c r="H19" s="97"/>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V19" s="98"/>
    </row>
    <row r="20" spans="1:50" s="100" customFormat="1" ht="30" customHeight="1" thickBot="1">
      <c r="A20" s="89"/>
      <c r="B20" s="101" t="s">
        <v>2849</v>
      </c>
      <c r="C20" s="102"/>
      <c r="D20" s="102"/>
      <c r="E20" s="102"/>
      <c r="F20" s="102"/>
      <c r="G20" s="763"/>
      <c r="H20" s="103"/>
      <c r="I20" s="105" t="s">
        <v>2837</v>
      </c>
      <c r="J20" s="106"/>
      <c r="K20" s="106"/>
      <c r="L20" s="106"/>
      <c r="M20" s="106"/>
      <c r="N20" s="106"/>
      <c r="O20" s="106"/>
      <c r="P20" s="106"/>
      <c r="Q20" s="106"/>
      <c r="R20" s="105"/>
      <c r="S20" s="105"/>
      <c r="T20" s="105"/>
      <c r="U20" s="105"/>
      <c r="V20" s="105"/>
      <c r="W20" s="103"/>
      <c r="X20" s="105" t="s">
        <v>2838</v>
      </c>
      <c r="Y20" s="106"/>
      <c r="Z20" s="106"/>
      <c r="AA20" s="106"/>
      <c r="AB20" s="106"/>
      <c r="AC20" s="106"/>
      <c r="AD20" s="106"/>
      <c r="AE20" s="106"/>
      <c r="AF20" s="106"/>
      <c r="AG20" s="105"/>
      <c r="AH20" s="105"/>
      <c r="AI20" s="105"/>
      <c r="AJ20" s="105"/>
      <c r="AK20" s="105"/>
      <c r="AL20" s="103"/>
      <c r="AM20" s="105" t="s">
        <v>2839</v>
      </c>
      <c r="AN20" s="106"/>
      <c r="AO20" s="106"/>
      <c r="AP20" s="106"/>
      <c r="AQ20" s="106"/>
      <c r="AR20" s="106"/>
      <c r="AS20" s="106"/>
      <c r="AT20" s="103"/>
      <c r="AU20" s="218" t="s">
        <v>1925</v>
      </c>
      <c r="AV20" s="219"/>
      <c r="AW20" s="220"/>
      <c r="AX20" s="221"/>
    </row>
    <row r="21" spans="1:50" s="157" customFormat="1" ht="30" customHeight="1">
      <c r="A21" s="99"/>
      <c r="B21" s="109"/>
      <c r="C21" s="110"/>
      <c r="D21" s="110"/>
      <c r="E21" s="110"/>
      <c r="F21" s="110"/>
      <c r="G21" s="117"/>
      <c r="H21" s="111"/>
      <c r="I21" s="117"/>
      <c r="J21" s="695" t="s">
        <v>1666</v>
      </c>
      <c r="K21" s="152"/>
      <c r="L21" s="152"/>
      <c r="M21" s="152"/>
      <c r="N21" s="152"/>
      <c r="O21" s="152"/>
      <c r="P21" s="152"/>
      <c r="Q21" s="153"/>
      <c r="R21" s="696" t="s">
        <v>2</v>
      </c>
      <c r="S21" s="155"/>
      <c r="T21" s="155"/>
      <c r="U21" s="155"/>
      <c r="V21" s="156"/>
      <c r="W21" s="222"/>
      <c r="X21" s="117"/>
      <c r="Y21" s="695" t="s">
        <v>1666</v>
      </c>
      <c r="Z21" s="152"/>
      <c r="AA21" s="152"/>
      <c r="AB21" s="152"/>
      <c r="AC21" s="152"/>
      <c r="AD21" s="152"/>
      <c r="AE21" s="152"/>
      <c r="AF21" s="153"/>
      <c r="AG21" s="696" t="s">
        <v>2</v>
      </c>
      <c r="AH21" s="155"/>
      <c r="AI21" s="155"/>
      <c r="AJ21" s="155"/>
      <c r="AK21" s="156"/>
      <c r="AL21" s="222"/>
      <c r="AM21" s="117"/>
      <c r="AN21" s="695" t="s">
        <v>1666</v>
      </c>
      <c r="AO21" s="152"/>
      <c r="AP21" s="152"/>
      <c r="AQ21" s="152"/>
      <c r="AR21" s="152"/>
      <c r="AS21" s="153"/>
      <c r="AT21" s="222"/>
      <c r="AU21" s="223" t="s">
        <v>2840</v>
      </c>
      <c r="AV21" s="203"/>
      <c r="AW21" s="224" t="s">
        <v>2841</v>
      </c>
      <c r="AX21" s="204"/>
    </row>
    <row r="22" spans="1:50" s="98" customFormat="1" ht="15" customHeight="1">
      <c r="A22" s="99"/>
      <c r="B22" s="115"/>
      <c r="C22" s="116"/>
      <c r="D22" s="116"/>
      <c r="E22" s="116"/>
      <c r="F22" s="116"/>
      <c r="G22" s="117"/>
      <c r="H22" s="117"/>
      <c r="I22" s="119" t="s">
        <v>1667</v>
      </c>
      <c r="J22" s="158" t="s">
        <v>453</v>
      </c>
      <c r="K22" s="137" t="s">
        <v>455</v>
      </c>
      <c r="L22" s="137" t="s">
        <v>457</v>
      </c>
      <c r="M22" s="137" t="s">
        <v>459</v>
      </c>
      <c r="N22" s="137" t="s">
        <v>461</v>
      </c>
      <c r="O22" s="137" t="s">
        <v>463</v>
      </c>
      <c r="P22" s="137" t="s">
        <v>465</v>
      </c>
      <c r="Q22" s="138" t="s">
        <v>467</v>
      </c>
      <c r="R22" s="120" t="s">
        <v>469</v>
      </c>
      <c r="S22" s="121" t="s">
        <v>471</v>
      </c>
      <c r="T22" s="121" t="s">
        <v>473</v>
      </c>
      <c r="U22" s="121" t="s">
        <v>475</v>
      </c>
      <c r="V22" s="122" t="s">
        <v>477</v>
      </c>
      <c r="W22" s="185"/>
      <c r="X22" s="119" t="s">
        <v>1667</v>
      </c>
      <c r="Y22" s="158" t="s">
        <v>453</v>
      </c>
      <c r="Z22" s="137" t="s">
        <v>455</v>
      </c>
      <c r="AA22" s="137" t="s">
        <v>457</v>
      </c>
      <c r="AB22" s="137" t="s">
        <v>459</v>
      </c>
      <c r="AC22" s="137" t="s">
        <v>461</v>
      </c>
      <c r="AD22" s="137" t="s">
        <v>463</v>
      </c>
      <c r="AE22" s="137" t="s">
        <v>465</v>
      </c>
      <c r="AF22" s="138" t="s">
        <v>467</v>
      </c>
      <c r="AG22" s="120" t="s">
        <v>469</v>
      </c>
      <c r="AH22" s="121" t="s">
        <v>471</v>
      </c>
      <c r="AI22" s="121" t="s">
        <v>473</v>
      </c>
      <c r="AJ22" s="121" t="s">
        <v>475</v>
      </c>
      <c r="AK22" s="122" t="s">
        <v>477</v>
      </c>
      <c r="AL22" s="185"/>
      <c r="AM22" s="119" t="s">
        <v>1667</v>
      </c>
      <c r="AN22" s="158" t="s">
        <v>453</v>
      </c>
      <c r="AO22" s="137" t="s">
        <v>455</v>
      </c>
      <c r="AP22" s="137" t="s">
        <v>457</v>
      </c>
      <c r="AQ22" s="137" t="s">
        <v>459</v>
      </c>
      <c r="AR22" s="137" t="s">
        <v>461</v>
      </c>
      <c r="AS22" s="138" t="s">
        <v>463</v>
      </c>
      <c r="AT22" s="185"/>
      <c r="AU22" s="225" t="s">
        <v>1667</v>
      </c>
      <c r="AV22" s="206" t="s">
        <v>2142</v>
      </c>
      <c r="AW22" s="226" t="s">
        <v>1667</v>
      </c>
      <c r="AX22" s="207" t="s">
        <v>2142</v>
      </c>
    </row>
    <row r="23" spans="1:50" s="98" customFormat="1" ht="15" customHeight="1">
      <c r="A23" s="99"/>
      <c r="B23" s="161"/>
      <c r="C23" s="180" t="s">
        <v>2850</v>
      </c>
      <c r="D23" s="162"/>
      <c r="E23" s="162"/>
      <c r="F23" s="162"/>
      <c r="G23" s="163"/>
      <c r="H23" s="163"/>
      <c r="I23" s="117"/>
      <c r="J23" s="159"/>
      <c r="K23" s="117"/>
      <c r="L23" s="117"/>
      <c r="M23" s="117"/>
      <c r="N23" s="117"/>
      <c r="O23" s="117"/>
      <c r="P23" s="117"/>
      <c r="Q23" s="160"/>
      <c r="R23" s="159"/>
      <c r="S23" s="117"/>
      <c r="T23" s="117"/>
      <c r="U23" s="117"/>
      <c r="V23" s="160"/>
      <c r="W23" s="185"/>
      <c r="X23" s="117"/>
      <c r="Y23" s="159"/>
      <c r="Z23" s="117"/>
      <c r="AA23" s="117"/>
      <c r="AB23" s="117"/>
      <c r="AC23" s="117"/>
      <c r="AD23" s="117"/>
      <c r="AE23" s="117"/>
      <c r="AF23" s="160"/>
      <c r="AG23" s="159"/>
      <c r="AH23" s="117"/>
      <c r="AI23" s="117"/>
      <c r="AJ23" s="117"/>
      <c r="AK23" s="160"/>
      <c r="AL23" s="185"/>
      <c r="AM23" s="117"/>
      <c r="AN23" s="159"/>
      <c r="AO23" s="117"/>
      <c r="AP23" s="117"/>
      <c r="AQ23" s="117"/>
      <c r="AR23" s="117"/>
      <c r="AS23" s="160"/>
      <c r="AT23" s="185"/>
      <c r="AU23" s="185"/>
      <c r="AV23" s="185"/>
      <c r="AW23" s="185"/>
      <c r="AX23" s="215"/>
    </row>
    <row r="24" spans="1:50" s="98" customFormat="1" ht="15" customHeight="1">
      <c r="A24" s="99"/>
      <c r="B24" s="161"/>
      <c r="C24" s="185"/>
      <c r="D24" s="162" t="s">
        <v>2851</v>
      </c>
      <c r="E24" s="162"/>
      <c r="F24" s="162"/>
      <c r="G24" s="163"/>
      <c r="H24" s="163"/>
      <c r="I24" s="164" t="s">
        <v>2233</v>
      </c>
      <c r="J24" s="143">
        <v>0</v>
      </c>
      <c r="K24" s="141">
        <v>0</v>
      </c>
      <c r="L24" s="141">
        <v>0.19</v>
      </c>
      <c r="M24" s="141">
        <v>0</v>
      </c>
      <c r="N24" s="141">
        <v>0</v>
      </c>
      <c r="O24" s="141">
        <v>0</v>
      </c>
      <c r="P24" s="141">
        <v>0</v>
      </c>
      <c r="Q24" s="144">
        <v>0</v>
      </c>
      <c r="R24" s="143">
        <v>0</v>
      </c>
      <c r="S24" s="141">
        <v>0</v>
      </c>
      <c r="T24" s="141">
        <v>0</v>
      </c>
      <c r="U24" s="141">
        <v>0</v>
      </c>
      <c r="V24" s="144">
        <v>0</v>
      </c>
      <c r="W24" s="185"/>
      <c r="X24" s="164" t="s">
        <v>2233</v>
      </c>
      <c r="Y24" s="143">
        <v>0</v>
      </c>
      <c r="Z24" s="141">
        <v>0</v>
      </c>
      <c r="AA24" s="141">
        <v>-3.03</v>
      </c>
      <c r="AB24" s="141">
        <v>0</v>
      </c>
      <c r="AC24" s="141">
        <v>0</v>
      </c>
      <c r="AD24" s="141">
        <v>0</v>
      </c>
      <c r="AE24" s="141">
        <v>0</v>
      </c>
      <c r="AF24" s="144">
        <v>0</v>
      </c>
      <c r="AG24" s="143">
        <v>0</v>
      </c>
      <c r="AH24" s="141">
        <v>0</v>
      </c>
      <c r="AI24" s="141">
        <v>0</v>
      </c>
      <c r="AJ24" s="141">
        <v>0</v>
      </c>
      <c r="AK24" s="144">
        <v>0</v>
      </c>
      <c r="AL24" s="185"/>
      <c r="AM24" s="164" t="s">
        <v>2233</v>
      </c>
      <c r="AN24" s="143">
        <v>0</v>
      </c>
      <c r="AO24" s="141">
        <v>0</v>
      </c>
      <c r="AP24" s="141">
        <v>0</v>
      </c>
      <c r="AQ24" s="141">
        <v>0</v>
      </c>
      <c r="AR24" s="141">
        <v>-2.7E-2</v>
      </c>
      <c r="AS24" s="144">
        <v>-0.25900000333786</v>
      </c>
      <c r="AT24" s="185"/>
      <c r="AU24" s="164" t="s">
        <v>2233</v>
      </c>
      <c r="AV24" s="141">
        <v>343.00099999999998</v>
      </c>
      <c r="AW24" s="227" t="s">
        <v>2233</v>
      </c>
      <c r="AX24" s="130">
        <f>SUM(AV24,J24:N24,Y24:AC24,AN24:AR24)</f>
        <v>340.13400000000001</v>
      </c>
    </row>
    <row r="25" spans="1:50" s="98" customFormat="1" ht="15" customHeight="1">
      <c r="A25" s="99"/>
      <c r="B25" s="161"/>
      <c r="C25" s="185"/>
      <c r="D25" s="162" t="s">
        <v>2852</v>
      </c>
      <c r="E25" s="162"/>
      <c r="F25" s="162"/>
      <c r="G25" s="163"/>
      <c r="H25" s="163"/>
      <c r="I25" s="164" t="s">
        <v>2233</v>
      </c>
      <c r="J25" s="143">
        <v>0</v>
      </c>
      <c r="K25" s="141">
        <v>0</v>
      </c>
      <c r="L25" s="141">
        <v>0.4</v>
      </c>
      <c r="M25" s="141">
        <v>0</v>
      </c>
      <c r="N25" s="141">
        <v>0</v>
      </c>
      <c r="O25" s="141">
        <v>0</v>
      </c>
      <c r="P25" s="141">
        <v>0.83499999999999996</v>
      </c>
      <c r="Q25" s="144">
        <v>0</v>
      </c>
      <c r="R25" s="143">
        <v>0</v>
      </c>
      <c r="S25" s="141">
        <v>0</v>
      </c>
      <c r="T25" s="141">
        <v>0</v>
      </c>
      <c r="U25" s="141">
        <v>0</v>
      </c>
      <c r="V25" s="144">
        <v>0</v>
      </c>
      <c r="W25" s="185"/>
      <c r="X25" s="164" t="s">
        <v>2233</v>
      </c>
      <c r="Y25" s="143">
        <v>0</v>
      </c>
      <c r="Z25" s="141">
        <v>0</v>
      </c>
      <c r="AA25" s="141">
        <v>0</v>
      </c>
      <c r="AB25" s="141">
        <v>0</v>
      </c>
      <c r="AC25" s="141">
        <v>0</v>
      </c>
      <c r="AD25" s="141">
        <v>0</v>
      </c>
      <c r="AE25" s="141">
        <v>0</v>
      </c>
      <c r="AF25" s="144">
        <v>0</v>
      </c>
      <c r="AG25" s="143">
        <v>0</v>
      </c>
      <c r="AH25" s="141">
        <v>0</v>
      </c>
      <c r="AI25" s="141">
        <v>0</v>
      </c>
      <c r="AJ25" s="141">
        <v>0</v>
      </c>
      <c r="AK25" s="144">
        <v>0</v>
      </c>
      <c r="AL25" s="185"/>
      <c r="AM25" s="164" t="s">
        <v>2233</v>
      </c>
      <c r="AN25" s="143">
        <v>0</v>
      </c>
      <c r="AO25" s="141">
        <v>0</v>
      </c>
      <c r="AP25" s="141">
        <v>0</v>
      </c>
      <c r="AQ25" s="141">
        <v>0</v>
      </c>
      <c r="AR25" s="141">
        <v>-5.7000000000000002E-2</v>
      </c>
      <c r="AS25" s="144">
        <v>0</v>
      </c>
      <c r="AT25" s="185"/>
      <c r="AU25" s="164" t="s">
        <v>2233</v>
      </c>
      <c r="AV25" s="141">
        <v>26.811999999999998</v>
      </c>
      <c r="AW25" s="227" t="s">
        <v>2233</v>
      </c>
      <c r="AX25" s="130">
        <f>SUM(AV25,J25:N25,Y25:AC25,AN25:AR25)</f>
        <v>27.154999999999998</v>
      </c>
    </row>
    <row r="26" spans="1:50" s="98" customFormat="1" ht="15" customHeight="1">
      <c r="A26" s="99"/>
      <c r="B26" s="161"/>
      <c r="C26" s="185"/>
      <c r="D26" s="162" t="s">
        <v>2853</v>
      </c>
      <c r="E26" s="162"/>
      <c r="F26" s="162"/>
      <c r="G26" s="163"/>
      <c r="H26" s="163"/>
      <c r="I26" s="164" t="s">
        <v>2233</v>
      </c>
      <c r="J26" s="143">
        <v>0</v>
      </c>
      <c r="K26" s="141">
        <v>0</v>
      </c>
      <c r="L26" s="141">
        <v>0</v>
      </c>
      <c r="M26" s="141">
        <v>0</v>
      </c>
      <c r="N26" s="141">
        <v>0</v>
      </c>
      <c r="O26" s="141">
        <v>0</v>
      </c>
      <c r="P26" s="141">
        <v>0</v>
      </c>
      <c r="Q26" s="144">
        <v>0</v>
      </c>
      <c r="R26" s="143">
        <v>0</v>
      </c>
      <c r="S26" s="141">
        <v>0</v>
      </c>
      <c r="T26" s="141">
        <v>0</v>
      </c>
      <c r="U26" s="141">
        <v>0</v>
      </c>
      <c r="V26" s="144">
        <v>0</v>
      </c>
      <c r="W26" s="185"/>
      <c r="X26" s="164" t="s">
        <v>2233</v>
      </c>
      <c r="Y26" s="143">
        <v>-0.99</v>
      </c>
      <c r="Z26" s="141">
        <v>0</v>
      </c>
      <c r="AA26" s="141">
        <v>0</v>
      </c>
      <c r="AB26" s="141">
        <v>0</v>
      </c>
      <c r="AC26" s="141">
        <v>-4.3999999999999997E-2</v>
      </c>
      <c r="AD26" s="141">
        <v>0</v>
      </c>
      <c r="AE26" s="141">
        <v>0</v>
      </c>
      <c r="AF26" s="144">
        <v>0</v>
      </c>
      <c r="AG26" s="143">
        <v>0</v>
      </c>
      <c r="AH26" s="141">
        <v>0</v>
      </c>
      <c r="AI26" s="141">
        <v>0</v>
      </c>
      <c r="AJ26" s="141">
        <v>0</v>
      </c>
      <c r="AK26" s="144">
        <v>0</v>
      </c>
      <c r="AL26" s="185"/>
      <c r="AM26" s="164" t="s">
        <v>2233</v>
      </c>
      <c r="AN26" s="143">
        <v>0</v>
      </c>
      <c r="AO26" s="141">
        <v>0</v>
      </c>
      <c r="AP26" s="141">
        <v>0</v>
      </c>
      <c r="AQ26" s="141">
        <v>0</v>
      </c>
      <c r="AR26" s="141">
        <v>0</v>
      </c>
      <c r="AS26" s="144">
        <v>2.8000000864267301E-2</v>
      </c>
      <c r="AT26" s="185"/>
      <c r="AU26" s="164" t="s">
        <v>2233</v>
      </c>
      <c r="AV26" s="141">
        <v>794.11500000000001</v>
      </c>
      <c r="AW26" s="227" t="s">
        <v>2233</v>
      </c>
      <c r="AX26" s="130">
        <f>SUM(AV26,J26:N26,Y26:AC26,AN26:AR26)</f>
        <v>793.08100000000002</v>
      </c>
    </row>
    <row r="27" spans="1:50" s="98" customFormat="1" ht="15" customHeight="1">
      <c r="A27" s="99"/>
      <c r="B27" s="161"/>
      <c r="C27" s="185"/>
      <c r="D27" s="162" t="s">
        <v>2854</v>
      </c>
      <c r="E27" s="162"/>
      <c r="F27" s="162"/>
      <c r="G27" s="163"/>
      <c r="H27" s="163"/>
      <c r="I27" s="164" t="s">
        <v>2233</v>
      </c>
      <c r="J27" s="143">
        <v>0</v>
      </c>
      <c r="K27" s="141">
        <v>0</v>
      </c>
      <c r="L27" s="141">
        <v>0</v>
      </c>
      <c r="M27" s="141">
        <v>0</v>
      </c>
      <c r="N27" s="141">
        <v>0</v>
      </c>
      <c r="O27" s="141">
        <v>0</v>
      </c>
      <c r="P27" s="141">
        <v>0</v>
      </c>
      <c r="Q27" s="144">
        <v>0</v>
      </c>
      <c r="R27" s="143">
        <v>0</v>
      </c>
      <c r="S27" s="141">
        <v>0</v>
      </c>
      <c r="T27" s="141">
        <v>0</v>
      </c>
      <c r="U27" s="141">
        <v>0</v>
      </c>
      <c r="V27" s="144">
        <v>0</v>
      </c>
      <c r="W27" s="185"/>
      <c r="X27" s="164" t="s">
        <v>2233</v>
      </c>
      <c r="Y27" s="143">
        <v>0</v>
      </c>
      <c r="Z27" s="141">
        <v>0</v>
      </c>
      <c r="AA27" s="141">
        <v>0</v>
      </c>
      <c r="AB27" s="141">
        <v>0</v>
      </c>
      <c r="AC27" s="141">
        <v>0</v>
      </c>
      <c r="AD27" s="141">
        <v>0</v>
      </c>
      <c r="AE27" s="141">
        <v>0</v>
      </c>
      <c r="AF27" s="144">
        <v>0</v>
      </c>
      <c r="AG27" s="143">
        <v>0</v>
      </c>
      <c r="AH27" s="141">
        <v>0</v>
      </c>
      <c r="AI27" s="141">
        <v>0</v>
      </c>
      <c r="AJ27" s="141">
        <v>0</v>
      </c>
      <c r="AK27" s="144">
        <v>0</v>
      </c>
      <c r="AL27" s="185"/>
      <c r="AM27" s="164" t="s">
        <v>2233</v>
      </c>
      <c r="AN27" s="143">
        <v>0</v>
      </c>
      <c r="AO27" s="141">
        <v>0</v>
      </c>
      <c r="AP27" s="141">
        <v>0</v>
      </c>
      <c r="AQ27" s="141">
        <v>0</v>
      </c>
      <c r="AR27" s="141">
        <v>0</v>
      </c>
      <c r="AS27" s="144">
        <v>0</v>
      </c>
      <c r="AT27" s="185"/>
      <c r="AU27" s="164" t="s">
        <v>2233</v>
      </c>
      <c r="AV27" s="141">
        <v>30</v>
      </c>
      <c r="AW27" s="227" t="s">
        <v>2233</v>
      </c>
      <c r="AX27" s="130">
        <f>SUM(AV27,J27:N27,Y27:AC27,AN27:AR27)</f>
        <v>30</v>
      </c>
    </row>
    <row r="28" spans="1:50" s="98" customFormat="1" ht="15" customHeight="1" thickBot="1">
      <c r="A28" s="99"/>
      <c r="B28" s="131" t="s">
        <v>1701</v>
      </c>
      <c r="C28" s="132"/>
      <c r="D28" s="132"/>
      <c r="E28" s="132"/>
      <c r="F28" s="132"/>
      <c r="G28" s="145"/>
      <c r="H28" s="133"/>
      <c r="I28" s="146" t="s">
        <v>2233</v>
      </c>
      <c r="J28" s="717">
        <f>SUM(J24:J27)</f>
        <v>0</v>
      </c>
      <c r="K28" s="718">
        <f t="shared" ref="K28:V28" si="18">SUM(K24:K27)</f>
        <v>0</v>
      </c>
      <c r="L28" s="718">
        <f t="shared" si="18"/>
        <v>0.59000000000000008</v>
      </c>
      <c r="M28" s="718">
        <f t="shared" si="18"/>
        <v>0</v>
      </c>
      <c r="N28" s="718">
        <f t="shared" si="18"/>
        <v>0</v>
      </c>
      <c r="O28" s="718">
        <f t="shared" si="18"/>
        <v>0</v>
      </c>
      <c r="P28" s="718">
        <f t="shared" si="18"/>
        <v>0.83499999999999996</v>
      </c>
      <c r="Q28" s="719">
        <f t="shared" si="18"/>
        <v>0</v>
      </c>
      <c r="R28" s="717">
        <f t="shared" si="18"/>
        <v>0</v>
      </c>
      <c r="S28" s="718">
        <f t="shared" si="18"/>
        <v>0</v>
      </c>
      <c r="T28" s="718">
        <f t="shared" si="18"/>
        <v>0</v>
      </c>
      <c r="U28" s="718">
        <f t="shared" si="18"/>
        <v>0</v>
      </c>
      <c r="V28" s="719">
        <f t="shared" si="18"/>
        <v>0</v>
      </c>
      <c r="W28" s="192"/>
      <c r="X28" s="146" t="s">
        <v>2233</v>
      </c>
      <c r="Y28" s="717">
        <f>SUM(Y24:Y27)</f>
        <v>-0.99</v>
      </c>
      <c r="Z28" s="718">
        <f t="shared" ref="Z28:AK28" si="19">SUM(Z24:Z27)</f>
        <v>0</v>
      </c>
      <c r="AA28" s="718">
        <f t="shared" si="19"/>
        <v>-3.03</v>
      </c>
      <c r="AB28" s="718">
        <f t="shared" si="19"/>
        <v>0</v>
      </c>
      <c r="AC28" s="718">
        <f t="shared" si="19"/>
        <v>-4.3999999999999997E-2</v>
      </c>
      <c r="AD28" s="718">
        <f t="shared" si="19"/>
        <v>0</v>
      </c>
      <c r="AE28" s="718">
        <f t="shared" si="19"/>
        <v>0</v>
      </c>
      <c r="AF28" s="719">
        <f t="shared" si="19"/>
        <v>0</v>
      </c>
      <c r="AG28" s="717">
        <f t="shared" si="19"/>
        <v>0</v>
      </c>
      <c r="AH28" s="718">
        <f t="shared" si="19"/>
        <v>0</v>
      </c>
      <c r="AI28" s="718">
        <f t="shared" si="19"/>
        <v>0</v>
      </c>
      <c r="AJ28" s="718">
        <f t="shared" si="19"/>
        <v>0</v>
      </c>
      <c r="AK28" s="719">
        <f t="shared" si="19"/>
        <v>0</v>
      </c>
      <c r="AL28" s="192"/>
      <c r="AM28" s="146" t="s">
        <v>2233</v>
      </c>
      <c r="AN28" s="717">
        <f>SUM(AN24:AN27)</f>
        <v>0</v>
      </c>
      <c r="AO28" s="718">
        <f t="shared" ref="AO28:AS28" si="20">SUM(AO24:AO27)</f>
        <v>0</v>
      </c>
      <c r="AP28" s="718">
        <f t="shared" si="20"/>
        <v>0</v>
      </c>
      <c r="AQ28" s="718">
        <f t="shared" si="20"/>
        <v>0</v>
      </c>
      <c r="AR28" s="718">
        <f t="shared" si="20"/>
        <v>-8.4000000000000005E-2</v>
      </c>
      <c r="AS28" s="719">
        <f t="shared" si="20"/>
        <v>-0.2310000024735927</v>
      </c>
      <c r="AT28" s="192"/>
      <c r="AU28" s="146" t="s">
        <v>2233</v>
      </c>
      <c r="AV28" s="718">
        <f>SUM(AV24:AV27)</f>
        <v>1193.9279999999999</v>
      </c>
      <c r="AW28" s="146" t="s">
        <v>2233</v>
      </c>
      <c r="AX28" s="719">
        <f>SUM(AX24:AX27)</f>
        <v>1190.3699999999999</v>
      </c>
    </row>
    <row r="29" spans="1:50" s="99" customFormat="1" ht="15" customHeight="1" thickBot="1">
      <c r="B29" s="150"/>
      <c r="C29" s="150"/>
      <c r="D29" s="150"/>
      <c r="E29" s="150"/>
      <c r="F29" s="150"/>
      <c r="G29" s="97"/>
      <c r="H29" s="97"/>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V29" s="98"/>
    </row>
    <row r="30" spans="1:50" s="100" customFormat="1" ht="30" customHeight="1" thickBot="1">
      <c r="A30" s="89"/>
      <c r="B30" s="101" t="s">
        <v>2855</v>
      </c>
      <c r="C30" s="102"/>
      <c r="D30" s="102"/>
      <c r="E30" s="102"/>
      <c r="F30" s="102"/>
      <c r="G30" s="763"/>
      <c r="H30" s="103"/>
      <c r="I30" s="105" t="s">
        <v>2837</v>
      </c>
      <c r="J30" s="106"/>
      <c r="K30" s="106"/>
      <c r="L30" s="106"/>
      <c r="M30" s="106"/>
      <c r="N30" s="106"/>
      <c r="O30" s="106"/>
      <c r="P30" s="106"/>
      <c r="Q30" s="106"/>
      <c r="R30" s="105"/>
      <c r="S30" s="105"/>
      <c r="T30" s="105"/>
      <c r="U30" s="105"/>
      <c r="V30" s="105"/>
      <c r="W30" s="103"/>
      <c r="X30" s="105" t="s">
        <v>2838</v>
      </c>
      <c r="Y30" s="106"/>
      <c r="Z30" s="106"/>
      <c r="AA30" s="106"/>
      <c r="AB30" s="106"/>
      <c r="AC30" s="106"/>
      <c r="AD30" s="106"/>
      <c r="AE30" s="106"/>
      <c r="AF30" s="106"/>
      <c r="AG30" s="105"/>
      <c r="AH30" s="105"/>
      <c r="AI30" s="105"/>
      <c r="AJ30" s="105"/>
      <c r="AK30" s="105"/>
      <c r="AL30" s="103"/>
      <c r="AM30" s="105" t="s">
        <v>2839</v>
      </c>
      <c r="AN30" s="106"/>
      <c r="AO30" s="106"/>
      <c r="AP30" s="106"/>
      <c r="AQ30" s="106"/>
      <c r="AR30" s="106"/>
      <c r="AS30" s="106"/>
      <c r="AT30" s="103"/>
      <c r="AU30" s="218" t="s">
        <v>1925</v>
      </c>
      <c r="AV30" s="219"/>
      <c r="AW30" s="220"/>
      <c r="AX30" s="221"/>
    </row>
    <row r="31" spans="1:50" s="157" customFormat="1" ht="30" customHeight="1">
      <c r="A31" s="99"/>
      <c r="B31" s="109"/>
      <c r="C31" s="110"/>
      <c r="D31" s="110"/>
      <c r="E31" s="110"/>
      <c r="F31" s="110"/>
      <c r="G31" s="117"/>
      <c r="H31" s="111"/>
      <c r="I31" s="117"/>
      <c r="J31" s="695" t="s">
        <v>1666</v>
      </c>
      <c r="K31" s="152"/>
      <c r="L31" s="152"/>
      <c r="M31" s="152"/>
      <c r="N31" s="152"/>
      <c r="O31" s="152"/>
      <c r="P31" s="152"/>
      <c r="Q31" s="153"/>
      <c r="R31" s="696" t="s">
        <v>2</v>
      </c>
      <c r="S31" s="155"/>
      <c r="T31" s="155"/>
      <c r="U31" s="155"/>
      <c r="V31" s="156"/>
      <c r="W31" s="222"/>
      <c r="X31" s="117"/>
      <c r="Y31" s="695" t="s">
        <v>1666</v>
      </c>
      <c r="Z31" s="152"/>
      <c r="AA31" s="152"/>
      <c r="AB31" s="152"/>
      <c r="AC31" s="152"/>
      <c r="AD31" s="152"/>
      <c r="AE31" s="152"/>
      <c r="AF31" s="153"/>
      <c r="AG31" s="696" t="s">
        <v>2</v>
      </c>
      <c r="AH31" s="155"/>
      <c r="AI31" s="155"/>
      <c r="AJ31" s="155"/>
      <c r="AK31" s="156"/>
      <c r="AL31" s="222"/>
      <c r="AM31" s="117"/>
      <c r="AN31" s="151" t="s">
        <v>1666</v>
      </c>
      <c r="AO31" s="152"/>
      <c r="AP31" s="152"/>
      <c r="AQ31" s="152"/>
      <c r="AR31" s="152"/>
      <c r="AS31" s="153"/>
      <c r="AT31" s="222"/>
      <c r="AU31" s="223" t="s">
        <v>2840</v>
      </c>
      <c r="AV31" s="203"/>
      <c r="AW31" s="224" t="s">
        <v>2841</v>
      </c>
      <c r="AX31" s="204"/>
    </row>
    <row r="32" spans="1:50" s="98" customFormat="1" ht="15" customHeight="1">
      <c r="A32" s="99"/>
      <c r="B32" s="115"/>
      <c r="C32" s="116"/>
      <c r="D32" s="116"/>
      <c r="E32" s="116"/>
      <c r="F32" s="116"/>
      <c r="G32" s="117"/>
      <c r="H32" s="117"/>
      <c r="I32" s="119" t="s">
        <v>1667</v>
      </c>
      <c r="J32" s="158" t="s">
        <v>453</v>
      </c>
      <c r="K32" s="137" t="s">
        <v>455</v>
      </c>
      <c r="L32" s="137" t="s">
        <v>457</v>
      </c>
      <c r="M32" s="137" t="s">
        <v>459</v>
      </c>
      <c r="N32" s="137" t="s">
        <v>461</v>
      </c>
      <c r="O32" s="137" t="s">
        <v>463</v>
      </c>
      <c r="P32" s="137" t="s">
        <v>465</v>
      </c>
      <c r="Q32" s="138" t="s">
        <v>467</v>
      </c>
      <c r="R32" s="120" t="s">
        <v>469</v>
      </c>
      <c r="S32" s="121" t="s">
        <v>471</v>
      </c>
      <c r="T32" s="121" t="s">
        <v>473</v>
      </c>
      <c r="U32" s="121" t="s">
        <v>475</v>
      </c>
      <c r="V32" s="122" t="s">
        <v>477</v>
      </c>
      <c r="W32" s="185"/>
      <c r="X32" s="119" t="s">
        <v>1667</v>
      </c>
      <c r="Y32" s="158" t="s">
        <v>453</v>
      </c>
      <c r="Z32" s="137" t="s">
        <v>455</v>
      </c>
      <c r="AA32" s="137" t="s">
        <v>457</v>
      </c>
      <c r="AB32" s="137" t="s">
        <v>459</v>
      </c>
      <c r="AC32" s="137" t="s">
        <v>461</v>
      </c>
      <c r="AD32" s="137" t="s">
        <v>463</v>
      </c>
      <c r="AE32" s="137" t="s">
        <v>465</v>
      </c>
      <c r="AF32" s="138" t="s">
        <v>467</v>
      </c>
      <c r="AG32" s="120" t="s">
        <v>469</v>
      </c>
      <c r="AH32" s="121" t="s">
        <v>471</v>
      </c>
      <c r="AI32" s="121" t="s">
        <v>473</v>
      </c>
      <c r="AJ32" s="121" t="s">
        <v>475</v>
      </c>
      <c r="AK32" s="122" t="s">
        <v>477</v>
      </c>
      <c r="AL32" s="185"/>
      <c r="AM32" s="119" t="s">
        <v>1667</v>
      </c>
      <c r="AN32" s="158" t="s">
        <v>453</v>
      </c>
      <c r="AO32" s="137" t="s">
        <v>455</v>
      </c>
      <c r="AP32" s="137" t="s">
        <v>457</v>
      </c>
      <c r="AQ32" s="137" t="s">
        <v>459</v>
      </c>
      <c r="AR32" s="137" t="s">
        <v>461</v>
      </c>
      <c r="AS32" s="138" t="s">
        <v>463</v>
      </c>
      <c r="AT32" s="185"/>
      <c r="AU32" s="225" t="s">
        <v>1667</v>
      </c>
      <c r="AV32" s="206" t="s">
        <v>2142</v>
      </c>
      <c r="AW32" s="226" t="s">
        <v>1667</v>
      </c>
      <c r="AX32" s="207" t="s">
        <v>2142</v>
      </c>
    </row>
    <row r="33" spans="1:51" s="98" customFormat="1" ht="15" customHeight="1">
      <c r="A33" s="99"/>
      <c r="B33" s="161"/>
      <c r="C33" s="180" t="s">
        <v>2856</v>
      </c>
      <c r="D33" s="162"/>
      <c r="E33" s="162"/>
      <c r="F33" s="162"/>
      <c r="G33" s="163"/>
      <c r="H33" s="163"/>
      <c r="I33" s="117"/>
      <c r="J33" s="159"/>
      <c r="K33" s="117"/>
      <c r="L33" s="117"/>
      <c r="M33" s="117"/>
      <c r="N33" s="117"/>
      <c r="O33" s="117"/>
      <c r="P33" s="117"/>
      <c r="Q33" s="160"/>
      <c r="R33" s="159"/>
      <c r="S33" s="117"/>
      <c r="T33" s="117"/>
      <c r="U33" s="117"/>
      <c r="V33" s="160"/>
      <c r="W33" s="185"/>
      <c r="X33" s="117"/>
      <c r="Y33" s="159"/>
      <c r="Z33" s="117"/>
      <c r="AA33" s="117"/>
      <c r="AB33" s="117"/>
      <c r="AC33" s="117"/>
      <c r="AD33" s="117"/>
      <c r="AE33" s="117"/>
      <c r="AF33" s="160"/>
      <c r="AG33" s="159"/>
      <c r="AH33" s="117"/>
      <c r="AI33" s="117"/>
      <c r="AJ33" s="117"/>
      <c r="AK33" s="160"/>
      <c r="AL33" s="185"/>
      <c r="AM33" s="117"/>
      <c r="AN33" s="159"/>
      <c r="AO33" s="117"/>
      <c r="AP33" s="117"/>
      <c r="AQ33" s="117"/>
      <c r="AR33" s="117"/>
      <c r="AS33" s="160"/>
      <c r="AT33" s="185"/>
      <c r="AU33" s="185"/>
      <c r="AV33" s="185"/>
      <c r="AW33" s="185"/>
      <c r="AX33" s="215"/>
    </row>
    <row r="34" spans="1:51" s="98" customFormat="1" ht="15" customHeight="1">
      <c r="A34" s="99"/>
      <c r="B34" s="161"/>
      <c r="C34" s="185"/>
      <c r="D34" s="162" t="s">
        <v>1809</v>
      </c>
      <c r="E34" s="162"/>
      <c r="F34" s="162"/>
      <c r="G34" s="163"/>
      <c r="H34" s="163"/>
      <c r="I34" s="164" t="s">
        <v>1876</v>
      </c>
      <c r="J34" s="165">
        <v>0</v>
      </c>
      <c r="K34" s="166">
        <v>0</v>
      </c>
      <c r="L34" s="166">
        <v>1</v>
      </c>
      <c r="M34" s="166">
        <v>0</v>
      </c>
      <c r="N34" s="166">
        <v>0</v>
      </c>
      <c r="O34" s="166">
        <v>0</v>
      </c>
      <c r="P34" s="166">
        <v>0</v>
      </c>
      <c r="Q34" s="167">
        <v>0</v>
      </c>
      <c r="R34" s="165">
        <v>0</v>
      </c>
      <c r="S34" s="166">
        <v>0</v>
      </c>
      <c r="T34" s="166">
        <v>0</v>
      </c>
      <c r="U34" s="166">
        <v>0</v>
      </c>
      <c r="V34" s="167">
        <v>0</v>
      </c>
      <c r="W34" s="886"/>
      <c r="X34" s="1097" t="s">
        <v>1876</v>
      </c>
      <c r="Y34" s="165">
        <v>0</v>
      </c>
      <c r="Z34" s="166">
        <v>0</v>
      </c>
      <c r="AA34" s="166">
        <v>-1</v>
      </c>
      <c r="AB34" s="166">
        <v>0</v>
      </c>
      <c r="AC34" s="166">
        <v>0</v>
      </c>
      <c r="AD34" s="166">
        <v>0</v>
      </c>
      <c r="AE34" s="166">
        <v>0</v>
      </c>
      <c r="AF34" s="167">
        <v>0</v>
      </c>
      <c r="AG34" s="165">
        <v>0</v>
      </c>
      <c r="AH34" s="166">
        <v>0</v>
      </c>
      <c r="AI34" s="166">
        <v>0</v>
      </c>
      <c r="AJ34" s="166">
        <v>0</v>
      </c>
      <c r="AK34" s="167">
        <v>0</v>
      </c>
      <c r="AL34" s="886"/>
      <c r="AM34" s="1097" t="s">
        <v>1876</v>
      </c>
      <c r="AN34" s="165">
        <v>0</v>
      </c>
      <c r="AO34" s="166">
        <v>0</v>
      </c>
      <c r="AP34" s="166">
        <v>0</v>
      </c>
      <c r="AQ34" s="166">
        <v>0</v>
      </c>
      <c r="AR34" s="166">
        <v>0</v>
      </c>
      <c r="AS34" s="167">
        <v>0</v>
      </c>
      <c r="AT34" s="185"/>
      <c r="AU34" s="164" t="s">
        <v>1876</v>
      </c>
      <c r="AV34" s="166">
        <v>23</v>
      </c>
      <c r="AW34" s="1097" t="s">
        <v>1876</v>
      </c>
      <c r="AX34" s="130">
        <f>SUM(AV34,J34:N34,Y34:AC34,AN34:AR34)</f>
        <v>23</v>
      </c>
    </row>
    <row r="35" spans="1:51" s="98" customFormat="1" ht="15" customHeight="1">
      <c r="A35" s="99"/>
      <c r="B35" s="161"/>
      <c r="C35" s="185"/>
      <c r="D35" s="162" t="s">
        <v>2857</v>
      </c>
      <c r="E35" s="162"/>
      <c r="F35" s="162"/>
      <c r="G35" s="163"/>
      <c r="H35" s="163"/>
      <c r="I35" s="164" t="s">
        <v>1876</v>
      </c>
      <c r="J35" s="165">
        <v>0</v>
      </c>
      <c r="K35" s="166">
        <v>0</v>
      </c>
      <c r="L35" s="166">
        <v>2</v>
      </c>
      <c r="M35" s="166">
        <v>0</v>
      </c>
      <c r="N35" s="166">
        <v>0</v>
      </c>
      <c r="O35" s="166">
        <v>0</v>
      </c>
      <c r="P35" s="166">
        <v>2</v>
      </c>
      <c r="Q35" s="167">
        <v>0</v>
      </c>
      <c r="R35" s="165">
        <v>1</v>
      </c>
      <c r="S35" s="166">
        <v>1</v>
      </c>
      <c r="T35" s="166">
        <v>1</v>
      </c>
      <c r="U35" s="166">
        <v>1</v>
      </c>
      <c r="V35" s="167">
        <v>1</v>
      </c>
      <c r="W35" s="886"/>
      <c r="X35" s="1097" t="s">
        <v>1876</v>
      </c>
      <c r="Y35" s="165">
        <v>0</v>
      </c>
      <c r="Z35" s="166">
        <v>0</v>
      </c>
      <c r="AA35" s="166">
        <v>0</v>
      </c>
      <c r="AB35" s="166">
        <v>0</v>
      </c>
      <c r="AC35" s="166">
        <v>0</v>
      </c>
      <c r="AD35" s="166">
        <v>0</v>
      </c>
      <c r="AE35" s="166">
        <v>0</v>
      </c>
      <c r="AF35" s="167">
        <v>0</v>
      </c>
      <c r="AG35" s="165">
        <v>0</v>
      </c>
      <c r="AH35" s="166">
        <v>0</v>
      </c>
      <c r="AI35" s="166">
        <v>0</v>
      </c>
      <c r="AJ35" s="166">
        <v>0</v>
      </c>
      <c r="AK35" s="167">
        <v>0</v>
      </c>
      <c r="AL35" s="886"/>
      <c r="AM35" s="1097" t="s">
        <v>1876</v>
      </c>
      <c r="AN35" s="165">
        <v>0</v>
      </c>
      <c r="AO35" s="166">
        <v>0</v>
      </c>
      <c r="AP35" s="166">
        <v>0</v>
      </c>
      <c r="AQ35" s="166">
        <v>0</v>
      </c>
      <c r="AR35" s="166">
        <v>0</v>
      </c>
      <c r="AS35" s="167">
        <v>0</v>
      </c>
      <c r="AT35" s="185"/>
      <c r="AU35" s="164" t="s">
        <v>1876</v>
      </c>
      <c r="AV35" s="166">
        <v>0</v>
      </c>
      <c r="AW35" s="1097" t="s">
        <v>1876</v>
      </c>
      <c r="AX35" s="130">
        <f>SUM(AV35,J35:N35,Y35:AC35,AN35:AR35)</f>
        <v>2</v>
      </c>
    </row>
    <row r="36" spans="1:51" s="98" customFormat="1" ht="15" customHeight="1">
      <c r="A36" s="99"/>
      <c r="B36" s="161"/>
      <c r="C36" s="185"/>
      <c r="D36" s="162" t="s">
        <v>2858</v>
      </c>
      <c r="E36" s="162"/>
      <c r="F36" s="162"/>
      <c r="G36" s="163"/>
      <c r="H36" s="163"/>
      <c r="I36" s="164" t="s">
        <v>1876</v>
      </c>
      <c r="J36" s="165">
        <v>0</v>
      </c>
      <c r="K36" s="166">
        <v>1</v>
      </c>
      <c r="L36" s="166">
        <v>6</v>
      </c>
      <c r="M36" s="166">
        <v>0</v>
      </c>
      <c r="N36" s="166">
        <v>0</v>
      </c>
      <c r="O36" s="166">
        <v>0</v>
      </c>
      <c r="P36" s="166">
        <v>5</v>
      </c>
      <c r="Q36" s="167">
        <v>1</v>
      </c>
      <c r="R36" s="165">
        <v>1</v>
      </c>
      <c r="S36" s="166">
        <v>1</v>
      </c>
      <c r="T36" s="166">
        <v>1</v>
      </c>
      <c r="U36" s="166">
        <v>1</v>
      </c>
      <c r="V36" s="167">
        <v>1</v>
      </c>
      <c r="W36" s="886"/>
      <c r="X36" s="1097" t="s">
        <v>1876</v>
      </c>
      <c r="Y36" s="165">
        <v>0</v>
      </c>
      <c r="Z36" s="166">
        <v>0</v>
      </c>
      <c r="AA36" s="166">
        <v>0</v>
      </c>
      <c r="AB36" s="166">
        <v>0</v>
      </c>
      <c r="AC36" s="166">
        <v>0</v>
      </c>
      <c r="AD36" s="166">
        <v>0</v>
      </c>
      <c r="AE36" s="166">
        <v>0</v>
      </c>
      <c r="AF36" s="167">
        <v>0</v>
      </c>
      <c r="AG36" s="165">
        <v>0</v>
      </c>
      <c r="AH36" s="166">
        <v>0</v>
      </c>
      <c r="AI36" s="166">
        <v>0</v>
      </c>
      <c r="AJ36" s="166">
        <v>0</v>
      </c>
      <c r="AK36" s="167">
        <v>0</v>
      </c>
      <c r="AL36" s="886"/>
      <c r="AM36" s="1097" t="s">
        <v>1876</v>
      </c>
      <c r="AN36" s="165">
        <v>0</v>
      </c>
      <c r="AO36" s="166">
        <v>0</v>
      </c>
      <c r="AP36" s="166">
        <v>0</v>
      </c>
      <c r="AQ36" s="166">
        <v>0</v>
      </c>
      <c r="AR36" s="166">
        <v>0</v>
      </c>
      <c r="AS36" s="167">
        <v>0</v>
      </c>
      <c r="AT36" s="185"/>
      <c r="AU36" s="164" t="s">
        <v>1876</v>
      </c>
      <c r="AV36" s="166">
        <v>0</v>
      </c>
      <c r="AW36" s="1097" t="s">
        <v>1876</v>
      </c>
      <c r="AX36" s="130">
        <f t="shared" ref="AX36:AX38" si="21">SUM(AV36,J36:N36,Y36:AC36,AN36:AR36)</f>
        <v>7</v>
      </c>
    </row>
    <row r="37" spans="1:51" s="98" customFormat="1" ht="15" customHeight="1">
      <c r="A37" s="99"/>
      <c r="B37" s="161"/>
      <c r="C37" s="185"/>
      <c r="D37" s="162" t="s">
        <v>1825</v>
      </c>
      <c r="E37" s="162"/>
      <c r="F37" s="162"/>
      <c r="G37" s="163"/>
      <c r="H37" s="163"/>
      <c r="I37" s="164" t="s">
        <v>1876</v>
      </c>
      <c r="J37" s="165">
        <v>0</v>
      </c>
      <c r="K37" s="166">
        <v>0</v>
      </c>
      <c r="L37" s="166">
        <v>1</v>
      </c>
      <c r="M37" s="166">
        <v>0</v>
      </c>
      <c r="N37" s="166">
        <v>0</v>
      </c>
      <c r="O37" s="166">
        <v>2</v>
      </c>
      <c r="P37" s="166">
        <v>0</v>
      </c>
      <c r="Q37" s="167">
        <v>0</v>
      </c>
      <c r="R37" s="165">
        <v>0</v>
      </c>
      <c r="S37" s="166">
        <v>0</v>
      </c>
      <c r="T37" s="166">
        <v>0</v>
      </c>
      <c r="U37" s="166">
        <v>0</v>
      </c>
      <c r="V37" s="167">
        <v>0</v>
      </c>
      <c r="W37" s="886"/>
      <c r="X37" s="1097" t="s">
        <v>1876</v>
      </c>
      <c r="Y37" s="165">
        <v>-1</v>
      </c>
      <c r="Z37" s="166">
        <v>0</v>
      </c>
      <c r="AA37" s="166">
        <v>-3</v>
      </c>
      <c r="AB37" s="166">
        <v>0</v>
      </c>
      <c r="AC37" s="166">
        <v>0</v>
      </c>
      <c r="AD37" s="166">
        <v>-2</v>
      </c>
      <c r="AE37" s="166">
        <v>0</v>
      </c>
      <c r="AF37" s="167">
        <v>0</v>
      </c>
      <c r="AG37" s="165">
        <v>0</v>
      </c>
      <c r="AH37" s="166">
        <v>0</v>
      </c>
      <c r="AI37" s="166">
        <v>0</v>
      </c>
      <c r="AJ37" s="166">
        <v>0</v>
      </c>
      <c r="AK37" s="167">
        <v>0</v>
      </c>
      <c r="AL37" s="886"/>
      <c r="AM37" s="1097" t="s">
        <v>1876</v>
      </c>
      <c r="AN37" s="165">
        <v>4</v>
      </c>
      <c r="AO37" s="166">
        <v>1</v>
      </c>
      <c r="AP37" s="166">
        <v>0</v>
      </c>
      <c r="AQ37" s="166">
        <v>0</v>
      </c>
      <c r="AR37" s="166">
        <v>1</v>
      </c>
      <c r="AS37" s="167">
        <v>0</v>
      </c>
      <c r="AT37" s="185"/>
      <c r="AU37" s="164" t="s">
        <v>1876</v>
      </c>
      <c r="AV37" s="166">
        <v>175</v>
      </c>
      <c r="AW37" s="1097" t="s">
        <v>1876</v>
      </c>
      <c r="AX37" s="130">
        <f t="shared" si="21"/>
        <v>178</v>
      </c>
    </row>
    <row r="38" spans="1:51" s="98" customFormat="1" ht="15" customHeight="1">
      <c r="A38" s="99"/>
      <c r="B38" s="181"/>
      <c r="C38" s="185"/>
      <c r="D38" s="162" t="s">
        <v>2859</v>
      </c>
      <c r="E38" s="182"/>
      <c r="F38" s="182"/>
      <c r="G38" s="184"/>
      <c r="H38" s="184"/>
      <c r="I38" s="164" t="s">
        <v>1876</v>
      </c>
      <c r="J38" s="165"/>
      <c r="K38" s="166">
        <v>1</v>
      </c>
      <c r="L38" s="166">
        <v>2</v>
      </c>
      <c r="M38" s="166">
        <v>0</v>
      </c>
      <c r="N38" s="166">
        <v>0</v>
      </c>
      <c r="O38" s="166">
        <v>0</v>
      </c>
      <c r="P38" s="166">
        <v>0</v>
      </c>
      <c r="Q38" s="167">
        <v>0</v>
      </c>
      <c r="R38" s="165">
        <v>0</v>
      </c>
      <c r="S38" s="166">
        <v>0</v>
      </c>
      <c r="T38" s="166">
        <v>0</v>
      </c>
      <c r="U38" s="166">
        <v>0</v>
      </c>
      <c r="V38" s="167">
        <v>0</v>
      </c>
      <c r="W38" s="886"/>
      <c r="X38" s="1097" t="s">
        <v>1876</v>
      </c>
      <c r="Y38" s="165">
        <v>0</v>
      </c>
      <c r="Z38" s="166">
        <v>0</v>
      </c>
      <c r="AA38" s="166">
        <v>0</v>
      </c>
      <c r="AB38" s="166">
        <v>0</v>
      </c>
      <c r="AC38" s="166">
        <v>0</v>
      </c>
      <c r="AD38" s="166">
        <v>0</v>
      </c>
      <c r="AE38" s="166">
        <v>0</v>
      </c>
      <c r="AF38" s="167">
        <v>0</v>
      </c>
      <c r="AG38" s="165">
        <v>0</v>
      </c>
      <c r="AH38" s="166">
        <v>0</v>
      </c>
      <c r="AI38" s="166">
        <v>0</v>
      </c>
      <c r="AJ38" s="166">
        <v>0</v>
      </c>
      <c r="AK38" s="167">
        <v>0</v>
      </c>
      <c r="AL38" s="886"/>
      <c r="AM38" s="1097" t="s">
        <v>1876</v>
      </c>
      <c r="AN38" s="165">
        <v>0</v>
      </c>
      <c r="AO38" s="166">
        <v>0</v>
      </c>
      <c r="AP38" s="166">
        <v>0</v>
      </c>
      <c r="AQ38" s="166">
        <v>0</v>
      </c>
      <c r="AR38" s="166">
        <v>0</v>
      </c>
      <c r="AS38" s="167">
        <v>0</v>
      </c>
      <c r="AT38" s="185"/>
      <c r="AU38" s="164" t="s">
        <v>1876</v>
      </c>
      <c r="AV38" s="166">
        <v>69</v>
      </c>
      <c r="AW38" s="1097" t="s">
        <v>1876</v>
      </c>
      <c r="AX38" s="130">
        <f t="shared" si="21"/>
        <v>72</v>
      </c>
    </row>
    <row r="39" spans="1:51" s="98" customFormat="1" ht="15" customHeight="1" thickBot="1">
      <c r="A39" s="99"/>
      <c r="B39" s="131" t="s">
        <v>1701</v>
      </c>
      <c r="C39" s="132"/>
      <c r="D39" s="132"/>
      <c r="E39" s="132"/>
      <c r="F39" s="132"/>
      <c r="G39" s="145"/>
      <c r="H39" s="133"/>
      <c r="I39" s="195" t="s">
        <v>1876</v>
      </c>
      <c r="J39" s="873">
        <f>SUM(J34:J38)</f>
        <v>0</v>
      </c>
      <c r="K39" s="781">
        <f t="shared" ref="K39:V39" si="22">SUM(K34:K38)</f>
        <v>2</v>
      </c>
      <c r="L39" s="781">
        <f t="shared" si="22"/>
        <v>12</v>
      </c>
      <c r="M39" s="781">
        <f t="shared" si="22"/>
        <v>0</v>
      </c>
      <c r="N39" s="781">
        <f t="shared" si="22"/>
        <v>0</v>
      </c>
      <c r="O39" s="781">
        <f t="shared" si="22"/>
        <v>2</v>
      </c>
      <c r="P39" s="781">
        <f t="shared" si="22"/>
        <v>7</v>
      </c>
      <c r="Q39" s="874">
        <f t="shared" si="22"/>
        <v>1</v>
      </c>
      <c r="R39" s="873">
        <f t="shared" si="22"/>
        <v>2</v>
      </c>
      <c r="S39" s="781">
        <f t="shared" si="22"/>
        <v>2</v>
      </c>
      <c r="T39" s="781">
        <f t="shared" si="22"/>
        <v>2</v>
      </c>
      <c r="U39" s="781">
        <f t="shared" si="22"/>
        <v>2</v>
      </c>
      <c r="V39" s="874">
        <f t="shared" si="22"/>
        <v>2</v>
      </c>
      <c r="W39" s="1098"/>
      <c r="X39" s="1102" t="s">
        <v>1876</v>
      </c>
      <c r="Y39" s="873">
        <f>SUM(Y34:Y38)</f>
        <v>-1</v>
      </c>
      <c r="Z39" s="781">
        <f t="shared" ref="Z39" si="23">SUM(Z34:Z38)</f>
        <v>0</v>
      </c>
      <c r="AA39" s="781">
        <f t="shared" ref="AA39" si="24">SUM(AA34:AA38)</f>
        <v>-4</v>
      </c>
      <c r="AB39" s="781">
        <f t="shared" ref="AB39" si="25">SUM(AB34:AB38)</f>
        <v>0</v>
      </c>
      <c r="AC39" s="781">
        <f t="shared" ref="AC39" si="26">SUM(AC34:AC38)</f>
        <v>0</v>
      </c>
      <c r="AD39" s="781">
        <f t="shared" ref="AD39" si="27">SUM(AD34:AD38)</f>
        <v>-2</v>
      </c>
      <c r="AE39" s="781">
        <f t="shared" ref="AE39" si="28">SUM(AE34:AE38)</f>
        <v>0</v>
      </c>
      <c r="AF39" s="874">
        <f t="shared" ref="AF39" si="29">SUM(AF34:AF38)</f>
        <v>0</v>
      </c>
      <c r="AG39" s="873">
        <f t="shared" ref="AG39" si="30">SUM(AG34:AG38)</f>
        <v>0</v>
      </c>
      <c r="AH39" s="781">
        <f t="shared" ref="AH39" si="31">SUM(AH34:AH38)</f>
        <v>0</v>
      </c>
      <c r="AI39" s="781">
        <f t="shared" ref="AI39" si="32">SUM(AI34:AI38)</f>
        <v>0</v>
      </c>
      <c r="AJ39" s="781">
        <f t="shared" ref="AJ39" si="33">SUM(AJ34:AJ38)</f>
        <v>0</v>
      </c>
      <c r="AK39" s="874">
        <f t="shared" ref="AK39" si="34">SUM(AK34:AK38)</f>
        <v>0</v>
      </c>
      <c r="AL39" s="1098"/>
      <c r="AM39" s="1102" t="s">
        <v>1876</v>
      </c>
      <c r="AN39" s="873">
        <f>SUM(AN34:AN38)</f>
        <v>4</v>
      </c>
      <c r="AO39" s="781">
        <f t="shared" ref="AO39" si="35">SUM(AO34:AO38)</f>
        <v>1</v>
      </c>
      <c r="AP39" s="781">
        <f t="shared" ref="AP39" si="36">SUM(AP34:AP38)</f>
        <v>0</v>
      </c>
      <c r="AQ39" s="781">
        <f t="shared" ref="AQ39" si="37">SUM(AQ34:AQ38)</f>
        <v>0</v>
      </c>
      <c r="AR39" s="781">
        <f t="shared" ref="AR39:AS39" si="38">SUM(AR34:AR38)</f>
        <v>1</v>
      </c>
      <c r="AS39" s="874">
        <f t="shared" si="38"/>
        <v>0</v>
      </c>
      <c r="AT39" s="192"/>
      <c r="AU39" s="195" t="s">
        <v>1876</v>
      </c>
      <c r="AV39" s="781">
        <f>SUM(AV34:AV38)</f>
        <v>267</v>
      </c>
      <c r="AW39" s="1102" t="s">
        <v>1876</v>
      </c>
      <c r="AX39" s="874">
        <f>SUM(AX34:AX38)</f>
        <v>282</v>
      </c>
    </row>
    <row r="40" spans="1:51" s="99" customFormat="1" ht="15" customHeight="1">
      <c r="B40" s="150"/>
      <c r="C40" s="150"/>
      <c r="D40" s="150"/>
      <c r="E40" s="150"/>
      <c r="F40" s="150"/>
      <c r="G40" s="97"/>
      <c r="H40" s="97"/>
      <c r="I40" s="2607"/>
      <c r="J40" s="98"/>
      <c r="K40" s="98"/>
      <c r="L40" s="98"/>
      <c r="M40" s="98"/>
      <c r="N40" s="98"/>
      <c r="O40" s="98"/>
      <c r="P40" s="2605"/>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V40" s="98"/>
      <c r="AX40" s="173"/>
      <c r="AY40" s="98"/>
    </row>
    <row r="41" spans="1:51">
      <c r="J41" s="2514"/>
      <c r="K41" s="2514"/>
      <c r="L41" s="2514"/>
      <c r="M41" s="2514"/>
      <c r="N41" s="2514"/>
      <c r="O41" s="2514"/>
    </row>
    <row r="47" spans="1:51">
      <c r="C47" s="175"/>
    </row>
    <row r="49" spans="7:39">
      <c r="I49" s="173"/>
      <c r="X49" s="173"/>
      <c r="AM49" s="173"/>
    </row>
    <row r="51" spans="7:39">
      <c r="G51" s="1133"/>
    </row>
    <row r="52" spans="7:39">
      <c r="G52" s="1133"/>
    </row>
    <row r="53" spans="7:39">
      <c r="G53" s="1133"/>
    </row>
    <row r="54" spans="7:39">
      <c r="G54" s="1133"/>
    </row>
    <row r="55" spans="7:39">
      <c r="G55" s="1133"/>
    </row>
    <row r="56" spans="7:39">
      <c r="G56" s="1133"/>
    </row>
    <row r="60" spans="7:39">
      <c r="G60" s="1133"/>
    </row>
    <row r="61" spans="7:39">
      <c r="G61" s="1133"/>
    </row>
    <row r="62" spans="7:39">
      <c r="G62" s="1133"/>
    </row>
    <row r="63" spans="7:39">
      <c r="G63" s="1133"/>
    </row>
    <row r="67" spans="7:7">
      <c r="G67" s="1133"/>
    </row>
    <row r="68" spans="7:7">
      <c r="G68" s="1133"/>
    </row>
    <row r="69" spans="7:7">
      <c r="G69" s="1133"/>
    </row>
    <row r="70" spans="7:7">
      <c r="G70" s="1133"/>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tabColor rgb="FF00B050"/>
  </sheetPr>
  <dimension ref="A1:BJ293"/>
  <sheetViews>
    <sheetView showGridLines="0" topLeftCell="A184" zoomScale="60" zoomScaleNormal="60" workbookViewId="0">
      <pane xSplit="7" topLeftCell="AK1" activePane="topRight" state="frozen"/>
      <selection activeCell="G14" sqref="G14"/>
      <selection pane="topRight" activeCell="BB211" sqref="BB211"/>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5" customWidth="1"/>
    <col min="25" max="37" width="15.625" style="173" customWidth="1"/>
    <col min="38" max="38" width="5.625" style="173" customWidth="1"/>
    <col min="39" max="39" width="15.625" style="175" customWidth="1"/>
    <col min="40" max="45" width="15.625" style="173" customWidth="1"/>
    <col min="46" max="46" width="5.625" style="173" customWidth="1"/>
    <col min="47" max="50" width="15.625" style="173" customWidth="1"/>
    <col min="51" max="51" width="11.875" style="173" customWidth="1"/>
    <col min="52" max="52" width="11.875" style="173"/>
    <col min="53" max="53" width="11.875" style="175"/>
    <col min="54" max="16384" width="11.875" style="173"/>
  </cols>
  <sheetData>
    <row r="1" spans="1:62" s="2" customFormat="1" ht="25.15" customHeight="1">
      <c r="A1" s="1" t="s">
        <v>0</v>
      </c>
      <c r="E1" s="3"/>
      <c r="H1" s="4" t="s">
        <v>1</v>
      </c>
      <c r="J1" s="3"/>
    </row>
    <row r="2" spans="1:62" s="2" customFormat="1" ht="25.15" customHeight="1">
      <c r="A2" s="5" t="str">
        <f>Fixed_Data!I12</f>
        <v>MASTER</v>
      </c>
      <c r="B2" s="6"/>
      <c r="D2" s="7"/>
      <c r="E2" s="3"/>
    </row>
    <row r="3" spans="1:62" s="9" customFormat="1" ht="25.15" customHeight="1" thickBot="1">
      <c r="A3" s="8" t="str">
        <f>Fixed_Data!A3</f>
        <v>RIIO-GD2</v>
      </c>
      <c r="D3" s="10"/>
      <c r="E3" s="11"/>
    </row>
    <row r="4" spans="1:62" s="89" customFormat="1" ht="25.15" customHeight="1">
      <c r="B4" s="90" t="s">
        <v>2860</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3"/>
      <c r="AN4" s="94"/>
      <c r="AO4" s="94"/>
      <c r="AP4" s="94"/>
      <c r="AQ4" s="94"/>
      <c r="AR4" s="94"/>
      <c r="AS4" s="94"/>
      <c r="AT4" s="92"/>
      <c r="AU4" s="92"/>
      <c r="AV4" s="92"/>
      <c r="AW4" s="92"/>
      <c r="AX4" s="92"/>
      <c r="AY4" s="92"/>
      <c r="AZ4" s="92"/>
      <c r="BA4" s="92"/>
      <c r="BB4" s="92"/>
      <c r="BC4" s="92"/>
      <c r="BD4" s="94"/>
      <c r="BE4" s="92"/>
      <c r="BF4" s="92"/>
      <c r="BG4" s="92"/>
      <c r="BH4" s="92"/>
      <c r="BI4" s="92"/>
      <c r="BJ4" s="92"/>
    </row>
    <row r="5" spans="1:62" s="89" customFormat="1" ht="25.15" customHeight="1">
      <c r="B5" s="95"/>
      <c r="C5" s="95"/>
      <c r="D5" s="95"/>
      <c r="E5" s="95"/>
      <c r="F5" s="95"/>
      <c r="G5" s="95"/>
      <c r="H5" s="95"/>
      <c r="I5" s="93"/>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3"/>
      <c r="AN5" s="94"/>
      <c r="AO5" s="94"/>
      <c r="AP5" s="94"/>
      <c r="AQ5" s="94"/>
      <c r="AR5" s="94"/>
      <c r="AS5" s="94"/>
      <c r="AT5" s="92"/>
      <c r="AU5" s="92"/>
      <c r="AV5" s="92"/>
      <c r="AW5" s="92"/>
      <c r="AX5" s="92"/>
      <c r="AY5" s="92"/>
      <c r="AZ5" s="92"/>
      <c r="BA5" s="92"/>
      <c r="BB5" s="92"/>
      <c r="BC5" s="92"/>
      <c r="BD5" s="94"/>
      <c r="BE5" s="92"/>
      <c r="BF5" s="92"/>
      <c r="BG5" s="92"/>
      <c r="BH5" s="92"/>
      <c r="BI5" s="92"/>
      <c r="BJ5" s="92"/>
    </row>
    <row r="6" spans="1:62"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3"/>
      <c r="AN6" s="94"/>
      <c r="AO6" s="94"/>
      <c r="AP6" s="94"/>
      <c r="AQ6" s="94"/>
      <c r="AR6" s="94"/>
      <c r="AS6" s="94"/>
      <c r="AT6" s="92"/>
      <c r="AU6" s="92"/>
      <c r="AV6" s="92"/>
      <c r="AW6" s="92"/>
      <c r="AX6" s="92"/>
      <c r="AY6" s="92"/>
      <c r="AZ6" s="92"/>
      <c r="BA6" s="92"/>
      <c r="BB6" s="92"/>
      <c r="BC6" s="92"/>
      <c r="BD6" s="94"/>
      <c r="BE6" s="92"/>
      <c r="BF6" s="92"/>
      <c r="BG6" s="92"/>
      <c r="BH6" s="92"/>
      <c r="BI6" s="92"/>
      <c r="BJ6" s="92"/>
    </row>
    <row r="7" spans="1:62" s="89" customFormat="1" ht="15" customHeight="1" thickBot="1">
      <c r="B7" s="95"/>
      <c r="C7" s="95"/>
      <c r="D7" s="95"/>
      <c r="E7" s="95"/>
      <c r="F7" s="95"/>
      <c r="G7" s="95"/>
      <c r="H7" s="95"/>
      <c r="I7" s="93"/>
      <c r="J7" s="94"/>
      <c r="K7" s="94"/>
      <c r="L7" s="94"/>
      <c r="M7" s="94"/>
      <c r="N7" s="94"/>
      <c r="O7" s="94"/>
      <c r="P7" s="94"/>
      <c r="Q7" s="94"/>
      <c r="R7" s="92"/>
      <c r="S7" s="92"/>
      <c r="T7" s="92"/>
      <c r="U7" s="92"/>
      <c r="V7" s="92"/>
      <c r="W7" s="92"/>
      <c r="X7" s="93"/>
      <c r="Y7" s="94"/>
      <c r="Z7" s="94"/>
      <c r="AA7" s="94"/>
      <c r="AB7" s="94"/>
      <c r="AC7" s="94"/>
      <c r="AD7" s="94"/>
      <c r="AE7" s="94"/>
      <c r="AF7" s="94"/>
      <c r="AG7" s="92"/>
      <c r="AH7" s="92"/>
      <c r="AI7" s="92"/>
      <c r="AJ7" s="92"/>
      <c r="AK7" s="92"/>
      <c r="AL7" s="92"/>
      <c r="AM7" s="93"/>
      <c r="AN7" s="94"/>
      <c r="AO7" s="94"/>
      <c r="AP7" s="94"/>
      <c r="AQ7" s="94"/>
      <c r="AR7" s="94"/>
      <c r="AS7" s="94"/>
      <c r="AT7" s="92"/>
      <c r="AU7" s="92"/>
      <c r="AV7" s="92"/>
      <c r="AW7" s="92"/>
      <c r="AX7" s="92"/>
      <c r="AY7" s="92"/>
      <c r="AZ7" s="92"/>
      <c r="BA7" s="92"/>
      <c r="BB7" s="92"/>
      <c r="BC7" s="92"/>
      <c r="BD7" s="94"/>
      <c r="BE7" s="92"/>
      <c r="BF7" s="92"/>
      <c r="BG7" s="92"/>
      <c r="BH7" s="92"/>
      <c r="BI7" s="92"/>
      <c r="BJ7" s="92"/>
    </row>
    <row r="8" spans="1:62" s="100" customFormat="1" ht="30" customHeight="1" thickBot="1">
      <c r="A8" s="89"/>
      <c r="B8" s="621" t="s">
        <v>2861</v>
      </c>
      <c r="C8" s="102"/>
      <c r="D8" s="102"/>
      <c r="E8" s="102"/>
      <c r="F8" s="102"/>
      <c r="G8" s="103"/>
      <c r="H8" s="103"/>
      <c r="I8" s="105" t="s">
        <v>2837</v>
      </c>
      <c r="J8" s="106"/>
      <c r="K8" s="106"/>
      <c r="L8" s="106"/>
      <c r="M8" s="106"/>
      <c r="N8" s="106"/>
      <c r="O8" s="106"/>
      <c r="P8" s="106"/>
      <c r="Q8" s="106"/>
      <c r="R8" s="105"/>
      <c r="S8" s="105"/>
      <c r="T8" s="105"/>
      <c r="U8" s="105"/>
      <c r="V8" s="105"/>
      <c r="W8" s="103"/>
      <c r="X8" s="105" t="s">
        <v>2838</v>
      </c>
      <c r="Y8" s="106"/>
      <c r="Z8" s="106"/>
      <c r="AA8" s="106"/>
      <c r="AB8" s="106"/>
      <c r="AC8" s="106"/>
      <c r="AD8" s="106"/>
      <c r="AE8" s="106"/>
      <c r="AF8" s="106"/>
      <c r="AG8" s="105"/>
      <c r="AH8" s="105"/>
      <c r="AI8" s="105"/>
      <c r="AJ8" s="105"/>
      <c r="AK8" s="105"/>
      <c r="AL8" s="103"/>
      <c r="AM8" s="105" t="s">
        <v>2839</v>
      </c>
      <c r="AN8" s="106"/>
      <c r="AO8" s="106"/>
      <c r="AP8" s="106"/>
      <c r="AQ8" s="106"/>
      <c r="AR8" s="106"/>
      <c r="AS8" s="106"/>
      <c r="AT8" s="103"/>
      <c r="AU8" s="218" t="s">
        <v>1925</v>
      </c>
      <c r="AV8" s="219"/>
      <c r="AW8" s="220"/>
      <c r="AX8" s="221"/>
    </row>
    <row r="9" spans="1:62"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c r="W9" s="222"/>
      <c r="X9" s="117"/>
      <c r="Y9" s="695" t="s">
        <v>1666</v>
      </c>
      <c r="Z9" s="152"/>
      <c r="AA9" s="152"/>
      <c r="AB9" s="152"/>
      <c r="AC9" s="152"/>
      <c r="AD9" s="152"/>
      <c r="AE9" s="152"/>
      <c r="AF9" s="153"/>
      <c r="AG9" s="696" t="s">
        <v>2</v>
      </c>
      <c r="AH9" s="155"/>
      <c r="AI9" s="155"/>
      <c r="AJ9" s="155"/>
      <c r="AK9" s="156"/>
      <c r="AL9" s="222"/>
      <c r="AM9" s="117"/>
      <c r="AN9" s="695" t="s">
        <v>1666</v>
      </c>
      <c r="AO9" s="152"/>
      <c r="AP9" s="152"/>
      <c r="AQ9" s="152"/>
      <c r="AR9" s="152"/>
      <c r="AS9" s="153"/>
      <c r="AT9" s="222"/>
      <c r="AU9" s="223" t="s">
        <v>2840</v>
      </c>
      <c r="AV9" s="203"/>
      <c r="AW9" s="883" t="s">
        <v>2841</v>
      </c>
      <c r="AX9" s="884"/>
    </row>
    <row r="10" spans="1:62"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8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185"/>
      <c r="AM10" s="119" t="s">
        <v>1667</v>
      </c>
      <c r="AN10" s="158" t="s">
        <v>453</v>
      </c>
      <c r="AO10" s="137" t="s">
        <v>455</v>
      </c>
      <c r="AP10" s="137" t="s">
        <v>457</v>
      </c>
      <c r="AQ10" s="137" t="s">
        <v>459</v>
      </c>
      <c r="AR10" s="137" t="s">
        <v>461</v>
      </c>
      <c r="AS10" s="138" t="s">
        <v>463</v>
      </c>
      <c r="AT10" s="185"/>
      <c r="AU10" s="225" t="s">
        <v>1667</v>
      </c>
      <c r="AV10" s="206" t="s">
        <v>2142</v>
      </c>
      <c r="AW10" s="226" t="s">
        <v>1667</v>
      </c>
      <c r="AX10" s="207" t="s">
        <v>2142</v>
      </c>
    </row>
    <row r="11" spans="1:62" s="98" customFormat="1" ht="15" customHeight="1">
      <c r="A11" s="99"/>
      <c r="B11" s="161"/>
      <c r="C11" s="180" t="s">
        <v>2842</v>
      </c>
      <c r="D11" s="162"/>
      <c r="E11" s="162"/>
      <c r="F11" s="162"/>
      <c r="G11" s="163"/>
      <c r="H11" s="163"/>
      <c r="I11" s="117"/>
      <c r="J11" s="159"/>
      <c r="K11" s="117"/>
      <c r="L11" s="117"/>
      <c r="M11" s="117"/>
      <c r="N11" s="117"/>
      <c r="O11" s="117"/>
      <c r="P11" s="117"/>
      <c r="Q11" s="160"/>
      <c r="R11" s="159"/>
      <c r="S11" s="117"/>
      <c r="T11" s="117"/>
      <c r="U11" s="117"/>
      <c r="V11" s="160"/>
      <c r="W11" s="185"/>
      <c r="X11" s="117"/>
      <c r="Y11" s="159"/>
      <c r="Z11" s="117"/>
      <c r="AA11" s="117"/>
      <c r="AB11" s="117"/>
      <c r="AC11" s="117"/>
      <c r="AD11" s="117"/>
      <c r="AE11" s="117"/>
      <c r="AF11" s="160"/>
      <c r="AG11" s="159"/>
      <c r="AH11" s="117"/>
      <c r="AI11" s="117"/>
      <c r="AJ11" s="117"/>
      <c r="AK11" s="160"/>
      <c r="AL11" s="185"/>
      <c r="AM11" s="117"/>
      <c r="AN11" s="159"/>
      <c r="AO11" s="117"/>
      <c r="AP11" s="117"/>
      <c r="AQ11" s="117"/>
      <c r="AR11" s="117"/>
      <c r="AS11" s="160"/>
      <c r="AT11" s="185"/>
      <c r="AU11" s="185"/>
      <c r="AV11" s="185"/>
      <c r="AW11" s="185"/>
      <c r="AX11" s="215"/>
    </row>
    <row r="12" spans="1:62" s="98" customFormat="1" ht="15" customHeight="1">
      <c r="A12" s="99"/>
      <c r="B12" s="161"/>
      <c r="C12" s="185"/>
      <c r="D12" s="162" t="s">
        <v>2862</v>
      </c>
      <c r="E12" s="162"/>
      <c r="F12" s="162"/>
      <c r="G12" s="162"/>
      <c r="H12" s="163"/>
      <c r="I12" s="164" t="s">
        <v>2233</v>
      </c>
      <c r="J12" s="128">
        <f>SUMIF($D$23:$D$204,$D12,J$23:J$204)</f>
        <v>360.33928000000009</v>
      </c>
      <c r="K12" s="129">
        <f t="shared" ref="K12:V12" si="0">SUMIF($D$23:$D$204,$D12,K$23:K$204)</f>
        <v>410.01274000000001</v>
      </c>
      <c r="L12" s="129">
        <f t="shared" si="0"/>
        <v>390.28930000000003</v>
      </c>
      <c r="M12" s="129">
        <f t="shared" si="0"/>
        <v>408.89411000000001</v>
      </c>
      <c r="N12" s="129">
        <f t="shared" si="0"/>
        <v>429.16815000000003</v>
      </c>
      <c r="O12" s="129">
        <f t="shared" si="0"/>
        <v>399.46427505043096</v>
      </c>
      <c r="P12" s="129">
        <f t="shared" si="0"/>
        <v>181.88668991360069</v>
      </c>
      <c r="Q12" s="130">
        <f t="shared" si="0"/>
        <v>172.61187567998041</v>
      </c>
      <c r="R12" s="128">
        <f t="shared" si="0"/>
        <v>171.57122633362249</v>
      </c>
      <c r="S12" s="129">
        <f t="shared" si="0"/>
        <v>172.12744868405613</v>
      </c>
      <c r="T12" s="129">
        <f t="shared" si="0"/>
        <v>172.67252775050366</v>
      </c>
      <c r="U12" s="129">
        <f t="shared" si="0"/>
        <v>173.20822224662689</v>
      </c>
      <c r="V12" s="130">
        <f t="shared" si="0"/>
        <v>173.73592188506538</v>
      </c>
      <c r="W12" s="185"/>
      <c r="X12" s="164" t="s">
        <v>2233</v>
      </c>
      <c r="Y12" s="128">
        <f>SUMIF($D$23:$D$204,$D12,Y$23:Y$204)</f>
        <v>-86.951000000000008</v>
      </c>
      <c r="Z12" s="129">
        <f t="shared" ref="Z12:AK12" si="1">SUMIF($D$23:$D$204,$D12,Z$23:Z$204)</f>
        <v>-102.84774999999999</v>
      </c>
      <c r="AA12" s="129">
        <f t="shared" si="1"/>
        <v>-75.498989999999992</v>
      </c>
      <c r="AB12" s="129">
        <f t="shared" si="1"/>
        <v>-80.035789999999992</v>
      </c>
      <c r="AC12" s="129">
        <f t="shared" si="1"/>
        <v>-83.36063</v>
      </c>
      <c r="AD12" s="129">
        <f t="shared" si="1"/>
        <v>-74.453939999999989</v>
      </c>
      <c r="AE12" s="129">
        <f t="shared" si="1"/>
        <v>-79.513678355550184</v>
      </c>
      <c r="AF12" s="130">
        <f t="shared" si="1"/>
        <v>-76.518627871187121</v>
      </c>
      <c r="AG12" s="128">
        <f t="shared" si="1"/>
        <v>-64.145952889993609</v>
      </c>
      <c r="AH12" s="129">
        <f t="shared" si="1"/>
        <v>-64.145952889993609</v>
      </c>
      <c r="AI12" s="129">
        <f t="shared" si="1"/>
        <v>-64.145952889993609</v>
      </c>
      <c r="AJ12" s="129">
        <f t="shared" si="1"/>
        <v>-64.145952889993609</v>
      </c>
      <c r="AK12" s="130">
        <f t="shared" si="1"/>
        <v>-64.145952889993609</v>
      </c>
      <c r="AL12" s="185"/>
      <c r="AM12" s="164" t="s">
        <v>2233</v>
      </c>
      <c r="AN12" s="128">
        <f>SUMIF($D$23:$D$204,$D12,AN$23:AN$204)</f>
        <v>-5.0627199999999997</v>
      </c>
      <c r="AO12" s="129">
        <f t="shared" ref="AO12:AS12" si="2">SUMIF($D$23:$D$204,$D12,AO$23:AO$204)</f>
        <v>7.398269999997706</v>
      </c>
      <c r="AP12" s="129">
        <f t="shared" si="2"/>
        <v>-0.58150999999642083</v>
      </c>
      <c r="AQ12" s="129">
        <f t="shared" si="2"/>
        <v>20.957709999999441</v>
      </c>
      <c r="AR12" s="129">
        <f t="shared" si="2"/>
        <v>-0.23528000000010899</v>
      </c>
      <c r="AS12" s="129">
        <f t="shared" si="2"/>
        <v>9.717510000007147</v>
      </c>
      <c r="AT12" s="185"/>
      <c r="AU12" s="164" t="s">
        <v>2233</v>
      </c>
      <c r="AV12" s="129">
        <f t="shared" ref="AV12:AV20" si="3">SUMIF($D$23:$D$204,$D12,AV$23:AV$204)</f>
        <v>15969.044159999998</v>
      </c>
      <c r="AW12" s="227" t="s">
        <v>2233</v>
      </c>
      <c r="AX12" s="130">
        <f>SUM(AV12,J12:N12,Y12:AC12,AN12:AR12)</f>
        <v>17561.530049999994</v>
      </c>
    </row>
    <row r="13" spans="1:62" s="98" customFormat="1" ht="15" customHeight="1">
      <c r="A13" s="99"/>
      <c r="B13" s="161"/>
      <c r="C13" s="185"/>
      <c r="D13" s="162" t="s">
        <v>2863</v>
      </c>
      <c r="E13" s="162"/>
      <c r="F13" s="162"/>
      <c r="G13" s="162"/>
      <c r="H13" s="163"/>
      <c r="I13" s="164" t="s">
        <v>2233</v>
      </c>
      <c r="J13" s="128">
        <f t="shared" ref="J13:V20" si="4">SUMIF($D$23:$D$204,$D13,J$23:J$204)</f>
        <v>92.98875000000001</v>
      </c>
      <c r="K13" s="129">
        <f t="shared" si="4"/>
        <v>104.70070999999999</v>
      </c>
      <c r="L13" s="129">
        <f t="shared" si="4"/>
        <v>87.034120000000001</v>
      </c>
      <c r="M13" s="129">
        <f t="shared" si="4"/>
        <v>96.960740000000001</v>
      </c>
      <c r="N13" s="129">
        <f t="shared" si="4"/>
        <v>108.56783000000001</v>
      </c>
      <c r="O13" s="129">
        <f t="shared" si="4"/>
        <v>137.43811915869207</v>
      </c>
      <c r="P13" s="129">
        <f t="shared" si="4"/>
        <v>301.99882358944518</v>
      </c>
      <c r="Q13" s="130">
        <f t="shared" si="4"/>
        <v>291.4946371169757</v>
      </c>
      <c r="R13" s="128">
        <f t="shared" si="4"/>
        <v>271.33897005107281</v>
      </c>
      <c r="S13" s="129">
        <f t="shared" si="4"/>
        <v>272.23241320018849</v>
      </c>
      <c r="T13" s="129">
        <f t="shared" si="4"/>
        <v>273.10795722905442</v>
      </c>
      <c r="U13" s="129">
        <f t="shared" si="4"/>
        <v>273.96842710626652</v>
      </c>
      <c r="V13" s="130">
        <f t="shared" si="4"/>
        <v>274.81605508523234</v>
      </c>
      <c r="W13" s="185"/>
      <c r="X13" s="164" t="s">
        <v>2233</v>
      </c>
      <c r="Y13" s="128">
        <f t="shared" ref="Y13:AK20" si="5">SUMIF($D$23:$D$204,$D13,Y$23:Y$204)</f>
        <v>-268.89710999999994</v>
      </c>
      <c r="Z13" s="129">
        <f t="shared" si="5"/>
        <v>-297.54458999999991</v>
      </c>
      <c r="AA13" s="129">
        <f t="shared" si="5"/>
        <v>-280.74509000000006</v>
      </c>
      <c r="AB13" s="129">
        <f t="shared" si="5"/>
        <v>-300.94784999999996</v>
      </c>
      <c r="AC13" s="129">
        <f t="shared" si="5"/>
        <v>-308.93913000000003</v>
      </c>
      <c r="AD13" s="129">
        <f t="shared" si="5"/>
        <v>-288.83695</v>
      </c>
      <c r="AE13" s="129">
        <f t="shared" si="5"/>
        <v>-281.0312402642524</v>
      </c>
      <c r="AF13" s="130">
        <f t="shared" si="5"/>
        <v>-265.54153001562702</v>
      </c>
      <c r="AG13" s="128">
        <f t="shared" si="5"/>
        <v>-238.80421178620676</v>
      </c>
      <c r="AH13" s="129">
        <f t="shared" si="5"/>
        <v>-238.80421178620676</v>
      </c>
      <c r="AI13" s="129">
        <f t="shared" si="5"/>
        <v>-238.80421178620676</v>
      </c>
      <c r="AJ13" s="129">
        <f t="shared" si="5"/>
        <v>-238.80421178620676</v>
      </c>
      <c r="AK13" s="130">
        <f t="shared" si="5"/>
        <v>-238.80421178620676</v>
      </c>
      <c r="AL13" s="185"/>
      <c r="AM13" s="164" t="s">
        <v>2233</v>
      </c>
      <c r="AN13" s="128">
        <f t="shared" ref="AN13:AS20" si="6">SUMIF($D$23:$D$204,$D13,AN$23:AN$204)</f>
        <v>-2.4379899999999992</v>
      </c>
      <c r="AO13" s="129">
        <f t="shared" si="6"/>
        <v>-7.9189799999990571</v>
      </c>
      <c r="AP13" s="129">
        <f t="shared" si="6"/>
        <v>-0.13968000000189179</v>
      </c>
      <c r="AQ13" s="129">
        <f t="shared" si="6"/>
        <v>1.6068700000035792</v>
      </c>
      <c r="AR13" s="129">
        <f t="shared" si="6"/>
        <v>1.1132499999981724</v>
      </c>
      <c r="AS13" s="129">
        <f t="shared" si="6"/>
        <v>6.311579999998469</v>
      </c>
      <c r="AT13" s="185"/>
      <c r="AU13" s="164" t="s">
        <v>2233</v>
      </c>
      <c r="AV13" s="129">
        <f t="shared" si="3"/>
        <v>8171.3627900000001</v>
      </c>
      <c r="AW13" s="227" t="s">
        <v>2233</v>
      </c>
      <c r="AX13" s="130">
        <f t="shared" ref="AX13:AX20" si="7">SUM(AV13,J13:N13,Y13:AC13,AN13:AR13)</f>
        <v>7196.7646400000003</v>
      </c>
    </row>
    <row r="14" spans="1:62" s="98" customFormat="1" ht="15" customHeight="1">
      <c r="A14" s="99"/>
      <c r="B14" s="161"/>
      <c r="C14" s="185"/>
      <c r="D14" s="162" t="s">
        <v>2864</v>
      </c>
      <c r="E14" s="162"/>
      <c r="F14" s="162"/>
      <c r="G14" s="162"/>
      <c r="H14" s="163"/>
      <c r="I14" s="164" t="s">
        <v>2233</v>
      </c>
      <c r="J14" s="128">
        <f t="shared" si="4"/>
        <v>53.813130000000001</v>
      </c>
      <c r="K14" s="129">
        <f t="shared" si="4"/>
        <v>63.030409999999996</v>
      </c>
      <c r="L14" s="129">
        <f t="shared" si="4"/>
        <v>59.768899999999995</v>
      </c>
      <c r="M14" s="129">
        <f t="shared" si="4"/>
        <v>46.814</v>
      </c>
      <c r="N14" s="129">
        <f t="shared" si="4"/>
        <v>49.207039999999999</v>
      </c>
      <c r="O14" s="129">
        <f t="shared" si="4"/>
        <v>62.465739192279706</v>
      </c>
      <c r="P14" s="129">
        <f t="shared" si="4"/>
        <v>67.751428630403211</v>
      </c>
      <c r="Q14" s="130">
        <f t="shared" si="4"/>
        <v>62.168922001049673</v>
      </c>
      <c r="R14" s="128">
        <f t="shared" si="4"/>
        <v>99.595715015079065</v>
      </c>
      <c r="S14" s="129">
        <f t="shared" si="4"/>
        <v>99.880843442866919</v>
      </c>
      <c r="T14" s="129">
        <f t="shared" si="4"/>
        <v>100.16025964596467</v>
      </c>
      <c r="U14" s="129">
        <f t="shared" si="4"/>
        <v>100.43486516898102</v>
      </c>
      <c r="V14" s="130">
        <f t="shared" si="4"/>
        <v>100.70537240072906</v>
      </c>
      <c r="W14" s="185"/>
      <c r="X14" s="164" t="s">
        <v>2233</v>
      </c>
      <c r="Y14" s="128">
        <f t="shared" si="5"/>
        <v>-128.14707000000001</v>
      </c>
      <c r="Z14" s="129">
        <f t="shared" si="5"/>
        <v>-135.28931999999998</v>
      </c>
      <c r="AA14" s="129">
        <f t="shared" si="5"/>
        <v>-114.30792</v>
      </c>
      <c r="AB14" s="129">
        <f t="shared" si="5"/>
        <v>-123.32332</v>
      </c>
      <c r="AC14" s="129">
        <f t="shared" si="5"/>
        <v>-124.27515999999997</v>
      </c>
      <c r="AD14" s="129">
        <f t="shared" si="5"/>
        <v>-155.26644999999999</v>
      </c>
      <c r="AE14" s="129">
        <f t="shared" si="5"/>
        <v>-119.55524659717895</v>
      </c>
      <c r="AF14" s="130">
        <f t="shared" si="5"/>
        <v>-113.86676326094765</v>
      </c>
      <c r="AG14" s="128">
        <f t="shared" si="5"/>
        <v>-144.68148507458486</v>
      </c>
      <c r="AH14" s="129">
        <f t="shared" si="5"/>
        <v>-144.68148507458486</v>
      </c>
      <c r="AI14" s="129">
        <f t="shared" si="5"/>
        <v>-144.68148507458486</v>
      </c>
      <c r="AJ14" s="129">
        <f t="shared" si="5"/>
        <v>-144.68148507458486</v>
      </c>
      <c r="AK14" s="130">
        <f t="shared" si="5"/>
        <v>-144.68148507458486</v>
      </c>
      <c r="AL14" s="185"/>
      <c r="AM14" s="164" t="s">
        <v>2233</v>
      </c>
      <c r="AN14" s="128">
        <f t="shared" si="6"/>
        <v>-2.0269200000000001</v>
      </c>
      <c r="AO14" s="129">
        <f t="shared" si="6"/>
        <v>-4.2161100000001888</v>
      </c>
      <c r="AP14" s="129">
        <f t="shared" si="6"/>
        <v>7.868409999999292</v>
      </c>
      <c r="AQ14" s="129">
        <f t="shared" si="6"/>
        <v>4.490470000001058</v>
      </c>
      <c r="AR14" s="129">
        <f t="shared" si="6"/>
        <v>1.025559999999426</v>
      </c>
      <c r="AS14" s="129">
        <f t="shared" si="6"/>
        <v>3.4772199999992282</v>
      </c>
      <c r="AT14" s="185"/>
      <c r="AU14" s="164" t="s">
        <v>2233</v>
      </c>
      <c r="AV14" s="129">
        <f t="shared" si="3"/>
        <v>4794.08277</v>
      </c>
      <c r="AW14" s="227" t="s">
        <v>2233</v>
      </c>
      <c r="AX14" s="130">
        <f t="shared" si="7"/>
        <v>4448.5148699999982</v>
      </c>
    </row>
    <row r="15" spans="1:62" s="98" customFormat="1" ht="15" customHeight="1">
      <c r="A15" s="99"/>
      <c r="B15" s="161"/>
      <c r="C15" s="185"/>
      <c r="D15" s="162" t="s">
        <v>2865</v>
      </c>
      <c r="E15" s="162"/>
      <c r="F15" s="162"/>
      <c r="G15" s="162"/>
      <c r="H15" s="163"/>
      <c r="I15" s="164" t="s">
        <v>2233</v>
      </c>
      <c r="J15" s="128">
        <f t="shared" si="4"/>
        <v>1.8029999999999999</v>
      </c>
      <c r="K15" s="129">
        <f t="shared" si="4"/>
        <v>1.823</v>
      </c>
      <c r="L15" s="129">
        <f t="shared" si="4"/>
        <v>2.0794999999999999</v>
      </c>
      <c r="M15" s="129">
        <f t="shared" si="4"/>
        <v>2.4710000000000001</v>
      </c>
      <c r="N15" s="129">
        <f t="shared" si="4"/>
        <v>2.3299999999999996</v>
      </c>
      <c r="O15" s="129">
        <f t="shared" si="4"/>
        <v>3.8480099999999999</v>
      </c>
      <c r="P15" s="129">
        <f t="shared" si="4"/>
        <v>20.18445318739564</v>
      </c>
      <c r="Q15" s="130">
        <f t="shared" si="4"/>
        <v>17.87684970208301</v>
      </c>
      <c r="R15" s="128">
        <f t="shared" si="4"/>
        <v>24.510536958577966</v>
      </c>
      <c r="S15" s="129">
        <f t="shared" si="4"/>
        <v>24.644162107020751</v>
      </c>
      <c r="T15" s="129">
        <f t="shared" si="4"/>
        <v>24.77778725546354</v>
      </c>
      <c r="U15" s="129">
        <f t="shared" si="4"/>
        <v>24.911412403906329</v>
      </c>
      <c r="V15" s="130">
        <f t="shared" si="4"/>
        <v>25.045037552349115</v>
      </c>
      <c r="W15" s="185"/>
      <c r="X15" s="164" t="s">
        <v>2233</v>
      </c>
      <c r="Y15" s="128">
        <f t="shared" si="5"/>
        <v>-41.703400000000002</v>
      </c>
      <c r="Z15" s="129">
        <f t="shared" si="5"/>
        <v>-58.325499999999998</v>
      </c>
      <c r="AA15" s="129">
        <f t="shared" si="5"/>
        <v>-48.321229999999993</v>
      </c>
      <c r="AB15" s="129">
        <f t="shared" si="5"/>
        <v>-41.437000000000005</v>
      </c>
      <c r="AC15" s="129">
        <f t="shared" si="5"/>
        <v>-47.270999999999979</v>
      </c>
      <c r="AD15" s="129">
        <f t="shared" si="5"/>
        <v>-53.918010000000002</v>
      </c>
      <c r="AE15" s="129">
        <f t="shared" si="5"/>
        <v>-45.267319359704253</v>
      </c>
      <c r="AF15" s="130">
        <f t="shared" si="5"/>
        <v>-42.583950336495732</v>
      </c>
      <c r="AG15" s="128">
        <f t="shared" si="5"/>
        <v>-67.859908376290576</v>
      </c>
      <c r="AH15" s="129">
        <f t="shared" si="5"/>
        <v>-67.859908376290576</v>
      </c>
      <c r="AI15" s="129">
        <f t="shared" si="5"/>
        <v>-67.859908376290576</v>
      </c>
      <c r="AJ15" s="129">
        <f t="shared" si="5"/>
        <v>-67.859908376290576</v>
      </c>
      <c r="AK15" s="130">
        <f t="shared" si="5"/>
        <v>-67.859908376290576</v>
      </c>
      <c r="AL15" s="185"/>
      <c r="AM15" s="164" t="s">
        <v>2233</v>
      </c>
      <c r="AN15" s="128">
        <f t="shared" si="6"/>
        <v>-0.35448999999999997</v>
      </c>
      <c r="AO15" s="129">
        <f t="shared" si="6"/>
        <v>2.2308399999999877</v>
      </c>
      <c r="AP15" s="129">
        <f t="shared" si="6"/>
        <v>-0.77974000000000943</v>
      </c>
      <c r="AQ15" s="129">
        <f t="shared" si="6"/>
        <v>1.8099999999847877E-2</v>
      </c>
      <c r="AR15" s="129">
        <f t="shared" si="6"/>
        <v>-0.65074999999968264</v>
      </c>
      <c r="AS15" s="129">
        <f t="shared" si="6"/>
        <v>0.12297999999998385</v>
      </c>
      <c r="AT15" s="185"/>
      <c r="AU15" s="164" t="s">
        <v>2233</v>
      </c>
      <c r="AV15" s="129">
        <f t="shared" si="3"/>
        <v>1451.46595</v>
      </c>
      <c r="AW15" s="227" t="s">
        <v>2233</v>
      </c>
      <c r="AX15" s="130">
        <f t="shared" si="7"/>
        <v>1225.3782800000004</v>
      </c>
    </row>
    <row r="16" spans="1:62" s="98" customFormat="1" ht="15" customHeight="1">
      <c r="A16" s="99"/>
      <c r="B16" s="161"/>
      <c r="C16" s="185"/>
      <c r="D16" s="162" t="s">
        <v>2866</v>
      </c>
      <c r="E16" s="162"/>
      <c r="F16" s="162"/>
      <c r="G16" s="162"/>
      <c r="H16" s="163"/>
      <c r="I16" s="164" t="s">
        <v>2233</v>
      </c>
      <c r="J16" s="128">
        <f t="shared" si="4"/>
        <v>17.685499999999998</v>
      </c>
      <c r="K16" s="129">
        <f t="shared" si="4"/>
        <v>19.977800000000002</v>
      </c>
      <c r="L16" s="129">
        <f t="shared" si="4"/>
        <v>14.173500000000001</v>
      </c>
      <c r="M16" s="129">
        <f t="shared" si="4"/>
        <v>9.4919999999999991</v>
      </c>
      <c r="N16" s="129">
        <f t="shared" si="4"/>
        <v>16.428509999999999</v>
      </c>
      <c r="O16" s="129">
        <f t="shared" si="4"/>
        <v>20.007110000000004</v>
      </c>
      <c r="P16" s="129">
        <f t="shared" si="4"/>
        <v>18.371408569805574</v>
      </c>
      <c r="Q16" s="130">
        <f t="shared" si="4"/>
        <v>15.762479061528618</v>
      </c>
      <c r="R16" s="128">
        <f t="shared" si="4"/>
        <v>17.156645529120272</v>
      </c>
      <c r="S16" s="129">
        <f t="shared" si="4"/>
        <v>17.257228747369595</v>
      </c>
      <c r="T16" s="129">
        <f t="shared" si="4"/>
        <v>17.357811965618918</v>
      </c>
      <c r="U16" s="129">
        <f t="shared" si="4"/>
        <v>17.458395183868241</v>
      </c>
      <c r="V16" s="130">
        <f t="shared" si="4"/>
        <v>17.558978402117564</v>
      </c>
      <c r="W16" s="185"/>
      <c r="X16" s="164" t="s">
        <v>2233</v>
      </c>
      <c r="Y16" s="128">
        <f t="shared" si="5"/>
        <v>-2.0567000000000006</v>
      </c>
      <c r="Z16" s="129">
        <f t="shared" si="5"/>
        <v>-2.4119999999999995</v>
      </c>
      <c r="AA16" s="129">
        <f t="shared" si="5"/>
        <v>-2.323</v>
      </c>
      <c r="AB16" s="129">
        <f t="shared" si="5"/>
        <v>-1.8985000000000001</v>
      </c>
      <c r="AC16" s="129">
        <f t="shared" si="5"/>
        <v>-5.51</v>
      </c>
      <c r="AD16" s="129">
        <f t="shared" si="5"/>
        <v>-1.3474200000000003</v>
      </c>
      <c r="AE16" s="129">
        <f t="shared" si="5"/>
        <v>-2.7234921259121019</v>
      </c>
      <c r="AF16" s="130">
        <f t="shared" si="5"/>
        <v>-2.4319454160949729</v>
      </c>
      <c r="AG16" s="128">
        <f t="shared" si="5"/>
        <v>-1.9250321480514994</v>
      </c>
      <c r="AH16" s="129">
        <f t="shared" si="5"/>
        <v>-1.9250321480514994</v>
      </c>
      <c r="AI16" s="129">
        <f t="shared" si="5"/>
        <v>-1.9250321480514994</v>
      </c>
      <c r="AJ16" s="129">
        <f t="shared" si="5"/>
        <v>-1.9250321480514994</v>
      </c>
      <c r="AK16" s="130">
        <f t="shared" si="5"/>
        <v>-1.9250321480514994</v>
      </c>
      <c r="AL16" s="185"/>
      <c r="AM16" s="164" t="s">
        <v>2233</v>
      </c>
      <c r="AN16" s="128">
        <f t="shared" si="6"/>
        <v>-0.13061</v>
      </c>
      <c r="AO16" s="129">
        <f t="shared" si="6"/>
        <v>-1.6418899999997891</v>
      </c>
      <c r="AP16" s="129">
        <f t="shared" si="6"/>
        <v>1.0332999999996728</v>
      </c>
      <c r="AQ16" s="129">
        <f t="shared" si="6"/>
        <v>-1.1439999999986728E-2</v>
      </c>
      <c r="AR16" s="129">
        <f t="shared" si="6"/>
        <v>0.80081999999998432</v>
      </c>
      <c r="AS16" s="129">
        <f t="shared" si="6"/>
        <v>-2.6389900000000241</v>
      </c>
      <c r="AT16" s="185"/>
      <c r="AU16" s="164" t="s">
        <v>2233</v>
      </c>
      <c r="AV16" s="129">
        <f t="shared" si="3"/>
        <v>1231.06916</v>
      </c>
      <c r="AW16" s="227" t="s">
        <v>2233</v>
      </c>
      <c r="AX16" s="130">
        <f t="shared" si="7"/>
        <v>1294.6764499999997</v>
      </c>
    </row>
    <row r="17" spans="1:62" s="98" customFormat="1" ht="15" customHeight="1">
      <c r="A17" s="99"/>
      <c r="B17" s="161"/>
      <c r="C17" s="185"/>
      <c r="D17" s="162" t="s">
        <v>2867</v>
      </c>
      <c r="E17" s="162"/>
      <c r="F17" s="162"/>
      <c r="G17" s="162"/>
      <c r="H17" s="163"/>
      <c r="I17" s="164" t="s">
        <v>2233</v>
      </c>
      <c r="J17" s="128">
        <f t="shared" si="4"/>
        <v>19.131930000000001</v>
      </c>
      <c r="K17" s="129">
        <f t="shared" si="4"/>
        <v>18.119500000000002</v>
      </c>
      <c r="L17" s="129">
        <f t="shared" si="4"/>
        <v>11.652999999999999</v>
      </c>
      <c r="M17" s="129">
        <f t="shared" si="4"/>
        <v>8.3120000000000012</v>
      </c>
      <c r="N17" s="129">
        <f t="shared" si="4"/>
        <v>13.663019999999999</v>
      </c>
      <c r="O17" s="129">
        <f t="shared" si="4"/>
        <v>15.180010000000001</v>
      </c>
      <c r="P17" s="129">
        <f t="shared" si="4"/>
        <v>5.9014505982302889</v>
      </c>
      <c r="Q17" s="130">
        <f t="shared" si="4"/>
        <v>4.6473230486529697</v>
      </c>
      <c r="R17" s="128">
        <f t="shared" si="4"/>
        <v>12.4386362178263</v>
      </c>
      <c r="S17" s="129">
        <f t="shared" si="4"/>
        <v>12.499678185474535</v>
      </c>
      <c r="T17" s="129">
        <f t="shared" si="4"/>
        <v>12.560720153122768</v>
      </c>
      <c r="U17" s="129">
        <f t="shared" si="4"/>
        <v>12.621762120771001</v>
      </c>
      <c r="V17" s="130">
        <f t="shared" si="4"/>
        <v>12.682804088419235</v>
      </c>
      <c r="W17" s="185"/>
      <c r="X17" s="164" t="s">
        <v>2233</v>
      </c>
      <c r="Y17" s="128">
        <f t="shared" si="5"/>
        <v>-21.526399999999999</v>
      </c>
      <c r="Z17" s="129">
        <f t="shared" si="5"/>
        <v>-29.381359999999994</v>
      </c>
      <c r="AA17" s="129">
        <f t="shared" si="5"/>
        <v>-17.043499999999998</v>
      </c>
      <c r="AB17" s="129">
        <f t="shared" si="5"/>
        <v>-17.782500000000002</v>
      </c>
      <c r="AC17" s="129">
        <f t="shared" si="5"/>
        <v>-25.493229999999993</v>
      </c>
      <c r="AD17" s="129">
        <f t="shared" si="5"/>
        <v>-27.514999999999993</v>
      </c>
      <c r="AE17" s="129">
        <f t="shared" si="5"/>
        <v>-30.695425978935091</v>
      </c>
      <c r="AF17" s="130">
        <f t="shared" si="5"/>
        <v>-26.401527154573898</v>
      </c>
      <c r="AG17" s="128">
        <f t="shared" si="5"/>
        <v>-26.166061674925366</v>
      </c>
      <c r="AH17" s="129">
        <f t="shared" si="5"/>
        <v>-26.166061674925366</v>
      </c>
      <c r="AI17" s="129">
        <f t="shared" si="5"/>
        <v>-26.166061674925366</v>
      </c>
      <c r="AJ17" s="129">
        <f t="shared" si="5"/>
        <v>-26.166061674925366</v>
      </c>
      <c r="AK17" s="130">
        <f t="shared" si="5"/>
        <v>-26.166061674925366</v>
      </c>
      <c r="AL17" s="185"/>
      <c r="AM17" s="164" t="s">
        <v>2233</v>
      </c>
      <c r="AN17" s="128">
        <f t="shared" si="6"/>
        <v>-0.87344999999999995</v>
      </c>
      <c r="AO17" s="129">
        <f t="shared" si="6"/>
        <v>0.60894999999987842</v>
      </c>
      <c r="AP17" s="129">
        <f t="shared" si="6"/>
        <v>-3.9797799999996437</v>
      </c>
      <c r="AQ17" s="129">
        <f t="shared" si="6"/>
        <v>1.5722599999995504</v>
      </c>
      <c r="AR17" s="129">
        <f t="shared" si="6"/>
        <v>0.46913000000043126</v>
      </c>
      <c r="AS17" s="129">
        <f t="shared" si="6"/>
        <v>-1.9338400000001359</v>
      </c>
      <c r="AT17" s="185"/>
      <c r="AU17" s="164" t="s">
        <v>2233</v>
      </c>
      <c r="AV17" s="129">
        <f t="shared" si="3"/>
        <v>2378.9134100000001</v>
      </c>
      <c r="AW17" s="227" t="s">
        <v>2233</v>
      </c>
      <c r="AX17" s="130">
        <f t="shared" si="7"/>
        <v>2336.3629799999994</v>
      </c>
    </row>
    <row r="18" spans="1:62" s="98" customFormat="1" ht="15" customHeight="1">
      <c r="A18" s="99"/>
      <c r="B18" s="161"/>
      <c r="C18" s="185"/>
      <c r="D18" s="162" t="s">
        <v>2868</v>
      </c>
      <c r="E18" s="162"/>
      <c r="F18" s="162"/>
      <c r="G18" s="162"/>
      <c r="H18" s="163"/>
      <c r="I18" s="164" t="s">
        <v>2233</v>
      </c>
      <c r="J18" s="128">
        <f t="shared" si="4"/>
        <v>5.0340000000000007</v>
      </c>
      <c r="K18" s="129">
        <f t="shared" si="4"/>
        <v>4.3405000000000005</v>
      </c>
      <c r="L18" s="129">
        <f t="shared" si="4"/>
        <v>2.6749999999999998</v>
      </c>
      <c r="M18" s="129">
        <f t="shared" si="4"/>
        <v>1.373</v>
      </c>
      <c r="N18" s="129">
        <f t="shared" si="4"/>
        <v>3.3840000000000003</v>
      </c>
      <c r="O18" s="129">
        <f t="shared" si="4"/>
        <v>1.86</v>
      </c>
      <c r="P18" s="129">
        <f t="shared" si="4"/>
        <v>0.48662417627498455</v>
      </c>
      <c r="Q18" s="130">
        <f t="shared" si="4"/>
        <v>0.33472613421115033</v>
      </c>
      <c r="R18" s="128">
        <f t="shared" si="4"/>
        <v>1.0630715874347081</v>
      </c>
      <c r="S18" s="129">
        <f t="shared" si="4"/>
        <v>1.0682212530943638</v>
      </c>
      <c r="T18" s="129">
        <f t="shared" si="4"/>
        <v>1.0733709187540197</v>
      </c>
      <c r="U18" s="129">
        <f t="shared" si="4"/>
        <v>1.0785205844136754</v>
      </c>
      <c r="V18" s="130">
        <f t="shared" si="4"/>
        <v>1.0836702500733313</v>
      </c>
      <c r="W18" s="185"/>
      <c r="X18" s="164" t="s">
        <v>2233</v>
      </c>
      <c r="Y18" s="128">
        <f t="shared" si="5"/>
        <v>-10.139000000000001</v>
      </c>
      <c r="Z18" s="129">
        <f t="shared" si="5"/>
        <v>-8.5070000000000014</v>
      </c>
      <c r="AA18" s="129">
        <f t="shared" si="5"/>
        <v>-3.7880000000000003</v>
      </c>
      <c r="AB18" s="129">
        <f t="shared" si="5"/>
        <v>-3.2829999999999999</v>
      </c>
      <c r="AC18" s="129">
        <f t="shared" si="5"/>
        <v>-12.982000000000003</v>
      </c>
      <c r="AD18" s="129">
        <f t="shared" si="5"/>
        <v>-9.0219999999999985</v>
      </c>
      <c r="AE18" s="129">
        <f t="shared" si="5"/>
        <v>-11.423510282623074</v>
      </c>
      <c r="AF18" s="130">
        <f t="shared" si="5"/>
        <v>-10.356962703030289</v>
      </c>
      <c r="AG18" s="128">
        <f t="shared" si="5"/>
        <v>-4.3363333595586635</v>
      </c>
      <c r="AH18" s="129">
        <f t="shared" si="5"/>
        <v>-4.3363333595586635</v>
      </c>
      <c r="AI18" s="129">
        <f t="shared" si="5"/>
        <v>-4.3363333595586635</v>
      </c>
      <c r="AJ18" s="129">
        <f t="shared" si="5"/>
        <v>-4.3363333595586635</v>
      </c>
      <c r="AK18" s="130">
        <f t="shared" si="5"/>
        <v>-4.3363333595586635</v>
      </c>
      <c r="AL18" s="185"/>
      <c r="AM18" s="164" t="s">
        <v>2233</v>
      </c>
      <c r="AN18" s="128">
        <f t="shared" si="6"/>
        <v>0.68950000000000022</v>
      </c>
      <c r="AO18" s="129">
        <f t="shared" si="6"/>
        <v>-0.85325000000001638</v>
      </c>
      <c r="AP18" s="129">
        <f t="shared" si="6"/>
        <v>0.20246999999998783</v>
      </c>
      <c r="AQ18" s="129">
        <f t="shared" si="6"/>
        <v>8.6380000000068138E-2</v>
      </c>
      <c r="AR18" s="129">
        <f t="shared" si="6"/>
        <v>1.4460399999999654</v>
      </c>
      <c r="AS18" s="129">
        <f t="shared" si="6"/>
        <v>0.46369999999997363</v>
      </c>
      <c r="AT18" s="185"/>
      <c r="AU18" s="164" t="s">
        <v>2233</v>
      </c>
      <c r="AV18" s="129">
        <f t="shared" si="3"/>
        <v>353.68703000000005</v>
      </c>
      <c r="AW18" s="227" t="s">
        <v>2233</v>
      </c>
      <c r="AX18" s="130">
        <f t="shared" si="7"/>
        <v>333.36567000000008</v>
      </c>
    </row>
    <row r="19" spans="1:62" s="98" customFormat="1" ht="15" customHeight="1">
      <c r="A19" s="99"/>
      <c r="B19" s="161"/>
      <c r="C19" s="185"/>
      <c r="D19" s="162" t="s">
        <v>2869</v>
      </c>
      <c r="E19" s="162"/>
      <c r="F19" s="162"/>
      <c r="G19" s="162"/>
      <c r="H19" s="163"/>
      <c r="I19" s="164" t="s">
        <v>2233</v>
      </c>
      <c r="J19" s="128">
        <f t="shared" si="4"/>
        <v>1.7030000000000001</v>
      </c>
      <c r="K19" s="129">
        <f t="shared" si="4"/>
        <v>1.085</v>
      </c>
      <c r="L19" s="129">
        <f t="shared" si="4"/>
        <v>2.3450000000000002</v>
      </c>
      <c r="M19" s="129">
        <f t="shared" si="4"/>
        <v>0.69800000000000006</v>
      </c>
      <c r="N19" s="129">
        <f t="shared" si="4"/>
        <v>0.96399999999999997</v>
      </c>
      <c r="O19" s="129">
        <f t="shared" si="4"/>
        <v>2.8669999999999995</v>
      </c>
      <c r="P19" s="129">
        <f t="shared" si="4"/>
        <v>0</v>
      </c>
      <c r="Q19" s="130">
        <f t="shared" si="4"/>
        <v>0</v>
      </c>
      <c r="R19" s="128">
        <f t="shared" si="4"/>
        <v>0</v>
      </c>
      <c r="S19" s="129">
        <f t="shared" si="4"/>
        <v>0</v>
      </c>
      <c r="T19" s="129">
        <f t="shared" si="4"/>
        <v>0</v>
      </c>
      <c r="U19" s="129">
        <f t="shared" si="4"/>
        <v>0</v>
      </c>
      <c r="V19" s="130">
        <f t="shared" si="4"/>
        <v>0</v>
      </c>
      <c r="W19" s="185"/>
      <c r="X19" s="164" t="s">
        <v>2233</v>
      </c>
      <c r="Y19" s="128">
        <f t="shared" si="5"/>
        <v>-7.0610000000000017</v>
      </c>
      <c r="Z19" s="129">
        <f t="shared" si="5"/>
        <v>-5.4459999999999997</v>
      </c>
      <c r="AA19" s="129">
        <f t="shared" si="5"/>
        <v>-4.2294999999999998</v>
      </c>
      <c r="AB19" s="129">
        <f t="shared" si="5"/>
        <v>-6.1060000000000016</v>
      </c>
      <c r="AC19" s="129">
        <f t="shared" si="5"/>
        <v>-2.9029999999999996</v>
      </c>
      <c r="AD19" s="129">
        <f t="shared" si="5"/>
        <v>-5.9859999999999998</v>
      </c>
      <c r="AE19" s="129">
        <f t="shared" si="5"/>
        <v>-6.7336163765638934</v>
      </c>
      <c r="AF19" s="130">
        <f t="shared" si="5"/>
        <v>-5.0060692988278852</v>
      </c>
      <c r="AG19" s="128">
        <f t="shared" si="5"/>
        <v>-11.319201111524951</v>
      </c>
      <c r="AH19" s="129">
        <f t="shared" si="5"/>
        <v>-11.319201111524951</v>
      </c>
      <c r="AI19" s="129">
        <f t="shared" si="5"/>
        <v>-11.319201111524951</v>
      </c>
      <c r="AJ19" s="129">
        <f t="shared" si="5"/>
        <v>-11.319201111524951</v>
      </c>
      <c r="AK19" s="130">
        <f t="shared" si="5"/>
        <v>-11.319201111524951</v>
      </c>
      <c r="AL19" s="185"/>
      <c r="AM19" s="164" t="s">
        <v>2233</v>
      </c>
      <c r="AN19" s="128">
        <f t="shared" si="6"/>
        <v>8.8099999999999845E-3</v>
      </c>
      <c r="AO19" s="129">
        <f t="shared" si="6"/>
        <v>-3.9479600000000112</v>
      </c>
      <c r="AP19" s="129">
        <f t="shared" si="6"/>
        <v>0.34984999999997762</v>
      </c>
      <c r="AQ19" s="129">
        <f t="shared" si="6"/>
        <v>0.23064000000004722</v>
      </c>
      <c r="AR19" s="129">
        <f t="shared" si="6"/>
        <v>0.23477999999995736</v>
      </c>
      <c r="AS19" s="129">
        <f t="shared" si="6"/>
        <v>-1.4599999999894968E-2</v>
      </c>
      <c r="AT19" s="185"/>
      <c r="AU19" s="164" t="s">
        <v>2233</v>
      </c>
      <c r="AV19" s="129">
        <f t="shared" si="3"/>
        <v>540.20190000000002</v>
      </c>
      <c r="AW19" s="227" t="s">
        <v>2233</v>
      </c>
      <c r="AX19" s="130">
        <f t="shared" si="7"/>
        <v>518.12752</v>
      </c>
    </row>
    <row r="20" spans="1:62" s="98" customFormat="1" ht="15" customHeight="1">
      <c r="A20" s="99"/>
      <c r="B20" s="161"/>
      <c r="C20" s="185"/>
      <c r="D20" s="162" t="s">
        <v>2870</v>
      </c>
      <c r="E20" s="162"/>
      <c r="F20" s="162"/>
      <c r="G20" s="162"/>
      <c r="H20" s="163"/>
      <c r="I20" s="164" t="s">
        <v>2233</v>
      </c>
      <c r="J20" s="128">
        <f t="shared" si="4"/>
        <v>0</v>
      </c>
      <c r="K20" s="129">
        <f t="shared" si="4"/>
        <v>0</v>
      </c>
      <c r="L20" s="129">
        <f t="shared" si="4"/>
        <v>0</v>
      </c>
      <c r="M20" s="129">
        <f t="shared" si="4"/>
        <v>0</v>
      </c>
      <c r="N20" s="129">
        <f t="shared" si="4"/>
        <v>0</v>
      </c>
      <c r="O20" s="129">
        <f t="shared" si="4"/>
        <v>0</v>
      </c>
      <c r="P20" s="129">
        <f t="shared" si="4"/>
        <v>0</v>
      </c>
      <c r="Q20" s="130">
        <f t="shared" si="4"/>
        <v>0</v>
      </c>
      <c r="R20" s="128">
        <f t="shared" si="4"/>
        <v>0</v>
      </c>
      <c r="S20" s="129">
        <f t="shared" si="4"/>
        <v>0</v>
      </c>
      <c r="T20" s="129">
        <f t="shared" si="4"/>
        <v>0</v>
      </c>
      <c r="U20" s="129">
        <f t="shared" si="4"/>
        <v>0</v>
      </c>
      <c r="V20" s="130">
        <f t="shared" si="4"/>
        <v>0</v>
      </c>
      <c r="W20" s="185"/>
      <c r="X20" s="164" t="s">
        <v>2233</v>
      </c>
      <c r="Y20" s="128">
        <f t="shared" si="5"/>
        <v>-0.432</v>
      </c>
      <c r="Z20" s="129">
        <f t="shared" si="5"/>
        <v>-0.24299999999999999</v>
      </c>
      <c r="AA20" s="129">
        <f t="shared" si="5"/>
        <v>0</v>
      </c>
      <c r="AB20" s="129">
        <f t="shared" si="5"/>
        <v>-6.5000000000000002E-2</v>
      </c>
      <c r="AC20" s="129">
        <f t="shared" si="5"/>
        <v>0</v>
      </c>
      <c r="AD20" s="129">
        <f t="shared" si="5"/>
        <v>-0.48199999999999993</v>
      </c>
      <c r="AE20" s="129">
        <f t="shared" si="5"/>
        <v>-0.25299132594670654</v>
      </c>
      <c r="AF20" s="130">
        <f t="shared" si="5"/>
        <v>-0.19284660988209879</v>
      </c>
      <c r="AG20" s="128">
        <f t="shared" si="5"/>
        <v>-0.48848543580005682</v>
      </c>
      <c r="AH20" s="129">
        <f t="shared" si="5"/>
        <v>-0.48848543580005682</v>
      </c>
      <c r="AI20" s="129">
        <f t="shared" si="5"/>
        <v>-0.48848543580005682</v>
      </c>
      <c r="AJ20" s="129">
        <f t="shared" si="5"/>
        <v>-0.48848543580005682</v>
      </c>
      <c r="AK20" s="130">
        <f t="shared" si="5"/>
        <v>-0.48848543580005682</v>
      </c>
      <c r="AL20" s="185"/>
      <c r="AM20" s="164" t="s">
        <v>2233</v>
      </c>
      <c r="AN20" s="128">
        <f t="shared" si="6"/>
        <v>-5.000000000000001E-3</v>
      </c>
      <c r="AO20" s="129">
        <f t="shared" si="6"/>
        <v>-9.8079999999998835E-2</v>
      </c>
      <c r="AP20" s="129">
        <f t="shared" si="6"/>
        <v>8.0000000000000002E-3</v>
      </c>
      <c r="AQ20" s="129">
        <f t="shared" si="6"/>
        <v>-5.9000000000001052E-2</v>
      </c>
      <c r="AR20" s="129">
        <f t="shared" si="6"/>
        <v>-0.41299999999999848</v>
      </c>
      <c r="AS20" s="129">
        <f t="shared" si="6"/>
        <v>9.7999999999997742E-2</v>
      </c>
      <c r="AT20" s="185"/>
      <c r="AU20" s="164" t="s">
        <v>2233</v>
      </c>
      <c r="AV20" s="129">
        <f t="shared" si="3"/>
        <v>12.420649999999997</v>
      </c>
      <c r="AW20" s="227" t="s">
        <v>2233</v>
      </c>
      <c r="AX20" s="130">
        <f t="shared" si="7"/>
        <v>11.113569999999996</v>
      </c>
    </row>
    <row r="21" spans="1:62" s="98" customFormat="1" ht="15" customHeight="1" thickBot="1">
      <c r="A21" s="99"/>
      <c r="B21" s="239"/>
      <c r="C21" s="192"/>
      <c r="D21" s="240" t="s">
        <v>1710</v>
      </c>
      <c r="E21" s="240"/>
      <c r="F21" s="240"/>
      <c r="G21" s="241"/>
      <c r="H21" s="241"/>
      <c r="I21" s="195" t="s">
        <v>2233</v>
      </c>
      <c r="J21" s="717">
        <f>SUM(J12:J20)</f>
        <v>552.49859000000015</v>
      </c>
      <c r="K21" s="718">
        <f t="shared" ref="K21:V21" si="8">SUM(K12:K20)</f>
        <v>623.08965999999998</v>
      </c>
      <c r="L21" s="718">
        <f t="shared" si="8"/>
        <v>570.01832000000013</v>
      </c>
      <c r="M21" s="718">
        <f t="shared" si="8"/>
        <v>575.01485000000002</v>
      </c>
      <c r="N21" s="718">
        <f t="shared" si="8"/>
        <v>623.71255000000008</v>
      </c>
      <c r="O21" s="718">
        <f t="shared" si="8"/>
        <v>643.13026340140277</v>
      </c>
      <c r="P21" s="718">
        <f t="shared" si="8"/>
        <v>596.58087866515564</v>
      </c>
      <c r="Q21" s="719">
        <f t="shared" si="8"/>
        <v>564.89681274448162</v>
      </c>
      <c r="R21" s="717">
        <f t="shared" si="8"/>
        <v>597.67480169273358</v>
      </c>
      <c r="S21" s="718">
        <f t="shared" si="8"/>
        <v>599.7099956200708</v>
      </c>
      <c r="T21" s="718">
        <f t="shared" si="8"/>
        <v>601.71043491848195</v>
      </c>
      <c r="U21" s="718">
        <f t="shared" si="8"/>
        <v>603.68160481483358</v>
      </c>
      <c r="V21" s="719">
        <f t="shared" si="8"/>
        <v>605.62783966398592</v>
      </c>
      <c r="W21" s="192"/>
      <c r="X21" s="195" t="s">
        <v>2233</v>
      </c>
      <c r="Y21" s="717">
        <f>SUM(Y12:Y20)</f>
        <v>-566.91368</v>
      </c>
      <c r="Z21" s="718">
        <f t="shared" ref="Z21:AK21" si="9">SUM(Z12:Z20)</f>
        <v>-639.99651999999992</v>
      </c>
      <c r="AA21" s="718">
        <f t="shared" si="9"/>
        <v>-546.25723000000005</v>
      </c>
      <c r="AB21" s="718">
        <f t="shared" si="9"/>
        <v>-574.87896000000001</v>
      </c>
      <c r="AC21" s="718">
        <f t="shared" si="9"/>
        <v>-610.73415</v>
      </c>
      <c r="AD21" s="718">
        <f t="shared" si="9"/>
        <v>-616.82776999999999</v>
      </c>
      <c r="AE21" s="718">
        <f t="shared" si="9"/>
        <v>-577.19652066666663</v>
      </c>
      <c r="AF21" s="719">
        <f t="shared" si="9"/>
        <v>-542.90022266666654</v>
      </c>
      <c r="AG21" s="717">
        <f t="shared" si="9"/>
        <v>-559.72667185693638</v>
      </c>
      <c r="AH21" s="718">
        <f t="shared" si="9"/>
        <v>-559.72667185693638</v>
      </c>
      <c r="AI21" s="718">
        <f t="shared" si="9"/>
        <v>-559.72667185693638</v>
      </c>
      <c r="AJ21" s="718">
        <f t="shared" si="9"/>
        <v>-559.72667185693638</v>
      </c>
      <c r="AK21" s="719">
        <f t="shared" si="9"/>
        <v>-559.72667185693638</v>
      </c>
      <c r="AL21" s="192"/>
      <c r="AM21" s="195" t="s">
        <v>2233</v>
      </c>
      <c r="AN21" s="717">
        <f>SUM(AN12:AN20)</f>
        <v>-10.192869999999999</v>
      </c>
      <c r="AO21" s="718">
        <f t="shared" ref="AO21:AS21" si="10">SUM(AO12:AO20)</f>
        <v>-8.4382100000014901</v>
      </c>
      <c r="AP21" s="718">
        <f t="shared" si="10"/>
        <v>3.9813200000009652</v>
      </c>
      <c r="AQ21" s="718">
        <f t="shared" si="10"/>
        <v>28.891990000003602</v>
      </c>
      <c r="AR21" s="718">
        <f t="shared" si="10"/>
        <v>3.7905499999981469</v>
      </c>
      <c r="AS21" s="718">
        <f t="shared" si="10"/>
        <v>15.603560000004746</v>
      </c>
      <c r="AT21" s="192"/>
      <c r="AU21" s="195" t="s">
        <v>2233</v>
      </c>
      <c r="AV21" s="718">
        <f t="shared" ref="AV21" si="11">SUM(AV12:AV20)</f>
        <v>34902.247819999997</v>
      </c>
      <c r="AW21" s="1330" t="s">
        <v>2233</v>
      </c>
      <c r="AX21" s="719">
        <f>SUM(AX12:AX20)</f>
        <v>34925.834029999998</v>
      </c>
    </row>
    <row r="22" spans="1:62" s="99" customFormat="1" ht="15" customHeight="1" thickBot="1">
      <c r="A22" s="89"/>
      <c r="B22" s="95"/>
      <c r="C22" s="95"/>
      <c r="D22" s="95"/>
      <c r="E22" s="95"/>
      <c r="F22" s="95"/>
      <c r="G22" s="95"/>
      <c r="H22" s="95"/>
      <c r="I22" s="96"/>
      <c r="J22" s="97"/>
      <c r="K22" s="97"/>
      <c r="L22" s="97"/>
      <c r="M22" s="97"/>
      <c r="N22" s="97"/>
      <c r="O22" s="97"/>
      <c r="P22" s="97"/>
      <c r="Q22" s="97"/>
      <c r="R22" s="97"/>
      <c r="S22" s="97"/>
      <c r="T22" s="97"/>
      <c r="U22" s="97"/>
      <c r="V22" s="97"/>
      <c r="W22" s="97"/>
      <c r="X22" s="96"/>
      <c r="Y22" s="97"/>
      <c r="Z22" s="97"/>
      <c r="AA22" s="97"/>
      <c r="AB22" s="97"/>
      <c r="AC22" s="97"/>
      <c r="AD22" s="97"/>
      <c r="AE22" s="97"/>
      <c r="AF22" s="97"/>
      <c r="AG22" s="97"/>
      <c r="AH22" s="97"/>
      <c r="AI22" s="97"/>
      <c r="AJ22" s="97"/>
      <c r="AK22" s="97"/>
      <c r="AL22" s="97"/>
      <c r="AM22" s="96"/>
      <c r="AN22" s="97"/>
      <c r="AO22" s="97"/>
      <c r="AP22" s="97"/>
      <c r="AQ22" s="97"/>
      <c r="AR22" s="97"/>
      <c r="AS22" s="97"/>
      <c r="AT22" s="97"/>
      <c r="AU22" s="97"/>
      <c r="AV22" s="97"/>
      <c r="AW22" s="97"/>
      <c r="AX22" s="97"/>
      <c r="AY22" s="97"/>
      <c r="AZ22" s="97"/>
      <c r="BA22" s="96"/>
      <c r="BB22" s="98"/>
      <c r="BC22" s="98"/>
      <c r="BD22" s="98"/>
      <c r="BE22" s="98"/>
      <c r="BF22" s="98"/>
      <c r="BG22" s="98"/>
      <c r="BH22" s="98"/>
      <c r="BI22" s="98"/>
      <c r="BJ22" s="98"/>
    </row>
    <row r="23" spans="1:62" s="100" customFormat="1" ht="30" customHeight="1" thickBot="1">
      <c r="A23" s="89"/>
      <c r="B23" s="621" t="s">
        <v>2871</v>
      </c>
      <c r="C23" s="102"/>
      <c r="D23" s="102"/>
      <c r="E23" s="102"/>
      <c r="F23" s="102"/>
      <c r="G23" s="103"/>
      <c r="H23" s="103"/>
      <c r="I23" s="105" t="s">
        <v>2837</v>
      </c>
      <c r="J23" s="106"/>
      <c r="K23" s="106"/>
      <c r="L23" s="106"/>
      <c r="M23" s="106"/>
      <c r="N23" s="106"/>
      <c r="O23" s="106"/>
      <c r="P23" s="106"/>
      <c r="Q23" s="106"/>
      <c r="R23" s="105"/>
      <c r="S23" s="105"/>
      <c r="T23" s="105"/>
      <c r="U23" s="105"/>
      <c r="V23" s="105"/>
      <c r="W23" s="103"/>
      <c r="X23" s="105" t="s">
        <v>2838</v>
      </c>
      <c r="Y23" s="106"/>
      <c r="Z23" s="106"/>
      <c r="AA23" s="106"/>
      <c r="AB23" s="106"/>
      <c r="AC23" s="106"/>
      <c r="AD23" s="106"/>
      <c r="AE23" s="106"/>
      <c r="AF23" s="106"/>
      <c r="AG23" s="105"/>
      <c r="AH23" s="105"/>
      <c r="AI23" s="105"/>
      <c r="AJ23" s="105"/>
      <c r="AK23" s="105"/>
      <c r="AL23" s="103"/>
      <c r="AM23" s="105" t="s">
        <v>2839</v>
      </c>
      <c r="AN23" s="106"/>
      <c r="AO23" s="106"/>
      <c r="AP23" s="106"/>
      <c r="AQ23" s="106"/>
      <c r="AR23" s="106"/>
      <c r="AS23" s="106"/>
      <c r="AT23" s="103"/>
      <c r="AU23" s="218" t="s">
        <v>1925</v>
      </c>
      <c r="AV23" s="219"/>
      <c r="AW23" s="220"/>
      <c r="AX23" s="221"/>
    </row>
    <row r="24" spans="1:62" s="157" customFormat="1" ht="30" customHeight="1">
      <c r="A24" s="99"/>
      <c r="B24" s="109"/>
      <c r="C24" s="110"/>
      <c r="D24" s="110"/>
      <c r="E24" s="110"/>
      <c r="F24" s="110"/>
      <c r="G24" s="111"/>
      <c r="H24" s="111"/>
      <c r="I24" s="94"/>
      <c r="J24" s="695" t="s">
        <v>1666</v>
      </c>
      <c r="K24" s="152"/>
      <c r="L24" s="152"/>
      <c r="M24" s="152"/>
      <c r="N24" s="152"/>
      <c r="O24" s="152"/>
      <c r="P24" s="152"/>
      <c r="Q24" s="153"/>
      <c r="R24" s="696" t="s">
        <v>2</v>
      </c>
      <c r="S24" s="155"/>
      <c r="T24" s="155"/>
      <c r="U24" s="155"/>
      <c r="V24" s="156"/>
      <c r="W24" s="2632"/>
      <c r="X24" s="94"/>
      <c r="Y24" s="695" t="s">
        <v>1666</v>
      </c>
      <c r="Z24" s="152"/>
      <c r="AA24" s="152"/>
      <c r="AB24" s="152"/>
      <c r="AC24" s="152"/>
      <c r="AD24" s="152"/>
      <c r="AE24" s="152"/>
      <c r="AF24" s="153"/>
      <c r="AG24" s="696" t="s">
        <v>2</v>
      </c>
      <c r="AH24" s="155"/>
      <c r="AI24" s="155"/>
      <c r="AJ24" s="155"/>
      <c r="AK24" s="156"/>
      <c r="AL24" s="2632"/>
      <c r="AM24" s="94"/>
      <c r="AN24" s="695" t="s">
        <v>1666</v>
      </c>
      <c r="AO24" s="152"/>
      <c r="AP24" s="152"/>
      <c r="AQ24" s="152"/>
      <c r="AR24" s="152"/>
      <c r="AS24" s="153"/>
      <c r="AT24" s="2632"/>
      <c r="AU24" s="223" t="s">
        <v>2840</v>
      </c>
      <c r="AV24" s="203"/>
      <c r="AW24" s="883" t="s">
        <v>2841</v>
      </c>
      <c r="AX24" s="884"/>
    </row>
    <row r="25" spans="1:62" s="98" customFormat="1" ht="15" customHeight="1">
      <c r="A25" s="99"/>
      <c r="B25" s="115"/>
      <c r="C25" s="116"/>
      <c r="D25" s="116"/>
      <c r="E25" s="116"/>
      <c r="F25" s="116"/>
      <c r="G25" s="117"/>
      <c r="H25" s="117"/>
      <c r="I25" s="119" t="s">
        <v>1667</v>
      </c>
      <c r="J25" s="158" t="s">
        <v>453</v>
      </c>
      <c r="K25" s="137" t="s">
        <v>455</v>
      </c>
      <c r="L25" s="137" t="s">
        <v>457</v>
      </c>
      <c r="M25" s="137" t="s">
        <v>459</v>
      </c>
      <c r="N25" s="137" t="s">
        <v>461</v>
      </c>
      <c r="O25" s="137" t="s">
        <v>463</v>
      </c>
      <c r="P25" s="137" t="s">
        <v>465</v>
      </c>
      <c r="Q25" s="138" t="s">
        <v>467</v>
      </c>
      <c r="R25" s="120" t="s">
        <v>469</v>
      </c>
      <c r="S25" s="121" t="s">
        <v>471</v>
      </c>
      <c r="T25" s="121" t="s">
        <v>473</v>
      </c>
      <c r="U25" s="121" t="s">
        <v>475</v>
      </c>
      <c r="V25" s="122" t="s">
        <v>477</v>
      </c>
      <c r="W25" s="2629"/>
      <c r="X25" s="119" t="s">
        <v>1667</v>
      </c>
      <c r="Y25" s="158" t="s">
        <v>453</v>
      </c>
      <c r="Z25" s="137" t="s">
        <v>455</v>
      </c>
      <c r="AA25" s="137" t="s">
        <v>457</v>
      </c>
      <c r="AB25" s="137" t="s">
        <v>459</v>
      </c>
      <c r="AC25" s="137" t="s">
        <v>461</v>
      </c>
      <c r="AD25" s="137" t="s">
        <v>463</v>
      </c>
      <c r="AE25" s="137" t="s">
        <v>465</v>
      </c>
      <c r="AF25" s="138" t="s">
        <v>467</v>
      </c>
      <c r="AG25" s="120" t="s">
        <v>469</v>
      </c>
      <c r="AH25" s="121" t="s">
        <v>471</v>
      </c>
      <c r="AI25" s="121" t="s">
        <v>473</v>
      </c>
      <c r="AJ25" s="121" t="s">
        <v>475</v>
      </c>
      <c r="AK25" s="122" t="s">
        <v>477</v>
      </c>
      <c r="AL25" s="2629"/>
      <c r="AM25" s="119" t="s">
        <v>1667</v>
      </c>
      <c r="AN25" s="158" t="s">
        <v>453</v>
      </c>
      <c r="AO25" s="137" t="s">
        <v>455</v>
      </c>
      <c r="AP25" s="137" t="s">
        <v>457</v>
      </c>
      <c r="AQ25" s="137" t="s">
        <v>459</v>
      </c>
      <c r="AR25" s="137" t="s">
        <v>461</v>
      </c>
      <c r="AS25" s="138" t="s">
        <v>463</v>
      </c>
      <c r="AT25" s="2629"/>
      <c r="AU25" s="225" t="s">
        <v>1667</v>
      </c>
      <c r="AV25" s="206" t="s">
        <v>2142</v>
      </c>
      <c r="AW25" s="226" t="s">
        <v>1667</v>
      </c>
      <c r="AX25" s="207" t="s">
        <v>2142</v>
      </c>
    </row>
    <row r="26" spans="1:62" s="98" customFormat="1" ht="15" customHeight="1">
      <c r="A26" s="99"/>
      <c r="B26" s="161"/>
      <c r="C26" s="180" t="s">
        <v>2872</v>
      </c>
      <c r="D26" s="162"/>
      <c r="E26" s="162"/>
      <c r="F26" s="162"/>
      <c r="G26" s="163"/>
      <c r="H26" s="163"/>
      <c r="I26" s="94"/>
      <c r="J26" s="159"/>
      <c r="K26" s="94"/>
      <c r="L26" s="94"/>
      <c r="M26" s="94"/>
      <c r="N26" s="94"/>
      <c r="O26" s="94"/>
      <c r="P26" s="94"/>
      <c r="Q26" s="160"/>
      <c r="R26" s="159"/>
      <c r="S26" s="94"/>
      <c r="T26" s="94"/>
      <c r="U26" s="94"/>
      <c r="V26" s="160"/>
      <c r="W26" s="2629"/>
      <c r="X26" s="94"/>
      <c r="Y26" s="159"/>
      <c r="Z26" s="94"/>
      <c r="AA26" s="94"/>
      <c r="AB26" s="94"/>
      <c r="AC26" s="94"/>
      <c r="AD26" s="94"/>
      <c r="AE26" s="94"/>
      <c r="AF26" s="160"/>
      <c r="AG26" s="159"/>
      <c r="AH26" s="94"/>
      <c r="AI26" s="94"/>
      <c r="AJ26" s="94"/>
      <c r="AK26" s="160"/>
      <c r="AL26" s="2629"/>
      <c r="AM26" s="94"/>
      <c r="AN26" s="159"/>
      <c r="AO26" s="94"/>
      <c r="AP26" s="94"/>
      <c r="AQ26" s="94"/>
      <c r="AR26" s="94"/>
      <c r="AS26" s="160"/>
      <c r="AT26" s="2629"/>
      <c r="AU26" s="2629"/>
      <c r="AV26" s="2629"/>
      <c r="AW26" s="185"/>
      <c r="AX26" s="215"/>
    </row>
    <row r="27" spans="1:62" s="98" customFormat="1" ht="15" customHeight="1">
      <c r="A27" s="99"/>
      <c r="B27" s="161"/>
      <c r="C27" s="185"/>
      <c r="D27" s="162" t="s">
        <v>2862</v>
      </c>
      <c r="E27" s="162"/>
      <c r="F27" s="162"/>
      <c r="G27" s="162"/>
      <c r="H27" s="163"/>
      <c r="I27" s="607" t="s">
        <v>2233</v>
      </c>
      <c r="J27" s="143">
        <v>351.55455794281966</v>
      </c>
      <c r="K27" s="141">
        <v>396.76186366681276</v>
      </c>
      <c r="L27" s="141">
        <v>375.77650520649388</v>
      </c>
      <c r="M27" s="141">
        <v>396.99831179354953</v>
      </c>
      <c r="N27" s="141">
        <v>417.33204775413714</v>
      </c>
      <c r="O27" s="141">
        <v>386.38404113821139</v>
      </c>
      <c r="P27" s="141">
        <v>181.46262070004909</v>
      </c>
      <c r="Q27" s="144">
        <v>172.23162374662439</v>
      </c>
      <c r="R27" s="143">
        <v>170.29433383032725</v>
      </c>
      <c r="S27" s="141">
        <v>170.85055618076089</v>
      </c>
      <c r="T27" s="141">
        <v>171.39563524720842</v>
      </c>
      <c r="U27" s="141">
        <v>171.93132974333164</v>
      </c>
      <c r="V27" s="144">
        <v>172.45902938177014</v>
      </c>
      <c r="W27" s="2629"/>
      <c r="X27" s="607" t="s">
        <v>2233</v>
      </c>
      <c r="Y27" s="143">
        <v>-4.6894753533568911</v>
      </c>
      <c r="Z27" s="141">
        <v>-6.407838363273453</v>
      </c>
      <c r="AA27" s="141">
        <v>-4.5637230602006689</v>
      </c>
      <c r="AB27" s="141">
        <v>-7.6784123233695656</v>
      </c>
      <c r="AC27" s="141">
        <v>-6.3077307154213038</v>
      </c>
      <c r="AD27" s="141">
        <v>-6.832351390476191</v>
      </c>
      <c r="AE27" s="141">
        <v>0</v>
      </c>
      <c r="AF27" s="144">
        <v>0</v>
      </c>
      <c r="AG27" s="143">
        <v>0</v>
      </c>
      <c r="AH27" s="141">
        <v>0</v>
      </c>
      <c r="AI27" s="141">
        <v>0</v>
      </c>
      <c r="AJ27" s="141">
        <v>0</v>
      </c>
      <c r="AK27" s="144">
        <v>0</v>
      </c>
      <c r="AL27" s="2629"/>
      <c r="AM27" s="607" t="s">
        <v>2233</v>
      </c>
      <c r="AN27" s="143">
        <v>-4.9175112516087323</v>
      </c>
      <c r="AO27" s="141">
        <v>-4.9246786389481736</v>
      </c>
      <c r="AP27" s="141">
        <v>-6.4461470155004168</v>
      </c>
      <c r="AQ27" s="141">
        <v>7.0533047945924041</v>
      </c>
      <c r="AR27" s="141">
        <v>-12.953412120031587</v>
      </c>
      <c r="AS27" s="144">
        <v>2.1765812506036271E-2</v>
      </c>
      <c r="AT27" s="2629"/>
      <c r="AU27" s="607" t="s">
        <v>2233</v>
      </c>
      <c r="AV27" s="141">
        <v>14383.391999901974</v>
      </c>
      <c r="AW27" s="227" t="s">
        <v>2233</v>
      </c>
      <c r="AX27" s="130">
        <f>SUM(AV27,J27:N27,Y27:AC27,AN27:AR27)</f>
        <v>16269.979662218666</v>
      </c>
    </row>
    <row r="28" spans="1:62" s="98" customFormat="1" ht="15" customHeight="1">
      <c r="A28" s="99"/>
      <c r="B28" s="161"/>
      <c r="C28" s="185"/>
      <c r="D28" s="162" t="s">
        <v>2863</v>
      </c>
      <c r="E28" s="162"/>
      <c r="F28" s="162"/>
      <c r="G28" s="162"/>
      <c r="H28" s="163"/>
      <c r="I28" s="607" t="s">
        <v>2233</v>
      </c>
      <c r="J28" s="143">
        <v>90.683533930331919</v>
      </c>
      <c r="K28" s="141">
        <v>101.26035573081981</v>
      </c>
      <c r="L28" s="141">
        <v>83.485715135289084</v>
      </c>
      <c r="M28" s="141">
        <v>94.146021818022902</v>
      </c>
      <c r="N28" s="141">
        <v>105.59882333420892</v>
      </c>
      <c r="O28" s="141">
        <v>132.96737829268292</v>
      </c>
      <c r="P28" s="141">
        <v>301.18264732814771</v>
      </c>
      <c r="Q28" s="144">
        <v>290.8010201001012</v>
      </c>
      <c r="R28" s="143">
        <v>268.76758244401424</v>
      </c>
      <c r="S28" s="141">
        <v>269.66102559312992</v>
      </c>
      <c r="T28" s="141">
        <v>270.53656962199585</v>
      </c>
      <c r="U28" s="141">
        <v>271.39703949920795</v>
      </c>
      <c r="V28" s="144">
        <v>272.24466747817377</v>
      </c>
      <c r="W28" s="2629"/>
      <c r="X28" s="607" t="s">
        <v>2233</v>
      </c>
      <c r="Y28" s="143">
        <v>-1.6109764134275619</v>
      </c>
      <c r="Z28" s="141">
        <v>-1.1539720558882238</v>
      </c>
      <c r="AA28" s="141">
        <v>-1.427984933110368</v>
      </c>
      <c r="AB28" s="141">
        <v>-1.4917275815217392</v>
      </c>
      <c r="AC28" s="141">
        <v>-4.1288486168521468</v>
      </c>
      <c r="AD28" s="141">
        <v>-2.3328152380952383</v>
      </c>
      <c r="AE28" s="141">
        <v>0</v>
      </c>
      <c r="AF28" s="144">
        <v>0</v>
      </c>
      <c r="AG28" s="143">
        <v>0</v>
      </c>
      <c r="AH28" s="141">
        <v>0</v>
      </c>
      <c r="AI28" s="141">
        <v>0</v>
      </c>
      <c r="AJ28" s="141">
        <v>0</v>
      </c>
      <c r="AK28" s="144">
        <v>0</v>
      </c>
      <c r="AL28" s="2629"/>
      <c r="AM28" s="607" t="s">
        <v>2233</v>
      </c>
      <c r="AN28" s="143">
        <v>-1.1764920512949133</v>
      </c>
      <c r="AO28" s="141">
        <v>-1.0766115478976397</v>
      </c>
      <c r="AP28" s="141">
        <v>-0.81464696192206121</v>
      </c>
      <c r="AQ28" s="141">
        <v>0.10960971154823884</v>
      </c>
      <c r="AR28" s="141">
        <v>-2.4316956591365253</v>
      </c>
      <c r="AS28" s="144">
        <v>1.3312724399397835</v>
      </c>
      <c r="AT28" s="2629"/>
      <c r="AU28" s="607" t="s">
        <v>2233</v>
      </c>
      <c r="AV28" s="141">
        <v>2914.0632173368626</v>
      </c>
      <c r="AW28" s="227" t="s">
        <v>2233</v>
      </c>
      <c r="AX28" s="130">
        <f t="shared" ref="AX28:AX35" si="12">SUM(AV28,J28:N28,Y28:AC28,AN28:AR28)</f>
        <v>3374.0343211760319</v>
      </c>
    </row>
    <row r="29" spans="1:62" s="98" customFormat="1" ht="15" customHeight="1">
      <c r="A29" s="99"/>
      <c r="B29" s="161"/>
      <c r="C29" s="185"/>
      <c r="D29" s="162" t="s">
        <v>2864</v>
      </c>
      <c r="E29" s="162"/>
      <c r="F29" s="162"/>
      <c r="G29" s="162"/>
      <c r="H29" s="163"/>
      <c r="I29" s="607" t="s">
        <v>2233</v>
      </c>
      <c r="J29" s="143">
        <v>52.397171531383506</v>
      </c>
      <c r="K29" s="141">
        <v>61.006157282770715</v>
      </c>
      <c r="L29" s="141">
        <v>57.564221532326968</v>
      </c>
      <c r="M29" s="141">
        <v>45.260147539550736</v>
      </c>
      <c r="N29" s="141">
        <v>47.867105717537868</v>
      </c>
      <c r="O29" s="141">
        <v>60.4296125203252</v>
      </c>
      <c r="P29" s="141">
        <v>64.654794146119613</v>
      </c>
      <c r="Q29" s="144">
        <v>59.612972200502995</v>
      </c>
      <c r="R29" s="143">
        <v>98.703891662513215</v>
      </c>
      <c r="S29" s="141">
        <v>98.989020090301068</v>
      </c>
      <c r="T29" s="141">
        <v>99.268436293398821</v>
      </c>
      <c r="U29" s="141">
        <v>99.543041816415169</v>
      </c>
      <c r="V29" s="144">
        <v>99.81354904816321</v>
      </c>
      <c r="W29" s="2629"/>
      <c r="X29" s="607" t="s">
        <v>2233</v>
      </c>
      <c r="Y29" s="143">
        <v>-3.5440371024734985</v>
      </c>
      <c r="Z29" s="141">
        <v>-1.7959848303393215</v>
      </c>
      <c r="AA29" s="141">
        <v>-2.7063829431438129</v>
      </c>
      <c r="AB29" s="141">
        <v>-2.7847940217391307</v>
      </c>
      <c r="AC29" s="141">
        <v>-1.9596670270270271</v>
      </c>
      <c r="AD29" s="141">
        <v>-2.504097523809524</v>
      </c>
      <c r="AE29" s="141">
        <v>0</v>
      </c>
      <c r="AF29" s="144">
        <v>0</v>
      </c>
      <c r="AG29" s="143">
        <v>0</v>
      </c>
      <c r="AH29" s="141">
        <v>0</v>
      </c>
      <c r="AI29" s="141">
        <v>0</v>
      </c>
      <c r="AJ29" s="141">
        <v>0</v>
      </c>
      <c r="AK29" s="144">
        <v>0</v>
      </c>
      <c r="AL29" s="2629"/>
      <c r="AM29" s="607" t="s">
        <v>2233</v>
      </c>
      <c r="AN29" s="143">
        <v>-0.67243954401017181</v>
      </c>
      <c r="AO29" s="141">
        <v>-1.6312453401708134</v>
      </c>
      <c r="AP29" s="141">
        <v>3.6606266625211337</v>
      </c>
      <c r="AQ29" s="141">
        <v>0.3889696815692128</v>
      </c>
      <c r="AR29" s="141">
        <v>-0.28035170739486176</v>
      </c>
      <c r="AS29" s="144">
        <v>-2.8265000270847707E-2</v>
      </c>
      <c r="AT29" s="2629"/>
      <c r="AU29" s="607" t="s">
        <v>2233</v>
      </c>
      <c r="AV29" s="141">
        <v>1328.7491155089276</v>
      </c>
      <c r="AW29" s="227" t="s">
        <v>2233</v>
      </c>
      <c r="AX29" s="130">
        <f t="shared" si="12"/>
        <v>1581.5186129402889</v>
      </c>
    </row>
    <row r="30" spans="1:62" s="98" customFormat="1" ht="15" customHeight="1">
      <c r="A30" s="99"/>
      <c r="B30" s="161"/>
      <c r="C30" s="185"/>
      <c r="D30" s="162" t="s">
        <v>2865</v>
      </c>
      <c r="E30" s="162"/>
      <c r="F30" s="162"/>
      <c r="G30" s="162"/>
      <c r="H30" s="163"/>
      <c r="I30" s="607" t="s">
        <v>2233</v>
      </c>
      <c r="J30" s="143">
        <v>1.7591544528425895</v>
      </c>
      <c r="K30" s="141">
        <v>1.7648174484875054</v>
      </c>
      <c r="L30" s="141">
        <v>2.0030956992309883</v>
      </c>
      <c r="M30" s="141">
        <v>2.4001593392185998</v>
      </c>
      <c r="N30" s="141">
        <v>2.2646073023377986</v>
      </c>
      <c r="O30" s="141">
        <v>3.7228714634146343</v>
      </c>
      <c r="P30" s="141">
        <v>19.787951862258414</v>
      </c>
      <c r="Q30" s="144">
        <v>17.501811993756515</v>
      </c>
      <c r="R30" s="143">
        <v>24.389495383262837</v>
      </c>
      <c r="S30" s="141">
        <v>24.523120531705622</v>
      </c>
      <c r="T30" s="141">
        <v>24.656745680148411</v>
      </c>
      <c r="U30" s="141">
        <v>24.7903708285912</v>
      </c>
      <c r="V30" s="144">
        <v>24.923995977033986</v>
      </c>
      <c r="W30" s="2629"/>
      <c r="X30" s="607" t="s">
        <v>2233</v>
      </c>
      <c r="Y30" s="143">
        <v>-0.10099823321554771</v>
      </c>
      <c r="Z30" s="141">
        <v>0</v>
      </c>
      <c r="AA30" s="141">
        <v>0</v>
      </c>
      <c r="AB30" s="141">
        <v>0</v>
      </c>
      <c r="AC30" s="141">
        <v>-6.3879173290937999E-3</v>
      </c>
      <c r="AD30" s="141">
        <v>0</v>
      </c>
      <c r="AE30" s="141"/>
      <c r="AF30" s="144"/>
      <c r="AG30" s="143"/>
      <c r="AH30" s="141"/>
      <c r="AI30" s="141"/>
      <c r="AJ30" s="141"/>
      <c r="AK30" s="144">
        <v>0</v>
      </c>
      <c r="AL30" s="2629"/>
      <c r="AM30" s="607" t="s">
        <v>2233</v>
      </c>
      <c r="AN30" s="143">
        <v>2.288584840375793E-2</v>
      </c>
      <c r="AO30" s="141">
        <v>2.6793188375133743E-2</v>
      </c>
      <c r="AP30" s="141">
        <v>9.5841467583504692E-3</v>
      </c>
      <c r="AQ30" s="141">
        <v>-1.340217610181205E-2</v>
      </c>
      <c r="AR30" s="141">
        <v>-6.9773928060233498E-2</v>
      </c>
      <c r="AS30" s="144">
        <v>1.7862125583424853E-2</v>
      </c>
      <c r="AT30" s="2629"/>
      <c r="AU30" s="607" t="s">
        <v>2233</v>
      </c>
      <c r="AV30" s="141">
        <v>22.234010606325171</v>
      </c>
      <c r="AW30" s="227" t="s">
        <v>2233</v>
      </c>
      <c r="AX30" s="130">
        <f t="shared" si="12"/>
        <v>32.294545777273207</v>
      </c>
    </row>
    <row r="31" spans="1:62" s="98" customFormat="1" ht="15" customHeight="1">
      <c r="A31" s="99"/>
      <c r="B31" s="161"/>
      <c r="C31" s="185"/>
      <c r="D31" s="162" t="s">
        <v>2866</v>
      </c>
      <c r="E31" s="162"/>
      <c r="F31" s="162"/>
      <c r="G31" s="162"/>
      <c r="H31" s="163"/>
      <c r="I31" s="607" t="s">
        <v>2233</v>
      </c>
      <c r="J31" s="143">
        <v>17.255422116332564</v>
      </c>
      <c r="K31" s="141">
        <v>19.340192003507237</v>
      </c>
      <c r="L31" s="141">
        <v>13.6527419538593</v>
      </c>
      <c r="M31" s="141">
        <v>9.2198755353552997</v>
      </c>
      <c r="N31" s="141">
        <v>15.981152797478329</v>
      </c>
      <c r="O31" s="141">
        <v>19.356472276422767</v>
      </c>
      <c r="P31" s="141">
        <v>18.371302815507146</v>
      </c>
      <c r="Q31" s="144">
        <v>15.762343909326082</v>
      </c>
      <c r="R31" s="143">
        <v>17.14569549971862</v>
      </c>
      <c r="S31" s="141">
        <v>17.246278717967943</v>
      </c>
      <c r="T31" s="141">
        <v>17.346861936217266</v>
      </c>
      <c r="U31" s="141">
        <v>17.447445154466589</v>
      </c>
      <c r="V31" s="144">
        <v>17.548028372715912</v>
      </c>
      <c r="W31" s="2629"/>
      <c r="X31" s="607" t="s">
        <v>2233</v>
      </c>
      <c r="Y31" s="143">
        <v>-0.68032773851590111</v>
      </c>
      <c r="Z31" s="141">
        <v>-0.79767265469061877</v>
      </c>
      <c r="AA31" s="141">
        <v>-0.75789297658862875</v>
      </c>
      <c r="AB31" s="141">
        <v>-0.49753736413043481</v>
      </c>
      <c r="AC31" s="141">
        <v>-1.1726391096979332</v>
      </c>
      <c r="AD31" s="141">
        <v>-0.3892473904761905</v>
      </c>
      <c r="AE31" s="141">
        <v>0</v>
      </c>
      <c r="AF31" s="144">
        <v>0</v>
      </c>
      <c r="AG31" s="143">
        <v>0</v>
      </c>
      <c r="AH31" s="141">
        <v>0</v>
      </c>
      <c r="AI31" s="141">
        <v>0</v>
      </c>
      <c r="AJ31" s="141">
        <v>0</v>
      </c>
      <c r="AK31" s="144">
        <v>0</v>
      </c>
      <c r="AL31" s="2629"/>
      <c r="AM31" s="607" t="s">
        <v>2233</v>
      </c>
      <c r="AN31" s="143">
        <v>-5.3249942553388586E-2</v>
      </c>
      <c r="AO31" s="141">
        <v>-0.1416437361265962</v>
      </c>
      <c r="AP31" s="141">
        <v>0.37703574604635021</v>
      </c>
      <c r="AQ31" s="141">
        <v>0.13120826869108088</v>
      </c>
      <c r="AR31" s="141">
        <v>0.21378178927198113</v>
      </c>
      <c r="AS31" s="144">
        <v>-0.92879933505288559</v>
      </c>
      <c r="AT31" s="2629"/>
      <c r="AU31" s="607" t="s">
        <v>2233</v>
      </c>
      <c r="AV31" s="141">
        <v>465.53947616150759</v>
      </c>
      <c r="AW31" s="227" t="s">
        <v>2233</v>
      </c>
      <c r="AX31" s="130">
        <f t="shared" si="12"/>
        <v>537.60992284974623</v>
      </c>
    </row>
    <row r="32" spans="1:62" s="98" customFormat="1" ht="15" customHeight="1">
      <c r="A32" s="99"/>
      <c r="B32" s="161"/>
      <c r="C32" s="185"/>
      <c r="D32" s="162" t="s">
        <v>2867</v>
      </c>
      <c r="E32" s="162"/>
      <c r="F32" s="162"/>
      <c r="G32" s="162"/>
      <c r="H32" s="163"/>
      <c r="I32" s="607" t="s">
        <v>2233</v>
      </c>
      <c r="J32" s="143">
        <v>17.775880108445612</v>
      </c>
      <c r="K32" s="141">
        <v>17.541201183691367</v>
      </c>
      <c r="L32" s="141">
        <v>11.224849330675021</v>
      </c>
      <c r="M32" s="141">
        <v>8.0737047460886284</v>
      </c>
      <c r="N32" s="141">
        <v>13.266649347692846</v>
      </c>
      <c r="O32" s="141">
        <v>14.674741382113822</v>
      </c>
      <c r="P32" s="141">
        <v>5.9014505982302889</v>
      </c>
      <c r="Q32" s="144">
        <v>4.6473230486529697</v>
      </c>
      <c r="R32" s="143">
        <v>12.4386362178263</v>
      </c>
      <c r="S32" s="141">
        <v>12.499678185474535</v>
      </c>
      <c r="T32" s="141">
        <v>12.560720153122768</v>
      </c>
      <c r="U32" s="141">
        <v>12.621762120771001</v>
      </c>
      <c r="V32" s="144">
        <v>12.682804088419235</v>
      </c>
      <c r="W32" s="2629"/>
      <c r="X32" s="607" t="s">
        <v>2233</v>
      </c>
      <c r="Y32" s="143">
        <v>-0.47041519434628976</v>
      </c>
      <c r="Z32" s="141">
        <v>-1.1944031936127744</v>
      </c>
      <c r="AA32" s="141">
        <v>-0.10443060200668895</v>
      </c>
      <c r="AB32" s="141">
        <v>-0.48382744565217395</v>
      </c>
      <c r="AC32" s="141">
        <v>-0.27741812400635929</v>
      </c>
      <c r="AD32" s="141">
        <v>-0.34203428571428574</v>
      </c>
      <c r="AE32" s="141">
        <v>0</v>
      </c>
      <c r="AF32" s="144">
        <v>0</v>
      </c>
      <c r="AG32" s="143">
        <v>0</v>
      </c>
      <c r="AH32" s="141">
        <v>0</v>
      </c>
      <c r="AI32" s="141">
        <v>0</v>
      </c>
      <c r="AJ32" s="141">
        <v>0</v>
      </c>
      <c r="AK32" s="144">
        <v>0</v>
      </c>
      <c r="AL32" s="2629"/>
      <c r="AM32" s="607" t="s">
        <v>2233</v>
      </c>
      <c r="AN32" s="143">
        <v>1.9335870542672703E-2</v>
      </c>
      <c r="AO32" s="141">
        <v>2.1839175211132583E-2</v>
      </c>
      <c r="AP32" s="141">
        <v>-0.24259995511226315</v>
      </c>
      <c r="AQ32" s="141">
        <v>-5.6652054566148871E-2</v>
      </c>
      <c r="AR32" s="141">
        <v>-0.37894853429615472</v>
      </c>
      <c r="AS32" s="144">
        <v>-8.423636194750507E-2</v>
      </c>
      <c r="AT32" s="2629"/>
      <c r="AU32" s="607" t="s">
        <v>2233</v>
      </c>
      <c r="AV32" s="141">
        <v>219.65468047122764</v>
      </c>
      <c r="AW32" s="227" t="s">
        <v>2233</v>
      </c>
      <c r="AX32" s="130">
        <f t="shared" si="12"/>
        <v>284.36944512997599</v>
      </c>
    </row>
    <row r="33" spans="1:50" s="98" customFormat="1" ht="15" customHeight="1">
      <c r="A33" s="99"/>
      <c r="B33" s="161"/>
      <c r="C33" s="185"/>
      <c r="D33" s="162" t="s">
        <v>2868</v>
      </c>
      <c r="E33" s="162"/>
      <c r="F33" s="162"/>
      <c r="G33" s="162"/>
      <c r="H33" s="163"/>
      <c r="I33" s="607" t="s">
        <v>2233</v>
      </c>
      <c r="J33" s="143">
        <v>4.9067042392375946</v>
      </c>
      <c r="K33" s="141">
        <v>4.2019693555458133</v>
      </c>
      <c r="L33" s="141">
        <v>2.5767160353175731</v>
      </c>
      <c r="M33" s="141">
        <v>1.3336377064941876</v>
      </c>
      <c r="N33" s="141">
        <v>3.291851851851852</v>
      </c>
      <c r="O33" s="141">
        <v>1.7869349593495936</v>
      </c>
      <c r="P33" s="141">
        <v>0.48662417627498455</v>
      </c>
      <c r="Q33" s="144">
        <v>0.33472613421115033</v>
      </c>
      <c r="R33" s="143">
        <v>1.0630715874347081</v>
      </c>
      <c r="S33" s="141">
        <v>1.0682212530943638</v>
      </c>
      <c r="T33" s="141">
        <v>1.0733709187540197</v>
      </c>
      <c r="U33" s="141">
        <v>1.0785205844136754</v>
      </c>
      <c r="V33" s="144">
        <v>1.0836702500733313</v>
      </c>
      <c r="W33" s="2629"/>
      <c r="X33" s="607" t="s">
        <v>2233</v>
      </c>
      <c r="Y33" s="143">
        <v>-2.6386925795053005E-2</v>
      </c>
      <c r="Z33" s="141">
        <v>-0.21226347305389223</v>
      </c>
      <c r="AA33" s="141">
        <v>-1.4100334448160536E-2</v>
      </c>
      <c r="AB33" s="141">
        <v>-8.0490489130434786E-2</v>
      </c>
      <c r="AC33" s="141">
        <v>-1.27758346581876E-2</v>
      </c>
      <c r="AD33" s="141">
        <v>-2.0327619047619049E-2</v>
      </c>
      <c r="AE33" s="141">
        <v>0</v>
      </c>
      <c r="AF33" s="144">
        <v>0</v>
      </c>
      <c r="AG33" s="143">
        <v>0</v>
      </c>
      <c r="AH33" s="141">
        <v>0</v>
      </c>
      <c r="AI33" s="141">
        <v>0</v>
      </c>
      <c r="AJ33" s="141">
        <v>0</v>
      </c>
      <c r="AK33" s="144">
        <v>0</v>
      </c>
      <c r="AL33" s="2629"/>
      <c r="AM33" s="607" t="s">
        <v>2233</v>
      </c>
      <c r="AN33" s="143">
        <v>-4.4248496729120471E-3</v>
      </c>
      <c r="AO33" s="141">
        <v>-0.11688977885942503</v>
      </c>
      <c r="AP33" s="141">
        <v>-8.0016031585212425E-4</v>
      </c>
      <c r="AQ33" s="141">
        <v>2.0833667209971159E-2</v>
      </c>
      <c r="AR33" s="141">
        <v>0.16740681262516779</v>
      </c>
      <c r="AS33" s="144">
        <v>0.20907783441982195</v>
      </c>
      <c r="AT33" s="2629"/>
      <c r="AU33" s="607" t="s">
        <v>2233</v>
      </c>
      <c r="AV33" s="141">
        <v>26.078445145940673</v>
      </c>
      <c r="AW33" s="227" t="s">
        <v>2233</v>
      </c>
      <c r="AX33" s="130">
        <f t="shared" si="12"/>
        <v>42.109432968288914</v>
      </c>
    </row>
    <row r="34" spans="1:50" s="98" customFormat="1" ht="15" customHeight="1">
      <c r="A34" s="99"/>
      <c r="B34" s="161"/>
      <c r="C34" s="185"/>
      <c r="D34" s="162" t="s">
        <v>2869</v>
      </c>
      <c r="E34" s="162"/>
      <c r="F34" s="162"/>
      <c r="G34" s="162"/>
      <c r="H34" s="163"/>
      <c r="I34" s="607" t="s">
        <v>2233</v>
      </c>
      <c r="J34" s="143">
        <v>1.6615862635557017</v>
      </c>
      <c r="K34" s="141">
        <v>1.0503713283647522</v>
      </c>
      <c r="L34" s="141">
        <v>2.2588407861008259</v>
      </c>
      <c r="M34" s="141">
        <v>0.6779891617865571</v>
      </c>
      <c r="N34" s="141">
        <v>0.93774975921548021</v>
      </c>
      <c r="O34" s="141">
        <v>2.6625040650406504</v>
      </c>
      <c r="P34" s="141">
        <v>0</v>
      </c>
      <c r="Q34" s="144">
        <v>0</v>
      </c>
      <c r="R34" s="143">
        <v>0</v>
      </c>
      <c r="S34" s="141">
        <v>0</v>
      </c>
      <c r="T34" s="141">
        <v>0</v>
      </c>
      <c r="U34" s="141">
        <v>0</v>
      </c>
      <c r="V34" s="144">
        <v>0</v>
      </c>
      <c r="W34" s="2629"/>
      <c r="X34" s="607" t="s">
        <v>2233</v>
      </c>
      <c r="Y34" s="143">
        <v>-2.9116607773851593E-2</v>
      </c>
      <c r="Z34" s="141">
        <v>0</v>
      </c>
      <c r="AA34" s="141">
        <v>0</v>
      </c>
      <c r="AB34" s="141">
        <v>-1.326766304347826E-2</v>
      </c>
      <c r="AC34" s="141">
        <v>-0.12045786963434023</v>
      </c>
      <c r="AD34" s="141">
        <v>-7.7775238095238092E-2</v>
      </c>
      <c r="AE34" s="141">
        <v>0</v>
      </c>
      <c r="AF34" s="144">
        <v>0</v>
      </c>
      <c r="AG34" s="143">
        <v>0</v>
      </c>
      <c r="AH34" s="141">
        <v>0</v>
      </c>
      <c r="AI34" s="141">
        <v>0</v>
      </c>
      <c r="AJ34" s="141">
        <v>0</v>
      </c>
      <c r="AK34" s="144">
        <v>0</v>
      </c>
      <c r="AL34" s="2629"/>
      <c r="AM34" s="607" t="s">
        <v>2233</v>
      </c>
      <c r="AN34" s="143">
        <v>-2.4015352622739719E-3</v>
      </c>
      <c r="AO34" s="141">
        <v>-0.14595997649598386</v>
      </c>
      <c r="AP34" s="141">
        <v>-4.1626611212749777E-2</v>
      </c>
      <c r="AQ34" s="141">
        <v>2.2681166365919832E-2</v>
      </c>
      <c r="AR34" s="141">
        <v>-5.3394133997892827E-3</v>
      </c>
      <c r="AS34" s="144">
        <v>-1.237057497322505E-2</v>
      </c>
      <c r="AT34" s="2629"/>
      <c r="AU34" s="607" t="s">
        <v>2233</v>
      </c>
      <c r="AV34" s="141">
        <v>10.398564110343649</v>
      </c>
      <c r="AW34" s="227" t="s">
        <v>2233</v>
      </c>
      <c r="AX34" s="130">
        <f t="shared" si="12"/>
        <v>16.649612898910426</v>
      </c>
    </row>
    <row r="35" spans="1:50" s="98" customFormat="1" ht="15" customHeight="1">
      <c r="A35" s="99"/>
      <c r="B35" s="161"/>
      <c r="C35" s="185"/>
      <c r="D35" s="162" t="s">
        <v>2870</v>
      </c>
      <c r="E35" s="162"/>
      <c r="F35" s="162"/>
      <c r="G35" s="162"/>
      <c r="H35" s="163"/>
      <c r="I35" s="607" t="s">
        <v>2233</v>
      </c>
      <c r="J35" s="143">
        <v>0</v>
      </c>
      <c r="K35" s="141">
        <v>0</v>
      </c>
      <c r="L35" s="141">
        <v>0</v>
      </c>
      <c r="M35" s="141">
        <v>0</v>
      </c>
      <c r="N35" s="141">
        <v>0</v>
      </c>
      <c r="O35" s="141">
        <v>0</v>
      </c>
      <c r="P35" s="141">
        <v>0</v>
      </c>
      <c r="Q35" s="144">
        <v>0</v>
      </c>
      <c r="R35" s="143">
        <v>0</v>
      </c>
      <c r="S35" s="141">
        <v>0</v>
      </c>
      <c r="T35" s="141">
        <v>0</v>
      </c>
      <c r="U35" s="141">
        <v>0</v>
      </c>
      <c r="V35" s="144">
        <v>0</v>
      </c>
      <c r="W35" s="2629"/>
      <c r="X35" s="607" t="s">
        <v>2233</v>
      </c>
      <c r="Y35" s="143">
        <v>0</v>
      </c>
      <c r="Z35" s="141">
        <v>0</v>
      </c>
      <c r="AA35" s="141">
        <v>0</v>
      </c>
      <c r="AB35" s="141">
        <v>0</v>
      </c>
      <c r="AC35" s="141">
        <v>0</v>
      </c>
      <c r="AD35" s="141">
        <v>0</v>
      </c>
      <c r="AE35" s="141">
        <v>0</v>
      </c>
      <c r="AF35" s="144">
        <v>0</v>
      </c>
      <c r="AG35" s="143">
        <v>0</v>
      </c>
      <c r="AH35" s="141">
        <v>0</v>
      </c>
      <c r="AI35" s="141">
        <v>0</v>
      </c>
      <c r="AJ35" s="141">
        <v>0</v>
      </c>
      <c r="AK35" s="144">
        <v>0</v>
      </c>
      <c r="AL35" s="2629"/>
      <c r="AM35" s="607" t="s">
        <v>2233</v>
      </c>
      <c r="AN35" s="143">
        <v>0</v>
      </c>
      <c r="AO35" s="141">
        <v>0</v>
      </c>
      <c r="AP35" s="141">
        <v>0</v>
      </c>
      <c r="AQ35" s="141">
        <v>0</v>
      </c>
      <c r="AR35" s="141">
        <v>0</v>
      </c>
      <c r="AS35" s="144">
        <v>0</v>
      </c>
      <c r="AT35" s="2629"/>
      <c r="AU35" s="607" t="s">
        <v>2233</v>
      </c>
      <c r="AV35" s="141">
        <v>0</v>
      </c>
      <c r="AW35" s="227" t="s">
        <v>2233</v>
      </c>
      <c r="AX35" s="130">
        <f t="shared" si="12"/>
        <v>0</v>
      </c>
    </row>
    <row r="36" spans="1:50" s="98" customFormat="1" ht="15" customHeight="1">
      <c r="A36" s="99"/>
      <c r="B36" s="181"/>
      <c r="D36" s="182" t="s">
        <v>1710</v>
      </c>
      <c r="E36" s="182"/>
      <c r="F36" s="182"/>
      <c r="G36" s="184"/>
      <c r="H36" s="184"/>
      <c r="I36" s="607" t="s">
        <v>2233</v>
      </c>
      <c r="J36" s="128">
        <f>SUM(J27:J35)</f>
        <v>537.99401058494902</v>
      </c>
      <c r="K36" s="129">
        <f t="shared" ref="K36:V36" si="13">SUM(K27:K35)</f>
        <v>602.92692799999998</v>
      </c>
      <c r="L36" s="129">
        <f t="shared" si="13"/>
        <v>548.54268567929364</v>
      </c>
      <c r="M36" s="129">
        <f t="shared" si="13"/>
        <v>558.10984764006639</v>
      </c>
      <c r="N36" s="129">
        <f t="shared" si="13"/>
        <v>606.53998786446039</v>
      </c>
      <c r="O36" s="129">
        <f t="shared" si="13"/>
        <v>621.98455609756093</v>
      </c>
      <c r="P36" s="129">
        <f t="shared" si="13"/>
        <v>591.8473916265873</v>
      </c>
      <c r="Q36" s="130">
        <f t="shared" si="13"/>
        <v>560.89182113317531</v>
      </c>
      <c r="R36" s="128">
        <f t="shared" si="13"/>
        <v>592.80270662509713</v>
      </c>
      <c r="S36" s="129">
        <f t="shared" si="13"/>
        <v>594.83790055243446</v>
      </c>
      <c r="T36" s="129">
        <f t="shared" si="13"/>
        <v>596.83833985084561</v>
      </c>
      <c r="U36" s="129">
        <f t="shared" si="13"/>
        <v>598.80950974719724</v>
      </c>
      <c r="V36" s="130">
        <f t="shared" si="13"/>
        <v>600.75574459634947</v>
      </c>
      <c r="W36" s="2629"/>
      <c r="X36" s="607" t="s">
        <v>2233</v>
      </c>
      <c r="Y36" s="128">
        <f>SUM(Y27:Y35)</f>
        <v>-11.151733568904593</v>
      </c>
      <c r="Z36" s="129">
        <f t="shared" ref="Z36:AK36" si="14">SUM(Z27:Z35)</f>
        <v>-11.562134570858285</v>
      </c>
      <c r="AA36" s="129">
        <f t="shared" si="14"/>
        <v>-9.5745148494983283</v>
      </c>
      <c r="AB36" s="129">
        <f t="shared" si="14"/>
        <v>-13.030056888586959</v>
      </c>
      <c r="AC36" s="129">
        <f t="shared" si="14"/>
        <v>-13.985925214626391</v>
      </c>
      <c r="AD36" s="129">
        <f t="shared" si="14"/>
        <v>-12.498648685714286</v>
      </c>
      <c r="AE36" s="129">
        <f t="shared" si="14"/>
        <v>0</v>
      </c>
      <c r="AF36" s="130">
        <f t="shared" si="14"/>
        <v>0</v>
      </c>
      <c r="AG36" s="128">
        <f t="shared" si="14"/>
        <v>0</v>
      </c>
      <c r="AH36" s="129">
        <f t="shared" si="14"/>
        <v>0</v>
      </c>
      <c r="AI36" s="129">
        <f t="shared" si="14"/>
        <v>0</v>
      </c>
      <c r="AJ36" s="129">
        <f t="shared" si="14"/>
        <v>0</v>
      </c>
      <c r="AK36" s="130">
        <f t="shared" si="14"/>
        <v>0</v>
      </c>
      <c r="AL36" s="2629"/>
      <c r="AM36" s="607" t="s">
        <v>2233</v>
      </c>
      <c r="AN36" s="128">
        <f>SUM(AN27:AN35)</f>
        <v>-6.7842974554559623</v>
      </c>
      <c r="AO36" s="129">
        <f t="shared" ref="AO36:AS36" si="15">SUM(AO27:AO35)</f>
        <v>-7.9883966549123659</v>
      </c>
      <c r="AP36" s="129">
        <f t="shared" si="15"/>
        <v>-3.4985741487375082</v>
      </c>
      <c r="AQ36" s="129">
        <f t="shared" si="15"/>
        <v>7.6565530593088669</v>
      </c>
      <c r="AR36" s="129">
        <f t="shared" si="15"/>
        <v>-15.738332760422002</v>
      </c>
      <c r="AS36" s="130">
        <f t="shared" si="15"/>
        <v>0.52630694020460311</v>
      </c>
      <c r="AT36" s="2629"/>
      <c r="AU36" s="607" t="s">
        <v>2233</v>
      </c>
      <c r="AV36" s="876">
        <f>SUM(AV27:AV35)</f>
        <v>19370.109509243102</v>
      </c>
      <c r="AW36" s="227" t="s">
        <v>2233</v>
      </c>
      <c r="AX36" s="712">
        <f>SUM(AX27:AX35)</f>
        <v>22138.56555595918</v>
      </c>
    </row>
    <row r="37" spans="1:50" s="98" customFormat="1" ht="15" customHeight="1">
      <c r="A37" s="99"/>
      <c r="B37" s="181"/>
      <c r="C37" s="185"/>
      <c r="D37" s="182"/>
      <c r="E37" s="182"/>
      <c r="F37" s="182"/>
      <c r="G37" s="184"/>
      <c r="H37" s="184"/>
      <c r="I37" s="94"/>
      <c r="J37" s="713"/>
      <c r="K37" s="2690"/>
      <c r="L37" s="2690"/>
      <c r="M37" s="2690"/>
      <c r="N37" s="2690"/>
      <c r="O37" s="2690"/>
      <c r="P37" s="2690"/>
      <c r="Q37" s="715"/>
      <c r="R37" s="2690"/>
      <c r="S37" s="2690"/>
      <c r="T37" s="2690"/>
      <c r="U37" s="2690"/>
      <c r="V37" s="715"/>
      <c r="W37" s="2629"/>
      <c r="X37" s="94"/>
      <c r="Y37" s="713"/>
      <c r="Z37" s="2690"/>
      <c r="AA37" s="2690"/>
      <c r="AB37" s="2690"/>
      <c r="AC37" s="2690"/>
      <c r="AD37" s="2690"/>
      <c r="AE37" s="2690"/>
      <c r="AF37" s="715"/>
      <c r="AG37" s="2690"/>
      <c r="AH37" s="2690"/>
      <c r="AI37" s="2690"/>
      <c r="AJ37" s="2690"/>
      <c r="AK37" s="715"/>
      <c r="AL37" s="2629"/>
      <c r="AM37" s="94"/>
      <c r="AN37" s="713"/>
      <c r="AO37" s="2690"/>
      <c r="AP37" s="2690"/>
      <c r="AQ37" s="2690"/>
      <c r="AR37" s="2690"/>
      <c r="AS37" s="752"/>
      <c r="AT37" s="2629"/>
      <c r="AU37" s="2629"/>
      <c r="AV37" s="2629"/>
      <c r="AW37" s="185"/>
      <c r="AX37" s="839"/>
    </row>
    <row r="38" spans="1:50" s="98" customFormat="1" ht="15" customHeight="1">
      <c r="A38" s="99"/>
      <c r="B38" s="161"/>
      <c r="C38" s="180" t="s">
        <v>2873</v>
      </c>
      <c r="D38" s="162"/>
      <c r="E38" s="162"/>
      <c r="F38" s="162"/>
      <c r="G38" s="163"/>
      <c r="H38" s="163"/>
      <c r="I38" s="94"/>
      <c r="J38" s="713"/>
      <c r="K38" s="2649"/>
      <c r="L38" s="2649"/>
      <c r="M38" s="2649"/>
      <c r="N38" s="2649"/>
      <c r="O38" s="2649"/>
      <c r="P38" s="2649"/>
      <c r="Q38" s="715"/>
      <c r="R38" s="713"/>
      <c r="S38" s="2649"/>
      <c r="T38" s="2649"/>
      <c r="U38" s="2649"/>
      <c r="V38" s="715"/>
      <c r="W38" s="2629"/>
      <c r="X38" s="94"/>
      <c r="Y38" s="713"/>
      <c r="Z38" s="2649"/>
      <c r="AA38" s="2649"/>
      <c r="AB38" s="2649"/>
      <c r="AC38" s="2649"/>
      <c r="AD38" s="2649"/>
      <c r="AE38" s="2649"/>
      <c r="AF38" s="715"/>
      <c r="AG38" s="713"/>
      <c r="AH38" s="2649"/>
      <c r="AI38" s="2649"/>
      <c r="AJ38" s="2649"/>
      <c r="AK38" s="715"/>
      <c r="AL38" s="2629"/>
      <c r="AM38" s="94"/>
      <c r="AN38" s="713"/>
      <c r="AO38" s="2649"/>
      <c r="AP38" s="2649"/>
      <c r="AQ38" s="2649"/>
      <c r="AR38" s="2649"/>
      <c r="AS38" s="715"/>
      <c r="AT38" s="2629"/>
      <c r="AU38" s="2629"/>
      <c r="AV38" s="2629"/>
      <c r="AW38" s="185"/>
      <c r="AX38" s="839"/>
    </row>
    <row r="39" spans="1:50" s="98" customFormat="1" ht="15" customHeight="1">
      <c r="A39" s="99"/>
      <c r="B39" s="161"/>
      <c r="C39" s="185"/>
      <c r="D39" s="162" t="s">
        <v>2862</v>
      </c>
      <c r="E39" s="162"/>
      <c r="F39" s="162"/>
      <c r="G39" s="162"/>
      <c r="H39" s="163"/>
      <c r="I39" s="607" t="s">
        <v>2233</v>
      </c>
      <c r="J39" s="143">
        <v>1.6499999999999997E-2</v>
      </c>
      <c r="K39" s="141">
        <v>0.16267363636363638</v>
      </c>
      <c r="L39" s="141">
        <v>0.14644236842105263</v>
      </c>
      <c r="M39" s="141">
        <v>0.1784</v>
      </c>
      <c r="N39" s="141">
        <v>0.14868300000000001</v>
      </c>
      <c r="O39" s="141">
        <v>8.5980322580645155E-2</v>
      </c>
      <c r="P39" s="141">
        <v>0</v>
      </c>
      <c r="Q39" s="144">
        <v>0</v>
      </c>
      <c r="R39" s="143">
        <v>0</v>
      </c>
      <c r="S39" s="141">
        <v>0</v>
      </c>
      <c r="T39" s="141">
        <v>0</v>
      </c>
      <c r="U39" s="141">
        <v>0</v>
      </c>
      <c r="V39" s="144">
        <v>0</v>
      </c>
      <c r="W39" s="2629"/>
      <c r="X39" s="607" t="s">
        <v>2233</v>
      </c>
      <c r="Y39" s="143">
        <v>-41.600965252825695</v>
      </c>
      <c r="Z39" s="141">
        <v>-56.691929391390396</v>
      </c>
      <c r="AA39" s="141">
        <v>-40.6848121091355</v>
      </c>
      <c r="AB39" s="141">
        <v>-44.435112149055641</v>
      </c>
      <c r="AC39" s="141">
        <v>-45.243946927374296</v>
      </c>
      <c r="AD39" s="141">
        <v>-43.258013288996374</v>
      </c>
      <c r="AE39" s="141">
        <v>-47.227143729988541</v>
      </c>
      <c r="AF39" s="144">
        <v>-47.408873816927851</v>
      </c>
      <c r="AG39" s="143">
        <v>-44.078499999999998</v>
      </c>
      <c r="AH39" s="141">
        <v>-44.078499999999998</v>
      </c>
      <c r="AI39" s="141">
        <v>-44.078499999999998</v>
      </c>
      <c r="AJ39" s="141">
        <v>-44.078499999999998</v>
      </c>
      <c r="AK39" s="144">
        <v>-44.078499999999998</v>
      </c>
      <c r="AL39" s="2629"/>
      <c r="AM39" s="607" t="s">
        <v>2233</v>
      </c>
      <c r="AN39" s="143">
        <v>-0.13995935745209434</v>
      </c>
      <c r="AO39" s="141">
        <v>7.1327251656998154</v>
      </c>
      <c r="AP39" s="141">
        <v>6.172964147041812</v>
      </c>
      <c r="AQ39" s="141">
        <v>8.1517043406353693</v>
      </c>
      <c r="AR39" s="141">
        <v>10.591452668857499</v>
      </c>
      <c r="AS39" s="144">
        <v>6.7852689625887956</v>
      </c>
      <c r="AT39" s="2629"/>
      <c r="AU39" s="607" t="s">
        <v>2233</v>
      </c>
      <c r="AV39" s="141">
        <v>822.40039402728632</v>
      </c>
      <c r="AW39" s="227" t="s">
        <v>2233</v>
      </c>
      <c r="AX39" s="130">
        <f>SUM(AV39,J39:N39,Y39:AC39,AN39:AR39)</f>
        <v>626.30521416707188</v>
      </c>
    </row>
    <row r="40" spans="1:50" s="98" customFormat="1" ht="15" customHeight="1">
      <c r="A40" s="99"/>
      <c r="B40" s="161"/>
      <c r="C40" s="185"/>
      <c r="D40" s="162" t="s">
        <v>2863</v>
      </c>
      <c r="E40" s="162"/>
      <c r="F40" s="162"/>
      <c r="G40" s="162"/>
      <c r="H40" s="163"/>
      <c r="I40" s="607" t="s">
        <v>2233</v>
      </c>
      <c r="J40" s="143">
        <v>3.2999999999999995E-2</v>
      </c>
      <c r="K40" s="141">
        <v>9.7363636363636374E-2</v>
      </c>
      <c r="L40" s="141">
        <v>0.29694736842105263</v>
      </c>
      <c r="M40" s="141">
        <v>3.5999999999999997E-2</v>
      </c>
      <c r="N40" s="141">
        <v>1.2566666666666667E-2</v>
      </c>
      <c r="O40" s="141">
        <v>0</v>
      </c>
      <c r="P40" s="141">
        <v>0</v>
      </c>
      <c r="Q40" s="144">
        <v>0</v>
      </c>
      <c r="R40" s="143">
        <v>0</v>
      </c>
      <c r="S40" s="141">
        <v>0</v>
      </c>
      <c r="T40" s="141">
        <v>0</v>
      </c>
      <c r="U40" s="141">
        <v>0</v>
      </c>
      <c r="V40" s="144">
        <v>0</v>
      </c>
      <c r="W40" s="2629"/>
      <c r="X40" s="607" t="s">
        <v>2233</v>
      </c>
      <c r="Y40" s="143">
        <v>-7.7722403331350387</v>
      </c>
      <c r="Z40" s="141">
        <v>-9.3410856011875296</v>
      </c>
      <c r="AA40" s="141">
        <v>-1.7680931943592888</v>
      </c>
      <c r="AB40" s="141">
        <v>-8.9091322103113821</v>
      </c>
      <c r="AC40" s="141">
        <v>-4.9966583128491617</v>
      </c>
      <c r="AD40" s="141">
        <v>-5.4599133010882701</v>
      </c>
      <c r="AE40" s="141">
        <v>-6.6916254329873039</v>
      </c>
      <c r="AF40" s="144">
        <v>-6.444557479997636</v>
      </c>
      <c r="AG40" s="143">
        <v>-9.4860000000000024</v>
      </c>
      <c r="AH40" s="141">
        <v>-9.4860000000000024</v>
      </c>
      <c r="AI40" s="141">
        <v>-9.4860000000000024</v>
      </c>
      <c r="AJ40" s="141">
        <v>-9.4860000000000024</v>
      </c>
      <c r="AK40" s="144">
        <v>-9.4860000000000024</v>
      </c>
      <c r="AL40" s="2629"/>
      <c r="AM40" s="607" t="s">
        <v>2233</v>
      </c>
      <c r="AN40" s="143">
        <v>-3.3200567452470485E-2</v>
      </c>
      <c r="AO40" s="141">
        <v>-0.21617258363497718</v>
      </c>
      <c r="AP40" s="141">
        <v>0.61330634298365694</v>
      </c>
      <c r="AQ40" s="141">
        <v>-0.28590824176339413</v>
      </c>
      <c r="AR40" s="141">
        <v>-0.26151775953027862</v>
      </c>
      <c r="AS40" s="144">
        <v>1.0937380837665045</v>
      </c>
      <c r="AT40" s="2629"/>
      <c r="AU40" s="607" t="s">
        <v>2233</v>
      </c>
      <c r="AV40" s="141">
        <v>153.84943404490488</v>
      </c>
      <c r="AW40" s="227" t="s">
        <v>2233</v>
      </c>
      <c r="AX40" s="130">
        <f t="shared" ref="AX40:AX47" si="16">SUM(AV40,J40:N40,Y40:AC40,AN40:AR40)</f>
        <v>121.35460925511636</v>
      </c>
    </row>
    <row r="41" spans="1:50" s="98" customFormat="1" ht="15" customHeight="1">
      <c r="A41" s="99"/>
      <c r="B41" s="161"/>
      <c r="C41" s="185"/>
      <c r="D41" s="162" t="s">
        <v>2864</v>
      </c>
      <c r="E41" s="162"/>
      <c r="F41" s="162"/>
      <c r="G41" s="162"/>
      <c r="H41" s="163"/>
      <c r="I41" s="607" t="s">
        <v>2233</v>
      </c>
      <c r="J41" s="143">
        <v>8.0666666666666664E-2</v>
      </c>
      <c r="K41" s="141">
        <v>1.240909090909091E-2</v>
      </c>
      <c r="L41" s="141">
        <v>7.3421052631578955E-3</v>
      </c>
      <c r="M41" s="141">
        <v>0.218</v>
      </c>
      <c r="N41" s="141">
        <v>0</v>
      </c>
      <c r="O41" s="141">
        <v>3.7419354838709677E-3</v>
      </c>
      <c r="P41" s="141">
        <v>0</v>
      </c>
      <c r="Q41" s="144">
        <v>0</v>
      </c>
      <c r="R41" s="143">
        <v>0</v>
      </c>
      <c r="S41" s="141">
        <v>0</v>
      </c>
      <c r="T41" s="141">
        <v>0</v>
      </c>
      <c r="U41" s="141">
        <v>0</v>
      </c>
      <c r="V41" s="144">
        <v>0</v>
      </c>
      <c r="W41" s="2629"/>
      <c r="X41" s="607" t="s">
        <v>2233</v>
      </c>
      <c r="Y41" s="143">
        <v>-3.6432376561570492</v>
      </c>
      <c r="Z41" s="141">
        <v>-4.5228534883720926</v>
      </c>
      <c r="AA41" s="141">
        <v>-1.4488095953402822</v>
      </c>
      <c r="AB41" s="141">
        <v>-2.4306768759571211</v>
      </c>
      <c r="AC41" s="141">
        <v>-5.0422189944134077</v>
      </c>
      <c r="AD41" s="141">
        <v>-2.8570098790810157</v>
      </c>
      <c r="AE41" s="141">
        <v>-2.9214997721455229</v>
      </c>
      <c r="AF41" s="144">
        <v>-2.8533713191968983</v>
      </c>
      <c r="AG41" s="143">
        <v>-15.606000000000002</v>
      </c>
      <c r="AH41" s="141">
        <v>-15.606000000000002</v>
      </c>
      <c r="AI41" s="141">
        <v>-15.606000000000002</v>
      </c>
      <c r="AJ41" s="141">
        <v>-15.606000000000002</v>
      </c>
      <c r="AK41" s="144">
        <v>-15.606000000000002</v>
      </c>
      <c r="AL41" s="2629"/>
      <c r="AM41" s="607" t="s">
        <v>2233</v>
      </c>
      <c r="AN41" s="143">
        <v>-1.610908627260669E-4</v>
      </c>
      <c r="AO41" s="141">
        <v>-0.2535826460226086</v>
      </c>
      <c r="AP41" s="141">
        <v>0.17653361861189376</v>
      </c>
      <c r="AQ41" s="141">
        <v>0.41175922859579345</v>
      </c>
      <c r="AR41" s="141">
        <v>7.2501871694612502E-2</v>
      </c>
      <c r="AS41" s="144">
        <v>6.022967687970085E-2</v>
      </c>
      <c r="AT41" s="2629"/>
      <c r="AU41" s="607" t="s">
        <v>2233</v>
      </c>
      <c r="AV41" s="141">
        <v>111.16568190988168</v>
      </c>
      <c r="AW41" s="227" t="s">
        <v>2233</v>
      </c>
      <c r="AX41" s="130">
        <f t="shared" si="16"/>
        <v>94.803354144497632</v>
      </c>
    </row>
    <row r="42" spans="1:50" s="98" customFormat="1" ht="15" customHeight="1">
      <c r="A42" s="99"/>
      <c r="B42" s="161"/>
      <c r="C42" s="185"/>
      <c r="D42" s="162" t="s">
        <v>2865</v>
      </c>
      <c r="E42" s="162"/>
      <c r="F42" s="162"/>
      <c r="G42" s="162"/>
      <c r="H42" s="163"/>
      <c r="I42" s="607" t="s">
        <v>2233</v>
      </c>
      <c r="J42" s="143">
        <v>0</v>
      </c>
      <c r="K42" s="141">
        <v>0</v>
      </c>
      <c r="L42" s="141">
        <v>0</v>
      </c>
      <c r="M42" s="141">
        <v>0</v>
      </c>
      <c r="N42" s="141">
        <v>1.9333333333333333E-3</v>
      </c>
      <c r="O42" s="141">
        <v>0</v>
      </c>
      <c r="P42" s="141">
        <v>0</v>
      </c>
      <c r="Q42" s="144">
        <v>0</v>
      </c>
      <c r="R42" s="143">
        <v>0</v>
      </c>
      <c r="S42" s="141">
        <v>0</v>
      </c>
      <c r="T42" s="141">
        <v>0</v>
      </c>
      <c r="U42" s="141">
        <v>0</v>
      </c>
      <c r="V42" s="144">
        <v>0</v>
      </c>
      <c r="W42" s="2629"/>
      <c r="X42" s="607" t="s">
        <v>2233</v>
      </c>
      <c r="Y42" s="143">
        <v>-1.0555859607376561</v>
      </c>
      <c r="Z42" s="141">
        <v>-2.0392330529440872</v>
      </c>
      <c r="AA42" s="141">
        <v>-0.4253985285101165</v>
      </c>
      <c r="AB42" s="141">
        <v>-0.2443287391526289</v>
      </c>
      <c r="AC42" s="141">
        <v>-1.8679977653631283</v>
      </c>
      <c r="AD42" s="141">
        <v>-1.5317430471584039</v>
      </c>
      <c r="AE42" s="141">
        <v>-1.0957896565205991</v>
      </c>
      <c r="AF42" s="144">
        <v>-1.1117876851967721</v>
      </c>
      <c r="AG42" s="143">
        <v>-0.91800000000000015</v>
      </c>
      <c r="AH42" s="141">
        <v>-0.91800000000000015</v>
      </c>
      <c r="AI42" s="141">
        <v>-0.91800000000000015</v>
      </c>
      <c r="AJ42" s="141">
        <v>-0.91800000000000015</v>
      </c>
      <c r="AK42" s="144">
        <v>-0.91800000000000015</v>
      </c>
      <c r="AL42" s="2629"/>
      <c r="AM42" s="607" t="s">
        <v>2233</v>
      </c>
      <c r="AN42" s="143">
        <v>-1.0950961661133355E-2</v>
      </c>
      <c r="AO42" s="141">
        <v>-2.3878438353758121E-3</v>
      </c>
      <c r="AP42" s="141">
        <v>6.8389200734835676E-2</v>
      </c>
      <c r="AQ42" s="141">
        <v>-4.8575973026953129E-2</v>
      </c>
      <c r="AR42" s="141">
        <v>-6.8029510611971128E-2</v>
      </c>
      <c r="AS42" s="144">
        <v>1.9038647492814434E-2</v>
      </c>
      <c r="AT42" s="2629"/>
      <c r="AU42" s="607" t="s">
        <v>2233</v>
      </c>
      <c r="AV42" s="141">
        <v>35.685294832521485</v>
      </c>
      <c r="AW42" s="227" t="s">
        <v>2233</v>
      </c>
      <c r="AX42" s="130">
        <f t="shared" si="16"/>
        <v>29.993129030746605</v>
      </c>
    </row>
    <row r="43" spans="1:50" s="98" customFormat="1" ht="15" customHeight="1">
      <c r="B43" s="161"/>
      <c r="C43" s="185"/>
      <c r="D43" s="162" t="s">
        <v>2866</v>
      </c>
      <c r="E43" s="162"/>
      <c r="F43" s="162"/>
      <c r="G43" s="162"/>
      <c r="H43" s="163"/>
      <c r="I43" s="607" t="s">
        <v>2233</v>
      </c>
      <c r="J43" s="143">
        <v>0</v>
      </c>
      <c r="K43" s="141">
        <v>0</v>
      </c>
      <c r="L43" s="141">
        <v>0</v>
      </c>
      <c r="M43" s="141">
        <v>0</v>
      </c>
      <c r="N43" s="141">
        <v>0</v>
      </c>
      <c r="O43" s="141">
        <v>0</v>
      </c>
      <c r="P43" s="141">
        <v>0</v>
      </c>
      <c r="Q43" s="144">
        <v>0</v>
      </c>
      <c r="R43" s="143">
        <v>0</v>
      </c>
      <c r="S43" s="141">
        <v>0</v>
      </c>
      <c r="T43" s="141">
        <v>0</v>
      </c>
      <c r="U43" s="141">
        <v>0</v>
      </c>
      <c r="V43" s="144">
        <v>0</v>
      </c>
      <c r="W43" s="2629"/>
      <c r="X43" s="607" t="s">
        <v>2233</v>
      </c>
      <c r="Y43" s="143">
        <v>0</v>
      </c>
      <c r="Z43" s="141">
        <v>0</v>
      </c>
      <c r="AA43" s="141">
        <v>-9.7792765174739421E-3</v>
      </c>
      <c r="AB43" s="141">
        <v>0</v>
      </c>
      <c r="AC43" s="141">
        <v>-6.8748603351955311E-3</v>
      </c>
      <c r="AD43" s="141">
        <v>0</v>
      </c>
      <c r="AE43" s="141">
        <v>-6.0793245561944808E-3</v>
      </c>
      <c r="AF43" s="144">
        <v>-5.9362060019295419E-3</v>
      </c>
      <c r="AG43" s="143">
        <v>-3.0600000000000002E-2</v>
      </c>
      <c r="AH43" s="141">
        <v>-3.0600000000000002E-2</v>
      </c>
      <c r="AI43" s="141">
        <v>-3.0600000000000002E-2</v>
      </c>
      <c r="AJ43" s="141">
        <v>-3.0600000000000002E-2</v>
      </c>
      <c r="AK43" s="144">
        <v>-3.0600000000000002E-2</v>
      </c>
      <c r="AL43" s="2629"/>
      <c r="AM43" s="607" t="s">
        <v>2233</v>
      </c>
      <c r="AN43" s="143">
        <v>0</v>
      </c>
      <c r="AO43" s="141">
        <v>-0.13999999999999968</v>
      </c>
      <c r="AP43" s="141">
        <v>8.5999999999999521E-2</v>
      </c>
      <c r="AQ43" s="141">
        <v>-9.0000000000007817E-3</v>
      </c>
      <c r="AR43" s="141">
        <v>1.5000000000000568E-3</v>
      </c>
      <c r="AS43" s="144">
        <v>0</v>
      </c>
      <c r="AT43" s="2629"/>
      <c r="AU43" s="607" t="s">
        <v>2233</v>
      </c>
      <c r="AV43" s="141">
        <v>6.4124999999999996</v>
      </c>
      <c r="AW43" s="227" t="s">
        <v>2233</v>
      </c>
      <c r="AX43" s="130">
        <f t="shared" si="16"/>
        <v>6.3343458631473295</v>
      </c>
    </row>
    <row r="44" spans="1:50" s="98" customFormat="1" ht="15" customHeight="1">
      <c r="B44" s="161"/>
      <c r="C44" s="185"/>
      <c r="D44" s="162" t="s">
        <v>2867</v>
      </c>
      <c r="E44" s="162"/>
      <c r="F44" s="162"/>
      <c r="G44" s="162"/>
      <c r="H44" s="163"/>
      <c r="I44" s="607" t="s">
        <v>2233</v>
      </c>
      <c r="J44" s="143">
        <v>0.66953333333333331</v>
      </c>
      <c r="K44" s="141">
        <v>0</v>
      </c>
      <c r="L44" s="141">
        <v>0</v>
      </c>
      <c r="M44" s="141">
        <v>0</v>
      </c>
      <c r="N44" s="141">
        <v>2.416666666666667E-2</v>
      </c>
      <c r="O44" s="141">
        <v>1.1225806451612903E-2</v>
      </c>
      <c r="P44" s="141">
        <v>0</v>
      </c>
      <c r="Q44" s="144">
        <v>0</v>
      </c>
      <c r="R44" s="143">
        <v>0</v>
      </c>
      <c r="S44" s="141">
        <v>0</v>
      </c>
      <c r="T44" s="141">
        <v>0</v>
      </c>
      <c r="U44" s="141">
        <v>0</v>
      </c>
      <c r="V44" s="144">
        <v>0</v>
      </c>
      <c r="W44" s="2629"/>
      <c r="X44" s="607" t="s">
        <v>2233</v>
      </c>
      <c r="Y44" s="143">
        <v>-1.3546686496133253</v>
      </c>
      <c r="Z44" s="141">
        <v>-2.311491835724889</v>
      </c>
      <c r="AA44" s="141">
        <v>-1.6370508890251378</v>
      </c>
      <c r="AB44" s="141">
        <v>-1.7309903011740686</v>
      </c>
      <c r="AC44" s="141">
        <v>-0.71154804469273736</v>
      </c>
      <c r="AD44" s="141">
        <v>-2.5002442563482465</v>
      </c>
      <c r="AE44" s="141">
        <v>-1.7551014250348702</v>
      </c>
      <c r="AF44" s="144">
        <v>-1.774691708712367</v>
      </c>
      <c r="AG44" s="143">
        <v>-3.2130000000000005</v>
      </c>
      <c r="AH44" s="141">
        <v>-3.2130000000000005</v>
      </c>
      <c r="AI44" s="141">
        <v>-3.2130000000000005</v>
      </c>
      <c r="AJ44" s="141">
        <v>-3.2130000000000005</v>
      </c>
      <c r="AK44" s="144">
        <v>-3.2130000000000005</v>
      </c>
      <c r="AL44" s="2629"/>
      <c r="AM44" s="607" t="s">
        <v>2233</v>
      </c>
      <c r="AN44" s="143">
        <v>1.280198303106493E-3</v>
      </c>
      <c r="AO44" s="141">
        <v>2.6764530113337359E-2</v>
      </c>
      <c r="AP44" s="141">
        <v>-7.5906255718820809E-3</v>
      </c>
      <c r="AQ44" s="141">
        <v>2.5648689146951092E-2</v>
      </c>
      <c r="AR44" s="141">
        <v>5.9805945181810434E-2</v>
      </c>
      <c r="AS44" s="144">
        <v>-1.56385446860456E-2</v>
      </c>
      <c r="AT44" s="2629"/>
      <c r="AU44" s="607" t="s">
        <v>2233</v>
      </c>
      <c r="AV44" s="141">
        <v>39.551264720491872</v>
      </c>
      <c r="AW44" s="227" t="s">
        <v>2233</v>
      </c>
      <c r="AX44" s="130">
        <f t="shared" si="16"/>
        <v>32.605123737435036</v>
      </c>
    </row>
    <row r="45" spans="1:50" s="98" customFormat="1" ht="15" customHeight="1">
      <c r="B45" s="161"/>
      <c r="C45" s="185"/>
      <c r="D45" s="162" t="s">
        <v>2868</v>
      </c>
      <c r="E45" s="162"/>
      <c r="F45" s="162"/>
      <c r="G45" s="162"/>
      <c r="H45" s="163"/>
      <c r="I45" s="607" t="s">
        <v>2233</v>
      </c>
      <c r="J45" s="143">
        <v>3.6666666666666666E-3</v>
      </c>
      <c r="K45" s="141">
        <v>0</v>
      </c>
      <c r="L45" s="141">
        <v>0</v>
      </c>
      <c r="M45" s="141">
        <v>0</v>
      </c>
      <c r="N45" s="141">
        <v>0</v>
      </c>
      <c r="O45" s="141">
        <v>1.2161290322580644E-2</v>
      </c>
      <c r="P45" s="141">
        <v>0</v>
      </c>
      <c r="Q45" s="144">
        <v>0</v>
      </c>
      <c r="R45" s="143">
        <v>0</v>
      </c>
      <c r="S45" s="141">
        <v>0</v>
      </c>
      <c r="T45" s="141">
        <v>0</v>
      </c>
      <c r="U45" s="141">
        <v>0</v>
      </c>
      <c r="V45" s="144">
        <v>0</v>
      </c>
      <c r="W45" s="2629"/>
      <c r="X45" s="607" t="s">
        <v>2233</v>
      </c>
      <c r="Y45" s="143">
        <v>-1.1728732897085068E-2</v>
      </c>
      <c r="Z45" s="141">
        <v>0</v>
      </c>
      <c r="AA45" s="141">
        <v>0</v>
      </c>
      <c r="AB45" s="141">
        <v>0</v>
      </c>
      <c r="AC45" s="141">
        <v>-2.1066536312849165</v>
      </c>
      <c r="AD45" s="141">
        <v>-9.0275695284159616E-2</v>
      </c>
      <c r="AE45" s="141">
        <v>-0.46733792882872177</v>
      </c>
      <c r="AF45" s="144">
        <v>-0.56711464705005565</v>
      </c>
      <c r="AG45" s="143">
        <v>-0.4284</v>
      </c>
      <c r="AH45" s="141">
        <v>-0.4284</v>
      </c>
      <c r="AI45" s="141">
        <v>-0.4284</v>
      </c>
      <c r="AJ45" s="141">
        <v>-0.4284</v>
      </c>
      <c r="AK45" s="144">
        <v>-0.4284</v>
      </c>
      <c r="AL45" s="2629"/>
      <c r="AM45" s="607" t="s">
        <v>2233</v>
      </c>
      <c r="AN45" s="143">
        <v>1.5290452900273841E-4</v>
      </c>
      <c r="AO45" s="141">
        <v>-7.4753325290053446E-5</v>
      </c>
      <c r="AP45" s="141">
        <v>-9.1742717401670671E-4</v>
      </c>
      <c r="AQ45" s="141">
        <v>2.0387270533698455E-4</v>
      </c>
      <c r="AR45" s="141">
        <v>1.6989392111414752E-3</v>
      </c>
      <c r="AS45" s="144">
        <v>-9.8198686403982594E-3</v>
      </c>
      <c r="AT45" s="2629"/>
      <c r="AU45" s="607" t="s">
        <v>2233</v>
      </c>
      <c r="AV45" s="141">
        <v>0.71729709337209135</v>
      </c>
      <c r="AW45" s="227" t="s">
        <v>2233</v>
      </c>
      <c r="AX45" s="130">
        <f t="shared" si="16"/>
        <v>-1.3963550681970689</v>
      </c>
    </row>
    <row r="46" spans="1:50" s="98" customFormat="1" ht="15" customHeight="1">
      <c r="B46" s="161"/>
      <c r="C46" s="185"/>
      <c r="D46" s="162" t="s">
        <v>2869</v>
      </c>
      <c r="E46" s="162"/>
      <c r="F46" s="162"/>
      <c r="G46" s="162"/>
      <c r="H46" s="163"/>
      <c r="I46" s="607" t="s">
        <v>2233</v>
      </c>
      <c r="J46" s="143">
        <v>0</v>
      </c>
      <c r="K46" s="141">
        <v>0</v>
      </c>
      <c r="L46" s="141">
        <v>0</v>
      </c>
      <c r="M46" s="141">
        <v>0</v>
      </c>
      <c r="N46" s="141">
        <v>0</v>
      </c>
      <c r="O46" s="141">
        <v>0.10758064516129032</v>
      </c>
      <c r="P46" s="141">
        <v>0</v>
      </c>
      <c r="Q46" s="144">
        <v>0</v>
      </c>
      <c r="R46" s="143">
        <v>0</v>
      </c>
      <c r="S46" s="141">
        <v>0</v>
      </c>
      <c r="T46" s="141">
        <v>0</v>
      </c>
      <c r="U46" s="141">
        <v>0</v>
      </c>
      <c r="V46" s="144">
        <v>0</v>
      </c>
      <c r="W46" s="2629"/>
      <c r="X46" s="607" t="s">
        <v>2233</v>
      </c>
      <c r="Y46" s="143">
        <v>-0.20329803688280784</v>
      </c>
      <c r="Z46" s="141">
        <v>-2.9539831766452251E-2</v>
      </c>
      <c r="AA46" s="141">
        <v>-1.1735131820968732E-2</v>
      </c>
      <c r="AB46" s="141">
        <v>-1.5428177641653906</v>
      </c>
      <c r="AC46" s="141">
        <v>0</v>
      </c>
      <c r="AD46" s="141">
        <v>-0.16975755743651752</v>
      </c>
      <c r="AE46" s="141">
        <v>-0.11687939660494853</v>
      </c>
      <c r="AF46" s="144">
        <v>-0.11512380358319438</v>
      </c>
      <c r="AG46" s="143">
        <v>-0.61199999999999999</v>
      </c>
      <c r="AH46" s="141">
        <v>-0.61199999999999999</v>
      </c>
      <c r="AI46" s="141">
        <v>-0.61199999999999999</v>
      </c>
      <c r="AJ46" s="141">
        <v>-0.61199999999999999</v>
      </c>
      <c r="AK46" s="144">
        <v>-0.61199999999999999</v>
      </c>
      <c r="AL46" s="2629"/>
      <c r="AM46" s="607" t="s">
        <v>2233</v>
      </c>
      <c r="AN46" s="143">
        <v>-7.1054252738195179E-4</v>
      </c>
      <c r="AO46" s="141">
        <v>7.8159678012012304E-3</v>
      </c>
      <c r="AP46" s="141">
        <v>-6.9024131231384357E-3</v>
      </c>
      <c r="AQ46" s="141">
        <v>4.838456257887285E-3</v>
      </c>
      <c r="AR46" s="141">
        <v>-6.7670716893842325E-5</v>
      </c>
      <c r="AS46" s="144">
        <v>1.3554444593792188E-3</v>
      </c>
      <c r="AT46" s="2629"/>
      <c r="AU46" s="607" t="s">
        <v>2233</v>
      </c>
      <c r="AV46" s="141">
        <v>7.5800519901736303</v>
      </c>
      <c r="AW46" s="227" t="s">
        <v>2233</v>
      </c>
      <c r="AX46" s="130">
        <f t="shared" si="16"/>
        <v>5.7976350232296836</v>
      </c>
    </row>
    <row r="47" spans="1:50" s="98" customFormat="1" ht="15" customHeight="1">
      <c r="B47" s="161"/>
      <c r="C47" s="185"/>
      <c r="D47" s="162" t="s">
        <v>2870</v>
      </c>
      <c r="E47" s="162"/>
      <c r="F47" s="162"/>
      <c r="G47" s="162"/>
      <c r="H47" s="163"/>
      <c r="I47" s="607" t="s">
        <v>2233</v>
      </c>
      <c r="J47" s="143">
        <v>0</v>
      </c>
      <c r="K47" s="141">
        <v>0</v>
      </c>
      <c r="L47" s="141">
        <v>0</v>
      </c>
      <c r="M47" s="141">
        <v>0</v>
      </c>
      <c r="N47" s="141">
        <v>0</v>
      </c>
      <c r="O47" s="141">
        <v>0</v>
      </c>
      <c r="P47" s="141">
        <v>0</v>
      </c>
      <c r="Q47" s="144">
        <v>0</v>
      </c>
      <c r="R47" s="143">
        <v>0</v>
      </c>
      <c r="S47" s="141">
        <v>0</v>
      </c>
      <c r="T47" s="141">
        <v>0</v>
      </c>
      <c r="U47" s="141">
        <v>0</v>
      </c>
      <c r="V47" s="144">
        <v>0</v>
      </c>
      <c r="W47" s="2629"/>
      <c r="X47" s="607" t="s">
        <v>2233</v>
      </c>
      <c r="Y47" s="143">
        <v>0</v>
      </c>
      <c r="Z47" s="141">
        <v>0</v>
      </c>
      <c r="AA47" s="141">
        <v>0</v>
      </c>
      <c r="AB47" s="141">
        <v>0</v>
      </c>
      <c r="AC47" s="141">
        <v>0</v>
      </c>
      <c r="AD47" s="141">
        <v>0</v>
      </c>
      <c r="AE47" s="141">
        <v>0</v>
      </c>
      <c r="AF47" s="144">
        <v>0</v>
      </c>
      <c r="AG47" s="143">
        <v>0</v>
      </c>
      <c r="AH47" s="141">
        <v>0</v>
      </c>
      <c r="AI47" s="141">
        <v>0</v>
      </c>
      <c r="AJ47" s="141">
        <v>0</v>
      </c>
      <c r="AK47" s="144">
        <v>0</v>
      </c>
      <c r="AL47" s="2629"/>
      <c r="AM47" s="607" t="s">
        <v>2233</v>
      </c>
      <c r="AN47" s="143">
        <v>2.9833555259653794E-3</v>
      </c>
      <c r="AO47" s="141">
        <v>0</v>
      </c>
      <c r="AP47" s="141">
        <v>0</v>
      </c>
      <c r="AQ47" s="141">
        <v>0</v>
      </c>
      <c r="AR47" s="141">
        <v>0</v>
      </c>
      <c r="AS47" s="144">
        <v>0</v>
      </c>
      <c r="AT47" s="2629"/>
      <c r="AU47" s="607" t="s">
        <v>2233</v>
      </c>
      <c r="AV47" s="141">
        <v>0.89321664447403459</v>
      </c>
      <c r="AW47" s="227" t="s">
        <v>2233</v>
      </c>
      <c r="AX47" s="130">
        <f t="shared" si="16"/>
        <v>0.8962</v>
      </c>
    </row>
    <row r="48" spans="1:50" s="98" customFormat="1" ht="15" customHeight="1">
      <c r="B48" s="181"/>
      <c r="D48" s="182" t="s">
        <v>1710</v>
      </c>
      <c r="E48" s="182"/>
      <c r="F48" s="182"/>
      <c r="G48" s="184"/>
      <c r="H48" s="184"/>
      <c r="I48" s="607" t="s">
        <v>2233</v>
      </c>
      <c r="J48" s="128">
        <f>SUM(J39:J47)</f>
        <v>0.80336666666666667</v>
      </c>
      <c r="K48" s="129">
        <f t="shared" ref="K48:V48" si="17">SUM(K39:K47)</f>
        <v>0.27244636363636365</v>
      </c>
      <c r="L48" s="129">
        <f t="shared" si="17"/>
        <v>0.45073184210526313</v>
      </c>
      <c r="M48" s="129">
        <f t="shared" si="17"/>
        <v>0.43240000000000001</v>
      </c>
      <c r="N48" s="129">
        <f t="shared" si="17"/>
        <v>0.18734966666666669</v>
      </c>
      <c r="O48" s="129">
        <f t="shared" si="17"/>
        <v>0.22069</v>
      </c>
      <c r="P48" s="129">
        <f t="shared" si="17"/>
        <v>0</v>
      </c>
      <c r="Q48" s="130">
        <f t="shared" si="17"/>
        <v>0</v>
      </c>
      <c r="R48" s="128">
        <f t="shared" si="17"/>
        <v>0</v>
      </c>
      <c r="S48" s="129">
        <f t="shared" si="17"/>
        <v>0</v>
      </c>
      <c r="T48" s="129">
        <f t="shared" si="17"/>
        <v>0</v>
      </c>
      <c r="U48" s="129">
        <f t="shared" si="17"/>
        <v>0</v>
      </c>
      <c r="V48" s="130">
        <f t="shared" si="17"/>
        <v>0</v>
      </c>
      <c r="W48" s="2629"/>
      <c r="X48" s="607" t="s">
        <v>2233</v>
      </c>
      <c r="Y48" s="128">
        <f>SUM(Y39:Y47)</f>
        <v>-55.641724622248653</v>
      </c>
      <c r="Z48" s="129">
        <f t="shared" ref="Z48:AK48" si="18">SUM(Z39:Z47)</f>
        <v>-74.936133201385459</v>
      </c>
      <c r="AA48" s="129">
        <f t="shared" si="18"/>
        <v>-45.985678724708769</v>
      </c>
      <c r="AB48" s="129">
        <f t="shared" si="18"/>
        <v>-59.293058039816231</v>
      </c>
      <c r="AC48" s="129">
        <f t="shared" si="18"/>
        <v>-59.975898536312847</v>
      </c>
      <c r="AD48" s="129">
        <f t="shared" si="18"/>
        <v>-55.866957025392992</v>
      </c>
      <c r="AE48" s="129">
        <f t="shared" si="18"/>
        <v>-60.281456666666706</v>
      </c>
      <c r="AF48" s="130">
        <f t="shared" si="18"/>
        <v>-60.281456666666699</v>
      </c>
      <c r="AG48" s="128">
        <f t="shared" si="18"/>
        <v>-74.372500000000002</v>
      </c>
      <c r="AH48" s="129">
        <f t="shared" si="18"/>
        <v>-74.372500000000002</v>
      </c>
      <c r="AI48" s="129">
        <f t="shared" si="18"/>
        <v>-74.372500000000002</v>
      </c>
      <c r="AJ48" s="129">
        <f t="shared" si="18"/>
        <v>-74.372500000000002</v>
      </c>
      <c r="AK48" s="130">
        <f t="shared" si="18"/>
        <v>-74.372500000000002</v>
      </c>
      <c r="AL48" s="2629"/>
      <c r="AM48" s="607" t="s">
        <v>2233</v>
      </c>
      <c r="AN48" s="128">
        <f>SUM(AN39:AN47)</f>
        <v>-0.18056606159773159</v>
      </c>
      <c r="AO48" s="129">
        <f t="shared" ref="AO48:AS48" si="19">SUM(AO39:AO47)</f>
        <v>6.555087836796103</v>
      </c>
      <c r="AP48" s="129">
        <f t="shared" si="19"/>
        <v>7.1017828435031607</v>
      </c>
      <c r="AQ48" s="129">
        <f t="shared" si="19"/>
        <v>8.2506703725509905</v>
      </c>
      <c r="AR48" s="129">
        <f t="shared" si="19"/>
        <v>10.397344484085922</v>
      </c>
      <c r="AS48" s="130">
        <f t="shared" si="19"/>
        <v>7.9341724018607502</v>
      </c>
      <c r="AT48" s="2629"/>
      <c r="AU48" s="607" t="s">
        <v>2233</v>
      </c>
      <c r="AV48" s="876">
        <f>SUM(AV39:AV47)</f>
        <v>1178.255135263106</v>
      </c>
      <c r="AW48" s="227" t="s">
        <v>2233</v>
      </c>
      <c r="AX48" s="712">
        <f>SUM(AX39:AX47)</f>
        <v>916.69325615304729</v>
      </c>
    </row>
    <row r="49" spans="2:50" s="98" customFormat="1" ht="15" customHeight="1">
      <c r="B49" s="181"/>
      <c r="C49" s="185"/>
      <c r="D49" s="182"/>
      <c r="E49" s="182"/>
      <c r="F49" s="182"/>
      <c r="G49" s="184"/>
      <c r="H49" s="184"/>
      <c r="I49" s="94"/>
      <c r="J49" s="713"/>
      <c r="K49" s="2690"/>
      <c r="L49" s="2690"/>
      <c r="M49" s="2690"/>
      <c r="N49" s="2690"/>
      <c r="O49" s="2690"/>
      <c r="P49" s="2690"/>
      <c r="Q49" s="715"/>
      <c r="R49" s="2690"/>
      <c r="S49" s="2690"/>
      <c r="T49" s="2690"/>
      <c r="U49" s="2690"/>
      <c r="V49" s="715"/>
      <c r="W49" s="2629"/>
      <c r="X49" s="94"/>
      <c r="Y49" s="713"/>
      <c r="Z49" s="2690"/>
      <c r="AA49" s="2690"/>
      <c r="AB49" s="2690"/>
      <c r="AC49" s="2690"/>
      <c r="AD49" s="2690"/>
      <c r="AE49" s="2690"/>
      <c r="AF49" s="715"/>
      <c r="AG49" s="2690"/>
      <c r="AH49" s="2690"/>
      <c r="AI49" s="2690"/>
      <c r="AJ49" s="2690"/>
      <c r="AK49" s="715"/>
      <c r="AL49" s="2629"/>
      <c r="AM49" s="94"/>
      <c r="AN49" s="713"/>
      <c r="AO49" s="2690"/>
      <c r="AP49" s="2690"/>
      <c r="AQ49" s="2690"/>
      <c r="AR49" s="2690"/>
      <c r="AS49" s="752"/>
      <c r="AT49" s="2629"/>
      <c r="AU49" s="2629"/>
      <c r="AV49" s="2629"/>
      <c r="AW49" s="185"/>
      <c r="AX49" s="839"/>
    </row>
    <row r="50" spans="2:50" s="98" customFormat="1" ht="15" customHeight="1">
      <c r="B50" s="161"/>
      <c r="C50" s="180" t="s">
        <v>2874</v>
      </c>
      <c r="D50" s="162"/>
      <c r="E50" s="162"/>
      <c r="F50" s="162"/>
      <c r="G50" s="163"/>
      <c r="H50" s="163"/>
      <c r="I50" s="94"/>
      <c r="J50" s="713"/>
      <c r="K50" s="2649"/>
      <c r="L50" s="2649"/>
      <c r="M50" s="2649"/>
      <c r="N50" s="2649"/>
      <c r="O50" s="2649"/>
      <c r="P50" s="2649"/>
      <c r="Q50" s="715"/>
      <c r="R50" s="713"/>
      <c r="S50" s="2649"/>
      <c r="T50" s="2649"/>
      <c r="U50" s="2649"/>
      <c r="V50" s="715"/>
      <c r="W50" s="2629"/>
      <c r="X50" s="94"/>
      <c r="Y50" s="713"/>
      <c r="Z50" s="2649"/>
      <c r="AA50" s="2649"/>
      <c r="AB50" s="2649"/>
      <c r="AC50" s="2649"/>
      <c r="AD50" s="2649"/>
      <c r="AE50" s="2649"/>
      <c r="AF50" s="715"/>
      <c r="AG50" s="713"/>
      <c r="AH50" s="2649"/>
      <c r="AI50" s="2649"/>
      <c r="AJ50" s="2649"/>
      <c r="AK50" s="715"/>
      <c r="AL50" s="2629"/>
      <c r="AM50" s="94"/>
      <c r="AN50" s="713"/>
      <c r="AO50" s="2649"/>
      <c r="AP50" s="2649"/>
      <c r="AQ50" s="2649"/>
      <c r="AR50" s="2649"/>
      <c r="AS50" s="715"/>
      <c r="AT50" s="2629"/>
      <c r="AU50" s="2629"/>
      <c r="AV50" s="2629"/>
      <c r="AW50" s="185"/>
      <c r="AX50" s="839"/>
    </row>
    <row r="51" spans="2:50" s="98" customFormat="1" ht="15" customHeight="1">
      <c r="B51" s="161"/>
      <c r="C51" s="185"/>
      <c r="D51" s="162" t="s">
        <v>2862</v>
      </c>
      <c r="E51" s="162"/>
      <c r="F51" s="162"/>
      <c r="G51" s="162"/>
      <c r="H51" s="163"/>
      <c r="I51" s="607" t="s">
        <v>2233</v>
      </c>
      <c r="J51" s="143">
        <v>0</v>
      </c>
      <c r="K51" s="141">
        <v>0</v>
      </c>
      <c r="L51" s="141">
        <v>0</v>
      </c>
      <c r="M51" s="141">
        <v>0</v>
      </c>
      <c r="N51" s="141">
        <v>0</v>
      </c>
      <c r="O51" s="141">
        <v>0</v>
      </c>
      <c r="P51" s="141">
        <v>0</v>
      </c>
      <c r="Q51" s="144">
        <v>0</v>
      </c>
      <c r="R51" s="143">
        <v>0</v>
      </c>
      <c r="S51" s="141">
        <v>0</v>
      </c>
      <c r="T51" s="141">
        <v>0</v>
      </c>
      <c r="U51" s="141">
        <v>0</v>
      </c>
      <c r="V51" s="144">
        <v>0</v>
      </c>
      <c r="W51" s="2629"/>
      <c r="X51" s="607" t="s">
        <v>2233</v>
      </c>
      <c r="Y51" s="143">
        <v>-22.82948596673597</v>
      </c>
      <c r="Z51" s="141">
        <v>-21.451632346442775</v>
      </c>
      <c r="AA51" s="141">
        <v>-13.857515210918114</v>
      </c>
      <c r="AB51" s="141">
        <v>-10.741339220462852</v>
      </c>
      <c r="AC51" s="141">
        <v>-14.629721182860591</v>
      </c>
      <c r="AD51" s="141">
        <v>-13.812149864559817</v>
      </c>
      <c r="AE51" s="141">
        <v>-19.75819420935192</v>
      </c>
      <c r="AF51" s="144">
        <v>-17.821376369124422</v>
      </c>
      <c r="AG51" s="143">
        <v>-9.4446636116750735</v>
      </c>
      <c r="AH51" s="141">
        <v>-9.4446636116750735</v>
      </c>
      <c r="AI51" s="141">
        <v>-9.4446636116750735</v>
      </c>
      <c r="AJ51" s="141">
        <v>-9.4446636116750735</v>
      </c>
      <c r="AK51" s="144">
        <v>-9.4446636116750735</v>
      </c>
      <c r="AL51" s="2629"/>
      <c r="AM51" s="607" t="s">
        <v>2233</v>
      </c>
      <c r="AN51" s="143">
        <v>0.10174999999999999</v>
      </c>
      <c r="AO51" s="141">
        <v>3.8727300000000167</v>
      </c>
      <c r="AP51" s="141">
        <v>0.40076000000001272</v>
      </c>
      <c r="AQ51" s="141">
        <v>2.4733400000000385</v>
      </c>
      <c r="AR51" s="141">
        <v>0.62823000000000051</v>
      </c>
      <c r="AS51" s="144">
        <v>1.1821099999999689</v>
      </c>
      <c r="AT51" s="2629"/>
      <c r="AU51" s="607" t="s">
        <v>2233</v>
      </c>
      <c r="AV51" s="141">
        <v>222.04048745804135</v>
      </c>
      <c r="AW51" s="227" t="s">
        <v>2233</v>
      </c>
      <c r="AX51" s="130">
        <f>SUM(AV51,J51:N51,Y51:AC51,AN51:AR51)</f>
        <v>146.00760353062114</v>
      </c>
    </row>
    <row r="52" spans="2:50" s="98" customFormat="1" ht="15" customHeight="1">
      <c r="B52" s="161"/>
      <c r="C52" s="185"/>
      <c r="D52" s="162" t="s">
        <v>2863</v>
      </c>
      <c r="E52" s="162"/>
      <c r="F52" s="162"/>
      <c r="G52" s="162"/>
      <c r="H52" s="163"/>
      <c r="I52" s="607" t="s">
        <v>2233</v>
      </c>
      <c r="J52" s="143">
        <v>0</v>
      </c>
      <c r="K52" s="141">
        <v>0</v>
      </c>
      <c r="L52" s="141">
        <v>0</v>
      </c>
      <c r="M52" s="141">
        <v>0</v>
      </c>
      <c r="N52" s="141">
        <v>0</v>
      </c>
      <c r="O52" s="141">
        <v>0</v>
      </c>
      <c r="P52" s="141">
        <v>0</v>
      </c>
      <c r="Q52" s="144">
        <v>0</v>
      </c>
      <c r="R52" s="143">
        <v>0</v>
      </c>
      <c r="S52" s="141">
        <v>0</v>
      </c>
      <c r="T52" s="141">
        <v>0</v>
      </c>
      <c r="U52" s="141">
        <v>0</v>
      </c>
      <c r="V52" s="144">
        <v>0</v>
      </c>
      <c r="W52" s="2629"/>
      <c r="X52" s="607" t="s">
        <v>2233</v>
      </c>
      <c r="Y52" s="143">
        <v>-59.467971257796258</v>
      </c>
      <c r="Z52" s="141">
        <v>-70.24481617322138</v>
      </c>
      <c r="AA52" s="141">
        <v>-60.670006451612892</v>
      </c>
      <c r="AB52" s="141">
        <v>-47.959835066991467</v>
      </c>
      <c r="AC52" s="141">
        <v>-44.694864984912499</v>
      </c>
      <c r="AD52" s="141">
        <v>-54.979460045146723</v>
      </c>
      <c r="AE52" s="141">
        <v>-74.578418484312934</v>
      </c>
      <c r="AF52" s="144">
        <v>-69.949551933512581</v>
      </c>
      <c r="AG52" s="143">
        <v>-57.107561468433637</v>
      </c>
      <c r="AH52" s="141">
        <v>-57.107561468433637</v>
      </c>
      <c r="AI52" s="141">
        <v>-57.107561468433637</v>
      </c>
      <c r="AJ52" s="141">
        <v>-57.107561468433637</v>
      </c>
      <c r="AK52" s="144">
        <v>-57.107561468433637</v>
      </c>
      <c r="AL52" s="2629"/>
      <c r="AM52" s="607" t="s">
        <v>2233</v>
      </c>
      <c r="AN52" s="143">
        <v>-0.43919389459721753</v>
      </c>
      <c r="AO52" s="141">
        <v>-0.49356961517815923</v>
      </c>
      <c r="AP52" s="141">
        <v>-2.9088511626622142</v>
      </c>
      <c r="AQ52" s="141">
        <v>2.8134137766130225</v>
      </c>
      <c r="AR52" s="141">
        <v>0.22737847275289541</v>
      </c>
      <c r="AS52" s="144">
        <v>1.5450301253030214</v>
      </c>
      <c r="AT52" s="2629"/>
      <c r="AU52" s="607" t="s">
        <v>2233</v>
      </c>
      <c r="AV52" s="141">
        <v>955.21833837141332</v>
      </c>
      <c r="AW52" s="227" t="s">
        <v>2233</v>
      </c>
      <c r="AX52" s="130">
        <f t="shared" ref="AX52:AX59" si="20">SUM(AV52,J52:N52,Y52:AC52,AN52:AR52)</f>
        <v>671.38002201380709</v>
      </c>
    </row>
    <row r="53" spans="2:50" s="98" customFormat="1" ht="15" customHeight="1">
      <c r="B53" s="161"/>
      <c r="C53" s="185"/>
      <c r="D53" s="162" t="s">
        <v>2864</v>
      </c>
      <c r="E53" s="162"/>
      <c r="F53" s="162"/>
      <c r="G53" s="162"/>
      <c r="H53" s="163"/>
      <c r="I53" s="607" t="s">
        <v>2233</v>
      </c>
      <c r="J53" s="143">
        <v>0</v>
      </c>
      <c r="K53" s="141">
        <v>0</v>
      </c>
      <c r="L53" s="141">
        <v>0</v>
      </c>
      <c r="M53" s="141">
        <v>0</v>
      </c>
      <c r="N53" s="141">
        <v>0</v>
      </c>
      <c r="O53" s="141">
        <v>0</v>
      </c>
      <c r="P53" s="141">
        <v>0</v>
      </c>
      <c r="Q53" s="144">
        <v>0</v>
      </c>
      <c r="R53" s="143">
        <v>0</v>
      </c>
      <c r="S53" s="141">
        <v>0</v>
      </c>
      <c r="T53" s="141">
        <v>0</v>
      </c>
      <c r="U53" s="141">
        <v>0</v>
      </c>
      <c r="V53" s="144">
        <v>0</v>
      </c>
      <c r="W53" s="2629"/>
      <c r="X53" s="607" t="s">
        <v>2233</v>
      </c>
      <c r="Y53" s="143">
        <v>-37.776004844074841</v>
      </c>
      <c r="Z53" s="141">
        <v>-44.316071144498459</v>
      </c>
      <c r="AA53" s="141">
        <v>-31.109749156327542</v>
      </c>
      <c r="AB53" s="141">
        <v>-29.059030803897684</v>
      </c>
      <c r="AC53" s="141">
        <v>-27.704378974049483</v>
      </c>
      <c r="AD53" s="141">
        <v>-36.787781986455975</v>
      </c>
      <c r="AE53" s="141">
        <v>-38.793547229341947</v>
      </c>
      <c r="AF53" s="144">
        <v>-37.102035925117633</v>
      </c>
      <c r="AG53" s="143">
        <v>-38.40248753354652</v>
      </c>
      <c r="AH53" s="141">
        <v>-38.40248753354652</v>
      </c>
      <c r="AI53" s="141">
        <v>-38.40248753354652</v>
      </c>
      <c r="AJ53" s="141">
        <v>-38.40248753354652</v>
      </c>
      <c r="AK53" s="144">
        <v>-38.40248753354652</v>
      </c>
      <c r="AL53" s="2629"/>
      <c r="AM53" s="607" t="s">
        <v>2233</v>
      </c>
      <c r="AN53" s="143">
        <v>0.24531204939170884</v>
      </c>
      <c r="AO53" s="141">
        <v>1.5851957437839144</v>
      </c>
      <c r="AP53" s="141">
        <v>1.4729185715375652</v>
      </c>
      <c r="AQ53" s="141">
        <v>-2.9954365092763968</v>
      </c>
      <c r="AR53" s="141">
        <v>1.5494842001190698</v>
      </c>
      <c r="AS53" s="144">
        <v>0.41549956621495077</v>
      </c>
      <c r="AT53" s="2629"/>
      <c r="AU53" s="607" t="s">
        <v>2233</v>
      </c>
      <c r="AV53" s="141">
        <v>679.98791170026243</v>
      </c>
      <c r="AW53" s="227" t="s">
        <v>2233</v>
      </c>
      <c r="AX53" s="130">
        <f t="shared" si="20"/>
        <v>511.88015083297034</v>
      </c>
    </row>
    <row r="54" spans="2:50" s="98" customFormat="1" ht="15" customHeight="1">
      <c r="B54" s="161"/>
      <c r="C54" s="185"/>
      <c r="D54" s="162" t="s">
        <v>2865</v>
      </c>
      <c r="E54" s="162"/>
      <c r="F54" s="162"/>
      <c r="G54" s="162"/>
      <c r="H54" s="163"/>
      <c r="I54" s="607" t="s">
        <v>2233</v>
      </c>
      <c r="J54" s="143">
        <v>0</v>
      </c>
      <c r="K54" s="141">
        <v>0</v>
      </c>
      <c r="L54" s="141">
        <v>0</v>
      </c>
      <c r="M54" s="141">
        <v>0</v>
      </c>
      <c r="N54" s="141">
        <v>0</v>
      </c>
      <c r="O54" s="141">
        <v>0</v>
      </c>
      <c r="P54" s="141">
        <v>0</v>
      </c>
      <c r="Q54" s="144">
        <v>0</v>
      </c>
      <c r="R54" s="143">
        <v>0</v>
      </c>
      <c r="S54" s="141">
        <v>0</v>
      </c>
      <c r="T54" s="141">
        <v>0</v>
      </c>
      <c r="U54" s="141">
        <v>0</v>
      </c>
      <c r="V54" s="144">
        <v>0</v>
      </c>
      <c r="W54" s="2629"/>
      <c r="X54" s="607" t="s">
        <v>2233</v>
      </c>
      <c r="Y54" s="143">
        <v>-10.406134251559251</v>
      </c>
      <c r="Z54" s="141">
        <v>-17.542222713212549</v>
      </c>
      <c r="AA54" s="141">
        <v>-16.806676178660048</v>
      </c>
      <c r="AB54" s="141">
        <v>-12.162238428745432</v>
      </c>
      <c r="AC54" s="141">
        <v>-9.3706385033192507</v>
      </c>
      <c r="AD54" s="141">
        <v>-15.589300225733634</v>
      </c>
      <c r="AE54" s="141">
        <v>-15.291040452120766</v>
      </c>
      <c r="AF54" s="144">
        <v>-14.41178385803533</v>
      </c>
      <c r="AG54" s="143">
        <v>-20.75601513185142</v>
      </c>
      <c r="AH54" s="141">
        <v>-20.75601513185142</v>
      </c>
      <c r="AI54" s="141">
        <v>-20.75601513185142</v>
      </c>
      <c r="AJ54" s="141">
        <v>-20.75601513185142</v>
      </c>
      <c r="AK54" s="144">
        <v>-20.75601513185142</v>
      </c>
      <c r="AL54" s="2629"/>
      <c r="AM54" s="607" t="s">
        <v>2233</v>
      </c>
      <c r="AN54" s="143">
        <v>-0.18168532145929628</v>
      </c>
      <c r="AO54" s="141">
        <v>0.8041883369197802</v>
      </c>
      <c r="AP54" s="141">
        <v>0.90139489431458764</v>
      </c>
      <c r="AQ54" s="141">
        <v>0.87399478367283512</v>
      </c>
      <c r="AR54" s="141">
        <v>1.0899351538486006</v>
      </c>
      <c r="AS54" s="144">
        <v>0.55880512383965419</v>
      </c>
      <c r="AT54" s="2629"/>
      <c r="AU54" s="607" t="s">
        <v>2233</v>
      </c>
      <c r="AV54" s="141">
        <v>319.92172430008054</v>
      </c>
      <c r="AW54" s="227" t="s">
        <v>2233</v>
      </c>
      <c r="AX54" s="130">
        <f t="shared" si="20"/>
        <v>257.12164207188061</v>
      </c>
    </row>
    <row r="55" spans="2:50" s="98" customFormat="1" ht="15" customHeight="1">
      <c r="B55" s="161"/>
      <c r="C55" s="185"/>
      <c r="D55" s="162" t="s">
        <v>2866</v>
      </c>
      <c r="E55" s="162"/>
      <c r="F55" s="162"/>
      <c r="G55" s="162"/>
      <c r="H55" s="163"/>
      <c r="I55" s="607" t="s">
        <v>2233</v>
      </c>
      <c r="J55" s="143">
        <v>0</v>
      </c>
      <c r="K55" s="141">
        <v>0</v>
      </c>
      <c r="L55" s="141">
        <v>0</v>
      </c>
      <c r="M55" s="141">
        <v>0</v>
      </c>
      <c r="N55" s="141">
        <v>0</v>
      </c>
      <c r="O55" s="141">
        <v>0</v>
      </c>
      <c r="P55" s="141">
        <v>0</v>
      </c>
      <c r="Q55" s="144">
        <v>0</v>
      </c>
      <c r="R55" s="143">
        <v>0</v>
      </c>
      <c r="S55" s="141">
        <v>0</v>
      </c>
      <c r="T55" s="141">
        <v>0</v>
      </c>
      <c r="U55" s="141">
        <v>0</v>
      </c>
      <c r="V55" s="144">
        <v>0</v>
      </c>
      <c r="W55" s="2629"/>
      <c r="X55" s="607" t="s">
        <v>2233</v>
      </c>
      <c r="Y55" s="143">
        <v>-1.2756283783783784</v>
      </c>
      <c r="Z55" s="141">
        <v>-1.1969403446752098</v>
      </c>
      <c r="AA55" s="141">
        <v>-1.4358387096774194</v>
      </c>
      <c r="AB55" s="141">
        <v>-1.1788422655298416</v>
      </c>
      <c r="AC55" s="141">
        <v>-4.1075678937839468</v>
      </c>
      <c r="AD55" s="141">
        <v>-0.70978103837471773</v>
      </c>
      <c r="AE55" s="141">
        <v>-2.1830527859362503</v>
      </c>
      <c r="AF55" s="144">
        <v>-1.9489516506870146</v>
      </c>
      <c r="AG55" s="143">
        <v>-1.5219054596737964</v>
      </c>
      <c r="AH55" s="141">
        <v>-1.5219054596737964</v>
      </c>
      <c r="AI55" s="141">
        <v>-1.5219054596737964</v>
      </c>
      <c r="AJ55" s="141">
        <v>-1.5219054596737964</v>
      </c>
      <c r="AK55" s="144">
        <v>-1.5219054596737964</v>
      </c>
      <c r="AL55" s="2629"/>
      <c r="AM55" s="607" t="s">
        <v>2233</v>
      </c>
      <c r="AN55" s="143">
        <v>-6.0000000000000001E-3</v>
      </c>
      <c r="AO55" s="141">
        <v>-0.89142999999999495</v>
      </c>
      <c r="AP55" s="141">
        <v>0.16350000000003195</v>
      </c>
      <c r="AQ55" s="141">
        <v>-8.2480000000049014E-2</v>
      </c>
      <c r="AR55" s="141">
        <v>-7.6449999999969695E-2</v>
      </c>
      <c r="AS55" s="144">
        <v>1.4499999999993664E-2</v>
      </c>
      <c r="AT55" s="2629"/>
      <c r="AU55" s="607" t="s">
        <v>2233</v>
      </c>
      <c r="AV55" s="141">
        <v>76.706649999999996</v>
      </c>
      <c r="AW55" s="227" t="s">
        <v>2233</v>
      </c>
      <c r="AX55" s="130">
        <f t="shared" si="20"/>
        <v>66.618972407955226</v>
      </c>
    </row>
    <row r="56" spans="2:50" s="98" customFormat="1" ht="15" customHeight="1">
      <c r="B56" s="161"/>
      <c r="C56" s="185"/>
      <c r="D56" s="162" t="s">
        <v>2867</v>
      </c>
      <c r="E56" s="162"/>
      <c r="F56" s="162"/>
      <c r="G56" s="162"/>
      <c r="H56" s="163"/>
      <c r="I56" s="607" t="s">
        <v>2233</v>
      </c>
      <c r="J56" s="143">
        <v>0</v>
      </c>
      <c r="K56" s="141">
        <v>0</v>
      </c>
      <c r="L56" s="141">
        <v>0</v>
      </c>
      <c r="M56" s="141">
        <v>0</v>
      </c>
      <c r="N56" s="141">
        <v>0</v>
      </c>
      <c r="O56" s="141">
        <v>0</v>
      </c>
      <c r="P56" s="141">
        <v>0</v>
      </c>
      <c r="Q56" s="144">
        <v>0</v>
      </c>
      <c r="R56" s="143">
        <v>0</v>
      </c>
      <c r="S56" s="141">
        <v>0</v>
      </c>
      <c r="T56" s="141">
        <v>0</v>
      </c>
      <c r="U56" s="141">
        <v>0</v>
      </c>
      <c r="V56" s="144">
        <v>0</v>
      </c>
      <c r="W56" s="2629"/>
      <c r="X56" s="607" t="s">
        <v>2233</v>
      </c>
      <c r="Y56" s="143">
        <v>-8.1556958419958434</v>
      </c>
      <c r="Z56" s="141">
        <v>-10.575950508174989</v>
      </c>
      <c r="AA56" s="141">
        <v>-3.9642282878411907</v>
      </c>
      <c r="AB56" s="141">
        <v>-5.2523861144945183</v>
      </c>
      <c r="AC56" s="141">
        <v>-12.029590826795411</v>
      </c>
      <c r="AD56" s="141">
        <v>-12.282297968397289</v>
      </c>
      <c r="AE56" s="141">
        <v>-13.114599611076807</v>
      </c>
      <c r="AF56" s="144">
        <v>-11.159898568477599</v>
      </c>
      <c r="AG56" s="143">
        <v>-10.401411122890478</v>
      </c>
      <c r="AH56" s="141">
        <v>-10.401411122890478</v>
      </c>
      <c r="AI56" s="141">
        <v>-10.401411122890478</v>
      </c>
      <c r="AJ56" s="141">
        <v>-10.401411122890478</v>
      </c>
      <c r="AK56" s="144">
        <v>-10.401411122890478</v>
      </c>
      <c r="AL56" s="2629"/>
      <c r="AM56" s="607" t="s">
        <v>2233</v>
      </c>
      <c r="AN56" s="143">
        <v>-0.33783733331498766</v>
      </c>
      <c r="AO56" s="141">
        <v>1.3375523400672011</v>
      </c>
      <c r="AP56" s="141">
        <v>0.49212740719014764</v>
      </c>
      <c r="AQ56" s="141">
        <v>1.3537685320662345</v>
      </c>
      <c r="AR56" s="141">
        <v>0.75748327626673806</v>
      </c>
      <c r="AS56" s="144">
        <v>-0.51732109475978727</v>
      </c>
      <c r="AT56" s="2629"/>
      <c r="AU56" s="607" t="s">
        <v>2233</v>
      </c>
      <c r="AV56" s="141">
        <v>362.98830790559447</v>
      </c>
      <c r="AW56" s="227" t="s">
        <v>2233</v>
      </c>
      <c r="AX56" s="130">
        <f t="shared" si="20"/>
        <v>326.61355054856779</v>
      </c>
    </row>
    <row r="57" spans="2:50" s="98" customFormat="1" ht="15" customHeight="1">
      <c r="B57" s="161"/>
      <c r="C57" s="185"/>
      <c r="D57" s="162" t="s">
        <v>2868</v>
      </c>
      <c r="E57" s="162"/>
      <c r="F57" s="162"/>
      <c r="G57" s="162"/>
      <c r="H57" s="163"/>
      <c r="I57" s="607" t="s">
        <v>2233</v>
      </c>
      <c r="J57" s="143">
        <v>0</v>
      </c>
      <c r="K57" s="141">
        <v>0</v>
      </c>
      <c r="L57" s="141">
        <v>0</v>
      </c>
      <c r="M57" s="141">
        <v>0</v>
      </c>
      <c r="N57" s="141">
        <v>0</v>
      </c>
      <c r="O57" s="141">
        <v>0</v>
      </c>
      <c r="P57" s="141">
        <v>0</v>
      </c>
      <c r="Q57" s="144">
        <v>0</v>
      </c>
      <c r="R57" s="143">
        <v>0</v>
      </c>
      <c r="S57" s="141">
        <v>0</v>
      </c>
      <c r="T57" s="141">
        <v>0</v>
      </c>
      <c r="U57" s="141">
        <v>0</v>
      </c>
      <c r="V57" s="144">
        <v>0</v>
      </c>
      <c r="W57" s="2629"/>
      <c r="X57" s="607" t="s">
        <v>2233</v>
      </c>
      <c r="Y57" s="143">
        <v>-4.2788560291060289</v>
      </c>
      <c r="Z57" s="141">
        <v>-3.9510941228457797</v>
      </c>
      <c r="AA57" s="141">
        <v>-2.3612233250620349</v>
      </c>
      <c r="AB57" s="141">
        <v>-0.93229354445797807</v>
      </c>
      <c r="AC57" s="141">
        <v>-4.3129462884731433</v>
      </c>
      <c r="AD57" s="141">
        <v>-4.8639413092550789</v>
      </c>
      <c r="AE57" s="141">
        <v>-6.4643015450169568</v>
      </c>
      <c r="AF57" s="144">
        <v>-5.7761531920258191</v>
      </c>
      <c r="AG57" s="143">
        <v>-2.3057377009288826</v>
      </c>
      <c r="AH57" s="141">
        <v>-2.3057377009288826</v>
      </c>
      <c r="AI57" s="141">
        <v>-2.3057377009288826</v>
      </c>
      <c r="AJ57" s="141">
        <v>-2.3057377009288826</v>
      </c>
      <c r="AK57" s="144">
        <v>-2.3057377009288826</v>
      </c>
      <c r="AL57" s="2629"/>
      <c r="AM57" s="607" t="s">
        <v>2233</v>
      </c>
      <c r="AN57" s="143">
        <v>0.69582521654733109</v>
      </c>
      <c r="AO57" s="141">
        <v>-0.16475314765002774</v>
      </c>
      <c r="AP57" s="141">
        <v>8.6133934871298029E-2</v>
      </c>
      <c r="AQ57" s="141">
        <v>-4.6752986183573028E-2</v>
      </c>
      <c r="AR57" s="141">
        <v>1.3655772011253344</v>
      </c>
      <c r="AS57" s="144">
        <v>-1.4610902701537237E-2</v>
      </c>
      <c r="AT57" s="2629"/>
      <c r="AU57" s="607" t="s">
        <v>2233</v>
      </c>
      <c r="AV57" s="141">
        <v>61.050671716882725</v>
      </c>
      <c r="AW57" s="227" t="s">
        <v>2233</v>
      </c>
      <c r="AX57" s="130">
        <f t="shared" si="20"/>
        <v>47.15028862564813</v>
      </c>
    </row>
    <row r="58" spans="2:50" s="98" customFormat="1" ht="15" customHeight="1">
      <c r="B58" s="161"/>
      <c r="C58" s="185"/>
      <c r="D58" s="162" t="s">
        <v>2869</v>
      </c>
      <c r="E58" s="162"/>
      <c r="F58" s="162"/>
      <c r="G58" s="162"/>
      <c r="H58" s="163"/>
      <c r="I58" s="607" t="s">
        <v>2233</v>
      </c>
      <c r="J58" s="143">
        <v>0</v>
      </c>
      <c r="K58" s="141">
        <v>0</v>
      </c>
      <c r="L58" s="141">
        <v>0</v>
      </c>
      <c r="M58" s="141">
        <v>0</v>
      </c>
      <c r="N58" s="141">
        <v>0</v>
      </c>
      <c r="O58" s="141">
        <v>0</v>
      </c>
      <c r="P58" s="141">
        <v>0</v>
      </c>
      <c r="Q58" s="144">
        <v>0</v>
      </c>
      <c r="R58" s="143">
        <v>0</v>
      </c>
      <c r="S58" s="141">
        <v>0</v>
      </c>
      <c r="T58" s="141">
        <v>0</v>
      </c>
      <c r="U58" s="141">
        <v>0</v>
      </c>
      <c r="V58" s="144">
        <v>0</v>
      </c>
      <c r="W58" s="2629"/>
      <c r="X58" s="607" t="s">
        <v>2233</v>
      </c>
      <c r="Y58" s="143">
        <v>-3.4393399168399172</v>
      </c>
      <c r="Z58" s="141">
        <v>-2.6549049933716304</v>
      </c>
      <c r="AA58" s="141">
        <v>-1.6527568238213399</v>
      </c>
      <c r="AB58" s="141">
        <v>-1.2646851400730816</v>
      </c>
      <c r="AC58" s="141">
        <v>-2.3458998189499094</v>
      </c>
      <c r="AD58" s="141">
        <v>-3.4224785553047403</v>
      </c>
      <c r="AE58" s="141">
        <v>-5.1484245230521797</v>
      </c>
      <c r="AF58" s="144">
        <v>-3.8056014323823995</v>
      </c>
      <c r="AG58" s="143">
        <v>-8.3311784861317921</v>
      </c>
      <c r="AH58" s="141">
        <v>-8.3311784861317921</v>
      </c>
      <c r="AI58" s="141">
        <v>-8.3311784861317921</v>
      </c>
      <c r="AJ58" s="141">
        <v>-8.3311784861317921</v>
      </c>
      <c r="AK58" s="144">
        <v>-8.3311784861317921</v>
      </c>
      <c r="AL58" s="2629"/>
      <c r="AM58" s="607" t="s">
        <v>2233</v>
      </c>
      <c r="AN58" s="143">
        <v>3.1072096220066413E-2</v>
      </c>
      <c r="AO58" s="141">
        <v>-2.1341185340279054</v>
      </c>
      <c r="AP58" s="141">
        <v>0.77436555597302481</v>
      </c>
      <c r="AQ58" s="141">
        <v>0.34119516968883745</v>
      </c>
      <c r="AR58" s="141">
        <v>0.34273518611949488</v>
      </c>
      <c r="AS58" s="144">
        <v>-3.3490827908322675E-2</v>
      </c>
      <c r="AT58" s="2629"/>
      <c r="AU58" s="607" t="s">
        <v>2233</v>
      </c>
      <c r="AV58" s="141">
        <v>129.4617545933082</v>
      </c>
      <c r="AW58" s="227" t="s">
        <v>2233</v>
      </c>
      <c r="AX58" s="130">
        <f t="shared" si="20"/>
        <v>117.45941737422585</v>
      </c>
    </row>
    <row r="59" spans="2:50" s="98" customFormat="1" ht="15" customHeight="1">
      <c r="B59" s="161"/>
      <c r="C59" s="185"/>
      <c r="D59" s="162" t="s">
        <v>2870</v>
      </c>
      <c r="E59" s="162"/>
      <c r="F59" s="162"/>
      <c r="G59" s="162"/>
      <c r="H59" s="163"/>
      <c r="I59" s="607" t="s">
        <v>2233</v>
      </c>
      <c r="J59" s="143">
        <v>0</v>
      </c>
      <c r="K59" s="141">
        <v>0</v>
      </c>
      <c r="L59" s="141">
        <v>0</v>
      </c>
      <c r="M59" s="141">
        <v>0</v>
      </c>
      <c r="N59" s="141">
        <v>0</v>
      </c>
      <c r="O59" s="141">
        <v>0</v>
      </c>
      <c r="P59" s="141">
        <v>0</v>
      </c>
      <c r="Q59" s="144">
        <v>0</v>
      </c>
      <c r="R59" s="143">
        <v>0</v>
      </c>
      <c r="S59" s="141">
        <v>0</v>
      </c>
      <c r="T59" s="141">
        <v>0</v>
      </c>
      <c r="U59" s="141">
        <v>0</v>
      </c>
      <c r="V59" s="144">
        <v>0</v>
      </c>
      <c r="W59" s="2629"/>
      <c r="X59" s="607" t="s">
        <v>2233</v>
      </c>
      <c r="Y59" s="143">
        <v>-0.42818295218295216</v>
      </c>
      <c r="Z59" s="141">
        <v>-0.16475298276623951</v>
      </c>
      <c r="AA59" s="141">
        <v>0</v>
      </c>
      <c r="AB59" s="141">
        <v>-7.9853836784409254E-3</v>
      </c>
      <c r="AC59" s="141">
        <v>0</v>
      </c>
      <c r="AD59" s="141">
        <v>-0.47982392776523697</v>
      </c>
      <c r="AE59" s="141">
        <v>-0.23093086943540367</v>
      </c>
      <c r="AF59" s="144">
        <v>-0.17603068058200724</v>
      </c>
      <c r="AG59" s="143">
        <v>-0.44589025324766357</v>
      </c>
      <c r="AH59" s="141">
        <v>-0.44589025324766357</v>
      </c>
      <c r="AI59" s="141">
        <v>-0.44589025324766357</v>
      </c>
      <c r="AJ59" s="141">
        <v>-0.44589025324766357</v>
      </c>
      <c r="AK59" s="144">
        <v>-0.44589025324766357</v>
      </c>
      <c r="AL59" s="2629"/>
      <c r="AM59" s="607" t="s">
        <v>2233</v>
      </c>
      <c r="AN59" s="143">
        <v>-7.8910127526432249E-3</v>
      </c>
      <c r="AO59" s="141">
        <v>-9.4771063159243982E-2</v>
      </c>
      <c r="AP59" s="141">
        <v>7.8910127526432249E-3</v>
      </c>
      <c r="AQ59" s="141">
        <v>-5.8196219050744818E-2</v>
      </c>
      <c r="AR59" s="141">
        <v>-0.40737353335520499</v>
      </c>
      <c r="AS59" s="144">
        <v>-4.3400570139539969E-2</v>
      </c>
      <c r="AT59" s="2629"/>
      <c r="AU59" s="607" t="s">
        <v>2233</v>
      </c>
      <c r="AV59" s="141">
        <v>10.383205895892614</v>
      </c>
      <c r="AW59" s="227" t="s">
        <v>2233</v>
      </c>
      <c r="AX59" s="130">
        <f t="shared" si="20"/>
        <v>9.2219437616997855</v>
      </c>
    </row>
    <row r="60" spans="2:50" s="98" customFormat="1" ht="15" customHeight="1">
      <c r="B60" s="181"/>
      <c r="C60" s="182" t="s">
        <v>1710</v>
      </c>
      <c r="D60" s="182"/>
      <c r="E60" s="182"/>
      <c r="F60" s="182"/>
      <c r="G60" s="184"/>
      <c r="H60" s="184"/>
      <c r="I60" s="607" t="s">
        <v>2233</v>
      </c>
      <c r="J60" s="128">
        <f>SUM(J51:J59)</f>
        <v>0</v>
      </c>
      <c r="K60" s="129">
        <f t="shared" ref="K60:V60" si="21">SUM(K51:K59)</f>
        <v>0</v>
      </c>
      <c r="L60" s="129">
        <f t="shared" si="21"/>
        <v>0</v>
      </c>
      <c r="M60" s="129">
        <f t="shared" si="21"/>
        <v>0</v>
      </c>
      <c r="N60" s="129">
        <f t="shared" si="21"/>
        <v>0</v>
      </c>
      <c r="O60" s="129">
        <f t="shared" si="21"/>
        <v>0</v>
      </c>
      <c r="P60" s="129">
        <f t="shared" si="21"/>
        <v>0</v>
      </c>
      <c r="Q60" s="130">
        <f t="shared" si="21"/>
        <v>0</v>
      </c>
      <c r="R60" s="128">
        <f t="shared" si="21"/>
        <v>0</v>
      </c>
      <c r="S60" s="129">
        <f t="shared" si="21"/>
        <v>0</v>
      </c>
      <c r="T60" s="129">
        <f t="shared" si="21"/>
        <v>0</v>
      </c>
      <c r="U60" s="129">
        <f t="shared" si="21"/>
        <v>0</v>
      </c>
      <c r="V60" s="130">
        <f t="shared" si="21"/>
        <v>0</v>
      </c>
      <c r="W60" s="2629"/>
      <c r="X60" s="607" t="s">
        <v>2233</v>
      </c>
      <c r="Y60" s="128">
        <f>SUM(Y51:Y59)</f>
        <v>-148.05729943866945</v>
      </c>
      <c r="Z60" s="129">
        <f t="shared" ref="Z60:AK60" si="22">SUM(Z51:Z59)</f>
        <v>-172.09838532920901</v>
      </c>
      <c r="AA60" s="129">
        <f t="shared" si="22"/>
        <v>-131.85799414392059</v>
      </c>
      <c r="AB60" s="129">
        <f t="shared" si="22"/>
        <v>-108.55863596833129</v>
      </c>
      <c r="AC60" s="129">
        <f t="shared" si="22"/>
        <v>-119.19560847314423</v>
      </c>
      <c r="AD60" s="129">
        <f t="shared" si="22"/>
        <v>-142.9270149209932</v>
      </c>
      <c r="AE60" s="129">
        <f t="shared" si="22"/>
        <v>-175.56250970964516</v>
      </c>
      <c r="AF60" s="130">
        <f t="shared" si="22"/>
        <v>-162.15138360994479</v>
      </c>
      <c r="AG60" s="128">
        <f t="shared" si="22"/>
        <v>-148.71685076837926</v>
      </c>
      <c r="AH60" s="129">
        <f t="shared" si="22"/>
        <v>-148.71685076837926</v>
      </c>
      <c r="AI60" s="129">
        <f t="shared" si="22"/>
        <v>-148.71685076837926</v>
      </c>
      <c r="AJ60" s="129">
        <f t="shared" si="22"/>
        <v>-148.71685076837926</v>
      </c>
      <c r="AK60" s="130">
        <f t="shared" si="22"/>
        <v>-148.71685076837926</v>
      </c>
      <c r="AL60" s="2629"/>
      <c r="AM60" s="607" t="s">
        <v>2233</v>
      </c>
      <c r="AN60" s="128">
        <f>SUM(AN51:AN59)</f>
        <v>0.10135180003496168</v>
      </c>
      <c r="AO60" s="129">
        <f t="shared" ref="AO60:AS60" si="23">SUM(AO51:AO59)</f>
        <v>3.8210240607555814</v>
      </c>
      <c r="AP60" s="129">
        <f t="shared" si="23"/>
        <v>1.3902402139770973</v>
      </c>
      <c r="AQ60" s="129">
        <f t="shared" si="23"/>
        <v>4.6728465475302041</v>
      </c>
      <c r="AR60" s="129">
        <f t="shared" si="23"/>
        <v>5.4769999568769592</v>
      </c>
      <c r="AS60" s="130">
        <f t="shared" si="23"/>
        <v>3.1071214198484021</v>
      </c>
      <c r="AT60" s="2629"/>
      <c r="AU60" s="607" t="s">
        <v>2233</v>
      </c>
      <c r="AV60" s="876">
        <f>SUM(AV51:AV59)</f>
        <v>2817.7590519414757</v>
      </c>
      <c r="AW60" s="227" t="s">
        <v>2233</v>
      </c>
      <c r="AX60" s="712">
        <f>SUM(AX51:AX59)</f>
        <v>2153.4535911673761</v>
      </c>
    </row>
    <row r="61" spans="2:50" s="98" customFormat="1" ht="15" customHeight="1">
      <c r="B61" s="181"/>
      <c r="C61" s="185"/>
      <c r="D61" s="182"/>
      <c r="E61" s="182"/>
      <c r="F61" s="182"/>
      <c r="G61" s="184"/>
      <c r="H61" s="184"/>
      <c r="I61" s="94"/>
      <c r="J61" s="713"/>
      <c r="K61" s="2690"/>
      <c r="L61" s="2690"/>
      <c r="M61" s="2690"/>
      <c r="N61" s="2690"/>
      <c r="O61" s="2690"/>
      <c r="P61" s="2690"/>
      <c r="Q61" s="715"/>
      <c r="R61" s="2690"/>
      <c r="S61" s="2690"/>
      <c r="T61" s="2690"/>
      <c r="U61" s="2690"/>
      <c r="V61" s="715"/>
      <c r="W61" s="2629"/>
      <c r="X61" s="94"/>
      <c r="Y61" s="713"/>
      <c r="Z61" s="2690"/>
      <c r="AA61" s="2690"/>
      <c r="AB61" s="2690"/>
      <c r="AC61" s="2690"/>
      <c r="AD61" s="2690"/>
      <c r="AE61" s="2690"/>
      <c r="AF61" s="715"/>
      <c r="AG61" s="2690"/>
      <c r="AH61" s="2690"/>
      <c r="AI61" s="2690"/>
      <c r="AJ61" s="2690"/>
      <c r="AK61" s="715"/>
      <c r="AL61" s="2629"/>
      <c r="AM61" s="94"/>
      <c r="AN61" s="713"/>
      <c r="AO61" s="2690"/>
      <c r="AP61" s="2690"/>
      <c r="AQ61" s="2690"/>
      <c r="AR61" s="2690"/>
      <c r="AS61" s="752"/>
      <c r="AT61" s="2629"/>
      <c r="AU61" s="2629"/>
      <c r="AV61" s="2629"/>
      <c r="AW61" s="185"/>
      <c r="AX61" s="839"/>
    </row>
    <row r="62" spans="2:50" s="98" customFormat="1" ht="15" customHeight="1">
      <c r="B62" s="161"/>
      <c r="C62" s="180" t="s">
        <v>2875</v>
      </c>
      <c r="D62" s="162"/>
      <c r="E62" s="162"/>
      <c r="F62" s="162"/>
      <c r="G62" s="163"/>
      <c r="H62" s="163"/>
      <c r="I62" s="94"/>
      <c r="J62" s="713"/>
      <c r="K62" s="2649"/>
      <c r="L62" s="2649"/>
      <c r="M62" s="2649"/>
      <c r="N62" s="2649"/>
      <c r="O62" s="2649"/>
      <c r="P62" s="2649"/>
      <c r="Q62" s="715"/>
      <c r="R62" s="713"/>
      <c r="S62" s="2649"/>
      <c r="T62" s="2649"/>
      <c r="U62" s="2649"/>
      <c r="V62" s="715"/>
      <c r="W62" s="2629"/>
      <c r="X62" s="94"/>
      <c r="Y62" s="713"/>
      <c r="Z62" s="2649"/>
      <c r="AA62" s="2649"/>
      <c r="AB62" s="2649"/>
      <c r="AC62" s="2649"/>
      <c r="AD62" s="2649"/>
      <c r="AE62" s="2649"/>
      <c r="AF62" s="715"/>
      <c r="AG62" s="713"/>
      <c r="AH62" s="2649"/>
      <c r="AI62" s="2649"/>
      <c r="AJ62" s="2649"/>
      <c r="AK62" s="715"/>
      <c r="AL62" s="2629"/>
      <c r="AM62" s="94"/>
      <c r="AN62" s="713"/>
      <c r="AO62" s="2649"/>
      <c r="AP62" s="2649"/>
      <c r="AQ62" s="2649"/>
      <c r="AR62" s="2649"/>
      <c r="AS62" s="715"/>
      <c r="AT62" s="2629"/>
      <c r="AU62" s="2629"/>
      <c r="AV62" s="2629"/>
      <c r="AW62" s="185"/>
      <c r="AX62" s="839"/>
    </row>
    <row r="63" spans="2:50" s="98" customFormat="1" ht="15" customHeight="1">
      <c r="B63" s="161"/>
      <c r="C63" s="185"/>
      <c r="D63" s="162" t="s">
        <v>2862</v>
      </c>
      <c r="E63" s="162"/>
      <c r="F63" s="162"/>
      <c r="G63" s="162"/>
      <c r="H63" s="163"/>
      <c r="I63" s="607" t="s">
        <v>2233</v>
      </c>
      <c r="J63" s="143">
        <v>0</v>
      </c>
      <c r="K63" s="141">
        <v>0</v>
      </c>
      <c r="L63" s="141">
        <v>0</v>
      </c>
      <c r="M63" s="141">
        <v>0</v>
      </c>
      <c r="N63" s="141">
        <v>0</v>
      </c>
      <c r="O63" s="141">
        <v>0</v>
      </c>
      <c r="P63" s="141">
        <v>0</v>
      </c>
      <c r="Q63" s="144">
        <v>0</v>
      </c>
      <c r="R63" s="143">
        <v>0</v>
      </c>
      <c r="S63" s="141">
        <v>0</v>
      </c>
      <c r="T63" s="141">
        <v>0</v>
      </c>
      <c r="U63" s="141">
        <v>0</v>
      </c>
      <c r="V63" s="144">
        <v>0</v>
      </c>
      <c r="W63" s="2629"/>
      <c r="X63" s="607" t="s">
        <v>2233</v>
      </c>
      <c r="Y63" s="143">
        <v>-15.447109154929578</v>
      </c>
      <c r="Z63" s="141">
        <v>-15.600200317460317</v>
      </c>
      <c r="AA63" s="141">
        <v>-14.544328439219608</v>
      </c>
      <c r="AB63" s="141">
        <v>-15.242719466452943</v>
      </c>
      <c r="AC63" s="141">
        <v>-14.972951403887691</v>
      </c>
      <c r="AD63" s="141">
        <v>-8.5526654271617772</v>
      </c>
      <c r="AE63" s="141">
        <v>-12.371757760270807</v>
      </c>
      <c r="AF63" s="144">
        <v>-11.159003148631049</v>
      </c>
      <c r="AG63" s="143">
        <v>-5.9138547325130801</v>
      </c>
      <c r="AH63" s="141">
        <v>-5.9138547325130801</v>
      </c>
      <c r="AI63" s="141">
        <v>-5.9138547325130801</v>
      </c>
      <c r="AJ63" s="141">
        <v>-5.9138547325130801</v>
      </c>
      <c r="AK63" s="144">
        <v>-5.9138547325130801</v>
      </c>
      <c r="AL63" s="2629"/>
      <c r="AM63" s="607" t="s">
        <v>2233</v>
      </c>
      <c r="AN63" s="143">
        <v>1.194582820511339E-2</v>
      </c>
      <c r="AO63" s="141">
        <v>1.8769245289838379</v>
      </c>
      <c r="AP63" s="141">
        <v>-0.59915076092190478</v>
      </c>
      <c r="AQ63" s="141">
        <v>2.8970382786467059</v>
      </c>
      <c r="AR63" s="141">
        <v>1.2647283238714664</v>
      </c>
      <c r="AS63" s="144">
        <v>1.6777740775174295</v>
      </c>
      <c r="AT63" s="2629"/>
      <c r="AU63" s="607" t="s">
        <v>2233</v>
      </c>
      <c r="AV63" s="141">
        <v>161.77969881895558</v>
      </c>
      <c r="AW63" s="227" t="s">
        <v>2233</v>
      </c>
      <c r="AX63" s="130">
        <f>SUM(AV63,J63:N63,Y63:AC63,AN63:AR63)</f>
        <v>91.423876235790644</v>
      </c>
    </row>
    <row r="64" spans="2:50" s="98" customFormat="1" ht="15" customHeight="1">
      <c r="B64" s="161"/>
      <c r="C64" s="185"/>
      <c r="D64" s="162" t="s">
        <v>2863</v>
      </c>
      <c r="E64" s="162"/>
      <c r="F64" s="162"/>
      <c r="G64" s="162"/>
      <c r="H64" s="163"/>
      <c r="I64" s="607" t="s">
        <v>2233</v>
      </c>
      <c r="J64" s="143">
        <v>0</v>
      </c>
      <c r="K64" s="141">
        <v>0</v>
      </c>
      <c r="L64" s="141">
        <v>0</v>
      </c>
      <c r="M64" s="141">
        <v>0</v>
      </c>
      <c r="N64" s="141">
        <v>0</v>
      </c>
      <c r="O64" s="141">
        <v>0</v>
      </c>
      <c r="P64" s="141">
        <v>0</v>
      </c>
      <c r="Q64" s="144">
        <v>0</v>
      </c>
      <c r="R64" s="143">
        <v>0</v>
      </c>
      <c r="S64" s="141">
        <v>0</v>
      </c>
      <c r="T64" s="141">
        <v>0</v>
      </c>
      <c r="U64" s="141">
        <v>0</v>
      </c>
      <c r="V64" s="144">
        <v>0</v>
      </c>
      <c r="W64" s="2629"/>
      <c r="X64" s="607" t="s">
        <v>2233</v>
      </c>
      <c r="Y64" s="143">
        <v>-136.1079190140845</v>
      </c>
      <c r="Z64" s="141">
        <v>-154.65122024691357</v>
      </c>
      <c r="AA64" s="141">
        <v>-170.31965695347674</v>
      </c>
      <c r="AB64" s="141">
        <v>-170.27301842912755</v>
      </c>
      <c r="AC64" s="141">
        <v>-178.32064610151187</v>
      </c>
      <c r="AD64" s="141">
        <v>-141.17593993767852</v>
      </c>
      <c r="AE64" s="141">
        <v>-140.32083536053605</v>
      </c>
      <c r="AF64" s="144">
        <v>-131.61152730089449</v>
      </c>
      <c r="AG64" s="143">
        <v>-107.4490568922339</v>
      </c>
      <c r="AH64" s="141">
        <v>-107.4490568922339</v>
      </c>
      <c r="AI64" s="141">
        <v>-107.4490568922339</v>
      </c>
      <c r="AJ64" s="141">
        <v>-107.4490568922339</v>
      </c>
      <c r="AK64" s="144">
        <v>-107.4490568922339</v>
      </c>
      <c r="AL64" s="2629"/>
      <c r="AM64" s="607" t="s">
        <v>2233</v>
      </c>
      <c r="AN64" s="143">
        <v>-0.26309879866563346</v>
      </c>
      <c r="AO64" s="141">
        <v>-3.744566858375729</v>
      </c>
      <c r="AP64" s="141">
        <v>6.3496214340119348</v>
      </c>
      <c r="AQ64" s="141">
        <v>1.4799819202907323</v>
      </c>
      <c r="AR64" s="141">
        <v>3.7598752600274632</v>
      </c>
      <c r="AS64" s="144">
        <v>6.1516707190944935</v>
      </c>
      <c r="AT64" s="2629"/>
      <c r="AU64" s="607" t="s">
        <v>2233</v>
      </c>
      <c r="AV64" s="141">
        <v>2065.3060316480855</v>
      </c>
      <c r="AW64" s="227" t="s">
        <v>2233</v>
      </c>
      <c r="AX64" s="130">
        <f t="shared" ref="AX64:AX71" si="24">SUM(AV64,J64:N64,Y64:AC64,AN64:AR64)</f>
        <v>1263.2153838602603</v>
      </c>
    </row>
    <row r="65" spans="1:50" s="98" customFormat="1" ht="15" customHeight="1">
      <c r="B65" s="161"/>
      <c r="C65" s="185"/>
      <c r="D65" s="162" t="s">
        <v>2864</v>
      </c>
      <c r="E65" s="162"/>
      <c r="F65" s="162"/>
      <c r="G65" s="162"/>
      <c r="H65" s="163"/>
      <c r="I65" s="607" t="s">
        <v>2233</v>
      </c>
      <c r="J65" s="143">
        <v>0</v>
      </c>
      <c r="K65" s="141">
        <v>0</v>
      </c>
      <c r="L65" s="141">
        <v>0</v>
      </c>
      <c r="M65" s="141">
        <v>0</v>
      </c>
      <c r="N65" s="141">
        <v>0</v>
      </c>
      <c r="O65" s="141">
        <v>0</v>
      </c>
      <c r="P65" s="141">
        <v>0</v>
      </c>
      <c r="Q65" s="144">
        <v>0</v>
      </c>
      <c r="R65" s="143">
        <v>0</v>
      </c>
      <c r="S65" s="141">
        <v>0</v>
      </c>
      <c r="T65" s="141">
        <v>0</v>
      </c>
      <c r="U65" s="141">
        <v>0</v>
      </c>
      <c r="V65" s="144">
        <v>0</v>
      </c>
      <c r="W65" s="2629"/>
      <c r="X65" s="607" t="s">
        <v>2233</v>
      </c>
      <c r="Y65" s="143">
        <v>-54.680838028169021</v>
      </c>
      <c r="Z65" s="141">
        <v>-61.980396366843031</v>
      </c>
      <c r="AA65" s="141">
        <v>-61.658481115557777</v>
      </c>
      <c r="AB65" s="141">
        <v>-61.423386306388821</v>
      </c>
      <c r="AC65" s="141">
        <v>-69.090747505399563</v>
      </c>
      <c r="AD65" s="141">
        <v>-78.992067047520138</v>
      </c>
      <c r="AE65" s="141">
        <v>-55.722878795476653</v>
      </c>
      <c r="AF65" s="144">
        <v>-53.293199477180686</v>
      </c>
      <c r="AG65" s="143">
        <v>-55.161162386771394</v>
      </c>
      <c r="AH65" s="141">
        <v>-55.161162386771394</v>
      </c>
      <c r="AI65" s="141">
        <v>-55.161162386771394</v>
      </c>
      <c r="AJ65" s="141">
        <v>-55.161162386771394</v>
      </c>
      <c r="AK65" s="144">
        <v>-55.161162386771394</v>
      </c>
      <c r="AL65" s="2629"/>
      <c r="AM65" s="607" t="s">
        <v>2233</v>
      </c>
      <c r="AN65" s="143">
        <v>-0.93019761044291904</v>
      </c>
      <c r="AO65" s="141">
        <v>-4.5174089552123737</v>
      </c>
      <c r="AP65" s="141">
        <v>1.0328169445907258</v>
      </c>
      <c r="AQ65" s="141">
        <v>4.8272019428354502</v>
      </c>
      <c r="AR65" s="141">
        <v>1.3700346259913343</v>
      </c>
      <c r="AS65" s="144">
        <v>3.6715134394159206</v>
      </c>
      <c r="AT65" s="2629"/>
      <c r="AU65" s="607" t="s">
        <v>2233</v>
      </c>
      <c r="AV65" s="141">
        <v>1042.3137756257299</v>
      </c>
      <c r="AW65" s="227" t="s">
        <v>2233</v>
      </c>
      <c r="AX65" s="130">
        <f t="shared" si="24"/>
        <v>735.26237325113414</v>
      </c>
    </row>
    <row r="66" spans="1:50" s="98" customFormat="1" ht="15" customHeight="1">
      <c r="B66" s="161"/>
      <c r="C66" s="185"/>
      <c r="D66" s="162" t="s">
        <v>2865</v>
      </c>
      <c r="E66" s="162"/>
      <c r="F66" s="162"/>
      <c r="G66" s="162"/>
      <c r="H66" s="163"/>
      <c r="I66" s="607" t="s">
        <v>2233</v>
      </c>
      <c r="J66" s="143">
        <v>0</v>
      </c>
      <c r="K66" s="141">
        <v>0</v>
      </c>
      <c r="L66" s="141">
        <v>0</v>
      </c>
      <c r="M66" s="141">
        <v>0</v>
      </c>
      <c r="N66" s="141">
        <v>0</v>
      </c>
      <c r="O66" s="141">
        <v>0</v>
      </c>
      <c r="P66" s="141">
        <v>0</v>
      </c>
      <c r="Q66" s="144">
        <v>0</v>
      </c>
      <c r="R66" s="143">
        <v>0</v>
      </c>
      <c r="S66" s="141">
        <v>0</v>
      </c>
      <c r="T66" s="141">
        <v>0</v>
      </c>
      <c r="U66" s="141">
        <v>0</v>
      </c>
      <c r="V66" s="144">
        <v>0</v>
      </c>
      <c r="W66" s="2629"/>
      <c r="X66" s="607" t="s">
        <v>2233</v>
      </c>
      <c r="Y66" s="143">
        <v>-23.114623239436618</v>
      </c>
      <c r="Z66" s="141">
        <v>-26.990156966490296</v>
      </c>
      <c r="AA66" s="141">
        <v>-24.438607428714359</v>
      </c>
      <c r="AB66" s="141">
        <v>-21.602584497366617</v>
      </c>
      <c r="AC66" s="141">
        <v>-27.059885529157665</v>
      </c>
      <c r="AD66" s="141">
        <v>-26.310889010646587</v>
      </c>
      <c r="AE66" s="141">
        <v>-20.185292230011214</v>
      </c>
      <c r="AF66" s="144">
        <v>-19.024609191316006</v>
      </c>
      <c r="AG66" s="143">
        <v>-27.39945867508629</v>
      </c>
      <c r="AH66" s="141">
        <v>-27.39945867508629</v>
      </c>
      <c r="AI66" s="141">
        <v>-27.39945867508629</v>
      </c>
      <c r="AJ66" s="141">
        <v>-27.39945867508629</v>
      </c>
      <c r="AK66" s="144">
        <v>-27.39945867508629</v>
      </c>
      <c r="AL66" s="2629"/>
      <c r="AM66" s="607" t="s">
        <v>2233</v>
      </c>
      <c r="AN66" s="143">
        <v>-0.10345337774555546</v>
      </c>
      <c r="AO66" s="141">
        <v>0.22798551204316958</v>
      </c>
      <c r="AP66" s="141">
        <v>-1.5694172893062301</v>
      </c>
      <c r="AQ66" s="141">
        <v>-0.37430493252495689</v>
      </c>
      <c r="AR66" s="141">
        <v>-0.43002917778730132</v>
      </c>
      <c r="AS66" s="144">
        <v>0.51861953620696422</v>
      </c>
      <c r="AT66" s="2629"/>
      <c r="AU66" s="607" t="s">
        <v>2233</v>
      </c>
      <c r="AV66" s="141">
        <v>464.87445784647002</v>
      </c>
      <c r="AW66" s="227" t="s">
        <v>2233</v>
      </c>
      <c r="AX66" s="130">
        <f t="shared" si="24"/>
        <v>339.41938091998361</v>
      </c>
    </row>
    <row r="67" spans="1:50" s="98" customFormat="1" ht="15" customHeight="1">
      <c r="B67" s="161"/>
      <c r="C67" s="185"/>
      <c r="D67" s="162" t="s">
        <v>2866</v>
      </c>
      <c r="E67" s="162"/>
      <c r="F67" s="162"/>
      <c r="G67" s="162"/>
      <c r="H67" s="163"/>
      <c r="I67" s="607" t="s">
        <v>2233</v>
      </c>
      <c r="J67" s="143">
        <v>0</v>
      </c>
      <c r="K67" s="141">
        <v>0</v>
      </c>
      <c r="L67" s="141">
        <v>0</v>
      </c>
      <c r="M67" s="141">
        <v>0</v>
      </c>
      <c r="N67" s="141">
        <v>0</v>
      </c>
      <c r="O67" s="141">
        <v>0</v>
      </c>
      <c r="P67" s="141">
        <v>0</v>
      </c>
      <c r="Q67" s="144">
        <v>0</v>
      </c>
      <c r="R67" s="143">
        <v>0</v>
      </c>
      <c r="S67" s="141">
        <v>0</v>
      </c>
      <c r="T67" s="141">
        <v>0</v>
      </c>
      <c r="U67" s="141">
        <v>0</v>
      </c>
      <c r="V67" s="144">
        <v>0</v>
      </c>
      <c r="W67" s="2629"/>
      <c r="X67" s="607" t="s">
        <v>2233</v>
      </c>
      <c r="Y67" s="143">
        <v>-1.9577464788732395E-2</v>
      </c>
      <c r="Z67" s="141">
        <v>-0.25306172839506175</v>
      </c>
      <c r="AA67" s="141">
        <v>-9.837418709354678E-3</v>
      </c>
      <c r="AB67" s="141">
        <v>-0.15251545683535608</v>
      </c>
      <c r="AC67" s="141">
        <v>-9.7259179265658746E-2</v>
      </c>
      <c r="AD67" s="141">
        <v>-0.18931498312126721</v>
      </c>
      <c r="AE67" s="141">
        <v>-0.53436001541965705</v>
      </c>
      <c r="AF67" s="144">
        <v>-0.47705755940602873</v>
      </c>
      <c r="AG67" s="143">
        <v>-0.37252668837770309</v>
      </c>
      <c r="AH67" s="141">
        <v>-0.37252668837770309</v>
      </c>
      <c r="AI67" s="141">
        <v>-0.37252668837770309</v>
      </c>
      <c r="AJ67" s="141">
        <v>-0.37252668837770309</v>
      </c>
      <c r="AK67" s="144">
        <v>-0.37252668837770309</v>
      </c>
      <c r="AL67" s="2629"/>
      <c r="AM67" s="607" t="s">
        <v>2233</v>
      </c>
      <c r="AN67" s="143">
        <v>0</v>
      </c>
      <c r="AO67" s="141">
        <v>-0.2780000000000018</v>
      </c>
      <c r="AP67" s="141">
        <v>-9.8500000000000684E-2</v>
      </c>
      <c r="AQ67" s="141">
        <v>-0.2269999999999962</v>
      </c>
      <c r="AR67" s="141">
        <v>5.7499999999994118E-2</v>
      </c>
      <c r="AS67" s="144">
        <v>-0.14400999999999811</v>
      </c>
      <c r="AT67" s="2629"/>
      <c r="AU67" s="607" t="s">
        <v>2233</v>
      </c>
      <c r="AV67" s="141">
        <v>17.385010000000001</v>
      </c>
      <c r="AW67" s="227" t="s">
        <v>2233</v>
      </c>
      <c r="AX67" s="130">
        <f t="shared" si="24"/>
        <v>16.30675875200583</v>
      </c>
    </row>
    <row r="68" spans="1:50" s="98" customFormat="1" ht="15" customHeight="1">
      <c r="B68" s="161"/>
      <c r="C68" s="185"/>
      <c r="D68" s="162" t="s">
        <v>2867</v>
      </c>
      <c r="E68" s="162"/>
      <c r="F68" s="162"/>
      <c r="G68" s="162"/>
      <c r="H68" s="163"/>
      <c r="I68" s="607" t="s">
        <v>2233</v>
      </c>
      <c r="J68" s="143">
        <v>0</v>
      </c>
      <c r="K68" s="141">
        <v>0</v>
      </c>
      <c r="L68" s="141">
        <v>0</v>
      </c>
      <c r="M68" s="141">
        <v>0</v>
      </c>
      <c r="N68" s="141">
        <v>0</v>
      </c>
      <c r="O68" s="141">
        <v>0</v>
      </c>
      <c r="P68" s="141">
        <v>0</v>
      </c>
      <c r="Q68" s="144">
        <v>0</v>
      </c>
      <c r="R68" s="143">
        <v>0</v>
      </c>
      <c r="S68" s="141">
        <v>0</v>
      </c>
      <c r="T68" s="141">
        <v>0</v>
      </c>
      <c r="U68" s="141">
        <v>0</v>
      </c>
      <c r="V68" s="144">
        <v>0</v>
      </c>
      <c r="W68" s="2629"/>
      <c r="X68" s="607" t="s">
        <v>2233</v>
      </c>
      <c r="Y68" s="143">
        <v>-6.7003873239436622</v>
      </c>
      <c r="Z68" s="141">
        <v>-10.549645149911814</v>
      </c>
      <c r="AA68" s="141">
        <v>-8.0189718609304652</v>
      </c>
      <c r="AB68" s="141">
        <v>-6.4209007327684908</v>
      </c>
      <c r="AC68" s="141">
        <v>-8.0722439200863931</v>
      </c>
      <c r="AD68" s="141">
        <v>-10.367434951960531</v>
      </c>
      <c r="AE68" s="141">
        <v>-15.825724942823413</v>
      </c>
      <c r="AF68" s="144">
        <v>-13.46693687738393</v>
      </c>
      <c r="AG68" s="143">
        <v>-12.551650552034886</v>
      </c>
      <c r="AH68" s="141">
        <v>-12.551650552034886</v>
      </c>
      <c r="AI68" s="141">
        <v>-12.551650552034886</v>
      </c>
      <c r="AJ68" s="141">
        <v>-12.551650552034886</v>
      </c>
      <c r="AK68" s="144">
        <v>-12.551650552034886</v>
      </c>
      <c r="AL68" s="2629"/>
      <c r="AM68" s="607" t="s">
        <v>2233</v>
      </c>
      <c r="AN68" s="143">
        <v>-0.17639136510288009</v>
      </c>
      <c r="AO68" s="141">
        <v>-6.8707620884227827E-2</v>
      </c>
      <c r="AP68" s="141">
        <v>-0.88736391776878409</v>
      </c>
      <c r="AQ68" s="141">
        <v>0.65761506590425611</v>
      </c>
      <c r="AR68" s="141">
        <v>0.41295165123819783</v>
      </c>
      <c r="AS68" s="144">
        <v>-5.642150570604644E-2</v>
      </c>
      <c r="AT68" s="2629"/>
      <c r="AU68" s="607" t="s">
        <v>2233</v>
      </c>
      <c r="AV68" s="141">
        <v>433.95702421044609</v>
      </c>
      <c r="AW68" s="227" t="s">
        <v>2233</v>
      </c>
      <c r="AX68" s="130">
        <f t="shared" si="24"/>
        <v>394.13297903619178</v>
      </c>
    </row>
    <row r="69" spans="1:50" s="98" customFormat="1" ht="15" customHeight="1">
      <c r="B69" s="161"/>
      <c r="C69" s="185"/>
      <c r="D69" s="162" t="s">
        <v>2868</v>
      </c>
      <c r="E69" s="162"/>
      <c r="F69" s="162"/>
      <c r="G69" s="162"/>
      <c r="H69" s="163"/>
      <c r="I69" s="607" t="s">
        <v>2233</v>
      </c>
      <c r="J69" s="143">
        <v>0</v>
      </c>
      <c r="K69" s="141">
        <v>0</v>
      </c>
      <c r="L69" s="141">
        <v>0</v>
      </c>
      <c r="M69" s="141">
        <v>0</v>
      </c>
      <c r="N69" s="141">
        <v>0</v>
      </c>
      <c r="O69" s="141">
        <v>0</v>
      </c>
      <c r="P69" s="141">
        <v>0</v>
      </c>
      <c r="Q69" s="144">
        <v>0</v>
      </c>
      <c r="R69" s="143">
        <v>0</v>
      </c>
      <c r="S69" s="141">
        <v>0</v>
      </c>
      <c r="T69" s="141">
        <v>0</v>
      </c>
      <c r="U69" s="141">
        <v>0</v>
      </c>
      <c r="V69" s="144">
        <v>0</v>
      </c>
      <c r="W69" s="2629"/>
      <c r="X69" s="607" t="s">
        <v>2233</v>
      </c>
      <c r="Y69" s="143">
        <v>-5.3524788732394368</v>
      </c>
      <c r="Z69" s="141">
        <v>-3.7138518518518517</v>
      </c>
      <c r="AA69" s="141">
        <v>-1.1431080540270133</v>
      </c>
      <c r="AB69" s="141">
        <v>-1.9423581405999542</v>
      </c>
      <c r="AC69" s="141">
        <v>-6.4399470842332613</v>
      </c>
      <c r="AD69" s="141">
        <v>-3.8282612308491304</v>
      </c>
      <c r="AE69" s="141">
        <v>-4.4918708087773949</v>
      </c>
      <c r="AF69" s="144">
        <v>-4.0136948639544148</v>
      </c>
      <c r="AG69" s="143">
        <v>-1.6021956586297805</v>
      </c>
      <c r="AH69" s="141">
        <v>-1.6021956586297805</v>
      </c>
      <c r="AI69" s="141">
        <v>-1.6021956586297805</v>
      </c>
      <c r="AJ69" s="141">
        <v>-1.6021956586297805</v>
      </c>
      <c r="AK69" s="144">
        <v>-1.6021956586297805</v>
      </c>
      <c r="AL69" s="2629"/>
      <c r="AM69" s="607" t="s">
        <v>2233</v>
      </c>
      <c r="AN69" s="143">
        <v>-9.9105674064056126E-3</v>
      </c>
      <c r="AO69" s="141">
        <v>-8.1597004979415619E-2</v>
      </c>
      <c r="AP69" s="141">
        <v>3.7691618263095451E-2</v>
      </c>
      <c r="AQ69" s="141">
        <v>4.7193178125803223E-3</v>
      </c>
      <c r="AR69" s="141">
        <v>-0.11375129034241843</v>
      </c>
      <c r="AS69" s="144">
        <v>3.2308449744875727E-2</v>
      </c>
      <c r="AT69" s="2629"/>
      <c r="AU69" s="607" t="s">
        <v>2233</v>
      </c>
      <c r="AV69" s="141">
        <v>51.518070494848892</v>
      </c>
      <c r="AW69" s="227" t="s">
        <v>2233</v>
      </c>
      <c r="AX69" s="130">
        <f t="shared" si="24"/>
        <v>32.763478564244814</v>
      </c>
    </row>
    <row r="70" spans="1:50" s="98" customFormat="1" ht="15" customHeight="1">
      <c r="B70" s="161"/>
      <c r="C70" s="185"/>
      <c r="D70" s="162" t="s">
        <v>2869</v>
      </c>
      <c r="E70" s="162"/>
      <c r="F70" s="162"/>
      <c r="G70" s="162"/>
      <c r="H70" s="163"/>
      <c r="I70" s="607" t="s">
        <v>2233</v>
      </c>
      <c r="J70" s="143">
        <v>0</v>
      </c>
      <c r="K70" s="141">
        <v>0</v>
      </c>
      <c r="L70" s="141">
        <v>0</v>
      </c>
      <c r="M70" s="141">
        <v>0</v>
      </c>
      <c r="N70" s="141">
        <v>0</v>
      </c>
      <c r="O70" s="141">
        <v>0</v>
      </c>
      <c r="P70" s="141">
        <v>0</v>
      </c>
      <c r="Q70" s="144">
        <v>0</v>
      </c>
      <c r="R70" s="143">
        <v>0</v>
      </c>
      <c r="S70" s="141">
        <v>0</v>
      </c>
      <c r="T70" s="141">
        <v>0</v>
      </c>
      <c r="U70" s="141">
        <v>0</v>
      </c>
      <c r="V70" s="144">
        <v>0</v>
      </c>
      <c r="W70" s="2629"/>
      <c r="X70" s="607" t="s">
        <v>2233</v>
      </c>
      <c r="Y70" s="143">
        <v>-1.8451760563380282</v>
      </c>
      <c r="Z70" s="141">
        <v>-2.2365185185185186</v>
      </c>
      <c r="AA70" s="141">
        <v>-2.105207603801901</v>
      </c>
      <c r="AB70" s="141">
        <v>-2.8289157316235403</v>
      </c>
      <c r="AC70" s="141">
        <v>-0.1746695464362851</v>
      </c>
      <c r="AD70" s="141">
        <v>-1.4393793819787069</v>
      </c>
      <c r="AE70" s="141">
        <v>-1.4683124569067649</v>
      </c>
      <c r="AF70" s="144">
        <v>-1.085344062862291</v>
      </c>
      <c r="AG70" s="143">
        <v>-2.3760226253931576</v>
      </c>
      <c r="AH70" s="141">
        <v>-2.3760226253931576</v>
      </c>
      <c r="AI70" s="141">
        <v>-2.3760226253931576</v>
      </c>
      <c r="AJ70" s="141">
        <v>-2.3760226253931576</v>
      </c>
      <c r="AK70" s="144">
        <v>-2.3760226253931576</v>
      </c>
      <c r="AL70" s="2629"/>
      <c r="AM70" s="607" t="s">
        <v>2233</v>
      </c>
      <c r="AN70" s="143">
        <v>-1.8106056005296833E-4</v>
      </c>
      <c r="AO70" s="141">
        <v>-0.39851429267657845</v>
      </c>
      <c r="AP70" s="141">
        <v>1.4979990009271178E-2</v>
      </c>
      <c r="AQ70" s="141">
        <v>-0.11621131864624497</v>
      </c>
      <c r="AR70" s="141">
        <v>2.2170680822864975E-3</v>
      </c>
      <c r="AS70" s="144">
        <v>1.7625691254271197E-3</v>
      </c>
      <c r="AT70" s="2629"/>
      <c r="AU70" s="607" t="s">
        <v>2233</v>
      </c>
      <c r="AV70" s="141">
        <v>43.187207289919719</v>
      </c>
      <c r="AW70" s="227" t="s">
        <v>2233</v>
      </c>
      <c r="AX70" s="130">
        <f t="shared" si="24"/>
        <v>33.499010219410138</v>
      </c>
    </row>
    <row r="71" spans="1:50" s="98" customFormat="1" ht="15" customHeight="1">
      <c r="B71" s="161"/>
      <c r="C71" s="185"/>
      <c r="D71" s="162" t="s">
        <v>2870</v>
      </c>
      <c r="E71" s="162"/>
      <c r="F71" s="162"/>
      <c r="G71" s="162"/>
      <c r="H71" s="163"/>
      <c r="I71" s="607" t="s">
        <v>2233</v>
      </c>
      <c r="J71" s="143">
        <v>0</v>
      </c>
      <c r="K71" s="141">
        <v>0</v>
      </c>
      <c r="L71" s="141">
        <v>0</v>
      </c>
      <c r="M71" s="141">
        <v>0</v>
      </c>
      <c r="N71" s="141">
        <v>0</v>
      </c>
      <c r="O71" s="141">
        <v>0</v>
      </c>
      <c r="P71" s="141">
        <v>0</v>
      </c>
      <c r="Q71" s="144">
        <v>0</v>
      </c>
      <c r="R71" s="143">
        <v>0</v>
      </c>
      <c r="S71" s="141">
        <v>0</v>
      </c>
      <c r="T71" s="141">
        <v>0</v>
      </c>
      <c r="U71" s="141">
        <v>0</v>
      </c>
      <c r="V71" s="144">
        <v>0</v>
      </c>
      <c r="W71" s="2629"/>
      <c r="X71" s="607" t="s">
        <v>2233</v>
      </c>
      <c r="Y71" s="143">
        <v>0</v>
      </c>
      <c r="Z71" s="141">
        <v>-7.5234567901234561E-2</v>
      </c>
      <c r="AA71" s="141">
        <v>0</v>
      </c>
      <c r="AB71" s="141">
        <v>-5.6086329287840624E-2</v>
      </c>
      <c r="AC71" s="141">
        <v>0</v>
      </c>
      <c r="AD71" s="141">
        <v>0</v>
      </c>
      <c r="AE71" s="141">
        <v>-2.2060456511302871E-2</v>
      </c>
      <c r="AF71" s="144">
        <v>-1.6815929300091542E-2</v>
      </c>
      <c r="AG71" s="143">
        <v>-4.2595182552393245E-2</v>
      </c>
      <c r="AH71" s="141">
        <v>-4.2595182552393245E-2</v>
      </c>
      <c r="AI71" s="141">
        <v>-4.2595182552393245E-2</v>
      </c>
      <c r="AJ71" s="141">
        <v>-4.2595182552393245E-2</v>
      </c>
      <c r="AK71" s="144">
        <v>-4.2595182552393245E-2</v>
      </c>
      <c r="AL71" s="2629"/>
      <c r="AM71" s="607" t="s">
        <v>2233</v>
      </c>
      <c r="AN71" s="143">
        <v>0</v>
      </c>
      <c r="AO71" s="141">
        <v>-1.7215686274509819E-3</v>
      </c>
      <c r="AP71" s="141">
        <v>0</v>
      </c>
      <c r="AQ71" s="141">
        <v>0</v>
      </c>
      <c r="AR71" s="141">
        <v>0</v>
      </c>
      <c r="AS71" s="144">
        <v>0.12223137254901963</v>
      </c>
      <c r="AT71" s="2629"/>
      <c r="AU71" s="607" t="s">
        <v>2233</v>
      </c>
      <c r="AV71" s="141">
        <v>1.014</v>
      </c>
      <c r="AW71" s="227" t="s">
        <v>2233</v>
      </c>
      <c r="AX71" s="130">
        <f t="shared" si="24"/>
        <v>0.88095753418347389</v>
      </c>
    </row>
    <row r="72" spans="1:50" s="98" customFormat="1" ht="15" customHeight="1">
      <c r="B72" s="181"/>
      <c r="C72" s="182" t="s">
        <v>1710</v>
      </c>
      <c r="D72" s="182"/>
      <c r="E72" s="182"/>
      <c r="F72" s="182"/>
      <c r="G72" s="184"/>
      <c r="H72" s="184"/>
      <c r="I72" s="607" t="s">
        <v>2233</v>
      </c>
      <c r="J72" s="128">
        <f>SUM(J63:J71)</f>
        <v>0</v>
      </c>
      <c r="K72" s="129">
        <f t="shared" ref="K72:V72" si="25">SUM(K63:K71)</f>
        <v>0</v>
      </c>
      <c r="L72" s="129">
        <f t="shared" si="25"/>
        <v>0</v>
      </c>
      <c r="M72" s="129">
        <f t="shared" si="25"/>
        <v>0</v>
      </c>
      <c r="N72" s="129">
        <f t="shared" si="25"/>
        <v>0</v>
      </c>
      <c r="O72" s="129">
        <f t="shared" si="25"/>
        <v>0</v>
      </c>
      <c r="P72" s="129">
        <f t="shared" si="25"/>
        <v>0</v>
      </c>
      <c r="Q72" s="130">
        <f t="shared" si="25"/>
        <v>0</v>
      </c>
      <c r="R72" s="128">
        <f t="shared" si="25"/>
        <v>0</v>
      </c>
      <c r="S72" s="129">
        <f t="shared" si="25"/>
        <v>0</v>
      </c>
      <c r="T72" s="129">
        <f t="shared" si="25"/>
        <v>0</v>
      </c>
      <c r="U72" s="129">
        <f t="shared" si="25"/>
        <v>0</v>
      </c>
      <c r="V72" s="130">
        <f t="shared" si="25"/>
        <v>0</v>
      </c>
      <c r="W72" s="2629"/>
      <c r="X72" s="607" t="s">
        <v>2233</v>
      </c>
      <c r="Y72" s="128">
        <f>SUM(Y63:Y71)</f>
        <v>-243.26810915492959</v>
      </c>
      <c r="Z72" s="129">
        <f t="shared" ref="Z72:AK72" si="26">SUM(Z63:Z71)</f>
        <v>-276.05028571428568</v>
      </c>
      <c r="AA72" s="129">
        <f t="shared" si="26"/>
        <v>-282.23819887443727</v>
      </c>
      <c r="AB72" s="129">
        <f t="shared" si="26"/>
        <v>-279.9424850904511</v>
      </c>
      <c r="AC72" s="129">
        <f t="shared" si="26"/>
        <v>-304.22835026997842</v>
      </c>
      <c r="AD72" s="129">
        <f t="shared" si="26"/>
        <v>-270.85595197091669</v>
      </c>
      <c r="AE72" s="129">
        <f t="shared" si="26"/>
        <v>-250.94309282673325</v>
      </c>
      <c r="AF72" s="130">
        <f t="shared" si="26"/>
        <v>-234.14818841092904</v>
      </c>
      <c r="AG72" s="128">
        <f t="shared" si="26"/>
        <v>-212.86852339359254</v>
      </c>
      <c r="AH72" s="129">
        <f t="shared" si="26"/>
        <v>-212.86852339359254</v>
      </c>
      <c r="AI72" s="129">
        <f t="shared" si="26"/>
        <v>-212.86852339359254</v>
      </c>
      <c r="AJ72" s="129">
        <f t="shared" si="26"/>
        <v>-212.86852339359254</v>
      </c>
      <c r="AK72" s="130">
        <f t="shared" si="26"/>
        <v>-212.86852339359254</v>
      </c>
      <c r="AL72" s="2629"/>
      <c r="AM72" s="607" t="s">
        <v>2233</v>
      </c>
      <c r="AN72" s="128">
        <f>SUM(AN63:AN71)</f>
        <v>-1.4712869517183336</v>
      </c>
      <c r="AO72" s="129">
        <f t="shared" ref="AO72:AS72" si="27">SUM(AO63:AO71)</f>
        <v>-6.985606259728768</v>
      </c>
      <c r="AP72" s="129">
        <f t="shared" si="27"/>
        <v>4.2806780188781079</v>
      </c>
      <c r="AQ72" s="129">
        <f t="shared" si="27"/>
        <v>9.1490402743185246</v>
      </c>
      <c r="AR72" s="129">
        <f t="shared" si="27"/>
        <v>6.3235264610810225</v>
      </c>
      <c r="AS72" s="130">
        <f t="shared" si="27"/>
        <v>11.975448657948087</v>
      </c>
      <c r="AT72" s="2629"/>
      <c r="AU72" s="607" t="s">
        <v>2233</v>
      </c>
      <c r="AV72" s="876">
        <f>SUM(AV63:AV71)</f>
        <v>4281.3352759344561</v>
      </c>
      <c r="AW72" s="227" t="s">
        <v>2233</v>
      </c>
      <c r="AX72" s="712">
        <f>SUM(AX63:AX71)</f>
        <v>2906.904198373205</v>
      </c>
    </row>
    <row r="73" spans="1:50" s="98" customFormat="1" ht="15" customHeight="1">
      <c r="A73" s="99"/>
      <c r="B73" s="181"/>
      <c r="C73" s="185"/>
      <c r="D73" s="182"/>
      <c r="E73" s="182"/>
      <c r="F73" s="182"/>
      <c r="G73" s="184"/>
      <c r="H73" s="184"/>
      <c r="I73" s="94"/>
      <c r="J73" s="713"/>
      <c r="K73" s="2690"/>
      <c r="L73" s="2690"/>
      <c r="M73" s="2690"/>
      <c r="N73" s="2690"/>
      <c r="O73" s="2690"/>
      <c r="P73" s="2690"/>
      <c r="Q73" s="715"/>
      <c r="R73" s="2690"/>
      <c r="S73" s="2690"/>
      <c r="T73" s="2690"/>
      <c r="U73" s="2690"/>
      <c r="V73" s="715"/>
      <c r="W73" s="2629"/>
      <c r="X73" s="94"/>
      <c r="Y73" s="713"/>
      <c r="Z73" s="2690"/>
      <c r="AA73" s="2690"/>
      <c r="AB73" s="2690"/>
      <c r="AC73" s="2690"/>
      <c r="AD73" s="2690"/>
      <c r="AE73" s="2690"/>
      <c r="AF73" s="715"/>
      <c r="AG73" s="2690"/>
      <c r="AH73" s="2690"/>
      <c r="AI73" s="2690"/>
      <c r="AJ73" s="2690"/>
      <c r="AK73" s="715"/>
      <c r="AL73" s="2629"/>
      <c r="AM73" s="94"/>
      <c r="AN73" s="713"/>
      <c r="AO73" s="2690"/>
      <c r="AP73" s="2690"/>
      <c r="AQ73" s="2690"/>
      <c r="AR73" s="2690"/>
      <c r="AS73" s="752"/>
      <c r="AT73" s="2629"/>
      <c r="AU73" s="2629"/>
      <c r="AV73" s="2629"/>
      <c r="AW73" s="185"/>
      <c r="AX73" s="839"/>
    </row>
    <row r="74" spans="1:50" s="98" customFormat="1" ht="15" customHeight="1">
      <c r="B74" s="161"/>
      <c r="C74" s="180" t="s">
        <v>2876</v>
      </c>
      <c r="D74" s="162"/>
      <c r="E74" s="162"/>
      <c r="F74" s="162"/>
      <c r="G74" s="163"/>
      <c r="H74" s="163"/>
      <c r="I74" s="94"/>
      <c r="J74" s="713"/>
      <c r="K74" s="2649"/>
      <c r="L74" s="2649"/>
      <c r="M74" s="2649"/>
      <c r="N74" s="2649"/>
      <c r="O74" s="2649"/>
      <c r="P74" s="2649"/>
      <c r="Q74" s="715"/>
      <c r="R74" s="713"/>
      <c r="S74" s="2649"/>
      <c r="T74" s="2649"/>
      <c r="U74" s="2649"/>
      <c r="V74" s="715"/>
      <c r="W74" s="2629"/>
      <c r="X74" s="94"/>
      <c r="Y74" s="713"/>
      <c r="Z74" s="2649"/>
      <c r="AA74" s="2649"/>
      <c r="AB74" s="2649"/>
      <c r="AC74" s="2649"/>
      <c r="AD74" s="2649"/>
      <c r="AE74" s="2649"/>
      <c r="AF74" s="715"/>
      <c r="AG74" s="713"/>
      <c r="AH74" s="2649"/>
      <c r="AI74" s="2649"/>
      <c r="AJ74" s="2649"/>
      <c r="AK74" s="715"/>
      <c r="AL74" s="2629"/>
      <c r="AM74" s="94"/>
      <c r="AN74" s="713"/>
      <c r="AO74" s="2649"/>
      <c r="AP74" s="2649"/>
      <c r="AQ74" s="2649"/>
      <c r="AR74" s="2649"/>
      <c r="AS74" s="715"/>
      <c r="AT74" s="2629"/>
      <c r="AU74" s="2629"/>
      <c r="AV74" s="2629"/>
      <c r="AW74" s="185"/>
      <c r="AX74" s="839"/>
    </row>
    <row r="75" spans="1:50" s="98" customFormat="1" ht="15" customHeight="1">
      <c r="B75" s="161"/>
      <c r="C75" s="185"/>
      <c r="D75" s="162" t="s">
        <v>2862</v>
      </c>
      <c r="E75" s="162"/>
      <c r="F75" s="162"/>
      <c r="G75" s="162"/>
      <c r="H75" s="163"/>
      <c r="I75" s="607" t="s">
        <v>2233</v>
      </c>
      <c r="J75" s="143">
        <v>0</v>
      </c>
      <c r="K75" s="141">
        <v>0</v>
      </c>
      <c r="L75" s="141">
        <v>0</v>
      </c>
      <c r="M75" s="141">
        <v>0</v>
      </c>
      <c r="N75" s="141">
        <v>0</v>
      </c>
      <c r="O75" s="141">
        <v>0</v>
      </c>
      <c r="P75" s="141">
        <v>0</v>
      </c>
      <c r="Q75" s="144">
        <v>0</v>
      </c>
      <c r="R75" s="143">
        <v>0</v>
      </c>
      <c r="S75" s="141">
        <v>0</v>
      </c>
      <c r="T75" s="141">
        <v>0</v>
      </c>
      <c r="U75" s="141">
        <v>0</v>
      </c>
      <c r="V75" s="144">
        <v>0</v>
      </c>
      <c r="W75" s="2629"/>
      <c r="X75" s="607" t="s">
        <v>2233</v>
      </c>
      <c r="Y75" s="143">
        <v>-3.0014794520547946E-2</v>
      </c>
      <c r="Z75" s="141">
        <v>0</v>
      </c>
      <c r="AA75" s="141">
        <v>0</v>
      </c>
      <c r="AB75" s="141">
        <v>0</v>
      </c>
      <c r="AC75" s="141">
        <v>0</v>
      </c>
      <c r="AD75" s="141">
        <v>0</v>
      </c>
      <c r="AE75" s="141">
        <v>-0.15498005248683616</v>
      </c>
      <c r="AF75" s="144">
        <v>-0.12826557223236001</v>
      </c>
      <c r="AG75" s="143">
        <v>-4.5216973876075102</v>
      </c>
      <c r="AH75" s="141">
        <v>-4.5216973876075102</v>
      </c>
      <c r="AI75" s="141">
        <v>-4.5216973876075102</v>
      </c>
      <c r="AJ75" s="141">
        <v>-4.5216973876075102</v>
      </c>
      <c r="AK75" s="144">
        <v>-4.5216973876075102</v>
      </c>
      <c r="AL75" s="2629"/>
      <c r="AM75" s="607" t="s">
        <v>2233</v>
      </c>
      <c r="AN75" s="143">
        <v>0</v>
      </c>
      <c r="AO75" s="141">
        <v>-0.49199999999999999</v>
      </c>
      <c r="AP75" s="141">
        <v>0</v>
      </c>
      <c r="AQ75" s="141">
        <v>0</v>
      </c>
      <c r="AR75" s="141">
        <v>0</v>
      </c>
      <c r="AS75" s="144">
        <v>0</v>
      </c>
      <c r="AT75" s="2629"/>
      <c r="AU75" s="607" t="s">
        <v>2233</v>
      </c>
      <c r="AV75" s="141">
        <v>0.52300000000000002</v>
      </c>
      <c r="AW75" s="227" t="s">
        <v>2233</v>
      </c>
      <c r="AX75" s="130">
        <f>SUM(AV75,J75:N75,Y75:AC75,AN75:AR75)</f>
        <v>9.8520547945207815E-4</v>
      </c>
    </row>
    <row r="76" spans="1:50" s="98" customFormat="1" ht="15" customHeight="1">
      <c r="B76" s="161"/>
      <c r="C76" s="185"/>
      <c r="D76" s="162" t="s">
        <v>2863</v>
      </c>
      <c r="E76" s="162"/>
      <c r="F76" s="162"/>
      <c r="G76" s="162"/>
      <c r="H76" s="163"/>
      <c r="I76" s="607" t="s">
        <v>2233</v>
      </c>
      <c r="J76" s="143">
        <v>0</v>
      </c>
      <c r="K76" s="141">
        <v>0</v>
      </c>
      <c r="L76" s="141">
        <v>0</v>
      </c>
      <c r="M76" s="141">
        <v>0</v>
      </c>
      <c r="N76" s="141">
        <v>0</v>
      </c>
      <c r="O76" s="141">
        <v>0</v>
      </c>
      <c r="P76" s="141">
        <v>0</v>
      </c>
      <c r="Q76" s="144">
        <v>0</v>
      </c>
      <c r="R76" s="143">
        <v>0</v>
      </c>
      <c r="S76" s="141">
        <v>0</v>
      </c>
      <c r="T76" s="141">
        <v>0</v>
      </c>
      <c r="U76" s="141">
        <v>0</v>
      </c>
      <c r="V76" s="144">
        <v>0</v>
      </c>
      <c r="W76" s="2629"/>
      <c r="X76" s="607" t="s">
        <v>2233</v>
      </c>
      <c r="Y76" s="143">
        <v>-57.770733698630139</v>
      </c>
      <c r="Z76" s="141">
        <v>-53.733906113013695</v>
      </c>
      <c r="AA76" s="141">
        <v>-41.607345984848486</v>
      </c>
      <c r="AB76" s="141">
        <v>-67.852271268867909</v>
      </c>
      <c r="AC76" s="141">
        <v>-74.003385665528995</v>
      </c>
      <c r="AD76" s="141">
        <v>-79.413258195559749</v>
      </c>
      <c r="AE76" s="141">
        <v>-59.435560419313269</v>
      </c>
      <c r="AF76" s="144">
        <v>-57.532571420570655</v>
      </c>
      <c r="AG76" s="143">
        <v>-62.186536032955672</v>
      </c>
      <c r="AH76" s="141">
        <v>-62.186536032955672</v>
      </c>
      <c r="AI76" s="141">
        <v>-62.186536032955672</v>
      </c>
      <c r="AJ76" s="141">
        <v>-62.186536032955672</v>
      </c>
      <c r="AK76" s="144">
        <v>-62.186536032955672</v>
      </c>
      <c r="AL76" s="2629"/>
      <c r="AM76" s="607" t="s">
        <v>2233</v>
      </c>
      <c r="AN76" s="143">
        <v>-0.38607697933490198</v>
      </c>
      <c r="AO76" s="141">
        <v>-2.3101247789169848</v>
      </c>
      <c r="AP76" s="141">
        <v>-3.8641317274882696</v>
      </c>
      <c r="AQ76" s="141">
        <v>-2.3957102998943176</v>
      </c>
      <c r="AR76" s="141">
        <v>-0.35764433870369111</v>
      </c>
      <c r="AS76" s="144">
        <v>-4.3411991071667373</v>
      </c>
      <c r="AT76" s="2629"/>
      <c r="AU76" s="607" t="s">
        <v>2233</v>
      </c>
      <c r="AV76" s="141">
        <v>1673.173414057839</v>
      </c>
      <c r="AW76" s="227" t="s">
        <v>2233</v>
      </c>
      <c r="AX76" s="130">
        <f t="shared" ref="AX76:AX83" si="28">SUM(AV76,J76:N76,Y76:AC76,AN76:AR76)</f>
        <v>1368.8920832026113</v>
      </c>
    </row>
    <row r="77" spans="1:50" s="98" customFormat="1" ht="15" customHeight="1">
      <c r="B77" s="161"/>
      <c r="C77" s="185"/>
      <c r="D77" s="162" t="s">
        <v>2864</v>
      </c>
      <c r="E77" s="162"/>
      <c r="F77" s="162"/>
      <c r="G77" s="162"/>
      <c r="H77" s="163"/>
      <c r="I77" s="607" t="s">
        <v>2233</v>
      </c>
      <c r="J77" s="143">
        <v>0</v>
      </c>
      <c r="K77" s="141">
        <v>0</v>
      </c>
      <c r="L77" s="141">
        <v>0</v>
      </c>
      <c r="M77" s="141">
        <v>0</v>
      </c>
      <c r="N77" s="141">
        <v>0</v>
      </c>
      <c r="O77" s="141">
        <v>0</v>
      </c>
      <c r="P77" s="141">
        <v>0</v>
      </c>
      <c r="Q77" s="144">
        <v>0</v>
      </c>
      <c r="R77" s="143">
        <v>0</v>
      </c>
      <c r="S77" s="141">
        <v>0</v>
      </c>
      <c r="T77" s="141">
        <v>0</v>
      </c>
      <c r="U77" s="141">
        <v>0</v>
      </c>
      <c r="V77" s="144">
        <v>0</v>
      </c>
      <c r="W77" s="2629"/>
      <c r="X77" s="607" t="s">
        <v>2233</v>
      </c>
      <c r="Y77" s="143">
        <v>-25.635355216438359</v>
      </c>
      <c r="Z77" s="141">
        <v>-19.905314212328769</v>
      </c>
      <c r="AA77" s="141">
        <v>-15.240878787878788</v>
      </c>
      <c r="AB77" s="141">
        <v>-25.601698820754716</v>
      </c>
      <c r="AC77" s="141">
        <v>-18.761534744027305</v>
      </c>
      <c r="AD77" s="141">
        <v>-30.478924586679266</v>
      </c>
      <c r="AE77" s="141">
        <v>-19.956367560468642</v>
      </c>
      <c r="AF77" s="144">
        <v>-18.915008889998195</v>
      </c>
      <c r="AG77" s="143">
        <v>-34.099809773153581</v>
      </c>
      <c r="AH77" s="141">
        <v>-34.099809773153581</v>
      </c>
      <c r="AI77" s="141">
        <v>-34.099809773153581</v>
      </c>
      <c r="AJ77" s="141">
        <v>-34.099809773153581</v>
      </c>
      <c r="AK77" s="144">
        <v>-34.099809773153581</v>
      </c>
      <c r="AL77" s="2629"/>
      <c r="AM77" s="607" t="s">
        <v>2233</v>
      </c>
      <c r="AN77" s="143">
        <v>-0.25776088599792246</v>
      </c>
      <c r="AO77" s="141">
        <v>2.0180610365549336</v>
      </c>
      <c r="AP77" s="141">
        <v>-0.55827061715434501</v>
      </c>
      <c r="AQ77" s="141">
        <v>-0.1195033072584806</v>
      </c>
      <c r="AR77" s="141">
        <v>-2.4143048906335576</v>
      </c>
      <c r="AS77" s="144">
        <v>-0.91174684363012382</v>
      </c>
      <c r="AT77" s="2629"/>
      <c r="AU77" s="607" t="s">
        <v>2233</v>
      </c>
      <c r="AV77" s="141">
        <v>631.27960807782006</v>
      </c>
      <c r="AW77" s="227" t="s">
        <v>2233</v>
      </c>
      <c r="AX77" s="130">
        <f t="shared" si="28"/>
        <v>524.80304763190281</v>
      </c>
    </row>
    <row r="78" spans="1:50" s="98" customFormat="1" ht="15" customHeight="1">
      <c r="B78" s="161"/>
      <c r="C78" s="185"/>
      <c r="D78" s="162" t="s">
        <v>2865</v>
      </c>
      <c r="E78" s="162"/>
      <c r="F78" s="162"/>
      <c r="G78" s="162"/>
      <c r="H78" s="163"/>
      <c r="I78" s="607" t="s">
        <v>2233</v>
      </c>
      <c r="J78" s="143">
        <v>0</v>
      </c>
      <c r="K78" s="141">
        <v>0</v>
      </c>
      <c r="L78" s="141">
        <v>0</v>
      </c>
      <c r="M78" s="141">
        <v>0</v>
      </c>
      <c r="N78" s="141">
        <v>0</v>
      </c>
      <c r="O78" s="141">
        <v>0</v>
      </c>
      <c r="P78" s="141">
        <v>0</v>
      </c>
      <c r="Q78" s="144">
        <v>0</v>
      </c>
      <c r="R78" s="143">
        <v>0</v>
      </c>
      <c r="S78" s="141">
        <v>0</v>
      </c>
      <c r="T78" s="141">
        <v>0</v>
      </c>
      <c r="U78" s="141">
        <v>0</v>
      </c>
      <c r="V78" s="144">
        <v>0</v>
      </c>
      <c r="W78" s="2629"/>
      <c r="X78" s="607" t="s">
        <v>2233</v>
      </c>
      <c r="Y78" s="143">
        <v>-5.8645035616438363</v>
      </c>
      <c r="Z78" s="141">
        <v>-10.712116438356164</v>
      </c>
      <c r="AA78" s="141">
        <v>-5.9900761742424242</v>
      </c>
      <c r="AB78" s="141">
        <v>-6.920306603773585</v>
      </c>
      <c r="AC78" s="141">
        <v>-8.6376348122866879</v>
      </c>
      <c r="AD78" s="141">
        <v>-9.5970453471894182</v>
      </c>
      <c r="AE78" s="141">
        <v>-7.1521257889558232</v>
      </c>
      <c r="AF78" s="144">
        <v>-6.7472656155742046</v>
      </c>
      <c r="AG78" s="143">
        <v>-18.039446352120056</v>
      </c>
      <c r="AH78" s="141">
        <v>-18.039446352120056</v>
      </c>
      <c r="AI78" s="141">
        <v>-18.039446352120056</v>
      </c>
      <c r="AJ78" s="141">
        <v>-18.039446352120056</v>
      </c>
      <c r="AK78" s="144">
        <v>-18.039446352120056</v>
      </c>
      <c r="AL78" s="2629"/>
      <c r="AM78" s="607" t="s">
        <v>2233</v>
      </c>
      <c r="AN78" s="143">
        <v>-1.7214627020505583E-2</v>
      </c>
      <c r="AO78" s="141">
        <v>0.91886640608039094</v>
      </c>
      <c r="AP78" s="141">
        <v>-0.12561639297564173</v>
      </c>
      <c r="AQ78" s="141">
        <v>-9.2488732684838551E-2</v>
      </c>
      <c r="AR78" s="141">
        <v>-0.60412424249227026</v>
      </c>
      <c r="AS78" s="144">
        <v>-1.0320966649800214</v>
      </c>
      <c r="AT78" s="2629"/>
      <c r="AU78" s="607" t="s">
        <v>2233</v>
      </c>
      <c r="AV78" s="141">
        <v>287.55009265826175</v>
      </c>
      <c r="AW78" s="227" t="s">
        <v>2233</v>
      </c>
      <c r="AX78" s="130">
        <f t="shared" si="28"/>
        <v>249.50487747886612</v>
      </c>
    </row>
    <row r="79" spans="1:50" s="98" customFormat="1" ht="15" customHeight="1">
      <c r="B79" s="161"/>
      <c r="C79" s="185"/>
      <c r="D79" s="162" t="s">
        <v>2866</v>
      </c>
      <c r="E79" s="162"/>
      <c r="F79" s="162"/>
      <c r="G79" s="162"/>
      <c r="H79" s="163"/>
      <c r="I79" s="607" t="s">
        <v>2233</v>
      </c>
      <c r="J79" s="143">
        <v>0</v>
      </c>
      <c r="K79" s="141">
        <v>0</v>
      </c>
      <c r="L79" s="141">
        <v>0</v>
      </c>
      <c r="M79" s="141">
        <v>0</v>
      </c>
      <c r="N79" s="141">
        <v>0</v>
      </c>
      <c r="O79" s="141">
        <v>0</v>
      </c>
      <c r="P79" s="141">
        <v>0</v>
      </c>
      <c r="Q79" s="144">
        <v>0</v>
      </c>
      <c r="R79" s="143">
        <v>0</v>
      </c>
      <c r="S79" s="141">
        <v>0</v>
      </c>
      <c r="T79" s="141">
        <v>0</v>
      </c>
      <c r="U79" s="141">
        <v>0</v>
      </c>
      <c r="V79" s="144">
        <v>0</v>
      </c>
      <c r="W79" s="2629"/>
      <c r="X79" s="607" t="s">
        <v>2233</v>
      </c>
      <c r="Y79" s="143">
        <v>-1.9364383561643838E-3</v>
      </c>
      <c r="Z79" s="141">
        <v>0</v>
      </c>
      <c r="AA79" s="141">
        <v>0</v>
      </c>
      <c r="AB79" s="141">
        <v>0</v>
      </c>
      <c r="AC79" s="141">
        <v>0</v>
      </c>
      <c r="AD79" s="141">
        <v>0</v>
      </c>
      <c r="AE79" s="141">
        <v>0</v>
      </c>
      <c r="AF79" s="144">
        <v>0</v>
      </c>
      <c r="AG79" s="143">
        <v>0</v>
      </c>
      <c r="AH79" s="141">
        <v>0</v>
      </c>
      <c r="AI79" s="141">
        <v>0</v>
      </c>
      <c r="AJ79" s="141">
        <v>0</v>
      </c>
      <c r="AK79" s="144">
        <v>0</v>
      </c>
      <c r="AL79" s="2629"/>
      <c r="AM79" s="607" t="s">
        <v>2233</v>
      </c>
      <c r="AN79" s="143">
        <v>0</v>
      </c>
      <c r="AO79" s="141">
        <v>-1.0000000000000009E-3</v>
      </c>
      <c r="AP79" s="141">
        <v>0</v>
      </c>
      <c r="AQ79" s="141">
        <v>0</v>
      </c>
      <c r="AR79" s="141">
        <v>0.31800000000000006</v>
      </c>
      <c r="AS79" s="144">
        <v>-0.33600000000000002</v>
      </c>
      <c r="AT79" s="2629"/>
      <c r="AU79" s="607" t="s">
        <v>2233</v>
      </c>
      <c r="AV79" s="141">
        <v>0.33900000000000002</v>
      </c>
      <c r="AW79" s="227" t="s">
        <v>2233</v>
      </c>
      <c r="AX79" s="130">
        <f t="shared" si="28"/>
        <v>0.65406356164383572</v>
      </c>
    </row>
    <row r="80" spans="1:50" s="98" customFormat="1" ht="15" customHeight="1">
      <c r="B80" s="161"/>
      <c r="C80" s="185"/>
      <c r="D80" s="162" t="s">
        <v>2867</v>
      </c>
      <c r="E80" s="162"/>
      <c r="F80" s="162"/>
      <c r="G80" s="162"/>
      <c r="H80" s="163"/>
      <c r="I80" s="607" t="s">
        <v>2233</v>
      </c>
      <c r="J80" s="143">
        <v>0</v>
      </c>
      <c r="K80" s="141">
        <v>0</v>
      </c>
      <c r="L80" s="141">
        <v>0</v>
      </c>
      <c r="M80" s="141">
        <v>0</v>
      </c>
      <c r="N80" s="141">
        <v>0</v>
      </c>
      <c r="O80" s="141">
        <v>0</v>
      </c>
      <c r="P80" s="141">
        <v>0</v>
      </c>
      <c r="Q80" s="144">
        <v>0</v>
      </c>
      <c r="R80" s="143">
        <v>0</v>
      </c>
      <c r="S80" s="141">
        <v>0</v>
      </c>
      <c r="T80" s="141">
        <v>0</v>
      </c>
      <c r="U80" s="141">
        <v>0</v>
      </c>
      <c r="V80" s="144">
        <v>0</v>
      </c>
      <c r="W80" s="2629"/>
      <c r="X80" s="607" t="s">
        <v>2233</v>
      </c>
      <c r="Y80" s="143">
        <v>-4.4053972602739728</v>
      </c>
      <c r="Z80" s="141">
        <v>-4.0699980479452051</v>
      </c>
      <c r="AA80" s="141">
        <v>-3.0328920454545454</v>
      </c>
      <c r="AB80" s="141">
        <v>-3.623099528301887</v>
      </c>
      <c r="AC80" s="141">
        <v>-4.2358873720136518</v>
      </c>
      <c r="AD80" s="141">
        <v>-1.5950713273500237</v>
      </c>
      <c r="AE80" s="141">
        <v>0</v>
      </c>
      <c r="AF80" s="144">
        <v>0</v>
      </c>
      <c r="AG80" s="143">
        <v>0</v>
      </c>
      <c r="AH80" s="141">
        <v>0</v>
      </c>
      <c r="AI80" s="141">
        <v>0</v>
      </c>
      <c r="AJ80" s="141">
        <v>0</v>
      </c>
      <c r="AK80" s="144">
        <v>0</v>
      </c>
      <c r="AL80" s="2629"/>
      <c r="AM80" s="607" t="s">
        <v>2233</v>
      </c>
      <c r="AN80" s="143">
        <v>-0.28977247331691741</v>
      </c>
      <c r="AO80" s="141">
        <v>-0.83947824316583597</v>
      </c>
      <c r="AP80" s="141">
        <v>-2.0458429147289343</v>
      </c>
      <c r="AQ80" s="141">
        <v>-0.64699708298645342</v>
      </c>
      <c r="AR80" s="141">
        <v>-0.19037969408406435</v>
      </c>
      <c r="AS80" s="144">
        <v>-0.74530629376377688</v>
      </c>
      <c r="AT80" s="2629"/>
      <c r="AU80" s="607" t="s">
        <v>2233</v>
      </c>
      <c r="AV80" s="141">
        <v>282.59957716484007</v>
      </c>
      <c r="AW80" s="227" t="s">
        <v>2233</v>
      </c>
      <c r="AX80" s="130">
        <f t="shared" si="28"/>
        <v>259.21983250256852</v>
      </c>
    </row>
    <row r="81" spans="1:50" s="98" customFormat="1" ht="15" customHeight="1">
      <c r="B81" s="161"/>
      <c r="C81" s="185"/>
      <c r="D81" s="162" t="s">
        <v>2868</v>
      </c>
      <c r="E81" s="162"/>
      <c r="F81" s="162"/>
      <c r="G81" s="162"/>
      <c r="H81" s="163"/>
      <c r="I81" s="607" t="s">
        <v>2233</v>
      </c>
      <c r="J81" s="143">
        <v>0</v>
      </c>
      <c r="K81" s="141">
        <v>0</v>
      </c>
      <c r="L81" s="141">
        <v>0</v>
      </c>
      <c r="M81" s="141">
        <v>0</v>
      </c>
      <c r="N81" s="141">
        <v>0</v>
      </c>
      <c r="O81" s="141">
        <v>0</v>
      </c>
      <c r="P81" s="141">
        <v>0</v>
      </c>
      <c r="Q81" s="144">
        <v>0</v>
      </c>
      <c r="R81" s="143">
        <v>0</v>
      </c>
      <c r="S81" s="141">
        <v>0</v>
      </c>
      <c r="T81" s="141">
        <v>0</v>
      </c>
      <c r="U81" s="141">
        <v>0</v>
      </c>
      <c r="V81" s="144">
        <v>0</v>
      </c>
      <c r="W81" s="2629"/>
      <c r="X81" s="607" t="s">
        <v>2233</v>
      </c>
      <c r="Y81" s="143">
        <v>-0.30305260273972606</v>
      </c>
      <c r="Z81" s="141">
        <v>-0.46247089041095885</v>
      </c>
      <c r="AA81" s="141">
        <v>-0.23071590909090908</v>
      </c>
      <c r="AB81" s="141">
        <v>-0.27877547169811318</v>
      </c>
      <c r="AC81" s="141">
        <v>-7.9453924914675775E-3</v>
      </c>
      <c r="AD81" s="141">
        <v>-9.6611242324043459E-2</v>
      </c>
      <c r="AE81" s="141">
        <v>0</v>
      </c>
      <c r="AF81" s="144">
        <v>0</v>
      </c>
      <c r="AG81" s="143">
        <v>0</v>
      </c>
      <c r="AH81" s="141">
        <v>0</v>
      </c>
      <c r="AI81" s="141">
        <v>0</v>
      </c>
      <c r="AJ81" s="141">
        <v>0</v>
      </c>
      <c r="AK81" s="144">
        <v>0</v>
      </c>
      <c r="AL81" s="2629"/>
      <c r="AM81" s="607" t="s">
        <v>2233</v>
      </c>
      <c r="AN81" s="143">
        <v>-2.168497346690721E-3</v>
      </c>
      <c r="AO81" s="141">
        <v>-7.336749356303561E-2</v>
      </c>
      <c r="AP81" s="141">
        <v>1.5389102837011465E-2</v>
      </c>
      <c r="AQ81" s="141">
        <v>4.1945967009484005E-2</v>
      </c>
      <c r="AR81" s="141">
        <v>-9.5413883254388362E-2</v>
      </c>
      <c r="AS81" s="144">
        <v>7.109779967350667E-2</v>
      </c>
      <c r="AT81" s="2629"/>
      <c r="AU81" s="607" t="s">
        <v>2233</v>
      </c>
      <c r="AV81" s="141">
        <v>17.552937567893416</v>
      </c>
      <c r="AW81" s="227" t="s">
        <v>2233</v>
      </c>
      <c r="AX81" s="130">
        <f t="shared" si="28"/>
        <v>16.15636249714462</v>
      </c>
    </row>
    <row r="82" spans="1:50" s="98" customFormat="1" ht="15" customHeight="1">
      <c r="B82" s="161"/>
      <c r="C82" s="185"/>
      <c r="D82" s="162" t="s">
        <v>2869</v>
      </c>
      <c r="E82" s="162"/>
      <c r="F82" s="162"/>
      <c r="G82" s="162"/>
      <c r="H82" s="163"/>
      <c r="I82" s="607" t="s">
        <v>2233</v>
      </c>
      <c r="J82" s="143">
        <v>0</v>
      </c>
      <c r="K82" s="141">
        <v>0</v>
      </c>
      <c r="L82" s="141">
        <v>0</v>
      </c>
      <c r="M82" s="141">
        <v>0</v>
      </c>
      <c r="N82" s="141">
        <v>0</v>
      </c>
      <c r="O82" s="141">
        <v>0</v>
      </c>
      <c r="P82" s="141">
        <v>0</v>
      </c>
      <c r="Q82" s="144">
        <v>0</v>
      </c>
      <c r="R82" s="143">
        <v>0</v>
      </c>
      <c r="S82" s="141">
        <v>0</v>
      </c>
      <c r="T82" s="141">
        <v>0</v>
      </c>
      <c r="U82" s="141">
        <v>0</v>
      </c>
      <c r="V82" s="144">
        <v>0</v>
      </c>
      <c r="W82" s="2629"/>
      <c r="X82" s="607" t="s">
        <v>2233</v>
      </c>
      <c r="Y82" s="143">
        <v>-1.4194093150684932</v>
      </c>
      <c r="Z82" s="141">
        <v>-0.44193835616438354</v>
      </c>
      <c r="AA82" s="141">
        <v>-0.40545643939393938</v>
      </c>
      <c r="AB82" s="141">
        <v>-0.37595424528301891</v>
      </c>
      <c r="AC82" s="141">
        <v>-0.24034812286689419</v>
      </c>
      <c r="AD82" s="141">
        <v>-0.80049315068493154</v>
      </c>
      <c r="AE82" s="141">
        <v>0</v>
      </c>
      <c r="AF82" s="144">
        <v>0</v>
      </c>
      <c r="AG82" s="143">
        <v>0</v>
      </c>
      <c r="AH82" s="141">
        <v>0</v>
      </c>
      <c r="AI82" s="141">
        <v>0</v>
      </c>
      <c r="AJ82" s="141">
        <v>0</v>
      </c>
      <c r="AK82" s="144">
        <v>0</v>
      </c>
      <c r="AL82" s="2629"/>
      <c r="AM82" s="607" t="s">
        <v>2233</v>
      </c>
      <c r="AN82" s="143">
        <v>3.8593354382894574E-3</v>
      </c>
      <c r="AO82" s="141">
        <v>-0.15255952987557522</v>
      </c>
      <c r="AP82" s="141">
        <v>-0.14318134476054156</v>
      </c>
      <c r="AQ82" s="141">
        <v>-4.5926091715641999E-2</v>
      </c>
      <c r="AR82" s="141">
        <v>-9.8451647030769071E-2</v>
      </c>
      <c r="AS82" s="144">
        <v>1.8447623395021744E-2</v>
      </c>
      <c r="AT82" s="2629"/>
      <c r="AU82" s="607" t="s">
        <v>2233</v>
      </c>
      <c r="AV82" s="141">
        <v>27.656191176202103</v>
      </c>
      <c r="AW82" s="227" t="s">
        <v>2233</v>
      </c>
      <c r="AX82" s="130">
        <f t="shared" si="28"/>
        <v>24.336825419481137</v>
      </c>
    </row>
    <row r="83" spans="1:50" s="98" customFormat="1" ht="15" customHeight="1">
      <c r="B83" s="161"/>
      <c r="C83" s="185"/>
      <c r="D83" s="162" t="s">
        <v>2870</v>
      </c>
      <c r="E83" s="162"/>
      <c r="F83" s="162"/>
      <c r="G83" s="162"/>
      <c r="H83" s="163"/>
      <c r="I83" s="607" t="s">
        <v>2233</v>
      </c>
      <c r="J83" s="143">
        <v>0</v>
      </c>
      <c r="K83" s="141">
        <v>0</v>
      </c>
      <c r="L83" s="141">
        <v>0</v>
      </c>
      <c r="M83" s="141">
        <v>0</v>
      </c>
      <c r="N83" s="141">
        <v>0</v>
      </c>
      <c r="O83" s="141">
        <v>0</v>
      </c>
      <c r="P83" s="141">
        <v>0</v>
      </c>
      <c r="Q83" s="144">
        <v>0</v>
      </c>
      <c r="R83" s="143">
        <v>0</v>
      </c>
      <c r="S83" s="141">
        <v>0</v>
      </c>
      <c r="T83" s="141">
        <v>0</v>
      </c>
      <c r="U83" s="141">
        <v>0</v>
      </c>
      <c r="V83" s="144">
        <v>0</v>
      </c>
      <c r="W83" s="2629"/>
      <c r="X83" s="607" t="s">
        <v>2233</v>
      </c>
      <c r="Y83" s="143">
        <v>0</v>
      </c>
      <c r="Z83" s="141">
        <v>0</v>
      </c>
      <c r="AA83" s="141">
        <v>0</v>
      </c>
      <c r="AB83" s="141">
        <v>0</v>
      </c>
      <c r="AC83" s="141">
        <v>0</v>
      </c>
      <c r="AD83" s="141">
        <v>0</v>
      </c>
      <c r="AE83" s="141">
        <v>0</v>
      </c>
      <c r="AF83" s="144">
        <v>0</v>
      </c>
      <c r="AG83" s="143">
        <v>0</v>
      </c>
      <c r="AH83" s="141">
        <v>0</v>
      </c>
      <c r="AI83" s="141">
        <v>0</v>
      </c>
      <c r="AJ83" s="141">
        <v>0</v>
      </c>
      <c r="AK83" s="144">
        <v>0</v>
      </c>
      <c r="AL83" s="2629"/>
      <c r="AM83" s="607" t="s">
        <v>2233</v>
      </c>
      <c r="AN83" s="143">
        <v>0</v>
      </c>
      <c r="AO83" s="141">
        <v>0</v>
      </c>
      <c r="AP83" s="141">
        <v>0</v>
      </c>
      <c r="AQ83" s="141">
        <v>0</v>
      </c>
      <c r="AR83" s="141">
        <v>0</v>
      </c>
      <c r="AS83" s="144">
        <v>0</v>
      </c>
      <c r="AT83" s="2629"/>
      <c r="AU83" s="607" t="s">
        <v>2233</v>
      </c>
      <c r="AV83" s="141">
        <v>0</v>
      </c>
      <c r="AW83" s="227" t="s">
        <v>2233</v>
      </c>
      <c r="AX83" s="130">
        <f t="shared" si="28"/>
        <v>0</v>
      </c>
    </row>
    <row r="84" spans="1:50" s="98" customFormat="1" ht="15" customHeight="1">
      <c r="B84" s="181"/>
      <c r="C84" s="182" t="s">
        <v>1710</v>
      </c>
      <c r="D84" s="182"/>
      <c r="E84" s="182"/>
      <c r="F84" s="182"/>
      <c r="G84" s="184"/>
      <c r="H84" s="184"/>
      <c r="I84" s="607" t="s">
        <v>2233</v>
      </c>
      <c r="J84" s="128">
        <f>SUM(J75:J83)</f>
        <v>0</v>
      </c>
      <c r="K84" s="129">
        <f t="shared" ref="K84:V84" si="29">SUM(K75:K83)</f>
        <v>0</v>
      </c>
      <c r="L84" s="129">
        <f t="shared" si="29"/>
        <v>0</v>
      </c>
      <c r="M84" s="129">
        <f t="shared" si="29"/>
        <v>0</v>
      </c>
      <c r="N84" s="129">
        <f t="shared" si="29"/>
        <v>0</v>
      </c>
      <c r="O84" s="129">
        <f t="shared" si="29"/>
        <v>0</v>
      </c>
      <c r="P84" s="129">
        <f t="shared" si="29"/>
        <v>0</v>
      </c>
      <c r="Q84" s="130">
        <f t="shared" si="29"/>
        <v>0</v>
      </c>
      <c r="R84" s="128">
        <f t="shared" si="29"/>
        <v>0</v>
      </c>
      <c r="S84" s="129">
        <f t="shared" si="29"/>
        <v>0</v>
      </c>
      <c r="T84" s="129">
        <f t="shared" si="29"/>
        <v>0</v>
      </c>
      <c r="U84" s="129">
        <f t="shared" si="29"/>
        <v>0</v>
      </c>
      <c r="V84" s="130">
        <f t="shared" si="29"/>
        <v>0</v>
      </c>
      <c r="W84" s="2629"/>
      <c r="X84" s="607" t="s">
        <v>2233</v>
      </c>
      <c r="Y84" s="128">
        <f>SUM(Y75:Y83)</f>
        <v>-95.430402887671235</v>
      </c>
      <c r="Z84" s="129">
        <f t="shared" ref="Z84:AK84" si="30">SUM(Z75:Z83)</f>
        <v>-89.325744058219172</v>
      </c>
      <c r="AA84" s="129">
        <f t="shared" si="30"/>
        <v>-66.507365340909104</v>
      </c>
      <c r="AB84" s="129">
        <f t="shared" si="30"/>
        <v>-104.65210593867923</v>
      </c>
      <c r="AC84" s="129">
        <f t="shared" si="30"/>
        <v>-105.88673610921499</v>
      </c>
      <c r="AD84" s="129">
        <f t="shared" si="30"/>
        <v>-121.98140384978744</v>
      </c>
      <c r="AE84" s="129">
        <f t="shared" si="30"/>
        <v>-86.699033821224575</v>
      </c>
      <c r="AF84" s="130">
        <f t="shared" si="30"/>
        <v>-83.323111498375411</v>
      </c>
      <c r="AG84" s="128">
        <f t="shared" si="30"/>
        <v>-118.84748954583681</v>
      </c>
      <c r="AH84" s="129">
        <f t="shared" si="30"/>
        <v>-118.84748954583681</v>
      </c>
      <c r="AI84" s="129">
        <f t="shared" si="30"/>
        <v>-118.84748954583681</v>
      </c>
      <c r="AJ84" s="129">
        <f t="shared" si="30"/>
        <v>-118.84748954583681</v>
      </c>
      <c r="AK84" s="130">
        <f t="shared" si="30"/>
        <v>-118.84748954583681</v>
      </c>
      <c r="AL84" s="2629"/>
      <c r="AM84" s="607" t="s">
        <v>2233</v>
      </c>
      <c r="AN84" s="128">
        <f>SUM(AN75:AN83)</f>
        <v>-0.94913412757864868</v>
      </c>
      <c r="AO84" s="129">
        <f t="shared" ref="AO84:AS84" si="31">SUM(AO75:AO83)</f>
        <v>-0.93160260288610697</v>
      </c>
      <c r="AP84" s="129">
        <f t="shared" si="31"/>
        <v>-6.7216538942707196</v>
      </c>
      <c r="AQ84" s="129">
        <f t="shared" si="31"/>
        <v>-3.2586795475302481</v>
      </c>
      <c r="AR84" s="129">
        <f t="shared" si="31"/>
        <v>-3.4423186961987411</v>
      </c>
      <c r="AS84" s="130">
        <f t="shared" si="31"/>
        <v>-7.2768034864721312</v>
      </c>
      <c r="AT84" s="2629"/>
      <c r="AU84" s="607" t="s">
        <v>2233</v>
      </c>
      <c r="AV84" s="876">
        <f>SUM(AV75:AV83)</f>
        <v>2920.6738207028561</v>
      </c>
      <c r="AW84" s="227" t="s">
        <v>2233</v>
      </c>
      <c r="AX84" s="712">
        <f>SUM(AX75:AX83)</f>
        <v>2443.5680774996977</v>
      </c>
    </row>
    <row r="85" spans="1:50" s="98" customFormat="1" ht="15" customHeight="1">
      <c r="A85" s="99"/>
      <c r="B85" s="181"/>
      <c r="C85" s="185"/>
      <c r="D85" s="182"/>
      <c r="E85" s="182"/>
      <c r="F85" s="182"/>
      <c r="G85" s="184"/>
      <c r="H85" s="184"/>
      <c r="I85" s="94"/>
      <c r="J85" s="713"/>
      <c r="K85" s="2690"/>
      <c r="L85" s="2690"/>
      <c r="M85" s="2690"/>
      <c r="N85" s="2690"/>
      <c r="O85" s="2690"/>
      <c r="P85" s="2690"/>
      <c r="Q85" s="715"/>
      <c r="R85" s="2690"/>
      <c r="S85" s="2690"/>
      <c r="T85" s="2690"/>
      <c r="U85" s="2690"/>
      <c r="V85" s="715"/>
      <c r="W85" s="2629"/>
      <c r="X85" s="94"/>
      <c r="Y85" s="713"/>
      <c r="Z85" s="2690"/>
      <c r="AA85" s="2690"/>
      <c r="AB85" s="2690"/>
      <c r="AC85" s="2690"/>
      <c r="AD85" s="2690"/>
      <c r="AE85" s="2690"/>
      <c r="AF85" s="715"/>
      <c r="AG85" s="2690"/>
      <c r="AH85" s="2690"/>
      <c r="AI85" s="2690"/>
      <c r="AJ85" s="2690"/>
      <c r="AK85" s="715"/>
      <c r="AL85" s="2629"/>
      <c r="AM85" s="94"/>
      <c r="AN85" s="713"/>
      <c r="AO85" s="2690"/>
      <c r="AP85" s="2690"/>
      <c r="AQ85" s="2690"/>
      <c r="AR85" s="2690"/>
      <c r="AS85" s="752"/>
      <c r="AT85" s="2629"/>
      <c r="AU85" s="2629"/>
      <c r="AV85" s="2629"/>
      <c r="AW85" s="185"/>
      <c r="AX85" s="839"/>
    </row>
    <row r="86" spans="1:50" s="98" customFormat="1" ht="15" customHeight="1">
      <c r="B86" s="161"/>
      <c r="C86" s="180" t="s">
        <v>2877</v>
      </c>
      <c r="D86" s="162"/>
      <c r="E86" s="162"/>
      <c r="F86" s="162"/>
      <c r="G86" s="163"/>
      <c r="H86" s="163"/>
      <c r="I86" s="94"/>
      <c r="J86" s="713"/>
      <c r="K86" s="2649"/>
      <c r="L86" s="2649"/>
      <c r="M86" s="2649"/>
      <c r="N86" s="2649"/>
      <c r="O86" s="2649"/>
      <c r="P86" s="2649"/>
      <c r="Q86" s="715"/>
      <c r="R86" s="713"/>
      <c r="S86" s="2649"/>
      <c r="T86" s="2649"/>
      <c r="U86" s="2649"/>
      <c r="V86" s="715"/>
      <c r="W86" s="2629"/>
      <c r="X86" s="94"/>
      <c r="Y86" s="713"/>
      <c r="Z86" s="2649"/>
      <c r="AA86" s="2649"/>
      <c r="AB86" s="2649"/>
      <c r="AC86" s="2649"/>
      <c r="AD86" s="2649"/>
      <c r="AE86" s="2649"/>
      <c r="AF86" s="715"/>
      <c r="AG86" s="713"/>
      <c r="AH86" s="2649"/>
      <c r="AI86" s="2649"/>
      <c r="AJ86" s="2649"/>
      <c r="AK86" s="715"/>
      <c r="AL86" s="2629"/>
      <c r="AM86" s="94"/>
      <c r="AN86" s="713"/>
      <c r="AO86" s="2649"/>
      <c r="AP86" s="2649"/>
      <c r="AQ86" s="2649"/>
      <c r="AR86" s="2649"/>
      <c r="AS86" s="715"/>
      <c r="AT86" s="2629"/>
      <c r="AU86" s="2629"/>
      <c r="AV86" s="2629"/>
      <c r="AW86" s="185"/>
      <c r="AX86" s="839"/>
    </row>
    <row r="87" spans="1:50" s="98" customFormat="1" ht="15" customHeight="1">
      <c r="B87" s="161"/>
      <c r="C87" s="185"/>
      <c r="D87" s="162" t="s">
        <v>2862</v>
      </c>
      <c r="E87" s="162"/>
      <c r="F87" s="162"/>
      <c r="G87" s="162"/>
      <c r="H87" s="163"/>
      <c r="I87" s="607" t="s">
        <v>2233</v>
      </c>
      <c r="J87" s="143">
        <v>0</v>
      </c>
      <c r="K87" s="141">
        <v>0</v>
      </c>
      <c r="L87" s="141">
        <v>0</v>
      </c>
      <c r="M87" s="141">
        <v>0</v>
      </c>
      <c r="N87" s="141">
        <v>0</v>
      </c>
      <c r="O87" s="141">
        <v>0</v>
      </c>
      <c r="P87" s="141">
        <v>0</v>
      </c>
      <c r="Q87" s="144">
        <v>0</v>
      </c>
      <c r="R87" s="143">
        <v>0</v>
      </c>
      <c r="S87" s="141">
        <v>0</v>
      </c>
      <c r="T87" s="141">
        <v>0</v>
      </c>
      <c r="U87" s="141">
        <v>0</v>
      </c>
      <c r="V87" s="144">
        <v>0</v>
      </c>
      <c r="W87" s="2629"/>
      <c r="X87" s="607" t="s">
        <v>2233</v>
      </c>
      <c r="Y87" s="143">
        <v>-0.38950000000000001</v>
      </c>
      <c r="Z87" s="141">
        <v>-8.5000000000000006E-2</v>
      </c>
      <c r="AA87" s="141">
        <v>-6.0000000000000001E-3</v>
      </c>
      <c r="AB87" s="141">
        <v>0</v>
      </c>
      <c r="AC87" s="141">
        <v>-0.62</v>
      </c>
      <c r="AD87" s="141">
        <v>0</v>
      </c>
      <c r="AE87" s="141">
        <v>0</v>
      </c>
      <c r="AF87" s="144">
        <v>0</v>
      </c>
      <c r="AG87" s="143">
        <v>0</v>
      </c>
      <c r="AH87" s="141">
        <v>0</v>
      </c>
      <c r="AI87" s="141">
        <v>0</v>
      </c>
      <c r="AJ87" s="141">
        <v>0</v>
      </c>
      <c r="AK87" s="144">
        <v>0</v>
      </c>
      <c r="AL87" s="2629"/>
      <c r="AM87" s="607" t="s">
        <v>2233</v>
      </c>
      <c r="AN87" s="143">
        <v>5.0000000000000001E-4</v>
      </c>
      <c r="AO87" s="141">
        <v>-1.5000000000000013E-3</v>
      </c>
      <c r="AP87" s="141">
        <v>5.0000000000001432E-4</v>
      </c>
      <c r="AQ87" s="141">
        <v>0.15199999999999997</v>
      </c>
      <c r="AR87" s="141">
        <v>0.46799999999999997</v>
      </c>
      <c r="AS87" s="144">
        <v>0</v>
      </c>
      <c r="AT87" s="2629"/>
      <c r="AU87" s="607" t="s">
        <v>2233</v>
      </c>
      <c r="AV87" s="141">
        <v>0.54384999999999994</v>
      </c>
      <c r="AW87" s="227" t="s">
        <v>2233</v>
      </c>
      <c r="AX87" s="130">
        <f>SUM(AV87,J87:N87,Y87:AC87,AN87:AR87)</f>
        <v>6.2849999999999795E-2</v>
      </c>
    </row>
    <row r="88" spans="1:50" s="98" customFormat="1" ht="15" customHeight="1">
      <c r="B88" s="161"/>
      <c r="C88" s="185"/>
      <c r="D88" s="162" t="s">
        <v>2863</v>
      </c>
      <c r="E88" s="162"/>
      <c r="F88" s="162"/>
      <c r="G88" s="162"/>
      <c r="H88" s="163"/>
      <c r="I88" s="607" t="s">
        <v>2233</v>
      </c>
      <c r="J88" s="143">
        <v>0</v>
      </c>
      <c r="K88" s="141">
        <v>0</v>
      </c>
      <c r="L88" s="141">
        <v>0</v>
      </c>
      <c r="M88" s="141">
        <v>0</v>
      </c>
      <c r="N88" s="141">
        <v>0</v>
      </c>
      <c r="O88" s="141">
        <v>0</v>
      </c>
      <c r="P88" s="141">
        <v>0</v>
      </c>
      <c r="Q88" s="144">
        <v>0</v>
      </c>
      <c r="R88" s="143">
        <v>0</v>
      </c>
      <c r="S88" s="141">
        <v>0</v>
      </c>
      <c r="T88" s="141">
        <v>0</v>
      </c>
      <c r="U88" s="141">
        <v>0</v>
      </c>
      <c r="V88" s="144">
        <v>0</v>
      </c>
      <c r="W88" s="2629"/>
      <c r="X88" s="607" t="s">
        <v>2233</v>
      </c>
      <c r="Y88" s="143">
        <v>-0.46400000000000002</v>
      </c>
      <c r="Z88" s="141">
        <v>-2.6739999999999999</v>
      </c>
      <c r="AA88" s="141">
        <v>-0.46899999999999997</v>
      </c>
      <c r="AB88" s="141">
        <v>0</v>
      </c>
      <c r="AC88" s="141">
        <v>-0.30599999999999999</v>
      </c>
      <c r="AD88" s="141">
        <v>-0.18</v>
      </c>
      <c r="AE88" s="141">
        <v>0</v>
      </c>
      <c r="AF88" s="144">
        <v>0</v>
      </c>
      <c r="AG88" s="143">
        <v>0</v>
      </c>
      <c r="AH88" s="141">
        <v>0</v>
      </c>
      <c r="AI88" s="141">
        <v>0</v>
      </c>
      <c r="AJ88" s="141">
        <v>0</v>
      </c>
      <c r="AK88" s="144">
        <v>0</v>
      </c>
      <c r="AL88" s="2629"/>
      <c r="AM88" s="607" t="s">
        <v>2233</v>
      </c>
      <c r="AN88" s="143">
        <v>0</v>
      </c>
      <c r="AO88" s="141">
        <v>0.14250000000000007</v>
      </c>
      <c r="AP88" s="141">
        <v>0.36050000000000004</v>
      </c>
      <c r="AQ88" s="141">
        <v>0</v>
      </c>
      <c r="AR88" s="141">
        <v>0.52960000000000007</v>
      </c>
      <c r="AS88" s="144">
        <v>-9.9999999999988987E-5</v>
      </c>
      <c r="AT88" s="2629"/>
      <c r="AU88" s="607" t="s">
        <v>2233</v>
      </c>
      <c r="AV88" s="141">
        <v>3.2374999999999998</v>
      </c>
      <c r="AW88" s="227" t="s">
        <v>2233</v>
      </c>
      <c r="AX88" s="130">
        <f t="shared" ref="AX88:AX95" si="32">SUM(AV88,J88:N88,Y88:AC88,AN88:AR88)</f>
        <v>0.3571000000000002</v>
      </c>
    </row>
    <row r="89" spans="1:50" s="98" customFormat="1" ht="15" customHeight="1">
      <c r="B89" s="161"/>
      <c r="C89" s="185"/>
      <c r="D89" s="162" t="s">
        <v>2864</v>
      </c>
      <c r="E89" s="162"/>
      <c r="F89" s="162"/>
      <c r="G89" s="162"/>
      <c r="H89" s="163"/>
      <c r="I89" s="607" t="s">
        <v>2233</v>
      </c>
      <c r="J89" s="143">
        <v>0</v>
      </c>
      <c r="K89" s="141">
        <v>0</v>
      </c>
      <c r="L89" s="141">
        <v>0</v>
      </c>
      <c r="M89" s="141">
        <v>0</v>
      </c>
      <c r="N89" s="141">
        <v>0</v>
      </c>
      <c r="O89" s="141">
        <v>0</v>
      </c>
      <c r="P89" s="141">
        <v>0</v>
      </c>
      <c r="Q89" s="144">
        <v>0</v>
      </c>
      <c r="R89" s="143">
        <v>0</v>
      </c>
      <c r="S89" s="141">
        <v>0</v>
      </c>
      <c r="T89" s="141">
        <v>0</v>
      </c>
      <c r="U89" s="141">
        <v>0</v>
      </c>
      <c r="V89" s="144">
        <v>0</v>
      </c>
      <c r="W89" s="2629"/>
      <c r="X89" s="607" t="s">
        <v>2233</v>
      </c>
      <c r="Y89" s="143">
        <v>-7.3999999999999996E-2</v>
      </c>
      <c r="Z89" s="141">
        <v>-0.11899999999999999</v>
      </c>
      <c r="AA89" s="141">
        <v>-0.157</v>
      </c>
      <c r="AB89" s="141">
        <v>-0.09</v>
      </c>
      <c r="AC89" s="141">
        <v>-0.69799999999999995</v>
      </c>
      <c r="AD89" s="141">
        <v>-0.70299999999999996</v>
      </c>
      <c r="AE89" s="141">
        <v>0</v>
      </c>
      <c r="AF89" s="144">
        <v>0</v>
      </c>
      <c r="AG89" s="143">
        <v>0</v>
      </c>
      <c r="AH89" s="141">
        <v>0</v>
      </c>
      <c r="AI89" s="141">
        <v>0</v>
      </c>
      <c r="AJ89" s="141">
        <v>0</v>
      </c>
      <c r="AK89" s="144">
        <v>0</v>
      </c>
      <c r="AL89" s="2629"/>
      <c r="AM89" s="607" t="s">
        <v>2233</v>
      </c>
      <c r="AN89" s="143">
        <v>0</v>
      </c>
      <c r="AO89" s="141">
        <v>4.9999999999999489E-3</v>
      </c>
      <c r="AP89" s="141">
        <v>-6.9000000000000006E-2</v>
      </c>
      <c r="AQ89" s="141">
        <v>0.76</v>
      </c>
      <c r="AR89" s="141">
        <v>0.77300000000000002</v>
      </c>
      <c r="AS89" s="144">
        <v>-4.2000000000000037E-2</v>
      </c>
      <c r="AT89" s="2629"/>
      <c r="AU89" s="607" t="s">
        <v>2233</v>
      </c>
      <c r="AV89" s="141">
        <v>0.41400000000000003</v>
      </c>
      <c r="AW89" s="227" t="s">
        <v>2233</v>
      </c>
      <c r="AX89" s="130">
        <f t="shared" si="32"/>
        <v>0.745</v>
      </c>
    </row>
    <row r="90" spans="1:50" s="98" customFormat="1" ht="15" customHeight="1">
      <c r="B90" s="161"/>
      <c r="C90" s="185"/>
      <c r="D90" s="162" t="s">
        <v>2865</v>
      </c>
      <c r="E90" s="162"/>
      <c r="F90" s="162"/>
      <c r="G90" s="162"/>
      <c r="H90" s="163"/>
      <c r="I90" s="607" t="s">
        <v>2233</v>
      </c>
      <c r="J90" s="143">
        <v>0</v>
      </c>
      <c r="K90" s="141">
        <v>0</v>
      </c>
      <c r="L90" s="141">
        <v>0</v>
      </c>
      <c r="M90" s="141">
        <v>0</v>
      </c>
      <c r="N90" s="141">
        <v>0</v>
      </c>
      <c r="O90" s="141">
        <v>0</v>
      </c>
      <c r="P90" s="141">
        <v>0</v>
      </c>
      <c r="Q90" s="144">
        <v>0</v>
      </c>
      <c r="R90" s="143">
        <v>0</v>
      </c>
      <c r="S90" s="141">
        <v>0</v>
      </c>
      <c r="T90" s="141">
        <v>0</v>
      </c>
      <c r="U90" s="141">
        <v>0</v>
      </c>
      <c r="V90" s="144">
        <v>0</v>
      </c>
      <c r="W90" s="2629"/>
      <c r="X90" s="607" t="s">
        <v>2233</v>
      </c>
      <c r="Y90" s="143">
        <v>-0.34300000000000003</v>
      </c>
      <c r="Z90" s="141">
        <v>0</v>
      </c>
      <c r="AA90" s="141">
        <v>0</v>
      </c>
      <c r="AB90" s="141">
        <v>0</v>
      </c>
      <c r="AC90" s="141">
        <v>0</v>
      </c>
      <c r="AD90" s="141">
        <v>0</v>
      </c>
      <c r="AE90" s="141">
        <v>0</v>
      </c>
      <c r="AF90" s="144">
        <v>0</v>
      </c>
      <c r="AG90" s="143">
        <v>0</v>
      </c>
      <c r="AH90" s="141">
        <v>0</v>
      </c>
      <c r="AI90" s="141">
        <v>0</v>
      </c>
      <c r="AJ90" s="141">
        <v>0</v>
      </c>
      <c r="AK90" s="144">
        <v>0</v>
      </c>
      <c r="AL90" s="2629"/>
      <c r="AM90" s="607" t="s">
        <v>2233</v>
      </c>
      <c r="AN90" s="143">
        <v>0</v>
      </c>
      <c r="AO90" s="141">
        <v>0</v>
      </c>
      <c r="AP90" s="141">
        <v>0</v>
      </c>
      <c r="AQ90" s="141">
        <v>0</v>
      </c>
      <c r="AR90" s="141">
        <v>0</v>
      </c>
      <c r="AS90" s="144">
        <v>0</v>
      </c>
      <c r="AT90" s="2629"/>
      <c r="AU90" s="607" t="s">
        <v>2233</v>
      </c>
      <c r="AV90" s="141">
        <v>0.34300000000000003</v>
      </c>
      <c r="AW90" s="227" t="s">
        <v>2233</v>
      </c>
      <c r="AX90" s="130">
        <f t="shared" si="32"/>
        <v>0</v>
      </c>
    </row>
    <row r="91" spans="1:50" s="98" customFormat="1" ht="15" customHeight="1">
      <c r="B91" s="161"/>
      <c r="C91" s="185"/>
      <c r="D91" s="162" t="s">
        <v>2866</v>
      </c>
      <c r="E91" s="162"/>
      <c r="F91" s="162"/>
      <c r="G91" s="162"/>
      <c r="H91" s="163"/>
      <c r="I91" s="607" t="s">
        <v>2233</v>
      </c>
      <c r="J91" s="143">
        <v>0</v>
      </c>
      <c r="K91" s="141">
        <v>0</v>
      </c>
      <c r="L91" s="141">
        <v>0</v>
      </c>
      <c r="M91" s="141">
        <v>0</v>
      </c>
      <c r="N91" s="141">
        <v>0</v>
      </c>
      <c r="O91" s="141">
        <v>0</v>
      </c>
      <c r="P91" s="141">
        <v>0</v>
      </c>
      <c r="Q91" s="144">
        <v>0</v>
      </c>
      <c r="R91" s="143">
        <v>0</v>
      </c>
      <c r="S91" s="141">
        <v>0</v>
      </c>
      <c r="T91" s="141">
        <v>0</v>
      </c>
      <c r="U91" s="141">
        <v>0</v>
      </c>
      <c r="V91" s="144">
        <v>0</v>
      </c>
      <c r="W91" s="2629"/>
      <c r="X91" s="607" t="s">
        <v>2233</v>
      </c>
      <c r="Y91" s="143">
        <v>0</v>
      </c>
      <c r="Z91" s="141">
        <v>0</v>
      </c>
      <c r="AA91" s="141">
        <v>0</v>
      </c>
      <c r="AB91" s="141">
        <v>0</v>
      </c>
      <c r="AC91" s="141">
        <v>0</v>
      </c>
      <c r="AD91" s="141">
        <v>0</v>
      </c>
      <c r="AE91" s="141">
        <v>0</v>
      </c>
      <c r="AF91" s="144">
        <v>0</v>
      </c>
      <c r="AG91" s="143">
        <v>0</v>
      </c>
      <c r="AH91" s="141">
        <v>0</v>
      </c>
      <c r="AI91" s="141">
        <v>0</v>
      </c>
      <c r="AJ91" s="141">
        <v>0</v>
      </c>
      <c r="AK91" s="144">
        <v>0</v>
      </c>
      <c r="AL91" s="2629"/>
      <c r="AM91" s="607" t="s">
        <v>2233</v>
      </c>
      <c r="AN91" s="143">
        <v>0</v>
      </c>
      <c r="AO91" s="141">
        <v>0</v>
      </c>
      <c r="AP91" s="141">
        <v>0</v>
      </c>
      <c r="AQ91" s="141">
        <v>0</v>
      </c>
      <c r="AR91" s="141">
        <v>0</v>
      </c>
      <c r="AS91" s="144">
        <v>0</v>
      </c>
      <c r="AT91" s="2629"/>
      <c r="AU91" s="607" t="s">
        <v>2233</v>
      </c>
      <c r="AV91" s="141">
        <v>0</v>
      </c>
      <c r="AW91" s="227" t="s">
        <v>2233</v>
      </c>
      <c r="AX91" s="130">
        <f t="shared" si="32"/>
        <v>0</v>
      </c>
    </row>
    <row r="92" spans="1:50" s="98" customFormat="1" ht="15" customHeight="1">
      <c r="B92" s="161"/>
      <c r="C92" s="185"/>
      <c r="D92" s="162" t="s">
        <v>2867</v>
      </c>
      <c r="E92" s="162"/>
      <c r="F92" s="162"/>
      <c r="G92" s="162"/>
      <c r="H92" s="163"/>
      <c r="I92" s="607" t="s">
        <v>2233</v>
      </c>
      <c r="J92" s="143">
        <v>0</v>
      </c>
      <c r="K92" s="141">
        <v>0</v>
      </c>
      <c r="L92" s="141">
        <v>0</v>
      </c>
      <c r="M92" s="141">
        <v>0</v>
      </c>
      <c r="N92" s="141">
        <v>0</v>
      </c>
      <c r="O92" s="141">
        <v>0</v>
      </c>
      <c r="P92" s="141">
        <v>0</v>
      </c>
      <c r="Q92" s="144">
        <v>0</v>
      </c>
      <c r="R92" s="143">
        <v>0</v>
      </c>
      <c r="S92" s="141">
        <v>0</v>
      </c>
      <c r="T92" s="141">
        <v>0</v>
      </c>
      <c r="U92" s="141">
        <v>0</v>
      </c>
      <c r="V92" s="144">
        <v>0</v>
      </c>
      <c r="W92" s="2629"/>
      <c r="X92" s="607" t="s">
        <v>2233</v>
      </c>
      <c r="Y92" s="143">
        <v>0</v>
      </c>
      <c r="Z92" s="141">
        <v>0</v>
      </c>
      <c r="AA92" s="141">
        <v>0</v>
      </c>
      <c r="AB92" s="141">
        <v>0</v>
      </c>
      <c r="AC92" s="141">
        <v>0</v>
      </c>
      <c r="AD92" s="141">
        <v>0</v>
      </c>
      <c r="AE92" s="141">
        <v>0</v>
      </c>
      <c r="AF92" s="144">
        <v>0</v>
      </c>
      <c r="AG92" s="143">
        <v>0</v>
      </c>
      <c r="AH92" s="141">
        <v>0</v>
      </c>
      <c r="AI92" s="141">
        <v>0</v>
      </c>
      <c r="AJ92" s="141">
        <v>0</v>
      </c>
      <c r="AK92" s="144">
        <v>0</v>
      </c>
      <c r="AL92" s="2629"/>
      <c r="AM92" s="607" t="s">
        <v>2233</v>
      </c>
      <c r="AN92" s="143">
        <v>0</v>
      </c>
      <c r="AO92" s="141">
        <v>0</v>
      </c>
      <c r="AP92" s="141">
        <v>0</v>
      </c>
      <c r="AQ92" s="141">
        <v>0</v>
      </c>
      <c r="AR92" s="141">
        <v>0</v>
      </c>
      <c r="AS92" s="144">
        <v>0</v>
      </c>
      <c r="AT92" s="2629"/>
      <c r="AU92" s="607" t="s">
        <v>2233</v>
      </c>
      <c r="AV92" s="141">
        <v>0</v>
      </c>
      <c r="AW92" s="227" t="s">
        <v>2233</v>
      </c>
      <c r="AX92" s="130">
        <f t="shared" si="32"/>
        <v>0</v>
      </c>
    </row>
    <row r="93" spans="1:50" s="98" customFormat="1" ht="15" customHeight="1">
      <c r="B93" s="161"/>
      <c r="C93" s="185"/>
      <c r="D93" s="162" t="s">
        <v>2868</v>
      </c>
      <c r="E93" s="162"/>
      <c r="F93" s="162"/>
      <c r="G93" s="162"/>
      <c r="H93" s="163"/>
      <c r="I93" s="607" t="s">
        <v>2233</v>
      </c>
      <c r="J93" s="143">
        <v>0</v>
      </c>
      <c r="K93" s="141">
        <v>0</v>
      </c>
      <c r="L93" s="141">
        <v>0</v>
      </c>
      <c r="M93" s="141">
        <v>0</v>
      </c>
      <c r="N93" s="141">
        <v>0</v>
      </c>
      <c r="O93" s="141">
        <v>0</v>
      </c>
      <c r="P93" s="141">
        <v>0</v>
      </c>
      <c r="Q93" s="144">
        <v>0</v>
      </c>
      <c r="R93" s="143">
        <v>0</v>
      </c>
      <c r="S93" s="141">
        <v>0</v>
      </c>
      <c r="T93" s="141">
        <v>0</v>
      </c>
      <c r="U93" s="141">
        <v>0</v>
      </c>
      <c r="V93" s="144">
        <v>0</v>
      </c>
      <c r="W93" s="2629"/>
      <c r="X93" s="607" t="s">
        <v>2233</v>
      </c>
      <c r="Y93" s="143">
        <v>0</v>
      </c>
      <c r="Z93" s="141">
        <v>0</v>
      </c>
      <c r="AA93" s="141">
        <v>0</v>
      </c>
      <c r="AB93" s="141">
        <v>0</v>
      </c>
      <c r="AC93" s="141">
        <v>0</v>
      </c>
      <c r="AD93" s="141">
        <v>0</v>
      </c>
      <c r="AE93" s="141">
        <v>0</v>
      </c>
      <c r="AF93" s="144">
        <v>0</v>
      </c>
      <c r="AG93" s="143">
        <v>0</v>
      </c>
      <c r="AH93" s="141">
        <v>0</v>
      </c>
      <c r="AI93" s="141">
        <v>0</v>
      </c>
      <c r="AJ93" s="141">
        <v>0</v>
      </c>
      <c r="AK93" s="144">
        <v>0</v>
      </c>
      <c r="AL93" s="2629"/>
      <c r="AM93" s="607" t="s">
        <v>2233</v>
      </c>
      <c r="AN93" s="143">
        <v>0</v>
      </c>
      <c r="AO93" s="141">
        <v>0</v>
      </c>
      <c r="AP93" s="141">
        <v>0</v>
      </c>
      <c r="AQ93" s="141">
        <v>0</v>
      </c>
      <c r="AR93" s="141">
        <v>0</v>
      </c>
      <c r="AS93" s="144">
        <v>0</v>
      </c>
      <c r="AT93" s="2629"/>
      <c r="AU93" s="607" t="s">
        <v>2233</v>
      </c>
      <c r="AV93" s="141">
        <v>0</v>
      </c>
      <c r="AW93" s="227" t="s">
        <v>2233</v>
      </c>
      <c r="AX93" s="130">
        <f t="shared" si="32"/>
        <v>0</v>
      </c>
    </row>
    <row r="94" spans="1:50" s="98" customFormat="1" ht="15" customHeight="1">
      <c r="B94" s="161"/>
      <c r="C94" s="185"/>
      <c r="D94" s="162" t="s">
        <v>2869</v>
      </c>
      <c r="E94" s="162"/>
      <c r="F94" s="162"/>
      <c r="G94" s="162"/>
      <c r="H94" s="163"/>
      <c r="I94" s="607" t="s">
        <v>2233</v>
      </c>
      <c r="J94" s="143">
        <v>0</v>
      </c>
      <c r="K94" s="141">
        <v>0</v>
      </c>
      <c r="L94" s="141">
        <v>0</v>
      </c>
      <c r="M94" s="141">
        <v>0</v>
      </c>
      <c r="N94" s="141">
        <v>0</v>
      </c>
      <c r="O94" s="141">
        <v>0</v>
      </c>
      <c r="P94" s="141">
        <v>0</v>
      </c>
      <c r="Q94" s="144">
        <v>0</v>
      </c>
      <c r="R94" s="143">
        <v>0</v>
      </c>
      <c r="S94" s="141">
        <v>0</v>
      </c>
      <c r="T94" s="141">
        <v>0</v>
      </c>
      <c r="U94" s="141">
        <v>0</v>
      </c>
      <c r="V94" s="144">
        <v>0</v>
      </c>
      <c r="W94" s="2629"/>
      <c r="X94" s="607" t="s">
        <v>2233</v>
      </c>
      <c r="Y94" s="143">
        <v>0</v>
      </c>
      <c r="Z94" s="141">
        <v>0</v>
      </c>
      <c r="AA94" s="141">
        <v>0</v>
      </c>
      <c r="AB94" s="141">
        <v>0</v>
      </c>
      <c r="AC94" s="141">
        <v>0</v>
      </c>
      <c r="AD94" s="141">
        <v>0</v>
      </c>
      <c r="AE94" s="141">
        <v>0</v>
      </c>
      <c r="AF94" s="144">
        <v>0</v>
      </c>
      <c r="AG94" s="143">
        <v>0</v>
      </c>
      <c r="AH94" s="141">
        <v>0</v>
      </c>
      <c r="AI94" s="141">
        <v>0</v>
      </c>
      <c r="AJ94" s="141">
        <v>0</v>
      </c>
      <c r="AK94" s="144">
        <v>0</v>
      </c>
      <c r="AL94" s="2629"/>
      <c r="AM94" s="607" t="s">
        <v>2233</v>
      </c>
      <c r="AN94" s="143">
        <v>0</v>
      </c>
      <c r="AO94" s="141">
        <v>0</v>
      </c>
      <c r="AP94" s="141">
        <v>0</v>
      </c>
      <c r="AQ94" s="141">
        <v>0</v>
      </c>
      <c r="AR94" s="141">
        <v>0</v>
      </c>
      <c r="AS94" s="144">
        <v>0</v>
      </c>
      <c r="AT94" s="2629"/>
      <c r="AU94" s="607" t="s">
        <v>2233</v>
      </c>
      <c r="AV94" s="141">
        <v>0</v>
      </c>
      <c r="AW94" s="227" t="s">
        <v>2233</v>
      </c>
      <c r="AX94" s="130">
        <f t="shared" si="32"/>
        <v>0</v>
      </c>
    </row>
    <row r="95" spans="1:50" s="98" customFormat="1" ht="15" customHeight="1">
      <c r="B95" s="161"/>
      <c r="C95" s="185"/>
      <c r="D95" s="162" t="s">
        <v>2870</v>
      </c>
      <c r="E95" s="162"/>
      <c r="F95" s="162"/>
      <c r="G95" s="162"/>
      <c r="H95" s="163"/>
      <c r="I95" s="607" t="s">
        <v>2233</v>
      </c>
      <c r="J95" s="143">
        <v>0</v>
      </c>
      <c r="K95" s="141">
        <v>0</v>
      </c>
      <c r="L95" s="141">
        <v>0</v>
      </c>
      <c r="M95" s="141">
        <v>0</v>
      </c>
      <c r="N95" s="141">
        <v>0</v>
      </c>
      <c r="O95" s="141">
        <v>0</v>
      </c>
      <c r="P95" s="141">
        <v>0</v>
      </c>
      <c r="Q95" s="144">
        <v>0</v>
      </c>
      <c r="R95" s="143">
        <v>0</v>
      </c>
      <c r="S95" s="141">
        <v>0</v>
      </c>
      <c r="T95" s="141">
        <v>0</v>
      </c>
      <c r="U95" s="141">
        <v>0</v>
      </c>
      <c r="V95" s="144">
        <v>0</v>
      </c>
      <c r="W95" s="2629"/>
      <c r="X95" s="607" t="s">
        <v>2233</v>
      </c>
      <c r="Y95" s="143">
        <v>0</v>
      </c>
      <c r="Z95" s="141">
        <v>0</v>
      </c>
      <c r="AA95" s="141">
        <v>0</v>
      </c>
      <c r="AB95" s="141">
        <v>0</v>
      </c>
      <c r="AC95" s="141">
        <v>0</v>
      </c>
      <c r="AD95" s="141">
        <v>0</v>
      </c>
      <c r="AE95" s="141">
        <v>0</v>
      </c>
      <c r="AF95" s="144">
        <v>0</v>
      </c>
      <c r="AG95" s="143">
        <v>0</v>
      </c>
      <c r="AH95" s="141">
        <v>0</v>
      </c>
      <c r="AI95" s="141">
        <v>0</v>
      </c>
      <c r="AJ95" s="141">
        <v>0</v>
      </c>
      <c r="AK95" s="144">
        <v>0</v>
      </c>
      <c r="AL95" s="2629"/>
      <c r="AM95" s="607" t="s">
        <v>2233</v>
      </c>
      <c r="AN95" s="143">
        <v>0</v>
      </c>
      <c r="AO95" s="141">
        <v>0</v>
      </c>
      <c r="AP95" s="141">
        <v>0</v>
      </c>
      <c r="AQ95" s="141">
        <v>0</v>
      </c>
      <c r="AR95" s="141">
        <v>0</v>
      </c>
      <c r="AS95" s="144">
        <v>0</v>
      </c>
      <c r="AT95" s="2629"/>
      <c r="AU95" s="607" t="s">
        <v>2233</v>
      </c>
      <c r="AV95" s="141">
        <v>0</v>
      </c>
      <c r="AW95" s="227" t="s">
        <v>2233</v>
      </c>
      <c r="AX95" s="130">
        <f t="shared" si="32"/>
        <v>0</v>
      </c>
    </row>
    <row r="96" spans="1:50" s="98" customFormat="1" ht="15" customHeight="1">
      <c r="B96" s="181"/>
      <c r="C96" s="182" t="s">
        <v>1710</v>
      </c>
      <c r="D96" s="182"/>
      <c r="E96" s="182"/>
      <c r="F96" s="182"/>
      <c r="G96" s="184"/>
      <c r="H96" s="184"/>
      <c r="I96" s="607" t="s">
        <v>2233</v>
      </c>
      <c r="J96" s="128">
        <f>SUM(J87:J95)</f>
        <v>0</v>
      </c>
      <c r="K96" s="129">
        <f t="shared" ref="K96:V96" si="33">SUM(K87:K95)</f>
        <v>0</v>
      </c>
      <c r="L96" s="129">
        <f t="shared" si="33"/>
        <v>0</v>
      </c>
      <c r="M96" s="129">
        <f t="shared" si="33"/>
        <v>0</v>
      </c>
      <c r="N96" s="129">
        <f t="shared" si="33"/>
        <v>0</v>
      </c>
      <c r="O96" s="129">
        <f t="shared" si="33"/>
        <v>0</v>
      </c>
      <c r="P96" s="129">
        <f t="shared" si="33"/>
        <v>0</v>
      </c>
      <c r="Q96" s="130">
        <f t="shared" si="33"/>
        <v>0</v>
      </c>
      <c r="R96" s="128">
        <f t="shared" si="33"/>
        <v>0</v>
      </c>
      <c r="S96" s="129">
        <f t="shared" si="33"/>
        <v>0</v>
      </c>
      <c r="T96" s="129">
        <f t="shared" si="33"/>
        <v>0</v>
      </c>
      <c r="U96" s="129">
        <f t="shared" si="33"/>
        <v>0</v>
      </c>
      <c r="V96" s="130">
        <f t="shared" si="33"/>
        <v>0</v>
      </c>
      <c r="W96" s="2629"/>
      <c r="X96" s="607" t="s">
        <v>2233</v>
      </c>
      <c r="Y96" s="128">
        <f>SUM(Y87:Y95)</f>
        <v>-1.2705</v>
      </c>
      <c r="Z96" s="129">
        <f t="shared" ref="Z96:AK96" si="34">SUM(Z87:Z95)</f>
        <v>-2.8780000000000001</v>
      </c>
      <c r="AA96" s="129">
        <f t="shared" si="34"/>
        <v>-0.63200000000000001</v>
      </c>
      <c r="AB96" s="129">
        <f t="shared" si="34"/>
        <v>-0.09</v>
      </c>
      <c r="AC96" s="129">
        <f t="shared" si="34"/>
        <v>-1.6239999999999999</v>
      </c>
      <c r="AD96" s="129">
        <f t="shared" si="34"/>
        <v>-0.88300000000000001</v>
      </c>
      <c r="AE96" s="129">
        <f t="shared" si="34"/>
        <v>0</v>
      </c>
      <c r="AF96" s="130">
        <f t="shared" si="34"/>
        <v>0</v>
      </c>
      <c r="AG96" s="128">
        <f t="shared" si="34"/>
        <v>0</v>
      </c>
      <c r="AH96" s="129">
        <f t="shared" si="34"/>
        <v>0</v>
      </c>
      <c r="AI96" s="129">
        <f t="shared" si="34"/>
        <v>0</v>
      </c>
      <c r="AJ96" s="129">
        <f t="shared" si="34"/>
        <v>0</v>
      </c>
      <c r="AK96" s="130">
        <f t="shared" si="34"/>
        <v>0</v>
      </c>
      <c r="AL96" s="2629"/>
      <c r="AM96" s="607" t="s">
        <v>2233</v>
      </c>
      <c r="AN96" s="128">
        <f>SUM(AN87:AN95)</f>
        <v>5.0000000000000001E-4</v>
      </c>
      <c r="AO96" s="129">
        <f t="shared" ref="AO96:AS96" si="35">SUM(AO87:AO95)</f>
        <v>0.14600000000000002</v>
      </c>
      <c r="AP96" s="129">
        <f t="shared" si="35"/>
        <v>0.29200000000000004</v>
      </c>
      <c r="AQ96" s="129">
        <f t="shared" si="35"/>
        <v>0.91199999999999992</v>
      </c>
      <c r="AR96" s="129">
        <f t="shared" si="35"/>
        <v>1.7706</v>
      </c>
      <c r="AS96" s="130">
        <f t="shared" si="35"/>
        <v>-4.2100000000000026E-2</v>
      </c>
      <c r="AT96" s="2629"/>
      <c r="AU96" s="607" t="s">
        <v>2233</v>
      </c>
      <c r="AV96" s="876">
        <f>SUM(AV87:AV95)</f>
        <v>4.5383499999999994</v>
      </c>
      <c r="AW96" s="227" t="s">
        <v>2233</v>
      </c>
      <c r="AX96" s="712">
        <f>SUM(AX87:AX95)</f>
        <v>1.1649499999999999</v>
      </c>
    </row>
    <row r="97" spans="1:50" s="98" customFormat="1" ht="15" customHeight="1">
      <c r="A97" s="99"/>
      <c r="B97" s="181"/>
      <c r="C97" s="185"/>
      <c r="D97" s="182"/>
      <c r="E97" s="182"/>
      <c r="F97" s="182"/>
      <c r="G97" s="184"/>
      <c r="H97" s="184"/>
      <c r="I97" s="94"/>
      <c r="J97" s="713"/>
      <c r="K97" s="2690"/>
      <c r="L97" s="2690"/>
      <c r="M97" s="2690"/>
      <c r="N97" s="2690"/>
      <c r="O97" s="2690"/>
      <c r="P97" s="2690"/>
      <c r="Q97" s="715"/>
      <c r="R97" s="2690"/>
      <c r="S97" s="2690"/>
      <c r="T97" s="2690"/>
      <c r="U97" s="2690"/>
      <c r="V97" s="715"/>
      <c r="W97" s="2629"/>
      <c r="X97" s="94"/>
      <c r="Y97" s="713"/>
      <c r="Z97" s="2690"/>
      <c r="AA97" s="2690"/>
      <c r="AB97" s="2690"/>
      <c r="AC97" s="2690"/>
      <c r="AD97" s="2690"/>
      <c r="AE97" s="2690"/>
      <c r="AF97" s="715"/>
      <c r="AG97" s="2690"/>
      <c r="AH97" s="2690"/>
      <c r="AI97" s="2690"/>
      <c r="AJ97" s="2690"/>
      <c r="AK97" s="715"/>
      <c r="AL97" s="2629"/>
      <c r="AM97" s="94"/>
      <c r="AN97" s="713"/>
      <c r="AO97" s="2690"/>
      <c r="AP97" s="2690"/>
      <c r="AQ97" s="2690"/>
      <c r="AR97" s="2690"/>
      <c r="AS97" s="752"/>
      <c r="AT97" s="2629"/>
      <c r="AU97" s="2629"/>
      <c r="AV97" s="2629"/>
      <c r="AW97" s="185"/>
      <c r="AX97" s="839"/>
    </row>
    <row r="98" spans="1:50" s="98" customFormat="1" ht="15" customHeight="1" thickBot="1">
      <c r="A98" s="99"/>
      <c r="B98" s="131" t="s">
        <v>1701</v>
      </c>
      <c r="C98" s="132"/>
      <c r="D98" s="132"/>
      <c r="E98" s="132"/>
      <c r="F98" s="132"/>
      <c r="G98" s="145"/>
      <c r="H98" s="133"/>
      <c r="I98" s="146" t="s">
        <v>2233</v>
      </c>
      <c r="J98" s="717">
        <f>SUM(J36,J48,J60,J72,J84,J96)</f>
        <v>538.79737725161567</v>
      </c>
      <c r="K98" s="718">
        <f t="shared" ref="K98:V98" si="36">SUM(K36,K48,K60,K72,K84,K96)</f>
        <v>603.19937436363637</v>
      </c>
      <c r="L98" s="718">
        <f t="shared" si="36"/>
        <v>548.9934175213989</v>
      </c>
      <c r="M98" s="718">
        <f t="shared" si="36"/>
        <v>558.54224764006642</v>
      </c>
      <c r="N98" s="718">
        <f t="shared" si="36"/>
        <v>606.72733753112709</v>
      </c>
      <c r="O98" s="718">
        <f t="shared" si="36"/>
        <v>622.20524609756092</v>
      </c>
      <c r="P98" s="718">
        <f t="shared" si="36"/>
        <v>591.8473916265873</v>
      </c>
      <c r="Q98" s="719">
        <f t="shared" si="36"/>
        <v>560.89182113317531</v>
      </c>
      <c r="R98" s="717">
        <f t="shared" si="36"/>
        <v>592.80270662509713</v>
      </c>
      <c r="S98" s="718">
        <f t="shared" si="36"/>
        <v>594.83790055243446</v>
      </c>
      <c r="T98" s="718">
        <f t="shared" si="36"/>
        <v>596.83833985084561</v>
      </c>
      <c r="U98" s="718">
        <f t="shared" si="36"/>
        <v>598.80950974719724</v>
      </c>
      <c r="V98" s="719">
        <f t="shared" si="36"/>
        <v>600.75574459634947</v>
      </c>
      <c r="W98" s="2630"/>
      <c r="X98" s="146" t="s">
        <v>2233</v>
      </c>
      <c r="Y98" s="717">
        <f>SUM(Y36,Y48,Y60,Y72,Y84,Y96)</f>
        <v>-554.81976967242349</v>
      </c>
      <c r="Z98" s="718">
        <f t="shared" ref="Z98:AK98" si="37">SUM(Z36,Z48,Z60,Z72,Z84,Z96)</f>
        <v>-626.85068287395757</v>
      </c>
      <c r="AA98" s="718">
        <f t="shared" si="37"/>
        <v>-536.79575193347398</v>
      </c>
      <c r="AB98" s="718">
        <f t="shared" si="37"/>
        <v>-565.56634192586489</v>
      </c>
      <c r="AC98" s="718">
        <f t="shared" si="37"/>
        <v>-604.89651860327695</v>
      </c>
      <c r="AD98" s="718">
        <f t="shared" si="37"/>
        <v>-605.01297645280465</v>
      </c>
      <c r="AE98" s="718">
        <f t="shared" si="37"/>
        <v>-573.48609302426973</v>
      </c>
      <c r="AF98" s="719">
        <f t="shared" si="37"/>
        <v>-539.90414018591594</v>
      </c>
      <c r="AG98" s="717">
        <f t="shared" si="37"/>
        <v>-554.80536370780862</v>
      </c>
      <c r="AH98" s="718">
        <f t="shared" si="37"/>
        <v>-554.80536370780862</v>
      </c>
      <c r="AI98" s="718">
        <f t="shared" si="37"/>
        <v>-554.80536370780862</v>
      </c>
      <c r="AJ98" s="718">
        <f t="shared" si="37"/>
        <v>-554.80536370780862</v>
      </c>
      <c r="AK98" s="719">
        <f t="shared" si="37"/>
        <v>-554.80536370780862</v>
      </c>
      <c r="AL98" s="2630"/>
      <c r="AM98" s="146" t="s">
        <v>2233</v>
      </c>
      <c r="AN98" s="717">
        <f>SUM(AN36,AN48,AN60,AN72,AN84,AN96)</f>
        <v>-9.2834327963157133</v>
      </c>
      <c r="AO98" s="718">
        <f t="shared" ref="AO98:AS98" si="38">SUM(AO36,AO48,AO60,AO72,AO84,AO96)</f>
        <v>-5.3834936199755568</v>
      </c>
      <c r="AP98" s="718">
        <f t="shared" si="38"/>
        <v>2.8444730333501376</v>
      </c>
      <c r="AQ98" s="718">
        <f t="shared" si="38"/>
        <v>27.382430706178333</v>
      </c>
      <c r="AR98" s="718">
        <f t="shared" si="38"/>
        <v>4.7878194454231604</v>
      </c>
      <c r="AS98" s="719">
        <f t="shared" si="38"/>
        <v>16.22414593338971</v>
      </c>
      <c r="AT98" s="2630"/>
      <c r="AU98" s="146" t="s">
        <v>2233</v>
      </c>
      <c r="AV98" s="718">
        <f>SUM(AV36,AV48,AV60,AV72,AV84,AV96)</f>
        <v>30572.671143084997</v>
      </c>
      <c r="AW98" s="882" t="s">
        <v>2233</v>
      </c>
      <c r="AX98" s="719">
        <f>SUM(AX36,AX48,AX60,AX72,AX84,AX96)</f>
        <v>30560.349629152508</v>
      </c>
    </row>
    <row r="99" spans="1:50" s="99" customFormat="1" ht="15" customHeight="1" thickBot="1">
      <c r="B99" s="150"/>
      <c r="C99" s="150"/>
      <c r="D99" s="150"/>
      <c r="E99" s="150"/>
      <c r="F99" s="150"/>
      <c r="G99" s="97"/>
      <c r="H99" s="97"/>
      <c r="I99" s="2629"/>
      <c r="J99" s="2629"/>
      <c r="K99" s="2629"/>
      <c r="L99" s="2629"/>
      <c r="M99" s="2629"/>
      <c r="N99" s="2629"/>
      <c r="O99" s="2629"/>
      <c r="P99" s="2629"/>
      <c r="Q99" s="2629"/>
      <c r="R99" s="2629"/>
      <c r="S99" s="2629"/>
      <c r="T99" s="2629"/>
      <c r="U99" s="2629"/>
      <c r="V99" s="2629"/>
      <c r="W99" s="2629"/>
      <c r="X99" s="2629"/>
      <c r="Y99" s="2629"/>
      <c r="Z99" s="2629"/>
      <c r="AA99" s="2629"/>
      <c r="AB99" s="2629"/>
      <c r="AC99" s="2629"/>
      <c r="AD99" s="2629"/>
      <c r="AE99" s="2629"/>
      <c r="AF99" s="2629"/>
      <c r="AG99" s="2629"/>
      <c r="AH99" s="2629"/>
      <c r="AI99" s="2629"/>
      <c r="AJ99" s="2629"/>
      <c r="AK99" s="2629"/>
      <c r="AL99" s="2629"/>
      <c r="AM99" s="2629"/>
      <c r="AN99" s="2629"/>
      <c r="AO99" s="2629"/>
      <c r="AP99" s="2629"/>
      <c r="AQ99" s="2629"/>
      <c r="AR99" s="2629"/>
      <c r="AS99" s="2629"/>
      <c r="AT99" s="2629"/>
      <c r="AU99" s="2629"/>
      <c r="AV99" s="2629"/>
      <c r="AW99" s="98"/>
      <c r="AX99" s="98"/>
    </row>
    <row r="100" spans="1:50" s="100" customFormat="1" ht="30" customHeight="1" thickBot="1">
      <c r="A100" s="89"/>
      <c r="B100" s="621" t="s">
        <v>2878</v>
      </c>
      <c r="C100" s="102"/>
      <c r="D100" s="102"/>
      <c r="E100" s="102"/>
      <c r="F100" s="102"/>
      <c r="G100" s="103"/>
      <c r="H100" s="103"/>
      <c r="I100" s="105" t="s">
        <v>2837</v>
      </c>
      <c r="J100" s="106"/>
      <c r="K100" s="106"/>
      <c r="L100" s="106"/>
      <c r="M100" s="106"/>
      <c r="N100" s="106"/>
      <c r="O100" s="106"/>
      <c r="P100" s="106"/>
      <c r="Q100" s="106"/>
      <c r="R100" s="105"/>
      <c r="S100" s="105"/>
      <c r="T100" s="105"/>
      <c r="U100" s="105"/>
      <c r="V100" s="105"/>
      <c r="W100" s="103"/>
      <c r="X100" s="105" t="s">
        <v>2838</v>
      </c>
      <c r="Y100" s="106"/>
      <c r="Z100" s="106"/>
      <c r="AA100" s="106"/>
      <c r="AB100" s="106"/>
      <c r="AC100" s="106"/>
      <c r="AD100" s="106"/>
      <c r="AE100" s="106"/>
      <c r="AF100" s="106"/>
      <c r="AG100" s="105"/>
      <c r="AH100" s="105"/>
      <c r="AI100" s="105"/>
      <c r="AJ100" s="105"/>
      <c r="AK100" s="105"/>
      <c r="AL100" s="103"/>
      <c r="AM100" s="105" t="s">
        <v>2839</v>
      </c>
      <c r="AN100" s="106"/>
      <c r="AO100" s="106"/>
      <c r="AP100" s="106"/>
      <c r="AQ100" s="106"/>
      <c r="AR100" s="106"/>
      <c r="AS100" s="106"/>
      <c r="AT100" s="103"/>
      <c r="AU100" s="218" t="s">
        <v>1925</v>
      </c>
      <c r="AV100" s="219"/>
      <c r="AW100" s="220"/>
      <c r="AX100" s="221"/>
    </row>
    <row r="101" spans="1:50" s="157" customFormat="1" ht="30" customHeight="1">
      <c r="A101" s="99"/>
      <c r="B101" s="109"/>
      <c r="C101" s="110"/>
      <c r="D101" s="110"/>
      <c r="E101" s="110"/>
      <c r="F101" s="110"/>
      <c r="G101" s="111"/>
      <c r="H101" s="111"/>
      <c r="I101" s="94"/>
      <c r="J101" s="695" t="s">
        <v>1666</v>
      </c>
      <c r="K101" s="152"/>
      <c r="L101" s="152"/>
      <c r="M101" s="152"/>
      <c r="N101" s="152"/>
      <c r="O101" s="152"/>
      <c r="P101" s="152"/>
      <c r="Q101" s="153"/>
      <c r="R101" s="696" t="s">
        <v>2</v>
      </c>
      <c r="S101" s="155"/>
      <c r="T101" s="155"/>
      <c r="U101" s="155"/>
      <c r="V101" s="156"/>
      <c r="W101" s="2632"/>
      <c r="X101" s="94"/>
      <c r="Y101" s="695" t="s">
        <v>1666</v>
      </c>
      <c r="Z101" s="152"/>
      <c r="AA101" s="152"/>
      <c r="AB101" s="152"/>
      <c r="AC101" s="152"/>
      <c r="AD101" s="152"/>
      <c r="AE101" s="152"/>
      <c r="AF101" s="153"/>
      <c r="AG101" s="696" t="s">
        <v>2</v>
      </c>
      <c r="AH101" s="155"/>
      <c r="AI101" s="155"/>
      <c r="AJ101" s="155"/>
      <c r="AK101" s="156"/>
      <c r="AL101" s="2632"/>
      <c r="AM101" s="94"/>
      <c r="AN101" s="695" t="s">
        <v>1666</v>
      </c>
      <c r="AO101" s="152"/>
      <c r="AP101" s="152"/>
      <c r="AQ101" s="152"/>
      <c r="AR101" s="152"/>
      <c r="AS101" s="153"/>
      <c r="AT101" s="2632"/>
      <c r="AU101" s="223" t="s">
        <v>2840</v>
      </c>
      <c r="AV101" s="203"/>
      <c r="AW101" s="883" t="s">
        <v>2879</v>
      </c>
      <c r="AX101" s="884"/>
    </row>
    <row r="102" spans="1:50" s="98" customFormat="1" ht="15" customHeight="1">
      <c r="A102" s="99"/>
      <c r="B102" s="115"/>
      <c r="C102" s="116"/>
      <c r="D102" s="116"/>
      <c r="E102" s="116"/>
      <c r="F102" s="116"/>
      <c r="G102" s="117"/>
      <c r="H102" s="117"/>
      <c r="I102" s="119" t="s">
        <v>1667</v>
      </c>
      <c r="J102" s="158" t="s">
        <v>453</v>
      </c>
      <c r="K102" s="137" t="s">
        <v>455</v>
      </c>
      <c r="L102" s="137" t="s">
        <v>457</v>
      </c>
      <c r="M102" s="137" t="s">
        <v>459</v>
      </c>
      <c r="N102" s="137" t="s">
        <v>461</v>
      </c>
      <c r="O102" s="137" t="s">
        <v>463</v>
      </c>
      <c r="P102" s="137" t="s">
        <v>465</v>
      </c>
      <c r="Q102" s="138" t="s">
        <v>467</v>
      </c>
      <c r="R102" s="120" t="s">
        <v>469</v>
      </c>
      <c r="S102" s="121" t="s">
        <v>471</v>
      </c>
      <c r="T102" s="121" t="s">
        <v>473</v>
      </c>
      <c r="U102" s="121" t="s">
        <v>475</v>
      </c>
      <c r="V102" s="122" t="s">
        <v>477</v>
      </c>
      <c r="W102" s="2629"/>
      <c r="X102" s="119" t="s">
        <v>1667</v>
      </c>
      <c r="Y102" s="158" t="s">
        <v>453</v>
      </c>
      <c r="Z102" s="137" t="s">
        <v>455</v>
      </c>
      <c r="AA102" s="137" t="s">
        <v>457</v>
      </c>
      <c r="AB102" s="137" t="s">
        <v>459</v>
      </c>
      <c r="AC102" s="137" t="s">
        <v>461</v>
      </c>
      <c r="AD102" s="137" t="s">
        <v>463</v>
      </c>
      <c r="AE102" s="137" t="s">
        <v>465</v>
      </c>
      <c r="AF102" s="138" t="s">
        <v>467</v>
      </c>
      <c r="AG102" s="120" t="s">
        <v>469</v>
      </c>
      <c r="AH102" s="121" t="s">
        <v>471</v>
      </c>
      <c r="AI102" s="121" t="s">
        <v>473</v>
      </c>
      <c r="AJ102" s="121" t="s">
        <v>475</v>
      </c>
      <c r="AK102" s="122" t="s">
        <v>477</v>
      </c>
      <c r="AL102" s="2629"/>
      <c r="AM102" s="119" t="s">
        <v>1667</v>
      </c>
      <c r="AN102" s="158" t="s">
        <v>453</v>
      </c>
      <c r="AO102" s="137" t="s">
        <v>455</v>
      </c>
      <c r="AP102" s="137" t="s">
        <v>457</v>
      </c>
      <c r="AQ102" s="137" t="s">
        <v>459</v>
      </c>
      <c r="AR102" s="137" t="s">
        <v>461</v>
      </c>
      <c r="AS102" s="138" t="s">
        <v>463</v>
      </c>
      <c r="AT102" s="2629"/>
      <c r="AU102" s="225" t="s">
        <v>1667</v>
      </c>
      <c r="AV102" s="206" t="s">
        <v>2142</v>
      </c>
      <c r="AW102" s="226" t="s">
        <v>1667</v>
      </c>
      <c r="AX102" s="207" t="s">
        <v>2142</v>
      </c>
    </row>
    <row r="103" spans="1:50" s="98" customFormat="1" ht="15" customHeight="1">
      <c r="A103" s="99"/>
      <c r="B103" s="161"/>
      <c r="C103" s="180" t="s">
        <v>2872</v>
      </c>
      <c r="D103" s="162"/>
      <c r="E103" s="162"/>
      <c r="F103" s="162"/>
      <c r="G103" s="163"/>
      <c r="H103" s="163"/>
      <c r="I103" s="94"/>
      <c r="J103" s="159"/>
      <c r="K103" s="94"/>
      <c r="L103" s="94"/>
      <c r="M103" s="94"/>
      <c r="N103" s="94"/>
      <c r="O103" s="94"/>
      <c r="P103" s="94"/>
      <c r="Q103" s="160"/>
      <c r="R103" s="159"/>
      <c r="S103" s="94"/>
      <c r="T103" s="94"/>
      <c r="U103" s="94"/>
      <c r="V103" s="160"/>
      <c r="W103" s="2629"/>
      <c r="X103" s="94"/>
      <c r="Y103" s="159"/>
      <c r="Z103" s="94"/>
      <c r="AA103" s="94"/>
      <c r="AB103" s="94"/>
      <c r="AC103" s="94"/>
      <c r="AD103" s="94"/>
      <c r="AE103" s="94"/>
      <c r="AF103" s="160"/>
      <c r="AG103" s="159"/>
      <c r="AH103" s="94"/>
      <c r="AI103" s="94"/>
      <c r="AJ103" s="94"/>
      <c r="AK103" s="160"/>
      <c r="AL103" s="2629"/>
      <c r="AM103" s="94"/>
      <c r="AN103" s="159"/>
      <c r="AO103" s="94"/>
      <c r="AP103" s="94"/>
      <c r="AQ103" s="94"/>
      <c r="AR103" s="94"/>
      <c r="AS103" s="160"/>
      <c r="AT103" s="2629"/>
      <c r="AU103" s="2629"/>
      <c r="AV103" s="2629"/>
      <c r="AW103" s="185"/>
      <c r="AX103" s="215"/>
    </row>
    <row r="104" spans="1:50" s="98" customFormat="1" ht="15" customHeight="1">
      <c r="A104" s="99"/>
      <c r="B104" s="161"/>
      <c r="C104" s="185"/>
      <c r="D104" s="162" t="s">
        <v>2862</v>
      </c>
      <c r="E104" s="162"/>
      <c r="F104" s="162"/>
      <c r="G104" s="162"/>
      <c r="H104" s="163"/>
      <c r="I104" s="607" t="s">
        <v>2233</v>
      </c>
      <c r="J104" s="143">
        <v>8.7622220571804164</v>
      </c>
      <c r="K104" s="141">
        <v>12.900779735203857</v>
      </c>
      <c r="L104" s="141">
        <v>13.925878765783729</v>
      </c>
      <c r="M104" s="141">
        <v>11.574503106371822</v>
      </c>
      <c r="N104" s="141">
        <v>11.456910401891253</v>
      </c>
      <c r="O104" s="141">
        <v>12.987698861788619</v>
      </c>
      <c r="P104" s="141">
        <v>0.42327040968557045</v>
      </c>
      <c r="Q104" s="144">
        <v>0.38025193335603336</v>
      </c>
      <c r="R104" s="143">
        <v>1.2768925032952476</v>
      </c>
      <c r="S104" s="141">
        <v>1.2768925032952476</v>
      </c>
      <c r="T104" s="141">
        <v>1.2768925032952476</v>
      </c>
      <c r="U104" s="141">
        <v>1.2768925032952476</v>
      </c>
      <c r="V104" s="144">
        <v>1.2768925032952476</v>
      </c>
      <c r="W104" s="2629"/>
      <c r="X104" s="607" t="s">
        <v>2233</v>
      </c>
      <c r="Y104" s="143">
        <v>-0.46439464664310959</v>
      </c>
      <c r="Z104" s="141">
        <v>-1.199571636726547</v>
      </c>
      <c r="AA104" s="141">
        <v>-0.61484693979933114</v>
      </c>
      <c r="AB104" s="141">
        <v>-1.0025576766304347</v>
      </c>
      <c r="AC104" s="141">
        <v>-0.54945389507154219</v>
      </c>
      <c r="AD104" s="141">
        <v>-0.8982186095238095</v>
      </c>
      <c r="AE104" s="141">
        <v>0</v>
      </c>
      <c r="AF104" s="144">
        <v>0</v>
      </c>
      <c r="AG104" s="143">
        <v>0</v>
      </c>
      <c r="AH104" s="141">
        <v>0</v>
      </c>
      <c r="AI104" s="141">
        <v>0</v>
      </c>
      <c r="AJ104" s="141">
        <v>0</v>
      </c>
      <c r="AK104" s="144">
        <v>0</v>
      </c>
      <c r="AL104" s="2629"/>
      <c r="AM104" s="607" t="s">
        <v>2233</v>
      </c>
      <c r="AN104" s="143">
        <v>-0.10968472836719285</v>
      </c>
      <c r="AO104" s="141">
        <v>-0.10984459641694504</v>
      </c>
      <c r="AP104" s="141">
        <v>-0.14378083714172474</v>
      </c>
      <c r="AQ104" s="141">
        <v>0.15732344694336906</v>
      </c>
      <c r="AR104" s="141">
        <v>-0.28892490878371968</v>
      </c>
      <c r="AS104" s="144">
        <v>4.854848540783354E-4</v>
      </c>
      <c r="AT104" s="2629"/>
      <c r="AU104" s="607" t="s">
        <v>2233</v>
      </c>
      <c r="AV104" s="141">
        <v>344.41359698865608</v>
      </c>
      <c r="AW104" s="227" t="s">
        <v>2233</v>
      </c>
      <c r="AX104" s="130">
        <f>SUM(AV104,J104:N104,Y104:AC104,AN104:AR104)</f>
        <v>398.70815463644999</v>
      </c>
    </row>
    <row r="105" spans="1:50" s="98" customFormat="1" ht="15" customHeight="1">
      <c r="A105" s="99"/>
      <c r="B105" s="161"/>
      <c r="C105" s="185"/>
      <c r="D105" s="162" t="s">
        <v>2863</v>
      </c>
      <c r="E105" s="162"/>
      <c r="F105" s="162"/>
      <c r="G105" s="162"/>
      <c r="H105" s="163"/>
      <c r="I105" s="607" t="s">
        <v>2233</v>
      </c>
      <c r="J105" s="143">
        <v>2.2602160696680911</v>
      </c>
      <c r="K105" s="141">
        <v>3.2924977544936431</v>
      </c>
      <c r="L105" s="141">
        <v>3.093892064938764</v>
      </c>
      <c r="M105" s="141">
        <v>2.7448313748798183</v>
      </c>
      <c r="N105" s="141">
        <v>2.8989775982838628</v>
      </c>
      <c r="O105" s="141">
        <v>4.4694917073170739</v>
      </c>
      <c r="P105" s="141">
        <v>0.81457985764241492</v>
      </c>
      <c r="Q105" s="144">
        <v>0.69361701687448107</v>
      </c>
      <c r="R105" s="143">
        <v>2.5713876070585502</v>
      </c>
      <c r="S105" s="141">
        <v>2.5713876070585502</v>
      </c>
      <c r="T105" s="141">
        <v>2.5713876070585502</v>
      </c>
      <c r="U105" s="141">
        <v>2.5713876070585502</v>
      </c>
      <c r="V105" s="144">
        <v>2.5713876070585502</v>
      </c>
      <c r="W105" s="2629"/>
      <c r="X105" s="607" t="s">
        <v>2233</v>
      </c>
      <c r="Y105" s="143">
        <v>-0.15953358657243816</v>
      </c>
      <c r="Z105" s="141">
        <v>-0.21602794411177648</v>
      </c>
      <c r="AA105" s="141">
        <v>-0.19238506688963211</v>
      </c>
      <c r="AB105" s="141">
        <v>-0.19477241847826088</v>
      </c>
      <c r="AC105" s="141">
        <v>-0.35965580286168519</v>
      </c>
      <c r="AD105" s="141">
        <v>-0.3066847619047619</v>
      </c>
      <c r="AE105" s="141">
        <v>0</v>
      </c>
      <c r="AF105" s="144">
        <v>0</v>
      </c>
      <c r="AG105" s="143">
        <v>0</v>
      </c>
      <c r="AH105" s="141">
        <v>0</v>
      </c>
      <c r="AI105" s="141">
        <v>0</v>
      </c>
      <c r="AJ105" s="141">
        <v>0</v>
      </c>
      <c r="AK105" s="144">
        <v>0</v>
      </c>
      <c r="AL105" s="2629"/>
      <c r="AM105" s="607" t="s">
        <v>2233</v>
      </c>
      <c r="AN105" s="143">
        <v>-0.11004864741621088</v>
      </c>
      <c r="AO105" s="141">
        <v>-0.10070586070547866</v>
      </c>
      <c r="AP105" s="141">
        <v>-7.6201786644094688E-2</v>
      </c>
      <c r="AQ105" s="141">
        <v>1.0252853375667229E-2</v>
      </c>
      <c r="AR105" s="141">
        <v>-0.22745994579504816</v>
      </c>
      <c r="AS105" s="144">
        <v>0.12452674983787666</v>
      </c>
      <c r="AT105" s="2629"/>
      <c r="AU105" s="607" t="s">
        <v>2233</v>
      </c>
      <c r="AV105" s="141">
        <v>308.30433428690765</v>
      </c>
      <c r="AW105" s="227" t="s">
        <v>2233</v>
      </c>
      <c r="AX105" s="130">
        <f t="shared" ref="AX105:AX112" si="39">SUM(AV105,J105:N105,Y105:AC105,AN105:AR105)</f>
        <v>320.9682109430729</v>
      </c>
    </row>
    <row r="106" spans="1:50" s="98" customFormat="1" ht="15" customHeight="1">
      <c r="A106" s="99"/>
      <c r="B106" s="161"/>
      <c r="C106" s="185"/>
      <c r="D106" s="162" t="s">
        <v>2864</v>
      </c>
      <c r="E106" s="162"/>
      <c r="F106" s="162"/>
      <c r="G106" s="162"/>
      <c r="H106" s="163"/>
      <c r="I106" s="607" t="s">
        <v>2233</v>
      </c>
      <c r="J106" s="143">
        <v>1.3059584686164969</v>
      </c>
      <c r="K106" s="141">
        <v>1.9836256194651467</v>
      </c>
      <c r="L106" s="141">
        <v>2.1332690021836131</v>
      </c>
      <c r="M106" s="141">
        <v>1.319561576785246</v>
      </c>
      <c r="N106" s="141">
        <v>1.3140834602924436</v>
      </c>
      <c r="O106" s="141">
        <v>2.0312474796747968</v>
      </c>
      <c r="P106" s="141">
        <v>3.0955108914384928</v>
      </c>
      <c r="Q106" s="144">
        <v>2.5559498005466761</v>
      </c>
      <c r="R106" s="143">
        <v>0.89182335256584644</v>
      </c>
      <c r="S106" s="141">
        <v>0.89182335256584644</v>
      </c>
      <c r="T106" s="141">
        <v>0.89182335256584644</v>
      </c>
      <c r="U106" s="141">
        <v>0.89182335256584644</v>
      </c>
      <c r="V106" s="144">
        <v>0.89182335256584644</v>
      </c>
      <c r="W106" s="2629"/>
      <c r="X106" s="607" t="s">
        <v>2233</v>
      </c>
      <c r="Y106" s="143">
        <v>-0.35096289752650178</v>
      </c>
      <c r="Z106" s="141">
        <v>-0.33621516966067866</v>
      </c>
      <c r="AA106" s="141">
        <v>-0.36461705685618734</v>
      </c>
      <c r="AB106" s="141">
        <v>-0.3636059782608696</v>
      </c>
      <c r="AC106" s="141">
        <v>-0.17070270270270271</v>
      </c>
      <c r="AD106" s="141">
        <v>-0.32920247619047621</v>
      </c>
      <c r="AE106" s="141">
        <v>0</v>
      </c>
      <c r="AF106" s="144">
        <v>0</v>
      </c>
      <c r="AG106" s="143">
        <v>0</v>
      </c>
      <c r="AH106" s="141">
        <v>0</v>
      </c>
      <c r="AI106" s="141">
        <v>0</v>
      </c>
      <c r="AJ106" s="141">
        <v>0</v>
      </c>
      <c r="AK106" s="144">
        <v>0</v>
      </c>
      <c r="AL106" s="2629"/>
      <c r="AM106" s="607" t="s">
        <v>2233</v>
      </c>
      <c r="AN106" s="143">
        <v>-0.30912165946389658</v>
      </c>
      <c r="AO106" s="141">
        <v>-0.74988639653637423</v>
      </c>
      <c r="AP106" s="141">
        <v>1.682796615213934</v>
      </c>
      <c r="AQ106" s="141">
        <v>0.1788100573781837</v>
      </c>
      <c r="AR106" s="141">
        <v>-0.12887818064150838</v>
      </c>
      <c r="AS106" s="144">
        <v>-1.2993471110229299E-2</v>
      </c>
      <c r="AT106" s="2629"/>
      <c r="AU106" s="607" t="s">
        <v>2233</v>
      </c>
      <c r="AV106" s="141">
        <v>669.32664900565919</v>
      </c>
      <c r="AW106" s="227" t="s">
        <v>2233</v>
      </c>
      <c r="AX106" s="130">
        <f t="shared" si="39"/>
        <v>676.47076376394534</v>
      </c>
    </row>
    <row r="107" spans="1:50" s="98" customFormat="1" ht="15" customHeight="1">
      <c r="A107" s="99"/>
      <c r="B107" s="161"/>
      <c r="C107" s="185"/>
      <c r="D107" s="162" t="s">
        <v>2865</v>
      </c>
      <c r="E107" s="162"/>
      <c r="F107" s="162"/>
      <c r="G107" s="162"/>
      <c r="H107" s="163"/>
      <c r="I107" s="607" t="s">
        <v>2233</v>
      </c>
      <c r="J107" s="143">
        <v>4.3845547157410451E-2</v>
      </c>
      <c r="K107" s="141">
        <v>5.7383340640070141E-2</v>
      </c>
      <c r="L107" s="141">
        <v>7.4232602297541056E-2</v>
      </c>
      <c r="M107" s="141">
        <v>6.997675028406608E-2</v>
      </c>
      <c r="N107" s="141">
        <v>6.2169687417914364E-2</v>
      </c>
      <c r="O107" s="141">
        <v>0.12513853658536586</v>
      </c>
      <c r="P107" s="141">
        <v>0.39650132513722502</v>
      </c>
      <c r="Q107" s="144">
        <v>0.3750377083264943</v>
      </c>
      <c r="R107" s="143">
        <v>0.12104157531512985</v>
      </c>
      <c r="S107" s="141">
        <v>0.12104157531512985</v>
      </c>
      <c r="T107" s="141">
        <v>0.12104157531512985</v>
      </c>
      <c r="U107" s="141">
        <v>0.12104157531512985</v>
      </c>
      <c r="V107" s="144">
        <v>0.12104157531512985</v>
      </c>
      <c r="W107" s="2629"/>
      <c r="X107" s="607" t="s">
        <v>2233</v>
      </c>
      <c r="Y107" s="143">
        <v>-1.0001766784452297E-2</v>
      </c>
      <c r="Z107" s="141">
        <v>0</v>
      </c>
      <c r="AA107" s="141">
        <v>0</v>
      </c>
      <c r="AB107" s="141">
        <v>0</v>
      </c>
      <c r="AC107" s="141">
        <v>-5.564387917329094E-4</v>
      </c>
      <c r="AD107" s="141">
        <v>0</v>
      </c>
      <c r="AE107" s="141">
        <v>0</v>
      </c>
      <c r="AF107" s="144">
        <v>0</v>
      </c>
      <c r="AG107" s="143">
        <v>0</v>
      </c>
      <c r="AH107" s="141">
        <v>0</v>
      </c>
      <c r="AI107" s="141">
        <v>0</v>
      </c>
      <c r="AJ107" s="141">
        <v>0</v>
      </c>
      <c r="AK107" s="144">
        <v>0</v>
      </c>
      <c r="AL107" s="2629"/>
      <c r="AM107" s="607" t="s">
        <v>2233</v>
      </c>
      <c r="AN107" s="143">
        <v>1.8114151596242068E-2</v>
      </c>
      <c r="AO107" s="141">
        <v>2.1206811624870744E-2</v>
      </c>
      <c r="AP107" s="141">
        <v>7.5858532416427822E-3</v>
      </c>
      <c r="AQ107" s="141">
        <v>-1.0607823898190838E-2</v>
      </c>
      <c r="AR107" s="141">
        <v>-5.5226071939759161E-2</v>
      </c>
      <c r="AS107" s="144">
        <v>1.4137874416582364E-2</v>
      </c>
      <c r="AT107" s="2629"/>
      <c r="AU107" s="607" t="s">
        <v>2233</v>
      </c>
      <c r="AV107" s="141">
        <v>22.948409393674833</v>
      </c>
      <c r="AW107" s="227" t="s">
        <v>2233</v>
      </c>
      <c r="AX107" s="130">
        <f t="shared" si="39"/>
        <v>23.226532036520457</v>
      </c>
    </row>
    <row r="108" spans="1:50" s="98" customFormat="1" ht="15" customHeight="1">
      <c r="A108" s="99"/>
      <c r="B108" s="161"/>
      <c r="C108" s="185"/>
      <c r="D108" s="162" t="s">
        <v>2866</v>
      </c>
      <c r="E108" s="162"/>
      <c r="F108" s="162"/>
      <c r="G108" s="162"/>
      <c r="H108" s="163"/>
      <c r="I108" s="607" t="s">
        <v>2233</v>
      </c>
      <c r="J108" s="143">
        <v>0.43007788366743344</v>
      </c>
      <c r="K108" s="141">
        <v>0.62884964489259099</v>
      </c>
      <c r="L108" s="141">
        <v>0.50595613785246374</v>
      </c>
      <c r="M108" s="141">
        <v>0.26880587361244646</v>
      </c>
      <c r="N108" s="141">
        <v>0.43872651694247433</v>
      </c>
      <c r="O108" s="141">
        <v>0.65063772357723582</v>
      </c>
      <c r="P108" s="141">
        <v>1.0575429842931927E-4</v>
      </c>
      <c r="Q108" s="144">
        <v>1.3515220253444303E-4</v>
      </c>
      <c r="R108" s="143">
        <v>1.0950029401651863E-2</v>
      </c>
      <c r="S108" s="141">
        <v>1.0950029401651863E-2</v>
      </c>
      <c r="T108" s="141">
        <v>1.0950029401651863E-2</v>
      </c>
      <c r="U108" s="141">
        <v>1.0950029401651863E-2</v>
      </c>
      <c r="V108" s="144">
        <v>1.0950029401651863E-2</v>
      </c>
      <c r="W108" s="2629"/>
      <c r="X108" s="607" t="s">
        <v>2233</v>
      </c>
      <c r="Y108" s="143">
        <v>-6.7372261484098944E-2</v>
      </c>
      <c r="Z108" s="141">
        <v>-0.14932734530938124</v>
      </c>
      <c r="AA108" s="141">
        <v>-0.10210702341137123</v>
      </c>
      <c r="AB108" s="141">
        <v>-6.4962635869565216E-2</v>
      </c>
      <c r="AC108" s="141">
        <v>-0.10214626391096979</v>
      </c>
      <c r="AD108" s="141">
        <v>-5.1172609523809531E-2</v>
      </c>
      <c r="AE108" s="141">
        <v>0</v>
      </c>
      <c r="AF108" s="144">
        <v>0</v>
      </c>
      <c r="AG108" s="143">
        <v>0</v>
      </c>
      <c r="AH108" s="141">
        <v>0</v>
      </c>
      <c r="AI108" s="141">
        <v>0</v>
      </c>
      <c r="AJ108" s="141">
        <v>0</v>
      </c>
      <c r="AK108" s="144">
        <v>0</v>
      </c>
      <c r="AL108" s="2629"/>
      <c r="AM108" s="607" t="s">
        <v>2233</v>
      </c>
      <c r="AN108" s="143">
        <v>-6.2676202258918554E-2</v>
      </c>
      <c r="AO108" s="141">
        <v>-0.16671739026344723</v>
      </c>
      <c r="AP108" s="141">
        <v>0.44377829430239474</v>
      </c>
      <c r="AQ108" s="141">
        <v>0.15443464522576089</v>
      </c>
      <c r="AR108" s="141">
        <v>0.25162526044512207</v>
      </c>
      <c r="AS108" s="144">
        <v>-1.0932146062572468</v>
      </c>
      <c r="AT108" s="2629"/>
      <c r="AU108" s="607" t="s">
        <v>2233</v>
      </c>
      <c r="AV108" s="141">
        <v>580.95555192610277</v>
      </c>
      <c r="AW108" s="227" t="s">
        <v>2233</v>
      </c>
      <c r="AX108" s="130">
        <f t="shared" si="39"/>
        <v>583.36249706053559</v>
      </c>
    </row>
    <row r="109" spans="1:50" s="98" customFormat="1" ht="15" customHeight="1">
      <c r="A109" s="99"/>
      <c r="B109" s="161"/>
      <c r="C109" s="185"/>
      <c r="D109" s="162" t="s">
        <v>2867</v>
      </c>
      <c r="E109" s="162"/>
      <c r="F109" s="162"/>
      <c r="G109" s="162"/>
      <c r="H109" s="163"/>
      <c r="I109" s="607" t="s">
        <v>2233</v>
      </c>
      <c r="J109" s="143">
        <v>0.44304989155438718</v>
      </c>
      <c r="K109" s="141">
        <v>0.57035515124945202</v>
      </c>
      <c r="L109" s="141">
        <v>0.41598101205734356</v>
      </c>
      <c r="M109" s="141">
        <v>0.23538921422952538</v>
      </c>
      <c r="N109" s="141">
        <v>0.36420594518868749</v>
      </c>
      <c r="O109" s="141">
        <v>0.49326861788617893</v>
      </c>
      <c r="P109" s="141">
        <v>0</v>
      </c>
      <c r="Q109" s="144">
        <v>0</v>
      </c>
      <c r="R109" s="143">
        <v>0</v>
      </c>
      <c r="S109" s="141">
        <v>0</v>
      </c>
      <c r="T109" s="141">
        <v>0</v>
      </c>
      <c r="U109" s="141">
        <v>0</v>
      </c>
      <c r="V109" s="144">
        <v>0</v>
      </c>
      <c r="W109" s="2629"/>
      <c r="X109" s="607" t="s">
        <v>2233</v>
      </c>
      <c r="Y109" s="143">
        <v>-4.6584805653710253E-2</v>
      </c>
      <c r="Z109" s="141">
        <v>-0.22359680638722554</v>
      </c>
      <c r="AA109" s="141">
        <v>-1.4069397993311037E-2</v>
      </c>
      <c r="AB109" s="141">
        <v>-6.3172554347826093E-2</v>
      </c>
      <c r="AC109" s="141">
        <v>-2.4165341812400636E-2</v>
      </c>
      <c r="AD109" s="141">
        <v>-4.4965714285714289E-2</v>
      </c>
      <c r="AE109" s="141">
        <v>0</v>
      </c>
      <c r="AF109" s="144">
        <v>0</v>
      </c>
      <c r="AG109" s="143">
        <v>0</v>
      </c>
      <c r="AH109" s="141">
        <v>0</v>
      </c>
      <c r="AI109" s="141">
        <v>0</v>
      </c>
      <c r="AJ109" s="141">
        <v>0</v>
      </c>
      <c r="AK109" s="144">
        <v>0</v>
      </c>
      <c r="AL109" s="2629"/>
      <c r="AM109" s="607" t="s">
        <v>2233</v>
      </c>
      <c r="AN109" s="143">
        <v>4.021260705336429E-2</v>
      </c>
      <c r="AO109" s="141">
        <v>4.5418703502214178E-2</v>
      </c>
      <c r="AP109" s="141">
        <v>-0.50453258075779339</v>
      </c>
      <c r="AQ109" s="141">
        <v>-0.11781868336399208</v>
      </c>
      <c r="AR109" s="141">
        <v>-0.78809529001911005</v>
      </c>
      <c r="AS109" s="144">
        <v>-0.17518547795013167</v>
      </c>
      <c r="AT109" s="2629"/>
      <c r="AU109" s="607" t="s">
        <v>2233</v>
      </c>
      <c r="AV109" s="141">
        <v>505.99444275107567</v>
      </c>
      <c r="AW109" s="227" t="s">
        <v>2233</v>
      </c>
      <c r="AX109" s="130">
        <f t="shared" si="39"/>
        <v>506.32701981557534</v>
      </c>
    </row>
    <row r="110" spans="1:50" s="98" customFormat="1" ht="15" customHeight="1">
      <c r="A110" s="99"/>
      <c r="B110" s="161"/>
      <c r="C110" s="185"/>
      <c r="D110" s="162" t="s">
        <v>2868</v>
      </c>
      <c r="E110" s="162"/>
      <c r="F110" s="162"/>
      <c r="G110" s="162"/>
      <c r="H110" s="163"/>
      <c r="I110" s="607" t="s">
        <v>2233</v>
      </c>
      <c r="J110" s="143">
        <v>0.12229576076240553</v>
      </c>
      <c r="K110" s="141">
        <v>0.13662775098640945</v>
      </c>
      <c r="L110" s="141">
        <v>9.5490363619101876E-2</v>
      </c>
      <c r="M110" s="141">
        <v>3.8882265536229352E-2</v>
      </c>
      <c r="N110" s="141">
        <v>9.0370370370370365E-2</v>
      </c>
      <c r="O110" s="141">
        <v>6.0065040650406507E-2</v>
      </c>
      <c r="P110" s="141">
        <v>0</v>
      </c>
      <c r="Q110" s="144">
        <v>0</v>
      </c>
      <c r="R110" s="143">
        <v>0</v>
      </c>
      <c r="S110" s="141">
        <v>0</v>
      </c>
      <c r="T110" s="141">
        <v>0</v>
      </c>
      <c r="U110" s="141">
        <v>0</v>
      </c>
      <c r="V110" s="144">
        <v>0</v>
      </c>
      <c r="W110" s="2629"/>
      <c r="X110" s="607" t="s">
        <v>2233</v>
      </c>
      <c r="Y110" s="143">
        <v>-2.6130742049469968E-3</v>
      </c>
      <c r="Z110" s="141">
        <v>-3.9736526946107784E-2</v>
      </c>
      <c r="AA110" s="141">
        <v>-1.899665551839465E-3</v>
      </c>
      <c r="AB110" s="141">
        <v>-1.0509510869565216E-2</v>
      </c>
      <c r="AC110" s="141">
        <v>-1.1128775834658188E-3</v>
      </c>
      <c r="AD110" s="141">
        <v>-2.6723809523809526E-3</v>
      </c>
      <c r="AE110" s="141">
        <v>0</v>
      </c>
      <c r="AF110" s="144">
        <v>0</v>
      </c>
      <c r="AG110" s="143">
        <v>0</v>
      </c>
      <c r="AH110" s="141">
        <v>0</v>
      </c>
      <c r="AI110" s="141">
        <v>0</v>
      </c>
      <c r="AJ110" s="141">
        <v>0</v>
      </c>
      <c r="AK110" s="144">
        <v>0</v>
      </c>
      <c r="AL110" s="2629"/>
      <c r="AM110" s="607" t="s">
        <v>2233</v>
      </c>
      <c r="AN110" s="143">
        <v>-7.5227633870559802E-3</v>
      </c>
      <c r="AO110" s="141">
        <v>-0.19872633280805949</v>
      </c>
      <c r="AP110" s="141">
        <v>-1.3603663791601889E-3</v>
      </c>
      <c r="AQ110" s="141">
        <v>3.5419677614072699E-2</v>
      </c>
      <c r="AR110" s="141">
        <v>0.28461121481027662</v>
      </c>
      <c r="AS110" s="144">
        <v>0.35545683900788472</v>
      </c>
      <c r="AT110" s="2629"/>
      <c r="AU110" s="607" t="s">
        <v>2233</v>
      </c>
      <c r="AV110" s="141">
        <v>54.823934854059324</v>
      </c>
      <c r="AW110" s="227" t="s">
        <v>2233</v>
      </c>
      <c r="AX110" s="130">
        <f t="shared" si="39"/>
        <v>55.364151140027985</v>
      </c>
    </row>
    <row r="111" spans="1:50" s="98" customFormat="1" ht="15" customHeight="1">
      <c r="A111" s="99"/>
      <c r="B111" s="161"/>
      <c r="C111" s="185"/>
      <c r="D111" s="162" t="s">
        <v>2869</v>
      </c>
      <c r="E111" s="162"/>
      <c r="F111" s="162"/>
      <c r="G111" s="162"/>
      <c r="H111" s="163"/>
      <c r="I111" s="607" t="s">
        <v>2233</v>
      </c>
      <c r="J111" s="143">
        <v>4.1413736444298396E-2</v>
      </c>
      <c r="K111" s="141">
        <v>3.4153003068829457E-2</v>
      </c>
      <c r="L111" s="141">
        <v>8.3710243995063147E-2</v>
      </c>
      <c r="M111" s="141">
        <v>1.9766803601083821E-2</v>
      </c>
      <c r="N111" s="141">
        <v>2.5743805270992029E-2</v>
      </c>
      <c r="O111" s="141">
        <v>8.9495934959349599E-2</v>
      </c>
      <c r="P111" s="141">
        <v>0</v>
      </c>
      <c r="Q111" s="144">
        <v>0</v>
      </c>
      <c r="R111" s="143">
        <v>0</v>
      </c>
      <c r="S111" s="141">
        <v>0</v>
      </c>
      <c r="T111" s="141">
        <v>0</v>
      </c>
      <c r="U111" s="141">
        <v>0</v>
      </c>
      <c r="V111" s="144">
        <v>0</v>
      </c>
      <c r="W111" s="2629"/>
      <c r="X111" s="607" t="s">
        <v>2233</v>
      </c>
      <c r="Y111" s="143">
        <v>-2.8833922261484101E-3</v>
      </c>
      <c r="Z111" s="141">
        <v>0</v>
      </c>
      <c r="AA111" s="141">
        <v>0</v>
      </c>
      <c r="AB111" s="141">
        <v>-1.7323369565217391E-3</v>
      </c>
      <c r="AC111" s="141">
        <v>-1.0492845786963434E-2</v>
      </c>
      <c r="AD111" s="141">
        <v>-1.0224761904761905E-2</v>
      </c>
      <c r="AE111" s="141">
        <v>0</v>
      </c>
      <c r="AF111" s="144">
        <v>0</v>
      </c>
      <c r="AG111" s="143">
        <v>0</v>
      </c>
      <c r="AH111" s="141">
        <v>0</v>
      </c>
      <c r="AI111" s="141">
        <v>0</v>
      </c>
      <c r="AJ111" s="141">
        <v>0</v>
      </c>
      <c r="AK111" s="144">
        <v>0</v>
      </c>
      <c r="AL111" s="2629"/>
      <c r="AM111" s="607" t="s">
        <v>2233</v>
      </c>
      <c r="AN111" s="143">
        <v>-6.598464737726027E-3</v>
      </c>
      <c r="AO111" s="141">
        <v>-0.40104002350401285</v>
      </c>
      <c r="AP111" s="141">
        <v>-0.1143733887872537</v>
      </c>
      <c r="AQ111" s="141">
        <v>6.2318833634076358E-2</v>
      </c>
      <c r="AR111" s="141">
        <v>-1.4670586600211286E-2</v>
      </c>
      <c r="AS111" s="144">
        <v>-3.3989425026776654E-2</v>
      </c>
      <c r="AT111" s="2629"/>
      <c r="AU111" s="607" t="s">
        <v>2233</v>
      </c>
      <c r="AV111" s="141">
        <v>36.205375889656352</v>
      </c>
      <c r="AW111" s="227" t="s">
        <v>2233</v>
      </c>
      <c r="AX111" s="130">
        <f t="shared" si="39"/>
        <v>35.92069127707186</v>
      </c>
    </row>
    <row r="112" spans="1:50" s="98" customFormat="1" ht="15" customHeight="1">
      <c r="A112" s="99"/>
      <c r="B112" s="161"/>
      <c r="C112" s="185"/>
      <c r="D112" s="162" t="s">
        <v>2870</v>
      </c>
      <c r="E112" s="162"/>
      <c r="F112" s="162"/>
      <c r="G112" s="162"/>
      <c r="H112" s="163"/>
      <c r="I112" s="607" t="s">
        <v>2233</v>
      </c>
      <c r="J112" s="143">
        <v>0</v>
      </c>
      <c r="K112" s="141">
        <v>0</v>
      </c>
      <c r="L112" s="141">
        <v>0</v>
      </c>
      <c r="M112" s="141">
        <v>0</v>
      </c>
      <c r="N112" s="141">
        <v>0</v>
      </c>
      <c r="O112" s="141">
        <v>0</v>
      </c>
      <c r="P112" s="141">
        <v>0</v>
      </c>
      <c r="Q112" s="144">
        <v>0</v>
      </c>
      <c r="R112" s="143">
        <v>0</v>
      </c>
      <c r="S112" s="141">
        <v>0</v>
      </c>
      <c r="T112" s="141">
        <v>0</v>
      </c>
      <c r="U112" s="141">
        <v>0</v>
      </c>
      <c r="V112" s="144">
        <v>0</v>
      </c>
      <c r="W112" s="2629"/>
      <c r="X112" s="607" t="s">
        <v>2233</v>
      </c>
      <c r="Y112" s="143">
        <v>0</v>
      </c>
      <c r="Z112" s="141">
        <v>0</v>
      </c>
      <c r="AA112" s="141">
        <v>0</v>
      </c>
      <c r="AB112" s="141">
        <v>0</v>
      </c>
      <c r="AC112" s="141">
        <v>0</v>
      </c>
      <c r="AD112" s="141">
        <v>0</v>
      </c>
      <c r="AE112" s="141">
        <v>0</v>
      </c>
      <c r="AF112" s="144">
        <v>0</v>
      </c>
      <c r="AG112" s="143">
        <v>0</v>
      </c>
      <c r="AH112" s="141">
        <v>0</v>
      </c>
      <c r="AI112" s="141">
        <v>0</v>
      </c>
      <c r="AJ112" s="141">
        <v>0</v>
      </c>
      <c r="AK112" s="144">
        <v>0</v>
      </c>
      <c r="AL112" s="2629"/>
      <c r="AM112" s="607" t="s">
        <v>2233</v>
      </c>
      <c r="AN112" s="143">
        <v>0</v>
      </c>
      <c r="AO112" s="141">
        <v>0</v>
      </c>
      <c r="AP112" s="141">
        <v>0</v>
      </c>
      <c r="AQ112" s="141">
        <v>0</v>
      </c>
      <c r="AR112" s="141">
        <v>0</v>
      </c>
      <c r="AS112" s="144">
        <v>0</v>
      </c>
      <c r="AT112" s="2629"/>
      <c r="AU112" s="607" t="s">
        <v>2233</v>
      </c>
      <c r="AV112" s="141">
        <v>0</v>
      </c>
      <c r="AW112" s="227" t="s">
        <v>2233</v>
      </c>
      <c r="AX112" s="130">
        <f t="shared" si="39"/>
        <v>0</v>
      </c>
    </row>
    <row r="113" spans="1:50" s="98" customFormat="1" ht="15" customHeight="1">
      <c r="A113" s="99"/>
      <c r="B113" s="181"/>
      <c r="C113" s="182" t="s">
        <v>1710</v>
      </c>
      <c r="D113" s="182"/>
      <c r="E113" s="182"/>
      <c r="F113" s="182"/>
      <c r="G113" s="184"/>
      <c r="H113" s="184"/>
      <c r="I113" s="607" t="s">
        <v>2233</v>
      </c>
      <c r="J113" s="128">
        <f>SUM(J104:J112)</f>
        <v>13.40907941505094</v>
      </c>
      <c r="K113" s="129">
        <f t="shared" ref="K113:V113" si="40">SUM(K104:K112)</f>
        <v>19.604271999999998</v>
      </c>
      <c r="L113" s="129">
        <f t="shared" si="40"/>
        <v>20.328410192727624</v>
      </c>
      <c r="M113" s="129">
        <f t="shared" si="40"/>
        <v>16.271716965300239</v>
      </c>
      <c r="N113" s="129">
        <f t="shared" si="40"/>
        <v>16.651187785657996</v>
      </c>
      <c r="O113" s="129">
        <f t="shared" si="40"/>
        <v>20.907043902439025</v>
      </c>
      <c r="P113" s="129">
        <f t="shared" si="40"/>
        <v>4.7299682382021331</v>
      </c>
      <c r="Q113" s="130">
        <f t="shared" si="40"/>
        <v>4.0049916113062194</v>
      </c>
      <c r="R113" s="128">
        <f t="shared" si="40"/>
        <v>4.8720950676364261</v>
      </c>
      <c r="S113" s="129">
        <f t="shared" si="40"/>
        <v>4.8720950676364261</v>
      </c>
      <c r="T113" s="129">
        <f t="shared" si="40"/>
        <v>4.8720950676364261</v>
      </c>
      <c r="U113" s="129">
        <f t="shared" si="40"/>
        <v>4.8720950676364261</v>
      </c>
      <c r="V113" s="130">
        <f t="shared" si="40"/>
        <v>4.8720950676364261</v>
      </c>
      <c r="W113" s="2629"/>
      <c r="X113" s="607" t="s">
        <v>2233</v>
      </c>
      <c r="Y113" s="128">
        <f>SUM(Y104:Y112)</f>
        <v>-1.1043464310954065</v>
      </c>
      <c r="Z113" s="129">
        <f t="shared" ref="Z113:AK113" si="41">SUM(Z104:Z112)</f>
        <v>-2.1644754291417163</v>
      </c>
      <c r="AA113" s="129">
        <f t="shared" si="41"/>
        <v>-1.2899251505016724</v>
      </c>
      <c r="AB113" s="129">
        <f t="shared" si="41"/>
        <v>-1.7013131114130433</v>
      </c>
      <c r="AC113" s="129">
        <f t="shared" si="41"/>
        <v>-1.218286168521463</v>
      </c>
      <c r="AD113" s="129">
        <f t="shared" si="41"/>
        <v>-1.6431413142857143</v>
      </c>
      <c r="AE113" s="129">
        <f t="shared" si="41"/>
        <v>0</v>
      </c>
      <c r="AF113" s="130">
        <f t="shared" si="41"/>
        <v>0</v>
      </c>
      <c r="AG113" s="128">
        <f t="shared" si="41"/>
        <v>0</v>
      </c>
      <c r="AH113" s="129">
        <f t="shared" si="41"/>
        <v>0</v>
      </c>
      <c r="AI113" s="129">
        <f t="shared" si="41"/>
        <v>0</v>
      </c>
      <c r="AJ113" s="129">
        <f t="shared" si="41"/>
        <v>0</v>
      </c>
      <c r="AK113" s="130">
        <f t="shared" si="41"/>
        <v>0</v>
      </c>
      <c r="AL113" s="2629"/>
      <c r="AM113" s="607" t="s">
        <v>2233</v>
      </c>
      <c r="AN113" s="128">
        <f>SUM(AN104:AN112)</f>
        <v>-0.54732570698139449</v>
      </c>
      <c r="AO113" s="129">
        <f t="shared" ref="AO113:AS113" si="42">SUM(AO104:AO112)</f>
        <v>-1.6602950851072324</v>
      </c>
      <c r="AP113" s="129">
        <f t="shared" si="42"/>
        <v>1.2939118030479448</v>
      </c>
      <c r="AQ113" s="129">
        <f t="shared" si="42"/>
        <v>0.47013300690894705</v>
      </c>
      <c r="AR113" s="129">
        <f t="shared" si="42"/>
        <v>-0.96701850852395799</v>
      </c>
      <c r="AS113" s="130">
        <f t="shared" si="42"/>
        <v>-0.82077603222796225</v>
      </c>
      <c r="AT113" s="2629"/>
      <c r="AU113" s="607" t="s">
        <v>2233</v>
      </c>
      <c r="AV113" s="876">
        <f>SUM(AV104:AV112)</f>
        <v>2522.9722950957917</v>
      </c>
      <c r="AW113" s="227" t="s">
        <v>2233</v>
      </c>
      <c r="AX113" s="712">
        <f>SUM(AX104:AX112)</f>
        <v>2600.3480206731992</v>
      </c>
    </row>
    <row r="114" spans="1:50" s="98" customFormat="1" ht="15" customHeight="1">
      <c r="A114" s="99"/>
      <c r="B114" s="181"/>
      <c r="C114" s="185"/>
      <c r="D114" s="182"/>
      <c r="E114" s="182"/>
      <c r="F114" s="182"/>
      <c r="G114" s="184"/>
      <c r="H114" s="184"/>
      <c r="I114" s="94"/>
      <c r="J114" s="713"/>
      <c r="K114" s="2690"/>
      <c r="L114" s="2690"/>
      <c r="M114" s="2690"/>
      <c r="N114" s="2690"/>
      <c r="O114" s="2690"/>
      <c r="P114" s="2690"/>
      <c r="Q114" s="715"/>
      <c r="R114" s="2690"/>
      <c r="S114" s="2690"/>
      <c r="T114" s="2690"/>
      <c r="U114" s="2690"/>
      <c r="V114" s="715"/>
      <c r="W114" s="2629"/>
      <c r="X114" s="94"/>
      <c r="Y114" s="713"/>
      <c r="Z114" s="2690"/>
      <c r="AA114" s="2690"/>
      <c r="AB114" s="2690"/>
      <c r="AC114" s="2690"/>
      <c r="AD114" s="2690"/>
      <c r="AE114" s="2690"/>
      <c r="AF114" s="715"/>
      <c r="AG114" s="2690"/>
      <c r="AH114" s="2690"/>
      <c r="AI114" s="2690"/>
      <c r="AJ114" s="2690"/>
      <c r="AK114" s="715"/>
      <c r="AL114" s="2629"/>
      <c r="AM114" s="94"/>
      <c r="AN114" s="713"/>
      <c r="AO114" s="2690"/>
      <c r="AP114" s="2690"/>
      <c r="AQ114" s="2690"/>
      <c r="AR114" s="2690"/>
      <c r="AS114" s="752"/>
      <c r="AT114" s="2629"/>
      <c r="AU114" s="2629"/>
      <c r="AV114" s="2629"/>
      <c r="AW114" s="185"/>
      <c r="AX114" s="839"/>
    </row>
    <row r="115" spans="1:50" s="98" customFormat="1" ht="15" customHeight="1">
      <c r="A115" s="99"/>
      <c r="B115" s="161"/>
      <c r="C115" s="180" t="s">
        <v>2873</v>
      </c>
      <c r="D115" s="162"/>
      <c r="E115" s="162"/>
      <c r="F115" s="162"/>
      <c r="G115" s="163"/>
      <c r="H115" s="163"/>
      <c r="I115" s="94"/>
      <c r="J115" s="713"/>
      <c r="K115" s="2649"/>
      <c r="L115" s="2649"/>
      <c r="M115" s="2649"/>
      <c r="N115" s="2649"/>
      <c r="O115" s="2649"/>
      <c r="P115" s="2649"/>
      <c r="Q115" s="715"/>
      <c r="R115" s="713"/>
      <c r="S115" s="2649"/>
      <c r="T115" s="2649"/>
      <c r="U115" s="2649"/>
      <c r="V115" s="715"/>
      <c r="W115" s="2629"/>
      <c r="X115" s="94"/>
      <c r="Y115" s="713"/>
      <c r="Z115" s="2649"/>
      <c r="AA115" s="2649"/>
      <c r="AB115" s="2649"/>
      <c r="AC115" s="2649"/>
      <c r="AD115" s="2649"/>
      <c r="AE115" s="2649"/>
      <c r="AF115" s="715"/>
      <c r="AG115" s="713"/>
      <c r="AH115" s="2649"/>
      <c r="AI115" s="2649"/>
      <c r="AJ115" s="2649"/>
      <c r="AK115" s="715"/>
      <c r="AL115" s="2629"/>
      <c r="AM115" s="94"/>
      <c r="AN115" s="713"/>
      <c r="AO115" s="2649"/>
      <c r="AP115" s="2649"/>
      <c r="AQ115" s="2649"/>
      <c r="AR115" s="2649"/>
      <c r="AS115" s="715"/>
      <c r="AT115" s="2629"/>
      <c r="AU115" s="2629"/>
      <c r="AV115" s="2629"/>
      <c r="AW115" s="185"/>
      <c r="AX115" s="839"/>
    </row>
    <row r="116" spans="1:50" s="98" customFormat="1" ht="15" customHeight="1">
      <c r="A116" s="99"/>
      <c r="B116" s="161"/>
      <c r="C116" s="185"/>
      <c r="D116" s="162" t="s">
        <v>2862</v>
      </c>
      <c r="E116" s="162"/>
      <c r="F116" s="162"/>
      <c r="G116" s="162"/>
      <c r="H116" s="163"/>
      <c r="I116" s="607" t="s">
        <v>2233</v>
      </c>
      <c r="J116" s="143">
        <v>4.4999999999999997E-3</v>
      </c>
      <c r="K116" s="141">
        <v>7.7463636363636372E-3</v>
      </c>
      <c r="L116" s="141">
        <v>9.4478947368421048E-3</v>
      </c>
      <c r="M116" s="141">
        <v>0</v>
      </c>
      <c r="N116" s="141">
        <v>5.1269999999999996E-3</v>
      </c>
      <c r="O116" s="141">
        <v>5.9296774193548386E-3</v>
      </c>
      <c r="P116" s="141">
        <v>0</v>
      </c>
      <c r="Q116" s="144">
        <v>0</v>
      </c>
      <c r="R116" s="143">
        <v>0</v>
      </c>
      <c r="S116" s="141">
        <v>0</v>
      </c>
      <c r="T116" s="141">
        <v>0</v>
      </c>
      <c r="U116" s="141">
        <v>0</v>
      </c>
      <c r="V116" s="144">
        <v>0</v>
      </c>
      <c r="W116" s="2629"/>
      <c r="X116" s="607" t="s">
        <v>2233</v>
      </c>
      <c r="Y116" s="143">
        <v>-0.86088424747174297</v>
      </c>
      <c r="Z116" s="141">
        <v>-0.8831406086095992</v>
      </c>
      <c r="AA116" s="141">
        <v>-0.89277017167381978</v>
      </c>
      <c r="AB116" s="141">
        <v>-0.52953760592138843</v>
      </c>
      <c r="AC116" s="141">
        <v>-0.7978170391061451</v>
      </c>
      <c r="AD116" s="141">
        <v>-0.79959359129383323</v>
      </c>
      <c r="AE116" s="141">
        <v>0</v>
      </c>
      <c r="AF116" s="144">
        <v>0</v>
      </c>
      <c r="AG116" s="143">
        <v>0</v>
      </c>
      <c r="AH116" s="141">
        <v>0</v>
      </c>
      <c r="AI116" s="141">
        <v>0</v>
      </c>
      <c r="AJ116" s="141">
        <v>0</v>
      </c>
      <c r="AK116" s="144">
        <v>0</v>
      </c>
      <c r="AL116" s="2629"/>
      <c r="AM116" s="607" t="s">
        <v>2233</v>
      </c>
      <c r="AN116" s="143">
        <v>-9.0849941996162407E-4</v>
      </c>
      <c r="AO116" s="141">
        <v>4.62997029548523E-2</v>
      </c>
      <c r="AP116" s="141">
        <v>4.0069734879648579E-2</v>
      </c>
      <c r="AQ116" s="141">
        <v>5.2914065911604156E-2</v>
      </c>
      <c r="AR116" s="141">
        <v>6.8750877264505794E-2</v>
      </c>
      <c r="AS116" s="144">
        <v>4.4044307068968239E-2</v>
      </c>
      <c r="AT116" s="2629"/>
      <c r="AU116" s="607" t="s">
        <v>2233</v>
      </c>
      <c r="AV116" s="141">
        <v>6.0368991466078405</v>
      </c>
      <c r="AW116" s="227" t="s">
        <v>2233</v>
      </c>
      <c r="AX116" s="130">
        <f>SUM(AV116,J116:N116,Y116:AC116,AN116:AR116)</f>
        <v>2.3066966137889997</v>
      </c>
    </row>
    <row r="117" spans="1:50" s="98" customFormat="1" ht="15" customHeight="1">
      <c r="A117" s="99"/>
      <c r="B117" s="161"/>
      <c r="C117" s="185"/>
      <c r="D117" s="162" t="s">
        <v>2863</v>
      </c>
      <c r="E117" s="162"/>
      <c r="F117" s="162"/>
      <c r="G117" s="162"/>
      <c r="H117" s="163"/>
      <c r="I117" s="607" t="s">
        <v>2233</v>
      </c>
      <c r="J117" s="143">
        <v>8.9999999999999993E-3</v>
      </c>
      <c r="K117" s="141">
        <v>4.6363636363636372E-3</v>
      </c>
      <c r="L117" s="141">
        <v>1.9157894736842103E-2</v>
      </c>
      <c r="M117" s="141">
        <v>0</v>
      </c>
      <c r="N117" s="141">
        <v>4.3333333333333331E-4</v>
      </c>
      <c r="O117" s="141">
        <v>0</v>
      </c>
      <c r="P117" s="141">
        <v>0</v>
      </c>
      <c r="Q117" s="144">
        <v>0</v>
      </c>
      <c r="R117" s="143">
        <v>0</v>
      </c>
      <c r="S117" s="141">
        <v>0</v>
      </c>
      <c r="T117" s="141">
        <v>0</v>
      </c>
      <c r="U117" s="141">
        <v>0</v>
      </c>
      <c r="V117" s="144">
        <v>0</v>
      </c>
      <c r="W117" s="2629"/>
      <c r="X117" s="607" t="s">
        <v>2233</v>
      </c>
      <c r="Y117" s="143">
        <v>-0.16083759666864961</v>
      </c>
      <c r="Z117" s="141">
        <v>-0.14551439881246908</v>
      </c>
      <c r="AA117" s="141">
        <v>-3.8798283261802576E-2</v>
      </c>
      <c r="AB117" s="141">
        <v>-0.10617100561510974</v>
      </c>
      <c r="AC117" s="141">
        <v>-8.8109446927374296E-2</v>
      </c>
      <c r="AD117" s="141">
        <v>-0.10092261185006046</v>
      </c>
      <c r="AE117" s="141">
        <v>0</v>
      </c>
      <c r="AF117" s="144">
        <v>0</v>
      </c>
      <c r="AG117" s="143">
        <v>0</v>
      </c>
      <c r="AH117" s="141">
        <v>0</v>
      </c>
      <c r="AI117" s="141">
        <v>0</v>
      </c>
      <c r="AJ117" s="141">
        <v>0</v>
      </c>
      <c r="AK117" s="144">
        <v>0</v>
      </c>
      <c r="AL117" s="2629"/>
      <c r="AM117" s="607" t="s">
        <v>2233</v>
      </c>
      <c r="AN117" s="143">
        <v>-3.4595320488519585E-3</v>
      </c>
      <c r="AO117" s="141">
        <v>-2.2525397562525255E-2</v>
      </c>
      <c r="AP117" s="141">
        <v>6.3907129068008481E-2</v>
      </c>
      <c r="AQ117" s="141">
        <v>-2.9791922286490181E-2</v>
      </c>
      <c r="AR117" s="141">
        <v>-2.7250409853209808E-2</v>
      </c>
      <c r="AS117" s="144">
        <v>0.11396859283375269</v>
      </c>
      <c r="AT117" s="2629"/>
      <c r="AU117" s="607" t="s">
        <v>2233</v>
      </c>
      <c r="AV117" s="141">
        <v>13.260137666998363</v>
      </c>
      <c r="AW117" s="227" t="s">
        <v>2233</v>
      </c>
      <c r="AX117" s="130">
        <f t="shared" ref="AX117:AX124" si="43">SUM(AV117,J117:N117,Y117:AC117,AN117:AR117)</f>
        <v>12.734814394736427</v>
      </c>
    </row>
    <row r="118" spans="1:50" s="98" customFormat="1" ht="15" customHeight="1">
      <c r="A118" s="99"/>
      <c r="B118" s="161"/>
      <c r="C118" s="185"/>
      <c r="D118" s="162" t="s">
        <v>2864</v>
      </c>
      <c r="E118" s="162"/>
      <c r="F118" s="162"/>
      <c r="G118" s="162"/>
      <c r="H118" s="163"/>
      <c r="I118" s="607" t="s">
        <v>2233</v>
      </c>
      <c r="J118" s="143">
        <v>2.2000000000000002E-2</v>
      </c>
      <c r="K118" s="141">
        <v>5.9090909090909094E-4</v>
      </c>
      <c r="L118" s="141">
        <v>4.7368421052631582E-4</v>
      </c>
      <c r="M118" s="141">
        <v>0</v>
      </c>
      <c r="N118" s="141">
        <v>0</v>
      </c>
      <c r="O118" s="141">
        <v>2.5806451612903227E-4</v>
      </c>
      <c r="P118" s="141">
        <v>0</v>
      </c>
      <c r="Q118" s="144">
        <v>0</v>
      </c>
      <c r="R118" s="143">
        <v>0</v>
      </c>
      <c r="S118" s="141">
        <v>0</v>
      </c>
      <c r="T118" s="141">
        <v>0</v>
      </c>
      <c r="U118" s="141">
        <v>0</v>
      </c>
      <c r="V118" s="144">
        <v>0</v>
      </c>
      <c r="W118" s="2629"/>
      <c r="X118" s="607" t="s">
        <v>2233</v>
      </c>
      <c r="Y118" s="143">
        <v>-7.5392623438429507E-2</v>
      </c>
      <c r="Z118" s="141">
        <v>-7.0456511627906976E-2</v>
      </c>
      <c r="AA118" s="141">
        <v>-3.1792060085836911E-2</v>
      </c>
      <c r="AB118" s="141">
        <v>-2.8966615620214395E-2</v>
      </c>
      <c r="AC118" s="141">
        <v>-8.8912849162011157E-2</v>
      </c>
      <c r="AD118" s="141">
        <v>-5.2809794437726723E-2</v>
      </c>
      <c r="AE118" s="141">
        <v>0</v>
      </c>
      <c r="AF118" s="144">
        <v>0</v>
      </c>
      <c r="AG118" s="143">
        <v>0</v>
      </c>
      <c r="AH118" s="141">
        <v>0</v>
      </c>
      <c r="AI118" s="141">
        <v>0</v>
      </c>
      <c r="AJ118" s="141">
        <v>0</v>
      </c>
      <c r="AK118" s="144">
        <v>0</v>
      </c>
      <c r="AL118" s="2629"/>
      <c r="AM118" s="607" t="s">
        <v>2233</v>
      </c>
      <c r="AN118" s="143">
        <v>-1.2593654519820103E-4</v>
      </c>
      <c r="AO118" s="141">
        <v>-0.19824415750141769</v>
      </c>
      <c r="AP118" s="141">
        <v>0.13800928037193552</v>
      </c>
      <c r="AQ118" s="141">
        <v>0.32190239610927068</v>
      </c>
      <c r="AR118" s="141">
        <v>5.6680031921793585E-2</v>
      </c>
      <c r="AS118" s="144">
        <v>4.7085956933087467E-2</v>
      </c>
      <c r="AT118" s="2629"/>
      <c r="AU118" s="607" t="s">
        <v>2233</v>
      </c>
      <c r="AV118" s="141">
        <v>76.544565781242795</v>
      </c>
      <c r="AW118" s="227" t="s">
        <v>2233</v>
      </c>
      <c r="AX118" s="130">
        <f t="shared" si="43"/>
        <v>76.590331328966201</v>
      </c>
    </row>
    <row r="119" spans="1:50" s="98" customFormat="1" ht="15" customHeight="1">
      <c r="A119" s="99"/>
      <c r="B119" s="161"/>
      <c r="C119" s="185"/>
      <c r="D119" s="162" t="s">
        <v>2865</v>
      </c>
      <c r="E119" s="162"/>
      <c r="F119" s="162"/>
      <c r="G119" s="162"/>
      <c r="H119" s="163"/>
      <c r="I119" s="607" t="s">
        <v>2233</v>
      </c>
      <c r="J119" s="143">
        <v>0</v>
      </c>
      <c r="K119" s="141">
        <v>0</v>
      </c>
      <c r="L119" s="141">
        <v>0</v>
      </c>
      <c r="M119" s="141">
        <v>0</v>
      </c>
      <c r="N119" s="141">
        <v>6.666666666666667E-5</v>
      </c>
      <c r="O119" s="141">
        <v>0</v>
      </c>
      <c r="P119" s="141">
        <v>0</v>
      </c>
      <c r="Q119" s="144">
        <v>0</v>
      </c>
      <c r="R119" s="143">
        <v>0</v>
      </c>
      <c r="S119" s="141">
        <v>0</v>
      </c>
      <c r="T119" s="141">
        <v>0</v>
      </c>
      <c r="U119" s="141">
        <v>0</v>
      </c>
      <c r="V119" s="144">
        <v>0</v>
      </c>
      <c r="W119" s="2629"/>
      <c r="X119" s="607" t="s">
        <v>2233</v>
      </c>
      <c r="Y119" s="143">
        <v>-2.1844140392623439E-2</v>
      </c>
      <c r="Z119" s="141">
        <v>-3.1766947055912917E-2</v>
      </c>
      <c r="AA119" s="141">
        <v>-9.3347639484978543E-3</v>
      </c>
      <c r="AB119" s="141">
        <v>-2.9116896375701888E-3</v>
      </c>
      <c r="AC119" s="141">
        <v>-3.2939664804469269E-2</v>
      </c>
      <c r="AD119" s="141">
        <v>-2.8313180169286578E-2</v>
      </c>
      <c r="AE119" s="141">
        <v>0</v>
      </c>
      <c r="AF119" s="144">
        <v>0</v>
      </c>
      <c r="AG119" s="143">
        <v>0</v>
      </c>
      <c r="AH119" s="141">
        <v>0</v>
      </c>
      <c r="AI119" s="141">
        <v>0</v>
      </c>
      <c r="AJ119" s="141">
        <v>0</v>
      </c>
      <c r="AK119" s="144">
        <v>0</v>
      </c>
      <c r="AL119" s="2629"/>
      <c r="AM119" s="607" t="s">
        <v>2233</v>
      </c>
      <c r="AN119" s="143">
        <v>-3.1467058386896472E-2</v>
      </c>
      <c r="AO119" s="141">
        <v>-6.8613537067926458E-3</v>
      </c>
      <c r="AP119" s="141">
        <v>0.19651305877492578</v>
      </c>
      <c r="AQ119" s="141">
        <v>-0.13958070777148973</v>
      </c>
      <c r="AR119" s="141">
        <v>-0.19547950661324306</v>
      </c>
      <c r="AS119" s="144">
        <v>5.4706632239449368E-2</v>
      </c>
      <c r="AT119" s="2629"/>
      <c r="AU119" s="607" t="s">
        <v>2233</v>
      </c>
      <c r="AV119" s="141">
        <v>91.074596464293137</v>
      </c>
      <c r="AW119" s="227" t="s">
        <v>2233</v>
      </c>
      <c r="AX119" s="130">
        <f t="shared" si="43"/>
        <v>90.798990357417239</v>
      </c>
    </row>
    <row r="120" spans="1:50" s="98" customFormat="1" ht="15" customHeight="1">
      <c r="B120" s="161"/>
      <c r="C120" s="185"/>
      <c r="D120" s="162" t="s">
        <v>2866</v>
      </c>
      <c r="E120" s="162"/>
      <c r="F120" s="162"/>
      <c r="G120" s="162"/>
      <c r="H120" s="163"/>
      <c r="I120" s="607" t="s">
        <v>2233</v>
      </c>
      <c r="J120" s="143">
        <v>0</v>
      </c>
      <c r="K120" s="141">
        <v>0</v>
      </c>
      <c r="L120" s="141">
        <v>0</v>
      </c>
      <c r="M120" s="141">
        <v>0</v>
      </c>
      <c r="N120" s="141">
        <v>0</v>
      </c>
      <c r="O120" s="141">
        <v>0</v>
      </c>
      <c r="P120" s="141">
        <v>0</v>
      </c>
      <c r="Q120" s="144">
        <v>0</v>
      </c>
      <c r="R120" s="143">
        <v>0</v>
      </c>
      <c r="S120" s="141">
        <v>0</v>
      </c>
      <c r="T120" s="141">
        <v>0</v>
      </c>
      <c r="U120" s="141">
        <v>0</v>
      </c>
      <c r="V120" s="144">
        <v>0</v>
      </c>
      <c r="W120" s="2629"/>
      <c r="X120" s="607" t="s">
        <v>2233</v>
      </c>
      <c r="Y120" s="143">
        <v>0</v>
      </c>
      <c r="Z120" s="141">
        <v>0</v>
      </c>
      <c r="AA120" s="141">
        <v>-2.145922746781116E-4</v>
      </c>
      <c r="AB120" s="141">
        <v>0</v>
      </c>
      <c r="AC120" s="141">
        <v>-1.2122905027932961E-4</v>
      </c>
      <c r="AD120" s="141">
        <v>0</v>
      </c>
      <c r="AE120" s="141">
        <v>0</v>
      </c>
      <c r="AF120" s="144">
        <v>0</v>
      </c>
      <c r="AG120" s="143">
        <v>0</v>
      </c>
      <c r="AH120" s="141">
        <v>0</v>
      </c>
      <c r="AI120" s="141">
        <v>0</v>
      </c>
      <c r="AJ120" s="141">
        <v>0</v>
      </c>
      <c r="AK120" s="144">
        <v>0</v>
      </c>
      <c r="AL120" s="2629"/>
      <c r="AM120" s="607" t="s">
        <v>2233</v>
      </c>
      <c r="AN120" s="143">
        <v>0</v>
      </c>
      <c r="AO120" s="141">
        <v>0</v>
      </c>
      <c r="AP120" s="141">
        <v>0</v>
      </c>
      <c r="AQ120" s="141">
        <v>0</v>
      </c>
      <c r="AR120" s="141">
        <v>0</v>
      </c>
      <c r="AS120" s="144">
        <v>0</v>
      </c>
      <c r="AT120" s="2629"/>
      <c r="AU120" s="607" t="s">
        <v>2233</v>
      </c>
      <c r="AV120" s="141">
        <v>0</v>
      </c>
      <c r="AW120" s="227" t="s">
        <v>2233</v>
      </c>
      <c r="AX120" s="130">
        <f t="shared" si="43"/>
        <v>-3.358213249574412E-4</v>
      </c>
    </row>
    <row r="121" spans="1:50" s="98" customFormat="1" ht="15" customHeight="1">
      <c r="B121" s="161"/>
      <c r="C121" s="185"/>
      <c r="D121" s="162" t="s">
        <v>2867</v>
      </c>
      <c r="E121" s="162"/>
      <c r="F121" s="162"/>
      <c r="G121" s="162"/>
      <c r="H121" s="163"/>
      <c r="I121" s="607" t="s">
        <v>2233</v>
      </c>
      <c r="J121" s="143">
        <v>0.18260000000000001</v>
      </c>
      <c r="K121" s="141">
        <v>0</v>
      </c>
      <c r="L121" s="141">
        <v>0</v>
      </c>
      <c r="M121" s="141">
        <v>0</v>
      </c>
      <c r="N121" s="141">
        <v>8.3333333333333339E-4</v>
      </c>
      <c r="O121" s="141">
        <v>7.7419354838709675E-4</v>
      </c>
      <c r="P121" s="141">
        <v>0</v>
      </c>
      <c r="Q121" s="144">
        <v>0</v>
      </c>
      <c r="R121" s="143">
        <v>0</v>
      </c>
      <c r="S121" s="141">
        <v>0</v>
      </c>
      <c r="T121" s="141">
        <v>0</v>
      </c>
      <c r="U121" s="141">
        <v>0</v>
      </c>
      <c r="V121" s="144">
        <v>0</v>
      </c>
      <c r="W121" s="2629"/>
      <c r="X121" s="607" t="s">
        <v>2233</v>
      </c>
      <c r="Y121" s="143">
        <v>-2.8033313503866741E-2</v>
      </c>
      <c r="Z121" s="141">
        <v>-3.6008164275111332E-2</v>
      </c>
      <c r="AA121" s="141">
        <v>-3.5922746781115879E-2</v>
      </c>
      <c r="AB121" s="141">
        <v>-2.0628381827462992E-2</v>
      </c>
      <c r="AC121" s="141">
        <v>-1.2547206703910612E-2</v>
      </c>
      <c r="AD121" s="141">
        <v>-4.6215235792019353E-2</v>
      </c>
      <c r="AE121" s="141">
        <v>0</v>
      </c>
      <c r="AF121" s="144">
        <v>0</v>
      </c>
      <c r="AG121" s="143">
        <v>0</v>
      </c>
      <c r="AH121" s="141">
        <v>0</v>
      </c>
      <c r="AI121" s="141">
        <v>0</v>
      </c>
      <c r="AJ121" s="141">
        <v>0</v>
      </c>
      <c r="AK121" s="144">
        <v>0</v>
      </c>
      <c r="AL121" s="2629"/>
      <c r="AM121" s="607" t="s">
        <v>2233</v>
      </c>
      <c r="AN121" s="143">
        <v>5.1165099809179137E-3</v>
      </c>
      <c r="AO121" s="141">
        <v>0.10696857285872943</v>
      </c>
      <c r="AP121" s="141">
        <v>-3.033710590437701E-2</v>
      </c>
      <c r="AQ121" s="141">
        <v>0.10250894232510145</v>
      </c>
      <c r="AR121" s="141">
        <v>0.23902368461076487</v>
      </c>
      <c r="AS121" s="144">
        <v>-6.2501855985140381E-2</v>
      </c>
      <c r="AT121" s="2629"/>
      <c r="AU121" s="607" t="s">
        <v>2233</v>
      </c>
      <c r="AV121" s="141">
        <v>146.65598551748889</v>
      </c>
      <c r="AW121" s="227" t="s">
        <v>2233</v>
      </c>
      <c r="AX121" s="130">
        <f t="shared" si="43"/>
        <v>147.1295596416019</v>
      </c>
    </row>
    <row r="122" spans="1:50" s="98" customFormat="1" ht="15" customHeight="1">
      <c r="B122" s="161"/>
      <c r="C122" s="185"/>
      <c r="D122" s="162" t="s">
        <v>2868</v>
      </c>
      <c r="E122" s="162"/>
      <c r="F122" s="162"/>
      <c r="G122" s="162"/>
      <c r="H122" s="163"/>
      <c r="I122" s="607" t="s">
        <v>2233</v>
      </c>
      <c r="J122" s="143">
        <v>1E-3</v>
      </c>
      <c r="K122" s="141">
        <v>0</v>
      </c>
      <c r="L122" s="141">
        <v>0</v>
      </c>
      <c r="M122" s="141">
        <v>0</v>
      </c>
      <c r="N122" s="141">
        <v>0</v>
      </c>
      <c r="O122" s="141">
        <v>8.3870967741935475E-4</v>
      </c>
      <c r="P122" s="141">
        <v>0</v>
      </c>
      <c r="Q122" s="144">
        <v>0</v>
      </c>
      <c r="R122" s="143">
        <v>0</v>
      </c>
      <c r="S122" s="141">
        <v>0</v>
      </c>
      <c r="T122" s="141">
        <v>0</v>
      </c>
      <c r="U122" s="141">
        <v>0</v>
      </c>
      <c r="V122" s="144">
        <v>0</v>
      </c>
      <c r="W122" s="2629"/>
      <c r="X122" s="607" t="s">
        <v>2233</v>
      </c>
      <c r="Y122" s="143">
        <v>-2.4271267102914931E-4</v>
      </c>
      <c r="Z122" s="141">
        <v>0</v>
      </c>
      <c r="AA122" s="141">
        <v>0</v>
      </c>
      <c r="AB122" s="141">
        <v>0</v>
      </c>
      <c r="AC122" s="141">
        <v>-3.7148044692737428E-2</v>
      </c>
      <c r="AD122" s="141">
        <v>-1.6686819830713424E-3</v>
      </c>
      <c r="AE122" s="141">
        <v>0</v>
      </c>
      <c r="AF122" s="144">
        <v>0</v>
      </c>
      <c r="AG122" s="143">
        <v>0</v>
      </c>
      <c r="AH122" s="141">
        <v>0</v>
      </c>
      <c r="AI122" s="141">
        <v>0</v>
      </c>
      <c r="AJ122" s="141">
        <v>0</v>
      </c>
      <c r="AK122" s="144">
        <v>0</v>
      </c>
      <c r="AL122" s="2629"/>
      <c r="AM122" s="607" t="s">
        <v>2233</v>
      </c>
      <c r="AN122" s="143">
        <v>3.858251525603608E-3</v>
      </c>
      <c r="AO122" s="141">
        <v>-1.8862563014018124E-3</v>
      </c>
      <c r="AP122" s="141">
        <v>-2.3149509153628619E-2</v>
      </c>
      <c r="AQ122" s="141">
        <v>5.1443353674714776E-3</v>
      </c>
      <c r="AR122" s="141">
        <v>4.2869461395594062E-2</v>
      </c>
      <c r="AS122" s="144">
        <v>-0.24778548686654717</v>
      </c>
      <c r="AT122" s="2629"/>
      <c r="AU122" s="607" t="s">
        <v>2233</v>
      </c>
      <c r="AV122" s="141">
        <v>16.015727889765177</v>
      </c>
      <c r="AW122" s="227" t="s">
        <v>2233</v>
      </c>
      <c r="AX122" s="130">
        <f t="shared" si="43"/>
        <v>16.006173415235054</v>
      </c>
    </row>
    <row r="123" spans="1:50" s="98" customFormat="1" ht="15" customHeight="1">
      <c r="B123" s="161"/>
      <c r="C123" s="185"/>
      <c r="D123" s="162" t="s">
        <v>2869</v>
      </c>
      <c r="E123" s="162"/>
      <c r="F123" s="162"/>
      <c r="G123" s="162"/>
      <c r="H123" s="163"/>
      <c r="I123" s="607" t="s">
        <v>2233</v>
      </c>
      <c r="J123" s="143">
        <v>0</v>
      </c>
      <c r="K123" s="141">
        <v>0</v>
      </c>
      <c r="L123" s="141">
        <v>0</v>
      </c>
      <c r="M123" s="141">
        <v>0</v>
      </c>
      <c r="N123" s="141">
        <v>0</v>
      </c>
      <c r="O123" s="141">
        <v>7.4193548387096776E-3</v>
      </c>
      <c r="P123" s="141">
        <v>0</v>
      </c>
      <c r="Q123" s="144">
        <v>0</v>
      </c>
      <c r="R123" s="143">
        <v>0</v>
      </c>
      <c r="S123" s="141">
        <v>0</v>
      </c>
      <c r="T123" s="141">
        <v>0</v>
      </c>
      <c r="U123" s="141">
        <v>0</v>
      </c>
      <c r="V123" s="144">
        <v>0</v>
      </c>
      <c r="W123" s="2629"/>
      <c r="X123" s="607" t="s">
        <v>2233</v>
      </c>
      <c r="Y123" s="143">
        <v>-4.2070196311719214E-3</v>
      </c>
      <c r="Z123" s="141">
        <v>-4.6016823354774863E-4</v>
      </c>
      <c r="AA123" s="141">
        <v>-2.5751072961373392E-4</v>
      </c>
      <c r="AB123" s="141">
        <v>-1.8385911179173049E-2</v>
      </c>
      <c r="AC123" s="141">
        <v>0</v>
      </c>
      <c r="AD123" s="141">
        <v>-3.1378476420798065E-3</v>
      </c>
      <c r="AE123" s="141">
        <v>0</v>
      </c>
      <c r="AF123" s="144">
        <v>0</v>
      </c>
      <c r="AG123" s="143">
        <v>0</v>
      </c>
      <c r="AH123" s="141">
        <v>0</v>
      </c>
      <c r="AI123" s="141">
        <v>0</v>
      </c>
      <c r="AJ123" s="141">
        <v>0</v>
      </c>
      <c r="AK123" s="144">
        <v>0</v>
      </c>
      <c r="AL123" s="2629"/>
      <c r="AM123" s="607" t="s">
        <v>2233</v>
      </c>
      <c r="AN123" s="143">
        <v>-3.6285946896220094E-3</v>
      </c>
      <c r="AO123" s="141">
        <v>3.9914541585840888E-2</v>
      </c>
      <c r="AP123" s="141">
        <v>-3.5249205556325415E-2</v>
      </c>
      <c r="AQ123" s="141">
        <v>2.4709001934096111E-2</v>
      </c>
      <c r="AR123" s="141">
        <v>-3.4558044663231767E-4</v>
      </c>
      <c r="AS123" s="144">
        <v>6.921976346022634E-3</v>
      </c>
      <c r="AT123" s="2629"/>
      <c r="AU123" s="607" t="s">
        <v>2233</v>
      </c>
      <c r="AV123" s="141">
        <v>33.376951824075547</v>
      </c>
      <c r="AW123" s="227" t="s">
        <v>2233</v>
      </c>
      <c r="AX123" s="130">
        <f t="shared" si="43"/>
        <v>33.379041377129404</v>
      </c>
    </row>
    <row r="124" spans="1:50" s="98" customFormat="1" ht="15" customHeight="1">
      <c r="B124" s="161"/>
      <c r="C124" s="185"/>
      <c r="D124" s="162" t="s">
        <v>2870</v>
      </c>
      <c r="E124" s="162"/>
      <c r="F124" s="162"/>
      <c r="G124" s="162"/>
      <c r="H124" s="163"/>
      <c r="I124" s="607" t="s">
        <v>2233</v>
      </c>
      <c r="J124" s="143">
        <v>0</v>
      </c>
      <c r="K124" s="141">
        <v>0</v>
      </c>
      <c r="L124" s="141">
        <v>0</v>
      </c>
      <c r="M124" s="141">
        <v>0</v>
      </c>
      <c r="N124" s="141">
        <v>0</v>
      </c>
      <c r="O124" s="141">
        <v>0</v>
      </c>
      <c r="P124" s="141">
        <v>0</v>
      </c>
      <c r="Q124" s="144">
        <v>0</v>
      </c>
      <c r="R124" s="143">
        <v>0</v>
      </c>
      <c r="S124" s="141">
        <v>0</v>
      </c>
      <c r="T124" s="141">
        <v>0</v>
      </c>
      <c r="U124" s="141">
        <v>0</v>
      </c>
      <c r="V124" s="144">
        <v>0</v>
      </c>
      <c r="W124" s="2629"/>
      <c r="X124" s="607" t="s">
        <v>2233</v>
      </c>
      <c r="Y124" s="143">
        <v>0</v>
      </c>
      <c r="Z124" s="141">
        <v>0</v>
      </c>
      <c r="AA124" s="141">
        <v>0</v>
      </c>
      <c r="AB124" s="141">
        <v>0</v>
      </c>
      <c r="AC124" s="141">
        <v>0</v>
      </c>
      <c r="AD124" s="141">
        <v>0</v>
      </c>
      <c r="AE124" s="141">
        <v>0</v>
      </c>
      <c r="AF124" s="144">
        <v>0</v>
      </c>
      <c r="AG124" s="143">
        <v>0</v>
      </c>
      <c r="AH124" s="141">
        <v>0</v>
      </c>
      <c r="AI124" s="141">
        <v>0</v>
      </c>
      <c r="AJ124" s="141">
        <v>0</v>
      </c>
      <c r="AK124" s="144">
        <v>0</v>
      </c>
      <c r="AL124" s="2629"/>
      <c r="AM124" s="607" t="s">
        <v>2233</v>
      </c>
      <c r="AN124" s="143">
        <v>1.6644474034620508E-5</v>
      </c>
      <c r="AO124" s="141">
        <v>0</v>
      </c>
      <c r="AP124" s="141">
        <v>0</v>
      </c>
      <c r="AQ124" s="141">
        <v>0</v>
      </c>
      <c r="AR124" s="141">
        <v>0</v>
      </c>
      <c r="AS124" s="144">
        <v>0</v>
      </c>
      <c r="AT124" s="2629"/>
      <c r="AU124" s="607" t="s">
        <v>2233</v>
      </c>
      <c r="AV124" s="141">
        <v>4.9833555259653798E-3</v>
      </c>
      <c r="AW124" s="227" t="s">
        <v>2233</v>
      </c>
      <c r="AX124" s="130">
        <f t="shared" si="43"/>
        <v>5.0000000000000001E-3</v>
      </c>
    </row>
    <row r="125" spans="1:50" s="98" customFormat="1" ht="15" customHeight="1">
      <c r="B125" s="181"/>
      <c r="C125" s="182" t="s">
        <v>1710</v>
      </c>
      <c r="D125" s="182"/>
      <c r="E125" s="182"/>
      <c r="F125" s="182"/>
      <c r="G125" s="184"/>
      <c r="H125" s="184"/>
      <c r="I125" s="607" t="s">
        <v>2233</v>
      </c>
      <c r="J125" s="128">
        <f>SUM(J116:J124)</f>
        <v>0.21910000000000002</v>
      </c>
      <c r="K125" s="129">
        <f t="shared" ref="K125:V125" si="44">SUM(K116:K124)</f>
        <v>1.2973636363636366E-2</v>
      </c>
      <c r="L125" s="129">
        <f t="shared" si="44"/>
        <v>2.9079473684210527E-2</v>
      </c>
      <c r="M125" s="129">
        <f t="shared" si="44"/>
        <v>0</v>
      </c>
      <c r="N125" s="129">
        <f t="shared" si="44"/>
        <v>6.4603333333333327E-3</v>
      </c>
      <c r="O125" s="129">
        <f t="shared" si="44"/>
        <v>1.5220000000000001E-2</v>
      </c>
      <c r="P125" s="129">
        <f t="shared" si="44"/>
        <v>0</v>
      </c>
      <c r="Q125" s="130">
        <f t="shared" si="44"/>
        <v>0</v>
      </c>
      <c r="R125" s="128">
        <f t="shared" si="44"/>
        <v>0</v>
      </c>
      <c r="S125" s="129">
        <f t="shared" si="44"/>
        <v>0</v>
      </c>
      <c r="T125" s="129">
        <f t="shared" si="44"/>
        <v>0</v>
      </c>
      <c r="U125" s="129">
        <f t="shared" si="44"/>
        <v>0</v>
      </c>
      <c r="V125" s="130">
        <f t="shared" si="44"/>
        <v>0</v>
      </c>
      <c r="W125" s="2629"/>
      <c r="X125" s="607" t="s">
        <v>2233</v>
      </c>
      <c r="Y125" s="128">
        <f>SUM(Y116:Y124)</f>
        <v>-1.1514416537775134</v>
      </c>
      <c r="Z125" s="129">
        <f t="shared" ref="Z125:AK125" si="45">SUM(Z116:Z124)</f>
        <v>-1.1673467986145474</v>
      </c>
      <c r="AA125" s="129">
        <f t="shared" si="45"/>
        <v>-1.0090901287553649</v>
      </c>
      <c r="AB125" s="129">
        <f t="shared" si="45"/>
        <v>-0.70660120980091878</v>
      </c>
      <c r="AC125" s="129">
        <f t="shared" si="45"/>
        <v>-1.057595480446927</v>
      </c>
      <c r="AD125" s="129">
        <f t="shared" si="45"/>
        <v>-1.0326609431680775</v>
      </c>
      <c r="AE125" s="129">
        <f t="shared" si="45"/>
        <v>0</v>
      </c>
      <c r="AF125" s="130">
        <f t="shared" si="45"/>
        <v>0</v>
      </c>
      <c r="AG125" s="128">
        <f t="shared" si="45"/>
        <v>0</v>
      </c>
      <c r="AH125" s="129">
        <f t="shared" si="45"/>
        <v>0</v>
      </c>
      <c r="AI125" s="129">
        <f t="shared" si="45"/>
        <v>0</v>
      </c>
      <c r="AJ125" s="129">
        <f t="shared" si="45"/>
        <v>0</v>
      </c>
      <c r="AK125" s="130">
        <f t="shared" si="45"/>
        <v>0</v>
      </c>
      <c r="AL125" s="2629"/>
      <c r="AM125" s="607" t="s">
        <v>2233</v>
      </c>
      <c r="AN125" s="128">
        <f>SUM(AN116:AN124)</f>
        <v>-3.0598215109974125E-2</v>
      </c>
      <c r="AO125" s="129">
        <f t="shared" ref="AO125:AS125" si="46">SUM(AO116:AO124)</f>
        <v>-3.6334347672714762E-2</v>
      </c>
      <c r="AP125" s="129">
        <f t="shared" si="46"/>
        <v>0.34976338248018735</v>
      </c>
      <c r="AQ125" s="129">
        <f t="shared" si="46"/>
        <v>0.33780611158956397</v>
      </c>
      <c r="AR125" s="129">
        <f t="shared" si="46"/>
        <v>0.18424855827957309</v>
      </c>
      <c r="AS125" s="130">
        <f t="shared" si="46"/>
        <v>-4.355987743040711E-2</v>
      </c>
      <c r="AT125" s="2629"/>
      <c r="AU125" s="607" t="s">
        <v>2233</v>
      </c>
      <c r="AV125" s="876">
        <f>SUM(AV116:AV124)</f>
        <v>382.96984764599767</v>
      </c>
      <c r="AW125" s="227" t="s">
        <v>2233</v>
      </c>
      <c r="AX125" s="712">
        <f>SUM(AX116:AX124)</f>
        <v>378.95027130755022</v>
      </c>
    </row>
    <row r="126" spans="1:50" s="98" customFormat="1" ht="15" customHeight="1">
      <c r="B126" s="181"/>
      <c r="C126" s="185"/>
      <c r="D126" s="182"/>
      <c r="E126" s="182"/>
      <c r="F126" s="182"/>
      <c r="G126" s="184"/>
      <c r="H126" s="184"/>
      <c r="I126" s="94"/>
      <c r="J126" s="713"/>
      <c r="K126" s="2690"/>
      <c r="L126" s="2690"/>
      <c r="M126" s="2690"/>
      <c r="N126" s="2690"/>
      <c r="O126" s="2690"/>
      <c r="P126" s="2690"/>
      <c r="Q126" s="715"/>
      <c r="R126" s="2690"/>
      <c r="S126" s="2690"/>
      <c r="T126" s="2690"/>
      <c r="U126" s="2690"/>
      <c r="V126" s="715"/>
      <c r="W126" s="2629"/>
      <c r="X126" s="94"/>
      <c r="Y126" s="713"/>
      <c r="Z126" s="2690"/>
      <c r="AA126" s="2690"/>
      <c r="AB126" s="2690"/>
      <c r="AC126" s="2690"/>
      <c r="AD126" s="2690"/>
      <c r="AE126" s="2690"/>
      <c r="AF126" s="715"/>
      <c r="AG126" s="2690"/>
      <c r="AH126" s="2690"/>
      <c r="AI126" s="2690"/>
      <c r="AJ126" s="2690"/>
      <c r="AK126" s="715"/>
      <c r="AL126" s="2629"/>
      <c r="AM126" s="94"/>
      <c r="AN126" s="713"/>
      <c r="AO126" s="2690"/>
      <c r="AP126" s="2690"/>
      <c r="AQ126" s="2690"/>
      <c r="AR126" s="2690"/>
      <c r="AS126" s="752"/>
      <c r="AT126" s="2629"/>
      <c r="AU126" s="2629"/>
      <c r="AV126" s="2629"/>
      <c r="AW126" s="185"/>
      <c r="AX126" s="839"/>
    </row>
    <row r="127" spans="1:50" s="98" customFormat="1" ht="15" customHeight="1">
      <c r="B127" s="161"/>
      <c r="C127" s="180" t="s">
        <v>2874</v>
      </c>
      <c r="D127" s="162"/>
      <c r="E127" s="162"/>
      <c r="F127" s="162"/>
      <c r="G127" s="163"/>
      <c r="H127" s="163"/>
      <c r="I127" s="94"/>
      <c r="J127" s="713"/>
      <c r="K127" s="2649"/>
      <c r="L127" s="2649"/>
      <c r="M127" s="2649"/>
      <c r="N127" s="2649"/>
      <c r="O127" s="2649"/>
      <c r="P127" s="2649"/>
      <c r="Q127" s="715"/>
      <c r="R127" s="713"/>
      <c r="S127" s="2649"/>
      <c r="T127" s="2649"/>
      <c r="U127" s="2649"/>
      <c r="V127" s="715"/>
      <c r="W127" s="2629"/>
      <c r="X127" s="94"/>
      <c r="Y127" s="713"/>
      <c r="Z127" s="2649"/>
      <c r="AA127" s="2649"/>
      <c r="AB127" s="2649"/>
      <c r="AC127" s="2649"/>
      <c r="AD127" s="2649"/>
      <c r="AE127" s="2649"/>
      <c r="AF127" s="715"/>
      <c r="AG127" s="713"/>
      <c r="AH127" s="2649"/>
      <c r="AI127" s="2649"/>
      <c r="AJ127" s="2649"/>
      <c r="AK127" s="715"/>
      <c r="AL127" s="2629"/>
      <c r="AM127" s="94"/>
      <c r="AN127" s="713"/>
      <c r="AO127" s="2649"/>
      <c r="AP127" s="2649"/>
      <c r="AQ127" s="2649"/>
      <c r="AR127" s="2649"/>
      <c r="AS127" s="715"/>
      <c r="AT127" s="2629"/>
      <c r="AU127" s="2629"/>
      <c r="AV127" s="2629"/>
      <c r="AW127" s="185"/>
      <c r="AX127" s="839"/>
    </row>
    <row r="128" spans="1:50" s="98" customFormat="1" ht="15" customHeight="1">
      <c r="B128" s="161"/>
      <c r="C128" s="185"/>
      <c r="D128" s="162" t="s">
        <v>2862</v>
      </c>
      <c r="E128" s="162"/>
      <c r="F128" s="162"/>
      <c r="G128" s="162"/>
      <c r="H128" s="163"/>
      <c r="I128" s="607" t="s">
        <v>2233</v>
      </c>
      <c r="J128" s="143">
        <v>0</v>
      </c>
      <c r="K128" s="141">
        <v>0</v>
      </c>
      <c r="L128" s="141">
        <v>0</v>
      </c>
      <c r="M128" s="141">
        <v>0</v>
      </c>
      <c r="N128" s="141">
        <v>0</v>
      </c>
      <c r="O128" s="141">
        <v>0</v>
      </c>
      <c r="P128" s="141">
        <v>0</v>
      </c>
      <c r="Q128" s="144">
        <v>0</v>
      </c>
      <c r="R128" s="143">
        <v>0</v>
      </c>
      <c r="S128" s="141">
        <v>0</v>
      </c>
      <c r="T128" s="141">
        <v>0</v>
      </c>
      <c r="U128" s="141">
        <v>0</v>
      </c>
      <c r="V128" s="144">
        <v>0</v>
      </c>
      <c r="W128" s="2629"/>
      <c r="X128" s="607" t="s">
        <v>2233</v>
      </c>
      <c r="Y128" s="143">
        <v>-0.20351403326403328</v>
      </c>
      <c r="Z128" s="141">
        <v>-0.16236765355722493</v>
      </c>
      <c r="AA128" s="141">
        <v>-6.9114789081885855E-2</v>
      </c>
      <c r="AB128" s="141">
        <v>-1.9660779537149817E-2</v>
      </c>
      <c r="AC128" s="141">
        <v>-4.4278817139408566E-2</v>
      </c>
      <c r="AD128" s="141">
        <v>-6.2640135440180572E-2</v>
      </c>
      <c r="AE128" s="141">
        <v>-9.8551501964412808E-4</v>
      </c>
      <c r="AF128" s="144">
        <v>-6.8195344540535464E-4</v>
      </c>
      <c r="AG128" s="143">
        <v>-0.11514079256575861</v>
      </c>
      <c r="AH128" s="141">
        <v>-0.11514079256575861</v>
      </c>
      <c r="AI128" s="141">
        <v>-0.11514079256575861</v>
      </c>
      <c r="AJ128" s="141">
        <v>-0.11514079256575861</v>
      </c>
      <c r="AK128" s="144">
        <v>-0.11514079256575861</v>
      </c>
      <c r="AL128" s="2629"/>
      <c r="AM128" s="607" t="s">
        <v>2233</v>
      </c>
      <c r="AN128" s="143">
        <v>0</v>
      </c>
      <c r="AO128" s="141">
        <v>0</v>
      </c>
      <c r="AP128" s="141">
        <v>0</v>
      </c>
      <c r="AQ128" s="141">
        <v>0</v>
      </c>
      <c r="AR128" s="141">
        <v>0</v>
      </c>
      <c r="AS128" s="144">
        <v>0</v>
      </c>
      <c r="AT128" s="2629"/>
      <c r="AU128" s="607" t="s">
        <v>2233</v>
      </c>
      <c r="AV128" s="141">
        <v>1.7842541958632649E-2</v>
      </c>
      <c r="AW128" s="227" t="s">
        <v>2233</v>
      </c>
      <c r="AX128" s="130">
        <f>SUM(AV128,J128:N128,Y128:AC128,AN128:AR128)</f>
        <v>-0.4810935306210698</v>
      </c>
    </row>
    <row r="129" spans="2:50" s="98" customFormat="1" ht="15" customHeight="1">
      <c r="B129" s="161"/>
      <c r="C129" s="185"/>
      <c r="D129" s="162" t="s">
        <v>2863</v>
      </c>
      <c r="E129" s="162"/>
      <c r="F129" s="162"/>
      <c r="G129" s="162"/>
      <c r="H129" s="163"/>
      <c r="I129" s="607" t="s">
        <v>2233</v>
      </c>
      <c r="J129" s="143">
        <v>0</v>
      </c>
      <c r="K129" s="141">
        <v>0</v>
      </c>
      <c r="L129" s="141">
        <v>0</v>
      </c>
      <c r="M129" s="141">
        <v>0</v>
      </c>
      <c r="N129" s="141">
        <v>0</v>
      </c>
      <c r="O129" s="141">
        <v>0</v>
      </c>
      <c r="P129" s="141">
        <v>0</v>
      </c>
      <c r="Q129" s="144">
        <v>0</v>
      </c>
      <c r="R129" s="143">
        <v>0</v>
      </c>
      <c r="S129" s="141">
        <v>0</v>
      </c>
      <c r="T129" s="141">
        <v>0</v>
      </c>
      <c r="U129" s="141">
        <v>0</v>
      </c>
      <c r="V129" s="144">
        <v>0</v>
      </c>
      <c r="W129" s="2629"/>
      <c r="X129" s="607" t="s">
        <v>2233</v>
      </c>
      <c r="Y129" s="143">
        <v>-0.53012874220374229</v>
      </c>
      <c r="Z129" s="141">
        <v>-0.53168382677861248</v>
      </c>
      <c r="AA129" s="141">
        <v>-0.30259354838709673</v>
      </c>
      <c r="AB129" s="141">
        <v>-8.7784933008526175E-2</v>
      </c>
      <c r="AC129" s="141">
        <v>-0.13527501508750756</v>
      </c>
      <c r="AD129" s="141">
        <v>-0.24933995485327312</v>
      </c>
      <c r="AE129" s="141">
        <v>-1.6659839247984462E-3</v>
      </c>
      <c r="AF129" s="144">
        <v>-1.1528220827283719E-3</v>
      </c>
      <c r="AG129" s="143">
        <v>-0.89364529847959751</v>
      </c>
      <c r="AH129" s="141">
        <v>-0.89364529847959751</v>
      </c>
      <c r="AI129" s="141">
        <v>-0.89364529847959751</v>
      </c>
      <c r="AJ129" s="141">
        <v>-0.89364529847959751</v>
      </c>
      <c r="AK129" s="144">
        <v>-0.89364529847959751</v>
      </c>
      <c r="AL129" s="2629"/>
      <c r="AM129" s="607" t="s">
        <v>2233</v>
      </c>
      <c r="AN129" s="143">
        <v>-1.9610540278254705E-4</v>
      </c>
      <c r="AO129" s="141">
        <v>-2.2038482177560054E-4</v>
      </c>
      <c r="AP129" s="141">
        <v>-1.2988373379176931E-3</v>
      </c>
      <c r="AQ129" s="141">
        <v>1.2562233870820278E-3</v>
      </c>
      <c r="AR129" s="141">
        <v>1.0152724692172771E-4</v>
      </c>
      <c r="AS129" s="144">
        <v>6.8987469716897505E-4</v>
      </c>
      <c r="AT129" s="2629"/>
      <c r="AU129" s="607" t="s">
        <v>2233</v>
      </c>
      <c r="AV129" s="141">
        <v>0.47631162858669568</v>
      </c>
      <c r="AW129" s="227" t="s">
        <v>2233</v>
      </c>
      <c r="AX129" s="130">
        <f t="shared" ref="AX129:AX136" si="47">SUM(AV129,J129:N129,Y129:AC129,AN129:AR129)</f>
        <v>-1.1115120138072616</v>
      </c>
    </row>
    <row r="130" spans="2:50" s="98" customFormat="1" ht="15" customHeight="1">
      <c r="B130" s="161"/>
      <c r="C130" s="185"/>
      <c r="D130" s="162" t="s">
        <v>2864</v>
      </c>
      <c r="E130" s="162"/>
      <c r="F130" s="162"/>
      <c r="G130" s="162"/>
      <c r="H130" s="163"/>
      <c r="I130" s="607" t="s">
        <v>2233</v>
      </c>
      <c r="J130" s="143">
        <v>0</v>
      </c>
      <c r="K130" s="141">
        <v>0</v>
      </c>
      <c r="L130" s="141">
        <v>0</v>
      </c>
      <c r="M130" s="141">
        <v>0</v>
      </c>
      <c r="N130" s="141">
        <v>0</v>
      </c>
      <c r="O130" s="141">
        <v>0</v>
      </c>
      <c r="P130" s="141">
        <v>0</v>
      </c>
      <c r="Q130" s="144">
        <v>0</v>
      </c>
      <c r="R130" s="143">
        <v>0</v>
      </c>
      <c r="S130" s="141">
        <v>0</v>
      </c>
      <c r="T130" s="141">
        <v>0</v>
      </c>
      <c r="U130" s="141">
        <v>0</v>
      </c>
      <c r="V130" s="144">
        <v>0</v>
      </c>
      <c r="W130" s="2629"/>
      <c r="X130" s="607" t="s">
        <v>2233</v>
      </c>
      <c r="Y130" s="143">
        <v>-0.33675515592515587</v>
      </c>
      <c r="Z130" s="141">
        <v>-0.33542885550154666</v>
      </c>
      <c r="AA130" s="141">
        <v>-0.15516084367245658</v>
      </c>
      <c r="AB130" s="141">
        <v>-5.3189196102314248E-2</v>
      </c>
      <c r="AC130" s="141">
        <v>-8.385102595051297E-2</v>
      </c>
      <c r="AD130" s="141">
        <v>-0.16683801354401803</v>
      </c>
      <c r="AE130" s="141">
        <v>-0.88694679953811539</v>
      </c>
      <c r="AF130" s="144">
        <v>-0.69904398162809323</v>
      </c>
      <c r="AG130" s="143">
        <v>-0.57955506376073274</v>
      </c>
      <c r="AH130" s="141">
        <v>-0.57955506376073274</v>
      </c>
      <c r="AI130" s="141">
        <v>-0.57955506376073274</v>
      </c>
      <c r="AJ130" s="141">
        <v>-0.57955506376073274</v>
      </c>
      <c r="AK130" s="144">
        <v>-0.57955506376073274</v>
      </c>
      <c r="AL130" s="2629"/>
      <c r="AM130" s="607" t="s">
        <v>2233</v>
      </c>
      <c r="AN130" s="143">
        <v>3.2179506082911672E-3</v>
      </c>
      <c r="AO130" s="141">
        <v>2.079425621619068E-2</v>
      </c>
      <c r="AP130" s="141">
        <v>1.9321428462220749E-2</v>
      </c>
      <c r="AQ130" s="141">
        <v>-3.9293490723449724E-2</v>
      </c>
      <c r="AR130" s="141">
        <v>2.0325799880905639E-2</v>
      </c>
      <c r="AS130" s="144">
        <v>5.4504337848938428E-3</v>
      </c>
      <c r="AT130" s="2629"/>
      <c r="AU130" s="607" t="s">
        <v>2233</v>
      </c>
      <c r="AV130" s="141">
        <v>6.9945782997375554</v>
      </c>
      <c r="AW130" s="227" t="s">
        <v>2233</v>
      </c>
      <c r="AX130" s="130">
        <f t="shared" si="47"/>
        <v>6.0545591670297272</v>
      </c>
    </row>
    <row r="131" spans="2:50" s="98" customFormat="1" ht="15" customHeight="1">
      <c r="B131" s="161"/>
      <c r="C131" s="185"/>
      <c r="D131" s="162" t="s">
        <v>2865</v>
      </c>
      <c r="E131" s="162"/>
      <c r="F131" s="162"/>
      <c r="G131" s="162"/>
      <c r="H131" s="163"/>
      <c r="I131" s="607" t="s">
        <v>2233</v>
      </c>
      <c r="J131" s="143">
        <v>0</v>
      </c>
      <c r="K131" s="141">
        <v>0</v>
      </c>
      <c r="L131" s="141">
        <v>0</v>
      </c>
      <c r="M131" s="141">
        <v>0</v>
      </c>
      <c r="N131" s="141">
        <v>0</v>
      </c>
      <c r="O131" s="141">
        <v>0</v>
      </c>
      <c r="P131" s="141">
        <v>0</v>
      </c>
      <c r="Q131" s="144">
        <v>0</v>
      </c>
      <c r="R131" s="143">
        <v>0</v>
      </c>
      <c r="S131" s="141">
        <v>0</v>
      </c>
      <c r="T131" s="141">
        <v>0</v>
      </c>
      <c r="U131" s="141">
        <v>0</v>
      </c>
      <c r="V131" s="144">
        <v>0</v>
      </c>
      <c r="W131" s="2629"/>
      <c r="X131" s="607" t="s">
        <v>2233</v>
      </c>
      <c r="Y131" s="143">
        <v>-9.2765748440748433E-2</v>
      </c>
      <c r="Z131" s="141">
        <v>-0.13277728678745029</v>
      </c>
      <c r="AA131" s="141">
        <v>-8.3823821339950366E-2</v>
      </c>
      <c r="AB131" s="141">
        <v>-2.22615712545676E-2</v>
      </c>
      <c r="AC131" s="141">
        <v>-2.8361496680748336E-2</v>
      </c>
      <c r="AD131" s="141">
        <v>-7.0699774266365686E-2</v>
      </c>
      <c r="AE131" s="141">
        <v>-0.6650959342921452</v>
      </c>
      <c r="AF131" s="144">
        <v>-0.5553721337233406</v>
      </c>
      <c r="AG131" s="143">
        <v>-0.32196752548544832</v>
      </c>
      <c r="AH131" s="141">
        <v>-0.32196752548544832</v>
      </c>
      <c r="AI131" s="141">
        <v>-0.32196752548544832</v>
      </c>
      <c r="AJ131" s="141">
        <v>-0.32196752548544832</v>
      </c>
      <c r="AK131" s="144">
        <v>-0.32196752548544832</v>
      </c>
      <c r="AL131" s="2629"/>
      <c r="AM131" s="607" t="s">
        <v>2233</v>
      </c>
      <c r="AN131" s="143">
        <v>-3.3146785407037254E-3</v>
      </c>
      <c r="AO131" s="141">
        <v>1.4671663080219742E-2</v>
      </c>
      <c r="AP131" s="141">
        <v>1.6445105685402566E-2</v>
      </c>
      <c r="AQ131" s="141">
        <v>1.5945216327100872E-2</v>
      </c>
      <c r="AR131" s="141">
        <v>1.9884846151591595E-2</v>
      </c>
      <c r="AS131" s="144">
        <v>1.0194876160326242E-2</v>
      </c>
      <c r="AT131" s="2629"/>
      <c r="AU131" s="607" t="s">
        <v>2233</v>
      </c>
      <c r="AV131" s="141">
        <v>6.2734756999194632</v>
      </c>
      <c r="AW131" s="227" t="s">
        <v>2233</v>
      </c>
      <c r="AX131" s="130">
        <f t="shared" si="47"/>
        <v>5.9771179281196085</v>
      </c>
    </row>
    <row r="132" spans="2:50" s="98" customFormat="1" ht="15" customHeight="1">
      <c r="B132" s="161"/>
      <c r="C132" s="185"/>
      <c r="D132" s="162" t="s">
        <v>2866</v>
      </c>
      <c r="E132" s="162"/>
      <c r="F132" s="162"/>
      <c r="G132" s="162"/>
      <c r="H132" s="163"/>
      <c r="I132" s="607" t="s">
        <v>2233</v>
      </c>
      <c r="J132" s="143">
        <v>0</v>
      </c>
      <c r="K132" s="141">
        <v>0</v>
      </c>
      <c r="L132" s="141">
        <v>0</v>
      </c>
      <c r="M132" s="141">
        <v>0</v>
      </c>
      <c r="N132" s="141">
        <v>0</v>
      </c>
      <c r="O132" s="141">
        <v>0</v>
      </c>
      <c r="P132" s="141">
        <v>0</v>
      </c>
      <c r="Q132" s="144">
        <v>0</v>
      </c>
      <c r="R132" s="143">
        <v>0</v>
      </c>
      <c r="S132" s="141">
        <v>0</v>
      </c>
      <c r="T132" s="141">
        <v>0</v>
      </c>
      <c r="U132" s="141">
        <v>0</v>
      </c>
      <c r="V132" s="144">
        <v>0</v>
      </c>
      <c r="W132" s="2629"/>
      <c r="X132" s="607" t="s">
        <v>2233</v>
      </c>
      <c r="Y132" s="143">
        <v>-1.1371621621621622E-2</v>
      </c>
      <c r="Z132" s="141">
        <v>-9.0596553247901009E-3</v>
      </c>
      <c r="AA132" s="141">
        <v>-7.1612903225806452E-3</v>
      </c>
      <c r="AB132" s="141">
        <v>-2.1577344701583434E-3</v>
      </c>
      <c r="AC132" s="141">
        <v>-1.2432106216053108E-2</v>
      </c>
      <c r="AD132" s="141">
        <v>-3.2189616252821665E-3</v>
      </c>
      <c r="AE132" s="141">
        <v>0</v>
      </c>
      <c r="AF132" s="144">
        <v>0</v>
      </c>
      <c r="AG132" s="143">
        <v>0</v>
      </c>
      <c r="AH132" s="141">
        <v>0</v>
      </c>
      <c r="AI132" s="141">
        <v>0</v>
      </c>
      <c r="AJ132" s="141">
        <v>0</v>
      </c>
      <c r="AK132" s="144">
        <v>0</v>
      </c>
      <c r="AL132" s="2629"/>
      <c r="AM132" s="607" t="s">
        <v>2233</v>
      </c>
      <c r="AN132" s="143">
        <v>0</v>
      </c>
      <c r="AO132" s="141">
        <v>0</v>
      </c>
      <c r="AP132" s="141">
        <v>0</v>
      </c>
      <c r="AQ132" s="141">
        <v>0</v>
      </c>
      <c r="AR132" s="141">
        <v>0</v>
      </c>
      <c r="AS132" s="144">
        <v>0</v>
      </c>
      <c r="AT132" s="2629"/>
      <c r="AU132" s="607" t="s">
        <v>2233</v>
      </c>
      <c r="AV132" s="141">
        <v>0</v>
      </c>
      <c r="AW132" s="227" t="s">
        <v>2233</v>
      </c>
      <c r="AX132" s="130">
        <f t="shared" si="47"/>
        <v>-4.2182407955203824E-2</v>
      </c>
    </row>
    <row r="133" spans="2:50" s="98" customFormat="1" ht="15" customHeight="1">
      <c r="B133" s="161"/>
      <c r="C133" s="185"/>
      <c r="D133" s="162" t="s">
        <v>2867</v>
      </c>
      <c r="E133" s="162"/>
      <c r="F133" s="162"/>
      <c r="G133" s="162"/>
      <c r="H133" s="163"/>
      <c r="I133" s="607" t="s">
        <v>2233</v>
      </c>
      <c r="J133" s="143">
        <v>0</v>
      </c>
      <c r="K133" s="141">
        <v>0</v>
      </c>
      <c r="L133" s="141">
        <v>0</v>
      </c>
      <c r="M133" s="141">
        <v>0</v>
      </c>
      <c r="N133" s="141">
        <v>0</v>
      </c>
      <c r="O133" s="141">
        <v>0</v>
      </c>
      <c r="P133" s="141">
        <v>0</v>
      </c>
      <c r="Q133" s="144">
        <v>0</v>
      </c>
      <c r="R133" s="143">
        <v>0</v>
      </c>
      <c r="S133" s="141">
        <v>0</v>
      </c>
      <c r="T133" s="141">
        <v>0</v>
      </c>
      <c r="U133" s="141">
        <v>0</v>
      </c>
      <c r="V133" s="144">
        <v>0</v>
      </c>
      <c r="W133" s="2629"/>
      <c r="X133" s="607" t="s">
        <v>2233</v>
      </c>
      <c r="Y133" s="143">
        <v>-7.2704158004158012E-2</v>
      </c>
      <c r="Z133" s="141">
        <v>-8.0049491825011046E-2</v>
      </c>
      <c r="AA133" s="141">
        <v>-1.9771712158808932E-2</v>
      </c>
      <c r="AB133" s="141">
        <v>-9.6138855054811196E-3</v>
      </c>
      <c r="AC133" s="141">
        <v>-3.6409173204586601E-2</v>
      </c>
      <c r="AD133" s="141">
        <v>-5.5702031602708799E-2</v>
      </c>
      <c r="AE133" s="141">
        <v>0</v>
      </c>
      <c r="AF133" s="144">
        <v>0</v>
      </c>
      <c r="AG133" s="143">
        <v>0</v>
      </c>
      <c r="AH133" s="141">
        <v>0</v>
      </c>
      <c r="AI133" s="141">
        <v>0</v>
      </c>
      <c r="AJ133" s="141">
        <v>0</v>
      </c>
      <c r="AK133" s="144">
        <v>0</v>
      </c>
      <c r="AL133" s="2629"/>
      <c r="AM133" s="607" t="s">
        <v>2233</v>
      </c>
      <c r="AN133" s="143">
        <v>-1.9662666685012306E-2</v>
      </c>
      <c r="AO133" s="141">
        <v>7.7847659932771707E-2</v>
      </c>
      <c r="AP133" s="141">
        <v>2.8642592809946014E-2</v>
      </c>
      <c r="AQ133" s="141">
        <v>7.8791467933647288E-2</v>
      </c>
      <c r="AR133" s="141">
        <v>4.4086723733451891E-2</v>
      </c>
      <c r="AS133" s="144">
        <v>-3.0108905240213431E-2</v>
      </c>
      <c r="AT133" s="2629"/>
      <c r="AU133" s="607" t="s">
        <v>2233</v>
      </c>
      <c r="AV133" s="141">
        <v>19.148082094405499</v>
      </c>
      <c r="AW133" s="227" t="s">
        <v>2233</v>
      </c>
      <c r="AX133" s="130">
        <f t="shared" si="47"/>
        <v>19.139239451432257</v>
      </c>
    </row>
    <row r="134" spans="2:50" s="98" customFormat="1" ht="15" customHeight="1">
      <c r="B134" s="161"/>
      <c r="C134" s="185"/>
      <c r="D134" s="162" t="s">
        <v>2868</v>
      </c>
      <c r="E134" s="162"/>
      <c r="F134" s="162"/>
      <c r="G134" s="162"/>
      <c r="H134" s="163"/>
      <c r="I134" s="607" t="s">
        <v>2233</v>
      </c>
      <c r="J134" s="143">
        <v>0</v>
      </c>
      <c r="K134" s="141">
        <v>0</v>
      </c>
      <c r="L134" s="141">
        <v>0</v>
      </c>
      <c r="M134" s="141">
        <v>0</v>
      </c>
      <c r="N134" s="141">
        <v>0</v>
      </c>
      <c r="O134" s="141">
        <v>0</v>
      </c>
      <c r="P134" s="141">
        <v>0</v>
      </c>
      <c r="Q134" s="144">
        <v>0</v>
      </c>
      <c r="R134" s="143">
        <v>0</v>
      </c>
      <c r="S134" s="141">
        <v>0</v>
      </c>
      <c r="T134" s="141">
        <v>0</v>
      </c>
      <c r="U134" s="141">
        <v>0</v>
      </c>
      <c r="V134" s="144">
        <v>0</v>
      </c>
      <c r="W134" s="2629"/>
      <c r="X134" s="607" t="s">
        <v>2233</v>
      </c>
      <c r="Y134" s="143">
        <v>-3.8143970893970897E-2</v>
      </c>
      <c r="Z134" s="141">
        <v>-2.9905877154220061E-2</v>
      </c>
      <c r="AA134" s="141">
        <v>-1.1776674937965262E-2</v>
      </c>
      <c r="AB134" s="141">
        <v>-1.7064555420219245E-3</v>
      </c>
      <c r="AC134" s="141">
        <v>-1.3053711526855761E-2</v>
      </c>
      <c r="AD134" s="141">
        <v>-2.2058690744920992E-2</v>
      </c>
      <c r="AE134" s="141">
        <v>0</v>
      </c>
      <c r="AF134" s="144">
        <v>0</v>
      </c>
      <c r="AG134" s="143">
        <v>0</v>
      </c>
      <c r="AH134" s="141">
        <v>0</v>
      </c>
      <c r="AI134" s="141">
        <v>0</v>
      </c>
      <c r="AJ134" s="141">
        <v>0</v>
      </c>
      <c r="AK134" s="144">
        <v>0</v>
      </c>
      <c r="AL134" s="2629"/>
      <c r="AM134" s="607" t="s">
        <v>2233</v>
      </c>
      <c r="AN134" s="143">
        <v>3.5674783452668897E-2</v>
      </c>
      <c r="AO134" s="141">
        <v>-8.4468523499687323E-3</v>
      </c>
      <c r="AP134" s="141">
        <v>4.4160651286928839E-3</v>
      </c>
      <c r="AQ134" s="141">
        <v>-2.3970138164016012E-3</v>
      </c>
      <c r="AR134" s="141">
        <v>7.0012798874664245E-2</v>
      </c>
      <c r="AS134" s="144">
        <v>-7.4909729847351728E-4</v>
      </c>
      <c r="AT134" s="2629"/>
      <c r="AU134" s="607" t="s">
        <v>2233</v>
      </c>
      <c r="AV134" s="141">
        <v>3.4927482831172711</v>
      </c>
      <c r="AW134" s="227" t="s">
        <v>2233</v>
      </c>
      <c r="AX134" s="130">
        <f t="shared" si="47"/>
        <v>3.4974213743518932</v>
      </c>
    </row>
    <row r="135" spans="2:50" s="98" customFormat="1" ht="15" customHeight="1">
      <c r="B135" s="161"/>
      <c r="C135" s="185"/>
      <c r="D135" s="162" t="s">
        <v>2869</v>
      </c>
      <c r="E135" s="162"/>
      <c r="F135" s="162"/>
      <c r="G135" s="162"/>
      <c r="H135" s="163"/>
      <c r="I135" s="607" t="s">
        <v>2233</v>
      </c>
      <c r="J135" s="143">
        <v>0</v>
      </c>
      <c r="K135" s="141">
        <v>0</v>
      </c>
      <c r="L135" s="141">
        <v>0</v>
      </c>
      <c r="M135" s="141">
        <v>0</v>
      </c>
      <c r="N135" s="141">
        <v>0</v>
      </c>
      <c r="O135" s="141">
        <v>0</v>
      </c>
      <c r="P135" s="141">
        <v>0</v>
      </c>
      <c r="Q135" s="144">
        <v>0</v>
      </c>
      <c r="R135" s="143">
        <v>0</v>
      </c>
      <c r="S135" s="141">
        <v>0</v>
      </c>
      <c r="T135" s="141">
        <v>0</v>
      </c>
      <c r="U135" s="141">
        <v>0</v>
      </c>
      <c r="V135" s="144">
        <v>0</v>
      </c>
      <c r="W135" s="2629"/>
      <c r="X135" s="607" t="s">
        <v>2233</v>
      </c>
      <c r="Y135" s="143">
        <v>-3.0660083160083163E-2</v>
      </c>
      <c r="Z135" s="141">
        <v>-2.0095006628369421E-2</v>
      </c>
      <c r="AA135" s="141">
        <v>-8.2431761786600499E-3</v>
      </c>
      <c r="AB135" s="141">
        <v>-2.3148599269183921E-3</v>
      </c>
      <c r="AC135" s="141">
        <v>-7.1001810500905252E-3</v>
      </c>
      <c r="AD135" s="141">
        <v>-1.5521444695259594E-2</v>
      </c>
      <c r="AE135" s="141">
        <v>0</v>
      </c>
      <c r="AF135" s="144">
        <v>0</v>
      </c>
      <c r="AG135" s="143">
        <v>0</v>
      </c>
      <c r="AH135" s="141">
        <v>0</v>
      </c>
      <c r="AI135" s="141">
        <v>0</v>
      </c>
      <c r="AJ135" s="141">
        <v>0</v>
      </c>
      <c r="AK135" s="144">
        <v>0</v>
      </c>
      <c r="AL135" s="2629"/>
      <c r="AM135" s="607" t="s">
        <v>2233</v>
      </c>
      <c r="AN135" s="143">
        <v>3.2279037799335837E-3</v>
      </c>
      <c r="AO135" s="141">
        <v>-0.22170146597210397</v>
      </c>
      <c r="AP135" s="141">
        <v>8.0444444026968043E-2</v>
      </c>
      <c r="AQ135" s="141">
        <v>3.5444830311204698E-2</v>
      </c>
      <c r="AR135" s="141">
        <v>3.5604813880464783E-2</v>
      </c>
      <c r="AS135" s="144">
        <v>-3.4791720916648489E-3</v>
      </c>
      <c r="AT135" s="2629"/>
      <c r="AU135" s="607" t="s">
        <v>2233</v>
      </c>
      <c r="AV135" s="141">
        <v>13.290745406691798</v>
      </c>
      <c r="AW135" s="227" t="s">
        <v>2233</v>
      </c>
      <c r="AX135" s="130">
        <f t="shared" si="47"/>
        <v>13.155352625774142</v>
      </c>
    </row>
    <row r="136" spans="2:50" s="98" customFormat="1" ht="15" customHeight="1">
      <c r="B136" s="161"/>
      <c r="C136" s="185"/>
      <c r="D136" s="162" t="s">
        <v>2870</v>
      </c>
      <c r="E136" s="162"/>
      <c r="F136" s="162"/>
      <c r="G136" s="162"/>
      <c r="H136" s="163"/>
      <c r="I136" s="607" t="s">
        <v>2233</v>
      </c>
      <c r="J136" s="143">
        <v>0</v>
      </c>
      <c r="K136" s="141">
        <v>0</v>
      </c>
      <c r="L136" s="141">
        <v>0</v>
      </c>
      <c r="M136" s="141">
        <v>0</v>
      </c>
      <c r="N136" s="141">
        <v>0</v>
      </c>
      <c r="O136" s="141">
        <v>0</v>
      </c>
      <c r="P136" s="141">
        <v>0</v>
      </c>
      <c r="Q136" s="144">
        <v>0</v>
      </c>
      <c r="R136" s="143">
        <v>0</v>
      </c>
      <c r="S136" s="141">
        <v>0</v>
      </c>
      <c r="T136" s="141">
        <v>0</v>
      </c>
      <c r="U136" s="141">
        <v>0</v>
      </c>
      <c r="V136" s="144">
        <v>0</v>
      </c>
      <c r="W136" s="2629"/>
      <c r="X136" s="607" t="s">
        <v>2233</v>
      </c>
      <c r="Y136" s="143">
        <v>-3.8170478170478171E-3</v>
      </c>
      <c r="Z136" s="141">
        <v>-1.2470172337604949E-3</v>
      </c>
      <c r="AA136" s="141">
        <v>0</v>
      </c>
      <c r="AB136" s="141">
        <v>-1.4616321559074298E-5</v>
      </c>
      <c r="AC136" s="141">
        <v>0</v>
      </c>
      <c r="AD136" s="141">
        <v>-2.1760722347629793E-3</v>
      </c>
      <c r="AE136" s="141">
        <v>0</v>
      </c>
      <c r="AF136" s="144">
        <v>0</v>
      </c>
      <c r="AG136" s="143">
        <v>0</v>
      </c>
      <c r="AH136" s="141">
        <v>0</v>
      </c>
      <c r="AI136" s="141">
        <v>0</v>
      </c>
      <c r="AJ136" s="141">
        <v>0</v>
      </c>
      <c r="AK136" s="144">
        <v>0</v>
      </c>
      <c r="AL136" s="2629"/>
      <c r="AM136" s="607" t="s">
        <v>2233</v>
      </c>
      <c r="AN136" s="143">
        <v>-1.0898724735677545E-4</v>
      </c>
      <c r="AO136" s="141">
        <v>-1.3089368407548574E-3</v>
      </c>
      <c r="AP136" s="141">
        <v>1.0898724735677545E-4</v>
      </c>
      <c r="AQ136" s="141">
        <v>-8.0378094925623333E-4</v>
      </c>
      <c r="AR136" s="141">
        <v>-5.6264666447935121E-3</v>
      </c>
      <c r="AS136" s="144">
        <v>-5.9942986046229577E-4</v>
      </c>
      <c r="AT136" s="2629"/>
      <c r="AU136" s="607" t="s">
        <v>2233</v>
      </c>
      <c r="AV136" s="141">
        <v>0.12524410410738493</v>
      </c>
      <c r="AW136" s="227" t="s">
        <v>2233</v>
      </c>
      <c r="AX136" s="130">
        <f t="shared" si="47"/>
        <v>0.11242623830021294</v>
      </c>
    </row>
    <row r="137" spans="2:50" s="98" customFormat="1" ht="15" customHeight="1">
      <c r="B137" s="181"/>
      <c r="C137" s="182" t="s">
        <v>1710</v>
      </c>
      <c r="D137" s="182"/>
      <c r="E137" s="182"/>
      <c r="F137" s="182"/>
      <c r="G137" s="184"/>
      <c r="H137" s="184"/>
      <c r="I137" s="607" t="s">
        <v>2233</v>
      </c>
      <c r="J137" s="128">
        <f>SUM(J128:J136)</f>
        <v>0</v>
      </c>
      <c r="K137" s="129">
        <f t="shared" ref="K137:V137" si="48">SUM(K128:K136)</f>
        <v>0</v>
      </c>
      <c r="L137" s="129">
        <f t="shared" si="48"/>
        <v>0</v>
      </c>
      <c r="M137" s="129">
        <f t="shared" si="48"/>
        <v>0</v>
      </c>
      <c r="N137" s="129">
        <f t="shared" si="48"/>
        <v>0</v>
      </c>
      <c r="O137" s="129">
        <f t="shared" si="48"/>
        <v>0</v>
      </c>
      <c r="P137" s="129">
        <f t="shared" si="48"/>
        <v>0</v>
      </c>
      <c r="Q137" s="130">
        <f t="shared" si="48"/>
        <v>0</v>
      </c>
      <c r="R137" s="128">
        <f t="shared" si="48"/>
        <v>0</v>
      </c>
      <c r="S137" s="129">
        <f t="shared" si="48"/>
        <v>0</v>
      </c>
      <c r="T137" s="129">
        <f t="shared" si="48"/>
        <v>0</v>
      </c>
      <c r="U137" s="129">
        <f t="shared" si="48"/>
        <v>0</v>
      </c>
      <c r="V137" s="130">
        <f t="shared" si="48"/>
        <v>0</v>
      </c>
      <c r="W137" s="2629"/>
      <c r="X137" s="607" t="s">
        <v>2233</v>
      </c>
      <c r="Y137" s="128">
        <f>SUM(Y128:Y136)</f>
        <v>-1.3198605613305614</v>
      </c>
      <c r="Z137" s="129">
        <f t="shared" ref="Z137:AK137" si="49">SUM(Z128:Z136)</f>
        <v>-1.3026146707909854</v>
      </c>
      <c r="AA137" s="129">
        <f t="shared" si="49"/>
        <v>-0.65764585607940451</v>
      </c>
      <c r="AB137" s="129">
        <f t="shared" si="49"/>
        <v>-0.19870403166869671</v>
      </c>
      <c r="AC137" s="129">
        <f t="shared" si="49"/>
        <v>-0.3607615268557634</v>
      </c>
      <c r="AD137" s="129">
        <f t="shared" si="49"/>
        <v>-0.64819507900677187</v>
      </c>
      <c r="AE137" s="129">
        <f t="shared" si="49"/>
        <v>-1.5546942327747031</v>
      </c>
      <c r="AF137" s="130">
        <f t="shared" si="49"/>
        <v>-1.2562508908795675</v>
      </c>
      <c r="AG137" s="128">
        <f t="shared" si="49"/>
        <v>-1.9103086802915372</v>
      </c>
      <c r="AH137" s="129">
        <f t="shared" si="49"/>
        <v>-1.9103086802915372</v>
      </c>
      <c r="AI137" s="129">
        <f t="shared" si="49"/>
        <v>-1.9103086802915372</v>
      </c>
      <c r="AJ137" s="129">
        <f t="shared" si="49"/>
        <v>-1.9103086802915372</v>
      </c>
      <c r="AK137" s="130">
        <f t="shared" si="49"/>
        <v>-1.9103086802915372</v>
      </c>
      <c r="AL137" s="2629"/>
      <c r="AM137" s="607" t="s">
        <v>2233</v>
      </c>
      <c r="AN137" s="128">
        <f>SUM(AN128:AN136)</f>
        <v>1.8838199965038292E-2</v>
      </c>
      <c r="AO137" s="129">
        <f t="shared" ref="AO137:AS137" si="50">SUM(AO128:AO136)</f>
        <v>-0.11836406075542101</v>
      </c>
      <c r="AP137" s="129">
        <f t="shared" si="50"/>
        <v>0.14807978602266933</v>
      </c>
      <c r="AQ137" s="129">
        <f t="shared" si="50"/>
        <v>8.8943452469927325E-2</v>
      </c>
      <c r="AR137" s="129">
        <f t="shared" si="50"/>
        <v>0.18439004312320637</v>
      </c>
      <c r="AS137" s="130">
        <f t="shared" si="50"/>
        <v>-1.8601419848425033E-2</v>
      </c>
      <c r="AT137" s="2629"/>
      <c r="AU137" s="607" t="s">
        <v>2233</v>
      </c>
      <c r="AV137" s="876">
        <f>SUM(AV128:AV136)</f>
        <v>49.819028058524303</v>
      </c>
      <c r="AW137" s="227" t="s">
        <v>2233</v>
      </c>
      <c r="AX137" s="712">
        <f>SUM(AX128:AX136)</f>
        <v>46.301328832624307</v>
      </c>
    </row>
    <row r="138" spans="2:50" s="98" customFormat="1" ht="15" customHeight="1">
      <c r="B138" s="181"/>
      <c r="C138" s="185"/>
      <c r="D138" s="182"/>
      <c r="E138" s="182"/>
      <c r="F138" s="182"/>
      <c r="G138" s="184"/>
      <c r="H138" s="184"/>
      <c r="I138" s="94"/>
      <c r="J138" s="713"/>
      <c r="K138" s="2690"/>
      <c r="L138" s="2690"/>
      <c r="M138" s="2690"/>
      <c r="N138" s="2690"/>
      <c r="O138" s="2690"/>
      <c r="P138" s="2690"/>
      <c r="Q138" s="715"/>
      <c r="R138" s="2690"/>
      <c r="S138" s="2690"/>
      <c r="T138" s="2690"/>
      <c r="U138" s="2690"/>
      <c r="V138" s="715"/>
      <c r="W138" s="2629"/>
      <c r="X138" s="94"/>
      <c r="Y138" s="713"/>
      <c r="Z138" s="2690"/>
      <c r="AA138" s="2690"/>
      <c r="AB138" s="2690"/>
      <c r="AC138" s="2690"/>
      <c r="AD138" s="2690"/>
      <c r="AE138" s="2690"/>
      <c r="AF138" s="715"/>
      <c r="AG138" s="2690"/>
      <c r="AH138" s="2690"/>
      <c r="AI138" s="2690"/>
      <c r="AJ138" s="2690"/>
      <c r="AK138" s="715"/>
      <c r="AL138" s="2629"/>
      <c r="AM138" s="94"/>
      <c r="AN138" s="713"/>
      <c r="AO138" s="2690"/>
      <c r="AP138" s="2690"/>
      <c r="AQ138" s="2690"/>
      <c r="AR138" s="2690"/>
      <c r="AS138" s="752"/>
      <c r="AT138" s="2629"/>
      <c r="AU138" s="2629"/>
      <c r="AV138" s="2629"/>
      <c r="AW138" s="185"/>
      <c r="AX138" s="839"/>
    </row>
    <row r="139" spans="2:50" s="98" customFormat="1" ht="15" customHeight="1">
      <c r="B139" s="161"/>
      <c r="C139" s="180" t="s">
        <v>2875</v>
      </c>
      <c r="D139" s="162"/>
      <c r="E139" s="162"/>
      <c r="F139" s="162"/>
      <c r="G139" s="163"/>
      <c r="H139" s="163"/>
      <c r="I139" s="94"/>
      <c r="J139" s="713"/>
      <c r="K139" s="2649"/>
      <c r="L139" s="2649"/>
      <c r="M139" s="2649"/>
      <c r="N139" s="2649"/>
      <c r="O139" s="2649"/>
      <c r="P139" s="2649"/>
      <c r="Q139" s="715"/>
      <c r="R139" s="713"/>
      <c r="S139" s="2649"/>
      <c r="T139" s="2649"/>
      <c r="U139" s="2649"/>
      <c r="V139" s="715"/>
      <c r="W139" s="2629"/>
      <c r="X139" s="94"/>
      <c r="Y139" s="713"/>
      <c r="Z139" s="2649"/>
      <c r="AA139" s="2649"/>
      <c r="AB139" s="2649"/>
      <c r="AC139" s="2649"/>
      <c r="AD139" s="2649"/>
      <c r="AE139" s="2649"/>
      <c r="AF139" s="715"/>
      <c r="AG139" s="713"/>
      <c r="AH139" s="2649"/>
      <c r="AI139" s="2649"/>
      <c r="AJ139" s="2649"/>
      <c r="AK139" s="715"/>
      <c r="AL139" s="2629"/>
      <c r="AM139" s="94"/>
      <c r="AN139" s="713"/>
      <c r="AO139" s="2649"/>
      <c r="AP139" s="2649"/>
      <c r="AQ139" s="2649"/>
      <c r="AR139" s="2649"/>
      <c r="AS139" s="715"/>
      <c r="AT139" s="2629"/>
      <c r="AU139" s="2629"/>
      <c r="AV139" s="2629"/>
      <c r="AW139" s="185"/>
      <c r="AX139" s="839"/>
    </row>
    <row r="140" spans="2:50" s="98" customFormat="1" ht="15" customHeight="1">
      <c r="B140" s="161"/>
      <c r="C140" s="185"/>
      <c r="D140" s="162" t="s">
        <v>2862</v>
      </c>
      <c r="E140" s="162"/>
      <c r="F140" s="162"/>
      <c r="G140" s="162"/>
      <c r="H140" s="163"/>
      <c r="I140" s="607" t="s">
        <v>2233</v>
      </c>
      <c r="J140" s="143">
        <v>0</v>
      </c>
      <c r="K140" s="141">
        <v>0</v>
      </c>
      <c r="L140" s="141">
        <v>0</v>
      </c>
      <c r="M140" s="141">
        <v>0</v>
      </c>
      <c r="N140" s="141">
        <v>0</v>
      </c>
      <c r="O140" s="141">
        <v>0</v>
      </c>
      <c r="P140" s="141">
        <v>0</v>
      </c>
      <c r="Q140" s="144">
        <v>0</v>
      </c>
      <c r="R140" s="143">
        <v>0</v>
      </c>
      <c r="S140" s="141">
        <v>0</v>
      </c>
      <c r="T140" s="141">
        <v>0</v>
      </c>
      <c r="U140" s="141">
        <v>0</v>
      </c>
      <c r="V140" s="144">
        <v>0</v>
      </c>
      <c r="W140" s="2629"/>
      <c r="X140" s="607" t="s">
        <v>2233</v>
      </c>
      <c r="Y140" s="143">
        <v>-0.33339084507042255</v>
      </c>
      <c r="Z140" s="141">
        <v>-0.36606968253968253</v>
      </c>
      <c r="AA140" s="141">
        <v>-0.24037156078039015</v>
      </c>
      <c r="AB140" s="141">
        <v>-0.24831053354705748</v>
      </c>
      <c r="AC140" s="141">
        <v>-0.11404859611231102</v>
      </c>
      <c r="AD140" s="141">
        <v>-0.21165457283822386</v>
      </c>
      <c r="AE140" s="141">
        <v>-6.1708843242236767E-4</v>
      </c>
      <c r="AF140" s="144">
        <v>-4.2701082603711525E-4</v>
      </c>
      <c r="AG140" s="143">
        <v>-7.2096365632184939E-2</v>
      </c>
      <c r="AH140" s="141">
        <v>-7.2096365632184939E-2</v>
      </c>
      <c r="AI140" s="141">
        <v>-7.2096365632184939E-2</v>
      </c>
      <c r="AJ140" s="141">
        <v>-7.2096365632184939E-2</v>
      </c>
      <c r="AK140" s="144">
        <v>-7.2096365632184939E-2</v>
      </c>
      <c r="AL140" s="2629"/>
      <c r="AM140" s="607" t="s">
        <v>2233</v>
      </c>
      <c r="AN140" s="143">
        <v>4.1717948866109673E-6</v>
      </c>
      <c r="AO140" s="141">
        <v>6.5547101616761859E-4</v>
      </c>
      <c r="AP140" s="141">
        <v>-2.0923907809532633E-4</v>
      </c>
      <c r="AQ140" s="141">
        <v>1.0117213532336955E-3</v>
      </c>
      <c r="AR140" s="141">
        <v>4.4167612859362734E-4</v>
      </c>
      <c r="AS140" s="144">
        <v>5.8592248250143042E-4</v>
      </c>
      <c r="AT140" s="2629"/>
      <c r="AU140" s="607" t="s">
        <v>2233</v>
      </c>
      <c r="AV140" s="141">
        <v>3.213118104441369E-2</v>
      </c>
      <c r="AW140" s="227" t="s">
        <v>2233</v>
      </c>
      <c r="AX140" s="130">
        <f>SUM(AV140,J140:N140,Y140:AC140,AN140:AR140)</f>
        <v>-1.2681562357906635</v>
      </c>
    </row>
    <row r="141" spans="2:50" s="98" customFormat="1" ht="15" customHeight="1">
      <c r="B141" s="161"/>
      <c r="C141" s="185"/>
      <c r="D141" s="162" t="s">
        <v>2863</v>
      </c>
      <c r="E141" s="162"/>
      <c r="F141" s="162"/>
      <c r="G141" s="162"/>
      <c r="H141" s="163"/>
      <c r="I141" s="607" t="s">
        <v>2233</v>
      </c>
      <c r="J141" s="143">
        <v>0</v>
      </c>
      <c r="K141" s="141">
        <v>0</v>
      </c>
      <c r="L141" s="141">
        <v>0</v>
      </c>
      <c r="M141" s="141">
        <v>0</v>
      </c>
      <c r="N141" s="141">
        <v>0</v>
      </c>
      <c r="O141" s="141">
        <v>0</v>
      </c>
      <c r="P141" s="141">
        <v>0</v>
      </c>
      <c r="Q141" s="144">
        <v>0</v>
      </c>
      <c r="R141" s="143">
        <v>0</v>
      </c>
      <c r="S141" s="141">
        <v>0</v>
      </c>
      <c r="T141" s="141">
        <v>0</v>
      </c>
      <c r="U141" s="141">
        <v>0</v>
      </c>
      <c r="V141" s="144">
        <v>0</v>
      </c>
      <c r="W141" s="2629"/>
      <c r="X141" s="607" t="s">
        <v>2233</v>
      </c>
      <c r="Y141" s="143">
        <v>-2.9375809859154929</v>
      </c>
      <c r="Z141" s="141">
        <v>-3.6289997530864193</v>
      </c>
      <c r="AA141" s="141">
        <v>-2.8148430465232614</v>
      </c>
      <c r="AB141" s="141">
        <v>-2.7738215708724527</v>
      </c>
      <c r="AC141" s="141">
        <v>-1.358263898488121</v>
      </c>
      <c r="AD141" s="141">
        <v>-3.4937100623214747</v>
      </c>
      <c r="AE141" s="141">
        <v>-3.1345831780291078E-3</v>
      </c>
      <c r="AF141" s="144">
        <v>-2.1690585689282788E-3</v>
      </c>
      <c r="AG141" s="143">
        <v>-1.6814120941039949</v>
      </c>
      <c r="AH141" s="141">
        <v>-1.6814120941039949</v>
      </c>
      <c r="AI141" s="141">
        <v>-1.6814120941039949</v>
      </c>
      <c r="AJ141" s="141">
        <v>-1.6814120941039949</v>
      </c>
      <c r="AK141" s="144">
        <v>-1.6814120941039949</v>
      </c>
      <c r="AL141" s="2629"/>
      <c r="AM141" s="607" t="s">
        <v>2233</v>
      </c>
      <c r="AN141" s="143">
        <v>-3.7120133436649834E-4</v>
      </c>
      <c r="AO141" s="141">
        <v>-5.2831416239955652E-3</v>
      </c>
      <c r="AP141" s="141">
        <v>8.9585659873072758E-3</v>
      </c>
      <c r="AQ141" s="141">
        <v>2.0880797116386548E-3</v>
      </c>
      <c r="AR141" s="141">
        <v>5.3047399708863992E-3</v>
      </c>
      <c r="AS141" s="144">
        <v>8.6792809054717628E-3</v>
      </c>
      <c r="AT141" s="2629"/>
      <c r="AU141" s="607" t="s">
        <v>2233</v>
      </c>
      <c r="AV141" s="141">
        <v>1.7263483519142406</v>
      </c>
      <c r="AW141" s="227" t="s">
        <v>2233</v>
      </c>
      <c r="AX141" s="130">
        <f t="shared" ref="AX141:AX148" si="51">SUM(AV141,J141:N141,Y141:AC141,AN141:AR141)</f>
        <v>-11.776463860260035</v>
      </c>
    </row>
    <row r="142" spans="2:50" s="98" customFormat="1" ht="15" customHeight="1">
      <c r="B142" s="161"/>
      <c r="C142" s="185"/>
      <c r="D142" s="162" t="s">
        <v>2864</v>
      </c>
      <c r="E142" s="162"/>
      <c r="F142" s="162"/>
      <c r="G142" s="162"/>
      <c r="H142" s="163"/>
      <c r="I142" s="607" t="s">
        <v>2233</v>
      </c>
      <c r="J142" s="143">
        <v>0</v>
      </c>
      <c r="K142" s="141">
        <v>0</v>
      </c>
      <c r="L142" s="141">
        <v>0</v>
      </c>
      <c r="M142" s="141">
        <v>0</v>
      </c>
      <c r="N142" s="141">
        <v>0</v>
      </c>
      <c r="O142" s="141">
        <v>0</v>
      </c>
      <c r="P142" s="141">
        <v>0</v>
      </c>
      <c r="Q142" s="144">
        <v>0</v>
      </c>
      <c r="R142" s="143">
        <v>0</v>
      </c>
      <c r="S142" s="141">
        <v>0</v>
      </c>
      <c r="T142" s="141">
        <v>0</v>
      </c>
      <c r="U142" s="141">
        <v>0</v>
      </c>
      <c r="V142" s="144">
        <v>0</v>
      </c>
      <c r="W142" s="2629"/>
      <c r="X142" s="607" t="s">
        <v>2233</v>
      </c>
      <c r="Y142" s="143">
        <v>-1.1801619718309859</v>
      </c>
      <c r="Z142" s="141">
        <v>-1.4544136331569664</v>
      </c>
      <c r="AA142" s="141">
        <v>-1.019018884442221</v>
      </c>
      <c r="AB142" s="141">
        <v>-1.0006136936111747</v>
      </c>
      <c r="AC142" s="141">
        <v>-0.52626249460043195</v>
      </c>
      <c r="AD142" s="141">
        <v>-1.9548329524798758</v>
      </c>
      <c r="AE142" s="141">
        <v>-1.27400644020809</v>
      </c>
      <c r="AF142" s="144">
        <v>-1.0041036678261608</v>
      </c>
      <c r="AG142" s="143">
        <v>-0.83247031735261801</v>
      </c>
      <c r="AH142" s="141">
        <v>-0.83247031735261801</v>
      </c>
      <c r="AI142" s="141">
        <v>-0.83247031735261801</v>
      </c>
      <c r="AJ142" s="141">
        <v>-0.83247031735261801</v>
      </c>
      <c r="AK142" s="144">
        <v>-0.83247031735261801</v>
      </c>
      <c r="AL142" s="2629"/>
      <c r="AM142" s="607" t="s">
        <v>2233</v>
      </c>
      <c r="AN142" s="143">
        <v>-6.9712389557080881E-2</v>
      </c>
      <c r="AO142" s="141">
        <v>-0.33855104478763387</v>
      </c>
      <c r="AP142" s="141">
        <v>7.7403055409032293E-2</v>
      </c>
      <c r="AQ142" s="141">
        <v>0.36176805716519589</v>
      </c>
      <c r="AR142" s="141">
        <v>0.10267537400823963</v>
      </c>
      <c r="AS142" s="144">
        <v>0.27515656058366827</v>
      </c>
      <c r="AT142" s="2629"/>
      <c r="AU142" s="607" t="s">
        <v>2233</v>
      </c>
      <c r="AV142" s="141">
        <v>72.198384374270049</v>
      </c>
      <c r="AW142" s="227" t="s">
        <v>2233</v>
      </c>
      <c r="AX142" s="130">
        <f t="shared" si="51"/>
        <v>67.151496748866037</v>
      </c>
    </row>
    <row r="143" spans="2:50" s="98" customFormat="1" ht="15" customHeight="1">
      <c r="B143" s="161"/>
      <c r="C143" s="185"/>
      <c r="D143" s="162" t="s">
        <v>2865</v>
      </c>
      <c r="E143" s="162"/>
      <c r="F143" s="162"/>
      <c r="G143" s="162"/>
      <c r="H143" s="163"/>
      <c r="I143" s="607" t="s">
        <v>2233</v>
      </c>
      <c r="J143" s="143">
        <v>0</v>
      </c>
      <c r="K143" s="141">
        <v>0</v>
      </c>
      <c r="L143" s="141">
        <v>0</v>
      </c>
      <c r="M143" s="141">
        <v>0</v>
      </c>
      <c r="N143" s="141">
        <v>0</v>
      </c>
      <c r="O143" s="141">
        <v>0</v>
      </c>
      <c r="P143" s="141">
        <v>0</v>
      </c>
      <c r="Q143" s="144">
        <v>0</v>
      </c>
      <c r="R143" s="143">
        <v>0</v>
      </c>
      <c r="S143" s="141">
        <v>0</v>
      </c>
      <c r="T143" s="141">
        <v>0</v>
      </c>
      <c r="U143" s="141">
        <v>0</v>
      </c>
      <c r="V143" s="144">
        <v>0</v>
      </c>
      <c r="W143" s="2629"/>
      <c r="X143" s="607" t="s">
        <v>2233</v>
      </c>
      <c r="Y143" s="143">
        <v>-0.49887676056338026</v>
      </c>
      <c r="Z143" s="141">
        <v>-0.63334303350970012</v>
      </c>
      <c r="AA143" s="141">
        <v>-0.40389257128564282</v>
      </c>
      <c r="AB143" s="141">
        <v>-0.35191550263338683</v>
      </c>
      <c r="AC143" s="141">
        <v>-0.20611447084233261</v>
      </c>
      <c r="AD143" s="141">
        <v>-0.65112098935341467</v>
      </c>
      <c r="AE143" s="141">
        <v>-0.87797529780370898</v>
      </c>
      <c r="AF143" s="144">
        <v>-0.73313185265007252</v>
      </c>
      <c r="AG143" s="143">
        <v>-0.42502069174736823</v>
      </c>
      <c r="AH143" s="141">
        <v>-0.42502069174736823</v>
      </c>
      <c r="AI143" s="141">
        <v>-0.42502069174736823</v>
      </c>
      <c r="AJ143" s="141">
        <v>-0.42502069174736823</v>
      </c>
      <c r="AK143" s="144">
        <v>-0.42502069174736823</v>
      </c>
      <c r="AL143" s="2629"/>
      <c r="AM143" s="607" t="s">
        <v>2233</v>
      </c>
      <c r="AN143" s="143">
        <v>-2.503662225444455E-2</v>
      </c>
      <c r="AO143" s="141">
        <v>5.5174487956785735E-2</v>
      </c>
      <c r="AP143" s="141">
        <v>-0.37981271069365824</v>
      </c>
      <c r="AQ143" s="141">
        <v>-9.0585067475047326E-2</v>
      </c>
      <c r="AR143" s="141">
        <v>-0.10407082221259407</v>
      </c>
      <c r="AS143" s="144">
        <v>0.12551046379292172</v>
      </c>
      <c r="AT143" s="2629"/>
      <c r="AU143" s="607" t="s">
        <v>2233</v>
      </c>
      <c r="AV143" s="141">
        <v>95.273632153529945</v>
      </c>
      <c r="AW143" s="227" t="s">
        <v>2233</v>
      </c>
      <c r="AX143" s="130">
        <f t="shared" si="51"/>
        <v>92.63515908001655</v>
      </c>
    </row>
    <row r="144" spans="2:50" s="98" customFormat="1" ht="15" customHeight="1">
      <c r="B144" s="161"/>
      <c r="C144" s="185"/>
      <c r="D144" s="162" t="s">
        <v>2866</v>
      </c>
      <c r="E144" s="162"/>
      <c r="F144" s="162"/>
      <c r="G144" s="162"/>
      <c r="H144" s="163"/>
      <c r="I144" s="607" t="s">
        <v>2233</v>
      </c>
      <c r="J144" s="143">
        <v>0</v>
      </c>
      <c r="K144" s="141">
        <v>0</v>
      </c>
      <c r="L144" s="141">
        <v>0</v>
      </c>
      <c r="M144" s="141">
        <v>0</v>
      </c>
      <c r="N144" s="141">
        <v>0</v>
      </c>
      <c r="O144" s="141">
        <v>0</v>
      </c>
      <c r="P144" s="141">
        <v>0</v>
      </c>
      <c r="Q144" s="144">
        <v>0</v>
      </c>
      <c r="R144" s="143">
        <v>0</v>
      </c>
      <c r="S144" s="141">
        <v>0</v>
      </c>
      <c r="T144" s="141">
        <v>0</v>
      </c>
      <c r="U144" s="141">
        <v>0</v>
      </c>
      <c r="V144" s="144">
        <v>0</v>
      </c>
      <c r="W144" s="2629"/>
      <c r="X144" s="607" t="s">
        <v>2233</v>
      </c>
      <c r="Y144" s="143">
        <v>-4.2253521126760566E-4</v>
      </c>
      <c r="Z144" s="141">
        <v>-5.9382716049382715E-3</v>
      </c>
      <c r="AA144" s="141">
        <v>-1.6258129064532264E-4</v>
      </c>
      <c r="AB144" s="141">
        <v>-2.4845431646439205E-3</v>
      </c>
      <c r="AC144" s="141">
        <v>-7.4082073434125274E-4</v>
      </c>
      <c r="AD144" s="141">
        <v>-4.6850168787327968E-3</v>
      </c>
      <c r="AE144" s="141">
        <v>0</v>
      </c>
      <c r="AF144" s="144">
        <v>0</v>
      </c>
      <c r="AG144" s="143">
        <v>0</v>
      </c>
      <c r="AH144" s="141">
        <v>0</v>
      </c>
      <c r="AI144" s="141">
        <v>0</v>
      </c>
      <c r="AJ144" s="141">
        <v>0</v>
      </c>
      <c r="AK144" s="144">
        <v>0</v>
      </c>
      <c r="AL144" s="2629"/>
      <c r="AM144" s="607" t="s">
        <v>2233</v>
      </c>
      <c r="AN144" s="143">
        <v>0</v>
      </c>
      <c r="AO144" s="141">
        <v>0</v>
      </c>
      <c r="AP144" s="141">
        <v>0</v>
      </c>
      <c r="AQ144" s="141">
        <v>0</v>
      </c>
      <c r="AR144" s="141">
        <v>0</v>
      </c>
      <c r="AS144" s="144">
        <v>0</v>
      </c>
      <c r="AT144" s="2629"/>
      <c r="AU144" s="607" t="s">
        <v>2233</v>
      </c>
      <c r="AV144" s="141">
        <v>0</v>
      </c>
      <c r="AW144" s="227" t="s">
        <v>2233</v>
      </c>
      <c r="AX144" s="130">
        <f t="shared" si="51"/>
        <v>-9.7487520058363725E-3</v>
      </c>
    </row>
    <row r="145" spans="1:50" s="98" customFormat="1" ht="15" customHeight="1">
      <c r="B145" s="161"/>
      <c r="C145" s="185"/>
      <c r="D145" s="162" t="s">
        <v>2867</v>
      </c>
      <c r="E145" s="162"/>
      <c r="F145" s="162"/>
      <c r="G145" s="162"/>
      <c r="H145" s="163"/>
      <c r="I145" s="607" t="s">
        <v>2233</v>
      </c>
      <c r="J145" s="143">
        <v>0</v>
      </c>
      <c r="K145" s="141">
        <v>0</v>
      </c>
      <c r="L145" s="141">
        <v>0</v>
      </c>
      <c r="M145" s="141">
        <v>0</v>
      </c>
      <c r="N145" s="141">
        <v>0</v>
      </c>
      <c r="O145" s="141">
        <v>0</v>
      </c>
      <c r="P145" s="141">
        <v>0</v>
      </c>
      <c r="Q145" s="144">
        <v>0</v>
      </c>
      <c r="R145" s="143">
        <v>0</v>
      </c>
      <c r="S145" s="141">
        <v>0</v>
      </c>
      <c r="T145" s="141">
        <v>0</v>
      </c>
      <c r="U145" s="141">
        <v>0</v>
      </c>
      <c r="V145" s="144">
        <v>0</v>
      </c>
      <c r="W145" s="2629"/>
      <c r="X145" s="607" t="s">
        <v>2233</v>
      </c>
      <c r="Y145" s="143">
        <v>-0.14461267605633801</v>
      </c>
      <c r="Z145" s="141">
        <v>-0.24755485008818337</v>
      </c>
      <c r="AA145" s="141">
        <v>-0.13252813906953476</v>
      </c>
      <c r="AB145" s="141">
        <v>-0.10459926723150904</v>
      </c>
      <c r="AC145" s="141">
        <v>-6.1486079913606911E-2</v>
      </c>
      <c r="AD145" s="141">
        <v>-0.25656504803947028</v>
      </c>
      <c r="AE145" s="141">
        <v>0</v>
      </c>
      <c r="AF145" s="144">
        <v>0</v>
      </c>
      <c r="AG145" s="143">
        <v>0</v>
      </c>
      <c r="AH145" s="141">
        <v>0</v>
      </c>
      <c r="AI145" s="141">
        <v>0</v>
      </c>
      <c r="AJ145" s="141">
        <v>0</v>
      </c>
      <c r="AK145" s="144">
        <v>0</v>
      </c>
      <c r="AL145" s="2629"/>
      <c r="AM145" s="607" t="s">
        <v>2233</v>
      </c>
      <c r="AN145" s="143">
        <v>-5.8488634897119918E-2</v>
      </c>
      <c r="AO145" s="141">
        <v>-2.2782379115913524E-2</v>
      </c>
      <c r="AP145" s="141">
        <v>-0.29423608223103959</v>
      </c>
      <c r="AQ145" s="141">
        <v>0.21805493409547558</v>
      </c>
      <c r="AR145" s="141">
        <v>0.13692834876212082</v>
      </c>
      <c r="AS145" s="144">
        <v>-1.870849429427561E-2</v>
      </c>
      <c r="AT145" s="2629"/>
      <c r="AU145" s="607" t="s">
        <v>2233</v>
      </c>
      <c r="AV145" s="141">
        <v>147.78633578955393</v>
      </c>
      <c r="AW145" s="227" t="s">
        <v>2233</v>
      </c>
      <c r="AX145" s="130">
        <f t="shared" si="51"/>
        <v>147.07503096380827</v>
      </c>
    </row>
    <row r="146" spans="1:50" s="98" customFormat="1" ht="15" customHeight="1">
      <c r="B146" s="161"/>
      <c r="C146" s="185"/>
      <c r="D146" s="162" t="s">
        <v>2868</v>
      </c>
      <c r="E146" s="162"/>
      <c r="F146" s="162"/>
      <c r="G146" s="162"/>
      <c r="H146" s="163"/>
      <c r="I146" s="607" t="s">
        <v>2233</v>
      </c>
      <c r="J146" s="143">
        <v>0</v>
      </c>
      <c r="K146" s="141">
        <v>0</v>
      </c>
      <c r="L146" s="141">
        <v>0</v>
      </c>
      <c r="M146" s="141">
        <v>0</v>
      </c>
      <c r="N146" s="141">
        <v>0</v>
      </c>
      <c r="O146" s="141">
        <v>0</v>
      </c>
      <c r="P146" s="141">
        <v>0</v>
      </c>
      <c r="Q146" s="144">
        <v>0</v>
      </c>
      <c r="R146" s="143">
        <v>0</v>
      </c>
      <c r="S146" s="141">
        <v>0</v>
      </c>
      <c r="T146" s="141">
        <v>0</v>
      </c>
      <c r="U146" s="141">
        <v>0</v>
      </c>
      <c r="V146" s="144">
        <v>0</v>
      </c>
      <c r="W146" s="2629"/>
      <c r="X146" s="607" t="s">
        <v>2233</v>
      </c>
      <c r="Y146" s="143">
        <v>-0.11552112676056338</v>
      </c>
      <c r="Z146" s="141">
        <v>-8.7148148148148141E-2</v>
      </c>
      <c r="AA146" s="141">
        <v>-1.889194597298649E-2</v>
      </c>
      <c r="AB146" s="141">
        <v>-3.1641859400045796E-2</v>
      </c>
      <c r="AC146" s="141">
        <v>-4.9052915766738661E-2</v>
      </c>
      <c r="AD146" s="141">
        <v>-9.47387691508699E-2</v>
      </c>
      <c r="AE146" s="141">
        <v>0</v>
      </c>
      <c r="AF146" s="144">
        <v>0</v>
      </c>
      <c r="AG146" s="143">
        <v>0</v>
      </c>
      <c r="AH146" s="141">
        <v>0</v>
      </c>
      <c r="AI146" s="141">
        <v>0</v>
      </c>
      <c r="AJ146" s="141">
        <v>0</v>
      </c>
      <c r="AK146" s="144">
        <v>0</v>
      </c>
      <c r="AL146" s="2629"/>
      <c r="AM146" s="607" t="s">
        <v>2233</v>
      </c>
      <c r="AN146" s="143">
        <v>-2.1589432593594388E-2</v>
      </c>
      <c r="AO146" s="141">
        <v>-0.17775299502061431</v>
      </c>
      <c r="AP146" s="141">
        <v>8.2108381736916092E-2</v>
      </c>
      <c r="AQ146" s="141">
        <v>1.0280682187439452E-2</v>
      </c>
      <c r="AR146" s="141">
        <v>-0.24779870965760492</v>
      </c>
      <c r="AS146" s="144">
        <v>7.0381550255103398E-2</v>
      </c>
      <c r="AT146" s="2629"/>
      <c r="AU146" s="607" t="s">
        <v>2233</v>
      </c>
      <c r="AV146" s="141">
        <v>114.05008950515112</v>
      </c>
      <c r="AW146" s="227" t="s">
        <v>2233</v>
      </c>
      <c r="AX146" s="130">
        <f t="shared" si="51"/>
        <v>113.39308143575519</v>
      </c>
    </row>
    <row r="147" spans="1:50" s="98" customFormat="1" ht="15" customHeight="1">
      <c r="B147" s="161"/>
      <c r="C147" s="185"/>
      <c r="D147" s="162" t="s">
        <v>2869</v>
      </c>
      <c r="E147" s="162"/>
      <c r="F147" s="162"/>
      <c r="G147" s="162"/>
      <c r="H147" s="163"/>
      <c r="I147" s="607" t="s">
        <v>2233</v>
      </c>
      <c r="J147" s="143">
        <v>0</v>
      </c>
      <c r="K147" s="141">
        <v>0</v>
      </c>
      <c r="L147" s="141">
        <v>0</v>
      </c>
      <c r="M147" s="141">
        <v>0</v>
      </c>
      <c r="N147" s="141">
        <v>0</v>
      </c>
      <c r="O147" s="141">
        <v>0</v>
      </c>
      <c r="P147" s="141">
        <v>0</v>
      </c>
      <c r="Q147" s="144">
        <v>0</v>
      </c>
      <c r="R147" s="143">
        <v>0</v>
      </c>
      <c r="S147" s="141">
        <v>0</v>
      </c>
      <c r="T147" s="141">
        <v>0</v>
      </c>
      <c r="U147" s="141">
        <v>0</v>
      </c>
      <c r="V147" s="144">
        <v>0</v>
      </c>
      <c r="W147" s="2629"/>
      <c r="X147" s="607" t="s">
        <v>2233</v>
      </c>
      <c r="Y147" s="143">
        <v>-3.9823943661971832E-2</v>
      </c>
      <c r="Z147" s="141">
        <v>-5.2481481481481483E-2</v>
      </c>
      <c r="AA147" s="141">
        <v>-3.4792396198099047E-2</v>
      </c>
      <c r="AB147" s="141">
        <v>-4.6084268376459812E-2</v>
      </c>
      <c r="AC147" s="141">
        <v>-1.3304535637149028E-3</v>
      </c>
      <c r="AD147" s="141">
        <v>-3.5620618021293175E-2</v>
      </c>
      <c r="AE147" s="141">
        <v>0</v>
      </c>
      <c r="AF147" s="144">
        <v>0</v>
      </c>
      <c r="AG147" s="143">
        <v>0</v>
      </c>
      <c r="AH147" s="141">
        <v>0</v>
      </c>
      <c r="AI147" s="141">
        <v>0</v>
      </c>
      <c r="AJ147" s="141">
        <v>0</v>
      </c>
      <c r="AK147" s="144">
        <v>0</v>
      </c>
      <c r="AL147" s="2629"/>
      <c r="AM147" s="607" t="s">
        <v>2233</v>
      </c>
      <c r="AN147" s="143">
        <v>-3.0893943994704065E-4</v>
      </c>
      <c r="AO147" s="141">
        <v>-0.67997570732342816</v>
      </c>
      <c r="AP147" s="141">
        <v>2.5560009990704936E-2</v>
      </c>
      <c r="AQ147" s="141">
        <v>-0.19828868135376904</v>
      </c>
      <c r="AR147" s="141">
        <v>3.7829319177278271E-3</v>
      </c>
      <c r="AS147" s="144">
        <v>3.0074308746095837E-3</v>
      </c>
      <c r="AT147" s="2629"/>
      <c r="AU147" s="607" t="s">
        <v>2233</v>
      </c>
      <c r="AV147" s="141">
        <v>76.915112710080294</v>
      </c>
      <c r="AW147" s="227" t="s">
        <v>2233</v>
      </c>
      <c r="AX147" s="130">
        <f t="shared" si="51"/>
        <v>75.891369780589855</v>
      </c>
    </row>
    <row r="148" spans="1:50" s="98" customFormat="1" ht="15" customHeight="1">
      <c r="B148" s="161"/>
      <c r="C148" s="185"/>
      <c r="D148" s="162" t="s">
        <v>2870</v>
      </c>
      <c r="E148" s="162"/>
      <c r="F148" s="162"/>
      <c r="G148" s="162"/>
      <c r="H148" s="163"/>
      <c r="I148" s="607" t="s">
        <v>2233</v>
      </c>
      <c r="J148" s="143">
        <v>0</v>
      </c>
      <c r="K148" s="141">
        <v>0</v>
      </c>
      <c r="L148" s="141">
        <v>0</v>
      </c>
      <c r="M148" s="141">
        <v>0</v>
      </c>
      <c r="N148" s="141">
        <v>0</v>
      </c>
      <c r="O148" s="141">
        <v>0</v>
      </c>
      <c r="P148" s="141">
        <v>0</v>
      </c>
      <c r="Q148" s="144">
        <v>0</v>
      </c>
      <c r="R148" s="143">
        <v>0</v>
      </c>
      <c r="S148" s="141">
        <v>0</v>
      </c>
      <c r="T148" s="141">
        <v>0</v>
      </c>
      <c r="U148" s="141">
        <v>0</v>
      </c>
      <c r="V148" s="144">
        <v>0</v>
      </c>
      <c r="W148" s="2629"/>
      <c r="X148" s="607" t="s">
        <v>2233</v>
      </c>
      <c r="Y148" s="143">
        <v>0</v>
      </c>
      <c r="Z148" s="141">
        <v>-1.765432098765432E-3</v>
      </c>
      <c r="AA148" s="141">
        <v>0</v>
      </c>
      <c r="AB148" s="141">
        <v>-9.1367071215937715E-4</v>
      </c>
      <c r="AC148" s="141">
        <v>0</v>
      </c>
      <c r="AD148" s="141">
        <v>0</v>
      </c>
      <c r="AE148" s="141">
        <v>0</v>
      </c>
      <c r="AF148" s="144">
        <v>0</v>
      </c>
      <c r="AG148" s="143">
        <v>0</v>
      </c>
      <c r="AH148" s="141">
        <v>0</v>
      </c>
      <c r="AI148" s="141">
        <v>0</v>
      </c>
      <c r="AJ148" s="141">
        <v>0</v>
      </c>
      <c r="AK148" s="144">
        <v>0</v>
      </c>
      <c r="AL148" s="2629"/>
      <c r="AM148" s="607" t="s">
        <v>2233</v>
      </c>
      <c r="AN148" s="143">
        <v>0</v>
      </c>
      <c r="AO148" s="141">
        <v>-2.7843137254901984E-4</v>
      </c>
      <c r="AP148" s="141">
        <v>0</v>
      </c>
      <c r="AQ148" s="141">
        <v>0</v>
      </c>
      <c r="AR148" s="141">
        <v>0</v>
      </c>
      <c r="AS148" s="144">
        <v>1.9768627450980392E-2</v>
      </c>
      <c r="AT148" s="2629"/>
      <c r="AU148" s="607" t="s">
        <v>2233</v>
      </c>
      <c r="AV148" s="141">
        <v>0</v>
      </c>
      <c r="AW148" s="227" t="s">
        <v>2233</v>
      </c>
      <c r="AX148" s="130">
        <f t="shared" si="51"/>
        <v>-2.957534183473829E-3</v>
      </c>
    </row>
    <row r="149" spans="1:50" s="98" customFormat="1" ht="15" customHeight="1">
      <c r="B149" s="181"/>
      <c r="C149" s="182" t="s">
        <v>1710</v>
      </c>
      <c r="D149" s="182"/>
      <c r="E149" s="182"/>
      <c r="F149" s="182"/>
      <c r="G149" s="184"/>
      <c r="H149" s="184"/>
      <c r="I149" s="607" t="s">
        <v>2233</v>
      </c>
      <c r="J149" s="128">
        <f>SUM(J140:J148)</f>
        <v>0</v>
      </c>
      <c r="K149" s="129">
        <f t="shared" ref="K149:V149" si="52">SUM(K140:K148)</f>
        <v>0</v>
      </c>
      <c r="L149" s="129">
        <f t="shared" si="52"/>
        <v>0</v>
      </c>
      <c r="M149" s="129">
        <f t="shared" si="52"/>
        <v>0</v>
      </c>
      <c r="N149" s="129">
        <f t="shared" si="52"/>
        <v>0</v>
      </c>
      <c r="O149" s="129">
        <f t="shared" si="52"/>
        <v>0</v>
      </c>
      <c r="P149" s="129">
        <f t="shared" si="52"/>
        <v>0</v>
      </c>
      <c r="Q149" s="130">
        <f t="shared" si="52"/>
        <v>0</v>
      </c>
      <c r="R149" s="128">
        <f t="shared" si="52"/>
        <v>0</v>
      </c>
      <c r="S149" s="129">
        <f t="shared" si="52"/>
        <v>0</v>
      </c>
      <c r="T149" s="129">
        <f t="shared" si="52"/>
        <v>0</v>
      </c>
      <c r="U149" s="129">
        <f t="shared" si="52"/>
        <v>0</v>
      </c>
      <c r="V149" s="130">
        <f t="shared" si="52"/>
        <v>0</v>
      </c>
      <c r="W149" s="2629"/>
      <c r="X149" s="607" t="s">
        <v>2233</v>
      </c>
      <c r="Y149" s="128">
        <f>SUM(Y140:Y148)</f>
        <v>-5.2503908450704229</v>
      </c>
      <c r="Z149" s="129">
        <f t="shared" ref="Z149:AK149" si="53">SUM(Z140:Z148)</f>
        <v>-6.477714285714284</v>
      </c>
      <c r="AA149" s="129">
        <f t="shared" si="53"/>
        <v>-4.6645011255627811</v>
      </c>
      <c r="AB149" s="129">
        <f t="shared" si="53"/>
        <v>-4.5603849095488904</v>
      </c>
      <c r="AC149" s="129">
        <f t="shared" si="53"/>
        <v>-2.3172997300215981</v>
      </c>
      <c r="AD149" s="129">
        <f t="shared" si="53"/>
        <v>-6.7029280290833553</v>
      </c>
      <c r="AE149" s="129">
        <f t="shared" si="53"/>
        <v>-2.1557334096222505</v>
      </c>
      <c r="AF149" s="130">
        <f t="shared" si="53"/>
        <v>-1.7398315898711987</v>
      </c>
      <c r="AG149" s="128">
        <f t="shared" si="53"/>
        <v>-3.0109994688361659</v>
      </c>
      <c r="AH149" s="129">
        <f t="shared" si="53"/>
        <v>-3.0109994688361659</v>
      </c>
      <c r="AI149" s="129">
        <f t="shared" si="53"/>
        <v>-3.0109994688361659</v>
      </c>
      <c r="AJ149" s="129">
        <f t="shared" si="53"/>
        <v>-3.0109994688361659</v>
      </c>
      <c r="AK149" s="130">
        <f t="shared" si="53"/>
        <v>-3.0109994688361659</v>
      </c>
      <c r="AL149" s="2629"/>
      <c r="AM149" s="607" t="s">
        <v>2233</v>
      </c>
      <c r="AN149" s="128">
        <f>SUM(AN140:AN148)</f>
        <v>-0.17550304828166666</v>
      </c>
      <c r="AO149" s="129">
        <f t="shared" ref="AO149:AS149" si="54">SUM(AO140:AO148)</f>
        <v>-1.168793740271181</v>
      </c>
      <c r="AP149" s="129">
        <f t="shared" si="54"/>
        <v>-0.4802280188788326</v>
      </c>
      <c r="AQ149" s="129">
        <f t="shared" si="54"/>
        <v>0.304329725684167</v>
      </c>
      <c r="AR149" s="129">
        <f t="shared" si="54"/>
        <v>-0.10273646108263068</v>
      </c>
      <c r="AS149" s="130">
        <f t="shared" si="54"/>
        <v>0.48438134205098093</v>
      </c>
      <c r="AT149" s="2629"/>
      <c r="AU149" s="607" t="s">
        <v>2233</v>
      </c>
      <c r="AV149" s="876">
        <f>SUM(AV140:AV148)</f>
        <v>507.98203406554393</v>
      </c>
      <c r="AW149" s="227" t="s">
        <v>2233</v>
      </c>
      <c r="AX149" s="712">
        <f>SUM(AX140:AX148)</f>
        <v>483.08881162679592</v>
      </c>
    </row>
    <row r="150" spans="1:50" s="98" customFormat="1" ht="15" customHeight="1">
      <c r="A150" s="99"/>
      <c r="B150" s="181"/>
      <c r="C150" s="185"/>
      <c r="D150" s="182"/>
      <c r="E150" s="182"/>
      <c r="F150" s="182"/>
      <c r="G150" s="184"/>
      <c r="H150" s="184"/>
      <c r="I150" s="94"/>
      <c r="J150" s="713"/>
      <c r="K150" s="2690"/>
      <c r="L150" s="2690"/>
      <c r="M150" s="2690"/>
      <c r="N150" s="2690"/>
      <c r="O150" s="2690"/>
      <c r="P150" s="2690"/>
      <c r="Q150" s="715"/>
      <c r="R150" s="2690"/>
      <c r="S150" s="2690"/>
      <c r="T150" s="2690"/>
      <c r="U150" s="2690"/>
      <c r="V150" s="715"/>
      <c r="W150" s="2629"/>
      <c r="X150" s="94"/>
      <c r="Y150" s="713"/>
      <c r="Z150" s="2690"/>
      <c r="AA150" s="2690"/>
      <c r="AB150" s="2690"/>
      <c r="AC150" s="2690"/>
      <c r="AD150" s="2690"/>
      <c r="AE150" s="2690"/>
      <c r="AF150" s="715"/>
      <c r="AG150" s="2690"/>
      <c r="AH150" s="2690"/>
      <c r="AI150" s="2690"/>
      <c r="AJ150" s="2690"/>
      <c r="AK150" s="715"/>
      <c r="AL150" s="2629"/>
      <c r="AM150" s="94"/>
      <c r="AN150" s="713"/>
      <c r="AO150" s="2690"/>
      <c r="AP150" s="2690"/>
      <c r="AQ150" s="2690"/>
      <c r="AR150" s="2690"/>
      <c r="AS150" s="752"/>
      <c r="AT150" s="2629"/>
      <c r="AU150" s="2629"/>
      <c r="AV150" s="2629"/>
      <c r="AW150" s="185"/>
      <c r="AX150" s="839"/>
    </row>
    <row r="151" spans="1:50" s="98" customFormat="1" ht="15" customHeight="1">
      <c r="B151" s="161"/>
      <c r="C151" s="180" t="s">
        <v>2876</v>
      </c>
      <c r="D151" s="162"/>
      <c r="E151" s="162"/>
      <c r="F151" s="162"/>
      <c r="G151" s="163"/>
      <c r="H151" s="163"/>
      <c r="I151" s="94"/>
      <c r="J151" s="713"/>
      <c r="K151" s="2649"/>
      <c r="L151" s="2649"/>
      <c r="M151" s="2649"/>
      <c r="N151" s="2649"/>
      <c r="O151" s="2649"/>
      <c r="P151" s="2649"/>
      <c r="Q151" s="715"/>
      <c r="R151" s="713"/>
      <c r="S151" s="2649"/>
      <c r="T151" s="2649"/>
      <c r="U151" s="2649"/>
      <c r="V151" s="715"/>
      <c r="W151" s="2629"/>
      <c r="X151" s="94"/>
      <c r="Y151" s="713"/>
      <c r="Z151" s="2649"/>
      <c r="AA151" s="2649"/>
      <c r="AB151" s="2649"/>
      <c r="AC151" s="2649"/>
      <c r="AD151" s="2649"/>
      <c r="AE151" s="2649"/>
      <c r="AF151" s="715"/>
      <c r="AG151" s="713"/>
      <c r="AH151" s="2649"/>
      <c r="AI151" s="2649"/>
      <c r="AJ151" s="2649"/>
      <c r="AK151" s="715"/>
      <c r="AL151" s="2629"/>
      <c r="AM151" s="94"/>
      <c r="AN151" s="713"/>
      <c r="AO151" s="2649"/>
      <c r="AP151" s="2649"/>
      <c r="AQ151" s="2649"/>
      <c r="AR151" s="2649"/>
      <c r="AS151" s="715"/>
      <c r="AT151" s="2629"/>
      <c r="AU151" s="2629"/>
      <c r="AV151" s="2629"/>
      <c r="AW151" s="185"/>
      <c r="AX151" s="839"/>
    </row>
    <row r="152" spans="1:50" s="98" customFormat="1" ht="15" customHeight="1">
      <c r="B152" s="161"/>
      <c r="C152" s="185"/>
      <c r="D152" s="162" t="s">
        <v>2862</v>
      </c>
      <c r="E152" s="162"/>
      <c r="F152" s="162"/>
      <c r="G152" s="162"/>
      <c r="H152" s="163"/>
      <c r="I152" s="607" t="s">
        <v>2233</v>
      </c>
      <c r="J152" s="143">
        <v>0</v>
      </c>
      <c r="K152" s="141">
        <v>0</v>
      </c>
      <c r="L152" s="141">
        <v>0</v>
      </c>
      <c r="M152" s="141">
        <v>0</v>
      </c>
      <c r="N152" s="141">
        <v>0</v>
      </c>
      <c r="O152" s="141">
        <v>0</v>
      </c>
      <c r="P152" s="141">
        <v>0</v>
      </c>
      <c r="Q152" s="144">
        <v>0</v>
      </c>
      <c r="R152" s="143">
        <v>0</v>
      </c>
      <c r="S152" s="141">
        <v>0</v>
      </c>
      <c r="T152" s="141">
        <v>0</v>
      </c>
      <c r="U152" s="141">
        <v>0</v>
      </c>
      <c r="V152" s="144">
        <v>0</v>
      </c>
      <c r="W152" s="2629"/>
      <c r="X152" s="607" t="s">
        <v>2233</v>
      </c>
      <c r="Y152" s="143">
        <v>-9.8520547945205473E-4</v>
      </c>
      <c r="Z152" s="141">
        <v>0</v>
      </c>
      <c r="AA152" s="141">
        <v>0</v>
      </c>
      <c r="AB152" s="141">
        <v>0</v>
      </c>
      <c r="AC152" s="141">
        <v>0</v>
      </c>
      <c r="AD152" s="141">
        <v>0</v>
      </c>
      <c r="AE152" s="141">
        <v>0</v>
      </c>
      <c r="AF152" s="144">
        <v>0</v>
      </c>
      <c r="AG152" s="143">
        <v>0</v>
      </c>
      <c r="AH152" s="141">
        <v>0</v>
      </c>
      <c r="AI152" s="141">
        <v>0</v>
      </c>
      <c r="AJ152" s="141">
        <v>0</v>
      </c>
      <c r="AK152" s="144">
        <v>0</v>
      </c>
      <c r="AL152" s="2629"/>
      <c r="AM152" s="607" t="s">
        <v>2233</v>
      </c>
      <c r="AN152" s="143">
        <v>0</v>
      </c>
      <c r="AO152" s="141">
        <v>0</v>
      </c>
      <c r="AP152" s="141">
        <v>0</v>
      </c>
      <c r="AQ152" s="141">
        <v>0</v>
      </c>
      <c r="AR152" s="141">
        <v>0</v>
      </c>
      <c r="AS152" s="144">
        <v>0</v>
      </c>
      <c r="AT152" s="2629"/>
      <c r="AU152" s="607" t="s">
        <v>2233</v>
      </c>
      <c r="AV152" s="141">
        <v>0</v>
      </c>
      <c r="AW152" s="227" t="s">
        <v>2233</v>
      </c>
      <c r="AX152" s="130">
        <f>SUM(AV152,J152:N152,Y152:AC152,AN152:AR152)</f>
        <v>-9.8520547945205473E-4</v>
      </c>
    </row>
    <row r="153" spans="1:50" s="98" customFormat="1" ht="15" customHeight="1">
      <c r="B153" s="161"/>
      <c r="C153" s="185"/>
      <c r="D153" s="162" t="s">
        <v>2863</v>
      </c>
      <c r="E153" s="162"/>
      <c r="F153" s="162"/>
      <c r="G153" s="162"/>
      <c r="H153" s="163"/>
      <c r="I153" s="607" t="s">
        <v>2233</v>
      </c>
      <c r="J153" s="143">
        <v>0</v>
      </c>
      <c r="K153" s="141">
        <v>0</v>
      </c>
      <c r="L153" s="141">
        <v>0</v>
      </c>
      <c r="M153" s="141">
        <v>0</v>
      </c>
      <c r="N153" s="141">
        <v>0</v>
      </c>
      <c r="O153" s="141">
        <v>0</v>
      </c>
      <c r="P153" s="141">
        <v>0</v>
      </c>
      <c r="Q153" s="144">
        <v>0</v>
      </c>
      <c r="R153" s="143">
        <v>0</v>
      </c>
      <c r="S153" s="141">
        <v>0</v>
      </c>
      <c r="T153" s="141">
        <v>0</v>
      </c>
      <c r="U153" s="141">
        <v>0</v>
      </c>
      <c r="V153" s="144">
        <v>0</v>
      </c>
      <c r="W153" s="2629"/>
      <c r="X153" s="607" t="s">
        <v>2233</v>
      </c>
      <c r="Y153" s="143">
        <v>-1.8962663013698631</v>
      </c>
      <c r="Z153" s="141">
        <v>-1.2233638869863013</v>
      </c>
      <c r="AA153" s="141">
        <v>-1.1332740151515153</v>
      </c>
      <c r="AB153" s="141">
        <v>-1.2716187311320752</v>
      </c>
      <c r="AC153" s="141">
        <v>-0.50861433447098969</v>
      </c>
      <c r="AD153" s="141">
        <v>-1.1415418044402457</v>
      </c>
      <c r="AE153" s="141">
        <v>0</v>
      </c>
      <c r="AF153" s="144">
        <v>0</v>
      </c>
      <c r="AG153" s="143">
        <v>0</v>
      </c>
      <c r="AH153" s="141">
        <v>0</v>
      </c>
      <c r="AI153" s="141">
        <v>0</v>
      </c>
      <c r="AJ153" s="141">
        <v>0</v>
      </c>
      <c r="AK153" s="144">
        <v>0</v>
      </c>
      <c r="AL153" s="2629"/>
      <c r="AM153" s="607" t="s">
        <v>2233</v>
      </c>
      <c r="AN153" s="143">
        <v>-3.2230206650980331E-3</v>
      </c>
      <c r="AO153" s="141">
        <v>-1.9285221082673797E-2</v>
      </c>
      <c r="AP153" s="141">
        <v>-3.2258272512933998E-2</v>
      </c>
      <c r="AQ153" s="141">
        <v>-1.9999700105013649E-2</v>
      </c>
      <c r="AR153" s="141">
        <v>-2.9856612957941038E-3</v>
      </c>
      <c r="AS153" s="144">
        <v>-3.6240892833878026E-2</v>
      </c>
      <c r="AT153" s="2629"/>
      <c r="AU153" s="607" t="s">
        <v>2233</v>
      </c>
      <c r="AV153" s="141">
        <v>11.905875942160977</v>
      </c>
      <c r="AW153" s="227" t="s">
        <v>2233</v>
      </c>
      <c r="AX153" s="130">
        <f t="shared" ref="AX153:AX160" si="55">SUM(AV153,J153:N153,Y153:AC153,AN153:AR153)</f>
        <v>5.7949867973887192</v>
      </c>
    </row>
    <row r="154" spans="1:50" s="98" customFormat="1" ht="15" customHeight="1">
      <c r="B154" s="161"/>
      <c r="C154" s="185"/>
      <c r="D154" s="162" t="s">
        <v>2864</v>
      </c>
      <c r="E154" s="162"/>
      <c r="F154" s="162"/>
      <c r="G154" s="162"/>
      <c r="H154" s="163"/>
      <c r="I154" s="607" t="s">
        <v>2233</v>
      </c>
      <c r="J154" s="143">
        <v>0</v>
      </c>
      <c r="K154" s="141">
        <v>0</v>
      </c>
      <c r="L154" s="141">
        <v>0</v>
      </c>
      <c r="M154" s="141">
        <v>0</v>
      </c>
      <c r="N154" s="141">
        <v>0</v>
      </c>
      <c r="O154" s="141">
        <v>0</v>
      </c>
      <c r="P154" s="141">
        <v>0</v>
      </c>
      <c r="Q154" s="144">
        <v>0</v>
      </c>
      <c r="R154" s="143">
        <v>0</v>
      </c>
      <c r="S154" s="141">
        <v>0</v>
      </c>
      <c r="T154" s="141">
        <v>0</v>
      </c>
      <c r="U154" s="141">
        <v>0</v>
      </c>
      <c r="V154" s="144">
        <v>0</v>
      </c>
      <c r="W154" s="2629"/>
      <c r="X154" s="607" t="s">
        <v>2233</v>
      </c>
      <c r="Y154" s="143">
        <v>-0.84145478356164383</v>
      </c>
      <c r="Z154" s="141">
        <v>-0.45318578767123291</v>
      </c>
      <c r="AA154" s="141">
        <v>-0.41512121212121217</v>
      </c>
      <c r="AB154" s="141">
        <v>-0.47980117924528298</v>
      </c>
      <c r="AC154" s="141">
        <v>-0.12894525597269624</v>
      </c>
      <c r="AD154" s="141">
        <v>-0.43812541332073696</v>
      </c>
      <c r="AE154" s="141">
        <v>0</v>
      </c>
      <c r="AF154" s="144">
        <v>0</v>
      </c>
      <c r="AG154" s="143">
        <v>0</v>
      </c>
      <c r="AH154" s="141">
        <v>0</v>
      </c>
      <c r="AI154" s="141">
        <v>0</v>
      </c>
      <c r="AJ154" s="141">
        <v>0</v>
      </c>
      <c r="AK154" s="144">
        <v>0</v>
      </c>
      <c r="AL154" s="2629"/>
      <c r="AM154" s="607" t="s">
        <v>2233</v>
      </c>
      <c r="AN154" s="143">
        <v>-1.6709114002077499E-2</v>
      </c>
      <c r="AO154" s="141">
        <v>0.13081896344513205</v>
      </c>
      <c r="AP154" s="141">
        <v>-3.6189382845763868E-2</v>
      </c>
      <c r="AQ154" s="141">
        <v>-7.7466927415175846E-3</v>
      </c>
      <c r="AR154" s="141">
        <v>-0.1565051093659513</v>
      </c>
      <c r="AS154" s="144">
        <v>-5.9103156370175006E-2</v>
      </c>
      <c r="AT154" s="2629"/>
      <c r="AU154" s="607" t="s">
        <v>2233</v>
      </c>
      <c r="AV154" s="141">
        <v>39.703011922180004</v>
      </c>
      <c r="AW154" s="227" t="s">
        <v>2233</v>
      </c>
      <c r="AX154" s="130">
        <f t="shared" si="55"/>
        <v>37.298172368097752</v>
      </c>
    </row>
    <row r="155" spans="1:50" s="98" customFormat="1" ht="15" customHeight="1">
      <c r="B155" s="161"/>
      <c r="C155" s="185"/>
      <c r="D155" s="162" t="s">
        <v>2865</v>
      </c>
      <c r="E155" s="162"/>
      <c r="F155" s="162"/>
      <c r="G155" s="162"/>
      <c r="H155" s="163"/>
      <c r="I155" s="607" t="s">
        <v>2233</v>
      </c>
      <c r="J155" s="143">
        <v>0</v>
      </c>
      <c r="K155" s="141">
        <v>0</v>
      </c>
      <c r="L155" s="141">
        <v>0</v>
      </c>
      <c r="M155" s="141">
        <v>0</v>
      </c>
      <c r="N155" s="141">
        <v>0</v>
      </c>
      <c r="O155" s="141">
        <v>0</v>
      </c>
      <c r="P155" s="141">
        <v>0</v>
      </c>
      <c r="Q155" s="144">
        <v>0</v>
      </c>
      <c r="R155" s="143">
        <v>0</v>
      </c>
      <c r="S155" s="141">
        <v>0</v>
      </c>
      <c r="T155" s="141">
        <v>0</v>
      </c>
      <c r="U155" s="141">
        <v>0</v>
      </c>
      <c r="V155" s="144">
        <v>0</v>
      </c>
      <c r="W155" s="2629"/>
      <c r="X155" s="607" t="s">
        <v>2233</v>
      </c>
      <c r="Y155" s="143">
        <v>-0.1924964383561644</v>
      </c>
      <c r="Z155" s="141">
        <v>-0.24388356164383559</v>
      </c>
      <c r="AA155" s="141">
        <v>-0.16315382575757575</v>
      </c>
      <c r="AB155" s="141">
        <v>-0.1296933962264151</v>
      </c>
      <c r="AC155" s="141">
        <v>-5.9365187713310577E-2</v>
      </c>
      <c r="AD155" s="141">
        <v>-0.137954652810581</v>
      </c>
      <c r="AE155" s="141">
        <v>0</v>
      </c>
      <c r="AF155" s="144">
        <v>0</v>
      </c>
      <c r="AG155" s="143">
        <v>0</v>
      </c>
      <c r="AH155" s="141">
        <v>0</v>
      </c>
      <c r="AI155" s="141">
        <v>0</v>
      </c>
      <c r="AJ155" s="141">
        <v>0</v>
      </c>
      <c r="AK155" s="144">
        <v>0</v>
      </c>
      <c r="AL155" s="2629"/>
      <c r="AM155" s="607" t="s">
        <v>2233</v>
      </c>
      <c r="AN155" s="143">
        <v>-3.2853729794944178E-3</v>
      </c>
      <c r="AO155" s="141">
        <v>0.17536359391962017</v>
      </c>
      <c r="AP155" s="141">
        <v>-2.3973607024545637E-2</v>
      </c>
      <c r="AQ155" s="141">
        <v>-1.7651267315202432E-2</v>
      </c>
      <c r="AR155" s="141">
        <v>-0.11529575750769572</v>
      </c>
      <c r="AS155" s="144">
        <v>-0.19697333501984168</v>
      </c>
      <c r="AT155" s="2629"/>
      <c r="AU155" s="607" t="s">
        <v>2233</v>
      </c>
      <c r="AV155" s="141">
        <v>51.208567341738252</v>
      </c>
      <c r="AW155" s="227" t="s">
        <v>2233</v>
      </c>
      <c r="AX155" s="130">
        <f t="shared" si="55"/>
        <v>50.435132521133632</v>
      </c>
    </row>
    <row r="156" spans="1:50" s="98" customFormat="1" ht="15" customHeight="1">
      <c r="B156" s="161"/>
      <c r="C156" s="185"/>
      <c r="D156" s="162" t="s">
        <v>2866</v>
      </c>
      <c r="E156" s="162"/>
      <c r="F156" s="162"/>
      <c r="G156" s="162"/>
      <c r="H156" s="163"/>
      <c r="I156" s="607" t="s">
        <v>2233</v>
      </c>
      <c r="J156" s="143">
        <v>0</v>
      </c>
      <c r="K156" s="141">
        <v>0</v>
      </c>
      <c r="L156" s="141">
        <v>0</v>
      </c>
      <c r="M156" s="141">
        <v>0</v>
      </c>
      <c r="N156" s="141">
        <v>0</v>
      </c>
      <c r="O156" s="141">
        <v>0</v>
      </c>
      <c r="P156" s="141">
        <v>0</v>
      </c>
      <c r="Q156" s="144">
        <v>0</v>
      </c>
      <c r="R156" s="143">
        <v>0</v>
      </c>
      <c r="S156" s="141">
        <v>0</v>
      </c>
      <c r="T156" s="141">
        <v>0</v>
      </c>
      <c r="U156" s="141">
        <v>0</v>
      </c>
      <c r="V156" s="144">
        <v>0</v>
      </c>
      <c r="W156" s="2629"/>
      <c r="X156" s="607" t="s">
        <v>2233</v>
      </c>
      <c r="Y156" s="143">
        <v>-6.3561643835616436E-5</v>
      </c>
      <c r="Z156" s="141">
        <v>0</v>
      </c>
      <c r="AA156" s="141">
        <v>0</v>
      </c>
      <c r="AB156" s="141">
        <v>0</v>
      </c>
      <c r="AC156" s="141">
        <v>0</v>
      </c>
      <c r="AD156" s="141">
        <v>0</v>
      </c>
      <c r="AE156" s="141">
        <v>0</v>
      </c>
      <c r="AF156" s="144">
        <v>0</v>
      </c>
      <c r="AG156" s="143">
        <v>0</v>
      </c>
      <c r="AH156" s="141">
        <v>0</v>
      </c>
      <c r="AI156" s="141">
        <v>0</v>
      </c>
      <c r="AJ156" s="141">
        <v>0</v>
      </c>
      <c r="AK156" s="144">
        <v>0</v>
      </c>
      <c r="AL156" s="2629"/>
      <c r="AM156" s="607" t="s">
        <v>2233</v>
      </c>
      <c r="AN156" s="143">
        <v>0</v>
      </c>
      <c r="AO156" s="141">
        <v>0</v>
      </c>
      <c r="AP156" s="141">
        <v>0</v>
      </c>
      <c r="AQ156" s="141">
        <v>0</v>
      </c>
      <c r="AR156" s="141">
        <v>0</v>
      </c>
      <c r="AS156" s="144">
        <v>0</v>
      </c>
      <c r="AT156" s="2629"/>
      <c r="AU156" s="607" t="s">
        <v>2233</v>
      </c>
      <c r="AV156" s="141">
        <v>0</v>
      </c>
      <c r="AW156" s="227" t="s">
        <v>2233</v>
      </c>
      <c r="AX156" s="130">
        <f t="shared" si="55"/>
        <v>-6.3561643835616436E-5</v>
      </c>
    </row>
    <row r="157" spans="1:50" s="98" customFormat="1" ht="15" customHeight="1">
      <c r="B157" s="161"/>
      <c r="C157" s="185"/>
      <c r="D157" s="162" t="s">
        <v>2867</v>
      </c>
      <c r="E157" s="162"/>
      <c r="F157" s="162"/>
      <c r="G157" s="162"/>
      <c r="H157" s="163"/>
      <c r="I157" s="607" t="s">
        <v>2233</v>
      </c>
      <c r="J157" s="143">
        <v>0</v>
      </c>
      <c r="K157" s="141">
        <v>0</v>
      </c>
      <c r="L157" s="141">
        <v>0</v>
      </c>
      <c r="M157" s="141">
        <v>0</v>
      </c>
      <c r="N157" s="141">
        <v>0</v>
      </c>
      <c r="O157" s="141">
        <v>0</v>
      </c>
      <c r="P157" s="141">
        <v>0</v>
      </c>
      <c r="Q157" s="144">
        <v>0</v>
      </c>
      <c r="R157" s="143">
        <v>0</v>
      </c>
      <c r="S157" s="141">
        <v>0</v>
      </c>
      <c r="T157" s="141">
        <v>0</v>
      </c>
      <c r="U157" s="141">
        <v>0</v>
      </c>
      <c r="V157" s="144">
        <v>0</v>
      </c>
      <c r="W157" s="2629"/>
      <c r="X157" s="607" t="s">
        <v>2233</v>
      </c>
      <c r="Y157" s="143">
        <v>-0.14460273972602739</v>
      </c>
      <c r="Z157" s="141">
        <v>-9.2661952054794508E-2</v>
      </c>
      <c r="AA157" s="141">
        <v>-8.260795454545454E-2</v>
      </c>
      <c r="AB157" s="141">
        <v>-6.790047169811321E-2</v>
      </c>
      <c r="AC157" s="141">
        <v>-2.911262798634812E-2</v>
      </c>
      <c r="AD157" s="141">
        <v>-2.2928672649976382E-2</v>
      </c>
      <c r="AE157" s="141">
        <v>0</v>
      </c>
      <c r="AF157" s="144">
        <v>0</v>
      </c>
      <c r="AG157" s="143">
        <v>0</v>
      </c>
      <c r="AH157" s="141">
        <v>0</v>
      </c>
      <c r="AI157" s="141">
        <v>0</v>
      </c>
      <c r="AJ157" s="141">
        <v>0</v>
      </c>
      <c r="AK157" s="144">
        <v>0</v>
      </c>
      <c r="AL157" s="2629"/>
      <c r="AM157" s="607" t="s">
        <v>2233</v>
      </c>
      <c r="AN157" s="143">
        <v>-6.3227526683082555E-2</v>
      </c>
      <c r="AO157" s="141">
        <v>-0.18317175683414497</v>
      </c>
      <c r="AP157" s="141">
        <v>-0.44639708527092586</v>
      </c>
      <c r="AQ157" s="141">
        <v>-0.14117291701362675</v>
      </c>
      <c r="AR157" s="141">
        <v>-4.1540305915988181E-2</v>
      </c>
      <c r="AS157" s="144">
        <v>-0.16262370623616923</v>
      </c>
      <c r="AT157" s="2629"/>
      <c r="AU157" s="607" t="s">
        <v>2233</v>
      </c>
      <c r="AV157" s="141">
        <v>65.710192835159887</v>
      </c>
      <c r="AW157" s="227" t="s">
        <v>2233</v>
      </c>
      <c r="AX157" s="130">
        <f t="shared" si="55"/>
        <v>64.417797497431394</v>
      </c>
    </row>
    <row r="158" spans="1:50" s="98" customFormat="1" ht="15" customHeight="1">
      <c r="B158" s="161"/>
      <c r="C158" s="185"/>
      <c r="D158" s="162" t="s">
        <v>2868</v>
      </c>
      <c r="E158" s="162"/>
      <c r="F158" s="162"/>
      <c r="G158" s="162"/>
      <c r="H158" s="163"/>
      <c r="I158" s="607" t="s">
        <v>2233</v>
      </c>
      <c r="J158" s="143">
        <v>0</v>
      </c>
      <c r="K158" s="141">
        <v>0</v>
      </c>
      <c r="L158" s="141">
        <v>0</v>
      </c>
      <c r="M158" s="141">
        <v>0</v>
      </c>
      <c r="N158" s="141">
        <v>0</v>
      </c>
      <c r="O158" s="141">
        <v>0</v>
      </c>
      <c r="P158" s="141">
        <v>0</v>
      </c>
      <c r="Q158" s="144">
        <v>0</v>
      </c>
      <c r="R158" s="143">
        <v>0</v>
      </c>
      <c r="S158" s="141">
        <v>0</v>
      </c>
      <c r="T158" s="141">
        <v>0</v>
      </c>
      <c r="U158" s="141">
        <v>0</v>
      </c>
      <c r="V158" s="144">
        <v>0</v>
      </c>
      <c r="W158" s="2629"/>
      <c r="X158" s="607" t="s">
        <v>2233</v>
      </c>
      <c r="Y158" s="143">
        <v>-9.9473972602739727E-3</v>
      </c>
      <c r="Z158" s="141">
        <v>-1.0529109589041095E-2</v>
      </c>
      <c r="AA158" s="141">
        <v>-6.2840909090909093E-3</v>
      </c>
      <c r="AB158" s="141">
        <v>-5.2245283018867916E-3</v>
      </c>
      <c r="AC158" s="141">
        <v>-5.460750853242321E-5</v>
      </c>
      <c r="AD158" s="141">
        <v>-1.3887576759565423E-3</v>
      </c>
      <c r="AE158" s="141">
        <v>0</v>
      </c>
      <c r="AF158" s="144">
        <v>0</v>
      </c>
      <c r="AG158" s="143">
        <v>0</v>
      </c>
      <c r="AH158" s="141">
        <v>0</v>
      </c>
      <c r="AI158" s="141">
        <v>0</v>
      </c>
      <c r="AJ158" s="141">
        <v>0</v>
      </c>
      <c r="AK158" s="144">
        <v>0</v>
      </c>
      <c r="AL158" s="2629"/>
      <c r="AM158" s="607" t="s">
        <v>2233</v>
      </c>
      <c r="AN158" s="143">
        <v>-8.3150265330927888E-4</v>
      </c>
      <c r="AO158" s="141">
        <v>-2.8132506436963758E-2</v>
      </c>
      <c r="AP158" s="141">
        <v>5.9008971629834362E-3</v>
      </c>
      <c r="AQ158" s="141">
        <v>1.6084032990511136E-2</v>
      </c>
      <c r="AR158" s="141">
        <v>-3.6586116745606974E-2</v>
      </c>
      <c r="AS158" s="144">
        <v>2.7262200326502863E-2</v>
      </c>
      <c r="AT158" s="2629"/>
      <c r="AU158" s="607" t="s">
        <v>2233</v>
      </c>
      <c r="AV158" s="141">
        <v>6.6508724321065849</v>
      </c>
      <c r="AW158" s="227" t="s">
        <v>2233</v>
      </c>
      <c r="AX158" s="130">
        <f t="shared" si="55"/>
        <v>6.5752675028553744</v>
      </c>
    </row>
    <row r="159" spans="1:50" s="98" customFormat="1" ht="15" customHeight="1">
      <c r="B159" s="161"/>
      <c r="C159" s="185"/>
      <c r="D159" s="162" t="s">
        <v>2869</v>
      </c>
      <c r="E159" s="162"/>
      <c r="F159" s="162"/>
      <c r="G159" s="162"/>
      <c r="H159" s="163"/>
      <c r="I159" s="607" t="s">
        <v>2233</v>
      </c>
      <c r="J159" s="143">
        <v>0</v>
      </c>
      <c r="K159" s="141">
        <v>0</v>
      </c>
      <c r="L159" s="141">
        <v>0</v>
      </c>
      <c r="M159" s="141">
        <v>0</v>
      </c>
      <c r="N159" s="141">
        <v>0</v>
      </c>
      <c r="O159" s="141">
        <v>0</v>
      </c>
      <c r="P159" s="141">
        <v>0</v>
      </c>
      <c r="Q159" s="144">
        <v>0</v>
      </c>
      <c r="R159" s="143">
        <v>0</v>
      </c>
      <c r="S159" s="141">
        <v>0</v>
      </c>
      <c r="T159" s="141">
        <v>0</v>
      </c>
      <c r="U159" s="141">
        <v>0</v>
      </c>
      <c r="V159" s="144">
        <v>0</v>
      </c>
      <c r="W159" s="2629"/>
      <c r="X159" s="607" t="s">
        <v>2233</v>
      </c>
      <c r="Y159" s="143">
        <v>-4.6590684931506851E-2</v>
      </c>
      <c r="Z159" s="141">
        <v>-1.0061643835616437E-2</v>
      </c>
      <c r="AA159" s="141">
        <v>-1.1043560606060605E-2</v>
      </c>
      <c r="AB159" s="141">
        <v>-7.045754716981132E-3</v>
      </c>
      <c r="AC159" s="141">
        <v>-1.6518771331058019E-3</v>
      </c>
      <c r="AD159" s="141">
        <v>-1.1506849315068493E-2</v>
      </c>
      <c r="AE159" s="141">
        <v>0</v>
      </c>
      <c r="AF159" s="144">
        <v>0</v>
      </c>
      <c r="AG159" s="143">
        <v>0</v>
      </c>
      <c r="AH159" s="141">
        <v>0</v>
      </c>
      <c r="AI159" s="141">
        <v>0</v>
      </c>
      <c r="AJ159" s="141">
        <v>0</v>
      </c>
      <c r="AK159" s="144">
        <v>0</v>
      </c>
      <c r="AL159" s="2629"/>
      <c r="AM159" s="607" t="s">
        <v>2233</v>
      </c>
      <c r="AN159" s="143">
        <v>1.1406645617105429E-3</v>
      </c>
      <c r="AO159" s="141">
        <v>-4.509047012441568E-2</v>
      </c>
      <c r="AP159" s="141">
        <v>-4.2318655239461933E-2</v>
      </c>
      <c r="AQ159" s="141">
        <v>-1.3573908284354707E-2</v>
      </c>
      <c r="AR159" s="141">
        <v>-2.9098352969237427E-2</v>
      </c>
      <c r="AS159" s="144">
        <v>5.4523766049758447E-3</v>
      </c>
      <c r="AT159" s="2629"/>
      <c r="AU159" s="607" t="s">
        <v>2233</v>
      </c>
      <c r="AV159" s="141">
        <v>8.3120588237978978</v>
      </c>
      <c r="AW159" s="227" t="s">
        <v>2233</v>
      </c>
      <c r="AX159" s="130">
        <f t="shared" si="55"/>
        <v>8.1067245805188648</v>
      </c>
    </row>
    <row r="160" spans="1:50" s="98" customFormat="1" ht="15" customHeight="1">
      <c r="B160" s="161"/>
      <c r="C160" s="185"/>
      <c r="D160" s="162" t="s">
        <v>2870</v>
      </c>
      <c r="E160" s="162"/>
      <c r="F160" s="162"/>
      <c r="G160" s="162"/>
      <c r="H160" s="163"/>
      <c r="I160" s="607" t="s">
        <v>2233</v>
      </c>
      <c r="J160" s="143">
        <v>0</v>
      </c>
      <c r="K160" s="141">
        <v>0</v>
      </c>
      <c r="L160" s="141">
        <v>0</v>
      </c>
      <c r="M160" s="141">
        <v>0</v>
      </c>
      <c r="N160" s="141">
        <v>0</v>
      </c>
      <c r="O160" s="141">
        <v>0</v>
      </c>
      <c r="P160" s="141">
        <v>0</v>
      </c>
      <c r="Q160" s="144">
        <v>0</v>
      </c>
      <c r="R160" s="143">
        <v>0</v>
      </c>
      <c r="S160" s="141">
        <v>0</v>
      </c>
      <c r="T160" s="141">
        <v>0</v>
      </c>
      <c r="U160" s="141">
        <v>0</v>
      </c>
      <c r="V160" s="144">
        <v>0</v>
      </c>
      <c r="W160" s="2629"/>
      <c r="X160" s="607" t="s">
        <v>2233</v>
      </c>
      <c r="Y160" s="143">
        <v>0</v>
      </c>
      <c r="Z160" s="141">
        <v>0</v>
      </c>
      <c r="AA160" s="141">
        <v>0</v>
      </c>
      <c r="AB160" s="141">
        <v>0</v>
      </c>
      <c r="AC160" s="141">
        <v>0</v>
      </c>
      <c r="AD160" s="141">
        <v>0</v>
      </c>
      <c r="AE160" s="141">
        <v>0</v>
      </c>
      <c r="AF160" s="144">
        <v>0</v>
      </c>
      <c r="AG160" s="143">
        <v>0</v>
      </c>
      <c r="AH160" s="141">
        <v>0</v>
      </c>
      <c r="AI160" s="141">
        <v>0</v>
      </c>
      <c r="AJ160" s="141">
        <v>0</v>
      </c>
      <c r="AK160" s="144">
        <v>0</v>
      </c>
      <c r="AL160" s="2629"/>
      <c r="AM160" s="607" t="s">
        <v>2233</v>
      </c>
      <c r="AN160" s="143">
        <v>0</v>
      </c>
      <c r="AO160" s="141">
        <v>0</v>
      </c>
      <c r="AP160" s="141">
        <v>0</v>
      </c>
      <c r="AQ160" s="141">
        <v>0</v>
      </c>
      <c r="AR160" s="141">
        <v>0</v>
      </c>
      <c r="AS160" s="144">
        <v>0</v>
      </c>
      <c r="AT160" s="2629"/>
      <c r="AU160" s="607" t="s">
        <v>2233</v>
      </c>
      <c r="AV160" s="141">
        <v>0</v>
      </c>
      <c r="AW160" s="227" t="s">
        <v>2233</v>
      </c>
      <c r="AX160" s="130">
        <f t="shared" si="55"/>
        <v>0</v>
      </c>
    </row>
    <row r="161" spans="1:50" s="98" customFormat="1" ht="15" customHeight="1">
      <c r="B161" s="181"/>
      <c r="C161" s="182" t="s">
        <v>1710</v>
      </c>
      <c r="D161" s="182"/>
      <c r="E161" s="182"/>
      <c r="F161" s="182"/>
      <c r="G161" s="184"/>
      <c r="H161" s="184"/>
      <c r="I161" s="607" t="s">
        <v>2233</v>
      </c>
      <c r="J161" s="128">
        <f>SUM(J152:J160)</f>
        <v>0</v>
      </c>
      <c r="K161" s="129">
        <f t="shared" ref="K161:V161" si="56">SUM(K152:K160)</f>
        <v>0</v>
      </c>
      <c r="L161" s="129">
        <f t="shared" si="56"/>
        <v>0</v>
      </c>
      <c r="M161" s="129">
        <f t="shared" si="56"/>
        <v>0</v>
      </c>
      <c r="N161" s="129">
        <f t="shared" si="56"/>
        <v>0</v>
      </c>
      <c r="O161" s="129">
        <f t="shared" si="56"/>
        <v>0</v>
      </c>
      <c r="P161" s="129">
        <f t="shared" si="56"/>
        <v>0</v>
      </c>
      <c r="Q161" s="130">
        <f t="shared" si="56"/>
        <v>0</v>
      </c>
      <c r="R161" s="128">
        <f t="shared" si="56"/>
        <v>0</v>
      </c>
      <c r="S161" s="129">
        <f t="shared" si="56"/>
        <v>0</v>
      </c>
      <c r="T161" s="129">
        <f t="shared" si="56"/>
        <v>0</v>
      </c>
      <c r="U161" s="129">
        <f t="shared" si="56"/>
        <v>0</v>
      </c>
      <c r="V161" s="130">
        <f t="shared" si="56"/>
        <v>0</v>
      </c>
      <c r="W161" s="2629"/>
      <c r="X161" s="607" t="s">
        <v>2233</v>
      </c>
      <c r="Y161" s="128">
        <f>SUM(Y152:Y160)</f>
        <v>-3.1324071123287673</v>
      </c>
      <c r="Z161" s="129">
        <f t="shared" ref="Z161:AK161" si="57">SUM(Z152:Z160)</f>
        <v>-2.0336859417808215</v>
      </c>
      <c r="AA161" s="129">
        <f t="shared" si="57"/>
        <v>-1.8114846590909093</v>
      </c>
      <c r="AB161" s="129">
        <f t="shared" si="57"/>
        <v>-1.9612840613207545</v>
      </c>
      <c r="AC161" s="129">
        <f t="shared" si="57"/>
        <v>-0.72774389078498292</v>
      </c>
      <c r="AD161" s="129">
        <f t="shared" si="57"/>
        <v>-1.7534461502125653</v>
      </c>
      <c r="AE161" s="129">
        <f t="shared" si="57"/>
        <v>0</v>
      </c>
      <c r="AF161" s="130">
        <f t="shared" si="57"/>
        <v>0</v>
      </c>
      <c r="AG161" s="128">
        <f t="shared" si="57"/>
        <v>0</v>
      </c>
      <c r="AH161" s="129">
        <f t="shared" si="57"/>
        <v>0</v>
      </c>
      <c r="AI161" s="129">
        <f t="shared" si="57"/>
        <v>0</v>
      </c>
      <c r="AJ161" s="129">
        <f t="shared" si="57"/>
        <v>0</v>
      </c>
      <c r="AK161" s="130">
        <f t="shared" si="57"/>
        <v>0</v>
      </c>
      <c r="AL161" s="2629"/>
      <c r="AM161" s="607" t="s">
        <v>2233</v>
      </c>
      <c r="AN161" s="128">
        <f>SUM(AN152:AN160)</f>
        <v>-8.6135872421351248E-2</v>
      </c>
      <c r="AO161" s="129">
        <f t="shared" ref="AO161:AS161" si="58">SUM(AO152:AO160)</f>
        <v>3.0502602886554014E-2</v>
      </c>
      <c r="AP161" s="129">
        <f t="shared" si="58"/>
        <v>-0.57523610573064787</v>
      </c>
      <c r="AQ161" s="129">
        <f t="shared" si="58"/>
        <v>-0.18406045246920397</v>
      </c>
      <c r="AR161" s="129">
        <f t="shared" si="58"/>
        <v>-0.3820113038002737</v>
      </c>
      <c r="AS161" s="130">
        <f t="shared" si="58"/>
        <v>-0.42222651352858531</v>
      </c>
      <c r="AT161" s="2629"/>
      <c r="AU161" s="607" t="s">
        <v>2233</v>
      </c>
      <c r="AV161" s="876">
        <f>SUM(AV152:AV160)</f>
        <v>183.4905792971436</v>
      </c>
      <c r="AW161" s="227" t="s">
        <v>2233</v>
      </c>
      <c r="AX161" s="712">
        <f>SUM(AX152:AX160)</f>
        <v>172.62703250030242</v>
      </c>
    </row>
    <row r="162" spans="1:50" s="98" customFormat="1" ht="15" customHeight="1">
      <c r="A162" s="99"/>
      <c r="B162" s="181"/>
      <c r="C162" s="185"/>
      <c r="D162" s="182"/>
      <c r="E162" s="182"/>
      <c r="F162" s="182"/>
      <c r="G162" s="184"/>
      <c r="H162" s="184"/>
      <c r="I162" s="94"/>
      <c r="J162" s="713"/>
      <c r="K162" s="2690"/>
      <c r="L162" s="2690"/>
      <c r="M162" s="2690"/>
      <c r="N162" s="2690"/>
      <c r="O162" s="2690"/>
      <c r="P162" s="2690"/>
      <c r="Q162" s="715"/>
      <c r="R162" s="2690"/>
      <c r="S162" s="2690"/>
      <c r="T162" s="2690"/>
      <c r="U162" s="2690"/>
      <c r="V162" s="715"/>
      <c r="W162" s="2629"/>
      <c r="X162" s="94"/>
      <c r="Y162" s="713"/>
      <c r="Z162" s="2690"/>
      <c r="AA162" s="2690"/>
      <c r="AB162" s="2690"/>
      <c r="AC162" s="2690"/>
      <c r="AD162" s="2690"/>
      <c r="AE162" s="2690"/>
      <c r="AF162" s="715"/>
      <c r="AG162" s="2690"/>
      <c r="AH162" s="2690"/>
      <c r="AI162" s="2690"/>
      <c r="AJ162" s="2690"/>
      <c r="AK162" s="715"/>
      <c r="AL162" s="2629"/>
      <c r="AM162" s="94"/>
      <c r="AN162" s="713"/>
      <c r="AO162" s="2690"/>
      <c r="AP162" s="2690"/>
      <c r="AQ162" s="2690"/>
      <c r="AR162" s="2690"/>
      <c r="AS162" s="752"/>
      <c r="AT162" s="2629"/>
      <c r="AU162" s="2629"/>
      <c r="AV162" s="2629"/>
      <c r="AW162" s="185"/>
      <c r="AX162" s="839"/>
    </row>
    <row r="163" spans="1:50" s="98" customFormat="1" ht="15" customHeight="1">
      <c r="B163" s="161"/>
      <c r="C163" s="180" t="s">
        <v>2877</v>
      </c>
      <c r="D163" s="162"/>
      <c r="E163" s="162"/>
      <c r="F163" s="162"/>
      <c r="G163" s="163"/>
      <c r="H163" s="163"/>
      <c r="I163" s="94"/>
      <c r="J163" s="713"/>
      <c r="K163" s="2649"/>
      <c r="L163" s="2649"/>
      <c r="M163" s="2649"/>
      <c r="N163" s="2649"/>
      <c r="O163" s="2649"/>
      <c r="P163" s="2649"/>
      <c r="Q163" s="715"/>
      <c r="R163" s="713"/>
      <c r="S163" s="2649"/>
      <c r="T163" s="2649"/>
      <c r="U163" s="2649"/>
      <c r="V163" s="715"/>
      <c r="W163" s="2629"/>
      <c r="X163" s="94"/>
      <c r="Y163" s="713"/>
      <c r="Z163" s="2649"/>
      <c r="AA163" s="2649"/>
      <c r="AB163" s="2649"/>
      <c r="AC163" s="2649"/>
      <c r="AD163" s="2649"/>
      <c r="AE163" s="2649"/>
      <c r="AF163" s="715"/>
      <c r="AG163" s="713"/>
      <c r="AH163" s="2649"/>
      <c r="AI163" s="2649"/>
      <c r="AJ163" s="2649"/>
      <c r="AK163" s="715"/>
      <c r="AL163" s="2629"/>
      <c r="AM163" s="94"/>
      <c r="AN163" s="713"/>
      <c r="AO163" s="2649"/>
      <c r="AP163" s="2649"/>
      <c r="AQ163" s="2649"/>
      <c r="AR163" s="2649"/>
      <c r="AS163" s="715"/>
      <c r="AT163" s="2629"/>
      <c r="AU163" s="2629"/>
      <c r="AV163" s="2629"/>
      <c r="AW163" s="185"/>
      <c r="AX163" s="839"/>
    </row>
    <row r="164" spans="1:50" s="98" customFormat="1" ht="15" customHeight="1">
      <c r="B164" s="161"/>
      <c r="C164" s="185"/>
      <c r="D164" s="162" t="s">
        <v>2862</v>
      </c>
      <c r="E164" s="162"/>
      <c r="F164" s="162"/>
      <c r="G164" s="162"/>
      <c r="H164" s="163"/>
      <c r="I164" s="607" t="s">
        <v>2233</v>
      </c>
      <c r="J164" s="143">
        <v>0</v>
      </c>
      <c r="K164" s="141">
        <v>0</v>
      </c>
      <c r="L164" s="141">
        <v>0</v>
      </c>
      <c r="M164" s="141">
        <v>0</v>
      </c>
      <c r="N164" s="141">
        <v>0</v>
      </c>
      <c r="O164" s="141">
        <v>0</v>
      </c>
      <c r="P164" s="141">
        <v>0</v>
      </c>
      <c r="Q164" s="144">
        <v>0</v>
      </c>
      <c r="R164" s="143">
        <v>0</v>
      </c>
      <c r="S164" s="141">
        <v>0</v>
      </c>
      <c r="T164" s="141">
        <v>0</v>
      </c>
      <c r="U164" s="141">
        <v>0</v>
      </c>
      <c r="V164" s="144">
        <v>0</v>
      </c>
      <c r="W164" s="2629"/>
      <c r="X164" s="607" t="s">
        <v>2233</v>
      </c>
      <c r="Y164" s="143">
        <v>0</v>
      </c>
      <c r="Z164" s="141">
        <v>0</v>
      </c>
      <c r="AA164" s="141">
        <v>0</v>
      </c>
      <c r="AB164" s="141">
        <v>0</v>
      </c>
      <c r="AC164" s="141">
        <v>0</v>
      </c>
      <c r="AD164" s="141">
        <v>0</v>
      </c>
      <c r="AE164" s="141">
        <v>0</v>
      </c>
      <c r="AF164" s="144">
        <v>0</v>
      </c>
      <c r="AG164" s="143">
        <v>0</v>
      </c>
      <c r="AH164" s="141">
        <v>0</v>
      </c>
      <c r="AI164" s="141">
        <v>0</v>
      </c>
      <c r="AJ164" s="141">
        <v>0</v>
      </c>
      <c r="AK164" s="144">
        <v>0</v>
      </c>
      <c r="AL164" s="2629"/>
      <c r="AM164" s="607" t="s">
        <v>2233</v>
      </c>
      <c r="AN164" s="143">
        <v>0</v>
      </c>
      <c r="AO164" s="141">
        <v>0</v>
      </c>
      <c r="AP164" s="141">
        <v>0</v>
      </c>
      <c r="AQ164" s="141">
        <v>0</v>
      </c>
      <c r="AR164" s="141">
        <v>0</v>
      </c>
      <c r="AS164" s="144">
        <v>0</v>
      </c>
      <c r="AT164" s="2629"/>
      <c r="AU164" s="607" t="s">
        <v>2233</v>
      </c>
      <c r="AV164" s="141">
        <v>0</v>
      </c>
      <c r="AW164" s="227" t="s">
        <v>2233</v>
      </c>
      <c r="AX164" s="130">
        <f>SUM(AV164,J164:N164,Y164:AC164,AN164:AR164)</f>
        <v>0</v>
      </c>
    </row>
    <row r="165" spans="1:50" s="98" customFormat="1" ht="15" customHeight="1">
      <c r="B165" s="161"/>
      <c r="C165" s="185"/>
      <c r="D165" s="162" t="s">
        <v>2863</v>
      </c>
      <c r="E165" s="162"/>
      <c r="F165" s="162"/>
      <c r="G165" s="162"/>
      <c r="H165" s="163"/>
      <c r="I165" s="607" t="s">
        <v>2233</v>
      </c>
      <c r="J165" s="143">
        <v>0</v>
      </c>
      <c r="K165" s="141">
        <v>0</v>
      </c>
      <c r="L165" s="141">
        <v>0</v>
      </c>
      <c r="M165" s="141">
        <v>0</v>
      </c>
      <c r="N165" s="141">
        <v>0</v>
      </c>
      <c r="O165" s="141">
        <v>0</v>
      </c>
      <c r="P165" s="141">
        <v>0</v>
      </c>
      <c r="Q165" s="144">
        <v>0</v>
      </c>
      <c r="R165" s="143">
        <v>0</v>
      </c>
      <c r="S165" s="141">
        <v>0</v>
      </c>
      <c r="T165" s="141">
        <v>0</v>
      </c>
      <c r="U165" s="141">
        <v>0</v>
      </c>
      <c r="V165" s="144">
        <v>0</v>
      </c>
      <c r="W165" s="2629"/>
      <c r="X165" s="607" t="s">
        <v>2233</v>
      </c>
      <c r="Y165" s="143">
        <v>0</v>
      </c>
      <c r="Z165" s="141">
        <v>0</v>
      </c>
      <c r="AA165" s="141">
        <v>0</v>
      </c>
      <c r="AB165" s="141">
        <v>0</v>
      </c>
      <c r="AC165" s="141">
        <v>0</v>
      </c>
      <c r="AD165" s="141">
        <v>0</v>
      </c>
      <c r="AE165" s="141">
        <v>0</v>
      </c>
      <c r="AF165" s="144">
        <v>0</v>
      </c>
      <c r="AG165" s="143">
        <v>0</v>
      </c>
      <c r="AH165" s="141">
        <v>0</v>
      </c>
      <c r="AI165" s="141">
        <v>0</v>
      </c>
      <c r="AJ165" s="141">
        <v>0</v>
      </c>
      <c r="AK165" s="144">
        <v>0</v>
      </c>
      <c r="AL165" s="2629"/>
      <c r="AM165" s="607" t="s">
        <v>2233</v>
      </c>
      <c r="AN165" s="143">
        <v>0</v>
      </c>
      <c r="AO165" s="141">
        <v>0</v>
      </c>
      <c r="AP165" s="141">
        <v>0</v>
      </c>
      <c r="AQ165" s="141">
        <v>0</v>
      </c>
      <c r="AR165" s="141">
        <v>0</v>
      </c>
      <c r="AS165" s="144">
        <v>0</v>
      </c>
      <c r="AT165" s="2629"/>
      <c r="AU165" s="607" t="s">
        <v>2233</v>
      </c>
      <c r="AV165" s="141">
        <v>0</v>
      </c>
      <c r="AW165" s="227" t="s">
        <v>2233</v>
      </c>
      <c r="AX165" s="130">
        <f t="shared" ref="AX165:AX172" si="59">SUM(AV165,J165:N165,Y165:AC165,AN165:AR165)</f>
        <v>0</v>
      </c>
    </row>
    <row r="166" spans="1:50" s="98" customFormat="1" ht="15" customHeight="1">
      <c r="B166" s="161"/>
      <c r="C166" s="185"/>
      <c r="D166" s="162" t="s">
        <v>2864</v>
      </c>
      <c r="E166" s="162"/>
      <c r="F166" s="162"/>
      <c r="G166" s="162"/>
      <c r="H166" s="163"/>
      <c r="I166" s="607" t="s">
        <v>2233</v>
      </c>
      <c r="J166" s="143">
        <v>0</v>
      </c>
      <c r="K166" s="141">
        <v>0</v>
      </c>
      <c r="L166" s="141">
        <v>0</v>
      </c>
      <c r="M166" s="141">
        <v>0</v>
      </c>
      <c r="N166" s="141">
        <v>0</v>
      </c>
      <c r="O166" s="141">
        <v>0</v>
      </c>
      <c r="P166" s="141">
        <v>0</v>
      </c>
      <c r="Q166" s="144">
        <v>0</v>
      </c>
      <c r="R166" s="143">
        <v>0</v>
      </c>
      <c r="S166" s="141">
        <v>0</v>
      </c>
      <c r="T166" s="141">
        <v>0</v>
      </c>
      <c r="U166" s="141">
        <v>0</v>
      </c>
      <c r="V166" s="144">
        <v>0</v>
      </c>
      <c r="W166" s="2629"/>
      <c r="X166" s="607" t="s">
        <v>2233</v>
      </c>
      <c r="Y166" s="143">
        <v>0</v>
      </c>
      <c r="Z166" s="141">
        <v>0</v>
      </c>
      <c r="AA166" s="141">
        <v>0</v>
      </c>
      <c r="AB166" s="141">
        <v>0</v>
      </c>
      <c r="AC166" s="141">
        <v>0</v>
      </c>
      <c r="AD166" s="141">
        <v>0</v>
      </c>
      <c r="AE166" s="141">
        <v>0</v>
      </c>
      <c r="AF166" s="144">
        <v>0</v>
      </c>
      <c r="AG166" s="143">
        <v>0</v>
      </c>
      <c r="AH166" s="141">
        <v>0</v>
      </c>
      <c r="AI166" s="141">
        <v>0</v>
      </c>
      <c r="AJ166" s="141">
        <v>0</v>
      </c>
      <c r="AK166" s="144">
        <v>0</v>
      </c>
      <c r="AL166" s="2629"/>
      <c r="AM166" s="607" t="s">
        <v>2233</v>
      </c>
      <c r="AN166" s="143">
        <v>0</v>
      </c>
      <c r="AO166" s="141">
        <v>0</v>
      </c>
      <c r="AP166" s="141">
        <v>0</v>
      </c>
      <c r="AQ166" s="141">
        <v>0</v>
      </c>
      <c r="AR166" s="141">
        <v>0</v>
      </c>
      <c r="AS166" s="144">
        <v>0</v>
      </c>
      <c r="AT166" s="2629"/>
      <c r="AU166" s="607" t="s">
        <v>2233</v>
      </c>
      <c r="AV166" s="141">
        <v>0</v>
      </c>
      <c r="AW166" s="227" t="s">
        <v>2233</v>
      </c>
      <c r="AX166" s="130">
        <f t="shared" si="59"/>
        <v>0</v>
      </c>
    </row>
    <row r="167" spans="1:50" s="98" customFormat="1" ht="15" customHeight="1">
      <c r="B167" s="161"/>
      <c r="C167" s="185"/>
      <c r="D167" s="162" t="s">
        <v>2865</v>
      </c>
      <c r="E167" s="162"/>
      <c r="F167" s="162"/>
      <c r="G167" s="162"/>
      <c r="H167" s="163"/>
      <c r="I167" s="607" t="s">
        <v>2233</v>
      </c>
      <c r="J167" s="143">
        <v>0</v>
      </c>
      <c r="K167" s="141">
        <v>0</v>
      </c>
      <c r="L167" s="141">
        <v>0</v>
      </c>
      <c r="M167" s="141">
        <v>0</v>
      </c>
      <c r="N167" s="141">
        <v>0</v>
      </c>
      <c r="O167" s="141">
        <v>0</v>
      </c>
      <c r="P167" s="141">
        <v>0</v>
      </c>
      <c r="Q167" s="144">
        <v>0</v>
      </c>
      <c r="R167" s="143">
        <v>0</v>
      </c>
      <c r="S167" s="141">
        <v>0</v>
      </c>
      <c r="T167" s="141">
        <v>0</v>
      </c>
      <c r="U167" s="141">
        <v>0</v>
      </c>
      <c r="V167" s="144">
        <v>0</v>
      </c>
      <c r="W167" s="2629"/>
      <c r="X167" s="607" t="s">
        <v>2233</v>
      </c>
      <c r="Y167" s="143">
        <v>0</v>
      </c>
      <c r="Z167" s="141">
        <v>0</v>
      </c>
      <c r="AA167" s="141">
        <v>0</v>
      </c>
      <c r="AB167" s="141">
        <v>0</v>
      </c>
      <c r="AC167" s="141">
        <v>0</v>
      </c>
      <c r="AD167" s="141">
        <v>0</v>
      </c>
      <c r="AE167" s="141">
        <v>0</v>
      </c>
      <c r="AF167" s="144">
        <v>0</v>
      </c>
      <c r="AG167" s="143">
        <v>0</v>
      </c>
      <c r="AH167" s="141">
        <v>0</v>
      </c>
      <c r="AI167" s="141">
        <v>0</v>
      </c>
      <c r="AJ167" s="141">
        <v>0</v>
      </c>
      <c r="AK167" s="144">
        <v>0</v>
      </c>
      <c r="AL167" s="2629"/>
      <c r="AM167" s="607" t="s">
        <v>2233</v>
      </c>
      <c r="AN167" s="143">
        <v>0</v>
      </c>
      <c r="AO167" s="141">
        <v>0</v>
      </c>
      <c r="AP167" s="141">
        <v>0</v>
      </c>
      <c r="AQ167" s="141">
        <v>0</v>
      </c>
      <c r="AR167" s="141">
        <v>0</v>
      </c>
      <c r="AS167" s="144">
        <v>0</v>
      </c>
      <c r="AT167" s="2629"/>
      <c r="AU167" s="607" t="s">
        <v>2233</v>
      </c>
      <c r="AV167" s="141">
        <v>0</v>
      </c>
      <c r="AW167" s="227" t="s">
        <v>2233</v>
      </c>
      <c r="AX167" s="130">
        <f t="shared" si="59"/>
        <v>0</v>
      </c>
    </row>
    <row r="168" spans="1:50" s="98" customFormat="1" ht="15" customHeight="1">
      <c r="B168" s="161"/>
      <c r="C168" s="185"/>
      <c r="D168" s="162" t="s">
        <v>2866</v>
      </c>
      <c r="E168" s="162"/>
      <c r="F168" s="162"/>
      <c r="G168" s="162"/>
      <c r="H168" s="163"/>
      <c r="I168" s="607" t="s">
        <v>2233</v>
      </c>
      <c r="J168" s="143">
        <v>0</v>
      </c>
      <c r="K168" s="141">
        <v>0</v>
      </c>
      <c r="L168" s="141">
        <v>0</v>
      </c>
      <c r="M168" s="141">
        <v>0</v>
      </c>
      <c r="N168" s="141">
        <v>0</v>
      </c>
      <c r="O168" s="141">
        <v>0</v>
      </c>
      <c r="P168" s="141">
        <v>0</v>
      </c>
      <c r="Q168" s="144">
        <v>0</v>
      </c>
      <c r="R168" s="143">
        <v>0</v>
      </c>
      <c r="S168" s="141">
        <v>0</v>
      </c>
      <c r="T168" s="141">
        <v>0</v>
      </c>
      <c r="U168" s="141">
        <v>0</v>
      </c>
      <c r="V168" s="144">
        <v>0</v>
      </c>
      <c r="W168" s="2629"/>
      <c r="X168" s="607" t="s">
        <v>2233</v>
      </c>
      <c r="Y168" s="143">
        <v>0</v>
      </c>
      <c r="Z168" s="141">
        <v>0</v>
      </c>
      <c r="AA168" s="141">
        <v>0</v>
      </c>
      <c r="AB168" s="141">
        <v>0</v>
      </c>
      <c r="AC168" s="141">
        <v>0</v>
      </c>
      <c r="AD168" s="141">
        <v>0</v>
      </c>
      <c r="AE168" s="141">
        <v>0</v>
      </c>
      <c r="AF168" s="144">
        <v>0</v>
      </c>
      <c r="AG168" s="143">
        <v>0</v>
      </c>
      <c r="AH168" s="141">
        <v>0</v>
      </c>
      <c r="AI168" s="141">
        <v>0</v>
      </c>
      <c r="AJ168" s="141">
        <v>0</v>
      </c>
      <c r="AK168" s="144">
        <v>0</v>
      </c>
      <c r="AL168" s="2629"/>
      <c r="AM168" s="607" t="s">
        <v>2233</v>
      </c>
      <c r="AN168" s="143">
        <v>0</v>
      </c>
      <c r="AO168" s="141">
        <v>0</v>
      </c>
      <c r="AP168" s="141">
        <v>0</v>
      </c>
      <c r="AQ168" s="141">
        <v>0</v>
      </c>
      <c r="AR168" s="141">
        <v>0</v>
      </c>
      <c r="AS168" s="144">
        <v>0</v>
      </c>
      <c r="AT168" s="2629"/>
      <c r="AU168" s="607" t="s">
        <v>2233</v>
      </c>
      <c r="AV168" s="141">
        <v>0</v>
      </c>
      <c r="AW168" s="227" t="s">
        <v>2233</v>
      </c>
      <c r="AX168" s="130">
        <f t="shared" si="59"/>
        <v>0</v>
      </c>
    </row>
    <row r="169" spans="1:50" s="98" customFormat="1" ht="15" customHeight="1">
      <c r="B169" s="161"/>
      <c r="C169" s="185"/>
      <c r="D169" s="162" t="s">
        <v>2867</v>
      </c>
      <c r="E169" s="162"/>
      <c r="F169" s="162"/>
      <c r="G169" s="162"/>
      <c r="H169" s="163"/>
      <c r="I169" s="607" t="s">
        <v>2233</v>
      </c>
      <c r="J169" s="143">
        <v>0</v>
      </c>
      <c r="K169" s="141">
        <v>0</v>
      </c>
      <c r="L169" s="141">
        <v>0</v>
      </c>
      <c r="M169" s="141">
        <v>0</v>
      </c>
      <c r="N169" s="141">
        <v>0</v>
      </c>
      <c r="O169" s="141">
        <v>0</v>
      </c>
      <c r="P169" s="141">
        <v>0</v>
      </c>
      <c r="Q169" s="144">
        <v>0</v>
      </c>
      <c r="R169" s="143">
        <v>0</v>
      </c>
      <c r="S169" s="141">
        <v>0</v>
      </c>
      <c r="T169" s="141">
        <v>0</v>
      </c>
      <c r="U169" s="141">
        <v>0</v>
      </c>
      <c r="V169" s="144">
        <v>0</v>
      </c>
      <c r="W169" s="2629"/>
      <c r="X169" s="607" t="s">
        <v>2233</v>
      </c>
      <c r="Y169" s="143">
        <v>0</v>
      </c>
      <c r="Z169" s="141">
        <v>0</v>
      </c>
      <c r="AA169" s="141">
        <v>0</v>
      </c>
      <c r="AB169" s="141">
        <v>0</v>
      </c>
      <c r="AC169" s="141">
        <v>0</v>
      </c>
      <c r="AD169" s="141">
        <v>0</v>
      </c>
      <c r="AE169" s="141">
        <v>0</v>
      </c>
      <c r="AF169" s="144">
        <v>0</v>
      </c>
      <c r="AG169" s="143">
        <v>0</v>
      </c>
      <c r="AH169" s="141">
        <v>0</v>
      </c>
      <c r="AI169" s="141">
        <v>0</v>
      </c>
      <c r="AJ169" s="141">
        <v>0</v>
      </c>
      <c r="AK169" s="144">
        <v>0</v>
      </c>
      <c r="AL169" s="2629"/>
      <c r="AM169" s="607" t="s">
        <v>2233</v>
      </c>
      <c r="AN169" s="143">
        <v>0</v>
      </c>
      <c r="AO169" s="141">
        <v>0</v>
      </c>
      <c r="AP169" s="141">
        <v>0</v>
      </c>
      <c r="AQ169" s="141">
        <v>0</v>
      </c>
      <c r="AR169" s="141">
        <v>0</v>
      </c>
      <c r="AS169" s="144">
        <v>0</v>
      </c>
      <c r="AT169" s="2629"/>
      <c r="AU169" s="607" t="s">
        <v>2233</v>
      </c>
      <c r="AV169" s="141">
        <v>0</v>
      </c>
      <c r="AW169" s="227" t="s">
        <v>2233</v>
      </c>
      <c r="AX169" s="130">
        <f t="shared" si="59"/>
        <v>0</v>
      </c>
    </row>
    <row r="170" spans="1:50" s="98" customFormat="1" ht="15" customHeight="1">
      <c r="B170" s="161"/>
      <c r="C170" s="185"/>
      <c r="D170" s="162" t="s">
        <v>2868</v>
      </c>
      <c r="E170" s="162"/>
      <c r="F170" s="162"/>
      <c r="G170" s="162"/>
      <c r="H170" s="163"/>
      <c r="I170" s="607" t="s">
        <v>2233</v>
      </c>
      <c r="J170" s="143">
        <v>0</v>
      </c>
      <c r="K170" s="141">
        <v>0</v>
      </c>
      <c r="L170" s="141">
        <v>0</v>
      </c>
      <c r="M170" s="141">
        <v>0</v>
      </c>
      <c r="N170" s="141">
        <v>0</v>
      </c>
      <c r="O170" s="141">
        <v>0</v>
      </c>
      <c r="P170" s="141">
        <v>0</v>
      </c>
      <c r="Q170" s="144">
        <v>0</v>
      </c>
      <c r="R170" s="143">
        <v>0</v>
      </c>
      <c r="S170" s="141">
        <v>0</v>
      </c>
      <c r="T170" s="141">
        <v>0</v>
      </c>
      <c r="U170" s="141">
        <v>0</v>
      </c>
      <c r="V170" s="144">
        <v>0</v>
      </c>
      <c r="W170" s="2629"/>
      <c r="X170" s="607" t="s">
        <v>2233</v>
      </c>
      <c r="Y170" s="143">
        <v>0</v>
      </c>
      <c r="Z170" s="141">
        <v>0</v>
      </c>
      <c r="AA170" s="141">
        <v>0</v>
      </c>
      <c r="AB170" s="141">
        <v>0</v>
      </c>
      <c r="AC170" s="141">
        <v>0</v>
      </c>
      <c r="AD170" s="141">
        <v>0</v>
      </c>
      <c r="AE170" s="141">
        <v>0</v>
      </c>
      <c r="AF170" s="144">
        <v>0</v>
      </c>
      <c r="AG170" s="143">
        <v>0</v>
      </c>
      <c r="AH170" s="141">
        <v>0</v>
      </c>
      <c r="AI170" s="141">
        <v>0</v>
      </c>
      <c r="AJ170" s="141">
        <v>0</v>
      </c>
      <c r="AK170" s="144">
        <v>0</v>
      </c>
      <c r="AL170" s="2629"/>
      <c r="AM170" s="607" t="s">
        <v>2233</v>
      </c>
      <c r="AN170" s="143">
        <v>0</v>
      </c>
      <c r="AO170" s="141">
        <v>0</v>
      </c>
      <c r="AP170" s="141">
        <v>0</v>
      </c>
      <c r="AQ170" s="141">
        <v>0</v>
      </c>
      <c r="AR170" s="141">
        <v>0</v>
      </c>
      <c r="AS170" s="144">
        <v>0</v>
      </c>
      <c r="AT170" s="2629"/>
      <c r="AU170" s="607" t="s">
        <v>2233</v>
      </c>
      <c r="AV170" s="141">
        <v>0</v>
      </c>
      <c r="AW170" s="227" t="s">
        <v>2233</v>
      </c>
      <c r="AX170" s="130">
        <f t="shared" si="59"/>
        <v>0</v>
      </c>
    </row>
    <row r="171" spans="1:50" s="98" customFormat="1" ht="15" customHeight="1">
      <c r="B171" s="161"/>
      <c r="C171" s="185"/>
      <c r="D171" s="162" t="s">
        <v>2869</v>
      </c>
      <c r="E171" s="162"/>
      <c r="F171" s="162"/>
      <c r="G171" s="162"/>
      <c r="H171" s="163"/>
      <c r="I171" s="607" t="s">
        <v>2233</v>
      </c>
      <c r="J171" s="143">
        <v>0</v>
      </c>
      <c r="K171" s="141">
        <v>0</v>
      </c>
      <c r="L171" s="141">
        <v>0</v>
      </c>
      <c r="M171" s="141">
        <v>0</v>
      </c>
      <c r="N171" s="141">
        <v>0</v>
      </c>
      <c r="O171" s="141">
        <v>0</v>
      </c>
      <c r="P171" s="141">
        <v>0</v>
      </c>
      <c r="Q171" s="144">
        <v>0</v>
      </c>
      <c r="R171" s="143">
        <v>0</v>
      </c>
      <c r="S171" s="141">
        <v>0</v>
      </c>
      <c r="T171" s="141">
        <v>0</v>
      </c>
      <c r="U171" s="141">
        <v>0</v>
      </c>
      <c r="V171" s="144">
        <v>0</v>
      </c>
      <c r="W171" s="2629"/>
      <c r="X171" s="607" t="s">
        <v>2233</v>
      </c>
      <c r="Y171" s="143">
        <v>0</v>
      </c>
      <c r="Z171" s="141">
        <v>0</v>
      </c>
      <c r="AA171" s="141">
        <v>0</v>
      </c>
      <c r="AB171" s="141">
        <v>0</v>
      </c>
      <c r="AC171" s="141">
        <v>0</v>
      </c>
      <c r="AD171" s="141">
        <v>0</v>
      </c>
      <c r="AE171" s="141">
        <v>0</v>
      </c>
      <c r="AF171" s="144">
        <v>0</v>
      </c>
      <c r="AG171" s="143">
        <v>0</v>
      </c>
      <c r="AH171" s="141">
        <v>0</v>
      </c>
      <c r="AI171" s="141">
        <v>0</v>
      </c>
      <c r="AJ171" s="141">
        <v>0</v>
      </c>
      <c r="AK171" s="144">
        <v>0</v>
      </c>
      <c r="AL171" s="2629"/>
      <c r="AM171" s="607" t="s">
        <v>2233</v>
      </c>
      <c r="AN171" s="143">
        <v>0</v>
      </c>
      <c r="AO171" s="141">
        <v>0</v>
      </c>
      <c r="AP171" s="141">
        <v>0</v>
      </c>
      <c r="AQ171" s="141">
        <v>0</v>
      </c>
      <c r="AR171" s="141">
        <v>0</v>
      </c>
      <c r="AS171" s="144">
        <v>0</v>
      </c>
      <c r="AT171" s="2629"/>
      <c r="AU171" s="607" t="s">
        <v>2233</v>
      </c>
      <c r="AV171" s="141">
        <v>0</v>
      </c>
      <c r="AW171" s="227" t="s">
        <v>2233</v>
      </c>
      <c r="AX171" s="130">
        <f t="shared" si="59"/>
        <v>0</v>
      </c>
    </row>
    <row r="172" spans="1:50" s="98" customFormat="1" ht="15" customHeight="1">
      <c r="B172" s="161"/>
      <c r="C172" s="185"/>
      <c r="D172" s="162" t="s">
        <v>2870</v>
      </c>
      <c r="E172" s="162"/>
      <c r="F172" s="162"/>
      <c r="G172" s="162"/>
      <c r="H172" s="163"/>
      <c r="I172" s="607" t="s">
        <v>2233</v>
      </c>
      <c r="J172" s="143">
        <v>0</v>
      </c>
      <c r="K172" s="141">
        <v>0</v>
      </c>
      <c r="L172" s="141">
        <v>0</v>
      </c>
      <c r="M172" s="141">
        <v>0</v>
      </c>
      <c r="N172" s="141">
        <v>0</v>
      </c>
      <c r="O172" s="141">
        <v>0</v>
      </c>
      <c r="P172" s="141">
        <v>0</v>
      </c>
      <c r="Q172" s="144">
        <v>0</v>
      </c>
      <c r="R172" s="143">
        <v>0</v>
      </c>
      <c r="S172" s="141">
        <v>0</v>
      </c>
      <c r="T172" s="141">
        <v>0</v>
      </c>
      <c r="U172" s="141">
        <v>0</v>
      </c>
      <c r="V172" s="144">
        <v>0</v>
      </c>
      <c r="W172" s="2629"/>
      <c r="X172" s="607" t="s">
        <v>2233</v>
      </c>
      <c r="Y172" s="143">
        <v>0</v>
      </c>
      <c r="Z172" s="141">
        <v>0</v>
      </c>
      <c r="AA172" s="141">
        <v>0</v>
      </c>
      <c r="AB172" s="141">
        <v>0</v>
      </c>
      <c r="AC172" s="141">
        <v>0</v>
      </c>
      <c r="AD172" s="141">
        <v>0</v>
      </c>
      <c r="AE172" s="141">
        <v>0</v>
      </c>
      <c r="AF172" s="144">
        <v>0</v>
      </c>
      <c r="AG172" s="143">
        <v>0</v>
      </c>
      <c r="AH172" s="141">
        <v>0</v>
      </c>
      <c r="AI172" s="141">
        <v>0</v>
      </c>
      <c r="AJ172" s="141">
        <v>0</v>
      </c>
      <c r="AK172" s="144">
        <v>0</v>
      </c>
      <c r="AL172" s="2629"/>
      <c r="AM172" s="607" t="s">
        <v>2233</v>
      </c>
      <c r="AN172" s="143">
        <v>0</v>
      </c>
      <c r="AO172" s="141">
        <v>0</v>
      </c>
      <c r="AP172" s="141">
        <v>0</v>
      </c>
      <c r="AQ172" s="141">
        <v>0</v>
      </c>
      <c r="AR172" s="141">
        <v>0</v>
      </c>
      <c r="AS172" s="144">
        <v>0</v>
      </c>
      <c r="AT172" s="2629"/>
      <c r="AU172" s="607" t="s">
        <v>2233</v>
      </c>
      <c r="AV172" s="141">
        <v>0</v>
      </c>
      <c r="AW172" s="227" t="s">
        <v>2233</v>
      </c>
      <c r="AX172" s="130">
        <f t="shared" si="59"/>
        <v>0</v>
      </c>
    </row>
    <row r="173" spans="1:50" s="98" customFormat="1" ht="15" customHeight="1">
      <c r="B173" s="181"/>
      <c r="C173" s="182" t="s">
        <v>1710</v>
      </c>
      <c r="D173" s="182"/>
      <c r="E173" s="182"/>
      <c r="F173" s="182"/>
      <c r="G173" s="184"/>
      <c r="H173" s="184"/>
      <c r="I173" s="607" t="s">
        <v>2233</v>
      </c>
      <c r="J173" s="128">
        <f>SUM(J164:J172)</f>
        <v>0</v>
      </c>
      <c r="K173" s="129">
        <f t="shared" ref="K173:V173" si="60">SUM(K164:K172)</f>
        <v>0</v>
      </c>
      <c r="L173" s="129">
        <f t="shared" si="60"/>
        <v>0</v>
      </c>
      <c r="M173" s="129">
        <f t="shared" si="60"/>
        <v>0</v>
      </c>
      <c r="N173" s="129">
        <f t="shared" si="60"/>
        <v>0</v>
      </c>
      <c r="O173" s="129">
        <f t="shared" si="60"/>
        <v>0</v>
      </c>
      <c r="P173" s="129">
        <f t="shared" si="60"/>
        <v>0</v>
      </c>
      <c r="Q173" s="130">
        <f t="shared" si="60"/>
        <v>0</v>
      </c>
      <c r="R173" s="128">
        <f t="shared" si="60"/>
        <v>0</v>
      </c>
      <c r="S173" s="129">
        <f t="shared" si="60"/>
        <v>0</v>
      </c>
      <c r="T173" s="129">
        <f t="shared" si="60"/>
        <v>0</v>
      </c>
      <c r="U173" s="129">
        <f t="shared" si="60"/>
        <v>0</v>
      </c>
      <c r="V173" s="130">
        <f t="shared" si="60"/>
        <v>0</v>
      </c>
      <c r="W173" s="2629"/>
      <c r="X173" s="607" t="s">
        <v>2233</v>
      </c>
      <c r="Y173" s="128">
        <f>SUM(Y164:Y172)</f>
        <v>0</v>
      </c>
      <c r="Z173" s="129">
        <f t="shared" ref="Z173:AK173" si="61">SUM(Z164:Z172)</f>
        <v>0</v>
      </c>
      <c r="AA173" s="129">
        <f t="shared" si="61"/>
        <v>0</v>
      </c>
      <c r="AB173" s="129">
        <f t="shared" si="61"/>
        <v>0</v>
      </c>
      <c r="AC173" s="129">
        <f t="shared" si="61"/>
        <v>0</v>
      </c>
      <c r="AD173" s="129">
        <f t="shared" si="61"/>
        <v>0</v>
      </c>
      <c r="AE173" s="129">
        <f t="shared" si="61"/>
        <v>0</v>
      </c>
      <c r="AF173" s="130">
        <f t="shared" si="61"/>
        <v>0</v>
      </c>
      <c r="AG173" s="128">
        <f t="shared" si="61"/>
        <v>0</v>
      </c>
      <c r="AH173" s="129">
        <f t="shared" si="61"/>
        <v>0</v>
      </c>
      <c r="AI173" s="129">
        <f t="shared" si="61"/>
        <v>0</v>
      </c>
      <c r="AJ173" s="129">
        <f t="shared" si="61"/>
        <v>0</v>
      </c>
      <c r="AK173" s="130">
        <f t="shared" si="61"/>
        <v>0</v>
      </c>
      <c r="AL173" s="2629"/>
      <c r="AM173" s="607" t="s">
        <v>2233</v>
      </c>
      <c r="AN173" s="128">
        <f>SUM(AN164:AN172)</f>
        <v>0</v>
      </c>
      <c r="AO173" s="129">
        <f t="shared" ref="AO173:AS173" si="62">SUM(AO164:AO172)</f>
        <v>0</v>
      </c>
      <c r="AP173" s="129">
        <f t="shared" si="62"/>
        <v>0</v>
      </c>
      <c r="AQ173" s="129">
        <f t="shared" si="62"/>
        <v>0</v>
      </c>
      <c r="AR173" s="129">
        <f t="shared" si="62"/>
        <v>0</v>
      </c>
      <c r="AS173" s="130">
        <f t="shared" si="62"/>
        <v>0</v>
      </c>
      <c r="AT173" s="2629"/>
      <c r="AU173" s="607" t="s">
        <v>2233</v>
      </c>
      <c r="AV173" s="876">
        <f>SUM(AV164:AV172)</f>
        <v>0</v>
      </c>
      <c r="AW173" s="227" t="s">
        <v>2233</v>
      </c>
      <c r="AX173" s="712">
        <f>SUM(AX164:AX172)</f>
        <v>0</v>
      </c>
    </row>
    <row r="174" spans="1:50" s="98" customFormat="1" ht="15" customHeight="1">
      <c r="A174" s="99"/>
      <c r="B174" s="181"/>
      <c r="C174" s="185"/>
      <c r="D174" s="182"/>
      <c r="E174" s="182"/>
      <c r="F174" s="182"/>
      <c r="G174" s="184"/>
      <c r="H174" s="184"/>
      <c r="I174" s="94"/>
      <c r="J174" s="713"/>
      <c r="K174" s="2690"/>
      <c r="L174" s="2690"/>
      <c r="M174" s="2690"/>
      <c r="N174" s="2690"/>
      <c r="O174" s="2690"/>
      <c r="P174" s="2690"/>
      <c r="Q174" s="715"/>
      <c r="R174" s="2690"/>
      <c r="S174" s="2690"/>
      <c r="T174" s="2690"/>
      <c r="U174" s="2690"/>
      <c r="V174" s="715"/>
      <c r="W174" s="2629"/>
      <c r="X174" s="94"/>
      <c r="Y174" s="713"/>
      <c r="Z174" s="2690"/>
      <c r="AA174" s="2690"/>
      <c r="AB174" s="2690"/>
      <c r="AC174" s="2690"/>
      <c r="AD174" s="2690"/>
      <c r="AE174" s="2690"/>
      <c r="AF174" s="715"/>
      <c r="AG174" s="2690"/>
      <c r="AH174" s="2690"/>
      <c r="AI174" s="2690"/>
      <c r="AJ174" s="2690"/>
      <c r="AK174" s="715"/>
      <c r="AL174" s="2629"/>
      <c r="AM174" s="94"/>
      <c r="AN174" s="713"/>
      <c r="AO174" s="2690"/>
      <c r="AP174" s="2690"/>
      <c r="AQ174" s="2690"/>
      <c r="AR174" s="2690"/>
      <c r="AS174" s="752"/>
      <c r="AT174" s="2629"/>
      <c r="AU174" s="2629"/>
      <c r="AV174" s="2629"/>
      <c r="AW174" s="185"/>
      <c r="AX174" s="839"/>
    </row>
    <row r="175" spans="1:50" s="98" customFormat="1" ht="15" customHeight="1" thickBot="1">
      <c r="A175" s="99"/>
      <c r="B175" s="131" t="s">
        <v>1701</v>
      </c>
      <c r="C175" s="132"/>
      <c r="D175" s="132"/>
      <c r="E175" s="132"/>
      <c r="F175" s="132"/>
      <c r="G175" s="145"/>
      <c r="H175" s="133"/>
      <c r="I175" s="146" t="s">
        <v>2233</v>
      </c>
      <c r="J175" s="717">
        <f>SUM(J113,J125,J137,J149,J161,J173)</f>
        <v>13.628179415050939</v>
      </c>
      <c r="K175" s="718">
        <f t="shared" ref="K175:V175" si="63">SUM(K113,K125,K137,K149,K161,K173)</f>
        <v>19.617245636363634</v>
      </c>
      <c r="L175" s="718">
        <f t="shared" si="63"/>
        <v>20.357489666411833</v>
      </c>
      <c r="M175" s="718">
        <f t="shared" si="63"/>
        <v>16.271716965300239</v>
      </c>
      <c r="N175" s="718">
        <f t="shared" si="63"/>
        <v>16.657648118991329</v>
      </c>
      <c r="O175" s="718">
        <f t="shared" si="63"/>
        <v>20.922263902439024</v>
      </c>
      <c r="P175" s="718">
        <f t="shared" si="63"/>
        <v>4.7299682382021331</v>
      </c>
      <c r="Q175" s="719">
        <f t="shared" si="63"/>
        <v>4.0049916113062194</v>
      </c>
      <c r="R175" s="717">
        <f t="shared" si="63"/>
        <v>4.8720950676364261</v>
      </c>
      <c r="S175" s="718">
        <f t="shared" si="63"/>
        <v>4.8720950676364261</v>
      </c>
      <c r="T175" s="718">
        <f t="shared" si="63"/>
        <v>4.8720950676364261</v>
      </c>
      <c r="U175" s="718">
        <f t="shared" si="63"/>
        <v>4.8720950676364261</v>
      </c>
      <c r="V175" s="719">
        <f t="shared" si="63"/>
        <v>4.8720950676364261</v>
      </c>
      <c r="W175" s="2630"/>
      <c r="X175" s="146" t="s">
        <v>2233</v>
      </c>
      <c r="Y175" s="717">
        <f>SUM(Y113,Y125,Y137,Y149,Y161,Y173)</f>
        <v>-11.958446603602672</v>
      </c>
      <c r="Z175" s="718">
        <f t="shared" ref="Z175:AK175" si="64">SUM(Z113,Z125,Z137,Z149,Z161,Z173)</f>
        <v>-13.145837126042355</v>
      </c>
      <c r="AA175" s="718">
        <f t="shared" si="64"/>
        <v>-9.4326469199901322</v>
      </c>
      <c r="AB175" s="718">
        <f t="shared" si="64"/>
        <v>-9.1282873237523035</v>
      </c>
      <c r="AC175" s="718">
        <f t="shared" si="64"/>
        <v>-5.6816867966307347</v>
      </c>
      <c r="AD175" s="718">
        <f t="shared" si="64"/>
        <v>-11.780371515756485</v>
      </c>
      <c r="AE175" s="718">
        <f t="shared" si="64"/>
        <v>-3.7104276423969536</v>
      </c>
      <c r="AF175" s="719">
        <f t="shared" si="64"/>
        <v>-2.9960824807507662</v>
      </c>
      <c r="AG175" s="717">
        <f t="shared" si="64"/>
        <v>-4.9213081491277029</v>
      </c>
      <c r="AH175" s="718">
        <f t="shared" si="64"/>
        <v>-4.9213081491277029</v>
      </c>
      <c r="AI175" s="718">
        <f t="shared" si="64"/>
        <v>-4.9213081491277029</v>
      </c>
      <c r="AJ175" s="718">
        <f t="shared" si="64"/>
        <v>-4.9213081491277029</v>
      </c>
      <c r="AK175" s="719">
        <f t="shared" si="64"/>
        <v>-4.9213081491277029</v>
      </c>
      <c r="AL175" s="2630"/>
      <c r="AM175" s="146" t="s">
        <v>2233</v>
      </c>
      <c r="AN175" s="717">
        <f>SUM(AN113,AN125,AN137,AN149,AN161,AN173)</f>
        <v>-0.82072464282934809</v>
      </c>
      <c r="AO175" s="718">
        <f t="shared" ref="AO175:AS175" si="65">SUM(AO113,AO125,AO137,AO149,AO161,AO173)</f>
        <v>-2.9532846309199954</v>
      </c>
      <c r="AP175" s="718">
        <f t="shared" si="65"/>
        <v>0.73629084694132096</v>
      </c>
      <c r="AQ175" s="718">
        <f t="shared" si="65"/>
        <v>1.0171518441834013</v>
      </c>
      <c r="AR175" s="718">
        <f t="shared" si="65"/>
        <v>-1.0831276720040828</v>
      </c>
      <c r="AS175" s="719">
        <f t="shared" si="65"/>
        <v>-0.82078250098439876</v>
      </c>
      <c r="AT175" s="2630"/>
      <c r="AU175" s="146" t="s">
        <v>2233</v>
      </c>
      <c r="AV175" s="718">
        <f>SUM(AV113,AV125,AV137,AV149,AV161,AV173)</f>
        <v>3647.233784163001</v>
      </c>
      <c r="AW175" s="882" t="s">
        <v>2233</v>
      </c>
      <c r="AX175" s="719">
        <f>SUM(AX113,AX125,AX137,AX149,AX161,AX173)</f>
        <v>3681.3154649404723</v>
      </c>
    </row>
    <row r="176" spans="1:50" s="99" customFormat="1" ht="15" customHeight="1" thickBot="1">
      <c r="B176" s="150"/>
      <c r="C176" s="150"/>
      <c r="D176" s="150"/>
      <c r="E176" s="150"/>
      <c r="F176" s="150"/>
      <c r="G176" s="97"/>
      <c r="H176" s="97"/>
      <c r="I176" s="2629"/>
      <c r="J176" s="2629"/>
      <c r="K176" s="2629"/>
      <c r="L176" s="2629"/>
      <c r="M176" s="2629"/>
      <c r="N176" s="2629"/>
      <c r="O176" s="2629"/>
      <c r="P176" s="2629"/>
      <c r="Q176" s="2629"/>
      <c r="R176" s="2629"/>
      <c r="S176" s="2629"/>
      <c r="T176" s="2629"/>
      <c r="U176" s="2629"/>
      <c r="V176" s="2629"/>
      <c r="W176" s="2629"/>
      <c r="X176" s="2629"/>
      <c r="Y176" s="2629"/>
      <c r="Z176" s="2629"/>
      <c r="AA176" s="2629"/>
      <c r="AB176" s="2629"/>
      <c r="AC176" s="2629"/>
      <c r="AD176" s="2629"/>
      <c r="AE176" s="2629"/>
      <c r="AF176" s="2629"/>
      <c r="AG176" s="2629"/>
      <c r="AH176" s="2629"/>
      <c r="AI176" s="2629"/>
      <c r="AJ176" s="2629"/>
      <c r="AK176" s="2629"/>
      <c r="AL176" s="2629"/>
      <c r="AM176" s="2629"/>
      <c r="AN176" s="2629"/>
      <c r="AO176" s="2629"/>
      <c r="AP176" s="2629"/>
      <c r="AQ176" s="2629"/>
      <c r="AR176" s="2629"/>
      <c r="AS176" s="2629"/>
      <c r="AT176" s="2629"/>
      <c r="AU176" s="2629"/>
      <c r="AV176" s="2629"/>
      <c r="AW176" s="98"/>
      <c r="AX176" s="98"/>
    </row>
    <row r="177" spans="1:50" s="100" customFormat="1" ht="30" customHeight="1" thickBot="1">
      <c r="A177" s="89"/>
      <c r="B177" s="101" t="s">
        <v>2880</v>
      </c>
      <c r="C177" s="102"/>
      <c r="D177" s="102"/>
      <c r="E177" s="102"/>
      <c r="F177" s="102"/>
      <c r="G177" s="103"/>
      <c r="H177" s="103"/>
      <c r="I177" s="105" t="s">
        <v>2837</v>
      </c>
      <c r="J177" s="106"/>
      <c r="K177" s="106"/>
      <c r="L177" s="106"/>
      <c r="M177" s="106"/>
      <c r="N177" s="106"/>
      <c r="O177" s="106"/>
      <c r="P177" s="106"/>
      <c r="Q177" s="106"/>
      <c r="R177" s="105"/>
      <c r="S177" s="105"/>
      <c r="T177" s="105"/>
      <c r="U177" s="105"/>
      <c r="V177" s="105"/>
      <c r="W177" s="103"/>
      <c r="X177" s="105" t="s">
        <v>2838</v>
      </c>
      <c r="Y177" s="106"/>
      <c r="Z177" s="106"/>
      <c r="AA177" s="106"/>
      <c r="AB177" s="106"/>
      <c r="AC177" s="106"/>
      <c r="AD177" s="106"/>
      <c r="AE177" s="106"/>
      <c r="AF177" s="106"/>
      <c r="AG177" s="105"/>
      <c r="AH177" s="105"/>
      <c r="AI177" s="105"/>
      <c r="AJ177" s="105"/>
      <c r="AK177" s="105"/>
      <c r="AL177" s="103"/>
      <c r="AM177" s="105" t="s">
        <v>2839</v>
      </c>
      <c r="AN177" s="106"/>
      <c r="AO177" s="106"/>
      <c r="AP177" s="106"/>
      <c r="AQ177" s="106"/>
      <c r="AR177" s="106"/>
      <c r="AS177" s="106"/>
      <c r="AT177" s="103"/>
      <c r="AU177" s="218" t="s">
        <v>1925</v>
      </c>
      <c r="AV177" s="219"/>
      <c r="AW177" s="220"/>
      <c r="AX177" s="221"/>
    </row>
    <row r="178" spans="1:50" s="157" customFormat="1" ht="30" customHeight="1">
      <c r="A178" s="99"/>
      <c r="B178" s="109"/>
      <c r="C178" s="110"/>
      <c r="D178" s="110"/>
      <c r="E178" s="110"/>
      <c r="F178" s="110"/>
      <c r="G178" s="111"/>
      <c r="H178" s="111"/>
      <c r="I178" s="94"/>
      <c r="J178" s="695" t="s">
        <v>1666</v>
      </c>
      <c r="K178" s="152"/>
      <c r="L178" s="152"/>
      <c r="M178" s="152"/>
      <c r="N178" s="152"/>
      <c r="O178" s="152"/>
      <c r="P178" s="152"/>
      <c r="Q178" s="153"/>
      <c r="R178" s="696" t="s">
        <v>2</v>
      </c>
      <c r="S178" s="155"/>
      <c r="T178" s="155"/>
      <c r="U178" s="155"/>
      <c r="V178" s="156"/>
      <c r="W178" s="2632"/>
      <c r="X178" s="94"/>
      <c r="Y178" s="695" t="s">
        <v>1666</v>
      </c>
      <c r="Z178" s="152"/>
      <c r="AA178" s="152"/>
      <c r="AB178" s="152"/>
      <c r="AC178" s="152"/>
      <c r="AD178" s="152"/>
      <c r="AE178" s="152"/>
      <c r="AF178" s="153"/>
      <c r="AG178" s="696" t="s">
        <v>2</v>
      </c>
      <c r="AH178" s="155"/>
      <c r="AI178" s="155"/>
      <c r="AJ178" s="155"/>
      <c r="AK178" s="156"/>
      <c r="AL178" s="2632"/>
      <c r="AM178" s="94"/>
      <c r="AN178" s="695" t="s">
        <v>1666</v>
      </c>
      <c r="AO178" s="152"/>
      <c r="AP178" s="152"/>
      <c r="AQ178" s="152"/>
      <c r="AR178" s="152"/>
      <c r="AS178" s="153"/>
      <c r="AT178" s="2632"/>
      <c r="AU178" s="223" t="s">
        <v>2840</v>
      </c>
      <c r="AV178" s="203"/>
      <c r="AW178" s="224" t="s">
        <v>2879</v>
      </c>
      <c r="AX178" s="204"/>
    </row>
    <row r="179" spans="1:50" s="98" customFormat="1" ht="15" customHeight="1">
      <c r="A179" s="99"/>
      <c r="B179" s="115"/>
      <c r="C179" s="116"/>
      <c r="D179" s="116"/>
      <c r="E179" s="116"/>
      <c r="F179" s="116"/>
      <c r="G179" s="117"/>
      <c r="H179" s="117"/>
      <c r="I179" s="119" t="s">
        <v>1667</v>
      </c>
      <c r="J179" s="158" t="s">
        <v>453</v>
      </c>
      <c r="K179" s="137" t="s">
        <v>455</v>
      </c>
      <c r="L179" s="137" t="s">
        <v>457</v>
      </c>
      <c r="M179" s="137" t="s">
        <v>459</v>
      </c>
      <c r="N179" s="137" t="s">
        <v>461</v>
      </c>
      <c r="O179" s="137" t="s">
        <v>463</v>
      </c>
      <c r="P179" s="137" t="s">
        <v>465</v>
      </c>
      <c r="Q179" s="138" t="s">
        <v>467</v>
      </c>
      <c r="R179" s="120" t="s">
        <v>469</v>
      </c>
      <c r="S179" s="121" t="s">
        <v>471</v>
      </c>
      <c r="T179" s="121" t="s">
        <v>473</v>
      </c>
      <c r="U179" s="121" t="s">
        <v>475</v>
      </c>
      <c r="V179" s="122" t="s">
        <v>477</v>
      </c>
      <c r="W179" s="2629"/>
      <c r="X179" s="119" t="s">
        <v>1667</v>
      </c>
      <c r="Y179" s="158" t="s">
        <v>453</v>
      </c>
      <c r="Z179" s="137" t="s">
        <v>455</v>
      </c>
      <c r="AA179" s="137" t="s">
        <v>457</v>
      </c>
      <c r="AB179" s="137" t="s">
        <v>459</v>
      </c>
      <c r="AC179" s="137" t="s">
        <v>461</v>
      </c>
      <c r="AD179" s="137" t="s">
        <v>463</v>
      </c>
      <c r="AE179" s="137" t="s">
        <v>465</v>
      </c>
      <c r="AF179" s="138" t="s">
        <v>467</v>
      </c>
      <c r="AG179" s="120" t="s">
        <v>469</v>
      </c>
      <c r="AH179" s="121" t="s">
        <v>471</v>
      </c>
      <c r="AI179" s="121" t="s">
        <v>473</v>
      </c>
      <c r="AJ179" s="121" t="s">
        <v>475</v>
      </c>
      <c r="AK179" s="122" t="s">
        <v>477</v>
      </c>
      <c r="AL179" s="2629"/>
      <c r="AM179" s="119" t="s">
        <v>1667</v>
      </c>
      <c r="AN179" s="158" t="s">
        <v>453</v>
      </c>
      <c r="AO179" s="137" t="s">
        <v>455</v>
      </c>
      <c r="AP179" s="137" t="s">
        <v>457</v>
      </c>
      <c r="AQ179" s="137" t="s">
        <v>459</v>
      </c>
      <c r="AR179" s="137" t="s">
        <v>461</v>
      </c>
      <c r="AS179" s="138" t="s">
        <v>463</v>
      </c>
      <c r="AT179" s="2629"/>
      <c r="AU179" s="225" t="s">
        <v>1667</v>
      </c>
      <c r="AV179" s="206" t="s">
        <v>2142</v>
      </c>
      <c r="AW179" s="226" t="s">
        <v>1667</v>
      </c>
      <c r="AX179" s="207" t="s">
        <v>2142</v>
      </c>
    </row>
    <row r="180" spans="1:50" s="98" customFormat="1" ht="15" customHeight="1">
      <c r="A180" s="99"/>
      <c r="B180" s="161"/>
      <c r="C180" s="180" t="s">
        <v>2872</v>
      </c>
      <c r="D180" s="162"/>
      <c r="E180" s="162"/>
      <c r="F180" s="162"/>
      <c r="G180" s="163"/>
      <c r="H180" s="163"/>
      <c r="I180" s="94"/>
      <c r="J180" s="159"/>
      <c r="K180" s="94"/>
      <c r="L180" s="94"/>
      <c r="M180" s="94"/>
      <c r="N180" s="94"/>
      <c r="O180" s="94"/>
      <c r="P180" s="94"/>
      <c r="Q180" s="160"/>
      <c r="R180" s="159"/>
      <c r="S180" s="94"/>
      <c r="T180" s="94"/>
      <c r="U180" s="94"/>
      <c r="V180" s="160"/>
      <c r="W180" s="2629"/>
      <c r="X180" s="94"/>
      <c r="Y180" s="159"/>
      <c r="Z180" s="94"/>
      <c r="AA180" s="94"/>
      <c r="AB180" s="94"/>
      <c r="AC180" s="94"/>
      <c r="AD180" s="94"/>
      <c r="AE180" s="94"/>
      <c r="AF180" s="160"/>
      <c r="AG180" s="159"/>
      <c r="AH180" s="94"/>
      <c r="AI180" s="94"/>
      <c r="AJ180" s="94"/>
      <c r="AK180" s="160"/>
      <c r="AL180" s="2629"/>
      <c r="AM180" s="94"/>
      <c r="AN180" s="159"/>
      <c r="AO180" s="94"/>
      <c r="AP180" s="94"/>
      <c r="AQ180" s="94"/>
      <c r="AR180" s="94"/>
      <c r="AS180" s="160"/>
      <c r="AT180" s="2629"/>
      <c r="AU180" s="2629"/>
      <c r="AV180" s="2629"/>
      <c r="AW180" s="185"/>
      <c r="AX180" s="215"/>
    </row>
    <row r="181" spans="1:50" s="98" customFormat="1" ht="15" customHeight="1">
      <c r="A181" s="99"/>
      <c r="B181" s="161"/>
      <c r="C181" s="185"/>
      <c r="D181" s="162" t="s">
        <v>2862</v>
      </c>
      <c r="E181" s="162"/>
      <c r="F181" s="162"/>
      <c r="G181" s="162"/>
      <c r="H181" s="163"/>
      <c r="I181" s="607" t="s">
        <v>2233</v>
      </c>
      <c r="J181" s="143">
        <v>0</v>
      </c>
      <c r="K181" s="141">
        <v>0.17967659798334062</v>
      </c>
      <c r="L181" s="141">
        <v>0.40740602772239637</v>
      </c>
      <c r="M181" s="141">
        <v>0.14289510007866446</v>
      </c>
      <c r="N181" s="141">
        <v>0.22538184397163122</v>
      </c>
      <c r="O181" s="141">
        <v>6.2505043093588804E-4</v>
      </c>
      <c r="P181" s="141">
        <v>7.9880386604378145E-4</v>
      </c>
      <c r="Q181" s="144">
        <v>0</v>
      </c>
      <c r="R181" s="143">
        <v>0</v>
      </c>
      <c r="S181" s="141">
        <v>0</v>
      </c>
      <c r="T181" s="141">
        <v>0</v>
      </c>
      <c r="U181" s="141">
        <v>0</v>
      </c>
      <c r="V181" s="144">
        <v>0</v>
      </c>
      <c r="W181" s="2629"/>
      <c r="X181" s="607" t="s">
        <v>2233</v>
      </c>
      <c r="Y181" s="143">
        <v>0</v>
      </c>
      <c r="Z181" s="141">
        <v>0</v>
      </c>
      <c r="AA181" s="141">
        <v>0</v>
      </c>
      <c r="AB181" s="141">
        <v>0</v>
      </c>
      <c r="AC181" s="141">
        <v>-5.4945389507154212E-2</v>
      </c>
      <c r="AD181" s="141">
        <v>0</v>
      </c>
      <c r="AE181" s="141">
        <v>0</v>
      </c>
      <c r="AF181" s="144">
        <v>0</v>
      </c>
      <c r="AG181" s="143">
        <v>0</v>
      </c>
      <c r="AH181" s="141">
        <v>0</v>
      </c>
      <c r="AI181" s="141">
        <v>0</v>
      </c>
      <c r="AJ181" s="141">
        <v>0</v>
      </c>
      <c r="AK181" s="144">
        <v>0</v>
      </c>
      <c r="AL181" s="2629"/>
      <c r="AM181" s="607" t="s">
        <v>2233</v>
      </c>
      <c r="AN181" s="143">
        <v>-8.7440200240743206E-3</v>
      </c>
      <c r="AO181" s="141">
        <v>-8.7567646371945994E-3</v>
      </c>
      <c r="AP181" s="141">
        <v>-1.1462147354156646E-2</v>
      </c>
      <c r="AQ181" s="141">
        <v>1.2541758463621015E-2</v>
      </c>
      <c r="AR181" s="141">
        <v>-2.3032971184476558E-2</v>
      </c>
      <c r="AS181" s="144">
        <v>3.8702646655005872E-5</v>
      </c>
      <c r="AT181" s="2629"/>
      <c r="AU181" s="607" t="s">
        <v>2233</v>
      </c>
      <c r="AV181" s="141">
        <v>27.316023109370107</v>
      </c>
      <c r="AW181" s="227" t="s">
        <v>2233</v>
      </c>
      <c r="AX181" s="130">
        <f>SUM(AV181,J181:N181,Y181:AC181,AN181:AR181)</f>
        <v>28.176983144882705</v>
      </c>
    </row>
    <row r="182" spans="1:50" s="98" customFormat="1" ht="15" customHeight="1">
      <c r="A182" s="99"/>
      <c r="B182" s="161"/>
      <c r="C182" s="185"/>
      <c r="D182" s="162" t="s">
        <v>2863</v>
      </c>
      <c r="E182" s="162"/>
      <c r="F182" s="162"/>
      <c r="G182" s="162"/>
      <c r="H182" s="163"/>
      <c r="I182" s="607" t="s">
        <v>2233</v>
      </c>
      <c r="J182" s="143">
        <v>0</v>
      </c>
      <c r="K182" s="141">
        <v>4.5856514686540992E-2</v>
      </c>
      <c r="L182" s="141">
        <v>9.05127997721447E-2</v>
      </c>
      <c r="M182" s="141">
        <v>3.3886807097281708E-2</v>
      </c>
      <c r="N182" s="141">
        <v>5.7029067507223537E-2</v>
      </c>
      <c r="O182" s="141">
        <v>1.249158692083136E-3</v>
      </c>
      <c r="P182" s="141">
        <v>1.5964036550525169E-3</v>
      </c>
      <c r="Q182" s="144">
        <v>0</v>
      </c>
      <c r="R182" s="143">
        <v>0</v>
      </c>
      <c r="S182" s="141">
        <v>0</v>
      </c>
      <c r="T182" s="141">
        <v>0</v>
      </c>
      <c r="U182" s="141">
        <v>0</v>
      </c>
      <c r="V182" s="144">
        <v>0</v>
      </c>
      <c r="W182" s="2629"/>
      <c r="X182" s="607" t="s">
        <v>2233</v>
      </c>
      <c r="Y182" s="143">
        <v>0</v>
      </c>
      <c r="Z182" s="141">
        <v>0</v>
      </c>
      <c r="AA182" s="141">
        <v>0</v>
      </c>
      <c r="AB182" s="141">
        <v>0</v>
      </c>
      <c r="AC182" s="141">
        <v>-3.5965580286168516E-2</v>
      </c>
      <c r="AD182" s="141">
        <v>0</v>
      </c>
      <c r="AE182" s="141">
        <v>0</v>
      </c>
      <c r="AF182" s="144">
        <v>0</v>
      </c>
      <c r="AG182" s="143">
        <v>0</v>
      </c>
      <c r="AH182" s="141">
        <v>0</v>
      </c>
      <c r="AI182" s="141">
        <v>0</v>
      </c>
      <c r="AJ182" s="141">
        <v>0</v>
      </c>
      <c r="AK182" s="144">
        <v>0</v>
      </c>
      <c r="AL182" s="2629"/>
      <c r="AM182" s="607" t="s">
        <v>2233</v>
      </c>
      <c r="AN182" s="143">
        <v>-1.3389301288875761E-2</v>
      </c>
      <c r="AO182" s="141">
        <v>-1.2252591396617045E-2</v>
      </c>
      <c r="AP182" s="141">
        <v>-9.2712514336465834E-3</v>
      </c>
      <c r="AQ182" s="141">
        <v>1.2474350765828077E-3</v>
      </c>
      <c r="AR182" s="141">
        <v>-2.7674395068963131E-2</v>
      </c>
      <c r="AS182" s="144">
        <v>1.5150810221209345E-2</v>
      </c>
      <c r="AT182" s="2629"/>
      <c r="AU182" s="607" t="s">
        <v>2233</v>
      </c>
      <c r="AV182" s="141">
        <v>36.858748376229698</v>
      </c>
      <c r="AW182" s="227" t="s">
        <v>2233</v>
      </c>
      <c r="AX182" s="130">
        <f t="shared" ref="AX182:AX189" si="66">SUM(AV182,J182:N182,Y182:AC182,AN182:AR182)</f>
        <v>36.988727880895205</v>
      </c>
    </row>
    <row r="183" spans="1:50" s="98" customFormat="1" ht="15" customHeight="1">
      <c r="A183" s="99"/>
      <c r="B183" s="161"/>
      <c r="C183" s="185"/>
      <c r="D183" s="162" t="s">
        <v>2864</v>
      </c>
      <c r="E183" s="162"/>
      <c r="F183" s="162"/>
      <c r="G183" s="162"/>
      <c r="H183" s="163"/>
      <c r="I183" s="607" t="s">
        <v>2233</v>
      </c>
      <c r="J183" s="143">
        <v>0</v>
      </c>
      <c r="K183" s="141">
        <v>2.7627097764138537E-2</v>
      </c>
      <c r="L183" s="141">
        <v>6.2409465489414222E-2</v>
      </c>
      <c r="M183" s="141">
        <v>1.6290883664015383E-2</v>
      </c>
      <c r="N183" s="141">
        <v>2.5850822169687419E-2</v>
      </c>
      <c r="O183" s="141">
        <v>8.7919227970749045E-4</v>
      </c>
      <c r="P183" s="141">
        <v>1.1235928450999257E-3</v>
      </c>
      <c r="Q183" s="144">
        <v>0</v>
      </c>
      <c r="R183" s="143">
        <v>0</v>
      </c>
      <c r="S183" s="141">
        <v>0</v>
      </c>
      <c r="T183" s="141">
        <v>0</v>
      </c>
      <c r="U183" s="141">
        <v>0</v>
      </c>
      <c r="V183" s="144">
        <v>0</v>
      </c>
      <c r="W183" s="2629"/>
      <c r="X183" s="607" t="s">
        <v>2233</v>
      </c>
      <c r="Y183" s="143">
        <v>0</v>
      </c>
      <c r="Z183" s="141">
        <v>0</v>
      </c>
      <c r="AA183" s="141">
        <v>0</v>
      </c>
      <c r="AB183" s="141">
        <v>0</v>
      </c>
      <c r="AC183" s="141">
        <v>-1.707027027027027E-2</v>
      </c>
      <c r="AD183" s="141">
        <v>0</v>
      </c>
      <c r="AE183" s="141">
        <v>0</v>
      </c>
      <c r="AF183" s="144">
        <v>0</v>
      </c>
      <c r="AG183" s="143">
        <v>0</v>
      </c>
      <c r="AH183" s="141">
        <v>0</v>
      </c>
      <c r="AI183" s="141">
        <v>0</v>
      </c>
      <c r="AJ183" s="141">
        <v>0</v>
      </c>
      <c r="AK183" s="144">
        <v>0</v>
      </c>
      <c r="AL183" s="2629"/>
      <c r="AM183" s="607" t="s">
        <v>2233</v>
      </c>
      <c r="AN183" s="143">
        <v>-1.9068796525931589E-2</v>
      </c>
      <c r="AO183" s="141">
        <v>-4.6258263293214009E-2</v>
      </c>
      <c r="AP183" s="141">
        <v>0.10380672226492324</v>
      </c>
      <c r="AQ183" s="141">
        <v>1.1030261052713349E-2</v>
      </c>
      <c r="AR183" s="141">
        <v>-7.9501119641608442E-3</v>
      </c>
      <c r="AS183" s="144">
        <v>-8.0152861884940415E-4</v>
      </c>
      <c r="AT183" s="2629"/>
      <c r="AU183" s="607" t="s">
        <v>2233</v>
      </c>
      <c r="AV183" s="141">
        <v>43.4965654854132</v>
      </c>
      <c r="AW183" s="227" t="s">
        <v>2233</v>
      </c>
      <c r="AX183" s="130">
        <f t="shared" si="66"/>
        <v>43.653233295764515</v>
      </c>
    </row>
    <row r="184" spans="1:50" s="98" customFormat="1" ht="15" customHeight="1">
      <c r="A184" s="99"/>
      <c r="B184" s="161"/>
      <c r="C184" s="185"/>
      <c r="D184" s="162" t="s">
        <v>2865</v>
      </c>
      <c r="E184" s="162"/>
      <c r="F184" s="162"/>
      <c r="G184" s="162"/>
      <c r="H184" s="163"/>
      <c r="I184" s="607" t="s">
        <v>2233</v>
      </c>
      <c r="J184" s="143">
        <v>0</v>
      </c>
      <c r="K184" s="141">
        <v>7.9921087242437532E-4</v>
      </c>
      <c r="L184" s="141">
        <v>2.1716984714706161E-3</v>
      </c>
      <c r="M184" s="141">
        <v>8.6391049733414919E-4</v>
      </c>
      <c r="N184" s="141">
        <v>1.22301024428684E-3</v>
      </c>
      <c r="O184" s="141">
        <v>0</v>
      </c>
      <c r="P184" s="141">
        <v>0</v>
      </c>
      <c r="Q184" s="144">
        <v>0</v>
      </c>
      <c r="R184" s="143">
        <v>0</v>
      </c>
      <c r="S184" s="141">
        <v>0</v>
      </c>
      <c r="T184" s="141">
        <v>0</v>
      </c>
      <c r="U184" s="141">
        <v>0</v>
      </c>
      <c r="V184" s="144">
        <v>0</v>
      </c>
      <c r="W184" s="2629"/>
      <c r="X184" s="607" t="s">
        <v>2233</v>
      </c>
      <c r="Y184" s="143">
        <v>0</v>
      </c>
      <c r="Z184" s="141">
        <v>0</v>
      </c>
      <c r="AA184" s="141">
        <v>0</v>
      </c>
      <c r="AB184" s="141">
        <v>0</v>
      </c>
      <c r="AC184" s="141">
        <v>-5.5643879173290934E-5</v>
      </c>
      <c r="AD184" s="141">
        <v>0</v>
      </c>
      <c r="AE184" s="141">
        <v>0</v>
      </c>
      <c r="AF184" s="144">
        <v>0</v>
      </c>
      <c r="AG184" s="143">
        <v>0</v>
      </c>
      <c r="AH184" s="141">
        <v>0</v>
      </c>
      <c r="AI184" s="141">
        <v>0</v>
      </c>
      <c r="AJ184" s="141">
        <v>0</v>
      </c>
      <c r="AK184" s="144">
        <v>0</v>
      </c>
      <c r="AL184" s="2629"/>
      <c r="AM184" s="607" t="s">
        <v>2233</v>
      </c>
      <c r="AN184" s="143">
        <v>0</v>
      </c>
      <c r="AO184" s="141">
        <v>0</v>
      </c>
      <c r="AP184" s="141">
        <v>0</v>
      </c>
      <c r="AQ184" s="141">
        <v>0</v>
      </c>
      <c r="AR184" s="141">
        <v>0</v>
      </c>
      <c r="AS184" s="144">
        <v>0</v>
      </c>
      <c r="AT184" s="2629"/>
      <c r="AU184" s="607" t="s">
        <v>2233</v>
      </c>
      <c r="AV184" s="141">
        <v>0</v>
      </c>
      <c r="AW184" s="227" t="s">
        <v>2233</v>
      </c>
      <c r="AX184" s="130">
        <f t="shared" si="66"/>
        <v>5.0021862063426899E-3</v>
      </c>
    </row>
    <row r="185" spans="1:50" s="98" customFormat="1" ht="15" customHeight="1">
      <c r="A185" s="99"/>
      <c r="B185" s="161"/>
      <c r="C185" s="185"/>
      <c r="D185" s="162" t="s">
        <v>2866</v>
      </c>
      <c r="E185" s="162"/>
      <c r="F185" s="162"/>
      <c r="G185" s="162"/>
      <c r="H185" s="163"/>
      <c r="I185" s="607" t="s">
        <v>2233</v>
      </c>
      <c r="J185" s="143">
        <v>0</v>
      </c>
      <c r="K185" s="141">
        <v>8.7583516001753636E-3</v>
      </c>
      <c r="L185" s="141">
        <v>1.4801908288236972E-2</v>
      </c>
      <c r="M185" s="141">
        <v>3.3185910322524252E-3</v>
      </c>
      <c r="N185" s="141">
        <v>8.6306855791962178E-3</v>
      </c>
      <c r="O185" s="141">
        <v>0</v>
      </c>
      <c r="P185" s="141">
        <v>0</v>
      </c>
      <c r="Q185" s="144">
        <v>0</v>
      </c>
      <c r="R185" s="143">
        <v>0</v>
      </c>
      <c r="S185" s="141">
        <v>0</v>
      </c>
      <c r="T185" s="141">
        <v>0</v>
      </c>
      <c r="U185" s="141">
        <v>0</v>
      </c>
      <c r="V185" s="144">
        <v>0</v>
      </c>
      <c r="W185" s="2629"/>
      <c r="X185" s="607" t="s">
        <v>2233</v>
      </c>
      <c r="Y185" s="143">
        <v>0</v>
      </c>
      <c r="Z185" s="141">
        <v>0</v>
      </c>
      <c r="AA185" s="141">
        <v>0</v>
      </c>
      <c r="AB185" s="141">
        <v>0</v>
      </c>
      <c r="AC185" s="141">
        <v>-1.0214626391096979E-2</v>
      </c>
      <c r="AD185" s="141">
        <v>0</v>
      </c>
      <c r="AE185" s="141">
        <v>0</v>
      </c>
      <c r="AF185" s="144">
        <v>0</v>
      </c>
      <c r="AG185" s="143">
        <v>0</v>
      </c>
      <c r="AH185" s="141">
        <v>0</v>
      </c>
      <c r="AI185" s="141">
        <v>0</v>
      </c>
      <c r="AJ185" s="141">
        <v>0</v>
      </c>
      <c r="AK185" s="144">
        <v>0</v>
      </c>
      <c r="AL185" s="2629"/>
      <c r="AM185" s="607" t="s">
        <v>2233</v>
      </c>
      <c r="AN185" s="143">
        <v>-8.6838551876928707E-3</v>
      </c>
      <c r="AO185" s="141">
        <v>-2.3098873609749458E-2</v>
      </c>
      <c r="AP185" s="141">
        <v>6.1485959650897301E-2</v>
      </c>
      <c r="AQ185" s="141">
        <v>2.1397086083217508E-2</v>
      </c>
      <c r="AR185" s="141">
        <v>3.4862950282856617E-2</v>
      </c>
      <c r="AS185" s="144">
        <v>-0.15146605868988741</v>
      </c>
      <c r="AT185" s="2629"/>
      <c r="AU185" s="607" t="s">
        <v>2233</v>
      </c>
      <c r="AV185" s="141">
        <v>83.730971912389492</v>
      </c>
      <c r="AW185" s="227" t="s">
        <v>2233</v>
      </c>
      <c r="AX185" s="130">
        <f t="shared" si="66"/>
        <v>83.842230089717759</v>
      </c>
    </row>
    <row r="186" spans="1:50" s="98" customFormat="1" ht="15" customHeight="1">
      <c r="A186" s="99"/>
      <c r="B186" s="161"/>
      <c r="C186" s="185"/>
      <c r="D186" s="162" t="s">
        <v>2867</v>
      </c>
      <c r="E186" s="162"/>
      <c r="F186" s="162"/>
      <c r="G186" s="162"/>
      <c r="H186" s="163"/>
      <c r="I186" s="607" t="s">
        <v>2233</v>
      </c>
      <c r="J186" s="143">
        <v>0</v>
      </c>
      <c r="K186" s="141">
        <v>7.9436650591845695E-3</v>
      </c>
      <c r="L186" s="141">
        <v>1.2169657267635052E-2</v>
      </c>
      <c r="M186" s="141">
        <v>2.9060396818459924E-3</v>
      </c>
      <c r="N186" s="141">
        <v>7.1647071184659837E-3</v>
      </c>
      <c r="O186" s="141">
        <v>0</v>
      </c>
      <c r="P186" s="141">
        <v>0</v>
      </c>
      <c r="Q186" s="144">
        <v>0</v>
      </c>
      <c r="R186" s="143">
        <v>0</v>
      </c>
      <c r="S186" s="141">
        <v>0</v>
      </c>
      <c r="T186" s="141">
        <v>0</v>
      </c>
      <c r="U186" s="141">
        <v>0</v>
      </c>
      <c r="V186" s="144">
        <v>0</v>
      </c>
      <c r="W186" s="2629"/>
      <c r="X186" s="607" t="s">
        <v>2233</v>
      </c>
      <c r="Y186" s="143">
        <v>0</v>
      </c>
      <c r="Z186" s="141">
        <v>0</v>
      </c>
      <c r="AA186" s="141">
        <v>0</v>
      </c>
      <c r="AB186" s="141">
        <v>0</v>
      </c>
      <c r="AC186" s="141">
        <v>-2.4165341812400635E-3</v>
      </c>
      <c r="AD186" s="141">
        <v>0</v>
      </c>
      <c r="AE186" s="141">
        <v>0</v>
      </c>
      <c r="AF186" s="144">
        <v>0</v>
      </c>
      <c r="AG186" s="143">
        <v>0</v>
      </c>
      <c r="AH186" s="141">
        <v>0</v>
      </c>
      <c r="AI186" s="141">
        <v>0</v>
      </c>
      <c r="AJ186" s="141">
        <v>0</v>
      </c>
      <c r="AK186" s="144">
        <v>0</v>
      </c>
      <c r="AL186" s="2629"/>
      <c r="AM186" s="607" t="s">
        <v>2233</v>
      </c>
      <c r="AN186" s="143">
        <v>9.3152240396300297E-4</v>
      </c>
      <c r="AO186" s="141">
        <v>1.0521212866183907E-3</v>
      </c>
      <c r="AP186" s="141">
        <v>-1.1687464129880074E-2</v>
      </c>
      <c r="AQ186" s="141">
        <v>-2.7292620698115052E-3</v>
      </c>
      <c r="AR186" s="141">
        <v>-1.8256175684811818E-2</v>
      </c>
      <c r="AS186" s="144">
        <v>-4.0581601024512904E-3</v>
      </c>
      <c r="AT186" s="2629"/>
      <c r="AU186" s="607" t="s">
        <v>2233</v>
      </c>
      <c r="AV186" s="141">
        <v>12.304336777696623</v>
      </c>
      <c r="AW186" s="227" t="s">
        <v>2233</v>
      </c>
      <c r="AX186" s="130">
        <f t="shared" si="66"/>
        <v>12.301415054448592</v>
      </c>
    </row>
    <row r="187" spans="1:50" s="98" customFormat="1" ht="15" customHeight="1">
      <c r="A187" s="99"/>
      <c r="B187" s="161"/>
      <c r="C187" s="185"/>
      <c r="D187" s="162" t="s">
        <v>2868</v>
      </c>
      <c r="E187" s="162"/>
      <c r="F187" s="162"/>
      <c r="G187" s="162"/>
      <c r="H187" s="163"/>
      <c r="I187" s="607" t="s">
        <v>2233</v>
      </c>
      <c r="J187" s="143">
        <v>0</v>
      </c>
      <c r="K187" s="141">
        <v>1.9028934677772905E-3</v>
      </c>
      <c r="L187" s="141">
        <v>2.7936010633247887E-3</v>
      </c>
      <c r="M187" s="141">
        <v>4.8002796958307843E-4</v>
      </c>
      <c r="N187" s="141">
        <v>1.7777777777777779E-3</v>
      </c>
      <c r="O187" s="141">
        <v>0</v>
      </c>
      <c r="P187" s="141">
        <v>0</v>
      </c>
      <c r="Q187" s="144">
        <v>0</v>
      </c>
      <c r="R187" s="143">
        <v>0</v>
      </c>
      <c r="S187" s="141">
        <v>0</v>
      </c>
      <c r="T187" s="141">
        <v>0</v>
      </c>
      <c r="U187" s="141">
        <v>0</v>
      </c>
      <c r="V187" s="144">
        <v>0</v>
      </c>
      <c r="W187" s="2629"/>
      <c r="X187" s="607" t="s">
        <v>2233</v>
      </c>
      <c r="Y187" s="143">
        <v>0</v>
      </c>
      <c r="Z187" s="141">
        <v>0</v>
      </c>
      <c r="AA187" s="141">
        <v>0</v>
      </c>
      <c r="AB187" s="141">
        <v>0</v>
      </c>
      <c r="AC187" s="141">
        <v>-1.1128775834658187E-4</v>
      </c>
      <c r="AD187" s="141">
        <v>0</v>
      </c>
      <c r="AE187" s="141">
        <v>0</v>
      </c>
      <c r="AF187" s="144">
        <v>0</v>
      </c>
      <c r="AG187" s="143">
        <v>0</v>
      </c>
      <c r="AH187" s="141">
        <v>0</v>
      </c>
      <c r="AI187" s="141">
        <v>0</v>
      </c>
      <c r="AJ187" s="141">
        <v>0</v>
      </c>
      <c r="AK187" s="144">
        <v>0</v>
      </c>
      <c r="AL187" s="2629"/>
      <c r="AM187" s="607" t="s">
        <v>2233</v>
      </c>
      <c r="AN187" s="143">
        <v>-5.2386940031972852E-5</v>
      </c>
      <c r="AO187" s="141">
        <v>-1.3838883325112644E-3</v>
      </c>
      <c r="AP187" s="141">
        <v>-9.4733049891213542E-6</v>
      </c>
      <c r="AQ187" s="141">
        <v>2.4665517598399379E-4</v>
      </c>
      <c r="AR187" s="141">
        <v>1.9819725645429179E-3</v>
      </c>
      <c r="AS187" s="144">
        <v>2.4753265722940805E-3</v>
      </c>
      <c r="AT187" s="2629"/>
      <c r="AU187" s="607" t="s">
        <v>2233</v>
      </c>
      <c r="AV187" s="141">
        <v>0</v>
      </c>
      <c r="AW187" s="227" t="s">
        <v>2233</v>
      </c>
      <c r="AX187" s="130">
        <f t="shared" si="66"/>
        <v>7.6258916831109091E-3</v>
      </c>
    </row>
    <row r="188" spans="1:50" s="98" customFormat="1" ht="15" customHeight="1">
      <c r="A188" s="99"/>
      <c r="B188" s="161"/>
      <c r="C188" s="185"/>
      <c r="D188" s="162" t="s">
        <v>2869</v>
      </c>
      <c r="E188" s="162"/>
      <c r="F188" s="162"/>
      <c r="G188" s="162"/>
      <c r="H188" s="163"/>
      <c r="I188" s="607" t="s">
        <v>2233</v>
      </c>
      <c r="J188" s="143">
        <v>0</v>
      </c>
      <c r="K188" s="141">
        <v>4.7566856641823762E-4</v>
      </c>
      <c r="L188" s="141">
        <v>2.4489699041108899E-3</v>
      </c>
      <c r="M188" s="141">
        <v>2.440346123590595E-4</v>
      </c>
      <c r="N188" s="141">
        <v>5.0643551352771217E-4</v>
      </c>
      <c r="O188" s="141">
        <v>0</v>
      </c>
      <c r="P188" s="141">
        <v>0</v>
      </c>
      <c r="Q188" s="144">
        <v>0</v>
      </c>
      <c r="R188" s="143">
        <v>0</v>
      </c>
      <c r="S188" s="141">
        <v>0</v>
      </c>
      <c r="T188" s="141">
        <v>0</v>
      </c>
      <c r="U188" s="141">
        <v>0</v>
      </c>
      <c r="V188" s="144">
        <v>0</v>
      </c>
      <c r="W188" s="2629"/>
      <c r="X188" s="607" t="s">
        <v>2233</v>
      </c>
      <c r="Y188" s="143">
        <v>0</v>
      </c>
      <c r="Z188" s="141">
        <v>0</v>
      </c>
      <c r="AA188" s="141">
        <v>0</v>
      </c>
      <c r="AB188" s="141">
        <v>0</v>
      </c>
      <c r="AC188" s="141">
        <v>-1.0492845786963434E-3</v>
      </c>
      <c r="AD188" s="141">
        <v>0</v>
      </c>
      <c r="AE188" s="141">
        <v>0</v>
      </c>
      <c r="AF188" s="144">
        <v>0</v>
      </c>
      <c r="AG188" s="143">
        <v>0</v>
      </c>
      <c r="AH188" s="141">
        <v>0</v>
      </c>
      <c r="AI188" s="141">
        <v>0</v>
      </c>
      <c r="AJ188" s="141">
        <v>0</v>
      </c>
      <c r="AK188" s="144">
        <v>0</v>
      </c>
      <c r="AL188" s="2629"/>
      <c r="AM188" s="607" t="s">
        <v>2233</v>
      </c>
      <c r="AN188" s="143">
        <v>0</v>
      </c>
      <c r="AO188" s="141">
        <v>0</v>
      </c>
      <c r="AP188" s="141">
        <v>0</v>
      </c>
      <c r="AQ188" s="141">
        <v>0</v>
      </c>
      <c r="AR188" s="141">
        <v>0</v>
      </c>
      <c r="AS188" s="144">
        <v>0</v>
      </c>
      <c r="AT188" s="2629"/>
      <c r="AU188" s="607" t="s">
        <v>2233</v>
      </c>
      <c r="AV188" s="141">
        <v>0</v>
      </c>
      <c r="AW188" s="227" t="s">
        <v>2233</v>
      </c>
      <c r="AX188" s="130">
        <f t="shared" si="66"/>
        <v>2.6258240177195556E-3</v>
      </c>
    </row>
    <row r="189" spans="1:50" s="98" customFormat="1" ht="15" customHeight="1">
      <c r="A189" s="99"/>
      <c r="B189" s="161"/>
      <c r="C189" s="185"/>
      <c r="D189" s="162" t="s">
        <v>2870</v>
      </c>
      <c r="E189" s="162"/>
      <c r="F189" s="162"/>
      <c r="G189" s="162"/>
      <c r="H189" s="163"/>
      <c r="I189" s="607" t="s">
        <v>2233</v>
      </c>
      <c r="J189" s="143">
        <v>0</v>
      </c>
      <c r="K189" s="141">
        <v>0</v>
      </c>
      <c r="L189" s="141">
        <v>0</v>
      </c>
      <c r="M189" s="141">
        <v>0</v>
      </c>
      <c r="N189" s="141">
        <v>0</v>
      </c>
      <c r="O189" s="141">
        <v>0</v>
      </c>
      <c r="P189" s="141">
        <v>0</v>
      </c>
      <c r="Q189" s="144">
        <v>0</v>
      </c>
      <c r="R189" s="143">
        <v>0</v>
      </c>
      <c r="S189" s="141">
        <v>0</v>
      </c>
      <c r="T189" s="141">
        <v>0</v>
      </c>
      <c r="U189" s="141">
        <v>0</v>
      </c>
      <c r="V189" s="144">
        <v>0</v>
      </c>
      <c r="W189" s="2629"/>
      <c r="X189" s="607" t="s">
        <v>2233</v>
      </c>
      <c r="Y189" s="143">
        <v>0</v>
      </c>
      <c r="Z189" s="141">
        <v>0</v>
      </c>
      <c r="AA189" s="141">
        <v>0</v>
      </c>
      <c r="AB189" s="141">
        <v>0</v>
      </c>
      <c r="AC189" s="141">
        <v>0</v>
      </c>
      <c r="AD189" s="141">
        <v>0</v>
      </c>
      <c r="AE189" s="141">
        <v>0</v>
      </c>
      <c r="AF189" s="144">
        <v>0</v>
      </c>
      <c r="AG189" s="143">
        <v>0</v>
      </c>
      <c r="AH189" s="141">
        <v>0</v>
      </c>
      <c r="AI189" s="141">
        <v>0</v>
      </c>
      <c r="AJ189" s="141">
        <v>0</v>
      </c>
      <c r="AK189" s="144">
        <v>0</v>
      </c>
      <c r="AL189" s="2629"/>
      <c r="AM189" s="607" t="s">
        <v>2233</v>
      </c>
      <c r="AN189" s="143">
        <v>0</v>
      </c>
      <c r="AO189" s="141">
        <v>0</v>
      </c>
      <c r="AP189" s="141">
        <v>0</v>
      </c>
      <c r="AQ189" s="141">
        <v>0</v>
      </c>
      <c r="AR189" s="141">
        <v>0</v>
      </c>
      <c r="AS189" s="144">
        <v>0</v>
      </c>
      <c r="AT189" s="2629"/>
      <c r="AU189" s="607" t="s">
        <v>2233</v>
      </c>
      <c r="AV189" s="141">
        <v>0</v>
      </c>
      <c r="AW189" s="227" t="s">
        <v>2233</v>
      </c>
      <c r="AX189" s="130">
        <f t="shared" si="66"/>
        <v>0</v>
      </c>
    </row>
    <row r="190" spans="1:50" s="98" customFormat="1" ht="15" customHeight="1">
      <c r="A190" s="99"/>
      <c r="B190" s="181"/>
      <c r="C190" s="182" t="s">
        <v>1710</v>
      </c>
      <c r="D190" s="182"/>
      <c r="E190" s="182"/>
      <c r="F190" s="182"/>
      <c r="G190" s="184"/>
      <c r="H190" s="184"/>
      <c r="I190" s="607" t="s">
        <v>2233</v>
      </c>
      <c r="J190" s="128">
        <f>SUM(J181:J189)</f>
        <v>0</v>
      </c>
      <c r="K190" s="129">
        <f t="shared" ref="K190:V190" si="67">SUM(K181:K189)</f>
        <v>0.27303999999999995</v>
      </c>
      <c r="L190" s="129">
        <f t="shared" si="67"/>
        <v>0.59471412797873369</v>
      </c>
      <c r="M190" s="129">
        <f t="shared" si="67"/>
        <v>0.20088539463333624</v>
      </c>
      <c r="N190" s="129">
        <f t="shared" si="67"/>
        <v>0.32756434988179672</v>
      </c>
      <c r="O190" s="129">
        <f t="shared" si="67"/>
        <v>2.7534014027265144E-3</v>
      </c>
      <c r="P190" s="129">
        <f t="shared" si="67"/>
        <v>3.5188003661962243E-3</v>
      </c>
      <c r="Q190" s="130">
        <f t="shared" si="67"/>
        <v>0</v>
      </c>
      <c r="R190" s="128">
        <f t="shared" si="67"/>
        <v>0</v>
      </c>
      <c r="S190" s="129">
        <f t="shared" si="67"/>
        <v>0</v>
      </c>
      <c r="T190" s="129">
        <f t="shared" si="67"/>
        <v>0</v>
      </c>
      <c r="U190" s="129">
        <f t="shared" si="67"/>
        <v>0</v>
      </c>
      <c r="V190" s="130">
        <f t="shared" si="67"/>
        <v>0</v>
      </c>
      <c r="W190" s="2629"/>
      <c r="X190" s="607" t="s">
        <v>2233</v>
      </c>
      <c r="Y190" s="128">
        <f>SUM(Y181:Y189)</f>
        <v>0</v>
      </c>
      <c r="Z190" s="129">
        <f t="shared" ref="Z190:AK190" si="68">SUM(Z181:Z189)</f>
        <v>0</v>
      </c>
      <c r="AA190" s="129">
        <f t="shared" si="68"/>
        <v>0</v>
      </c>
      <c r="AB190" s="129">
        <f t="shared" si="68"/>
        <v>0</v>
      </c>
      <c r="AC190" s="129">
        <f t="shared" si="68"/>
        <v>-0.12182861685214626</v>
      </c>
      <c r="AD190" s="129">
        <f t="shared" si="68"/>
        <v>0</v>
      </c>
      <c r="AE190" s="129">
        <f t="shared" si="68"/>
        <v>0</v>
      </c>
      <c r="AF190" s="130">
        <f t="shared" si="68"/>
        <v>0</v>
      </c>
      <c r="AG190" s="128">
        <f t="shared" si="68"/>
        <v>0</v>
      </c>
      <c r="AH190" s="129">
        <f t="shared" si="68"/>
        <v>0</v>
      </c>
      <c r="AI190" s="129">
        <f t="shared" si="68"/>
        <v>0</v>
      </c>
      <c r="AJ190" s="129">
        <f t="shared" si="68"/>
        <v>0</v>
      </c>
      <c r="AK190" s="130">
        <f t="shared" si="68"/>
        <v>0</v>
      </c>
      <c r="AL190" s="2629"/>
      <c r="AM190" s="607" t="s">
        <v>2233</v>
      </c>
      <c r="AN190" s="128">
        <f>SUM(AN181:AN189)</f>
        <v>-4.9006837562643506E-2</v>
      </c>
      <c r="AO190" s="129">
        <f t="shared" ref="AO190:AS190" si="69">SUM(AO181:AO189)</f>
        <v>-9.0698259982668006E-2</v>
      </c>
      <c r="AP190" s="129">
        <f t="shared" si="69"/>
        <v>0.13286234569314809</v>
      </c>
      <c r="AQ190" s="129">
        <f t="shared" si="69"/>
        <v>4.3733933782307166E-2</v>
      </c>
      <c r="AR190" s="129">
        <f t="shared" si="69"/>
        <v>-4.0068731055012817E-2</v>
      </c>
      <c r="AS190" s="130">
        <f t="shared" si="69"/>
        <v>-0.1386609079710297</v>
      </c>
      <c r="AT190" s="2629"/>
      <c r="AU190" s="607" t="s">
        <v>2233</v>
      </c>
      <c r="AV190" s="876">
        <f>SUM(AV181:AV189)</f>
        <v>203.70664566109912</v>
      </c>
      <c r="AW190" s="227" t="s">
        <v>2233</v>
      </c>
      <c r="AX190" s="712">
        <f>SUM(AX181:AX189)</f>
        <v>204.97784336761595</v>
      </c>
    </row>
    <row r="191" spans="1:50" s="98" customFormat="1" ht="15" customHeight="1">
      <c r="A191" s="99"/>
      <c r="B191" s="181"/>
      <c r="C191" s="185"/>
      <c r="D191" s="182"/>
      <c r="E191" s="182"/>
      <c r="F191" s="182"/>
      <c r="G191" s="184"/>
      <c r="H191" s="184"/>
      <c r="I191" s="94"/>
      <c r="J191" s="713"/>
      <c r="K191" s="2690"/>
      <c r="L191" s="2690"/>
      <c r="M191" s="2690"/>
      <c r="N191" s="2690"/>
      <c r="O191" s="2690"/>
      <c r="P191" s="2690"/>
      <c r="Q191" s="715"/>
      <c r="R191" s="2690"/>
      <c r="S191" s="2690"/>
      <c r="T191" s="2690"/>
      <c r="U191" s="2690"/>
      <c r="V191" s="715"/>
      <c r="W191" s="2629"/>
      <c r="X191" s="94"/>
      <c r="Y191" s="713"/>
      <c r="Z191" s="2690"/>
      <c r="AA191" s="2690"/>
      <c r="AB191" s="2690"/>
      <c r="AC191" s="2690"/>
      <c r="AD191" s="2690"/>
      <c r="AE191" s="2690"/>
      <c r="AF191" s="715"/>
      <c r="AG191" s="2690"/>
      <c r="AH191" s="2690"/>
      <c r="AI191" s="2690"/>
      <c r="AJ191" s="2690"/>
      <c r="AK191" s="715"/>
      <c r="AL191" s="2629"/>
      <c r="AM191" s="94"/>
      <c r="AN191" s="713"/>
      <c r="AO191" s="2690"/>
      <c r="AP191" s="2690"/>
      <c r="AQ191" s="2690"/>
      <c r="AR191" s="2690"/>
      <c r="AS191" s="752"/>
      <c r="AT191" s="2629"/>
      <c r="AU191" s="2629"/>
      <c r="AV191" s="2629"/>
      <c r="AW191" s="185"/>
      <c r="AX191" s="839"/>
    </row>
    <row r="192" spans="1:50" s="98" customFormat="1" ht="15" customHeight="1">
      <c r="A192" s="99"/>
      <c r="B192" s="161"/>
      <c r="C192" s="180" t="s">
        <v>2873</v>
      </c>
      <c r="D192" s="162"/>
      <c r="E192" s="162"/>
      <c r="F192" s="162"/>
      <c r="G192" s="163"/>
      <c r="H192" s="163"/>
      <c r="I192" s="94"/>
      <c r="J192" s="713"/>
      <c r="K192" s="2649"/>
      <c r="L192" s="2649"/>
      <c r="M192" s="2649"/>
      <c r="N192" s="2649"/>
      <c r="O192" s="2649"/>
      <c r="P192" s="2649"/>
      <c r="Q192" s="715"/>
      <c r="R192" s="713"/>
      <c r="S192" s="2649"/>
      <c r="T192" s="2649"/>
      <c r="U192" s="2649"/>
      <c r="V192" s="715"/>
      <c r="W192" s="2629"/>
      <c r="X192" s="94"/>
      <c r="Y192" s="713"/>
      <c r="Z192" s="2649"/>
      <c r="AA192" s="2649"/>
      <c r="AB192" s="2649"/>
      <c r="AC192" s="2649"/>
      <c r="AD192" s="2649"/>
      <c r="AE192" s="2649"/>
      <c r="AF192" s="715"/>
      <c r="AG192" s="713"/>
      <c r="AH192" s="2649"/>
      <c r="AI192" s="2649"/>
      <c r="AJ192" s="2649"/>
      <c r="AK192" s="715"/>
      <c r="AL192" s="2629"/>
      <c r="AM192" s="94"/>
      <c r="AN192" s="713"/>
      <c r="AO192" s="2649"/>
      <c r="AP192" s="2649"/>
      <c r="AQ192" s="2649"/>
      <c r="AR192" s="2649"/>
      <c r="AS192" s="715"/>
      <c r="AT192" s="2629"/>
      <c r="AU192" s="2629"/>
      <c r="AV192" s="2629"/>
      <c r="AW192" s="185"/>
      <c r="AX192" s="839"/>
    </row>
    <row r="193" spans="1:50" s="98" customFormat="1" ht="15" customHeight="1">
      <c r="A193" s="99"/>
      <c r="B193" s="161"/>
      <c r="C193" s="185"/>
      <c r="D193" s="162" t="s">
        <v>2862</v>
      </c>
      <c r="E193" s="162"/>
      <c r="F193" s="162"/>
      <c r="G193" s="162"/>
      <c r="H193" s="163"/>
      <c r="I193" s="607" t="s">
        <v>2233</v>
      </c>
      <c r="J193" s="143">
        <v>1.5E-3</v>
      </c>
      <c r="K193" s="141">
        <v>0</v>
      </c>
      <c r="L193" s="141">
        <v>2.3619736842105263E-2</v>
      </c>
      <c r="M193" s="141">
        <v>0</v>
      </c>
      <c r="N193" s="141">
        <v>0</v>
      </c>
      <c r="O193" s="141">
        <v>0</v>
      </c>
      <c r="P193" s="141">
        <v>0</v>
      </c>
      <c r="Q193" s="144">
        <v>0</v>
      </c>
      <c r="R193" s="143">
        <v>0</v>
      </c>
      <c r="S193" s="141">
        <v>0</v>
      </c>
      <c r="T193" s="141">
        <v>0</v>
      </c>
      <c r="U193" s="141">
        <v>0</v>
      </c>
      <c r="V193" s="144">
        <v>0</v>
      </c>
      <c r="W193" s="2629"/>
      <c r="X193" s="607" t="s">
        <v>2233</v>
      </c>
      <c r="Y193" s="143">
        <v>-0.10128049970255801</v>
      </c>
      <c r="Z193" s="141">
        <v>0</v>
      </c>
      <c r="AA193" s="141">
        <v>-2.5507719190680563E-2</v>
      </c>
      <c r="AB193" s="141">
        <v>-0.1381402450229709</v>
      </c>
      <c r="AC193" s="141">
        <v>-2.5736033519553069E-2</v>
      </c>
      <c r="AD193" s="141">
        <v>-2.6653119709794438E-2</v>
      </c>
      <c r="AE193" s="141">
        <v>0</v>
      </c>
      <c r="AF193" s="144">
        <v>0</v>
      </c>
      <c r="AG193" s="143">
        <v>0</v>
      </c>
      <c r="AH193" s="141">
        <v>0</v>
      </c>
      <c r="AI193" s="141">
        <v>0</v>
      </c>
      <c r="AJ193" s="141">
        <v>0</v>
      </c>
      <c r="AK193" s="144">
        <v>0</v>
      </c>
      <c r="AL193" s="2629"/>
      <c r="AM193" s="607" t="s">
        <v>2233</v>
      </c>
      <c r="AN193" s="143">
        <v>-1.1214312794403335E-4</v>
      </c>
      <c r="AO193" s="141">
        <v>5.7151313453299331E-3</v>
      </c>
      <c r="AP193" s="141">
        <v>4.9461180784042087E-3</v>
      </c>
      <c r="AQ193" s="141">
        <v>6.5315934530973006E-3</v>
      </c>
      <c r="AR193" s="141">
        <v>8.486453877608071E-3</v>
      </c>
      <c r="AS193" s="144">
        <v>5.4367303427119828E-3</v>
      </c>
      <c r="AT193" s="2629"/>
      <c r="AU193" s="607" t="s">
        <v>2233</v>
      </c>
      <c r="AV193" s="141">
        <v>0.54823682610573776</v>
      </c>
      <c r="AW193" s="227" t="s">
        <v>2233</v>
      </c>
      <c r="AX193" s="130">
        <f>SUM(AV193,J193:N193,Y193:AC193,AN193:AR193)</f>
        <v>0.30825921913857585</v>
      </c>
    </row>
    <row r="194" spans="1:50" s="98" customFormat="1" ht="15" customHeight="1">
      <c r="A194" s="99"/>
      <c r="B194" s="161"/>
      <c r="C194" s="185"/>
      <c r="D194" s="162" t="s">
        <v>2863</v>
      </c>
      <c r="E194" s="162"/>
      <c r="F194" s="162"/>
      <c r="G194" s="162"/>
      <c r="H194" s="163"/>
      <c r="I194" s="607" t="s">
        <v>2233</v>
      </c>
      <c r="J194" s="143">
        <v>3.0000000000000001E-3</v>
      </c>
      <c r="K194" s="141">
        <v>0</v>
      </c>
      <c r="L194" s="141">
        <v>4.7894736842105261E-2</v>
      </c>
      <c r="M194" s="141">
        <v>0</v>
      </c>
      <c r="N194" s="141">
        <v>0</v>
      </c>
      <c r="O194" s="141">
        <v>0</v>
      </c>
      <c r="P194" s="141">
        <v>0</v>
      </c>
      <c r="Q194" s="144">
        <v>0</v>
      </c>
      <c r="R194" s="143">
        <v>0</v>
      </c>
      <c r="S194" s="141">
        <v>0</v>
      </c>
      <c r="T194" s="141">
        <v>0</v>
      </c>
      <c r="U194" s="141">
        <v>0</v>
      </c>
      <c r="V194" s="144">
        <v>0</v>
      </c>
      <c r="W194" s="2629"/>
      <c r="X194" s="607" t="s">
        <v>2233</v>
      </c>
      <c r="Y194" s="143">
        <v>-1.892207019631172E-2</v>
      </c>
      <c r="Z194" s="141">
        <v>0</v>
      </c>
      <c r="AA194" s="141">
        <v>-1.1085223789086449E-3</v>
      </c>
      <c r="AB194" s="141">
        <v>-2.769678407350689E-2</v>
      </c>
      <c r="AC194" s="141">
        <v>-2.8422402234636866E-3</v>
      </c>
      <c r="AD194" s="141">
        <v>-3.3640870616686814E-3</v>
      </c>
      <c r="AE194" s="141">
        <v>0</v>
      </c>
      <c r="AF194" s="144">
        <v>0</v>
      </c>
      <c r="AG194" s="143">
        <v>0</v>
      </c>
      <c r="AH194" s="141">
        <v>0</v>
      </c>
      <c r="AI194" s="141">
        <v>0</v>
      </c>
      <c r="AJ194" s="141">
        <v>0</v>
      </c>
      <c r="AK194" s="144">
        <v>0</v>
      </c>
      <c r="AL194" s="2629"/>
      <c r="AM194" s="607" t="s">
        <v>2233</v>
      </c>
      <c r="AN194" s="143">
        <v>-9.2399004986775633E-3</v>
      </c>
      <c r="AO194" s="141">
        <v>-6.016201880250132E-2</v>
      </c>
      <c r="AP194" s="141">
        <v>0.17068652794833861</v>
      </c>
      <c r="AQ194" s="141">
        <v>-7.9569835950169407E-2</v>
      </c>
      <c r="AR194" s="141">
        <v>-7.278183061648405E-2</v>
      </c>
      <c r="AS194" s="144">
        <v>0.30439332339980135</v>
      </c>
      <c r="AT194" s="2629"/>
      <c r="AU194" s="607" t="s">
        <v>2233</v>
      </c>
      <c r="AV194" s="141">
        <v>33.983098288096748</v>
      </c>
      <c r="AW194" s="227" t="s">
        <v>2233</v>
      </c>
      <c r="AX194" s="130">
        <f t="shared" ref="AX194:AX201" si="70">SUM(AV194,J194:N194,Y194:AC194,AN194:AR194)</f>
        <v>33.932356350147174</v>
      </c>
    </row>
    <row r="195" spans="1:50" s="98" customFormat="1" ht="15" customHeight="1">
      <c r="A195" s="99"/>
      <c r="B195" s="161"/>
      <c r="C195" s="185"/>
      <c r="D195" s="162" t="s">
        <v>2864</v>
      </c>
      <c r="E195" s="162"/>
      <c r="F195" s="162"/>
      <c r="G195" s="162"/>
      <c r="H195" s="163"/>
      <c r="I195" s="607" t="s">
        <v>2233</v>
      </c>
      <c r="J195" s="143">
        <v>7.3333333333333332E-3</v>
      </c>
      <c r="K195" s="141">
        <v>0</v>
      </c>
      <c r="L195" s="141">
        <v>1.1842105263157896E-3</v>
      </c>
      <c r="M195" s="141">
        <v>0</v>
      </c>
      <c r="N195" s="141">
        <v>0</v>
      </c>
      <c r="O195" s="141">
        <v>0</v>
      </c>
      <c r="P195" s="141">
        <v>0</v>
      </c>
      <c r="Q195" s="144">
        <v>0</v>
      </c>
      <c r="R195" s="143">
        <v>0</v>
      </c>
      <c r="S195" s="141">
        <v>0</v>
      </c>
      <c r="T195" s="141">
        <v>0</v>
      </c>
      <c r="U195" s="141">
        <v>0</v>
      </c>
      <c r="V195" s="144">
        <v>0</v>
      </c>
      <c r="W195" s="2629"/>
      <c r="X195" s="607" t="s">
        <v>2233</v>
      </c>
      <c r="Y195" s="143">
        <v>-8.8697204045211191E-3</v>
      </c>
      <c r="Z195" s="141">
        <v>0</v>
      </c>
      <c r="AA195" s="141">
        <v>-9.083445738810546E-4</v>
      </c>
      <c r="AB195" s="141">
        <v>-7.5565084226646255E-3</v>
      </c>
      <c r="AC195" s="141">
        <v>-2.8681564245810051E-3</v>
      </c>
      <c r="AD195" s="141">
        <v>-1.7603264812575572E-3</v>
      </c>
      <c r="AE195" s="141">
        <v>0</v>
      </c>
      <c r="AF195" s="144">
        <v>0</v>
      </c>
      <c r="AG195" s="143">
        <v>0</v>
      </c>
      <c r="AH195" s="141">
        <v>0</v>
      </c>
      <c r="AI195" s="141">
        <v>0</v>
      </c>
      <c r="AJ195" s="141">
        <v>0</v>
      </c>
      <c r="AK195" s="144">
        <v>0</v>
      </c>
      <c r="AL195" s="2629"/>
      <c r="AM195" s="607" t="s">
        <v>2233</v>
      </c>
      <c r="AN195" s="143">
        <v>-1.5297259207573211E-4</v>
      </c>
      <c r="AO195" s="141">
        <v>-0.24080319647592452</v>
      </c>
      <c r="AP195" s="141">
        <v>0.16763710101603618</v>
      </c>
      <c r="AQ195" s="141">
        <v>0.39100837529508159</v>
      </c>
      <c r="AR195" s="141">
        <v>6.8848096383509971E-2</v>
      </c>
      <c r="AS195" s="144">
        <v>5.7194366187230998E-2</v>
      </c>
      <c r="AT195" s="2629"/>
      <c r="AU195" s="607" t="s">
        <v>2233</v>
      </c>
      <c r="AV195" s="141">
        <v>91.908922308875574</v>
      </c>
      <c r="AW195" s="227" t="s">
        <v>2233</v>
      </c>
      <c r="AX195" s="130">
        <f t="shared" si="70"/>
        <v>92.283774526536206</v>
      </c>
    </row>
    <row r="196" spans="1:50" s="98" customFormat="1" ht="15" customHeight="1">
      <c r="A196" s="99"/>
      <c r="B196" s="161"/>
      <c r="C196" s="185"/>
      <c r="D196" s="162" t="s">
        <v>2865</v>
      </c>
      <c r="E196" s="162"/>
      <c r="F196" s="162"/>
      <c r="G196" s="162"/>
      <c r="H196" s="163"/>
      <c r="I196" s="607" t="s">
        <v>2233</v>
      </c>
      <c r="J196" s="143">
        <v>0</v>
      </c>
      <c r="K196" s="141">
        <v>0</v>
      </c>
      <c r="L196" s="141">
        <v>0</v>
      </c>
      <c r="M196" s="141">
        <v>0</v>
      </c>
      <c r="N196" s="141">
        <v>0</v>
      </c>
      <c r="O196" s="141">
        <v>0</v>
      </c>
      <c r="P196" s="141">
        <v>0</v>
      </c>
      <c r="Q196" s="144">
        <v>0</v>
      </c>
      <c r="R196" s="143">
        <v>0</v>
      </c>
      <c r="S196" s="141">
        <v>0</v>
      </c>
      <c r="T196" s="141">
        <v>0</v>
      </c>
      <c r="U196" s="141">
        <v>0</v>
      </c>
      <c r="V196" s="144">
        <v>0</v>
      </c>
      <c r="W196" s="2629"/>
      <c r="X196" s="607" t="s">
        <v>2233</v>
      </c>
      <c r="Y196" s="143">
        <v>-2.5698988697204048E-3</v>
      </c>
      <c r="Z196" s="141">
        <v>0</v>
      </c>
      <c r="AA196" s="141">
        <v>-2.6670754138565298E-4</v>
      </c>
      <c r="AB196" s="141">
        <v>-7.5957120980091883E-4</v>
      </c>
      <c r="AC196" s="141">
        <v>-1.0625698324022346E-3</v>
      </c>
      <c r="AD196" s="141">
        <v>-9.4377267230955249E-4</v>
      </c>
      <c r="AE196" s="141">
        <v>0</v>
      </c>
      <c r="AF196" s="144">
        <v>0</v>
      </c>
      <c r="AG196" s="143">
        <v>0</v>
      </c>
      <c r="AH196" s="141">
        <v>0</v>
      </c>
      <c r="AI196" s="141">
        <v>0</v>
      </c>
      <c r="AJ196" s="141">
        <v>0</v>
      </c>
      <c r="AK196" s="144">
        <v>0</v>
      </c>
      <c r="AL196" s="2629"/>
      <c r="AM196" s="607" t="s">
        <v>2233</v>
      </c>
      <c r="AN196" s="143">
        <v>-1.9081979951970175E-2</v>
      </c>
      <c r="AO196" s="141">
        <v>-4.1608024578145726E-3</v>
      </c>
      <c r="AP196" s="141">
        <v>0.11916774049032137</v>
      </c>
      <c r="AQ196" s="141">
        <v>-8.4643319201597192E-2</v>
      </c>
      <c r="AR196" s="141">
        <v>-0.1185409827748065</v>
      </c>
      <c r="AS196" s="144">
        <v>3.3174720267709672E-2</v>
      </c>
      <c r="AT196" s="2629"/>
      <c r="AU196" s="607" t="s">
        <v>2233</v>
      </c>
      <c r="AV196" s="141">
        <v>54.078688703185385</v>
      </c>
      <c r="AW196" s="227" t="s">
        <v>2233</v>
      </c>
      <c r="AX196" s="130">
        <f t="shared" si="70"/>
        <v>53.966770611836218</v>
      </c>
    </row>
    <row r="197" spans="1:50" s="98" customFormat="1" ht="15" customHeight="1">
      <c r="B197" s="161"/>
      <c r="C197" s="185"/>
      <c r="D197" s="162" t="s">
        <v>2866</v>
      </c>
      <c r="E197" s="162"/>
      <c r="F197" s="162"/>
      <c r="G197" s="162"/>
      <c r="H197" s="163"/>
      <c r="I197" s="607" t="s">
        <v>2233</v>
      </c>
      <c r="J197" s="143">
        <v>0</v>
      </c>
      <c r="K197" s="141">
        <v>0</v>
      </c>
      <c r="L197" s="141">
        <v>0</v>
      </c>
      <c r="M197" s="141">
        <v>0</v>
      </c>
      <c r="N197" s="141">
        <v>0</v>
      </c>
      <c r="O197" s="141">
        <v>0</v>
      </c>
      <c r="P197" s="141">
        <v>0</v>
      </c>
      <c r="Q197" s="144">
        <v>0</v>
      </c>
      <c r="R197" s="143">
        <v>0</v>
      </c>
      <c r="S197" s="141">
        <v>0</v>
      </c>
      <c r="T197" s="141">
        <v>0</v>
      </c>
      <c r="U197" s="141">
        <v>0</v>
      </c>
      <c r="V197" s="144">
        <v>0</v>
      </c>
      <c r="W197" s="2629"/>
      <c r="X197" s="607" t="s">
        <v>2233</v>
      </c>
      <c r="Y197" s="143">
        <v>0</v>
      </c>
      <c r="Z197" s="141">
        <v>0</v>
      </c>
      <c r="AA197" s="141">
        <v>-6.1312078479460452E-6</v>
      </c>
      <c r="AB197" s="141">
        <v>0</v>
      </c>
      <c r="AC197" s="141">
        <v>-3.9106145251396642E-6</v>
      </c>
      <c r="AD197" s="141">
        <v>0</v>
      </c>
      <c r="AE197" s="141">
        <v>0</v>
      </c>
      <c r="AF197" s="144">
        <v>0</v>
      </c>
      <c r="AG197" s="143">
        <v>0</v>
      </c>
      <c r="AH197" s="141">
        <v>0</v>
      </c>
      <c r="AI197" s="141">
        <v>0</v>
      </c>
      <c r="AJ197" s="141">
        <v>0</v>
      </c>
      <c r="AK197" s="144">
        <v>0</v>
      </c>
      <c r="AL197" s="2629"/>
      <c r="AM197" s="607" t="s">
        <v>2233</v>
      </c>
      <c r="AN197" s="143">
        <v>0</v>
      </c>
      <c r="AO197" s="141">
        <v>0</v>
      </c>
      <c r="AP197" s="141">
        <v>0</v>
      </c>
      <c r="AQ197" s="141">
        <v>0</v>
      </c>
      <c r="AR197" s="141">
        <v>0</v>
      </c>
      <c r="AS197" s="144">
        <v>0</v>
      </c>
      <c r="AT197" s="2629"/>
      <c r="AU197" s="607" t="s">
        <v>2233</v>
      </c>
      <c r="AV197" s="141">
        <v>0</v>
      </c>
      <c r="AW197" s="227" t="s">
        <v>2233</v>
      </c>
      <c r="AX197" s="130">
        <f t="shared" si="70"/>
        <v>-1.004182237308571E-5</v>
      </c>
    </row>
    <row r="198" spans="1:50" s="98" customFormat="1" ht="15" customHeight="1">
      <c r="B198" s="161"/>
      <c r="C198" s="185"/>
      <c r="D198" s="162" t="s">
        <v>2867</v>
      </c>
      <c r="E198" s="162"/>
      <c r="F198" s="162"/>
      <c r="G198" s="162"/>
      <c r="H198" s="163"/>
      <c r="I198" s="607" t="s">
        <v>2233</v>
      </c>
      <c r="J198" s="143">
        <v>6.0866666666666666E-2</v>
      </c>
      <c r="K198" s="141">
        <v>0</v>
      </c>
      <c r="L198" s="141">
        <v>0</v>
      </c>
      <c r="M198" s="141">
        <v>0</v>
      </c>
      <c r="N198" s="141">
        <v>0</v>
      </c>
      <c r="O198" s="141">
        <v>0</v>
      </c>
      <c r="P198" s="141">
        <v>0</v>
      </c>
      <c r="Q198" s="144">
        <v>0</v>
      </c>
      <c r="R198" s="143">
        <v>0</v>
      </c>
      <c r="S198" s="141">
        <v>0</v>
      </c>
      <c r="T198" s="141">
        <v>0</v>
      </c>
      <c r="U198" s="141">
        <v>0</v>
      </c>
      <c r="V198" s="144">
        <v>0</v>
      </c>
      <c r="W198" s="2629"/>
      <c r="X198" s="607" t="s">
        <v>2233</v>
      </c>
      <c r="Y198" s="143">
        <v>-3.2980368828078523E-3</v>
      </c>
      <c r="Z198" s="141">
        <v>0</v>
      </c>
      <c r="AA198" s="141">
        <v>-1.0263641937461679E-3</v>
      </c>
      <c r="AB198" s="141">
        <v>-5.381316998468607E-3</v>
      </c>
      <c r="AC198" s="141">
        <v>-4.0474860335195522E-4</v>
      </c>
      <c r="AD198" s="141">
        <v>-1.5405078597339782E-3</v>
      </c>
      <c r="AE198" s="141">
        <v>0</v>
      </c>
      <c r="AF198" s="144">
        <v>0</v>
      </c>
      <c r="AG198" s="143">
        <v>0</v>
      </c>
      <c r="AH198" s="141">
        <v>0</v>
      </c>
      <c r="AI198" s="141">
        <v>0</v>
      </c>
      <c r="AJ198" s="141">
        <v>0</v>
      </c>
      <c r="AK198" s="144">
        <v>0</v>
      </c>
      <c r="AL198" s="2629"/>
      <c r="AM198" s="607" t="s">
        <v>2233</v>
      </c>
      <c r="AN198" s="143">
        <v>5.0532917159755919E-3</v>
      </c>
      <c r="AO198" s="141">
        <v>0.10564689702799607</v>
      </c>
      <c r="AP198" s="141">
        <v>-2.9962268523858089E-2</v>
      </c>
      <c r="AQ198" s="141">
        <v>0.10124236852791658</v>
      </c>
      <c r="AR198" s="141">
        <v>0.23607037020747654</v>
      </c>
      <c r="AS198" s="144">
        <v>-6.1729599328592906E-2</v>
      </c>
      <c r="AT198" s="2629"/>
      <c r="AU198" s="607" t="s">
        <v>2233</v>
      </c>
      <c r="AV198" s="141">
        <v>142.56317976201925</v>
      </c>
      <c r="AW198" s="227" t="s">
        <v>2233</v>
      </c>
      <c r="AX198" s="130">
        <f t="shared" si="70"/>
        <v>143.03198662096307</v>
      </c>
    </row>
    <row r="199" spans="1:50" s="98" customFormat="1" ht="15" customHeight="1">
      <c r="B199" s="161"/>
      <c r="C199" s="185"/>
      <c r="D199" s="162" t="s">
        <v>2868</v>
      </c>
      <c r="E199" s="162"/>
      <c r="F199" s="162"/>
      <c r="G199" s="162"/>
      <c r="H199" s="163"/>
      <c r="I199" s="607" t="s">
        <v>2233</v>
      </c>
      <c r="J199" s="143">
        <v>3.3333333333333332E-4</v>
      </c>
      <c r="K199" s="141">
        <v>0</v>
      </c>
      <c r="L199" s="141">
        <v>0</v>
      </c>
      <c r="M199" s="141">
        <v>0</v>
      </c>
      <c r="N199" s="141">
        <v>0</v>
      </c>
      <c r="O199" s="141">
        <v>0</v>
      </c>
      <c r="P199" s="141">
        <v>0</v>
      </c>
      <c r="Q199" s="144">
        <v>0</v>
      </c>
      <c r="R199" s="143">
        <v>0</v>
      </c>
      <c r="S199" s="141">
        <v>0</v>
      </c>
      <c r="T199" s="141">
        <v>0</v>
      </c>
      <c r="U199" s="141">
        <v>0</v>
      </c>
      <c r="V199" s="144">
        <v>0</v>
      </c>
      <c r="W199" s="2629"/>
      <c r="X199" s="607" t="s">
        <v>2233</v>
      </c>
      <c r="Y199" s="143">
        <v>-2.8554431885782276E-5</v>
      </c>
      <c r="Z199" s="141">
        <v>0</v>
      </c>
      <c r="AA199" s="141">
        <v>0</v>
      </c>
      <c r="AB199" s="141">
        <v>0</v>
      </c>
      <c r="AC199" s="141">
        <v>-1.1983240223463686E-3</v>
      </c>
      <c r="AD199" s="141">
        <v>-5.5622732769044739E-5</v>
      </c>
      <c r="AE199" s="141">
        <v>0</v>
      </c>
      <c r="AF199" s="144">
        <v>0</v>
      </c>
      <c r="AG199" s="143">
        <v>0</v>
      </c>
      <c r="AH199" s="141">
        <v>0</v>
      </c>
      <c r="AI199" s="141">
        <v>0</v>
      </c>
      <c r="AJ199" s="141">
        <v>0</v>
      </c>
      <c r="AK199" s="144">
        <v>0</v>
      </c>
      <c r="AL199" s="2629"/>
      <c r="AM199" s="607" t="s">
        <v>2233</v>
      </c>
      <c r="AN199" s="143">
        <v>4.8884394539365332E-4</v>
      </c>
      <c r="AO199" s="141">
        <v>-2.389903733030069E-4</v>
      </c>
      <c r="AP199" s="141">
        <v>-2.9330636723628035E-3</v>
      </c>
      <c r="AQ199" s="141">
        <v>6.5179192719153783E-4</v>
      </c>
      <c r="AR199" s="141">
        <v>5.4315993932626148E-3</v>
      </c>
      <c r="AS199" s="144">
        <v>-3.139464449305962E-2</v>
      </c>
      <c r="AT199" s="2629"/>
      <c r="AU199" s="607" t="s">
        <v>2233</v>
      </c>
      <c r="AV199" s="141">
        <v>1.7362350168627307</v>
      </c>
      <c r="AW199" s="227" t="s">
        <v>2233</v>
      </c>
      <c r="AX199" s="130">
        <f t="shared" si="70"/>
        <v>1.7387416529620137</v>
      </c>
    </row>
    <row r="200" spans="1:50" s="98" customFormat="1" ht="15" customHeight="1">
      <c r="B200" s="161"/>
      <c r="C200" s="185"/>
      <c r="D200" s="162" t="s">
        <v>2869</v>
      </c>
      <c r="E200" s="162"/>
      <c r="F200" s="162"/>
      <c r="G200" s="162"/>
      <c r="H200" s="163"/>
      <c r="I200" s="607" t="s">
        <v>2233</v>
      </c>
      <c r="J200" s="143">
        <v>0</v>
      </c>
      <c r="K200" s="141">
        <v>0</v>
      </c>
      <c r="L200" s="141">
        <v>0</v>
      </c>
      <c r="M200" s="141">
        <v>0</v>
      </c>
      <c r="N200" s="141">
        <v>0</v>
      </c>
      <c r="O200" s="141">
        <v>0</v>
      </c>
      <c r="P200" s="141">
        <v>0</v>
      </c>
      <c r="Q200" s="144">
        <v>0</v>
      </c>
      <c r="R200" s="143">
        <v>0</v>
      </c>
      <c r="S200" s="141">
        <v>0</v>
      </c>
      <c r="T200" s="141">
        <v>0</v>
      </c>
      <c r="U200" s="141">
        <v>0</v>
      </c>
      <c r="V200" s="144">
        <v>0</v>
      </c>
      <c r="W200" s="2629"/>
      <c r="X200" s="607" t="s">
        <v>2233</v>
      </c>
      <c r="Y200" s="143">
        <v>-4.9494348602022609E-4</v>
      </c>
      <c r="Z200" s="141">
        <v>0</v>
      </c>
      <c r="AA200" s="141">
        <v>-7.3574494175352546E-6</v>
      </c>
      <c r="AB200" s="141">
        <v>-4.7963246554364476E-3</v>
      </c>
      <c r="AC200" s="141">
        <v>0</v>
      </c>
      <c r="AD200" s="141">
        <v>-1.0459492140266021E-4</v>
      </c>
      <c r="AE200" s="141">
        <v>0</v>
      </c>
      <c r="AF200" s="144">
        <v>0</v>
      </c>
      <c r="AG200" s="143">
        <v>0</v>
      </c>
      <c r="AH200" s="141">
        <v>0</v>
      </c>
      <c r="AI200" s="141">
        <v>0</v>
      </c>
      <c r="AJ200" s="141">
        <v>0</v>
      </c>
      <c r="AK200" s="144">
        <v>0</v>
      </c>
      <c r="AL200" s="2629"/>
      <c r="AM200" s="607" t="s">
        <v>2233</v>
      </c>
      <c r="AN200" s="143">
        <v>-1.6660862782996038E-2</v>
      </c>
      <c r="AO200" s="141">
        <v>0.18326949061295084</v>
      </c>
      <c r="AP200" s="141">
        <v>-0.16184838132052065</v>
      </c>
      <c r="AQ200" s="141">
        <v>0.11345254180803616</v>
      </c>
      <c r="AR200" s="141">
        <v>-1.5867488364833895E-3</v>
      </c>
      <c r="AS200" s="144">
        <v>3.1782579194658114E-2</v>
      </c>
      <c r="AT200" s="2629"/>
      <c r="AU200" s="607" t="s">
        <v>2233</v>
      </c>
      <c r="AV200" s="141">
        <v>153.81788618575084</v>
      </c>
      <c r="AW200" s="227" t="s">
        <v>2233</v>
      </c>
      <c r="AX200" s="130">
        <f t="shared" si="70"/>
        <v>153.92921359964097</v>
      </c>
    </row>
    <row r="201" spans="1:50" s="98" customFormat="1" ht="15" customHeight="1">
      <c r="B201" s="161"/>
      <c r="C201" s="185"/>
      <c r="D201" s="162" t="s">
        <v>2870</v>
      </c>
      <c r="E201" s="162"/>
      <c r="F201" s="162"/>
      <c r="G201" s="162"/>
      <c r="H201" s="163"/>
      <c r="I201" s="607" t="s">
        <v>2233</v>
      </c>
      <c r="J201" s="143">
        <v>0</v>
      </c>
      <c r="K201" s="141">
        <v>0</v>
      </c>
      <c r="L201" s="141">
        <v>0</v>
      </c>
      <c r="M201" s="141">
        <v>0</v>
      </c>
      <c r="N201" s="141">
        <v>0</v>
      </c>
      <c r="O201" s="141">
        <v>0</v>
      </c>
      <c r="P201" s="141">
        <v>0</v>
      </c>
      <c r="Q201" s="144">
        <v>0</v>
      </c>
      <c r="R201" s="143">
        <v>0</v>
      </c>
      <c r="S201" s="141">
        <v>0</v>
      </c>
      <c r="T201" s="141">
        <v>0</v>
      </c>
      <c r="U201" s="141">
        <v>0</v>
      </c>
      <c r="V201" s="144">
        <v>0</v>
      </c>
      <c r="W201" s="2629"/>
      <c r="X201" s="607" t="s">
        <v>2233</v>
      </c>
      <c r="Y201" s="143">
        <v>0</v>
      </c>
      <c r="Z201" s="141">
        <v>0</v>
      </c>
      <c r="AA201" s="141">
        <v>0</v>
      </c>
      <c r="AB201" s="141">
        <v>0</v>
      </c>
      <c r="AC201" s="141">
        <v>0</v>
      </c>
      <c r="AD201" s="141">
        <v>0</v>
      </c>
      <c r="AE201" s="141">
        <v>0</v>
      </c>
      <c r="AF201" s="144">
        <v>0</v>
      </c>
      <c r="AG201" s="143">
        <v>0</v>
      </c>
      <c r="AH201" s="141">
        <v>0</v>
      </c>
      <c r="AI201" s="141">
        <v>0</v>
      </c>
      <c r="AJ201" s="141">
        <v>0</v>
      </c>
      <c r="AK201" s="144">
        <v>0</v>
      </c>
      <c r="AL201" s="2629"/>
      <c r="AM201" s="607" t="s">
        <v>2233</v>
      </c>
      <c r="AN201" s="143">
        <v>0</v>
      </c>
      <c r="AO201" s="141">
        <v>0</v>
      </c>
      <c r="AP201" s="141">
        <v>0</v>
      </c>
      <c r="AQ201" s="141">
        <v>0</v>
      </c>
      <c r="AR201" s="141">
        <v>0</v>
      </c>
      <c r="AS201" s="144">
        <v>0</v>
      </c>
      <c r="AT201" s="2629"/>
      <c r="AU201" s="607" t="s">
        <v>2233</v>
      </c>
      <c r="AV201" s="141">
        <v>0</v>
      </c>
      <c r="AW201" s="227" t="s">
        <v>2233</v>
      </c>
      <c r="AX201" s="130">
        <f t="shared" si="70"/>
        <v>0</v>
      </c>
    </row>
    <row r="202" spans="1:50" s="98" customFormat="1" ht="15" customHeight="1">
      <c r="B202" s="181"/>
      <c r="C202" s="182" t="s">
        <v>1710</v>
      </c>
      <c r="D202" s="182"/>
      <c r="E202" s="182"/>
      <c r="F202" s="182"/>
      <c r="G202" s="184"/>
      <c r="H202" s="184"/>
      <c r="I202" s="164" t="s">
        <v>2233</v>
      </c>
      <c r="J202" s="128">
        <f>SUM(J193:J201)</f>
        <v>7.3033333333333339E-2</v>
      </c>
      <c r="K202" s="129">
        <f t="shared" ref="K202:V202" si="71">SUM(K193:K201)</f>
        <v>0</v>
      </c>
      <c r="L202" s="129">
        <f t="shared" si="71"/>
        <v>7.2698684210526304E-2</v>
      </c>
      <c r="M202" s="129">
        <f t="shared" si="71"/>
        <v>0</v>
      </c>
      <c r="N202" s="129">
        <f t="shared" si="71"/>
        <v>0</v>
      </c>
      <c r="O202" s="129">
        <f t="shared" si="71"/>
        <v>0</v>
      </c>
      <c r="P202" s="129">
        <f t="shared" si="71"/>
        <v>0</v>
      </c>
      <c r="Q202" s="130">
        <f t="shared" si="71"/>
        <v>0</v>
      </c>
      <c r="R202" s="128">
        <f t="shared" si="71"/>
        <v>0</v>
      </c>
      <c r="S202" s="129">
        <f t="shared" si="71"/>
        <v>0</v>
      </c>
      <c r="T202" s="129">
        <f t="shared" si="71"/>
        <v>0</v>
      </c>
      <c r="U202" s="129">
        <f t="shared" si="71"/>
        <v>0</v>
      </c>
      <c r="V202" s="130">
        <f t="shared" si="71"/>
        <v>0</v>
      </c>
      <c r="W202" s="185"/>
      <c r="X202" s="164" t="s">
        <v>2233</v>
      </c>
      <c r="Y202" s="128">
        <f>SUM(Y193:Y201)</f>
        <v>-0.13546372397382511</v>
      </c>
      <c r="Z202" s="129">
        <f t="shared" ref="Z202:AK202" si="72">SUM(Z193:Z201)</f>
        <v>0</v>
      </c>
      <c r="AA202" s="129">
        <f t="shared" si="72"/>
        <v>-2.8831146535867564E-2</v>
      </c>
      <c r="AB202" s="129">
        <f t="shared" si="72"/>
        <v>-0.18433075038284838</v>
      </c>
      <c r="AC202" s="129">
        <f t="shared" si="72"/>
        <v>-3.4115983240223462E-2</v>
      </c>
      <c r="AD202" s="129">
        <f t="shared" si="72"/>
        <v>-3.4422031438935907E-2</v>
      </c>
      <c r="AE202" s="129">
        <f t="shared" si="72"/>
        <v>0</v>
      </c>
      <c r="AF202" s="130">
        <f t="shared" si="72"/>
        <v>0</v>
      </c>
      <c r="AG202" s="128">
        <f t="shared" si="72"/>
        <v>0</v>
      </c>
      <c r="AH202" s="129">
        <f t="shared" si="72"/>
        <v>0</v>
      </c>
      <c r="AI202" s="129">
        <f t="shared" si="72"/>
        <v>0</v>
      </c>
      <c r="AJ202" s="129">
        <f t="shared" si="72"/>
        <v>0</v>
      </c>
      <c r="AK202" s="130">
        <f t="shared" si="72"/>
        <v>0</v>
      </c>
      <c r="AL202" s="185"/>
      <c r="AM202" s="164" t="s">
        <v>2233</v>
      </c>
      <c r="AN202" s="128">
        <f>SUM(AN193:AN201)</f>
        <v>-3.9705723292294298E-2</v>
      </c>
      <c r="AO202" s="129">
        <f t="shared" ref="AO202:AS202" si="73">SUM(AO193:AO201)</f>
        <v>-1.0733489123266604E-2</v>
      </c>
      <c r="AP202" s="129">
        <f t="shared" si="73"/>
        <v>0.26769377401635885</v>
      </c>
      <c r="AQ202" s="129">
        <f t="shared" si="73"/>
        <v>0.44867351585955656</v>
      </c>
      <c r="AR202" s="129">
        <f t="shared" si="73"/>
        <v>0.12592695763408326</v>
      </c>
      <c r="AS202" s="130">
        <f t="shared" si="73"/>
        <v>0.33885747557045959</v>
      </c>
      <c r="AT202" s="185"/>
      <c r="AU202" s="164" t="s">
        <v>2233</v>
      </c>
      <c r="AV202" s="876">
        <f>SUM(AV193:AV201)</f>
        <v>478.63624709089629</v>
      </c>
      <c r="AW202" s="227" t="s">
        <v>2233</v>
      </c>
      <c r="AX202" s="712">
        <f>SUM(AX193:AX201)</f>
        <v>479.19109253940178</v>
      </c>
    </row>
    <row r="203" spans="1:50" s="98" customFormat="1" ht="15" customHeight="1">
      <c r="B203" s="181"/>
      <c r="C203" s="185"/>
      <c r="D203" s="182"/>
      <c r="E203" s="182"/>
      <c r="F203" s="182"/>
      <c r="G203" s="184"/>
      <c r="H203" s="184"/>
      <c r="I203" s="117"/>
      <c r="J203" s="713"/>
      <c r="K203" s="714"/>
      <c r="L203" s="714"/>
      <c r="M203" s="714"/>
      <c r="N203" s="714"/>
      <c r="O203" s="714"/>
      <c r="P203" s="714"/>
      <c r="Q203" s="715"/>
      <c r="R203" s="714"/>
      <c r="S203" s="714"/>
      <c r="T203" s="714"/>
      <c r="U203" s="714"/>
      <c r="V203" s="715"/>
      <c r="W203" s="185"/>
      <c r="X203" s="117"/>
      <c r="Y203" s="713"/>
      <c r="Z203" s="714"/>
      <c r="AA203" s="714"/>
      <c r="AB203" s="714"/>
      <c r="AC203" s="714"/>
      <c r="AD203" s="714"/>
      <c r="AE203" s="714"/>
      <c r="AF203" s="715"/>
      <c r="AG203" s="714"/>
      <c r="AH203" s="714"/>
      <c r="AI203" s="714"/>
      <c r="AJ203" s="714"/>
      <c r="AK203" s="715"/>
      <c r="AL203" s="185"/>
      <c r="AM203" s="117"/>
      <c r="AN203" s="713"/>
      <c r="AO203" s="714"/>
      <c r="AP203" s="714"/>
      <c r="AQ203" s="714"/>
      <c r="AR203" s="714"/>
      <c r="AS203" s="752"/>
      <c r="AT203" s="185"/>
      <c r="AU203" s="185"/>
      <c r="AV203" s="185"/>
      <c r="AW203" s="185"/>
      <c r="AX203" s="839"/>
    </row>
    <row r="204" spans="1:50" s="98" customFormat="1" ht="15" customHeight="1" thickBot="1">
      <c r="A204" s="99"/>
      <c r="B204" s="131" t="s">
        <v>1701</v>
      </c>
      <c r="C204" s="132"/>
      <c r="D204" s="132"/>
      <c r="E204" s="132"/>
      <c r="F204" s="132"/>
      <c r="G204" s="145"/>
      <c r="H204" s="133"/>
      <c r="I204" s="146" t="s">
        <v>2233</v>
      </c>
      <c r="J204" s="717">
        <f>SUM(J190,J202)</f>
        <v>7.3033333333333339E-2</v>
      </c>
      <c r="K204" s="718">
        <f t="shared" ref="K204:V204" si="74">SUM(K190,K202)</f>
        <v>0.27303999999999995</v>
      </c>
      <c r="L204" s="718">
        <f t="shared" si="74"/>
        <v>0.66741281218925996</v>
      </c>
      <c r="M204" s="718">
        <f t="shared" si="74"/>
        <v>0.20088539463333624</v>
      </c>
      <c r="N204" s="718">
        <f t="shared" si="74"/>
        <v>0.32756434988179672</v>
      </c>
      <c r="O204" s="718">
        <f t="shared" si="74"/>
        <v>2.7534014027265144E-3</v>
      </c>
      <c r="P204" s="718">
        <f t="shared" si="74"/>
        <v>3.5188003661962243E-3</v>
      </c>
      <c r="Q204" s="719">
        <f t="shared" si="74"/>
        <v>0</v>
      </c>
      <c r="R204" s="717">
        <f t="shared" si="74"/>
        <v>0</v>
      </c>
      <c r="S204" s="718">
        <f t="shared" si="74"/>
        <v>0</v>
      </c>
      <c r="T204" s="718">
        <f t="shared" si="74"/>
        <v>0</v>
      </c>
      <c r="U204" s="718">
        <f t="shared" si="74"/>
        <v>0</v>
      </c>
      <c r="V204" s="719">
        <f t="shared" si="74"/>
        <v>0</v>
      </c>
      <c r="W204" s="192"/>
      <c r="X204" s="146" t="s">
        <v>2233</v>
      </c>
      <c r="Y204" s="717">
        <f>SUM(Y190,Y202)</f>
        <v>-0.13546372397382511</v>
      </c>
      <c r="Z204" s="718">
        <f t="shared" ref="Z204:AK204" si="75">SUM(Z190,Z202)</f>
        <v>0</v>
      </c>
      <c r="AA204" s="718">
        <f t="shared" si="75"/>
        <v>-2.8831146535867564E-2</v>
      </c>
      <c r="AB204" s="718">
        <f t="shared" si="75"/>
        <v>-0.18433075038284838</v>
      </c>
      <c r="AC204" s="718">
        <f t="shared" si="75"/>
        <v>-0.15594460009236971</v>
      </c>
      <c r="AD204" s="718">
        <f t="shared" si="75"/>
        <v>-3.4422031438935907E-2</v>
      </c>
      <c r="AE204" s="718">
        <f t="shared" si="75"/>
        <v>0</v>
      </c>
      <c r="AF204" s="719">
        <f t="shared" si="75"/>
        <v>0</v>
      </c>
      <c r="AG204" s="717">
        <f t="shared" si="75"/>
        <v>0</v>
      </c>
      <c r="AH204" s="718">
        <f t="shared" si="75"/>
        <v>0</v>
      </c>
      <c r="AI204" s="718">
        <f t="shared" si="75"/>
        <v>0</v>
      </c>
      <c r="AJ204" s="718">
        <f t="shared" si="75"/>
        <v>0</v>
      </c>
      <c r="AK204" s="719">
        <f t="shared" si="75"/>
        <v>0</v>
      </c>
      <c r="AL204" s="192"/>
      <c r="AM204" s="146" t="s">
        <v>2233</v>
      </c>
      <c r="AN204" s="717">
        <f>SUM(AN190,AN202)</f>
        <v>-8.8712560854937811E-2</v>
      </c>
      <c r="AO204" s="718">
        <f t="shared" ref="AO204:AS204" si="76">SUM(AO190,AO202)</f>
        <v>-0.10143174910593461</v>
      </c>
      <c r="AP204" s="718">
        <f t="shared" si="76"/>
        <v>0.40055611970950694</v>
      </c>
      <c r="AQ204" s="718">
        <f t="shared" si="76"/>
        <v>0.49240744964186373</v>
      </c>
      <c r="AR204" s="718">
        <f t="shared" si="76"/>
        <v>8.585822657907044E-2</v>
      </c>
      <c r="AS204" s="719">
        <f t="shared" si="76"/>
        <v>0.20019656759942989</v>
      </c>
      <c r="AT204" s="192"/>
      <c r="AU204" s="146" t="s">
        <v>2233</v>
      </c>
      <c r="AV204" s="718">
        <f>SUM(AV190,AV202)</f>
        <v>682.34289275199535</v>
      </c>
      <c r="AW204" s="882" t="s">
        <v>2233</v>
      </c>
      <c r="AX204" s="719">
        <f>SUM(AX190,AX202)</f>
        <v>684.16893590701773</v>
      </c>
    </row>
    <row r="205" spans="1:50" s="99" customFormat="1" ht="15" customHeight="1" thickBot="1">
      <c r="B205" s="150"/>
      <c r="C205" s="150"/>
      <c r="D205" s="150"/>
      <c r="E205" s="150"/>
      <c r="F205" s="150"/>
      <c r="G205" s="97"/>
      <c r="H205" s="97"/>
      <c r="I205" s="98"/>
      <c r="J205" s="98"/>
      <c r="K205" s="98"/>
      <c r="L205" s="98"/>
      <c r="M205" s="98"/>
      <c r="N205" s="98"/>
      <c r="O205" s="98"/>
      <c r="P205" s="98"/>
      <c r="Q205" s="98"/>
      <c r="R205" s="98"/>
      <c r="S205" s="98"/>
      <c r="T205" s="98"/>
      <c r="U205" s="98"/>
      <c r="V205" s="98"/>
      <c r="W205" s="98"/>
      <c r="X205" s="98"/>
      <c r="Y205" s="98"/>
      <c r="Z205" s="98"/>
      <c r="AA205" s="98"/>
      <c r="AB205" s="98"/>
      <c r="AC205" s="98"/>
      <c r="AD205" s="98"/>
      <c r="AE205" s="98"/>
      <c r="AF205" s="98"/>
      <c r="AG205" s="98"/>
      <c r="AH205" s="98"/>
      <c r="AI205" s="98"/>
      <c r="AJ205" s="98"/>
      <c r="AK205" s="98"/>
      <c r="AL205" s="98"/>
      <c r="AM205" s="98"/>
      <c r="AN205" s="98"/>
      <c r="AO205" s="98"/>
      <c r="AP205" s="98"/>
      <c r="AQ205" s="98"/>
      <c r="AR205" s="98"/>
      <c r="AS205" s="98"/>
      <c r="AT205" s="98"/>
      <c r="AU205" s="98"/>
      <c r="AV205" s="98"/>
      <c r="AW205" s="98"/>
      <c r="AX205" s="98"/>
    </row>
    <row r="206" spans="1:50" s="100" customFormat="1" ht="30" customHeight="1" thickBot="1">
      <c r="A206" s="89"/>
      <c r="B206" s="621" t="s">
        <v>66</v>
      </c>
      <c r="C206" s="102"/>
      <c r="D206" s="102"/>
      <c r="E206" s="102"/>
      <c r="F206" s="102"/>
      <c r="G206" s="103"/>
      <c r="H206" s="103"/>
      <c r="I206" s="105" t="s">
        <v>2837</v>
      </c>
      <c r="J206" s="106"/>
      <c r="K206" s="106"/>
      <c r="L206" s="106"/>
      <c r="M206" s="106"/>
      <c r="N206" s="106"/>
      <c r="O206" s="106"/>
      <c r="P206" s="106"/>
      <c r="Q206" s="106"/>
      <c r="R206" s="105"/>
      <c r="S206" s="105"/>
      <c r="T206" s="105"/>
      <c r="U206" s="105"/>
      <c r="V206" s="105"/>
      <c r="W206" s="103"/>
      <c r="X206" s="105" t="s">
        <v>2838</v>
      </c>
      <c r="Y206" s="106"/>
      <c r="Z206" s="106"/>
      <c r="AA206" s="106"/>
      <c r="AB206" s="106"/>
      <c r="AC206" s="106"/>
      <c r="AD206" s="106"/>
      <c r="AE206" s="106"/>
      <c r="AF206" s="106"/>
      <c r="AG206" s="105"/>
      <c r="AH206" s="105"/>
      <c r="AI206" s="105"/>
      <c r="AJ206" s="105"/>
      <c r="AK206" s="105"/>
      <c r="AL206" s="103"/>
      <c r="AM206" s="105" t="s">
        <v>2839</v>
      </c>
      <c r="AN206" s="106"/>
      <c r="AO206" s="106"/>
      <c r="AP206" s="106"/>
      <c r="AQ206" s="106"/>
      <c r="AR206" s="106"/>
      <c r="AS206" s="106"/>
      <c r="AT206" s="103"/>
      <c r="AU206" s="218" t="s">
        <v>1925</v>
      </c>
      <c r="AV206" s="219"/>
      <c r="AW206" s="220"/>
      <c r="AX206" s="221"/>
    </row>
    <row r="207" spans="1:50" s="157" customFormat="1" ht="30" customHeight="1">
      <c r="A207" s="99"/>
      <c r="B207" s="109"/>
      <c r="C207" s="110"/>
      <c r="D207" s="110"/>
      <c r="E207" s="110"/>
      <c r="F207" s="110"/>
      <c r="G207" s="111"/>
      <c r="H207" s="111"/>
      <c r="I207" s="117"/>
      <c r="J207" s="695" t="s">
        <v>1666</v>
      </c>
      <c r="K207" s="152"/>
      <c r="L207" s="152"/>
      <c r="M207" s="152"/>
      <c r="N207" s="152"/>
      <c r="O207" s="152"/>
      <c r="P207" s="152"/>
      <c r="Q207" s="153"/>
      <c r="R207" s="696" t="s">
        <v>2</v>
      </c>
      <c r="S207" s="155"/>
      <c r="T207" s="155"/>
      <c r="U207" s="155"/>
      <c r="V207" s="156"/>
      <c r="W207" s="222"/>
      <c r="X207" s="117"/>
      <c r="Y207" s="695" t="s">
        <v>1666</v>
      </c>
      <c r="Z207" s="152"/>
      <c r="AA207" s="152"/>
      <c r="AB207" s="152"/>
      <c r="AC207" s="152"/>
      <c r="AD207" s="152"/>
      <c r="AE207" s="152"/>
      <c r="AF207" s="153"/>
      <c r="AG207" s="696" t="s">
        <v>2</v>
      </c>
      <c r="AH207" s="155"/>
      <c r="AI207" s="155"/>
      <c r="AJ207" s="155"/>
      <c r="AK207" s="156"/>
      <c r="AL207" s="222"/>
      <c r="AM207" s="117"/>
      <c r="AN207" s="695" t="s">
        <v>1666</v>
      </c>
      <c r="AO207" s="152"/>
      <c r="AP207" s="152"/>
      <c r="AQ207" s="152"/>
      <c r="AR207" s="152"/>
      <c r="AS207" s="153"/>
      <c r="AT207" s="222"/>
      <c r="AU207" s="223" t="s">
        <v>2840</v>
      </c>
      <c r="AV207" s="203"/>
      <c r="AW207" s="224" t="s">
        <v>2879</v>
      </c>
      <c r="AX207" s="204"/>
    </row>
    <row r="208" spans="1:50" s="98" customFormat="1" ht="15" customHeight="1">
      <c r="A208" s="99"/>
      <c r="B208" s="115"/>
      <c r="C208" s="116"/>
      <c r="D208" s="116"/>
      <c r="E208" s="116"/>
      <c r="F208" s="116"/>
      <c r="G208" s="117"/>
      <c r="H208" s="117"/>
      <c r="I208" s="119" t="s">
        <v>1667</v>
      </c>
      <c r="J208" s="158" t="s">
        <v>453</v>
      </c>
      <c r="K208" s="137" t="s">
        <v>455</v>
      </c>
      <c r="L208" s="137" t="s">
        <v>457</v>
      </c>
      <c r="M208" s="137" t="s">
        <v>459</v>
      </c>
      <c r="N208" s="137" t="s">
        <v>461</v>
      </c>
      <c r="O208" s="137" t="s">
        <v>463</v>
      </c>
      <c r="P208" s="137" t="s">
        <v>465</v>
      </c>
      <c r="Q208" s="138" t="s">
        <v>467</v>
      </c>
      <c r="R208" s="120" t="s">
        <v>469</v>
      </c>
      <c r="S208" s="121" t="s">
        <v>471</v>
      </c>
      <c r="T208" s="121" t="s">
        <v>473</v>
      </c>
      <c r="U208" s="121" t="s">
        <v>475</v>
      </c>
      <c r="V208" s="122" t="s">
        <v>477</v>
      </c>
      <c r="W208" s="185"/>
      <c r="X208" s="119" t="s">
        <v>1667</v>
      </c>
      <c r="Y208" s="158" t="s">
        <v>453</v>
      </c>
      <c r="Z208" s="137" t="s">
        <v>455</v>
      </c>
      <c r="AA208" s="137" t="s">
        <v>457</v>
      </c>
      <c r="AB208" s="137" t="s">
        <v>459</v>
      </c>
      <c r="AC208" s="137" t="s">
        <v>461</v>
      </c>
      <c r="AD208" s="137" t="s">
        <v>463</v>
      </c>
      <c r="AE208" s="137" t="s">
        <v>465</v>
      </c>
      <c r="AF208" s="138" t="s">
        <v>467</v>
      </c>
      <c r="AG208" s="120" t="s">
        <v>469</v>
      </c>
      <c r="AH208" s="121" t="s">
        <v>471</v>
      </c>
      <c r="AI208" s="121" t="s">
        <v>473</v>
      </c>
      <c r="AJ208" s="121" t="s">
        <v>475</v>
      </c>
      <c r="AK208" s="122" t="s">
        <v>477</v>
      </c>
      <c r="AL208" s="185"/>
      <c r="AM208" s="119" t="s">
        <v>1667</v>
      </c>
      <c r="AN208" s="158" t="s">
        <v>453</v>
      </c>
      <c r="AO208" s="137" t="s">
        <v>455</v>
      </c>
      <c r="AP208" s="137" t="s">
        <v>457</v>
      </c>
      <c r="AQ208" s="137" t="s">
        <v>459</v>
      </c>
      <c r="AR208" s="137" t="s">
        <v>461</v>
      </c>
      <c r="AS208" s="138" t="s">
        <v>463</v>
      </c>
      <c r="AT208" s="185"/>
      <c r="AU208" s="225" t="s">
        <v>1667</v>
      </c>
      <c r="AV208" s="206" t="s">
        <v>2142</v>
      </c>
      <c r="AW208" s="226" t="s">
        <v>1667</v>
      </c>
      <c r="AX208" s="207" t="s">
        <v>2142</v>
      </c>
    </row>
    <row r="209" spans="1:51" s="98" customFormat="1" ht="15" customHeight="1">
      <c r="A209" s="99"/>
      <c r="B209" s="161"/>
      <c r="C209" s="180" t="s">
        <v>1837</v>
      </c>
      <c r="D209" s="162"/>
      <c r="E209" s="162"/>
      <c r="F209" s="162"/>
      <c r="G209" s="163"/>
      <c r="H209" s="163"/>
      <c r="I209" s="117"/>
      <c r="J209" s="159"/>
      <c r="K209" s="117"/>
      <c r="L209" s="117"/>
      <c r="M209" s="117"/>
      <c r="N209" s="117"/>
      <c r="O209" s="117"/>
      <c r="P209" s="117"/>
      <c r="Q209" s="160"/>
      <c r="R209" s="159"/>
      <c r="S209" s="117"/>
      <c r="T209" s="117"/>
      <c r="U209" s="117"/>
      <c r="V209" s="160"/>
      <c r="W209" s="185"/>
      <c r="X209" s="117"/>
      <c r="Y209" s="159"/>
      <c r="Z209" s="117"/>
      <c r="AA209" s="117"/>
      <c r="AB209" s="117"/>
      <c r="AC209" s="117"/>
      <c r="AD209" s="117"/>
      <c r="AE209" s="117"/>
      <c r="AF209" s="160"/>
      <c r="AG209" s="159"/>
      <c r="AH209" s="117"/>
      <c r="AI209" s="117"/>
      <c r="AJ209" s="117"/>
      <c r="AK209" s="160"/>
      <c r="AL209" s="185"/>
      <c r="AM209" s="117"/>
      <c r="AN209" s="159"/>
      <c r="AO209" s="117"/>
      <c r="AP209" s="117"/>
      <c r="AQ209" s="117"/>
      <c r="AR209" s="117"/>
      <c r="AS209" s="160"/>
      <c r="AT209" s="185"/>
      <c r="AU209" s="209"/>
      <c r="AV209" s="231"/>
      <c r="AW209" s="209"/>
      <c r="AX209" s="210"/>
    </row>
    <row r="210" spans="1:51" s="98" customFormat="1" ht="15" customHeight="1">
      <c r="A210" s="99"/>
      <c r="B210" s="161"/>
      <c r="C210" s="185"/>
      <c r="D210" s="162" t="s">
        <v>2503</v>
      </c>
      <c r="E210" s="162"/>
      <c r="F210" s="162"/>
      <c r="G210" s="162"/>
      <c r="H210" s="163"/>
      <c r="I210" s="164" t="s">
        <v>1876</v>
      </c>
      <c r="J210" s="165">
        <v>0</v>
      </c>
      <c r="K210" s="166">
        <v>0</v>
      </c>
      <c r="L210" s="166">
        <v>0</v>
      </c>
      <c r="M210" s="166">
        <v>0</v>
      </c>
      <c r="N210" s="166">
        <v>0</v>
      </c>
      <c r="O210" s="166">
        <v>0</v>
      </c>
      <c r="P210" s="166">
        <v>0</v>
      </c>
      <c r="Q210" s="167">
        <v>0</v>
      </c>
      <c r="R210" s="165">
        <v>0</v>
      </c>
      <c r="S210" s="166">
        <v>0</v>
      </c>
      <c r="T210" s="166">
        <v>0</v>
      </c>
      <c r="U210" s="166">
        <v>0</v>
      </c>
      <c r="V210" s="167">
        <v>0</v>
      </c>
      <c r="W210" s="886"/>
      <c r="X210" s="1097" t="s">
        <v>1876</v>
      </c>
      <c r="Y210" s="165">
        <v>0</v>
      </c>
      <c r="Z210" s="166">
        <v>0</v>
      </c>
      <c r="AA210" s="166">
        <v>0</v>
      </c>
      <c r="AB210" s="166">
        <v>0</v>
      </c>
      <c r="AC210" s="166">
        <v>0</v>
      </c>
      <c r="AD210" s="166">
        <v>0</v>
      </c>
      <c r="AE210" s="166">
        <v>0</v>
      </c>
      <c r="AF210" s="167">
        <v>0</v>
      </c>
      <c r="AG210" s="165">
        <v>0</v>
      </c>
      <c r="AH210" s="166">
        <v>0</v>
      </c>
      <c r="AI210" s="166">
        <v>0</v>
      </c>
      <c r="AJ210" s="166">
        <v>0</v>
      </c>
      <c r="AK210" s="167">
        <v>0</v>
      </c>
      <c r="AL210" s="886"/>
      <c r="AM210" s="1097" t="s">
        <v>1876</v>
      </c>
      <c r="AN210" s="165">
        <v>0</v>
      </c>
      <c r="AO210" s="166">
        <v>0</v>
      </c>
      <c r="AP210" s="166">
        <v>0</v>
      </c>
      <c r="AQ210" s="166">
        <v>0</v>
      </c>
      <c r="AR210" s="166">
        <v>0</v>
      </c>
      <c r="AS210" s="167">
        <v>0</v>
      </c>
      <c r="AT210" s="185"/>
      <c r="AU210" s="164" t="s">
        <v>1876</v>
      </c>
      <c r="AV210" s="166">
        <v>0</v>
      </c>
      <c r="AW210" s="888" t="s">
        <v>1876</v>
      </c>
      <c r="AX210" s="130">
        <f>SUM(AV210,J210:N210,Y210:AC210,AN210:AR210)</f>
        <v>0</v>
      </c>
    </row>
    <row r="211" spans="1:51" s="98" customFormat="1" ht="15" customHeight="1">
      <c r="A211" s="99"/>
      <c r="B211" s="161"/>
      <c r="C211" s="185"/>
      <c r="D211" s="162" t="s">
        <v>2504</v>
      </c>
      <c r="E211" s="162"/>
      <c r="F211" s="162"/>
      <c r="G211" s="162"/>
      <c r="H211" s="163"/>
      <c r="I211" s="164" t="s">
        <v>1876</v>
      </c>
      <c r="J211" s="165">
        <v>27</v>
      </c>
      <c r="K211" s="166">
        <v>11</v>
      </c>
      <c r="L211" s="166">
        <v>17</v>
      </c>
      <c r="M211" s="166">
        <v>15</v>
      </c>
      <c r="N211" s="166">
        <v>10</v>
      </c>
      <c r="O211" s="166">
        <v>15</v>
      </c>
      <c r="P211" s="166">
        <v>16</v>
      </c>
      <c r="Q211" s="167">
        <v>16</v>
      </c>
      <c r="R211" s="165">
        <v>16</v>
      </c>
      <c r="S211" s="166">
        <v>16</v>
      </c>
      <c r="T211" s="166">
        <v>16</v>
      </c>
      <c r="U211" s="166">
        <v>16</v>
      </c>
      <c r="V211" s="167">
        <v>16</v>
      </c>
      <c r="W211" s="886"/>
      <c r="X211" s="1097" t="s">
        <v>1876</v>
      </c>
      <c r="Y211" s="165">
        <v>-20</v>
      </c>
      <c r="Z211" s="166">
        <v>-8</v>
      </c>
      <c r="AA211" s="166">
        <v>-16</v>
      </c>
      <c r="AB211" s="166">
        <v>-8</v>
      </c>
      <c r="AC211" s="166">
        <v>-7</v>
      </c>
      <c r="AD211" s="166">
        <v>-11</v>
      </c>
      <c r="AE211" s="166">
        <v>-12</v>
      </c>
      <c r="AF211" s="167">
        <v>-12</v>
      </c>
      <c r="AG211" s="165">
        <v>-12</v>
      </c>
      <c r="AH211" s="166">
        <v>-12</v>
      </c>
      <c r="AI211" s="166">
        <v>-12</v>
      </c>
      <c r="AJ211" s="166">
        <v>-12</v>
      </c>
      <c r="AK211" s="167">
        <v>-12</v>
      </c>
      <c r="AL211" s="886"/>
      <c r="AM211" s="1097" t="s">
        <v>1876</v>
      </c>
      <c r="AN211" s="165">
        <v>-19</v>
      </c>
      <c r="AO211" s="166">
        <v>-1</v>
      </c>
      <c r="AP211" s="166">
        <v>4</v>
      </c>
      <c r="AQ211" s="166">
        <v>0</v>
      </c>
      <c r="AR211" s="166">
        <v>1</v>
      </c>
      <c r="AS211" s="167">
        <v>1</v>
      </c>
      <c r="AT211" s="185"/>
      <c r="AU211" s="164" t="s">
        <v>1876</v>
      </c>
      <c r="AV211" s="166">
        <v>2360</v>
      </c>
      <c r="AW211" s="888" t="s">
        <v>1876</v>
      </c>
      <c r="AX211" s="130">
        <f>SUM(AV211,J211:O211,Y211:AD211,AN211:AS211)</f>
        <v>2371</v>
      </c>
      <c r="AY211" s="2606" t="s">
        <v>2881</v>
      </c>
    </row>
    <row r="212" spans="1:51" s="98" customFormat="1" ht="15" customHeight="1">
      <c r="B212" s="181"/>
      <c r="C212" s="182" t="s">
        <v>1710</v>
      </c>
      <c r="D212" s="182"/>
      <c r="E212" s="182"/>
      <c r="F212" s="182"/>
      <c r="G212" s="184"/>
      <c r="H212" s="184"/>
      <c r="I212" s="164" t="s">
        <v>1876</v>
      </c>
      <c r="J212" s="777">
        <f t="shared" ref="J212:V212" si="77">SUM(J210:J211)</f>
        <v>27</v>
      </c>
      <c r="K212" s="778">
        <f t="shared" si="77"/>
        <v>11</v>
      </c>
      <c r="L212" s="778">
        <f t="shared" si="77"/>
        <v>17</v>
      </c>
      <c r="M212" s="778">
        <f t="shared" si="77"/>
        <v>15</v>
      </c>
      <c r="N212" s="778">
        <f t="shared" si="77"/>
        <v>10</v>
      </c>
      <c r="O212" s="778">
        <f t="shared" si="77"/>
        <v>15</v>
      </c>
      <c r="P212" s="778">
        <f t="shared" si="77"/>
        <v>16</v>
      </c>
      <c r="Q212" s="779">
        <f t="shared" si="77"/>
        <v>16</v>
      </c>
      <c r="R212" s="777">
        <f t="shared" si="77"/>
        <v>16</v>
      </c>
      <c r="S212" s="778">
        <f t="shared" si="77"/>
        <v>16</v>
      </c>
      <c r="T212" s="778">
        <f t="shared" si="77"/>
        <v>16</v>
      </c>
      <c r="U212" s="778">
        <f t="shared" si="77"/>
        <v>16</v>
      </c>
      <c r="V212" s="779">
        <f t="shared" si="77"/>
        <v>16</v>
      </c>
      <c r="W212" s="886"/>
      <c r="X212" s="1097" t="s">
        <v>1876</v>
      </c>
      <c r="Y212" s="777">
        <f t="shared" ref="Y212:AK212" si="78">SUM(Y210:Y211)</f>
        <v>-20</v>
      </c>
      <c r="Z212" s="778">
        <f t="shared" si="78"/>
        <v>-8</v>
      </c>
      <c r="AA212" s="778">
        <f t="shared" si="78"/>
        <v>-16</v>
      </c>
      <c r="AB212" s="778">
        <f t="shared" si="78"/>
        <v>-8</v>
      </c>
      <c r="AC212" s="778">
        <f t="shared" si="78"/>
        <v>-7</v>
      </c>
      <c r="AD212" s="778">
        <f t="shared" si="78"/>
        <v>-11</v>
      </c>
      <c r="AE212" s="778">
        <f t="shared" si="78"/>
        <v>-12</v>
      </c>
      <c r="AF212" s="779">
        <f t="shared" si="78"/>
        <v>-12</v>
      </c>
      <c r="AG212" s="777">
        <f t="shared" si="78"/>
        <v>-12</v>
      </c>
      <c r="AH212" s="778">
        <f t="shared" si="78"/>
        <v>-12</v>
      </c>
      <c r="AI212" s="778">
        <f t="shared" si="78"/>
        <v>-12</v>
      </c>
      <c r="AJ212" s="778">
        <f t="shared" si="78"/>
        <v>-12</v>
      </c>
      <c r="AK212" s="779">
        <f t="shared" si="78"/>
        <v>-12</v>
      </c>
      <c r="AL212" s="886"/>
      <c r="AM212" s="1097" t="s">
        <v>1876</v>
      </c>
      <c r="AN212" s="777">
        <f t="shared" ref="AN212:AS212" si="79">SUM(AN210:AN211)</f>
        <v>-19</v>
      </c>
      <c r="AO212" s="778">
        <f t="shared" si="79"/>
        <v>-1</v>
      </c>
      <c r="AP212" s="778">
        <f t="shared" si="79"/>
        <v>4</v>
      </c>
      <c r="AQ212" s="778">
        <f t="shared" si="79"/>
        <v>0</v>
      </c>
      <c r="AR212" s="778">
        <f t="shared" si="79"/>
        <v>1</v>
      </c>
      <c r="AS212" s="779">
        <f t="shared" si="79"/>
        <v>1</v>
      </c>
      <c r="AT212" s="185"/>
      <c r="AU212" s="164" t="s">
        <v>1876</v>
      </c>
      <c r="AV212" s="778">
        <f>SUM(AV210:AV211)</f>
        <v>2360</v>
      </c>
      <c r="AW212" s="888" t="s">
        <v>1876</v>
      </c>
      <c r="AX212" s="1095">
        <f>SUM(AX210:AX211)</f>
        <v>2371</v>
      </c>
    </row>
    <row r="213" spans="1:51" s="98" customFormat="1" ht="15" customHeight="1">
      <c r="B213" s="181"/>
      <c r="C213" s="185"/>
      <c r="D213" s="182"/>
      <c r="E213" s="182"/>
      <c r="F213" s="182"/>
      <c r="G213" s="184"/>
      <c r="H213" s="184"/>
      <c r="I213" s="117"/>
      <c r="J213" s="878"/>
      <c r="K213" s="879"/>
      <c r="L213" s="879"/>
      <c r="M213" s="879"/>
      <c r="N213" s="879"/>
      <c r="O213" s="879"/>
      <c r="P213" s="879"/>
      <c r="Q213" s="880"/>
      <c r="R213" s="879"/>
      <c r="S213" s="879"/>
      <c r="T213" s="879"/>
      <c r="U213" s="879"/>
      <c r="V213" s="880"/>
      <c r="W213" s="886"/>
      <c r="X213" s="881"/>
      <c r="Y213" s="878"/>
      <c r="Z213" s="879"/>
      <c r="AA213" s="879"/>
      <c r="AB213" s="879"/>
      <c r="AC213" s="879"/>
      <c r="AD213" s="879"/>
      <c r="AE213" s="879"/>
      <c r="AF213" s="880"/>
      <c r="AG213" s="879"/>
      <c r="AH213" s="879"/>
      <c r="AI213" s="879"/>
      <c r="AJ213" s="879"/>
      <c r="AK213" s="880"/>
      <c r="AL213" s="886"/>
      <c r="AM213" s="881"/>
      <c r="AN213" s="878"/>
      <c r="AO213" s="879"/>
      <c r="AP213" s="879"/>
      <c r="AQ213" s="879"/>
      <c r="AR213" s="879"/>
      <c r="AS213" s="885"/>
      <c r="AT213" s="185"/>
      <c r="AU213" s="185"/>
      <c r="AV213" s="886"/>
      <c r="AW213" s="886"/>
      <c r="AX213" s="887"/>
    </row>
    <row r="214" spans="1:51" s="98" customFormat="1" ht="15" customHeight="1">
      <c r="A214" s="99"/>
      <c r="B214" s="161"/>
      <c r="C214" s="180" t="s">
        <v>1841</v>
      </c>
      <c r="D214" s="162"/>
      <c r="E214" s="162"/>
      <c r="F214" s="162"/>
      <c r="G214" s="163"/>
      <c r="H214" s="163"/>
      <c r="I214" s="117"/>
      <c r="J214" s="878"/>
      <c r="K214" s="881"/>
      <c r="L214" s="881"/>
      <c r="M214" s="881"/>
      <c r="N214" s="881"/>
      <c r="O214" s="881"/>
      <c r="P214" s="881"/>
      <c r="Q214" s="880"/>
      <c r="R214" s="878"/>
      <c r="S214" s="881"/>
      <c r="T214" s="881"/>
      <c r="U214" s="881"/>
      <c r="V214" s="880"/>
      <c r="W214" s="886"/>
      <c r="X214" s="881"/>
      <c r="Y214" s="878"/>
      <c r="Z214" s="881"/>
      <c r="AA214" s="881"/>
      <c r="AB214" s="881"/>
      <c r="AC214" s="881"/>
      <c r="AD214" s="881"/>
      <c r="AE214" s="881"/>
      <c r="AF214" s="880"/>
      <c r="AG214" s="878"/>
      <c r="AH214" s="881"/>
      <c r="AI214" s="881"/>
      <c r="AJ214" s="881"/>
      <c r="AK214" s="880"/>
      <c r="AL214" s="886"/>
      <c r="AM214" s="881"/>
      <c r="AN214" s="878"/>
      <c r="AO214" s="881"/>
      <c r="AP214" s="881"/>
      <c r="AQ214" s="881"/>
      <c r="AR214" s="881"/>
      <c r="AS214" s="880"/>
      <c r="AT214" s="185"/>
      <c r="AU214" s="185"/>
      <c r="AV214" s="886"/>
      <c r="AW214" s="886"/>
      <c r="AX214" s="887"/>
    </row>
    <row r="215" spans="1:51" s="98" customFormat="1" ht="15" customHeight="1">
      <c r="A215" s="99"/>
      <c r="B215" s="161"/>
      <c r="C215" s="185"/>
      <c r="D215" s="162" t="s">
        <v>2882</v>
      </c>
      <c r="E215" s="162"/>
      <c r="F215" s="162"/>
      <c r="G215" s="162"/>
      <c r="H215" s="163"/>
      <c r="I215" s="164" t="s">
        <v>1876</v>
      </c>
      <c r="J215" s="165">
        <v>438</v>
      </c>
      <c r="K215" s="166">
        <v>2</v>
      </c>
      <c r="L215" s="166">
        <v>12</v>
      </c>
      <c r="M215" s="166">
        <v>1</v>
      </c>
      <c r="N215" s="166">
        <v>29</v>
      </c>
      <c r="O215" s="166">
        <v>31</v>
      </c>
      <c r="P215" s="166">
        <v>15</v>
      </c>
      <c r="Q215" s="167">
        <v>15</v>
      </c>
      <c r="R215" s="165">
        <v>15</v>
      </c>
      <c r="S215" s="166">
        <v>15</v>
      </c>
      <c r="T215" s="166">
        <v>15</v>
      </c>
      <c r="U215" s="166">
        <v>15</v>
      </c>
      <c r="V215" s="167">
        <v>15</v>
      </c>
      <c r="W215" s="886"/>
      <c r="X215" s="1097" t="s">
        <v>1876</v>
      </c>
      <c r="Y215" s="165">
        <v>-437</v>
      </c>
      <c r="Z215" s="166">
        <v>-3</v>
      </c>
      <c r="AA215" s="166">
        <v>-12</v>
      </c>
      <c r="AB215" s="166">
        <v>0</v>
      </c>
      <c r="AC215" s="166">
        <v>-29</v>
      </c>
      <c r="AD215" s="166">
        <v>-33</v>
      </c>
      <c r="AE215" s="166">
        <v>-15</v>
      </c>
      <c r="AF215" s="167">
        <v>-15</v>
      </c>
      <c r="AG215" s="165">
        <v>-15</v>
      </c>
      <c r="AH215" s="166">
        <v>-15</v>
      </c>
      <c r="AI215" s="166">
        <v>-15</v>
      </c>
      <c r="AJ215" s="166">
        <v>-15</v>
      </c>
      <c r="AK215" s="167">
        <v>-15</v>
      </c>
      <c r="AL215" s="886"/>
      <c r="AM215" s="1097" t="s">
        <v>1876</v>
      </c>
      <c r="AN215" s="165">
        <v>1</v>
      </c>
      <c r="AO215" s="166">
        <v>-7</v>
      </c>
      <c r="AP215" s="166">
        <v>12</v>
      </c>
      <c r="AQ215" s="166">
        <v>-2</v>
      </c>
      <c r="AR215" s="166">
        <v>0</v>
      </c>
      <c r="AS215" s="167">
        <v>3</v>
      </c>
      <c r="AT215" s="185"/>
      <c r="AU215" s="164" t="s">
        <v>1876</v>
      </c>
      <c r="AV215" s="166">
        <v>3052</v>
      </c>
      <c r="AW215" s="888" t="s">
        <v>1876</v>
      </c>
      <c r="AX215" s="130">
        <f>SUM(AV215,J215:O215,Y215:AD215,AN215:AS215)</f>
        <v>3058</v>
      </c>
      <c r="AY215" s="2606" t="s">
        <v>2881</v>
      </c>
    </row>
    <row r="216" spans="1:51" s="98" customFormat="1" ht="15" customHeight="1">
      <c r="A216" s="99"/>
      <c r="B216" s="161"/>
      <c r="C216" s="185"/>
      <c r="D216" s="162" t="s">
        <v>2883</v>
      </c>
      <c r="E216" s="162"/>
      <c r="F216" s="162"/>
      <c r="G216" s="162"/>
      <c r="H216" s="163"/>
      <c r="I216" s="164" t="s">
        <v>1876</v>
      </c>
      <c r="J216" s="165">
        <v>1</v>
      </c>
      <c r="K216" s="166">
        <v>0</v>
      </c>
      <c r="L216" s="166">
        <v>1</v>
      </c>
      <c r="M216" s="166">
        <v>2</v>
      </c>
      <c r="N216" s="166">
        <v>0</v>
      </c>
      <c r="O216" s="166">
        <v>4</v>
      </c>
      <c r="P216" s="166">
        <v>1</v>
      </c>
      <c r="Q216" s="167">
        <v>1</v>
      </c>
      <c r="R216" s="165">
        <v>1</v>
      </c>
      <c r="S216" s="166">
        <v>1</v>
      </c>
      <c r="T216" s="166">
        <v>1</v>
      </c>
      <c r="U216" s="166">
        <v>1</v>
      </c>
      <c r="V216" s="167">
        <v>1</v>
      </c>
      <c r="W216" s="886"/>
      <c r="X216" s="1097" t="s">
        <v>1876</v>
      </c>
      <c r="Y216" s="165">
        <v>-1</v>
      </c>
      <c r="Z216" s="166">
        <v>0</v>
      </c>
      <c r="AA216" s="166">
        <v>-2</v>
      </c>
      <c r="AB216" s="166">
        <v>-2</v>
      </c>
      <c r="AC216" s="166">
        <v>0</v>
      </c>
      <c r="AD216" s="166">
        <v>-3</v>
      </c>
      <c r="AE216" s="166">
        <v>-1</v>
      </c>
      <c r="AF216" s="167">
        <v>-1</v>
      </c>
      <c r="AG216" s="165">
        <v>-1</v>
      </c>
      <c r="AH216" s="166">
        <v>-1</v>
      </c>
      <c r="AI216" s="166">
        <v>-1</v>
      </c>
      <c r="AJ216" s="166">
        <v>-1</v>
      </c>
      <c r="AK216" s="167">
        <v>-1</v>
      </c>
      <c r="AL216" s="886"/>
      <c r="AM216" s="1097" t="s">
        <v>1876</v>
      </c>
      <c r="AN216" s="165">
        <v>-7</v>
      </c>
      <c r="AO216" s="166">
        <v>-2</v>
      </c>
      <c r="AP216" s="166">
        <v>0</v>
      </c>
      <c r="AQ216" s="166">
        <v>1</v>
      </c>
      <c r="AR216" s="166">
        <v>0</v>
      </c>
      <c r="AS216" s="167">
        <v>0</v>
      </c>
      <c r="AT216" s="185"/>
      <c r="AU216" s="164" t="s">
        <v>1876</v>
      </c>
      <c r="AV216" s="166">
        <v>247</v>
      </c>
      <c r="AW216" s="888" t="s">
        <v>1876</v>
      </c>
      <c r="AX216" s="130">
        <f t="shared" ref="AX216:AX217" si="80">SUM(AV216,J216:O216,Y216:AD216,AN216:AS216)</f>
        <v>239</v>
      </c>
      <c r="AY216" s="2606" t="s">
        <v>2881</v>
      </c>
    </row>
    <row r="217" spans="1:51" s="98" customFormat="1" ht="15" customHeight="1">
      <c r="A217" s="99"/>
      <c r="B217" s="161"/>
      <c r="C217" s="185"/>
      <c r="D217" s="162" t="s">
        <v>2884</v>
      </c>
      <c r="E217" s="162"/>
      <c r="F217" s="162"/>
      <c r="G217" s="162"/>
      <c r="H217" s="163"/>
      <c r="I217" s="164" t="s">
        <v>1876</v>
      </c>
      <c r="J217" s="165">
        <v>0</v>
      </c>
      <c r="K217" s="166">
        <v>0</v>
      </c>
      <c r="L217" s="166">
        <v>0</v>
      </c>
      <c r="M217" s="166">
        <v>0</v>
      </c>
      <c r="N217" s="166">
        <v>0</v>
      </c>
      <c r="O217" s="166">
        <v>0</v>
      </c>
      <c r="P217" s="166">
        <v>0</v>
      </c>
      <c r="Q217" s="167">
        <v>0</v>
      </c>
      <c r="R217" s="165">
        <v>0</v>
      </c>
      <c r="S217" s="166">
        <v>0</v>
      </c>
      <c r="T217" s="166">
        <v>0</v>
      </c>
      <c r="U217" s="166">
        <v>0</v>
      </c>
      <c r="V217" s="167">
        <v>0</v>
      </c>
      <c r="W217" s="886"/>
      <c r="X217" s="1097" t="s">
        <v>1876</v>
      </c>
      <c r="Y217" s="165">
        <v>0</v>
      </c>
      <c r="Z217" s="166">
        <v>0</v>
      </c>
      <c r="AA217" s="166">
        <v>0</v>
      </c>
      <c r="AB217" s="166">
        <v>0</v>
      </c>
      <c r="AC217" s="166">
        <v>0</v>
      </c>
      <c r="AD217" s="166">
        <v>0</v>
      </c>
      <c r="AE217" s="166">
        <v>0</v>
      </c>
      <c r="AF217" s="167">
        <v>0</v>
      </c>
      <c r="AG217" s="165">
        <v>0</v>
      </c>
      <c r="AH217" s="166">
        <v>0</v>
      </c>
      <c r="AI217" s="166">
        <v>0</v>
      </c>
      <c r="AJ217" s="166">
        <v>0</v>
      </c>
      <c r="AK217" s="167">
        <v>0</v>
      </c>
      <c r="AL217" s="886"/>
      <c r="AM217" s="1097" t="s">
        <v>1876</v>
      </c>
      <c r="AN217" s="165">
        <v>0</v>
      </c>
      <c r="AO217" s="166">
        <v>0</v>
      </c>
      <c r="AP217" s="166">
        <v>0</v>
      </c>
      <c r="AQ217" s="166">
        <v>0</v>
      </c>
      <c r="AR217" s="166">
        <v>0</v>
      </c>
      <c r="AS217" s="167">
        <v>0</v>
      </c>
      <c r="AT217" s="185"/>
      <c r="AU217" s="164" t="s">
        <v>1876</v>
      </c>
      <c r="AV217" s="166">
        <v>0</v>
      </c>
      <c r="AW217" s="888" t="s">
        <v>1876</v>
      </c>
      <c r="AX217" s="130">
        <f t="shared" si="80"/>
        <v>0</v>
      </c>
      <c r="AY217" s="2606" t="s">
        <v>2881</v>
      </c>
    </row>
    <row r="218" spans="1:51" s="98" customFormat="1" ht="15" customHeight="1">
      <c r="B218" s="181"/>
      <c r="C218" s="182" t="s">
        <v>1710</v>
      </c>
      <c r="D218" s="182"/>
      <c r="E218" s="182"/>
      <c r="F218" s="182"/>
      <c r="G218" s="184"/>
      <c r="H218" s="184"/>
      <c r="I218" s="164" t="s">
        <v>1876</v>
      </c>
      <c r="J218" s="777">
        <f>SUM(J215:J217)</f>
        <v>439</v>
      </c>
      <c r="K218" s="778">
        <f t="shared" ref="K218:V218" si="81">SUM(K215:K217)</f>
        <v>2</v>
      </c>
      <c r="L218" s="778">
        <f t="shared" si="81"/>
        <v>13</v>
      </c>
      <c r="M218" s="778">
        <f t="shared" si="81"/>
        <v>3</v>
      </c>
      <c r="N218" s="778">
        <f t="shared" si="81"/>
        <v>29</v>
      </c>
      <c r="O218" s="778">
        <f t="shared" si="81"/>
        <v>35</v>
      </c>
      <c r="P218" s="778">
        <f t="shared" si="81"/>
        <v>16</v>
      </c>
      <c r="Q218" s="779">
        <f t="shared" si="81"/>
        <v>16</v>
      </c>
      <c r="R218" s="777">
        <f t="shared" si="81"/>
        <v>16</v>
      </c>
      <c r="S218" s="778">
        <f t="shared" si="81"/>
        <v>16</v>
      </c>
      <c r="T218" s="778">
        <f t="shared" si="81"/>
        <v>16</v>
      </c>
      <c r="U218" s="778">
        <f t="shared" si="81"/>
        <v>16</v>
      </c>
      <c r="V218" s="779">
        <f t="shared" si="81"/>
        <v>16</v>
      </c>
      <c r="W218" s="886"/>
      <c r="X218" s="1097" t="s">
        <v>1876</v>
      </c>
      <c r="Y218" s="777">
        <f>SUM(Y215:Y217)</f>
        <v>-438</v>
      </c>
      <c r="Z218" s="777">
        <f t="shared" ref="Z218:AJ218" si="82">SUM(Z215:Z217)</f>
        <v>-3</v>
      </c>
      <c r="AA218" s="777">
        <f t="shared" si="82"/>
        <v>-14</v>
      </c>
      <c r="AB218" s="777">
        <f t="shared" si="82"/>
        <v>-2</v>
      </c>
      <c r="AC218" s="777">
        <f t="shared" si="82"/>
        <v>-29</v>
      </c>
      <c r="AD218" s="777">
        <f t="shared" si="82"/>
        <v>-36</v>
      </c>
      <c r="AE218" s="777">
        <f t="shared" si="82"/>
        <v>-16</v>
      </c>
      <c r="AF218" s="777">
        <f t="shared" si="82"/>
        <v>-16</v>
      </c>
      <c r="AG218" s="777">
        <f t="shared" si="82"/>
        <v>-16</v>
      </c>
      <c r="AH218" s="777">
        <f t="shared" si="82"/>
        <v>-16</v>
      </c>
      <c r="AI218" s="777">
        <f t="shared" si="82"/>
        <v>-16</v>
      </c>
      <c r="AJ218" s="777">
        <f t="shared" si="82"/>
        <v>-16</v>
      </c>
      <c r="AK218" s="779">
        <f>SUM(AK215:AK217)</f>
        <v>-16</v>
      </c>
      <c r="AL218" s="886"/>
      <c r="AM218" s="1097" t="s">
        <v>1876</v>
      </c>
      <c r="AN218" s="777">
        <f>SUM(AN215:AN217)</f>
        <v>-6</v>
      </c>
      <c r="AO218" s="778">
        <f t="shared" ref="AO218:AS218" si="83">SUM(AO215:AO217)</f>
        <v>-9</v>
      </c>
      <c r="AP218" s="778">
        <f t="shared" si="83"/>
        <v>12</v>
      </c>
      <c r="AQ218" s="778">
        <f t="shared" si="83"/>
        <v>-1</v>
      </c>
      <c r="AR218" s="778">
        <f t="shared" si="83"/>
        <v>0</v>
      </c>
      <c r="AS218" s="779">
        <f t="shared" si="83"/>
        <v>3</v>
      </c>
      <c r="AT218" s="185"/>
      <c r="AU218" s="164" t="s">
        <v>1876</v>
      </c>
      <c r="AV218" s="778">
        <f>SUM(AV215:AV217)</f>
        <v>3299</v>
      </c>
      <c r="AW218" s="888" t="s">
        <v>1876</v>
      </c>
      <c r="AX218" s="1095">
        <f>SUM(AX215:AX217)</f>
        <v>3297</v>
      </c>
    </row>
    <row r="219" spans="1:51" s="98" customFormat="1" ht="15" customHeight="1">
      <c r="B219" s="181"/>
      <c r="C219" s="185"/>
      <c r="D219" s="182"/>
      <c r="E219" s="182"/>
      <c r="F219" s="182"/>
      <c r="G219" s="184"/>
      <c r="H219" s="184"/>
      <c r="I219" s="117"/>
      <c r="J219" s="878"/>
      <c r="K219" s="879"/>
      <c r="L219" s="879"/>
      <c r="M219" s="879"/>
      <c r="N219" s="879"/>
      <c r="O219" s="879"/>
      <c r="P219" s="879"/>
      <c r="Q219" s="880"/>
      <c r="R219" s="879"/>
      <c r="S219" s="879"/>
      <c r="T219" s="879"/>
      <c r="U219" s="879"/>
      <c r="V219" s="880"/>
      <c r="W219" s="886"/>
      <c r="X219" s="881"/>
      <c r="Y219" s="878"/>
      <c r="Z219" s="879"/>
      <c r="AA219" s="879"/>
      <c r="AB219" s="879"/>
      <c r="AC219" s="879"/>
      <c r="AD219" s="879"/>
      <c r="AE219" s="879"/>
      <c r="AF219" s="880"/>
      <c r="AG219" s="879"/>
      <c r="AH219" s="879"/>
      <c r="AI219" s="879"/>
      <c r="AJ219" s="879"/>
      <c r="AK219" s="880"/>
      <c r="AL219" s="886"/>
      <c r="AM219" s="881"/>
      <c r="AN219" s="878"/>
      <c r="AO219" s="879"/>
      <c r="AP219" s="879"/>
      <c r="AQ219" s="879"/>
      <c r="AR219" s="879"/>
      <c r="AS219" s="885"/>
      <c r="AT219" s="185"/>
      <c r="AU219" s="185"/>
      <c r="AV219" s="886"/>
      <c r="AW219" s="886"/>
      <c r="AX219" s="887"/>
    </row>
    <row r="220" spans="1:51" s="98" customFormat="1" ht="15" customHeight="1" thickBot="1">
      <c r="A220" s="99"/>
      <c r="B220" s="131" t="s">
        <v>1701</v>
      </c>
      <c r="C220" s="132"/>
      <c r="D220" s="132"/>
      <c r="E220" s="132"/>
      <c r="F220" s="132"/>
      <c r="G220" s="145"/>
      <c r="H220" s="133"/>
      <c r="I220" s="146" t="s">
        <v>1876</v>
      </c>
      <c r="J220" s="873">
        <f>SUM(J212,J218)</f>
        <v>466</v>
      </c>
      <c r="K220" s="781">
        <f t="shared" ref="K220:V220" si="84">SUM(K212,K218)</f>
        <v>13</v>
      </c>
      <c r="L220" s="781">
        <f t="shared" si="84"/>
        <v>30</v>
      </c>
      <c r="M220" s="781">
        <f t="shared" si="84"/>
        <v>18</v>
      </c>
      <c r="N220" s="781">
        <f t="shared" si="84"/>
        <v>39</v>
      </c>
      <c r="O220" s="781">
        <f t="shared" si="84"/>
        <v>50</v>
      </c>
      <c r="P220" s="781">
        <f t="shared" si="84"/>
        <v>32</v>
      </c>
      <c r="Q220" s="874">
        <f t="shared" si="84"/>
        <v>32</v>
      </c>
      <c r="R220" s="873">
        <f t="shared" si="84"/>
        <v>32</v>
      </c>
      <c r="S220" s="781">
        <f t="shared" si="84"/>
        <v>32</v>
      </c>
      <c r="T220" s="781">
        <f t="shared" si="84"/>
        <v>32</v>
      </c>
      <c r="U220" s="781">
        <f t="shared" si="84"/>
        <v>32</v>
      </c>
      <c r="V220" s="874">
        <f t="shared" si="84"/>
        <v>32</v>
      </c>
      <c r="W220" s="1098"/>
      <c r="X220" s="1099" t="s">
        <v>1876</v>
      </c>
      <c r="Y220" s="873">
        <f>SUM(Y212,Y218)</f>
        <v>-458</v>
      </c>
      <c r="Z220" s="781">
        <f t="shared" ref="Z220:AK220" si="85">SUM(Z212,Z218)</f>
        <v>-11</v>
      </c>
      <c r="AA220" s="781">
        <f t="shared" si="85"/>
        <v>-30</v>
      </c>
      <c r="AB220" s="781">
        <f t="shared" si="85"/>
        <v>-10</v>
      </c>
      <c r="AC220" s="781">
        <f t="shared" si="85"/>
        <v>-36</v>
      </c>
      <c r="AD220" s="781">
        <f t="shared" si="85"/>
        <v>-47</v>
      </c>
      <c r="AE220" s="781">
        <f t="shared" si="85"/>
        <v>-28</v>
      </c>
      <c r="AF220" s="874">
        <f t="shared" si="85"/>
        <v>-28</v>
      </c>
      <c r="AG220" s="873">
        <f t="shared" si="85"/>
        <v>-28</v>
      </c>
      <c r="AH220" s="781">
        <f t="shared" si="85"/>
        <v>-28</v>
      </c>
      <c r="AI220" s="781">
        <f t="shared" si="85"/>
        <v>-28</v>
      </c>
      <c r="AJ220" s="781">
        <f t="shared" si="85"/>
        <v>-28</v>
      </c>
      <c r="AK220" s="874">
        <f t="shared" si="85"/>
        <v>-28</v>
      </c>
      <c r="AL220" s="1098"/>
      <c r="AM220" s="1099" t="s">
        <v>1876</v>
      </c>
      <c r="AN220" s="873">
        <f>SUM(AN212,AN218)</f>
        <v>-25</v>
      </c>
      <c r="AO220" s="781">
        <f t="shared" ref="AO220:AS220" si="86">SUM(AO212,AO218)</f>
        <v>-10</v>
      </c>
      <c r="AP220" s="781">
        <f t="shared" si="86"/>
        <v>16</v>
      </c>
      <c r="AQ220" s="781">
        <f t="shared" si="86"/>
        <v>-1</v>
      </c>
      <c r="AR220" s="781">
        <f t="shared" si="86"/>
        <v>1</v>
      </c>
      <c r="AS220" s="874">
        <f t="shared" si="86"/>
        <v>4</v>
      </c>
      <c r="AT220" s="192"/>
      <c r="AU220" s="146" t="s">
        <v>1876</v>
      </c>
      <c r="AV220" s="781">
        <f>SUM(AV212,AV218)</f>
        <v>5659</v>
      </c>
      <c r="AW220" s="1096" t="s">
        <v>1876</v>
      </c>
      <c r="AX220" s="781">
        <f>SUM(AX212,AX218)</f>
        <v>5668</v>
      </c>
    </row>
    <row r="221" spans="1:51" ht="13.5" thickBot="1"/>
    <row r="222" spans="1:51" s="100" customFormat="1" ht="30" customHeight="1" thickBot="1">
      <c r="A222" s="89"/>
      <c r="B222" s="621" t="s">
        <v>2885</v>
      </c>
      <c r="C222" s="102"/>
      <c r="D222" s="102"/>
      <c r="E222" s="102"/>
      <c r="F222" s="102"/>
      <c r="G222" s="103"/>
      <c r="H222" s="103"/>
      <c r="I222" s="105" t="s">
        <v>2837</v>
      </c>
      <c r="J222" s="106"/>
      <c r="K222" s="106"/>
      <c r="L222" s="106"/>
      <c r="M222" s="106"/>
      <c r="N222" s="106"/>
      <c r="O222" s="106"/>
      <c r="P222" s="106"/>
      <c r="Q222" s="106"/>
      <c r="R222" s="105"/>
      <c r="S222" s="105"/>
      <c r="T222" s="105"/>
      <c r="U222" s="105"/>
      <c r="V222" s="105"/>
      <c r="W222" s="103"/>
      <c r="X222" s="105" t="s">
        <v>2838</v>
      </c>
      <c r="Y222" s="106"/>
      <c r="Z222" s="106"/>
      <c r="AA222" s="106"/>
      <c r="AB222" s="106"/>
      <c r="AC222" s="106"/>
      <c r="AD222" s="106"/>
      <c r="AE222" s="106"/>
      <c r="AF222" s="106"/>
      <c r="AG222" s="105"/>
      <c r="AH222" s="105"/>
      <c r="AI222" s="105"/>
      <c r="AJ222" s="105"/>
      <c r="AK222" s="105"/>
      <c r="AL222" s="103"/>
      <c r="AM222" s="105" t="s">
        <v>2839</v>
      </c>
      <c r="AN222" s="106"/>
      <c r="AO222" s="106"/>
      <c r="AP222" s="106"/>
      <c r="AQ222" s="106"/>
      <c r="AR222" s="106"/>
      <c r="AS222" s="106"/>
      <c r="AT222" s="103"/>
      <c r="AU222" s="218" t="s">
        <v>1925</v>
      </c>
      <c r="AV222" s="219"/>
      <c r="AW222" s="220"/>
      <c r="AX222" s="221"/>
    </row>
    <row r="223" spans="1:51" s="157" customFormat="1" ht="30" customHeight="1">
      <c r="A223" s="99"/>
      <c r="B223" s="109"/>
      <c r="C223" s="110"/>
      <c r="D223" s="110"/>
      <c r="E223" s="110"/>
      <c r="F223" s="110"/>
      <c r="G223" s="111"/>
      <c r="H223" s="111"/>
      <c r="I223" s="94"/>
      <c r="J223" s="695" t="s">
        <v>1666</v>
      </c>
      <c r="K223" s="152"/>
      <c r="L223" s="152"/>
      <c r="M223" s="152"/>
      <c r="N223" s="152"/>
      <c r="O223" s="152"/>
      <c r="P223" s="152"/>
      <c r="Q223" s="153"/>
      <c r="R223" s="696" t="s">
        <v>2</v>
      </c>
      <c r="S223" s="155"/>
      <c r="T223" s="155"/>
      <c r="U223" s="155"/>
      <c r="V223" s="156"/>
      <c r="W223" s="2632"/>
      <c r="X223" s="94"/>
      <c r="Y223" s="695" t="s">
        <v>1666</v>
      </c>
      <c r="Z223" s="152"/>
      <c r="AA223" s="152"/>
      <c r="AB223" s="152"/>
      <c r="AC223" s="152"/>
      <c r="AD223" s="152"/>
      <c r="AE223" s="152"/>
      <c r="AF223" s="153"/>
      <c r="AG223" s="696" t="s">
        <v>2</v>
      </c>
      <c r="AH223" s="155"/>
      <c r="AI223" s="155"/>
      <c r="AJ223" s="155"/>
      <c r="AK223" s="156"/>
      <c r="AL223" s="2632"/>
      <c r="AM223" s="94"/>
      <c r="AN223" s="695" t="s">
        <v>1666</v>
      </c>
      <c r="AO223" s="152"/>
      <c r="AP223" s="152"/>
      <c r="AQ223" s="152"/>
      <c r="AR223" s="152"/>
      <c r="AS223" s="153"/>
      <c r="AT223" s="2632"/>
      <c r="AU223" s="223" t="s">
        <v>2840</v>
      </c>
      <c r="AV223" s="203"/>
      <c r="AW223" s="224" t="s">
        <v>2879</v>
      </c>
      <c r="AX223" s="204"/>
    </row>
    <row r="224" spans="1:51" s="98" customFormat="1" ht="15" customHeight="1">
      <c r="A224" s="99"/>
      <c r="B224" s="115"/>
      <c r="C224" s="116"/>
      <c r="D224" s="116"/>
      <c r="E224" s="116"/>
      <c r="F224" s="116"/>
      <c r="G224" s="117"/>
      <c r="H224" s="117"/>
      <c r="I224" s="119" t="s">
        <v>1667</v>
      </c>
      <c r="J224" s="158" t="s">
        <v>453</v>
      </c>
      <c r="K224" s="137" t="s">
        <v>455</v>
      </c>
      <c r="L224" s="137" t="s">
        <v>457</v>
      </c>
      <c r="M224" s="137" t="s">
        <v>459</v>
      </c>
      <c r="N224" s="137" t="s">
        <v>461</v>
      </c>
      <c r="O224" s="137" t="s">
        <v>463</v>
      </c>
      <c r="P224" s="137" t="s">
        <v>465</v>
      </c>
      <c r="Q224" s="138" t="s">
        <v>467</v>
      </c>
      <c r="R224" s="120" t="s">
        <v>469</v>
      </c>
      <c r="S224" s="121" t="s">
        <v>471</v>
      </c>
      <c r="T224" s="121" t="s">
        <v>473</v>
      </c>
      <c r="U224" s="121" t="s">
        <v>475</v>
      </c>
      <c r="V224" s="122" t="s">
        <v>477</v>
      </c>
      <c r="W224" s="2629"/>
      <c r="X224" s="119" t="s">
        <v>1667</v>
      </c>
      <c r="Y224" s="158" t="s">
        <v>453</v>
      </c>
      <c r="Z224" s="137" t="s">
        <v>455</v>
      </c>
      <c r="AA224" s="137" t="s">
        <v>457</v>
      </c>
      <c r="AB224" s="137" t="s">
        <v>459</v>
      </c>
      <c r="AC224" s="137" t="s">
        <v>461</v>
      </c>
      <c r="AD224" s="137" t="s">
        <v>463</v>
      </c>
      <c r="AE224" s="137" t="s">
        <v>465</v>
      </c>
      <c r="AF224" s="138" t="s">
        <v>467</v>
      </c>
      <c r="AG224" s="120" t="s">
        <v>469</v>
      </c>
      <c r="AH224" s="121" t="s">
        <v>471</v>
      </c>
      <c r="AI224" s="121" t="s">
        <v>473</v>
      </c>
      <c r="AJ224" s="121" t="s">
        <v>475</v>
      </c>
      <c r="AK224" s="122" t="s">
        <v>477</v>
      </c>
      <c r="AL224" s="2629"/>
      <c r="AM224" s="119" t="s">
        <v>1667</v>
      </c>
      <c r="AN224" s="158" t="s">
        <v>453</v>
      </c>
      <c r="AO224" s="137" t="s">
        <v>455</v>
      </c>
      <c r="AP224" s="137" t="s">
        <v>457</v>
      </c>
      <c r="AQ224" s="137" t="s">
        <v>459</v>
      </c>
      <c r="AR224" s="137" t="s">
        <v>461</v>
      </c>
      <c r="AS224" s="138" t="s">
        <v>463</v>
      </c>
      <c r="AT224" s="2629"/>
      <c r="AU224" s="225" t="s">
        <v>1667</v>
      </c>
      <c r="AV224" s="206" t="s">
        <v>2142</v>
      </c>
      <c r="AW224" s="226" t="s">
        <v>1667</v>
      </c>
      <c r="AX224" s="207" t="s">
        <v>2142</v>
      </c>
    </row>
    <row r="225" spans="1:50" s="98" customFormat="1" ht="15" customHeight="1">
      <c r="A225" s="99"/>
      <c r="B225" s="161"/>
      <c r="C225" s="180" t="s">
        <v>2886</v>
      </c>
      <c r="D225" s="162"/>
      <c r="E225" s="162"/>
      <c r="F225" s="162"/>
      <c r="G225" s="163"/>
      <c r="H225" s="163"/>
      <c r="I225" s="94"/>
      <c r="J225" s="159"/>
      <c r="K225" s="94"/>
      <c r="L225" s="94"/>
      <c r="M225" s="94"/>
      <c r="N225" s="94"/>
      <c r="O225" s="94"/>
      <c r="P225" s="94"/>
      <c r="Q225" s="160"/>
      <c r="R225" s="159"/>
      <c r="S225" s="94"/>
      <c r="T225" s="94"/>
      <c r="U225" s="94"/>
      <c r="V225" s="160"/>
      <c r="W225" s="2629"/>
      <c r="X225" s="94"/>
      <c r="Y225" s="159"/>
      <c r="Z225" s="94"/>
      <c r="AA225" s="94"/>
      <c r="AB225" s="94"/>
      <c r="AC225" s="94"/>
      <c r="AD225" s="94"/>
      <c r="AE225" s="94"/>
      <c r="AF225" s="160"/>
      <c r="AG225" s="159"/>
      <c r="AH225" s="94"/>
      <c r="AI225" s="94"/>
      <c r="AJ225" s="94"/>
      <c r="AK225" s="160"/>
      <c r="AL225" s="2629"/>
      <c r="AM225" s="94"/>
      <c r="AN225" s="159"/>
      <c r="AO225" s="94"/>
      <c r="AP225" s="94"/>
      <c r="AQ225" s="94"/>
      <c r="AR225" s="94"/>
      <c r="AS225" s="160"/>
      <c r="AT225" s="2629"/>
      <c r="AU225" s="2629"/>
      <c r="AV225" s="2629"/>
      <c r="AW225" s="185"/>
      <c r="AX225" s="215"/>
    </row>
    <row r="226" spans="1:50" s="98" customFormat="1" ht="15" customHeight="1">
      <c r="A226" s="99"/>
      <c r="B226" s="161"/>
      <c r="C226" s="185"/>
      <c r="D226" s="162" t="s">
        <v>2872</v>
      </c>
      <c r="E226" s="162"/>
      <c r="F226" s="162"/>
      <c r="G226" s="162"/>
      <c r="H226" s="163"/>
      <c r="I226" s="607" t="s">
        <v>1876</v>
      </c>
      <c r="J226" s="165">
        <v>35129</v>
      </c>
      <c r="K226" s="166">
        <v>36077</v>
      </c>
      <c r="L226" s="166">
        <v>34465</v>
      </c>
      <c r="M226" s="166">
        <v>36729</v>
      </c>
      <c r="N226" s="166">
        <v>36695</v>
      </c>
      <c r="O226" s="166">
        <v>38532</v>
      </c>
      <c r="P226" s="166">
        <v>36935.496290641167</v>
      </c>
      <c r="Q226" s="167">
        <v>34142.137668790863</v>
      </c>
      <c r="R226" s="165">
        <v>33835.273800818177</v>
      </c>
      <c r="S226" s="166">
        <v>33752.959277011862</v>
      </c>
      <c r="T226" s="166">
        <v>33672.30418368167</v>
      </c>
      <c r="U226" s="166">
        <v>33593.275332218087</v>
      </c>
      <c r="V226" s="167">
        <v>33515.840197783771</v>
      </c>
      <c r="W226" s="2691"/>
      <c r="X226" s="2692" t="s">
        <v>1876</v>
      </c>
      <c r="Y226" s="165">
        <v>-2912.4495053125443</v>
      </c>
      <c r="Z226" s="166">
        <v>-3012.2526892254018</v>
      </c>
      <c r="AA226" s="166">
        <v>-3253.5129977412134</v>
      </c>
      <c r="AB226" s="166">
        <v>-2180.2545871061666</v>
      </c>
      <c r="AC226" s="166">
        <v>-2153.6422134118093</v>
      </c>
      <c r="AD226" s="166">
        <v>-2025.5850496813823</v>
      </c>
      <c r="AE226" s="166">
        <v>-2589.6161737464195</v>
      </c>
      <c r="AF226" s="167">
        <v>-2589.6161737464195</v>
      </c>
      <c r="AG226" s="165">
        <v>-2589.6161737464195</v>
      </c>
      <c r="AH226" s="166">
        <v>-2589.6161737464195</v>
      </c>
      <c r="AI226" s="166">
        <v>-2589.6161737464195</v>
      </c>
      <c r="AJ226" s="166">
        <v>-2589.6161737464195</v>
      </c>
      <c r="AK226" s="167">
        <v>-2589.6161737464195</v>
      </c>
      <c r="AL226" s="2691"/>
      <c r="AM226" s="2692" t="s">
        <v>1876</v>
      </c>
      <c r="AN226" s="165">
        <v>0</v>
      </c>
      <c r="AO226" s="166">
        <v>0</v>
      </c>
      <c r="AP226" s="166">
        <v>0</v>
      </c>
      <c r="AQ226" s="166">
        <v>0</v>
      </c>
      <c r="AR226" s="166">
        <v>0</v>
      </c>
      <c r="AS226" s="167">
        <v>0</v>
      </c>
      <c r="AT226" s="2691"/>
      <c r="AU226" s="2692" t="s">
        <v>1876</v>
      </c>
      <c r="AV226" s="166">
        <v>1900955.0625067414</v>
      </c>
      <c r="AW226" s="888" t="s">
        <v>1876</v>
      </c>
      <c r="AX226" s="130">
        <f t="shared" ref="AX226:AX229" si="87">SUM(AV226,J226:N226,Y226:AC226,AN226:AR226)</f>
        <v>2066537.9505139443</v>
      </c>
    </row>
    <row r="227" spans="1:50" s="98" customFormat="1" ht="15" customHeight="1">
      <c r="A227" s="99"/>
      <c r="B227" s="161"/>
      <c r="C227" s="185"/>
      <c r="D227" s="162" t="s">
        <v>2873</v>
      </c>
      <c r="E227" s="162"/>
      <c r="F227" s="162"/>
      <c r="G227" s="162"/>
      <c r="H227" s="163"/>
      <c r="I227" s="607" t="s">
        <v>1876</v>
      </c>
      <c r="J227" s="165">
        <v>0</v>
      </c>
      <c r="K227" s="166">
        <v>0</v>
      </c>
      <c r="L227" s="166">
        <v>0</v>
      </c>
      <c r="M227" s="166">
        <v>0</v>
      </c>
      <c r="N227" s="166">
        <v>0</v>
      </c>
      <c r="O227" s="166">
        <v>0</v>
      </c>
      <c r="P227" s="166">
        <v>0</v>
      </c>
      <c r="Q227" s="167">
        <v>0</v>
      </c>
      <c r="R227" s="165">
        <v>0</v>
      </c>
      <c r="S227" s="166">
        <v>0</v>
      </c>
      <c r="T227" s="166">
        <v>0</v>
      </c>
      <c r="U227" s="166">
        <v>0</v>
      </c>
      <c r="V227" s="167">
        <v>0</v>
      </c>
      <c r="W227" s="2691"/>
      <c r="X227" s="2692" t="s">
        <v>1876</v>
      </c>
      <c r="Y227" s="165">
        <v>-30084.923133432956</v>
      </c>
      <c r="Z227" s="166">
        <v>-30415.649369126284</v>
      </c>
      <c r="AA227" s="166">
        <v>-28450.256324696649</v>
      </c>
      <c r="AB227" s="166">
        <v>-29858.849088595594</v>
      </c>
      <c r="AC227" s="166">
        <v>-30484.7225767567</v>
      </c>
      <c r="AD227" s="166">
        <v>-31526.430224489995</v>
      </c>
      <c r="AE227" s="166">
        <v>-30090.654290641167</v>
      </c>
      <c r="AF227" s="167">
        <v>-27675.63866879086</v>
      </c>
      <c r="AG227" s="165">
        <v>-27664.117800818178</v>
      </c>
      <c r="AH227" s="166">
        <v>-27581.14627701186</v>
      </c>
      <c r="AI227" s="166">
        <v>-27499.834183681673</v>
      </c>
      <c r="AJ227" s="166">
        <v>-27420.148332218087</v>
      </c>
      <c r="AK227" s="167">
        <v>-27342.056197783771</v>
      </c>
      <c r="AL227" s="2691"/>
      <c r="AM227" s="2692" t="s">
        <v>1876</v>
      </c>
      <c r="AN227" s="165">
        <v>0</v>
      </c>
      <c r="AO227" s="166">
        <v>0</v>
      </c>
      <c r="AP227" s="166">
        <v>0</v>
      </c>
      <c r="AQ227" s="166">
        <v>0</v>
      </c>
      <c r="AR227" s="166">
        <v>0</v>
      </c>
      <c r="AS227" s="167">
        <v>0</v>
      </c>
      <c r="AT227" s="2691"/>
      <c r="AU227" s="2692" t="s">
        <v>1876</v>
      </c>
      <c r="AV227" s="166">
        <v>489096.08437235683</v>
      </c>
      <c r="AW227" s="888" t="s">
        <v>1876</v>
      </c>
      <c r="AX227" s="130">
        <f t="shared" si="87"/>
        <v>339801.68387974857</v>
      </c>
    </row>
    <row r="228" spans="1:50" s="98" customFormat="1" ht="15" customHeight="1">
      <c r="A228" s="99"/>
      <c r="B228" s="161"/>
      <c r="C228" s="185"/>
      <c r="D228" s="162" t="s">
        <v>2887</v>
      </c>
      <c r="E228" s="162"/>
      <c r="F228" s="162"/>
      <c r="G228" s="162"/>
      <c r="H228" s="163"/>
      <c r="I228" s="607" t="s">
        <v>1876</v>
      </c>
      <c r="J228" s="165">
        <v>0</v>
      </c>
      <c r="K228" s="166">
        <v>0</v>
      </c>
      <c r="L228" s="166">
        <v>0</v>
      </c>
      <c r="M228" s="166">
        <v>0</v>
      </c>
      <c r="N228" s="166">
        <v>0</v>
      </c>
      <c r="O228" s="166">
        <v>0</v>
      </c>
      <c r="P228" s="166">
        <v>0</v>
      </c>
      <c r="Q228" s="167">
        <v>0</v>
      </c>
      <c r="R228" s="165">
        <v>0</v>
      </c>
      <c r="S228" s="166">
        <v>0</v>
      </c>
      <c r="T228" s="166">
        <v>0</v>
      </c>
      <c r="U228" s="166">
        <v>0</v>
      </c>
      <c r="V228" s="167">
        <v>0</v>
      </c>
      <c r="W228" s="2691"/>
      <c r="X228" s="2692" t="s">
        <v>1876</v>
      </c>
      <c r="Y228" s="165">
        <v>0</v>
      </c>
      <c r="Z228" s="166">
        <v>0</v>
      </c>
      <c r="AA228" s="166">
        <v>0</v>
      </c>
      <c r="AB228" s="166">
        <v>0</v>
      </c>
      <c r="AC228" s="166">
        <v>0</v>
      </c>
      <c r="AD228" s="166">
        <v>0</v>
      </c>
      <c r="AE228" s="166">
        <v>0</v>
      </c>
      <c r="AF228" s="167">
        <v>0</v>
      </c>
      <c r="AG228" s="165">
        <v>0</v>
      </c>
      <c r="AH228" s="166">
        <v>0</v>
      </c>
      <c r="AI228" s="166">
        <v>0</v>
      </c>
      <c r="AJ228" s="166">
        <v>0</v>
      </c>
      <c r="AK228" s="167">
        <v>0</v>
      </c>
      <c r="AL228" s="2691"/>
      <c r="AM228" s="2692" t="s">
        <v>1876</v>
      </c>
      <c r="AN228" s="165">
        <v>0</v>
      </c>
      <c r="AO228" s="166">
        <v>0</v>
      </c>
      <c r="AP228" s="166">
        <v>0</v>
      </c>
      <c r="AQ228" s="166">
        <v>0</v>
      </c>
      <c r="AR228" s="166">
        <v>0</v>
      </c>
      <c r="AS228" s="167">
        <v>0</v>
      </c>
      <c r="AT228" s="2691"/>
      <c r="AU228" s="2692" t="s">
        <v>1876</v>
      </c>
      <c r="AV228" s="166">
        <v>0</v>
      </c>
      <c r="AW228" s="888" t="s">
        <v>1876</v>
      </c>
      <c r="AX228" s="130">
        <f t="shared" si="87"/>
        <v>0</v>
      </c>
    </row>
    <row r="229" spans="1:50" s="98" customFormat="1" ht="15" customHeight="1">
      <c r="A229" s="99"/>
      <c r="B229" s="161"/>
      <c r="C229" s="185"/>
      <c r="D229" s="162" t="s">
        <v>85</v>
      </c>
      <c r="E229" s="162"/>
      <c r="F229" s="162"/>
      <c r="G229" s="162"/>
      <c r="H229" s="163"/>
      <c r="I229" s="607" t="s">
        <v>1876</v>
      </c>
      <c r="J229" s="165">
        <v>0</v>
      </c>
      <c r="K229" s="166">
        <v>0</v>
      </c>
      <c r="L229" s="166">
        <v>0</v>
      </c>
      <c r="M229" s="166">
        <v>0</v>
      </c>
      <c r="N229" s="166">
        <v>0</v>
      </c>
      <c r="O229" s="166">
        <v>0</v>
      </c>
      <c r="P229" s="166">
        <v>0</v>
      </c>
      <c r="Q229" s="167">
        <v>0</v>
      </c>
      <c r="R229" s="165">
        <v>0</v>
      </c>
      <c r="S229" s="166">
        <v>0</v>
      </c>
      <c r="T229" s="166">
        <v>0</v>
      </c>
      <c r="U229" s="166">
        <v>0</v>
      </c>
      <c r="V229" s="167">
        <v>0</v>
      </c>
      <c r="W229" s="2691"/>
      <c r="X229" s="2692" t="s">
        <v>1876</v>
      </c>
      <c r="Y229" s="165">
        <v>0</v>
      </c>
      <c r="Z229" s="166">
        <v>0</v>
      </c>
      <c r="AA229" s="166">
        <v>0</v>
      </c>
      <c r="AB229" s="166">
        <v>0</v>
      </c>
      <c r="AC229" s="166">
        <v>0</v>
      </c>
      <c r="AD229" s="166">
        <v>0</v>
      </c>
      <c r="AE229" s="166">
        <v>0</v>
      </c>
      <c r="AF229" s="167">
        <v>0</v>
      </c>
      <c r="AG229" s="165">
        <v>0</v>
      </c>
      <c r="AH229" s="166">
        <v>0</v>
      </c>
      <c r="AI229" s="166">
        <v>0</v>
      </c>
      <c r="AJ229" s="166">
        <v>0</v>
      </c>
      <c r="AK229" s="167">
        <v>0</v>
      </c>
      <c r="AL229" s="2691"/>
      <c r="AM229" s="2692" t="s">
        <v>1876</v>
      </c>
      <c r="AN229" s="165">
        <v>0</v>
      </c>
      <c r="AO229" s="166">
        <v>0</v>
      </c>
      <c r="AP229" s="166">
        <v>0</v>
      </c>
      <c r="AQ229" s="166">
        <v>0</v>
      </c>
      <c r="AR229" s="166">
        <v>0</v>
      </c>
      <c r="AS229" s="167">
        <v>0</v>
      </c>
      <c r="AT229" s="2691"/>
      <c r="AU229" s="2692" t="s">
        <v>1876</v>
      </c>
      <c r="AV229" s="166">
        <v>0</v>
      </c>
      <c r="AW229" s="888" t="s">
        <v>1876</v>
      </c>
      <c r="AX229" s="130">
        <f t="shared" si="87"/>
        <v>0</v>
      </c>
    </row>
    <row r="230" spans="1:50" s="98" customFormat="1" ht="15" customHeight="1">
      <c r="B230" s="181"/>
      <c r="C230" s="182" t="s">
        <v>1710</v>
      </c>
      <c r="D230" s="182"/>
      <c r="E230" s="182"/>
      <c r="F230" s="182"/>
      <c r="G230" s="184"/>
      <c r="H230" s="184"/>
      <c r="I230" s="607" t="s">
        <v>1876</v>
      </c>
      <c r="J230" s="777">
        <f>SUM(J226:J229)</f>
        <v>35129</v>
      </c>
      <c r="K230" s="778">
        <f t="shared" ref="K230:V230" si="88">SUM(K226:K229)</f>
        <v>36077</v>
      </c>
      <c r="L230" s="778">
        <f t="shared" si="88"/>
        <v>34465</v>
      </c>
      <c r="M230" s="778">
        <f t="shared" si="88"/>
        <v>36729</v>
      </c>
      <c r="N230" s="778">
        <f t="shared" si="88"/>
        <v>36695</v>
      </c>
      <c r="O230" s="778">
        <f t="shared" si="88"/>
        <v>38532</v>
      </c>
      <c r="P230" s="778">
        <f t="shared" si="88"/>
        <v>36935.496290641167</v>
      </c>
      <c r="Q230" s="779">
        <f t="shared" si="88"/>
        <v>34142.137668790863</v>
      </c>
      <c r="R230" s="777">
        <f t="shared" si="88"/>
        <v>33835.273800818177</v>
      </c>
      <c r="S230" s="778">
        <f t="shared" si="88"/>
        <v>33752.959277011862</v>
      </c>
      <c r="T230" s="778">
        <f t="shared" si="88"/>
        <v>33672.30418368167</v>
      </c>
      <c r="U230" s="778">
        <f t="shared" si="88"/>
        <v>33593.275332218087</v>
      </c>
      <c r="V230" s="779">
        <f t="shared" si="88"/>
        <v>33515.840197783771</v>
      </c>
      <c r="W230" s="2691"/>
      <c r="X230" s="2692" t="s">
        <v>1876</v>
      </c>
      <c r="Y230" s="777">
        <f>SUM(Y226:Y229)</f>
        <v>-32997.372638745503</v>
      </c>
      <c r="Z230" s="778">
        <f t="shared" ref="Z230:AK230" si="89">SUM(Z226:Z229)</f>
        <v>-33427.902058351683</v>
      </c>
      <c r="AA230" s="778">
        <f t="shared" si="89"/>
        <v>-31703.769322437864</v>
      </c>
      <c r="AB230" s="778">
        <f t="shared" si="89"/>
        <v>-32039.103675701761</v>
      </c>
      <c r="AC230" s="778">
        <f t="shared" si="89"/>
        <v>-32638.364790168511</v>
      </c>
      <c r="AD230" s="778">
        <f t="shared" si="89"/>
        <v>-33552.015274171375</v>
      </c>
      <c r="AE230" s="778">
        <f t="shared" si="89"/>
        <v>-32680.270464387588</v>
      </c>
      <c r="AF230" s="779">
        <f t="shared" si="89"/>
        <v>-30265.254842537281</v>
      </c>
      <c r="AG230" s="777">
        <f t="shared" si="89"/>
        <v>-30253.733974564599</v>
      </c>
      <c r="AH230" s="778">
        <f t="shared" si="89"/>
        <v>-30170.76245075828</v>
      </c>
      <c r="AI230" s="778">
        <f t="shared" si="89"/>
        <v>-30089.450357428093</v>
      </c>
      <c r="AJ230" s="778">
        <f t="shared" si="89"/>
        <v>-30009.764505964507</v>
      </c>
      <c r="AK230" s="779">
        <f t="shared" si="89"/>
        <v>-29931.672371530192</v>
      </c>
      <c r="AL230" s="2691"/>
      <c r="AM230" s="2692" t="s">
        <v>1876</v>
      </c>
      <c r="AN230" s="777">
        <f>SUM(AN226:AN229)</f>
        <v>0</v>
      </c>
      <c r="AO230" s="778">
        <f t="shared" ref="AO230:AS230" si="90">SUM(AO226:AO229)</f>
        <v>0</v>
      </c>
      <c r="AP230" s="778">
        <f t="shared" si="90"/>
        <v>0</v>
      </c>
      <c r="AQ230" s="778">
        <f t="shared" si="90"/>
        <v>0</v>
      </c>
      <c r="AR230" s="778">
        <f t="shared" si="90"/>
        <v>0</v>
      </c>
      <c r="AS230" s="779">
        <f t="shared" si="90"/>
        <v>0</v>
      </c>
      <c r="AT230" s="2691"/>
      <c r="AU230" s="2692" t="s">
        <v>1876</v>
      </c>
      <c r="AV230" s="778">
        <f>SUM(AV226:AV229)</f>
        <v>2390051.1468790984</v>
      </c>
      <c r="AW230" s="888" t="s">
        <v>1876</v>
      </c>
      <c r="AX230" s="779">
        <f>SUM(AX226:AX229)</f>
        <v>2406339.6343936929</v>
      </c>
    </row>
    <row r="231" spans="1:50" s="98" customFormat="1" ht="15" customHeight="1">
      <c r="B231" s="181"/>
      <c r="C231" s="185"/>
      <c r="D231" s="182"/>
      <c r="E231" s="182"/>
      <c r="F231" s="182"/>
      <c r="G231" s="184"/>
      <c r="H231" s="184"/>
      <c r="I231" s="94"/>
      <c r="J231" s="878"/>
      <c r="K231" s="2671"/>
      <c r="L231" s="2671"/>
      <c r="M231" s="2671"/>
      <c r="N231" s="2671"/>
      <c r="O231" s="2671"/>
      <c r="P231" s="2671"/>
      <c r="Q231" s="880"/>
      <c r="R231" s="2671"/>
      <c r="S231" s="2671"/>
      <c r="T231" s="2671"/>
      <c r="U231" s="2671"/>
      <c r="V231" s="880"/>
      <c r="W231" s="2691"/>
      <c r="X231" s="2662"/>
      <c r="Y231" s="878"/>
      <c r="Z231" s="2671"/>
      <c r="AA231" s="2671"/>
      <c r="AB231" s="2671"/>
      <c r="AC231" s="2671"/>
      <c r="AD231" s="2671"/>
      <c r="AE231" s="2671"/>
      <c r="AF231" s="880"/>
      <c r="AG231" s="2671"/>
      <c r="AH231" s="2671"/>
      <c r="AI231" s="2671"/>
      <c r="AJ231" s="2671"/>
      <c r="AK231" s="880"/>
      <c r="AL231" s="2691"/>
      <c r="AM231" s="2662"/>
      <c r="AN231" s="878"/>
      <c r="AO231" s="2671"/>
      <c r="AP231" s="2671"/>
      <c r="AQ231" s="2671"/>
      <c r="AR231" s="2671"/>
      <c r="AS231" s="885"/>
      <c r="AT231" s="2691"/>
      <c r="AU231" s="2691"/>
      <c r="AV231" s="2691"/>
      <c r="AW231" s="886"/>
      <c r="AX231" s="887"/>
    </row>
    <row r="232" spans="1:50" s="98" customFormat="1" ht="15" customHeight="1">
      <c r="A232" s="99"/>
      <c r="B232" s="161"/>
      <c r="C232" s="180" t="s">
        <v>2888</v>
      </c>
      <c r="D232" s="162"/>
      <c r="E232" s="162"/>
      <c r="F232" s="162"/>
      <c r="G232" s="163"/>
      <c r="H232" s="163"/>
      <c r="I232" s="94"/>
      <c r="J232" s="878"/>
      <c r="K232" s="2662"/>
      <c r="L232" s="2662"/>
      <c r="M232" s="2662"/>
      <c r="N232" s="2662"/>
      <c r="O232" s="2662"/>
      <c r="P232" s="2662"/>
      <c r="Q232" s="880"/>
      <c r="R232" s="878"/>
      <c r="S232" s="2662"/>
      <c r="T232" s="2662"/>
      <c r="U232" s="2662"/>
      <c r="V232" s="880"/>
      <c r="W232" s="2691"/>
      <c r="X232" s="2662"/>
      <c r="Y232" s="878"/>
      <c r="Z232" s="2662"/>
      <c r="AA232" s="2662"/>
      <c r="AB232" s="2662"/>
      <c r="AC232" s="2662"/>
      <c r="AD232" s="2662"/>
      <c r="AE232" s="2662"/>
      <c r="AF232" s="880"/>
      <c r="AG232" s="878"/>
      <c r="AH232" s="2662"/>
      <c r="AI232" s="2662"/>
      <c r="AJ232" s="2662"/>
      <c r="AK232" s="880"/>
      <c r="AL232" s="2691"/>
      <c r="AM232" s="2662"/>
      <c r="AN232" s="878"/>
      <c r="AO232" s="2662"/>
      <c r="AP232" s="2662"/>
      <c r="AQ232" s="2662"/>
      <c r="AR232" s="2662"/>
      <c r="AS232" s="880"/>
      <c r="AT232" s="2691"/>
      <c r="AU232" s="2691"/>
      <c r="AV232" s="2691"/>
      <c r="AW232" s="886"/>
      <c r="AX232" s="887"/>
    </row>
    <row r="233" spans="1:50" s="98" customFormat="1" ht="15" customHeight="1">
      <c r="A233" s="99"/>
      <c r="B233" s="161"/>
      <c r="C233" s="185"/>
      <c r="D233" s="162" t="s">
        <v>2872</v>
      </c>
      <c r="E233" s="162"/>
      <c r="F233" s="162"/>
      <c r="G233" s="162"/>
      <c r="H233" s="163"/>
      <c r="I233" s="607" t="s">
        <v>1876</v>
      </c>
      <c r="J233" s="165">
        <v>710</v>
      </c>
      <c r="K233" s="166">
        <v>700</v>
      </c>
      <c r="L233" s="166">
        <v>779</v>
      </c>
      <c r="M233" s="166">
        <v>570</v>
      </c>
      <c r="N233" s="166">
        <v>573</v>
      </c>
      <c r="O233" s="166">
        <v>750</v>
      </c>
      <c r="P233" s="166">
        <v>679.92333435521095</v>
      </c>
      <c r="Q233" s="167">
        <v>658.42553326816596</v>
      </c>
      <c r="R233" s="165">
        <v>610.40108428961253</v>
      </c>
      <c r="S233" s="166">
        <v>618.94398428961244</v>
      </c>
      <c r="T233" s="166">
        <v>627.48688428961248</v>
      </c>
      <c r="U233" s="166">
        <v>636.02978428961251</v>
      </c>
      <c r="V233" s="167">
        <v>644.57268428961254</v>
      </c>
      <c r="W233" s="2691"/>
      <c r="X233" s="2692" t="s">
        <v>1876</v>
      </c>
      <c r="Y233" s="165">
        <v>-58.86416205334357</v>
      </c>
      <c r="Z233" s="166">
        <v>-58.446569350494265</v>
      </c>
      <c r="AA233" s="166">
        <v>-73.537984193831576</v>
      </c>
      <c r="AB233" s="166">
        <v>-33.83552818346579</v>
      </c>
      <c r="AC233" s="166">
        <v>-33.629567741789522</v>
      </c>
      <c r="AD233" s="166">
        <v>-39.426678793237748</v>
      </c>
      <c r="AE233" s="166">
        <v>-49.623415052693737</v>
      </c>
      <c r="AF233" s="167">
        <v>-49.623415052693737</v>
      </c>
      <c r="AG233" s="165">
        <v>-49.623415052693737</v>
      </c>
      <c r="AH233" s="166">
        <v>-49.623415052693737</v>
      </c>
      <c r="AI233" s="166">
        <v>-49.623415052693737</v>
      </c>
      <c r="AJ233" s="166">
        <v>-49.623415052693737</v>
      </c>
      <c r="AK233" s="167">
        <v>-49.623415052693737</v>
      </c>
      <c r="AL233" s="2691"/>
      <c r="AM233" s="2692" t="s">
        <v>1876</v>
      </c>
      <c r="AN233" s="165">
        <v>0</v>
      </c>
      <c r="AO233" s="166">
        <v>0</v>
      </c>
      <c r="AP233" s="166">
        <v>0</v>
      </c>
      <c r="AQ233" s="166">
        <v>0</v>
      </c>
      <c r="AR233" s="166">
        <v>0</v>
      </c>
      <c r="AS233" s="167">
        <v>0</v>
      </c>
      <c r="AT233" s="2691"/>
      <c r="AU233" s="2692" t="s">
        <v>1876</v>
      </c>
      <c r="AV233" s="166">
        <v>38420.623825892741</v>
      </c>
      <c r="AW233" s="888" t="s">
        <v>1876</v>
      </c>
      <c r="AX233" s="130">
        <f t="shared" ref="AX233:AX235" si="91">SUM(AV233,J233:N233,Y233:AC233,AN233:AR233)</f>
        <v>41494.31001436981</v>
      </c>
    </row>
    <row r="234" spans="1:50" s="98" customFormat="1" ht="15" customHeight="1">
      <c r="A234" s="99"/>
      <c r="B234" s="161"/>
      <c r="C234" s="185"/>
      <c r="D234" s="162" t="s">
        <v>2873</v>
      </c>
      <c r="E234" s="162"/>
      <c r="F234" s="162"/>
      <c r="G234" s="162"/>
      <c r="H234" s="163"/>
      <c r="I234" s="607" t="s">
        <v>1876</v>
      </c>
      <c r="J234" s="165">
        <v>0</v>
      </c>
      <c r="K234" s="166">
        <v>0</v>
      </c>
      <c r="L234" s="166">
        <v>0</v>
      </c>
      <c r="M234" s="166">
        <v>0</v>
      </c>
      <c r="N234" s="166">
        <v>0</v>
      </c>
      <c r="O234" s="166">
        <v>0</v>
      </c>
      <c r="P234" s="166">
        <v>0</v>
      </c>
      <c r="Q234" s="167">
        <v>0</v>
      </c>
      <c r="R234" s="165">
        <v>0</v>
      </c>
      <c r="S234" s="166">
        <v>0</v>
      </c>
      <c r="T234" s="166">
        <v>0</v>
      </c>
      <c r="U234" s="166">
        <v>0</v>
      </c>
      <c r="V234" s="167">
        <v>0</v>
      </c>
      <c r="W234" s="2691"/>
      <c r="X234" s="2692" t="s">
        <v>1876</v>
      </c>
      <c r="Y234" s="165">
        <v>-290.76319920115571</v>
      </c>
      <c r="Z234" s="166">
        <v>-317.65137229781857</v>
      </c>
      <c r="AA234" s="166">
        <v>-205.69269336830666</v>
      </c>
      <c r="AB234" s="166">
        <v>-121.06079611477277</v>
      </c>
      <c r="AC234" s="166">
        <v>-168.0056420897013</v>
      </c>
      <c r="AD234" s="166">
        <v>-182.55804703538607</v>
      </c>
      <c r="AE234" s="166">
        <v>-190.65013435521098</v>
      </c>
      <c r="AF234" s="167">
        <v>-160.6094332681659</v>
      </c>
      <c r="AG234" s="165">
        <v>-104.04208428961248</v>
      </c>
      <c r="AH234" s="166">
        <v>-104.04208428961248</v>
      </c>
      <c r="AI234" s="166">
        <v>-104.04208428961248</v>
      </c>
      <c r="AJ234" s="166">
        <v>-104.04208428961248</v>
      </c>
      <c r="AK234" s="167">
        <v>-104.04208428961248</v>
      </c>
      <c r="AL234" s="2691"/>
      <c r="AM234" s="2692" t="s">
        <v>1876</v>
      </c>
      <c r="AN234" s="165">
        <v>0</v>
      </c>
      <c r="AO234" s="166">
        <v>0</v>
      </c>
      <c r="AP234" s="166">
        <v>0</v>
      </c>
      <c r="AQ234" s="166">
        <v>0</v>
      </c>
      <c r="AR234" s="166">
        <v>0</v>
      </c>
      <c r="AS234" s="167">
        <v>0</v>
      </c>
      <c r="AT234" s="2691"/>
      <c r="AU234" s="2692" t="s">
        <v>1876</v>
      </c>
      <c r="AV234" s="166">
        <v>9885.2292950090614</v>
      </c>
      <c r="AW234" s="888" t="s">
        <v>1876</v>
      </c>
      <c r="AX234" s="130">
        <f t="shared" si="91"/>
        <v>8782.0555919373073</v>
      </c>
    </row>
    <row r="235" spans="1:50" s="98" customFormat="1" ht="15" customHeight="1">
      <c r="A235" s="99"/>
      <c r="B235" s="161"/>
      <c r="C235" s="185"/>
      <c r="D235" s="162" t="s">
        <v>85</v>
      </c>
      <c r="E235" s="162"/>
      <c r="F235" s="162"/>
      <c r="G235" s="162"/>
      <c r="H235" s="163"/>
      <c r="I235" s="607" t="s">
        <v>1876</v>
      </c>
      <c r="J235" s="165">
        <v>0</v>
      </c>
      <c r="K235" s="166">
        <v>0</v>
      </c>
      <c r="L235" s="166">
        <v>0</v>
      </c>
      <c r="M235" s="166">
        <v>0</v>
      </c>
      <c r="N235" s="166">
        <v>0</v>
      </c>
      <c r="O235" s="166">
        <v>0</v>
      </c>
      <c r="P235" s="166">
        <v>0</v>
      </c>
      <c r="Q235" s="167">
        <v>0</v>
      </c>
      <c r="R235" s="165">
        <v>0</v>
      </c>
      <c r="S235" s="166">
        <v>0</v>
      </c>
      <c r="T235" s="166">
        <v>0</v>
      </c>
      <c r="U235" s="166">
        <v>0</v>
      </c>
      <c r="V235" s="167">
        <v>0</v>
      </c>
      <c r="W235" s="2691"/>
      <c r="X235" s="2692" t="s">
        <v>1876</v>
      </c>
      <c r="Y235" s="165">
        <v>0</v>
      </c>
      <c r="Z235" s="166">
        <v>0</v>
      </c>
      <c r="AA235" s="166">
        <v>0</v>
      </c>
      <c r="AB235" s="166">
        <v>0</v>
      </c>
      <c r="AC235" s="166">
        <v>0</v>
      </c>
      <c r="AD235" s="166">
        <v>0</v>
      </c>
      <c r="AE235" s="166">
        <v>0</v>
      </c>
      <c r="AF235" s="167">
        <v>0</v>
      </c>
      <c r="AG235" s="165">
        <v>0</v>
      </c>
      <c r="AH235" s="166">
        <v>0</v>
      </c>
      <c r="AI235" s="166">
        <v>0</v>
      </c>
      <c r="AJ235" s="166">
        <v>0</v>
      </c>
      <c r="AK235" s="167">
        <v>0</v>
      </c>
      <c r="AL235" s="2691"/>
      <c r="AM235" s="2692" t="s">
        <v>1876</v>
      </c>
      <c r="AN235" s="165">
        <v>0</v>
      </c>
      <c r="AO235" s="166">
        <v>0</v>
      </c>
      <c r="AP235" s="166">
        <v>0</v>
      </c>
      <c r="AQ235" s="166">
        <v>0</v>
      </c>
      <c r="AR235" s="166">
        <v>0</v>
      </c>
      <c r="AS235" s="167">
        <v>0</v>
      </c>
      <c r="AT235" s="2691"/>
      <c r="AU235" s="2692" t="s">
        <v>1876</v>
      </c>
      <c r="AV235" s="166">
        <v>0</v>
      </c>
      <c r="AW235" s="888" t="s">
        <v>1876</v>
      </c>
      <c r="AX235" s="130">
        <f t="shared" si="91"/>
        <v>0</v>
      </c>
    </row>
    <row r="236" spans="1:50" s="98" customFormat="1" ht="15" customHeight="1">
      <c r="B236" s="181"/>
      <c r="C236" s="182" t="s">
        <v>1710</v>
      </c>
      <c r="D236" s="182"/>
      <c r="E236" s="182"/>
      <c r="F236" s="182"/>
      <c r="G236" s="184"/>
      <c r="H236" s="184"/>
      <c r="I236" s="607" t="s">
        <v>1876</v>
      </c>
      <c r="J236" s="777">
        <f>SUM(J233:J235)</f>
        <v>710</v>
      </c>
      <c r="K236" s="778">
        <f t="shared" ref="K236:V236" si="92">SUM(K233:K235)</f>
        <v>700</v>
      </c>
      <c r="L236" s="778">
        <f t="shared" si="92"/>
        <v>779</v>
      </c>
      <c r="M236" s="778">
        <f t="shared" si="92"/>
        <v>570</v>
      </c>
      <c r="N236" s="778">
        <f t="shared" si="92"/>
        <v>573</v>
      </c>
      <c r="O236" s="778">
        <f t="shared" si="92"/>
        <v>750</v>
      </c>
      <c r="P236" s="778">
        <f t="shared" si="92"/>
        <v>679.92333435521095</v>
      </c>
      <c r="Q236" s="779">
        <f t="shared" si="92"/>
        <v>658.42553326816596</v>
      </c>
      <c r="R236" s="777">
        <f t="shared" si="92"/>
        <v>610.40108428961253</v>
      </c>
      <c r="S236" s="778">
        <f t="shared" si="92"/>
        <v>618.94398428961244</v>
      </c>
      <c r="T236" s="778">
        <f t="shared" si="92"/>
        <v>627.48688428961248</v>
      </c>
      <c r="U236" s="778">
        <f t="shared" si="92"/>
        <v>636.02978428961251</v>
      </c>
      <c r="V236" s="779">
        <f t="shared" si="92"/>
        <v>644.57268428961254</v>
      </c>
      <c r="W236" s="2691"/>
      <c r="X236" s="2692" t="s">
        <v>1876</v>
      </c>
      <c r="Y236" s="777">
        <f>SUM(Y233:Y235)</f>
        <v>-349.62736125449931</v>
      </c>
      <c r="Z236" s="778">
        <f t="shared" ref="Z236:AK236" si="93">SUM(Z233:Z235)</f>
        <v>-376.09794164831283</v>
      </c>
      <c r="AA236" s="778">
        <f t="shared" si="93"/>
        <v>-279.23067756213823</v>
      </c>
      <c r="AB236" s="778">
        <f t="shared" si="93"/>
        <v>-154.89632429823857</v>
      </c>
      <c r="AC236" s="778">
        <f t="shared" si="93"/>
        <v>-201.63520983149081</v>
      </c>
      <c r="AD236" s="778">
        <f t="shared" si="93"/>
        <v>-221.98472582862382</v>
      </c>
      <c r="AE236" s="778">
        <f t="shared" si="93"/>
        <v>-240.27354940790471</v>
      </c>
      <c r="AF236" s="779">
        <f t="shared" si="93"/>
        <v>-210.23284832085963</v>
      </c>
      <c r="AG236" s="777">
        <f t="shared" si="93"/>
        <v>-153.66549934230622</v>
      </c>
      <c r="AH236" s="778">
        <f t="shared" si="93"/>
        <v>-153.66549934230622</v>
      </c>
      <c r="AI236" s="778">
        <f t="shared" si="93"/>
        <v>-153.66549934230622</v>
      </c>
      <c r="AJ236" s="778">
        <f t="shared" si="93"/>
        <v>-153.66549934230622</v>
      </c>
      <c r="AK236" s="779">
        <f t="shared" si="93"/>
        <v>-153.66549934230622</v>
      </c>
      <c r="AL236" s="2691"/>
      <c r="AM236" s="2692" t="s">
        <v>1876</v>
      </c>
      <c r="AN236" s="777">
        <f>SUM(AN233:AN235)</f>
        <v>0</v>
      </c>
      <c r="AO236" s="778">
        <f t="shared" ref="AO236:AS236" si="94">SUM(AO233:AO235)</f>
        <v>0</v>
      </c>
      <c r="AP236" s="778">
        <f t="shared" si="94"/>
        <v>0</v>
      </c>
      <c r="AQ236" s="778">
        <f t="shared" si="94"/>
        <v>0</v>
      </c>
      <c r="AR236" s="778">
        <f t="shared" si="94"/>
        <v>0</v>
      </c>
      <c r="AS236" s="779">
        <f t="shared" si="94"/>
        <v>0</v>
      </c>
      <c r="AT236" s="2691"/>
      <c r="AU236" s="2692" t="s">
        <v>1876</v>
      </c>
      <c r="AV236" s="778">
        <f>SUM(AV233:AV235)</f>
        <v>48305.853120901804</v>
      </c>
      <c r="AW236" s="888" t="s">
        <v>1876</v>
      </c>
      <c r="AX236" s="1095">
        <f>SUM(AX233:AX235)</f>
        <v>50276.365606307118</v>
      </c>
    </row>
    <row r="237" spans="1:50" s="98" customFormat="1" ht="15" customHeight="1">
      <c r="B237" s="181"/>
      <c r="C237" s="185"/>
      <c r="D237" s="182"/>
      <c r="E237" s="182"/>
      <c r="F237" s="182"/>
      <c r="G237" s="184"/>
      <c r="H237" s="184"/>
      <c r="I237" s="94"/>
      <c r="J237" s="878"/>
      <c r="K237" s="2671"/>
      <c r="L237" s="2671"/>
      <c r="M237" s="2671"/>
      <c r="N237" s="2671"/>
      <c r="O237" s="2671"/>
      <c r="P237" s="2671"/>
      <c r="Q237" s="880"/>
      <c r="R237" s="2671"/>
      <c r="S237" s="2671"/>
      <c r="T237" s="2671"/>
      <c r="U237" s="2671"/>
      <c r="V237" s="880"/>
      <c r="W237" s="2691"/>
      <c r="X237" s="2662"/>
      <c r="Y237" s="878"/>
      <c r="Z237" s="2671"/>
      <c r="AA237" s="2671"/>
      <c r="AB237" s="2671"/>
      <c r="AC237" s="2671"/>
      <c r="AD237" s="2671"/>
      <c r="AE237" s="2671"/>
      <c r="AF237" s="880"/>
      <c r="AG237" s="2671"/>
      <c r="AH237" s="2671"/>
      <c r="AI237" s="2671"/>
      <c r="AJ237" s="2671"/>
      <c r="AK237" s="880"/>
      <c r="AL237" s="2691"/>
      <c r="AM237" s="2662"/>
      <c r="AN237" s="878"/>
      <c r="AO237" s="2671"/>
      <c r="AP237" s="2671"/>
      <c r="AQ237" s="2671"/>
      <c r="AR237" s="2671"/>
      <c r="AS237" s="885"/>
      <c r="AT237" s="2691"/>
      <c r="AU237" s="2691"/>
      <c r="AV237" s="2691"/>
      <c r="AW237" s="886"/>
      <c r="AX237" s="887"/>
    </row>
    <row r="238" spans="1:50" s="98" customFormat="1" ht="15" customHeight="1" thickBot="1">
      <c r="A238" s="99"/>
      <c r="B238" s="131" t="s">
        <v>1701</v>
      </c>
      <c r="C238" s="132"/>
      <c r="D238" s="132"/>
      <c r="E238" s="132"/>
      <c r="F238" s="132"/>
      <c r="G238" s="145"/>
      <c r="H238" s="133"/>
      <c r="I238" s="146" t="s">
        <v>1876</v>
      </c>
      <c r="J238" s="873">
        <f>SUM(J230,J236)</f>
        <v>35839</v>
      </c>
      <c r="K238" s="781">
        <f t="shared" ref="K238:V238" si="95">SUM(K230,K236)</f>
        <v>36777</v>
      </c>
      <c r="L238" s="781">
        <f t="shared" si="95"/>
        <v>35244</v>
      </c>
      <c r="M238" s="781">
        <f t="shared" si="95"/>
        <v>37299</v>
      </c>
      <c r="N238" s="781">
        <f t="shared" si="95"/>
        <v>37268</v>
      </c>
      <c r="O238" s="781">
        <f t="shared" si="95"/>
        <v>39282</v>
      </c>
      <c r="P238" s="781">
        <f t="shared" si="95"/>
        <v>37615.419624996379</v>
      </c>
      <c r="Q238" s="874">
        <f t="shared" si="95"/>
        <v>34800.563202059027</v>
      </c>
      <c r="R238" s="873">
        <f t="shared" si="95"/>
        <v>34445.674885107786</v>
      </c>
      <c r="S238" s="781">
        <f t="shared" si="95"/>
        <v>34371.903261301472</v>
      </c>
      <c r="T238" s="781">
        <f t="shared" si="95"/>
        <v>34299.79106797128</v>
      </c>
      <c r="U238" s="781">
        <f t="shared" si="95"/>
        <v>34229.305116507698</v>
      </c>
      <c r="V238" s="874">
        <f t="shared" si="95"/>
        <v>34160.412882073382</v>
      </c>
      <c r="W238" s="2693"/>
      <c r="X238" s="1099" t="s">
        <v>1876</v>
      </c>
      <c r="Y238" s="873">
        <f>SUM(Y230,Y236)</f>
        <v>-33347</v>
      </c>
      <c r="Z238" s="781">
        <f t="shared" ref="Z238:AK238" si="96">SUM(Z230,Z236)</f>
        <v>-33803.999999999993</v>
      </c>
      <c r="AA238" s="781">
        <f t="shared" si="96"/>
        <v>-31983</v>
      </c>
      <c r="AB238" s="781">
        <f t="shared" si="96"/>
        <v>-32194</v>
      </c>
      <c r="AC238" s="781">
        <f t="shared" si="96"/>
        <v>-32840</v>
      </c>
      <c r="AD238" s="781">
        <f t="shared" si="96"/>
        <v>-33774</v>
      </c>
      <c r="AE238" s="781">
        <f t="shared" si="96"/>
        <v>-32920.544013795494</v>
      </c>
      <c r="AF238" s="874">
        <f t="shared" si="96"/>
        <v>-30475.487690858139</v>
      </c>
      <c r="AG238" s="873">
        <f t="shared" si="96"/>
        <v>-30407.399473906906</v>
      </c>
      <c r="AH238" s="781">
        <f t="shared" si="96"/>
        <v>-30324.427950100588</v>
      </c>
      <c r="AI238" s="781">
        <f t="shared" si="96"/>
        <v>-30243.115856770401</v>
      </c>
      <c r="AJ238" s="781">
        <f t="shared" si="96"/>
        <v>-30163.430005306815</v>
      </c>
      <c r="AK238" s="874">
        <f t="shared" si="96"/>
        <v>-30085.337870872499</v>
      </c>
      <c r="AL238" s="2693"/>
      <c r="AM238" s="1099" t="s">
        <v>1876</v>
      </c>
      <c r="AN238" s="873">
        <f>SUM(AN230,AN236)</f>
        <v>0</v>
      </c>
      <c r="AO238" s="781">
        <f t="shared" ref="AO238:AS238" si="97">SUM(AO230,AO236)</f>
        <v>0</v>
      </c>
      <c r="AP238" s="781">
        <f t="shared" si="97"/>
        <v>0</v>
      </c>
      <c r="AQ238" s="781">
        <f t="shared" si="97"/>
        <v>0</v>
      </c>
      <c r="AR238" s="781">
        <f t="shared" si="97"/>
        <v>0</v>
      </c>
      <c r="AS238" s="874">
        <f t="shared" si="97"/>
        <v>0</v>
      </c>
      <c r="AT238" s="2693"/>
      <c r="AU238" s="1099" t="s">
        <v>1876</v>
      </c>
      <c r="AV238" s="781">
        <f>SUM(AV230,AV236)</f>
        <v>2438357</v>
      </c>
      <c r="AW238" s="1096" t="s">
        <v>1876</v>
      </c>
      <c r="AX238" s="781">
        <f>SUM(AX230,AX236)</f>
        <v>2456616</v>
      </c>
    </row>
    <row r="239" spans="1:50" ht="13.5" thickBot="1"/>
    <row r="240" spans="1:50" s="100" customFormat="1" ht="30" customHeight="1" thickBot="1">
      <c r="A240" s="89"/>
      <c r="B240" s="101" t="s">
        <v>2673</v>
      </c>
      <c r="C240" s="102"/>
      <c r="D240" s="102"/>
      <c r="E240" s="102"/>
      <c r="F240" s="102"/>
      <c r="G240" s="103"/>
      <c r="H240" s="103"/>
      <c r="I240" s="105" t="s">
        <v>2837</v>
      </c>
      <c r="J240" s="106"/>
      <c r="K240" s="106"/>
      <c r="L240" s="106"/>
      <c r="M240" s="106"/>
      <c r="N240" s="106"/>
      <c r="O240" s="106"/>
      <c r="P240" s="106"/>
      <c r="Q240" s="106"/>
      <c r="R240" s="105"/>
      <c r="S240" s="105"/>
      <c r="T240" s="105"/>
      <c r="U240" s="105"/>
      <c r="V240" s="105"/>
      <c r="W240" s="103"/>
      <c r="X240" s="105" t="s">
        <v>2838</v>
      </c>
      <c r="Y240" s="106"/>
      <c r="Z240" s="106"/>
      <c r="AA240" s="106"/>
      <c r="AB240" s="106"/>
      <c r="AC240" s="106"/>
      <c r="AD240" s="106"/>
      <c r="AE240" s="106"/>
      <c r="AF240" s="106"/>
      <c r="AG240" s="105"/>
      <c r="AH240" s="105"/>
      <c r="AI240" s="105"/>
      <c r="AJ240" s="105"/>
      <c r="AK240" s="105"/>
      <c r="AL240" s="103"/>
      <c r="AM240" s="105" t="s">
        <v>2839</v>
      </c>
      <c r="AN240" s="106"/>
      <c r="AO240" s="106"/>
      <c r="AP240" s="106"/>
      <c r="AQ240" s="106"/>
      <c r="AR240" s="106"/>
      <c r="AS240" s="106"/>
      <c r="AT240" s="103"/>
      <c r="AU240" s="218" t="s">
        <v>1925</v>
      </c>
      <c r="AV240" s="219"/>
      <c r="AW240" s="220"/>
      <c r="AX240" s="221"/>
    </row>
    <row r="241" spans="1:50" s="157" customFormat="1" ht="30" customHeight="1">
      <c r="A241" s="99"/>
      <c r="B241" s="109"/>
      <c r="C241" s="127"/>
      <c r="D241" s="127"/>
      <c r="E241" s="127"/>
      <c r="F241" s="127"/>
      <c r="G241" s="117"/>
      <c r="H241" s="111"/>
      <c r="I241" s="94"/>
      <c r="J241" s="695" t="s">
        <v>1666</v>
      </c>
      <c r="K241" s="152"/>
      <c r="L241" s="152"/>
      <c r="M241" s="152"/>
      <c r="N241" s="152"/>
      <c r="O241" s="152"/>
      <c r="P241" s="152"/>
      <c r="Q241" s="153"/>
      <c r="R241" s="696" t="s">
        <v>2</v>
      </c>
      <c r="S241" s="155"/>
      <c r="T241" s="155"/>
      <c r="U241" s="155"/>
      <c r="V241" s="156"/>
      <c r="W241" s="2632"/>
      <c r="X241" s="94"/>
      <c r="Y241" s="695" t="s">
        <v>1666</v>
      </c>
      <c r="Z241" s="152"/>
      <c r="AA241" s="152"/>
      <c r="AB241" s="152"/>
      <c r="AC241" s="152"/>
      <c r="AD241" s="152"/>
      <c r="AE241" s="152"/>
      <c r="AF241" s="153"/>
      <c r="AG241" s="696" t="s">
        <v>2</v>
      </c>
      <c r="AH241" s="155"/>
      <c r="AI241" s="155"/>
      <c r="AJ241" s="155"/>
      <c r="AK241" s="156"/>
      <c r="AL241" s="2632"/>
      <c r="AM241" s="94"/>
      <c r="AN241" s="695" t="s">
        <v>1666</v>
      </c>
      <c r="AO241" s="152"/>
      <c r="AP241" s="152"/>
      <c r="AQ241" s="152"/>
      <c r="AR241" s="152"/>
      <c r="AS241" s="153"/>
      <c r="AT241" s="2632"/>
      <c r="AU241" s="223" t="s">
        <v>2840</v>
      </c>
      <c r="AV241" s="203"/>
      <c r="AW241" s="224" t="s">
        <v>2879</v>
      </c>
      <c r="AX241" s="204"/>
    </row>
    <row r="242" spans="1:50" s="98" customFormat="1" ht="15" customHeight="1">
      <c r="A242" s="99"/>
      <c r="B242" s="115"/>
      <c r="C242" s="116"/>
      <c r="D242" s="116"/>
      <c r="E242" s="116"/>
      <c r="F242" s="116"/>
      <c r="G242" s="117"/>
      <c r="H242" s="117"/>
      <c r="I242" s="119" t="s">
        <v>1667</v>
      </c>
      <c r="J242" s="158" t="s">
        <v>453</v>
      </c>
      <c r="K242" s="137" t="s">
        <v>455</v>
      </c>
      <c r="L242" s="137" t="s">
        <v>457</v>
      </c>
      <c r="M242" s="137" t="s">
        <v>459</v>
      </c>
      <c r="N242" s="137" t="s">
        <v>461</v>
      </c>
      <c r="O242" s="137" t="s">
        <v>463</v>
      </c>
      <c r="P242" s="137" t="s">
        <v>465</v>
      </c>
      <c r="Q242" s="138" t="s">
        <v>467</v>
      </c>
      <c r="R242" s="120" t="s">
        <v>469</v>
      </c>
      <c r="S242" s="121" t="s">
        <v>471</v>
      </c>
      <c r="T242" s="121" t="s">
        <v>473</v>
      </c>
      <c r="U242" s="121" t="s">
        <v>475</v>
      </c>
      <c r="V242" s="122" t="s">
        <v>477</v>
      </c>
      <c r="W242" s="2629"/>
      <c r="X242" s="119" t="s">
        <v>1667</v>
      </c>
      <c r="Y242" s="158" t="s">
        <v>453</v>
      </c>
      <c r="Z242" s="137" t="s">
        <v>455</v>
      </c>
      <c r="AA242" s="137" t="s">
        <v>457</v>
      </c>
      <c r="AB242" s="137" t="s">
        <v>459</v>
      </c>
      <c r="AC242" s="137" t="s">
        <v>461</v>
      </c>
      <c r="AD242" s="137" t="s">
        <v>463</v>
      </c>
      <c r="AE242" s="137" t="s">
        <v>465</v>
      </c>
      <c r="AF242" s="138" t="s">
        <v>467</v>
      </c>
      <c r="AG242" s="120" t="s">
        <v>469</v>
      </c>
      <c r="AH242" s="121" t="s">
        <v>471</v>
      </c>
      <c r="AI242" s="121" t="s">
        <v>473</v>
      </c>
      <c r="AJ242" s="121" t="s">
        <v>475</v>
      </c>
      <c r="AK242" s="122" t="s">
        <v>477</v>
      </c>
      <c r="AL242" s="2629"/>
      <c r="AM242" s="119" t="s">
        <v>1667</v>
      </c>
      <c r="AN242" s="158" t="s">
        <v>453</v>
      </c>
      <c r="AO242" s="137" t="s">
        <v>455</v>
      </c>
      <c r="AP242" s="137" t="s">
        <v>457</v>
      </c>
      <c r="AQ242" s="137" t="s">
        <v>459</v>
      </c>
      <c r="AR242" s="137" t="s">
        <v>461</v>
      </c>
      <c r="AS242" s="138" t="s">
        <v>463</v>
      </c>
      <c r="AT242" s="2629"/>
      <c r="AU242" s="225" t="s">
        <v>1667</v>
      </c>
      <c r="AV242" s="206" t="s">
        <v>2142</v>
      </c>
      <c r="AW242" s="226" t="s">
        <v>1667</v>
      </c>
      <c r="AX242" s="207" t="s">
        <v>2142</v>
      </c>
    </row>
    <row r="243" spans="1:50" s="98" customFormat="1" ht="15" customHeight="1">
      <c r="A243" s="99"/>
      <c r="B243" s="161"/>
      <c r="C243" s="186" t="s">
        <v>2889</v>
      </c>
      <c r="D243" s="162"/>
      <c r="E243" s="162"/>
      <c r="F243" s="162"/>
      <c r="G243" s="163"/>
      <c r="H243" s="163"/>
      <c r="I243" s="94"/>
      <c r="J243" s="159"/>
      <c r="K243" s="94"/>
      <c r="L243" s="94"/>
      <c r="M243" s="94"/>
      <c r="N243" s="94"/>
      <c r="O243" s="94"/>
      <c r="P243" s="94"/>
      <c r="Q243" s="160"/>
      <c r="R243" s="159"/>
      <c r="S243" s="94"/>
      <c r="T243" s="94"/>
      <c r="U243" s="94"/>
      <c r="V243" s="160"/>
      <c r="W243" s="2629"/>
      <c r="X243" s="94"/>
      <c r="Y243" s="159"/>
      <c r="Z243" s="94"/>
      <c r="AA243" s="94"/>
      <c r="AB243" s="94"/>
      <c r="AC243" s="94"/>
      <c r="AD243" s="94"/>
      <c r="AE243" s="94"/>
      <c r="AF243" s="160"/>
      <c r="AG243" s="159"/>
      <c r="AH243" s="94"/>
      <c r="AI243" s="94"/>
      <c r="AJ243" s="94"/>
      <c r="AK243" s="160"/>
      <c r="AL243" s="2629"/>
      <c r="AM243" s="94"/>
      <c r="AN243" s="159"/>
      <c r="AO243" s="94"/>
      <c r="AP243" s="94"/>
      <c r="AQ243" s="94"/>
      <c r="AR243" s="94"/>
      <c r="AS243" s="160"/>
      <c r="AT243" s="2629"/>
      <c r="AU243" s="2629"/>
      <c r="AV243" s="2629"/>
      <c r="AW243" s="185"/>
      <c r="AX243" s="215"/>
    </row>
    <row r="244" spans="1:50" s="98" customFormat="1" ht="15" customHeight="1">
      <c r="A244" s="99"/>
      <c r="B244" s="161"/>
      <c r="C244" s="185"/>
      <c r="D244" s="162" t="s">
        <v>1844</v>
      </c>
      <c r="E244" s="162"/>
      <c r="F244" s="162"/>
      <c r="G244" s="162"/>
      <c r="H244" s="163"/>
      <c r="I244" s="607" t="s">
        <v>1876</v>
      </c>
      <c r="J244" s="165">
        <v>0</v>
      </c>
      <c r="K244" s="166">
        <v>0</v>
      </c>
      <c r="L244" s="166">
        <v>0</v>
      </c>
      <c r="M244" s="166">
        <v>0</v>
      </c>
      <c r="N244" s="166">
        <v>0</v>
      </c>
      <c r="O244" s="166">
        <v>0</v>
      </c>
      <c r="P244" s="166">
        <v>0</v>
      </c>
      <c r="Q244" s="167">
        <v>0</v>
      </c>
      <c r="R244" s="165">
        <v>0</v>
      </c>
      <c r="S244" s="166">
        <v>0</v>
      </c>
      <c r="T244" s="166">
        <v>0</v>
      </c>
      <c r="U244" s="166">
        <v>0</v>
      </c>
      <c r="V244" s="167">
        <v>0</v>
      </c>
      <c r="W244" s="2691"/>
      <c r="X244" s="2692" t="s">
        <v>1876</v>
      </c>
      <c r="Y244" s="165">
        <v>0</v>
      </c>
      <c r="Z244" s="166">
        <v>0</v>
      </c>
      <c r="AA244" s="166">
        <v>0</v>
      </c>
      <c r="AB244" s="166">
        <v>0</v>
      </c>
      <c r="AC244" s="166">
        <v>-6</v>
      </c>
      <c r="AD244" s="166">
        <v>-2</v>
      </c>
      <c r="AE244" s="166">
        <v>0</v>
      </c>
      <c r="AF244" s="167">
        <v>0</v>
      </c>
      <c r="AG244" s="165">
        <v>0</v>
      </c>
      <c r="AH244" s="166">
        <v>0</v>
      </c>
      <c r="AI244" s="166">
        <v>0</v>
      </c>
      <c r="AJ244" s="166">
        <v>0</v>
      </c>
      <c r="AK244" s="167">
        <v>0</v>
      </c>
      <c r="AL244" s="2691"/>
      <c r="AM244" s="2692" t="s">
        <v>1876</v>
      </c>
      <c r="AN244" s="165">
        <v>26</v>
      </c>
      <c r="AO244" s="166">
        <v>68</v>
      </c>
      <c r="AP244" s="166">
        <v>64</v>
      </c>
      <c r="AQ244" s="166">
        <v>53</v>
      </c>
      <c r="AR244" s="166">
        <v>41</v>
      </c>
      <c r="AS244" s="167">
        <v>0</v>
      </c>
      <c r="AT244" s="2691"/>
      <c r="AU244" s="2692" t="s">
        <v>1876</v>
      </c>
      <c r="AV244" s="166">
        <v>652</v>
      </c>
      <c r="AW244" s="888" t="s">
        <v>1876</v>
      </c>
      <c r="AX244" s="130">
        <f t="shared" ref="AX244:AX246" si="98">SUM(AV244,J244:N244,Y244:AC244,AN244:AR244)</f>
        <v>898</v>
      </c>
    </row>
    <row r="245" spans="1:50" s="98" customFormat="1" ht="15" customHeight="1">
      <c r="A245" s="99"/>
      <c r="B245" s="161"/>
      <c r="C245" s="185"/>
      <c r="D245" s="162" t="s">
        <v>2524</v>
      </c>
      <c r="E245" s="162"/>
      <c r="F245" s="162"/>
      <c r="G245" s="162"/>
      <c r="H245" s="163"/>
      <c r="I245" s="607" t="s">
        <v>1876</v>
      </c>
      <c r="J245" s="165">
        <v>0</v>
      </c>
      <c r="K245" s="166">
        <v>0</v>
      </c>
      <c r="L245" s="166">
        <v>0</v>
      </c>
      <c r="M245" s="166">
        <v>0</v>
      </c>
      <c r="N245" s="166">
        <v>0</v>
      </c>
      <c r="O245" s="166">
        <v>0</v>
      </c>
      <c r="P245" s="166">
        <v>0</v>
      </c>
      <c r="Q245" s="167">
        <v>0</v>
      </c>
      <c r="R245" s="165">
        <v>0</v>
      </c>
      <c r="S245" s="166">
        <v>0</v>
      </c>
      <c r="T245" s="166">
        <v>0</v>
      </c>
      <c r="U245" s="166">
        <v>0</v>
      </c>
      <c r="V245" s="167">
        <v>0</v>
      </c>
      <c r="W245" s="2691"/>
      <c r="X245" s="2692" t="s">
        <v>1876</v>
      </c>
      <c r="Y245" s="165">
        <v>0</v>
      </c>
      <c r="Z245" s="166">
        <v>0</v>
      </c>
      <c r="AA245" s="166">
        <v>0</v>
      </c>
      <c r="AB245" s="166">
        <v>0</v>
      </c>
      <c r="AC245" s="166">
        <v>-26</v>
      </c>
      <c r="AD245" s="166">
        <v>-7</v>
      </c>
      <c r="AE245" s="166">
        <v>0</v>
      </c>
      <c r="AF245" s="167">
        <v>0</v>
      </c>
      <c r="AG245" s="165">
        <v>0</v>
      </c>
      <c r="AH245" s="166">
        <v>0</v>
      </c>
      <c r="AI245" s="166">
        <v>0</v>
      </c>
      <c r="AJ245" s="166">
        <v>0</v>
      </c>
      <c r="AK245" s="167">
        <v>0</v>
      </c>
      <c r="AL245" s="2691"/>
      <c r="AM245" s="2692" t="s">
        <v>1876</v>
      </c>
      <c r="AN245" s="165">
        <v>54</v>
      </c>
      <c r="AO245" s="166">
        <v>144</v>
      </c>
      <c r="AP245" s="166">
        <v>132</v>
      </c>
      <c r="AQ245" s="166">
        <v>111</v>
      </c>
      <c r="AR245" s="166">
        <v>99</v>
      </c>
      <c r="AS245" s="167"/>
      <c r="AT245" s="2691"/>
      <c r="AU245" s="2692" t="s">
        <v>1876</v>
      </c>
      <c r="AV245" s="166">
        <v>1363</v>
      </c>
      <c r="AW245" s="888" t="s">
        <v>1876</v>
      </c>
      <c r="AX245" s="130">
        <f t="shared" si="98"/>
        <v>1877</v>
      </c>
    </row>
    <row r="246" spans="1:50" s="98" customFormat="1" ht="15" customHeight="1">
      <c r="A246" s="99"/>
      <c r="B246" s="161"/>
      <c r="C246" s="185"/>
      <c r="D246" s="162" t="s">
        <v>2525</v>
      </c>
      <c r="E246" s="162"/>
      <c r="F246" s="162"/>
      <c r="G246" s="162"/>
      <c r="H246" s="163"/>
      <c r="I246" s="607" t="s">
        <v>1876</v>
      </c>
      <c r="J246" s="165">
        <v>0</v>
      </c>
      <c r="K246" s="166">
        <v>0</v>
      </c>
      <c r="L246" s="166">
        <v>0</v>
      </c>
      <c r="M246" s="166">
        <v>0</v>
      </c>
      <c r="N246" s="166">
        <v>0</v>
      </c>
      <c r="O246" s="166">
        <v>0</v>
      </c>
      <c r="P246" s="166">
        <v>0</v>
      </c>
      <c r="Q246" s="167">
        <v>0</v>
      </c>
      <c r="R246" s="165">
        <v>0</v>
      </c>
      <c r="S246" s="166">
        <v>0</v>
      </c>
      <c r="T246" s="166">
        <v>0</v>
      </c>
      <c r="U246" s="166">
        <v>0</v>
      </c>
      <c r="V246" s="167">
        <v>0</v>
      </c>
      <c r="W246" s="2691"/>
      <c r="X246" s="2692" t="s">
        <v>1876</v>
      </c>
      <c r="Y246" s="165">
        <v>0</v>
      </c>
      <c r="Z246" s="166">
        <v>0</v>
      </c>
      <c r="AA246" s="166">
        <v>0</v>
      </c>
      <c r="AB246" s="166">
        <v>0</v>
      </c>
      <c r="AC246" s="166">
        <v>-167</v>
      </c>
      <c r="AD246" s="166">
        <v>-9</v>
      </c>
      <c r="AE246" s="166">
        <v>0</v>
      </c>
      <c r="AF246" s="167">
        <v>0</v>
      </c>
      <c r="AG246" s="165">
        <v>0</v>
      </c>
      <c r="AH246" s="166">
        <v>0</v>
      </c>
      <c r="AI246" s="166">
        <v>0</v>
      </c>
      <c r="AJ246" s="166">
        <v>0</v>
      </c>
      <c r="AK246" s="167">
        <v>0</v>
      </c>
      <c r="AL246" s="2691"/>
      <c r="AM246" s="2692" t="s">
        <v>1876</v>
      </c>
      <c r="AN246" s="165">
        <v>0</v>
      </c>
      <c r="AO246" s="166">
        <v>0</v>
      </c>
      <c r="AP246" s="166">
        <v>0</v>
      </c>
      <c r="AQ246" s="166">
        <v>0</v>
      </c>
      <c r="AR246" s="166">
        <v>0</v>
      </c>
      <c r="AS246" s="167">
        <v>0</v>
      </c>
      <c r="AT246" s="2691"/>
      <c r="AU246" s="2692" t="s">
        <v>1876</v>
      </c>
      <c r="AV246" s="166">
        <v>8403</v>
      </c>
      <c r="AW246" s="888" t="s">
        <v>1876</v>
      </c>
      <c r="AX246" s="130">
        <f t="shared" si="98"/>
        <v>8236</v>
      </c>
    </row>
    <row r="247" spans="1:50" s="98" customFormat="1" ht="15" customHeight="1">
      <c r="B247" s="181"/>
      <c r="C247" s="182" t="s">
        <v>1710</v>
      </c>
      <c r="D247" s="182"/>
      <c r="E247" s="182"/>
      <c r="F247" s="182"/>
      <c r="G247" s="184"/>
      <c r="H247" s="184"/>
      <c r="I247" s="607" t="s">
        <v>1876</v>
      </c>
      <c r="J247" s="777">
        <f>SUM(J244:J246)</f>
        <v>0</v>
      </c>
      <c r="K247" s="778">
        <f t="shared" ref="K247:V247" si="99">SUM(K244:K246)</f>
        <v>0</v>
      </c>
      <c r="L247" s="778">
        <f t="shared" si="99"/>
        <v>0</v>
      </c>
      <c r="M247" s="778">
        <f t="shared" si="99"/>
        <v>0</v>
      </c>
      <c r="N247" s="778">
        <f t="shared" si="99"/>
        <v>0</v>
      </c>
      <c r="O247" s="778">
        <f t="shared" si="99"/>
        <v>0</v>
      </c>
      <c r="P247" s="778">
        <f t="shared" si="99"/>
        <v>0</v>
      </c>
      <c r="Q247" s="779">
        <f t="shared" si="99"/>
        <v>0</v>
      </c>
      <c r="R247" s="777">
        <f t="shared" si="99"/>
        <v>0</v>
      </c>
      <c r="S247" s="778">
        <f t="shared" si="99"/>
        <v>0</v>
      </c>
      <c r="T247" s="778">
        <f t="shared" si="99"/>
        <v>0</v>
      </c>
      <c r="U247" s="778">
        <f t="shared" si="99"/>
        <v>0</v>
      </c>
      <c r="V247" s="779">
        <f t="shared" si="99"/>
        <v>0</v>
      </c>
      <c r="W247" s="2691"/>
      <c r="X247" s="2692" t="s">
        <v>1876</v>
      </c>
      <c r="Y247" s="777">
        <f>SUM(Y244:Y246)</f>
        <v>0</v>
      </c>
      <c r="Z247" s="778">
        <f t="shared" ref="Z247:AK247" si="100">SUM(Z244:Z246)</f>
        <v>0</v>
      </c>
      <c r="AA247" s="778">
        <f t="shared" si="100"/>
        <v>0</v>
      </c>
      <c r="AB247" s="778">
        <f t="shared" si="100"/>
        <v>0</v>
      </c>
      <c r="AC247" s="778">
        <f t="shared" si="100"/>
        <v>-199</v>
      </c>
      <c r="AD247" s="778">
        <f t="shared" si="100"/>
        <v>-18</v>
      </c>
      <c r="AE247" s="778">
        <f t="shared" si="100"/>
        <v>0</v>
      </c>
      <c r="AF247" s="779">
        <f t="shared" si="100"/>
        <v>0</v>
      </c>
      <c r="AG247" s="777">
        <f t="shared" si="100"/>
        <v>0</v>
      </c>
      <c r="AH247" s="778">
        <f t="shared" si="100"/>
        <v>0</v>
      </c>
      <c r="AI247" s="778">
        <f t="shared" si="100"/>
        <v>0</v>
      </c>
      <c r="AJ247" s="778">
        <f t="shared" si="100"/>
        <v>0</v>
      </c>
      <c r="AK247" s="779">
        <f t="shared" si="100"/>
        <v>0</v>
      </c>
      <c r="AL247" s="2691"/>
      <c r="AM247" s="2692" t="s">
        <v>1876</v>
      </c>
      <c r="AN247" s="777">
        <f>SUM(AN244:AN246)</f>
        <v>80</v>
      </c>
      <c r="AO247" s="778">
        <f t="shared" ref="AO247:AS247" si="101">SUM(AO244:AO246)</f>
        <v>212</v>
      </c>
      <c r="AP247" s="778">
        <f t="shared" si="101"/>
        <v>196</v>
      </c>
      <c r="AQ247" s="778">
        <f t="shared" si="101"/>
        <v>164</v>
      </c>
      <c r="AR247" s="778">
        <f t="shared" si="101"/>
        <v>140</v>
      </c>
      <c r="AS247" s="779">
        <f t="shared" si="101"/>
        <v>0</v>
      </c>
      <c r="AT247" s="2691"/>
      <c r="AU247" s="2692" t="s">
        <v>1876</v>
      </c>
      <c r="AV247" s="778">
        <f>SUM(AV244:AV246)</f>
        <v>10418</v>
      </c>
      <c r="AW247" s="888" t="s">
        <v>1876</v>
      </c>
      <c r="AX247" s="1095">
        <f>SUM(AX244:AX246)</f>
        <v>11011</v>
      </c>
    </row>
    <row r="248" spans="1:50" s="98" customFormat="1" ht="15" customHeight="1">
      <c r="B248" s="181"/>
      <c r="C248" s="185"/>
      <c r="D248" s="182"/>
      <c r="E248" s="182"/>
      <c r="F248" s="182"/>
      <c r="G248" s="184"/>
      <c r="H248" s="184"/>
      <c r="I248" s="94"/>
      <c r="J248" s="878"/>
      <c r="K248" s="2671"/>
      <c r="L248" s="2671"/>
      <c r="M248" s="2671"/>
      <c r="N248" s="2671"/>
      <c r="O248" s="2671"/>
      <c r="P248" s="2671"/>
      <c r="Q248" s="880"/>
      <c r="R248" s="891"/>
      <c r="S248" s="2671"/>
      <c r="T248" s="2671"/>
      <c r="U248" s="2671"/>
      <c r="V248" s="880"/>
      <c r="W248" s="2691"/>
      <c r="X248" s="2662"/>
      <c r="Y248" s="878"/>
      <c r="Z248" s="2671"/>
      <c r="AA248" s="2671"/>
      <c r="AB248" s="2671"/>
      <c r="AC248" s="2671"/>
      <c r="AD248" s="2671"/>
      <c r="AE248" s="2671"/>
      <c r="AF248" s="880"/>
      <c r="AG248" s="891"/>
      <c r="AH248" s="2671"/>
      <c r="AI248" s="2671"/>
      <c r="AJ248" s="2671"/>
      <c r="AK248" s="880"/>
      <c r="AL248" s="2691"/>
      <c r="AM248" s="2662"/>
      <c r="AN248" s="878"/>
      <c r="AO248" s="2671"/>
      <c r="AP248" s="2671"/>
      <c r="AQ248" s="2671"/>
      <c r="AR248" s="2671"/>
      <c r="AS248" s="885"/>
      <c r="AT248" s="2691"/>
      <c r="AU248" s="2691"/>
      <c r="AV248" s="2691"/>
      <c r="AW248" s="886"/>
      <c r="AX248" s="887"/>
    </row>
    <row r="249" spans="1:50" s="98" customFormat="1" ht="15" customHeight="1">
      <c r="A249" s="99"/>
      <c r="B249" s="161"/>
      <c r="C249" s="186" t="s">
        <v>2890</v>
      </c>
      <c r="D249" s="162"/>
      <c r="E249" s="162"/>
      <c r="F249" s="162"/>
      <c r="G249" s="163"/>
      <c r="H249" s="163"/>
      <c r="I249" s="94"/>
      <c r="J249" s="878"/>
      <c r="K249" s="2662"/>
      <c r="L249" s="2662"/>
      <c r="M249" s="2662"/>
      <c r="N249" s="2662"/>
      <c r="O249" s="2662"/>
      <c r="P249" s="2662"/>
      <c r="Q249" s="880"/>
      <c r="R249" s="878"/>
      <c r="S249" s="2662"/>
      <c r="T249" s="2662"/>
      <c r="U249" s="2662"/>
      <c r="V249" s="880"/>
      <c r="W249" s="2691"/>
      <c r="X249" s="2662"/>
      <c r="Y249" s="878"/>
      <c r="Z249" s="2662"/>
      <c r="AA249" s="2662"/>
      <c r="AB249" s="2662"/>
      <c r="AC249" s="2662"/>
      <c r="AD249" s="2662"/>
      <c r="AE249" s="2662"/>
      <c r="AF249" s="880"/>
      <c r="AG249" s="878"/>
      <c r="AH249" s="2662"/>
      <c r="AI249" s="2662"/>
      <c r="AJ249" s="2662"/>
      <c r="AK249" s="880"/>
      <c r="AL249" s="2691"/>
      <c r="AM249" s="2662"/>
      <c r="AN249" s="878"/>
      <c r="AO249" s="2662"/>
      <c r="AP249" s="2662"/>
      <c r="AQ249" s="2662"/>
      <c r="AR249" s="2662"/>
      <c r="AS249" s="880"/>
      <c r="AT249" s="2691"/>
      <c r="AU249" s="2691"/>
      <c r="AV249" s="2691"/>
      <c r="AW249" s="886"/>
      <c r="AX249" s="887"/>
    </row>
    <row r="250" spans="1:50" s="98" customFormat="1" ht="15" customHeight="1">
      <c r="A250" s="99"/>
      <c r="B250" s="161"/>
      <c r="C250" s="185"/>
      <c r="D250" s="162" t="s">
        <v>1844</v>
      </c>
      <c r="E250" s="162"/>
      <c r="F250" s="162"/>
      <c r="G250" s="162"/>
      <c r="H250" s="163"/>
      <c r="I250" s="607" t="s">
        <v>1876</v>
      </c>
      <c r="J250" s="165">
        <v>0</v>
      </c>
      <c r="K250" s="166">
        <v>0</v>
      </c>
      <c r="L250" s="166">
        <v>0</v>
      </c>
      <c r="M250" s="166">
        <v>0</v>
      </c>
      <c r="N250" s="166">
        <v>0</v>
      </c>
      <c r="O250" s="166">
        <v>0</v>
      </c>
      <c r="P250" s="166">
        <v>0</v>
      </c>
      <c r="Q250" s="167">
        <v>0</v>
      </c>
      <c r="R250" s="165">
        <v>0</v>
      </c>
      <c r="S250" s="166">
        <v>0</v>
      </c>
      <c r="T250" s="166">
        <v>0</v>
      </c>
      <c r="U250" s="166">
        <v>0</v>
      </c>
      <c r="V250" s="167">
        <v>0</v>
      </c>
      <c r="W250" s="2691"/>
      <c r="X250" s="2692" t="s">
        <v>1876</v>
      </c>
      <c r="Y250" s="165">
        <v>0</v>
      </c>
      <c r="Z250" s="166">
        <v>0</v>
      </c>
      <c r="AA250" s="166">
        <v>0</v>
      </c>
      <c r="AB250" s="166">
        <v>0</v>
      </c>
      <c r="AC250" s="166">
        <v>-1</v>
      </c>
      <c r="AD250" s="166">
        <v>-5</v>
      </c>
      <c r="AE250" s="166">
        <v>0</v>
      </c>
      <c r="AF250" s="167">
        <v>0</v>
      </c>
      <c r="AG250" s="165">
        <v>0</v>
      </c>
      <c r="AH250" s="166">
        <v>0</v>
      </c>
      <c r="AI250" s="166">
        <v>0</v>
      </c>
      <c r="AJ250" s="166">
        <v>0</v>
      </c>
      <c r="AK250" s="167">
        <v>0</v>
      </c>
      <c r="AL250" s="2691"/>
      <c r="AM250" s="2692" t="s">
        <v>1876</v>
      </c>
      <c r="AN250" s="165">
        <v>-13</v>
      </c>
      <c r="AO250" s="166">
        <v>29</v>
      </c>
      <c r="AP250" s="166">
        <v>-19</v>
      </c>
      <c r="AQ250" s="166">
        <v>6</v>
      </c>
      <c r="AR250" s="166">
        <v>-39</v>
      </c>
      <c r="AS250" s="167">
        <v>0</v>
      </c>
      <c r="AT250" s="2691"/>
      <c r="AU250" s="2692" t="s">
        <v>1876</v>
      </c>
      <c r="AV250" s="166">
        <v>181</v>
      </c>
      <c r="AW250" s="888" t="s">
        <v>1876</v>
      </c>
      <c r="AX250" s="130">
        <f t="shared" ref="AX250:AX252" si="102">SUM(AV250,J250:N250,Y250:AC250,AN250:AR250)</f>
        <v>144</v>
      </c>
    </row>
    <row r="251" spans="1:50" s="98" customFormat="1" ht="15" customHeight="1">
      <c r="A251" s="99"/>
      <c r="B251" s="161"/>
      <c r="C251" s="185"/>
      <c r="D251" s="162" t="s">
        <v>2524</v>
      </c>
      <c r="E251" s="162"/>
      <c r="F251" s="162"/>
      <c r="G251" s="162"/>
      <c r="H251" s="163"/>
      <c r="I251" s="607" t="s">
        <v>1876</v>
      </c>
      <c r="J251" s="165">
        <v>0</v>
      </c>
      <c r="K251" s="166">
        <v>0</v>
      </c>
      <c r="L251" s="166">
        <v>0</v>
      </c>
      <c r="M251" s="166">
        <v>0</v>
      </c>
      <c r="N251" s="166">
        <v>0</v>
      </c>
      <c r="O251" s="166">
        <v>0</v>
      </c>
      <c r="P251" s="166">
        <v>0</v>
      </c>
      <c r="Q251" s="167">
        <v>0</v>
      </c>
      <c r="R251" s="165">
        <v>0</v>
      </c>
      <c r="S251" s="166">
        <v>0</v>
      </c>
      <c r="T251" s="166">
        <v>0</v>
      </c>
      <c r="U251" s="166">
        <v>0</v>
      </c>
      <c r="V251" s="167">
        <v>0</v>
      </c>
      <c r="W251" s="2691"/>
      <c r="X251" s="2692" t="s">
        <v>1876</v>
      </c>
      <c r="Y251" s="165">
        <v>0</v>
      </c>
      <c r="Z251" s="166">
        <v>0</v>
      </c>
      <c r="AA251" s="166">
        <v>0</v>
      </c>
      <c r="AB251" s="166">
        <v>0</v>
      </c>
      <c r="AC251" s="166">
        <v>-3</v>
      </c>
      <c r="AD251" s="166">
        <v>-20</v>
      </c>
      <c r="AE251" s="166">
        <v>0</v>
      </c>
      <c r="AF251" s="167">
        <v>0</v>
      </c>
      <c r="AG251" s="165">
        <v>0</v>
      </c>
      <c r="AH251" s="166">
        <v>0</v>
      </c>
      <c r="AI251" s="166">
        <v>0</v>
      </c>
      <c r="AJ251" s="166">
        <v>0</v>
      </c>
      <c r="AK251" s="167">
        <v>0</v>
      </c>
      <c r="AL251" s="2691"/>
      <c r="AM251" s="2692" t="s">
        <v>1876</v>
      </c>
      <c r="AN251" s="165">
        <v>-27</v>
      </c>
      <c r="AO251" s="166">
        <v>62</v>
      </c>
      <c r="AP251" s="166">
        <v>-40</v>
      </c>
      <c r="AQ251" s="166">
        <v>12</v>
      </c>
      <c r="AR251" s="166">
        <v>-80</v>
      </c>
      <c r="AS251" s="167">
        <v>0</v>
      </c>
      <c r="AT251" s="2691"/>
      <c r="AU251" s="2692" t="s">
        <v>1876</v>
      </c>
      <c r="AV251" s="166">
        <v>378</v>
      </c>
      <c r="AW251" s="888" t="s">
        <v>1876</v>
      </c>
      <c r="AX251" s="130">
        <f t="shared" si="102"/>
        <v>302</v>
      </c>
    </row>
    <row r="252" spans="1:50" s="98" customFormat="1" ht="15" customHeight="1">
      <c r="A252" s="99"/>
      <c r="B252" s="161"/>
      <c r="C252" s="185"/>
      <c r="D252" s="162" t="s">
        <v>2525</v>
      </c>
      <c r="E252" s="162"/>
      <c r="F252" s="162"/>
      <c r="G252" s="162"/>
      <c r="H252" s="163"/>
      <c r="I252" s="607" t="s">
        <v>1876</v>
      </c>
      <c r="J252" s="165">
        <v>0</v>
      </c>
      <c r="K252" s="166">
        <v>0</v>
      </c>
      <c r="L252" s="166">
        <v>0</v>
      </c>
      <c r="M252" s="166">
        <v>0</v>
      </c>
      <c r="N252" s="166">
        <v>0</v>
      </c>
      <c r="O252" s="166">
        <v>0</v>
      </c>
      <c r="P252" s="166">
        <v>0</v>
      </c>
      <c r="Q252" s="167">
        <v>0</v>
      </c>
      <c r="R252" s="165">
        <v>0</v>
      </c>
      <c r="S252" s="166">
        <v>0</v>
      </c>
      <c r="T252" s="166">
        <v>0</v>
      </c>
      <c r="U252" s="166">
        <v>0</v>
      </c>
      <c r="V252" s="167">
        <v>0</v>
      </c>
      <c r="W252" s="2691"/>
      <c r="X252" s="2692" t="s">
        <v>1876</v>
      </c>
      <c r="Y252" s="165">
        <v>0</v>
      </c>
      <c r="Z252" s="166">
        <v>0</v>
      </c>
      <c r="AA252" s="166">
        <v>0</v>
      </c>
      <c r="AB252" s="166">
        <v>0</v>
      </c>
      <c r="AC252" s="166">
        <v>-69</v>
      </c>
      <c r="AD252" s="166">
        <v>-216</v>
      </c>
      <c r="AE252" s="166">
        <v>0</v>
      </c>
      <c r="AF252" s="167">
        <v>0</v>
      </c>
      <c r="AG252" s="165">
        <v>0</v>
      </c>
      <c r="AH252" s="166">
        <v>0</v>
      </c>
      <c r="AI252" s="166">
        <v>0</v>
      </c>
      <c r="AJ252" s="166">
        <v>0</v>
      </c>
      <c r="AK252" s="167">
        <v>0</v>
      </c>
      <c r="AL252" s="2691"/>
      <c r="AM252" s="2692" t="s">
        <v>1876</v>
      </c>
      <c r="AN252" s="165">
        <v>0</v>
      </c>
      <c r="AO252" s="166">
        <v>0</v>
      </c>
      <c r="AP252" s="166">
        <v>0</v>
      </c>
      <c r="AQ252" s="166">
        <v>0</v>
      </c>
      <c r="AR252" s="166">
        <v>0</v>
      </c>
      <c r="AS252" s="167">
        <v>0</v>
      </c>
      <c r="AT252" s="2691"/>
      <c r="AU252" s="2692" t="s">
        <v>1876</v>
      </c>
      <c r="AV252" s="166">
        <v>2330</v>
      </c>
      <c r="AW252" s="888" t="s">
        <v>1876</v>
      </c>
      <c r="AX252" s="130">
        <f t="shared" si="102"/>
        <v>2261</v>
      </c>
    </row>
    <row r="253" spans="1:50" s="98" customFormat="1" ht="15" customHeight="1">
      <c r="B253" s="181"/>
      <c r="C253" s="182" t="s">
        <v>1710</v>
      </c>
      <c r="D253" s="182"/>
      <c r="E253" s="182"/>
      <c r="F253" s="182"/>
      <c r="G253" s="184"/>
      <c r="H253" s="184"/>
      <c r="I253" s="607" t="s">
        <v>1876</v>
      </c>
      <c r="J253" s="777">
        <f>SUM(J250:J252)</f>
        <v>0</v>
      </c>
      <c r="K253" s="778">
        <f t="shared" ref="K253:V253" si="103">SUM(K250:K252)</f>
        <v>0</v>
      </c>
      <c r="L253" s="778">
        <f t="shared" si="103"/>
        <v>0</v>
      </c>
      <c r="M253" s="778">
        <f t="shared" si="103"/>
        <v>0</v>
      </c>
      <c r="N253" s="778">
        <f t="shared" si="103"/>
        <v>0</v>
      </c>
      <c r="O253" s="778">
        <f t="shared" si="103"/>
        <v>0</v>
      </c>
      <c r="P253" s="778">
        <f t="shared" si="103"/>
        <v>0</v>
      </c>
      <c r="Q253" s="779">
        <f t="shared" si="103"/>
        <v>0</v>
      </c>
      <c r="R253" s="777">
        <f t="shared" si="103"/>
        <v>0</v>
      </c>
      <c r="S253" s="778">
        <f t="shared" si="103"/>
        <v>0</v>
      </c>
      <c r="T253" s="778">
        <f t="shared" si="103"/>
        <v>0</v>
      </c>
      <c r="U253" s="778">
        <f t="shared" si="103"/>
        <v>0</v>
      </c>
      <c r="V253" s="779">
        <f t="shared" si="103"/>
        <v>0</v>
      </c>
      <c r="W253" s="2691"/>
      <c r="X253" s="2692" t="s">
        <v>1876</v>
      </c>
      <c r="Y253" s="777">
        <f>SUM(Y250:Y252)</f>
        <v>0</v>
      </c>
      <c r="Z253" s="778">
        <f t="shared" ref="Z253:AK253" si="104">SUM(Z250:Z252)</f>
        <v>0</v>
      </c>
      <c r="AA253" s="778">
        <f t="shared" si="104"/>
        <v>0</v>
      </c>
      <c r="AB253" s="778">
        <f t="shared" si="104"/>
        <v>0</v>
      </c>
      <c r="AC253" s="778">
        <f t="shared" si="104"/>
        <v>-73</v>
      </c>
      <c r="AD253" s="778">
        <f t="shared" si="104"/>
        <v>-241</v>
      </c>
      <c r="AE253" s="778">
        <f t="shared" si="104"/>
        <v>0</v>
      </c>
      <c r="AF253" s="779">
        <f t="shared" si="104"/>
        <v>0</v>
      </c>
      <c r="AG253" s="777">
        <f t="shared" si="104"/>
        <v>0</v>
      </c>
      <c r="AH253" s="778">
        <f t="shared" si="104"/>
        <v>0</v>
      </c>
      <c r="AI253" s="778">
        <f t="shared" si="104"/>
        <v>0</v>
      </c>
      <c r="AJ253" s="778">
        <f t="shared" si="104"/>
        <v>0</v>
      </c>
      <c r="AK253" s="779">
        <f t="shared" si="104"/>
        <v>0</v>
      </c>
      <c r="AL253" s="2691"/>
      <c r="AM253" s="2692" t="s">
        <v>1876</v>
      </c>
      <c r="AN253" s="777">
        <f>SUM(AN250:AN252)</f>
        <v>-40</v>
      </c>
      <c r="AO253" s="778">
        <f t="shared" ref="AO253:AS253" si="105">SUM(AO250:AO252)</f>
        <v>91</v>
      </c>
      <c r="AP253" s="778">
        <f t="shared" si="105"/>
        <v>-59</v>
      </c>
      <c r="AQ253" s="778">
        <f t="shared" si="105"/>
        <v>18</v>
      </c>
      <c r="AR253" s="778">
        <f t="shared" si="105"/>
        <v>-119</v>
      </c>
      <c r="AS253" s="779">
        <f t="shared" si="105"/>
        <v>0</v>
      </c>
      <c r="AT253" s="2691"/>
      <c r="AU253" s="2692" t="s">
        <v>1876</v>
      </c>
      <c r="AV253" s="778">
        <f>SUM(AV250:AV252)</f>
        <v>2889</v>
      </c>
      <c r="AW253" s="888" t="s">
        <v>1876</v>
      </c>
      <c r="AX253" s="1095">
        <f>SUM(AX250:AX252)</f>
        <v>2707</v>
      </c>
    </row>
    <row r="254" spans="1:50" s="98" customFormat="1" ht="15" customHeight="1">
      <c r="B254" s="181"/>
      <c r="C254" s="185"/>
      <c r="D254" s="182"/>
      <c r="E254" s="182"/>
      <c r="F254" s="182"/>
      <c r="G254" s="184"/>
      <c r="H254" s="184"/>
      <c r="I254" s="94"/>
      <c r="J254" s="878"/>
      <c r="K254" s="2671"/>
      <c r="L254" s="2671"/>
      <c r="M254" s="2671"/>
      <c r="N254" s="2671"/>
      <c r="O254" s="2671"/>
      <c r="P254" s="2671"/>
      <c r="Q254" s="880"/>
      <c r="R254" s="891"/>
      <c r="S254" s="2671"/>
      <c r="T254" s="2671"/>
      <c r="U254" s="2671"/>
      <c r="V254" s="880"/>
      <c r="W254" s="2691"/>
      <c r="X254" s="2662"/>
      <c r="Y254" s="878"/>
      <c r="Z254" s="2671"/>
      <c r="AA254" s="2671"/>
      <c r="AB254" s="2671"/>
      <c r="AC254" s="2671"/>
      <c r="AD254" s="2671"/>
      <c r="AE254" s="2671"/>
      <c r="AF254" s="880"/>
      <c r="AG254" s="891"/>
      <c r="AH254" s="2671"/>
      <c r="AI254" s="2671"/>
      <c r="AJ254" s="2671"/>
      <c r="AK254" s="880"/>
      <c r="AL254" s="2691"/>
      <c r="AM254" s="2662"/>
      <c r="AN254" s="878"/>
      <c r="AO254" s="2671"/>
      <c r="AP254" s="2671"/>
      <c r="AQ254" s="2671"/>
      <c r="AR254" s="2671"/>
      <c r="AS254" s="885"/>
      <c r="AT254" s="2691"/>
      <c r="AU254" s="2691"/>
      <c r="AV254" s="2691"/>
      <c r="AW254" s="886"/>
      <c r="AX254" s="887"/>
    </row>
    <row r="255" spans="1:50" s="98" customFormat="1" ht="15" customHeight="1">
      <c r="A255" s="99"/>
      <c r="B255" s="161"/>
      <c r="C255" s="186" t="s">
        <v>2891</v>
      </c>
      <c r="D255" s="162"/>
      <c r="E255" s="162"/>
      <c r="F255" s="162"/>
      <c r="G255" s="163"/>
      <c r="H255" s="163"/>
      <c r="I255" s="94"/>
      <c r="J255" s="878"/>
      <c r="K255" s="2662"/>
      <c r="L255" s="2662"/>
      <c r="M255" s="2662"/>
      <c r="N255" s="2662"/>
      <c r="O255" s="2662"/>
      <c r="P255" s="2662"/>
      <c r="Q255" s="880"/>
      <c r="R255" s="878"/>
      <c r="S255" s="2662"/>
      <c r="T255" s="2662"/>
      <c r="U255" s="2662"/>
      <c r="V255" s="880"/>
      <c r="W255" s="2691"/>
      <c r="X255" s="2662"/>
      <c r="Y255" s="878"/>
      <c r="Z255" s="2662"/>
      <c r="AA255" s="2662"/>
      <c r="AB255" s="2662"/>
      <c r="AC255" s="2662"/>
      <c r="AD255" s="2662"/>
      <c r="AE255" s="2662"/>
      <c r="AF255" s="880"/>
      <c r="AG255" s="878"/>
      <c r="AH255" s="2662"/>
      <c r="AI255" s="2662"/>
      <c r="AJ255" s="2662"/>
      <c r="AK255" s="880"/>
      <c r="AL255" s="2691"/>
      <c r="AM255" s="2662"/>
      <c r="AN255" s="878"/>
      <c r="AO255" s="2662"/>
      <c r="AP255" s="2662"/>
      <c r="AQ255" s="2662"/>
      <c r="AR255" s="2662"/>
      <c r="AS255" s="880"/>
      <c r="AT255" s="2691"/>
      <c r="AU255" s="2691"/>
      <c r="AV255" s="2691"/>
      <c r="AW255" s="886"/>
      <c r="AX255" s="887"/>
    </row>
    <row r="256" spans="1:50" s="98" customFormat="1" ht="15" customHeight="1">
      <c r="A256" s="99"/>
      <c r="B256" s="161"/>
      <c r="C256" s="185"/>
      <c r="D256" s="162" t="s">
        <v>1844</v>
      </c>
      <c r="E256" s="162"/>
      <c r="F256" s="162"/>
      <c r="G256" s="162"/>
      <c r="H256" s="163"/>
      <c r="I256" s="607" t="s">
        <v>1876</v>
      </c>
      <c r="J256" s="165">
        <v>0</v>
      </c>
      <c r="K256" s="166">
        <v>0</v>
      </c>
      <c r="L256" s="166">
        <v>0</v>
      </c>
      <c r="M256" s="166">
        <v>0</v>
      </c>
      <c r="N256" s="166">
        <v>0</v>
      </c>
      <c r="O256" s="166">
        <v>0</v>
      </c>
      <c r="P256" s="166">
        <v>0</v>
      </c>
      <c r="Q256" s="167">
        <v>0</v>
      </c>
      <c r="R256" s="165">
        <v>0</v>
      </c>
      <c r="S256" s="166">
        <v>0</v>
      </c>
      <c r="T256" s="166">
        <v>0</v>
      </c>
      <c r="U256" s="166">
        <v>0</v>
      </c>
      <c r="V256" s="167">
        <v>0</v>
      </c>
      <c r="W256" s="2691"/>
      <c r="X256" s="2692" t="s">
        <v>1876</v>
      </c>
      <c r="Y256" s="165">
        <v>0</v>
      </c>
      <c r="Z256" s="166">
        <v>0</v>
      </c>
      <c r="AA256" s="166">
        <v>0</v>
      </c>
      <c r="AB256" s="166">
        <v>0</v>
      </c>
      <c r="AC256" s="166">
        <v>0</v>
      </c>
      <c r="AD256" s="166">
        <v>-1</v>
      </c>
      <c r="AE256" s="166">
        <v>0</v>
      </c>
      <c r="AF256" s="167">
        <v>0</v>
      </c>
      <c r="AG256" s="165">
        <v>0</v>
      </c>
      <c r="AH256" s="166">
        <v>0</v>
      </c>
      <c r="AI256" s="166">
        <v>0</v>
      </c>
      <c r="AJ256" s="166">
        <v>0</v>
      </c>
      <c r="AK256" s="167">
        <v>0</v>
      </c>
      <c r="AL256" s="2691"/>
      <c r="AM256" s="2692" t="s">
        <v>1876</v>
      </c>
      <c r="AN256" s="165">
        <v>58</v>
      </c>
      <c r="AO256" s="166">
        <v>-53</v>
      </c>
      <c r="AP256" s="166">
        <v>-7</v>
      </c>
      <c r="AQ256" s="166">
        <v>7</v>
      </c>
      <c r="AR256" s="166">
        <v>-3</v>
      </c>
      <c r="AS256" s="167">
        <v>0</v>
      </c>
      <c r="AT256" s="2691"/>
      <c r="AU256" s="2692" t="s">
        <v>1876</v>
      </c>
      <c r="AV256" s="166">
        <v>83</v>
      </c>
      <c r="AW256" s="888" t="s">
        <v>1876</v>
      </c>
      <c r="AX256" s="130">
        <f t="shared" ref="AX256:AX258" si="106">SUM(AV256,J256:N256,Y256:AC256,AN256:AR256)</f>
        <v>85</v>
      </c>
    </row>
    <row r="257" spans="1:50" s="98" customFormat="1" ht="15" customHeight="1">
      <c r="A257" s="99"/>
      <c r="B257" s="161"/>
      <c r="C257" s="185"/>
      <c r="D257" s="162" t="s">
        <v>2524</v>
      </c>
      <c r="E257" s="162"/>
      <c r="F257" s="162"/>
      <c r="G257" s="162"/>
      <c r="H257" s="163"/>
      <c r="I257" s="607" t="s">
        <v>1876</v>
      </c>
      <c r="J257" s="165">
        <v>0</v>
      </c>
      <c r="K257" s="166">
        <v>0</v>
      </c>
      <c r="L257" s="166">
        <v>0</v>
      </c>
      <c r="M257" s="166">
        <v>0</v>
      </c>
      <c r="N257" s="166">
        <v>0</v>
      </c>
      <c r="O257" s="166">
        <v>0</v>
      </c>
      <c r="P257" s="166">
        <v>0</v>
      </c>
      <c r="Q257" s="167">
        <v>0</v>
      </c>
      <c r="R257" s="165">
        <v>0</v>
      </c>
      <c r="S257" s="166">
        <v>0</v>
      </c>
      <c r="T257" s="166">
        <v>0</v>
      </c>
      <c r="U257" s="166">
        <v>0</v>
      </c>
      <c r="V257" s="167">
        <v>0</v>
      </c>
      <c r="W257" s="2691"/>
      <c r="X257" s="2692" t="s">
        <v>1876</v>
      </c>
      <c r="Y257" s="165">
        <v>0</v>
      </c>
      <c r="Z257" s="166">
        <v>0</v>
      </c>
      <c r="AA257" s="166">
        <v>0</v>
      </c>
      <c r="AB257" s="166">
        <v>0</v>
      </c>
      <c r="AC257" s="166">
        <v>0</v>
      </c>
      <c r="AD257" s="166">
        <v>-4</v>
      </c>
      <c r="AE257" s="166">
        <v>0</v>
      </c>
      <c r="AF257" s="167">
        <v>0</v>
      </c>
      <c r="AG257" s="165">
        <v>0</v>
      </c>
      <c r="AH257" s="166">
        <v>0</v>
      </c>
      <c r="AI257" s="166">
        <v>0</v>
      </c>
      <c r="AJ257" s="166">
        <v>0</v>
      </c>
      <c r="AK257" s="167">
        <v>0</v>
      </c>
      <c r="AL257" s="2691"/>
      <c r="AM257" s="2692" t="s">
        <v>1876</v>
      </c>
      <c r="AN257" s="165">
        <v>122</v>
      </c>
      <c r="AO257" s="166">
        <v>-113</v>
      </c>
      <c r="AP257" s="166">
        <v>-14</v>
      </c>
      <c r="AQ257" s="166">
        <v>16</v>
      </c>
      <c r="AR257" s="166">
        <v>-7</v>
      </c>
      <c r="AS257" s="167">
        <v>0</v>
      </c>
      <c r="AT257" s="2691"/>
      <c r="AU257" s="2692" t="s">
        <v>1876</v>
      </c>
      <c r="AV257" s="166">
        <v>174</v>
      </c>
      <c r="AW257" s="888" t="s">
        <v>1876</v>
      </c>
      <c r="AX257" s="130">
        <f t="shared" si="106"/>
        <v>178</v>
      </c>
    </row>
    <row r="258" spans="1:50" s="98" customFormat="1" ht="15" customHeight="1">
      <c r="A258" s="99"/>
      <c r="B258" s="161"/>
      <c r="C258" s="185"/>
      <c r="D258" s="162" t="s">
        <v>2525</v>
      </c>
      <c r="E258" s="162"/>
      <c r="F258" s="162"/>
      <c r="G258" s="162"/>
      <c r="H258" s="163"/>
      <c r="I258" s="2694" t="s">
        <v>1876</v>
      </c>
      <c r="J258" s="1104">
        <v>0</v>
      </c>
      <c r="K258" s="2851">
        <v>0</v>
      </c>
      <c r="L258" s="2851">
        <v>0</v>
      </c>
      <c r="M258" s="2851">
        <v>0</v>
      </c>
      <c r="N258" s="2851">
        <v>0</v>
      </c>
      <c r="O258" s="2851">
        <v>0</v>
      </c>
      <c r="P258" s="2851">
        <v>0</v>
      </c>
      <c r="Q258" s="1105">
        <v>0</v>
      </c>
      <c r="R258" s="1104">
        <v>0</v>
      </c>
      <c r="S258" s="2851">
        <v>0</v>
      </c>
      <c r="T258" s="2851">
        <v>0</v>
      </c>
      <c r="U258" s="2851">
        <v>0</v>
      </c>
      <c r="V258" s="1105">
        <v>0</v>
      </c>
      <c r="W258" s="2691"/>
      <c r="X258" s="2695" t="s">
        <v>1876</v>
      </c>
      <c r="Y258" s="1104">
        <v>0</v>
      </c>
      <c r="Z258" s="2851">
        <v>0</v>
      </c>
      <c r="AA258" s="2851">
        <v>0</v>
      </c>
      <c r="AB258" s="2851">
        <v>0</v>
      </c>
      <c r="AC258" s="2851">
        <v>0</v>
      </c>
      <c r="AD258" s="2851">
        <v>-90</v>
      </c>
      <c r="AE258" s="2851">
        <v>0</v>
      </c>
      <c r="AF258" s="1105">
        <v>0</v>
      </c>
      <c r="AG258" s="1104">
        <v>0</v>
      </c>
      <c r="AH258" s="2851">
        <v>0</v>
      </c>
      <c r="AI258" s="2851">
        <v>0</v>
      </c>
      <c r="AJ258" s="2851">
        <v>0</v>
      </c>
      <c r="AK258" s="1105">
        <v>0</v>
      </c>
      <c r="AL258" s="2691"/>
      <c r="AM258" s="2695" t="s">
        <v>1876</v>
      </c>
      <c r="AN258" s="1104">
        <v>0</v>
      </c>
      <c r="AO258" s="2851">
        <v>0</v>
      </c>
      <c r="AP258" s="2851">
        <v>0</v>
      </c>
      <c r="AQ258" s="2851">
        <v>0</v>
      </c>
      <c r="AR258" s="2851">
        <v>0</v>
      </c>
      <c r="AS258" s="1105">
        <v>0</v>
      </c>
      <c r="AT258" s="2691"/>
      <c r="AU258" s="2695" t="s">
        <v>1876</v>
      </c>
      <c r="AV258" s="2851">
        <v>1073</v>
      </c>
      <c r="AW258" s="1106" t="s">
        <v>1876</v>
      </c>
      <c r="AX258" s="130">
        <f t="shared" si="106"/>
        <v>1073</v>
      </c>
    </row>
    <row r="259" spans="1:50" s="98" customFormat="1" ht="15" customHeight="1" thickBot="1">
      <c r="B259" s="239"/>
      <c r="C259" s="240" t="s">
        <v>1710</v>
      </c>
      <c r="D259" s="240"/>
      <c r="E259" s="240"/>
      <c r="F259" s="240"/>
      <c r="G259" s="241"/>
      <c r="H259" s="241"/>
      <c r="I259" s="195" t="s">
        <v>1876</v>
      </c>
      <c r="J259" s="892">
        <f>SUM(J256:J258)</f>
        <v>0</v>
      </c>
      <c r="K259" s="893">
        <f t="shared" ref="K259:V259" si="107">SUM(K256:K258)</f>
        <v>0</v>
      </c>
      <c r="L259" s="893">
        <f t="shared" si="107"/>
        <v>0</v>
      </c>
      <c r="M259" s="893">
        <f t="shared" si="107"/>
        <v>0</v>
      </c>
      <c r="N259" s="893">
        <f t="shared" si="107"/>
        <v>0</v>
      </c>
      <c r="O259" s="893">
        <f t="shared" si="107"/>
        <v>0</v>
      </c>
      <c r="P259" s="893">
        <f t="shared" si="107"/>
        <v>0</v>
      </c>
      <c r="Q259" s="890">
        <f t="shared" si="107"/>
        <v>0</v>
      </c>
      <c r="R259" s="892">
        <f t="shared" si="107"/>
        <v>0</v>
      </c>
      <c r="S259" s="893">
        <f t="shared" si="107"/>
        <v>0</v>
      </c>
      <c r="T259" s="893">
        <f t="shared" si="107"/>
        <v>0</v>
      </c>
      <c r="U259" s="893">
        <f t="shared" si="107"/>
        <v>0</v>
      </c>
      <c r="V259" s="890">
        <f t="shared" si="107"/>
        <v>0</v>
      </c>
      <c r="W259" s="1098"/>
      <c r="X259" s="1102" t="s">
        <v>1876</v>
      </c>
      <c r="Y259" s="892">
        <f>SUM(Y256:Y258)</f>
        <v>0</v>
      </c>
      <c r="Z259" s="893">
        <f t="shared" ref="Z259" si="108">SUM(Z256:Z258)</f>
        <v>0</v>
      </c>
      <c r="AA259" s="893">
        <f t="shared" ref="AA259" si="109">SUM(AA256:AA258)</f>
        <v>0</v>
      </c>
      <c r="AB259" s="893">
        <f t="shared" ref="AB259" si="110">SUM(AB256:AB258)</f>
        <v>0</v>
      </c>
      <c r="AC259" s="893">
        <f t="shared" ref="AC259" si="111">SUM(AC256:AC258)</f>
        <v>0</v>
      </c>
      <c r="AD259" s="893">
        <f t="shared" ref="AD259" si="112">SUM(AD256:AD258)</f>
        <v>-95</v>
      </c>
      <c r="AE259" s="893">
        <f t="shared" ref="AE259" si="113">SUM(AE256:AE258)</f>
        <v>0</v>
      </c>
      <c r="AF259" s="890">
        <f t="shared" ref="AF259" si="114">SUM(AF256:AF258)</f>
        <v>0</v>
      </c>
      <c r="AG259" s="892">
        <f t="shared" ref="AG259" si="115">SUM(AG256:AG258)</f>
        <v>0</v>
      </c>
      <c r="AH259" s="893">
        <f t="shared" ref="AH259" si="116">SUM(AH256:AH258)</f>
        <v>0</v>
      </c>
      <c r="AI259" s="893">
        <f t="shared" ref="AI259" si="117">SUM(AI256:AI258)</f>
        <v>0</v>
      </c>
      <c r="AJ259" s="893">
        <f t="shared" ref="AJ259" si="118">SUM(AJ256:AJ258)</f>
        <v>0</v>
      </c>
      <c r="AK259" s="890">
        <f t="shared" ref="AK259" si="119">SUM(AK256:AK258)</f>
        <v>0</v>
      </c>
      <c r="AL259" s="1098"/>
      <c r="AM259" s="1102" t="s">
        <v>1876</v>
      </c>
      <c r="AN259" s="892">
        <f>SUM(AN256:AN258)</f>
        <v>180</v>
      </c>
      <c r="AO259" s="893">
        <f t="shared" ref="AO259:AS259" si="120">SUM(AO256:AO258)</f>
        <v>-166</v>
      </c>
      <c r="AP259" s="893">
        <f t="shared" si="120"/>
        <v>-21</v>
      </c>
      <c r="AQ259" s="893">
        <f t="shared" si="120"/>
        <v>23</v>
      </c>
      <c r="AR259" s="893">
        <f t="shared" si="120"/>
        <v>-10</v>
      </c>
      <c r="AS259" s="890">
        <f t="shared" si="120"/>
        <v>0</v>
      </c>
      <c r="AT259" s="1098"/>
      <c r="AU259" s="866" t="s">
        <v>1876</v>
      </c>
      <c r="AV259" s="893">
        <f>SUM(AV256:AV258)</f>
        <v>1330</v>
      </c>
      <c r="AW259" s="866" t="s">
        <v>1876</v>
      </c>
      <c r="AX259" s="874">
        <f>SUM(AX256:AX258)</f>
        <v>1336</v>
      </c>
    </row>
    <row r="260" spans="1:50" ht="13.5" thickBot="1"/>
    <row r="261" spans="1:50" s="100" customFormat="1" ht="30" customHeight="1" thickBot="1">
      <c r="A261" s="89"/>
      <c r="B261" s="621" t="s">
        <v>2892</v>
      </c>
      <c r="C261" s="102"/>
      <c r="D261" s="102"/>
      <c r="E261" s="102"/>
      <c r="F261" s="102"/>
      <c r="G261" s="103"/>
      <c r="H261" s="103"/>
      <c r="I261" s="105" t="s">
        <v>2837</v>
      </c>
      <c r="J261" s="106"/>
      <c r="K261" s="106"/>
      <c r="L261" s="106"/>
      <c r="M261" s="106"/>
      <c r="N261" s="106"/>
      <c r="O261" s="106"/>
      <c r="P261" s="106"/>
      <c r="Q261" s="106"/>
      <c r="R261" s="105"/>
      <c r="S261" s="105"/>
      <c r="T261" s="105"/>
      <c r="U261" s="105"/>
      <c r="V261" s="105"/>
      <c r="W261" s="103"/>
      <c r="X261" s="105" t="s">
        <v>2838</v>
      </c>
      <c r="Y261" s="106"/>
      <c r="Z261" s="106"/>
      <c r="AA261" s="106"/>
      <c r="AB261" s="106"/>
      <c r="AC261" s="106"/>
      <c r="AD261" s="106"/>
      <c r="AE261" s="106"/>
      <c r="AF261" s="106"/>
      <c r="AG261" s="105"/>
      <c r="AH261" s="105"/>
      <c r="AI261" s="105"/>
      <c r="AJ261" s="105"/>
      <c r="AK261" s="105"/>
      <c r="AL261" s="103"/>
      <c r="AM261" s="105" t="s">
        <v>2839</v>
      </c>
      <c r="AN261" s="106"/>
      <c r="AO261" s="106"/>
      <c r="AP261" s="106"/>
      <c r="AQ261" s="106"/>
      <c r="AR261" s="106"/>
      <c r="AS261" s="106"/>
      <c r="AT261" s="103"/>
      <c r="AU261" s="218" t="s">
        <v>1925</v>
      </c>
      <c r="AV261" s="219"/>
      <c r="AW261" s="220"/>
      <c r="AX261" s="221"/>
    </row>
    <row r="262" spans="1:50" s="157" customFormat="1" ht="30" customHeight="1">
      <c r="A262" s="99"/>
      <c r="B262" s="109"/>
      <c r="C262" s="110"/>
      <c r="D262" s="110"/>
      <c r="E262" s="110"/>
      <c r="F262" s="110"/>
      <c r="G262" s="111"/>
      <c r="H262" s="111"/>
      <c r="I262" s="117"/>
      <c r="J262" s="695" t="s">
        <v>1666</v>
      </c>
      <c r="K262" s="152"/>
      <c r="L262" s="152"/>
      <c r="M262" s="152"/>
      <c r="N262" s="152"/>
      <c r="O262" s="152"/>
      <c r="P262" s="152"/>
      <c r="Q262" s="153"/>
      <c r="R262" s="696" t="s">
        <v>2</v>
      </c>
      <c r="S262" s="155"/>
      <c r="T262" s="155"/>
      <c r="U262" s="155"/>
      <c r="V262" s="156"/>
      <c r="W262" s="222"/>
      <c r="X262" s="117"/>
      <c r="Y262" s="695" t="s">
        <v>1666</v>
      </c>
      <c r="Z262" s="152"/>
      <c r="AA262" s="152"/>
      <c r="AB262" s="152"/>
      <c r="AC262" s="152"/>
      <c r="AD262" s="152"/>
      <c r="AE262" s="152"/>
      <c r="AF262" s="153"/>
      <c r="AG262" s="696" t="s">
        <v>2</v>
      </c>
      <c r="AH262" s="155"/>
      <c r="AI262" s="155"/>
      <c r="AJ262" s="155"/>
      <c r="AK262" s="156"/>
      <c r="AL262" s="222"/>
      <c r="AM262" s="117"/>
      <c r="AN262" s="695" t="s">
        <v>1666</v>
      </c>
      <c r="AO262" s="152"/>
      <c r="AP262" s="152"/>
      <c r="AQ262" s="152"/>
      <c r="AR262" s="152"/>
      <c r="AS262" s="153"/>
      <c r="AT262" s="222"/>
      <c r="AU262" s="223" t="s">
        <v>2840</v>
      </c>
      <c r="AV262" s="203"/>
      <c r="AW262" s="224" t="s">
        <v>2879</v>
      </c>
      <c r="AX262" s="204"/>
    </row>
    <row r="263" spans="1:50" s="98" customFormat="1" ht="15" customHeight="1">
      <c r="A263" s="99"/>
      <c r="B263" s="115"/>
      <c r="C263" s="116"/>
      <c r="D263" s="116"/>
      <c r="E263" s="116"/>
      <c r="F263" s="116"/>
      <c r="G263" s="117"/>
      <c r="H263" s="117"/>
      <c r="I263" s="119" t="s">
        <v>1667</v>
      </c>
      <c r="J263" s="158" t="s">
        <v>453</v>
      </c>
      <c r="K263" s="137" t="s">
        <v>455</v>
      </c>
      <c r="L263" s="137" t="s">
        <v>457</v>
      </c>
      <c r="M263" s="137" t="s">
        <v>459</v>
      </c>
      <c r="N263" s="137" t="s">
        <v>461</v>
      </c>
      <c r="O263" s="137" t="s">
        <v>463</v>
      </c>
      <c r="P263" s="137" t="s">
        <v>465</v>
      </c>
      <c r="Q263" s="138" t="s">
        <v>467</v>
      </c>
      <c r="R263" s="120" t="s">
        <v>469</v>
      </c>
      <c r="S263" s="121" t="s">
        <v>471</v>
      </c>
      <c r="T263" s="121" t="s">
        <v>473</v>
      </c>
      <c r="U263" s="121" t="s">
        <v>475</v>
      </c>
      <c r="V263" s="122" t="s">
        <v>477</v>
      </c>
      <c r="W263" s="185"/>
      <c r="X263" s="119" t="s">
        <v>1667</v>
      </c>
      <c r="Y263" s="158" t="s">
        <v>453</v>
      </c>
      <c r="Z263" s="137" t="s">
        <v>455</v>
      </c>
      <c r="AA263" s="137" t="s">
        <v>457</v>
      </c>
      <c r="AB263" s="137" t="s">
        <v>459</v>
      </c>
      <c r="AC263" s="137" t="s">
        <v>461</v>
      </c>
      <c r="AD263" s="137" t="s">
        <v>463</v>
      </c>
      <c r="AE263" s="137" t="s">
        <v>465</v>
      </c>
      <c r="AF263" s="138" t="s">
        <v>467</v>
      </c>
      <c r="AG263" s="120" t="s">
        <v>469</v>
      </c>
      <c r="AH263" s="121" t="s">
        <v>471</v>
      </c>
      <c r="AI263" s="121" t="s">
        <v>473</v>
      </c>
      <c r="AJ263" s="121" t="s">
        <v>475</v>
      </c>
      <c r="AK263" s="122" t="s">
        <v>477</v>
      </c>
      <c r="AL263" s="185"/>
      <c r="AM263" s="119" t="s">
        <v>1667</v>
      </c>
      <c r="AN263" s="158" t="s">
        <v>453</v>
      </c>
      <c r="AO263" s="137" t="s">
        <v>455</v>
      </c>
      <c r="AP263" s="137" t="s">
        <v>457</v>
      </c>
      <c r="AQ263" s="137" t="s">
        <v>459</v>
      </c>
      <c r="AR263" s="137" t="s">
        <v>461</v>
      </c>
      <c r="AS263" s="138" t="s">
        <v>463</v>
      </c>
      <c r="AT263" s="185"/>
      <c r="AU263" s="225" t="s">
        <v>1667</v>
      </c>
      <c r="AV263" s="206" t="s">
        <v>2142</v>
      </c>
      <c r="AW263" s="226" t="s">
        <v>1667</v>
      </c>
      <c r="AX263" s="207" t="s">
        <v>2142</v>
      </c>
    </row>
    <row r="264" spans="1:50" s="98" customFormat="1" ht="15" customHeight="1">
      <c r="A264" s="99"/>
      <c r="B264" s="161"/>
      <c r="C264" s="180"/>
      <c r="D264" s="162"/>
      <c r="E264" s="162"/>
      <c r="F264" s="162"/>
      <c r="G264" s="163"/>
      <c r="H264" s="163"/>
      <c r="I264" s="117"/>
      <c r="J264" s="159"/>
      <c r="K264" s="117"/>
      <c r="L264" s="117"/>
      <c r="M264" s="117"/>
      <c r="N264" s="117"/>
      <c r="O264" s="117"/>
      <c r="P264" s="117"/>
      <c r="Q264" s="160"/>
      <c r="R264" s="159"/>
      <c r="S264" s="117"/>
      <c r="T264" s="117"/>
      <c r="U264" s="117"/>
      <c r="V264" s="160"/>
      <c r="W264" s="185"/>
      <c r="X264" s="117"/>
      <c r="Y264" s="159"/>
      <c r="Z264" s="117"/>
      <c r="AA264" s="117"/>
      <c r="AB264" s="117"/>
      <c r="AC264" s="117"/>
      <c r="AD264" s="117"/>
      <c r="AE264" s="117"/>
      <c r="AF264" s="160"/>
      <c r="AG264" s="159"/>
      <c r="AH264" s="117"/>
      <c r="AI264" s="117"/>
      <c r="AJ264" s="117"/>
      <c r="AK264" s="160"/>
      <c r="AL264" s="185"/>
      <c r="AM264" s="117"/>
      <c r="AN264" s="159"/>
      <c r="AO264" s="117"/>
      <c r="AP264" s="117"/>
      <c r="AQ264" s="117"/>
      <c r="AR264" s="117"/>
      <c r="AS264" s="160"/>
      <c r="AT264" s="185"/>
      <c r="AU264" s="185"/>
      <c r="AV264" s="185"/>
      <c r="AW264" s="185"/>
      <c r="AX264" s="215"/>
    </row>
    <row r="265" spans="1:50" s="98" customFormat="1" ht="15" customHeight="1" thickBot="1">
      <c r="A265" s="99"/>
      <c r="B265" s="191"/>
      <c r="C265" s="192" t="s">
        <v>2893</v>
      </c>
      <c r="D265" s="193"/>
      <c r="E265" s="193"/>
      <c r="F265" s="193"/>
      <c r="G265" s="193"/>
      <c r="H265" s="194"/>
      <c r="I265" s="1102" t="s">
        <v>1876</v>
      </c>
      <c r="J265" s="232">
        <v>0</v>
      </c>
      <c r="K265" s="233">
        <v>0</v>
      </c>
      <c r="L265" s="233">
        <v>0</v>
      </c>
      <c r="M265" s="233">
        <v>0</v>
      </c>
      <c r="N265" s="233">
        <v>0</v>
      </c>
      <c r="O265" s="233">
        <v>0</v>
      </c>
      <c r="P265" s="233">
        <v>0</v>
      </c>
      <c r="Q265" s="234">
        <v>0</v>
      </c>
      <c r="R265" s="232">
        <v>0</v>
      </c>
      <c r="S265" s="233">
        <v>0</v>
      </c>
      <c r="T265" s="233">
        <v>0</v>
      </c>
      <c r="U265" s="233">
        <v>0</v>
      </c>
      <c r="V265" s="234">
        <v>0</v>
      </c>
      <c r="W265" s="1098"/>
      <c r="X265" s="1102" t="s">
        <v>1876</v>
      </c>
      <c r="Y265" s="232">
        <v>0</v>
      </c>
      <c r="Z265" s="233">
        <v>0</v>
      </c>
      <c r="AA265" s="233">
        <v>0</v>
      </c>
      <c r="AB265" s="233">
        <v>0</v>
      </c>
      <c r="AC265" s="233">
        <v>0</v>
      </c>
      <c r="AD265" s="233">
        <v>0</v>
      </c>
      <c r="AE265" s="233">
        <v>0</v>
      </c>
      <c r="AF265" s="234">
        <v>0</v>
      </c>
      <c r="AG265" s="232">
        <v>0</v>
      </c>
      <c r="AH265" s="233">
        <v>0</v>
      </c>
      <c r="AI265" s="233">
        <v>0</v>
      </c>
      <c r="AJ265" s="233">
        <v>0</v>
      </c>
      <c r="AK265" s="234">
        <v>0</v>
      </c>
      <c r="AL265" s="1098"/>
      <c r="AM265" s="1102" t="s">
        <v>1876</v>
      </c>
      <c r="AN265" s="232">
        <v>0</v>
      </c>
      <c r="AO265" s="233">
        <v>0</v>
      </c>
      <c r="AP265" s="233">
        <v>0</v>
      </c>
      <c r="AQ265" s="233">
        <v>0</v>
      </c>
      <c r="AR265" s="233">
        <v>0</v>
      </c>
      <c r="AS265" s="234">
        <v>0</v>
      </c>
      <c r="AT265" s="1098"/>
      <c r="AU265" s="1102" t="s">
        <v>1876</v>
      </c>
      <c r="AV265" s="233">
        <v>0</v>
      </c>
      <c r="AW265" s="889" t="s">
        <v>1876</v>
      </c>
      <c r="AX265" s="179">
        <f t="shared" ref="AX265" si="121">SUM(AV265,J265:N265,Y265:AC265,AN265:AR265)</f>
        <v>0</v>
      </c>
    </row>
    <row r="266" spans="1:50" ht="13.5" thickBot="1"/>
    <row r="267" spans="1:50" s="100" customFormat="1" ht="30" customHeight="1" thickBot="1">
      <c r="A267" s="89"/>
      <c r="B267" s="621" t="s">
        <v>2894</v>
      </c>
      <c r="C267" s="102"/>
      <c r="D267" s="102"/>
      <c r="E267" s="102"/>
      <c r="F267" s="102"/>
      <c r="G267" s="103"/>
      <c r="H267" s="103"/>
      <c r="I267" s="105" t="s">
        <v>2837</v>
      </c>
      <c r="J267" s="106"/>
      <c r="K267" s="106"/>
      <c r="L267" s="106"/>
      <c r="M267" s="106"/>
      <c r="N267" s="106"/>
      <c r="O267" s="106"/>
      <c r="P267" s="106"/>
      <c r="Q267" s="106"/>
      <c r="R267" s="105"/>
      <c r="S267" s="105"/>
      <c r="T267" s="105"/>
      <c r="U267" s="105"/>
      <c r="V267" s="105"/>
      <c r="W267" s="103"/>
      <c r="X267" s="105" t="s">
        <v>2838</v>
      </c>
      <c r="Y267" s="106"/>
      <c r="Z267" s="106"/>
      <c r="AA267" s="106"/>
      <c r="AB267" s="106"/>
      <c r="AC267" s="106"/>
      <c r="AD267" s="106"/>
      <c r="AE267" s="106"/>
      <c r="AF267" s="106"/>
      <c r="AG267" s="105"/>
      <c r="AH267" s="105"/>
      <c r="AI267" s="105"/>
      <c r="AJ267" s="105"/>
      <c r="AK267" s="105"/>
      <c r="AL267" s="103"/>
      <c r="AM267" s="105" t="s">
        <v>2839</v>
      </c>
      <c r="AN267" s="106"/>
      <c r="AO267" s="106"/>
      <c r="AP267" s="106"/>
      <c r="AQ267" s="106"/>
      <c r="AR267" s="106"/>
      <c r="AS267" s="106"/>
      <c r="AT267" s="103"/>
      <c r="AU267" s="218" t="s">
        <v>1925</v>
      </c>
      <c r="AV267" s="219"/>
      <c r="AW267" s="220"/>
      <c r="AX267" s="221"/>
    </row>
    <row r="268" spans="1:50" s="157" customFormat="1" ht="30" customHeight="1">
      <c r="A268" s="99"/>
      <c r="B268" s="109"/>
      <c r="C268" s="110"/>
      <c r="D268" s="110"/>
      <c r="E268" s="110"/>
      <c r="F268" s="110"/>
      <c r="G268" s="111"/>
      <c r="H268" s="111"/>
      <c r="I268" s="117"/>
      <c r="J268" s="695" t="s">
        <v>1666</v>
      </c>
      <c r="K268" s="152"/>
      <c r="L268" s="152"/>
      <c r="M268" s="152"/>
      <c r="N268" s="152"/>
      <c r="O268" s="152"/>
      <c r="P268" s="152"/>
      <c r="Q268" s="153"/>
      <c r="R268" s="696" t="s">
        <v>2</v>
      </c>
      <c r="S268" s="155"/>
      <c r="T268" s="155"/>
      <c r="U268" s="155"/>
      <c r="V268" s="156"/>
      <c r="W268" s="222"/>
      <c r="X268" s="117"/>
      <c r="Y268" s="695" t="s">
        <v>1666</v>
      </c>
      <c r="Z268" s="152"/>
      <c r="AA268" s="152"/>
      <c r="AB268" s="152"/>
      <c r="AC268" s="152"/>
      <c r="AD268" s="152"/>
      <c r="AE268" s="152"/>
      <c r="AF268" s="153"/>
      <c r="AG268" s="696" t="s">
        <v>2</v>
      </c>
      <c r="AH268" s="155"/>
      <c r="AI268" s="155"/>
      <c r="AJ268" s="155"/>
      <c r="AK268" s="156"/>
      <c r="AL268" s="222"/>
      <c r="AM268" s="117"/>
      <c r="AN268" s="695" t="s">
        <v>1666</v>
      </c>
      <c r="AO268" s="152"/>
      <c r="AP268" s="152"/>
      <c r="AQ268" s="152"/>
      <c r="AR268" s="152"/>
      <c r="AS268" s="153"/>
      <c r="AT268" s="222"/>
      <c r="AU268" s="223" t="s">
        <v>2840</v>
      </c>
      <c r="AV268" s="203"/>
      <c r="AW268" s="224" t="s">
        <v>2879</v>
      </c>
      <c r="AX268" s="204"/>
    </row>
    <row r="269" spans="1:50" s="98" customFormat="1" ht="15" customHeight="1">
      <c r="A269" s="99"/>
      <c r="B269" s="115"/>
      <c r="C269" s="116"/>
      <c r="D269" s="116"/>
      <c r="E269" s="116"/>
      <c r="F269" s="116"/>
      <c r="G269" s="117"/>
      <c r="H269" s="117"/>
      <c r="I269" s="119" t="s">
        <v>1667</v>
      </c>
      <c r="J269" s="158" t="s">
        <v>453</v>
      </c>
      <c r="K269" s="137" t="s">
        <v>455</v>
      </c>
      <c r="L269" s="137" t="s">
        <v>457</v>
      </c>
      <c r="M269" s="137" t="s">
        <v>459</v>
      </c>
      <c r="N269" s="137" t="s">
        <v>461</v>
      </c>
      <c r="O269" s="137" t="s">
        <v>463</v>
      </c>
      <c r="P269" s="137" t="s">
        <v>465</v>
      </c>
      <c r="Q269" s="138" t="s">
        <v>467</v>
      </c>
      <c r="R269" s="120" t="s">
        <v>469</v>
      </c>
      <c r="S269" s="121" t="s">
        <v>471</v>
      </c>
      <c r="T269" s="121" t="s">
        <v>473</v>
      </c>
      <c r="U269" s="121" t="s">
        <v>475</v>
      </c>
      <c r="V269" s="122" t="s">
        <v>477</v>
      </c>
      <c r="W269" s="185"/>
      <c r="X269" s="119" t="s">
        <v>1667</v>
      </c>
      <c r="Y269" s="158" t="s">
        <v>453</v>
      </c>
      <c r="Z269" s="137" t="s">
        <v>455</v>
      </c>
      <c r="AA269" s="137" t="s">
        <v>457</v>
      </c>
      <c r="AB269" s="137" t="s">
        <v>459</v>
      </c>
      <c r="AC269" s="137" t="s">
        <v>461</v>
      </c>
      <c r="AD269" s="137" t="s">
        <v>463</v>
      </c>
      <c r="AE269" s="137" t="s">
        <v>465</v>
      </c>
      <c r="AF269" s="138" t="s">
        <v>467</v>
      </c>
      <c r="AG269" s="120" t="s">
        <v>469</v>
      </c>
      <c r="AH269" s="121" t="s">
        <v>471</v>
      </c>
      <c r="AI269" s="121" t="s">
        <v>473</v>
      </c>
      <c r="AJ269" s="121" t="s">
        <v>475</v>
      </c>
      <c r="AK269" s="122" t="s">
        <v>477</v>
      </c>
      <c r="AL269" s="185"/>
      <c r="AM269" s="119" t="s">
        <v>1667</v>
      </c>
      <c r="AN269" s="158" t="s">
        <v>453</v>
      </c>
      <c r="AO269" s="137" t="s">
        <v>455</v>
      </c>
      <c r="AP269" s="137" t="s">
        <v>457</v>
      </c>
      <c r="AQ269" s="137" t="s">
        <v>459</v>
      </c>
      <c r="AR269" s="137" t="s">
        <v>461</v>
      </c>
      <c r="AS269" s="138" t="s">
        <v>463</v>
      </c>
      <c r="AT269" s="185"/>
      <c r="AU269" s="225" t="s">
        <v>1667</v>
      </c>
      <c r="AV269" s="206" t="s">
        <v>2142</v>
      </c>
      <c r="AW269" s="226" t="s">
        <v>1667</v>
      </c>
      <c r="AX269" s="207" t="s">
        <v>2142</v>
      </c>
    </row>
    <row r="270" spans="1:50" s="98" customFormat="1" ht="15" customHeight="1">
      <c r="A270" s="99"/>
      <c r="B270" s="161"/>
      <c r="C270" s="180"/>
      <c r="D270" s="162"/>
      <c r="E270" s="162"/>
      <c r="F270" s="162"/>
      <c r="G270" s="163"/>
      <c r="H270" s="163"/>
      <c r="I270" s="117"/>
      <c r="J270" s="159"/>
      <c r="K270" s="117"/>
      <c r="L270" s="117"/>
      <c r="M270" s="117"/>
      <c r="N270" s="117"/>
      <c r="O270" s="117"/>
      <c r="P270" s="117"/>
      <c r="Q270" s="160"/>
      <c r="R270" s="159"/>
      <c r="S270" s="117"/>
      <c r="T270" s="117"/>
      <c r="U270" s="117"/>
      <c r="V270" s="160"/>
      <c r="W270" s="185"/>
      <c r="X270" s="117"/>
      <c r="Y270" s="159"/>
      <c r="Z270" s="117"/>
      <c r="AA270" s="117"/>
      <c r="AB270" s="117"/>
      <c r="AC270" s="117"/>
      <c r="AD270" s="117"/>
      <c r="AE270" s="117"/>
      <c r="AF270" s="160"/>
      <c r="AG270" s="159"/>
      <c r="AH270" s="117"/>
      <c r="AI270" s="117"/>
      <c r="AJ270" s="117"/>
      <c r="AK270" s="160"/>
      <c r="AL270" s="185"/>
      <c r="AM270" s="117"/>
      <c r="AN270" s="159"/>
      <c r="AO270" s="117"/>
      <c r="AP270" s="117"/>
      <c r="AQ270" s="117"/>
      <c r="AR270" s="117"/>
      <c r="AS270" s="160"/>
      <c r="AT270" s="185"/>
      <c r="AU270" s="185"/>
      <c r="AV270" s="185"/>
      <c r="AW270" s="185"/>
      <c r="AX270" s="215"/>
    </row>
    <row r="271" spans="1:50" s="98" customFormat="1" ht="15" customHeight="1" thickBot="1">
      <c r="A271" s="99"/>
      <c r="B271" s="191"/>
      <c r="C271" s="192" t="s">
        <v>2895</v>
      </c>
      <c r="D271" s="193"/>
      <c r="E271" s="193"/>
      <c r="F271" s="193"/>
      <c r="G271" s="193"/>
      <c r="H271" s="194"/>
      <c r="I271" s="1102" t="s">
        <v>1876</v>
      </c>
      <c r="J271" s="232">
        <v>0</v>
      </c>
      <c r="K271" s="233">
        <v>0</v>
      </c>
      <c r="L271" s="233">
        <v>0</v>
      </c>
      <c r="M271" s="233">
        <v>0</v>
      </c>
      <c r="N271" s="233">
        <v>0</v>
      </c>
      <c r="O271" s="233">
        <v>0</v>
      </c>
      <c r="P271" s="233">
        <v>0</v>
      </c>
      <c r="Q271" s="234">
        <v>0</v>
      </c>
      <c r="R271" s="232">
        <v>0</v>
      </c>
      <c r="S271" s="233">
        <v>0</v>
      </c>
      <c r="T271" s="233">
        <v>0</v>
      </c>
      <c r="U271" s="233">
        <v>0</v>
      </c>
      <c r="V271" s="234">
        <v>0</v>
      </c>
      <c r="W271" s="1098"/>
      <c r="X271" s="1102" t="s">
        <v>1876</v>
      </c>
      <c r="Y271" s="232">
        <v>0</v>
      </c>
      <c r="Z271" s="233">
        <v>0</v>
      </c>
      <c r="AA271" s="233">
        <v>0</v>
      </c>
      <c r="AB271" s="233">
        <v>0</v>
      </c>
      <c r="AC271" s="233">
        <v>0</v>
      </c>
      <c r="AD271" s="233">
        <v>0</v>
      </c>
      <c r="AE271" s="233">
        <v>0</v>
      </c>
      <c r="AF271" s="234">
        <v>0</v>
      </c>
      <c r="AG271" s="232">
        <v>0</v>
      </c>
      <c r="AH271" s="233">
        <v>0</v>
      </c>
      <c r="AI271" s="233">
        <v>0</v>
      </c>
      <c r="AJ271" s="233">
        <v>0</v>
      </c>
      <c r="AK271" s="234">
        <v>0</v>
      </c>
      <c r="AL271" s="1098"/>
      <c r="AM271" s="1102" t="s">
        <v>1876</v>
      </c>
      <c r="AN271" s="232">
        <v>0</v>
      </c>
      <c r="AO271" s="233">
        <v>0</v>
      </c>
      <c r="AP271" s="233">
        <v>0</v>
      </c>
      <c r="AQ271" s="233">
        <v>0</v>
      </c>
      <c r="AR271" s="233">
        <v>0</v>
      </c>
      <c r="AS271" s="234">
        <v>0</v>
      </c>
      <c r="AT271" s="1098"/>
      <c r="AU271" s="1102" t="s">
        <v>1876</v>
      </c>
      <c r="AV271" s="233">
        <v>0</v>
      </c>
      <c r="AW271" s="889" t="s">
        <v>1876</v>
      </c>
      <c r="AX271" s="179">
        <f t="shared" ref="AX271" si="122">SUM(AV271,J271:N271,Y271:AC271,AN271:AR271)</f>
        <v>0</v>
      </c>
    </row>
    <row r="272" spans="1:50" ht="13.5" thickBot="1"/>
    <row r="273" spans="1:50" s="100" customFormat="1" ht="30" customHeight="1" thickBot="1">
      <c r="A273" s="89"/>
      <c r="B273" s="621" t="s">
        <v>58</v>
      </c>
      <c r="C273" s="102"/>
      <c r="D273" s="102"/>
      <c r="E273" s="102"/>
      <c r="F273" s="102"/>
      <c r="G273" s="103"/>
      <c r="H273" s="103"/>
      <c r="I273" s="105" t="s">
        <v>2837</v>
      </c>
      <c r="J273" s="106"/>
      <c r="K273" s="106"/>
      <c r="L273" s="106"/>
      <c r="M273" s="106"/>
      <c r="N273" s="106"/>
      <c r="O273" s="106"/>
      <c r="P273" s="106"/>
      <c r="Q273" s="106"/>
      <c r="R273" s="105"/>
      <c r="S273" s="105"/>
      <c r="T273" s="105"/>
      <c r="U273" s="105"/>
      <c r="V273" s="105"/>
      <c r="W273" s="103"/>
      <c r="X273" s="105" t="s">
        <v>2838</v>
      </c>
      <c r="Y273" s="106"/>
      <c r="Z273" s="106"/>
      <c r="AA273" s="106"/>
      <c r="AB273" s="106"/>
      <c r="AC273" s="106"/>
      <c r="AD273" s="106"/>
      <c r="AE273" s="106"/>
      <c r="AF273" s="106"/>
      <c r="AG273" s="105"/>
      <c r="AH273" s="105"/>
      <c r="AI273" s="105"/>
      <c r="AJ273" s="105"/>
      <c r="AK273" s="105"/>
      <c r="AL273" s="103"/>
      <c r="AM273" s="105" t="s">
        <v>2839</v>
      </c>
      <c r="AN273" s="106"/>
      <c r="AO273" s="106"/>
      <c r="AP273" s="106"/>
      <c r="AQ273" s="106"/>
      <c r="AR273" s="106"/>
      <c r="AS273" s="106"/>
      <c r="AT273" s="103"/>
      <c r="AU273" s="218" t="s">
        <v>1925</v>
      </c>
      <c r="AV273" s="219"/>
      <c r="AW273" s="220"/>
      <c r="AX273" s="221"/>
    </row>
    <row r="274" spans="1:50" s="157" customFormat="1" ht="30" customHeight="1">
      <c r="A274" s="99"/>
      <c r="B274" s="109"/>
      <c r="C274" s="110"/>
      <c r="D274" s="110"/>
      <c r="E274" s="110"/>
      <c r="F274" s="110"/>
      <c r="G274" s="111"/>
      <c r="H274" s="111"/>
      <c r="I274" s="117"/>
      <c r="J274" s="695" t="s">
        <v>1666</v>
      </c>
      <c r="K274" s="152"/>
      <c r="L274" s="152"/>
      <c r="M274" s="152"/>
      <c r="N274" s="152"/>
      <c r="O274" s="152"/>
      <c r="P274" s="152"/>
      <c r="Q274" s="153"/>
      <c r="R274" s="696" t="s">
        <v>2</v>
      </c>
      <c r="S274" s="155"/>
      <c r="T274" s="155"/>
      <c r="U274" s="155"/>
      <c r="V274" s="156"/>
      <c r="W274" s="222"/>
      <c r="X274" s="117"/>
      <c r="Y274" s="695" t="s">
        <v>1666</v>
      </c>
      <c r="Z274" s="152"/>
      <c r="AA274" s="152"/>
      <c r="AB274" s="152"/>
      <c r="AC274" s="152"/>
      <c r="AD274" s="152"/>
      <c r="AE274" s="152"/>
      <c r="AF274" s="153"/>
      <c r="AG274" s="696" t="s">
        <v>2</v>
      </c>
      <c r="AH274" s="155"/>
      <c r="AI274" s="155"/>
      <c r="AJ274" s="155"/>
      <c r="AK274" s="156"/>
      <c r="AL274" s="222"/>
      <c r="AM274" s="117"/>
      <c r="AN274" s="695" t="s">
        <v>1666</v>
      </c>
      <c r="AO274" s="152"/>
      <c r="AP274" s="152"/>
      <c r="AQ274" s="152"/>
      <c r="AR274" s="152"/>
      <c r="AS274" s="153"/>
      <c r="AT274" s="222"/>
      <c r="AU274" s="223" t="s">
        <v>2840</v>
      </c>
      <c r="AV274" s="203"/>
      <c r="AW274" s="224" t="s">
        <v>2879</v>
      </c>
      <c r="AX274" s="204"/>
    </row>
    <row r="275" spans="1:50" s="98" customFormat="1" ht="15" customHeight="1">
      <c r="A275" s="99"/>
      <c r="B275" s="115"/>
      <c r="C275" s="116"/>
      <c r="D275" s="116"/>
      <c r="E275" s="116"/>
      <c r="F275" s="116"/>
      <c r="G275" s="117"/>
      <c r="H275" s="117"/>
      <c r="I275" s="119" t="s">
        <v>1667</v>
      </c>
      <c r="J275" s="158" t="s">
        <v>453</v>
      </c>
      <c r="K275" s="137" t="s">
        <v>455</v>
      </c>
      <c r="L275" s="137" t="s">
        <v>457</v>
      </c>
      <c r="M275" s="137" t="s">
        <v>459</v>
      </c>
      <c r="N275" s="137" t="s">
        <v>461</v>
      </c>
      <c r="O275" s="137" t="s">
        <v>463</v>
      </c>
      <c r="P275" s="137" t="s">
        <v>465</v>
      </c>
      <c r="Q275" s="138" t="s">
        <v>467</v>
      </c>
      <c r="R275" s="120" t="s">
        <v>469</v>
      </c>
      <c r="S275" s="121" t="s">
        <v>471</v>
      </c>
      <c r="T275" s="121" t="s">
        <v>473</v>
      </c>
      <c r="U275" s="121" t="s">
        <v>475</v>
      </c>
      <c r="V275" s="122" t="s">
        <v>477</v>
      </c>
      <c r="W275" s="185"/>
      <c r="X275" s="119" t="s">
        <v>1667</v>
      </c>
      <c r="Y275" s="158" t="s">
        <v>453</v>
      </c>
      <c r="Z275" s="137" t="s">
        <v>455</v>
      </c>
      <c r="AA275" s="137" t="s">
        <v>457</v>
      </c>
      <c r="AB275" s="137" t="s">
        <v>459</v>
      </c>
      <c r="AC275" s="137" t="s">
        <v>461</v>
      </c>
      <c r="AD275" s="137" t="s">
        <v>463</v>
      </c>
      <c r="AE275" s="137" t="s">
        <v>465</v>
      </c>
      <c r="AF275" s="138" t="s">
        <v>467</v>
      </c>
      <c r="AG275" s="120" t="s">
        <v>469</v>
      </c>
      <c r="AH275" s="121" t="s">
        <v>471</v>
      </c>
      <c r="AI275" s="121" t="s">
        <v>473</v>
      </c>
      <c r="AJ275" s="121" t="s">
        <v>475</v>
      </c>
      <c r="AK275" s="122" t="s">
        <v>477</v>
      </c>
      <c r="AL275" s="185"/>
      <c r="AM275" s="119" t="s">
        <v>1667</v>
      </c>
      <c r="AN275" s="158" t="s">
        <v>453</v>
      </c>
      <c r="AO275" s="137" t="s">
        <v>455</v>
      </c>
      <c r="AP275" s="137" t="s">
        <v>457</v>
      </c>
      <c r="AQ275" s="137" t="s">
        <v>459</v>
      </c>
      <c r="AR275" s="137" t="s">
        <v>461</v>
      </c>
      <c r="AS275" s="138" t="s">
        <v>463</v>
      </c>
      <c r="AT275" s="185"/>
      <c r="AU275" s="225" t="s">
        <v>1667</v>
      </c>
      <c r="AV275" s="206" t="s">
        <v>2142</v>
      </c>
      <c r="AW275" s="226" t="s">
        <v>1667</v>
      </c>
      <c r="AX275" s="207" t="s">
        <v>2142</v>
      </c>
    </row>
    <row r="276" spans="1:50" s="98" customFormat="1" ht="15" customHeight="1">
      <c r="A276" s="99"/>
      <c r="B276" s="161"/>
      <c r="C276" s="180" t="s">
        <v>2856</v>
      </c>
      <c r="D276" s="162"/>
      <c r="E276" s="162"/>
      <c r="F276" s="162"/>
      <c r="G276" s="163"/>
      <c r="H276" s="163"/>
      <c r="I276" s="117"/>
      <c r="J276" s="159"/>
      <c r="K276" s="117"/>
      <c r="L276" s="117"/>
      <c r="M276" s="117"/>
      <c r="N276" s="117"/>
      <c r="O276" s="117"/>
      <c r="P276" s="117"/>
      <c r="Q276" s="160"/>
      <c r="R276" s="159"/>
      <c r="S276" s="117"/>
      <c r="T276" s="117"/>
      <c r="U276" s="117"/>
      <c r="V276" s="160"/>
      <c r="W276" s="185"/>
      <c r="X276" s="117"/>
      <c r="Y276" s="159"/>
      <c r="Z276" s="117"/>
      <c r="AA276" s="117"/>
      <c r="AB276" s="117"/>
      <c r="AC276" s="117"/>
      <c r="AD276" s="117"/>
      <c r="AE276" s="117"/>
      <c r="AF276" s="160"/>
      <c r="AG276" s="159"/>
      <c r="AH276" s="117"/>
      <c r="AI276" s="117"/>
      <c r="AJ276" s="117"/>
      <c r="AK276" s="160"/>
      <c r="AL276" s="185"/>
      <c r="AM276" s="117"/>
      <c r="AN276" s="159"/>
      <c r="AO276" s="117"/>
      <c r="AP276" s="117"/>
      <c r="AQ276" s="117"/>
      <c r="AR276" s="117"/>
      <c r="AS276" s="160"/>
      <c r="AT276" s="185"/>
      <c r="AU276" s="185"/>
      <c r="AV276" s="185"/>
      <c r="AW276" s="185"/>
      <c r="AX276" s="215"/>
    </row>
    <row r="277" spans="1:50" s="98" customFormat="1" ht="15" customHeight="1">
      <c r="A277" s="99"/>
      <c r="B277" s="161"/>
      <c r="C277" s="185"/>
      <c r="D277" s="162" t="s">
        <v>2523</v>
      </c>
      <c r="E277" s="162"/>
      <c r="F277" s="162"/>
      <c r="G277" s="162"/>
      <c r="H277" s="163"/>
      <c r="I277" s="164" t="s">
        <v>2233</v>
      </c>
      <c r="J277" s="143">
        <v>0</v>
      </c>
      <c r="K277" s="141">
        <v>0</v>
      </c>
      <c r="L277" s="141">
        <v>0</v>
      </c>
      <c r="M277" s="141">
        <v>0</v>
      </c>
      <c r="N277" s="141">
        <v>0</v>
      </c>
      <c r="O277" s="141">
        <v>0</v>
      </c>
      <c r="P277" s="141">
        <v>0</v>
      </c>
      <c r="Q277" s="144">
        <v>0</v>
      </c>
      <c r="R277" s="143">
        <v>0</v>
      </c>
      <c r="S277" s="141">
        <v>0</v>
      </c>
      <c r="T277" s="141">
        <v>0</v>
      </c>
      <c r="U277" s="141">
        <v>0</v>
      </c>
      <c r="V277" s="144">
        <v>0</v>
      </c>
      <c r="W277" s="838"/>
      <c r="X277" s="1100" t="s">
        <v>2233</v>
      </c>
      <c r="Y277" s="143">
        <v>0</v>
      </c>
      <c r="Z277" s="141">
        <v>0</v>
      </c>
      <c r="AA277" s="141">
        <v>0</v>
      </c>
      <c r="AB277" s="141">
        <v>0</v>
      </c>
      <c r="AC277" s="141">
        <v>0</v>
      </c>
      <c r="AD277" s="141">
        <v>0</v>
      </c>
      <c r="AE277" s="141">
        <v>0</v>
      </c>
      <c r="AF277" s="144">
        <v>0</v>
      </c>
      <c r="AG277" s="143">
        <v>0</v>
      </c>
      <c r="AH277" s="141">
        <v>0</v>
      </c>
      <c r="AI277" s="141">
        <v>0</v>
      </c>
      <c r="AJ277" s="141">
        <v>0</v>
      </c>
      <c r="AK277" s="144">
        <v>0</v>
      </c>
      <c r="AL277" s="838"/>
      <c r="AM277" s="1100" t="s">
        <v>2233</v>
      </c>
      <c r="AN277" s="143">
        <v>0</v>
      </c>
      <c r="AO277" s="141">
        <v>0</v>
      </c>
      <c r="AP277" s="141">
        <v>0</v>
      </c>
      <c r="AQ277" s="141">
        <v>0</v>
      </c>
      <c r="AR277" s="141">
        <v>0</v>
      </c>
      <c r="AS277" s="144">
        <v>0</v>
      </c>
      <c r="AT277" s="838"/>
      <c r="AU277" s="1100" t="s">
        <v>2233</v>
      </c>
      <c r="AV277" s="141">
        <v>0</v>
      </c>
      <c r="AW277" s="1101" t="s">
        <v>2233</v>
      </c>
      <c r="AX277" s="130">
        <f t="shared" ref="AX277:AX278" si="123">SUM(AV277,J277:N277,Y277:AC277,AN277:AR277)</f>
        <v>0</v>
      </c>
    </row>
    <row r="278" spans="1:50" s="98" customFormat="1" ht="15" customHeight="1" thickBot="1">
      <c r="A278" s="99"/>
      <c r="B278" s="191"/>
      <c r="C278" s="192"/>
      <c r="D278" s="193" t="s">
        <v>1843</v>
      </c>
      <c r="E278" s="193"/>
      <c r="F278" s="193"/>
      <c r="G278" s="193"/>
      <c r="H278" s="194"/>
      <c r="I278" s="195" t="s">
        <v>1876</v>
      </c>
      <c r="J278" s="232">
        <v>0</v>
      </c>
      <c r="K278" s="233">
        <v>0</v>
      </c>
      <c r="L278" s="233">
        <v>0</v>
      </c>
      <c r="M278" s="233">
        <v>0</v>
      </c>
      <c r="N278" s="233">
        <v>0</v>
      </c>
      <c r="O278" s="233">
        <v>0</v>
      </c>
      <c r="P278" s="233">
        <v>0</v>
      </c>
      <c r="Q278" s="234">
        <v>0</v>
      </c>
      <c r="R278" s="232">
        <v>0</v>
      </c>
      <c r="S278" s="233">
        <v>0</v>
      </c>
      <c r="T278" s="233">
        <v>0</v>
      </c>
      <c r="U278" s="233">
        <v>0</v>
      </c>
      <c r="V278" s="234">
        <v>0</v>
      </c>
      <c r="W278" s="1098"/>
      <c r="X278" s="1102" t="s">
        <v>1876</v>
      </c>
      <c r="Y278" s="232">
        <v>0</v>
      </c>
      <c r="Z278" s="233">
        <v>0</v>
      </c>
      <c r="AA278" s="233">
        <v>0</v>
      </c>
      <c r="AB278" s="233">
        <v>0</v>
      </c>
      <c r="AC278" s="233">
        <v>0</v>
      </c>
      <c r="AD278" s="233">
        <v>0</v>
      </c>
      <c r="AE278" s="233">
        <v>0</v>
      </c>
      <c r="AF278" s="234">
        <v>0</v>
      </c>
      <c r="AG278" s="232">
        <v>0</v>
      </c>
      <c r="AH278" s="233">
        <v>0</v>
      </c>
      <c r="AI278" s="233">
        <v>0</v>
      </c>
      <c r="AJ278" s="233">
        <v>0</v>
      </c>
      <c r="AK278" s="234">
        <v>0</v>
      </c>
      <c r="AL278" s="1098"/>
      <c r="AM278" s="1102" t="s">
        <v>1876</v>
      </c>
      <c r="AN278" s="232">
        <v>0</v>
      </c>
      <c r="AO278" s="233">
        <v>0</v>
      </c>
      <c r="AP278" s="233">
        <v>0</v>
      </c>
      <c r="AQ278" s="233">
        <v>0</v>
      </c>
      <c r="AR278" s="233">
        <v>0</v>
      </c>
      <c r="AS278" s="234">
        <v>0</v>
      </c>
      <c r="AT278" s="1098"/>
      <c r="AU278" s="1102" t="s">
        <v>1876</v>
      </c>
      <c r="AV278" s="233">
        <v>0</v>
      </c>
      <c r="AW278" s="889" t="s">
        <v>1876</v>
      </c>
      <c r="AX278" s="179">
        <f t="shared" si="123"/>
        <v>0</v>
      </c>
    </row>
    <row r="291" spans="8:14">
      <c r="H291" s="174"/>
      <c r="I291" s="174"/>
      <c r="J291" s="174"/>
      <c r="K291" s="174"/>
      <c r="L291" s="174"/>
      <c r="M291" s="174"/>
      <c r="N291" s="174"/>
    </row>
    <row r="292" spans="8:14">
      <c r="H292" s="174"/>
      <c r="I292" s="174"/>
      <c r="J292" s="174"/>
      <c r="K292" s="174"/>
      <c r="L292" s="174"/>
      <c r="M292" s="174"/>
      <c r="N292" s="174"/>
    </row>
    <row r="293" spans="8:14">
      <c r="H293" s="174"/>
      <c r="I293" s="174"/>
      <c r="J293" s="174"/>
      <c r="K293" s="174"/>
      <c r="L293" s="174"/>
      <c r="M293" s="174"/>
      <c r="N293" s="174"/>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tabColor rgb="FF00B050"/>
  </sheetPr>
  <dimension ref="A1:BX243"/>
  <sheetViews>
    <sheetView showGridLines="0" zoomScale="60" zoomScaleNormal="60" workbookViewId="0">
      <pane xSplit="7" topLeftCell="AS1" activePane="topRight" state="frozen"/>
      <selection activeCell="G14" sqref="G14"/>
      <selection pane="topRight" activeCell="N44" sqref="N44"/>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5" customWidth="1"/>
    <col min="25" max="37" width="15.625" style="173" customWidth="1"/>
    <col min="38" max="38" width="5.625" style="173" customWidth="1"/>
    <col min="39" max="39" width="15.625" style="175" customWidth="1"/>
    <col min="40" max="52" width="15.625" style="173" customWidth="1"/>
    <col min="53" max="53" width="5.625" style="173" customWidth="1"/>
    <col min="54" max="54" width="15.625" style="175" customWidth="1"/>
    <col min="55" max="60" width="15.625" style="173" customWidth="1"/>
    <col min="61" max="61" width="5.625" style="173" customWidth="1"/>
    <col min="62" max="63" width="15.625" style="173" customWidth="1"/>
    <col min="64" max="64" width="14.125" style="173" customWidth="1"/>
    <col min="65" max="65" width="11.875" style="173" customWidth="1"/>
    <col min="66" max="66" width="11.875" style="173"/>
    <col min="67" max="67" width="11.875" style="175"/>
    <col min="68" max="16384" width="11.875" style="173"/>
  </cols>
  <sheetData>
    <row r="1" spans="1:76" s="2" customFormat="1" ht="25.15" customHeight="1">
      <c r="A1" s="1" t="s">
        <v>0</v>
      </c>
      <c r="G1" s="3"/>
      <c r="J1" s="4" t="s">
        <v>1</v>
      </c>
      <c r="L1" s="3"/>
    </row>
    <row r="2" spans="1:76" s="2" customFormat="1" ht="25.15" customHeight="1">
      <c r="A2" s="5" t="s">
        <v>309</v>
      </c>
      <c r="B2" s="6"/>
      <c r="F2" s="7"/>
      <c r="G2" s="3"/>
    </row>
    <row r="3" spans="1:76" s="9" customFormat="1" ht="25.15" customHeight="1" thickBot="1">
      <c r="A3" s="8" t="s">
        <v>2</v>
      </c>
      <c r="F3" s="10"/>
      <c r="G3" s="11"/>
    </row>
    <row r="4" spans="1:76" s="89" customFormat="1" ht="25.15" customHeight="1">
      <c r="B4" s="90" t="s">
        <v>2896</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3"/>
      <c r="AN4" s="94"/>
      <c r="AO4" s="94"/>
      <c r="AP4" s="94"/>
      <c r="AQ4" s="94"/>
      <c r="AR4" s="94"/>
      <c r="AS4" s="94"/>
      <c r="AT4" s="94"/>
      <c r="AU4" s="94"/>
      <c r="AV4" s="94"/>
      <c r="AW4" s="92"/>
      <c r="AX4" s="92"/>
      <c r="AY4" s="92"/>
      <c r="AZ4" s="92"/>
      <c r="BA4" s="92"/>
      <c r="BB4" s="93"/>
      <c r="BC4" s="94"/>
      <c r="BD4" s="94"/>
      <c r="BE4" s="94"/>
      <c r="BF4" s="94"/>
      <c r="BG4" s="94"/>
      <c r="BH4" s="94"/>
      <c r="BI4" s="92"/>
      <c r="BJ4" s="92"/>
      <c r="BK4" s="92"/>
      <c r="BL4" s="92"/>
      <c r="BM4" s="92"/>
      <c r="BN4" s="92"/>
      <c r="BO4" s="92"/>
      <c r="BP4" s="92"/>
      <c r="BQ4" s="92"/>
      <c r="BR4" s="94"/>
      <c r="BS4" s="92"/>
      <c r="BT4" s="92"/>
      <c r="BU4" s="92"/>
      <c r="BV4" s="92"/>
      <c r="BW4" s="92"/>
      <c r="BX4" s="92"/>
    </row>
    <row r="5" spans="1:76" s="89" customFormat="1" ht="25.15" customHeight="1">
      <c r="B5" s="95"/>
      <c r="C5" s="95"/>
      <c r="D5" s="95"/>
      <c r="E5" s="95"/>
      <c r="F5" s="95"/>
      <c r="G5" s="95"/>
      <c r="I5" s="95"/>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3"/>
      <c r="AN5" s="94"/>
      <c r="AO5" s="94"/>
      <c r="AP5" s="94"/>
      <c r="AQ5" s="94"/>
      <c r="AR5" s="94"/>
      <c r="AS5" s="94"/>
      <c r="AT5" s="94"/>
      <c r="AU5" s="94"/>
      <c r="AV5" s="94"/>
      <c r="AW5" s="92"/>
      <c r="AX5" s="92"/>
      <c r="AY5" s="92"/>
      <c r="AZ5" s="92"/>
      <c r="BA5" s="92"/>
      <c r="BB5" s="93"/>
      <c r="BC5" s="94"/>
      <c r="BD5" s="94"/>
      <c r="BE5" s="94"/>
      <c r="BF5" s="94"/>
      <c r="BG5" s="94"/>
      <c r="BH5" s="94"/>
      <c r="BI5" s="92"/>
      <c r="BJ5" s="92"/>
      <c r="BK5" s="92"/>
      <c r="BL5" s="92"/>
      <c r="BM5" s="92"/>
      <c r="BN5" s="92"/>
      <c r="BO5" s="92"/>
      <c r="BP5" s="92"/>
      <c r="BQ5" s="92"/>
      <c r="BR5" s="94"/>
      <c r="BS5" s="92"/>
      <c r="BT5" s="92"/>
      <c r="BU5" s="92"/>
      <c r="BV5" s="92"/>
      <c r="BW5" s="92"/>
      <c r="BX5" s="92"/>
    </row>
    <row r="6" spans="1:76"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3"/>
      <c r="AN6" s="94"/>
      <c r="AO6" s="94"/>
      <c r="AP6" s="94"/>
      <c r="AQ6" s="94"/>
      <c r="AR6" s="94"/>
      <c r="AS6" s="94"/>
      <c r="AT6" s="94"/>
      <c r="AU6" s="94"/>
      <c r="AV6" s="94"/>
      <c r="AW6" s="92"/>
      <c r="AX6" s="92"/>
      <c r="AY6" s="92"/>
      <c r="AZ6" s="92"/>
      <c r="BA6" s="92"/>
      <c r="BB6" s="93"/>
      <c r="BC6" s="94"/>
      <c r="BD6" s="94"/>
      <c r="BE6" s="94"/>
      <c r="BF6" s="94"/>
      <c r="BG6" s="94"/>
      <c r="BH6" s="94"/>
      <c r="BI6" s="92"/>
      <c r="BJ6" s="92"/>
      <c r="BK6" s="92"/>
      <c r="BL6" s="92"/>
      <c r="BM6" s="92"/>
      <c r="BN6" s="92"/>
      <c r="BO6" s="92"/>
      <c r="BP6" s="92"/>
      <c r="BQ6" s="92"/>
      <c r="BR6" s="94"/>
      <c r="BS6" s="92"/>
      <c r="BT6" s="92"/>
      <c r="BU6" s="92"/>
      <c r="BV6" s="92"/>
      <c r="BW6" s="92"/>
      <c r="BX6" s="92"/>
    </row>
    <row r="7" spans="1:76"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7"/>
      <c r="AM7" s="96"/>
      <c r="AN7" s="97"/>
      <c r="AO7" s="97"/>
      <c r="AP7" s="97"/>
      <c r="AQ7" s="97"/>
      <c r="AR7" s="97"/>
      <c r="AS7" s="97"/>
      <c r="AT7" s="97"/>
      <c r="AU7" s="97"/>
      <c r="AV7" s="97"/>
      <c r="AW7" s="97"/>
      <c r="AX7" s="97"/>
      <c r="AY7" s="97"/>
      <c r="AZ7" s="97"/>
      <c r="BA7" s="92"/>
      <c r="BB7" s="93"/>
      <c r="BC7" s="94"/>
      <c r="BD7" s="94"/>
      <c r="BE7" s="94"/>
      <c r="BF7" s="94"/>
      <c r="BG7" s="94"/>
      <c r="BH7" s="94"/>
      <c r="BI7" s="97"/>
      <c r="BJ7" s="97"/>
      <c r="BK7" s="97"/>
      <c r="BL7" s="97"/>
      <c r="BM7" s="97"/>
      <c r="BN7" s="97"/>
      <c r="BO7" s="96"/>
      <c r="BP7" s="98"/>
      <c r="BQ7" s="98"/>
      <c r="BR7" s="98"/>
      <c r="BS7" s="98"/>
      <c r="BT7" s="98"/>
      <c r="BU7" s="98"/>
      <c r="BV7" s="98"/>
      <c r="BW7" s="98"/>
      <c r="BX7" s="98"/>
    </row>
    <row r="8" spans="1:76" s="100" customFormat="1" ht="30" customHeight="1" thickBot="1">
      <c r="A8" s="89"/>
      <c r="B8" s="101" t="s">
        <v>1826</v>
      </c>
      <c r="C8" s="102"/>
      <c r="D8" s="102"/>
      <c r="E8" s="102"/>
      <c r="F8" s="102"/>
      <c r="G8" s="103"/>
      <c r="H8" s="103"/>
      <c r="I8" s="105" t="s">
        <v>2837</v>
      </c>
      <c r="J8" s="106"/>
      <c r="K8" s="106"/>
      <c r="L8" s="106"/>
      <c r="M8" s="106"/>
      <c r="N8" s="106"/>
      <c r="O8" s="106"/>
      <c r="P8" s="106"/>
      <c r="Q8" s="106"/>
      <c r="R8" s="105"/>
      <c r="S8" s="105"/>
      <c r="T8" s="105"/>
      <c r="U8" s="105"/>
      <c r="V8" s="105"/>
      <c r="W8" s="103"/>
      <c r="X8" s="105" t="s">
        <v>2838</v>
      </c>
      <c r="Y8" s="106"/>
      <c r="Z8" s="106"/>
      <c r="AA8" s="106"/>
      <c r="AB8" s="106"/>
      <c r="AC8" s="106"/>
      <c r="AD8" s="106"/>
      <c r="AE8" s="106"/>
      <c r="AF8" s="106"/>
      <c r="AG8" s="105"/>
      <c r="AH8" s="105"/>
      <c r="AI8" s="105"/>
      <c r="AJ8" s="105"/>
      <c r="AK8" s="105"/>
      <c r="AL8" s="103"/>
      <c r="AM8" s="105" t="s">
        <v>2897</v>
      </c>
      <c r="AN8" s="106"/>
      <c r="AO8" s="106"/>
      <c r="AP8" s="106"/>
      <c r="AQ8" s="106"/>
      <c r="AR8" s="106"/>
      <c r="AS8" s="106"/>
      <c r="AT8" s="106"/>
      <c r="AU8" s="106"/>
      <c r="AV8" s="106"/>
      <c r="AW8" s="105"/>
      <c r="AX8" s="105"/>
      <c r="AY8" s="105"/>
      <c r="AZ8" s="105"/>
      <c r="BA8" s="103"/>
      <c r="BB8" s="105" t="s">
        <v>2898</v>
      </c>
      <c r="BC8" s="106"/>
      <c r="BD8" s="106"/>
      <c r="BE8" s="106"/>
      <c r="BF8" s="106"/>
      <c r="BG8" s="106"/>
      <c r="BH8" s="106"/>
      <c r="BI8" s="103"/>
      <c r="BJ8" s="218" t="s">
        <v>1925</v>
      </c>
      <c r="BK8" s="221"/>
    </row>
    <row r="9" spans="1:76"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c r="W9" s="222"/>
      <c r="X9" s="117"/>
      <c r="Y9" s="695" t="s">
        <v>1666</v>
      </c>
      <c r="Z9" s="152"/>
      <c r="AA9" s="152"/>
      <c r="AB9" s="152"/>
      <c r="AC9" s="152"/>
      <c r="AD9" s="152"/>
      <c r="AE9" s="152"/>
      <c r="AF9" s="153"/>
      <c r="AG9" s="696" t="s">
        <v>2</v>
      </c>
      <c r="AH9" s="155"/>
      <c r="AI9" s="155"/>
      <c r="AJ9" s="155"/>
      <c r="AK9" s="156"/>
      <c r="AL9" s="222"/>
      <c r="AM9" s="117"/>
      <c r="AN9" s="695" t="s">
        <v>1666</v>
      </c>
      <c r="AO9" s="152"/>
      <c r="AP9" s="152"/>
      <c r="AQ9" s="152"/>
      <c r="AR9" s="152"/>
      <c r="AS9" s="152"/>
      <c r="AT9" s="152"/>
      <c r="AU9" s="153"/>
      <c r="AV9" s="696"/>
      <c r="AW9" s="155" t="s">
        <v>2</v>
      </c>
      <c r="AX9" s="155"/>
      <c r="AY9" s="155"/>
      <c r="AZ9" s="156"/>
      <c r="BA9" s="222"/>
      <c r="BB9" s="117"/>
      <c r="BC9" s="695" t="s">
        <v>1666</v>
      </c>
      <c r="BD9" s="152"/>
      <c r="BE9" s="152"/>
      <c r="BF9" s="152"/>
      <c r="BG9" s="152"/>
      <c r="BH9" s="153"/>
      <c r="BI9" s="222"/>
      <c r="BJ9" s="203" t="s">
        <v>2899</v>
      </c>
      <c r="BK9" s="204"/>
    </row>
    <row r="10" spans="1:76"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8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185"/>
      <c r="AM10" s="119" t="s">
        <v>1667</v>
      </c>
      <c r="AN10" s="158" t="s">
        <v>453</v>
      </c>
      <c r="AO10" s="137" t="s">
        <v>455</v>
      </c>
      <c r="AP10" s="137" t="s">
        <v>457</v>
      </c>
      <c r="AQ10" s="137" t="s">
        <v>459</v>
      </c>
      <c r="AR10" s="137" t="s">
        <v>461</v>
      </c>
      <c r="AS10" s="137" t="s">
        <v>463</v>
      </c>
      <c r="AT10" s="137" t="s">
        <v>465</v>
      </c>
      <c r="AU10" s="138" t="s">
        <v>467</v>
      </c>
      <c r="AV10" s="120" t="s">
        <v>469</v>
      </c>
      <c r="AW10" s="121" t="s">
        <v>471</v>
      </c>
      <c r="AX10" s="121" t="s">
        <v>473</v>
      </c>
      <c r="AY10" s="121" t="s">
        <v>475</v>
      </c>
      <c r="AZ10" s="122" t="s">
        <v>477</v>
      </c>
      <c r="BA10" s="185"/>
      <c r="BB10" s="119" t="s">
        <v>1667</v>
      </c>
      <c r="BC10" s="158" t="s">
        <v>453</v>
      </c>
      <c r="BD10" s="137" t="s">
        <v>455</v>
      </c>
      <c r="BE10" s="137" t="s">
        <v>457</v>
      </c>
      <c r="BF10" s="137" t="s">
        <v>459</v>
      </c>
      <c r="BG10" s="137" t="s">
        <v>461</v>
      </c>
      <c r="BH10" s="138" t="s">
        <v>463</v>
      </c>
      <c r="BI10" s="185"/>
      <c r="BJ10" s="206" t="s">
        <v>1667</v>
      </c>
      <c r="BK10" s="207" t="s">
        <v>2142</v>
      </c>
    </row>
    <row r="11" spans="1:76" s="98" customFormat="1" ht="15" customHeight="1">
      <c r="A11" s="99"/>
      <c r="B11" s="161"/>
      <c r="C11" s="180" t="s">
        <v>2900</v>
      </c>
      <c r="D11" s="180"/>
      <c r="E11" s="180"/>
      <c r="F11" s="162"/>
      <c r="G11" s="163"/>
      <c r="H11" s="163"/>
      <c r="I11" s="117"/>
      <c r="J11" s="159"/>
      <c r="K11" s="117"/>
      <c r="L11" s="117"/>
      <c r="M11" s="117"/>
      <c r="N11" s="117"/>
      <c r="O11" s="117"/>
      <c r="P11" s="117"/>
      <c r="Q11" s="160"/>
      <c r="R11" s="159"/>
      <c r="S11" s="117"/>
      <c r="T11" s="117"/>
      <c r="U11" s="117"/>
      <c r="V11" s="160"/>
      <c r="W11" s="185"/>
      <c r="X11" s="117"/>
      <c r="Y11" s="159"/>
      <c r="Z11" s="117"/>
      <c r="AA11" s="117"/>
      <c r="AB11" s="117"/>
      <c r="AC11" s="117"/>
      <c r="AD11" s="117"/>
      <c r="AE11" s="117"/>
      <c r="AF11" s="160"/>
      <c r="AG11" s="159"/>
      <c r="AH11" s="117"/>
      <c r="AI11" s="117"/>
      <c r="AJ11" s="117"/>
      <c r="AK11" s="160"/>
      <c r="AL11" s="185"/>
      <c r="AM11" s="117"/>
      <c r="AN11" s="159"/>
      <c r="AO11" s="117"/>
      <c r="AP11" s="117"/>
      <c r="AQ11" s="117"/>
      <c r="AR11" s="117"/>
      <c r="AS11" s="117"/>
      <c r="AT11" s="117"/>
      <c r="AU11" s="160"/>
      <c r="AV11" s="159"/>
      <c r="AW11" s="117"/>
      <c r="AX11" s="117"/>
      <c r="AY11" s="117"/>
      <c r="AZ11" s="160"/>
      <c r="BA11" s="185"/>
      <c r="BB11" s="117"/>
      <c r="BC11" s="159"/>
      <c r="BD11" s="117"/>
      <c r="BE11" s="117"/>
      <c r="BF11" s="117"/>
      <c r="BG11" s="117"/>
      <c r="BH11" s="160"/>
      <c r="BI11" s="185"/>
      <c r="BJ11" s="209"/>
      <c r="BK11" s="210"/>
    </row>
    <row r="12" spans="1:76" s="98" customFormat="1" ht="15" customHeight="1">
      <c r="A12" s="99"/>
      <c r="B12" s="161"/>
      <c r="C12" s="185"/>
      <c r="D12" s="162" t="s">
        <v>1829</v>
      </c>
      <c r="E12" s="185"/>
      <c r="F12" s="185"/>
      <c r="G12" s="163"/>
      <c r="H12" s="163"/>
      <c r="I12" s="164" t="s">
        <v>2265</v>
      </c>
      <c r="J12" s="143">
        <v>4.5999999999999999E-2</v>
      </c>
      <c r="K12" s="141">
        <v>4.5999999999999999E-2</v>
      </c>
      <c r="L12" s="141">
        <v>4.5999999999999999E-2</v>
      </c>
      <c r="M12" s="141">
        <v>0</v>
      </c>
      <c r="N12" s="141">
        <v>0</v>
      </c>
      <c r="O12" s="141">
        <v>0</v>
      </c>
      <c r="P12" s="141">
        <v>0</v>
      </c>
      <c r="Q12" s="144">
        <v>0</v>
      </c>
      <c r="R12" s="143">
        <v>0</v>
      </c>
      <c r="S12" s="141">
        <v>0</v>
      </c>
      <c r="T12" s="141">
        <v>0</v>
      </c>
      <c r="U12" s="141">
        <v>0</v>
      </c>
      <c r="V12" s="144">
        <v>0</v>
      </c>
      <c r="W12" s="185"/>
      <c r="X12" s="164" t="s">
        <v>2265</v>
      </c>
      <c r="Y12" s="143">
        <v>0</v>
      </c>
      <c r="Z12" s="141">
        <v>0</v>
      </c>
      <c r="AA12" s="141">
        <v>0</v>
      </c>
      <c r="AB12" s="141">
        <v>-4.5999999999999999E-2</v>
      </c>
      <c r="AC12" s="141">
        <v>0</v>
      </c>
      <c r="AD12" s="141">
        <v>0</v>
      </c>
      <c r="AE12" s="141">
        <v>0</v>
      </c>
      <c r="AF12" s="144">
        <v>0</v>
      </c>
      <c r="AG12" s="143">
        <v>0</v>
      </c>
      <c r="AH12" s="141">
        <v>0</v>
      </c>
      <c r="AI12" s="141">
        <v>0</v>
      </c>
      <c r="AJ12" s="141">
        <v>0</v>
      </c>
      <c r="AK12" s="144">
        <v>0</v>
      </c>
      <c r="AL12" s="185"/>
      <c r="AM12" s="164" t="s">
        <v>2901</v>
      </c>
      <c r="AN12" s="165">
        <v>4</v>
      </c>
      <c r="AO12" s="166">
        <v>4</v>
      </c>
      <c r="AP12" s="166">
        <v>4</v>
      </c>
      <c r="AQ12" s="166">
        <v>0</v>
      </c>
      <c r="AR12" s="166">
        <v>0</v>
      </c>
      <c r="AS12" s="166">
        <v>0</v>
      </c>
      <c r="AT12" s="166">
        <v>0</v>
      </c>
      <c r="AU12" s="167">
        <v>0</v>
      </c>
      <c r="AV12" s="165">
        <v>0</v>
      </c>
      <c r="AW12" s="166">
        <v>0</v>
      </c>
      <c r="AX12" s="166">
        <v>0</v>
      </c>
      <c r="AY12" s="166">
        <v>0</v>
      </c>
      <c r="AZ12" s="167">
        <v>0</v>
      </c>
      <c r="BA12" s="185"/>
      <c r="BB12" s="164" t="s">
        <v>2265</v>
      </c>
      <c r="BC12" s="143">
        <v>0</v>
      </c>
      <c r="BD12" s="141">
        <v>0</v>
      </c>
      <c r="BE12" s="141">
        <v>0</v>
      </c>
      <c r="BF12" s="141">
        <v>-4.5999999999999999E-2</v>
      </c>
      <c r="BG12" s="141">
        <v>0</v>
      </c>
      <c r="BH12" s="144">
        <v>0</v>
      </c>
      <c r="BI12" s="185"/>
      <c r="BJ12" s="119" t="s">
        <v>2265</v>
      </c>
      <c r="BK12" s="144">
        <v>4.5999999999999999E-2</v>
      </c>
    </row>
    <row r="13" spans="1:76" s="98" customFormat="1" ht="15" customHeight="1">
      <c r="A13" s="99"/>
      <c r="B13" s="161"/>
      <c r="C13" s="185"/>
      <c r="D13" s="162" t="s">
        <v>2902</v>
      </c>
      <c r="E13" s="185"/>
      <c r="F13" s="185"/>
      <c r="G13" s="163"/>
      <c r="H13" s="163"/>
      <c r="I13" s="164" t="s">
        <v>2265</v>
      </c>
      <c r="J13" s="143">
        <v>0</v>
      </c>
      <c r="K13" s="141">
        <v>0</v>
      </c>
      <c r="L13" s="141">
        <v>0</v>
      </c>
      <c r="M13" s="141">
        <v>0</v>
      </c>
      <c r="N13" s="141">
        <v>0</v>
      </c>
      <c r="O13" s="141">
        <v>0</v>
      </c>
      <c r="P13" s="141">
        <v>0</v>
      </c>
      <c r="Q13" s="144">
        <v>0</v>
      </c>
      <c r="R13" s="143">
        <v>0</v>
      </c>
      <c r="S13" s="141">
        <v>0</v>
      </c>
      <c r="T13" s="141">
        <v>0</v>
      </c>
      <c r="U13" s="141">
        <v>0</v>
      </c>
      <c r="V13" s="144">
        <v>0</v>
      </c>
      <c r="W13" s="185"/>
      <c r="X13" s="164" t="s">
        <v>2265</v>
      </c>
      <c r="Y13" s="143">
        <v>0</v>
      </c>
      <c r="Z13" s="141">
        <v>0</v>
      </c>
      <c r="AA13" s="141">
        <v>0</v>
      </c>
      <c r="AB13" s="141">
        <v>0</v>
      </c>
      <c r="AC13" s="141">
        <v>0</v>
      </c>
      <c r="AD13" s="141">
        <v>0</v>
      </c>
      <c r="AE13" s="141">
        <v>0</v>
      </c>
      <c r="AF13" s="144">
        <v>0</v>
      </c>
      <c r="AG13" s="143">
        <v>0</v>
      </c>
      <c r="AH13" s="141">
        <v>0</v>
      </c>
      <c r="AI13" s="141">
        <v>0</v>
      </c>
      <c r="AJ13" s="141">
        <v>0</v>
      </c>
      <c r="AK13" s="144">
        <v>0</v>
      </c>
      <c r="AL13" s="185"/>
      <c r="AM13" s="164" t="s">
        <v>2901</v>
      </c>
      <c r="AN13" s="165">
        <v>0</v>
      </c>
      <c r="AO13" s="166">
        <v>0</v>
      </c>
      <c r="AP13" s="166">
        <v>0</v>
      </c>
      <c r="AQ13" s="166">
        <v>0</v>
      </c>
      <c r="AR13" s="166">
        <v>0</v>
      </c>
      <c r="AS13" s="166">
        <v>0</v>
      </c>
      <c r="AT13" s="166">
        <v>0</v>
      </c>
      <c r="AU13" s="167">
        <v>0</v>
      </c>
      <c r="AV13" s="165">
        <v>0</v>
      </c>
      <c r="AW13" s="166">
        <v>0</v>
      </c>
      <c r="AX13" s="166">
        <v>0</v>
      </c>
      <c r="AY13" s="166">
        <v>0</v>
      </c>
      <c r="AZ13" s="167">
        <v>0</v>
      </c>
      <c r="BA13" s="185"/>
      <c r="BB13" s="164" t="s">
        <v>2265</v>
      </c>
      <c r="BC13" s="143">
        <v>0</v>
      </c>
      <c r="BD13" s="141">
        <v>0</v>
      </c>
      <c r="BE13" s="141">
        <v>0</v>
      </c>
      <c r="BF13" s="141">
        <v>0</v>
      </c>
      <c r="BG13" s="141">
        <v>0</v>
      </c>
      <c r="BH13" s="144">
        <v>0</v>
      </c>
      <c r="BI13" s="185"/>
      <c r="BJ13" s="119" t="s">
        <v>2265</v>
      </c>
      <c r="BK13" s="144">
        <v>0</v>
      </c>
    </row>
    <row r="14" spans="1:76" s="98" customFormat="1" ht="15" customHeight="1">
      <c r="A14" s="99"/>
      <c r="B14" s="161"/>
      <c r="C14" s="185"/>
      <c r="D14" s="162" t="s">
        <v>2903</v>
      </c>
      <c r="E14" s="185"/>
      <c r="F14" s="185"/>
      <c r="G14" s="163"/>
      <c r="H14" s="163"/>
      <c r="I14" s="164" t="s">
        <v>2265</v>
      </c>
      <c r="J14" s="143">
        <v>0</v>
      </c>
      <c r="K14" s="141">
        <v>0</v>
      </c>
      <c r="L14" s="141">
        <v>0</v>
      </c>
      <c r="M14" s="141">
        <v>0</v>
      </c>
      <c r="N14" s="141">
        <v>0</v>
      </c>
      <c r="O14" s="141">
        <v>0</v>
      </c>
      <c r="P14" s="141">
        <v>0</v>
      </c>
      <c r="Q14" s="144">
        <v>0</v>
      </c>
      <c r="R14" s="143">
        <v>0</v>
      </c>
      <c r="S14" s="141">
        <v>0</v>
      </c>
      <c r="T14" s="141">
        <v>0</v>
      </c>
      <c r="U14" s="141">
        <v>0</v>
      </c>
      <c r="V14" s="144">
        <v>0</v>
      </c>
      <c r="W14" s="185"/>
      <c r="X14" s="164" t="s">
        <v>2265</v>
      </c>
      <c r="Y14" s="143">
        <v>0</v>
      </c>
      <c r="Z14" s="141">
        <v>0</v>
      </c>
      <c r="AA14" s="141">
        <v>0</v>
      </c>
      <c r="AB14" s="141">
        <v>0</v>
      </c>
      <c r="AC14" s="141">
        <v>0</v>
      </c>
      <c r="AD14" s="141">
        <v>0</v>
      </c>
      <c r="AE14" s="141">
        <v>0</v>
      </c>
      <c r="AF14" s="144">
        <v>0</v>
      </c>
      <c r="AG14" s="143">
        <v>0</v>
      </c>
      <c r="AH14" s="141">
        <v>0</v>
      </c>
      <c r="AI14" s="141">
        <v>0</v>
      </c>
      <c r="AJ14" s="141">
        <v>0</v>
      </c>
      <c r="AK14" s="144">
        <v>0</v>
      </c>
      <c r="AL14" s="185"/>
      <c r="AM14" s="164" t="s">
        <v>2901</v>
      </c>
      <c r="AN14" s="165">
        <v>0</v>
      </c>
      <c r="AO14" s="166">
        <v>0</v>
      </c>
      <c r="AP14" s="166">
        <v>0</v>
      </c>
      <c r="AQ14" s="166">
        <v>0</v>
      </c>
      <c r="AR14" s="166">
        <v>0</v>
      </c>
      <c r="AS14" s="166">
        <v>0</v>
      </c>
      <c r="AT14" s="166">
        <v>0</v>
      </c>
      <c r="AU14" s="167">
        <v>0</v>
      </c>
      <c r="AV14" s="165">
        <v>0</v>
      </c>
      <c r="AW14" s="166">
        <v>0</v>
      </c>
      <c r="AX14" s="166">
        <v>0</v>
      </c>
      <c r="AY14" s="166">
        <v>0</v>
      </c>
      <c r="AZ14" s="167">
        <v>0</v>
      </c>
      <c r="BA14" s="185"/>
      <c r="BB14" s="164" t="s">
        <v>2265</v>
      </c>
      <c r="BC14" s="143">
        <v>0</v>
      </c>
      <c r="BD14" s="141">
        <v>0</v>
      </c>
      <c r="BE14" s="141">
        <v>0</v>
      </c>
      <c r="BF14" s="141">
        <v>0</v>
      </c>
      <c r="BG14" s="141">
        <v>0</v>
      </c>
      <c r="BH14" s="144">
        <v>0</v>
      </c>
      <c r="BI14" s="185"/>
      <c r="BJ14" s="119" t="s">
        <v>2265</v>
      </c>
      <c r="BK14" s="144">
        <v>0</v>
      </c>
    </row>
    <row r="15" spans="1:76" s="98" customFormat="1" ht="15" customHeight="1">
      <c r="A15" s="99"/>
      <c r="B15" s="161"/>
      <c r="C15" s="185"/>
      <c r="D15" s="162" t="s">
        <v>56</v>
      </c>
      <c r="E15" s="185"/>
      <c r="F15" s="185"/>
      <c r="G15" s="163"/>
      <c r="H15" s="163"/>
      <c r="I15" s="164" t="s">
        <v>2265</v>
      </c>
      <c r="J15" s="143">
        <v>2.3140000000000001</v>
      </c>
      <c r="K15" s="141">
        <v>1.718</v>
      </c>
      <c r="L15" s="141">
        <v>1.1499999999999999</v>
      </c>
      <c r="M15" s="141">
        <v>0.373</v>
      </c>
      <c r="N15" s="141">
        <v>0.124</v>
      </c>
      <c r="O15" s="141">
        <v>0</v>
      </c>
      <c r="P15" s="141">
        <v>0</v>
      </c>
      <c r="Q15" s="144">
        <v>0</v>
      </c>
      <c r="R15" s="143">
        <v>0</v>
      </c>
      <c r="S15" s="141">
        <v>0</v>
      </c>
      <c r="T15" s="141">
        <v>0</v>
      </c>
      <c r="U15" s="141">
        <v>0</v>
      </c>
      <c r="V15" s="144">
        <v>0</v>
      </c>
      <c r="W15" s="185"/>
      <c r="X15" s="164" t="s">
        <v>2265</v>
      </c>
      <c r="Y15" s="143"/>
      <c r="Z15" s="141">
        <v>-0.38800000000000001</v>
      </c>
      <c r="AA15" s="141">
        <v>-0.56799999999999995</v>
      </c>
      <c r="AB15" s="141">
        <v>-0.77600000000000002</v>
      </c>
      <c r="AC15" s="141">
        <v>-0.249</v>
      </c>
      <c r="AD15" s="141">
        <v>-0.124</v>
      </c>
      <c r="AE15" s="141"/>
      <c r="AF15" s="144">
        <v>0</v>
      </c>
      <c r="AG15" s="143">
        <v>0</v>
      </c>
      <c r="AH15" s="141">
        <v>0</v>
      </c>
      <c r="AI15" s="141">
        <v>0</v>
      </c>
      <c r="AJ15" s="141">
        <v>0</v>
      </c>
      <c r="AK15" s="144">
        <v>0</v>
      </c>
      <c r="AL15" s="185"/>
      <c r="AM15" s="164" t="s">
        <v>2901</v>
      </c>
      <c r="AN15" s="165">
        <v>41</v>
      </c>
      <c r="AO15" s="166">
        <v>33</v>
      </c>
      <c r="AP15" s="166">
        <v>24</v>
      </c>
      <c r="AQ15" s="166">
        <v>10</v>
      </c>
      <c r="AR15" s="166">
        <v>3</v>
      </c>
      <c r="AS15" s="166">
        <v>0</v>
      </c>
      <c r="AT15" s="166">
        <v>0</v>
      </c>
      <c r="AU15" s="167">
        <v>0</v>
      </c>
      <c r="AV15" s="165">
        <v>0</v>
      </c>
      <c r="AW15" s="166">
        <v>0</v>
      </c>
      <c r="AX15" s="166">
        <v>0</v>
      </c>
      <c r="AY15" s="166">
        <v>0</v>
      </c>
      <c r="AZ15" s="167">
        <v>0</v>
      </c>
      <c r="BA15" s="185"/>
      <c r="BB15" s="164" t="s">
        <v>2265</v>
      </c>
      <c r="BC15" s="143"/>
      <c r="BD15" s="141">
        <v>-0.38800000000000001</v>
      </c>
      <c r="BE15" s="141">
        <v>-0.56799999999999995</v>
      </c>
      <c r="BF15" s="141">
        <v>-0.77600000000000002</v>
      </c>
      <c r="BG15" s="141">
        <v>-0.249</v>
      </c>
      <c r="BH15" s="144">
        <v>-0.124</v>
      </c>
      <c r="BI15" s="185"/>
      <c r="BJ15" s="119" t="s">
        <v>2265</v>
      </c>
      <c r="BK15" s="144">
        <v>2.31732</v>
      </c>
    </row>
    <row r="16" spans="1:76" s="98" customFormat="1" ht="15" customHeight="1" thickBot="1">
      <c r="A16" s="99"/>
      <c r="B16" s="131" t="s">
        <v>1701</v>
      </c>
      <c r="C16" s="132"/>
      <c r="D16" s="132"/>
      <c r="E16" s="132"/>
      <c r="F16" s="132"/>
      <c r="G16" s="145"/>
      <c r="H16" s="133"/>
      <c r="I16" s="146" t="s">
        <v>2265</v>
      </c>
      <c r="J16" s="717">
        <f>SUM(J12:J15)</f>
        <v>2.36</v>
      </c>
      <c r="K16" s="718">
        <f t="shared" ref="K16:V16" si="0">SUM(K12:K15)</f>
        <v>1.764</v>
      </c>
      <c r="L16" s="718">
        <f t="shared" si="0"/>
        <v>1.196</v>
      </c>
      <c r="M16" s="718">
        <f t="shared" si="0"/>
        <v>0.373</v>
      </c>
      <c r="N16" s="718">
        <f t="shared" si="0"/>
        <v>0.124</v>
      </c>
      <c r="O16" s="718">
        <f t="shared" si="0"/>
        <v>0</v>
      </c>
      <c r="P16" s="718">
        <f t="shared" si="0"/>
        <v>0</v>
      </c>
      <c r="Q16" s="719">
        <f t="shared" si="0"/>
        <v>0</v>
      </c>
      <c r="R16" s="717">
        <f t="shared" si="0"/>
        <v>0</v>
      </c>
      <c r="S16" s="718">
        <f t="shared" si="0"/>
        <v>0</v>
      </c>
      <c r="T16" s="718">
        <f t="shared" si="0"/>
        <v>0</v>
      </c>
      <c r="U16" s="718">
        <f t="shared" si="0"/>
        <v>0</v>
      </c>
      <c r="V16" s="719">
        <f t="shared" si="0"/>
        <v>0</v>
      </c>
      <c r="W16" s="192"/>
      <c r="X16" s="146" t="s">
        <v>2265</v>
      </c>
      <c r="Y16" s="717">
        <f>SUM(Y12:Y15)</f>
        <v>0</v>
      </c>
      <c r="Z16" s="718">
        <f t="shared" ref="Z16:AK16" si="1">SUM(Z12:Z15)</f>
        <v>-0.38800000000000001</v>
      </c>
      <c r="AA16" s="718">
        <f t="shared" si="1"/>
        <v>-0.56799999999999995</v>
      </c>
      <c r="AB16" s="718">
        <f t="shared" si="1"/>
        <v>-0.82200000000000006</v>
      </c>
      <c r="AC16" s="718">
        <f t="shared" si="1"/>
        <v>-0.249</v>
      </c>
      <c r="AD16" s="718">
        <f t="shared" si="1"/>
        <v>-0.124</v>
      </c>
      <c r="AE16" s="718">
        <f t="shared" si="1"/>
        <v>0</v>
      </c>
      <c r="AF16" s="719">
        <f t="shared" si="1"/>
        <v>0</v>
      </c>
      <c r="AG16" s="717">
        <f t="shared" si="1"/>
        <v>0</v>
      </c>
      <c r="AH16" s="718">
        <f t="shared" si="1"/>
        <v>0</v>
      </c>
      <c r="AI16" s="718">
        <f t="shared" si="1"/>
        <v>0</v>
      </c>
      <c r="AJ16" s="718">
        <f t="shared" si="1"/>
        <v>0</v>
      </c>
      <c r="AK16" s="719">
        <f t="shared" si="1"/>
        <v>0</v>
      </c>
      <c r="AL16" s="192"/>
      <c r="AM16" s="146" t="s">
        <v>1876</v>
      </c>
      <c r="AN16" s="717">
        <f>SUM(AN12:AN15)</f>
        <v>45</v>
      </c>
      <c r="AO16" s="718">
        <f t="shared" ref="AO16:AZ16" si="2">SUM(AO12:AO15)</f>
        <v>37</v>
      </c>
      <c r="AP16" s="718">
        <f t="shared" si="2"/>
        <v>28</v>
      </c>
      <c r="AQ16" s="718">
        <f t="shared" si="2"/>
        <v>10</v>
      </c>
      <c r="AR16" s="718">
        <f t="shared" si="2"/>
        <v>3</v>
      </c>
      <c r="AS16" s="718">
        <f t="shared" si="2"/>
        <v>0</v>
      </c>
      <c r="AT16" s="718">
        <f t="shared" si="2"/>
        <v>0</v>
      </c>
      <c r="AU16" s="719">
        <f t="shared" si="2"/>
        <v>0</v>
      </c>
      <c r="AV16" s="717">
        <f t="shared" si="2"/>
        <v>0</v>
      </c>
      <c r="AW16" s="718">
        <f t="shared" si="2"/>
        <v>0</v>
      </c>
      <c r="AX16" s="718">
        <f t="shared" si="2"/>
        <v>0</v>
      </c>
      <c r="AY16" s="718">
        <f t="shared" si="2"/>
        <v>0</v>
      </c>
      <c r="AZ16" s="719">
        <f t="shared" si="2"/>
        <v>0</v>
      </c>
      <c r="BA16" s="192"/>
      <c r="BB16" s="195" t="s">
        <v>2265</v>
      </c>
      <c r="BC16" s="873">
        <f>SUM(BC12:BC15)</f>
        <v>0</v>
      </c>
      <c r="BD16" s="781">
        <f t="shared" ref="BD16:BH16" si="3">SUM(BD12:BD15)</f>
        <v>-0.38800000000000001</v>
      </c>
      <c r="BE16" s="781">
        <f t="shared" si="3"/>
        <v>-0.56799999999999995</v>
      </c>
      <c r="BF16" s="781">
        <f t="shared" si="3"/>
        <v>-0.82200000000000006</v>
      </c>
      <c r="BG16" s="781">
        <f t="shared" si="3"/>
        <v>-0.249</v>
      </c>
      <c r="BH16" s="874">
        <f t="shared" si="3"/>
        <v>-0.124</v>
      </c>
      <c r="BI16" s="192"/>
      <c r="BJ16" s="146" t="s">
        <v>2265</v>
      </c>
      <c r="BK16" s="719">
        <f>SUM(BK12:BK15)</f>
        <v>2.3633199999999999</v>
      </c>
    </row>
    <row r="17" spans="1:67" s="99" customFormat="1" ht="15" customHeight="1" thickBot="1">
      <c r="B17" s="150"/>
      <c r="C17" s="150"/>
      <c r="D17" s="150"/>
      <c r="E17" s="150"/>
      <c r="F17" s="150"/>
      <c r="G17" s="97"/>
      <c r="H17" s="97"/>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185"/>
      <c r="BB17" s="98"/>
      <c r="BC17" s="98"/>
      <c r="BD17" s="98"/>
      <c r="BE17" s="98"/>
      <c r="BF17" s="98"/>
      <c r="BG17" s="98"/>
      <c r="BH17" s="98"/>
      <c r="BI17" s="98"/>
      <c r="BJ17" s="98"/>
      <c r="BK17" s="98"/>
      <c r="BL17" s="98"/>
    </row>
    <row r="18" spans="1:67" s="100" customFormat="1" ht="30" customHeight="1" thickBot="1">
      <c r="A18" s="89"/>
      <c r="B18" s="101" t="s">
        <v>2904</v>
      </c>
      <c r="C18" s="102"/>
      <c r="D18" s="102"/>
      <c r="E18" s="102"/>
      <c r="F18" s="102"/>
      <c r="G18" s="103"/>
      <c r="H18" s="103"/>
      <c r="I18" s="105" t="s">
        <v>2905</v>
      </c>
      <c r="J18" s="106"/>
      <c r="K18" s="106"/>
      <c r="L18" s="106"/>
      <c r="M18" s="106"/>
      <c r="N18" s="106"/>
      <c r="O18" s="106"/>
      <c r="P18" s="106"/>
      <c r="Q18" s="106"/>
      <c r="R18" s="105"/>
      <c r="S18" s="105"/>
      <c r="T18" s="105"/>
      <c r="U18" s="105"/>
      <c r="V18" s="105"/>
      <c r="W18" s="103"/>
      <c r="X18" s="105" t="s">
        <v>2906</v>
      </c>
      <c r="Y18" s="106"/>
      <c r="Z18" s="106"/>
      <c r="AA18" s="106"/>
      <c r="AB18" s="106"/>
      <c r="AC18" s="106"/>
      <c r="AD18" s="106"/>
      <c r="AE18" s="106"/>
      <c r="AF18" s="106"/>
      <c r="AG18" s="105"/>
      <c r="AH18" s="105"/>
      <c r="AI18" s="105"/>
      <c r="AJ18" s="105"/>
      <c r="AK18" s="105"/>
      <c r="AL18" s="103"/>
      <c r="AM18" s="1689"/>
      <c r="AN18" s="1689"/>
      <c r="AO18" s="1689"/>
      <c r="AP18" s="1689"/>
      <c r="AQ18" s="1689"/>
      <c r="AR18" s="1689"/>
      <c r="AS18" s="1689"/>
      <c r="AT18" s="1689"/>
      <c r="AU18" s="1689"/>
      <c r="AV18" s="1689"/>
      <c r="AW18" s="1689"/>
      <c r="AX18" s="1689"/>
      <c r="AY18" s="1689"/>
      <c r="AZ18" s="1689"/>
      <c r="BA18" s="103"/>
      <c r="BB18" s="105" t="s">
        <v>2898</v>
      </c>
      <c r="BC18" s="106"/>
      <c r="BD18" s="106"/>
      <c r="BE18" s="106"/>
      <c r="BF18" s="106"/>
      <c r="BG18" s="106"/>
      <c r="BH18" s="106"/>
      <c r="BI18" s="103"/>
      <c r="BJ18" s="218" t="s">
        <v>1925</v>
      </c>
      <c r="BK18" s="221"/>
    </row>
    <row r="19" spans="1:67" s="157" customFormat="1" ht="30" customHeight="1">
      <c r="A19" s="99"/>
      <c r="B19" s="109"/>
      <c r="C19" s="110"/>
      <c r="D19" s="110"/>
      <c r="E19" s="110"/>
      <c r="F19" s="110"/>
      <c r="G19" s="111"/>
      <c r="H19" s="111"/>
      <c r="I19" s="117"/>
      <c r="J19" s="695" t="s">
        <v>1666</v>
      </c>
      <c r="K19" s="152"/>
      <c r="L19" s="152"/>
      <c r="M19" s="152"/>
      <c r="N19" s="152"/>
      <c r="O19" s="152"/>
      <c r="P19" s="152"/>
      <c r="Q19" s="153"/>
      <c r="R19" s="696" t="s">
        <v>2</v>
      </c>
      <c r="S19" s="155"/>
      <c r="T19" s="155"/>
      <c r="U19" s="155"/>
      <c r="V19" s="156"/>
      <c r="W19" s="222"/>
      <c r="X19" s="117"/>
      <c r="Y19" s="151" t="s">
        <v>1666</v>
      </c>
      <c r="Z19" s="152"/>
      <c r="AA19" s="152"/>
      <c r="AB19" s="152"/>
      <c r="AC19" s="152"/>
      <c r="AD19" s="152"/>
      <c r="AE19" s="152"/>
      <c r="AF19" s="153"/>
      <c r="AG19" s="154" t="s">
        <v>2</v>
      </c>
      <c r="AH19" s="155"/>
      <c r="AI19" s="155"/>
      <c r="AJ19" s="155"/>
      <c r="AK19" s="156"/>
      <c r="AL19" s="222"/>
      <c r="AM19" s="1690"/>
      <c r="AN19" s="1690"/>
      <c r="AO19" s="1690"/>
      <c r="AP19" s="1690"/>
      <c r="AQ19" s="1690"/>
      <c r="AR19" s="1690"/>
      <c r="AS19" s="1690"/>
      <c r="AT19" s="1690"/>
      <c r="AU19" s="1690"/>
      <c r="AV19" s="1690"/>
      <c r="AW19" s="1690"/>
      <c r="AX19" s="1690"/>
      <c r="AY19" s="1690"/>
      <c r="AZ19" s="1690"/>
      <c r="BA19" s="222"/>
      <c r="BB19" s="117"/>
      <c r="BC19" s="695" t="s">
        <v>1666</v>
      </c>
      <c r="BD19" s="152"/>
      <c r="BE19" s="152"/>
      <c r="BF19" s="152"/>
      <c r="BG19" s="152"/>
      <c r="BH19" s="153"/>
      <c r="BI19" s="222"/>
      <c r="BJ19" s="203" t="s">
        <v>2899</v>
      </c>
      <c r="BK19" s="204"/>
    </row>
    <row r="20" spans="1:67" s="98" customFormat="1" ht="15" customHeight="1">
      <c r="A20" s="99"/>
      <c r="B20" s="115"/>
      <c r="C20" s="116"/>
      <c r="D20" s="116"/>
      <c r="E20" s="116"/>
      <c r="F20" s="116"/>
      <c r="G20" s="117"/>
      <c r="H20" s="117"/>
      <c r="I20" s="119" t="s">
        <v>1667</v>
      </c>
      <c r="J20" s="158" t="s">
        <v>453</v>
      </c>
      <c r="K20" s="137" t="s">
        <v>455</v>
      </c>
      <c r="L20" s="137" t="s">
        <v>457</v>
      </c>
      <c r="M20" s="137" t="s">
        <v>459</v>
      </c>
      <c r="N20" s="137" t="s">
        <v>461</v>
      </c>
      <c r="O20" s="137" t="s">
        <v>463</v>
      </c>
      <c r="P20" s="137" t="s">
        <v>465</v>
      </c>
      <c r="Q20" s="138" t="s">
        <v>467</v>
      </c>
      <c r="R20" s="120" t="s">
        <v>469</v>
      </c>
      <c r="S20" s="121" t="s">
        <v>471</v>
      </c>
      <c r="T20" s="121" t="s">
        <v>473</v>
      </c>
      <c r="U20" s="121" t="s">
        <v>475</v>
      </c>
      <c r="V20" s="122" t="s">
        <v>477</v>
      </c>
      <c r="W20" s="185"/>
      <c r="X20" s="119" t="s">
        <v>1667</v>
      </c>
      <c r="Y20" s="158" t="s">
        <v>453</v>
      </c>
      <c r="Z20" s="137" t="s">
        <v>455</v>
      </c>
      <c r="AA20" s="137" t="s">
        <v>457</v>
      </c>
      <c r="AB20" s="137" t="s">
        <v>459</v>
      </c>
      <c r="AC20" s="137" t="s">
        <v>461</v>
      </c>
      <c r="AD20" s="137" t="s">
        <v>463</v>
      </c>
      <c r="AE20" s="137" t="s">
        <v>465</v>
      </c>
      <c r="AF20" s="138" t="s">
        <v>467</v>
      </c>
      <c r="AG20" s="120" t="s">
        <v>469</v>
      </c>
      <c r="AH20" s="121" t="s">
        <v>471</v>
      </c>
      <c r="AI20" s="121" t="s">
        <v>473</v>
      </c>
      <c r="AJ20" s="121" t="s">
        <v>475</v>
      </c>
      <c r="AK20" s="122" t="s">
        <v>477</v>
      </c>
      <c r="AL20" s="185"/>
      <c r="AM20" s="1691"/>
      <c r="AN20" s="1691"/>
      <c r="AO20" s="1691"/>
      <c r="AP20" s="1691"/>
      <c r="AQ20" s="1691"/>
      <c r="AR20" s="1691"/>
      <c r="AS20" s="1691"/>
      <c r="AT20" s="1691"/>
      <c r="AU20" s="1691"/>
      <c r="AV20" s="1691"/>
      <c r="AW20" s="1691"/>
      <c r="AX20" s="1691"/>
      <c r="AY20" s="1691"/>
      <c r="AZ20" s="1691"/>
      <c r="BA20" s="185"/>
      <c r="BB20" s="119" t="s">
        <v>1667</v>
      </c>
      <c r="BC20" s="158" t="s">
        <v>453</v>
      </c>
      <c r="BD20" s="137" t="s">
        <v>455</v>
      </c>
      <c r="BE20" s="137" t="s">
        <v>457</v>
      </c>
      <c r="BF20" s="137" t="s">
        <v>459</v>
      </c>
      <c r="BG20" s="137" t="s">
        <v>461</v>
      </c>
      <c r="BH20" s="138" t="s">
        <v>463</v>
      </c>
      <c r="BI20" s="185"/>
      <c r="BJ20" s="206" t="s">
        <v>1667</v>
      </c>
      <c r="BK20" s="207" t="s">
        <v>2142</v>
      </c>
    </row>
    <row r="21" spans="1:67" s="98" customFormat="1" ht="15" customHeight="1">
      <c r="A21" s="99"/>
      <c r="B21" s="161"/>
      <c r="C21" s="180" t="s">
        <v>2907</v>
      </c>
      <c r="D21" s="180"/>
      <c r="E21" s="180"/>
      <c r="F21" s="162"/>
      <c r="G21" s="163"/>
      <c r="H21" s="163"/>
      <c r="I21" s="117"/>
      <c r="J21" s="159"/>
      <c r="K21" s="117"/>
      <c r="L21" s="117"/>
      <c r="M21" s="117"/>
      <c r="N21" s="117"/>
      <c r="O21" s="117"/>
      <c r="P21" s="117"/>
      <c r="Q21" s="160"/>
      <c r="R21" s="159"/>
      <c r="S21" s="117"/>
      <c r="T21" s="117"/>
      <c r="U21" s="117"/>
      <c r="V21" s="160"/>
      <c r="W21" s="185"/>
      <c r="X21" s="117"/>
      <c r="Y21" s="159"/>
      <c r="Z21" s="117"/>
      <c r="AA21" s="117"/>
      <c r="AB21" s="117"/>
      <c r="AC21" s="117"/>
      <c r="AD21" s="117"/>
      <c r="AE21" s="117"/>
      <c r="AF21" s="160"/>
      <c r="AG21" s="159"/>
      <c r="AH21" s="117"/>
      <c r="AI21" s="117"/>
      <c r="AJ21" s="117"/>
      <c r="AK21" s="160"/>
      <c r="AL21" s="185"/>
      <c r="AM21" s="1691"/>
      <c r="AN21" s="1691"/>
      <c r="AO21" s="1691"/>
      <c r="AP21" s="1691"/>
      <c r="AQ21" s="1691"/>
      <c r="AR21" s="1691"/>
      <c r="AS21" s="1691"/>
      <c r="AT21" s="1691"/>
      <c r="AU21" s="1691"/>
      <c r="AV21" s="1691"/>
      <c r="AW21" s="1691"/>
      <c r="AX21" s="1691"/>
      <c r="AY21" s="1691"/>
      <c r="AZ21" s="1691"/>
      <c r="BA21" s="185"/>
      <c r="BB21" s="117"/>
      <c r="BC21" s="159"/>
      <c r="BD21" s="117"/>
      <c r="BE21" s="117"/>
      <c r="BF21" s="117"/>
      <c r="BG21" s="117"/>
      <c r="BH21" s="160"/>
      <c r="BI21" s="185"/>
      <c r="BJ21" s="209"/>
      <c r="BK21" s="210"/>
    </row>
    <row r="22" spans="1:67" s="98" customFormat="1" ht="15" customHeight="1">
      <c r="A22" s="99"/>
      <c r="B22" s="161"/>
      <c r="C22" s="185"/>
      <c r="D22" s="162" t="s">
        <v>2908</v>
      </c>
      <c r="E22" s="185"/>
      <c r="F22" s="185"/>
      <c r="G22" s="163"/>
      <c r="H22" s="163"/>
      <c r="I22" s="164" t="s">
        <v>2391</v>
      </c>
      <c r="J22" s="143">
        <v>2.2655399999999997</v>
      </c>
      <c r="K22" s="141">
        <v>2.27014</v>
      </c>
      <c r="L22" s="141">
        <v>2.3082400000000001</v>
      </c>
      <c r="M22" s="141">
        <v>2.2345300000000003</v>
      </c>
      <c r="N22" s="141">
        <v>2.19781</v>
      </c>
      <c r="O22" s="141">
        <v>2.1940599999999999</v>
      </c>
      <c r="P22" s="141">
        <v>2.21123</v>
      </c>
      <c r="Q22" s="144">
        <v>2.2010333333333332</v>
      </c>
      <c r="R22" s="143">
        <v>2.202107777777778</v>
      </c>
      <c r="S22" s="141">
        <v>2.20479037037037</v>
      </c>
      <c r="T22" s="141">
        <v>2.2026438271604936</v>
      </c>
      <c r="U22" s="141">
        <v>2.2031806584362137</v>
      </c>
      <c r="V22" s="144">
        <v>2.2035382853223591</v>
      </c>
      <c r="W22" s="185"/>
      <c r="X22" s="164" t="s">
        <v>2391</v>
      </c>
      <c r="Y22" s="143">
        <f>J22-BK22</f>
        <v>-4.6000000000034902E-4</v>
      </c>
      <c r="Z22" s="141">
        <v>0</v>
      </c>
      <c r="AA22" s="141">
        <v>0</v>
      </c>
      <c r="AB22" s="141">
        <f t="shared" ref="AB22:AC22" si="4">M22-L22</f>
        <v>-7.370999999999972E-2</v>
      </c>
      <c r="AC22" s="141">
        <f t="shared" si="4"/>
        <v>-3.6720000000000308E-2</v>
      </c>
      <c r="AD22" s="141">
        <f>O22-N22</f>
        <v>-3.7500000000001421E-3</v>
      </c>
      <c r="AE22" s="141">
        <v>0</v>
      </c>
      <c r="AF22" s="144">
        <f t="shared" ref="AF22:AI22" si="5">Q22-P22</f>
        <v>-1.0196666666666854E-2</v>
      </c>
      <c r="AG22" s="143">
        <v>0</v>
      </c>
      <c r="AH22" s="141">
        <v>0</v>
      </c>
      <c r="AI22" s="141">
        <f t="shared" si="5"/>
        <v>-2.1465432098763948E-3</v>
      </c>
      <c r="AJ22" s="141">
        <v>0</v>
      </c>
      <c r="AK22" s="144">
        <v>0</v>
      </c>
      <c r="AL22" s="185"/>
      <c r="AM22" s="1691"/>
      <c r="AN22" s="1691"/>
      <c r="AO22" s="1691"/>
      <c r="AP22" s="1691"/>
      <c r="AQ22" s="1691"/>
      <c r="AR22" s="1691"/>
      <c r="AS22" s="1691"/>
      <c r="AT22" s="1691"/>
      <c r="AU22" s="1691"/>
      <c r="AV22" s="1691"/>
      <c r="AW22" s="1691"/>
      <c r="AX22" s="1691"/>
      <c r="AY22" s="1691"/>
      <c r="AZ22" s="1691"/>
      <c r="BA22" s="185"/>
      <c r="BB22" s="164" t="s">
        <v>2265</v>
      </c>
      <c r="BC22" s="143">
        <f>J22-BK22</f>
        <v>-4.6000000000034902E-4</v>
      </c>
      <c r="BD22" s="141">
        <f>SUM(K22-J22)</f>
        <v>4.6000000000003816E-3</v>
      </c>
      <c r="BE22" s="141">
        <f>SUM(L22-K22)</f>
        <v>3.8100000000000023E-2</v>
      </c>
      <c r="BF22" s="141">
        <f t="shared" ref="BF22:BH22" si="6">SUM(M22-L22)</f>
        <v>-7.370999999999972E-2</v>
      </c>
      <c r="BG22" s="141">
        <f t="shared" si="6"/>
        <v>-3.6720000000000308E-2</v>
      </c>
      <c r="BH22" s="144">
        <f t="shared" si="6"/>
        <v>-3.7500000000001421E-3</v>
      </c>
      <c r="BI22" s="185"/>
      <c r="BJ22" s="164" t="s">
        <v>2391</v>
      </c>
      <c r="BK22" s="144">
        <v>2.266</v>
      </c>
    </row>
    <row r="23" spans="1:67" s="98" customFormat="1" ht="15" customHeight="1">
      <c r="A23" s="99"/>
      <c r="B23" s="161"/>
      <c r="C23" s="185"/>
      <c r="D23" s="162" t="s">
        <v>2909</v>
      </c>
      <c r="E23" s="185"/>
      <c r="F23" s="185"/>
      <c r="G23" s="163"/>
      <c r="H23" s="163"/>
      <c r="I23" s="164" t="s">
        <v>2391</v>
      </c>
      <c r="J23" s="143">
        <v>5.423</v>
      </c>
      <c r="K23" s="141">
        <v>5.375</v>
      </c>
      <c r="L23" s="141">
        <v>5.2189999999999994</v>
      </c>
      <c r="M23" s="141">
        <v>5.0819999999999999</v>
      </c>
      <c r="N23" s="141">
        <v>5.0869999999999997</v>
      </c>
      <c r="O23" s="141">
        <v>5.54</v>
      </c>
      <c r="P23" s="141">
        <v>5.4698192649531592</v>
      </c>
      <c r="Q23" s="144">
        <v>5.4073844809143781</v>
      </c>
      <c r="R23" s="143">
        <v>5.4207212346070364</v>
      </c>
      <c r="S23" s="141">
        <v>5.4319657258473555</v>
      </c>
      <c r="T23" s="141">
        <v>5.4194330668018607</v>
      </c>
      <c r="U23" s="141">
        <v>5.4231691621532105</v>
      </c>
      <c r="V23" s="144">
        <v>5.4248559849341422</v>
      </c>
      <c r="W23" s="185"/>
      <c r="X23" s="117"/>
      <c r="Y23" s="159"/>
      <c r="Z23" s="117"/>
      <c r="AA23" s="117"/>
      <c r="AB23" s="117"/>
      <c r="AC23" s="117"/>
      <c r="AD23" s="117"/>
      <c r="AE23" s="117"/>
      <c r="AF23" s="160"/>
      <c r="AG23" s="159"/>
      <c r="AH23" s="117"/>
      <c r="AI23" s="117"/>
      <c r="AJ23" s="117"/>
      <c r="AK23" s="160"/>
      <c r="AL23" s="185"/>
      <c r="AM23" s="1691"/>
      <c r="AN23" s="1691"/>
      <c r="AO23" s="1691"/>
      <c r="AP23" s="1691"/>
      <c r="AQ23" s="1691"/>
      <c r="AR23" s="1691"/>
      <c r="AS23" s="1691"/>
      <c r="AT23" s="1691"/>
      <c r="AU23" s="1691"/>
      <c r="AV23" s="1691"/>
      <c r="AW23" s="1691"/>
      <c r="AX23" s="1691"/>
      <c r="AY23" s="1691"/>
      <c r="AZ23" s="1691"/>
      <c r="BA23" s="185"/>
      <c r="BB23" s="117"/>
      <c r="BC23" s="159"/>
      <c r="BD23" s="117"/>
      <c r="BE23" s="117"/>
      <c r="BF23" s="117"/>
      <c r="BG23" s="117"/>
      <c r="BH23" s="160"/>
      <c r="BI23" s="185"/>
      <c r="BJ23" s="92"/>
      <c r="BK23" s="215"/>
    </row>
    <row r="24" spans="1:67" s="98" customFormat="1" ht="15" customHeight="1" thickBot="1">
      <c r="A24" s="99"/>
      <c r="B24" s="239"/>
      <c r="C24" s="192"/>
      <c r="D24" s="240" t="s">
        <v>1710</v>
      </c>
      <c r="E24" s="192"/>
      <c r="F24" s="192"/>
      <c r="G24" s="241"/>
      <c r="H24" s="241"/>
      <c r="I24" s="195" t="s">
        <v>2391</v>
      </c>
      <c r="J24" s="177">
        <f>SUM(J22:J23)</f>
        <v>7.6885399999999997</v>
      </c>
      <c r="K24" s="178">
        <f t="shared" ref="K24:V24" si="7">SUM(K22:K23)</f>
        <v>7.6451399999999996</v>
      </c>
      <c r="L24" s="178">
        <f t="shared" si="7"/>
        <v>7.527239999999999</v>
      </c>
      <c r="M24" s="178">
        <f t="shared" si="7"/>
        <v>7.3165300000000002</v>
      </c>
      <c r="N24" s="178">
        <f t="shared" si="7"/>
        <v>7.2848100000000002</v>
      </c>
      <c r="O24" s="178">
        <f t="shared" si="7"/>
        <v>7.7340599999999995</v>
      </c>
      <c r="P24" s="178">
        <f t="shared" si="7"/>
        <v>7.6810492649531596</v>
      </c>
      <c r="Q24" s="179">
        <f t="shared" si="7"/>
        <v>7.6084178142477112</v>
      </c>
      <c r="R24" s="177">
        <f t="shared" si="7"/>
        <v>7.6228290123848144</v>
      </c>
      <c r="S24" s="178">
        <f t="shared" si="7"/>
        <v>7.6367560962177254</v>
      </c>
      <c r="T24" s="178">
        <f t="shared" si="7"/>
        <v>7.6220768939623547</v>
      </c>
      <c r="U24" s="178">
        <f t="shared" si="7"/>
        <v>7.6263498205894242</v>
      </c>
      <c r="V24" s="179">
        <f t="shared" si="7"/>
        <v>7.6283942702565017</v>
      </c>
      <c r="W24" s="192"/>
      <c r="X24" s="145"/>
      <c r="Y24" s="131"/>
      <c r="Z24" s="145"/>
      <c r="AA24" s="145"/>
      <c r="AB24" s="145"/>
      <c r="AC24" s="145"/>
      <c r="AD24" s="145"/>
      <c r="AE24" s="145"/>
      <c r="AF24" s="2471"/>
      <c r="AG24" s="131"/>
      <c r="AH24" s="145"/>
      <c r="AI24" s="145"/>
      <c r="AJ24" s="145"/>
      <c r="AK24" s="2471"/>
      <c r="AL24" s="192"/>
      <c r="AM24" s="1692"/>
      <c r="AN24" s="1692"/>
      <c r="AO24" s="1692"/>
      <c r="AP24" s="1692"/>
      <c r="AQ24" s="1692"/>
      <c r="AR24" s="1692"/>
      <c r="AS24" s="1692"/>
      <c r="AT24" s="1692"/>
      <c r="AU24" s="1692"/>
      <c r="AV24" s="1692"/>
      <c r="AW24" s="1692"/>
      <c r="AX24" s="1692"/>
      <c r="AY24" s="1692"/>
      <c r="AZ24" s="1692"/>
      <c r="BA24" s="192"/>
      <c r="BB24" s="145"/>
      <c r="BC24" s="131"/>
      <c r="BD24" s="145"/>
      <c r="BE24" s="145"/>
      <c r="BF24" s="145"/>
      <c r="BG24" s="145"/>
      <c r="BH24" s="2471"/>
      <c r="BI24" s="192"/>
      <c r="BJ24" s="1121"/>
      <c r="BK24" s="217"/>
    </row>
    <row r="25" spans="1:67" s="99" customFormat="1" ht="15" customHeight="1" thickBot="1">
      <c r="B25" s="150"/>
      <c r="C25" s="150"/>
      <c r="D25" s="150"/>
      <c r="E25" s="150"/>
      <c r="F25" s="150"/>
      <c r="G25" s="97"/>
      <c r="H25" s="97"/>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185"/>
      <c r="BB25" s="117"/>
    </row>
    <row r="26" spans="1:67" s="100" customFormat="1" ht="30" customHeight="1" thickBot="1">
      <c r="A26" s="89"/>
      <c r="B26" s="101" t="s">
        <v>2276</v>
      </c>
      <c r="C26" s="102"/>
      <c r="D26" s="102"/>
      <c r="E26" s="102"/>
      <c r="F26" s="102"/>
      <c r="G26" s="103"/>
      <c r="H26" s="103"/>
      <c r="I26" s="105" t="s">
        <v>2837</v>
      </c>
      <c r="J26" s="106"/>
      <c r="K26" s="106"/>
      <c r="L26" s="106"/>
      <c r="M26" s="106"/>
      <c r="N26" s="106"/>
      <c r="O26" s="106"/>
      <c r="P26" s="106"/>
      <c r="Q26" s="106"/>
      <c r="R26" s="105"/>
      <c r="S26" s="105"/>
      <c r="T26" s="105"/>
      <c r="U26" s="105"/>
      <c r="V26" s="105"/>
      <c r="W26" s="103"/>
      <c r="X26" s="105" t="s">
        <v>2838</v>
      </c>
      <c r="Y26" s="106"/>
      <c r="Z26" s="106"/>
      <c r="AA26" s="106"/>
      <c r="AB26" s="106"/>
      <c r="AC26" s="106"/>
      <c r="AD26" s="106"/>
      <c r="AE26" s="106"/>
      <c r="AF26" s="106"/>
      <c r="AG26" s="105"/>
      <c r="AH26" s="105"/>
      <c r="AI26" s="105"/>
      <c r="AJ26" s="105"/>
      <c r="AK26" s="105"/>
      <c r="AL26" s="103"/>
      <c r="AM26" s="105" t="s">
        <v>2897</v>
      </c>
      <c r="AN26" s="106"/>
      <c r="AO26" s="106"/>
      <c r="AP26" s="106"/>
      <c r="AQ26" s="106"/>
      <c r="AR26" s="106"/>
      <c r="AS26" s="106"/>
      <c r="AT26" s="106"/>
      <c r="AU26" s="106"/>
      <c r="AV26" s="105"/>
      <c r="AW26" s="105"/>
      <c r="AX26" s="105"/>
      <c r="AY26" s="105"/>
      <c r="AZ26" s="105"/>
      <c r="BA26" s="103"/>
      <c r="BB26" s="105" t="s">
        <v>2898</v>
      </c>
      <c r="BC26" s="106"/>
      <c r="BD26" s="106"/>
      <c r="BE26" s="106"/>
      <c r="BF26" s="106"/>
      <c r="BG26" s="106"/>
      <c r="BH26" s="106"/>
      <c r="BI26" s="103"/>
      <c r="BJ26" s="218" t="s">
        <v>1925</v>
      </c>
      <c r="BK26" s="221"/>
    </row>
    <row r="27" spans="1:67" s="157" customFormat="1" ht="30" customHeight="1">
      <c r="A27" s="99"/>
      <c r="B27" s="109"/>
      <c r="C27" s="110"/>
      <c r="D27" s="110"/>
      <c r="E27" s="110"/>
      <c r="F27" s="110"/>
      <c r="G27" s="111"/>
      <c r="H27" s="111"/>
      <c r="I27" s="117"/>
      <c r="J27" s="695" t="s">
        <v>1666</v>
      </c>
      <c r="K27" s="152"/>
      <c r="L27" s="152"/>
      <c r="M27" s="152"/>
      <c r="N27" s="152"/>
      <c r="O27" s="152"/>
      <c r="P27" s="152"/>
      <c r="Q27" s="153"/>
      <c r="R27" s="696" t="s">
        <v>2</v>
      </c>
      <c r="S27" s="155"/>
      <c r="T27" s="155"/>
      <c r="U27" s="155"/>
      <c r="V27" s="156"/>
      <c r="W27" s="222"/>
      <c r="X27" s="117"/>
      <c r="Y27" s="695" t="s">
        <v>1666</v>
      </c>
      <c r="Z27" s="152"/>
      <c r="AA27" s="152"/>
      <c r="AB27" s="152"/>
      <c r="AC27" s="152"/>
      <c r="AD27" s="152"/>
      <c r="AE27" s="152"/>
      <c r="AF27" s="153"/>
      <c r="AG27" s="696" t="s">
        <v>2</v>
      </c>
      <c r="AH27" s="155"/>
      <c r="AI27" s="155"/>
      <c r="AJ27" s="155"/>
      <c r="AK27" s="156"/>
      <c r="AL27" s="222"/>
      <c r="AM27" s="117"/>
      <c r="AN27" s="695" t="s">
        <v>1666</v>
      </c>
      <c r="AO27" s="152"/>
      <c r="AP27" s="152"/>
      <c r="AQ27" s="152"/>
      <c r="AR27" s="152"/>
      <c r="AS27" s="152"/>
      <c r="AT27" s="152"/>
      <c r="AU27" s="153"/>
      <c r="AV27" s="696" t="s">
        <v>2</v>
      </c>
      <c r="AW27" s="155"/>
      <c r="AX27" s="155"/>
      <c r="AY27" s="155"/>
      <c r="AZ27" s="156"/>
      <c r="BA27" s="222"/>
      <c r="BB27" s="117"/>
      <c r="BC27" s="695" t="s">
        <v>1666</v>
      </c>
      <c r="BD27" s="152"/>
      <c r="BE27" s="152"/>
      <c r="BF27" s="152"/>
      <c r="BG27" s="152"/>
      <c r="BH27" s="153"/>
      <c r="BI27" s="222"/>
      <c r="BJ27" s="203" t="s">
        <v>2899</v>
      </c>
      <c r="BK27" s="204"/>
    </row>
    <row r="28" spans="1:67" s="98" customFormat="1" ht="15" customHeight="1">
      <c r="A28" s="99"/>
      <c r="B28" s="115"/>
      <c r="C28" s="116"/>
      <c r="D28" s="116"/>
      <c r="E28" s="116"/>
      <c r="F28" s="116"/>
      <c r="G28" s="117"/>
      <c r="H28" s="117"/>
      <c r="I28" s="119" t="s">
        <v>1667</v>
      </c>
      <c r="J28" s="158" t="s">
        <v>453</v>
      </c>
      <c r="K28" s="137" t="s">
        <v>455</v>
      </c>
      <c r="L28" s="137" t="s">
        <v>457</v>
      </c>
      <c r="M28" s="137" t="s">
        <v>459</v>
      </c>
      <c r="N28" s="137" t="s">
        <v>461</v>
      </c>
      <c r="O28" s="137" t="s">
        <v>463</v>
      </c>
      <c r="P28" s="137" t="s">
        <v>465</v>
      </c>
      <c r="Q28" s="138" t="s">
        <v>467</v>
      </c>
      <c r="R28" s="120" t="s">
        <v>469</v>
      </c>
      <c r="S28" s="121" t="s">
        <v>471</v>
      </c>
      <c r="T28" s="121" t="s">
        <v>473</v>
      </c>
      <c r="U28" s="121" t="s">
        <v>475</v>
      </c>
      <c r="V28" s="122" t="s">
        <v>477</v>
      </c>
      <c r="W28" s="185"/>
      <c r="X28" s="119" t="s">
        <v>1667</v>
      </c>
      <c r="Y28" s="158" t="s">
        <v>453</v>
      </c>
      <c r="Z28" s="137" t="s">
        <v>455</v>
      </c>
      <c r="AA28" s="137" t="s">
        <v>457</v>
      </c>
      <c r="AB28" s="137" t="s">
        <v>459</v>
      </c>
      <c r="AC28" s="137" t="s">
        <v>461</v>
      </c>
      <c r="AD28" s="137" t="s">
        <v>463</v>
      </c>
      <c r="AE28" s="137" t="s">
        <v>465</v>
      </c>
      <c r="AF28" s="138" t="s">
        <v>467</v>
      </c>
      <c r="AG28" s="120" t="s">
        <v>469</v>
      </c>
      <c r="AH28" s="121" t="s">
        <v>471</v>
      </c>
      <c r="AI28" s="121" t="s">
        <v>473</v>
      </c>
      <c r="AJ28" s="121" t="s">
        <v>475</v>
      </c>
      <c r="AK28" s="122" t="s">
        <v>477</v>
      </c>
      <c r="AL28" s="185"/>
      <c r="AM28" s="119" t="s">
        <v>1667</v>
      </c>
      <c r="AN28" s="158" t="s">
        <v>453</v>
      </c>
      <c r="AO28" s="137" t="s">
        <v>455</v>
      </c>
      <c r="AP28" s="137" t="s">
        <v>457</v>
      </c>
      <c r="AQ28" s="137" t="s">
        <v>459</v>
      </c>
      <c r="AR28" s="137" t="s">
        <v>461</v>
      </c>
      <c r="AS28" s="137" t="s">
        <v>463</v>
      </c>
      <c r="AT28" s="137" t="s">
        <v>465</v>
      </c>
      <c r="AU28" s="138" t="s">
        <v>467</v>
      </c>
      <c r="AV28" s="120" t="s">
        <v>469</v>
      </c>
      <c r="AW28" s="121" t="s">
        <v>471</v>
      </c>
      <c r="AX28" s="121" t="s">
        <v>473</v>
      </c>
      <c r="AY28" s="121" t="s">
        <v>475</v>
      </c>
      <c r="AZ28" s="122" t="s">
        <v>477</v>
      </c>
      <c r="BA28" s="185"/>
      <c r="BB28" s="119" t="s">
        <v>1667</v>
      </c>
      <c r="BC28" s="158" t="s">
        <v>453</v>
      </c>
      <c r="BD28" s="137" t="s">
        <v>455</v>
      </c>
      <c r="BE28" s="137" t="s">
        <v>457</v>
      </c>
      <c r="BF28" s="137" t="s">
        <v>459</v>
      </c>
      <c r="BG28" s="137" t="s">
        <v>461</v>
      </c>
      <c r="BH28" s="138" t="s">
        <v>463</v>
      </c>
      <c r="BI28" s="185"/>
      <c r="BJ28" s="206" t="s">
        <v>1667</v>
      </c>
      <c r="BK28" s="207" t="s">
        <v>2142</v>
      </c>
    </row>
    <row r="29" spans="1:67" s="98" customFormat="1" ht="15" customHeight="1">
      <c r="A29" s="99"/>
      <c r="B29" s="161"/>
      <c r="C29" s="180" t="s">
        <v>1809</v>
      </c>
      <c r="D29" s="180"/>
      <c r="E29" s="180"/>
      <c r="F29" s="162"/>
      <c r="G29" s="163"/>
      <c r="H29" s="163"/>
      <c r="I29" s="117"/>
      <c r="J29" s="159"/>
      <c r="K29" s="117"/>
      <c r="L29" s="117"/>
      <c r="M29" s="117"/>
      <c r="N29" s="117"/>
      <c r="O29" s="117"/>
      <c r="P29" s="117"/>
      <c r="Q29" s="160"/>
      <c r="R29" s="159"/>
      <c r="S29" s="117"/>
      <c r="T29" s="117"/>
      <c r="U29" s="117"/>
      <c r="V29" s="160"/>
      <c r="W29" s="185"/>
      <c r="X29" s="117"/>
      <c r="Y29" s="159"/>
      <c r="Z29" s="117"/>
      <c r="AA29" s="117"/>
      <c r="AB29" s="117"/>
      <c r="AC29" s="117"/>
      <c r="AD29" s="117"/>
      <c r="AE29" s="117"/>
      <c r="AF29" s="160"/>
      <c r="AG29" s="159"/>
      <c r="AH29" s="117"/>
      <c r="AI29" s="117"/>
      <c r="AJ29" s="117"/>
      <c r="AK29" s="160"/>
      <c r="AL29" s="185"/>
      <c r="AM29" s="117"/>
      <c r="AN29" s="159"/>
      <c r="AO29" s="117"/>
      <c r="AP29" s="117"/>
      <c r="AQ29" s="117"/>
      <c r="AR29" s="117"/>
      <c r="AS29" s="117"/>
      <c r="AT29" s="117"/>
      <c r="AU29" s="160"/>
      <c r="AV29" s="159"/>
      <c r="AW29" s="117"/>
      <c r="AX29" s="117"/>
      <c r="AY29" s="117"/>
      <c r="AZ29" s="160"/>
      <c r="BA29" s="185"/>
      <c r="BB29" s="117"/>
      <c r="BC29" s="159"/>
      <c r="BD29" s="117"/>
      <c r="BE29" s="117"/>
      <c r="BF29" s="117"/>
      <c r="BG29" s="117"/>
      <c r="BH29" s="160"/>
      <c r="BI29" s="185"/>
      <c r="BJ29" s="209"/>
      <c r="BK29" s="210"/>
    </row>
    <row r="30" spans="1:67" s="98" customFormat="1" ht="15" customHeight="1" thickBot="1">
      <c r="A30" s="99"/>
      <c r="B30" s="191"/>
      <c r="C30" s="192"/>
      <c r="D30" s="2498" t="s">
        <v>2910</v>
      </c>
      <c r="E30" s="192"/>
      <c r="F30" s="192"/>
      <c r="G30" s="194"/>
      <c r="H30" s="194"/>
      <c r="I30" s="195" t="s">
        <v>2391</v>
      </c>
      <c r="J30" s="799">
        <v>79.704999999999998</v>
      </c>
      <c r="K30" s="235">
        <v>80.312999999999988</v>
      </c>
      <c r="L30" s="235">
        <v>81.114019999999996</v>
      </c>
      <c r="M30" s="235">
        <v>81.114019999999996</v>
      </c>
      <c r="N30" s="235">
        <v>81.114019999999996</v>
      </c>
      <c r="O30" s="235">
        <v>80.034019999999998</v>
      </c>
      <c r="P30" s="235">
        <v>80.034019999999998</v>
      </c>
      <c r="Q30" s="800">
        <v>80.394019999999998</v>
      </c>
      <c r="R30" s="799">
        <v>80.394019999999998</v>
      </c>
      <c r="S30" s="235">
        <v>80.394019999999998</v>
      </c>
      <c r="T30" s="235">
        <v>80.394019999999998</v>
      </c>
      <c r="U30" s="235">
        <v>80.394019999999998</v>
      </c>
      <c r="V30" s="800">
        <v>80.394019999999998</v>
      </c>
      <c r="W30" s="192"/>
      <c r="X30" s="195" t="s">
        <v>2391</v>
      </c>
      <c r="Y30" s="799">
        <v>0</v>
      </c>
      <c r="Z30" s="235">
        <v>0</v>
      </c>
      <c r="AA30" s="235">
        <v>0</v>
      </c>
      <c r="AB30" s="235">
        <v>0</v>
      </c>
      <c r="AC30" s="235">
        <v>0</v>
      </c>
      <c r="AD30" s="235">
        <v>-1.08</v>
      </c>
      <c r="AE30" s="235">
        <v>0</v>
      </c>
      <c r="AF30" s="800">
        <v>0</v>
      </c>
      <c r="AG30" s="799">
        <v>0</v>
      </c>
      <c r="AH30" s="235">
        <v>0</v>
      </c>
      <c r="AI30" s="235">
        <v>0</v>
      </c>
      <c r="AJ30" s="235">
        <v>0</v>
      </c>
      <c r="AK30" s="800">
        <v>0</v>
      </c>
      <c r="AL30" s="192"/>
      <c r="AM30" s="195" t="s">
        <v>2901</v>
      </c>
      <c r="AN30" s="232">
        <v>24</v>
      </c>
      <c r="AO30" s="233">
        <v>24</v>
      </c>
      <c r="AP30" s="233">
        <v>24</v>
      </c>
      <c r="AQ30" s="233">
        <v>24</v>
      </c>
      <c r="AR30" s="233">
        <v>24</v>
      </c>
      <c r="AS30" s="233">
        <v>23</v>
      </c>
      <c r="AT30" s="233">
        <v>23</v>
      </c>
      <c r="AU30" s="234">
        <v>23</v>
      </c>
      <c r="AV30" s="232">
        <v>23</v>
      </c>
      <c r="AW30" s="233">
        <v>23</v>
      </c>
      <c r="AX30" s="233">
        <v>23</v>
      </c>
      <c r="AY30" s="233">
        <v>23</v>
      </c>
      <c r="AZ30" s="234">
        <v>23</v>
      </c>
      <c r="BA30" s="192"/>
      <c r="BB30" s="195" t="s">
        <v>2265</v>
      </c>
      <c r="BC30" s="799">
        <f>BK30-J30</f>
        <v>0</v>
      </c>
      <c r="BD30" s="235">
        <f>K30-J30</f>
        <v>0.60799999999998988</v>
      </c>
      <c r="BE30" s="235">
        <f t="shared" ref="BE30:BH30" si="8">L30-K30</f>
        <v>0.80102000000000828</v>
      </c>
      <c r="BF30" s="235">
        <f t="shared" si="8"/>
        <v>0</v>
      </c>
      <c r="BG30" s="235">
        <f t="shared" si="8"/>
        <v>0</v>
      </c>
      <c r="BH30" s="800">
        <f t="shared" si="8"/>
        <v>-1.0799999999999983</v>
      </c>
      <c r="BI30" s="192"/>
      <c r="BJ30" s="146" t="s">
        <v>2391</v>
      </c>
      <c r="BK30" s="800">
        <v>79.705000000000013</v>
      </c>
    </row>
    <row r="31" spans="1:67" s="99" customFormat="1" ht="15" customHeight="1">
      <c r="B31" s="150"/>
      <c r="C31" s="150"/>
      <c r="D31" s="150"/>
      <c r="E31" s="150"/>
      <c r="F31" s="150"/>
      <c r="G31" s="97"/>
      <c r="H31" s="97"/>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185"/>
      <c r="BB31" s="175"/>
      <c r="BC31" s="173"/>
      <c r="BD31" s="173"/>
      <c r="BE31" s="173"/>
      <c r="BF31" s="173"/>
      <c r="BG31" s="173"/>
      <c r="BH31" s="173"/>
      <c r="BI31" s="173"/>
      <c r="BK31" s="98"/>
    </row>
    <row r="32" spans="1:67" ht="14.25">
      <c r="BA32" s="185"/>
      <c r="BN32" s="175"/>
      <c r="BO32" s="173"/>
    </row>
    <row r="33" spans="53:67" ht="14.25">
      <c r="BA33" s="185"/>
      <c r="BN33" s="175"/>
      <c r="BO33" s="173"/>
    </row>
    <row r="34" spans="53:67" ht="14.25">
      <c r="BA34" s="185"/>
      <c r="BN34" s="175"/>
      <c r="BO34" s="173"/>
    </row>
    <row r="35" spans="53:67" ht="14.25">
      <c r="BA35" s="185"/>
      <c r="BN35" s="175"/>
      <c r="BO35" s="173"/>
    </row>
    <row r="36" spans="53:67" ht="14.25">
      <c r="BA36" s="185"/>
      <c r="BN36" s="175"/>
      <c r="BO36" s="173"/>
    </row>
    <row r="37" spans="53:67" ht="14.25">
      <c r="BA37" s="185"/>
      <c r="BN37" s="175"/>
      <c r="BO37" s="173"/>
    </row>
    <row r="38" spans="53:67" ht="14.25">
      <c r="BA38" s="185"/>
      <c r="BN38" s="175"/>
      <c r="BO38" s="173"/>
    </row>
    <row r="39" spans="53:67" ht="14.25">
      <c r="BA39" s="185"/>
      <c r="BN39" s="175"/>
      <c r="BO39" s="173"/>
    </row>
    <row r="40" spans="53:67" ht="14.25">
      <c r="BA40" s="185"/>
      <c r="BN40" s="175"/>
      <c r="BO40" s="173"/>
    </row>
    <row r="41" spans="53:67" ht="14.25">
      <c r="BA41" s="185"/>
      <c r="BN41" s="175"/>
      <c r="BO41" s="173"/>
    </row>
    <row r="42" spans="53:67" ht="14.25">
      <c r="BA42" s="185"/>
      <c r="BN42" s="175"/>
      <c r="BO42" s="173"/>
    </row>
    <row r="43" spans="53:67" ht="14.25">
      <c r="BA43" s="185"/>
      <c r="BN43" s="175"/>
      <c r="BO43" s="173"/>
    </row>
    <row r="44" spans="53:67" ht="14.25">
      <c r="BA44" s="185"/>
      <c r="BN44" s="175"/>
      <c r="BO44" s="173"/>
    </row>
    <row r="45" spans="53:67" ht="14.25">
      <c r="BA45" s="185"/>
      <c r="BN45" s="175"/>
      <c r="BO45" s="173"/>
    </row>
    <row r="46" spans="53:67" ht="14.25">
      <c r="BA46" s="185"/>
      <c r="BN46" s="175"/>
      <c r="BO46" s="173"/>
    </row>
    <row r="47" spans="53:67" ht="14.25">
      <c r="BA47" s="185"/>
      <c r="BN47" s="175"/>
      <c r="BO47" s="173"/>
    </row>
    <row r="48" spans="53:67" ht="14.25">
      <c r="BA48" s="185"/>
      <c r="BN48" s="175"/>
      <c r="BO48" s="173"/>
    </row>
    <row r="49" spans="53:67" ht="14.25">
      <c r="BA49" s="185"/>
      <c r="BN49" s="175"/>
      <c r="BO49" s="173"/>
    </row>
    <row r="50" spans="53:67" ht="14.25">
      <c r="BA50" s="185"/>
      <c r="BN50" s="175"/>
      <c r="BO50" s="173"/>
    </row>
    <row r="51" spans="53:67" ht="14.25">
      <c r="BA51" s="185"/>
      <c r="BN51" s="175"/>
      <c r="BO51" s="173"/>
    </row>
    <row r="52" spans="53:67" ht="14.25">
      <c r="BA52" s="185"/>
      <c r="BN52" s="175"/>
      <c r="BO52" s="173"/>
    </row>
    <row r="53" spans="53:67" ht="14.25">
      <c r="BA53" s="185"/>
      <c r="BN53" s="175"/>
      <c r="BO53" s="173"/>
    </row>
    <row r="54" spans="53:67" ht="14.25">
      <c r="BA54" s="185"/>
      <c r="BN54" s="175"/>
      <c r="BO54" s="173"/>
    </row>
    <row r="55" spans="53:67" ht="14.25">
      <c r="BA55" s="185"/>
      <c r="BN55" s="175"/>
      <c r="BO55" s="173"/>
    </row>
    <row r="56" spans="53:67" ht="14.25">
      <c r="BA56" s="185"/>
      <c r="BN56" s="175"/>
      <c r="BO56" s="173"/>
    </row>
    <row r="57" spans="53:67" ht="14.25">
      <c r="BA57" s="185"/>
      <c r="BN57" s="175"/>
      <c r="BO57" s="173"/>
    </row>
    <row r="58" spans="53:67" ht="14.25">
      <c r="BA58" s="185"/>
      <c r="BN58" s="175"/>
      <c r="BO58" s="173"/>
    </row>
    <row r="59" spans="53:67" ht="14.25">
      <c r="BA59" s="185"/>
      <c r="BN59" s="175"/>
      <c r="BO59" s="173"/>
    </row>
    <row r="60" spans="53:67" ht="14.25">
      <c r="BA60" s="185"/>
      <c r="BN60" s="175"/>
      <c r="BO60" s="173"/>
    </row>
    <row r="61" spans="53:67" ht="14.25">
      <c r="BA61" s="185"/>
      <c r="BN61" s="175"/>
      <c r="BO61" s="173"/>
    </row>
    <row r="62" spans="53:67" ht="14.25">
      <c r="BA62" s="185"/>
      <c r="BN62" s="175"/>
      <c r="BO62" s="173"/>
    </row>
    <row r="63" spans="53:67" ht="14.25">
      <c r="BA63" s="185"/>
      <c r="BN63" s="175"/>
      <c r="BO63" s="173"/>
    </row>
    <row r="64" spans="53:67" ht="14.25">
      <c r="BA64" s="185"/>
      <c r="BN64" s="175"/>
      <c r="BO64" s="173"/>
    </row>
    <row r="65" spans="53:67" ht="14.25">
      <c r="BA65" s="185"/>
      <c r="BN65" s="175"/>
      <c r="BO65" s="173"/>
    </row>
    <row r="66" spans="53:67" ht="14.25">
      <c r="BA66" s="185"/>
      <c r="BN66" s="175"/>
      <c r="BO66" s="173"/>
    </row>
    <row r="67" spans="53:67" ht="14.25">
      <c r="BA67" s="185"/>
      <c r="BN67" s="175"/>
      <c r="BO67" s="173"/>
    </row>
    <row r="68" spans="53:67" ht="14.25">
      <c r="BA68" s="185"/>
      <c r="BN68" s="175"/>
      <c r="BO68" s="173"/>
    </row>
    <row r="69" spans="53:67" ht="14.25">
      <c r="BA69" s="185"/>
      <c r="BN69" s="175"/>
      <c r="BO69" s="173"/>
    </row>
    <row r="70" spans="53:67" ht="14.25">
      <c r="BA70" s="185"/>
      <c r="BN70" s="175"/>
      <c r="BO70" s="173"/>
    </row>
    <row r="71" spans="53:67" ht="14.25">
      <c r="BA71" s="185"/>
      <c r="BN71" s="175"/>
      <c r="BO71" s="173"/>
    </row>
    <row r="72" spans="53:67" ht="14.25">
      <c r="BA72" s="185"/>
      <c r="BN72" s="175"/>
      <c r="BO72" s="173"/>
    </row>
    <row r="73" spans="53:67" ht="14.25">
      <c r="BA73" s="185"/>
      <c r="BN73" s="175"/>
      <c r="BO73" s="173"/>
    </row>
    <row r="74" spans="53:67" ht="14.25">
      <c r="BA74" s="185"/>
      <c r="BN74" s="175"/>
      <c r="BO74" s="173"/>
    </row>
    <row r="75" spans="53:67" ht="14.25">
      <c r="BA75" s="185"/>
      <c r="BN75" s="175"/>
      <c r="BO75" s="173"/>
    </row>
    <row r="76" spans="53:67" ht="14.25">
      <c r="BA76" s="185"/>
      <c r="BN76" s="175"/>
      <c r="BO76" s="173"/>
    </row>
    <row r="77" spans="53:67" ht="14.25">
      <c r="BA77" s="185"/>
      <c r="BN77" s="175"/>
      <c r="BO77" s="173"/>
    </row>
    <row r="78" spans="53:67" ht="14.25">
      <c r="BA78" s="185"/>
      <c r="BN78" s="175"/>
      <c r="BO78" s="173"/>
    </row>
    <row r="79" spans="53:67" ht="14.25">
      <c r="BA79" s="185"/>
      <c r="BN79" s="175"/>
      <c r="BO79" s="173"/>
    </row>
    <row r="80" spans="53:67" ht="14.25">
      <c r="BA80" s="185"/>
      <c r="BN80" s="175"/>
      <c r="BO80" s="173"/>
    </row>
    <row r="81" spans="53:67" ht="14.25">
      <c r="BA81" s="185"/>
      <c r="BN81" s="175"/>
      <c r="BO81" s="173"/>
    </row>
    <row r="82" spans="53:67" ht="14.25">
      <c r="BA82" s="185"/>
      <c r="BN82" s="175"/>
      <c r="BO82" s="173"/>
    </row>
    <row r="83" spans="53:67" ht="14.25">
      <c r="BA83" s="185"/>
      <c r="BN83" s="175"/>
      <c r="BO83" s="173"/>
    </row>
    <row r="84" spans="53:67" ht="14.25">
      <c r="BA84" s="185"/>
      <c r="BN84" s="175"/>
      <c r="BO84" s="173"/>
    </row>
    <row r="85" spans="53:67" ht="14.25">
      <c r="BA85" s="185"/>
      <c r="BN85" s="175"/>
      <c r="BO85" s="173"/>
    </row>
    <row r="86" spans="53:67" ht="14.25">
      <c r="BA86" s="185"/>
      <c r="BN86" s="175"/>
      <c r="BO86" s="173"/>
    </row>
    <row r="87" spans="53:67" ht="14.25">
      <c r="BA87" s="185"/>
      <c r="BN87" s="175"/>
      <c r="BO87" s="173"/>
    </row>
    <row r="88" spans="53:67" ht="14.25">
      <c r="BA88" s="185"/>
      <c r="BN88" s="175"/>
      <c r="BO88" s="173"/>
    </row>
    <row r="89" spans="53:67" ht="14.25">
      <c r="BA89" s="185"/>
      <c r="BN89" s="175"/>
      <c r="BO89" s="173"/>
    </row>
    <row r="90" spans="53:67" ht="14.25">
      <c r="BA90" s="185"/>
      <c r="BN90" s="175"/>
      <c r="BO90" s="173"/>
    </row>
    <row r="91" spans="53:67" ht="14.25">
      <c r="BA91" s="185"/>
      <c r="BN91" s="175"/>
      <c r="BO91" s="173"/>
    </row>
    <row r="92" spans="53:67" ht="14.25">
      <c r="BA92" s="185"/>
      <c r="BN92" s="175"/>
      <c r="BO92" s="173"/>
    </row>
    <row r="93" spans="53:67" ht="14.25">
      <c r="BA93" s="185"/>
      <c r="BN93" s="175"/>
      <c r="BO93" s="173"/>
    </row>
    <row r="94" spans="53:67" ht="14.25">
      <c r="BA94" s="185"/>
      <c r="BN94" s="175"/>
      <c r="BO94" s="173"/>
    </row>
    <row r="95" spans="53:67" ht="14.25">
      <c r="BA95" s="185"/>
      <c r="BN95" s="175"/>
      <c r="BO95" s="173"/>
    </row>
    <row r="96" spans="53:67" ht="14.25">
      <c r="BA96" s="185"/>
      <c r="BN96" s="175"/>
      <c r="BO96" s="173"/>
    </row>
    <row r="97" spans="53:67" ht="14.25">
      <c r="BA97" s="185"/>
      <c r="BN97" s="175"/>
      <c r="BO97" s="173"/>
    </row>
    <row r="98" spans="53:67" ht="14.25">
      <c r="BA98" s="185"/>
      <c r="BN98" s="175"/>
      <c r="BO98" s="173"/>
    </row>
    <row r="99" spans="53:67" ht="14.25">
      <c r="BA99" s="185"/>
      <c r="BN99" s="175"/>
      <c r="BO99" s="173"/>
    </row>
    <row r="100" spans="53:67" ht="14.25">
      <c r="BA100" s="185"/>
      <c r="BN100" s="175"/>
      <c r="BO100" s="173"/>
    </row>
    <row r="101" spans="53:67" ht="14.25">
      <c r="BA101" s="185"/>
      <c r="BN101" s="175"/>
      <c r="BO101" s="173"/>
    </row>
    <row r="102" spans="53:67" ht="14.25">
      <c r="BA102" s="185"/>
      <c r="BN102" s="175"/>
      <c r="BO102" s="173"/>
    </row>
    <row r="103" spans="53:67" ht="14.25">
      <c r="BA103" s="185"/>
      <c r="BN103" s="175"/>
      <c r="BO103" s="173"/>
    </row>
    <row r="104" spans="53:67" ht="14.25">
      <c r="BA104" s="185"/>
      <c r="BN104" s="175"/>
      <c r="BO104" s="173"/>
    </row>
    <row r="105" spans="53:67" ht="14.25">
      <c r="BA105" s="185"/>
      <c r="BN105" s="175"/>
      <c r="BO105" s="173"/>
    </row>
    <row r="106" spans="53:67" ht="14.25">
      <c r="BA106" s="185"/>
      <c r="BN106" s="175"/>
      <c r="BO106" s="173"/>
    </row>
    <row r="107" spans="53:67" ht="14.25">
      <c r="BA107" s="185"/>
      <c r="BN107" s="175"/>
      <c r="BO107" s="173"/>
    </row>
    <row r="108" spans="53:67" ht="14.25">
      <c r="BA108" s="185"/>
      <c r="BN108" s="175"/>
      <c r="BO108" s="173"/>
    </row>
    <row r="109" spans="53:67" ht="14.25">
      <c r="BA109" s="185"/>
      <c r="BN109" s="175"/>
      <c r="BO109" s="173"/>
    </row>
    <row r="110" spans="53:67" ht="14.25">
      <c r="BA110" s="185"/>
      <c r="BN110" s="175"/>
      <c r="BO110" s="173"/>
    </row>
    <row r="111" spans="53:67" ht="14.25">
      <c r="BA111" s="185"/>
      <c r="BN111" s="175"/>
      <c r="BO111" s="173"/>
    </row>
    <row r="112" spans="53:67" ht="14.25">
      <c r="BA112" s="185"/>
      <c r="BN112" s="175"/>
      <c r="BO112" s="173"/>
    </row>
    <row r="113" spans="53:67" ht="14.25">
      <c r="BA113" s="185"/>
      <c r="BN113" s="175"/>
      <c r="BO113" s="173"/>
    </row>
    <row r="114" spans="53:67" ht="14.25">
      <c r="BA114" s="185"/>
      <c r="BN114" s="175"/>
      <c r="BO114" s="173"/>
    </row>
    <row r="115" spans="53:67" ht="14.25">
      <c r="BA115" s="185"/>
      <c r="BN115" s="175"/>
      <c r="BO115" s="173"/>
    </row>
    <row r="116" spans="53:67" ht="14.25">
      <c r="BA116" s="185"/>
      <c r="BN116" s="175"/>
      <c r="BO116" s="173"/>
    </row>
    <row r="117" spans="53:67" ht="14.25">
      <c r="BA117" s="185"/>
      <c r="BN117" s="175"/>
      <c r="BO117" s="173"/>
    </row>
    <row r="118" spans="53:67" ht="14.25">
      <c r="BA118" s="185"/>
      <c r="BN118" s="175"/>
      <c r="BO118" s="173"/>
    </row>
    <row r="119" spans="53:67" ht="14.25">
      <c r="BA119" s="185"/>
      <c r="BN119" s="175"/>
      <c r="BO119" s="173"/>
    </row>
    <row r="120" spans="53:67" ht="14.25">
      <c r="BA120" s="185"/>
      <c r="BN120" s="175"/>
      <c r="BO120" s="173"/>
    </row>
    <row r="121" spans="53:67" ht="14.25">
      <c r="BA121" s="185"/>
      <c r="BN121" s="175"/>
      <c r="BO121" s="173"/>
    </row>
    <row r="122" spans="53:67" ht="14.25">
      <c r="BA122" s="185"/>
      <c r="BN122" s="175"/>
      <c r="BO122" s="173"/>
    </row>
    <row r="123" spans="53:67" ht="14.25">
      <c r="BA123" s="185"/>
      <c r="BN123" s="175"/>
      <c r="BO123" s="173"/>
    </row>
    <row r="124" spans="53:67" ht="14.25">
      <c r="BA124" s="185"/>
      <c r="BN124" s="175"/>
      <c r="BO124" s="173"/>
    </row>
    <row r="125" spans="53:67" ht="14.25">
      <c r="BA125" s="185"/>
      <c r="BN125" s="175"/>
      <c r="BO125" s="173"/>
    </row>
    <row r="126" spans="53:67" ht="14.25">
      <c r="BA126" s="185"/>
      <c r="BN126" s="175"/>
      <c r="BO126" s="173"/>
    </row>
    <row r="127" spans="53:67" ht="14.25">
      <c r="BA127" s="185"/>
      <c r="BN127" s="175"/>
      <c r="BO127" s="173"/>
    </row>
    <row r="128" spans="53:67" ht="14.25">
      <c r="BA128" s="185"/>
      <c r="BN128" s="175"/>
      <c r="BO128" s="173"/>
    </row>
    <row r="129" spans="53:67" ht="14.25">
      <c r="BA129" s="185"/>
      <c r="BN129" s="175"/>
      <c r="BO129" s="173"/>
    </row>
    <row r="130" spans="53:67" ht="14.25">
      <c r="BA130" s="185"/>
      <c r="BN130" s="175"/>
      <c r="BO130" s="173"/>
    </row>
    <row r="131" spans="53:67" ht="14.25">
      <c r="BA131" s="185"/>
      <c r="BN131" s="175"/>
      <c r="BO131" s="173"/>
    </row>
    <row r="132" spans="53:67" ht="14.25">
      <c r="BA132" s="185"/>
      <c r="BN132" s="175"/>
      <c r="BO132" s="173"/>
    </row>
    <row r="133" spans="53:67" ht="14.25">
      <c r="BA133" s="185"/>
      <c r="BN133" s="175"/>
      <c r="BO133" s="173"/>
    </row>
    <row r="134" spans="53:67" ht="14.25">
      <c r="BA134" s="185"/>
      <c r="BN134" s="175"/>
      <c r="BO134" s="173"/>
    </row>
    <row r="135" spans="53:67" ht="14.25">
      <c r="BA135" s="185"/>
      <c r="BN135" s="175"/>
      <c r="BO135" s="173"/>
    </row>
    <row r="136" spans="53:67" ht="14.25">
      <c r="BA136" s="185"/>
      <c r="BN136" s="175"/>
      <c r="BO136" s="173"/>
    </row>
    <row r="137" spans="53:67" ht="14.25">
      <c r="BA137" s="185"/>
      <c r="BN137" s="175"/>
      <c r="BO137" s="173"/>
    </row>
    <row r="138" spans="53:67" ht="14.25">
      <c r="BA138" s="185"/>
      <c r="BN138" s="175"/>
      <c r="BO138" s="173"/>
    </row>
    <row r="139" spans="53:67" ht="14.25">
      <c r="BA139" s="185"/>
      <c r="BN139" s="175"/>
      <c r="BO139" s="173"/>
    </row>
    <row r="140" spans="53:67" ht="14.25">
      <c r="BA140" s="185"/>
      <c r="BN140" s="175"/>
      <c r="BO140" s="173"/>
    </row>
    <row r="141" spans="53:67" ht="14.25">
      <c r="BA141" s="185"/>
      <c r="BN141" s="175"/>
      <c r="BO141" s="173"/>
    </row>
    <row r="142" spans="53:67" ht="14.25">
      <c r="BA142" s="185"/>
      <c r="BN142" s="175"/>
      <c r="BO142" s="173"/>
    </row>
    <row r="143" spans="53:67" ht="14.25">
      <c r="BA143" s="185"/>
      <c r="BN143" s="175"/>
      <c r="BO143" s="173"/>
    </row>
    <row r="144" spans="53:67" ht="14.25">
      <c r="BA144" s="185"/>
      <c r="BN144" s="175"/>
      <c r="BO144" s="173"/>
    </row>
    <row r="145" spans="53:67" ht="14.25">
      <c r="BA145" s="185"/>
      <c r="BN145" s="175"/>
      <c r="BO145" s="173"/>
    </row>
    <row r="146" spans="53:67" ht="14.25">
      <c r="BA146" s="185"/>
      <c r="BN146" s="175"/>
      <c r="BO146" s="173"/>
    </row>
    <row r="147" spans="53:67" ht="14.25">
      <c r="BA147" s="185"/>
      <c r="BN147" s="175"/>
      <c r="BO147" s="173"/>
    </row>
    <row r="148" spans="53:67" ht="14.25">
      <c r="BA148" s="185"/>
      <c r="BN148" s="175"/>
      <c r="BO148" s="173"/>
    </row>
    <row r="149" spans="53:67" ht="14.25">
      <c r="BA149" s="185"/>
      <c r="BN149" s="175"/>
      <c r="BO149" s="173"/>
    </row>
    <row r="150" spans="53:67" ht="14.25">
      <c r="BA150" s="185"/>
      <c r="BN150" s="175"/>
      <c r="BO150" s="173"/>
    </row>
    <row r="151" spans="53:67" ht="14.25">
      <c r="BA151" s="185"/>
      <c r="BN151" s="175"/>
      <c r="BO151" s="173"/>
    </row>
    <row r="152" spans="53:67" ht="14.25">
      <c r="BA152" s="185"/>
      <c r="BN152" s="175"/>
      <c r="BO152" s="173"/>
    </row>
    <row r="153" spans="53:67" ht="14.25">
      <c r="BA153" s="185"/>
      <c r="BN153" s="175"/>
      <c r="BO153" s="173"/>
    </row>
    <row r="154" spans="53:67" ht="14.25">
      <c r="BA154" s="185"/>
      <c r="BN154" s="175"/>
      <c r="BO154" s="173"/>
    </row>
    <row r="155" spans="53:67" ht="14.25">
      <c r="BA155" s="185"/>
      <c r="BN155" s="175"/>
      <c r="BO155" s="173"/>
    </row>
    <row r="156" spans="53:67" ht="14.25">
      <c r="BA156" s="185"/>
      <c r="BN156" s="175"/>
      <c r="BO156" s="173"/>
    </row>
    <row r="157" spans="53:67" ht="14.25">
      <c r="BA157" s="185"/>
      <c r="BN157" s="175"/>
      <c r="BO157" s="173"/>
    </row>
    <row r="158" spans="53:67" ht="14.25">
      <c r="BA158" s="185"/>
      <c r="BN158" s="175"/>
      <c r="BO158" s="173"/>
    </row>
    <row r="159" spans="53:67" ht="14.25">
      <c r="BA159" s="185"/>
      <c r="BN159" s="175"/>
      <c r="BO159" s="173"/>
    </row>
    <row r="160" spans="53:67" ht="14.25">
      <c r="BA160" s="185"/>
      <c r="BN160" s="175"/>
      <c r="BO160" s="173"/>
    </row>
    <row r="161" spans="53:67" ht="14.25">
      <c r="BA161" s="185"/>
      <c r="BN161" s="175"/>
      <c r="BO161" s="173"/>
    </row>
    <row r="162" spans="53:67" ht="14.25">
      <c r="BA162" s="185"/>
      <c r="BN162" s="175"/>
      <c r="BO162" s="173"/>
    </row>
    <row r="163" spans="53:67" ht="14.25">
      <c r="BA163" s="185"/>
      <c r="BN163" s="175"/>
      <c r="BO163" s="173"/>
    </row>
    <row r="164" spans="53:67" ht="14.25">
      <c r="BA164" s="185"/>
      <c r="BN164" s="175"/>
      <c r="BO164" s="173"/>
    </row>
    <row r="165" spans="53:67" ht="14.25">
      <c r="BA165" s="185"/>
      <c r="BN165" s="175"/>
      <c r="BO165" s="173"/>
    </row>
    <row r="166" spans="53:67" ht="14.25">
      <c r="BA166" s="185"/>
      <c r="BN166" s="175"/>
      <c r="BO166" s="173"/>
    </row>
    <row r="167" spans="53:67" ht="14.25">
      <c r="BA167" s="185"/>
      <c r="BN167" s="175"/>
      <c r="BO167" s="173"/>
    </row>
    <row r="168" spans="53:67" ht="14.25">
      <c r="BA168" s="185"/>
      <c r="BN168" s="175"/>
      <c r="BO168" s="173"/>
    </row>
    <row r="169" spans="53:67" ht="14.25">
      <c r="BA169" s="185"/>
      <c r="BN169" s="175"/>
      <c r="BO169" s="173"/>
    </row>
    <row r="170" spans="53:67" ht="14.25">
      <c r="BA170" s="185"/>
      <c r="BN170" s="175"/>
      <c r="BO170" s="173"/>
    </row>
    <row r="171" spans="53:67" ht="14.25">
      <c r="BA171" s="185"/>
      <c r="BN171" s="175"/>
      <c r="BO171" s="173"/>
    </row>
    <row r="172" spans="53:67" ht="14.25">
      <c r="BA172" s="185"/>
      <c r="BN172" s="175"/>
      <c r="BO172" s="173"/>
    </row>
    <row r="173" spans="53:67" ht="14.25">
      <c r="BA173" s="185"/>
      <c r="BN173" s="175"/>
      <c r="BO173" s="173"/>
    </row>
    <row r="174" spans="53:67" ht="14.25">
      <c r="BA174" s="185"/>
      <c r="BN174" s="175"/>
      <c r="BO174" s="173"/>
    </row>
    <row r="175" spans="53:67" ht="14.25">
      <c r="BA175" s="185"/>
      <c r="BN175" s="175"/>
      <c r="BO175" s="173"/>
    </row>
    <row r="176" spans="53:67" ht="14.25">
      <c r="BA176" s="185"/>
      <c r="BN176" s="175"/>
      <c r="BO176" s="173"/>
    </row>
    <row r="177" spans="53:67" ht="14.25">
      <c r="BA177" s="185"/>
      <c r="BN177" s="175"/>
      <c r="BO177" s="173"/>
    </row>
    <row r="178" spans="53:67" ht="14.25">
      <c r="BA178" s="185"/>
      <c r="BN178" s="175"/>
      <c r="BO178" s="173"/>
    </row>
    <row r="179" spans="53:67" ht="14.25">
      <c r="BA179" s="185"/>
      <c r="BN179" s="175"/>
      <c r="BO179" s="173"/>
    </row>
    <row r="180" spans="53:67" ht="14.25">
      <c r="BA180" s="185"/>
      <c r="BN180" s="175"/>
      <c r="BO180" s="173"/>
    </row>
    <row r="181" spans="53:67" ht="14.25">
      <c r="BA181" s="185"/>
      <c r="BN181" s="175"/>
      <c r="BO181" s="173"/>
    </row>
    <row r="182" spans="53:67" ht="14.25">
      <c r="BA182" s="185"/>
      <c r="BN182" s="175"/>
      <c r="BO182" s="173"/>
    </row>
    <row r="183" spans="53:67" ht="14.25">
      <c r="BA183" s="185"/>
    </row>
    <row r="184" spans="53:67" ht="14.25">
      <c r="BA184" s="185"/>
    </row>
    <row r="185" spans="53:67" ht="14.25">
      <c r="BA185" s="185"/>
    </row>
    <row r="186" spans="53:67" ht="14.25">
      <c r="BA186" s="185"/>
    </row>
    <row r="187" spans="53:67" ht="14.25">
      <c r="BA187" s="185"/>
    </row>
    <row r="188" spans="53:67" ht="14.25">
      <c r="BA188" s="185"/>
    </row>
    <row r="189" spans="53:67" ht="14.25">
      <c r="BA189" s="185"/>
    </row>
    <row r="190" spans="53:67" ht="14.25">
      <c r="BA190" s="185"/>
    </row>
    <row r="191" spans="53:67" ht="14.25">
      <c r="BA191" s="185"/>
    </row>
    <row r="192" spans="53:67" ht="14.25">
      <c r="BA192" s="185"/>
    </row>
    <row r="193" spans="53:53" ht="14.25">
      <c r="BA193" s="185"/>
    </row>
    <row r="194" spans="53:53" ht="14.25">
      <c r="BA194" s="185"/>
    </row>
    <row r="195" spans="53:53" ht="14.25">
      <c r="BA195" s="185"/>
    </row>
    <row r="196" spans="53:53" ht="14.25">
      <c r="BA196" s="185"/>
    </row>
    <row r="197" spans="53:53" ht="14.25">
      <c r="BA197" s="185"/>
    </row>
    <row r="198" spans="53:53" ht="14.25">
      <c r="BA198" s="185"/>
    </row>
    <row r="199" spans="53:53" ht="14.25">
      <c r="BA199" s="185"/>
    </row>
    <row r="200" spans="53:53" ht="14.25">
      <c r="BA200" s="185"/>
    </row>
    <row r="201" spans="53:53" ht="14.25">
      <c r="BA201" s="185"/>
    </row>
    <row r="202" spans="53:53" ht="14.25">
      <c r="BA202" s="185"/>
    </row>
    <row r="203" spans="53:53" ht="14.25">
      <c r="BA203" s="185"/>
    </row>
    <row r="204" spans="53:53" ht="14.25">
      <c r="BA204" s="185"/>
    </row>
    <row r="205" spans="53:53" ht="14.25">
      <c r="BA205" s="185"/>
    </row>
    <row r="206" spans="53:53" ht="14.25">
      <c r="BA206" s="185"/>
    </row>
    <row r="207" spans="53:53" ht="14.25">
      <c r="BA207" s="185"/>
    </row>
    <row r="208" spans="53:53" ht="14.25">
      <c r="BA208" s="185"/>
    </row>
    <row r="209" spans="53:53" ht="14.25">
      <c r="BA209" s="185"/>
    </row>
    <row r="210" spans="53:53" ht="14.25">
      <c r="BA210" s="185"/>
    </row>
    <row r="211" spans="53:53" ht="14.25">
      <c r="BA211" s="185"/>
    </row>
    <row r="212" spans="53:53" ht="14.25">
      <c r="BA212" s="185"/>
    </row>
    <row r="213" spans="53:53" ht="14.25">
      <c r="BA213" s="185"/>
    </row>
    <row r="214" spans="53:53" ht="14.25">
      <c r="BA214" s="185"/>
    </row>
    <row r="215" spans="53:53" ht="14.25">
      <c r="BA215" s="185"/>
    </row>
    <row r="216" spans="53:53" ht="14.25">
      <c r="BA216" s="185"/>
    </row>
    <row r="217" spans="53:53" ht="14.25">
      <c r="BA217" s="185"/>
    </row>
    <row r="218" spans="53:53" ht="14.25">
      <c r="BA218" s="185"/>
    </row>
    <row r="219" spans="53:53" ht="14.25">
      <c r="BA219" s="185"/>
    </row>
    <row r="220" spans="53:53" ht="14.25">
      <c r="BA220" s="185"/>
    </row>
    <row r="221" spans="53:53" ht="14.25">
      <c r="BA221" s="185"/>
    </row>
    <row r="222" spans="53:53" ht="14.25">
      <c r="BA222" s="185"/>
    </row>
    <row r="223" spans="53:53" ht="14.25">
      <c r="BA223" s="185"/>
    </row>
    <row r="224" spans="53:53" ht="14.25">
      <c r="BA224" s="185"/>
    </row>
    <row r="225" spans="53:53" ht="14.25">
      <c r="BA225" s="185"/>
    </row>
    <row r="226" spans="53:53" ht="14.25">
      <c r="BA226" s="185"/>
    </row>
    <row r="227" spans="53:53" ht="14.25">
      <c r="BA227" s="185"/>
    </row>
    <row r="228" spans="53:53" ht="14.25">
      <c r="BA228" s="185"/>
    </row>
    <row r="229" spans="53:53" ht="14.25">
      <c r="BA229" s="185"/>
    </row>
    <row r="230" spans="53:53" ht="14.25">
      <c r="BA230" s="185"/>
    </row>
    <row r="231" spans="53:53" ht="14.25">
      <c r="BA231" s="185"/>
    </row>
    <row r="232" spans="53:53" ht="14.25">
      <c r="BA232" s="185"/>
    </row>
    <row r="233" spans="53:53" ht="14.25">
      <c r="BA233" s="185"/>
    </row>
    <row r="234" spans="53:53" ht="14.25">
      <c r="BA234" s="185"/>
    </row>
    <row r="235" spans="53:53" ht="14.25">
      <c r="BA235" s="185"/>
    </row>
    <row r="236" spans="53:53" ht="14.25">
      <c r="BA236" s="185"/>
    </row>
    <row r="237" spans="53:53" ht="14.25">
      <c r="BA237" s="185"/>
    </row>
    <row r="238" spans="53:53" ht="14.25">
      <c r="BA238" s="185"/>
    </row>
    <row r="239" spans="53:53" ht="14.25">
      <c r="BA239" s="185"/>
    </row>
    <row r="240" spans="53:53" ht="14.25">
      <c r="BA240" s="185"/>
    </row>
    <row r="241" spans="53:53" ht="14.25">
      <c r="BA241" s="185"/>
    </row>
    <row r="242" spans="53:53" ht="14.25">
      <c r="BA242" s="185"/>
    </row>
    <row r="243" spans="53:53" ht="14.25">
      <c r="BA243" s="185"/>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tabColor rgb="FF00B050"/>
  </sheetPr>
  <dimension ref="A1:DH111"/>
  <sheetViews>
    <sheetView showGridLines="0" zoomScale="60" zoomScaleNormal="60" workbookViewId="0">
      <pane xSplit="7" topLeftCell="BF1" activePane="topRight" state="frozen"/>
      <selection activeCell="G14" sqref="G14"/>
      <selection pane="topRight" activeCell="BU46" sqref="BU46"/>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5" customWidth="1"/>
    <col min="25" max="37" width="15.625" style="173" customWidth="1"/>
    <col min="38" max="38" width="5.625" style="173" customWidth="1"/>
    <col min="39" max="39" width="15.625" style="175" customWidth="1"/>
    <col min="40" max="52" width="15.625" style="173" customWidth="1"/>
    <col min="53" max="53" width="5.625" style="173" customWidth="1"/>
    <col min="54" max="54" width="15.625" style="175" customWidth="1"/>
    <col min="55" max="67" width="15.625" style="173" customWidth="1"/>
    <col min="68" max="68" width="5.625" style="173" customWidth="1"/>
    <col min="69" max="69" width="15.625" style="175" customWidth="1"/>
    <col min="70" max="82" width="15.625" style="173" customWidth="1"/>
    <col min="83" max="83" width="5.625" style="173" customWidth="1"/>
    <col min="84" max="84" width="15.625" style="175" customWidth="1"/>
    <col min="85" max="97" width="15.625" style="173" customWidth="1"/>
    <col min="98" max="98" width="5.625" style="173" customWidth="1"/>
    <col min="99" max="100" width="15.625" style="173" customWidth="1"/>
    <col min="101" max="101" width="11.875" style="173" customWidth="1"/>
    <col min="102" max="102" width="11.875" style="173"/>
    <col min="103" max="103" width="11.875" style="175"/>
    <col min="104" max="16384" width="11.875" style="173"/>
  </cols>
  <sheetData>
    <row r="1" spans="1:112" s="2" customFormat="1" ht="25.15" customHeight="1">
      <c r="A1" s="1" t="s">
        <v>0</v>
      </c>
      <c r="E1" s="3"/>
      <c r="H1" s="4" t="s">
        <v>1</v>
      </c>
      <c r="J1" s="3"/>
    </row>
    <row r="2" spans="1:112" s="2" customFormat="1" ht="25.15" customHeight="1">
      <c r="A2" s="5" t="str">
        <f>Fixed_Data!I12</f>
        <v>MASTER</v>
      </c>
      <c r="B2" s="6"/>
      <c r="D2" s="7"/>
      <c r="E2" s="3"/>
    </row>
    <row r="3" spans="1:112" s="9" customFormat="1" ht="25.15" customHeight="1" thickBot="1">
      <c r="A3" s="8" t="str">
        <f>Fixed_Data!A3</f>
        <v>RIIO-GD2</v>
      </c>
      <c r="D3" s="10"/>
      <c r="E3" s="11"/>
    </row>
    <row r="4" spans="1:112" s="89" customFormat="1" ht="25.15" customHeight="1">
      <c r="B4" s="90" t="s">
        <v>2911</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3"/>
      <c r="AN4" s="94"/>
      <c r="AO4" s="94"/>
      <c r="AP4" s="94"/>
      <c r="AQ4" s="94"/>
      <c r="AR4" s="94"/>
      <c r="AS4" s="94"/>
      <c r="AT4" s="94"/>
      <c r="AU4" s="94"/>
      <c r="AV4" s="92"/>
      <c r="AW4" s="92"/>
      <c r="AX4" s="92"/>
      <c r="AY4" s="92"/>
      <c r="AZ4" s="92"/>
      <c r="BA4" s="92"/>
      <c r="BB4" s="93"/>
      <c r="BC4" s="94"/>
      <c r="BD4" s="94"/>
      <c r="BE4" s="94"/>
      <c r="BF4" s="94"/>
      <c r="BG4" s="94"/>
      <c r="BH4" s="94"/>
      <c r="BI4" s="94"/>
      <c r="BJ4" s="94"/>
      <c r="BK4" s="92"/>
      <c r="BL4" s="92"/>
      <c r="BM4" s="92"/>
      <c r="BN4" s="92"/>
      <c r="BO4" s="92"/>
      <c r="BP4" s="92"/>
      <c r="BQ4" s="93"/>
      <c r="BR4" s="94"/>
      <c r="BS4" s="94"/>
      <c r="BT4" s="94"/>
      <c r="BU4" s="94"/>
      <c r="BV4" s="94"/>
      <c r="BW4" s="94"/>
      <c r="BX4" s="94"/>
      <c r="BY4" s="94"/>
      <c r="BZ4" s="92"/>
      <c r="CA4" s="92"/>
      <c r="CB4" s="92"/>
      <c r="CC4" s="92"/>
      <c r="CD4" s="92"/>
      <c r="CE4" s="92"/>
      <c r="CF4" s="93"/>
      <c r="CG4" s="94"/>
      <c r="CH4" s="94"/>
      <c r="CI4" s="94"/>
      <c r="CJ4" s="94"/>
      <c r="CK4" s="94"/>
      <c r="CL4" s="94"/>
      <c r="CM4" s="94"/>
      <c r="CN4" s="94"/>
      <c r="CO4" s="92"/>
      <c r="CP4" s="92"/>
      <c r="CQ4" s="92"/>
      <c r="CR4" s="92"/>
      <c r="CS4" s="92"/>
      <c r="CT4" s="92"/>
      <c r="CU4" s="92"/>
      <c r="CV4" s="92"/>
      <c r="CW4" s="92"/>
      <c r="CX4" s="92"/>
      <c r="CY4" s="92"/>
      <c r="CZ4" s="92"/>
      <c r="DA4" s="92"/>
      <c r="DB4" s="94"/>
      <c r="DC4" s="92"/>
      <c r="DD4" s="92"/>
      <c r="DE4" s="92"/>
      <c r="DF4" s="92"/>
      <c r="DG4" s="92"/>
      <c r="DH4" s="92"/>
    </row>
    <row r="5" spans="1:112" s="89" customFormat="1" ht="25.15" customHeight="1">
      <c r="B5" s="95"/>
      <c r="C5" s="95"/>
      <c r="D5" s="95"/>
      <c r="E5" s="95"/>
      <c r="F5" s="95"/>
      <c r="G5" s="95"/>
      <c r="H5" s="95"/>
      <c r="I5" s="93"/>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3"/>
      <c r="AN5" s="94"/>
      <c r="AO5" s="94"/>
      <c r="AP5" s="94"/>
      <c r="AQ5" s="94"/>
      <c r="AR5" s="94"/>
      <c r="AS5" s="94"/>
      <c r="AT5" s="94"/>
      <c r="AU5" s="94"/>
      <c r="AV5" s="92"/>
      <c r="AW5" s="92"/>
      <c r="AX5" s="92"/>
      <c r="AY5" s="92"/>
      <c r="AZ5" s="92"/>
      <c r="BA5" s="92"/>
      <c r="BB5" s="93"/>
      <c r="BC5" s="94"/>
      <c r="BD5" s="94"/>
      <c r="BE5" s="94"/>
      <c r="BF5" s="94"/>
      <c r="BG5" s="94"/>
      <c r="BH5" s="94"/>
      <c r="BI5" s="94"/>
      <c r="BJ5" s="94"/>
      <c r="BK5" s="92"/>
      <c r="BL5" s="92"/>
      <c r="BM5" s="92"/>
      <c r="BN5" s="92"/>
      <c r="BO5" s="92"/>
      <c r="BP5" s="92"/>
      <c r="BQ5" s="93"/>
      <c r="BR5" s="94"/>
      <c r="BS5" s="94"/>
      <c r="BT5" s="94"/>
      <c r="BU5" s="94"/>
      <c r="BV5" s="94"/>
      <c r="BW5" s="94"/>
      <c r="BX5" s="94"/>
      <c r="BY5" s="94"/>
      <c r="BZ5" s="92"/>
      <c r="CA5" s="92"/>
      <c r="CB5" s="92"/>
      <c r="CC5" s="92"/>
      <c r="CD5" s="92"/>
      <c r="CE5" s="92"/>
      <c r="CF5" s="93"/>
      <c r="CG5" s="94"/>
      <c r="CH5" s="94"/>
      <c r="CI5" s="94"/>
      <c r="CJ5" s="94"/>
      <c r="CK5" s="94"/>
      <c r="CL5" s="94"/>
      <c r="CM5" s="94"/>
      <c r="CN5" s="94"/>
      <c r="CO5" s="92"/>
      <c r="CP5" s="92"/>
      <c r="CQ5" s="92"/>
      <c r="CR5" s="92"/>
      <c r="CS5" s="92"/>
      <c r="CT5" s="92"/>
      <c r="CU5" s="92"/>
      <c r="CV5" s="92"/>
      <c r="CW5" s="92"/>
      <c r="CX5" s="92"/>
      <c r="CY5" s="92"/>
      <c r="CZ5" s="92"/>
      <c r="DA5" s="92"/>
      <c r="DB5" s="94"/>
      <c r="DC5" s="92"/>
      <c r="DD5" s="92"/>
      <c r="DE5" s="92"/>
      <c r="DF5" s="92"/>
      <c r="DG5" s="92"/>
      <c r="DH5" s="92"/>
    </row>
    <row r="6" spans="1:112"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3"/>
      <c r="AN6" s="94"/>
      <c r="AO6" s="94"/>
      <c r="AP6" s="94"/>
      <c r="AQ6" s="94"/>
      <c r="AR6" s="94"/>
      <c r="AS6" s="94"/>
      <c r="AT6" s="94"/>
      <c r="AU6" s="94"/>
      <c r="AV6" s="92"/>
      <c r="AW6" s="92"/>
      <c r="AX6" s="92"/>
      <c r="AY6" s="92"/>
      <c r="AZ6" s="92"/>
      <c r="BA6" s="92"/>
      <c r="BB6" s="93"/>
      <c r="BC6" s="94"/>
      <c r="BD6" s="94"/>
      <c r="BE6" s="94"/>
      <c r="BF6" s="94"/>
      <c r="BG6" s="94"/>
      <c r="BH6" s="94"/>
      <c r="BI6" s="94"/>
      <c r="BJ6" s="94"/>
      <c r="BK6" s="92"/>
      <c r="BL6" s="92"/>
      <c r="BM6" s="92"/>
      <c r="BN6" s="92"/>
      <c r="BO6" s="92"/>
      <c r="BP6" s="92"/>
      <c r="BQ6" s="93"/>
      <c r="BR6" s="94"/>
      <c r="BS6" s="94"/>
      <c r="BT6" s="94"/>
      <c r="BU6" s="94"/>
      <c r="BV6" s="94"/>
      <c r="BW6" s="94"/>
      <c r="BX6" s="94"/>
      <c r="BY6" s="94"/>
      <c r="BZ6" s="92"/>
      <c r="CA6" s="92"/>
      <c r="CB6" s="92"/>
      <c r="CC6" s="92"/>
      <c r="CD6" s="92"/>
      <c r="CE6" s="92"/>
      <c r="CF6" s="93"/>
      <c r="CG6" s="94"/>
      <c r="CH6" s="94"/>
      <c r="CI6" s="94"/>
      <c r="CJ6" s="94"/>
      <c r="CK6" s="94"/>
      <c r="CL6" s="94"/>
      <c r="CM6" s="94"/>
      <c r="CN6" s="94"/>
      <c r="CO6" s="92"/>
      <c r="CP6" s="92"/>
      <c r="CQ6" s="92"/>
      <c r="CR6" s="92"/>
      <c r="CS6" s="92"/>
      <c r="CT6" s="92"/>
      <c r="CU6" s="92"/>
      <c r="CV6" s="92"/>
      <c r="CW6" s="92"/>
      <c r="CX6" s="92"/>
      <c r="CY6" s="92"/>
      <c r="CZ6" s="92"/>
      <c r="DA6" s="92"/>
      <c r="DB6" s="94"/>
      <c r="DC6" s="92"/>
      <c r="DD6" s="92"/>
      <c r="DE6" s="92"/>
      <c r="DF6" s="92"/>
      <c r="DG6" s="92"/>
      <c r="DH6" s="92"/>
    </row>
    <row r="7" spans="1:112"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7"/>
      <c r="AM7" s="96"/>
      <c r="AN7" s="97"/>
      <c r="AO7" s="97"/>
      <c r="AP7" s="97"/>
      <c r="AQ7" s="97"/>
      <c r="AR7" s="97"/>
      <c r="AS7" s="97"/>
      <c r="AT7" s="97"/>
      <c r="AU7" s="97"/>
      <c r="AV7" s="97"/>
      <c r="AW7" s="97"/>
      <c r="AX7" s="97"/>
      <c r="AY7" s="97"/>
      <c r="AZ7" s="97"/>
      <c r="BA7" s="97"/>
      <c r="BB7" s="96"/>
      <c r="BC7" s="97"/>
      <c r="BD7" s="97"/>
      <c r="BE7" s="97"/>
      <c r="BF7" s="97"/>
      <c r="BG7" s="97"/>
      <c r="BH7" s="97"/>
      <c r="BI7" s="97"/>
      <c r="BJ7" s="97"/>
      <c r="BK7" s="97"/>
      <c r="BL7" s="97"/>
      <c r="BM7" s="97"/>
      <c r="BN7" s="97"/>
      <c r="BO7" s="97"/>
      <c r="BP7" s="97"/>
      <c r="BQ7" s="96"/>
      <c r="BR7" s="97"/>
      <c r="BS7" s="97"/>
      <c r="BT7" s="97"/>
      <c r="BU7" s="97"/>
      <c r="BV7" s="97"/>
      <c r="BW7" s="97"/>
      <c r="BX7" s="97"/>
      <c r="BY7" s="97"/>
      <c r="BZ7" s="97"/>
      <c r="CA7" s="97"/>
      <c r="CB7" s="97"/>
      <c r="CC7" s="97"/>
      <c r="CD7" s="97"/>
      <c r="CE7" s="97"/>
      <c r="CF7" s="96"/>
      <c r="CG7" s="97"/>
      <c r="CH7" s="97"/>
      <c r="CI7" s="97"/>
      <c r="CJ7" s="97"/>
      <c r="CK7" s="97"/>
      <c r="CL7" s="97"/>
      <c r="CM7" s="97"/>
      <c r="CN7" s="97"/>
      <c r="CO7" s="97"/>
      <c r="CP7" s="97"/>
      <c r="CQ7" s="97"/>
      <c r="CR7" s="97"/>
      <c r="CS7" s="97"/>
      <c r="CT7" s="97"/>
      <c r="CU7" s="97"/>
      <c r="CV7" s="97"/>
      <c r="CW7" s="97"/>
      <c r="CX7" s="97"/>
      <c r="CY7" s="96"/>
      <c r="CZ7" s="98"/>
      <c r="DA7" s="98"/>
      <c r="DB7" s="98"/>
      <c r="DC7" s="98"/>
      <c r="DD7" s="98"/>
      <c r="DE7" s="98"/>
      <c r="DF7" s="98"/>
      <c r="DG7" s="98"/>
      <c r="DH7" s="98"/>
    </row>
    <row r="8" spans="1:112" s="100" customFormat="1" ht="30" customHeight="1" thickBot="1">
      <c r="A8" s="89"/>
      <c r="B8" s="621" t="s">
        <v>89</v>
      </c>
      <c r="C8" s="102"/>
      <c r="D8" s="102"/>
      <c r="E8" s="102"/>
      <c r="F8" s="102"/>
      <c r="G8" s="103"/>
      <c r="H8" s="103"/>
      <c r="I8" s="105" t="s">
        <v>2390</v>
      </c>
      <c r="J8" s="106"/>
      <c r="K8" s="106"/>
      <c r="L8" s="106"/>
      <c r="M8" s="106"/>
      <c r="N8" s="106"/>
      <c r="O8" s="106"/>
      <c r="P8" s="106"/>
      <c r="Q8" s="106"/>
      <c r="R8" s="105"/>
      <c r="S8" s="105"/>
      <c r="T8" s="105"/>
      <c r="U8" s="105"/>
      <c r="V8" s="105"/>
      <c r="W8" s="103"/>
      <c r="X8" s="105" t="s">
        <v>2912</v>
      </c>
      <c r="Y8" s="106"/>
      <c r="Z8" s="106"/>
      <c r="AA8" s="106"/>
      <c r="AB8" s="106"/>
      <c r="AC8" s="106"/>
      <c r="AD8" s="106"/>
      <c r="AE8" s="106"/>
      <c r="AF8" s="106"/>
      <c r="AG8" s="105"/>
      <c r="AH8" s="105"/>
      <c r="AI8" s="105"/>
      <c r="AJ8" s="105"/>
      <c r="AK8" s="105"/>
      <c r="AL8" s="103"/>
      <c r="AM8" s="105" t="s">
        <v>2913</v>
      </c>
      <c r="AN8" s="106"/>
      <c r="AO8" s="106"/>
      <c r="AP8" s="106"/>
      <c r="AQ8" s="106"/>
      <c r="AR8" s="106"/>
      <c r="AS8" s="106"/>
      <c r="AT8" s="106"/>
      <c r="AU8" s="106"/>
      <c r="AV8" s="105"/>
      <c r="AW8" s="105"/>
      <c r="AX8" s="105"/>
      <c r="AY8" s="105"/>
      <c r="AZ8" s="105"/>
      <c r="BA8" s="103"/>
      <c r="BB8" s="105" t="s">
        <v>2914</v>
      </c>
      <c r="BC8" s="106"/>
      <c r="BD8" s="106"/>
      <c r="BE8" s="106"/>
      <c r="BF8" s="106"/>
      <c r="BG8" s="106"/>
      <c r="BH8" s="106"/>
      <c r="BI8" s="106"/>
      <c r="BJ8" s="106"/>
      <c r="BK8" s="105"/>
      <c r="BL8" s="105"/>
      <c r="BM8" s="105"/>
      <c r="BN8" s="105"/>
      <c r="BO8" s="105"/>
      <c r="BP8" s="103"/>
      <c r="BQ8" s="105" t="s">
        <v>2915</v>
      </c>
      <c r="BR8" s="106"/>
      <c r="BS8" s="106"/>
      <c r="BT8" s="106"/>
      <c r="BU8" s="106"/>
      <c r="BV8" s="106"/>
      <c r="BW8" s="106"/>
      <c r="BX8" s="106"/>
      <c r="BY8" s="106"/>
      <c r="BZ8" s="105"/>
      <c r="CA8" s="105"/>
      <c r="CB8" s="105"/>
      <c r="CC8" s="105"/>
      <c r="CD8" s="105"/>
      <c r="CE8" s="103"/>
      <c r="CF8" s="105" t="s">
        <v>2916</v>
      </c>
      <c r="CG8" s="106"/>
      <c r="CH8" s="106"/>
      <c r="CI8" s="106"/>
      <c r="CJ8" s="106"/>
      <c r="CK8" s="106"/>
      <c r="CL8" s="106"/>
      <c r="CM8" s="106"/>
      <c r="CN8" s="106"/>
      <c r="CO8" s="105"/>
      <c r="CP8" s="105"/>
      <c r="CQ8" s="105"/>
      <c r="CR8" s="105"/>
      <c r="CS8" s="105"/>
      <c r="CT8" s="103"/>
      <c r="CU8" s="218" t="s">
        <v>1925</v>
      </c>
      <c r="CV8" s="221"/>
    </row>
    <row r="9" spans="1:112"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c r="W9" s="222"/>
      <c r="X9" s="117"/>
      <c r="Y9" s="695" t="s">
        <v>1666</v>
      </c>
      <c r="Z9" s="152"/>
      <c r="AA9" s="152"/>
      <c r="AB9" s="152"/>
      <c r="AC9" s="152"/>
      <c r="AD9" s="152"/>
      <c r="AE9" s="152"/>
      <c r="AF9" s="153"/>
      <c r="AG9" s="696" t="s">
        <v>2</v>
      </c>
      <c r="AH9" s="155"/>
      <c r="AI9" s="155"/>
      <c r="AJ9" s="155"/>
      <c r="AK9" s="156"/>
      <c r="AL9" s="222"/>
      <c r="AM9" s="117"/>
      <c r="AN9" s="695" t="s">
        <v>1666</v>
      </c>
      <c r="AO9" s="152"/>
      <c r="AP9" s="152"/>
      <c r="AQ9" s="152"/>
      <c r="AR9" s="152"/>
      <c r="AS9" s="152"/>
      <c r="AT9" s="152"/>
      <c r="AU9" s="153"/>
      <c r="AV9" s="696" t="s">
        <v>2</v>
      </c>
      <c r="AW9" s="155"/>
      <c r="AX9" s="155"/>
      <c r="AY9" s="155"/>
      <c r="AZ9" s="156"/>
      <c r="BA9" s="222"/>
      <c r="BB9" s="117"/>
      <c r="BC9" s="695" t="s">
        <v>1666</v>
      </c>
      <c r="BD9" s="152"/>
      <c r="BE9" s="152"/>
      <c r="BF9" s="152"/>
      <c r="BG9" s="152"/>
      <c r="BH9" s="152"/>
      <c r="BI9" s="152"/>
      <c r="BJ9" s="153"/>
      <c r="BK9" s="696" t="s">
        <v>2</v>
      </c>
      <c r="BL9" s="155"/>
      <c r="BM9" s="155"/>
      <c r="BN9" s="155"/>
      <c r="BO9" s="156"/>
      <c r="BP9" s="222"/>
      <c r="BQ9" s="117"/>
      <c r="BR9" s="695" t="s">
        <v>1666</v>
      </c>
      <c r="BS9" s="152"/>
      <c r="BT9" s="152"/>
      <c r="BU9" s="152"/>
      <c r="BV9" s="152"/>
      <c r="BW9" s="152"/>
      <c r="BX9" s="152"/>
      <c r="BY9" s="153"/>
      <c r="BZ9" s="696" t="s">
        <v>2</v>
      </c>
      <c r="CA9" s="155"/>
      <c r="CB9" s="155"/>
      <c r="CC9" s="155"/>
      <c r="CD9" s="156"/>
      <c r="CE9" s="222"/>
      <c r="CF9" s="117"/>
      <c r="CG9" s="695" t="s">
        <v>1666</v>
      </c>
      <c r="CH9" s="152"/>
      <c r="CI9" s="152"/>
      <c r="CJ9" s="152"/>
      <c r="CK9" s="152"/>
      <c r="CL9" s="152"/>
      <c r="CM9" s="152"/>
      <c r="CN9" s="153"/>
      <c r="CO9" s="696" t="s">
        <v>2</v>
      </c>
      <c r="CP9" s="155"/>
      <c r="CQ9" s="155"/>
      <c r="CR9" s="155"/>
      <c r="CS9" s="156"/>
      <c r="CT9" s="222"/>
      <c r="CU9" s="203" t="s">
        <v>2917</v>
      </c>
      <c r="CV9" s="204"/>
    </row>
    <row r="10" spans="1:112"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8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c r="AL10" s="185"/>
      <c r="AM10" s="119" t="s">
        <v>1667</v>
      </c>
      <c r="AN10" s="158" t="s">
        <v>453</v>
      </c>
      <c r="AO10" s="137" t="s">
        <v>455</v>
      </c>
      <c r="AP10" s="137" t="s">
        <v>457</v>
      </c>
      <c r="AQ10" s="137" t="s">
        <v>459</v>
      </c>
      <c r="AR10" s="137" t="s">
        <v>461</v>
      </c>
      <c r="AS10" s="137" t="s">
        <v>463</v>
      </c>
      <c r="AT10" s="137" t="s">
        <v>465</v>
      </c>
      <c r="AU10" s="138" t="s">
        <v>467</v>
      </c>
      <c r="AV10" s="120" t="s">
        <v>469</v>
      </c>
      <c r="AW10" s="121" t="s">
        <v>471</v>
      </c>
      <c r="AX10" s="121" t="s">
        <v>473</v>
      </c>
      <c r="AY10" s="121" t="s">
        <v>475</v>
      </c>
      <c r="AZ10" s="122" t="s">
        <v>477</v>
      </c>
      <c r="BA10" s="185"/>
      <c r="BB10" s="119" t="s">
        <v>1667</v>
      </c>
      <c r="BC10" s="158" t="s">
        <v>453</v>
      </c>
      <c r="BD10" s="137" t="s">
        <v>455</v>
      </c>
      <c r="BE10" s="137" t="s">
        <v>457</v>
      </c>
      <c r="BF10" s="137" t="s">
        <v>459</v>
      </c>
      <c r="BG10" s="137" t="s">
        <v>461</v>
      </c>
      <c r="BH10" s="137" t="s">
        <v>463</v>
      </c>
      <c r="BI10" s="137" t="s">
        <v>465</v>
      </c>
      <c r="BJ10" s="138" t="s">
        <v>467</v>
      </c>
      <c r="BK10" s="120" t="s">
        <v>469</v>
      </c>
      <c r="BL10" s="121" t="s">
        <v>471</v>
      </c>
      <c r="BM10" s="121" t="s">
        <v>473</v>
      </c>
      <c r="BN10" s="121" t="s">
        <v>475</v>
      </c>
      <c r="BO10" s="122" t="s">
        <v>477</v>
      </c>
      <c r="BP10" s="185"/>
      <c r="BQ10" s="119" t="s">
        <v>1667</v>
      </c>
      <c r="BR10" s="158" t="s">
        <v>453</v>
      </c>
      <c r="BS10" s="137" t="s">
        <v>455</v>
      </c>
      <c r="BT10" s="137" t="s">
        <v>457</v>
      </c>
      <c r="BU10" s="137" t="s">
        <v>459</v>
      </c>
      <c r="BV10" s="137" t="s">
        <v>461</v>
      </c>
      <c r="BW10" s="137" t="s">
        <v>463</v>
      </c>
      <c r="BX10" s="137" t="s">
        <v>465</v>
      </c>
      <c r="BY10" s="138" t="s">
        <v>467</v>
      </c>
      <c r="BZ10" s="120" t="s">
        <v>469</v>
      </c>
      <c r="CA10" s="121" t="s">
        <v>471</v>
      </c>
      <c r="CB10" s="121" t="s">
        <v>473</v>
      </c>
      <c r="CC10" s="121" t="s">
        <v>475</v>
      </c>
      <c r="CD10" s="122" t="s">
        <v>477</v>
      </c>
      <c r="CE10" s="185"/>
      <c r="CF10" s="119" t="s">
        <v>1667</v>
      </c>
      <c r="CG10" s="158" t="s">
        <v>453</v>
      </c>
      <c r="CH10" s="137" t="s">
        <v>455</v>
      </c>
      <c r="CI10" s="137" t="s">
        <v>457</v>
      </c>
      <c r="CJ10" s="137" t="s">
        <v>459</v>
      </c>
      <c r="CK10" s="137" t="s">
        <v>461</v>
      </c>
      <c r="CL10" s="137" t="s">
        <v>463</v>
      </c>
      <c r="CM10" s="137" t="s">
        <v>465</v>
      </c>
      <c r="CN10" s="138" t="s">
        <v>467</v>
      </c>
      <c r="CO10" s="120" t="s">
        <v>469</v>
      </c>
      <c r="CP10" s="121" t="s">
        <v>471</v>
      </c>
      <c r="CQ10" s="121" t="s">
        <v>473</v>
      </c>
      <c r="CR10" s="121" t="s">
        <v>475</v>
      </c>
      <c r="CS10" s="122" t="s">
        <v>477</v>
      </c>
      <c r="CT10" s="185"/>
      <c r="CU10" s="206" t="s">
        <v>1667</v>
      </c>
      <c r="CV10" s="207" t="s">
        <v>2142</v>
      </c>
    </row>
    <row r="11" spans="1:112" s="98" customFormat="1" ht="15" customHeight="1">
      <c r="A11" s="99"/>
      <c r="B11" s="161"/>
      <c r="C11" s="180" t="s">
        <v>2918</v>
      </c>
      <c r="D11" s="162"/>
      <c r="E11" s="162"/>
      <c r="F11" s="162"/>
      <c r="G11" s="163"/>
      <c r="H11" s="163"/>
      <c r="I11" s="117"/>
      <c r="J11" s="159"/>
      <c r="K11" s="117"/>
      <c r="L11" s="117"/>
      <c r="M11" s="117"/>
      <c r="N11" s="117"/>
      <c r="O11" s="117"/>
      <c r="P11" s="117"/>
      <c r="Q11" s="160"/>
      <c r="R11" s="159"/>
      <c r="S11" s="117"/>
      <c r="T11" s="117"/>
      <c r="U11" s="117"/>
      <c r="V11" s="160"/>
      <c r="W11" s="185"/>
      <c r="X11" s="117"/>
      <c r="Y11" s="159"/>
      <c r="Z11" s="117"/>
      <c r="AA11" s="117"/>
      <c r="AB11" s="117"/>
      <c r="AC11" s="117"/>
      <c r="AD11" s="117"/>
      <c r="AE11" s="117"/>
      <c r="AF11" s="160"/>
      <c r="AG11" s="159"/>
      <c r="AH11" s="117"/>
      <c r="AI11" s="117"/>
      <c r="AJ11" s="117"/>
      <c r="AK11" s="160"/>
      <c r="AL11" s="185"/>
      <c r="AM11" s="117"/>
      <c r="AN11" s="159"/>
      <c r="AO11" s="117"/>
      <c r="AP11" s="117"/>
      <c r="AQ11" s="117"/>
      <c r="AR11" s="117"/>
      <c r="AS11" s="117"/>
      <c r="AT11" s="117"/>
      <c r="AU11" s="160"/>
      <c r="AV11" s="159"/>
      <c r="AW11" s="117"/>
      <c r="AX11" s="117"/>
      <c r="AY11" s="117"/>
      <c r="AZ11" s="160"/>
      <c r="BA11" s="185"/>
      <c r="BB11" s="117"/>
      <c r="BC11" s="159"/>
      <c r="BD11" s="117"/>
      <c r="BE11" s="117"/>
      <c r="BF11" s="117"/>
      <c r="BG11" s="117"/>
      <c r="BH11" s="117"/>
      <c r="BI11" s="117"/>
      <c r="BJ11" s="160"/>
      <c r="BK11" s="159"/>
      <c r="BL11" s="117"/>
      <c r="BM11" s="117"/>
      <c r="BN11" s="117"/>
      <c r="BO11" s="160"/>
      <c r="BP11" s="185"/>
      <c r="BQ11" s="117"/>
      <c r="BR11" s="159"/>
      <c r="BS11" s="117"/>
      <c r="BT11" s="117"/>
      <c r="BU11" s="117"/>
      <c r="BV11" s="117"/>
      <c r="BW11" s="117"/>
      <c r="BX11" s="117"/>
      <c r="BY11" s="160"/>
      <c r="BZ11" s="159"/>
      <c r="CA11" s="117"/>
      <c r="CB11" s="117"/>
      <c r="CC11" s="117"/>
      <c r="CD11" s="160"/>
      <c r="CE11" s="185"/>
      <c r="CF11" s="117"/>
      <c r="CG11" s="159"/>
      <c r="CH11" s="117"/>
      <c r="CI11" s="117"/>
      <c r="CJ11" s="117"/>
      <c r="CK11" s="117"/>
      <c r="CL11" s="117"/>
      <c r="CM11" s="117"/>
      <c r="CN11" s="160"/>
      <c r="CO11" s="159"/>
      <c r="CP11" s="117"/>
      <c r="CQ11" s="117"/>
      <c r="CR11" s="117"/>
      <c r="CS11" s="160"/>
      <c r="CT11" s="185"/>
      <c r="CU11" s="209"/>
      <c r="CV11" s="210"/>
    </row>
    <row r="12" spans="1:112" s="98" customFormat="1" ht="15" customHeight="1">
      <c r="A12" s="99"/>
      <c r="B12" s="161"/>
      <c r="C12" s="185"/>
      <c r="D12" s="162" t="s">
        <v>85</v>
      </c>
      <c r="E12" s="162"/>
      <c r="F12" s="162"/>
      <c r="G12" s="720" t="s">
        <v>2919</v>
      </c>
      <c r="H12" s="163"/>
      <c r="I12" s="164" t="s">
        <v>2391</v>
      </c>
      <c r="J12" s="143">
        <v>4.5081343407053831</v>
      </c>
      <c r="K12" s="141">
        <v>4.7537676749329867</v>
      </c>
      <c r="L12" s="141">
        <v>4.6968773018555181</v>
      </c>
      <c r="M12" s="141">
        <v>5.072153789746582</v>
      </c>
      <c r="N12" s="141">
        <v>5.0703402607624595</v>
      </c>
      <c r="O12" s="141">
        <v>5.0370509874399101</v>
      </c>
      <c r="P12" s="141">
        <v>4.7709629738676993</v>
      </c>
      <c r="Q12" s="144">
        <v>4.7546230354679899</v>
      </c>
      <c r="R12" s="143">
        <v>4.7600430762921491</v>
      </c>
      <c r="S12" s="141">
        <v>4.7618763618759452</v>
      </c>
      <c r="T12" s="141">
        <v>4.7588474912120295</v>
      </c>
      <c r="U12" s="141">
        <v>4.7602556431267082</v>
      </c>
      <c r="V12" s="144">
        <v>4.7603264987382268</v>
      </c>
      <c r="W12" s="185"/>
      <c r="X12" s="164" t="s">
        <v>2391</v>
      </c>
      <c r="Y12" s="143">
        <v>4.5081343407053831</v>
      </c>
      <c r="Z12" s="141">
        <v>4.7539999999999996</v>
      </c>
      <c r="AA12" s="141">
        <v>4.6968773018555181</v>
      </c>
      <c r="AB12" s="141">
        <v>5.072153789746582</v>
      </c>
      <c r="AC12" s="141">
        <v>5.0703402607624595</v>
      </c>
      <c r="AD12" s="141">
        <v>5.0370509874399101</v>
      </c>
      <c r="AE12" s="141">
        <v>4.7709629738676993</v>
      </c>
      <c r="AF12" s="144">
        <v>4.7546230354679899</v>
      </c>
      <c r="AG12" s="143">
        <v>4.7600430762921491</v>
      </c>
      <c r="AH12" s="141">
        <v>4.7618763618759452</v>
      </c>
      <c r="AI12" s="141">
        <v>4.7588474912120295</v>
      </c>
      <c r="AJ12" s="141">
        <v>4.7602556431267082</v>
      </c>
      <c r="AK12" s="144">
        <v>4.7603264987382268</v>
      </c>
      <c r="AL12" s="185"/>
      <c r="AM12" s="164" t="s">
        <v>2391</v>
      </c>
      <c r="AN12" s="143">
        <v>0.62</v>
      </c>
      <c r="AO12" s="141">
        <v>0.62</v>
      </c>
      <c r="AP12" s="141">
        <v>0.62</v>
      </c>
      <c r="AQ12" s="141">
        <v>0.54063985195576003</v>
      </c>
      <c r="AR12" s="141">
        <v>0.54788603157587046</v>
      </c>
      <c r="AS12" s="141">
        <v>0.6</v>
      </c>
      <c r="AT12" s="141">
        <v>0.56284196117721019</v>
      </c>
      <c r="AU12" s="144">
        <v>0.57024266425102688</v>
      </c>
      <c r="AV12" s="143">
        <v>0.57769487514274565</v>
      </c>
      <c r="AW12" s="141">
        <v>0.57025983352366094</v>
      </c>
      <c r="AX12" s="141">
        <v>0.57273245763914449</v>
      </c>
      <c r="AY12" s="141">
        <v>0.57356238876851695</v>
      </c>
      <c r="AZ12" s="144">
        <v>0.57218489331044076</v>
      </c>
      <c r="BA12" s="185"/>
      <c r="BB12" s="164" t="s">
        <v>2462</v>
      </c>
      <c r="BC12" s="143">
        <v>0.25672781975161318</v>
      </c>
      <c r="BD12" s="141">
        <v>0.26700000000000002</v>
      </c>
      <c r="BE12" s="141">
        <v>0.25244985583214696</v>
      </c>
      <c r="BF12" s="141">
        <v>0.25</v>
      </c>
      <c r="BG12" s="141">
        <v>0.25039889407290278</v>
      </c>
      <c r="BH12" s="141">
        <v>0.25273426733380594</v>
      </c>
      <c r="BI12" s="141">
        <v>0.25104438713556959</v>
      </c>
      <c r="BJ12" s="144">
        <v>0.25139251618075947</v>
      </c>
      <c r="BK12" s="143">
        <v>0.25172372355004496</v>
      </c>
      <c r="BL12" s="141">
        <v>0.25138687562212469</v>
      </c>
      <c r="BM12" s="141">
        <v>0.25150103845097638</v>
      </c>
      <c r="BN12" s="141">
        <v>0.25153721254104866</v>
      </c>
      <c r="BO12" s="144">
        <v>0.25147504220471656</v>
      </c>
      <c r="BP12" s="185"/>
      <c r="BQ12" s="164" t="s">
        <v>2441</v>
      </c>
      <c r="BR12" s="143">
        <v>41</v>
      </c>
      <c r="BS12" s="141">
        <v>41</v>
      </c>
      <c r="BT12" s="141">
        <v>41</v>
      </c>
      <c r="BU12" s="141">
        <v>41</v>
      </c>
      <c r="BV12" s="141">
        <v>41</v>
      </c>
      <c r="BW12" s="141">
        <v>41</v>
      </c>
      <c r="BX12" s="141">
        <v>41</v>
      </c>
      <c r="BY12" s="144">
        <v>41</v>
      </c>
      <c r="BZ12" s="143">
        <v>41</v>
      </c>
      <c r="CA12" s="141">
        <v>41</v>
      </c>
      <c r="CB12" s="141">
        <v>41</v>
      </c>
      <c r="CC12" s="141">
        <v>41</v>
      </c>
      <c r="CD12" s="144">
        <v>41</v>
      </c>
      <c r="CE12" s="185"/>
      <c r="CF12" s="164" t="s">
        <v>2441</v>
      </c>
      <c r="CG12" s="143">
        <v>38</v>
      </c>
      <c r="CH12" s="141">
        <v>38</v>
      </c>
      <c r="CI12" s="141">
        <v>38</v>
      </c>
      <c r="CJ12" s="141">
        <v>38</v>
      </c>
      <c r="CK12" s="141">
        <v>38</v>
      </c>
      <c r="CL12" s="141">
        <v>38</v>
      </c>
      <c r="CM12" s="141">
        <v>38</v>
      </c>
      <c r="CN12" s="144">
        <v>38</v>
      </c>
      <c r="CO12" s="143">
        <v>38</v>
      </c>
      <c r="CP12" s="141">
        <v>38</v>
      </c>
      <c r="CQ12" s="141">
        <v>38</v>
      </c>
      <c r="CR12" s="141">
        <v>38</v>
      </c>
      <c r="CS12" s="144">
        <v>38</v>
      </c>
      <c r="CT12" s="185"/>
      <c r="CU12" s="119" t="s">
        <v>2920</v>
      </c>
      <c r="CV12" s="2604" t="s">
        <v>2921</v>
      </c>
    </row>
    <row r="13" spans="1:112" s="98" customFormat="1" ht="15" customHeight="1">
      <c r="A13" s="99"/>
      <c r="B13" s="161"/>
      <c r="C13" s="185"/>
      <c r="D13" s="162" t="s">
        <v>85</v>
      </c>
      <c r="E13" s="162"/>
      <c r="F13" s="162"/>
      <c r="G13" s="720" t="s">
        <v>2922</v>
      </c>
      <c r="H13" s="163"/>
      <c r="I13" s="164" t="s">
        <v>2391</v>
      </c>
      <c r="J13" s="143">
        <v>0.19421092498327949</v>
      </c>
      <c r="K13" s="141">
        <v>0.1977716822118189</v>
      </c>
      <c r="L13" s="141">
        <v>0.19575455865054445</v>
      </c>
      <c r="M13" s="141">
        <v>0.21295881971283873</v>
      </c>
      <c r="N13" s="141">
        <v>0.22621164572183391</v>
      </c>
      <c r="O13" s="141">
        <v>0.18659136622261743</v>
      </c>
      <c r="P13" s="141">
        <v>0.17673446262729853</v>
      </c>
      <c r="Q13" s="144">
        <v>0.17612916968156545</v>
      </c>
      <c r="R13" s="143">
        <v>0.17632994843581748</v>
      </c>
      <c r="S13" s="141">
        <v>0.17639786024822712</v>
      </c>
      <c r="T13" s="141">
        <v>0.17628565945520339</v>
      </c>
      <c r="U13" s="141">
        <v>0.17633782271308268</v>
      </c>
      <c r="V13" s="144">
        <v>0.17634044747217104</v>
      </c>
      <c r="W13" s="185"/>
      <c r="X13" s="164" t="s">
        <v>2391</v>
      </c>
      <c r="Y13" s="143">
        <v>0.19421092498327949</v>
      </c>
      <c r="Z13" s="141">
        <v>0.19800000000000001</v>
      </c>
      <c r="AA13" s="141">
        <v>0.19575455865054445</v>
      </c>
      <c r="AB13" s="141">
        <v>0.21295881971283873</v>
      </c>
      <c r="AC13" s="141">
        <v>0.22621164572183391</v>
      </c>
      <c r="AD13" s="141">
        <v>0.18659136622261743</v>
      </c>
      <c r="AE13" s="141">
        <v>0.17673446262729853</v>
      </c>
      <c r="AF13" s="144">
        <v>0.17612916968156545</v>
      </c>
      <c r="AG13" s="143">
        <v>0.17632994843581748</v>
      </c>
      <c r="AH13" s="141">
        <v>0.17639786024822712</v>
      </c>
      <c r="AI13" s="141">
        <v>0.17628565945520339</v>
      </c>
      <c r="AJ13" s="141">
        <v>0.17633782271308268</v>
      </c>
      <c r="AK13" s="144">
        <v>0.17634044747217104</v>
      </c>
      <c r="AL13" s="185"/>
      <c r="AM13" s="164" t="s">
        <v>2391</v>
      </c>
      <c r="AN13" s="143">
        <v>2.9131638747491924E-2</v>
      </c>
      <c r="AO13" s="141">
        <v>0.03</v>
      </c>
      <c r="AP13" s="141">
        <v>2.88542219450903E-2</v>
      </c>
      <c r="AQ13" s="141">
        <v>3.0370057279247929E-2</v>
      </c>
      <c r="AR13" s="141">
        <v>3.2597098148516267E-2</v>
      </c>
      <c r="AS13" s="141">
        <v>2.7727477020680954E-2</v>
      </c>
      <c r="AT13" s="141">
        <v>3.0231544149481714E-2</v>
      </c>
      <c r="AU13" s="144">
        <v>3.018537310622631E-2</v>
      </c>
      <c r="AV13" s="143">
        <v>2.9381464758796327E-2</v>
      </c>
      <c r="AW13" s="141">
        <v>2.9932794004834784E-2</v>
      </c>
      <c r="AX13" s="141">
        <v>2.9833210623285807E-2</v>
      </c>
      <c r="AY13" s="141">
        <v>2.9715823128972307E-2</v>
      </c>
      <c r="AZ13" s="144">
        <v>2.9827275919030966E-2</v>
      </c>
      <c r="BA13" s="185"/>
      <c r="BB13" s="164" t="s">
        <v>2462</v>
      </c>
      <c r="BC13" s="143">
        <v>1.1652655498996769E-2</v>
      </c>
      <c r="BD13" s="141">
        <v>1.2E-2</v>
      </c>
      <c r="BE13" s="141">
        <v>1.1745273519032666E-2</v>
      </c>
      <c r="BF13" s="141">
        <v>1.2999999999999999E-2</v>
      </c>
      <c r="BG13" s="141">
        <v>1.3572698743310034E-2</v>
      </c>
      <c r="BH13" s="141">
        <v>1.1191750146032593E-2</v>
      </c>
      <c r="BI13" s="141">
        <v>1.2588149629780875E-2</v>
      </c>
      <c r="BJ13" s="144">
        <v>1.2450866173041168E-2</v>
      </c>
      <c r="BK13" s="143">
        <v>1.2076921982951544E-2</v>
      </c>
      <c r="BL13" s="141">
        <v>1.2371979261924529E-2</v>
      </c>
      <c r="BM13" s="141">
        <v>1.229992247263908E-2</v>
      </c>
      <c r="BN13" s="141">
        <v>1.2249607905838384E-2</v>
      </c>
      <c r="BO13" s="144">
        <v>1.2307169880133998E-2</v>
      </c>
      <c r="BP13" s="185"/>
      <c r="BQ13" s="164" t="s">
        <v>2441</v>
      </c>
      <c r="BR13" s="143">
        <v>53.2</v>
      </c>
      <c r="BS13" s="141">
        <v>53.2</v>
      </c>
      <c r="BT13" s="141">
        <v>53.2</v>
      </c>
      <c r="BU13" s="141">
        <v>53.2</v>
      </c>
      <c r="BV13" s="141">
        <v>53.2</v>
      </c>
      <c r="BW13" s="141">
        <v>53.2</v>
      </c>
      <c r="BX13" s="141">
        <v>53.2</v>
      </c>
      <c r="BY13" s="144">
        <v>53.2</v>
      </c>
      <c r="BZ13" s="143">
        <v>53.2</v>
      </c>
      <c r="CA13" s="141">
        <v>53.2</v>
      </c>
      <c r="CB13" s="141">
        <v>53.2</v>
      </c>
      <c r="CC13" s="141">
        <v>53.2</v>
      </c>
      <c r="CD13" s="144">
        <v>53.2</v>
      </c>
      <c r="CE13" s="185"/>
      <c r="CF13" s="164" t="s">
        <v>2441</v>
      </c>
      <c r="CG13" s="143">
        <v>50</v>
      </c>
      <c r="CH13" s="141">
        <v>50</v>
      </c>
      <c r="CI13" s="141">
        <v>50</v>
      </c>
      <c r="CJ13" s="141">
        <v>50</v>
      </c>
      <c r="CK13" s="141">
        <v>50</v>
      </c>
      <c r="CL13" s="141">
        <v>50</v>
      </c>
      <c r="CM13" s="141">
        <v>50</v>
      </c>
      <c r="CN13" s="144">
        <v>50</v>
      </c>
      <c r="CO13" s="143">
        <v>50</v>
      </c>
      <c r="CP13" s="141">
        <v>50</v>
      </c>
      <c r="CQ13" s="141">
        <v>50</v>
      </c>
      <c r="CR13" s="141">
        <v>50</v>
      </c>
      <c r="CS13" s="144">
        <v>50</v>
      </c>
      <c r="CT13" s="185"/>
      <c r="CU13" s="119" t="s">
        <v>2920</v>
      </c>
      <c r="CV13" s="2604" t="s">
        <v>2921</v>
      </c>
    </row>
    <row r="14" spans="1:112" s="98" customFormat="1" ht="15" customHeight="1">
      <c r="A14" s="99"/>
      <c r="B14" s="161"/>
      <c r="C14" s="185"/>
      <c r="D14" s="162" t="s">
        <v>85</v>
      </c>
      <c r="E14" s="162"/>
      <c r="F14" s="162"/>
      <c r="G14" s="720" t="s">
        <v>2923</v>
      </c>
      <c r="H14" s="163"/>
      <c r="I14" s="164" t="s">
        <v>2391</v>
      </c>
      <c r="J14" s="143">
        <v>7.6155928687994343E-3</v>
      </c>
      <c r="K14" s="141">
        <v>5.3607216993238373E-3</v>
      </c>
      <c r="L14" s="141">
        <v>5.5735255569114199E-3</v>
      </c>
      <c r="M14" s="141">
        <v>5.7121931358613421E-3</v>
      </c>
      <c r="N14" s="141">
        <v>7.8662156562706743E-3</v>
      </c>
      <c r="O14" s="141">
        <v>5.244078699328622E-3</v>
      </c>
      <c r="P14" s="141">
        <v>4.9670542086891287E-3</v>
      </c>
      <c r="Q14" s="144">
        <v>4.9500426828729474E-3</v>
      </c>
      <c r="R14" s="143">
        <v>4.9556854926650932E-3</v>
      </c>
      <c r="S14" s="141">
        <v>4.957594128075722E-3</v>
      </c>
      <c r="T14" s="141">
        <v>4.9544407678712554E-3</v>
      </c>
      <c r="U14" s="141">
        <v>4.9559067962040241E-3</v>
      </c>
      <c r="V14" s="144">
        <v>4.9559805640503338E-3</v>
      </c>
      <c r="W14" s="185"/>
      <c r="X14" s="164" t="s">
        <v>2391</v>
      </c>
      <c r="Y14" s="143">
        <v>7.6155928687994343E-3</v>
      </c>
      <c r="Z14" s="141">
        <v>5.0000000000000001E-3</v>
      </c>
      <c r="AA14" s="141">
        <v>5.5735255569114199E-3</v>
      </c>
      <c r="AB14" s="141">
        <v>5.7121931358613421E-3</v>
      </c>
      <c r="AC14" s="141">
        <v>7.8662156562706743E-3</v>
      </c>
      <c r="AD14" s="141">
        <v>5.244078699328622E-3</v>
      </c>
      <c r="AE14" s="141">
        <v>4.9670542086891287E-3</v>
      </c>
      <c r="AF14" s="144">
        <v>4.9500426828729474E-3</v>
      </c>
      <c r="AG14" s="143">
        <v>4.9556854926650932E-3</v>
      </c>
      <c r="AH14" s="141">
        <v>4.957594128075722E-3</v>
      </c>
      <c r="AI14" s="141">
        <v>4.9544407678712554E-3</v>
      </c>
      <c r="AJ14" s="141">
        <v>4.9559067962040241E-3</v>
      </c>
      <c r="AK14" s="144">
        <v>4.9559805640503338E-3</v>
      </c>
      <c r="AL14" s="185"/>
      <c r="AM14" s="164" t="s">
        <v>2391</v>
      </c>
      <c r="AN14" s="143">
        <v>1.1423389303199152E-3</v>
      </c>
      <c r="AO14" s="141">
        <v>1E-3</v>
      </c>
      <c r="AP14" s="141">
        <v>8.215376670887433E-4</v>
      </c>
      <c r="AQ14" s="141">
        <v>8.1461586310518593E-4</v>
      </c>
      <c r="AR14" s="141">
        <v>1.1335216760686043E-3</v>
      </c>
      <c r="AS14" s="141">
        <v>7.7927009472023327E-4</v>
      </c>
      <c r="AT14" s="141">
        <v>9.0913587796467453E-4</v>
      </c>
      <c r="AU14" s="144">
        <v>9.4064254958450399E-4</v>
      </c>
      <c r="AV14" s="143">
        <v>8.7634950742313726E-4</v>
      </c>
      <c r="AW14" s="141">
        <v>9.0870931165743863E-4</v>
      </c>
      <c r="AX14" s="141">
        <v>9.0856712288835996E-4</v>
      </c>
      <c r="AY14" s="141">
        <v>8.9787531398964528E-4</v>
      </c>
      <c r="AZ14" s="144">
        <v>9.0505058284514803E-4</v>
      </c>
      <c r="BA14" s="185"/>
      <c r="BB14" s="164" t="s">
        <v>2462</v>
      </c>
      <c r="BC14" s="143">
        <v>4.5693557212796604E-4</v>
      </c>
      <c r="BD14" s="141">
        <v>0</v>
      </c>
      <c r="BE14" s="141">
        <v>3.344115334146852E-4</v>
      </c>
      <c r="BF14" s="141">
        <v>0</v>
      </c>
      <c r="BG14" s="141">
        <v>4.7197293937624045E-4</v>
      </c>
      <c r="BH14" s="141">
        <v>3.1453984038573075E-4</v>
      </c>
      <c r="BI14" s="141">
        <v>2.6217092658732373E-4</v>
      </c>
      <c r="BJ14" s="144">
        <v>3.4956123544976496E-4</v>
      </c>
      <c r="BK14" s="143">
        <v>3.087573341409398E-4</v>
      </c>
      <c r="BL14" s="141">
        <v>3.0682983205934281E-4</v>
      </c>
      <c r="BM14" s="141">
        <v>3.2171613388334917E-4</v>
      </c>
      <c r="BN14" s="141">
        <v>3.1243443336121058E-4</v>
      </c>
      <c r="BO14" s="144">
        <v>3.1366013310130087E-4</v>
      </c>
      <c r="BP14" s="185"/>
      <c r="BQ14" s="164" t="s">
        <v>2441</v>
      </c>
      <c r="BR14" s="143">
        <v>38</v>
      </c>
      <c r="BS14" s="141">
        <v>38</v>
      </c>
      <c r="BT14" s="141">
        <v>38</v>
      </c>
      <c r="BU14" s="141">
        <v>38</v>
      </c>
      <c r="BV14" s="141">
        <v>38</v>
      </c>
      <c r="BW14" s="141">
        <v>38</v>
      </c>
      <c r="BX14" s="141">
        <v>38</v>
      </c>
      <c r="BY14" s="144">
        <v>38</v>
      </c>
      <c r="BZ14" s="143">
        <v>38</v>
      </c>
      <c r="CA14" s="141">
        <v>38</v>
      </c>
      <c r="CB14" s="141">
        <v>38</v>
      </c>
      <c r="CC14" s="141">
        <v>38</v>
      </c>
      <c r="CD14" s="144">
        <v>38</v>
      </c>
      <c r="CE14" s="185"/>
      <c r="CF14" s="164" t="s">
        <v>2441</v>
      </c>
      <c r="CG14" s="143">
        <v>38</v>
      </c>
      <c r="CH14" s="141">
        <v>38</v>
      </c>
      <c r="CI14" s="141">
        <v>38</v>
      </c>
      <c r="CJ14" s="141">
        <v>38</v>
      </c>
      <c r="CK14" s="141">
        <v>38</v>
      </c>
      <c r="CL14" s="141">
        <v>38</v>
      </c>
      <c r="CM14" s="141">
        <v>38</v>
      </c>
      <c r="CN14" s="144">
        <v>38</v>
      </c>
      <c r="CO14" s="143">
        <v>38</v>
      </c>
      <c r="CP14" s="141">
        <v>38</v>
      </c>
      <c r="CQ14" s="141">
        <v>38</v>
      </c>
      <c r="CR14" s="141">
        <v>38</v>
      </c>
      <c r="CS14" s="144">
        <v>38</v>
      </c>
      <c r="CT14" s="185"/>
      <c r="CU14" s="119" t="s">
        <v>2920</v>
      </c>
      <c r="CV14" s="2604" t="s">
        <v>2921</v>
      </c>
    </row>
    <row r="15" spans="1:112" s="98" customFormat="1" ht="15" customHeight="1">
      <c r="A15" s="99"/>
      <c r="B15" s="161"/>
      <c r="C15" s="185"/>
      <c r="D15" s="162" t="s">
        <v>85</v>
      </c>
      <c r="E15" s="162"/>
      <c r="F15" s="162"/>
      <c r="G15" s="720" t="s">
        <v>2924</v>
      </c>
      <c r="H15" s="163"/>
      <c r="I15" s="164" t="s">
        <v>2391</v>
      </c>
      <c r="J15" s="143">
        <v>3.4717068039530337</v>
      </c>
      <c r="K15" s="141">
        <v>3.4580898064731693</v>
      </c>
      <c r="L15" s="141">
        <v>3.1839716370254574</v>
      </c>
      <c r="M15" s="141">
        <v>3.5625679646901389</v>
      </c>
      <c r="N15" s="141">
        <v>3.467894543190404</v>
      </c>
      <c r="O15" s="141">
        <v>3.9476722130760242</v>
      </c>
      <c r="P15" s="141">
        <v>3.7391318865971193</v>
      </c>
      <c r="Q15" s="144">
        <v>3.7263258377910313</v>
      </c>
      <c r="R15" s="143">
        <v>3.7305736694307399</v>
      </c>
      <c r="S15" s="141">
        <v>3.7320104646062959</v>
      </c>
      <c r="T15" s="141">
        <v>3.7296366572760236</v>
      </c>
      <c r="U15" s="141">
        <v>3.7307402637710201</v>
      </c>
      <c r="V15" s="144">
        <v>3.7307957952177797</v>
      </c>
      <c r="W15" s="185"/>
      <c r="X15" s="164" t="s">
        <v>2391</v>
      </c>
      <c r="Y15" s="143">
        <v>3.4717068039530337</v>
      </c>
      <c r="Z15" s="141">
        <v>3.4580000000000002</v>
      </c>
      <c r="AA15" s="141">
        <v>3.1839716370254574</v>
      </c>
      <c r="AB15" s="141">
        <v>3.5625679646901389</v>
      </c>
      <c r="AC15" s="141">
        <v>3.467894543190404</v>
      </c>
      <c r="AD15" s="141">
        <v>3.9476722130760242</v>
      </c>
      <c r="AE15" s="141">
        <v>3.7391318865971193</v>
      </c>
      <c r="AF15" s="144">
        <v>3.7263258377910313</v>
      </c>
      <c r="AG15" s="143">
        <v>3.7305736694307399</v>
      </c>
      <c r="AH15" s="141">
        <v>3.7320104646062959</v>
      </c>
      <c r="AI15" s="141">
        <v>3.7296366572760236</v>
      </c>
      <c r="AJ15" s="141">
        <v>3.7307402637710201</v>
      </c>
      <c r="AK15" s="144">
        <v>3.7307957952177797</v>
      </c>
      <c r="AL15" s="185"/>
      <c r="AM15" s="164" t="s">
        <v>2391</v>
      </c>
      <c r="AN15" s="143">
        <v>0.45571602059295502</v>
      </c>
      <c r="AO15" s="141">
        <v>0.45400000000000001</v>
      </c>
      <c r="AP15" s="141">
        <v>0.40301741929755247</v>
      </c>
      <c r="AQ15" s="141">
        <v>0.46195781744446063</v>
      </c>
      <c r="AR15" s="141">
        <v>0.45252360367373723</v>
      </c>
      <c r="AS15" s="141">
        <v>0.54442409086309718</v>
      </c>
      <c r="AT15" s="141">
        <v>0.48630183732709836</v>
      </c>
      <c r="AU15" s="144">
        <v>0.49441651062131092</v>
      </c>
      <c r="AV15" s="143">
        <v>0.50838081293716886</v>
      </c>
      <c r="AW15" s="141">
        <v>0.49636638696185936</v>
      </c>
      <c r="AX15" s="141">
        <v>0.4997212368401131</v>
      </c>
      <c r="AY15" s="141">
        <v>0.50148947891304718</v>
      </c>
      <c r="AZ15" s="144">
        <v>0.49919236757167318</v>
      </c>
      <c r="BA15" s="185"/>
      <c r="BB15" s="164" t="s">
        <v>2462</v>
      </c>
      <c r="BC15" s="143">
        <v>0.19528956356392696</v>
      </c>
      <c r="BD15" s="141">
        <v>0.19500000000000001</v>
      </c>
      <c r="BE15" s="141">
        <v>0.17744519813134432</v>
      </c>
      <c r="BF15" s="141">
        <v>0.18099999999999999</v>
      </c>
      <c r="BG15" s="141">
        <v>0.17681872051439093</v>
      </c>
      <c r="BH15" s="141">
        <v>0.20337377727315081</v>
      </c>
      <c r="BI15" s="141">
        <v>0.1870641659291806</v>
      </c>
      <c r="BJ15" s="144">
        <v>0.18908555457224077</v>
      </c>
      <c r="BK15" s="143">
        <v>0.19317449925819075</v>
      </c>
      <c r="BL15" s="141">
        <v>0.18977473991987071</v>
      </c>
      <c r="BM15" s="141">
        <v>0.19067826458343407</v>
      </c>
      <c r="BN15" s="141">
        <v>0.1912091679204985</v>
      </c>
      <c r="BO15" s="144">
        <v>0.19055405747460108</v>
      </c>
      <c r="BP15" s="185"/>
      <c r="BQ15" s="164" t="s">
        <v>2441</v>
      </c>
      <c r="BR15" s="143">
        <v>54.5</v>
      </c>
      <c r="BS15" s="141">
        <v>54.5</v>
      </c>
      <c r="BT15" s="141">
        <v>54.5</v>
      </c>
      <c r="BU15" s="141">
        <v>54.5</v>
      </c>
      <c r="BV15" s="141">
        <v>54.5</v>
      </c>
      <c r="BW15" s="141">
        <v>54.5</v>
      </c>
      <c r="BX15" s="141">
        <v>54.5</v>
      </c>
      <c r="BY15" s="144">
        <v>54.5</v>
      </c>
      <c r="BZ15" s="143">
        <v>54.5</v>
      </c>
      <c r="CA15" s="141">
        <v>54.5</v>
      </c>
      <c r="CB15" s="141">
        <v>54.5</v>
      </c>
      <c r="CC15" s="141">
        <v>54.5</v>
      </c>
      <c r="CD15" s="144">
        <v>54.5</v>
      </c>
      <c r="CE15" s="185"/>
      <c r="CF15" s="164" t="s">
        <v>2441</v>
      </c>
      <c r="CG15" s="143">
        <v>38</v>
      </c>
      <c r="CH15" s="141">
        <v>38</v>
      </c>
      <c r="CI15" s="141">
        <v>38</v>
      </c>
      <c r="CJ15" s="141">
        <v>38</v>
      </c>
      <c r="CK15" s="141">
        <v>38</v>
      </c>
      <c r="CL15" s="141">
        <v>38</v>
      </c>
      <c r="CM15" s="141">
        <v>38</v>
      </c>
      <c r="CN15" s="144">
        <v>38</v>
      </c>
      <c r="CO15" s="143">
        <v>38</v>
      </c>
      <c r="CP15" s="141">
        <v>38</v>
      </c>
      <c r="CQ15" s="141">
        <v>38</v>
      </c>
      <c r="CR15" s="141">
        <v>38</v>
      </c>
      <c r="CS15" s="144">
        <v>38</v>
      </c>
      <c r="CT15" s="185"/>
      <c r="CU15" s="119" t="s">
        <v>2920</v>
      </c>
      <c r="CV15" s="2604" t="s">
        <v>2921</v>
      </c>
    </row>
    <row r="16" spans="1:112" s="98" customFormat="1" ht="15" customHeight="1">
      <c r="A16" s="99"/>
      <c r="B16" s="161"/>
      <c r="C16" s="185"/>
      <c r="D16" s="162" t="s">
        <v>85</v>
      </c>
      <c r="E16" s="162"/>
      <c r="F16" s="162"/>
      <c r="G16" s="720" t="s">
        <v>2925</v>
      </c>
      <c r="H16" s="163"/>
      <c r="I16" s="164" t="s">
        <v>2391</v>
      </c>
      <c r="J16" s="143">
        <v>4.5843400000000001</v>
      </c>
      <c r="K16" s="141">
        <v>4.5843800000000021</v>
      </c>
      <c r="L16" s="141">
        <v>4.8179999999999996</v>
      </c>
      <c r="M16" s="141">
        <v>4.772339999999998</v>
      </c>
      <c r="N16" s="141">
        <v>4.7577400000000019</v>
      </c>
      <c r="O16" s="141">
        <v>4.7882700000000016</v>
      </c>
      <c r="P16" s="141">
        <v>4.5353241283134871</v>
      </c>
      <c r="Q16" s="144">
        <v>4.5197912228423549</v>
      </c>
      <c r="R16" s="143">
        <v>4.5249435667320252</v>
      </c>
      <c r="S16" s="141">
        <v>4.5266863059626212</v>
      </c>
      <c r="T16" s="141">
        <v>4.5238070318456689</v>
      </c>
      <c r="U16" s="141">
        <v>4.5251456348467727</v>
      </c>
      <c r="V16" s="144">
        <v>4.52521299088502</v>
      </c>
      <c r="W16" s="185"/>
      <c r="X16" s="164" t="s">
        <v>2391</v>
      </c>
      <c r="Y16" s="143">
        <v>4.5843400000000001</v>
      </c>
      <c r="Z16" s="141">
        <v>4.5839999999999996</v>
      </c>
      <c r="AA16" s="141">
        <v>4.8179999999999996</v>
      </c>
      <c r="AB16" s="141">
        <v>4.772339999999998</v>
      </c>
      <c r="AC16" s="141">
        <v>4.7577400000000019</v>
      </c>
      <c r="AD16" s="141">
        <v>4.7882700000000016</v>
      </c>
      <c r="AE16" s="141">
        <v>4.5353241283134871</v>
      </c>
      <c r="AF16" s="144">
        <v>4.5197912228423549</v>
      </c>
      <c r="AG16" s="143">
        <v>4.5249435667320252</v>
      </c>
      <c r="AH16" s="141">
        <v>4.5266863059626212</v>
      </c>
      <c r="AI16" s="141">
        <v>4.5238070318456689</v>
      </c>
      <c r="AJ16" s="141">
        <v>4.5251456348467727</v>
      </c>
      <c r="AK16" s="144">
        <v>4.52521299088502</v>
      </c>
      <c r="AL16" s="185"/>
      <c r="AM16" s="164" t="s">
        <v>2391</v>
      </c>
      <c r="AN16" s="143">
        <v>0.76941483333333238</v>
      </c>
      <c r="AO16" s="141">
        <v>0.77100000000000002</v>
      </c>
      <c r="AP16" s="141">
        <v>0.75</v>
      </c>
      <c r="AQ16" s="141">
        <v>0.74652149999999984</v>
      </c>
      <c r="AR16" s="141">
        <v>0.73517583333333369</v>
      </c>
      <c r="AS16" s="141">
        <v>0.74122050000000039</v>
      </c>
      <c r="AT16" s="141">
        <v>0.74097261111111123</v>
      </c>
      <c r="AU16" s="144">
        <v>0.73912298148148181</v>
      </c>
      <c r="AV16" s="143">
        <v>0.74043869753086444</v>
      </c>
      <c r="AW16" s="141">
        <v>0.7401780967078192</v>
      </c>
      <c r="AX16" s="141">
        <v>0.73991325857338852</v>
      </c>
      <c r="AY16" s="141">
        <v>0.74017668427069072</v>
      </c>
      <c r="AZ16" s="144">
        <v>0.74008934651729952</v>
      </c>
      <c r="BA16" s="185"/>
      <c r="BB16" s="164" t="s">
        <v>2462</v>
      </c>
      <c r="BC16" s="143">
        <v>0.25219999999999998</v>
      </c>
      <c r="BD16" s="141">
        <v>0.252</v>
      </c>
      <c r="BE16" s="141">
        <v>0.252</v>
      </c>
      <c r="BF16" s="141">
        <v>0.25</v>
      </c>
      <c r="BG16" s="141">
        <v>0.24830000000000002</v>
      </c>
      <c r="BH16" s="141">
        <v>0.24980000000000002</v>
      </c>
      <c r="BI16" s="141">
        <v>0.24936666666666665</v>
      </c>
      <c r="BJ16" s="144">
        <v>0.24915555555555557</v>
      </c>
      <c r="BK16" s="143">
        <v>0.24944074074074074</v>
      </c>
      <c r="BL16" s="141">
        <v>0.24932098765432098</v>
      </c>
      <c r="BM16" s="141">
        <v>0.24930576131687243</v>
      </c>
      <c r="BN16" s="141">
        <v>0.24935582990397806</v>
      </c>
      <c r="BO16" s="144">
        <v>0.24932752629172383</v>
      </c>
      <c r="BP16" s="185"/>
      <c r="BQ16" s="164" t="s">
        <v>2441</v>
      </c>
      <c r="BR16" s="143">
        <v>50</v>
      </c>
      <c r="BS16" s="141">
        <v>50</v>
      </c>
      <c r="BT16" s="141">
        <v>50</v>
      </c>
      <c r="BU16" s="141">
        <v>50</v>
      </c>
      <c r="BV16" s="141">
        <v>50</v>
      </c>
      <c r="BW16" s="141">
        <v>50</v>
      </c>
      <c r="BX16" s="141">
        <v>50</v>
      </c>
      <c r="BY16" s="144">
        <v>50</v>
      </c>
      <c r="BZ16" s="143">
        <v>50</v>
      </c>
      <c r="CA16" s="141">
        <v>50</v>
      </c>
      <c r="CB16" s="141">
        <v>50</v>
      </c>
      <c r="CC16" s="141">
        <v>50</v>
      </c>
      <c r="CD16" s="144">
        <v>50</v>
      </c>
      <c r="CE16" s="185"/>
      <c r="CF16" s="164" t="s">
        <v>2441</v>
      </c>
      <c r="CG16" s="143">
        <v>50</v>
      </c>
      <c r="CH16" s="141">
        <v>48</v>
      </c>
      <c r="CI16" s="141">
        <v>48</v>
      </c>
      <c r="CJ16" s="141">
        <v>48</v>
      </c>
      <c r="CK16" s="141">
        <v>48</v>
      </c>
      <c r="CL16" s="141">
        <v>48</v>
      </c>
      <c r="CM16" s="141">
        <v>48</v>
      </c>
      <c r="CN16" s="144">
        <v>48</v>
      </c>
      <c r="CO16" s="143">
        <v>48</v>
      </c>
      <c r="CP16" s="141">
        <v>48</v>
      </c>
      <c r="CQ16" s="141">
        <v>48</v>
      </c>
      <c r="CR16" s="141">
        <v>48</v>
      </c>
      <c r="CS16" s="144">
        <v>48</v>
      </c>
      <c r="CT16" s="185"/>
      <c r="CU16" s="119" t="s">
        <v>2920</v>
      </c>
      <c r="CV16" s="2604" t="s">
        <v>2921</v>
      </c>
    </row>
    <row r="17" spans="1:100" s="98" customFormat="1" ht="15" customHeight="1">
      <c r="A17" s="99"/>
      <c r="B17" s="161"/>
      <c r="C17" s="185"/>
      <c r="D17" s="162" t="s">
        <v>85</v>
      </c>
      <c r="E17" s="162"/>
      <c r="F17" s="162"/>
      <c r="G17" s="720" t="s">
        <v>2926</v>
      </c>
      <c r="H17" s="163"/>
      <c r="I17" s="164" t="s">
        <v>2391</v>
      </c>
      <c r="J17" s="143">
        <v>0.17267579103167921</v>
      </c>
      <c r="K17" s="141">
        <v>0.16842894786783028</v>
      </c>
      <c r="L17" s="141">
        <v>0.16144992956679383</v>
      </c>
      <c r="M17" s="141">
        <v>0.17895114829535372</v>
      </c>
      <c r="N17" s="141">
        <v>0.17026616407178249</v>
      </c>
      <c r="O17" s="141">
        <v>0.16888864695816327</v>
      </c>
      <c r="P17" s="141">
        <v>0.15996690987508552</v>
      </c>
      <c r="Q17" s="144">
        <v>0.15941904365443621</v>
      </c>
      <c r="R17" s="143">
        <v>0.15960077367137127</v>
      </c>
      <c r="S17" s="141">
        <v>0.15966224240029764</v>
      </c>
      <c r="T17" s="141">
        <v>0.1595606865753684</v>
      </c>
      <c r="U17" s="141">
        <v>0.15960790088234578</v>
      </c>
      <c r="V17" s="144">
        <v>0.15961027661933727</v>
      </c>
      <c r="W17" s="185"/>
      <c r="X17" s="164" t="s">
        <v>2391</v>
      </c>
      <c r="Y17" s="143">
        <v>0.17267579103167921</v>
      </c>
      <c r="Z17" s="141">
        <v>0.16800000000000001</v>
      </c>
      <c r="AA17" s="141">
        <v>0.16144992956679383</v>
      </c>
      <c r="AB17" s="141">
        <v>0.17895114829535372</v>
      </c>
      <c r="AC17" s="141">
        <v>0.17026616407178249</v>
      </c>
      <c r="AD17" s="141">
        <v>0.16888864695816327</v>
      </c>
      <c r="AE17" s="141">
        <v>0.15996690987508552</v>
      </c>
      <c r="AF17" s="144">
        <v>0.15941904365443621</v>
      </c>
      <c r="AG17" s="143">
        <v>0.15960077367137127</v>
      </c>
      <c r="AH17" s="141">
        <v>0.15966224240029764</v>
      </c>
      <c r="AI17" s="141">
        <v>0.1595606865753684</v>
      </c>
      <c r="AJ17" s="141">
        <v>0.15960790088234578</v>
      </c>
      <c r="AK17" s="144">
        <v>0.15961027661933727</v>
      </c>
      <c r="AL17" s="185"/>
      <c r="AM17" s="164" t="s">
        <v>2391</v>
      </c>
      <c r="AN17" s="143">
        <v>2.5901368654751882E-2</v>
      </c>
      <c r="AO17" s="141">
        <v>2.5000000000000001E-2</v>
      </c>
      <c r="AP17" s="141">
        <v>2.3797719618145412E-2</v>
      </c>
      <c r="AQ17" s="141">
        <v>2.5520223258400393E-2</v>
      </c>
      <c r="AR17" s="141">
        <v>2.4535354242743859E-2</v>
      </c>
      <c r="AS17" s="141">
        <v>0.03</v>
      </c>
      <c r="AT17" s="141">
        <v>2.6685192500381417E-2</v>
      </c>
      <c r="AU17" s="144">
        <v>2.7073515581041759E-2</v>
      </c>
      <c r="AV17" s="143">
        <v>2.7919569360474392E-2</v>
      </c>
      <c r="AW17" s="141">
        <v>2.7226092480632524E-2</v>
      </c>
      <c r="AX17" s="141">
        <v>2.7406392474049562E-2</v>
      </c>
      <c r="AY17" s="141">
        <v>2.751735143838549E-2</v>
      </c>
      <c r="AZ17" s="144">
        <v>2.7383278797689193E-2</v>
      </c>
      <c r="BA17" s="185"/>
      <c r="BB17" s="164" t="s">
        <v>2462</v>
      </c>
      <c r="BC17" s="143">
        <v>1.0360547461900751E-2</v>
      </c>
      <c r="BD17" s="141">
        <v>0.01</v>
      </c>
      <c r="BE17" s="141">
        <v>9.6869957740076292E-3</v>
      </c>
      <c r="BF17" s="141">
        <v>1.0999999999999999E-2</v>
      </c>
      <c r="BG17" s="141">
        <v>1.0215969844306949E-2</v>
      </c>
      <c r="BH17" s="141">
        <v>1.0129941044550632E-2</v>
      </c>
      <c r="BI17" s="141">
        <v>1.0448636962952526E-2</v>
      </c>
      <c r="BJ17" s="144">
        <v>1.0264849283936702E-2</v>
      </c>
      <c r="BK17" s="143">
        <v>1.0281142430479952E-2</v>
      </c>
      <c r="BL17" s="141">
        <v>1.0331542892456393E-2</v>
      </c>
      <c r="BM17" s="141">
        <v>1.0292511535624348E-2</v>
      </c>
      <c r="BN17" s="141">
        <v>1.0301732286186896E-2</v>
      </c>
      <c r="BO17" s="144">
        <v>1.0308595571422545E-2</v>
      </c>
      <c r="BP17" s="185"/>
      <c r="BQ17" s="164" t="s">
        <v>2441</v>
      </c>
      <c r="BR17" s="143">
        <v>38</v>
      </c>
      <c r="BS17" s="141">
        <v>38</v>
      </c>
      <c r="BT17" s="141">
        <v>38</v>
      </c>
      <c r="BU17" s="141">
        <v>38</v>
      </c>
      <c r="BV17" s="141">
        <v>38</v>
      </c>
      <c r="BW17" s="141">
        <v>38</v>
      </c>
      <c r="BX17" s="141">
        <v>38</v>
      </c>
      <c r="BY17" s="144">
        <v>38</v>
      </c>
      <c r="BZ17" s="143">
        <v>38</v>
      </c>
      <c r="CA17" s="141">
        <v>38</v>
      </c>
      <c r="CB17" s="141">
        <v>38</v>
      </c>
      <c r="CC17" s="141">
        <v>38</v>
      </c>
      <c r="CD17" s="144">
        <v>38</v>
      </c>
      <c r="CE17" s="185"/>
      <c r="CF17" s="164" t="s">
        <v>2441</v>
      </c>
      <c r="CG17" s="143">
        <v>38</v>
      </c>
      <c r="CH17" s="141">
        <v>38</v>
      </c>
      <c r="CI17" s="141">
        <v>38</v>
      </c>
      <c r="CJ17" s="141">
        <v>38</v>
      </c>
      <c r="CK17" s="141">
        <v>38</v>
      </c>
      <c r="CL17" s="141">
        <v>38</v>
      </c>
      <c r="CM17" s="141">
        <v>38</v>
      </c>
      <c r="CN17" s="144">
        <v>38</v>
      </c>
      <c r="CO17" s="143">
        <v>38</v>
      </c>
      <c r="CP17" s="141">
        <v>38</v>
      </c>
      <c r="CQ17" s="141">
        <v>38</v>
      </c>
      <c r="CR17" s="141">
        <v>38</v>
      </c>
      <c r="CS17" s="144">
        <v>38</v>
      </c>
      <c r="CT17" s="185"/>
      <c r="CU17" s="119" t="s">
        <v>2920</v>
      </c>
      <c r="CV17" s="2604" t="s">
        <v>2921</v>
      </c>
    </row>
    <row r="18" spans="1:100" s="98" customFormat="1" ht="15" customHeight="1">
      <c r="A18" s="99"/>
      <c r="B18" s="161"/>
      <c r="C18" s="185"/>
      <c r="D18" s="162" t="s">
        <v>85</v>
      </c>
      <c r="E18" s="162"/>
      <c r="F18" s="162"/>
      <c r="G18" s="720" t="s">
        <v>2927</v>
      </c>
      <c r="H18" s="163"/>
      <c r="I18" s="164" t="s">
        <v>2391</v>
      </c>
      <c r="J18" s="143">
        <v>1.3796540132575107E-2</v>
      </c>
      <c r="K18" s="141">
        <v>1.399854079798604E-2</v>
      </c>
      <c r="L18" s="141">
        <v>1.4057124639233223E-2</v>
      </c>
      <c r="M18" s="141">
        <v>1.4797460850447577E-2</v>
      </c>
      <c r="N18" s="141">
        <v>1.421995114057069E-2</v>
      </c>
      <c r="O18" s="141">
        <v>1.3459716872826754E-2</v>
      </c>
      <c r="P18" s="141">
        <v>1.2748691843525804E-2</v>
      </c>
      <c r="Q18" s="144">
        <v>1.2705029203396109E-2</v>
      </c>
      <c r="R18" s="143">
        <v>1.2719512323601611E-2</v>
      </c>
      <c r="S18" s="141">
        <v>1.2724411123507839E-2</v>
      </c>
      <c r="T18" s="141">
        <v>1.2716317550168523E-2</v>
      </c>
      <c r="U18" s="141">
        <v>1.2720080332425993E-2</v>
      </c>
      <c r="V18" s="144">
        <v>1.2720269668700783E-2</v>
      </c>
      <c r="W18" s="185"/>
      <c r="X18" s="164" t="s">
        <v>2391</v>
      </c>
      <c r="Y18" s="143">
        <v>1.3796540132575107E-2</v>
      </c>
      <c r="Z18" s="141">
        <v>1.4E-2</v>
      </c>
      <c r="AA18" s="141">
        <v>1.4057124639233223E-2</v>
      </c>
      <c r="AB18" s="141">
        <v>1.4797460850447577E-2</v>
      </c>
      <c r="AC18" s="141">
        <v>1.421995114057069E-2</v>
      </c>
      <c r="AD18" s="141">
        <v>1.3459716872826754E-2</v>
      </c>
      <c r="AE18" s="141">
        <v>1.2748691843525804E-2</v>
      </c>
      <c r="AF18" s="144">
        <v>1.2705029203396109E-2</v>
      </c>
      <c r="AG18" s="143">
        <v>1.2719512323601611E-2</v>
      </c>
      <c r="AH18" s="141">
        <v>1.2724411123507839E-2</v>
      </c>
      <c r="AI18" s="141">
        <v>1.2716317550168523E-2</v>
      </c>
      <c r="AJ18" s="141">
        <v>1.2720080332425993E-2</v>
      </c>
      <c r="AK18" s="144">
        <v>1.2720269668700783E-2</v>
      </c>
      <c r="AL18" s="185"/>
      <c r="AM18" s="164" t="s">
        <v>2391</v>
      </c>
      <c r="AN18" s="143">
        <v>2.069481019886266E-3</v>
      </c>
      <c r="AO18" s="141">
        <v>2E-3</v>
      </c>
      <c r="AP18" s="141">
        <v>2.0720201718229772E-3</v>
      </c>
      <c r="AQ18" s="141">
        <v>4.0000000000000001E-3</v>
      </c>
      <c r="AR18" s="141">
        <v>2.0490949593562364E-3</v>
      </c>
      <c r="AS18" s="141">
        <v>2.5000000000000001E-3</v>
      </c>
      <c r="AT18" s="141">
        <v>2.8496983197854125E-3</v>
      </c>
      <c r="AU18" s="144">
        <v>2.4662644263805495E-3</v>
      </c>
      <c r="AV18" s="143">
        <v>2.6053209153886537E-3</v>
      </c>
      <c r="AW18" s="141">
        <v>2.6404278871848719E-3</v>
      </c>
      <c r="AX18" s="141">
        <v>2.5706710763180249E-3</v>
      </c>
      <c r="AY18" s="141">
        <v>2.6054732929638499E-3</v>
      </c>
      <c r="AZ18" s="144">
        <v>2.6055240854889155E-3</v>
      </c>
      <c r="BA18" s="185"/>
      <c r="BB18" s="164" t="s">
        <v>2462</v>
      </c>
      <c r="BC18" s="143">
        <v>8.2779240795450638E-4</v>
      </c>
      <c r="BD18" s="141">
        <v>1E-3</v>
      </c>
      <c r="BE18" s="141">
        <v>8.4342747835399335E-4</v>
      </c>
      <c r="BF18" s="141">
        <v>1E-3</v>
      </c>
      <c r="BG18" s="141">
        <v>8.5319706843424144E-4</v>
      </c>
      <c r="BH18" s="141">
        <v>8.0731381803214868E-4</v>
      </c>
      <c r="BI18" s="141">
        <v>8.8683696215546349E-4</v>
      </c>
      <c r="BJ18" s="144">
        <v>8.491159495406178E-4</v>
      </c>
      <c r="BK18" s="143">
        <v>8.4775557657607665E-4</v>
      </c>
      <c r="BL18" s="141">
        <v>8.6123616275738605E-4</v>
      </c>
      <c r="BM18" s="141">
        <v>8.5270256295802687E-4</v>
      </c>
      <c r="BN18" s="141">
        <v>8.5389810076382997E-4</v>
      </c>
      <c r="BO18" s="144">
        <v>8.559456088264144E-4</v>
      </c>
      <c r="BP18" s="185"/>
      <c r="BQ18" s="164" t="s">
        <v>2441</v>
      </c>
      <c r="BR18" s="143">
        <v>38</v>
      </c>
      <c r="BS18" s="141">
        <v>38</v>
      </c>
      <c r="BT18" s="141">
        <v>38</v>
      </c>
      <c r="BU18" s="141">
        <v>38</v>
      </c>
      <c r="BV18" s="141">
        <v>38</v>
      </c>
      <c r="BW18" s="141">
        <v>38</v>
      </c>
      <c r="BX18" s="141">
        <v>38</v>
      </c>
      <c r="BY18" s="144">
        <v>38</v>
      </c>
      <c r="BZ18" s="143">
        <v>38</v>
      </c>
      <c r="CA18" s="141">
        <v>38</v>
      </c>
      <c r="CB18" s="141">
        <v>38</v>
      </c>
      <c r="CC18" s="141">
        <v>38</v>
      </c>
      <c r="CD18" s="144">
        <v>38</v>
      </c>
      <c r="CE18" s="185"/>
      <c r="CF18" s="164" t="s">
        <v>2441</v>
      </c>
      <c r="CG18" s="143">
        <v>38</v>
      </c>
      <c r="CH18" s="141">
        <v>38</v>
      </c>
      <c r="CI18" s="141">
        <v>38</v>
      </c>
      <c r="CJ18" s="141">
        <v>38</v>
      </c>
      <c r="CK18" s="141">
        <v>38</v>
      </c>
      <c r="CL18" s="141">
        <v>38</v>
      </c>
      <c r="CM18" s="141">
        <v>38</v>
      </c>
      <c r="CN18" s="144">
        <v>38</v>
      </c>
      <c r="CO18" s="143">
        <v>38</v>
      </c>
      <c r="CP18" s="141">
        <v>38</v>
      </c>
      <c r="CQ18" s="141">
        <v>38</v>
      </c>
      <c r="CR18" s="141">
        <v>38</v>
      </c>
      <c r="CS18" s="144">
        <v>38</v>
      </c>
      <c r="CT18" s="185"/>
      <c r="CU18" s="119" t="s">
        <v>2920</v>
      </c>
      <c r="CV18" s="2604" t="s">
        <v>2921</v>
      </c>
    </row>
    <row r="19" spans="1:100" s="98" customFormat="1" ht="15" customHeight="1">
      <c r="A19" s="99"/>
      <c r="B19" s="161"/>
      <c r="C19" s="185"/>
      <c r="D19" s="162" t="s">
        <v>85</v>
      </c>
      <c r="E19" s="162"/>
      <c r="F19" s="162"/>
      <c r="G19" s="720" t="s">
        <v>2928</v>
      </c>
      <c r="H19" s="163"/>
      <c r="I19" s="164" t="s">
        <v>2391</v>
      </c>
      <c r="J19" s="143">
        <v>0.94921049343991881</v>
      </c>
      <c r="K19" s="141">
        <v>0.966427001095993</v>
      </c>
      <c r="L19" s="141">
        <v>0.97158050110703142</v>
      </c>
      <c r="M19" s="141">
        <v>1.067959679590988</v>
      </c>
      <c r="N19" s="141">
        <v>0.99014051392757818</v>
      </c>
      <c r="O19" s="141">
        <v>1.0455442355218734</v>
      </c>
      <c r="P19" s="141">
        <v>0.99031215837482633</v>
      </c>
      <c r="Q19" s="144">
        <v>0.98692046580605963</v>
      </c>
      <c r="R19" s="143">
        <v>0.98804550751282882</v>
      </c>
      <c r="S19" s="141">
        <v>0.98842604389790478</v>
      </c>
      <c r="T19" s="141">
        <v>0.98779733907226475</v>
      </c>
      <c r="U19" s="141">
        <v>0.9880896301609996</v>
      </c>
      <c r="V19" s="144">
        <v>0.98810433771038964</v>
      </c>
      <c r="W19" s="185"/>
      <c r="X19" s="164" t="s">
        <v>2391</v>
      </c>
      <c r="Y19" s="143">
        <v>0.94921049343991881</v>
      </c>
      <c r="Z19" s="141">
        <v>0.96599999999999997</v>
      </c>
      <c r="AA19" s="141">
        <v>0.97158050110703142</v>
      </c>
      <c r="AB19" s="141">
        <v>1.067959679590988</v>
      </c>
      <c r="AC19" s="141">
        <v>0.99014051392757818</v>
      </c>
      <c r="AD19" s="141">
        <v>1.0455442355218734</v>
      </c>
      <c r="AE19" s="141">
        <v>0.99031215837482633</v>
      </c>
      <c r="AF19" s="144">
        <v>0.98692046580605963</v>
      </c>
      <c r="AG19" s="143">
        <v>0.98804550751282882</v>
      </c>
      <c r="AH19" s="141">
        <v>0.98842604389790478</v>
      </c>
      <c r="AI19" s="141">
        <v>0.98779733907226475</v>
      </c>
      <c r="AJ19" s="141">
        <v>0.9880896301609996</v>
      </c>
      <c r="AK19" s="144">
        <v>0.98810433771038964</v>
      </c>
      <c r="AL19" s="185"/>
      <c r="AM19" s="164" t="s">
        <v>2391</v>
      </c>
      <c r="AN19" s="143">
        <v>0.17</v>
      </c>
      <c r="AO19" s="141">
        <v>0.17</v>
      </c>
      <c r="AP19" s="141">
        <v>0.17</v>
      </c>
      <c r="AQ19" s="141">
        <v>0.15230172990647078</v>
      </c>
      <c r="AR19" s="141">
        <v>0.15229999999999999</v>
      </c>
      <c r="AS19" s="141">
        <v>0.2</v>
      </c>
      <c r="AT19" s="141">
        <v>0.16820057663549026</v>
      </c>
      <c r="AU19" s="144">
        <v>0.17350019221183008</v>
      </c>
      <c r="AV19" s="143">
        <v>0.18056692294910678</v>
      </c>
      <c r="AW19" s="141">
        <v>0.17408923059880901</v>
      </c>
      <c r="AX19" s="141">
        <v>0.17605211525324863</v>
      </c>
      <c r="AY19" s="141">
        <v>0.17690275626705479</v>
      </c>
      <c r="AZ19" s="144">
        <v>0.17568136737303749</v>
      </c>
      <c r="BA19" s="185"/>
      <c r="BB19" s="164" t="s">
        <v>2462</v>
      </c>
      <c r="BC19" s="143">
        <v>5.6952629606395126E-2</v>
      </c>
      <c r="BD19" s="141">
        <v>5.8000000000000003E-2</v>
      </c>
      <c r="BE19" s="141">
        <v>5.8294830066421881E-2</v>
      </c>
      <c r="BF19" s="141">
        <v>6.4000000000000001E-2</v>
      </c>
      <c r="BG19" s="141">
        <v>5.9408430835654689E-2</v>
      </c>
      <c r="BH19" s="141">
        <v>6.2711743246601961E-2</v>
      </c>
      <c r="BI19" s="141">
        <v>6.2040058027418882E-2</v>
      </c>
      <c r="BJ19" s="144">
        <v>6.1386744036558506E-2</v>
      </c>
      <c r="BK19" s="143">
        <v>6.204618177019311E-2</v>
      </c>
      <c r="BL19" s="141">
        <v>6.1824327944723499E-2</v>
      </c>
      <c r="BM19" s="141">
        <v>6.1752417917158374E-2</v>
      </c>
      <c r="BN19" s="141">
        <v>6.1874309210691668E-2</v>
      </c>
      <c r="BO19" s="144">
        <v>6.1817018357524511E-2</v>
      </c>
      <c r="BP19" s="185"/>
      <c r="BQ19" s="164" t="s">
        <v>2441</v>
      </c>
      <c r="BR19" s="143">
        <v>38</v>
      </c>
      <c r="BS19" s="141">
        <v>38</v>
      </c>
      <c r="BT19" s="141">
        <v>38</v>
      </c>
      <c r="BU19" s="141">
        <v>38</v>
      </c>
      <c r="BV19" s="141">
        <v>38</v>
      </c>
      <c r="BW19" s="141">
        <v>38</v>
      </c>
      <c r="BX19" s="141">
        <v>38</v>
      </c>
      <c r="BY19" s="144">
        <v>38</v>
      </c>
      <c r="BZ19" s="143">
        <v>38</v>
      </c>
      <c r="CA19" s="141">
        <v>38</v>
      </c>
      <c r="CB19" s="141">
        <v>38</v>
      </c>
      <c r="CC19" s="141">
        <v>38</v>
      </c>
      <c r="CD19" s="144">
        <v>38</v>
      </c>
      <c r="CE19" s="185"/>
      <c r="CF19" s="164" t="s">
        <v>2441</v>
      </c>
      <c r="CG19" s="143">
        <v>38</v>
      </c>
      <c r="CH19" s="141">
        <v>38</v>
      </c>
      <c r="CI19" s="141">
        <v>38</v>
      </c>
      <c r="CJ19" s="141">
        <v>38</v>
      </c>
      <c r="CK19" s="141">
        <v>38</v>
      </c>
      <c r="CL19" s="141">
        <v>38</v>
      </c>
      <c r="CM19" s="141">
        <v>38</v>
      </c>
      <c r="CN19" s="144">
        <v>38</v>
      </c>
      <c r="CO19" s="143">
        <v>38</v>
      </c>
      <c r="CP19" s="141">
        <v>38</v>
      </c>
      <c r="CQ19" s="141">
        <v>38</v>
      </c>
      <c r="CR19" s="141">
        <v>38</v>
      </c>
      <c r="CS19" s="144">
        <v>38</v>
      </c>
      <c r="CT19" s="185"/>
      <c r="CU19" s="119" t="s">
        <v>2920</v>
      </c>
      <c r="CV19" s="2604" t="s">
        <v>2921</v>
      </c>
    </row>
    <row r="20" spans="1:100" s="98" customFormat="1" ht="15" customHeight="1">
      <c r="A20" s="99"/>
      <c r="B20" s="161"/>
      <c r="C20" s="185"/>
      <c r="D20" s="162" t="s">
        <v>85</v>
      </c>
      <c r="E20" s="162"/>
      <c r="F20" s="162"/>
      <c r="G20" s="720" t="s">
        <v>2929</v>
      </c>
      <c r="H20" s="163"/>
      <c r="I20" s="164" t="s">
        <v>2391</v>
      </c>
      <c r="J20" s="143">
        <v>0.48893874480947641</v>
      </c>
      <c r="K20" s="141">
        <v>0.50977993553753309</v>
      </c>
      <c r="L20" s="141">
        <v>0.50688229838355292</v>
      </c>
      <c r="M20" s="141">
        <v>0.55507535202634994</v>
      </c>
      <c r="N20" s="141">
        <v>0.53930373316036784</v>
      </c>
      <c r="O20" s="141">
        <v>0</v>
      </c>
      <c r="P20" s="141">
        <v>0</v>
      </c>
      <c r="Q20" s="144">
        <v>0</v>
      </c>
      <c r="R20" s="143">
        <v>0</v>
      </c>
      <c r="S20" s="141">
        <v>0</v>
      </c>
      <c r="T20" s="141">
        <v>0</v>
      </c>
      <c r="U20" s="141">
        <v>0</v>
      </c>
      <c r="V20" s="144">
        <v>0</v>
      </c>
      <c r="W20" s="185"/>
      <c r="X20" s="164" t="s">
        <v>2391</v>
      </c>
      <c r="Y20" s="143">
        <v>0.48893874480947641</v>
      </c>
      <c r="Z20" s="141">
        <v>0.51</v>
      </c>
      <c r="AA20" s="141">
        <v>0.50688229838355292</v>
      </c>
      <c r="AB20" s="141">
        <v>0.55507535202634994</v>
      </c>
      <c r="AC20" s="141">
        <v>0.53930373316036784</v>
      </c>
      <c r="AD20" s="141">
        <v>0</v>
      </c>
      <c r="AE20" s="141">
        <v>0</v>
      </c>
      <c r="AF20" s="144">
        <v>0</v>
      </c>
      <c r="AG20" s="143">
        <v>0</v>
      </c>
      <c r="AH20" s="141">
        <v>0</v>
      </c>
      <c r="AI20" s="141">
        <v>0</v>
      </c>
      <c r="AJ20" s="141">
        <v>0</v>
      </c>
      <c r="AK20" s="144">
        <v>0</v>
      </c>
      <c r="AL20" s="185"/>
      <c r="AM20" s="164" t="s">
        <v>2391</v>
      </c>
      <c r="AN20" s="143">
        <v>7.3340811721421456E-2</v>
      </c>
      <c r="AO20" s="141">
        <v>7.5999999999999998E-2</v>
      </c>
      <c r="AP20" s="141">
        <v>7.4714450781735706E-2</v>
      </c>
      <c r="AQ20" s="141">
        <v>7.9159295952477754E-2</v>
      </c>
      <c r="AR20" s="141">
        <v>7.7713667948409004E-2</v>
      </c>
      <c r="AS20" s="141">
        <v>0</v>
      </c>
      <c r="AT20" s="141">
        <v>5.229098796696225E-2</v>
      </c>
      <c r="AU20" s="144">
        <v>4.3334885305123749E-2</v>
      </c>
      <c r="AV20" s="143">
        <v>3.1875291090695333E-2</v>
      </c>
      <c r="AW20" s="141">
        <v>4.2500388120927109E-2</v>
      </c>
      <c r="AX20" s="141">
        <v>3.9236854838915397E-2</v>
      </c>
      <c r="AY20" s="141">
        <v>3.7870844683512615E-2</v>
      </c>
      <c r="AZ20" s="144">
        <v>3.9869362547785038E-2</v>
      </c>
      <c r="BA20" s="185"/>
      <c r="BB20" s="164" t="s">
        <v>2462</v>
      </c>
      <c r="BC20" s="143">
        <v>2.9336324688568585E-2</v>
      </c>
      <c r="BD20" s="141">
        <v>3.1E-2</v>
      </c>
      <c r="BE20" s="141">
        <v>3.0412937903013176E-2</v>
      </c>
      <c r="BF20" s="141">
        <v>3.3000000000000002E-2</v>
      </c>
      <c r="BG20" s="141">
        <v>3.235822398962207E-2</v>
      </c>
      <c r="BH20" s="141">
        <v>0</v>
      </c>
      <c r="BI20" s="141">
        <v>2.1786074663207356E-2</v>
      </c>
      <c r="BJ20" s="144">
        <v>1.804809955094314E-2</v>
      </c>
      <c r="BK20" s="143">
        <v>1.3278058071383499E-2</v>
      </c>
      <c r="BL20" s="141">
        <v>1.7704077428511333E-2</v>
      </c>
      <c r="BM20" s="141">
        <v>1.6343411683612658E-2</v>
      </c>
      <c r="BN20" s="141">
        <v>1.5775182394502495E-2</v>
      </c>
      <c r="BO20" s="144">
        <v>1.6607557168875495E-2</v>
      </c>
      <c r="BP20" s="185"/>
      <c r="BQ20" s="164" t="s">
        <v>2441</v>
      </c>
      <c r="BR20" s="143">
        <v>48</v>
      </c>
      <c r="BS20" s="141">
        <v>48</v>
      </c>
      <c r="BT20" s="141">
        <v>48</v>
      </c>
      <c r="BU20" s="141">
        <v>48</v>
      </c>
      <c r="BV20" s="141">
        <v>48</v>
      </c>
      <c r="BW20" s="141">
        <v>0</v>
      </c>
      <c r="BX20" s="141">
        <v>0</v>
      </c>
      <c r="BY20" s="144">
        <v>0</v>
      </c>
      <c r="BZ20" s="143">
        <v>0</v>
      </c>
      <c r="CA20" s="141">
        <v>0</v>
      </c>
      <c r="CB20" s="141">
        <v>0</v>
      </c>
      <c r="CC20" s="141">
        <v>0</v>
      </c>
      <c r="CD20" s="144">
        <v>0</v>
      </c>
      <c r="CE20" s="185"/>
      <c r="CF20" s="164" t="s">
        <v>2441</v>
      </c>
      <c r="CG20" s="143">
        <v>46</v>
      </c>
      <c r="CH20" s="141">
        <v>46</v>
      </c>
      <c r="CI20" s="141">
        <v>46</v>
      </c>
      <c r="CJ20" s="141">
        <v>46</v>
      </c>
      <c r="CK20" s="141">
        <v>46</v>
      </c>
      <c r="CL20" s="141">
        <v>0</v>
      </c>
      <c r="CM20" s="141">
        <v>0</v>
      </c>
      <c r="CN20" s="144">
        <v>0</v>
      </c>
      <c r="CO20" s="143">
        <v>0</v>
      </c>
      <c r="CP20" s="141">
        <v>0</v>
      </c>
      <c r="CQ20" s="141">
        <v>0</v>
      </c>
      <c r="CR20" s="141">
        <v>0</v>
      </c>
      <c r="CS20" s="144">
        <v>0</v>
      </c>
      <c r="CT20" s="185"/>
      <c r="CU20" s="119" t="s">
        <v>2920</v>
      </c>
      <c r="CV20" s="2604" t="s">
        <v>2921</v>
      </c>
    </row>
    <row r="21" spans="1:100" s="98" customFormat="1" ht="15" customHeight="1">
      <c r="A21" s="99"/>
      <c r="B21" s="161"/>
      <c r="C21" s="185"/>
      <c r="D21" s="162" t="s">
        <v>85</v>
      </c>
      <c r="E21" s="162"/>
      <c r="F21" s="162"/>
      <c r="G21" s="720" t="s">
        <v>2930</v>
      </c>
      <c r="H21" s="163"/>
      <c r="I21" s="164" t="s">
        <v>2391</v>
      </c>
      <c r="J21" s="143">
        <v>4.5081343407053831</v>
      </c>
      <c r="K21" s="141">
        <v>4.7537676749329867</v>
      </c>
      <c r="L21" s="141">
        <v>4.6968773018555181</v>
      </c>
      <c r="M21" s="141">
        <v>3.5750597186627502</v>
      </c>
      <c r="N21" s="141">
        <v>3.3904772180526748</v>
      </c>
      <c r="O21" s="141">
        <v>3.5718111500923682</v>
      </c>
      <c r="P21" s="141">
        <v>3.3831261166962299</v>
      </c>
      <c r="Q21" s="144">
        <v>3.3715393421502826</v>
      </c>
      <c r="R21" s="143">
        <v>3.3753827343053278</v>
      </c>
      <c r="S21" s="141">
        <v>3.3766827310506127</v>
      </c>
      <c r="T21" s="141">
        <v>3.3745349358354089</v>
      </c>
      <c r="U21" s="141">
        <v>3.3755334670637835</v>
      </c>
      <c r="V21" s="144">
        <v>3.3755837113166014</v>
      </c>
      <c r="W21" s="185"/>
      <c r="X21" s="164" t="s">
        <v>2391</v>
      </c>
      <c r="Y21" s="143">
        <v>4.5081343407053831</v>
      </c>
      <c r="Z21" s="141">
        <v>4.7539999999999996</v>
      </c>
      <c r="AA21" s="141">
        <v>4.6968773018555181</v>
      </c>
      <c r="AB21" s="141">
        <v>3.5750597186627502</v>
      </c>
      <c r="AC21" s="141">
        <v>3.3904772180526748</v>
      </c>
      <c r="AD21" s="141">
        <v>3.5718111500923682</v>
      </c>
      <c r="AE21" s="141">
        <v>3.3831261166962299</v>
      </c>
      <c r="AF21" s="144">
        <v>3.3715393421502826</v>
      </c>
      <c r="AG21" s="143">
        <v>3.3753827343053278</v>
      </c>
      <c r="AH21" s="141">
        <v>3.3766827310506127</v>
      </c>
      <c r="AI21" s="141">
        <v>3.3745349358354089</v>
      </c>
      <c r="AJ21" s="141">
        <v>3.3755334670637835</v>
      </c>
      <c r="AK21" s="144">
        <v>3.3755837113166014</v>
      </c>
      <c r="AL21" s="185"/>
      <c r="AM21" s="164" t="s">
        <v>2391</v>
      </c>
      <c r="AN21" s="143">
        <v>0.62</v>
      </c>
      <c r="AO21" s="141">
        <v>0.62</v>
      </c>
      <c r="AP21" s="141">
        <v>0.62</v>
      </c>
      <c r="AQ21" s="141">
        <v>0.52</v>
      </c>
      <c r="AR21" s="141">
        <v>0.52</v>
      </c>
      <c r="AS21" s="141">
        <v>0.55000000000000004</v>
      </c>
      <c r="AT21" s="141">
        <v>0.53</v>
      </c>
      <c r="AU21" s="144">
        <v>0.53333333333333333</v>
      </c>
      <c r="AV21" s="143">
        <v>0.5377777777777778</v>
      </c>
      <c r="AW21" s="141">
        <v>0.53370370370370368</v>
      </c>
      <c r="AX21" s="141">
        <v>0.53493827160493834</v>
      </c>
      <c r="AY21" s="141">
        <v>0.53547325102880661</v>
      </c>
      <c r="AZ21" s="144">
        <v>0.53470507544581614</v>
      </c>
      <c r="BA21" s="185"/>
      <c r="BB21" s="164" t="s">
        <v>2462</v>
      </c>
      <c r="BC21" s="143">
        <v>0.25672781975161318</v>
      </c>
      <c r="BD21" s="141">
        <v>0.26700000000000002</v>
      </c>
      <c r="BE21" s="141">
        <v>0.25244985583214696</v>
      </c>
      <c r="BF21" s="141">
        <v>0.186</v>
      </c>
      <c r="BG21" s="141">
        <v>0.17841274122838527</v>
      </c>
      <c r="BH21" s="141">
        <v>0.1881111788728963</v>
      </c>
      <c r="BI21" s="141">
        <v>0.18417464003376049</v>
      </c>
      <c r="BJ21" s="144">
        <v>0.18356618671168068</v>
      </c>
      <c r="BK21" s="143">
        <v>0.18528400187277916</v>
      </c>
      <c r="BL21" s="141">
        <v>0.18434160953940679</v>
      </c>
      <c r="BM21" s="141">
        <v>0.18439726604128889</v>
      </c>
      <c r="BN21" s="141">
        <v>0.1846742924844916</v>
      </c>
      <c r="BO21" s="144">
        <v>0.18447105602172909</v>
      </c>
      <c r="BP21" s="185"/>
      <c r="BQ21" s="164" t="s">
        <v>2441</v>
      </c>
      <c r="BR21" s="143">
        <v>48</v>
      </c>
      <c r="BS21" s="141">
        <v>48</v>
      </c>
      <c r="BT21" s="141">
        <v>48</v>
      </c>
      <c r="BU21" s="141">
        <v>48</v>
      </c>
      <c r="BV21" s="141">
        <v>48</v>
      </c>
      <c r="BW21" s="141">
        <v>48</v>
      </c>
      <c r="BX21" s="141">
        <v>48</v>
      </c>
      <c r="BY21" s="144">
        <v>48</v>
      </c>
      <c r="BZ21" s="143">
        <v>48</v>
      </c>
      <c r="CA21" s="141">
        <v>48</v>
      </c>
      <c r="CB21" s="141">
        <v>48</v>
      </c>
      <c r="CC21" s="141">
        <v>48</v>
      </c>
      <c r="CD21" s="144">
        <v>48</v>
      </c>
      <c r="CE21" s="185"/>
      <c r="CF21" s="164" t="s">
        <v>2441</v>
      </c>
      <c r="CG21" s="143">
        <v>46</v>
      </c>
      <c r="CH21" s="141">
        <v>46</v>
      </c>
      <c r="CI21" s="141">
        <v>46</v>
      </c>
      <c r="CJ21" s="141">
        <v>46</v>
      </c>
      <c r="CK21" s="141">
        <v>46</v>
      </c>
      <c r="CL21" s="141">
        <v>46</v>
      </c>
      <c r="CM21" s="141">
        <v>46</v>
      </c>
      <c r="CN21" s="144">
        <v>46</v>
      </c>
      <c r="CO21" s="143">
        <v>46</v>
      </c>
      <c r="CP21" s="141">
        <v>46</v>
      </c>
      <c r="CQ21" s="141">
        <v>46</v>
      </c>
      <c r="CR21" s="141">
        <v>46</v>
      </c>
      <c r="CS21" s="144">
        <v>46</v>
      </c>
      <c r="CT21" s="185"/>
      <c r="CU21" s="119" t="s">
        <v>2920</v>
      </c>
      <c r="CV21" s="2604" t="s">
        <v>2921</v>
      </c>
    </row>
    <row r="22" spans="1:100" s="98" customFormat="1" ht="15" customHeight="1">
      <c r="A22" s="99"/>
      <c r="B22" s="161"/>
      <c r="C22" s="185"/>
      <c r="D22" s="162" t="s">
        <v>85</v>
      </c>
      <c r="E22" s="162"/>
      <c r="F22" s="162"/>
      <c r="G22" s="720" t="s">
        <v>2931</v>
      </c>
      <c r="H22" s="163"/>
      <c r="I22" s="164" t="s">
        <v>2391</v>
      </c>
      <c r="J22" s="143">
        <v>0.44884581757340986</v>
      </c>
      <c r="K22" s="141">
        <v>0.46689456223578135</v>
      </c>
      <c r="L22" s="141">
        <v>0.43056887323937909</v>
      </c>
      <c r="M22" s="141">
        <v>0.45125232117735919</v>
      </c>
      <c r="N22" s="141">
        <v>0.44516610406722629</v>
      </c>
      <c r="O22" s="141">
        <v>0.42709720446225108</v>
      </c>
      <c r="P22" s="141">
        <v>0.40453530325835535</v>
      </c>
      <c r="Q22" s="144">
        <v>0.40314982154911655</v>
      </c>
      <c r="R22" s="143">
        <v>0.40360939289152342</v>
      </c>
      <c r="S22" s="141">
        <v>0.40376483923299833</v>
      </c>
      <c r="T22" s="141">
        <v>0.40350801789121288</v>
      </c>
      <c r="U22" s="141">
        <v>0.4036274166719116</v>
      </c>
      <c r="V22" s="144">
        <v>0.40363342459870755</v>
      </c>
      <c r="W22" s="185"/>
      <c r="X22" s="164" t="s">
        <v>2391</v>
      </c>
      <c r="Y22" s="143">
        <v>0.44884581757340986</v>
      </c>
      <c r="Z22" s="141">
        <v>0.46700000000000003</v>
      </c>
      <c r="AA22" s="141">
        <v>0.43056887323937909</v>
      </c>
      <c r="AB22" s="141">
        <v>0.45125232117735919</v>
      </c>
      <c r="AC22" s="141">
        <v>0.44516610406722629</v>
      </c>
      <c r="AD22" s="141">
        <v>0.42709720446225108</v>
      </c>
      <c r="AE22" s="141">
        <v>0.40453530325835535</v>
      </c>
      <c r="AF22" s="144">
        <v>0.40314982154911655</v>
      </c>
      <c r="AG22" s="143">
        <v>0.40360939289152342</v>
      </c>
      <c r="AH22" s="141">
        <v>0.40376483923299833</v>
      </c>
      <c r="AI22" s="141">
        <v>0.40350801789121288</v>
      </c>
      <c r="AJ22" s="141">
        <v>0.4036274166719116</v>
      </c>
      <c r="AK22" s="144">
        <v>0.40363342459870755</v>
      </c>
      <c r="AL22" s="185"/>
      <c r="AM22" s="164" t="s">
        <v>2391</v>
      </c>
      <c r="AN22" s="143">
        <v>6.7326872636011476E-2</v>
      </c>
      <c r="AO22" s="141">
        <v>7.0000000000000007E-2</v>
      </c>
      <c r="AP22" s="141">
        <v>6.3465851915484484E-2</v>
      </c>
      <c r="AQ22" s="141">
        <v>6.4353093523103186E-2</v>
      </c>
      <c r="AR22" s="141">
        <v>6.4148435596087308E-2</v>
      </c>
      <c r="AS22" s="141">
        <v>6.4000000000000001E-2</v>
      </c>
      <c r="AT22" s="141">
        <v>6.4167176373063503E-2</v>
      </c>
      <c r="AU22" s="144">
        <v>6.4105203989716933E-2</v>
      </c>
      <c r="AV22" s="143">
        <v>6.409079345426015E-2</v>
      </c>
      <c r="AW22" s="141">
        <v>6.4121057939013529E-2</v>
      </c>
      <c r="AX22" s="141">
        <v>6.4105685127663528E-2</v>
      </c>
      <c r="AY22" s="141">
        <v>6.4105845506979064E-2</v>
      </c>
      <c r="AZ22" s="144">
        <v>6.4110862857885365E-2</v>
      </c>
      <c r="BA22" s="185"/>
      <c r="BB22" s="164" t="s">
        <v>2462</v>
      </c>
      <c r="BC22" s="143">
        <v>2.6930749054404589E-2</v>
      </c>
      <c r="BD22" s="141">
        <v>2.8000000000000001E-2</v>
      </c>
      <c r="BE22" s="141">
        <v>2.5834132394362743E-2</v>
      </c>
      <c r="BF22" s="141">
        <v>2.7E-2</v>
      </c>
      <c r="BG22" s="141">
        <v>2.6709966244033576E-2</v>
      </c>
      <c r="BH22" s="141">
        <v>2.5617290323645819E-2</v>
      </c>
      <c r="BI22" s="141">
        <v>2.6442418855893129E-2</v>
      </c>
      <c r="BJ22" s="144">
        <v>2.6256558474524173E-2</v>
      </c>
      <c r="BK22" s="143">
        <v>2.6105422551354372E-2</v>
      </c>
      <c r="BL22" s="141">
        <v>2.6268133293923895E-2</v>
      </c>
      <c r="BM22" s="141">
        <v>2.6210038106600813E-2</v>
      </c>
      <c r="BN22" s="141">
        <v>2.6194531317293029E-2</v>
      </c>
      <c r="BO22" s="144">
        <v>2.6224234239272576E-2</v>
      </c>
      <c r="BP22" s="185"/>
      <c r="BQ22" s="164" t="s">
        <v>2441</v>
      </c>
      <c r="BR22" s="143">
        <v>51.5</v>
      </c>
      <c r="BS22" s="141">
        <v>51.5</v>
      </c>
      <c r="BT22" s="141">
        <v>51.5</v>
      </c>
      <c r="BU22" s="141">
        <v>51.5</v>
      </c>
      <c r="BV22" s="141">
        <v>51.5</v>
      </c>
      <c r="BW22" s="141">
        <v>51.5</v>
      </c>
      <c r="BX22" s="141">
        <v>51.5</v>
      </c>
      <c r="BY22" s="144">
        <v>51.5</v>
      </c>
      <c r="BZ22" s="143">
        <v>51.5</v>
      </c>
      <c r="CA22" s="141">
        <v>51.5</v>
      </c>
      <c r="CB22" s="141">
        <v>51.5</v>
      </c>
      <c r="CC22" s="141">
        <v>51.5</v>
      </c>
      <c r="CD22" s="144">
        <v>51.5</v>
      </c>
      <c r="CE22" s="185"/>
      <c r="CF22" s="164" t="s">
        <v>2441</v>
      </c>
      <c r="CG22" s="143">
        <v>48</v>
      </c>
      <c r="CH22" s="141">
        <v>48</v>
      </c>
      <c r="CI22" s="141">
        <v>48</v>
      </c>
      <c r="CJ22" s="141">
        <v>48</v>
      </c>
      <c r="CK22" s="141">
        <v>48</v>
      </c>
      <c r="CL22" s="141">
        <v>48</v>
      </c>
      <c r="CM22" s="141">
        <v>48</v>
      </c>
      <c r="CN22" s="144">
        <v>48</v>
      </c>
      <c r="CO22" s="143">
        <v>48</v>
      </c>
      <c r="CP22" s="141">
        <v>48</v>
      </c>
      <c r="CQ22" s="141">
        <v>48</v>
      </c>
      <c r="CR22" s="141">
        <v>48</v>
      </c>
      <c r="CS22" s="144">
        <v>48</v>
      </c>
      <c r="CT22" s="185"/>
      <c r="CU22" s="119" t="s">
        <v>2920</v>
      </c>
      <c r="CV22" s="2604" t="s">
        <v>2921</v>
      </c>
    </row>
    <row r="23" spans="1:100" s="98" customFormat="1" ht="15" customHeight="1">
      <c r="A23" s="99"/>
      <c r="B23" s="161"/>
      <c r="C23" s="185"/>
      <c r="D23" s="162" t="s">
        <v>85</v>
      </c>
      <c r="E23" s="162"/>
      <c r="F23" s="162"/>
      <c r="G23" s="720" t="s">
        <v>2932</v>
      </c>
      <c r="H23" s="163"/>
      <c r="I23" s="164" t="s">
        <v>2391</v>
      </c>
      <c r="J23" s="143">
        <v>0.10651543389039386</v>
      </c>
      <c r="K23" s="141">
        <v>0.11366115015789327</v>
      </c>
      <c r="L23" s="141">
        <v>0.12728053160277419</v>
      </c>
      <c r="M23" s="141">
        <v>0.12958213122962123</v>
      </c>
      <c r="N23" s="141">
        <v>8.3824310634027455E-2</v>
      </c>
      <c r="O23" s="141">
        <v>9.2793496135354897E-2</v>
      </c>
      <c r="P23" s="141">
        <v>8.7891572942469659E-2</v>
      </c>
      <c r="Q23" s="144">
        <v>8.7590555538729617E-2</v>
      </c>
      <c r="R23" s="143">
        <v>8.769040454532577E-2</v>
      </c>
      <c r="S23" s="141">
        <v>8.772417767550833E-2</v>
      </c>
      <c r="T23" s="141">
        <v>8.7668379253187934E-2</v>
      </c>
      <c r="U23" s="141">
        <v>8.7694320491340697E-2</v>
      </c>
      <c r="V23" s="144">
        <v>8.7695625806678973E-2</v>
      </c>
      <c r="W23" s="185"/>
      <c r="X23" s="164" t="s">
        <v>2391</v>
      </c>
      <c r="Y23" s="143">
        <v>0.10651543389039386</v>
      </c>
      <c r="Z23" s="141">
        <v>0.114</v>
      </c>
      <c r="AA23" s="141">
        <v>0.12728053160277419</v>
      </c>
      <c r="AB23" s="141">
        <v>0.12958213122962123</v>
      </c>
      <c r="AC23" s="141">
        <v>8.3824310634027455E-2</v>
      </c>
      <c r="AD23" s="141">
        <v>9.2793496135354897E-2</v>
      </c>
      <c r="AE23" s="141">
        <v>8.7891572942469659E-2</v>
      </c>
      <c r="AF23" s="144">
        <v>8.7590555538729617E-2</v>
      </c>
      <c r="AG23" s="143">
        <v>8.769040454532577E-2</v>
      </c>
      <c r="AH23" s="141">
        <v>8.772417767550833E-2</v>
      </c>
      <c r="AI23" s="141">
        <v>8.7668379253187934E-2</v>
      </c>
      <c r="AJ23" s="141">
        <v>8.7694320491340697E-2</v>
      </c>
      <c r="AK23" s="144">
        <v>8.7695625806678973E-2</v>
      </c>
      <c r="AL23" s="185"/>
      <c r="AM23" s="164" t="s">
        <v>2391</v>
      </c>
      <c r="AN23" s="143">
        <v>1.5977315083559079E-2</v>
      </c>
      <c r="AO23" s="141">
        <v>1.7000000000000001E-2</v>
      </c>
      <c r="AP23" s="141">
        <v>1.8761150358248917E-2</v>
      </c>
      <c r="AQ23" s="141">
        <v>1.8479707734656282E-2</v>
      </c>
      <c r="AR23" s="141">
        <v>1.2079083162363356E-2</v>
      </c>
      <c r="AS23" s="141">
        <v>1.3789113525713739E-2</v>
      </c>
      <c r="AT23" s="141">
        <v>1.4782634807577792E-2</v>
      </c>
      <c r="AU23" s="144">
        <v>1.3550277165218297E-2</v>
      </c>
      <c r="AV23" s="143">
        <v>1.4040675166169941E-2</v>
      </c>
      <c r="AW23" s="141">
        <v>1.4124529046322011E-2</v>
      </c>
      <c r="AX23" s="141">
        <v>1.3905160459236751E-2</v>
      </c>
      <c r="AY23" s="141">
        <v>1.4023454890576234E-2</v>
      </c>
      <c r="AZ23" s="144">
        <v>1.4017714798711665E-2</v>
      </c>
      <c r="BA23" s="185"/>
      <c r="BB23" s="164" t="s">
        <v>2462</v>
      </c>
      <c r="BC23" s="143">
        <v>6.3909260334236318E-3</v>
      </c>
      <c r="BD23" s="141">
        <v>7.0000000000000001E-3</v>
      </c>
      <c r="BE23" s="141">
        <v>7.6368318961664511E-3</v>
      </c>
      <c r="BF23" s="141">
        <v>8.0000000000000002E-3</v>
      </c>
      <c r="BG23" s="141">
        <v>5.029458638041647E-3</v>
      </c>
      <c r="BH23" s="141">
        <v>5.5657538981985864E-3</v>
      </c>
      <c r="BI23" s="141">
        <v>6.1984041787467442E-3</v>
      </c>
      <c r="BJ23" s="144">
        <v>5.5978722383289922E-3</v>
      </c>
      <c r="BK23" s="143">
        <v>5.7873434384247734E-3</v>
      </c>
      <c r="BL23" s="141">
        <v>5.8612066185001694E-3</v>
      </c>
      <c r="BM23" s="141">
        <v>5.7488074317513125E-3</v>
      </c>
      <c r="BN23" s="141">
        <v>5.7991191628920845E-3</v>
      </c>
      <c r="BO23" s="144">
        <v>5.8030444043811885E-3</v>
      </c>
      <c r="BP23" s="185"/>
      <c r="BQ23" s="164" t="s">
        <v>2441</v>
      </c>
      <c r="BR23" s="143">
        <v>38</v>
      </c>
      <c r="BS23" s="141">
        <v>38</v>
      </c>
      <c r="BT23" s="141">
        <v>38</v>
      </c>
      <c r="BU23" s="141">
        <v>38</v>
      </c>
      <c r="BV23" s="141">
        <v>38</v>
      </c>
      <c r="BW23" s="141">
        <v>38</v>
      </c>
      <c r="BX23" s="141">
        <v>38</v>
      </c>
      <c r="BY23" s="144">
        <v>38</v>
      </c>
      <c r="BZ23" s="143">
        <v>38</v>
      </c>
      <c r="CA23" s="141">
        <v>38</v>
      </c>
      <c r="CB23" s="141">
        <v>38</v>
      </c>
      <c r="CC23" s="141">
        <v>38</v>
      </c>
      <c r="CD23" s="144">
        <v>38</v>
      </c>
      <c r="CE23" s="185"/>
      <c r="CF23" s="164" t="s">
        <v>2441</v>
      </c>
      <c r="CG23" s="143">
        <v>38</v>
      </c>
      <c r="CH23" s="141">
        <v>38</v>
      </c>
      <c r="CI23" s="141">
        <v>38</v>
      </c>
      <c r="CJ23" s="141">
        <v>38</v>
      </c>
      <c r="CK23" s="141">
        <v>38</v>
      </c>
      <c r="CL23" s="141">
        <v>38</v>
      </c>
      <c r="CM23" s="141">
        <v>38</v>
      </c>
      <c r="CN23" s="144">
        <v>38</v>
      </c>
      <c r="CO23" s="143">
        <v>38</v>
      </c>
      <c r="CP23" s="141">
        <v>38</v>
      </c>
      <c r="CQ23" s="141">
        <v>38</v>
      </c>
      <c r="CR23" s="141">
        <v>38</v>
      </c>
      <c r="CS23" s="144">
        <v>38</v>
      </c>
      <c r="CT23" s="185"/>
      <c r="CU23" s="119" t="s">
        <v>2920</v>
      </c>
      <c r="CV23" s="2604" t="s">
        <v>2933</v>
      </c>
    </row>
    <row r="24" spans="1:100" s="98" customFormat="1" ht="15" customHeight="1">
      <c r="A24" s="99"/>
      <c r="B24" s="161"/>
      <c r="C24" s="185"/>
      <c r="D24" s="162" t="s">
        <v>85</v>
      </c>
      <c r="E24" s="162"/>
      <c r="F24" s="162"/>
      <c r="G24" s="720" t="s">
        <v>2934</v>
      </c>
      <c r="H24" s="163"/>
      <c r="I24" s="164" t="s">
        <v>2391</v>
      </c>
      <c r="J24" s="143">
        <v>0.16074449950653893</v>
      </c>
      <c r="K24" s="141">
        <v>0.16144010341590503</v>
      </c>
      <c r="L24" s="141">
        <v>0.16160118807849294</v>
      </c>
      <c r="M24" s="141">
        <v>0.16196436960006771</v>
      </c>
      <c r="N24" s="141">
        <v>0.10144377051438583</v>
      </c>
      <c r="O24" s="141">
        <v>8.4791682038024688E-2</v>
      </c>
      <c r="P24" s="141">
        <v>8.031246388097131E-2</v>
      </c>
      <c r="Q24" s="144">
        <v>8.0037403957066655E-2</v>
      </c>
      <c r="R24" s="143">
        <v>8.0128642735340136E-2</v>
      </c>
      <c r="S24" s="141">
        <v>8.0159503524459358E-2</v>
      </c>
      <c r="T24" s="141">
        <v>8.0108516738955401E-2</v>
      </c>
      <c r="U24" s="141">
        <v>8.0132220999584974E-2</v>
      </c>
      <c r="V24" s="144">
        <v>8.0133413754333235E-2</v>
      </c>
      <c r="W24" s="185"/>
      <c r="X24" s="164" t="s">
        <v>2391</v>
      </c>
      <c r="Y24" s="143">
        <v>0.16074449950653893</v>
      </c>
      <c r="Z24" s="141">
        <v>0.161</v>
      </c>
      <c r="AA24" s="141">
        <v>0.16160118807849294</v>
      </c>
      <c r="AB24" s="141">
        <v>0.16196436960006771</v>
      </c>
      <c r="AC24" s="141">
        <v>0.10144377051438583</v>
      </c>
      <c r="AD24" s="141">
        <v>8.4791682038024688E-2</v>
      </c>
      <c r="AE24" s="141">
        <v>8.031246388097131E-2</v>
      </c>
      <c r="AF24" s="144">
        <v>8.0037403957066655E-2</v>
      </c>
      <c r="AG24" s="143">
        <v>8.0128642735340136E-2</v>
      </c>
      <c r="AH24" s="141">
        <v>8.0159503524459358E-2</v>
      </c>
      <c r="AI24" s="141">
        <v>8.0108516738955401E-2</v>
      </c>
      <c r="AJ24" s="141">
        <v>8.0132220999584974E-2</v>
      </c>
      <c r="AK24" s="144">
        <v>8.0133413754333235E-2</v>
      </c>
      <c r="AL24" s="185"/>
      <c r="AM24" s="164" t="s">
        <v>2391</v>
      </c>
      <c r="AN24" s="143">
        <v>2.411167492598084E-2</v>
      </c>
      <c r="AO24" s="141">
        <v>2.4E-2</v>
      </c>
      <c r="AP24" s="141">
        <v>2.382001512276986E-2</v>
      </c>
      <c r="AQ24" s="141">
        <v>2.3097738748665653E-2</v>
      </c>
      <c r="AR24" s="141">
        <v>1.4618047331122999E-2</v>
      </c>
      <c r="AS24" s="141">
        <v>1.260004395085047E-2</v>
      </c>
      <c r="AT24" s="141">
        <v>1.6771943343546373E-2</v>
      </c>
      <c r="AU24" s="144">
        <v>1.4663344875173281E-2</v>
      </c>
      <c r="AV24" s="143">
        <v>1.4678444056523373E-2</v>
      </c>
      <c r="AW24" s="141">
        <v>1.5371244091747676E-2</v>
      </c>
      <c r="AX24" s="141">
        <v>1.490434434114811E-2</v>
      </c>
      <c r="AY24" s="141">
        <v>1.4984677496473054E-2</v>
      </c>
      <c r="AZ24" s="144">
        <v>1.5086755309789613E-2</v>
      </c>
      <c r="BA24" s="185"/>
      <c r="BB24" s="164" t="s">
        <v>2462</v>
      </c>
      <c r="BC24" s="143">
        <v>9.6446699703923357E-3</v>
      </c>
      <c r="BD24" s="141">
        <v>0.01</v>
      </c>
      <c r="BE24" s="141">
        <v>9.6960712847095759E-3</v>
      </c>
      <c r="BF24" s="141">
        <v>0.01</v>
      </c>
      <c r="BG24" s="141">
        <v>6.0866262308631493E-3</v>
      </c>
      <c r="BH24" s="141">
        <v>5.0858050886407203E-3</v>
      </c>
      <c r="BI24" s="141">
        <v>7.0574771065012899E-3</v>
      </c>
      <c r="BJ24" s="144">
        <v>6.0766361420017193E-3</v>
      </c>
      <c r="BK24" s="143">
        <v>6.0733061123812437E-3</v>
      </c>
      <c r="BL24" s="141">
        <v>6.4024731202947513E-3</v>
      </c>
      <c r="BM24" s="141">
        <v>6.1841384582259048E-3</v>
      </c>
      <c r="BN24" s="141">
        <v>6.2199725636339666E-3</v>
      </c>
      <c r="BO24" s="144">
        <v>6.2688613807182075E-3</v>
      </c>
      <c r="BP24" s="185"/>
      <c r="BQ24" s="164" t="s">
        <v>2441</v>
      </c>
      <c r="BR24" s="143">
        <v>38</v>
      </c>
      <c r="BS24" s="141">
        <v>38</v>
      </c>
      <c r="BT24" s="141">
        <v>38</v>
      </c>
      <c r="BU24" s="141">
        <v>38</v>
      </c>
      <c r="BV24" s="141">
        <v>38</v>
      </c>
      <c r="BW24" s="141">
        <v>38</v>
      </c>
      <c r="BX24" s="141">
        <v>38</v>
      </c>
      <c r="BY24" s="144">
        <v>38</v>
      </c>
      <c r="BZ24" s="143">
        <v>38</v>
      </c>
      <c r="CA24" s="141">
        <v>38</v>
      </c>
      <c r="CB24" s="141">
        <v>38</v>
      </c>
      <c r="CC24" s="141">
        <v>38</v>
      </c>
      <c r="CD24" s="144">
        <v>38</v>
      </c>
      <c r="CE24" s="185"/>
      <c r="CF24" s="164" t="s">
        <v>2441</v>
      </c>
      <c r="CG24" s="143">
        <v>38</v>
      </c>
      <c r="CH24" s="141">
        <v>38</v>
      </c>
      <c r="CI24" s="141">
        <v>38</v>
      </c>
      <c r="CJ24" s="141">
        <v>38</v>
      </c>
      <c r="CK24" s="141">
        <v>38</v>
      </c>
      <c r="CL24" s="141">
        <v>38</v>
      </c>
      <c r="CM24" s="141">
        <v>38</v>
      </c>
      <c r="CN24" s="144">
        <v>38</v>
      </c>
      <c r="CO24" s="143">
        <v>38</v>
      </c>
      <c r="CP24" s="141">
        <v>38</v>
      </c>
      <c r="CQ24" s="141">
        <v>38</v>
      </c>
      <c r="CR24" s="141">
        <v>38</v>
      </c>
      <c r="CS24" s="144">
        <v>38</v>
      </c>
      <c r="CT24" s="185"/>
      <c r="CU24" s="119" t="s">
        <v>2920</v>
      </c>
      <c r="CV24" s="2604" t="s">
        <v>2933</v>
      </c>
    </row>
    <row r="25" spans="1:100" s="98" customFormat="1" ht="15" customHeight="1">
      <c r="A25" s="99"/>
      <c r="B25" s="161"/>
      <c r="C25" s="185"/>
      <c r="D25" s="162" t="s">
        <v>85</v>
      </c>
      <c r="E25" s="162"/>
      <c r="F25" s="162"/>
      <c r="G25" s="720" t="s">
        <v>2935</v>
      </c>
      <c r="H25" s="163"/>
      <c r="I25" s="164" t="s">
        <v>2391</v>
      </c>
      <c r="J25" s="143">
        <v>4.9753086953351233E-2</v>
      </c>
      <c r="K25" s="141">
        <v>5.0010185542362917E-2</v>
      </c>
      <c r="L25" s="141">
        <v>3.7138973182111658E-2</v>
      </c>
      <c r="M25" s="141">
        <v>3.9968696279065914E-2</v>
      </c>
      <c r="N25" s="141">
        <v>3.6493142369800537E-2</v>
      </c>
      <c r="O25" s="141">
        <v>3.5504669468901677E-2</v>
      </c>
      <c r="P25" s="141">
        <v>3.3629094455848337E-2</v>
      </c>
      <c r="Q25" s="144">
        <v>3.3513919105535125E-2</v>
      </c>
      <c r="R25" s="143">
        <v>3.3552123356087593E-2</v>
      </c>
      <c r="S25" s="141">
        <v>3.3565045639157014E-2</v>
      </c>
      <c r="T25" s="141">
        <v>3.3543696033593251E-2</v>
      </c>
      <c r="U25" s="141">
        <v>3.3553621676279288E-2</v>
      </c>
      <c r="V25" s="144">
        <v>3.3554121116343184E-2</v>
      </c>
      <c r="W25" s="185"/>
      <c r="X25" s="164" t="s">
        <v>2391</v>
      </c>
      <c r="Y25" s="143">
        <v>4.9753086953351233E-2</v>
      </c>
      <c r="Z25" s="141">
        <v>0.05</v>
      </c>
      <c r="AA25" s="141">
        <v>3.7138973182111658E-2</v>
      </c>
      <c r="AB25" s="141">
        <v>3.9968696279065914E-2</v>
      </c>
      <c r="AC25" s="141">
        <v>3.6493142369800537E-2</v>
      </c>
      <c r="AD25" s="141">
        <v>3.5504669468901677E-2</v>
      </c>
      <c r="AE25" s="141">
        <v>3.3629094455848337E-2</v>
      </c>
      <c r="AF25" s="144">
        <v>3.3513919105535125E-2</v>
      </c>
      <c r="AG25" s="143">
        <v>3.3552123356087593E-2</v>
      </c>
      <c r="AH25" s="141">
        <v>3.3565045639157014E-2</v>
      </c>
      <c r="AI25" s="141">
        <v>3.3543696033593251E-2</v>
      </c>
      <c r="AJ25" s="141">
        <v>3.3553621676279288E-2</v>
      </c>
      <c r="AK25" s="144">
        <v>3.3554121116343184E-2</v>
      </c>
      <c r="AL25" s="185"/>
      <c r="AM25" s="164" t="s">
        <v>2391</v>
      </c>
      <c r="AN25" s="143">
        <v>7.4629630430026843E-3</v>
      </c>
      <c r="AO25" s="141">
        <v>8.0000000000000002E-3</v>
      </c>
      <c r="AP25" s="141">
        <v>7.0000000000000001E-3</v>
      </c>
      <c r="AQ25" s="141">
        <v>5.6999357763575899E-3</v>
      </c>
      <c r="AR25" s="141">
        <v>5.2586618154882572E-3</v>
      </c>
      <c r="AS25" s="141">
        <v>7.0000000000000001E-3</v>
      </c>
      <c r="AT25" s="141">
        <v>5.9861991972819488E-3</v>
      </c>
      <c r="AU25" s="144">
        <v>6.081620337590069E-3</v>
      </c>
      <c r="AV25" s="143">
        <v>6.355939844957339E-3</v>
      </c>
      <c r="AW25" s="141">
        <v>6.1412531266097853E-3</v>
      </c>
      <c r="AX25" s="141">
        <v>6.1929377697190644E-3</v>
      </c>
      <c r="AY25" s="141">
        <v>6.2300435804287296E-3</v>
      </c>
      <c r="AZ25" s="144">
        <v>6.1880781589191934E-3</v>
      </c>
      <c r="BA25" s="185"/>
      <c r="BB25" s="164" t="s">
        <v>2462</v>
      </c>
      <c r="BC25" s="143">
        <v>2.985185217201074E-3</v>
      </c>
      <c r="BD25" s="141">
        <v>3.0000000000000001E-3</v>
      </c>
      <c r="BE25" s="141">
        <v>2.2283383909266993E-3</v>
      </c>
      <c r="BF25" s="141">
        <v>2E-3</v>
      </c>
      <c r="BG25" s="141">
        <v>2.189588542188032E-3</v>
      </c>
      <c r="BH25" s="141">
        <v>2.1295700747447225E-3</v>
      </c>
      <c r="BI25" s="141">
        <v>2.1063862056442516E-3</v>
      </c>
      <c r="BJ25" s="144">
        <v>2.1418482741923355E-3</v>
      </c>
      <c r="BK25" s="143">
        <v>2.1259348515271031E-3</v>
      </c>
      <c r="BL25" s="141">
        <v>2.1247231104545637E-3</v>
      </c>
      <c r="BM25" s="141">
        <v>2.1308354120580008E-3</v>
      </c>
      <c r="BN25" s="141">
        <v>2.1271644580132224E-3</v>
      </c>
      <c r="BO25" s="144">
        <v>2.1275743268419291E-3</v>
      </c>
      <c r="BP25" s="185"/>
      <c r="BQ25" s="164" t="s">
        <v>2441</v>
      </c>
      <c r="BR25" s="143">
        <v>38</v>
      </c>
      <c r="BS25" s="141">
        <v>38</v>
      </c>
      <c r="BT25" s="141">
        <v>38</v>
      </c>
      <c r="BU25" s="141">
        <v>38</v>
      </c>
      <c r="BV25" s="141">
        <v>38</v>
      </c>
      <c r="BW25" s="141">
        <v>38</v>
      </c>
      <c r="BX25" s="141">
        <v>38</v>
      </c>
      <c r="BY25" s="144">
        <v>38</v>
      </c>
      <c r="BZ25" s="143">
        <v>38</v>
      </c>
      <c r="CA25" s="141">
        <v>38</v>
      </c>
      <c r="CB25" s="141">
        <v>38</v>
      </c>
      <c r="CC25" s="141">
        <v>38</v>
      </c>
      <c r="CD25" s="144">
        <v>38</v>
      </c>
      <c r="CE25" s="185"/>
      <c r="CF25" s="164" t="s">
        <v>2441</v>
      </c>
      <c r="CG25" s="143">
        <v>38</v>
      </c>
      <c r="CH25" s="141">
        <v>38</v>
      </c>
      <c r="CI25" s="141">
        <v>38</v>
      </c>
      <c r="CJ25" s="141">
        <v>38</v>
      </c>
      <c r="CK25" s="141">
        <v>38</v>
      </c>
      <c r="CL25" s="141">
        <v>38</v>
      </c>
      <c r="CM25" s="141">
        <v>38</v>
      </c>
      <c r="CN25" s="144">
        <v>38</v>
      </c>
      <c r="CO25" s="143">
        <v>38</v>
      </c>
      <c r="CP25" s="141">
        <v>38</v>
      </c>
      <c r="CQ25" s="141">
        <v>38</v>
      </c>
      <c r="CR25" s="141">
        <v>38</v>
      </c>
      <c r="CS25" s="144">
        <v>38</v>
      </c>
      <c r="CT25" s="185"/>
      <c r="CU25" s="119" t="s">
        <v>2920</v>
      </c>
      <c r="CV25" s="2604" t="s">
        <v>2933</v>
      </c>
    </row>
    <row r="26" spans="1:100" s="98" customFormat="1" ht="15" customHeight="1">
      <c r="A26" s="99"/>
      <c r="B26" s="161"/>
      <c r="C26" s="185"/>
      <c r="D26" s="162" t="s">
        <v>85</v>
      </c>
      <c r="E26" s="162"/>
      <c r="F26" s="162"/>
      <c r="G26" s="720" t="s">
        <v>2936</v>
      </c>
      <c r="H26" s="163"/>
      <c r="I26" s="164" t="s">
        <v>2391</v>
      </c>
      <c r="J26" s="143">
        <v>2.1128951721316702</v>
      </c>
      <c r="K26" s="141">
        <v>2.1037990590689457</v>
      </c>
      <c r="L26" s="141">
        <v>1.4049010772049362</v>
      </c>
      <c r="M26" s="141">
        <v>1.7333437409947592</v>
      </c>
      <c r="N26" s="141">
        <v>1.6708015491106214</v>
      </c>
      <c r="O26" s="141">
        <v>1.717147682582757</v>
      </c>
      <c r="P26" s="141">
        <v>1.6264373806604813</v>
      </c>
      <c r="Q26" s="144">
        <v>1.6208670405097523</v>
      </c>
      <c r="R26" s="143">
        <v>1.622714750720333</v>
      </c>
      <c r="S26" s="141">
        <v>1.6233397239635219</v>
      </c>
      <c r="T26" s="141">
        <v>1.6223071717312028</v>
      </c>
      <c r="U26" s="141">
        <v>1.622787215471686</v>
      </c>
      <c r="V26" s="144">
        <v>1.6228113703888034</v>
      </c>
      <c r="W26" s="185"/>
      <c r="X26" s="164" t="s">
        <v>2391</v>
      </c>
      <c r="Y26" s="143">
        <v>2.1128951721316702</v>
      </c>
      <c r="Z26" s="141">
        <v>2.1040000000000001</v>
      </c>
      <c r="AA26" s="141">
        <v>1.4049010772049362</v>
      </c>
      <c r="AB26" s="141">
        <v>1.7333437409947592</v>
      </c>
      <c r="AC26" s="141">
        <v>1.6708015491106214</v>
      </c>
      <c r="AD26" s="141">
        <v>1.717147682582757</v>
      </c>
      <c r="AE26" s="141">
        <v>1.6264373806604813</v>
      </c>
      <c r="AF26" s="144">
        <v>1.6208670405097523</v>
      </c>
      <c r="AG26" s="143">
        <v>1.622714750720333</v>
      </c>
      <c r="AH26" s="141">
        <v>1.6233397239635219</v>
      </c>
      <c r="AI26" s="141">
        <v>1.6223071717312028</v>
      </c>
      <c r="AJ26" s="141">
        <v>1.622787215471686</v>
      </c>
      <c r="AK26" s="144">
        <v>1.6228113703888034</v>
      </c>
      <c r="AL26" s="185"/>
      <c r="AM26" s="164" t="s">
        <v>2391</v>
      </c>
      <c r="AN26" s="143">
        <v>0.25123427581975055</v>
      </c>
      <c r="AO26" s="141">
        <v>0.249</v>
      </c>
      <c r="AP26" s="141">
        <v>0.13298241878000758</v>
      </c>
      <c r="AQ26" s="141">
        <v>0.18319215090326257</v>
      </c>
      <c r="AR26" s="141">
        <v>0.17606250322684056</v>
      </c>
      <c r="AS26" s="141">
        <v>0.26</v>
      </c>
      <c r="AT26" s="141">
        <v>0.20641821804336771</v>
      </c>
      <c r="AU26" s="144">
        <v>0.21416024042340276</v>
      </c>
      <c r="AV26" s="143">
        <v>0.22685948615559015</v>
      </c>
      <c r="AW26" s="141">
        <v>0.21581264820745352</v>
      </c>
      <c r="AX26" s="141">
        <v>0.21894412492881546</v>
      </c>
      <c r="AY26" s="141">
        <v>0.22053875309728635</v>
      </c>
      <c r="AZ26" s="144">
        <v>0.2184318420778518</v>
      </c>
      <c r="BA26" s="185"/>
      <c r="BB26" s="164" t="s">
        <v>2462</v>
      </c>
      <c r="BC26" s="143">
        <v>0.11595221837434744</v>
      </c>
      <c r="BD26" s="141">
        <v>0.115</v>
      </c>
      <c r="BE26" s="141">
        <v>7.3313369192428743E-2</v>
      </c>
      <c r="BF26" s="141">
        <v>8.5000000000000006E-2</v>
      </c>
      <c r="BG26" s="141">
        <v>8.2192624300574016E-2</v>
      </c>
      <c r="BH26" s="141">
        <v>9.0119248679043445E-2</v>
      </c>
      <c r="BI26" s="141">
        <v>8.577062432653916E-2</v>
      </c>
      <c r="BJ26" s="144">
        <v>8.6027499102052207E-2</v>
      </c>
      <c r="BK26" s="143">
        <v>8.7305790702544919E-2</v>
      </c>
      <c r="BL26" s="141">
        <v>8.6367971377045424E-2</v>
      </c>
      <c r="BM26" s="141">
        <v>8.6567087060547512E-2</v>
      </c>
      <c r="BN26" s="141">
        <v>8.6746949713379276E-2</v>
      </c>
      <c r="BO26" s="144">
        <v>8.6560669383657404E-2</v>
      </c>
      <c r="BP26" s="185"/>
      <c r="BQ26" s="164" t="s">
        <v>2441</v>
      </c>
      <c r="BR26" s="143">
        <v>45.7</v>
      </c>
      <c r="BS26" s="141">
        <v>45.7</v>
      </c>
      <c r="BT26" s="141">
        <v>43.5</v>
      </c>
      <c r="BU26" s="141">
        <v>38</v>
      </c>
      <c r="BV26" s="141">
        <v>38</v>
      </c>
      <c r="BW26" s="141">
        <v>38</v>
      </c>
      <c r="BX26" s="141">
        <v>38</v>
      </c>
      <c r="BY26" s="144">
        <v>38</v>
      </c>
      <c r="BZ26" s="143">
        <v>38</v>
      </c>
      <c r="CA26" s="141">
        <v>38</v>
      </c>
      <c r="CB26" s="141">
        <v>38</v>
      </c>
      <c r="CC26" s="141">
        <v>38</v>
      </c>
      <c r="CD26" s="144">
        <v>38</v>
      </c>
      <c r="CE26" s="185"/>
      <c r="CF26" s="164" t="s">
        <v>2441</v>
      </c>
      <c r="CG26" s="143">
        <v>45.7</v>
      </c>
      <c r="CH26" s="141">
        <v>45.7</v>
      </c>
      <c r="CI26" s="141">
        <v>38</v>
      </c>
      <c r="CJ26" s="141">
        <v>38</v>
      </c>
      <c r="CK26" s="141">
        <v>38</v>
      </c>
      <c r="CL26" s="141">
        <v>38</v>
      </c>
      <c r="CM26" s="141">
        <v>38</v>
      </c>
      <c r="CN26" s="144">
        <v>38</v>
      </c>
      <c r="CO26" s="143">
        <v>38</v>
      </c>
      <c r="CP26" s="141">
        <v>38</v>
      </c>
      <c r="CQ26" s="141">
        <v>38</v>
      </c>
      <c r="CR26" s="141">
        <v>38</v>
      </c>
      <c r="CS26" s="144">
        <v>38</v>
      </c>
      <c r="CT26" s="185"/>
      <c r="CU26" s="119" t="s">
        <v>2920</v>
      </c>
      <c r="CV26" s="2604" t="s">
        <v>2933</v>
      </c>
    </row>
    <row r="27" spans="1:100" s="98" customFormat="1" ht="15" customHeight="1">
      <c r="A27" s="99"/>
      <c r="B27" s="161"/>
      <c r="C27" s="185"/>
      <c r="D27" s="162" t="s">
        <v>85</v>
      </c>
      <c r="E27" s="162"/>
      <c r="F27" s="162"/>
      <c r="G27" s="720" t="s">
        <v>2937</v>
      </c>
      <c r="H27" s="163"/>
      <c r="I27" s="164" t="s">
        <v>2391</v>
      </c>
      <c r="J27" s="143">
        <v>0.35993462262790399</v>
      </c>
      <c r="K27" s="141">
        <v>0.32439309351304857</v>
      </c>
      <c r="L27" s="141">
        <v>0.33752090085585679</v>
      </c>
      <c r="M27" s="141">
        <v>0.35102083005809243</v>
      </c>
      <c r="N27" s="141">
        <v>0.32240677580516836</v>
      </c>
      <c r="O27" s="141">
        <v>0.34805445509932331</v>
      </c>
      <c r="P27" s="141">
        <v>0.34396887547674637</v>
      </c>
      <c r="Q27" s="144">
        <v>0.33863313649832827</v>
      </c>
      <c r="R27" s="143">
        <v>0.33981020157784952</v>
      </c>
      <c r="S27" s="141">
        <v>0.34080407118430811</v>
      </c>
      <c r="T27" s="141">
        <v>0.33974913642016197</v>
      </c>
      <c r="U27" s="141">
        <v>0.34012113639410657</v>
      </c>
      <c r="V27" s="144">
        <v>0.34022478133285888</v>
      </c>
      <c r="W27" s="185"/>
      <c r="X27" s="164" t="s">
        <v>2391</v>
      </c>
      <c r="Y27" s="143">
        <v>0.35993462262790371</v>
      </c>
      <c r="Z27" s="141">
        <v>0.32400000000000001</v>
      </c>
      <c r="AA27" s="141">
        <v>0.33752090085585679</v>
      </c>
      <c r="AB27" s="141">
        <v>0.35102083005809243</v>
      </c>
      <c r="AC27" s="141">
        <v>0.32240677580516836</v>
      </c>
      <c r="AD27" s="141">
        <v>0.34805445509932331</v>
      </c>
      <c r="AE27" s="141">
        <v>0.34396887547674637</v>
      </c>
      <c r="AF27" s="144">
        <v>0.33863313649832827</v>
      </c>
      <c r="AG27" s="143">
        <v>0.33981020157784952</v>
      </c>
      <c r="AH27" s="141">
        <v>0.34080407118430811</v>
      </c>
      <c r="AI27" s="141">
        <v>0.33974913642016197</v>
      </c>
      <c r="AJ27" s="141">
        <v>0.34012113639410657</v>
      </c>
      <c r="AK27" s="144">
        <v>0.34022478133285888</v>
      </c>
      <c r="AL27" s="185"/>
      <c r="AM27" s="164" t="s">
        <v>2391</v>
      </c>
      <c r="AN27" s="143">
        <v>5.3990193394185558E-2</v>
      </c>
      <c r="AO27" s="141">
        <v>4.9000000000000002E-2</v>
      </c>
      <c r="AP27" s="141">
        <v>5.0391870497779413E-2</v>
      </c>
      <c r="AQ27" s="141">
        <v>5.1157775772666392E-2</v>
      </c>
      <c r="AR27" s="141">
        <v>4.9070311277546623E-2</v>
      </c>
      <c r="AS27" s="141">
        <v>5.3391553412236198E-2</v>
      </c>
      <c r="AT27" s="141">
        <v>5.1206546820816407E-2</v>
      </c>
      <c r="AU27" s="144">
        <v>5.1222803836866414E-2</v>
      </c>
      <c r="AV27" s="143">
        <v>5.1940301356639677E-2</v>
      </c>
      <c r="AW27" s="141">
        <v>5.1456550671440837E-2</v>
      </c>
      <c r="AX27" s="141">
        <v>5.153988528831565E-2</v>
      </c>
      <c r="AY27" s="141">
        <v>5.164557910546539E-2</v>
      </c>
      <c r="AZ27" s="144">
        <v>5.1547338355073961E-2</v>
      </c>
      <c r="BA27" s="185"/>
      <c r="BB27" s="164" t="s">
        <v>2462</v>
      </c>
      <c r="BC27" s="143">
        <v>2.2927835461397469E-2</v>
      </c>
      <c r="BD27" s="141">
        <v>2.1000000000000001E-2</v>
      </c>
      <c r="BE27" s="141">
        <v>2.1466329294432492E-2</v>
      </c>
      <c r="BF27" s="141">
        <v>2.1999999999999999E-2</v>
      </c>
      <c r="BG27" s="141">
        <v>2.0505070941208708E-2</v>
      </c>
      <c r="BH27" s="141">
        <v>2.2136263344316998E-2</v>
      </c>
      <c r="BI27" s="141">
        <v>2.154711142850857E-2</v>
      </c>
      <c r="BJ27" s="144">
        <v>2.1396148571344756E-2</v>
      </c>
      <c r="BK27" s="143">
        <v>2.1693174448056771E-2</v>
      </c>
      <c r="BL27" s="141">
        <v>2.1545478149303365E-2</v>
      </c>
      <c r="BM27" s="141">
        <v>2.154493372290163E-2</v>
      </c>
      <c r="BN27" s="141">
        <v>2.159452877342059E-2</v>
      </c>
      <c r="BO27" s="144">
        <v>2.1561646881875198E-2</v>
      </c>
      <c r="BP27" s="185"/>
      <c r="BQ27" s="164" t="s">
        <v>2441</v>
      </c>
      <c r="BR27" s="143">
        <v>41</v>
      </c>
      <c r="BS27" s="141">
        <v>41</v>
      </c>
      <c r="BT27" s="141">
        <v>41</v>
      </c>
      <c r="BU27" s="141">
        <v>41</v>
      </c>
      <c r="BV27" s="141">
        <v>41</v>
      </c>
      <c r="BW27" s="141">
        <v>41</v>
      </c>
      <c r="BX27" s="141">
        <v>41</v>
      </c>
      <c r="BY27" s="144">
        <v>41</v>
      </c>
      <c r="BZ27" s="143">
        <v>41</v>
      </c>
      <c r="CA27" s="141">
        <v>41</v>
      </c>
      <c r="CB27" s="141">
        <v>41</v>
      </c>
      <c r="CC27" s="141">
        <v>41</v>
      </c>
      <c r="CD27" s="144">
        <v>41</v>
      </c>
      <c r="CE27" s="185"/>
      <c r="CF27" s="164" t="s">
        <v>2441</v>
      </c>
      <c r="CG27" s="143">
        <v>38</v>
      </c>
      <c r="CH27" s="141">
        <v>38</v>
      </c>
      <c r="CI27" s="141">
        <v>38</v>
      </c>
      <c r="CJ27" s="141">
        <v>38</v>
      </c>
      <c r="CK27" s="141">
        <v>38</v>
      </c>
      <c r="CL27" s="141">
        <v>38</v>
      </c>
      <c r="CM27" s="141">
        <v>38</v>
      </c>
      <c r="CN27" s="144">
        <v>38</v>
      </c>
      <c r="CO27" s="143">
        <v>38</v>
      </c>
      <c r="CP27" s="141">
        <v>38</v>
      </c>
      <c r="CQ27" s="141">
        <v>38</v>
      </c>
      <c r="CR27" s="141">
        <v>38</v>
      </c>
      <c r="CS27" s="144">
        <v>38</v>
      </c>
      <c r="CT27" s="185"/>
      <c r="CU27" s="119" t="s">
        <v>2920</v>
      </c>
      <c r="CV27" s="2604" t="s">
        <v>2938</v>
      </c>
    </row>
    <row r="28" spans="1:100" s="98" customFormat="1" ht="15" customHeight="1">
      <c r="A28" s="99"/>
      <c r="B28" s="161"/>
      <c r="C28" s="185"/>
      <c r="D28" s="162" t="s">
        <v>85</v>
      </c>
      <c r="E28" s="162"/>
      <c r="F28" s="162"/>
      <c r="G28" s="720" t="s">
        <v>2939</v>
      </c>
      <c r="H28" s="163"/>
      <c r="I28" s="164" t="s">
        <v>2391</v>
      </c>
      <c r="J28" s="143">
        <v>0.11779528045285184</v>
      </c>
      <c r="K28" s="141">
        <v>0.10825864679441319</v>
      </c>
      <c r="L28" s="141">
        <v>0.12134517035430435</v>
      </c>
      <c r="M28" s="141">
        <v>0.12888988255791786</v>
      </c>
      <c r="N28" s="141">
        <v>9.4136491029160996E-2</v>
      </c>
      <c r="O28" s="141">
        <v>0.11560430770190137</v>
      </c>
      <c r="P28" s="141">
        <v>0.11424730566699214</v>
      </c>
      <c r="Q28" s="144">
        <v>0.11247507031232026</v>
      </c>
      <c r="R28" s="143">
        <v>0.11286602578392688</v>
      </c>
      <c r="S28" s="141">
        <v>0.11319613392107977</v>
      </c>
      <c r="T28" s="141">
        <v>0.11284574333910898</v>
      </c>
      <c r="U28" s="141">
        <v>0.11296930101470522</v>
      </c>
      <c r="V28" s="144">
        <v>0.11300372609163133</v>
      </c>
      <c r="W28" s="185"/>
      <c r="X28" s="164" t="s">
        <v>2391</v>
      </c>
      <c r="Y28" s="143">
        <v>0.11779528045285184</v>
      </c>
      <c r="Z28" s="141">
        <v>0.108</v>
      </c>
      <c r="AA28" s="141">
        <v>0.12134517035430435</v>
      </c>
      <c r="AB28" s="141">
        <v>0.12888988255791786</v>
      </c>
      <c r="AC28" s="141">
        <v>9.4136491029160996E-2</v>
      </c>
      <c r="AD28" s="141">
        <v>0.11560430770190137</v>
      </c>
      <c r="AE28" s="141">
        <v>0.11424730566699214</v>
      </c>
      <c r="AF28" s="144">
        <v>0.11247507031232026</v>
      </c>
      <c r="AG28" s="143">
        <v>0.11286602578392688</v>
      </c>
      <c r="AH28" s="141">
        <v>0.11319613392107977</v>
      </c>
      <c r="AI28" s="141">
        <v>0.11284574333910898</v>
      </c>
      <c r="AJ28" s="141">
        <v>0.11296930101470522</v>
      </c>
      <c r="AK28" s="144">
        <v>0.11300372609163133</v>
      </c>
      <c r="AL28" s="185"/>
      <c r="AM28" s="164" t="s">
        <v>2391</v>
      </c>
      <c r="AN28" s="143">
        <v>1.7584496811154617E-2</v>
      </c>
      <c r="AO28" s="141">
        <v>1.6E-2</v>
      </c>
      <c r="AP28" s="141">
        <v>1.8116833933897639E-2</v>
      </c>
      <c r="AQ28" s="141">
        <v>1.8784411483990949E-2</v>
      </c>
      <c r="AR28" s="141">
        <v>1.4327573934638304E-2</v>
      </c>
      <c r="AS28" s="141">
        <v>1.7733700801471672E-2</v>
      </c>
      <c r="AT28" s="141">
        <v>1.6948562073366976E-2</v>
      </c>
      <c r="AU28" s="144">
        <v>1.6336612269825652E-2</v>
      </c>
      <c r="AV28" s="143">
        <v>1.70062917148881E-2</v>
      </c>
      <c r="AW28" s="141">
        <v>1.6763822019360244E-2</v>
      </c>
      <c r="AX28" s="141">
        <v>1.6702242001358E-2</v>
      </c>
      <c r="AY28" s="141">
        <v>1.6824118578535448E-2</v>
      </c>
      <c r="AZ28" s="144">
        <v>1.676339419975123E-2</v>
      </c>
      <c r="BA28" s="185"/>
      <c r="BB28" s="164" t="s">
        <v>2462</v>
      </c>
      <c r="BC28" s="143">
        <v>7.4675496458036618E-3</v>
      </c>
      <c r="BD28" s="141">
        <v>7.0000000000000001E-3</v>
      </c>
      <c r="BE28" s="141">
        <v>7.7175528345337571E-3</v>
      </c>
      <c r="BF28" s="141">
        <v>8.0000000000000002E-3</v>
      </c>
      <c r="BG28" s="141">
        <v>5.98708082945464E-3</v>
      </c>
      <c r="BH28" s="141">
        <v>7.3524339698409274E-3</v>
      </c>
      <c r="BI28" s="141">
        <v>7.1131715997651895E-3</v>
      </c>
      <c r="BJ28" s="144">
        <v>6.8175621330202529E-3</v>
      </c>
      <c r="BK28" s="143">
        <v>7.0943892342087899E-3</v>
      </c>
      <c r="BL28" s="141">
        <v>7.0083743223314102E-3</v>
      </c>
      <c r="BM28" s="141">
        <v>6.973441896520151E-3</v>
      </c>
      <c r="BN28" s="141">
        <v>7.0254018176867834E-3</v>
      </c>
      <c r="BO28" s="144">
        <v>7.0024060121794476E-3</v>
      </c>
      <c r="BP28" s="185"/>
      <c r="BQ28" s="164" t="s">
        <v>2441</v>
      </c>
      <c r="BR28" s="143">
        <v>38</v>
      </c>
      <c r="BS28" s="141">
        <v>38</v>
      </c>
      <c r="BT28" s="141">
        <v>38</v>
      </c>
      <c r="BU28" s="141">
        <v>38</v>
      </c>
      <c r="BV28" s="141">
        <v>38</v>
      </c>
      <c r="BW28" s="141">
        <v>38</v>
      </c>
      <c r="BX28" s="141">
        <v>38</v>
      </c>
      <c r="BY28" s="144">
        <v>38</v>
      </c>
      <c r="BZ28" s="143">
        <v>38</v>
      </c>
      <c r="CA28" s="141">
        <v>38</v>
      </c>
      <c r="CB28" s="141">
        <v>38</v>
      </c>
      <c r="CC28" s="141">
        <v>38</v>
      </c>
      <c r="CD28" s="144">
        <v>38</v>
      </c>
      <c r="CE28" s="185"/>
      <c r="CF28" s="164" t="s">
        <v>2441</v>
      </c>
      <c r="CG28" s="143">
        <v>38</v>
      </c>
      <c r="CH28" s="141">
        <v>38</v>
      </c>
      <c r="CI28" s="141">
        <v>38</v>
      </c>
      <c r="CJ28" s="141">
        <v>38</v>
      </c>
      <c r="CK28" s="141">
        <v>38</v>
      </c>
      <c r="CL28" s="141">
        <v>38</v>
      </c>
      <c r="CM28" s="141">
        <v>38</v>
      </c>
      <c r="CN28" s="144">
        <v>38</v>
      </c>
      <c r="CO28" s="143">
        <v>38</v>
      </c>
      <c r="CP28" s="141">
        <v>38</v>
      </c>
      <c r="CQ28" s="141">
        <v>38</v>
      </c>
      <c r="CR28" s="141">
        <v>38</v>
      </c>
      <c r="CS28" s="144">
        <v>38</v>
      </c>
      <c r="CT28" s="185"/>
      <c r="CU28" s="119" t="s">
        <v>2920</v>
      </c>
      <c r="CV28" s="2604" t="s">
        <v>2938</v>
      </c>
    </row>
    <row r="29" spans="1:100" s="98" customFormat="1" ht="15" customHeight="1">
      <c r="A29" s="99"/>
      <c r="B29" s="161"/>
      <c r="C29" s="185"/>
      <c r="D29" s="162" t="s">
        <v>85</v>
      </c>
      <c r="E29" s="162"/>
      <c r="F29" s="162"/>
      <c r="G29" s="720" t="s">
        <v>2940</v>
      </c>
      <c r="H29" s="163"/>
      <c r="I29" s="164" t="s">
        <v>2391</v>
      </c>
      <c r="J29" s="143">
        <v>1.2921843091233598</v>
      </c>
      <c r="K29" s="141">
        <v>1.3680567590392101</v>
      </c>
      <c r="L29" s="141">
        <v>1.2949889333011559</v>
      </c>
      <c r="M29" s="141">
        <v>1.3729202479607174</v>
      </c>
      <c r="N29" s="141">
        <v>1.2467752087668138</v>
      </c>
      <c r="O29" s="141">
        <v>1.2975857148434362</v>
      </c>
      <c r="P29" s="141">
        <v>1.2823542196637567</v>
      </c>
      <c r="Q29" s="144">
        <v>1.2624619913785224</v>
      </c>
      <c r="R29" s="143">
        <v>1.2668502208933321</v>
      </c>
      <c r="S29" s="141">
        <v>1.2705554773118706</v>
      </c>
      <c r="T29" s="141">
        <v>1.2666225631945749</v>
      </c>
      <c r="U29" s="141">
        <v>1.2680094204665926</v>
      </c>
      <c r="V29" s="144">
        <v>1.2683958203243462</v>
      </c>
      <c r="W29" s="185"/>
      <c r="X29" s="164" t="s">
        <v>2391</v>
      </c>
      <c r="Y29" s="143">
        <v>1.2921843091233598</v>
      </c>
      <c r="Z29" s="141">
        <v>1.3680000000000001</v>
      </c>
      <c r="AA29" s="141">
        <v>1.2949889333011559</v>
      </c>
      <c r="AB29" s="141">
        <v>1.3729202479607174</v>
      </c>
      <c r="AC29" s="141">
        <v>1.2467752087668138</v>
      </c>
      <c r="AD29" s="141">
        <v>1.2975857148434362</v>
      </c>
      <c r="AE29" s="141">
        <v>1.2823542196637567</v>
      </c>
      <c r="AF29" s="144">
        <v>1.2624619913785224</v>
      </c>
      <c r="AG29" s="143">
        <v>1.2668502208933321</v>
      </c>
      <c r="AH29" s="141">
        <v>1.2705554773118706</v>
      </c>
      <c r="AI29" s="141">
        <v>1.2666225631945749</v>
      </c>
      <c r="AJ29" s="141">
        <v>1.2680094204665926</v>
      </c>
      <c r="AK29" s="144">
        <v>1.2683958203243462</v>
      </c>
      <c r="AL29" s="185"/>
      <c r="AM29" s="164" t="s">
        <v>2391</v>
      </c>
      <c r="AN29" s="143">
        <v>0.03</v>
      </c>
      <c r="AO29" s="141">
        <v>0.03</v>
      </c>
      <c r="AP29" s="141">
        <v>0.04</v>
      </c>
      <c r="AQ29" s="141">
        <v>0.04</v>
      </c>
      <c r="AR29" s="141">
        <v>0.04</v>
      </c>
      <c r="AS29" s="141">
        <v>4.7E-2</v>
      </c>
      <c r="AT29" s="141">
        <v>4.2333333333333334E-2</v>
      </c>
      <c r="AU29" s="144">
        <v>4.3111111111111107E-2</v>
      </c>
      <c r="AV29" s="143">
        <v>4.4148148148148138E-2</v>
      </c>
      <c r="AW29" s="141">
        <v>4.3197530864197531E-2</v>
      </c>
      <c r="AX29" s="141">
        <v>4.3485596707818923E-2</v>
      </c>
      <c r="AY29" s="141">
        <v>4.3610425240054866E-2</v>
      </c>
      <c r="AZ29" s="144">
        <v>4.3431184270690447E-2</v>
      </c>
      <c r="BA29" s="185"/>
      <c r="BB29" s="164" t="s">
        <v>2462</v>
      </c>
      <c r="BC29" s="143">
        <v>5.7174346213473323E-2</v>
      </c>
      <c r="BD29" s="141">
        <v>0.06</v>
      </c>
      <c r="BE29" s="141">
        <v>5.3957872220881498E-2</v>
      </c>
      <c r="BF29" s="141">
        <v>0.06</v>
      </c>
      <c r="BG29" s="141">
        <v>5.480610988909343E-2</v>
      </c>
      <c r="BH29" s="141">
        <v>5.7423214308952697E-2</v>
      </c>
      <c r="BI29" s="141">
        <v>5.7409774732682044E-2</v>
      </c>
      <c r="BJ29" s="144">
        <v>5.6546366310242728E-2</v>
      </c>
      <c r="BK29" s="143">
        <v>5.7126451783959163E-2</v>
      </c>
      <c r="BL29" s="141">
        <v>5.7027530942294645E-2</v>
      </c>
      <c r="BM29" s="141">
        <v>5.6900116345498845E-2</v>
      </c>
      <c r="BN29" s="141">
        <v>5.7018033023917551E-2</v>
      </c>
      <c r="BO29" s="144">
        <v>5.6981893437237009E-2</v>
      </c>
      <c r="BP29" s="185"/>
      <c r="BQ29" s="164" t="s">
        <v>2441</v>
      </c>
      <c r="BR29" s="143">
        <v>43.5</v>
      </c>
      <c r="BS29" s="141">
        <v>43.5</v>
      </c>
      <c r="BT29" s="141">
        <v>43.5</v>
      </c>
      <c r="BU29" s="141">
        <v>43.5</v>
      </c>
      <c r="BV29" s="141">
        <v>43.5</v>
      </c>
      <c r="BW29" s="141">
        <v>43.5</v>
      </c>
      <c r="BX29" s="141">
        <v>43.5</v>
      </c>
      <c r="BY29" s="144">
        <v>43.5</v>
      </c>
      <c r="BZ29" s="143">
        <v>43.5</v>
      </c>
      <c r="CA29" s="141">
        <v>43.5</v>
      </c>
      <c r="CB29" s="141">
        <v>43.5</v>
      </c>
      <c r="CC29" s="141">
        <v>43.5</v>
      </c>
      <c r="CD29" s="144">
        <v>43.5</v>
      </c>
      <c r="CE29" s="185"/>
      <c r="CF29" s="164" t="s">
        <v>2441</v>
      </c>
      <c r="CG29" s="143">
        <v>43.5</v>
      </c>
      <c r="CH29" s="141">
        <v>43.5</v>
      </c>
      <c r="CI29" s="141">
        <v>43.5</v>
      </c>
      <c r="CJ29" s="141">
        <v>43.5</v>
      </c>
      <c r="CK29" s="141">
        <v>43.5</v>
      </c>
      <c r="CL29" s="141">
        <v>43.5</v>
      </c>
      <c r="CM29" s="141">
        <v>43.5</v>
      </c>
      <c r="CN29" s="144">
        <v>43.5</v>
      </c>
      <c r="CO29" s="143">
        <v>43.5</v>
      </c>
      <c r="CP29" s="141">
        <v>43.5</v>
      </c>
      <c r="CQ29" s="141">
        <v>43.5</v>
      </c>
      <c r="CR29" s="141">
        <v>43.5</v>
      </c>
      <c r="CS29" s="144">
        <v>43.5</v>
      </c>
      <c r="CT29" s="185"/>
      <c r="CU29" s="119" t="s">
        <v>2920</v>
      </c>
      <c r="CV29" s="2604" t="s">
        <v>2938</v>
      </c>
    </row>
    <row r="30" spans="1:100" s="98" customFormat="1" ht="15" customHeight="1">
      <c r="A30" s="99"/>
      <c r="B30" s="161"/>
      <c r="C30" s="185"/>
      <c r="D30" s="162" t="s">
        <v>85</v>
      </c>
      <c r="E30" s="162"/>
      <c r="F30" s="162"/>
      <c r="G30" s="720" t="s">
        <v>2941</v>
      </c>
      <c r="H30" s="163"/>
      <c r="I30" s="164" t="s">
        <v>2391</v>
      </c>
      <c r="J30" s="143">
        <v>11.639980893440777</v>
      </c>
      <c r="K30" s="141">
        <v>11.393267636872068</v>
      </c>
      <c r="L30" s="141">
        <v>11.478156345710923</v>
      </c>
      <c r="M30" s="141">
        <v>11.450007577848586</v>
      </c>
      <c r="N30" s="141">
        <v>10.804424607045748</v>
      </c>
      <c r="O30" s="141">
        <v>11.196361251546415</v>
      </c>
      <c r="P30" s="141">
        <v>11.064934617851195</v>
      </c>
      <c r="Q30" s="144">
        <v>10.893292335239762</v>
      </c>
      <c r="R30" s="143">
        <v>10.931156656910748</v>
      </c>
      <c r="S30" s="141">
        <v>10.963127870000569</v>
      </c>
      <c r="T30" s="141">
        <v>10.929192287383692</v>
      </c>
      <c r="U30" s="141">
        <v>10.941158938098338</v>
      </c>
      <c r="V30" s="144">
        <v>10.944493031827534</v>
      </c>
      <c r="W30" s="185"/>
      <c r="X30" s="164" t="s">
        <v>2391</v>
      </c>
      <c r="Y30" s="143">
        <v>11.639980893440777</v>
      </c>
      <c r="Z30" s="141">
        <v>11.393000000000001</v>
      </c>
      <c r="AA30" s="141">
        <v>11.478156345710923</v>
      </c>
      <c r="AB30" s="141">
        <v>11.450007577848586</v>
      </c>
      <c r="AC30" s="141">
        <v>10.804424607045748</v>
      </c>
      <c r="AD30" s="141">
        <v>11.196361251546415</v>
      </c>
      <c r="AE30" s="141">
        <v>11.064934617851195</v>
      </c>
      <c r="AF30" s="144">
        <v>10.893292335239762</v>
      </c>
      <c r="AG30" s="143">
        <v>10.931156656910748</v>
      </c>
      <c r="AH30" s="141">
        <v>10.963127870000569</v>
      </c>
      <c r="AI30" s="141">
        <v>10.929192287383692</v>
      </c>
      <c r="AJ30" s="141">
        <v>10.941158938098338</v>
      </c>
      <c r="AK30" s="144">
        <v>10.944493031827534</v>
      </c>
      <c r="AL30" s="185"/>
      <c r="AM30" s="164" t="s">
        <v>2391</v>
      </c>
      <c r="AN30" s="143">
        <v>1.6089941778350367</v>
      </c>
      <c r="AO30" s="141">
        <v>1.5660000000000001</v>
      </c>
      <c r="AP30" s="141">
        <v>1.5508168613345277</v>
      </c>
      <c r="AQ30" s="141">
        <v>1.5343915477575527</v>
      </c>
      <c r="AR30" s="141">
        <v>1.5661214765789779</v>
      </c>
      <c r="AS30" s="141">
        <v>1.634001827568724</v>
      </c>
      <c r="AT30" s="141">
        <v>1.5781716173017515</v>
      </c>
      <c r="AU30" s="144">
        <v>1.5927649738164844</v>
      </c>
      <c r="AV30" s="143">
        <v>1.6016461395623198</v>
      </c>
      <c r="AW30" s="141">
        <v>1.5908609102268521</v>
      </c>
      <c r="AX30" s="141">
        <v>1.5950906745352187</v>
      </c>
      <c r="AY30" s="141">
        <v>1.5958659081081301</v>
      </c>
      <c r="AZ30" s="144">
        <v>1.5939391642900669</v>
      </c>
      <c r="BA30" s="185"/>
      <c r="BB30" s="164" t="s">
        <v>2462</v>
      </c>
      <c r="BC30" s="143">
        <v>0.66377633476392539</v>
      </c>
      <c r="BD30" s="141">
        <v>0.64900000000000002</v>
      </c>
      <c r="BE30" s="141">
        <v>0.65056949899734706</v>
      </c>
      <c r="BF30" s="141">
        <v>0.58699999999999997</v>
      </c>
      <c r="BG30" s="141">
        <v>0.56205017838254745</v>
      </c>
      <c r="BH30" s="141">
        <v>0.5832294684026762</v>
      </c>
      <c r="BI30" s="141">
        <v>0.57742654892840783</v>
      </c>
      <c r="BJ30" s="144">
        <v>0.57423539857121053</v>
      </c>
      <c r="BK30" s="143">
        <v>0.57829713863409815</v>
      </c>
      <c r="BL30" s="141">
        <v>0.5766530287112388</v>
      </c>
      <c r="BM30" s="141">
        <v>0.5763951886388492</v>
      </c>
      <c r="BN30" s="141">
        <v>0.57711511866139542</v>
      </c>
      <c r="BO30" s="144">
        <v>0.57672111200382781</v>
      </c>
      <c r="BP30" s="185"/>
      <c r="BQ30" s="164" t="s">
        <v>2441</v>
      </c>
      <c r="BR30" s="143">
        <v>49</v>
      </c>
      <c r="BS30" s="141">
        <v>49</v>
      </c>
      <c r="BT30" s="141">
        <v>49</v>
      </c>
      <c r="BU30" s="141">
        <v>49</v>
      </c>
      <c r="BV30" s="141">
        <v>49</v>
      </c>
      <c r="BW30" s="141">
        <v>49</v>
      </c>
      <c r="BX30" s="141">
        <v>49</v>
      </c>
      <c r="BY30" s="144">
        <v>49</v>
      </c>
      <c r="BZ30" s="143">
        <v>49</v>
      </c>
      <c r="CA30" s="141">
        <v>49</v>
      </c>
      <c r="CB30" s="141">
        <v>49</v>
      </c>
      <c r="CC30" s="141">
        <v>49</v>
      </c>
      <c r="CD30" s="144">
        <v>49</v>
      </c>
      <c r="CE30" s="185"/>
      <c r="CF30" s="164" t="s">
        <v>2441</v>
      </c>
      <c r="CG30" s="143">
        <v>44.1</v>
      </c>
      <c r="CH30" s="141">
        <v>44.1</v>
      </c>
      <c r="CI30" s="141">
        <v>44.1</v>
      </c>
      <c r="CJ30" s="141">
        <v>44.1</v>
      </c>
      <c r="CK30" s="141">
        <v>44.1</v>
      </c>
      <c r="CL30" s="141">
        <v>44.1</v>
      </c>
      <c r="CM30" s="141">
        <v>44.1</v>
      </c>
      <c r="CN30" s="144">
        <v>44.1</v>
      </c>
      <c r="CO30" s="143">
        <v>44.1</v>
      </c>
      <c r="CP30" s="141">
        <v>44.1</v>
      </c>
      <c r="CQ30" s="141">
        <v>44.1</v>
      </c>
      <c r="CR30" s="141">
        <v>44.1</v>
      </c>
      <c r="CS30" s="144">
        <v>44.1</v>
      </c>
      <c r="CT30" s="185"/>
      <c r="CU30" s="119" t="s">
        <v>2920</v>
      </c>
      <c r="CV30" s="2604" t="s">
        <v>2938</v>
      </c>
    </row>
    <row r="31" spans="1:100" s="98" customFormat="1" ht="15" customHeight="1">
      <c r="A31" s="99"/>
      <c r="B31" s="161"/>
      <c r="C31" s="185"/>
      <c r="D31" s="162" t="s">
        <v>85</v>
      </c>
      <c r="E31" s="162"/>
      <c r="F31" s="162"/>
      <c r="G31" s="720" t="s">
        <v>2942</v>
      </c>
      <c r="H31" s="163"/>
      <c r="I31" s="164" t="s">
        <v>2391</v>
      </c>
      <c r="J31" s="143">
        <v>0.36487263267043107</v>
      </c>
      <c r="K31" s="141">
        <v>0.37463443358415427</v>
      </c>
      <c r="L31" s="141">
        <v>0.3796224513023872</v>
      </c>
      <c r="M31" s="141">
        <v>0.31870605292564291</v>
      </c>
      <c r="N31" s="141">
        <v>0.32239176743641879</v>
      </c>
      <c r="O31" s="141">
        <v>0.29293263198439573</v>
      </c>
      <c r="P31" s="141">
        <v>0.28949409076048965</v>
      </c>
      <c r="Q31" s="144">
        <v>0.2850033794949674</v>
      </c>
      <c r="R31" s="143">
        <v>0.2859940312930106</v>
      </c>
      <c r="S31" s="141">
        <v>0.28683050051615594</v>
      </c>
      <c r="T31" s="141">
        <v>0.28594263710137796</v>
      </c>
      <c r="U31" s="141">
        <v>0.28625572297018154</v>
      </c>
      <c r="V31" s="144">
        <v>0.28634295352923844</v>
      </c>
      <c r="W31" s="185"/>
      <c r="X31" s="164" t="s">
        <v>2391</v>
      </c>
      <c r="Y31" s="143">
        <v>0.36487263267043107</v>
      </c>
      <c r="Z31" s="141">
        <v>0.375</v>
      </c>
      <c r="AA31" s="141">
        <v>0.3796224513023872</v>
      </c>
      <c r="AB31" s="141">
        <v>0.31870605292564291</v>
      </c>
      <c r="AC31" s="141">
        <v>0.32239176743641879</v>
      </c>
      <c r="AD31" s="141">
        <v>0.29293263198439573</v>
      </c>
      <c r="AE31" s="141">
        <v>0.28949409076048965</v>
      </c>
      <c r="AF31" s="144">
        <v>0.2850033794949674</v>
      </c>
      <c r="AG31" s="143">
        <v>0.2859940312930106</v>
      </c>
      <c r="AH31" s="141">
        <v>0.28683050051615594</v>
      </c>
      <c r="AI31" s="141">
        <v>0.28594263710137796</v>
      </c>
      <c r="AJ31" s="141">
        <v>0.28625572297018154</v>
      </c>
      <c r="AK31" s="144">
        <v>0.28634295352923844</v>
      </c>
      <c r="AL31" s="185"/>
      <c r="AM31" s="164" t="s">
        <v>2391</v>
      </c>
      <c r="AN31" s="143">
        <v>5.473089490056466E-2</v>
      </c>
      <c r="AO31" s="141">
        <v>5.6000000000000001E-2</v>
      </c>
      <c r="AP31" s="141">
        <v>5.6677631979446405E-2</v>
      </c>
      <c r="AQ31" s="141">
        <v>4.64482201533832E-2</v>
      </c>
      <c r="AR31" s="141">
        <v>4.9068027003822942E-2</v>
      </c>
      <c r="AS31" s="141">
        <v>4.493586574640631E-2</v>
      </c>
      <c r="AT31" s="141">
        <v>4.6817370967870815E-2</v>
      </c>
      <c r="AU31" s="144">
        <v>4.6940421239366682E-2</v>
      </c>
      <c r="AV31" s="143">
        <v>4.6231219317881267E-2</v>
      </c>
      <c r="AW31" s="141">
        <v>4.6663003841706248E-2</v>
      </c>
      <c r="AX31" s="141">
        <v>4.661154813298473E-2</v>
      </c>
      <c r="AY31" s="141">
        <v>4.6501923764190746E-2</v>
      </c>
      <c r="AZ31" s="144">
        <v>4.6592158579627237E-2</v>
      </c>
      <c r="BA31" s="185"/>
      <c r="BB31" s="164" t="s">
        <v>2462</v>
      </c>
      <c r="BC31" s="143">
        <v>2.3242386701106461E-2</v>
      </c>
      <c r="BD31" s="141">
        <v>2.4E-2</v>
      </c>
      <c r="BE31" s="141">
        <v>2.4143987902831829E-2</v>
      </c>
      <c r="BF31" s="141">
        <v>0.02</v>
      </c>
      <c r="BG31" s="141">
        <v>2.0504116408956236E-2</v>
      </c>
      <c r="BH31" s="141">
        <v>1.863051539420757E-2</v>
      </c>
      <c r="BI31" s="141">
        <v>1.9711543934387937E-2</v>
      </c>
      <c r="BJ31" s="144">
        <v>1.9615391912517249E-2</v>
      </c>
      <c r="BK31" s="143">
        <v>1.9319150413704252E-2</v>
      </c>
      <c r="BL31" s="141">
        <v>1.9548695420203144E-2</v>
      </c>
      <c r="BM31" s="141">
        <v>1.9494412582141549E-2</v>
      </c>
      <c r="BN31" s="141">
        <v>1.9454086138682981E-2</v>
      </c>
      <c r="BO31" s="144">
        <v>1.9499064713675893E-2</v>
      </c>
      <c r="BP31" s="185"/>
      <c r="BQ31" s="164" t="s">
        <v>2441</v>
      </c>
      <c r="BR31" s="143">
        <v>38</v>
      </c>
      <c r="BS31" s="141">
        <v>38</v>
      </c>
      <c r="BT31" s="141">
        <v>38</v>
      </c>
      <c r="BU31" s="141">
        <v>38</v>
      </c>
      <c r="BV31" s="141">
        <v>38</v>
      </c>
      <c r="BW31" s="141">
        <v>38</v>
      </c>
      <c r="BX31" s="141">
        <v>38</v>
      </c>
      <c r="BY31" s="144">
        <v>38</v>
      </c>
      <c r="BZ31" s="143">
        <v>38</v>
      </c>
      <c r="CA31" s="141">
        <v>38</v>
      </c>
      <c r="CB31" s="141">
        <v>38</v>
      </c>
      <c r="CC31" s="141">
        <v>38</v>
      </c>
      <c r="CD31" s="144">
        <v>38</v>
      </c>
      <c r="CE31" s="185"/>
      <c r="CF31" s="164" t="s">
        <v>2441</v>
      </c>
      <c r="CG31" s="143">
        <v>38</v>
      </c>
      <c r="CH31" s="141">
        <v>38</v>
      </c>
      <c r="CI31" s="141">
        <v>38</v>
      </c>
      <c r="CJ31" s="141">
        <v>38</v>
      </c>
      <c r="CK31" s="141">
        <v>38</v>
      </c>
      <c r="CL31" s="141">
        <v>38</v>
      </c>
      <c r="CM31" s="141">
        <v>38</v>
      </c>
      <c r="CN31" s="144">
        <v>38</v>
      </c>
      <c r="CO31" s="143">
        <v>38</v>
      </c>
      <c r="CP31" s="141">
        <v>38</v>
      </c>
      <c r="CQ31" s="141">
        <v>38</v>
      </c>
      <c r="CR31" s="141">
        <v>38</v>
      </c>
      <c r="CS31" s="144">
        <v>38</v>
      </c>
      <c r="CT31" s="185"/>
      <c r="CU31" s="119" t="s">
        <v>2920</v>
      </c>
      <c r="CV31" s="2604" t="s">
        <v>2938</v>
      </c>
    </row>
    <row r="32" spans="1:100" s="98" customFormat="1" ht="15" customHeight="1">
      <c r="A32" s="99"/>
      <c r="B32" s="161"/>
      <c r="C32" s="185"/>
      <c r="D32" s="162" t="s">
        <v>85</v>
      </c>
      <c r="E32" s="162"/>
      <c r="F32" s="162"/>
      <c r="G32" s="720" t="s">
        <v>2943</v>
      </c>
      <c r="H32" s="163"/>
      <c r="I32" s="164" t="s">
        <v>2391</v>
      </c>
      <c r="J32" s="143">
        <v>5.5211293163361077</v>
      </c>
      <c r="K32" s="141">
        <v>5.4280341914125954</v>
      </c>
      <c r="L32" s="141">
        <v>5.4037928411120202</v>
      </c>
      <c r="M32" s="141">
        <v>5.3792922082071142</v>
      </c>
      <c r="N32" s="141">
        <v>5.3549859698574638</v>
      </c>
      <c r="O32" s="141">
        <v>5.3528706839929665</v>
      </c>
      <c r="P32" s="141">
        <v>5.2900368973012535</v>
      </c>
      <c r="Q32" s="144">
        <v>5.2079764026385371</v>
      </c>
      <c r="R32" s="143">
        <v>5.226078964076871</v>
      </c>
      <c r="S32" s="141">
        <v>5.2413640880055548</v>
      </c>
      <c r="T32" s="141">
        <v>5.2251398182403204</v>
      </c>
      <c r="U32" s="141">
        <v>5.230860956774249</v>
      </c>
      <c r="V32" s="144">
        <v>5.2324549543400414</v>
      </c>
      <c r="W32" s="185"/>
      <c r="X32" s="164" t="s">
        <v>2391</v>
      </c>
      <c r="Y32" s="143">
        <v>5.5211293163361077</v>
      </c>
      <c r="Z32" s="141">
        <v>5.4279999999999999</v>
      </c>
      <c r="AA32" s="141">
        <v>5.4037928411120202</v>
      </c>
      <c r="AB32" s="141">
        <v>5.3792922082071142</v>
      </c>
      <c r="AC32" s="141">
        <v>5.3549859698574638</v>
      </c>
      <c r="AD32" s="141">
        <v>5.3528706839929665</v>
      </c>
      <c r="AE32" s="141">
        <v>5.2900368973012535</v>
      </c>
      <c r="AF32" s="144">
        <v>5.2079764026385371</v>
      </c>
      <c r="AG32" s="143">
        <v>5.226078964076871</v>
      </c>
      <c r="AH32" s="141">
        <v>5.2413640880055548</v>
      </c>
      <c r="AI32" s="141">
        <v>5.2251398182403204</v>
      </c>
      <c r="AJ32" s="141">
        <v>5.230860956774249</v>
      </c>
      <c r="AK32" s="144">
        <v>5.2324549543400414</v>
      </c>
      <c r="AL32" s="185"/>
      <c r="AM32" s="164" t="s">
        <v>2391</v>
      </c>
      <c r="AN32" s="143">
        <v>0.3</v>
      </c>
      <c r="AO32" s="141">
        <v>0.3</v>
      </c>
      <c r="AP32" s="141">
        <v>0.35</v>
      </c>
      <c r="AQ32" s="141">
        <v>0.35</v>
      </c>
      <c r="AR32" s="141">
        <v>0.4</v>
      </c>
      <c r="AS32" s="141">
        <v>0.5</v>
      </c>
      <c r="AT32" s="141">
        <v>0.41666666666666669</v>
      </c>
      <c r="AU32" s="144">
        <v>0.43888888888888894</v>
      </c>
      <c r="AV32" s="143">
        <v>0.45185185185185189</v>
      </c>
      <c r="AW32" s="141">
        <v>0.43580246913580251</v>
      </c>
      <c r="AX32" s="141">
        <v>0.44218106995884776</v>
      </c>
      <c r="AY32" s="141">
        <v>0.44327846364883405</v>
      </c>
      <c r="AZ32" s="144">
        <v>0.44042066758116144</v>
      </c>
      <c r="BA32" s="185"/>
      <c r="BB32" s="164" t="s">
        <v>2462</v>
      </c>
      <c r="BC32" s="143">
        <v>0.26338038818067117</v>
      </c>
      <c r="BD32" s="141">
        <v>0.26</v>
      </c>
      <c r="BE32" s="141">
        <v>0.22515803504633417</v>
      </c>
      <c r="BF32" s="141">
        <v>0.249</v>
      </c>
      <c r="BG32" s="141">
        <v>0.25169584398215622</v>
      </c>
      <c r="BH32" s="141">
        <v>0.25875056421399267</v>
      </c>
      <c r="BI32" s="141">
        <v>0.25314880273204959</v>
      </c>
      <c r="BJ32" s="144">
        <v>0.25453173697606618</v>
      </c>
      <c r="BK32" s="143">
        <v>0.25547703464070282</v>
      </c>
      <c r="BL32" s="141">
        <v>0.25438585811627284</v>
      </c>
      <c r="BM32" s="141">
        <v>0.25479820991101398</v>
      </c>
      <c r="BN32" s="141">
        <v>0.25488703422266318</v>
      </c>
      <c r="BO32" s="144">
        <v>0.25469036741665002</v>
      </c>
      <c r="BP32" s="185"/>
      <c r="BQ32" s="164" t="s">
        <v>2441</v>
      </c>
      <c r="BR32" s="143">
        <v>45.7</v>
      </c>
      <c r="BS32" s="141">
        <v>45.7</v>
      </c>
      <c r="BT32" s="141">
        <v>45.7</v>
      </c>
      <c r="BU32" s="141">
        <v>45.7</v>
      </c>
      <c r="BV32" s="141">
        <v>45.7</v>
      </c>
      <c r="BW32" s="141">
        <v>45.7</v>
      </c>
      <c r="BX32" s="141">
        <v>45.7</v>
      </c>
      <c r="BY32" s="144">
        <v>45.7</v>
      </c>
      <c r="BZ32" s="143">
        <v>45.7</v>
      </c>
      <c r="CA32" s="141">
        <v>45.7</v>
      </c>
      <c r="CB32" s="141">
        <v>45.7</v>
      </c>
      <c r="CC32" s="141">
        <v>45.7</v>
      </c>
      <c r="CD32" s="144">
        <v>45.7</v>
      </c>
      <c r="CE32" s="185"/>
      <c r="CF32" s="164" t="s">
        <v>2441</v>
      </c>
      <c r="CG32" s="143">
        <v>38</v>
      </c>
      <c r="CH32" s="141">
        <v>38</v>
      </c>
      <c r="CI32" s="141">
        <v>38</v>
      </c>
      <c r="CJ32" s="141">
        <v>38</v>
      </c>
      <c r="CK32" s="141">
        <v>38</v>
      </c>
      <c r="CL32" s="141">
        <v>38</v>
      </c>
      <c r="CM32" s="141">
        <v>38</v>
      </c>
      <c r="CN32" s="144">
        <v>38</v>
      </c>
      <c r="CO32" s="143">
        <v>38</v>
      </c>
      <c r="CP32" s="141">
        <v>38</v>
      </c>
      <c r="CQ32" s="141">
        <v>38</v>
      </c>
      <c r="CR32" s="141">
        <v>38</v>
      </c>
      <c r="CS32" s="144">
        <v>38</v>
      </c>
      <c r="CT32" s="185"/>
      <c r="CU32" s="119" t="s">
        <v>2920</v>
      </c>
      <c r="CV32" s="2604" t="s">
        <v>2938</v>
      </c>
    </row>
    <row r="33" spans="1:100" s="98" customFormat="1" ht="15" customHeight="1">
      <c r="A33" s="99"/>
      <c r="B33" s="161"/>
      <c r="C33" s="185"/>
      <c r="D33" s="162" t="s">
        <v>85</v>
      </c>
      <c r="E33" s="162"/>
      <c r="F33" s="162"/>
      <c r="G33" s="720" t="s">
        <v>2944</v>
      </c>
      <c r="H33" s="163"/>
      <c r="I33" s="164" t="s">
        <v>2391</v>
      </c>
      <c r="J33" s="143">
        <v>1.5003368855767487</v>
      </c>
      <c r="K33" s="141">
        <v>1.5274652336612804</v>
      </c>
      <c r="L33" s="141">
        <v>1.5110005486127194</v>
      </c>
      <c r="M33" s="141">
        <v>1.5163080034361789</v>
      </c>
      <c r="N33" s="141">
        <v>1.4933026738477522</v>
      </c>
      <c r="O33" s="141">
        <v>1.4500454441322639</v>
      </c>
      <c r="P33" s="141">
        <v>1.4330243256504827</v>
      </c>
      <c r="Q33" s="144">
        <v>1.4107948616014558</v>
      </c>
      <c r="R33" s="143">
        <v>1.4156986857904605</v>
      </c>
      <c r="S33" s="141">
        <v>1.4198392910141333</v>
      </c>
      <c r="T33" s="141">
        <v>1.4154442794686832</v>
      </c>
      <c r="U33" s="141">
        <v>1.4169940854244258</v>
      </c>
      <c r="V33" s="144">
        <v>1.4174258853024142</v>
      </c>
      <c r="W33" s="185"/>
      <c r="X33" s="164" t="s">
        <v>2391</v>
      </c>
      <c r="Y33" s="143">
        <v>1.5003368855767487</v>
      </c>
      <c r="Z33" s="141">
        <v>1.5269999999999999</v>
      </c>
      <c r="AA33" s="141">
        <v>1.5110005486127194</v>
      </c>
      <c r="AB33" s="141">
        <v>1.5163080034361789</v>
      </c>
      <c r="AC33" s="141">
        <v>1.4933026738477522</v>
      </c>
      <c r="AD33" s="141">
        <v>1.4500454441322639</v>
      </c>
      <c r="AE33" s="141">
        <v>1.4330243256504827</v>
      </c>
      <c r="AF33" s="144">
        <v>1.4107948616014558</v>
      </c>
      <c r="AG33" s="143">
        <v>1.4156986857904605</v>
      </c>
      <c r="AH33" s="141">
        <v>1.4198392910141333</v>
      </c>
      <c r="AI33" s="141">
        <v>1.4154442794686832</v>
      </c>
      <c r="AJ33" s="141">
        <v>1.4169940854244258</v>
      </c>
      <c r="AK33" s="144">
        <v>1.4174258853024142</v>
      </c>
      <c r="AL33" s="185"/>
      <c r="AM33" s="164" t="s">
        <v>2391</v>
      </c>
      <c r="AN33" s="143">
        <v>-0.11</v>
      </c>
      <c r="AO33" s="141">
        <v>-0.11</v>
      </c>
      <c r="AP33" s="141">
        <v>-0.11</v>
      </c>
      <c r="AQ33" s="141">
        <v>-0.17501327157921129</v>
      </c>
      <c r="AR33" s="141">
        <v>-0.1684193330403721</v>
      </c>
      <c r="AS33" s="141">
        <v>-0.1684193330403721</v>
      </c>
      <c r="AT33" s="141">
        <v>-0.1706173125533185</v>
      </c>
      <c r="AU33" s="144">
        <v>-0.16915199287802088</v>
      </c>
      <c r="AV33" s="143">
        <v>-0.16939621282390382</v>
      </c>
      <c r="AW33" s="141">
        <v>-0.16972183941841437</v>
      </c>
      <c r="AX33" s="141">
        <v>-0.16942334837344633</v>
      </c>
      <c r="AY33" s="141">
        <v>-0.16951380020525483</v>
      </c>
      <c r="AZ33" s="144">
        <v>-0.1695529959990385</v>
      </c>
      <c r="BA33" s="185"/>
      <c r="BB33" s="164" t="s">
        <v>2462</v>
      </c>
      <c r="BC33" s="143">
        <v>9.5571459611238904E-2</v>
      </c>
      <c r="BD33" s="141">
        <v>9.7000000000000003E-2</v>
      </c>
      <c r="BE33" s="141">
        <v>0.1124</v>
      </c>
      <c r="BF33" s="141">
        <v>0.112</v>
      </c>
      <c r="BG33" s="141">
        <v>0.1108</v>
      </c>
      <c r="BH33" s="141">
        <v>0.10590000000000001</v>
      </c>
      <c r="BI33" s="141">
        <v>0.10956666666666666</v>
      </c>
      <c r="BJ33" s="144">
        <v>0.10875555555555555</v>
      </c>
      <c r="BK33" s="143">
        <v>0.10807407407407406</v>
      </c>
      <c r="BL33" s="141">
        <v>0.10879876543209875</v>
      </c>
      <c r="BM33" s="141">
        <v>0.10854279835390945</v>
      </c>
      <c r="BN33" s="141">
        <v>0.10847187928669409</v>
      </c>
      <c r="BO33" s="144">
        <v>0.1086044810242341</v>
      </c>
      <c r="BP33" s="185"/>
      <c r="BQ33" s="164" t="s">
        <v>2441</v>
      </c>
      <c r="BR33" s="143">
        <v>47.3</v>
      </c>
      <c r="BS33" s="141">
        <v>47.3</v>
      </c>
      <c r="BT33" s="141">
        <v>47.3</v>
      </c>
      <c r="BU33" s="141">
        <v>47.3</v>
      </c>
      <c r="BV33" s="141">
        <v>47.3</v>
      </c>
      <c r="BW33" s="141">
        <v>47.3</v>
      </c>
      <c r="BX33" s="141">
        <v>47.3</v>
      </c>
      <c r="BY33" s="144">
        <v>47.3</v>
      </c>
      <c r="BZ33" s="143">
        <v>47.3</v>
      </c>
      <c r="CA33" s="141">
        <v>47.3</v>
      </c>
      <c r="CB33" s="141">
        <v>47.3</v>
      </c>
      <c r="CC33" s="141">
        <v>47.3</v>
      </c>
      <c r="CD33" s="144">
        <v>47.3</v>
      </c>
      <c r="CE33" s="185"/>
      <c r="CF33" s="164" t="s">
        <v>2441</v>
      </c>
      <c r="CG33" s="143">
        <v>38</v>
      </c>
      <c r="CH33" s="141">
        <v>38</v>
      </c>
      <c r="CI33" s="141">
        <v>38</v>
      </c>
      <c r="CJ33" s="141">
        <v>38</v>
      </c>
      <c r="CK33" s="141">
        <v>38</v>
      </c>
      <c r="CL33" s="141">
        <v>38</v>
      </c>
      <c r="CM33" s="141">
        <v>38</v>
      </c>
      <c r="CN33" s="144">
        <v>38</v>
      </c>
      <c r="CO33" s="143">
        <v>38</v>
      </c>
      <c r="CP33" s="141">
        <v>38</v>
      </c>
      <c r="CQ33" s="141">
        <v>38</v>
      </c>
      <c r="CR33" s="141">
        <v>38</v>
      </c>
      <c r="CS33" s="144">
        <v>38</v>
      </c>
      <c r="CT33" s="185"/>
      <c r="CU33" s="119" t="s">
        <v>2920</v>
      </c>
      <c r="CV33" s="2604" t="s">
        <v>2945</v>
      </c>
    </row>
    <row r="34" spans="1:100" s="98" customFormat="1" ht="15" customHeight="1">
      <c r="A34" s="99"/>
      <c r="B34" s="161"/>
      <c r="C34" s="185"/>
      <c r="D34" s="162" t="s">
        <v>85</v>
      </c>
      <c r="E34" s="162"/>
      <c r="F34" s="162"/>
      <c r="G34" s="720" t="s">
        <v>2946</v>
      </c>
      <c r="H34" s="163"/>
      <c r="I34" s="164" t="s">
        <v>2391</v>
      </c>
      <c r="J34" s="143">
        <v>3.5081681587525071</v>
      </c>
      <c r="K34" s="141">
        <v>3.4933122660181541</v>
      </c>
      <c r="L34" s="141">
        <v>3.4016630040718692</v>
      </c>
      <c r="M34" s="141">
        <v>3.3916720915321097</v>
      </c>
      <c r="N34" s="141">
        <v>3.3871517527465151</v>
      </c>
      <c r="O34" s="141">
        <v>3.3480677844256341</v>
      </c>
      <c r="P34" s="141">
        <v>3.3087670448009905</v>
      </c>
      <c r="Q34" s="144">
        <v>3.2574405482771982</v>
      </c>
      <c r="R34" s="143">
        <v>3.2687631836153752</v>
      </c>
      <c r="S34" s="141">
        <v>3.2783235922311884</v>
      </c>
      <c r="T34" s="141">
        <v>3.2681757747079208</v>
      </c>
      <c r="U34" s="141">
        <v>3.2717541835181616</v>
      </c>
      <c r="V34" s="144">
        <v>3.2727511834857568</v>
      </c>
      <c r="W34" s="185"/>
      <c r="X34" s="164" t="s">
        <v>2391</v>
      </c>
      <c r="Y34" s="143">
        <v>3.5081681587525071</v>
      </c>
      <c r="Z34" s="141">
        <v>3.4929999999999999</v>
      </c>
      <c r="AA34" s="141">
        <v>3.4016630040718692</v>
      </c>
      <c r="AB34" s="141">
        <v>3.3916720915321097</v>
      </c>
      <c r="AC34" s="141">
        <v>3.3871517527465151</v>
      </c>
      <c r="AD34" s="141">
        <v>3.3480677844256341</v>
      </c>
      <c r="AE34" s="141">
        <v>3.3087670448009905</v>
      </c>
      <c r="AF34" s="144">
        <v>3.2574405482771982</v>
      </c>
      <c r="AG34" s="143">
        <v>3.2687631836153752</v>
      </c>
      <c r="AH34" s="141">
        <v>3.2783235922311884</v>
      </c>
      <c r="AI34" s="141">
        <v>3.2681757747079208</v>
      </c>
      <c r="AJ34" s="141">
        <v>3.2717541835181616</v>
      </c>
      <c r="AK34" s="144">
        <v>3.2727511834857568</v>
      </c>
      <c r="AL34" s="185"/>
      <c r="AM34" s="164" t="s">
        <v>2391</v>
      </c>
      <c r="AN34" s="143">
        <v>0.27421585117913577</v>
      </c>
      <c r="AO34" s="141">
        <v>0.27200000000000002</v>
      </c>
      <c r="AP34" s="141">
        <v>0.26377453573501225</v>
      </c>
      <c r="AQ34" s="141">
        <v>0.3</v>
      </c>
      <c r="AR34" s="141">
        <v>0.26845133233723339</v>
      </c>
      <c r="AS34" s="141">
        <v>0.3</v>
      </c>
      <c r="AT34" s="141">
        <v>0.28948377744574444</v>
      </c>
      <c r="AU34" s="144">
        <v>0.28597836992765929</v>
      </c>
      <c r="AV34" s="143">
        <v>0.29182071579113456</v>
      </c>
      <c r="AW34" s="141">
        <v>0.28909428772151274</v>
      </c>
      <c r="AX34" s="141">
        <v>0.28896445781343555</v>
      </c>
      <c r="AY34" s="141">
        <v>0.28995982044202762</v>
      </c>
      <c r="AZ34" s="144">
        <v>0.28933952199232532</v>
      </c>
      <c r="BA34" s="185"/>
      <c r="BB34" s="164" t="s">
        <v>2462</v>
      </c>
      <c r="BC34" s="143">
        <v>0.18857906010859715</v>
      </c>
      <c r="BD34" s="141">
        <v>0.188</v>
      </c>
      <c r="BE34" s="141">
        <v>0.18374177209869666</v>
      </c>
      <c r="BF34" s="141">
        <v>0.183</v>
      </c>
      <c r="BG34" s="141">
        <v>0.18234941255990827</v>
      </c>
      <c r="BH34" s="141">
        <v>0.18720880644553231</v>
      </c>
      <c r="BI34" s="141">
        <v>0.18418607300181353</v>
      </c>
      <c r="BJ34" s="144">
        <v>0.18458143066908472</v>
      </c>
      <c r="BK34" s="143">
        <v>0.18532543670547685</v>
      </c>
      <c r="BL34" s="141">
        <v>0.18469764679212505</v>
      </c>
      <c r="BM34" s="141">
        <v>0.18486817138889555</v>
      </c>
      <c r="BN34" s="141">
        <v>0.1849637516288325</v>
      </c>
      <c r="BO34" s="144">
        <v>0.18484318993661772</v>
      </c>
      <c r="BP34" s="185"/>
      <c r="BQ34" s="164" t="s">
        <v>2441</v>
      </c>
      <c r="BR34" s="143">
        <v>46</v>
      </c>
      <c r="BS34" s="141">
        <v>46</v>
      </c>
      <c r="BT34" s="141">
        <v>46</v>
      </c>
      <c r="BU34" s="141">
        <v>46</v>
      </c>
      <c r="BV34" s="141">
        <v>46</v>
      </c>
      <c r="BW34" s="141">
        <v>46</v>
      </c>
      <c r="BX34" s="141">
        <v>46</v>
      </c>
      <c r="BY34" s="144">
        <v>46</v>
      </c>
      <c r="BZ34" s="143">
        <v>46</v>
      </c>
      <c r="CA34" s="141">
        <v>46</v>
      </c>
      <c r="CB34" s="141">
        <v>46</v>
      </c>
      <c r="CC34" s="141">
        <v>46</v>
      </c>
      <c r="CD34" s="144">
        <v>46</v>
      </c>
      <c r="CE34" s="185"/>
      <c r="CF34" s="164" t="s">
        <v>2441</v>
      </c>
      <c r="CG34" s="143">
        <v>44</v>
      </c>
      <c r="CH34" s="141">
        <v>44</v>
      </c>
      <c r="CI34" s="141">
        <v>44</v>
      </c>
      <c r="CJ34" s="141">
        <v>44</v>
      </c>
      <c r="CK34" s="141">
        <v>44</v>
      </c>
      <c r="CL34" s="141">
        <v>44</v>
      </c>
      <c r="CM34" s="141">
        <v>44</v>
      </c>
      <c r="CN34" s="144">
        <v>44</v>
      </c>
      <c r="CO34" s="143">
        <v>44</v>
      </c>
      <c r="CP34" s="141">
        <v>44</v>
      </c>
      <c r="CQ34" s="141">
        <v>44</v>
      </c>
      <c r="CR34" s="141">
        <v>44</v>
      </c>
      <c r="CS34" s="144">
        <v>44</v>
      </c>
      <c r="CT34" s="185"/>
      <c r="CU34" s="119" t="s">
        <v>2920</v>
      </c>
      <c r="CV34" s="2604" t="s">
        <v>2945</v>
      </c>
    </row>
    <row r="35" spans="1:100" s="98" customFormat="1" ht="15" customHeight="1">
      <c r="A35" s="99"/>
      <c r="B35" s="161"/>
      <c r="C35" s="185"/>
      <c r="D35" s="162" t="s">
        <v>85</v>
      </c>
      <c r="E35" s="162"/>
      <c r="F35" s="162"/>
      <c r="G35" s="720" t="s">
        <v>2947</v>
      </c>
      <c r="H35" s="163"/>
      <c r="I35" s="164" t="s">
        <v>2391</v>
      </c>
      <c r="J35" s="143">
        <v>0.72067741056153189</v>
      </c>
      <c r="K35" s="141">
        <v>0.74708524426903478</v>
      </c>
      <c r="L35" s="141">
        <v>0.75855241655920969</v>
      </c>
      <c r="M35" s="141">
        <v>0.75212030900687477</v>
      </c>
      <c r="N35" s="141">
        <v>0.74912771776755993</v>
      </c>
      <c r="O35" s="141">
        <v>0.78261462452154218</v>
      </c>
      <c r="P35" s="141">
        <v>0.77342803226440937</v>
      </c>
      <c r="Q35" s="144">
        <v>0.76143040575522425</v>
      </c>
      <c r="R35" s="143">
        <v>0.76407708454858747</v>
      </c>
      <c r="S35" s="141">
        <v>0.76631184085607384</v>
      </c>
      <c r="T35" s="141">
        <v>0.76393977705329519</v>
      </c>
      <c r="U35" s="141">
        <v>0.76477623415265217</v>
      </c>
      <c r="V35" s="144">
        <v>0.7650092840206737</v>
      </c>
      <c r="W35" s="185"/>
      <c r="X35" s="164" t="s">
        <v>2391</v>
      </c>
      <c r="Y35" s="143">
        <v>0.72067741056153189</v>
      </c>
      <c r="Z35" s="141">
        <v>0.747</v>
      </c>
      <c r="AA35" s="141">
        <v>0.75855241655920969</v>
      </c>
      <c r="AB35" s="141">
        <v>0.75212030900687477</v>
      </c>
      <c r="AC35" s="141">
        <v>0.74912771776755993</v>
      </c>
      <c r="AD35" s="141">
        <v>0.78261462452154218</v>
      </c>
      <c r="AE35" s="141">
        <v>0.77342803226440937</v>
      </c>
      <c r="AF35" s="144">
        <v>0.76143040575522425</v>
      </c>
      <c r="AG35" s="143">
        <v>0.76407708454858747</v>
      </c>
      <c r="AH35" s="141">
        <v>0.76631184085607384</v>
      </c>
      <c r="AI35" s="141">
        <v>0.76393977705329519</v>
      </c>
      <c r="AJ35" s="141">
        <v>0.76477623415265217</v>
      </c>
      <c r="AK35" s="144">
        <v>0.7650092840206737</v>
      </c>
      <c r="AL35" s="185"/>
      <c r="AM35" s="164" t="s">
        <v>2391</v>
      </c>
      <c r="AN35" s="143">
        <v>0.06</v>
      </c>
      <c r="AO35" s="141">
        <v>0.06</v>
      </c>
      <c r="AP35" s="141">
        <v>0.06</v>
      </c>
      <c r="AQ35" s="141">
        <v>0.06</v>
      </c>
      <c r="AR35" s="141">
        <v>5.0107238644222632E-2</v>
      </c>
      <c r="AS35" s="141">
        <v>5.7193083401604575E-2</v>
      </c>
      <c r="AT35" s="141">
        <v>5.5766774015275737E-2</v>
      </c>
      <c r="AU35" s="144">
        <v>5.4355698687034305E-2</v>
      </c>
      <c r="AV35" s="143">
        <v>5.5771852034638213E-2</v>
      </c>
      <c r="AW35" s="141">
        <v>5.5298108245649423E-2</v>
      </c>
      <c r="AX35" s="141">
        <v>5.5141886322440652E-2</v>
      </c>
      <c r="AY35" s="141">
        <v>5.5403948867576096E-2</v>
      </c>
      <c r="AZ35" s="144">
        <v>5.5281314478555388E-2</v>
      </c>
      <c r="BA35" s="185"/>
      <c r="BB35" s="164" t="s">
        <v>2462</v>
      </c>
      <c r="BC35" s="143">
        <v>3.4313939725778113E-2</v>
      </c>
      <c r="BD35" s="141">
        <v>3.5000000000000003E-2</v>
      </c>
      <c r="BE35" s="141">
        <v>3.4279999999999998E-2</v>
      </c>
      <c r="BF35" s="141">
        <v>3.4000000000000002E-2</v>
      </c>
      <c r="BG35" s="141">
        <v>3.3890000000000003E-2</v>
      </c>
      <c r="BH35" s="141">
        <v>3.6400000000000002E-2</v>
      </c>
      <c r="BI35" s="141">
        <v>3.4763333333333334E-2</v>
      </c>
      <c r="BJ35" s="144">
        <v>3.501777777777778E-2</v>
      </c>
      <c r="BK35" s="143">
        <v>3.5393703703703705E-2</v>
      </c>
      <c r="BL35" s="141">
        <v>3.5058271604938275E-2</v>
      </c>
      <c r="BM35" s="141">
        <v>3.515658436213992E-2</v>
      </c>
      <c r="BN35" s="141">
        <v>3.5202853223593962E-2</v>
      </c>
      <c r="BO35" s="144">
        <v>3.5139236396890712E-2</v>
      </c>
      <c r="BP35" s="185"/>
      <c r="BQ35" s="164" t="s">
        <v>2441</v>
      </c>
      <c r="BR35" s="143">
        <v>41</v>
      </c>
      <c r="BS35" s="141">
        <v>41</v>
      </c>
      <c r="BT35" s="141">
        <v>41</v>
      </c>
      <c r="BU35" s="141">
        <v>41</v>
      </c>
      <c r="BV35" s="141">
        <v>41</v>
      </c>
      <c r="BW35" s="141">
        <v>41</v>
      </c>
      <c r="BX35" s="141">
        <v>41</v>
      </c>
      <c r="BY35" s="144">
        <v>41</v>
      </c>
      <c r="BZ35" s="143">
        <v>41</v>
      </c>
      <c r="CA35" s="141">
        <v>41</v>
      </c>
      <c r="CB35" s="141">
        <v>41</v>
      </c>
      <c r="CC35" s="141">
        <v>41</v>
      </c>
      <c r="CD35" s="144">
        <v>41</v>
      </c>
      <c r="CE35" s="185"/>
      <c r="CF35" s="164" t="s">
        <v>2441</v>
      </c>
      <c r="CG35" s="143">
        <v>38</v>
      </c>
      <c r="CH35" s="141">
        <v>38</v>
      </c>
      <c r="CI35" s="141">
        <v>38</v>
      </c>
      <c r="CJ35" s="141">
        <v>38</v>
      </c>
      <c r="CK35" s="141">
        <v>38</v>
      </c>
      <c r="CL35" s="141">
        <v>38</v>
      </c>
      <c r="CM35" s="141">
        <v>38</v>
      </c>
      <c r="CN35" s="144">
        <v>38</v>
      </c>
      <c r="CO35" s="143">
        <v>38</v>
      </c>
      <c r="CP35" s="141">
        <v>38</v>
      </c>
      <c r="CQ35" s="141">
        <v>38</v>
      </c>
      <c r="CR35" s="141">
        <v>38</v>
      </c>
      <c r="CS35" s="144">
        <v>38</v>
      </c>
      <c r="CT35" s="185"/>
      <c r="CU35" s="119" t="s">
        <v>2920</v>
      </c>
      <c r="CV35" s="2604" t="s">
        <v>2945</v>
      </c>
    </row>
    <row r="36" spans="1:100" s="98" customFormat="1" ht="15" customHeight="1">
      <c r="A36" s="99"/>
      <c r="B36" s="161"/>
      <c r="C36" s="185"/>
      <c r="D36" s="162" t="s">
        <v>85</v>
      </c>
      <c r="E36" s="162"/>
      <c r="F36" s="162"/>
      <c r="G36" s="720"/>
      <c r="H36" s="163"/>
      <c r="I36" s="164" t="s">
        <v>2391</v>
      </c>
      <c r="J36" s="143">
        <v>0</v>
      </c>
      <c r="K36" s="141">
        <v>0</v>
      </c>
      <c r="L36" s="141">
        <v>0</v>
      </c>
      <c r="M36" s="141">
        <v>0</v>
      </c>
      <c r="N36" s="141">
        <v>0</v>
      </c>
      <c r="O36" s="141">
        <v>0</v>
      </c>
      <c r="P36" s="141">
        <v>0</v>
      </c>
      <c r="Q36" s="144">
        <v>0</v>
      </c>
      <c r="R36" s="143">
        <v>0</v>
      </c>
      <c r="S36" s="141">
        <v>0</v>
      </c>
      <c r="T36" s="141">
        <v>0</v>
      </c>
      <c r="U36" s="141">
        <v>0</v>
      </c>
      <c r="V36" s="144">
        <v>0</v>
      </c>
      <c r="W36" s="185"/>
      <c r="X36" s="164" t="s">
        <v>2391</v>
      </c>
      <c r="Y36" s="143">
        <v>0</v>
      </c>
      <c r="Z36" s="141">
        <v>0</v>
      </c>
      <c r="AA36" s="141">
        <v>0</v>
      </c>
      <c r="AB36" s="141">
        <v>0</v>
      </c>
      <c r="AC36" s="141">
        <v>0</v>
      </c>
      <c r="AD36" s="141">
        <v>0</v>
      </c>
      <c r="AE36" s="141">
        <v>0</v>
      </c>
      <c r="AF36" s="144">
        <v>0</v>
      </c>
      <c r="AG36" s="143">
        <v>0</v>
      </c>
      <c r="AH36" s="141">
        <v>0</v>
      </c>
      <c r="AI36" s="141">
        <v>0</v>
      </c>
      <c r="AJ36" s="141">
        <v>0</v>
      </c>
      <c r="AK36" s="144">
        <v>0</v>
      </c>
      <c r="AL36" s="185"/>
      <c r="AM36" s="164" t="s">
        <v>2391</v>
      </c>
      <c r="AN36" s="143">
        <v>0</v>
      </c>
      <c r="AO36" s="141">
        <v>0</v>
      </c>
      <c r="AP36" s="141">
        <v>0</v>
      </c>
      <c r="AQ36" s="141">
        <v>0</v>
      </c>
      <c r="AR36" s="141">
        <v>0</v>
      </c>
      <c r="AS36" s="141">
        <v>0</v>
      </c>
      <c r="AT36" s="141">
        <v>0</v>
      </c>
      <c r="AU36" s="144">
        <v>0</v>
      </c>
      <c r="AV36" s="143">
        <v>0</v>
      </c>
      <c r="AW36" s="141">
        <v>0</v>
      </c>
      <c r="AX36" s="141">
        <v>0</v>
      </c>
      <c r="AY36" s="141">
        <v>0</v>
      </c>
      <c r="AZ36" s="144">
        <v>0</v>
      </c>
      <c r="BA36" s="185"/>
      <c r="BB36" s="164" t="s">
        <v>2462</v>
      </c>
      <c r="BC36" s="143">
        <v>0</v>
      </c>
      <c r="BD36" s="141">
        <v>0</v>
      </c>
      <c r="BE36" s="141">
        <v>0</v>
      </c>
      <c r="BF36" s="141">
        <v>0</v>
      </c>
      <c r="BG36" s="141">
        <v>0</v>
      </c>
      <c r="BH36" s="141">
        <v>0</v>
      </c>
      <c r="BI36" s="141">
        <v>0</v>
      </c>
      <c r="BJ36" s="144">
        <v>0</v>
      </c>
      <c r="BK36" s="143">
        <v>0</v>
      </c>
      <c r="BL36" s="141">
        <v>0</v>
      </c>
      <c r="BM36" s="141">
        <v>0</v>
      </c>
      <c r="BN36" s="141">
        <v>0</v>
      </c>
      <c r="BO36" s="144">
        <v>0</v>
      </c>
      <c r="BP36" s="185"/>
      <c r="BQ36" s="164" t="s">
        <v>2441</v>
      </c>
      <c r="BR36" s="143">
        <v>0</v>
      </c>
      <c r="BS36" s="141">
        <v>0</v>
      </c>
      <c r="BT36" s="141">
        <v>0</v>
      </c>
      <c r="BU36" s="141">
        <v>0</v>
      </c>
      <c r="BV36" s="141">
        <v>0</v>
      </c>
      <c r="BW36" s="141">
        <v>0</v>
      </c>
      <c r="BX36" s="141">
        <v>0</v>
      </c>
      <c r="BY36" s="144">
        <v>0</v>
      </c>
      <c r="BZ36" s="143">
        <v>0</v>
      </c>
      <c r="CA36" s="141">
        <v>0</v>
      </c>
      <c r="CB36" s="141">
        <v>0</v>
      </c>
      <c r="CC36" s="141">
        <v>0</v>
      </c>
      <c r="CD36" s="144">
        <v>0</v>
      </c>
      <c r="CE36" s="185"/>
      <c r="CF36" s="164" t="s">
        <v>2441</v>
      </c>
      <c r="CG36" s="143">
        <v>0</v>
      </c>
      <c r="CH36" s="141">
        <v>0</v>
      </c>
      <c r="CI36" s="141">
        <v>0</v>
      </c>
      <c r="CJ36" s="141">
        <v>0</v>
      </c>
      <c r="CK36" s="141">
        <v>0</v>
      </c>
      <c r="CL36" s="141">
        <v>0</v>
      </c>
      <c r="CM36" s="141">
        <v>0</v>
      </c>
      <c r="CN36" s="144">
        <v>0</v>
      </c>
      <c r="CO36" s="143">
        <v>0</v>
      </c>
      <c r="CP36" s="141">
        <v>0</v>
      </c>
      <c r="CQ36" s="141">
        <v>0</v>
      </c>
      <c r="CR36" s="141">
        <v>0</v>
      </c>
      <c r="CS36" s="144">
        <v>0</v>
      </c>
      <c r="CT36" s="185"/>
      <c r="CU36" s="119" t="s">
        <v>2920</v>
      </c>
      <c r="CV36" s="144">
        <v>0</v>
      </c>
    </row>
    <row r="37" spans="1:100" s="98" customFormat="1" ht="15" customHeight="1">
      <c r="A37" s="99"/>
      <c r="B37" s="161"/>
      <c r="C37" s="185"/>
      <c r="D37" s="162" t="s">
        <v>85</v>
      </c>
      <c r="E37" s="162"/>
      <c r="F37" s="162"/>
      <c r="G37" s="720"/>
      <c r="H37" s="163"/>
      <c r="I37" s="164" t="s">
        <v>2391</v>
      </c>
      <c r="J37" s="143">
        <v>0</v>
      </c>
      <c r="K37" s="141">
        <v>0</v>
      </c>
      <c r="L37" s="141">
        <v>0</v>
      </c>
      <c r="M37" s="141">
        <v>0</v>
      </c>
      <c r="N37" s="141">
        <v>0</v>
      </c>
      <c r="O37" s="141">
        <v>0</v>
      </c>
      <c r="P37" s="141">
        <v>0</v>
      </c>
      <c r="Q37" s="144">
        <v>0</v>
      </c>
      <c r="R37" s="143">
        <v>0</v>
      </c>
      <c r="S37" s="141">
        <v>0</v>
      </c>
      <c r="T37" s="141">
        <v>0</v>
      </c>
      <c r="U37" s="141">
        <v>0</v>
      </c>
      <c r="V37" s="144">
        <v>0</v>
      </c>
      <c r="W37" s="185"/>
      <c r="X37" s="164" t="s">
        <v>2391</v>
      </c>
      <c r="Y37" s="143">
        <v>0</v>
      </c>
      <c r="Z37" s="141">
        <v>0</v>
      </c>
      <c r="AA37" s="141">
        <v>0</v>
      </c>
      <c r="AB37" s="141">
        <v>0</v>
      </c>
      <c r="AC37" s="141">
        <v>0</v>
      </c>
      <c r="AD37" s="141">
        <v>0</v>
      </c>
      <c r="AE37" s="141">
        <v>0</v>
      </c>
      <c r="AF37" s="144">
        <v>0</v>
      </c>
      <c r="AG37" s="143">
        <v>0</v>
      </c>
      <c r="AH37" s="141">
        <v>0</v>
      </c>
      <c r="AI37" s="141">
        <v>0</v>
      </c>
      <c r="AJ37" s="141">
        <v>0</v>
      </c>
      <c r="AK37" s="144">
        <v>0</v>
      </c>
      <c r="AL37" s="185"/>
      <c r="AM37" s="164" t="s">
        <v>2391</v>
      </c>
      <c r="AN37" s="143">
        <v>0</v>
      </c>
      <c r="AO37" s="141">
        <v>0</v>
      </c>
      <c r="AP37" s="141">
        <v>0</v>
      </c>
      <c r="AQ37" s="141">
        <v>0</v>
      </c>
      <c r="AR37" s="141">
        <v>0</v>
      </c>
      <c r="AS37" s="141">
        <v>0</v>
      </c>
      <c r="AT37" s="141">
        <v>0</v>
      </c>
      <c r="AU37" s="144">
        <v>0</v>
      </c>
      <c r="AV37" s="143">
        <v>0</v>
      </c>
      <c r="AW37" s="141">
        <v>0</v>
      </c>
      <c r="AX37" s="141">
        <v>0</v>
      </c>
      <c r="AY37" s="141">
        <v>0</v>
      </c>
      <c r="AZ37" s="144">
        <v>0</v>
      </c>
      <c r="BA37" s="185"/>
      <c r="BB37" s="164" t="s">
        <v>2462</v>
      </c>
      <c r="BC37" s="143">
        <v>0</v>
      </c>
      <c r="BD37" s="141">
        <v>0</v>
      </c>
      <c r="BE37" s="141">
        <v>0</v>
      </c>
      <c r="BF37" s="141">
        <v>0</v>
      </c>
      <c r="BG37" s="141">
        <v>0</v>
      </c>
      <c r="BH37" s="141">
        <v>0</v>
      </c>
      <c r="BI37" s="141">
        <v>0</v>
      </c>
      <c r="BJ37" s="144">
        <v>0</v>
      </c>
      <c r="BK37" s="143">
        <v>0</v>
      </c>
      <c r="BL37" s="141">
        <v>0</v>
      </c>
      <c r="BM37" s="141">
        <v>0</v>
      </c>
      <c r="BN37" s="141">
        <v>0</v>
      </c>
      <c r="BO37" s="144">
        <v>0</v>
      </c>
      <c r="BP37" s="185"/>
      <c r="BQ37" s="164" t="s">
        <v>2441</v>
      </c>
      <c r="BR37" s="143">
        <v>0</v>
      </c>
      <c r="BS37" s="141">
        <v>0</v>
      </c>
      <c r="BT37" s="141">
        <v>0</v>
      </c>
      <c r="BU37" s="141">
        <v>0</v>
      </c>
      <c r="BV37" s="141">
        <v>0</v>
      </c>
      <c r="BW37" s="141">
        <v>0</v>
      </c>
      <c r="BX37" s="141">
        <v>0</v>
      </c>
      <c r="BY37" s="144">
        <v>0</v>
      </c>
      <c r="BZ37" s="143">
        <v>0</v>
      </c>
      <c r="CA37" s="141">
        <v>0</v>
      </c>
      <c r="CB37" s="141">
        <v>0</v>
      </c>
      <c r="CC37" s="141">
        <v>0</v>
      </c>
      <c r="CD37" s="144">
        <v>0</v>
      </c>
      <c r="CE37" s="185"/>
      <c r="CF37" s="164" t="s">
        <v>2441</v>
      </c>
      <c r="CG37" s="143">
        <v>0</v>
      </c>
      <c r="CH37" s="141">
        <v>0</v>
      </c>
      <c r="CI37" s="141">
        <v>0</v>
      </c>
      <c r="CJ37" s="141">
        <v>0</v>
      </c>
      <c r="CK37" s="141">
        <v>0</v>
      </c>
      <c r="CL37" s="141">
        <v>0</v>
      </c>
      <c r="CM37" s="141">
        <v>0</v>
      </c>
      <c r="CN37" s="144">
        <v>0</v>
      </c>
      <c r="CO37" s="143">
        <v>0</v>
      </c>
      <c r="CP37" s="141">
        <v>0</v>
      </c>
      <c r="CQ37" s="141">
        <v>0</v>
      </c>
      <c r="CR37" s="141">
        <v>0</v>
      </c>
      <c r="CS37" s="144">
        <v>0</v>
      </c>
      <c r="CT37" s="185"/>
      <c r="CU37" s="119" t="s">
        <v>2920</v>
      </c>
      <c r="CV37" s="144">
        <v>0</v>
      </c>
    </row>
    <row r="38" spans="1:100" s="98" customFormat="1" ht="15" customHeight="1">
      <c r="A38" s="99"/>
      <c r="B38" s="161"/>
      <c r="C38" s="185"/>
      <c r="D38" s="162" t="s">
        <v>85</v>
      </c>
      <c r="E38" s="162"/>
      <c r="F38" s="162"/>
      <c r="G38" s="720"/>
      <c r="H38" s="163"/>
      <c r="I38" s="164" t="s">
        <v>2391</v>
      </c>
      <c r="J38" s="143">
        <v>0</v>
      </c>
      <c r="K38" s="141">
        <v>0</v>
      </c>
      <c r="L38" s="141">
        <v>0</v>
      </c>
      <c r="M38" s="141">
        <v>0</v>
      </c>
      <c r="N38" s="141">
        <v>0</v>
      </c>
      <c r="O38" s="141">
        <v>0</v>
      </c>
      <c r="P38" s="141">
        <v>0</v>
      </c>
      <c r="Q38" s="144">
        <v>0</v>
      </c>
      <c r="R38" s="143">
        <v>0</v>
      </c>
      <c r="S38" s="141">
        <v>0</v>
      </c>
      <c r="T38" s="141">
        <v>0</v>
      </c>
      <c r="U38" s="141">
        <v>0</v>
      </c>
      <c r="V38" s="144">
        <v>0</v>
      </c>
      <c r="W38" s="185"/>
      <c r="X38" s="164" t="s">
        <v>2391</v>
      </c>
      <c r="Y38" s="143">
        <v>0</v>
      </c>
      <c r="Z38" s="141">
        <v>0</v>
      </c>
      <c r="AA38" s="141">
        <v>0</v>
      </c>
      <c r="AB38" s="141">
        <v>0</v>
      </c>
      <c r="AC38" s="141">
        <v>0</v>
      </c>
      <c r="AD38" s="141">
        <v>0</v>
      </c>
      <c r="AE38" s="141">
        <v>0</v>
      </c>
      <c r="AF38" s="144">
        <v>0</v>
      </c>
      <c r="AG38" s="143">
        <v>0</v>
      </c>
      <c r="AH38" s="141">
        <v>0</v>
      </c>
      <c r="AI38" s="141">
        <v>0</v>
      </c>
      <c r="AJ38" s="141">
        <v>0</v>
      </c>
      <c r="AK38" s="144">
        <v>0</v>
      </c>
      <c r="AL38" s="185"/>
      <c r="AM38" s="164" t="s">
        <v>2391</v>
      </c>
      <c r="AN38" s="143">
        <v>0</v>
      </c>
      <c r="AO38" s="141">
        <v>0</v>
      </c>
      <c r="AP38" s="141">
        <v>0</v>
      </c>
      <c r="AQ38" s="141">
        <v>0</v>
      </c>
      <c r="AR38" s="141">
        <v>0</v>
      </c>
      <c r="AS38" s="141">
        <v>0</v>
      </c>
      <c r="AT38" s="141">
        <v>0</v>
      </c>
      <c r="AU38" s="144">
        <v>0</v>
      </c>
      <c r="AV38" s="143">
        <v>0</v>
      </c>
      <c r="AW38" s="141">
        <v>0</v>
      </c>
      <c r="AX38" s="141">
        <v>0</v>
      </c>
      <c r="AY38" s="141">
        <v>0</v>
      </c>
      <c r="AZ38" s="144">
        <v>0</v>
      </c>
      <c r="BA38" s="185"/>
      <c r="BB38" s="164" t="s">
        <v>2462</v>
      </c>
      <c r="BC38" s="143">
        <v>0</v>
      </c>
      <c r="BD38" s="141">
        <v>0</v>
      </c>
      <c r="BE38" s="141">
        <v>0</v>
      </c>
      <c r="BF38" s="141">
        <v>0</v>
      </c>
      <c r="BG38" s="141">
        <v>0</v>
      </c>
      <c r="BH38" s="141">
        <v>0</v>
      </c>
      <c r="BI38" s="141">
        <v>0</v>
      </c>
      <c r="BJ38" s="144">
        <v>0</v>
      </c>
      <c r="BK38" s="143">
        <v>0</v>
      </c>
      <c r="BL38" s="141">
        <v>0</v>
      </c>
      <c r="BM38" s="141">
        <v>0</v>
      </c>
      <c r="BN38" s="141">
        <v>0</v>
      </c>
      <c r="BO38" s="144">
        <v>0</v>
      </c>
      <c r="BP38" s="185"/>
      <c r="BQ38" s="164" t="s">
        <v>2441</v>
      </c>
      <c r="BR38" s="143">
        <v>0</v>
      </c>
      <c r="BS38" s="141">
        <v>0</v>
      </c>
      <c r="BT38" s="141">
        <v>0</v>
      </c>
      <c r="BU38" s="141">
        <v>0</v>
      </c>
      <c r="BV38" s="141">
        <v>0</v>
      </c>
      <c r="BW38" s="141">
        <v>0</v>
      </c>
      <c r="BX38" s="141">
        <v>0</v>
      </c>
      <c r="BY38" s="144">
        <v>0</v>
      </c>
      <c r="BZ38" s="143">
        <v>0</v>
      </c>
      <c r="CA38" s="141">
        <v>0</v>
      </c>
      <c r="CB38" s="141">
        <v>0</v>
      </c>
      <c r="CC38" s="141">
        <v>0</v>
      </c>
      <c r="CD38" s="144">
        <v>0</v>
      </c>
      <c r="CE38" s="185"/>
      <c r="CF38" s="164" t="s">
        <v>2441</v>
      </c>
      <c r="CG38" s="143">
        <v>0</v>
      </c>
      <c r="CH38" s="141">
        <v>0</v>
      </c>
      <c r="CI38" s="141">
        <v>0</v>
      </c>
      <c r="CJ38" s="141">
        <v>0</v>
      </c>
      <c r="CK38" s="141">
        <v>0</v>
      </c>
      <c r="CL38" s="141">
        <v>0</v>
      </c>
      <c r="CM38" s="141">
        <v>0</v>
      </c>
      <c r="CN38" s="144">
        <v>0</v>
      </c>
      <c r="CO38" s="143">
        <v>0</v>
      </c>
      <c r="CP38" s="141">
        <v>0</v>
      </c>
      <c r="CQ38" s="141">
        <v>0</v>
      </c>
      <c r="CR38" s="141">
        <v>0</v>
      </c>
      <c r="CS38" s="144">
        <v>0</v>
      </c>
      <c r="CT38" s="185"/>
      <c r="CU38" s="119" t="s">
        <v>2920</v>
      </c>
      <c r="CV38" s="144">
        <v>0</v>
      </c>
    </row>
    <row r="39" spans="1:100" s="98" customFormat="1" ht="15" customHeight="1">
      <c r="A39" s="99"/>
      <c r="B39" s="161"/>
      <c r="C39" s="185"/>
      <c r="D39" s="162" t="s">
        <v>85</v>
      </c>
      <c r="E39" s="162"/>
      <c r="F39" s="162"/>
      <c r="G39" s="720"/>
      <c r="H39" s="163"/>
      <c r="I39" s="164" t="s">
        <v>2391</v>
      </c>
      <c r="J39" s="143">
        <v>0</v>
      </c>
      <c r="K39" s="141">
        <v>0</v>
      </c>
      <c r="L39" s="141">
        <v>0</v>
      </c>
      <c r="M39" s="141">
        <v>0</v>
      </c>
      <c r="N39" s="141">
        <v>0</v>
      </c>
      <c r="O39" s="141">
        <v>0</v>
      </c>
      <c r="P39" s="141">
        <v>0</v>
      </c>
      <c r="Q39" s="144">
        <v>0</v>
      </c>
      <c r="R39" s="143">
        <v>0</v>
      </c>
      <c r="S39" s="141">
        <v>0</v>
      </c>
      <c r="T39" s="141">
        <v>0</v>
      </c>
      <c r="U39" s="141">
        <v>0</v>
      </c>
      <c r="V39" s="144">
        <v>0</v>
      </c>
      <c r="W39" s="185"/>
      <c r="X39" s="164" t="s">
        <v>2391</v>
      </c>
      <c r="Y39" s="143">
        <v>0</v>
      </c>
      <c r="Z39" s="141">
        <v>0</v>
      </c>
      <c r="AA39" s="141">
        <v>0</v>
      </c>
      <c r="AB39" s="141">
        <v>0</v>
      </c>
      <c r="AC39" s="141">
        <v>0</v>
      </c>
      <c r="AD39" s="141">
        <v>0</v>
      </c>
      <c r="AE39" s="141">
        <v>0</v>
      </c>
      <c r="AF39" s="144">
        <v>0</v>
      </c>
      <c r="AG39" s="143">
        <v>0</v>
      </c>
      <c r="AH39" s="141">
        <v>0</v>
      </c>
      <c r="AI39" s="141">
        <v>0</v>
      </c>
      <c r="AJ39" s="141">
        <v>0</v>
      </c>
      <c r="AK39" s="144">
        <v>0</v>
      </c>
      <c r="AL39" s="185"/>
      <c r="AM39" s="164" t="s">
        <v>2391</v>
      </c>
      <c r="AN39" s="143">
        <v>0</v>
      </c>
      <c r="AO39" s="141">
        <v>0</v>
      </c>
      <c r="AP39" s="141">
        <v>0</v>
      </c>
      <c r="AQ39" s="141">
        <v>0</v>
      </c>
      <c r="AR39" s="141">
        <v>0</v>
      </c>
      <c r="AS39" s="141">
        <v>0</v>
      </c>
      <c r="AT39" s="141">
        <v>0</v>
      </c>
      <c r="AU39" s="144">
        <v>0</v>
      </c>
      <c r="AV39" s="143">
        <v>0</v>
      </c>
      <c r="AW39" s="141">
        <v>0</v>
      </c>
      <c r="AX39" s="141">
        <v>0</v>
      </c>
      <c r="AY39" s="141">
        <v>0</v>
      </c>
      <c r="AZ39" s="144">
        <v>0</v>
      </c>
      <c r="BA39" s="185"/>
      <c r="BB39" s="164" t="s">
        <v>2462</v>
      </c>
      <c r="BC39" s="143">
        <v>0</v>
      </c>
      <c r="BD39" s="141">
        <v>0</v>
      </c>
      <c r="BE39" s="141">
        <v>0</v>
      </c>
      <c r="BF39" s="141">
        <v>0</v>
      </c>
      <c r="BG39" s="141">
        <v>0</v>
      </c>
      <c r="BH39" s="141">
        <v>0</v>
      </c>
      <c r="BI39" s="141">
        <v>0</v>
      </c>
      <c r="BJ39" s="144">
        <v>0</v>
      </c>
      <c r="BK39" s="143">
        <v>0</v>
      </c>
      <c r="BL39" s="141">
        <v>0</v>
      </c>
      <c r="BM39" s="141">
        <v>0</v>
      </c>
      <c r="BN39" s="141">
        <v>0</v>
      </c>
      <c r="BO39" s="144">
        <v>0</v>
      </c>
      <c r="BP39" s="185"/>
      <c r="BQ39" s="164" t="s">
        <v>2441</v>
      </c>
      <c r="BR39" s="143">
        <v>0</v>
      </c>
      <c r="BS39" s="141">
        <v>0</v>
      </c>
      <c r="BT39" s="141">
        <v>0</v>
      </c>
      <c r="BU39" s="141">
        <v>0</v>
      </c>
      <c r="BV39" s="141">
        <v>0</v>
      </c>
      <c r="BW39" s="141">
        <v>0</v>
      </c>
      <c r="BX39" s="141">
        <v>0</v>
      </c>
      <c r="BY39" s="144">
        <v>0</v>
      </c>
      <c r="BZ39" s="143">
        <v>0</v>
      </c>
      <c r="CA39" s="141">
        <v>0</v>
      </c>
      <c r="CB39" s="141">
        <v>0</v>
      </c>
      <c r="CC39" s="141">
        <v>0</v>
      </c>
      <c r="CD39" s="144">
        <v>0</v>
      </c>
      <c r="CE39" s="185"/>
      <c r="CF39" s="164" t="s">
        <v>2441</v>
      </c>
      <c r="CG39" s="143">
        <v>0</v>
      </c>
      <c r="CH39" s="141">
        <v>0</v>
      </c>
      <c r="CI39" s="141">
        <v>0</v>
      </c>
      <c r="CJ39" s="141">
        <v>0</v>
      </c>
      <c r="CK39" s="141">
        <v>0</v>
      </c>
      <c r="CL39" s="141">
        <v>0</v>
      </c>
      <c r="CM39" s="141">
        <v>0</v>
      </c>
      <c r="CN39" s="144">
        <v>0</v>
      </c>
      <c r="CO39" s="143">
        <v>0</v>
      </c>
      <c r="CP39" s="141">
        <v>0</v>
      </c>
      <c r="CQ39" s="141">
        <v>0</v>
      </c>
      <c r="CR39" s="141">
        <v>0</v>
      </c>
      <c r="CS39" s="144">
        <v>0</v>
      </c>
      <c r="CT39" s="185"/>
      <c r="CU39" s="119" t="s">
        <v>2920</v>
      </c>
      <c r="CV39" s="144">
        <v>0</v>
      </c>
    </row>
    <row r="40" spans="1:100" s="98" customFormat="1" ht="15" customHeight="1">
      <c r="A40" s="99"/>
      <c r="B40" s="161"/>
      <c r="C40" s="185"/>
      <c r="D40" s="162" t="s">
        <v>85</v>
      </c>
      <c r="E40" s="162"/>
      <c r="F40" s="162"/>
      <c r="G40" s="720"/>
      <c r="H40" s="163"/>
      <c r="I40" s="164" t="s">
        <v>2391</v>
      </c>
      <c r="J40" s="143">
        <v>0</v>
      </c>
      <c r="K40" s="141">
        <v>0</v>
      </c>
      <c r="L40" s="141">
        <v>0</v>
      </c>
      <c r="M40" s="141">
        <v>0</v>
      </c>
      <c r="N40" s="141">
        <v>0</v>
      </c>
      <c r="O40" s="141">
        <v>0</v>
      </c>
      <c r="P40" s="141">
        <v>0</v>
      </c>
      <c r="Q40" s="144">
        <v>0</v>
      </c>
      <c r="R40" s="143">
        <v>0</v>
      </c>
      <c r="S40" s="141">
        <v>0</v>
      </c>
      <c r="T40" s="141">
        <v>0</v>
      </c>
      <c r="U40" s="141">
        <v>0</v>
      </c>
      <c r="V40" s="144">
        <v>0</v>
      </c>
      <c r="W40" s="185"/>
      <c r="X40" s="164" t="s">
        <v>2391</v>
      </c>
      <c r="Y40" s="143">
        <v>0</v>
      </c>
      <c r="Z40" s="141">
        <v>0</v>
      </c>
      <c r="AA40" s="141">
        <v>0</v>
      </c>
      <c r="AB40" s="141">
        <v>0</v>
      </c>
      <c r="AC40" s="141">
        <v>0</v>
      </c>
      <c r="AD40" s="141">
        <v>0</v>
      </c>
      <c r="AE40" s="141">
        <v>0</v>
      </c>
      <c r="AF40" s="144">
        <v>0</v>
      </c>
      <c r="AG40" s="143">
        <v>0</v>
      </c>
      <c r="AH40" s="141">
        <v>0</v>
      </c>
      <c r="AI40" s="141">
        <v>0</v>
      </c>
      <c r="AJ40" s="141">
        <v>0</v>
      </c>
      <c r="AK40" s="144">
        <v>0</v>
      </c>
      <c r="AL40" s="185"/>
      <c r="AM40" s="164" t="s">
        <v>2391</v>
      </c>
      <c r="AN40" s="143">
        <v>0</v>
      </c>
      <c r="AO40" s="141">
        <v>0</v>
      </c>
      <c r="AP40" s="141">
        <v>0</v>
      </c>
      <c r="AQ40" s="141">
        <v>0</v>
      </c>
      <c r="AR40" s="141">
        <v>0</v>
      </c>
      <c r="AS40" s="141">
        <v>0</v>
      </c>
      <c r="AT40" s="141">
        <v>0</v>
      </c>
      <c r="AU40" s="144">
        <v>0</v>
      </c>
      <c r="AV40" s="143">
        <v>0</v>
      </c>
      <c r="AW40" s="141">
        <v>0</v>
      </c>
      <c r="AX40" s="141">
        <v>0</v>
      </c>
      <c r="AY40" s="141">
        <v>0</v>
      </c>
      <c r="AZ40" s="144">
        <v>0</v>
      </c>
      <c r="BA40" s="185"/>
      <c r="BB40" s="164" t="s">
        <v>2462</v>
      </c>
      <c r="BC40" s="143">
        <v>0</v>
      </c>
      <c r="BD40" s="141">
        <v>0</v>
      </c>
      <c r="BE40" s="141">
        <v>0</v>
      </c>
      <c r="BF40" s="141">
        <v>0</v>
      </c>
      <c r="BG40" s="141">
        <v>0</v>
      </c>
      <c r="BH40" s="141">
        <v>0</v>
      </c>
      <c r="BI40" s="141">
        <v>0</v>
      </c>
      <c r="BJ40" s="144">
        <v>0</v>
      </c>
      <c r="BK40" s="143">
        <v>0</v>
      </c>
      <c r="BL40" s="141">
        <v>0</v>
      </c>
      <c r="BM40" s="141">
        <v>0</v>
      </c>
      <c r="BN40" s="141">
        <v>0</v>
      </c>
      <c r="BO40" s="144">
        <v>0</v>
      </c>
      <c r="BP40" s="185"/>
      <c r="BQ40" s="164" t="s">
        <v>2441</v>
      </c>
      <c r="BR40" s="143">
        <v>0</v>
      </c>
      <c r="BS40" s="141">
        <v>0</v>
      </c>
      <c r="BT40" s="141">
        <v>0</v>
      </c>
      <c r="BU40" s="141">
        <v>0</v>
      </c>
      <c r="BV40" s="141">
        <v>0</v>
      </c>
      <c r="BW40" s="141">
        <v>0</v>
      </c>
      <c r="BX40" s="141">
        <v>0</v>
      </c>
      <c r="BY40" s="144">
        <v>0</v>
      </c>
      <c r="BZ40" s="143">
        <v>0</v>
      </c>
      <c r="CA40" s="141">
        <v>0</v>
      </c>
      <c r="CB40" s="141">
        <v>0</v>
      </c>
      <c r="CC40" s="141">
        <v>0</v>
      </c>
      <c r="CD40" s="144">
        <v>0</v>
      </c>
      <c r="CE40" s="185"/>
      <c r="CF40" s="164" t="s">
        <v>2441</v>
      </c>
      <c r="CG40" s="143">
        <v>0</v>
      </c>
      <c r="CH40" s="141">
        <v>0</v>
      </c>
      <c r="CI40" s="141">
        <v>0</v>
      </c>
      <c r="CJ40" s="141">
        <v>0</v>
      </c>
      <c r="CK40" s="141">
        <v>0</v>
      </c>
      <c r="CL40" s="141">
        <v>0</v>
      </c>
      <c r="CM40" s="141">
        <v>0</v>
      </c>
      <c r="CN40" s="144">
        <v>0</v>
      </c>
      <c r="CO40" s="143">
        <v>0</v>
      </c>
      <c r="CP40" s="141">
        <v>0</v>
      </c>
      <c r="CQ40" s="141">
        <v>0</v>
      </c>
      <c r="CR40" s="141">
        <v>0</v>
      </c>
      <c r="CS40" s="144">
        <v>0</v>
      </c>
      <c r="CT40" s="185"/>
      <c r="CU40" s="119" t="s">
        <v>2920</v>
      </c>
      <c r="CV40" s="144">
        <v>0</v>
      </c>
    </row>
    <row r="41" spans="1:100" s="98" customFormat="1" ht="15" customHeight="1">
      <c r="A41" s="99"/>
      <c r="B41" s="161"/>
      <c r="C41" s="185"/>
      <c r="D41" s="162" t="s">
        <v>85</v>
      </c>
      <c r="E41" s="162"/>
      <c r="F41" s="162"/>
      <c r="G41" s="720"/>
      <c r="H41" s="163"/>
      <c r="I41" s="164" t="s">
        <v>2391</v>
      </c>
      <c r="J41" s="143">
        <v>0</v>
      </c>
      <c r="K41" s="141">
        <v>0</v>
      </c>
      <c r="L41" s="141">
        <v>0</v>
      </c>
      <c r="M41" s="141">
        <v>0</v>
      </c>
      <c r="N41" s="141">
        <v>0</v>
      </c>
      <c r="O41" s="141">
        <v>0</v>
      </c>
      <c r="P41" s="141">
        <v>0</v>
      </c>
      <c r="Q41" s="144">
        <v>0</v>
      </c>
      <c r="R41" s="143">
        <v>0</v>
      </c>
      <c r="S41" s="141">
        <v>0</v>
      </c>
      <c r="T41" s="141">
        <v>0</v>
      </c>
      <c r="U41" s="141">
        <v>0</v>
      </c>
      <c r="V41" s="144">
        <v>0</v>
      </c>
      <c r="W41" s="185"/>
      <c r="X41" s="164" t="s">
        <v>2391</v>
      </c>
      <c r="Y41" s="143">
        <v>0</v>
      </c>
      <c r="Z41" s="141">
        <v>0</v>
      </c>
      <c r="AA41" s="141">
        <v>0</v>
      </c>
      <c r="AB41" s="141">
        <v>0</v>
      </c>
      <c r="AC41" s="141">
        <v>0</v>
      </c>
      <c r="AD41" s="141">
        <v>0</v>
      </c>
      <c r="AE41" s="141">
        <v>0</v>
      </c>
      <c r="AF41" s="144">
        <v>0</v>
      </c>
      <c r="AG41" s="143">
        <v>0</v>
      </c>
      <c r="AH41" s="141">
        <v>0</v>
      </c>
      <c r="AI41" s="141">
        <v>0</v>
      </c>
      <c r="AJ41" s="141">
        <v>0</v>
      </c>
      <c r="AK41" s="144">
        <v>0</v>
      </c>
      <c r="AL41" s="185"/>
      <c r="AM41" s="164" t="s">
        <v>2391</v>
      </c>
      <c r="AN41" s="143">
        <v>0</v>
      </c>
      <c r="AO41" s="141">
        <v>0</v>
      </c>
      <c r="AP41" s="141">
        <v>0</v>
      </c>
      <c r="AQ41" s="141">
        <v>0</v>
      </c>
      <c r="AR41" s="141">
        <v>0</v>
      </c>
      <c r="AS41" s="141">
        <v>0</v>
      </c>
      <c r="AT41" s="141">
        <v>0</v>
      </c>
      <c r="AU41" s="144">
        <v>0</v>
      </c>
      <c r="AV41" s="143">
        <v>0</v>
      </c>
      <c r="AW41" s="141">
        <v>0</v>
      </c>
      <c r="AX41" s="141">
        <v>0</v>
      </c>
      <c r="AY41" s="141">
        <v>0</v>
      </c>
      <c r="AZ41" s="144">
        <v>0</v>
      </c>
      <c r="BA41" s="185"/>
      <c r="BB41" s="164" t="s">
        <v>2462</v>
      </c>
      <c r="BC41" s="143">
        <v>0</v>
      </c>
      <c r="BD41" s="141">
        <v>0</v>
      </c>
      <c r="BE41" s="141">
        <v>0</v>
      </c>
      <c r="BF41" s="141">
        <v>0</v>
      </c>
      <c r="BG41" s="141">
        <v>0</v>
      </c>
      <c r="BH41" s="141">
        <v>0</v>
      </c>
      <c r="BI41" s="141">
        <v>0</v>
      </c>
      <c r="BJ41" s="144">
        <v>0</v>
      </c>
      <c r="BK41" s="143">
        <v>0</v>
      </c>
      <c r="BL41" s="141">
        <v>0</v>
      </c>
      <c r="BM41" s="141">
        <v>0</v>
      </c>
      <c r="BN41" s="141">
        <v>0</v>
      </c>
      <c r="BO41" s="144">
        <v>0</v>
      </c>
      <c r="BP41" s="185"/>
      <c r="BQ41" s="164" t="s">
        <v>2441</v>
      </c>
      <c r="BR41" s="143">
        <v>0</v>
      </c>
      <c r="BS41" s="141">
        <v>0</v>
      </c>
      <c r="BT41" s="141">
        <v>0</v>
      </c>
      <c r="BU41" s="141">
        <v>0</v>
      </c>
      <c r="BV41" s="141">
        <v>0</v>
      </c>
      <c r="BW41" s="141">
        <v>0</v>
      </c>
      <c r="BX41" s="141">
        <v>0</v>
      </c>
      <c r="BY41" s="144">
        <v>0</v>
      </c>
      <c r="BZ41" s="143">
        <v>0</v>
      </c>
      <c r="CA41" s="141">
        <v>0</v>
      </c>
      <c r="CB41" s="141">
        <v>0</v>
      </c>
      <c r="CC41" s="141">
        <v>0</v>
      </c>
      <c r="CD41" s="144">
        <v>0</v>
      </c>
      <c r="CE41" s="185"/>
      <c r="CF41" s="164" t="s">
        <v>2441</v>
      </c>
      <c r="CG41" s="143">
        <v>0</v>
      </c>
      <c r="CH41" s="141">
        <v>0</v>
      </c>
      <c r="CI41" s="141">
        <v>0</v>
      </c>
      <c r="CJ41" s="141">
        <v>0</v>
      </c>
      <c r="CK41" s="141">
        <v>0</v>
      </c>
      <c r="CL41" s="141">
        <v>0</v>
      </c>
      <c r="CM41" s="141">
        <v>0</v>
      </c>
      <c r="CN41" s="144">
        <v>0</v>
      </c>
      <c r="CO41" s="143">
        <v>0</v>
      </c>
      <c r="CP41" s="141">
        <v>0</v>
      </c>
      <c r="CQ41" s="141">
        <v>0</v>
      </c>
      <c r="CR41" s="141">
        <v>0</v>
      </c>
      <c r="CS41" s="144">
        <v>0</v>
      </c>
      <c r="CT41" s="185"/>
      <c r="CU41" s="119" t="s">
        <v>2920</v>
      </c>
      <c r="CV41" s="144">
        <v>0</v>
      </c>
    </row>
    <row r="42" spans="1:100" s="98" customFormat="1" ht="15" customHeight="1">
      <c r="A42" s="99"/>
      <c r="B42" s="181"/>
      <c r="C42" s="185"/>
      <c r="D42" s="182"/>
      <c r="E42" s="182"/>
      <c r="F42" s="182"/>
      <c r="G42" s="184"/>
      <c r="H42" s="184"/>
      <c r="I42" s="117"/>
      <c r="J42" s="713"/>
      <c r="K42" s="714"/>
      <c r="L42" s="714"/>
      <c r="M42" s="714"/>
      <c r="N42" s="714"/>
      <c r="O42" s="714"/>
      <c r="P42" s="714"/>
      <c r="Q42" s="715"/>
      <c r="R42" s="714"/>
      <c r="S42" s="714"/>
      <c r="T42" s="714"/>
      <c r="U42" s="714"/>
      <c r="V42" s="715"/>
      <c r="W42" s="185"/>
      <c r="X42" s="117"/>
      <c r="Y42" s="713"/>
      <c r="Z42" s="714"/>
      <c r="AA42" s="714"/>
      <c r="AB42" s="714"/>
      <c r="AC42" s="714"/>
      <c r="AD42" s="714"/>
      <c r="AE42" s="714"/>
      <c r="AF42" s="715"/>
      <c r="AG42" s="714"/>
      <c r="AH42" s="714"/>
      <c r="AI42" s="714"/>
      <c r="AJ42" s="714"/>
      <c r="AK42" s="715"/>
      <c r="AL42" s="185"/>
      <c r="AM42" s="117"/>
      <c r="AN42" s="713"/>
      <c r="AO42" s="714"/>
      <c r="AP42" s="714"/>
      <c r="AQ42" s="714"/>
      <c r="AR42" s="714"/>
      <c r="AS42" s="714"/>
      <c r="AT42" s="714"/>
      <c r="AU42" s="715"/>
      <c r="AV42" s="714"/>
      <c r="AW42" s="714"/>
      <c r="AX42" s="714"/>
      <c r="AY42" s="714"/>
      <c r="AZ42" s="71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229"/>
      <c r="CV42" s="215"/>
    </row>
    <row r="43" spans="1:100" s="98" customFormat="1" ht="15" customHeight="1" thickBot="1">
      <c r="A43" s="99"/>
      <c r="B43" s="131" t="s">
        <v>1701</v>
      </c>
      <c r="C43" s="132"/>
      <c r="D43" s="132"/>
      <c r="E43" s="132"/>
      <c r="F43" s="132"/>
      <c r="G43" s="145"/>
      <c r="H43" s="133"/>
      <c r="I43" s="195" t="s">
        <v>2391</v>
      </c>
      <c r="J43" s="717">
        <f>SUM(J12:J41)</f>
        <v>46.802597092227117</v>
      </c>
      <c r="K43" s="718">
        <f t="shared" ref="K43:V43" si="0">SUM(K12:K41)</f>
        <v>47.072084551134473</v>
      </c>
      <c r="L43" s="718">
        <f t="shared" si="0"/>
        <v>46.099157433828715</v>
      </c>
      <c r="M43" s="718">
        <f t="shared" si="0"/>
        <v>46.194624589525411</v>
      </c>
      <c r="N43" s="718">
        <f t="shared" si="0"/>
        <v>44.7468920866826</v>
      </c>
      <c r="O43" s="718">
        <f t="shared" si="0"/>
        <v>45.306004027818275</v>
      </c>
      <c r="P43" s="718">
        <f t="shared" si="0"/>
        <v>43.906335607038415</v>
      </c>
      <c r="Q43" s="719">
        <f t="shared" si="0"/>
        <v>43.467070061136496</v>
      </c>
      <c r="R43" s="717">
        <f t="shared" si="0"/>
        <v>43.571584842935295</v>
      </c>
      <c r="S43" s="718">
        <f t="shared" si="0"/>
        <v>43.648330170370066</v>
      </c>
      <c r="T43" s="718">
        <f t="shared" si="0"/>
        <v>43.56232835814729</v>
      </c>
      <c r="U43" s="718">
        <f t="shared" si="0"/>
        <v>43.59408112381756</v>
      </c>
      <c r="V43" s="719">
        <f t="shared" si="0"/>
        <v>43.601579884111629</v>
      </c>
      <c r="W43" s="192"/>
      <c r="X43" s="195" t="s">
        <v>2391</v>
      </c>
      <c r="Y43" s="717">
        <f>SUM(Y12:Y41)</f>
        <v>46.802597092227117</v>
      </c>
      <c r="Z43" s="718">
        <f t="shared" ref="Z43:AK43" si="1">SUM(Z12:Z41)</f>
        <v>47.07</v>
      </c>
      <c r="AA43" s="718">
        <f t="shared" si="1"/>
        <v>46.099157433828715</v>
      </c>
      <c r="AB43" s="718">
        <f t="shared" si="1"/>
        <v>46.194624589525411</v>
      </c>
      <c r="AC43" s="718">
        <f t="shared" si="1"/>
        <v>44.7468920866826</v>
      </c>
      <c r="AD43" s="718">
        <f t="shared" si="1"/>
        <v>45.306004027818275</v>
      </c>
      <c r="AE43" s="718">
        <f t="shared" si="1"/>
        <v>43.906335607038415</v>
      </c>
      <c r="AF43" s="719">
        <f t="shared" si="1"/>
        <v>43.467070061136496</v>
      </c>
      <c r="AG43" s="717">
        <f t="shared" si="1"/>
        <v>43.571584842935295</v>
      </c>
      <c r="AH43" s="718">
        <f t="shared" si="1"/>
        <v>43.648330170370066</v>
      </c>
      <c r="AI43" s="718">
        <f t="shared" si="1"/>
        <v>43.56232835814729</v>
      </c>
      <c r="AJ43" s="718">
        <f t="shared" si="1"/>
        <v>43.59408112381756</v>
      </c>
      <c r="AK43" s="719">
        <f t="shared" si="1"/>
        <v>43.601579884111629</v>
      </c>
      <c r="AL43" s="192"/>
      <c r="AM43" s="195" t="s">
        <v>2391</v>
      </c>
      <c r="AN43" s="717">
        <f>SUM(AN12:AN41)</f>
        <v>5.4223452086285402</v>
      </c>
      <c r="AO43" s="718">
        <f t="shared" ref="AO43:AZ43" si="2">SUM(AO12:AO41)</f>
        <v>5.3759999999999994</v>
      </c>
      <c r="AP43" s="718">
        <f t="shared" si="2"/>
        <v>5.2190845391386098</v>
      </c>
      <c r="AQ43" s="718">
        <f t="shared" si="2"/>
        <v>5.0818764019343492</v>
      </c>
      <c r="AR43" s="718">
        <f t="shared" si="2"/>
        <v>5.0868075634260084</v>
      </c>
      <c r="AS43" s="718">
        <f t="shared" si="2"/>
        <v>5.5398771933451343</v>
      </c>
      <c r="AT43" s="718">
        <f t="shared" si="2"/>
        <v>5.2361870529018306</v>
      </c>
      <c r="AU43" s="719">
        <f t="shared" si="2"/>
        <v>5.2876239365576572</v>
      </c>
      <c r="AV43" s="717">
        <f t="shared" si="2"/>
        <v>5.3545627276015404</v>
      </c>
      <c r="AW43" s="718">
        <f t="shared" si="2"/>
        <v>5.2927912390203433</v>
      </c>
      <c r="AX43" s="718">
        <f t="shared" si="2"/>
        <v>5.3116593010598452</v>
      </c>
      <c r="AY43" s="718">
        <f t="shared" si="2"/>
        <v>5.319671089227243</v>
      </c>
      <c r="AZ43" s="719">
        <f t="shared" si="2"/>
        <v>5.3080405431024769</v>
      </c>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217"/>
    </row>
    <row r="44" spans="1:100" s="99" customFormat="1" ht="15" customHeight="1" thickBot="1">
      <c r="B44" s="150"/>
      <c r="C44" s="150"/>
      <c r="D44" s="150"/>
      <c r="E44" s="150"/>
      <c r="F44" s="150"/>
      <c r="G44" s="97"/>
      <c r="H44" s="97"/>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V44" s="98"/>
    </row>
    <row r="45" spans="1:100" s="100" customFormat="1" ht="30" customHeight="1" thickBot="1">
      <c r="A45" s="89"/>
      <c r="B45" s="621" t="s">
        <v>1826</v>
      </c>
      <c r="C45" s="102"/>
      <c r="D45" s="102"/>
      <c r="E45" s="102"/>
      <c r="F45" s="102"/>
      <c r="G45" s="103"/>
      <c r="H45" s="103"/>
      <c r="I45" s="105" t="s">
        <v>2948</v>
      </c>
      <c r="J45" s="106"/>
      <c r="K45" s="106"/>
      <c r="L45" s="106"/>
      <c r="M45" s="106"/>
      <c r="N45" s="106"/>
      <c r="O45" s="106"/>
      <c r="P45" s="106"/>
      <c r="Q45" s="106"/>
      <c r="R45" s="105"/>
      <c r="S45" s="105"/>
      <c r="T45" s="105"/>
      <c r="U45" s="105"/>
      <c r="V45" s="105"/>
      <c r="W45" s="103"/>
      <c r="X45" s="105" t="s">
        <v>2949</v>
      </c>
      <c r="Y45" s="106"/>
      <c r="Z45" s="106"/>
      <c r="AA45" s="106"/>
      <c r="AB45" s="106"/>
      <c r="AC45" s="106"/>
      <c r="AD45" s="106"/>
      <c r="AE45" s="106"/>
      <c r="AF45" s="106"/>
      <c r="AG45" s="105"/>
      <c r="AH45" s="105"/>
      <c r="AI45" s="105"/>
      <c r="AJ45" s="105"/>
      <c r="AK45" s="105"/>
    </row>
    <row r="46" spans="1:100" s="157" customFormat="1" ht="30" customHeight="1">
      <c r="A46" s="99"/>
      <c r="B46" s="109"/>
      <c r="C46" s="110"/>
      <c r="D46" s="110"/>
      <c r="E46" s="110"/>
      <c r="F46" s="110"/>
      <c r="G46" s="111"/>
      <c r="H46" s="111"/>
      <c r="I46" s="117"/>
      <c r="J46" s="695" t="s">
        <v>1666</v>
      </c>
      <c r="K46" s="152"/>
      <c r="L46" s="152"/>
      <c r="M46" s="152"/>
      <c r="N46" s="152"/>
      <c r="O46" s="152"/>
      <c r="P46" s="152"/>
      <c r="Q46" s="153"/>
      <c r="R46" s="696" t="s">
        <v>2</v>
      </c>
      <c r="S46" s="155"/>
      <c r="T46" s="155"/>
      <c r="U46" s="155"/>
      <c r="V46" s="156"/>
      <c r="W46" s="222"/>
      <c r="X46" s="117"/>
      <c r="Y46" s="695" t="s">
        <v>1666</v>
      </c>
      <c r="Z46" s="152"/>
      <c r="AA46" s="152"/>
      <c r="AB46" s="152"/>
      <c r="AC46" s="152"/>
      <c r="AD46" s="152"/>
      <c r="AE46" s="152"/>
      <c r="AF46" s="153"/>
      <c r="AG46" s="696" t="s">
        <v>2</v>
      </c>
      <c r="AH46" s="155"/>
      <c r="AI46" s="155"/>
      <c r="AJ46" s="155"/>
      <c r="AK46" s="156"/>
    </row>
    <row r="47" spans="1:100" s="98" customFormat="1" ht="15" customHeight="1">
      <c r="A47" s="99"/>
      <c r="B47" s="115"/>
      <c r="C47" s="116"/>
      <c r="D47" s="116"/>
      <c r="E47" s="116"/>
      <c r="F47" s="116"/>
      <c r="G47" s="117"/>
      <c r="H47" s="117"/>
      <c r="I47" s="119" t="s">
        <v>1667</v>
      </c>
      <c r="J47" s="158" t="s">
        <v>453</v>
      </c>
      <c r="K47" s="137" t="s">
        <v>455</v>
      </c>
      <c r="L47" s="137" t="s">
        <v>457</v>
      </c>
      <c r="M47" s="137" t="s">
        <v>459</v>
      </c>
      <c r="N47" s="137" t="s">
        <v>461</v>
      </c>
      <c r="O47" s="137" t="s">
        <v>463</v>
      </c>
      <c r="P47" s="137" t="s">
        <v>465</v>
      </c>
      <c r="Q47" s="138" t="s">
        <v>467</v>
      </c>
      <c r="R47" s="120" t="s">
        <v>469</v>
      </c>
      <c r="S47" s="121" t="s">
        <v>471</v>
      </c>
      <c r="T47" s="121" t="s">
        <v>473</v>
      </c>
      <c r="U47" s="121" t="s">
        <v>475</v>
      </c>
      <c r="V47" s="122" t="s">
        <v>477</v>
      </c>
      <c r="W47" s="185"/>
      <c r="X47" s="119" t="s">
        <v>1667</v>
      </c>
      <c r="Y47" s="158" t="s">
        <v>453</v>
      </c>
      <c r="Z47" s="137" t="s">
        <v>455</v>
      </c>
      <c r="AA47" s="137" t="s">
        <v>457</v>
      </c>
      <c r="AB47" s="137" t="s">
        <v>459</v>
      </c>
      <c r="AC47" s="137" t="s">
        <v>461</v>
      </c>
      <c r="AD47" s="137" t="s">
        <v>463</v>
      </c>
      <c r="AE47" s="137" t="s">
        <v>465</v>
      </c>
      <c r="AF47" s="138" t="s">
        <v>467</v>
      </c>
      <c r="AG47" s="120" t="s">
        <v>469</v>
      </c>
      <c r="AH47" s="121" t="s">
        <v>471</v>
      </c>
      <c r="AI47" s="121" t="s">
        <v>473</v>
      </c>
      <c r="AJ47" s="121" t="s">
        <v>475</v>
      </c>
      <c r="AK47" s="122" t="s">
        <v>477</v>
      </c>
    </row>
    <row r="48" spans="1:100" s="98" customFormat="1" ht="15" customHeight="1">
      <c r="A48" s="99"/>
      <c r="B48" s="161"/>
      <c r="C48" s="180" t="s">
        <v>2917</v>
      </c>
      <c r="D48" s="162"/>
      <c r="E48" s="162"/>
      <c r="F48" s="162"/>
      <c r="G48" s="163"/>
      <c r="H48" s="163"/>
      <c r="I48" s="117"/>
      <c r="J48" s="159"/>
      <c r="K48" s="117"/>
      <c r="L48" s="117"/>
      <c r="M48" s="117"/>
      <c r="N48" s="117"/>
      <c r="O48" s="117"/>
      <c r="P48" s="117"/>
      <c r="Q48" s="160"/>
      <c r="R48" s="159"/>
      <c r="S48" s="117"/>
      <c r="T48" s="117"/>
      <c r="U48" s="117"/>
      <c r="V48" s="160"/>
      <c r="W48" s="185"/>
      <c r="X48" s="117"/>
      <c r="Y48" s="159"/>
      <c r="Z48" s="117"/>
      <c r="AA48" s="117"/>
      <c r="AB48" s="117"/>
      <c r="AC48" s="117"/>
      <c r="AD48" s="117"/>
      <c r="AE48" s="117"/>
      <c r="AF48" s="160"/>
      <c r="AG48" s="159"/>
      <c r="AH48" s="117"/>
      <c r="AI48" s="117"/>
      <c r="AJ48" s="117"/>
      <c r="AK48" s="160"/>
    </row>
    <row r="49" spans="1:37" s="98" customFormat="1" ht="15" customHeight="1">
      <c r="A49" s="99"/>
      <c r="B49" s="161"/>
      <c r="C49" s="185"/>
      <c r="D49" s="162" t="s">
        <v>85</v>
      </c>
      <c r="E49" s="162"/>
      <c r="F49" s="162"/>
      <c r="G49" s="720" t="s">
        <v>2921</v>
      </c>
      <c r="H49" s="163"/>
      <c r="I49" s="164" t="s">
        <v>2391</v>
      </c>
      <c r="J49" s="143">
        <v>2.7794774312773081</v>
      </c>
      <c r="K49" s="141">
        <v>2.8192975554512945</v>
      </c>
      <c r="L49" s="141">
        <v>2.6969484159764945</v>
      </c>
      <c r="M49" s="141">
        <v>2.5615112391602701</v>
      </c>
      <c r="N49" s="141">
        <v>2.568739109474691</v>
      </c>
      <c r="O49" s="141">
        <v>2.6760405525309765</v>
      </c>
      <c r="P49" s="141">
        <f>(O49+N49+M49)/3</f>
        <v>2.6020969670553122</v>
      </c>
      <c r="Q49" s="144">
        <f t="shared" ref="Q49:V52" si="3">(P49+O49+N49)/3</f>
        <v>2.6156255430203266</v>
      </c>
      <c r="R49" s="143">
        <f t="shared" si="3"/>
        <v>2.6312543542022051</v>
      </c>
      <c r="S49" s="141">
        <f t="shared" si="3"/>
        <v>2.6163256214259483</v>
      </c>
      <c r="T49" s="141">
        <f t="shared" si="3"/>
        <v>2.6210685062161598</v>
      </c>
      <c r="U49" s="141">
        <f t="shared" si="3"/>
        <v>2.6228828272814382</v>
      </c>
      <c r="V49" s="144">
        <f t="shared" si="3"/>
        <v>2.6200923183078491</v>
      </c>
      <c r="W49" s="185"/>
      <c r="X49" s="164" t="s">
        <v>2391</v>
      </c>
      <c r="Y49" s="143">
        <v>0.59383999999999992</v>
      </c>
      <c r="Z49" s="141">
        <v>0.59254000000000007</v>
      </c>
      <c r="AA49" s="141">
        <v>0.58789999999999998</v>
      </c>
      <c r="AB49" s="141">
        <v>0.5706</v>
      </c>
      <c r="AC49" s="141">
        <v>0.57050000000000001</v>
      </c>
      <c r="AD49" s="141">
        <v>0.56689999999999996</v>
      </c>
      <c r="AE49" s="141">
        <v>0.56933333333333336</v>
      </c>
      <c r="AF49" s="144">
        <v>0.56891111111111103</v>
      </c>
      <c r="AG49" s="143">
        <v>0.56838148148148149</v>
      </c>
      <c r="AH49" s="141">
        <v>0.56887530864197533</v>
      </c>
      <c r="AI49" s="141">
        <v>0.56872263374485588</v>
      </c>
      <c r="AJ49" s="141">
        <v>0.56865980795610416</v>
      </c>
      <c r="AK49" s="144">
        <v>0.56875258344764512</v>
      </c>
    </row>
    <row r="50" spans="1:37" s="98" customFormat="1" ht="15" customHeight="1">
      <c r="A50" s="99"/>
      <c r="B50" s="161"/>
      <c r="C50" s="185"/>
      <c r="D50" s="162" t="s">
        <v>85</v>
      </c>
      <c r="E50" s="162"/>
      <c r="F50" s="162"/>
      <c r="G50" s="720" t="s">
        <v>2933</v>
      </c>
      <c r="H50" s="163"/>
      <c r="I50" s="164" t="s">
        <v>2391</v>
      </c>
      <c r="J50" s="143">
        <v>0.36448622887229298</v>
      </c>
      <c r="K50" s="141">
        <v>0.36433657472776604</v>
      </c>
      <c r="L50" s="141">
        <v>0.25513786890806989</v>
      </c>
      <c r="M50" s="141">
        <v>0.29446953316294211</v>
      </c>
      <c r="N50" s="141">
        <v>0.27271829553581517</v>
      </c>
      <c r="O50" s="141">
        <v>0.28683329699144</v>
      </c>
      <c r="P50" s="141">
        <f>(O50+N50+M50)/3</f>
        <v>0.28467370856339907</v>
      </c>
      <c r="Q50" s="144">
        <f t="shared" si="3"/>
        <v>0.28140843369688473</v>
      </c>
      <c r="R50" s="143">
        <f t="shared" si="3"/>
        <v>0.28430514641724125</v>
      </c>
      <c r="S50" s="141">
        <f t="shared" si="3"/>
        <v>0.283462429559175</v>
      </c>
      <c r="T50" s="141">
        <f t="shared" si="3"/>
        <v>0.28305866989110035</v>
      </c>
      <c r="U50" s="141">
        <f t="shared" si="3"/>
        <v>0.28360874862250557</v>
      </c>
      <c r="V50" s="144">
        <f t="shared" si="3"/>
        <v>0.28337661602426029</v>
      </c>
      <c r="W50" s="185"/>
      <c r="X50" s="164" t="s">
        <v>2391</v>
      </c>
      <c r="Y50" s="143">
        <v>6.5699999999999995E-2</v>
      </c>
      <c r="Z50" s="141">
        <v>6.6199999999999981E-2</v>
      </c>
      <c r="AA50" s="141">
        <v>7.4100000000000027E-2</v>
      </c>
      <c r="AB50" s="141">
        <v>6.4000000000000001E-2</v>
      </c>
      <c r="AC50" s="141">
        <v>6.4700000000000008E-2</v>
      </c>
      <c r="AD50" s="141">
        <v>6.0700000000000046E-2</v>
      </c>
      <c r="AE50" s="141">
        <v>6.3133333333333361E-2</v>
      </c>
      <c r="AF50" s="144">
        <v>6.2844444444444467E-2</v>
      </c>
      <c r="AG50" s="143">
        <v>6.2225925925925962E-2</v>
      </c>
      <c r="AH50" s="141">
        <v>6.2734567901234606E-2</v>
      </c>
      <c r="AI50" s="141">
        <v>6.2601646090535021E-2</v>
      </c>
      <c r="AJ50" s="141">
        <v>6.2520713305898534E-2</v>
      </c>
      <c r="AK50" s="144">
        <v>6.2618975765889387E-2</v>
      </c>
    </row>
    <row r="51" spans="1:37" s="98" customFormat="1" ht="15" customHeight="1">
      <c r="A51" s="99"/>
      <c r="B51" s="161"/>
      <c r="C51" s="185"/>
      <c r="D51" s="162" t="s">
        <v>85</v>
      </c>
      <c r="E51" s="162"/>
      <c r="F51" s="162"/>
      <c r="G51" s="720" t="s">
        <v>2938</v>
      </c>
      <c r="H51" s="163"/>
      <c r="I51" s="164" t="s">
        <v>2391</v>
      </c>
      <c r="J51" s="143">
        <v>2.7955512198076944</v>
      </c>
      <c r="K51" s="141">
        <v>2.8523651679408819</v>
      </c>
      <c r="L51" s="141">
        <v>2.8390031977456518</v>
      </c>
      <c r="M51" s="141">
        <v>2.7691819551675936</v>
      </c>
      <c r="N51" s="141">
        <v>2.7616873887949853</v>
      </c>
      <c r="O51" s="141">
        <v>2.8537629475288382</v>
      </c>
      <c r="P51" s="141">
        <f>(O51+N51+M51)/3</f>
        <v>2.7948774304971393</v>
      </c>
      <c r="Q51" s="144">
        <f t="shared" si="3"/>
        <v>2.8034425889403209</v>
      </c>
      <c r="R51" s="143">
        <f t="shared" si="3"/>
        <v>2.8173609889887659</v>
      </c>
      <c r="S51" s="141">
        <f t="shared" si="3"/>
        <v>2.805227002808742</v>
      </c>
      <c r="T51" s="141">
        <f t="shared" si="3"/>
        <v>2.8086768602459427</v>
      </c>
      <c r="U51" s="141">
        <f t="shared" si="3"/>
        <v>2.8104216173478167</v>
      </c>
      <c r="V51" s="144">
        <f t="shared" si="3"/>
        <v>2.8081084934675005</v>
      </c>
      <c r="W51" s="185"/>
      <c r="X51" s="164" t="s">
        <v>2391</v>
      </c>
      <c r="Y51" s="143">
        <v>1.159</v>
      </c>
      <c r="Z51" s="141">
        <v>1.1627000000000001</v>
      </c>
      <c r="AA51" s="141">
        <v>1.163</v>
      </c>
      <c r="AB51" s="141">
        <v>1.1184000000000001</v>
      </c>
      <c r="AC51" s="141">
        <v>1.0831</v>
      </c>
      <c r="AD51" s="141">
        <v>1.1037000000000001</v>
      </c>
      <c r="AE51" s="141">
        <v>1.1017333333333335</v>
      </c>
      <c r="AF51" s="144">
        <v>1.0961777777777779</v>
      </c>
      <c r="AG51" s="143">
        <v>1.1005370370370373</v>
      </c>
      <c r="AH51" s="141">
        <v>1.0994827160493827</v>
      </c>
      <c r="AI51" s="141">
        <v>1.0987325102880661</v>
      </c>
      <c r="AJ51" s="141">
        <v>1.0995840877914953</v>
      </c>
      <c r="AK51" s="144">
        <v>1.0992664380429813</v>
      </c>
    </row>
    <row r="52" spans="1:37" s="98" customFormat="1" ht="15" customHeight="1">
      <c r="A52" s="99"/>
      <c r="B52" s="161"/>
      <c r="C52" s="185"/>
      <c r="D52" s="162" t="s">
        <v>85</v>
      </c>
      <c r="E52" s="162"/>
      <c r="F52" s="162"/>
      <c r="G52" s="720" t="s">
        <v>2945</v>
      </c>
      <c r="H52" s="163"/>
      <c r="I52" s="164" t="s">
        <v>2391</v>
      </c>
      <c r="J52" s="143">
        <v>0.73311653873312499</v>
      </c>
      <c r="K52" s="141">
        <v>0.76525825070320819</v>
      </c>
      <c r="L52" s="141">
        <v>0.75160806642404898</v>
      </c>
      <c r="M52" s="141">
        <v>0.71981025996809</v>
      </c>
      <c r="N52" s="141">
        <v>0.74413566817303733</v>
      </c>
      <c r="O52" s="141">
        <v>0.73345395085251397</v>
      </c>
      <c r="P52" s="141">
        <f>(O52+N52+M52)/3</f>
        <v>0.73246662633121373</v>
      </c>
      <c r="Q52" s="144">
        <f t="shared" si="3"/>
        <v>0.7366854151189216</v>
      </c>
      <c r="R52" s="143">
        <f t="shared" si="3"/>
        <v>0.73420199743421632</v>
      </c>
      <c r="S52" s="141">
        <f t="shared" si="3"/>
        <v>0.73445134629478392</v>
      </c>
      <c r="T52" s="141">
        <f t="shared" si="3"/>
        <v>0.73511291961597391</v>
      </c>
      <c r="U52" s="141">
        <f t="shared" si="3"/>
        <v>0.73458875444832472</v>
      </c>
      <c r="V52" s="144">
        <f t="shared" si="3"/>
        <v>0.73471767345302752</v>
      </c>
      <c r="W52" s="185"/>
      <c r="X52" s="164" t="s">
        <v>2391</v>
      </c>
      <c r="Y52" s="143">
        <v>0.49299999999999999</v>
      </c>
      <c r="Z52" s="141">
        <v>0.49470000000000003</v>
      </c>
      <c r="AA52" s="141">
        <v>0.48324</v>
      </c>
      <c r="AB52" s="141">
        <v>0.48153000000000001</v>
      </c>
      <c r="AC52" s="141">
        <v>0.47950999999999999</v>
      </c>
      <c r="AD52" s="141">
        <v>0.46276</v>
      </c>
      <c r="AE52" s="141">
        <v>0.47459999999999997</v>
      </c>
      <c r="AF52" s="144">
        <v>0.47228999999999993</v>
      </c>
      <c r="AG52" s="143">
        <v>0.46988333333333326</v>
      </c>
      <c r="AH52" s="141">
        <v>0.47225777777777772</v>
      </c>
      <c r="AI52" s="141">
        <v>0.47147703703703697</v>
      </c>
      <c r="AJ52" s="141">
        <v>0.47120604938271599</v>
      </c>
      <c r="AK52" s="144">
        <v>0.47164695473251023</v>
      </c>
    </row>
    <row r="53" spans="1:37" s="98" customFormat="1" ht="15" customHeight="1">
      <c r="A53" s="99"/>
      <c r="B53" s="161"/>
      <c r="C53" s="185"/>
      <c r="D53" s="162" t="s">
        <v>85</v>
      </c>
      <c r="E53" s="162"/>
      <c r="F53" s="162"/>
      <c r="G53" s="720"/>
      <c r="H53" s="163"/>
      <c r="I53" s="164" t="s">
        <v>2391</v>
      </c>
      <c r="J53" s="143">
        <v>0</v>
      </c>
      <c r="K53" s="141">
        <v>0</v>
      </c>
      <c r="L53" s="141">
        <v>0</v>
      </c>
      <c r="M53" s="141">
        <v>0</v>
      </c>
      <c r="N53" s="141">
        <v>0</v>
      </c>
      <c r="O53" s="141">
        <v>0</v>
      </c>
      <c r="P53" s="141">
        <v>0</v>
      </c>
      <c r="Q53" s="144">
        <v>0</v>
      </c>
      <c r="R53" s="143">
        <v>0</v>
      </c>
      <c r="S53" s="141">
        <v>0</v>
      </c>
      <c r="T53" s="141">
        <v>0</v>
      </c>
      <c r="U53" s="141">
        <v>0</v>
      </c>
      <c r="V53" s="144">
        <v>0</v>
      </c>
      <c r="W53" s="185"/>
      <c r="X53" s="164" t="s">
        <v>2391</v>
      </c>
      <c r="Y53" s="143">
        <v>0</v>
      </c>
      <c r="Z53" s="141">
        <v>0</v>
      </c>
      <c r="AA53" s="141">
        <v>0</v>
      </c>
      <c r="AB53" s="141">
        <v>0</v>
      </c>
      <c r="AC53" s="141">
        <v>0</v>
      </c>
      <c r="AD53" s="141">
        <v>0</v>
      </c>
      <c r="AE53" s="141">
        <v>0</v>
      </c>
      <c r="AF53" s="144">
        <v>0</v>
      </c>
      <c r="AG53" s="143">
        <v>0</v>
      </c>
      <c r="AH53" s="141">
        <v>0</v>
      </c>
      <c r="AI53" s="141">
        <v>0</v>
      </c>
      <c r="AJ53" s="141">
        <v>0</v>
      </c>
      <c r="AK53" s="144">
        <v>0</v>
      </c>
    </row>
    <row r="54" spans="1:37" s="98" customFormat="1" ht="15" customHeight="1">
      <c r="A54" s="99"/>
      <c r="B54" s="161"/>
      <c r="C54" s="185"/>
      <c r="D54" s="162" t="s">
        <v>85</v>
      </c>
      <c r="E54" s="162"/>
      <c r="F54" s="162"/>
      <c r="G54" s="720"/>
      <c r="H54" s="163"/>
      <c r="I54" s="164" t="s">
        <v>2391</v>
      </c>
      <c r="J54" s="143">
        <v>0</v>
      </c>
      <c r="K54" s="141">
        <v>0</v>
      </c>
      <c r="L54" s="141">
        <v>0</v>
      </c>
      <c r="M54" s="141">
        <v>0</v>
      </c>
      <c r="N54" s="141">
        <v>0</v>
      </c>
      <c r="O54" s="141">
        <v>0</v>
      </c>
      <c r="P54" s="141">
        <v>0</v>
      </c>
      <c r="Q54" s="144">
        <v>0</v>
      </c>
      <c r="R54" s="143">
        <v>0</v>
      </c>
      <c r="S54" s="141">
        <v>0</v>
      </c>
      <c r="T54" s="141">
        <v>0</v>
      </c>
      <c r="U54" s="141">
        <v>0</v>
      </c>
      <c r="V54" s="144">
        <v>0</v>
      </c>
      <c r="W54" s="185"/>
      <c r="X54" s="164" t="s">
        <v>2391</v>
      </c>
      <c r="Y54" s="143">
        <v>0</v>
      </c>
      <c r="Z54" s="141">
        <v>0</v>
      </c>
      <c r="AA54" s="141">
        <v>0</v>
      </c>
      <c r="AB54" s="141">
        <v>0</v>
      </c>
      <c r="AC54" s="141">
        <v>0</v>
      </c>
      <c r="AD54" s="141">
        <v>0</v>
      </c>
      <c r="AE54" s="141">
        <v>0</v>
      </c>
      <c r="AF54" s="144">
        <v>0</v>
      </c>
      <c r="AG54" s="143">
        <v>0</v>
      </c>
      <c r="AH54" s="141">
        <v>0</v>
      </c>
      <c r="AI54" s="141">
        <v>0</v>
      </c>
      <c r="AJ54" s="141">
        <v>0</v>
      </c>
      <c r="AK54" s="144">
        <v>0</v>
      </c>
    </row>
    <row r="55" spans="1:37" s="98" customFormat="1" ht="15" customHeight="1">
      <c r="A55" s="99"/>
      <c r="B55" s="161"/>
      <c r="C55" s="185"/>
      <c r="D55" s="162" t="s">
        <v>85</v>
      </c>
      <c r="E55" s="162"/>
      <c r="F55" s="162"/>
      <c r="G55" s="720"/>
      <c r="H55" s="163"/>
      <c r="I55" s="164" t="s">
        <v>2391</v>
      </c>
      <c r="J55" s="143">
        <v>0</v>
      </c>
      <c r="K55" s="141">
        <v>0</v>
      </c>
      <c r="L55" s="141">
        <v>0</v>
      </c>
      <c r="M55" s="141">
        <v>0</v>
      </c>
      <c r="N55" s="141">
        <v>0</v>
      </c>
      <c r="O55" s="141">
        <v>0</v>
      </c>
      <c r="P55" s="141">
        <v>0</v>
      </c>
      <c r="Q55" s="144">
        <v>0</v>
      </c>
      <c r="R55" s="143">
        <v>0</v>
      </c>
      <c r="S55" s="141">
        <v>0</v>
      </c>
      <c r="T55" s="141">
        <v>0</v>
      </c>
      <c r="U55" s="141">
        <v>0</v>
      </c>
      <c r="V55" s="144">
        <v>0</v>
      </c>
      <c r="W55" s="185"/>
      <c r="X55" s="164" t="s">
        <v>2391</v>
      </c>
      <c r="Y55" s="143">
        <v>0</v>
      </c>
      <c r="Z55" s="141">
        <v>0</v>
      </c>
      <c r="AA55" s="141">
        <v>0</v>
      </c>
      <c r="AB55" s="141">
        <v>0</v>
      </c>
      <c r="AC55" s="141">
        <v>0</v>
      </c>
      <c r="AD55" s="141">
        <v>0</v>
      </c>
      <c r="AE55" s="141">
        <v>0</v>
      </c>
      <c r="AF55" s="144">
        <v>0</v>
      </c>
      <c r="AG55" s="143">
        <v>0</v>
      </c>
      <c r="AH55" s="141">
        <v>0</v>
      </c>
      <c r="AI55" s="141">
        <v>0</v>
      </c>
      <c r="AJ55" s="141">
        <v>0</v>
      </c>
      <c r="AK55" s="144">
        <v>0</v>
      </c>
    </row>
    <row r="56" spans="1:37" s="98" customFormat="1" ht="15" customHeight="1">
      <c r="A56" s="99"/>
      <c r="B56" s="161"/>
      <c r="C56" s="185"/>
      <c r="D56" s="162" t="s">
        <v>85</v>
      </c>
      <c r="E56" s="162"/>
      <c r="F56" s="162"/>
      <c r="G56" s="720"/>
      <c r="H56" s="163"/>
      <c r="I56" s="164" t="s">
        <v>2391</v>
      </c>
      <c r="J56" s="143">
        <v>0</v>
      </c>
      <c r="K56" s="141">
        <v>0</v>
      </c>
      <c r="L56" s="141">
        <v>0</v>
      </c>
      <c r="M56" s="141">
        <v>0</v>
      </c>
      <c r="N56" s="141">
        <v>0</v>
      </c>
      <c r="O56" s="141">
        <v>0</v>
      </c>
      <c r="P56" s="141">
        <v>0</v>
      </c>
      <c r="Q56" s="144">
        <v>0</v>
      </c>
      <c r="R56" s="143">
        <v>0</v>
      </c>
      <c r="S56" s="141">
        <v>0</v>
      </c>
      <c r="T56" s="141">
        <v>0</v>
      </c>
      <c r="U56" s="141">
        <v>0</v>
      </c>
      <c r="V56" s="144">
        <v>0</v>
      </c>
      <c r="W56" s="185"/>
      <c r="X56" s="164" t="s">
        <v>2391</v>
      </c>
      <c r="Y56" s="143">
        <v>0</v>
      </c>
      <c r="Z56" s="141">
        <v>0</v>
      </c>
      <c r="AA56" s="141">
        <v>0</v>
      </c>
      <c r="AB56" s="141">
        <v>0</v>
      </c>
      <c r="AC56" s="141">
        <v>0</v>
      </c>
      <c r="AD56" s="141">
        <v>0</v>
      </c>
      <c r="AE56" s="141">
        <v>0</v>
      </c>
      <c r="AF56" s="144">
        <v>0</v>
      </c>
      <c r="AG56" s="143">
        <v>0</v>
      </c>
      <c r="AH56" s="141">
        <v>0</v>
      </c>
      <c r="AI56" s="141">
        <v>0</v>
      </c>
      <c r="AJ56" s="141">
        <v>0</v>
      </c>
      <c r="AK56" s="144">
        <v>0</v>
      </c>
    </row>
    <row r="57" spans="1:37" s="98" customFormat="1" ht="15" customHeight="1">
      <c r="A57" s="99"/>
      <c r="B57" s="161"/>
      <c r="C57" s="185"/>
      <c r="D57" s="162" t="s">
        <v>85</v>
      </c>
      <c r="E57" s="162"/>
      <c r="F57" s="162"/>
      <c r="G57" s="720"/>
      <c r="H57" s="163"/>
      <c r="I57" s="164" t="s">
        <v>2391</v>
      </c>
      <c r="J57" s="143">
        <v>0</v>
      </c>
      <c r="K57" s="141">
        <v>0</v>
      </c>
      <c r="L57" s="141">
        <v>0</v>
      </c>
      <c r="M57" s="141">
        <v>0</v>
      </c>
      <c r="N57" s="141">
        <v>0</v>
      </c>
      <c r="O57" s="141">
        <v>0</v>
      </c>
      <c r="P57" s="141">
        <v>0</v>
      </c>
      <c r="Q57" s="144">
        <v>0</v>
      </c>
      <c r="R57" s="143">
        <v>0</v>
      </c>
      <c r="S57" s="141">
        <v>0</v>
      </c>
      <c r="T57" s="141">
        <v>0</v>
      </c>
      <c r="U57" s="141">
        <v>0</v>
      </c>
      <c r="V57" s="144">
        <v>0</v>
      </c>
      <c r="W57" s="185"/>
      <c r="X57" s="164" t="s">
        <v>2391</v>
      </c>
      <c r="Y57" s="143">
        <v>0</v>
      </c>
      <c r="Z57" s="141">
        <v>0</v>
      </c>
      <c r="AA57" s="141">
        <v>0</v>
      </c>
      <c r="AB57" s="141">
        <v>0</v>
      </c>
      <c r="AC57" s="141">
        <v>0</v>
      </c>
      <c r="AD57" s="141">
        <v>0</v>
      </c>
      <c r="AE57" s="141">
        <v>0</v>
      </c>
      <c r="AF57" s="144">
        <v>0</v>
      </c>
      <c r="AG57" s="143">
        <v>0</v>
      </c>
      <c r="AH57" s="141">
        <v>0</v>
      </c>
      <c r="AI57" s="141">
        <v>0</v>
      </c>
      <c r="AJ57" s="141">
        <v>0</v>
      </c>
      <c r="AK57" s="144">
        <v>0</v>
      </c>
    </row>
    <row r="58" spans="1:37" s="98" customFormat="1" ht="15" customHeight="1">
      <c r="A58" s="99"/>
      <c r="B58" s="161"/>
      <c r="C58" s="185"/>
      <c r="D58" s="162" t="s">
        <v>85</v>
      </c>
      <c r="E58" s="162"/>
      <c r="F58" s="162"/>
      <c r="G58" s="720"/>
      <c r="H58" s="163"/>
      <c r="I58" s="164" t="s">
        <v>2391</v>
      </c>
      <c r="J58" s="143">
        <v>0</v>
      </c>
      <c r="K58" s="141">
        <v>0</v>
      </c>
      <c r="L58" s="141">
        <v>0</v>
      </c>
      <c r="M58" s="141">
        <v>0</v>
      </c>
      <c r="N58" s="141">
        <v>0</v>
      </c>
      <c r="O58" s="141">
        <v>0</v>
      </c>
      <c r="P58" s="141">
        <v>0</v>
      </c>
      <c r="Q58" s="144">
        <v>0</v>
      </c>
      <c r="R58" s="143">
        <v>0</v>
      </c>
      <c r="S58" s="141">
        <v>0</v>
      </c>
      <c r="T58" s="141">
        <v>0</v>
      </c>
      <c r="U58" s="141">
        <v>0</v>
      </c>
      <c r="V58" s="144">
        <v>0</v>
      </c>
      <c r="W58" s="185"/>
      <c r="X58" s="164" t="s">
        <v>2391</v>
      </c>
      <c r="Y58" s="143">
        <v>0</v>
      </c>
      <c r="Z58" s="141">
        <v>0</v>
      </c>
      <c r="AA58" s="141">
        <v>0</v>
      </c>
      <c r="AB58" s="141">
        <v>0</v>
      </c>
      <c r="AC58" s="141">
        <v>0</v>
      </c>
      <c r="AD58" s="141">
        <v>0</v>
      </c>
      <c r="AE58" s="141">
        <v>0</v>
      </c>
      <c r="AF58" s="144">
        <v>0</v>
      </c>
      <c r="AG58" s="143">
        <v>0</v>
      </c>
      <c r="AH58" s="141">
        <v>0</v>
      </c>
      <c r="AI58" s="141">
        <v>0</v>
      </c>
      <c r="AJ58" s="141">
        <v>0</v>
      </c>
      <c r="AK58" s="144">
        <v>0</v>
      </c>
    </row>
    <row r="59" spans="1:37" s="98" customFormat="1" ht="15" customHeight="1">
      <c r="A59" s="99"/>
      <c r="B59" s="161"/>
      <c r="C59" s="185"/>
      <c r="D59" s="162" t="s">
        <v>85</v>
      </c>
      <c r="E59" s="162"/>
      <c r="F59" s="162"/>
      <c r="G59" s="720"/>
      <c r="H59" s="163"/>
      <c r="I59" s="164" t="s">
        <v>2391</v>
      </c>
      <c r="J59" s="143">
        <v>0</v>
      </c>
      <c r="K59" s="141">
        <v>0</v>
      </c>
      <c r="L59" s="141">
        <v>0</v>
      </c>
      <c r="M59" s="141">
        <v>0</v>
      </c>
      <c r="N59" s="141">
        <v>0</v>
      </c>
      <c r="O59" s="141">
        <v>0</v>
      </c>
      <c r="P59" s="141">
        <v>0</v>
      </c>
      <c r="Q59" s="144">
        <v>0</v>
      </c>
      <c r="R59" s="143">
        <v>0</v>
      </c>
      <c r="S59" s="141">
        <v>0</v>
      </c>
      <c r="T59" s="141">
        <v>0</v>
      </c>
      <c r="U59" s="141">
        <v>0</v>
      </c>
      <c r="V59" s="144">
        <v>0</v>
      </c>
      <c r="W59" s="185"/>
      <c r="X59" s="164" t="s">
        <v>2391</v>
      </c>
      <c r="Y59" s="143">
        <v>0</v>
      </c>
      <c r="Z59" s="141">
        <v>0</v>
      </c>
      <c r="AA59" s="141">
        <v>0</v>
      </c>
      <c r="AB59" s="141">
        <v>0</v>
      </c>
      <c r="AC59" s="141">
        <v>0</v>
      </c>
      <c r="AD59" s="141">
        <v>0</v>
      </c>
      <c r="AE59" s="141">
        <v>0</v>
      </c>
      <c r="AF59" s="144">
        <v>0</v>
      </c>
      <c r="AG59" s="143">
        <v>0</v>
      </c>
      <c r="AH59" s="141">
        <v>0</v>
      </c>
      <c r="AI59" s="141">
        <v>0</v>
      </c>
      <c r="AJ59" s="141">
        <v>0</v>
      </c>
      <c r="AK59" s="144">
        <v>0</v>
      </c>
    </row>
    <row r="60" spans="1:37" s="98" customFormat="1" ht="15" customHeight="1">
      <c r="A60" s="99"/>
      <c r="B60" s="161"/>
      <c r="C60" s="185"/>
      <c r="D60" s="162" t="s">
        <v>85</v>
      </c>
      <c r="E60" s="162"/>
      <c r="F60" s="162"/>
      <c r="G60" s="720"/>
      <c r="H60" s="163"/>
      <c r="I60" s="164" t="s">
        <v>2391</v>
      </c>
      <c r="J60" s="143">
        <v>0</v>
      </c>
      <c r="K60" s="141">
        <v>0</v>
      </c>
      <c r="L60" s="141">
        <v>0</v>
      </c>
      <c r="M60" s="141">
        <v>0</v>
      </c>
      <c r="N60" s="141">
        <v>0</v>
      </c>
      <c r="O60" s="141">
        <v>0</v>
      </c>
      <c r="P60" s="141">
        <v>0</v>
      </c>
      <c r="Q60" s="144">
        <v>0</v>
      </c>
      <c r="R60" s="143">
        <v>0</v>
      </c>
      <c r="S60" s="141">
        <v>0</v>
      </c>
      <c r="T60" s="141">
        <v>0</v>
      </c>
      <c r="U60" s="141">
        <v>0</v>
      </c>
      <c r="V60" s="144">
        <v>0</v>
      </c>
      <c r="W60" s="185"/>
      <c r="X60" s="164" t="s">
        <v>2391</v>
      </c>
      <c r="Y60" s="143">
        <v>0</v>
      </c>
      <c r="Z60" s="141">
        <v>0</v>
      </c>
      <c r="AA60" s="141">
        <v>0</v>
      </c>
      <c r="AB60" s="141">
        <v>0</v>
      </c>
      <c r="AC60" s="141">
        <v>0</v>
      </c>
      <c r="AD60" s="141">
        <v>0</v>
      </c>
      <c r="AE60" s="141">
        <v>0</v>
      </c>
      <c r="AF60" s="144">
        <v>0</v>
      </c>
      <c r="AG60" s="143">
        <v>0</v>
      </c>
      <c r="AH60" s="141">
        <v>0</v>
      </c>
      <c r="AI60" s="141">
        <v>0</v>
      </c>
      <c r="AJ60" s="141">
        <v>0</v>
      </c>
      <c r="AK60" s="144">
        <v>0</v>
      </c>
    </row>
    <row r="61" spans="1:37" s="98" customFormat="1" ht="15" customHeight="1">
      <c r="A61" s="99"/>
      <c r="B61" s="161"/>
      <c r="C61" s="185"/>
      <c r="D61" s="162" t="s">
        <v>85</v>
      </c>
      <c r="E61" s="162"/>
      <c r="F61" s="162"/>
      <c r="G61" s="720"/>
      <c r="H61" s="163"/>
      <c r="I61" s="164" t="s">
        <v>2391</v>
      </c>
      <c r="J61" s="143">
        <v>0</v>
      </c>
      <c r="K61" s="141">
        <v>0</v>
      </c>
      <c r="L61" s="141">
        <v>0</v>
      </c>
      <c r="M61" s="141">
        <v>0</v>
      </c>
      <c r="N61" s="141">
        <v>0</v>
      </c>
      <c r="O61" s="141">
        <v>0</v>
      </c>
      <c r="P61" s="141">
        <v>0</v>
      </c>
      <c r="Q61" s="144">
        <v>0</v>
      </c>
      <c r="R61" s="143">
        <v>0</v>
      </c>
      <c r="S61" s="141">
        <v>0</v>
      </c>
      <c r="T61" s="141">
        <v>0</v>
      </c>
      <c r="U61" s="141">
        <v>0</v>
      </c>
      <c r="V61" s="144">
        <v>0</v>
      </c>
      <c r="W61" s="185"/>
      <c r="X61" s="164" t="s">
        <v>2391</v>
      </c>
      <c r="Y61" s="143">
        <v>0</v>
      </c>
      <c r="Z61" s="141">
        <v>0</v>
      </c>
      <c r="AA61" s="141">
        <v>0</v>
      </c>
      <c r="AB61" s="141">
        <v>0</v>
      </c>
      <c r="AC61" s="141">
        <v>0</v>
      </c>
      <c r="AD61" s="141">
        <v>0</v>
      </c>
      <c r="AE61" s="141">
        <v>0</v>
      </c>
      <c r="AF61" s="144">
        <v>0</v>
      </c>
      <c r="AG61" s="143">
        <v>0</v>
      </c>
      <c r="AH61" s="141">
        <v>0</v>
      </c>
      <c r="AI61" s="141">
        <v>0</v>
      </c>
      <c r="AJ61" s="141">
        <v>0</v>
      </c>
      <c r="AK61" s="144">
        <v>0</v>
      </c>
    </row>
    <row r="62" spans="1:37" s="98" customFormat="1" ht="15" customHeight="1">
      <c r="A62" s="99"/>
      <c r="B62" s="161"/>
      <c r="C62" s="185"/>
      <c r="D62" s="162" t="s">
        <v>85</v>
      </c>
      <c r="E62" s="162"/>
      <c r="F62" s="162"/>
      <c r="G62" s="720"/>
      <c r="H62" s="163"/>
      <c r="I62" s="164" t="s">
        <v>2391</v>
      </c>
      <c r="J62" s="143">
        <v>0</v>
      </c>
      <c r="K62" s="141">
        <v>0</v>
      </c>
      <c r="L62" s="141">
        <v>0</v>
      </c>
      <c r="M62" s="141">
        <v>0</v>
      </c>
      <c r="N62" s="141">
        <v>0</v>
      </c>
      <c r="O62" s="141">
        <v>0</v>
      </c>
      <c r="P62" s="141">
        <v>0</v>
      </c>
      <c r="Q62" s="144">
        <v>0</v>
      </c>
      <c r="R62" s="143">
        <v>0</v>
      </c>
      <c r="S62" s="141">
        <v>0</v>
      </c>
      <c r="T62" s="141">
        <v>0</v>
      </c>
      <c r="U62" s="141">
        <v>0</v>
      </c>
      <c r="V62" s="144">
        <v>0</v>
      </c>
      <c r="W62" s="185"/>
      <c r="X62" s="164" t="s">
        <v>2391</v>
      </c>
      <c r="Y62" s="143">
        <v>0</v>
      </c>
      <c r="Z62" s="141">
        <v>0</v>
      </c>
      <c r="AA62" s="141">
        <v>0</v>
      </c>
      <c r="AB62" s="141">
        <v>0</v>
      </c>
      <c r="AC62" s="141">
        <v>0</v>
      </c>
      <c r="AD62" s="141">
        <v>0</v>
      </c>
      <c r="AE62" s="141">
        <v>0</v>
      </c>
      <c r="AF62" s="144">
        <v>0</v>
      </c>
      <c r="AG62" s="143">
        <v>0</v>
      </c>
      <c r="AH62" s="141">
        <v>0</v>
      </c>
      <c r="AI62" s="141">
        <v>0</v>
      </c>
      <c r="AJ62" s="141">
        <v>0</v>
      </c>
      <c r="AK62" s="144">
        <v>0</v>
      </c>
    </row>
    <row r="63" spans="1:37" s="98" customFormat="1" ht="15" customHeight="1">
      <c r="A63" s="99"/>
      <c r="B63" s="161"/>
      <c r="C63" s="185"/>
      <c r="D63" s="162" t="s">
        <v>85</v>
      </c>
      <c r="E63" s="162"/>
      <c r="F63" s="162"/>
      <c r="G63" s="720"/>
      <c r="H63" s="163"/>
      <c r="I63" s="164" t="s">
        <v>2391</v>
      </c>
      <c r="J63" s="143">
        <v>0</v>
      </c>
      <c r="K63" s="141">
        <v>0</v>
      </c>
      <c r="L63" s="141">
        <v>0</v>
      </c>
      <c r="M63" s="141">
        <v>0</v>
      </c>
      <c r="N63" s="141">
        <v>0</v>
      </c>
      <c r="O63" s="141">
        <v>0</v>
      </c>
      <c r="P63" s="141">
        <v>0</v>
      </c>
      <c r="Q63" s="144">
        <v>0</v>
      </c>
      <c r="R63" s="143">
        <v>0</v>
      </c>
      <c r="S63" s="141">
        <v>0</v>
      </c>
      <c r="T63" s="141">
        <v>0</v>
      </c>
      <c r="U63" s="141">
        <v>0</v>
      </c>
      <c r="V63" s="144">
        <v>0</v>
      </c>
      <c r="W63" s="185"/>
      <c r="X63" s="164" t="s">
        <v>2391</v>
      </c>
      <c r="Y63" s="143">
        <v>0</v>
      </c>
      <c r="Z63" s="141">
        <v>0</v>
      </c>
      <c r="AA63" s="141">
        <v>0</v>
      </c>
      <c r="AB63" s="141">
        <v>0</v>
      </c>
      <c r="AC63" s="141">
        <v>0</v>
      </c>
      <c r="AD63" s="141">
        <v>0</v>
      </c>
      <c r="AE63" s="141">
        <v>0</v>
      </c>
      <c r="AF63" s="144">
        <v>0</v>
      </c>
      <c r="AG63" s="143">
        <v>0</v>
      </c>
      <c r="AH63" s="141">
        <v>0</v>
      </c>
      <c r="AI63" s="141">
        <v>0</v>
      </c>
      <c r="AJ63" s="141">
        <v>0</v>
      </c>
      <c r="AK63" s="144">
        <v>0</v>
      </c>
    </row>
    <row r="64" spans="1:37" s="98" customFormat="1" ht="15" customHeight="1">
      <c r="A64" s="99"/>
      <c r="B64" s="161"/>
      <c r="C64" s="185"/>
      <c r="D64" s="162" t="s">
        <v>85</v>
      </c>
      <c r="E64" s="162"/>
      <c r="F64" s="162"/>
      <c r="G64" s="720"/>
      <c r="H64" s="163"/>
      <c r="I64" s="164" t="s">
        <v>2391</v>
      </c>
      <c r="J64" s="143">
        <v>0</v>
      </c>
      <c r="K64" s="141">
        <v>0</v>
      </c>
      <c r="L64" s="141">
        <v>0</v>
      </c>
      <c r="M64" s="141">
        <v>0</v>
      </c>
      <c r="N64" s="141">
        <v>0</v>
      </c>
      <c r="O64" s="141">
        <v>0</v>
      </c>
      <c r="P64" s="141">
        <v>0</v>
      </c>
      <c r="Q64" s="144">
        <v>0</v>
      </c>
      <c r="R64" s="143">
        <v>0</v>
      </c>
      <c r="S64" s="141">
        <v>0</v>
      </c>
      <c r="T64" s="141">
        <v>0</v>
      </c>
      <c r="U64" s="141">
        <v>0</v>
      </c>
      <c r="V64" s="144">
        <v>0</v>
      </c>
      <c r="W64" s="185"/>
      <c r="X64" s="164" t="s">
        <v>2391</v>
      </c>
      <c r="Y64" s="143">
        <v>0</v>
      </c>
      <c r="Z64" s="141">
        <v>0</v>
      </c>
      <c r="AA64" s="141">
        <v>0</v>
      </c>
      <c r="AB64" s="141">
        <v>0</v>
      </c>
      <c r="AC64" s="141">
        <v>0</v>
      </c>
      <c r="AD64" s="141">
        <v>0</v>
      </c>
      <c r="AE64" s="141">
        <v>0</v>
      </c>
      <c r="AF64" s="144">
        <v>0</v>
      </c>
      <c r="AG64" s="143">
        <v>0</v>
      </c>
      <c r="AH64" s="141">
        <v>0</v>
      </c>
      <c r="AI64" s="141">
        <v>0</v>
      </c>
      <c r="AJ64" s="141">
        <v>0</v>
      </c>
      <c r="AK64" s="144">
        <v>0</v>
      </c>
    </row>
    <row r="65" spans="1:52" s="98" customFormat="1" ht="15" customHeight="1">
      <c r="A65" s="99"/>
      <c r="B65" s="161"/>
      <c r="C65" s="185"/>
      <c r="D65" s="162" t="s">
        <v>85</v>
      </c>
      <c r="E65" s="162"/>
      <c r="F65" s="162"/>
      <c r="G65" s="720"/>
      <c r="H65" s="163"/>
      <c r="I65" s="164" t="s">
        <v>2391</v>
      </c>
      <c r="J65" s="143">
        <v>0</v>
      </c>
      <c r="K65" s="141">
        <v>0</v>
      </c>
      <c r="L65" s="141">
        <v>0</v>
      </c>
      <c r="M65" s="141">
        <v>0</v>
      </c>
      <c r="N65" s="141">
        <v>0</v>
      </c>
      <c r="O65" s="141">
        <v>0</v>
      </c>
      <c r="P65" s="141">
        <v>0</v>
      </c>
      <c r="Q65" s="144">
        <v>0</v>
      </c>
      <c r="R65" s="143">
        <v>0</v>
      </c>
      <c r="S65" s="141">
        <v>0</v>
      </c>
      <c r="T65" s="141">
        <v>0</v>
      </c>
      <c r="U65" s="141">
        <v>0</v>
      </c>
      <c r="V65" s="144">
        <v>0</v>
      </c>
      <c r="W65" s="185"/>
      <c r="X65" s="164" t="s">
        <v>2391</v>
      </c>
      <c r="Y65" s="143">
        <v>0</v>
      </c>
      <c r="Z65" s="141">
        <v>0</v>
      </c>
      <c r="AA65" s="141">
        <v>0</v>
      </c>
      <c r="AB65" s="141">
        <v>0</v>
      </c>
      <c r="AC65" s="141">
        <v>0</v>
      </c>
      <c r="AD65" s="141">
        <v>0</v>
      </c>
      <c r="AE65" s="141">
        <v>0</v>
      </c>
      <c r="AF65" s="144">
        <v>0</v>
      </c>
      <c r="AG65" s="143">
        <v>0</v>
      </c>
      <c r="AH65" s="141">
        <v>0</v>
      </c>
      <c r="AI65" s="141">
        <v>0</v>
      </c>
      <c r="AJ65" s="141">
        <v>0</v>
      </c>
      <c r="AK65" s="144">
        <v>0</v>
      </c>
    </row>
    <row r="66" spans="1:52" s="98" customFormat="1" ht="15" customHeight="1">
      <c r="A66" s="99"/>
      <c r="B66" s="161"/>
      <c r="C66" s="185"/>
      <c r="D66" s="162" t="s">
        <v>85</v>
      </c>
      <c r="E66" s="162"/>
      <c r="F66" s="162"/>
      <c r="G66" s="720"/>
      <c r="H66" s="163"/>
      <c r="I66" s="164" t="s">
        <v>2391</v>
      </c>
      <c r="J66" s="143">
        <v>0</v>
      </c>
      <c r="K66" s="141">
        <v>0</v>
      </c>
      <c r="L66" s="141">
        <v>0</v>
      </c>
      <c r="M66" s="141">
        <v>0</v>
      </c>
      <c r="N66" s="141">
        <v>0</v>
      </c>
      <c r="O66" s="141">
        <v>0</v>
      </c>
      <c r="P66" s="141">
        <v>0</v>
      </c>
      <c r="Q66" s="144">
        <v>0</v>
      </c>
      <c r="R66" s="143">
        <v>0</v>
      </c>
      <c r="S66" s="141">
        <v>0</v>
      </c>
      <c r="T66" s="141">
        <v>0</v>
      </c>
      <c r="U66" s="141">
        <v>0</v>
      </c>
      <c r="V66" s="144">
        <v>0</v>
      </c>
      <c r="W66" s="185"/>
      <c r="X66" s="164" t="s">
        <v>2391</v>
      </c>
      <c r="Y66" s="143">
        <v>0</v>
      </c>
      <c r="Z66" s="141">
        <v>0</v>
      </c>
      <c r="AA66" s="141">
        <v>0</v>
      </c>
      <c r="AB66" s="141">
        <v>0</v>
      </c>
      <c r="AC66" s="141">
        <v>0</v>
      </c>
      <c r="AD66" s="141">
        <v>0</v>
      </c>
      <c r="AE66" s="141">
        <v>0</v>
      </c>
      <c r="AF66" s="144">
        <v>0</v>
      </c>
      <c r="AG66" s="143">
        <v>0</v>
      </c>
      <c r="AH66" s="141">
        <v>0</v>
      </c>
      <c r="AI66" s="141">
        <v>0</v>
      </c>
      <c r="AJ66" s="141">
        <v>0</v>
      </c>
      <c r="AK66" s="144">
        <v>0</v>
      </c>
    </row>
    <row r="67" spans="1:52" s="98" customFormat="1" ht="15" customHeight="1">
      <c r="A67" s="99"/>
      <c r="B67" s="161"/>
      <c r="C67" s="185"/>
      <c r="D67" s="162" t="s">
        <v>85</v>
      </c>
      <c r="E67" s="162"/>
      <c r="F67" s="162"/>
      <c r="G67" s="720"/>
      <c r="H67" s="163"/>
      <c r="I67" s="164" t="s">
        <v>2391</v>
      </c>
      <c r="J67" s="143">
        <v>0</v>
      </c>
      <c r="K67" s="141">
        <v>0</v>
      </c>
      <c r="L67" s="141">
        <v>0</v>
      </c>
      <c r="M67" s="141">
        <v>0</v>
      </c>
      <c r="N67" s="141">
        <v>0</v>
      </c>
      <c r="O67" s="141">
        <v>0</v>
      </c>
      <c r="P67" s="141">
        <v>0</v>
      </c>
      <c r="Q67" s="144">
        <v>0</v>
      </c>
      <c r="R67" s="143">
        <v>0</v>
      </c>
      <c r="S67" s="141">
        <v>0</v>
      </c>
      <c r="T67" s="141">
        <v>0</v>
      </c>
      <c r="U67" s="141">
        <v>0</v>
      </c>
      <c r="V67" s="144">
        <v>0</v>
      </c>
      <c r="W67" s="185"/>
      <c r="X67" s="164" t="s">
        <v>2391</v>
      </c>
      <c r="Y67" s="143">
        <v>0</v>
      </c>
      <c r="Z67" s="141">
        <v>0</v>
      </c>
      <c r="AA67" s="141">
        <v>0</v>
      </c>
      <c r="AB67" s="141">
        <v>0</v>
      </c>
      <c r="AC67" s="141">
        <v>0</v>
      </c>
      <c r="AD67" s="141">
        <v>0</v>
      </c>
      <c r="AE67" s="141">
        <v>0</v>
      </c>
      <c r="AF67" s="144">
        <v>0</v>
      </c>
      <c r="AG67" s="143">
        <v>0</v>
      </c>
      <c r="AH67" s="141">
        <v>0</v>
      </c>
      <c r="AI67" s="141">
        <v>0</v>
      </c>
      <c r="AJ67" s="141">
        <v>0</v>
      </c>
      <c r="AK67" s="144">
        <v>0</v>
      </c>
    </row>
    <row r="68" spans="1:52" s="98" customFormat="1" ht="15" customHeight="1">
      <c r="A68" s="99"/>
      <c r="B68" s="161"/>
      <c r="C68" s="185"/>
      <c r="D68" s="162" t="s">
        <v>85</v>
      </c>
      <c r="E68" s="162"/>
      <c r="F68" s="162"/>
      <c r="G68" s="720"/>
      <c r="H68" s="163"/>
      <c r="I68" s="164" t="s">
        <v>2391</v>
      </c>
      <c r="J68" s="143">
        <v>0</v>
      </c>
      <c r="K68" s="141">
        <v>0</v>
      </c>
      <c r="L68" s="141">
        <v>0</v>
      </c>
      <c r="M68" s="141">
        <v>0</v>
      </c>
      <c r="N68" s="141">
        <v>0</v>
      </c>
      <c r="O68" s="141">
        <v>0</v>
      </c>
      <c r="P68" s="141">
        <v>0</v>
      </c>
      <c r="Q68" s="144">
        <v>0</v>
      </c>
      <c r="R68" s="143">
        <v>0</v>
      </c>
      <c r="S68" s="141">
        <v>0</v>
      </c>
      <c r="T68" s="141">
        <v>0</v>
      </c>
      <c r="U68" s="141">
        <v>0</v>
      </c>
      <c r="V68" s="144">
        <v>0</v>
      </c>
      <c r="W68" s="185"/>
      <c r="X68" s="164" t="s">
        <v>2391</v>
      </c>
      <c r="Y68" s="143">
        <v>0</v>
      </c>
      <c r="Z68" s="141">
        <v>0</v>
      </c>
      <c r="AA68" s="141">
        <v>0</v>
      </c>
      <c r="AB68" s="141">
        <v>0</v>
      </c>
      <c r="AC68" s="141">
        <v>0</v>
      </c>
      <c r="AD68" s="141">
        <v>0</v>
      </c>
      <c r="AE68" s="141">
        <v>0</v>
      </c>
      <c r="AF68" s="144">
        <v>0</v>
      </c>
      <c r="AG68" s="143">
        <v>0</v>
      </c>
      <c r="AH68" s="141">
        <v>0</v>
      </c>
      <c r="AI68" s="141">
        <v>0</v>
      </c>
      <c r="AJ68" s="141">
        <v>0</v>
      </c>
      <c r="AK68" s="144">
        <v>0</v>
      </c>
    </row>
    <row r="69" spans="1:52" s="98" customFormat="1" ht="15" customHeight="1">
      <c r="A69" s="99"/>
      <c r="B69" s="181"/>
      <c r="C69" s="185"/>
      <c r="D69" s="182"/>
      <c r="E69" s="182"/>
      <c r="F69" s="182"/>
      <c r="G69" s="184"/>
      <c r="H69" s="184"/>
      <c r="I69" s="117"/>
      <c r="J69" s="713"/>
      <c r="K69" s="714"/>
      <c r="L69" s="714"/>
      <c r="M69" s="714"/>
      <c r="N69" s="714"/>
      <c r="O69" s="714"/>
      <c r="P69" s="714"/>
      <c r="Q69" s="715"/>
      <c r="R69" s="714"/>
      <c r="S69" s="714"/>
      <c r="T69" s="714"/>
      <c r="U69" s="714"/>
      <c r="V69" s="715"/>
      <c r="W69" s="185"/>
      <c r="X69" s="117"/>
      <c r="Y69" s="713"/>
      <c r="Z69" s="714"/>
      <c r="AA69" s="714"/>
      <c r="AB69" s="714"/>
      <c r="AC69" s="714"/>
      <c r="AD69" s="714"/>
      <c r="AE69" s="714"/>
      <c r="AF69" s="715"/>
      <c r="AG69" s="714"/>
      <c r="AH69" s="714"/>
      <c r="AI69" s="714"/>
      <c r="AJ69" s="714"/>
      <c r="AK69" s="715"/>
    </row>
    <row r="70" spans="1:52" s="98" customFormat="1" ht="15" customHeight="1" thickBot="1">
      <c r="A70" s="99"/>
      <c r="B70" s="131" t="s">
        <v>1701</v>
      </c>
      <c r="C70" s="132"/>
      <c r="D70" s="132"/>
      <c r="E70" s="132"/>
      <c r="F70" s="132"/>
      <c r="G70" s="145"/>
      <c r="H70" s="133"/>
      <c r="I70" s="195" t="s">
        <v>2391</v>
      </c>
      <c r="J70" s="717">
        <f>SUM(J49:J68)</f>
        <v>6.6726314186904201</v>
      </c>
      <c r="K70" s="718">
        <f t="shared" ref="K70:V70" si="4">SUM(K49:K68)</f>
        <v>6.8012575488231501</v>
      </c>
      <c r="L70" s="718">
        <f t="shared" si="4"/>
        <v>6.5426975490542656</v>
      </c>
      <c r="M70" s="718">
        <f t="shared" si="4"/>
        <v>6.3449729874588954</v>
      </c>
      <c r="N70" s="718">
        <f t="shared" si="4"/>
        <v>6.3472804619785279</v>
      </c>
      <c r="O70" s="718">
        <f t="shared" si="4"/>
        <v>6.5500907479037682</v>
      </c>
      <c r="P70" s="718">
        <f t="shared" si="4"/>
        <v>6.4141147324470653</v>
      </c>
      <c r="Q70" s="719">
        <f t="shared" si="4"/>
        <v>6.4371619807764544</v>
      </c>
      <c r="R70" s="717">
        <f t="shared" si="4"/>
        <v>6.4671224870424284</v>
      </c>
      <c r="S70" s="718">
        <f t="shared" si="4"/>
        <v>6.4394664000886488</v>
      </c>
      <c r="T70" s="718">
        <f t="shared" si="4"/>
        <v>6.4479169559691769</v>
      </c>
      <c r="U70" s="718">
        <f t="shared" si="4"/>
        <v>6.451501947700085</v>
      </c>
      <c r="V70" s="719">
        <f t="shared" si="4"/>
        <v>6.4462951012526366</v>
      </c>
      <c r="W70" s="192"/>
      <c r="X70" s="195" t="s">
        <v>2391</v>
      </c>
      <c r="Y70" s="717">
        <f>SUM(Y49:Y68)</f>
        <v>2.3115399999999999</v>
      </c>
      <c r="Z70" s="718">
        <f t="shared" ref="Z70:AK70" si="5">SUM(Z49:Z68)</f>
        <v>2.3161400000000003</v>
      </c>
      <c r="AA70" s="718">
        <f t="shared" si="5"/>
        <v>2.3082400000000001</v>
      </c>
      <c r="AB70" s="718">
        <f t="shared" si="5"/>
        <v>2.2345300000000003</v>
      </c>
      <c r="AC70" s="718">
        <f t="shared" si="5"/>
        <v>2.19781</v>
      </c>
      <c r="AD70" s="718">
        <f t="shared" si="5"/>
        <v>2.1940599999999999</v>
      </c>
      <c r="AE70" s="718">
        <f t="shared" si="5"/>
        <v>2.2088000000000001</v>
      </c>
      <c r="AF70" s="719">
        <f t="shared" si="5"/>
        <v>2.2002233333333336</v>
      </c>
      <c r="AG70" s="717">
        <f t="shared" si="5"/>
        <v>2.201027777777778</v>
      </c>
      <c r="AH70" s="718">
        <f t="shared" si="5"/>
        <v>2.2033503703703703</v>
      </c>
      <c r="AI70" s="718">
        <f t="shared" si="5"/>
        <v>2.2015338271604938</v>
      </c>
      <c r="AJ70" s="718">
        <f t="shared" si="5"/>
        <v>2.2019706584362142</v>
      </c>
      <c r="AK70" s="719">
        <f t="shared" si="5"/>
        <v>2.202284951989026</v>
      </c>
    </row>
    <row r="71" spans="1:52" ht="13.5" thickBot="1"/>
    <row r="72" spans="1:52" s="100" customFormat="1" ht="30" customHeight="1" thickBot="1">
      <c r="A72" s="89"/>
      <c r="B72" s="621" t="s">
        <v>2950</v>
      </c>
      <c r="C72" s="102"/>
      <c r="D72" s="102"/>
      <c r="E72" s="102"/>
      <c r="F72" s="102"/>
      <c r="G72" s="103"/>
      <c r="H72" s="103"/>
      <c r="I72" s="105" t="s">
        <v>2951</v>
      </c>
      <c r="J72" s="106"/>
      <c r="K72" s="106"/>
      <c r="L72" s="106"/>
      <c r="M72" s="106"/>
      <c r="N72" s="106"/>
      <c r="O72" s="106"/>
      <c r="P72" s="106"/>
      <c r="Q72" s="106"/>
      <c r="R72" s="105"/>
      <c r="S72" s="105"/>
      <c r="T72" s="105"/>
      <c r="U72" s="105"/>
      <c r="V72" s="105"/>
      <c r="W72" s="103"/>
      <c r="X72" s="105" t="s">
        <v>2952</v>
      </c>
      <c r="Y72" s="106"/>
      <c r="Z72" s="106"/>
      <c r="AA72" s="106"/>
      <c r="AB72" s="106"/>
      <c r="AC72" s="106"/>
      <c r="AD72" s="106"/>
      <c r="AE72" s="106"/>
      <c r="AF72" s="106"/>
      <c r="AG72" s="105"/>
      <c r="AH72" s="105"/>
      <c r="AI72" s="105"/>
      <c r="AJ72" s="105"/>
      <c r="AK72" s="105"/>
      <c r="AL72" s="103"/>
      <c r="AM72" s="105" t="s">
        <v>2953</v>
      </c>
      <c r="AN72" s="106"/>
      <c r="AO72" s="106"/>
      <c r="AP72" s="106"/>
      <c r="AQ72" s="106"/>
      <c r="AR72" s="106"/>
      <c r="AS72" s="106"/>
      <c r="AT72" s="106"/>
      <c r="AU72" s="106"/>
      <c r="AV72" s="105"/>
      <c r="AW72" s="105"/>
      <c r="AX72" s="105"/>
      <c r="AY72" s="105"/>
      <c r="AZ72" s="105"/>
    </row>
    <row r="73" spans="1:52" s="157" customFormat="1" ht="30" customHeight="1">
      <c r="A73" s="99"/>
      <c r="B73" s="109"/>
      <c r="C73" s="110"/>
      <c r="D73" s="110"/>
      <c r="E73" s="110"/>
      <c r="F73" s="110"/>
      <c r="G73" s="111"/>
      <c r="H73" s="111"/>
      <c r="I73" s="117"/>
      <c r="J73" s="695" t="s">
        <v>1666</v>
      </c>
      <c r="K73" s="152"/>
      <c r="L73" s="152"/>
      <c r="M73" s="152"/>
      <c r="N73" s="152"/>
      <c r="O73" s="152"/>
      <c r="P73" s="152"/>
      <c r="Q73" s="153"/>
      <c r="R73" s="696" t="s">
        <v>2</v>
      </c>
      <c r="S73" s="155"/>
      <c r="T73" s="155"/>
      <c r="U73" s="155"/>
      <c r="V73" s="156"/>
      <c r="W73" s="222"/>
      <c r="X73" s="117"/>
      <c r="Y73" s="695" t="s">
        <v>1666</v>
      </c>
      <c r="Z73" s="152"/>
      <c r="AA73" s="152"/>
      <c r="AB73" s="152"/>
      <c r="AC73" s="152"/>
      <c r="AD73" s="152"/>
      <c r="AE73" s="152"/>
      <c r="AF73" s="153"/>
      <c r="AG73" s="696" t="s">
        <v>2</v>
      </c>
      <c r="AH73" s="155"/>
      <c r="AI73" s="155"/>
      <c r="AJ73" s="155"/>
      <c r="AK73" s="156"/>
      <c r="AL73" s="222"/>
      <c r="AM73" s="117"/>
      <c r="AN73" s="695" t="s">
        <v>1666</v>
      </c>
      <c r="AO73" s="152"/>
      <c r="AP73" s="152"/>
      <c r="AQ73" s="152"/>
      <c r="AR73" s="152"/>
      <c r="AS73" s="152"/>
      <c r="AT73" s="152"/>
      <c r="AU73" s="153"/>
      <c r="AV73" s="696" t="s">
        <v>2</v>
      </c>
      <c r="AW73" s="155"/>
      <c r="AX73" s="155"/>
      <c r="AY73" s="155"/>
      <c r="AZ73" s="156"/>
    </row>
    <row r="74" spans="1:52" s="98" customFormat="1" ht="15" customHeight="1">
      <c r="A74" s="99"/>
      <c r="B74" s="115"/>
      <c r="C74" s="116"/>
      <c r="D74" s="116"/>
      <c r="E74" s="116"/>
      <c r="F74" s="116"/>
      <c r="G74" s="117"/>
      <c r="H74" s="117"/>
      <c r="I74" s="119" t="s">
        <v>1667</v>
      </c>
      <c r="J74" s="158" t="s">
        <v>453</v>
      </c>
      <c r="K74" s="137" t="s">
        <v>455</v>
      </c>
      <c r="L74" s="137" t="s">
        <v>457</v>
      </c>
      <c r="M74" s="137" t="s">
        <v>459</v>
      </c>
      <c r="N74" s="137" t="s">
        <v>461</v>
      </c>
      <c r="O74" s="137" t="s">
        <v>463</v>
      </c>
      <c r="P74" s="137" t="s">
        <v>465</v>
      </c>
      <c r="Q74" s="138" t="s">
        <v>467</v>
      </c>
      <c r="R74" s="120" t="s">
        <v>469</v>
      </c>
      <c r="S74" s="121" t="s">
        <v>471</v>
      </c>
      <c r="T74" s="121" t="s">
        <v>473</v>
      </c>
      <c r="U74" s="121" t="s">
        <v>475</v>
      </c>
      <c r="V74" s="122" t="s">
        <v>477</v>
      </c>
      <c r="W74" s="185"/>
      <c r="X74" s="119" t="s">
        <v>1667</v>
      </c>
      <c r="Y74" s="158" t="s">
        <v>453</v>
      </c>
      <c r="Z74" s="137" t="s">
        <v>455</v>
      </c>
      <c r="AA74" s="137" t="s">
        <v>457</v>
      </c>
      <c r="AB74" s="137" t="s">
        <v>459</v>
      </c>
      <c r="AC74" s="137" t="s">
        <v>461</v>
      </c>
      <c r="AD74" s="137" t="s">
        <v>463</v>
      </c>
      <c r="AE74" s="137" t="s">
        <v>465</v>
      </c>
      <c r="AF74" s="138" t="s">
        <v>467</v>
      </c>
      <c r="AG74" s="120" t="s">
        <v>469</v>
      </c>
      <c r="AH74" s="121" t="s">
        <v>471</v>
      </c>
      <c r="AI74" s="121" t="s">
        <v>473</v>
      </c>
      <c r="AJ74" s="121" t="s">
        <v>475</v>
      </c>
      <c r="AK74" s="122" t="s">
        <v>477</v>
      </c>
      <c r="AL74" s="185"/>
      <c r="AM74" s="119" t="s">
        <v>1667</v>
      </c>
      <c r="AN74" s="158" t="s">
        <v>453</v>
      </c>
      <c r="AO74" s="137" t="s">
        <v>455</v>
      </c>
      <c r="AP74" s="137" t="s">
        <v>457</v>
      </c>
      <c r="AQ74" s="137" t="s">
        <v>459</v>
      </c>
      <c r="AR74" s="137" t="s">
        <v>461</v>
      </c>
      <c r="AS74" s="137" t="s">
        <v>463</v>
      </c>
      <c r="AT74" s="137" t="s">
        <v>465</v>
      </c>
      <c r="AU74" s="138" t="s">
        <v>467</v>
      </c>
      <c r="AV74" s="120" t="s">
        <v>469</v>
      </c>
      <c r="AW74" s="121" t="s">
        <v>471</v>
      </c>
      <c r="AX74" s="121" t="s">
        <v>473</v>
      </c>
      <c r="AY74" s="121" t="s">
        <v>475</v>
      </c>
      <c r="AZ74" s="122" t="s">
        <v>477</v>
      </c>
    </row>
    <row r="75" spans="1:52" s="98" customFormat="1" ht="15" customHeight="1">
      <c r="A75" s="99"/>
      <c r="B75" s="161"/>
      <c r="C75" s="180" t="s">
        <v>2917</v>
      </c>
      <c r="D75" s="162"/>
      <c r="E75" s="162"/>
      <c r="F75" s="162"/>
      <c r="G75" s="163"/>
      <c r="H75" s="163"/>
      <c r="I75" s="117"/>
      <c r="J75" s="159"/>
      <c r="K75" s="117"/>
      <c r="L75" s="117"/>
      <c r="M75" s="117"/>
      <c r="N75" s="117"/>
      <c r="O75" s="117"/>
      <c r="P75" s="117"/>
      <c r="Q75" s="160"/>
      <c r="R75" s="159"/>
      <c r="S75" s="117"/>
      <c r="T75" s="117"/>
      <c r="U75" s="117"/>
      <c r="V75" s="160"/>
      <c r="W75" s="185"/>
      <c r="X75" s="117"/>
      <c r="Y75" s="159"/>
      <c r="Z75" s="117"/>
      <c r="AA75" s="117"/>
      <c r="AB75" s="117"/>
      <c r="AC75" s="117"/>
      <c r="AD75" s="117"/>
      <c r="AE75" s="117"/>
      <c r="AF75" s="160"/>
      <c r="AG75" s="159"/>
      <c r="AH75" s="117"/>
      <c r="AI75" s="117"/>
      <c r="AJ75" s="117"/>
      <c r="AK75" s="160"/>
      <c r="AL75" s="185"/>
      <c r="AM75" s="117"/>
      <c r="AN75" s="159"/>
      <c r="AO75" s="117"/>
      <c r="AP75" s="117"/>
      <c r="AQ75" s="117"/>
      <c r="AR75" s="117"/>
      <c r="AS75" s="117"/>
      <c r="AT75" s="117"/>
      <c r="AU75" s="160"/>
      <c r="AV75" s="159"/>
      <c r="AW75" s="117"/>
      <c r="AX75" s="117"/>
      <c r="AY75" s="117"/>
      <c r="AZ75" s="160"/>
    </row>
    <row r="76" spans="1:52" s="98" customFormat="1" ht="15" customHeight="1">
      <c r="A76" s="99"/>
      <c r="B76" s="161"/>
      <c r="C76" s="185"/>
      <c r="D76" s="162" t="s">
        <v>85</v>
      </c>
      <c r="E76" s="162"/>
      <c r="F76" s="162"/>
      <c r="G76" s="720" t="s">
        <v>2921</v>
      </c>
      <c r="H76" s="163"/>
      <c r="I76" s="164" t="s">
        <v>1876</v>
      </c>
      <c r="J76" s="165">
        <v>0</v>
      </c>
      <c r="K76" s="166">
        <v>0</v>
      </c>
      <c r="L76" s="166">
        <v>0</v>
      </c>
      <c r="M76" s="166">
        <v>0</v>
      </c>
      <c r="N76" s="166">
        <v>0</v>
      </c>
      <c r="O76" s="166">
        <v>0</v>
      </c>
      <c r="P76" s="166">
        <v>0</v>
      </c>
      <c r="Q76" s="167">
        <v>0</v>
      </c>
      <c r="R76" s="165">
        <v>0</v>
      </c>
      <c r="S76" s="166">
        <v>0</v>
      </c>
      <c r="T76" s="166">
        <v>0</v>
      </c>
      <c r="U76" s="166">
        <v>0</v>
      </c>
      <c r="V76" s="167">
        <v>0</v>
      </c>
      <c r="W76" s="185"/>
      <c r="X76" s="164" t="s">
        <v>2391</v>
      </c>
      <c r="Y76" s="143">
        <v>0</v>
      </c>
      <c r="Z76" s="141">
        <v>0</v>
      </c>
      <c r="AA76" s="141">
        <v>0</v>
      </c>
      <c r="AB76" s="141">
        <v>0</v>
      </c>
      <c r="AC76" s="141">
        <v>0</v>
      </c>
      <c r="AD76" s="141">
        <v>0</v>
      </c>
      <c r="AE76" s="141">
        <v>0</v>
      </c>
      <c r="AF76" s="144">
        <v>0</v>
      </c>
      <c r="AG76" s="143">
        <v>0</v>
      </c>
      <c r="AH76" s="141">
        <v>0</v>
      </c>
      <c r="AI76" s="141">
        <v>0</v>
      </c>
      <c r="AJ76" s="141">
        <v>0</v>
      </c>
      <c r="AK76" s="144">
        <v>0</v>
      </c>
      <c r="AL76" s="185"/>
      <c r="AM76" s="164" t="s">
        <v>2391</v>
      </c>
      <c r="AN76" s="143">
        <v>0</v>
      </c>
      <c r="AO76" s="141">
        <v>0</v>
      </c>
      <c r="AP76" s="141">
        <v>0</v>
      </c>
      <c r="AQ76" s="141">
        <v>0</v>
      </c>
      <c r="AR76" s="141">
        <v>0</v>
      </c>
      <c r="AS76" s="141">
        <v>0</v>
      </c>
      <c r="AT76" s="141">
        <v>0</v>
      </c>
      <c r="AU76" s="144">
        <v>0</v>
      </c>
      <c r="AV76" s="143">
        <v>0</v>
      </c>
      <c r="AW76" s="141">
        <v>0</v>
      </c>
      <c r="AX76" s="141">
        <v>0</v>
      </c>
      <c r="AY76" s="141">
        <v>0</v>
      </c>
      <c r="AZ76" s="144">
        <v>0</v>
      </c>
    </row>
    <row r="77" spans="1:52" s="98" customFormat="1" ht="15" customHeight="1">
      <c r="A77" s="99"/>
      <c r="B77" s="161"/>
      <c r="C77" s="185"/>
      <c r="D77" s="162" t="s">
        <v>85</v>
      </c>
      <c r="E77" s="162"/>
      <c r="F77" s="162"/>
      <c r="G77" s="720" t="s">
        <v>2933</v>
      </c>
      <c r="H77" s="163"/>
      <c r="I77" s="164" t="s">
        <v>1876</v>
      </c>
      <c r="J77" s="165">
        <v>1</v>
      </c>
      <c r="K77" s="166">
        <v>0</v>
      </c>
      <c r="L77" s="166">
        <v>0</v>
      </c>
      <c r="M77" s="166">
        <v>0</v>
      </c>
      <c r="N77" s="166">
        <v>0</v>
      </c>
      <c r="O77" s="166">
        <v>0</v>
      </c>
      <c r="P77" s="166">
        <v>0</v>
      </c>
      <c r="Q77" s="167">
        <v>0</v>
      </c>
      <c r="R77" s="165">
        <v>0</v>
      </c>
      <c r="S77" s="166">
        <v>0</v>
      </c>
      <c r="T77" s="166">
        <v>0</v>
      </c>
      <c r="U77" s="166">
        <v>0</v>
      </c>
      <c r="V77" s="167">
        <v>0</v>
      </c>
      <c r="W77" s="185"/>
      <c r="X77" s="164" t="s">
        <v>2391</v>
      </c>
      <c r="Y77" s="143">
        <v>0.157</v>
      </c>
      <c r="Z77" s="141">
        <v>0</v>
      </c>
      <c r="AA77" s="141">
        <v>0</v>
      </c>
      <c r="AB77" s="141">
        <v>0</v>
      </c>
      <c r="AC77" s="141">
        <v>0</v>
      </c>
      <c r="AD77" s="141">
        <v>0</v>
      </c>
      <c r="AE77" s="141">
        <v>0</v>
      </c>
      <c r="AF77" s="144">
        <v>0</v>
      </c>
      <c r="AG77" s="143">
        <v>0</v>
      </c>
      <c r="AH77" s="141">
        <v>0</v>
      </c>
      <c r="AI77" s="141">
        <v>0</v>
      </c>
      <c r="AJ77" s="141">
        <v>0</v>
      </c>
      <c r="AK77" s="144">
        <v>0</v>
      </c>
      <c r="AL77" s="185"/>
      <c r="AM77" s="164" t="s">
        <v>2391</v>
      </c>
      <c r="AN77" s="143">
        <v>0</v>
      </c>
      <c r="AO77" s="141">
        <v>0</v>
      </c>
      <c r="AP77" s="141">
        <v>0</v>
      </c>
      <c r="AQ77" s="141">
        <v>0</v>
      </c>
      <c r="AR77" s="141">
        <v>0</v>
      </c>
      <c r="AS77" s="141">
        <v>0</v>
      </c>
      <c r="AT77" s="141">
        <v>0</v>
      </c>
      <c r="AU77" s="144">
        <v>0</v>
      </c>
      <c r="AV77" s="143">
        <v>0</v>
      </c>
      <c r="AW77" s="141">
        <v>0</v>
      </c>
      <c r="AX77" s="141">
        <v>0</v>
      </c>
      <c r="AY77" s="141">
        <v>0</v>
      </c>
      <c r="AZ77" s="144">
        <v>0</v>
      </c>
    </row>
    <row r="78" spans="1:52" s="98" customFormat="1" ht="15" customHeight="1">
      <c r="A78" s="99"/>
      <c r="B78" s="161"/>
      <c r="C78" s="185"/>
      <c r="D78" s="162" t="s">
        <v>85</v>
      </c>
      <c r="E78" s="162"/>
      <c r="F78" s="162"/>
      <c r="G78" s="720" t="s">
        <v>2938</v>
      </c>
      <c r="H78" s="163"/>
      <c r="I78" s="164" t="s">
        <v>1876</v>
      </c>
      <c r="J78" s="165">
        <v>1</v>
      </c>
      <c r="K78" s="166">
        <v>1</v>
      </c>
      <c r="L78" s="166">
        <v>1</v>
      </c>
      <c r="M78" s="166">
        <v>1</v>
      </c>
      <c r="N78" s="166">
        <v>1</v>
      </c>
      <c r="O78" s="166">
        <v>1</v>
      </c>
      <c r="P78" s="166">
        <v>1</v>
      </c>
      <c r="Q78" s="167">
        <v>1</v>
      </c>
      <c r="R78" s="165">
        <v>1</v>
      </c>
      <c r="S78" s="166">
        <v>1</v>
      </c>
      <c r="T78" s="166">
        <v>1</v>
      </c>
      <c r="U78" s="166">
        <v>1</v>
      </c>
      <c r="V78" s="167">
        <v>1</v>
      </c>
      <c r="W78" s="185"/>
      <c r="X78" s="164" t="s">
        <v>2391</v>
      </c>
      <c r="Y78" s="143">
        <v>2.1682319277108432E-2</v>
      </c>
      <c r="Z78" s="141">
        <v>7.6759197079838502E-3</v>
      </c>
      <c r="AA78" s="141">
        <v>7.6457617778355729E-3</v>
      </c>
      <c r="AB78" s="141">
        <v>1.1063480381887741E-2</v>
      </c>
      <c r="AC78" s="141">
        <v>4.8966949310152033E-3</v>
      </c>
      <c r="AD78" s="141">
        <v>4.8469195982319248E-3</v>
      </c>
      <c r="AE78" s="141">
        <v>1.9810000000000001E-2</v>
      </c>
      <c r="AF78" s="144">
        <v>2.0809999999999999E-2</v>
      </c>
      <c r="AG78" s="143">
        <v>1.5155639866077311E-2</v>
      </c>
      <c r="AH78" s="141">
        <v>1.8591879955359103E-2</v>
      </c>
      <c r="AI78" s="141">
        <v>1.8185839940478805E-2</v>
      </c>
      <c r="AJ78" s="141">
        <v>1.7311119920638406E-2</v>
      </c>
      <c r="AK78" s="144">
        <v>1.8029613272158771E-2</v>
      </c>
      <c r="AL78" s="185"/>
      <c r="AM78" s="164" t="s">
        <v>2391</v>
      </c>
      <c r="AN78" s="143">
        <v>0</v>
      </c>
      <c r="AO78" s="141">
        <v>0</v>
      </c>
      <c r="AP78" s="141">
        <v>0</v>
      </c>
      <c r="AQ78" s="141">
        <v>0</v>
      </c>
      <c r="AR78" s="141">
        <v>0</v>
      </c>
      <c r="AS78" s="141">
        <v>0</v>
      </c>
      <c r="AT78" s="141">
        <v>0</v>
      </c>
      <c r="AU78" s="144">
        <v>0</v>
      </c>
      <c r="AV78" s="143">
        <v>0</v>
      </c>
      <c r="AW78" s="141">
        <v>0</v>
      </c>
      <c r="AX78" s="141">
        <v>0</v>
      </c>
      <c r="AY78" s="141">
        <v>0</v>
      </c>
      <c r="AZ78" s="144">
        <v>0</v>
      </c>
    </row>
    <row r="79" spans="1:52" s="98" customFormat="1" ht="15" customHeight="1">
      <c r="A79" s="99"/>
      <c r="B79" s="161"/>
      <c r="C79" s="185"/>
      <c r="D79" s="162" t="s">
        <v>85</v>
      </c>
      <c r="E79" s="162"/>
      <c r="F79" s="162"/>
      <c r="G79" s="720" t="s">
        <v>2945</v>
      </c>
      <c r="H79" s="163"/>
      <c r="I79" s="164" t="s">
        <v>1876</v>
      </c>
      <c r="J79" s="165">
        <v>0</v>
      </c>
      <c r="K79" s="166">
        <v>0</v>
      </c>
      <c r="L79" s="166">
        <v>0</v>
      </c>
      <c r="M79" s="166">
        <v>0</v>
      </c>
      <c r="N79" s="166">
        <v>0</v>
      </c>
      <c r="O79" s="166">
        <v>0</v>
      </c>
      <c r="P79" s="166">
        <v>0</v>
      </c>
      <c r="Q79" s="167">
        <v>0</v>
      </c>
      <c r="R79" s="165">
        <v>0</v>
      </c>
      <c r="S79" s="166">
        <v>0</v>
      </c>
      <c r="T79" s="166">
        <v>0</v>
      </c>
      <c r="U79" s="166">
        <v>0</v>
      </c>
      <c r="V79" s="167">
        <v>0</v>
      </c>
      <c r="W79" s="185"/>
      <c r="X79" s="164" t="s">
        <v>2391</v>
      </c>
      <c r="Y79" s="143">
        <v>0</v>
      </c>
      <c r="Z79" s="141">
        <v>0</v>
      </c>
      <c r="AA79" s="141">
        <v>0</v>
      </c>
      <c r="AB79" s="141">
        <v>0</v>
      </c>
      <c r="AC79" s="141">
        <v>0</v>
      </c>
      <c r="AD79" s="141">
        <v>0</v>
      </c>
      <c r="AE79" s="141">
        <v>0</v>
      </c>
      <c r="AF79" s="144">
        <v>0</v>
      </c>
      <c r="AG79" s="143">
        <v>0</v>
      </c>
      <c r="AH79" s="141">
        <v>0</v>
      </c>
      <c r="AI79" s="141">
        <v>0</v>
      </c>
      <c r="AJ79" s="141">
        <v>0</v>
      </c>
      <c r="AK79" s="144">
        <v>0</v>
      </c>
      <c r="AL79" s="185"/>
      <c r="AM79" s="164" t="s">
        <v>2391</v>
      </c>
      <c r="AN79" s="143">
        <v>0</v>
      </c>
      <c r="AO79" s="141">
        <v>0</v>
      </c>
      <c r="AP79" s="141">
        <v>0</v>
      </c>
      <c r="AQ79" s="141">
        <v>0</v>
      </c>
      <c r="AR79" s="141">
        <v>0</v>
      </c>
      <c r="AS79" s="141">
        <v>0</v>
      </c>
      <c r="AT79" s="141">
        <v>0</v>
      </c>
      <c r="AU79" s="144">
        <v>0</v>
      </c>
      <c r="AV79" s="143">
        <v>0</v>
      </c>
      <c r="AW79" s="141">
        <v>0</v>
      </c>
      <c r="AX79" s="141">
        <v>0</v>
      </c>
      <c r="AY79" s="141">
        <v>0</v>
      </c>
      <c r="AZ79" s="144">
        <v>0</v>
      </c>
    </row>
    <row r="80" spans="1:52" s="98" customFormat="1" ht="15" customHeight="1">
      <c r="A80" s="99"/>
      <c r="B80" s="161"/>
      <c r="C80" s="185"/>
      <c r="D80" s="162" t="s">
        <v>85</v>
      </c>
      <c r="E80" s="162"/>
      <c r="F80" s="162"/>
      <c r="G80" s="720"/>
      <c r="H80" s="163"/>
      <c r="I80" s="164" t="s">
        <v>1876</v>
      </c>
      <c r="J80" s="165">
        <v>0</v>
      </c>
      <c r="K80" s="166">
        <v>0</v>
      </c>
      <c r="L80" s="166">
        <v>0</v>
      </c>
      <c r="M80" s="166">
        <v>0</v>
      </c>
      <c r="N80" s="166">
        <v>0</v>
      </c>
      <c r="O80" s="166">
        <v>0</v>
      </c>
      <c r="P80" s="166">
        <v>0</v>
      </c>
      <c r="Q80" s="167">
        <v>0</v>
      </c>
      <c r="R80" s="165">
        <v>0</v>
      </c>
      <c r="S80" s="166">
        <v>0</v>
      </c>
      <c r="T80" s="166">
        <v>0</v>
      </c>
      <c r="U80" s="166">
        <v>0</v>
      </c>
      <c r="V80" s="167">
        <v>0</v>
      </c>
      <c r="W80" s="185"/>
      <c r="X80" s="164" t="s">
        <v>2391</v>
      </c>
      <c r="Y80" s="143">
        <v>0</v>
      </c>
      <c r="Z80" s="141">
        <v>0</v>
      </c>
      <c r="AA80" s="141">
        <v>0</v>
      </c>
      <c r="AB80" s="141">
        <v>0</v>
      </c>
      <c r="AC80" s="141">
        <v>0</v>
      </c>
      <c r="AD80" s="141">
        <v>0</v>
      </c>
      <c r="AE80" s="141">
        <v>0</v>
      </c>
      <c r="AF80" s="144">
        <v>0</v>
      </c>
      <c r="AG80" s="143">
        <v>0</v>
      </c>
      <c r="AH80" s="141">
        <v>0</v>
      </c>
      <c r="AI80" s="141">
        <v>0</v>
      </c>
      <c r="AJ80" s="141">
        <v>0</v>
      </c>
      <c r="AK80" s="144">
        <v>0</v>
      </c>
      <c r="AL80" s="185"/>
      <c r="AM80" s="164" t="s">
        <v>2391</v>
      </c>
      <c r="AN80" s="143">
        <v>0</v>
      </c>
      <c r="AO80" s="141">
        <v>0</v>
      </c>
      <c r="AP80" s="141">
        <v>0</v>
      </c>
      <c r="AQ80" s="141">
        <v>0</v>
      </c>
      <c r="AR80" s="141">
        <v>0</v>
      </c>
      <c r="AS80" s="141">
        <v>0</v>
      </c>
      <c r="AT80" s="141">
        <v>0</v>
      </c>
      <c r="AU80" s="144">
        <v>0</v>
      </c>
      <c r="AV80" s="143">
        <v>0</v>
      </c>
      <c r="AW80" s="141">
        <v>0</v>
      </c>
      <c r="AX80" s="141">
        <v>0</v>
      </c>
      <c r="AY80" s="141">
        <v>0</v>
      </c>
      <c r="AZ80" s="144">
        <v>0</v>
      </c>
    </row>
    <row r="81" spans="1:52" s="98" customFormat="1" ht="15" customHeight="1">
      <c r="A81" s="99"/>
      <c r="B81" s="161"/>
      <c r="C81" s="185"/>
      <c r="D81" s="162" t="s">
        <v>85</v>
      </c>
      <c r="E81" s="162"/>
      <c r="F81" s="162"/>
      <c r="G81" s="720"/>
      <c r="H81" s="163"/>
      <c r="I81" s="164" t="s">
        <v>1876</v>
      </c>
      <c r="J81" s="165">
        <v>0</v>
      </c>
      <c r="K81" s="166">
        <v>0</v>
      </c>
      <c r="L81" s="166">
        <v>0</v>
      </c>
      <c r="M81" s="166">
        <v>0</v>
      </c>
      <c r="N81" s="166">
        <v>0</v>
      </c>
      <c r="O81" s="166">
        <v>0</v>
      </c>
      <c r="P81" s="166">
        <v>0</v>
      </c>
      <c r="Q81" s="167">
        <v>0</v>
      </c>
      <c r="R81" s="165">
        <v>0</v>
      </c>
      <c r="S81" s="166">
        <v>0</v>
      </c>
      <c r="T81" s="166">
        <v>0</v>
      </c>
      <c r="U81" s="166">
        <v>0</v>
      </c>
      <c r="V81" s="167">
        <v>0</v>
      </c>
      <c r="W81" s="185"/>
      <c r="X81" s="164" t="s">
        <v>2391</v>
      </c>
      <c r="Y81" s="143">
        <v>0</v>
      </c>
      <c r="Z81" s="141">
        <v>0</v>
      </c>
      <c r="AA81" s="141">
        <v>0</v>
      </c>
      <c r="AB81" s="141">
        <v>0</v>
      </c>
      <c r="AC81" s="141">
        <v>0</v>
      </c>
      <c r="AD81" s="141">
        <v>0</v>
      </c>
      <c r="AE81" s="141">
        <v>0</v>
      </c>
      <c r="AF81" s="144">
        <v>0</v>
      </c>
      <c r="AG81" s="143">
        <v>0</v>
      </c>
      <c r="AH81" s="141">
        <v>0</v>
      </c>
      <c r="AI81" s="141">
        <v>0</v>
      </c>
      <c r="AJ81" s="141">
        <v>0</v>
      </c>
      <c r="AK81" s="144">
        <v>0</v>
      </c>
      <c r="AL81" s="185"/>
      <c r="AM81" s="164" t="s">
        <v>2391</v>
      </c>
      <c r="AN81" s="143">
        <v>0</v>
      </c>
      <c r="AO81" s="141">
        <v>0</v>
      </c>
      <c r="AP81" s="141">
        <v>0</v>
      </c>
      <c r="AQ81" s="141">
        <v>0</v>
      </c>
      <c r="AR81" s="141">
        <v>0</v>
      </c>
      <c r="AS81" s="141">
        <v>0</v>
      </c>
      <c r="AT81" s="141">
        <v>0</v>
      </c>
      <c r="AU81" s="144">
        <v>0</v>
      </c>
      <c r="AV81" s="143">
        <v>0</v>
      </c>
      <c r="AW81" s="141">
        <v>0</v>
      </c>
      <c r="AX81" s="141">
        <v>0</v>
      </c>
      <c r="AY81" s="141">
        <v>0</v>
      </c>
      <c r="AZ81" s="144">
        <v>0</v>
      </c>
    </row>
    <row r="82" spans="1:52" s="98" customFormat="1" ht="15" customHeight="1">
      <c r="A82" s="99"/>
      <c r="B82" s="161"/>
      <c r="C82" s="185"/>
      <c r="D82" s="162" t="s">
        <v>85</v>
      </c>
      <c r="E82" s="162"/>
      <c r="F82" s="162"/>
      <c r="G82" s="720"/>
      <c r="H82" s="163"/>
      <c r="I82" s="164" t="s">
        <v>1876</v>
      </c>
      <c r="J82" s="165">
        <v>0</v>
      </c>
      <c r="K82" s="166">
        <v>0</v>
      </c>
      <c r="L82" s="166">
        <v>0</v>
      </c>
      <c r="M82" s="166">
        <v>0</v>
      </c>
      <c r="N82" s="166">
        <v>0</v>
      </c>
      <c r="O82" s="166">
        <v>0</v>
      </c>
      <c r="P82" s="166">
        <v>0</v>
      </c>
      <c r="Q82" s="167">
        <v>0</v>
      </c>
      <c r="R82" s="165">
        <v>0</v>
      </c>
      <c r="S82" s="166">
        <v>0</v>
      </c>
      <c r="T82" s="166">
        <v>0</v>
      </c>
      <c r="U82" s="166">
        <v>0</v>
      </c>
      <c r="V82" s="167">
        <v>0</v>
      </c>
      <c r="W82" s="185"/>
      <c r="X82" s="164" t="s">
        <v>2391</v>
      </c>
      <c r="Y82" s="143">
        <v>0</v>
      </c>
      <c r="Z82" s="141">
        <v>0</v>
      </c>
      <c r="AA82" s="141">
        <v>0</v>
      </c>
      <c r="AB82" s="141">
        <v>0</v>
      </c>
      <c r="AC82" s="141">
        <v>0</v>
      </c>
      <c r="AD82" s="141">
        <v>0</v>
      </c>
      <c r="AE82" s="141">
        <v>0</v>
      </c>
      <c r="AF82" s="144">
        <v>0</v>
      </c>
      <c r="AG82" s="143">
        <v>0</v>
      </c>
      <c r="AH82" s="141">
        <v>0</v>
      </c>
      <c r="AI82" s="141">
        <v>0</v>
      </c>
      <c r="AJ82" s="141">
        <v>0</v>
      </c>
      <c r="AK82" s="144">
        <v>0</v>
      </c>
      <c r="AL82" s="185"/>
      <c r="AM82" s="164" t="s">
        <v>2391</v>
      </c>
      <c r="AN82" s="143">
        <v>0</v>
      </c>
      <c r="AO82" s="141">
        <v>0</v>
      </c>
      <c r="AP82" s="141">
        <v>0</v>
      </c>
      <c r="AQ82" s="141">
        <v>0</v>
      </c>
      <c r="AR82" s="141">
        <v>0</v>
      </c>
      <c r="AS82" s="141">
        <v>0</v>
      </c>
      <c r="AT82" s="141">
        <v>0</v>
      </c>
      <c r="AU82" s="144">
        <v>0</v>
      </c>
      <c r="AV82" s="143">
        <v>0</v>
      </c>
      <c r="AW82" s="141">
        <v>0</v>
      </c>
      <c r="AX82" s="141">
        <v>0</v>
      </c>
      <c r="AY82" s="141">
        <v>0</v>
      </c>
      <c r="AZ82" s="144">
        <v>0</v>
      </c>
    </row>
    <row r="83" spans="1:52" s="98" customFormat="1" ht="15" customHeight="1">
      <c r="A83" s="99"/>
      <c r="B83" s="161"/>
      <c r="C83" s="185"/>
      <c r="D83" s="162" t="s">
        <v>85</v>
      </c>
      <c r="E83" s="162"/>
      <c r="F83" s="162"/>
      <c r="G83" s="720"/>
      <c r="H83" s="163"/>
      <c r="I83" s="164" t="s">
        <v>1876</v>
      </c>
      <c r="J83" s="165">
        <v>0</v>
      </c>
      <c r="K83" s="166">
        <v>0</v>
      </c>
      <c r="L83" s="166">
        <v>0</v>
      </c>
      <c r="M83" s="166">
        <v>0</v>
      </c>
      <c r="N83" s="166">
        <v>0</v>
      </c>
      <c r="O83" s="166">
        <v>0</v>
      </c>
      <c r="P83" s="166">
        <v>0</v>
      </c>
      <c r="Q83" s="167">
        <v>0</v>
      </c>
      <c r="R83" s="165">
        <v>0</v>
      </c>
      <c r="S83" s="166">
        <v>0</v>
      </c>
      <c r="T83" s="166">
        <v>0</v>
      </c>
      <c r="U83" s="166">
        <v>0</v>
      </c>
      <c r="V83" s="167">
        <v>0</v>
      </c>
      <c r="W83" s="185"/>
      <c r="X83" s="164" t="s">
        <v>2391</v>
      </c>
      <c r="Y83" s="143">
        <v>0</v>
      </c>
      <c r="Z83" s="141">
        <v>0</v>
      </c>
      <c r="AA83" s="141">
        <v>0</v>
      </c>
      <c r="AB83" s="141">
        <v>0</v>
      </c>
      <c r="AC83" s="141">
        <v>0</v>
      </c>
      <c r="AD83" s="141">
        <v>0</v>
      </c>
      <c r="AE83" s="141">
        <v>0</v>
      </c>
      <c r="AF83" s="144">
        <v>0</v>
      </c>
      <c r="AG83" s="143">
        <v>0</v>
      </c>
      <c r="AH83" s="141">
        <v>0</v>
      </c>
      <c r="AI83" s="141">
        <v>0</v>
      </c>
      <c r="AJ83" s="141">
        <v>0</v>
      </c>
      <c r="AK83" s="144">
        <v>0</v>
      </c>
      <c r="AL83" s="185"/>
      <c r="AM83" s="164" t="s">
        <v>2391</v>
      </c>
      <c r="AN83" s="143">
        <v>0</v>
      </c>
      <c r="AO83" s="141">
        <v>0</v>
      </c>
      <c r="AP83" s="141">
        <v>0</v>
      </c>
      <c r="AQ83" s="141">
        <v>0</v>
      </c>
      <c r="AR83" s="141">
        <v>0</v>
      </c>
      <c r="AS83" s="141">
        <v>0</v>
      </c>
      <c r="AT83" s="141">
        <v>0</v>
      </c>
      <c r="AU83" s="144">
        <v>0</v>
      </c>
      <c r="AV83" s="143">
        <v>0</v>
      </c>
      <c r="AW83" s="141">
        <v>0</v>
      </c>
      <c r="AX83" s="141">
        <v>0</v>
      </c>
      <c r="AY83" s="141">
        <v>0</v>
      </c>
      <c r="AZ83" s="144">
        <v>0</v>
      </c>
    </row>
    <row r="84" spans="1:52" s="98" customFormat="1" ht="15" customHeight="1">
      <c r="A84" s="99"/>
      <c r="B84" s="161"/>
      <c r="C84" s="185"/>
      <c r="D84" s="162" t="s">
        <v>85</v>
      </c>
      <c r="E84" s="162"/>
      <c r="F84" s="162"/>
      <c r="G84" s="720"/>
      <c r="H84" s="163"/>
      <c r="I84" s="164" t="s">
        <v>1876</v>
      </c>
      <c r="J84" s="165">
        <v>0</v>
      </c>
      <c r="K84" s="166">
        <v>0</v>
      </c>
      <c r="L84" s="166">
        <v>0</v>
      </c>
      <c r="M84" s="166">
        <v>0</v>
      </c>
      <c r="N84" s="166">
        <v>0</v>
      </c>
      <c r="O84" s="166">
        <v>0</v>
      </c>
      <c r="P84" s="166">
        <v>0</v>
      </c>
      <c r="Q84" s="167">
        <v>0</v>
      </c>
      <c r="R84" s="165">
        <v>0</v>
      </c>
      <c r="S84" s="166">
        <v>0</v>
      </c>
      <c r="T84" s="166">
        <v>0</v>
      </c>
      <c r="U84" s="166">
        <v>0</v>
      </c>
      <c r="V84" s="167">
        <v>0</v>
      </c>
      <c r="W84" s="185"/>
      <c r="X84" s="164" t="s">
        <v>2391</v>
      </c>
      <c r="Y84" s="143">
        <v>0</v>
      </c>
      <c r="Z84" s="141">
        <v>0</v>
      </c>
      <c r="AA84" s="141">
        <v>0</v>
      </c>
      <c r="AB84" s="141">
        <v>0</v>
      </c>
      <c r="AC84" s="141">
        <v>0</v>
      </c>
      <c r="AD84" s="141">
        <v>0</v>
      </c>
      <c r="AE84" s="141">
        <v>0</v>
      </c>
      <c r="AF84" s="144">
        <v>0</v>
      </c>
      <c r="AG84" s="143">
        <v>0</v>
      </c>
      <c r="AH84" s="141">
        <v>0</v>
      </c>
      <c r="AI84" s="141">
        <v>0</v>
      </c>
      <c r="AJ84" s="141">
        <v>0</v>
      </c>
      <c r="AK84" s="144">
        <v>0</v>
      </c>
      <c r="AL84" s="185"/>
      <c r="AM84" s="164" t="s">
        <v>2391</v>
      </c>
      <c r="AN84" s="143">
        <v>0</v>
      </c>
      <c r="AO84" s="141">
        <v>0</v>
      </c>
      <c r="AP84" s="141">
        <v>0</v>
      </c>
      <c r="AQ84" s="141">
        <v>0</v>
      </c>
      <c r="AR84" s="141">
        <v>0</v>
      </c>
      <c r="AS84" s="141">
        <v>0</v>
      </c>
      <c r="AT84" s="141">
        <v>0</v>
      </c>
      <c r="AU84" s="144">
        <v>0</v>
      </c>
      <c r="AV84" s="143">
        <v>0</v>
      </c>
      <c r="AW84" s="141">
        <v>0</v>
      </c>
      <c r="AX84" s="141">
        <v>0</v>
      </c>
      <c r="AY84" s="141">
        <v>0</v>
      </c>
      <c r="AZ84" s="144">
        <v>0</v>
      </c>
    </row>
    <row r="85" spans="1:52" s="98" customFormat="1" ht="15" customHeight="1">
      <c r="A85" s="99"/>
      <c r="B85" s="161"/>
      <c r="C85" s="185"/>
      <c r="D85" s="162" t="s">
        <v>85</v>
      </c>
      <c r="E85" s="162"/>
      <c r="F85" s="162"/>
      <c r="G85" s="720"/>
      <c r="H85" s="163"/>
      <c r="I85" s="164" t="s">
        <v>1876</v>
      </c>
      <c r="J85" s="165">
        <v>0</v>
      </c>
      <c r="K85" s="166">
        <v>0</v>
      </c>
      <c r="L85" s="166">
        <v>0</v>
      </c>
      <c r="M85" s="166">
        <v>0</v>
      </c>
      <c r="N85" s="166">
        <v>0</v>
      </c>
      <c r="O85" s="166">
        <v>0</v>
      </c>
      <c r="P85" s="166">
        <v>0</v>
      </c>
      <c r="Q85" s="167">
        <v>0</v>
      </c>
      <c r="R85" s="165">
        <v>0</v>
      </c>
      <c r="S85" s="166">
        <v>0</v>
      </c>
      <c r="T85" s="166">
        <v>0</v>
      </c>
      <c r="U85" s="166">
        <v>0</v>
      </c>
      <c r="V85" s="167">
        <v>0</v>
      </c>
      <c r="W85" s="185"/>
      <c r="X85" s="164" t="s">
        <v>2391</v>
      </c>
      <c r="Y85" s="143">
        <v>0</v>
      </c>
      <c r="Z85" s="141">
        <v>0</v>
      </c>
      <c r="AA85" s="141">
        <v>0</v>
      </c>
      <c r="AB85" s="141">
        <v>0</v>
      </c>
      <c r="AC85" s="141">
        <v>0</v>
      </c>
      <c r="AD85" s="141">
        <v>0</v>
      </c>
      <c r="AE85" s="141">
        <v>0</v>
      </c>
      <c r="AF85" s="144">
        <v>0</v>
      </c>
      <c r="AG85" s="143">
        <v>0</v>
      </c>
      <c r="AH85" s="141">
        <v>0</v>
      </c>
      <c r="AI85" s="141">
        <v>0</v>
      </c>
      <c r="AJ85" s="141">
        <v>0</v>
      </c>
      <c r="AK85" s="144">
        <v>0</v>
      </c>
      <c r="AL85" s="185"/>
      <c r="AM85" s="164" t="s">
        <v>2391</v>
      </c>
      <c r="AN85" s="143">
        <v>0</v>
      </c>
      <c r="AO85" s="141">
        <v>0</v>
      </c>
      <c r="AP85" s="141">
        <v>0</v>
      </c>
      <c r="AQ85" s="141">
        <v>0</v>
      </c>
      <c r="AR85" s="141">
        <v>0</v>
      </c>
      <c r="AS85" s="141">
        <v>0</v>
      </c>
      <c r="AT85" s="141">
        <v>0</v>
      </c>
      <c r="AU85" s="144">
        <v>0</v>
      </c>
      <c r="AV85" s="143">
        <v>0</v>
      </c>
      <c r="AW85" s="141">
        <v>0</v>
      </c>
      <c r="AX85" s="141">
        <v>0</v>
      </c>
      <c r="AY85" s="141">
        <v>0</v>
      </c>
      <c r="AZ85" s="144">
        <v>0</v>
      </c>
    </row>
    <row r="86" spans="1:52" s="98" customFormat="1" ht="15" customHeight="1">
      <c r="A86" s="99"/>
      <c r="B86" s="161"/>
      <c r="C86" s="185"/>
      <c r="D86" s="162" t="s">
        <v>85</v>
      </c>
      <c r="E86" s="162"/>
      <c r="F86" s="162"/>
      <c r="G86" s="720"/>
      <c r="H86" s="163"/>
      <c r="I86" s="164" t="s">
        <v>1876</v>
      </c>
      <c r="J86" s="165">
        <v>0</v>
      </c>
      <c r="K86" s="166">
        <v>0</v>
      </c>
      <c r="L86" s="166">
        <v>0</v>
      </c>
      <c r="M86" s="166">
        <v>0</v>
      </c>
      <c r="N86" s="166">
        <v>0</v>
      </c>
      <c r="O86" s="166">
        <v>0</v>
      </c>
      <c r="P86" s="166">
        <v>0</v>
      </c>
      <c r="Q86" s="167">
        <v>0</v>
      </c>
      <c r="R86" s="165">
        <v>0</v>
      </c>
      <c r="S86" s="166">
        <v>0</v>
      </c>
      <c r="T86" s="166">
        <v>0</v>
      </c>
      <c r="U86" s="166">
        <v>0</v>
      </c>
      <c r="V86" s="167">
        <v>0</v>
      </c>
      <c r="W86" s="185"/>
      <c r="X86" s="164" t="s">
        <v>2391</v>
      </c>
      <c r="Y86" s="143">
        <v>0</v>
      </c>
      <c r="Z86" s="141">
        <v>0</v>
      </c>
      <c r="AA86" s="141">
        <v>0</v>
      </c>
      <c r="AB86" s="141">
        <v>0</v>
      </c>
      <c r="AC86" s="141">
        <v>0</v>
      </c>
      <c r="AD86" s="141">
        <v>0</v>
      </c>
      <c r="AE86" s="141">
        <v>0</v>
      </c>
      <c r="AF86" s="144">
        <v>0</v>
      </c>
      <c r="AG86" s="143">
        <v>0</v>
      </c>
      <c r="AH86" s="141">
        <v>0</v>
      </c>
      <c r="AI86" s="141">
        <v>0</v>
      </c>
      <c r="AJ86" s="141">
        <v>0</v>
      </c>
      <c r="AK86" s="144">
        <v>0</v>
      </c>
      <c r="AL86" s="185"/>
      <c r="AM86" s="164" t="s">
        <v>2391</v>
      </c>
      <c r="AN86" s="143">
        <v>0</v>
      </c>
      <c r="AO86" s="141">
        <v>0</v>
      </c>
      <c r="AP86" s="141">
        <v>0</v>
      </c>
      <c r="AQ86" s="141">
        <v>0</v>
      </c>
      <c r="AR86" s="141">
        <v>0</v>
      </c>
      <c r="AS86" s="141">
        <v>0</v>
      </c>
      <c r="AT86" s="141">
        <v>0</v>
      </c>
      <c r="AU86" s="144">
        <v>0</v>
      </c>
      <c r="AV86" s="143">
        <v>0</v>
      </c>
      <c r="AW86" s="141">
        <v>0</v>
      </c>
      <c r="AX86" s="141">
        <v>0</v>
      </c>
      <c r="AY86" s="141">
        <v>0</v>
      </c>
      <c r="AZ86" s="144">
        <v>0</v>
      </c>
    </row>
    <row r="87" spans="1:52" s="98" customFormat="1" ht="15" customHeight="1">
      <c r="A87" s="99"/>
      <c r="B87" s="161"/>
      <c r="C87" s="185"/>
      <c r="D87" s="162" t="s">
        <v>85</v>
      </c>
      <c r="E87" s="162"/>
      <c r="F87" s="162"/>
      <c r="G87" s="720"/>
      <c r="H87" s="163"/>
      <c r="I87" s="164" t="s">
        <v>1876</v>
      </c>
      <c r="J87" s="165">
        <v>0</v>
      </c>
      <c r="K87" s="166">
        <v>0</v>
      </c>
      <c r="L87" s="166">
        <v>0</v>
      </c>
      <c r="M87" s="166">
        <v>0</v>
      </c>
      <c r="N87" s="166">
        <v>0</v>
      </c>
      <c r="O87" s="166">
        <v>0</v>
      </c>
      <c r="P87" s="166">
        <v>0</v>
      </c>
      <c r="Q87" s="167">
        <v>0</v>
      </c>
      <c r="R87" s="165">
        <v>0</v>
      </c>
      <c r="S87" s="166">
        <v>0</v>
      </c>
      <c r="T87" s="166">
        <v>0</v>
      </c>
      <c r="U87" s="166">
        <v>0</v>
      </c>
      <c r="V87" s="167">
        <v>0</v>
      </c>
      <c r="W87" s="185"/>
      <c r="X87" s="164" t="s">
        <v>2391</v>
      </c>
      <c r="Y87" s="143">
        <v>0</v>
      </c>
      <c r="Z87" s="141">
        <v>0</v>
      </c>
      <c r="AA87" s="141">
        <v>0</v>
      </c>
      <c r="AB87" s="141">
        <v>0</v>
      </c>
      <c r="AC87" s="141">
        <v>0</v>
      </c>
      <c r="AD87" s="141">
        <v>0</v>
      </c>
      <c r="AE87" s="141">
        <v>0</v>
      </c>
      <c r="AF87" s="144">
        <v>0</v>
      </c>
      <c r="AG87" s="143">
        <v>0</v>
      </c>
      <c r="AH87" s="141">
        <v>0</v>
      </c>
      <c r="AI87" s="141">
        <v>0</v>
      </c>
      <c r="AJ87" s="141">
        <v>0</v>
      </c>
      <c r="AK87" s="144">
        <v>0</v>
      </c>
      <c r="AL87" s="185"/>
      <c r="AM87" s="164" t="s">
        <v>2391</v>
      </c>
      <c r="AN87" s="143">
        <v>0</v>
      </c>
      <c r="AO87" s="141">
        <v>0</v>
      </c>
      <c r="AP87" s="141">
        <v>0</v>
      </c>
      <c r="AQ87" s="141">
        <v>0</v>
      </c>
      <c r="AR87" s="141">
        <v>0</v>
      </c>
      <c r="AS87" s="141">
        <v>0</v>
      </c>
      <c r="AT87" s="141">
        <v>0</v>
      </c>
      <c r="AU87" s="144">
        <v>0</v>
      </c>
      <c r="AV87" s="143">
        <v>0</v>
      </c>
      <c r="AW87" s="141">
        <v>0</v>
      </c>
      <c r="AX87" s="141">
        <v>0</v>
      </c>
      <c r="AY87" s="141">
        <v>0</v>
      </c>
      <c r="AZ87" s="144">
        <v>0</v>
      </c>
    </row>
    <row r="88" spans="1:52" s="98" customFormat="1" ht="15" customHeight="1">
      <c r="A88" s="99"/>
      <c r="B88" s="161"/>
      <c r="C88" s="185"/>
      <c r="D88" s="162" t="s">
        <v>85</v>
      </c>
      <c r="E88" s="162"/>
      <c r="F88" s="162"/>
      <c r="G88" s="720"/>
      <c r="H88" s="163"/>
      <c r="I88" s="164" t="s">
        <v>1876</v>
      </c>
      <c r="J88" s="165">
        <v>0</v>
      </c>
      <c r="K88" s="166">
        <v>0</v>
      </c>
      <c r="L88" s="166">
        <v>0</v>
      </c>
      <c r="M88" s="166">
        <v>0</v>
      </c>
      <c r="N88" s="166">
        <v>0</v>
      </c>
      <c r="O88" s="166">
        <v>0</v>
      </c>
      <c r="P88" s="166">
        <v>0</v>
      </c>
      <c r="Q88" s="167">
        <v>0</v>
      </c>
      <c r="R88" s="165">
        <v>0</v>
      </c>
      <c r="S88" s="166">
        <v>0</v>
      </c>
      <c r="T88" s="166">
        <v>0</v>
      </c>
      <c r="U88" s="166">
        <v>0</v>
      </c>
      <c r="V88" s="167">
        <v>0</v>
      </c>
      <c r="W88" s="185"/>
      <c r="X88" s="164" t="s">
        <v>2391</v>
      </c>
      <c r="Y88" s="143">
        <v>0</v>
      </c>
      <c r="Z88" s="141">
        <v>0</v>
      </c>
      <c r="AA88" s="141">
        <v>0</v>
      </c>
      <c r="AB88" s="141">
        <v>0</v>
      </c>
      <c r="AC88" s="141">
        <v>0</v>
      </c>
      <c r="AD88" s="141">
        <v>0</v>
      </c>
      <c r="AE88" s="141">
        <v>0</v>
      </c>
      <c r="AF88" s="144">
        <v>0</v>
      </c>
      <c r="AG88" s="143">
        <v>0</v>
      </c>
      <c r="AH88" s="141">
        <v>0</v>
      </c>
      <c r="AI88" s="141">
        <v>0</v>
      </c>
      <c r="AJ88" s="141">
        <v>0</v>
      </c>
      <c r="AK88" s="144">
        <v>0</v>
      </c>
      <c r="AL88" s="185"/>
      <c r="AM88" s="164" t="s">
        <v>2391</v>
      </c>
      <c r="AN88" s="143">
        <v>0</v>
      </c>
      <c r="AO88" s="141">
        <v>0</v>
      </c>
      <c r="AP88" s="141">
        <v>0</v>
      </c>
      <c r="AQ88" s="141">
        <v>0</v>
      </c>
      <c r="AR88" s="141">
        <v>0</v>
      </c>
      <c r="AS88" s="141">
        <v>0</v>
      </c>
      <c r="AT88" s="141">
        <v>0</v>
      </c>
      <c r="AU88" s="144">
        <v>0</v>
      </c>
      <c r="AV88" s="143">
        <v>0</v>
      </c>
      <c r="AW88" s="141">
        <v>0</v>
      </c>
      <c r="AX88" s="141">
        <v>0</v>
      </c>
      <c r="AY88" s="141">
        <v>0</v>
      </c>
      <c r="AZ88" s="144">
        <v>0</v>
      </c>
    </row>
    <row r="89" spans="1:52" s="98" customFormat="1" ht="15" customHeight="1">
      <c r="A89" s="99"/>
      <c r="B89" s="161"/>
      <c r="C89" s="185"/>
      <c r="D89" s="162" t="s">
        <v>85</v>
      </c>
      <c r="E89" s="162"/>
      <c r="F89" s="162"/>
      <c r="G89" s="720"/>
      <c r="H89" s="163"/>
      <c r="I89" s="164" t="s">
        <v>1876</v>
      </c>
      <c r="J89" s="165">
        <v>0</v>
      </c>
      <c r="K89" s="166">
        <v>0</v>
      </c>
      <c r="L89" s="166">
        <v>0</v>
      </c>
      <c r="M89" s="166">
        <v>0</v>
      </c>
      <c r="N89" s="166">
        <v>0</v>
      </c>
      <c r="O89" s="166">
        <v>0</v>
      </c>
      <c r="P89" s="166">
        <v>0</v>
      </c>
      <c r="Q89" s="167">
        <v>0</v>
      </c>
      <c r="R89" s="165">
        <v>0</v>
      </c>
      <c r="S89" s="166">
        <v>0</v>
      </c>
      <c r="T89" s="166">
        <v>0</v>
      </c>
      <c r="U89" s="166">
        <v>0</v>
      </c>
      <c r="V89" s="167">
        <v>0</v>
      </c>
      <c r="W89" s="185"/>
      <c r="X89" s="164" t="s">
        <v>2391</v>
      </c>
      <c r="Y89" s="143">
        <v>0</v>
      </c>
      <c r="Z89" s="141">
        <v>0</v>
      </c>
      <c r="AA89" s="141">
        <v>0</v>
      </c>
      <c r="AB89" s="141">
        <v>0</v>
      </c>
      <c r="AC89" s="141">
        <v>0</v>
      </c>
      <c r="AD89" s="141">
        <v>0</v>
      </c>
      <c r="AE89" s="141">
        <v>0</v>
      </c>
      <c r="AF89" s="144">
        <v>0</v>
      </c>
      <c r="AG89" s="143">
        <v>0</v>
      </c>
      <c r="AH89" s="141">
        <v>0</v>
      </c>
      <c r="AI89" s="141">
        <v>0</v>
      </c>
      <c r="AJ89" s="141">
        <v>0</v>
      </c>
      <c r="AK89" s="144">
        <v>0</v>
      </c>
      <c r="AL89" s="185"/>
      <c r="AM89" s="164" t="s">
        <v>2391</v>
      </c>
      <c r="AN89" s="143">
        <v>0</v>
      </c>
      <c r="AO89" s="141">
        <v>0</v>
      </c>
      <c r="AP89" s="141">
        <v>0</v>
      </c>
      <c r="AQ89" s="141">
        <v>0</v>
      </c>
      <c r="AR89" s="141">
        <v>0</v>
      </c>
      <c r="AS89" s="141">
        <v>0</v>
      </c>
      <c r="AT89" s="141">
        <v>0</v>
      </c>
      <c r="AU89" s="144">
        <v>0</v>
      </c>
      <c r="AV89" s="143">
        <v>0</v>
      </c>
      <c r="AW89" s="141">
        <v>0</v>
      </c>
      <c r="AX89" s="141">
        <v>0</v>
      </c>
      <c r="AY89" s="141">
        <v>0</v>
      </c>
      <c r="AZ89" s="144">
        <v>0</v>
      </c>
    </row>
    <row r="90" spans="1:52" s="98" customFormat="1" ht="15" customHeight="1">
      <c r="A90" s="99"/>
      <c r="B90" s="161"/>
      <c r="C90" s="185"/>
      <c r="D90" s="162" t="s">
        <v>85</v>
      </c>
      <c r="E90" s="162"/>
      <c r="F90" s="162"/>
      <c r="G90" s="720"/>
      <c r="H90" s="163"/>
      <c r="I90" s="164" t="s">
        <v>1876</v>
      </c>
      <c r="J90" s="165">
        <v>0</v>
      </c>
      <c r="K90" s="166">
        <v>0</v>
      </c>
      <c r="L90" s="166">
        <v>0</v>
      </c>
      <c r="M90" s="166">
        <v>0</v>
      </c>
      <c r="N90" s="166">
        <v>0</v>
      </c>
      <c r="O90" s="166">
        <v>0</v>
      </c>
      <c r="P90" s="166">
        <v>0</v>
      </c>
      <c r="Q90" s="167">
        <v>0</v>
      </c>
      <c r="R90" s="165">
        <v>0</v>
      </c>
      <c r="S90" s="166">
        <v>0</v>
      </c>
      <c r="T90" s="166">
        <v>0</v>
      </c>
      <c r="U90" s="166">
        <v>0</v>
      </c>
      <c r="V90" s="167">
        <v>0</v>
      </c>
      <c r="W90" s="185"/>
      <c r="X90" s="164" t="s">
        <v>2391</v>
      </c>
      <c r="Y90" s="143">
        <v>0</v>
      </c>
      <c r="Z90" s="141">
        <v>0</v>
      </c>
      <c r="AA90" s="141">
        <v>0</v>
      </c>
      <c r="AB90" s="141">
        <v>0</v>
      </c>
      <c r="AC90" s="141">
        <v>0</v>
      </c>
      <c r="AD90" s="141">
        <v>0</v>
      </c>
      <c r="AE90" s="141">
        <v>0</v>
      </c>
      <c r="AF90" s="144">
        <v>0</v>
      </c>
      <c r="AG90" s="143">
        <v>0</v>
      </c>
      <c r="AH90" s="141">
        <v>0</v>
      </c>
      <c r="AI90" s="141">
        <v>0</v>
      </c>
      <c r="AJ90" s="141">
        <v>0</v>
      </c>
      <c r="AK90" s="144">
        <v>0</v>
      </c>
      <c r="AL90" s="185"/>
      <c r="AM90" s="164" t="s">
        <v>2391</v>
      </c>
      <c r="AN90" s="143">
        <v>0</v>
      </c>
      <c r="AO90" s="141">
        <v>0</v>
      </c>
      <c r="AP90" s="141">
        <v>0</v>
      </c>
      <c r="AQ90" s="141">
        <v>0</v>
      </c>
      <c r="AR90" s="141">
        <v>0</v>
      </c>
      <c r="AS90" s="141">
        <v>0</v>
      </c>
      <c r="AT90" s="141">
        <v>0</v>
      </c>
      <c r="AU90" s="144">
        <v>0</v>
      </c>
      <c r="AV90" s="143">
        <v>0</v>
      </c>
      <c r="AW90" s="141">
        <v>0</v>
      </c>
      <c r="AX90" s="141">
        <v>0</v>
      </c>
      <c r="AY90" s="141">
        <v>0</v>
      </c>
      <c r="AZ90" s="144">
        <v>0</v>
      </c>
    </row>
    <row r="91" spans="1:52" s="98" customFormat="1" ht="15" customHeight="1">
      <c r="A91" s="99"/>
      <c r="B91" s="161"/>
      <c r="C91" s="185"/>
      <c r="D91" s="162" t="s">
        <v>85</v>
      </c>
      <c r="E91" s="162"/>
      <c r="F91" s="162"/>
      <c r="G91" s="720"/>
      <c r="H91" s="163"/>
      <c r="I91" s="164" t="s">
        <v>1876</v>
      </c>
      <c r="J91" s="165">
        <v>0</v>
      </c>
      <c r="K91" s="166">
        <v>0</v>
      </c>
      <c r="L91" s="166">
        <v>0</v>
      </c>
      <c r="M91" s="166">
        <v>0</v>
      </c>
      <c r="N91" s="166">
        <v>0</v>
      </c>
      <c r="O91" s="166">
        <v>0</v>
      </c>
      <c r="P91" s="166">
        <v>0</v>
      </c>
      <c r="Q91" s="167">
        <v>0</v>
      </c>
      <c r="R91" s="165">
        <v>0</v>
      </c>
      <c r="S91" s="166">
        <v>0</v>
      </c>
      <c r="T91" s="166">
        <v>0</v>
      </c>
      <c r="U91" s="166">
        <v>0</v>
      </c>
      <c r="V91" s="167">
        <v>0</v>
      </c>
      <c r="W91" s="185"/>
      <c r="X91" s="164" t="s">
        <v>2391</v>
      </c>
      <c r="Y91" s="143">
        <v>0</v>
      </c>
      <c r="Z91" s="141">
        <v>0</v>
      </c>
      <c r="AA91" s="141">
        <v>0</v>
      </c>
      <c r="AB91" s="141">
        <v>0</v>
      </c>
      <c r="AC91" s="141">
        <v>0</v>
      </c>
      <c r="AD91" s="141">
        <v>0</v>
      </c>
      <c r="AE91" s="141">
        <v>0</v>
      </c>
      <c r="AF91" s="144">
        <v>0</v>
      </c>
      <c r="AG91" s="143">
        <v>0</v>
      </c>
      <c r="AH91" s="141">
        <v>0</v>
      </c>
      <c r="AI91" s="141">
        <v>0</v>
      </c>
      <c r="AJ91" s="141">
        <v>0</v>
      </c>
      <c r="AK91" s="144">
        <v>0</v>
      </c>
      <c r="AL91" s="185"/>
      <c r="AM91" s="164" t="s">
        <v>2391</v>
      </c>
      <c r="AN91" s="143">
        <v>0</v>
      </c>
      <c r="AO91" s="141">
        <v>0</v>
      </c>
      <c r="AP91" s="141">
        <v>0</v>
      </c>
      <c r="AQ91" s="141">
        <v>0</v>
      </c>
      <c r="AR91" s="141">
        <v>0</v>
      </c>
      <c r="AS91" s="141">
        <v>0</v>
      </c>
      <c r="AT91" s="141">
        <v>0</v>
      </c>
      <c r="AU91" s="144">
        <v>0</v>
      </c>
      <c r="AV91" s="143">
        <v>0</v>
      </c>
      <c r="AW91" s="141">
        <v>0</v>
      </c>
      <c r="AX91" s="141">
        <v>0</v>
      </c>
      <c r="AY91" s="141">
        <v>0</v>
      </c>
      <c r="AZ91" s="144">
        <v>0</v>
      </c>
    </row>
    <row r="92" spans="1:52" s="98" customFormat="1" ht="15" customHeight="1">
      <c r="A92" s="99"/>
      <c r="B92" s="161"/>
      <c r="C92" s="185"/>
      <c r="D92" s="162" t="s">
        <v>85</v>
      </c>
      <c r="E92" s="162"/>
      <c r="F92" s="162"/>
      <c r="G92" s="720"/>
      <c r="H92" s="163"/>
      <c r="I92" s="164" t="s">
        <v>1876</v>
      </c>
      <c r="J92" s="165">
        <v>0</v>
      </c>
      <c r="K92" s="166">
        <v>0</v>
      </c>
      <c r="L92" s="166">
        <v>0</v>
      </c>
      <c r="M92" s="166">
        <v>0</v>
      </c>
      <c r="N92" s="166">
        <v>0</v>
      </c>
      <c r="O92" s="166">
        <v>0</v>
      </c>
      <c r="P92" s="166">
        <v>0</v>
      </c>
      <c r="Q92" s="167">
        <v>0</v>
      </c>
      <c r="R92" s="165">
        <v>0</v>
      </c>
      <c r="S92" s="166">
        <v>0</v>
      </c>
      <c r="T92" s="166">
        <v>0</v>
      </c>
      <c r="U92" s="166">
        <v>0</v>
      </c>
      <c r="V92" s="167">
        <v>0</v>
      </c>
      <c r="W92" s="185"/>
      <c r="X92" s="164" t="s">
        <v>2391</v>
      </c>
      <c r="Y92" s="143">
        <v>0</v>
      </c>
      <c r="Z92" s="141">
        <v>0</v>
      </c>
      <c r="AA92" s="141">
        <v>0</v>
      </c>
      <c r="AB92" s="141">
        <v>0</v>
      </c>
      <c r="AC92" s="141">
        <v>0</v>
      </c>
      <c r="AD92" s="141">
        <v>0</v>
      </c>
      <c r="AE92" s="141">
        <v>0</v>
      </c>
      <c r="AF92" s="144">
        <v>0</v>
      </c>
      <c r="AG92" s="143">
        <v>0</v>
      </c>
      <c r="AH92" s="141">
        <v>0</v>
      </c>
      <c r="AI92" s="141">
        <v>0</v>
      </c>
      <c r="AJ92" s="141">
        <v>0</v>
      </c>
      <c r="AK92" s="144">
        <v>0</v>
      </c>
      <c r="AL92" s="185"/>
      <c r="AM92" s="164" t="s">
        <v>2391</v>
      </c>
      <c r="AN92" s="143">
        <v>0</v>
      </c>
      <c r="AO92" s="141">
        <v>0</v>
      </c>
      <c r="AP92" s="141">
        <v>0</v>
      </c>
      <c r="AQ92" s="141">
        <v>0</v>
      </c>
      <c r="AR92" s="141">
        <v>0</v>
      </c>
      <c r="AS92" s="141">
        <v>0</v>
      </c>
      <c r="AT92" s="141">
        <v>0</v>
      </c>
      <c r="AU92" s="144">
        <v>0</v>
      </c>
      <c r="AV92" s="143">
        <v>0</v>
      </c>
      <c r="AW92" s="141">
        <v>0</v>
      </c>
      <c r="AX92" s="141">
        <v>0</v>
      </c>
      <c r="AY92" s="141">
        <v>0</v>
      </c>
      <c r="AZ92" s="144">
        <v>0</v>
      </c>
    </row>
    <row r="93" spans="1:52" s="98" customFormat="1" ht="15" customHeight="1">
      <c r="A93" s="99"/>
      <c r="B93" s="161"/>
      <c r="C93" s="185"/>
      <c r="D93" s="162" t="s">
        <v>85</v>
      </c>
      <c r="E93" s="162"/>
      <c r="F93" s="162"/>
      <c r="G93" s="720"/>
      <c r="H93" s="163"/>
      <c r="I93" s="164" t="s">
        <v>1876</v>
      </c>
      <c r="J93" s="165">
        <v>0</v>
      </c>
      <c r="K93" s="166">
        <v>0</v>
      </c>
      <c r="L93" s="166">
        <v>0</v>
      </c>
      <c r="M93" s="166">
        <v>0</v>
      </c>
      <c r="N93" s="166">
        <v>0</v>
      </c>
      <c r="O93" s="166">
        <v>0</v>
      </c>
      <c r="P93" s="166">
        <v>0</v>
      </c>
      <c r="Q93" s="167">
        <v>0</v>
      </c>
      <c r="R93" s="165">
        <v>0</v>
      </c>
      <c r="S93" s="166">
        <v>0</v>
      </c>
      <c r="T93" s="166">
        <v>0</v>
      </c>
      <c r="U93" s="166">
        <v>0</v>
      </c>
      <c r="V93" s="167">
        <v>0</v>
      </c>
      <c r="W93" s="185"/>
      <c r="X93" s="164" t="s">
        <v>2391</v>
      </c>
      <c r="Y93" s="143">
        <v>0</v>
      </c>
      <c r="Z93" s="141">
        <v>0</v>
      </c>
      <c r="AA93" s="141">
        <v>0</v>
      </c>
      <c r="AB93" s="141">
        <v>0</v>
      </c>
      <c r="AC93" s="141">
        <v>0</v>
      </c>
      <c r="AD93" s="141">
        <v>0</v>
      </c>
      <c r="AE93" s="141">
        <v>0</v>
      </c>
      <c r="AF93" s="144">
        <v>0</v>
      </c>
      <c r="AG93" s="143">
        <v>0</v>
      </c>
      <c r="AH93" s="141">
        <v>0</v>
      </c>
      <c r="AI93" s="141">
        <v>0</v>
      </c>
      <c r="AJ93" s="141">
        <v>0</v>
      </c>
      <c r="AK93" s="144">
        <v>0</v>
      </c>
      <c r="AL93" s="185"/>
      <c r="AM93" s="164" t="s">
        <v>2391</v>
      </c>
      <c r="AN93" s="143">
        <v>0</v>
      </c>
      <c r="AO93" s="141">
        <v>0</v>
      </c>
      <c r="AP93" s="141">
        <v>0</v>
      </c>
      <c r="AQ93" s="141">
        <v>0</v>
      </c>
      <c r="AR93" s="141">
        <v>0</v>
      </c>
      <c r="AS93" s="141">
        <v>0</v>
      </c>
      <c r="AT93" s="141">
        <v>0</v>
      </c>
      <c r="AU93" s="144">
        <v>0</v>
      </c>
      <c r="AV93" s="143">
        <v>0</v>
      </c>
      <c r="AW93" s="141">
        <v>0</v>
      </c>
      <c r="AX93" s="141">
        <v>0</v>
      </c>
      <c r="AY93" s="141">
        <v>0</v>
      </c>
      <c r="AZ93" s="144">
        <v>0</v>
      </c>
    </row>
    <row r="94" spans="1:52" s="98" customFormat="1" ht="15" customHeight="1">
      <c r="A94" s="99"/>
      <c r="B94" s="161"/>
      <c r="C94" s="185"/>
      <c r="D94" s="162" t="s">
        <v>85</v>
      </c>
      <c r="E94" s="162"/>
      <c r="F94" s="162"/>
      <c r="G94" s="720"/>
      <c r="H94" s="163"/>
      <c r="I94" s="164" t="s">
        <v>1876</v>
      </c>
      <c r="J94" s="165">
        <v>0</v>
      </c>
      <c r="K94" s="166">
        <v>0</v>
      </c>
      <c r="L94" s="166">
        <v>0</v>
      </c>
      <c r="M94" s="166">
        <v>0</v>
      </c>
      <c r="N94" s="166">
        <v>0</v>
      </c>
      <c r="O94" s="166">
        <v>0</v>
      </c>
      <c r="P94" s="166">
        <v>0</v>
      </c>
      <c r="Q94" s="167">
        <v>0</v>
      </c>
      <c r="R94" s="165">
        <v>0</v>
      </c>
      <c r="S94" s="166">
        <v>0</v>
      </c>
      <c r="T94" s="166">
        <v>0</v>
      </c>
      <c r="U94" s="166">
        <v>0</v>
      </c>
      <c r="V94" s="167">
        <v>0</v>
      </c>
      <c r="W94" s="185"/>
      <c r="X94" s="164" t="s">
        <v>2391</v>
      </c>
      <c r="Y94" s="143">
        <v>0</v>
      </c>
      <c r="Z94" s="141">
        <v>0</v>
      </c>
      <c r="AA94" s="141">
        <v>0</v>
      </c>
      <c r="AB94" s="141">
        <v>0</v>
      </c>
      <c r="AC94" s="141">
        <v>0</v>
      </c>
      <c r="AD94" s="141">
        <v>0</v>
      </c>
      <c r="AE94" s="141">
        <v>0</v>
      </c>
      <c r="AF94" s="144">
        <v>0</v>
      </c>
      <c r="AG94" s="143">
        <v>0</v>
      </c>
      <c r="AH94" s="141">
        <v>0</v>
      </c>
      <c r="AI94" s="141">
        <v>0</v>
      </c>
      <c r="AJ94" s="141">
        <v>0</v>
      </c>
      <c r="AK94" s="144">
        <v>0</v>
      </c>
      <c r="AL94" s="185"/>
      <c r="AM94" s="164" t="s">
        <v>2391</v>
      </c>
      <c r="AN94" s="143">
        <v>0</v>
      </c>
      <c r="AO94" s="141">
        <v>0</v>
      </c>
      <c r="AP94" s="141">
        <v>0</v>
      </c>
      <c r="AQ94" s="141">
        <v>0</v>
      </c>
      <c r="AR94" s="141">
        <v>0</v>
      </c>
      <c r="AS94" s="141">
        <v>0</v>
      </c>
      <c r="AT94" s="141">
        <v>0</v>
      </c>
      <c r="AU94" s="144">
        <v>0</v>
      </c>
      <c r="AV94" s="143">
        <v>0</v>
      </c>
      <c r="AW94" s="141">
        <v>0</v>
      </c>
      <c r="AX94" s="141">
        <v>0</v>
      </c>
      <c r="AY94" s="141">
        <v>0</v>
      </c>
      <c r="AZ94" s="144">
        <v>0</v>
      </c>
    </row>
    <row r="95" spans="1:52" s="98" customFormat="1" ht="15" customHeight="1">
      <c r="A95" s="99"/>
      <c r="B95" s="161"/>
      <c r="C95" s="185"/>
      <c r="D95" s="162" t="s">
        <v>85</v>
      </c>
      <c r="E95" s="162"/>
      <c r="F95" s="162"/>
      <c r="G95" s="720"/>
      <c r="H95" s="163"/>
      <c r="I95" s="164" t="s">
        <v>1876</v>
      </c>
      <c r="J95" s="165">
        <v>0</v>
      </c>
      <c r="K95" s="166">
        <v>0</v>
      </c>
      <c r="L95" s="166">
        <v>0</v>
      </c>
      <c r="M95" s="166">
        <v>0</v>
      </c>
      <c r="N95" s="166">
        <v>0</v>
      </c>
      <c r="O95" s="166">
        <v>0</v>
      </c>
      <c r="P95" s="166">
        <v>0</v>
      </c>
      <c r="Q95" s="167">
        <v>0</v>
      </c>
      <c r="R95" s="165">
        <v>0</v>
      </c>
      <c r="S95" s="166">
        <v>0</v>
      </c>
      <c r="T95" s="166">
        <v>0</v>
      </c>
      <c r="U95" s="166">
        <v>0</v>
      </c>
      <c r="V95" s="167">
        <v>0</v>
      </c>
      <c r="W95" s="185"/>
      <c r="X95" s="164" t="s">
        <v>2391</v>
      </c>
      <c r="Y95" s="143">
        <v>0</v>
      </c>
      <c r="Z95" s="141">
        <v>0</v>
      </c>
      <c r="AA95" s="141">
        <v>0</v>
      </c>
      <c r="AB95" s="141">
        <v>0</v>
      </c>
      <c r="AC95" s="141">
        <v>0</v>
      </c>
      <c r="AD95" s="141">
        <v>0</v>
      </c>
      <c r="AE95" s="141">
        <v>0</v>
      </c>
      <c r="AF95" s="144">
        <v>0</v>
      </c>
      <c r="AG95" s="143">
        <v>0</v>
      </c>
      <c r="AH95" s="141">
        <v>0</v>
      </c>
      <c r="AI95" s="141">
        <v>0</v>
      </c>
      <c r="AJ95" s="141">
        <v>0</v>
      </c>
      <c r="AK95" s="144">
        <v>0</v>
      </c>
      <c r="AL95" s="185"/>
      <c r="AM95" s="164" t="s">
        <v>2391</v>
      </c>
      <c r="AN95" s="143">
        <v>0</v>
      </c>
      <c r="AO95" s="141">
        <v>0</v>
      </c>
      <c r="AP95" s="141">
        <v>0</v>
      </c>
      <c r="AQ95" s="141">
        <v>0</v>
      </c>
      <c r="AR95" s="141">
        <v>0</v>
      </c>
      <c r="AS95" s="141">
        <v>0</v>
      </c>
      <c r="AT95" s="141">
        <v>0</v>
      </c>
      <c r="AU95" s="144">
        <v>0</v>
      </c>
      <c r="AV95" s="143">
        <v>0</v>
      </c>
      <c r="AW95" s="141">
        <v>0</v>
      </c>
      <c r="AX95" s="141">
        <v>0</v>
      </c>
      <c r="AY95" s="141">
        <v>0</v>
      </c>
      <c r="AZ95" s="144">
        <v>0</v>
      </c>
    </row>
    <row r="96" spans="1:52" s="98" customFormat="1" ht="15" customHeight="1">
      <c r="A96" s="99"/>
      <c r="B96" s="181"/>
      <c r="C96" s="185"/>
      <c r="D96" s="182"/>
      <c r="E96" s="182"/>
      <c r="F96" s="182"/>
      <c r="G96" s="184"/>
      <c r="H96" s="184"/>
      <c r="I96" s="117"/>
      <c r="J96" s="159"/>
      <c r="K96" s="163"/>
      <c r="L96" s="163"/>
      <c r="M96" s="163"/>
      <c r="N96" s="163"/>
      <c r="O96" s="163"/>
      <c r="P96" s="163"/>
      <c r="Q96" s="160"/>
      <c r="R96" s="163"/>
      <c r="S96" s="163"/>
      <c r="T96" s="163"/>
      <c r="U96" s="163"/>
      <c r="V96" s="160"/>
      <c r="W96" s="185"/>
      <c r="X96" s="117"/>
      <c r="Y96" s="713"/>
      <c r="Z96" s="714"/>
      <c r="AA96" s="714"/>
      <c r="AB96" s="714"/>
      <c r="AC96" s="714"/>
      <c r="AD96" s="714"/>
      <c r="AE96" s="714"/>
      <c r="AF96" s="715"/>
      <c r="AG96" s="714"/>
      <c r="AH96" s="714"/>
      <c r="AI96" s="714"/>
      <c r="AJ96" s="714"/>
      <c r="AK96" s="715"/>
      <c r="AL96" s="185"/>
      <c r="AM96" s="117"/>
      <c r="AN96" s="713"/>
      <c r="AO96" s="714"/>
      <c r="AP96" s="714"/>
      <c r="AQ96" s="714"/>
      <c r="AR96" s="714"/>
      <c r="AS96" s="714"/>
      <c r="AT96" s="714"/>
      <c r="AU96" s="715"/>
      <c r="AV96" s="714"/>
      <c r="AW96" s="714"/>
      <c r="AX96" s="714"/>
      <c r="AY96" s="714"/>
      <c r="AZ96" s="715"/>
    </row>
    <row r="97" spans="1:100" s="98" customFormat="1" ht="15" customHeight="1" thickBot="1">
      <c r="A97" s="99"/>
      <c r="B97" s="131" t="s">
        <v>1701</v>
      </c>
      <c r="C97" s="132"/>
      <c r="D97" s="132"/>
      <c r="E97" s="132"/>
      <c r="F97" s="132"/>
      <c r="G97" s="145"/>
      <c r="H97" s="133"/>
      <c r="I97" s="195" t="s">
        <v>1876</v>
      </c>
      <c r="J97" s="873">
        <f>SUM(J76:J95)</f>
        <v>2</v>
      </c>
      <c r="K97" s="781">
        <f t="shared" ref="K97:V97" si="6">SUM(K76:K95)</f>
        <v>1</v>
      </c>
      <c r="L97" s="781">
        <f t="shared" si="6"/>
        <v>1</v>
      </c>
      <c r="M97" s="781">
        <f t="shared" si="6"/>
        <v>1</v>
      </c>
      <c r="N97" s="781">
        <f t="shared" si="6"/>
        <v>1</v>
      </c>
      <c r="O97" s="781">
        <f t="shared" si="6"/>
        <v>1</v>
      </c>
      <c r="P97" s="781">
        <f t="shared" si="6"/>
        <v>1</v>
      </c>
      <c r="Q97" s="874">
        <f t="shared" si="6"/>
        <v>1</v>
      </c>
      <c r="R97" s="873">
        <f t="shared" si="6"/>
        <v>1</v>
      </c>
      <c r="S97" s="781">
        <f t="shared" si="6"/>
        <v>1</v>
      </c>
      <c r="T97" s="781">
        <f t="shared" si="6"/>
        <v>1</v>
      </c>
      <c r="U97" s="781">
        <f t="shared" si="6"/>
        <v>1</v>
      </c>
      <c r="V97" s="874">
        <f t="shared" si="6"/>
        <v>1</v>
      </c>
      <c r="W97" s="192"/>
      <c r="X97" s="195" t="s">
        <v>2391</v>
      </c>
      <c r="Y97" s="873">
        <f>SUM(Y76:Y95)</f>
        <v>0.17868231927710843</v>
      </c>
      <c r="Z97" s="781">
        <f t="shared" ref="Z97:AK97" si="7">SUM(Z76:Z95)</f>
        <v>7.6759197079838502E-3</v>
      </c>
      <c r="AA97" s="781">
        <f t="shared" si="7"/>
        <v>7.6457617778355729E-3</v>
      </c>
      <c r="AB97" s="781">
        <f t="shared" si="7"/>
        <v>1.1063480381887741E-2</v>
      </c>
      <c r="AC97" s="781">
        <f t="shared" si="7"/>
        <v>4.8966949310152033E-3</v>
      </c>
      <c r="AD97" s="781">
        <f t="shared" si="7"/>
        <v>4.8469195982319248E-3</v>
      </c>
      <c r="AE97" s="781">
        <f t="shared" si="7"/>
        <v>1.9810000000000001E-2</v>
      </c>
      <c r="AF97" s="874">
        <f t="shared" si="7"/>
        <v>2.0809999999999999E-2</v>
      </c>
      <c r="AG97" s="873">
        <f t="shared" si="7"/>
        <v>1.5155639866077311E-2</v>
      </c>
      <c r="AH97" s="781">
        <f t="shared" si="7"/>
        <v>1.8591879955359103E-2</v>
      </c>
      <c r="AI97" s="781">
        <f t="shared" si="7"/>
        <v>1.8185839940478805E-2</v>
      </c>
      <c r="AJ97" s="781">
        <f t="shared" si="7"/>
        <v>1.7311119920638406E-2</v>
      </c>
      <c r="AK97" s="874">
        <f t="shared" si="7"/>
        <v>1.8029613272158771E-2</v>
      </c>
      <c r="AL97" s="192"/>
      <c r="AM97" s="195" t="s">
        <v>2391</v>
      </c>
      <c r="AN97" s="873">
        <f>SUM(AN76:AN95)</f>
        <v>0</v>
      </c>
      <c r="AO97" s="781">
        <f t="shared" ref="AO97:AZ97" si="8">SUM(AO76:AO95)</f>
        <v>0</v>
      </c>
      <c r="AP97" s="781">
        <f t="shared" si="8"/>
        <v>0</v>
      </c>
      <c r="AQ97" s="781">
        <f t="shared" si="8"/>
        <v>0</v>
      </c>
      <c r="AR97" s="781">
        <f t="shared" si="8"/>
        <v>0</v>
      </c>
      <c r="AS97" s="781">
        <f t="shared" si="8"/>
        <v>0</v>
      </c>
      <c r="AT97" s="781">
        <f t="shared" si="8"/>
        <v>0</v>
      </c>
      <c r="AU97" s="874">
        <f t="shared" si="8"/>
        <v>0</v>
      </c>
      <c r="AV97" s="873">
        <f t="shared" si="8"/>
        <v>0</v>
      </c>
      <c r="AW97" s="781">
        <f t="shared" si="8"/>
        <v>0</v>
      </c>
      <c r="AX97" s="781">
        <f t="shared" si="8"/>
        <v>0</v>
      </c>
      <c r="AY97" s="781">
        <f t="shared" si="8"/>
        <v>0</v>
      </c>
      <c r="AZ97" s="874">
        <f t="shared" si="8"/>
        <v>0</v>
      </c>
    </row>
    <row r="98" spans="1:100" s="99" customFormat="1" ht="15" customHeight="1" thickBot="1">
      <c r="B98" s="150"/>
      <c r="C98" s="150"/>
      <c r="D98" s="150"/>
      <c r="E98" s="150"/>
      <c r="F98" s="150"/>
      <c r="G98" s="97"/>
      <c r="H98" s="97"/>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c r="BI98" s="98"/>
      <c r="BJ98" s="98"/>
      <c r="BK98" s="98"/>
      <c r="BL98" s="98"/>
      <c r="BM98" s="98"/>
      <c r="BN98" s="98"/>
      <c r="BO98" s="98"/>
      <c r="BP98" s="98"/>
      <c r="BQ98" s="98"/>
      <c r="BR98" s="98"/>
      <c r="BS98" s="98"/>
      <c r="BT98" s="98"/>
      <c r="BU98" s="98"/>
      <c r="BV98" s="98"/>
      <c r="BW98" s="98"/>
      <c r="BX98" s="98"/>
      <c r="BY98" s="98"/>
      <c r="BZ98" s="98"/>
      <c r="CA98" s="98"/>
      <c r="CB98" s="98"/>
      <c r="CC98" s="98"/>
      <c r="CD98" s="98"/>
      <c r="CE98" s="98"/>
      <c r="CF98" s="98"/>
      <c r="CG98" s="98"/>
      <c r="CH98" s="98"/>
      <c r="CI98" s="98"/>
      <c r="CJ98" s="98"/>
      <c r="CK98" s="98"/>
      <c r="CL98" s="98"/>
      <c r="CM98" s="98"/>
      <c r="CN98" s="98"/>
      <c r="CO98" s="98"/>
      <c r="CP98" s="98"/>
      <c r="CQ98" s="98"/>
      <c r="CR98" s="98"/>
      <c r="CS98" s="98"/>
      <c r="CT98" s="98"/>
      <c r="CV98" s="98"/>
    </row>
    <row r="99" spans="1:100" s="100" customFormat="1" ht="30" customHeight="1" thickBot="1">
      <c r="A99" s="89"/>
      <c r="B99" s="621" t="s">
        <v>2954</v>
      </c>
      <c r="C99" s="102"/>
      <c r="D99" s="102"/>
      <c r="E99" s="102"/>
      <c r="F99" s="102"/>
      <c r="G99" s="103"/>
      <c r="H99" s="103"/>
      <c r="I99" s="105" t="s">
        <v>2948</v>
      </c>
      <c r="J99" s="106"/>
      <c r="K99" s="106"/>
      <c r="L99" s="106"/>
      <c r="M99" s="106"/>
      <c r="N99" s="106"/>
      <c r="O99" s="106"/>
      <c r="P99" s="106"/>
      <c r="Q99" s="106"/>
      <c r="R99" s="105"/>
      <c r="S99" s="105"/>
      <c r="T99" s="105"/>
      <c r="U99" s="105"/>
      <c r="V99" s="187"/>
    </row>
    <row r="100" spans="1:100" s="157" customFormat="1" ht="30" customHeight="1">
      <c r="A100" s="99"/>
      <c r="B100" s="109"/>
      <c r="C100" s="110"/>
      <c r="D100" s="110"/>
      <c r="E100" s="110"/>
      <c r="F100" s="110"/>
      <c r="G100" s="111"/>
      <c r="H100" s="111"/>
      <c r="I100" s="117"/>
      <c r="J100" s="695" t="s">
        <v>1666</v>
      </c>
      <c r="K100" s="152"/>
      <c r="L100" s="152"/>
      <c r="M100" s="152"/>
      <c r="N100" s="152"/>
      <c r="O100" s="152"/>
      <c r="P100" s="152"/>
      <c r="Q100" s="153"/>
      <c r="R100" s="696" t="s">
        <v>2</v>
      </c>
      <c r="S100" s="155"/>
      <c r="T100" s="155"/>
      <c r="U100" s="155"/>
      <c r="V100" s="156"/>
    </row>
    <row r="101" spans="1:100" s="98" customFormat="1" ht="15" customHeight="1">
      <c r="A101" s="99"/>
      <c r="B101" s="115"/>
      <c r="C101" s="116"/>
      <c r="D101" s="116"/>
      <c r="E101" s="116"/>
      <c r="F101" s="116"/>
      <c r="G101" s="117"/>
      <c r="H101" s="117"/>
      <c r="I101" s="119" t="s">
        <v>1667</v>
      </c>
      <c r="J101" s="158" t="s">
        <v>453</v>
      </c>
      <c r="K101" s="137" t="s">
        <v>455</v>
      </c>
      <c r="L101" s="137" t="s">
        <v>457</v>
      </c>
      <c r="M101" s="137" t="s">
        <v>459</v>
      </c>
      <c r="N101" s="137" t="s">
        <v>461</v>
      </c>
      <c r="O101" s="137" t="s">
        <v>463</v>
      </c>
      <c r="P101" s="137" t="s">
        <v>465</v>
      </c>
      <c r="Q101" s="138" t="s">
        <v>467</v>
      </c>
      <c r="R101" s="120" t="s">
        <v>469</v>
      </c>
      <c r="S101" s="121" t="s">
        <v>471</v>
      </c>
      <c r="T101" s="121" t="s">
        <v>473</v>
      </c>
      <c r="U101" s="121" t="s">
        <v>475</v>
      </c>
      <c r="V101" s="122" t="s">
        <v>477</v>
      </c>
    </row>
    <row r="102" spans="1:100" s="98" customFormat="1" ht="15" customHeight="1">
      <c r="A102" s="99"/>
      <c r="B102" s="161"/>
      <c r="C102" s="180" t="s">
        <v>2954</v>
      </c>
      <c r="D102" s="162"/>
      <c r="E102" s="162"/>
      <c r="F102" s="162"/>
      <c r="G102" s="163"/>
      <c r="H102" s="163"/>
      <c r="I102" s="117"/>
      <c r="J102" s="159"/>
      <c r="K102" s="117"/>
      <c r="L102" s="117"/>
      <c r="M102" s="117"/>
      <c r="N102" s="117"/>
      <c r="O102" s="117"/>
      <c r="P102" s="117"/>
      <c r="Q102" s="160"/>
      <c r="R102" s="159"/>
      <c r="S102" s="117"/>
      <c r="T102" s="117"/>
      <c r="U102" s="117"/>
      <c r="V102" s="160"/>
    </row>
    <row r="103" spans="1:100" s="98" customFormat="1" ht="15" customHeight="1">
      <c r="A103" s="99"/>
      <c r="B103" s="161"/>
      <c r="C103" s="185"/>
      <c r="D103" s="162" t="s">
        <v>85</v>
      </c>
      <c r="E103" s="162"/>
      <c r="F103" s="162"/>
      <c r="G103" s="720" t="s">
        <v>2955</v>
      </c>
      <c r="H103" s="163"/>
      <c r="I103" s="164" t="s">
        <v>2956</v>
      </c>
      <c r="J103" s="143">
        <v>39.63349564937316</v>
      </c>
      <c r="K103" s="141">
        <v>39.829735815501913</v>
      </c>
      <c r="L103" s="141">
        <v>40.292092041242654</v>
      </c>
      <c r="M103" s="141">
        <v>40.026571153037487</v>
      </c>
      <c r="N103" s="141">
        <v>39.965111956516871</v>
      </c>
      <c r="O103" s="141">
        <v>39.710651980181233</v>
      </c>
      <c r="P103" s="141">
        <v>39.710651980181233</v>
      </c>
      <c r="Q103" s="144">
        <v>39.710651980181233</v>
      </c>
      <c r="R103" s="143">
        <v>39.710651980181233</v>
      </c>
      <c r="S103" s="141">
        <v>39.710651980181233</v>
      </c>
      <c r="T103" s="141">
        <v>39.710651980181233</v>
      </c>
      <c r="U103" s="141">
        <v>39.710651980181233</v>
      </c>
      <c r="V103" s="144">
        <v>39.710651980181233</v>
      </c>
    </row>
    <row r="104" spans="1:100" s="98" customFormat="1" ht="15" customHeight="1">
      <c r="A104" s="99"/>
      <c r="B104" s="161"/>
      <c r="C104" s="185"/>
      <c r="D104" s="162"/>
      <c r="E104" s="162"/>
      <c r="F104" s="162"/>
      <c r="G104" s="720" t="s">
        <v>336</v>
      </c>
      <c r="H104" s="163"/>
      <c r="I104" s="164" t="s">
        <v>2956</v>
      </c>
      <c r="J104" s="143">
        <v>39.84427544088733</v>
      </c>
      <c r="K104" s="141">
        <v>40.021106484539878</v>
      </c>
      <c r="L104" s="141">
        <v>40.178965670960842</v>
      </c>
      <c r="M104" s="141">
        <v>40.106221973911055</v>
      </c>
      <c r="N104" s="141">
        <v>40.04358097908861</v>
      </c>
      <c r="O104" s="141">
        <v>39.685329228520033</v>
      </c>
      <c r="P104" s="141">
        <v>39.685329228520033</v>
      </c>
      <c r="Q104" s="144">
        <v>39.685329228520033</v>
      </c>
      <c r="R104" s="143">
        <v>39.685329228520033</v>
      </c>
      <c r="S104" s="141">
        <v>39.685329228520033</v>
      </c>
      <c r="T104" s="141">
        <v>39.685329228520033</v>
      </c>
      <c r="U104" s="141">
        <v>39.685329228520033</v>
      </c>
      <c r="V104" s="144">
        <v>39.685329228520033</v>
      </c>
    </row>
    <row r="105" spans="1:100" s="98" customFormat="1" ht="15" customHeight="1" thickBot="1">
      <c r="A105" s="99"/>
      <c r="B105" s="191"/>
      <c r="C105" s="192"/>
      <c r="D105" s="193"/>
      <c r="E105" s="193"/>
      <c r="F105" s="193"/>
      <c r="G105" s="1746"/>
      <c r="H105" s="194"/>
      <c r="I105" s="195" t="s">
        <v>2956</v>
      </c>
      <c r="J105" s="799">
        <v>0</v>
      </c>
      <c r="K105" s="235">
        <v>0</v>
      </c>
      <c r="L105" s="235">
        <v>0</v>
      </c>
      <c r="M105" s="235">
        <v>0</v>
      </c>
      <c r="N105" s="235">
        <v>0</v>
      </c>
      <c r="O105" s="235">
        <v>0</v>
      </c>
      <c r="P105" s="235">
        <v>0</v>
      </c>
      <c r="Q105" s="800">
        <v>0</v>
      </c>
      <c r="R105" s="799">
        <v>0</v>
      </c>
      <c r="S105" s="235">
        <v>0</v>
      </c>
      <c r="T105" s="235">
        <v>0</v>
      </c>
      <c r="U105" s="235">
        <v>0</v>
      </c>
      <c r="V105" s="800">
        <v>0</v>
      </c>
    </row>
    <row r="108" spans="1:100">
      <c r="G108" s="174"/>
      <c r="H108" s="174"/>
      <c r="I108" s="174"/>
      <c r="J108" s="174"/>
      <c r="K108" s="174"/>
      <c r="L108" s="174"/>
      <c r="M108" s="174"/>
      <c r="N108" s="174"/>
      <c r="O108" s="174"/>
      <c r="P108" s="174"/>
      <c r="X108" s="174"/>
      <c r="Y108" s="174"/>
      <c r="Z108" s="174"/>
      <c r="AA108" s="174"/>
      <c r="AB108" s="174"/>
      <c r="AC108" s="174"/>
      <c r="AD108" s="174"/>
      <c r="AE108" s="174"/>
      <c r="AM108" s="174"/>
      <c r="AN108" s="174"/>
      <c r="AO108" s="174"/>
      <c r="AP108" s="174"/>
      <c r="AQ108" s="174"/>
      <c r="AR108" s="174"/>
      <c r="AS108" s="174"/>
      <c r="AT108" s="174"/>
      <c r="BB108" s="174"/>
      <c r="BC108" s="174"/>
      <c r="BD108" s="174"/>
      <c r="BE108" s="174"/>
      <c r="BF108" s="174"/>
      <c r="BG108" s="174"/>
      <c r="BH108" s="174"/>
      <c r="BI108" s="174"/>
      <c r="BQ108" s="174"/>
      <c r="BR108" s="174"/>
      <c r="BS108" s="174"/>
      <c r="BT108" s="174"/>
      <c r="BU108" s="174"/>
      <c r="BV108" s="174"/>
      <c r="BW108" s="174"/>
      <c r="BX108" s="174"/>
      <c r="CF108" s="174"/>
      <c r="CG108" s="174"/>
      <c r="CH108" s="174"/>
      <c r="CI108" s="174"/>
      <c r="CJ108" s="174"/>
      <c r="CK108" s="174"/>
      <c r="CL108" s="174"/>
      <c r="CM108" s="174"/>
    </row>
    <row r="109" spans="1:100">
      <c r="G109" s="174"/>
      <c r="H109" s="174"/>
      <c r="I109" s="174"/>
      <c r="J109" s="174"/>
      <c r="K109" s="174"/>
      <c r="L109" s="174"/>
      <c r="M109" s="174"/>
      <c r="N109" s="174"/>
      <c r="O109" s="174"/>
      <c r="P109" s="174"/>
      <c r="X109" s="174"/>
      <c r="Y109" s="174"/>
      <c r="Z109" s="174"/>
      <c r="AA109" s="174"/>
      <c r="AB109" s="174"/>
      <c r="AC109" s="174"/>
      <c r="AD109" s="174"/>
      <c r="AE109" s="174"/>
      <c r="AM109" s="174"/>
      <c r="AN109" s="174"/>
      <c r="AO109" s="174"/>
      <c r="AP109" s="174"/>
      <c r="AQ109" s="174"/>
      <c r="AR109" s="174"/>
      <c r="AS109" s="174"/>
      <c r="AT109" s="174"/>
      <c r="BB109" s="174"/>
      <c r="BC109" s="174"/>
      <c r="BD109" s="174"/>
      <c r="BE109" s="174"/>
      <c r="BF109" s="174"/>
      <c r="BG109" s="174"/>
      <c r="BH109" s="174"/>
      <c r="BI109" s="174"/>
      <c r="BQ109" s="174"/>
      <c r="BR109" s="174"/>
      <c r="BS109" s="174"/>
      <c r="BT109" s="174"/>
      <c r="BU109" s="174"/>
      <c r="BV109" s="174"/>
      <c r="BW109" s="174"/>
      <c r="BX109" s="174"/>
      <c r="CF109" s="174"/>
      <c r="CG109" s="174"/>
      <c r="CH109" s="174"/>
      <c r="CI109" s="174"/>
      <c r="CJ109" s="174"/>
      <c r="CK109" s="174"/>
      <c r="CL109" s="174"/>
      <c r="CM109" s="174"/>
    </row>
    <row r="110" spans="1:100">
      <c r="G110" s="174"/>
      <c r="H110" s="174"/>
      <c r="I110" s="174"/>
      <c r="J110" s="174"/>
      <c r="K110" s="174"/>
      <c r="L110" s="174"/>
      <c r="M110" s="174"/>
      <c r="N110" s="174"/>
      <c r="O110" s="174"/>
      <c r="P110" s="174"/>
      <c r="X110" s="174"/>
      <c r="Y110" s="174"/>
      <c r="Z110" s="174"/>
      <c r="AA110" s="174"/>
      <c r="AB110" s="174"/>
      <c r="AC110" s="174"/>
      <c r="AD110" s="174"/>
      <c r="AE110" s="174"/>
      <c r="AM110" s="174"/>
      <c r="AN110" s="174"/>
      <c r="AO110" s="174"/>
      <c r="AP110" s="174"/>
      <c r="AQ110" s="174"/>
      <c r="AR110" s="174"/>
      <c r="AS110" s="174"/>
      <c r="AT110" s="174"/>
      <c r="BB110" s="174"/>
      <c r="BC110" s="174"/>
      <c r="BD110" s="174"/>
      <c r="BE110" s="174"/>
      <c r="BF110" s="174"/>
      <c r="BG110" s="174"/>
      <c r="BH110" s="174"/>
      <c r="BI110" s="174"/>
      <c r="BQ110" s="174"/>
      <c r="BR110" s="174"/>
      <c r="BS110" s="174"/>
      <c r="BT110" s="174"/>
      <c r="BU110" s="174"/>
      <c r="BV110" s="174"/>
      <c r="BW110" s="174"/>
      <c r="BX110" s="174"/>
      <c r="CF110" s="174"/>
      <c r="CG110" s="174"/>
      <c r="CH110" s="174"/>
      <c r="CI110" s="174"/>
      <c r="CJ110" s="174"/>
      <c r="CK110" s="174"/>
      <c r="CL110" s="174"/>
      <c r="CM110" s="174"/>
    </row>
    <row r="111" spans="1:100">
      <c r="G111" s="174"/>
      <c r="H111" s="174"/>
      <c r="I111" s="174"/>
      <c r="J111" s="174"/>
      <c r="K111" s="174"/>
      <c r="L111" s="174"/>
      <c r="M111" s="174"/>
      <c r="N111" s="174"/>
      <c r="O111" s="174"/>
      <c r="P111" s="174"/>
      <c r="X111" s="174"/>
      <c r="Y111" s="174"/>
      <c r="Z111" s="174"/>
      <c r="AA111" s="174"/>
      <c r="AB111" s="174"/>
      <c r="AC111" s="174"/>
      <c r="AD111" s="174"/>
      <c r="AE111" s="174"/>
      <c r="AM111" s="174"/>
      <c r="AN111" s="174"/>
      <c r="AO111" s="174"/>
      <c r="AP111" s="174"/>
      <c r="AQ111" s="174"/>
      <c r="AR111" s="174"/>
      <c r="AS111" s="174"/>
      <c r="AT111" s="174"/>
      <c r="BB111" s="174"/>
      <c r="BC111" s="174"/>
      <c r="BD111" s="174"/>
      <c r="BE111" s="174"/>
      <c r="BF111" s="174"/>
      <c r="BG111" s="174"/>
      <c r="BH111" s="174"/>
      <c r="BI111" s="174"/>
      <c r="BQ111" s="174"/>
      <c r="BR111" s="174"/>
      <c r="BS111" s="174"/>
      <c r="BT111" s="174"/>
      <c r="BU111" s="174"/>
      <c r="BV111" s="174"/>
      <c r="BW111" s="174"/>
      <c r="BX111" s="174"/>
      <c r="CF111" s="174"/>
      <c r="CG111" s="174"/>
      <c r="CH111" s="174"/>
      <c r="CI111" s="174"/>
      <c r="CJ111" s="174"/>
      <c r="CK111" s="174"/>
      <c r="CL111" s="174"/>
      <c r="CM111" s="174"/>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tabColor rgb="FF00B050"/>
  </sheetPr>
  <dimension ref="A1:BJ210"/>
  <sheetViews>
    <sheetView showGridLines="0" zoomScale="60" zoomScaleNormal="60" workbookViewId="0">
      <selection activeCell="K47" sqref="K47"/>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11.875" style="173" customWidth="1"/>
    <col min="24" max="24" width="11.875" style="175"/>
    <col min="25" max="37" width="11.875" style="173"/>
    <col min="38" max="38" width="11.875" style="173" customWidth="1"/>
    <col min="39" max="39" width="11.875" style="175"/>
    <col min="40" max="45" width="11.875" style="173"/>
    <col min="46" max="46" width="11.875" style="173" customWidth="1"/>
    <col min="47" max="50" width="14.125" style="173" customWidth="1"/>
    <col min="51" max="51" width="11.875" style="173" customWidth="1"/>
    <col min="52" max="52" width="11.875" style="173"/>
    <col min="53" max="53" width="11.875" style="175"/>
    <col min="54" max="16384" width="11.875" style="173"/>
  </cols>
  <sheetData>
    <row r="1" spans="1:62" s="2" customFormat="1" ht="25.15" customHeight="1">
      <c r="A1" s="1" t="s">
        <v>0</v>
      </c>
      <c r="E1" s="3"/>
      <c r="H1" s="4" t="s">
        <v>1</v>
      </c>
      <c r="J1" s="3"/>
    </row>
    <row r="2" spans="1:62" s="2" customFormat="1" ht="25.15" customHeight="1">
      <c r="A2" s="5" t="s">
        <v>309</v>
      </c>
      <c r="B2" s="6"/>
      <c r="D2" s="7"/>
      <c r="E2" s="3"/>
    </row>
    <row r="3" spans="1:62" s="9" customFormat="1" ht="25.15" customHeight="1" thickBot="1">
      <c r="A3" s="8" t="s">
        <v>2</v>
      </c>
      <c r="D3" s="10"/>
      <c r="E3" s="11"/>
    </row>
    <row r="4" spans="1:62" s="89" customFormat="1" ht="25.15" customHeight="1">
      <c r="B4" s="90" t="s">
        <v>2957</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3"/>
      <c r="AN4" s="94"/>
      <c r="AO4" s="94"/>
      <c r="AP4" s="94"/>
      <c r="AQ4" s="94"/>
      <c r="AR4" s="94"/>
      <c r="AS4" s="94"/>
      <c r="AT4" s="92"/>
      <c r="AU4" s="92"/>
      <c r="AV4" s="92"/>
      <c r="AW4" s="92"/>
      <c r="AX4" s="92"/>
      <c r="AY4" s="92"/>
      <c r="AZ4" s="92"/>
      <c r="BA4" s="92"/>
      <c r="BB4" s="92"/>
      <c r="BC4" s="92"/>
      <c r="BD4" s="94"/>
      <c r="BE4" s="92"/>
      <c r="BF4" s="92"/>
      <c r="BG4" s="92"/>
      <c r="BH4" s="92"/>
      <c r="BI4" s="92"/>
      <c r="BJ4" s="92"/>
    </row>
    <row r="5" spans="1:62" s="89" customFormat="1" ht="25.15" customHeight="1">
      <c r="B5" s="95"/>
      <c r="C5" s="95"/>
      <c r="D5" s="95"/>
      <c r="E5" s="95"/>
      <c r="F5" s="95"/>
      <c r="G5" s="95"/>
      <c r="H5" s="95"/>
      <c r="I5" s="93"/>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3"/>
      <c r="AN5" s="94"/>
      <c r="AO5" s="94"/>
      <c r="AP5" s="94"/>
      <c r="AQ5" s="94"/>
      <c r="AR5" s="94"/>
      <c r="AS5" s="94"/>
      <c r="AT5" s="92"/>
      <c r="AU5" s="92"/>
      <c r="AV5" s="92"/>
      <c r="AW5" s="92"/>
      <c r="AX5" s="92"/>
      <c r="AY5" s="92"/>
      <c r="AZ5" s="92"/>
      <c r="BA5" s="92"/>
      <c r="BB5" s="92"/>
      <c r="BC5" s="92"/>
      <c r="BD5" s="94"/>
      <c r="BE5" s="92"/>
      <c r="BF5" s="92"/>
      <c r="BG5" s="92"/>
      <c r="BH5" s="92"/>
      <c r="BI5" s="92"/>
      <c r="BJ5" s="92"/>
    </row>
    <row r="6" spans="1:62"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3"/>
      <c r="AN6" s="94"/>
      <c r="AO6" s="94"/>
      <c r="AP6" s="94"/>
      <c r="AQ6" s="94"/>
      <c r="AR6" s="94"/>
      <c r="AS6" s="94"/>
      <c r="AT6" s="92"/>
      <c r="AU6" s="92"/>
      <c r="AV6" s="92"/>
      <c r="AW6" s="92"/>
      <c r="AX6" s="92"/>
      <c r="AY6" s="92"/>
      <c r="AZ6" s="92"/>
      <c r="BA6" s="92"/>
      <c r="BB6" s="92"/>
      <c r="BC6" s="92"/>
      <c r="BD6" s="94"/>
      <c r="BE6" s="92"/>
      <c r="BF6" s="92"/>
      <c r="BG6" s="92"/>
      <c r="BH6" s="92"/>
      <c r="BI6" s="92"/>
      <c r="BJ6" s="92"/>
    </row>
    <row r="7" spans="1:62"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7"/>
      <c r="AM7" s="96"/>
      <c r="AN7" s="97"/>
      <c r="AO7" s="97"/>
      <c r="AP7" s="97"/>
      <c r="AQ7" s="97"/>
      <c r="AR7" s="97"/>
      <c r="AS7" s="97"/>
      <c r="AT7" s="97"/>
      <c r="AU7" s="97"/>
      <c r="AV7" s="97"/>
      <c r="AW7" s="97"/>
      <c r="AX7" s="97"/>
      <c r="AY7" s="97"/>
      <c r="AZ7" s="97"/>
      <c r="BA7" s="96"/>
      <c r="BB7" s="98"/>
      <c r="BC7" s="98"/>
      <c r="BD7" s="98"/>
      <c r="BE7" s="98"/>
      <c r="BF7" s="98"/>
      <c r="BG7" s="98"/>
      <c r="BH7" s="98"/>
      <c r="BI7" s="98"/>
      <c r="BJ7" s="98"/>
    </row>
    <row r="8" spans="1:62" s="100" customFormat="1" ht="30" customHeight="1" thickBot="1">
      <c r="A8" s="89"/>
      <c r="B8" s="621" t="s">
        <v>2958</v>
      </c>
      <c r="C8" s="102"/>
      <c r="D8" s="102"/>
      <c r="E8" s="102"/>
      <c r="F8" s="102"/>
      <c r="G8" s="103"/>
      <c r="H8" s="103"/>
      <c r="I8" s="105" t="s">
        <v>2959</v>
      </c>
      <c r="J8" s="106"/>
      <c r="K8" s="106"/>
      <c r="L8" s="106"/>
      <c r="M8" s="106"/>
      <c r="N8" s="106"/>
      <c r="O8" s="106"/>
      <c r="P8" s="106"/>
      <c r="Q8" s="106"/>
      <c r="R8" s="105"/>
      <c r="S8" s="105"/>
      <c r="T8" s="105"/>
      <c r="U8" s="105"/>
      <c r="V8" s="187"/>
    </row>
    <row r="9" spans="1:62"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row>
    <row r="10" spans="1:62"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62" s="98" customFormat="1" ht="15" customHeight="1">
      <c r="A11" s="99"/>
      <c r="B11" s="161"/>
      <c r="C11" s="180" t="s">
        <v>1809</v>
      </c>
      <c r="D11" s="162"/>
      <c r="E11" s="162"/>
      <c r="F11" s="162"/>
      <c r="G11" s="163"/>
      <c r="H11" s="163"/>
      <c r="I11" s="117"/>
      <c r="J11" s="159"/>
      <c r="K11" s="117"/>
      <c r="L11" s="117"/>
      <c r="M11" s="117"/>
      <c r="N11" s="117"/>
      <c r="O11" s="117"/>
      <c r="P11" s="117"/>
      <c r="Q11" s="160"/>
      <c r="R11" s="159"/>
      <c r="S11" s="117"/>
      <c r="T11" s="117"/>
      <c r="U11" s="117"/>
      <c r="V11" s="160"/>
    </row>
    <row r="12" spans="1:62" s="98" customFormat="1" ht="15" customHeight="1">
      <c r="A12" s="99"/>
      <c r="B12" s="161"/>
      <c r="C12" s="185"/>
      <c r="D12" s="162" t="s">
        <v>2960</v>
      </c>
      <c r="E12" s="162"/>
      <c r="F12" s="162"/>
      <c r="G12" s="162"/>
      <c r="H12" s="163"/>
      <c r="I12" s="164" t="s">
        <v>1876</v>
      </c>
      <c r="J12" s="165">
        <v>2</v>
      </c>
      <c r="K12" s="166">
        <v>1</v>
      </c>
      <c r="L12" s="166">
        <v>2</v>
      </c>
      <c r="M12" s="166">
        <v>3</v>
      </c>
      <c r="N12" s="166">
        <v>2</v>
      </c>
      <c r="O12" s="166">
        <v>2</v>
      </c>
      <c r="P12" s="166">
        <v>2</v>
      </c>
      <c r="Q12" s="167">
        <v>2</v>
      </c>
      <c r="R12" s="165">
        <v>2</v>
      </c>
      <c r="S12" s="166">
        <v>2</v>
      </c>
      <c r="T12" s="166">
        <v>2</v>
      </c>
      <c r="U12" s="166">
        <v>2</v>
      </c>
      <c r="V12" s="167">
        <v>2</v>
      </c>
    </row>
    <row r="13" spans="1:62" s="98" customFormat="1" ht="15" customHeight="1">
      <c r="A13" s="99"/>
      <c r="B13" s="161"/>
      <c r="C13" s="185"/>
      <c r="D13" s="162" t="s">
        <v>2961</v>
      </c>
      <c r="E13" s="162"/>
      <c r="F13" s="162"/>
      <c r="G13" s="162"/>
      <c r="H13" s="163"/>
      <c r="I13" s="164" t="s">
        <v>1876</v>
      </c>
      <c r="J13" s="165">
        <v>11</v>
      </c>
      <c r="K13" s="166">
        <v>9</v>
      </c>
      <c r="L13" s="166">
        <v>12</v>
      </c>
      <c r="M13" s="166">
        <v>9</v>
      </c>
      <c r="N13" s="166">
        <v>12</v>
      </c>
      <c r="O13" s="166">
        <v>11</v>
      </c>
      <c r="P13" s="166">
        <v>11</v>
      </c>
      <c r="Q13" s="167">
        <v>13</v>
      </c>
      <c r="R13" s="165">
        <v>11</v>
      </c>
      <c r="S13" s="166">
        <v>11</v>
      </c>
      <c r="T13" s="166">
        <v>10</v>
      </c>
      <c r="U13" s="166">
        <v>9</v>
      </c>
      <c r="V13" s="167">
        <v>8</v>
      </c>
    </row>
    <row r="14" spans="1:62" s="98" customFormat="1" ht="15" customHeight="1">
      <c r="A14" s="99"/>
      <c r="B14" s="161"/>
      <c r="C14" s="185"/>
      <c r="D14" s="162" t="s">
        <v>2962</v>
      </c>
      <c r="E14" s="162"/>
      <c r="F14" s="162"/>
      <c r="G14" s="162"/>
      <c r="H14" s="163"/>
      <c r="I14" s="164" t="s">
        <v>1876</v>
      </c>
      <c r="J14" s="165">
        <v>4</v>
      </c>
      <c r="K14" s="166">
        <v>3</v>
      </c>
      <c r="L14" s="166">
        <v>4</v>
      </c>
      <c r="M14" s="166">
        <v>6</v>
      </c>
      <c r="N14" s="166">
        <v>8</v>
      </c>
      <c r="O14" s="166">
        <v>9</v>
      </c>
      <c r="P14" s="166">
        <v>7</v>
      </c>
      <c r="Q14" s="167">
        <v>7</v>
      </c>
      <c r="R14" s="165">
        <v>7</v>
      </c>
      <c r="S14" s="166">
        <v>6</v>
      </c>
      <c r="T14" s="166">
        <v>6</v>
      </c>
      <c r="U14" s="166">
        <v>7</v>
      </c>
      <c r="V14" s="167">
        <v>8</v>
      </c>
    </row>
    <row r="15" spans="1:62" s="98" customFormat="1" ht="15" customHeight="1">
      <c r="A15" s="99"/>
      <c r="B15" s="161"/>
      <c r="C15" s="185"/>
      <c r="D15" s="162" t="s">
        <v>2963</v>
      </c>
      <c r="E15" s="162"/>
      <c r="F15" s="162"/>
      <c r="G15" s="162"/>
      <c r="H15" s="163"/>
      <c r="I15" s="164" t="s">
        <v>1876</v>
      </c>
      <c r="J15" s="165">
        <v>8</v>
      </c>
      <c r="K15" s="166">
        <v>11</v>
      </c>
      <c r="L15" s="166">
        <v>5</v>
      </c>
      <c r="M15" s="166">
        <v>6</v>
      </c>
      <c r="N15" s="166">
        <v>4</v>
      </c>
      <c r="O15" s="166">
        <v>2</v>
      </c>
      <c r="P15" s="166">
        <v>4</v>
      </c>
      <c r="Q15" s="167">
        <v>3</v>
      </c>
      <c r="R15" s="165">
        <v>5</v>
      </c>
      <c r="S15" s="166">
        <v>6</v>
      </c>
      <c r="T15" s="166">
        <v>7</v>
      </c>
      <c r="U15" s="166">
        <v>7</v>
      </c>
      <c r="V15" s="167">
        <v>7</v>
      </c>
    </row>
    <row r="16" spans="1:62" s="98" customFormat="1" ht="15" customHeight="1">
      <c r="A16" s="99"/>
      <c r="B16" s="161"/>
      <c r="C16" s="185"/>
      <c r="D16" s="162" t="s">
        <v>2964</v>
      </c>
      <c r="E16" s="162"/>
      <c r="F16" s="162"/>
      <c r="G16" s="162"/>
      <c r="H16" s="163"/>
      <c r="I16" s="164" t="s">
        <v>1876</v>
      </c>
      <c r="J16" s="165">
        <v>1</v>
      </c>
      <c r="K16" s="166">
        <v>2</v>
      </c>
      <c r="L16" s="166">
        <v>3</v>
      </c>
      <c r="M16" s="166">
        <v>2</v>
      </c>
      <c r="N16" s="166">
        <v>0</v>
      </c>
      <c r="O16" s="166">
        <v>1</v>
      </c>
      <c r="P16" s="166">
        <v>1</v>
      </c>
      <c r="Q16" s="167">
        <v>0</v>
      </c>
      <c r="R16" s="165">
        <v>0</v>
      </c>
      <c r="S16" s="166">
        <v>0</v>
      </c>
      <c r="T16" s="166">
        <v>0</v>
      </c>
      <c r="U16" s="166">
        <v>0</v>
      </c>
      <c r="V16" s="167">
        <v>0</v>
      </c>
    </row>
    <row r="17" spans="1:22" s="98" customFormat="1" ht="15" customHeight="1">
      <c r="A17" s="99"/>
      <c r="B17" s="181"/>
      <c r="C17" s="182" t="s">
        <v>1710</v>
      </c>
      <c r="D17" s="182"/>
      <c r="E17" s="182"/>
      <c r="F17" s="182"/>
      <c r="G17" s="184"/>
      <c r="H17" s="184"/>
      <c r="I17" s="164" t="s">
        <v>1876</v>
      </c>
      <c r="J17" s="777">
        <f>SUM(J12:J16)</f>
        <v>26</v>
      </c>
      <c r="K17" s="778">
        <f t="shared" ref="K17:V17" si="0">SUM(K12:K16)</f>
        <v>26</v>
      </c>
      <c r="L17" s="778">
        <f t="shared" si="0"/>
        <v>26</v>
      </c>
      <c r="M17" s="778">
        <f t="shared" si="0"/>
        <v>26</v>
      </c>
      <c r="N17" s="778">
        <f t="shared" si="0"/>
        <v>26</v>
      </c>
      <c r="O17" s="778">
        <f>SUM(O12:O16)</f>
        <v>25</v>
      </c>
      <c r="P17" s="778">
        <f t="shared" si="0"/>
        <v>25</v>
      </c>
      <c r="Q17" s="779">
        <f t="shared" si="0"/>
        <v>25</v>
      </c>
      <c r="R17" s="777">
        <f t="shared" si="0"/>
        <v>25</v>
      </c>
      <c r="S17" s="778">
        <f t="shared" si="0"/>
        <v>25</v>
      </c>
      <c r="T17" s="778">
        <f t="shared" si="0"/>
        <v>25</v>
      </c>
      <c r="U17" s="778">
        <f t="shared" si="0"/>
        <v>25</v>
      </c>
      <c r="V17" s="779">
        <f t="shared" si="0"/>
        <v>25</v>
      </c>
    </row>
    <row r="18" spans="1:22" s="98" customFormat="1" ht="15" customHeight="1">
      <c r="A18" s="99"/>
      <c r="B18" s="181"/>
      <c r="C18" s="185"/>
      <c r="D18" s="182"/>
      <c r="E18" s="182"/>
      <c r="F18" s="182"/>
      <c r="G18" s="184"/>
      <c r="H18" s="184"/>
      <c r="I18" s="117"/>
      <c r="J18" s="878"/>
      <c r="K18" s="879"/>
      <c r="L18" s="879"/>
      <c r="M18" s="879"/>
      <c r="N18" s="879"/>
      <c r="O18" s="879"/>
      <c r="P18" s="879"/>
      <c r="Q18" s="880"/>
      <c r="R18" s="879"/>
      <c r="S18" s="879"/>
      <c r="T18" s="879"/>
      <c r="U18" s="879"/>
      <c r="V18" s="880"/>
    </row>
    <row r="19" spans="1:22" s="98" customFormat="1" ht="15" customHeight="1">
      <c r="A19" s="99"/>
      <c r="B19" s="161"/>
      <c r="C19" s="180" t="s">
        <v>1825</v>
      </c>
      <c r="D19" s="162"/>
      <c r="E19" s="162"/>
      <c r="F19" s="162"/>
      <c r="G19" s="163"/>
      <c r="H19" s="163"/>
      <c r="I19" s="117"/>
      <c r="J19" s="878"/>
      <c r="K19" s="881"/>
      <c r="L19" s="881"/>
      <c r="M19" s="881"/>
      <c r="N19" s="881"/>
      <c r="O19" s="881"/>
      <c r="P19" s="881"/>
      <c r="Q19" s="880"/>
      <c r="R19" s="878"/>
      <c r="S19" s="881"/>
      <c r="T19" s="881"/>
      <c r="U19" s="881"/>
      <c r="V19" s="880"/>
    </row>
    <row r="20" spans="1:22" s="98" customFormat="1" ht="15" customHeight="1">
      <c r="A20" s="99"/>
      <c r="B20" s="161"/>
      <c r="C20" s="185"/>
      <c r="D20" s="162" t="s">
        <v>2960</v>
      </c>
      <c r="E20" s="162"/>
      <c r="F20" s="162"/>
      <c r="G20" s="162"/>
      <c r="H20" s="163"/>
      <c r="I20" s="164" t="s">
        <v>1876</v>
      </c>
      <c r="J20" s="165">
        <v>49</v>
      </c>
      <c r="K20" s="166">
        <v>58</v>
      </c>
      <c r="L20" s="166">
        <v>62</v>
      </c>
      <c r="M20" s="166">
        <v>72</v>
      </c>
      <c r="N20" s="166">
        <v>78</v>
      </c>
      <c r="O20" s="166">
        <v>78</v>
      </c>
      <c r="P20" s="166">
        <v>76</v>
      </c>
      <c r="Q20" s="167">
        <v>75</v>
      </c>
      <c r="R20" s="165">
        <v>73</v>
      </c>
      <c r="S20" s="166">
        <v>72</v>
      </c>
      <c r="T20" s="166">
        <v>71</v>
      </c>
      <c r="U20" s="166">
        <v>68</v>
      </c>
      <c r="V20" s="167">
        <v>67</v>
      </c>
    </row>
    <row r="21" spans="1:22" s="98" customFormat="1" ht="15" customHeight="1">
      <c r="A21" s="99"/>
      <c r="B21" s="161"/>
      <c r="C21" s="185"/>
      <c r="D21" s="162" t="s">
        <v>2961</v>
      </c>
      <c r="E21" s="162"/>
      <c r="F21" s="162"/>
      <c r="G21" s="162"/>
      <c r="H21" s="163"/>
      <c r="I21" s="164" t="s">
        <v>1876</v>
      </c>
      <c r="J21" s="165">
        <v>47</v>
      </c>
      <c r="K21" s="166">
        <v>47</v>
      </c>
      <c r="L21" s="166">
        <v>47</v>
      </c>
      <c r="M21" s="166">
        <v>48</v>
      </c>
      <c r="N21" s="166">
        <v>48</v>
      </c>
      <c r="O21" s="166">
        <v>42</v>
      </c>
      <c r="P21" s="166">
        <v>43</v>
      </c>
      <c r="Q21" s="167">
        <v>45</v>
      </c>
      <c r="R21" s="165">
        <v>47</v>
      </c>
      <c r="S21" s="166">
        <v>47</v>
      </c>
      <c r="T21" s="166">
        <v>47</v>
      </c>
      <c r="U21" s="166">
        <v>49</v>
      </c>
      <c r="V21" s="167">
        <v>49</v>
      </c>
    </row>
    <row r="22" spans="1:22" s="98" customFormat="1" ht="15" customHeight="1">
      <c r="A22" s="99"/>
      <c r="B22" s="161"/>
      <c r="C22" s="185"/>
      <c r="D22" s="162" t="s">
        <v>2962</v>
      </c>
      <c r="E22" s="162"/>
      <c r="F22" s="162"/>
      <c r="G22" s="162"/>
      <c r="H22" s="163"/>
      <c r="I22" s="164" t="s">
        <v>1876</v>
      </c>
      <c r="J22" s="165">
        <v>21</v>
      </c>
      <c r="K22" s="166">
        <v>24</v>
      </c>
      <c r="L22" s="166">
        <v>18</v>
      </c>
      <c r="M22" s="166">
        <v>21</v>
      </c>
      <c r="N22" s="166">
        <v>18</v>
      </c>
      <c r="O22" s="166">
        <v>16</v>
      </c>
      <c r="P22" s="166">
        <v>17</v>
      </c>
      <c r="Q22" s="167">
        <v>15</v>
      </c>
      <c r="R22" s="165">
        <v>14</v>
      </c>
      <c r="S22" s="166">
        <v>13</v>
      </c>
      <c r="T22" s="166">
        <v>13</v>
      </c>
      <c r="U22" s="166">
        <v>13</v>
      </c>
      <c r="V22" s="167">
        <v>15</v>
      </c>
    </row>
    <row r="23" spans="1:22" s="98" customFormat="1" ht="15" customHeight="1">
      <c r="A23" s="99"/>
      <c r="B23" s="161"/>
      <c r="C23" s="185"/>
      <c r="D23" s="162" t="s">
        <v>2963</v>
      </c>
      <c r="E23" s="162"/>
      <c r="F23" s="162"/>
      <c r="G23" s="162"/>
      <c r="H23" s="163"/>
      <c r="I23" s="164" t="s">
        <v>1876</v>
      </c>
      <c r="J23" s="165">
        <v>41</v>
      </c>
      <c r="K23" s="166">
        <v>33</v>
      </c>
      <c r="L23" s="166">
        <v>36</v>
      </c>
      <c r="M23" s="166">
        <v>24</v>
      </c>
      <c r="N23" s="166">
        <v>21</v>
      </c>
      <c r="O23" s="166">
        <v>28</v>
      </c>
      <c r="P23" s="166">
        <v>30</v>
      </c>
      <c r="Q23" s="167">
        <v>32</v>
      </c>
      <c r="R23" s="165">
        <v>33</v>
      </c>
      <c r="S23" s="166">
        <v>35</v>
      </c>
      <c r="T23" s="166">
        <v>36</v>
      </c>
      <c r="U23" s="166">
        <v>37</v>
      </c>
      <c r="V23" s="167">
        <v>36</v>
      </c>
    </row>
    <row r="24" spans="1:22" s="98" customFormat="1" ht="15" customHeight="1">
      <c r="A24" s="99"/>
      <c r="B24" s="161"/>
      <c r="C24" s="185"/>
      <c r="D24" s="162" t="s">
        <v>2964</v>
      </c>
      <c r="E24" s="162"/>
      <c r="F24" s="162"/>
      <c r="G24" s="162"/>
      <c r="H24" s="163"/>
      <c r="I24" s="164" t="s">
        <v>1876</v>
      </c>
      <c r="J24" s="165">
        <v>9</v>
      </c>
      <c r="K24" s="166">
        <v>7</v>
      </c>
      <c r="L24" s="166">
        <v>5</v>
      </c>
      <c r="M24" s="166">
        <v>3</v>
      </c>
      <c r="N24" s="166">
        <v>3</v>
      </c>
      <c r="O24" s="166">
        <v>3</v>
      </c>
      <c r="P24" s="166">
        <v>1</v>
      </c>
      <c r="Q24" s="167">
        <v>0</v>
      </c>
      <c r="R24" s="165">
        <v>0</v>
      </c>
      <c r="S24" s="166">
        <v>0</v>
      </c>
      <c r="T24" s="166">
        <v>0</v>
      </c>
      <c r="U24" s="166">
        <v>0</v>
      </c>
      <c r="V24" s="167">
        <v>0</v>
      </c>
    </row>
    <row r="25" spans="1:22" s="98" customFormat="1" ht="15" customHeight="1" thickBot="1">
      <c r="A25" s="99"/>
      <c r="B25" s="239"/>
      <c r="C25" s="240" t="s">
        <v>1710</v>
      </c>
      <c r="D25" s="240"/>
      <c r="E25" s="240"/>
      <c r="F25" s="240"/>
      <c r="G25" s="241"/>
      <c r="H25" s="241"/>
      <c r="I25" s="195" t="s">
        <v>1876</v>
      </c>
      <c r="J25" s="892">
        <f>SUM(J20:J24)</f>
        <v>167</v>
      </c>
      <c r="K25" s="893">
        <f t="shared" ref="K25:M25" si="1">SUM(K20:K24)</f>
        <v>169</v>
      </c>
      <c r="L25" s="893">
        <f t="shared" si="1"/>
        <v>168</v>
      </c>
      <c r="M25" s="893">
        <f t="shared" si="1"/>
        <v>168</v>
      </c>
      <c r="N25" s="893">
        <f>SUM(N20:N24)</f>
        <v>168</v>
      </c>
      <c r="O25" s="893">
        <f t="shared" ref="O25:U25" si="2">SUM(O20:O24)</f>
        <v>167</v>
      </c>
      <c r="P25" s="893">
        <f t="shared" si="2"/>
        <v>167</v>
      </c>
      <c r="Q25" s="890">
        <f t="shared" si="2"/>
        <v>167</v>
      </c>
      <c r="R25" s="892">
        <f t="shared" si="2"/>
        <v>167</v>
      </c>
      <c r="S25" s="893">
        <f t="shared" si="2"/>
        <v>167</v>
      </c>
      <c r="T25" s="893">
        <f t="shared" si="2"/>
        <v>167</v>
      </c>
      <c r="U25" s="893">
        <f t="shared" si="2"/>
        <v>167</v>
      </c>
      <c r="V25" s="890">
        <f>SUM(V20:V24)</f>
        <v>167</v>
      </c>
    </row>
    <row r="26" spans="1:22" s="99" customFormat="1" ht="15" customHeight="1">
      <c r="B26" s="150"/>
      <c r="C26" s="150"/>
      <c r="D26" s="150"/>
      <c r="E26" s="150"/>
      <c r="F26" s="150"/>
      <c r="G26" s="97"/>
      <c r="H26" s="97"/>
      <c r="I26" s="98"/>
      <c r="J26" s="98"/>
      <c r="K26" s="98"/>
      <c r="L26" s="98"/>
      <c r="M26" s="98"/>
      <c r="N26" s="98"/>
      <c r="O26" s="98"/>
      <c r="P26" s="98"/>
      <c r="Q26" s="98"/>
      <c r="R26" s="98"/>
      <c r="S26" s="98"/>
      <c r="T26" s="98"/>
      <c r="U26" s="98"/>
      <c r="V26" s="98"/>
    </row>
    <row r="27" spans="1:22" s="100" customFormat="1" ht="30" customHeight="1"/>
    <row r="28" spans="1:22" s="157" customFormat="1" ht="30" customHeight="1"/>
    <row r="29" spans="1:22" s="98" customFormat="1" ht="15" customHeight="1"/>
    <row r="30" spans="1:22" s="98" customFormat="1" ht="15" customHeight="1"/>
    <row r="31" spans="1:22" s="98" customFormat="1" ht="15" customHeight="1"/>
    <row r="32" spans="1:22" s="98" customFormat="1" ht="15" customHeight="1"/>
    <row r="33" s="98" customFormat="1" ht="15" customHeight="1"/>
    <row r="34" s="98" customFormat="1" ht="15" customHeight="1"/>
    <row r="35" s="98" customFormat="1" ht="15" customHeight="1"/>
    <row r="36" s="98" customFormat="1" ht="15" customHeight="1"/>
    <row r="37" s="98" customFormat="1" ht="15" customHeight="1"/>
    <row r="38" s="98" customFormat="1" ht="15" customHeight="1"/>
    <row r="39" s="98" customFormat="1" ht="15" customHeight="1"/>
    <row r="40" s="98" customFormat="1" ht="15" customHeight="1"/>
    <row r="41" s="98" customFormat="1" ht="15" customHeight="1"/>
    <row r="42" s="98" customFormat="1" ht="15" customHeight="1"/>
    <row r="43" s="98" customFormat="1" ht="15" customHeight="1"/>
    <row r="44" s="98" customFormat="1" ht="15" customHeight="1"/>
    <row r="45" s="98" customFormat="1" ht="15" customHeight="1"/>
    <row r="46" s="98" customFormat="1" ht="15" customHeight="1"/>
    <row r="47" s="98" customFormat="1" ht="15" customHeight="1"/>
    <row r="48" s="98" customFormat="1" ht="15" customHeight="1"/>
    <row r="49" s="98" customFormat="1" ht="15" customHeight="1"/>
    <row r="50" s="98" customFormat="1" ht="15" customHeight="1"/>
    <row r="51" s="98" customFormat="1" ht="15" customHeight="1"/>
    <row r="52" s="98" customFormat="1" ht="15" customHeight="1"/>
    <row r="53" s="98" customFormat="1" ht="15" customHeight="1"/>
    <row r="54" s="98" customFormat="1" ht="15" customHeight="1"/>
    <row r="55" s="98" customFormat="1" ht="15" customHeight="1"/>
    <row r="56" s="98" customFormat="1" ht="15" customHeight="1"/>
    <row r="57" s="98" customFormat="1" ht="15" customHeight="1"/>
    <row r="58" s="98" customFormat="1" ht="15" customHeight="1"/>
    <row r="59" s="98" customFormat="1" ht="15" customHeight="1"/>
    <row r="60" s="98" customFormat="1" ht="15" customHeight="1"/>
    <row r="61" s="98" customFormat="1" ht="15" customHeight="1"/>
    <row r="62" s="98" customFormat="1" ht="15" customHeight="1"/>
    <row r="63" s="98" customFormat="1" ht="15" customHeight="1"/>
    <row r="64" s="98" customFormat="1" ht="15" customHeight="1"/>
    <row r="65" s="98" customFormat="1" ht="15" customHeight="1"/>
    <row r="66" s="98" customFormat="1" ht="15" customHeight="1"/>
    <row r="67" s="98" customFormat="1" ht="15" customHeight="1"/>
    <row r="68" s="98" customFormat="1" ht="15" customHeight="1"/>
    <row r="69" s="98" customFormat="1" ht="15" customHeight="1"/>
    <row r="70" s="98" customFormat="1" ht="15" customHeight="1"/>
    <row r="71" s="98" customFormat="1" ht="15" customHeight="1"/>
    <row r="72" s="98" customFormat="1" ht="15" customHeight="1"/>
    <row r="73" s="98" customFormat="1" ht="15" customHeight="1"/>
    <row r="74" s="98" customFormat="1" ht="15" customHeight="1"/>
    <row r="75" s="98" customFormat="1" ht="15" customHeight="1"/>
    <row r="76" s="98" customFormat="1" ht="15" customHeight="1"/>
    <row r="77" s="98" customFormat="1" ht="15" customHeight="1"/>
    <row r="78" s="98" customFormat="1" ht="15" customHeight="1"/>
    <row r="79" s="98" customFormat="1" ht="15" customHeight="1"/>
    <row r="80" s="98" customFormat="1" ht="15" customHeight="1"/>
    <row r="81" s="98" customFormat="1" ht="15" customHeight="1"/>
    <row r="82" s="98" customFormat="1" ht="15" customHeight="1"/>
    <row r="83" s="98" customFormat="1" ht="15" customHeight="1"/>
    <row r="84" s="98" customFormat="1" ht="15" customHeight="1"/>
    <row r="85" s="98" customFormat="1" ht="15" customHeight="1"/>
    <row r="86" s="98" customFormat="1" ht="15" customHeight="1"/>
    <row r="87" s="98" customFormat="1" ht="15" customHeight="1"/>
    <row r="88" s="98" customFormat="1" ht="15" customHeight="1"/>
    <row r="89" s="98" customFormat="1" ht="15" customHeight="1"/>
    <row r="90" s="98" customFormat="1" ht="15" customHeight="1"/>
    <row r="91" s="98" customFormat="1" ht="15" customHeight="1"/>
    <row r="92" s="98" customFormat="1" ht="15" customHeight="1"/>
    <row r="93" s="98" customFormat="1" ht="15" customHeight="1"/>
    <row r="94" s="98" customFormat="1" ht="15" customHeight="1"/>
    <row r="95" s="98" customFormat="1" ht="15" customHeight="1"/>
    <row r="96" s="98" customFormat="1" ht="15" customHeight="1"/>
    <row r="97" s="98" customFormat="1" ht="15" customHeight="1"/>
    <row r="98" s="98" customFormat="1" ht="15" customHeight="1"/>
    <row r="99" s="98" customFormat="1" ht="15" customHeight="1"/>
    <row r="100" s="98" customFormat="1" ht="15" customHeight="1"/>
    <row r="101" s="98" customFormat="1" ht="15" customHeight="1"/>
    <row r="102" s="98" customFormat="1" ht="15" customHeight="1"/>
    <row r="103" s="99" customFormat="1" ht="15" customHeight="1"/>
    <row r="104" s="100" customFormat="1" ht="30" customHeight="1"/>
    <row r="105" s="157" customFormat="1" ht="30" customHeight="1"/>
    <row r="106" s="98" customFormat="1" ht="15" customHeight="1"/>
    <row r="107" s="98" customFormat="1" ht="15" customHeight="1"/>
    <row r="108" s="98" customFormat="1" ht="15" customHeight="1"/>
    <row r="109" s="98" customFormat="1" ht="15" customHeight="1"/>
    <row r="110" s="98" customFormat="1" ht="15" customHeight="1"/>
    <row r="111" s="98" customFormat="1" ht="15" customHeight="1"/>
    <row r="112" s="98" customFormat="1" ht="15" customHeight="1"/>
    <row r="113" s="98" customFormat="1" ht="15" customHeight="1"/>
    <row r="114" s="98" customFormat="1" ht="15" customHeight="1"/>
    <row r="115" s="98" customFormat="1" ht="15" customHeight="1"/>
    <row r="116" s="98" customFormat="1" ht="15" customHeight="1"/>
    <row r="117" s="98" customFormat="1" ht="15" customHeight="1"/>
    <row r="118" s="98" customFormat="1" ht="15" customHeight="1"/>
    <row r="119" s="98" customFormat="1" ht="15" customHeight="1"/>
    <row r="120" s="98" customFormat="1" ht="15" customHeight="1"/>
    <row r="121" s="98" customFormat="1" ht="15" customHeight="1"/>
    <row r="122" s="98" customFormat="1" ht="15" customHeight="1"/>
    <row r="123" s="98" customFormat="1" ht="15" customHeight="1"/>
    <row r="124" s="98" customFormat="1" ht="15" customHeight="1"/>
    <row r="125" s="98" customFormat="1" ht="15" customHeight="1"/>
    <row r="126" s="98" customFormat="1" ht="15" customHeight="1"/>
    <row r="127" s="98" customFormat="1" ht="15" customHeight="1"/>
    <row r="128" s="98" customFormat="1" ht="15" customHeight="1"/>
    <row r="129" s="98" customFormat="1" ht="15" customHeight="1"/>
    <row r="130" s="98" customFormat="1" ht="15" customHeight="1"/>
    <row r="131" s="98" customFormat="1" ht="15" customHeight="1"/>
    <row r="132" s="99" customFormat="1" ht="15" customHeight="1"/>
    <row r="133" s="100" customFormat="1" ht="30" customHeight="1"/>
    <row r="134" s="157" customFormat="1" ht="30" customHeight="1"/>
    <row r="135" s="98" customFormat="1" ht="15" customHeight="1"/>
    <row r="136" s="98" customFormat="1" ht="15" customHeight="1"/>
    <row r="137" s="98" customFormat="1" ht="15" customHeight="1"/>
    <row r="138" s="98" customFormat="1" ht="15" customHeight="1"/>
    <row r="139" s="98" customFormat="1" ht="15" customHeight="1"/>
    <row r="140" s="98" customFormat="1" ht="15" customHeight="1"/>
    <row r="141" s="98" customFormat="1" ht="15" customHeight="1"/>
    <row r="142" s="98" customFormat="1" ht="15" customHeight="1"/>
    <row r="143" s="98" customFormat="1" ht="15" customHeight="1"/>
    <row r="144" s="98" customFormat="1" ht="15" customHeight="1"/>
    <row r="145" spans="2:39" s="98" customFormat="1" ht="15" customHeight="1"/>
    <row r="146" spans="2:39" s="98" customFormat="1" ht="15" customHeight="1"/>
    <row r="147" spans="2:39" s="98" customFormat="1" ht="15" customHeight="1"/>
    <row r="148" spans="2:39" s="98" customFormat="1" ht="15" customHeight="1"/>
    <row r="149" spans="2:39">
      <c r="B149" s="173"/>
      <c r="C149" s="173"/>
      <c r="D149" s="173"/>
      <c r="E149" s="173"/>
      <c r="F149" s="173"/>
      <c r="I149" s="173"/>
      <c r="X149" s="173"/>
      <c r="AM149" s="173"/>
    </row>
    <row r="150" spans="2:39" s="100" customFormat="1" ht="30" customHeight="1"/>
    <row r="151" spans="2:39" s="157" customFormat="1" ht="30" customHeight="1"/>
    <row r="152" spans="2:39" s="98" customFormat="1" ht="15" customHeight="1"/>
    <row r="153" spans="2:39" s="98" customFormat="1" ht="15" customHeight="1"/>
    <row r="154" spans="2:39" s="98" customFormat="1" ht="15" customHeight="1"/>
    <row r="155" spans="2:39" s="98" customFormat="1" ht="15" customHeight="1"/>
    <row r="156" spans="2:39" s="98" customFormat="1" ht="15" customHeight="1"/>
    <row r="157" spans="2:39" s="98" customFormat="1" ht="15" customHeight="1"/>
    <row r="158" spans="2:39" s="98" customFormat="1" ht="15" customHeight="1"/>
    <row r="159" spans="2:39" s="98" customFormat="1" ht="15" customHeight="1"/>
    <row r="160" spans="2:39" s="98" customFormat="1" ht="15" customHeight="1"/>
    <row r="161" spans="2:39" s="98" customFormat="1" ht="15" customHeight="1"/>
    <row r="162" spans="2:39" s="98" customFormat="1" ht="15" customHeight="1"/>
    <row r="163" spans="2:39" s="98" customFormat="1" ht="15" customHeight="1"/>
    <row r="164" spans="2:39" s="98" customFormat="1" ht="15" customHeight="1"/>
    <row r="165" spans="2:39" s="98" customFormat="1" ht="15" customHeight="1"/>
    <row r="166" spans="2:39" s="98" customFormat="1" ht="15" customHeight="1"/>
    <row r="167" spans="2:39">
      <c r="B167" s="173"/>
      <c r="C167" s="173"/>
      <c r="D167" s="173"/>
      <c r="E167" s="173"/>
      <c r="F167" s="173"/>
      <c r="I167" s="173"/>
      <c r="X167" s="173"/>
      <c r="AM167" s="173"/>
    </row>
    <row r="168" spans="2:39" s="100" customFormat="1" ht="30" customHeight="1"/>
    <row r="169" spans="2:39" s="157" customFormat="1" ht="30" customHeight="1"/>
    <row r="170" spans="2:39" s="98" customFormat="1" ht="15" customHeight="1"/>
    <row r="171" spans="2:39" s="98" customFormat="1" ht="15" customHeight="1"/>
    <row r="172" spans="2:39" s="98" customFormat="1" ht="15" customHeight="1"/>
    <row r="173" spans="2:39" s="98" customFormat="1" ht="15" customHeight="1"/>
    <row r="174" spans="2:39" s="98" customFormat="1" ht="15" customHeight="1"/>
    <row r="175" spans="2:39" s="98" customFormat="1" ht="15" customHeight="1"/>
    <row r="176" spans="2:39" s="98" customFormat="1" ht="15" customHeight="1"/>
    <row r="177" spans="2:39" s="98" customFormat="1" ht="15" customHeight="1"/>
    <row r="178" spans="2:39">
      <c r="B178" s="173"/>
      <c r="C178" s="173"/>
      <c r="D178" s="173"/>
      <c r="E178" s="173"/>
      <c r="F178" s="173"/>
      <c r="I178" s="173"/>
      <c r="X178" s="173"/>
      <c r="AM178" s="173"/>
    </row>
    <row r="179" spans="2:39" s="100" customFormat="1" ht="30" customHeight="1"/>
    <row r="180" spans="2:39" s="157" customFormat="1" ht="30" customHeight="1"/>
    <row r="181" spans="2:39" s="98" customFormat="1" ht="15" customHeight="1"/>
    <row r="182" spans="2:39" s="98" customFormat="1" ht="15" customHeight="1"/>
    <row r="183" spans="2:39" s="98" customFormat="1" ht="15" customHeight="1"/>
    <row r="184" spans="2:39">
      <c r="B184" s="173"/>
      <c r="C184" s="173"/>
      <c r="D184" s="173"/>
      <c r="E184" s="173"/>
      <c r="F184" s="173"/>
      <c r="I184" s="173"/>
      <c r="X184" s="173"/>
      <c r="AM184" s="173"/>
    </row>
    <row r="185" spans="2:39" s="100" customFormat="1" ht="30" customHeight="1"/>
    <row r="186" spans="2:39" s="157" customFormat="1" ht="30" customHeight="1"/>
    <row r="187" spans="2:39" s="98" customFormat="1" ht="15" customHeight="1"/>
    <row r="188" spans="2:39" s="98" customFormat="1" ht="15" customHeight="1"/>
    <row r="189" spans="2:39" s="98" customFormat="1" ht="15" customHeight="1"/>
    <row r="190" spans="2:39">
      <c r="B190" s="173"/>
      <c r="C190" s="173"/>
      <c r="D190" s="173"/>
      <c r="E190" s="173"/>
      <c r="F190" s="173"/>
      <c r="I190" s="173"/>
      <c r="X190" s="173"/>
      <c r="AM190" s="173"/>
    </row>
    <row r="191" spans="2:39" s="100" customFormat="1" ht="30" customHeight="1"/>
    <row r="192" spans="2:39" s="157" customFormat="1" ht="30" customHeight="1"/>
    <row r="193" spans="8:14" s="98" customFormat="1" ht="15" customHeight="1"/>
    <row r="194" spans="8:14" s="98" customFormat="1" ht="15" customHeight="1"/>
    <row r="195" spans="8:14" s="98" customFormat="1" ht="15" customHeight="1"/>
    <row r="196" spans="8:14" s="98" customFormat="1" ht="15" customHeight="1"/>
    <row r="208" spans="8:14">
      <c r="H208" s="174"/>
      <c r="I208" s="174"/>
      <c r="J208" s="174"/>
      <c r="K208" s="174"/>
      <c r="L208" s="174"/>
      <c r="M208" s="174"/>
      <c r="N208" s="174"/>
    </row>
    <row r="209" spans="8:14">
      <c r="H209" s="174"/>
      <c r="I209" s="174"/>
      <c r="J209" s="174"/>
      <c r="K209" s="174"/>
      <c r="L209" s="174"/>
      <c r="M209" s="174"/>
      <c r="N209" s="174"/>
    </row>
    <row r="210" spans="8:14">
      <c r="H210" s="174"/>
      <c r="I210" s="174"/>
      <c r="J210" s="174"/>
      <c r="K210" s="174"/>
      <c r="L210" s="174"/>
      <c r="M210" s="174"/>
      <c r="N210" s="174"/>
    </row>
  </sheetData>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tabColor rgb="FF00B050"/>
  </sheetPr>
  <dimension ref="A1:AU285"/>
  <sheetViews>
    <sheetView showGridLines="0" topLeftCell="A16" zoomScale="60" zoomScaleNormal="60" workbookViewId="0">
      <pane xSplit="7" topLeftCell="H1" activePane="topRight" state="frozen"/>
      <selection activeCell="G14" sqref="G14"/>
      <selection pane="topRight" activeCell="O71" sqref="O71"/>
    </sheetView>
  </sheetViews>
  <sheetFormatPr defaultColWidth="11.875" defaultRowHeight="15"/>
  <cols>
    <col min="1" max="1" width="11.875" style="173" customWidth="1"/>
    <col min="2" max="2" width="4.375" style="174" customWidth="1"/>
    <col min="3" max="5" width="4.375" style="899" customWidth="1"/>
    <col min="6"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5" customWidth="1"/>
    <col min="25" max="37" width="15.625" style="173" customWidth="1"/>
    <col min="38" max="38" width="11.875" style="175"/>
    <col min="39" max="16384" width="11.875" style="173"/>
  </cols>
  <sheetData>
    <row r="1" spans="1:47" s="2" customFormat="1" ht="25.15" customHeight="1">
      <c r="A1" s="1" t="s">
        <v>0</v>
      </c>
      <c r="G1" s="3"/>
      <c r="J1" s="4" t="s">
        <v>1</v>
      </c>
      <c r="L1" s="3"/>
    </row>
    <row r="2" spans="1:47" s="2" customFormat="1" ht="25.15" customHeight="1">
      <c r="A2" s="5" t="str">
        <f>Fixed_Data!I12</f>
        <v>MASTER</v>
      </c>
      <c r="B2" s="6"/>
      <c r="F2" s="7"/>
      <c r="G2" s="3"/>
    </row>
    <row r="3" spans="1:47" s="9" customFormat="1" ht="25.15" customHeight="1" thickBot="1">
      <c r="A3" s="8" t="str">
        <f>Fixed_Data!A3</f>
        <v>RIIO-GD2</v>
      </c>
      <c r="F3" s="10"/>
      <c r="G3" s="11"/>
    </row>
    <row r="4" spans="1:47" s="89" customFormat="1" ht="25.15" customHeight="1">
      <c r="B4" s="90" t="s">
        <v>2965</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2"/>
      <c r="AF4" s="92"/>
      <c r="AG4" s="92"/>
      <c r="AH4" s="92"/>
      <c r="AI4" s="92"/>
      <c r="AJ4" s="92"/>
      <c r="AK4" s="92"/>
      <c r="AL4" s="92"/>
      <c r="AM4" s="92"/>
      <c r="AN4" s="92"/>
      <c r="AO4" s="94"/>
      <c r="AP4" s="92"/>
      <c r="AQ4" s="92"/>
      <c r="AR4" s="92"/>
      <c r="AS4" s="92"/>
      <c r="AT4" s="92"/>
      <c r="AU4" s="92"/>
    </row>
    <row r="5" spans="1:47" s="89" customFormat="1" ht="25.15" customHeight="1">
      <c r="B5" s="95"/>
      <c r="C5" s="894"/>
      <c r="D5" s="894"/>
      <c r="E5" s="894"/>
      <c r="F5" s="95"/>
      <c r="G5" s="95"/>
      <c r="H5" s="95"/>
      <c r="I5" s="93"/>
      <c r="J5" s="94"/>
      <c r="K5" s="94"/>
      <c r="L5" s="94"/>
      <c r="M5" s="94"/>
      <c r="N5" s="94"/>
      <c r="O5" s="94"/>
      <c r="P5" s="94"/>
      <c r="Q5" s="94"/>
      <c r="R5" s="92"/>
      <c r="S5" s="92"/>
      <c r="T5" s="92"/>
      <c r="U5" s="92"/>
      <c r="V5" s="92"/>
      <c r="W5" s="92"/>
      <c r="X5" s="93"/>
      <c r="Y5" s="94"/>
      <c r="Z5" s="94"/>
      <c r="AA5" s="94"/>
      <c r="AB5" s="94"/>
      <c r="AC5" s="94"/>
      <c r="AD5" s="94"/>
      <c r="AE5" s="92"/>
      <c r="AF5" s="92"/>
      <c r="AG5" s="92"/>
      <c r="AH5" s="92"/>
      <c r="AI5" s="92"/>
      <c r="AJ5" s="92"/>
      <c r="AK5" s="92"/>
      <c r="AL5" s="92"/>
      <c r="AM5" s="92"/>
      <c r="AN5" s="92"/>
      <c r="AO5" s="94"/>
      <c r="AP5" s="92"/>
      <c r="AQ5" s="92"/>
      <c r="AR5" s="92"/>
      <c r="AS5" s="92"/>
      <c r="AT5" s="92"/>
      <c r="AU5" s="92"/>
    </row>
    <row r="6" spans="1:47" s="89" customFormat="1" ht="15" customHeight="1">
      <c r="B6" s="95"/>
      <c r="C6" s="894"/>
      <c r="D6" s="894"/>
      <c r="E6" s="894"/>
      <c r="F6" s="95"/>
      <c r="G6" s="95"/>
      <c r="H6" s="95"/>
      <c r="I6" s="93"/>
      <c r="J6" s="94"/>
      <c r="K6" s="94"/>
      <c r="L6" s="94"/>
      <c r="M6" s="94"/>
      <c r="N6" s="94"/>
      <c r="O6" s="94"/>
      <c r="P6" s="94"/>
      <c r="Q6" s="94"/>
      <c r="R6" s="92"/>
      <c r="S6" s="92"/>
      <c r="T6" s="92"/>
      <c r="U6" s="92"/>
      <c r="V6" s="92"/>
      <c r="W6" s="92"/>
      <c r="X6" s="93"/>
      <c r="Y6" s="94"/>
      <c r="Z6" s="94"/>
      <c r="AA6" s="94"/>
      <c r="AB6" s="94"/>
      <c r="AC6" s="94"/>
      <c r="AD6" s="94"/>
      <c r="AE6" s="92"/>
      <c r="AF6" s="92"/>
      <c r="AG6" s="92"/>
      <c r="AH6" s="92"/>
      <c r="AI6" s="92"/>
      <c r="AJ6" s="92"/>
      <c r="AK6" s="92"/>
      <c r="AL6" s="92"/>
      <c r="AM6" s="92"/>
      <c r="AN6" s="92"/>
      <c r="AO6" s="94"/>
      <c r="AP6" s="92"/>
      <c r="AQ6" s="92"/>
      <c r="AR6" s="92"/>
      <c r="AS6" s="92"/>
      <c r="AT6" s="92"/>
      <c r="AU6" s="92"/>
    </row>
    <row r="7" spans="1:47" s="99" customFormat="1" ht="15" customHeight="1" thickBot="1">
      <c r="A7" s="89"/>
      <c r="B7" s="95"/>
      <c r="C7" s="894"/>
      <c r="D7" s="894"/>
      <c r="E7" s="894"/>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6"/>
      <c r="AM7" s="98"/>
      <c r="AN7" s="98"/>
      <c r="AO7" s="98"/>
      <c r="AP7" s="98"/>
      <c r="AQ7" s="98"/>
      <c r="AR7" s="98"/>
      <c r="AS7" s="98"/>
      <c r="AT7" s="98"/>
      <c r="AU7" s="98"/>
    </row>
    <row r="8" spans="1:47" s="100" customFormat="1" ht="30" customHeight="1" thickBot="1">
      <c r="A8" s="89"/>
      <c r="B8" s="621" t="s">
        <v>1819</v>
      </c>
      <c r="C8" s="788"/>
      <c r="D8" s="788"/>
      <c r="E8" s="788"/>
      <c r="F8" s="102"/>
      <c r="G8" s="103"/>
      <c r="H8" s="103"/>
      <c r="I8" s="105" t="s">
        <v>2897</v>
      </c>
      <c r="J8" s="106"/>
      <c r="K8" s="106"/>
      <c r="L8" s="106"/>
      <c r="M8" s="106"/>
      <c r="N8" s="106"/>
      <c r="O8" s="106"/>
      <c r="P8" s="106"/>
      <c r="Q8" s="106"/>
      <c r="R8" s="105"/>
      <c r="S8" s="105"/>
      <c r="T8" s="105"/>
      <c r="U8" s="105"/>
      <c r="V8" s="187"/>
    </row>
    <row r="9" spans="1:47"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row>
    <row r="10" spans="1:47" s="98" customFormat="1" ht="15" customHeight="1">
      <c r="A10" s="99"/>
      <c r="B10" s="900"/>
      <c r="C10" s="620"/>
      <c r="D10" s="620"/>
      <c r="E10" s="620"/>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47" s="98" customFormat="1" ht="15" customHeight="1">
      <c r="A11" s="99"/>
      <c r="B11" s="901"/>
      <c r="C11" s="180" t="s">
        <v>2842</v>
      </c>
      <c r="D11" s="180"/>
      <c r="E11" s="180"/>
      <c r="F11" s="162"/>
      <c r="G11" s="163"/>
      <c r="H11" s="163"/>
      <c r="I11" s="117"/>
      <c r="J11" s="159"/>
      <c r="K11" s="117"/>
      <c r="L11" s="117"/>
      <c r="M11" s="117"/>
      <c r="N11" s="117"/>
      <c r="O11" s="117"/>
      <c r="P11" s="117"/>
      <c r="Q11" s="160"/>
      <c r="R11" s="159"/>
      <c r="S11" s="117"/>
      <c r="T11" s="117"/>
      <c r="U11" s="117"/>
      <c r="V11" s="160"/>
    </row>
    <row r="12" spans="1:47" s="98" customFormat="1" ht="15" customHeight="1">
      <c r="A12" s="99"/>
      <c r="B12" s="901"/>
      <c r="C12" s="222"/>
      <c r="D12" s="162" t="s">
        <v>2843</v>
      </c>
      <c r="E12" s="222"/>
      <c r="G12" s="162"/>
      <c r="H12" s="163"/>
      <c r="I12" s="164" t="s">
        <v>2233</v>
      </c>
      <c r="J12" s="128">
        <f>SUM('5.01_LTS_&amp;_Entry_Assets'!J12,'5.01_LTS_&amp;_Entry_Assets'!Y12,'5.01_LTS_&amp;_Entry_Assets'!AN12,'5.01_LTS_&amp;_Entry_Assets'!AV12)</f>
        <v>298.15300000000002</v>
      </c>
      <c r="K12" s="129">
        <f>SUM(J12,'5.01_LTS_&amp;_Entry_Assets'!K12,'5.01_LTS_&amp;_Entry_Assets'!Z12,'5.01_LTS_&amp;_Entry_Assets'!AO12)</f>
        <v>298.15300000000002</v>
      </c>
      <c r="L12" s="129">
        <f>SUM(K12,'5.01_LTS_&amp;_Entry_Assets'!L12,'5.01_LTS_&amp;_Entry_Assets'!AA12,'5.01_LTS_&amp;_Entry_Assets'!AP12)</f>
        <v>295.71300000000002</v>
      </c>
      <c r="M12" s="129">
        <f>SUM(L12,'5.01_LTS_&amp;_Entry_Assets'!M12,'5.01_LTS_&amp;_Entry_Assets'!AB12,'5.01_LTS_&amp;_Entry_Assets'!AQ12)</f>
        <v>295.71300000000002</v>
      </c>
      <c r="N12" s="129">
        <f>SUM(M12,'5.01_LTS_&amp;_Entry_Assets'!N12,'5.01_LTS_&amp;_Entry_Assets'!AC12,'5.01_LTS_&amp;_Entry_Assets'!AR12)</f>
        <v>295.62900000000002</v>
      </c>
      <c r="O12" s="129">
        <f>SUM(N12,'5.01_LTS_&amp;_Entry_Assets'!O12,'5.01_LTS_&amp;_Entry_Assets'!AD12,'5.01_LTS_&amp;_Entry_Assets'!AS12)</f>
        <v>295.39799999380114</v>
      </c>
      <c r="P12" s="129">
        <f>SUM(O12,'5.01_LTS_&amp;_Entry_Assets'!P12,'5.01_LTS_&amp;_Entry_Assets'!AE12)</f>
        <v>296.23299999380112</v>
      </c>
      <c r="Q12" s="130">
        <f>SUM(P12,'5.01_LTS_&amp;_Entry_Assets'!Q12,'5.01_LTS_&amp;_Entry_Assets'!AF12)</f>
        <v>296.23299999380112</v>
      </c>
      <c r="R12" s="128">
        <f>SUM(Q12,'5.01_LTS_&amp;_Entry_Assets'!R12,'5.01_LTS_&amp;_Entry_Assets'!AG12)</f>
        <v>296.23299999380112</v>
      </c>
      <c r="S12" s="129">
        <f>SUM(R12,'5.01_LTS_&amp;_Entry_Assets'!S12,'5.01_LTS_&amp;_Entry_Assets'!AH12)</f>
        <v>296.23299999380112</v>
      </c>
      <c r="T12" s="129">
        <f>SUM(S12,'5.01_LTS_&amp;_Entry_Assets'!T12,'5.01_LTS_&amp;_Entry_Assets'!AI12)</f>
        <v>296.23299999380112</v>
      </c>
      <c r="U12" s="129">
        <f>SUM(T12,'5.01_LTS_&amp;_Entry_Assets'!U12,'5.01_LTS_&amp;_Entry_Assets'!AJ12)</f>
        <v>296.23299999380112</v>
      </c>
      <c r="V12" s="130">
        <f>SUM(U12,'5.01_LTS_&amp;_Entry_Assets'!V12,'5.01_LTS_&amp;_Entry_Assets'!AK12)</f>
        <v>296.23299999380112</v>
      </c>
    </row>
    <row r="13" spans="1:47" s="98" customFormat="1" ht="15" customHeight="1">
      <c r="A13" s="99"/>
      <c r="B13" s="901"/>
      <c r="C13" s="222"/>
      <c r="D13" s="162" t="s">
        <v>2844</v>
      </c>
      <c r="E13" s="222"/>
      <c r="G13" s="162"/>
      <c r="H13" s="163"/>
      <c r="I13" s="164" t="s">
        <v>2233</v>
      </c>
      <c r="J13" s="128">
        <f>SUM('5.01_LTS_&amp;_Entry_Assets'!J13,'5.01_LTS_&amp;_Entry_Assets'!Y13,'5.01_LTS_&amp;_Entry_Assets'!AN13,'5.01_LTS_&amp;_Entry_Assets'!AV13)</f>
        <v>287.41500000000002</v>
      </c>
      <c r="K13" s="129">
        <f>SUM(J13,'5.01_LTS_&amp;_Entry_Assets'!K13,'5.01_LTS_&amp;_Entry_Assets'!Z13,'5.01_LTS_&amp;_Entry_Assets'!AO13)</f>
        <v>287.41500000000002</v>
      </c>
      <c r="L13" s="129">
        <f>SUM(K13,'5.01_LTS_&amp;_Entry_Assets'!L13,'5.01_LTS_&amp;_Entry_Assets'!AA13,'5.01_LTS_&amp;_Entry_Assets'!AP13)</f>
        <v>287.41500000000002</v>
      </c>
      <c r="M13" s="129">
        <f>SUM(L13,'5.01_LTS_&amp;_Entry_Assets'!M13,'5.01_LTS_&amp;_Entry_Assets'!AB13,'5.01_LTS_&amp;_Entry_Assets'!AQ13)</f>
        <v>287.41500000000002</v>
      </c>
      <c r="N13" s="129">
        <f>SUM(M13,'5.01_LTS_&amp;_Entry_Assets'!N13,'5.01_LTS_&amp;_Entry_Assets'!AC13,'5.01_LTS_&amp;_Entry_Assets'!AR13)</f>
        <v>287.41500000000002</v>
      </c>
      <c r="O13" s="129">
        <f>SUM(N13,'5.01_LTS_&amp;_Entry_Assets'!O13,'5.01_LTS_&amp;_Entry_Assets'!AD13,'5.01_LTS_&amp;_Entry_Assets'!AS13)</f>
        <v>287.41500000000002</v>
      </c>
      <c r="P13" s="129">
        <f>SUM(O13,'5.01_LTS_&amp;_Entry_Assets'!P13,'5.01_LTS_&amp;_Entry_Assets'!AE13)</f>
        <v>287.41500000000002</v>
      </c>
      <c r="Q13" s="130">
        <f>SUM(P13,'5.01_LTS_&amp;_Entry_Assets'!Q13,'5.01_LTS_&amp;_Entry_Assets'!AF13)</f>
        <v>287.41500000000002</v>
      </c>
      <c r="R13" s="128">
        <f>SUM(Q13,'5.01_LTS_&amp;_Entry_Assets'!R13,'5.01_LTS_&amp;_Entry_Assets'!AG13)</f>
        <v>287.41500000000002</v>
      </c>
      <c r="S13" s="129">
        <f>SUM(R13,'5.01_LTS_&amp;_Entry_Assets'!S13,'5.01_LTS_&amp;_Entry_Assets'!AH13)</f>
        <v>287.41500000000002</v>
      </c>
      <c r="T13" s="129">
        <f>SUM(S13,'5.01_LTS_&amp;_Entry_Assets'!T13,'5.01_LTS_&amp;_Entry_Assets'!AI13)</f>
        <v>287.41500000000002</v>
      </c>
      <c r="U13" s="129">
        <f>SUM(T13,'5.01_LTS_&amp;_Entry_Assets'!U13,'5.01_LTS_&amp;_Entry_Assets'!AJ13)</f>
        <v>287.41500000000002</v>
      </c>
      <c r="V13" s="130">
        <f>SUM(U13,'5.01_LTS_&amp;_Entry_Assets'!V13,'5.01_LTS_&amp;_Entry_Assets'!AK13)</f>
        <v>287.41500000000002</v>
      </c>
    </row>
    <row r="14" spans="1:47" s="98" customFormat="1" ht="15" customHeight="1">
      <c r="A14" s="99"/>
      <c r="B14" s="901"/>
      <c r="C14" s="222"/>
      <c r="D14" s="162" t="s">
        <v>2845</v>
      </c>
      <c r="E14" s="222"/>
      <c r="G14" s="162"/>
      <c r="H14" s="163"/>
      <c r="I14" s="164" t="s">
        <v>2233</v>
      </c>
      <c r="J14" s="128">
        <f>SUM('5.01_LTS_&amp;_Entry_Assets'!J14,'5.01_LTS_&amp;_Entry_Assets'!Y14,'5.01_LTS_&amp;_Entry_Assets'!AN14,'5.01_LTS_&amp;_Entry_Assets'!AV14)</f>
        <v>361.77499999999998</v>
      </c>
      <c r="K14" s="129">
        <f>SUM(J14,'5.01_LTS_&amp;_Entry_Assets'!K14,'5.01_LTS_&amp;_Entry_Assets'!Z14,'5.01_LTS_&amp;_Entry_Assets'!AO14)</f>
        <v>361.77499999999998</v>
      </c>
      <c r="L14" s="129">
        <f>SUM(K14,'5.01_LTS_&amp;_Entry_Assets'!L14,'5.01_LTS_&amp;_Entry_Assets'!AA14,'5.01_LTS_&amp;_Entry_Assets'!AP14)</f>
        <v>361.77499999999998</v>
      </c>
      <c r="M14" s="129">
        <f>SUM(L14,'5.01_LTS_&amp;_Entry_Assets'!M14,'5.01_LTS_&amp;_Entry_Assets'!AB14,'5.01_LTS_&amp;_Entry_Assets'!AQ14)</f>
        <v>361.77499999999998</v>
      </c>
      <c r="N14" s="129">
        <f>SUM(M14,'5.01_LTS_&amp;_Entry_Assets'!N14,'5.01_LTS_&amp;_Entry_Assets'!AC14,'5.01_LTS_&amp;_Entry_Assets'!AR14)</f>
        <v>361.73099999999999</v>
      </c>
      <c r="O14" s="129">
        <f>SUM(N14,'5.01_LTS_&amp;_Entry_Assets'!O14,'5.01_LTS_&amp;_Entry_Assets'!AD14,'5.01_LTS_&amp;_Entry_Assets'!AS14)</f>
        <v>361.73099999999999</v>
      </c>
      <c r="P14" s="129">
        <f>SUM(O14,'5.01_LTS_&amp;_Entry_Assets'!P14,'5.01_LTS_&amp;_Entry_Assets'!AE14)</f>
        <v>361.73099999999999</v>
      </c>
      <c r="Q14" s="130">
        <f>SUM(P14,'5.01_LTS_&amp;_Entry_Assets'!Q14,'5.01_LTS_&amp;_Entry_Assets'!AF14)</f>
        <v>361.73099999999999</v>
      </c>
      <c r="R14" s="128">
        <f>SUM(Q14,'5.01_LTS_&amp;_Entry_Assets'!R14,'5.01_LTS_&amp;_Entry_Assets'!AG14)</f>
        <v>361.73099999999999</v>
      </c>
      <c r="S14" s="129">
        <f>SUM(R14,'5.01_LTS_&amp;_Entry_Assets'!S14,'5.01_LTS_&amp;_Entry_Assets'!AH14)</f>
        <v>361.73099999999999</v>
      </c>
      <c r="T14" s="129">
        <f>SUM(S14,'5.01_LTS_&amp;_Entry_Assets'!T14,'5.01_LTS_&amp;_Entry_Assets'!AI14)</f>
        <v>361.73099999999999</v>
      </c>
      <c r="U14" s="129">
        <f>SUM(T14,'5.01_LTS_&amp;_Entry_Assets'!U14,'5.01_LTS_&amp;_Entry_Assets'!AJ14)</f>
        <v>361.73099999999999</v>
      </c>
      <c r="V14" s="130">
        <f>SUM(U14,'5.01_LTS_&amp;_Entry_Assets'!V14,'5.01_LTS_&amp;_Entry_Assets'!AK14)</f>
        <v>361.73099999999999</v>
      </c>
    </row>
    <row r="15" spans="1:47" s="98" customFormat="1" ht="15" customHeight="1">
      <c r="A15" s="99"/>
      <c r="B15" s="901"/>
      <c r="C15" s="222"/>
      <c r="D15" s="162" t="s">
        <v>2846</v>
      </c>
      <c r="E15" s="222"/>
      <c r="G15" s="162"/>
      <c r="H15" s="163"/>
      <c r="I15" s="164" t="s">
        <v>2233</v>
      </c>
      <c r="J15" s="128">
        <f>SUM('5.01_LTS_&amp;_Entry_Assets'!J15,'5.01_LTS_&amp;_Entry_Assets'!Y15,'5.01_LTS_&amp;_Entry_Assets'!AN15,'5.01_LTS_&amp;_Entry_Assets'!AV15)</f>
        <v>128.655</v>
      </c>
      <c r="K15" s="129">
        <f>SUM(J15,'5.01_LTS_&amp;_Entry_Assets'!K15,'5.01_LTS_&amp;_Entry_Assets'!Z15,'5.01_LTS_&amp;_Entry_Assets'!AO15)</f>
        <v>128.655</v>
      </c>
      <c r="L15" s="129">
        <f>SUM(K15,'5.01_LTS_&amp;_Entry_Assets'!L15,'5.01_LTS_&amp;_Entry_Assets'!AA15,'5.01_LTS_&amp;_Entry_Assets'!AP15)</f>
        <v>128.655</v>
      </c>
      <c r="M15" s="129">
        <f>SUM(L15,'5.01_LTS_&amp;_Entry_Assets'!M15,'5.01_LTS_&amp;_Entry_Assets'!AB15,'5.01_LTS_&amp;_Entry_Assets'!AQ15)</f>
        <v>128.655</v>
      </c>
      <c r="N15" s="129">
        <f>SUM(M15,'5.01_LTS_&amp;_Entry_Assets'!N15,'5.01_LTS_&amp;_Entry_Assets'!AC15,'5.01_LTS_&amp;_Entry_Assets'!AR15)</f>
        <v>128.655</v>
      </c>
      <c r="O15" s="129">
        <f>SUM(N15,'5.01_LTS_&amp;_Entry_Assets'!O15,'5.01_LTS_&amp;_Entry_Assets'!AD15,'5.01_LTS_&amp;_Entry_Assets'!AS15)</f>
        <v>128.655</v>
      </c>
      <c r="P15" s="129">
        <f>SUM(O15,'5.01_LTS_&amp;_Entry_Assets'!P15,'5.01_LTS_&amp;_Entry_Assets'!AE15)</f>
        <v>128.655</v>
      </c>
      <c r="Q15" s="130">
        <f>SUM(P15,'5.01_LTS_&amp;_Entry_Assets'!Q15,'5.01_LTS_&amp;_Entry_Assets'!AF15)</f>
        <v>128.655</v>
      </c>
      <c r="R15" s="128">
        <f>SUM(Q15,'5.01_LTS_&amp;_Entry_Assets'!R15,'5.01_LTS_&amp;_Entry_Assets'!AG15)</f>
        <v>128.655</v>
      </c>
      <c r="S15" s="129">
        <f>SUM(R15,'5.01_LTS_&amp;_Entry_Assets'!S15,'5.01_LTS_&amp;_Entry_Assets'!AH15)</f>
        <v>128.655</v>
      </c>
      <c r="T15" s="129">
        <f>SUM(S15,'5.01_LTS_&amp;_Entry_Assets'!T15,'5.01_LTS_&amp;_Entry_Assets'!AI15)</f>
        <v>128.655</v>
      </c>
      <c r="U15" s="129">
        <f>SUM(T15,'5.01_LTS_&amp;_Entry_Assets'!U15,'5.01_LTS_&amp;_Entry_Assets'!AJ15)</f>
        <v>128.655</v>
      </c>
      <c r="V15" s="130">
        <f>SUM(U15,'5.01_LTS_&amp;_Entry_Assets'!V15,'5.01_LTS_&amp;_Entry_Assets'!AK15)</f>
        <v>128.655</v>
      </c>
    </row>
    <row r="16" spans="1:47" s="98" customFormat="1" ht="15" customHeight="1">
      <c r="A16" s="99"/>
      <c r="B16" s="901"/>
      <c r="C16" s="222"/>
      <c r="D16" s="162" t="s">
        <v>2847</v>
      </c>
      <c r="E16" s="222"/>
      <c r="G16" s="162"/>
      <c r="H16" s="163"/>
      <c r="I16" s="164" t="s">
        <v>2233</v>
      </c>
      <c r="J16" s="128">
        <f>SUM('5.01_LTS_&amp;_Entry_Assets'!J16,'5.01_LTS_&amp;_Entry_Assets'!Y16,'5.01_LTS_&amp;_Entry_Assets'!AN16,'5.01_LTS_&amp;_Entry_Assets'!AV16)</f>
        <v>84.74</v>
      </c>
      <c r="K16" s="129">
        <f>SUM(J16,'5.01_LTS_&amp;_Entry_Assets'!K16,'5.01_LTS_&amp;_Entry_Assets'!Z16,'5.01_LTS_&amp;_Entry_Assets'!AO16)</f>
        <v>84.74</v>
      </c>
      <c r="L16" s="129">
        <f>SUM(K16,'5.01_LTS_&amp;_Entry_Assets'!L16,'5.01_LTS_&amp;_Entry_Assets'!AA16,'5.01_LTS_&amp;_Entry_Assets'!AP16)</f>
        <v>84.74</v>
      </c>
      <c r="M16" s="129">
        <f>SUM(L16,'5.01_LTS_&amp;_Entry_Assets'!M16,'5.01_LTS_&amp;_Entry_Assets'!AB16,'5.01_LTS_&amp;_Entry_Assets'!AQ16)</f>
        <v>84.74</v>
      </c>
      <c r="N16" s="129">
        <f>SUM(M16,'5.01_LTS_&amp;_Entry_Assets'!N16,'5.01_LTS_&amp;_Entry_Assets'!AC16,'5.01_LTS_&amp;_Entry_Assets'!AR16)</f>
        <v>84.74</v>
      </c>
      <c r="O16" s="129">
        <f>SUM(N16,'5.01_LTS_&amp;_Entry_Assets'!O16,'5.01_LTS_&amp;_Entry_Assets'!AD16,'5.01_LTS_&amp;_Entry_Assets'!AS16)</f>
        <v>84.74</v>
      </c>
      <c r="P16" s="129">
        <f>SUM(O16,'5.01_LTS_&amp;_Entry_Assets'!P16,'5.01_LTS_&amp;_Entry_Assets'!AE16)</f>
        <v>84.74</v>
      </c>
      <c r="Q16" s="130">
        <f>SUM(P16,'5.01_LTS_&amp;_Entry_Assets'!Q16,'5.01_LTS_&amp;_Entry_Assets'!AF16)</f>
        <v>84.74</v>
      </c>
      <c r="R16" s="128">
        <f>SUM(Q16,'5.01_LTS_&amp;_Entry_Assets'!R16,'5.01_LTS_&amp;_Entry_Assets'!AG16)</f>
        <v>84.74</v>
      </c>
      <c r="S16" s="129">
        <f>SUM(R16,'5.01_LTS_&amp;_Entry_Assets'!S16,'5.01_LTS_&amp;_Entry_Assets'!AH16)</f>
        <v>84.74</v>
      </c>
      <c r="T16" s="129">
        <f>SUM(S16,'5.01_LTS_&amp;_Entry_Assets'!T16,'5.01_LTS_&amp;_Entry_Assets'!AI16)</f>
        <v>84.74</v>
      </c>
      <c r="U16" s="129">
        <f>SUM(T16,'5.01_LTS_&amp;_Entry_Assets'!U16,'5.01_LTS_&amp;_Entry_Assets'!AJ16)</f>
        <v>84.74</v>
      </c>
      <c r="V16" s="130">
        <f>SUM(U16,'5.01_LTS_&amp;_Entry_Assets'!V16,'5.01_LTS_&amp;_Entry_Assets'!AK16)</f>
        <v>84.74</v>
      </c>
    </row>
    <row r="17" spans="1:37" s="98" customFormat="1" ht="15" customHeight="1">
      <c r="A17" s="99"/>
      <c r="B17" s="901"/>
      <c r="C17" s="222"/>
      <c r="D17" s="162" t="s">
        <v>2848</v>
      </c>
      <c r="E17" s="222"/>
      <c r="G17" s="162"/>
      <c r="H17" s="163"/>
      <c r="I17" s="164" t="s">
        <v>2233</v>
      </c>
      <c r="J17" s="128">
        <f>SUM('5.01_LTS_&amp;_Entry_Assets'!J17,'5.01_LTS_&amp;_Entry_Assets'!Y17,'5.01_LTS_&amp;_Entry_Assets'!AN17,'5.01_LTS_&amp;_Entry_Assets'!AV17)</f>
        <v>32.200000000000003</v>
      </c>
      <c r="K17" s="129">
        <f>SUM(J17,'5.01_LTS_&amp;_Entry_Assets'!K17,'5.01_LTS_&amp;_Entry_Assets'!Z17,'5.01_LTS_&amp;_Entry_Assets'!AO17)</f>
        <v>32.200000000000003</v>
      </c>
      <c r="L17" s="129">
        <f>SUM(K17,'5.01_LTS_&amp;_Entry_Assets'!L17,'5.01_LTS_&amp;_Entry_Assets'!AA17,'5.01_LTS_&amp;_Entry_Assets'!AP17)</f>
        <v>32.200000000000003</v>
      </c>
      <c r="M17" s="129">
        <f>SUM(L17,'5.01_LTS_&amp;_Entry_Assets'!M17,'5.01_LTS_&amp;_Entry_Assets'!AB17,'5.01_LTS_&amp;_Entry_Assets'!AQ17)</f>
        <v>32.200000000000003</v>
      </c>
      <c r="N17" s="129">
        <f>SUM(M17,'5.01_LTS_&amp;_Entry_Assets'!N17,'5.01_LTS_&amp;_Entry_Assets'!AC17,'5.01_LTS_&amp;_Entry_Assets'!AR17)</f>
        <v>32.200000000000003</v>
      </c>
      <c r="O17" s="129">
        <f>SUM(N17,'5.01_LTS_&amp;_Entry_Assets'!O17,'5.01_LTS_&amp;_Entry_Assets'!AD17,'5.01_LTS_&amp;_Entry_Assets'!AS17)</f>
        <v>32.200000000000003</v>
      </c>
      <c r="P17" s="129">
        <f>SUM(O17,'5.01_LTS_&amp;_Entry_Assets'!P17,'5.01_LTS_&amp;_Entry_Assets'!AE17)</f>
        <v>32.200000000000003</v>
      </c>
      <c r="Q17" s="130">
        <f>SUM(P17,'5.01_LTS_&amp;_Entry_Assets'!Q17,'5.01_LTS_&amp;_Entry_Assets'!AF17)</f>
        <v>32.200000000000003</v>
      </c>
      <c r="R17" s="128">
        <f>SUM(Q17,'5.01_LTS_&amp;_Entry_Assets'!R17,'5.01_LTS_&amp;_Entry_Assets'!AG17)</f>
        <v>32.200000000000003</v>
      </c>
      <c r="S17" s="129">
        <f>SUM(R17,'5.01_LTS_&amp;_Entry_Assets'!S17,'5.01_LTS_&amp;_Entry_Assets'!AH17)</f>
        <v>32.200000000000003</v>
      </c>
      <c r="T17" s="129">
        <f>SUM(S17,'5.01_LTS_&amp;_Entry_Assets'!T17,'5.01_LTS_&amp;_Entry_Assets'!AI17)</f>
        <v>32.200000000000003</v>
      </c>
      <c r="U17" s="129">
        <f>SUM(T17,'5.01_LTS_&amp;_Entry_Assets'!U17,'5.01_LTS_&amp;_Entry_Assets'!AJ17)</f>
        <v>32.200000000000003</v>
      </c>
      <c r="V17" s="130">
        <f>SUM(U17,'5.01_LTS_&amp;_Entry_Assets'!V17,'5.01_LTS_&amp;_Entry_Assets'!AK17)</f>
        <v>32.200000000000003</v>
      </c>
    </row>
    <row r="18" spans="1:37" s="98" customFormat="1" ht="15" customHeight="1">
      <c r="A18" s="99"/>
      <c r="B18" s="494"/>
      <c r="C18" s="895" t="s">
        <v>1710</v>
      </c>
      <c r="D18" s="895"/>
      <c r="E18" s="895"/>
      <c r="F18" s="182"/>
      <c r="G18" s="184"/>
      <c r="H18" s="184"/>
      <c r="I18" s="164" t="s">
        <v>2233</v>
      </c>
      <c r="J18" s="710">
        <f>SUM(J12:J17)</f>
        <v>1192.9380000000001</v>
      </c>
      <c r="K18" s="711">
        <f t="shared" ref="K18:V18" si="0">SUM(K12:K17)</f>
        <v>1192.9380000000001</v>
      </c>
      <c r="L18" s="711">
        <f t="shared" si="0"/>
        <v>1190.498</v>
      </c>
      <c r="M18" s="711">
        <f t="shared" si="0"/>
        <v>1190.498</v>
      </c>
      <c r="N18" s="711">
        <f t="shared" si="0"/>
        <v>1190.3700000000001</v>
      </c>
      <c r="O18" s="711">
        <f t="shared" si="0"/>
        <v>1190.1389999938012</v>
      </c>
      <c r="P18" s="711">
        <f t="shared" si="0"/>
        <v>1190.9739999938013</v>
      </c>
      <c r="Q18" s="712">
        <f t="shared" si="0"/>
        <v>1190.9739999938013</v>
      </c>
      <c r="R18" s="710">
        <f t="shared" si="0"/>
        <v>1190.9739999938013</v>
      </c>
      <c r="S18" s="711">
        <f t="shared" si="0"/>
        <v>1190.9739999938013</v>
      </c>
      <c r="T18" s="711">
        <f t="shared" si="0"/>
        <v>1190.9739999938013</v>
      </c>
      <c r="U18" s="711">
        <f t="shared" si="0"/>
        <v>1190.9739999938013</v>
      </c>
      <c r="V18" s="712">
        <f t="shared" si="0"/>
        <v>1190.9739999938013</v>
      </c>
    </row>
    <row r="19" spans="1:37" s="98" customFormat="1" ht="15" customHeight="1">
      <c r="A19" s="99"/>
      <c r="B19" s="494"/>
      <c r="C19" s="222"/>
      <c r="D19" s="222"/>
      <c r="E19" s="222"/>
      <c r="F19" s="182"/>
      <c r="G19" s="184"/>
      <c r="H19" s="184"/>
      <c r="I19" s="117"/>
      <c r="J19" s="713"/>
      <c r="K19" s="714"/>
      <c r="L19" s="714"/>
      <c r="M19" s="714"/>
      <c r="N19" s="714"/>
      <c r="O19" s="714"/>
      <c r="P19" s="714"/>
      <c r="Q19" s="715"/>
      <c r="R19" s="716"/>
      <c r="S19" s="714"/>
      <c r="T19" s="714"/>
      <c r="U19" s="714"/>
      <c r="V19" s="715"/>
    </row>
    <row r="20" spans="1:37" s="98" customFormat="1" ht="15" customHeight="1">
      <c r="A20" s="99"/>
      <c r="B20" s="901"/>
      <c r="C20" s="180" t="s">
        <v>2850</v>
      </c>
      <c r="D20" s="180"/>
      <c r="E20" s="180"/>
      <c r="F20" s="162"/>
      <c r="G20" s="163"/>
      <c r="H20" s="163"/>
      <c r="I20" s="117"/>
      <c r="J20" s="713"/>
      <c r="K20" s="721"/>
      <c r="L20" s="721"/>
      <c r="M20" s="721"/>
      <c r="N20" s="721"/>
      <c r="O20" s="721"/>
      <c r="P20" s="721"/>
      <c r="Q20" s="715"/>
      <c r="R20" s="713"/>
      <c r="S20" s="721"/>
      <c r="T20" s="721"/>
      <c r="U20" s="721"/>
      <c r="V20" s="715"/>
    </row>
    <row r="21" spans="1:37" s="98" customFormat="1" ht="15" customHeight="1">
      <c r="A21" s="99"/>
      <c r="B21" s="901"/>
      <c r="C21" s="222"/>
      <c r="D21" s="185" t="s">
        <v>2851</v>
      </c>
      <c r="E21" s="222"/>
      <c r="G21" s="162"/>
      <c r="H21" s="163"/>
      <c r="I21" s="164" t="s">
        <v>2233</v>
      </c>
      <c r="J21" s="128">
        <f>SUM('5.01_LTS_&amp;_Entry_Assets'!J24,'5.01_LTS_&amp;_Entry_Assets'!Y24,'5.01_LTS_&amp;_Entry_Assets'!AN24,'5.01_LTS_&amp;_Entry_Assets'!AV24)</f>
        <v>343.00099999999998</v>
      </c>
      <c r="K21" s="129">
        <f>SUM(J21,'5.01_LTS_&amp;_Entry_Assets'!K24,'5.01_LTS_&amp;_Entry_Assets'!Z24,'5.01_LTS_&amp;_Entry_Assets'!AO24)</f>
        <v>343.00099999999998</v>
      </c>
      <c r="L21" s="129">
        <f>SUM(K21,'5.01_LTS_&amp;_Entry_Assets'!L24,'5.01_LTS_&amp;_Entry_Assets'!AA24,'5.01_LTS_&amp;_Entry_Assets'!AP24)</f>
        <v>340.161</v>
      </c>
      <c r="M21" s="129">
        <f>SUM(L21,'5.01_LTS_&amp;_Entry_Assets'!M24,'5.01_LTS_&amp;_Entry_Assets'!AB24,'5.01_LTS_&amp;_Entry_Assets'!AQ24)</f>
        <v>340.161</v>
      </c>
      <c r="N21" s="129">
        <f>SUM(M21,'5.01_LTS_&amp;_Entry_Assets'!N24,'5.01_LTS_&amp;_Entry_Assets'!AC24,'5.01_LTS_&amp;_Entry_Assets'!AR24)</f>
        <v>340.13400000000001</v>
      </c>
      <c r="O21" s="129">
        <f>SUM(N21,'5.01_LTS_&amp;_Entry_Assets'!O24,'5.01_LTS_&amp;_Entry_Assets'!AD24,'5.01_LTS_&amp;_Entry_Assets'!AS24)</f>
        <v>339.87499999666215</v>
      </c>
      <c r="P21" s="129">
        <f>SUM(O21,'5.01_LTS_&amp;_Entry_Assets'!P24,'5.01_LTS_&amp;_Entry_Assets'!AE24)</f>
        <v>339.87499999666215</v>
      </c>
      <c r="Q21" s="130">
        <f>SUM(P21,'5.01_LTS_&amp;_Entry_Assets'!Q24,'5.01_LTS_&amp;_Entry_Assets'!AF24)</f>
        <v>339.87499999666215</v>
      </c>
      <c r="R21" s="128">
        <f>SUM(Q21,'5.01_LTS_&amp;_Entry_Assets'!R24,'5.01_LTS_&amp;_Entry_Assets'!AG24)</f>
        <v>339.87499999666215</v>
      </c>
      <c r="S21" s="129">
        <f>SUM(R21,'5.01_LTS_&amp;_Entry_Assets'!S24,'5.01_LTS_&amp;_Entry_Assets'!AH24)</f>
        <v>339.87499999666215</v>
      </c>
      <c r="T21" s="129">
        <f>SUM(S21,'5.01_LTS_&amp;_Entry_Assets'!T24,'5.01_LTS_&amp;_Entry_Assets'!AI24)</f>
        <v>339.87499999666215</v>
      </c>
      <c r="U21" s="129">
        <f>SUM(T21,'5.01_LTS_&amp;_Entry_Assets'!U24,'5.01_LTS_&amp;_Entry_Assets'!AJ24)</f>
        <v>339.87499999666215</v>
      </c>
      <c r="V21" s="130">
        <f>SUM(U21,'5.01_LTS_&amp;_Entry_Assets'!V24,'5.01_LTS_&amp;_Entry_Assets'!AK24)</f>
        <v>339.87499999666215</v>
      </c>
    </row>
    <row r="22" spans="1:37" s="98" customFormat="1" ht="15" customHeight="1">
      <c r="A22" s="99"/>
      <c r="B22" s="901"/>
      <c r="C22" s="222"/>
      <c r="D22" s="162" t="s">
        <v>2852</v>
      </c>
      <c r="E22" s="222"/>
      <c r="G22" s="162"/>
      <c r="H22" s="163"/>
      <c r="I22" s="164" t="s">
        <v>2233</v>
      </c>
      <c r="J22" s="128">
        <f>SUM('5.01_LTS_&amp;_Entry_Assets'!J25,'5.01_LTS_&amp;_Entry_Assets'!Y25,'5.01_LTS_&amp;_Entry_Assets'!AN25,'5.01_LTS_&amp;_Entry_Assets'!AV25)</f>
        <v>26.811999999999998</v>
      </c>
      <c r="K22" s="129">
        <f>SUM(J22,'5.01_LTS_&amp;_Entry_Assets'!K25,'5.01_LTS_&amp;_Entry_Assets'!Z25,'5.01_LTS_&amp;_Entry_Assets'!AO25)</f>
        <v>26.811999999999998</v>
      </c>
      <c r="L22" s="129">
        <f>SUM(K22,'5.01_LTS_&amp;_Entry_Assets'!L25,'5.01_LTS_&amp;_Entry_Assets'!AA25,'5.01_LTS_&amp;_Entry_Assets'!AP25)</f>
        <v>27.211999999999996</v>
      </c>
      <c r="M22" s="129">
        <f>SUM(L22,'5.01_LTS_&amp;_Entry_Assets'!M25,'5.01_LTS_&amp;_Entry_Assets'!AB25,'5.01_LTS_&amp;_Entry_Assets'!AQ25)</f>
        <v>27.211999999999996</v>
      </c>
      <c r="N22" s="129">
        <f>SUM(M22,'5.01_LTS_&amp;_Entry_Assets'!N25,'5.01_LTS_&amp;_Entry_Assets'!AC25,'5.01_LTS_&amp;_Entry_Assets'!AR25)</f>
        <v>27.154999999999998</v>
      </c>
      <c r="O22" s="129">
        <f>SUM(N22,'5.01_LTS_&amp;_Entry_Assets'!O25,'5.01_LTS_&amp;_Entry_Assets'!AD25,'5.01_LTS_&amp;_Entry_Assets'!AS25)</f>
        <v>27.154999999999998</v>
      </c>
      <c r="P22" s="129">
        <f>SUM(O22,'5.01_LTS_&amp;_Entry_Assets'!P25,'5.01_LTS_&amp;_Entry_Assets'!AE25)</f>
        <v>27.99</v>
      </c>
      <c r="Q22" s="130">
        <f>SUM(P22,'5.01_LTS_&amp;_Entry_Assets'!Q25,'5.01_LTS_&amp;_Entry_Assets'!AF25)</f>
        <v>27.99</v>
      </c>
      <c r="R22" s="128">
        <f>SUM(Q22,'5.01_LTS_&amp;_Entry_Assets'!R25,'5.01_LTS_&amp;_Entry_Assets'!AG25)</f>
        <v>27.99</v>
      </c>
      <c r="S22" s="129">
        <f>SUM(R22,'5.01_LTS_&amp;_Entry_Assets'!S25,'5.01_LTS_&amp;_Entry_Assets'!AH25)</f>
        <v>27.99</v>
      </c>
      <c r="T22" s="129">
        <f>SUM(S22,'5.01_LTS_&amp;_Entry_Assets'!T25,'5.01_LTS_&amp;_Entry_Assets'!AI25)</f>
        <v>27.99</v>
      </c>
      <c r="U22" s="129">
        <f>SUM(T22,'5.01_LTS_&amp;_Entry_Assets'!U25,'5.01_LTS_&amp;_Entry_Assets'!AJ25)</f>
        <v>27.99</v>
      </c>
      <c r="V22" s="130">
        <f>SUM(U22,'5.01_LTS_&amp;_Entry_Assets'!V25,'5.01_LTS_&amp;_Entry_Assets'!AK25)</f>
        <v>27.99</v>
      </c>
    </row>
    <row r="23" spans="1:37" s="98" customFormat="1" ht="15" customHeight="1">
      <c r="A23" s="99"/>
      <c r="B23" s="901"/>
      <c r="C23" s="222"/>
      <c r="D23" s="162" t="s">
        <v>2853</v>
      </c>
      <c r="E23" s="222"/>
      <c r="G23" s="162"/>
      <c r="H23" s="163"/>
      <c r="I23" s="164" t="s">
        <v>2233</v>
      </c>
      <c r="J23" s="128">
        <f>SUM('5.01_LTS_&amp;_Entry_Assets'!J26,'5.01_LTS_&amp;_Entry_Assets'!Y26,'5.01_LTS_&amp;_Entry_Assets'!AN26,'5.01_LTS_&amp;_Entry_Assets'!AV26)</f>
        <v>793.125</v>
      </c>
      <c r="K23" s="129">
        <f>SUM(J23,'5.01_LTS_&amp;_Entry_Assets'!K26,'5.01_LTS_&amp;_Entry_Assets'!Z26,'5.01_LTS_&amp;_Entry_Assets'!AO26)</f>
        <v>793.125</v>
      </c>
      <c r="L23" s="129">
        <f>SUM(K23,'5.01_LTS_&amp;_Entry_Assets'!L26,'5.01_LTS_&amp;_Entry_Assets'!AA26,'5.01_LTS_&amp;_Entry_Assets'!AP26)</f>
        <v>793.125</v>
      </c>
      <c r="M23" s="129">
        <f>SUM(L23,'5.01_LTS_&amp;_Entry_Assets'!M26,'5.01_LTS_&amp;_Entry_Assets'!AB26,'5.01_LTS_&amp;_Entry_Assets'!AQ26)</f>
        <v>793.125</v>
      </c>
      <c r="N23" s="129">
        <f>SUM(M23,'5.01_LTS_&amp;_Entry_Assets'!N26,'5.01_LTS_&amp;_Entry_Assets'!AC26,'5.01_LTS_&amp;_Entry_Assets'!AR26)</f>
        <v>793.08100000000002</v>
      </c>
      <c r="O23" s="129">
        <f>SUM(N23,'5.01_LTS_&amp;_Entry_Assets'!O26,'5.01_LTS_&amp;_Entry_Assets'!AD26,'5.01_LTS_&amp;_Entry_Assets'!AS26)</f>
        <v>793.10900000086428</v>
      </c>
      <c r="P23" s="129">
        <f>SUM(O23,'5.01_LTS_&amp;_Entry_Assets'!P26,'5.01_LTS_&amp;_Entry_Assets'!AE26)</f>
        <v>793.10900000086428</v>
      </c>
      <c r="Q23" s="130">
        <f>SUM(P23,'5.01_LTS_&amp;_Entry_Assets'!Q26,'5.01_LTS_&amp;_Entry_Assets'!AF26)</f>
        <v>793.10900000086428</v>
      </c>
      <c r="R23" s="128">
        <f>SUM(Q23,'5.01_LTS_&amp;_Entry_Assets'!R26,'5.01_LTS_&amp;_Entry_Assets'!AG26)</f>
        <v>793.10900000086428</v>
      </c>
      <c r="S23" s="129">
        <f>SUM(R23,'5.01_LTS_&amp;_Entry_Assets'!S26,'5.01_LTS_&amp;_Entry_Assets'!AH26)</f>
        <v>793.10900000086428</v>
      </c>
      <c r="T23" s="129">
        <f>SUM(S23,'5.01_LTS_&amp;_Entry_Assets'!T26,'5.01_LTS_&amp;_Entry_Assets'!AI26)</f>
        <v>793.10900000086428</v>
      </c>
      <c r="U23" s="129">
        <f>SUM(T23,'5.01_LTS_&amp;_Entry_Assets'!U26,'5.01_LTS_&amp;_Entry_Assets'!AJ26)</f>
        <v>793.10900000086428</v>
      </c>
      <c r="V23" s="130">
        <f>SUM(U23,'5.01_LTS_&amp;_Entry_Assets'!V26,'5.01_LTS_&amp;_Entry_Assets'!AK26)</f>
        <v>793.10900000086428</v>
      </c>
    </row>
    <row r="24" spans="1:37" s="98" customFormat="1" ht="15" customHeight="1">
      <c r="A24" s="99"/>
      <c r="B24" s="901"/>
      <c r="C24" s="222"/>
      <c r="D24" s="162" t="s">
        <v>2854</v>
      </c>
      <c r="E24" s="222"/>
      <c r="G24" s="162"/>
      <c r="H24" s="163"/>
      <c r="I24" s="164" t="s">
        <v>2233</v>
      </c>
      <c r="J24" s="128">
        <f>SUM('5.01_LTS_&amp;_Entry_Assets'!J27,'5.01_LTS_&amp;_Entry_Assets'!Y27,'5.01_LTS_&amp;_Entry_Assets'!AN27,'5.01_LTS_&amp;_Entry_Assets'!AV27)</f>
        <v>30</v>
      </c>
      <c r="K24" s="129">
        <f>SUM(J24,'5.01_LTS_&amp;_Entry_Assets'!K27,'5.01_LTS_&amp;_Entry_Assets'!Z27,'5.01_LTS_&amp;_Entry_Assets'!AO27)</f>
        <v>30</v>
      </c>
      <c r="L24" s="129">
        <f>SUM(K24,'5.01_LTS_&amp;_Entry_Assets'!L27,'5.01_LTS_&amp;_Entry_Assets'!AA27,'5.01_LTS_&amp;_Entry_Assets'!AP27)</f>
        <v>30</v>
      </c>
      <c r="M24" s="129">
        <f>SUM(L24,'5.01_LTS_&amp;_Entry_Assets'!M27,'5.01_LTS_&amp;_Entry_Assets'!AB27,'5.01_LTS_&amp;_Entry_Assets'!AQ27)</f>
        <v>30</v>
      </c>
      <c r="N24" s="129">
        <f>SUM(M24,'5.01_LTS_&amp;_Entry_Assets'!N27,'5.01_LTS_&amp;_Entry_Assets'!AC27,'5.01_LTS_&amp;_Entry_Assets'!AR27)</f>
        <v>30</v>
      </c>
      <c r="O24" s="129">
        <f>SUM(N24,'5.01_LTS_&amp;_Entry_Assets'!O27,'5.01_LTS_&amp;_Entry_Assets'!AD27,'5.01_LTS_&amp;_Entry_Assets'!AS27)</f>
        <v>30</v>
      </c>
      <c r="P24" s="129">
        <f>SUM(O24,'5.01_LTS_&amp;_Entry_Assets'!P27,'5.01_LTS_&amp;_Entry_Assets'!AE27)</f>
        <v>30</v>
      </c>
      <c r="Q24" s="130">
        <f>SUM(P24,'5.01_LTS_&amp;_Entry_Assets'!Q27,'5.01_LTS_&amp;_Entry_Assets'!AF27)</f>
        <v>30</v>
      </c>
      <c r="R24" s="128">
        <f>SUM(Q24,'5.01_LTS_&amp;_Entry_Assets'!R27,'5.01_LTS_&amp;_Entry_Assets'!AG27)</f>
        <v>30</v>
      </c>
      <c r="S24" s="129">
        <f>SUM(R24,'5.01_LTS_&amp;_Entry_Assets'!S27,'5.01_LTS_&amp;_Entry_Assets'!AH27)</f>
        <v>30</v>
      </c>
      <c r="T24" s="129">
        <f>SUM(S24,'5.01_LTS_&amp;_Entry_Assets'!T27,'5.01_LTS_&amp;_Entry_Assets'!AI27)</f>
        <v>30</v>
      </c>
      <c r="U24" s="129">
        <f>SUM(T24,'5.01_LTS_&amp;_Entry_Assets'!U27,'5.01_LTS_&amp;_Entry_Assets'!AJ27)</f>
        <v>30</v>
      </c>
      <c r="V24" s="130">
        <f>SUM(U24,'5.01_LTS_&amp;_Entry_Assets'!V27,'5.01_LTS_&amp;_Entry_Assets'!AK27)</f>
        <v>30</v>
      </c>
    </row>
    <row r="25" spans="1:37" s="98" customFormat="1" ht="15" customHeight="1" thickBot="1">
      <c r="A25" s="99"/>
      <c r="B25" s="902"/>
      <c r="C25" s="896" t="s">
        <v>1710</v>
      </c>
      <c r="D25" s="896"/>
      <c r="E25" s="896"/>
      <c r="F25" s="240"/>
      <c r="G25" s="241"/>
      <c r="H25" s="241"/>
      <c r="I25" s="195" t="s">
        <v>2233</v>
      </c>
      <c r="J25" s="717">
        <f>SUM(J21:J24)</f>
        <v>1192.9380000000001</v>
      </c>
      <c r="K25" s="718">
        <f t="shared" ref="K25:V25" si="1">SUM(K21:K24)</f>
        <v>1192.9380000000001</v>
      </c>
      <c r="L25" s="718">
        <f t="shared" si="1"/>
        <v>1190.498</v>
      </c>
      <c r="M25" s="718">
        <f t="shared" si="1"/>
        <v>1190.498</v>
      </c>
      <c r="N25" s="718">
        <f t="shared" si="1"/>
        <v>1190.3699999999999</v>
      </c>
      <c r="O25" s="718">
        <f t="shared" si="1"/>
        <v>1190.1389999975263</v>
      </c>
      <c r="P25" s="718">
        <f t="shared" si="1"/>
        <v>1190.9739999975263</v>
      </c>
      <c r="Q25" s="719">
        <f t="shared" si="1"/>
        <v>1190.9739999975263</v>
      </c>
      <c r="R25" s="717">
        <f t="shared" si="1"/>
        <v>1190.9739999975263</v>
      </c>
      <c r="S25" s="718">
        <f t="shared" si="1"/>
        <v>1190.9739999975263</v>
      </c>
      <c r="T25" s="718">
        <f t="shared" si="1"/>
        <v>1190.9739999975263</v>
      </c>
      <c r="U25" s="718">
        <f t="shared" si="1"/>
        <v>1190.9739999975263</v>
      </c>
      <c r="V25" s="719">
        <f t="shared" si="1"/>
        <v>1190.9739999975263</v>
      </c>
    </row>
    <row r="26" spans="1:37" s="99" customFormat="1" ht="15" customHeight="1" thickBot="1">
      <c r="B26" s="894"/>
      <c r="C26" s="894"/>
      <c r="D26" s="894"/>
      <c r="E26" s="894"/>
      <c r="F26" s="150"/>
      <c r="G26" s="97"/>
      <c r="H26" s="97"/>
      <c r="I26" s="98"/>
      <c r="J26" s="98"/>
      <c r="K26" s="98"/>
      <c r="L26" s="98"/>
      <c r="M26" s="98"/>
      <c r="N26" s="98"/>
      <c r="O26" s="98"/>
      <c r="P26" s="98"/>
      <c r="Q26" s="98"/>
      <c r="R26" s="98"/>
      <c r="S26" s="98"/>
      <c r="T26" s="98"/>
      <c r="U26" s="98"/>
      <c r="V26" s="98"/>
    </row>
    <row r="27" spans="1:37" s="100" customFormat="1" ht="30" customHeight="1" thickBot="1">
      <c r="A27" s="89"/>
      <c r="B27" s="621" t="s">
        <v>1809</v>
      </c>
      <c r="C27" s="788"/>
      <c r="D27" s="788"/>
      <c r="E27" s="788"/>
      <c r="F27" s="102"/>
      <c r="G27" s="103"/>
      <c r="H27" s="103"/>
      <c r="I27" s="105" t="s">
        <v>2966</v>
      </c>
      <c r="J27" s="106"/>
      <c r="K27" s="106"/>
      <c r="L27" s="106"/>
      <c r="M27" s="106"/>
      <c r="N27" s="106"/>
      <c r="O27" s="106"/>
      <c r="P27" s="106"/>
      <c r="Q27" s="106"/>
      <c r="R27" s="105"/>
      <c r="S27" s="105"/>
      <c r="T27" s="105"/>
      <c r="U27" s="105"/>
      <c r="V27" s="187"/>
      <c r="W27" s="103"/>
      <c r="X27" s="105" t="s">
        <v>2967</v>
      </c>
      <c r="Y27" s="106"/>
      <c r="Z27" s="106"/>
      <c r="AA27" s="106"/>
      <c r="AB27" s="106"/>
      <c r="AC27" s="106"/>
      <c r="AD27" s="106"/>
      <c r="AE27" s="106"/>
      <c r="AF27" s="106"/>
      <c r="AG27" s="105"/>
      <c r="AH27" s="105"/>
      <c r="AI27" s="105"/>
      <c r="AJ27" s="105"/>
      <c r="AK27" s="187"/>
    </row>
    <row r="28" spans="1:37" s="157" customFormat="1" ht="30" customHeight="1">
      <c r="A28" s="99"/>
      <c r="B28" s="109"/>
      <c r="C28" s="110"/>
      <c r="D28" s="110"/>
      <c r="E28" s="110"/>
      <c r="F28" s="110"/>
      <c r="G28" s="111"/>
      <c r="H28" s="111"/>
      <c r="I28" s="117"/>
      <c r="J28" s="695" t="s">
        <v>1666</v>
      </c>
      <c r="K28" s="152"/>
      <c r="L28" s="152"/>
      <c r="M28" s="152"/>
      <c r="N28" s="152"/>
      <c r="O28" s="152"/>
      <c r="P28" s="152"/>
      <c r="Q28" s="153"/>
      <c r="R28" s="871" t="s">
        <v>2</v>
      </c>
      <c r="S28" s="155"/>
      <c r="T28" s="155"/>
      <c r="U28" s="155"/>
      <c r="V28" s="156"/>
      <c r="W28" s="222"/>
      <c r="X28" s="117"/>
      <c r="Y28" s="695" t="s">
        <v>1666</v>
      </c>
      <c r="Z28" s="152"/>
      <c r="AA28" s="152"/>
      <c r="AB28" s="152"/>
      <c r="AC28" s="152"/>
      <c r="AD28" s="152"/>
      <c r="AE28" s="152"/>
      <c r="AF28" s="153"/>
      <c r="AG28" s="871" t="s">
        <v>2</v>
      </c>
      <c r="AH28" s="155"/>
      <c r="AI28" s="155"/>
      <c r="AJ28" s="155"/>
      <c r="AK28" s="156"/>
    </row>
    <row r="29" spans="1:37" s="98" customFormat="1" ht="15" customHeight="1">
      <c r="A29" s="99"/>
      <c r="B29" s="900"/>
      <c r="C29" s="620"/>
      <c r="D29" s="620"/>
      <c r="E29" s="620"/>
      <c r="F29" s="116"/>
      <c r="G29" s="117"/>
      <c r="H29" s="117"/>
      <c r="I29" s="119" t="s">
        <v>1667</v>
      </c>
      <c r="J29" s="158" t="s">
        <v>453</v>
      </c>
      <c r="K29" s="137" t="s">
        <v>455</v>
      </c>
      <c r="L29" s="137" t="s">
        <v>457</v>
      </c>
      <c r="M29" s="137" t="s">
        <v>459</v>
      </c>
      <c r="N29" s="137" t="s">
        <v>461</v>
      </c>
      <c r="O29" s="137" t="s">
        <v>463</v>
      </c>
      <c r="P29" s="137" t="s">
        <v>465</v>
      </c>
      <c r="Q29" s="138" t="s">
        <v>467</v>
      </c>
      <c r="R29" s="242" t="s">
        <v>469</v>
      </c>
      <c r="S29" s="121" t="s">
        <v>471</v>
      </c>
      <c r="T29" s="121" t="s">
        <v>473</v>
      </c>
      <c r="U29" s="121" t="s">
        <v>475</v>
      </c>
      <c r="V29" s="122" t="s">
        <v>477</v>
      </c>
      <c r="W29" s="185"/>
      <c r="X29" s="119" t="s">
        <v>1667</v>
      </c>
      <c r="Y29" s="158" t="s">
        <v>453</v>
      </c>
      <c r="Z29" s="137" t="s">
        <v>455</v>
      </c>
      <c r="AA29" s="137" t="s">
        <v>457</v>
      </c>
      <c r="AB29" s="137" t="s">
        <v>459</v>
      </c>
      <c r="AC29" s="137" t="s">
        <v>461</v>
      </c>
      <c r="AD29" s="137" t="s">
        <v>463</v>
      </c>
      <c r="AE29" s="137" t="s">
        <v>465</v>
      </c>
      <c r="AF29" s="138" t="s">
        <v>467</v>
      </c>
      <c r="AG29" s="242" t="s">
        <v>469</v>
      </c>
      <c r="AH29" s="121" t="s">
        <v>471</v>
      </c>
      <c r="AI29" s="121" t="s">
        <v>473</v>
      </c>
      <c r="AJ29" s="121" t="s">
        <v>475</v>
      </c>
      <c r="AK29" s="122" t="s">
        <v>477</v>
      </c>
    </row>
    <row r="30" spans="1:37" s="98" customFormat="1" ht="15" customHeight="1">
      <c r="A30" s="99"/>
      <c r="B30" s="901"/>
      <c r="C30" s="180" t="s">
        <v>2472</v>
      </c>
      <c r="D30" s="180"/>
      <c r="E30" s="180"/>
      <c r="F30" s="162"/>
      <c r="G30" s="163"/>
      <c r="H30" s="163"/>
      <c r="I30" s="117"/>
      <c r="J30" s="159"/>
      <c r="K30" s="117"/>
      <c r="L30" s="117"/>
      <c r="M30" s="117"/>
      <c r="N30" s="117"/>
      <c r="O30" s="117"/>
      <c r="P30" s="117"/>
      <c r="Q30" s="160"/>
      <c r="R30" s="117"/>
      <c r="S30" s="117"/>
      <c r="T30" s="117"/>
      <c r="U30" s="117"/>
      <c r="V30" s="160"/>
      <c r="W30" s="185"/>
      <c r="X30" s="117"/>
      <c r="Y30" s="159"/>
      <c r="Z30" s="117"/>
      <c r="AA30" s="117"/>
      <c r="AB30" s="117"/>
      <c r="AC30" s="117"/>
      <c r="AD30" s="117"/>
      <c r="AE30" s="117"/>
      <c r="AF30" s="160"/>
      <c r="AG30" s="117"/>
      <c r="AH30" s="117"/>
      <c r="AI30" s="117"/>
      <c r="AJ30" s="117"/>
      <c r="AK30" s="160"/>
    </row>
    <row r="31" spans="1:37" s="98" customFormat="1" ht="15" customHeight="1" thickBot="1">
      <c r="A31" s="99"/>
      <c r="B31" s="903"/>
      <c r="C31" s="897"/>
      <c r="D31" s="897" t="s">
        <v>1809</v>
      </c>
      <c r="E31" s="897"/>
      <c r="F31" s="193"/>
      <c r="G31" s="193"/>
      <c r="H31" s="194"/>
      <c r="I31" s="195" t="s">
        <v>1876</v>
      </c>
      <c r="J31" s="177">
        <f>SUM('5.01_LTS_&amp;_Entry_Assets'!J34,'5.01_LTS_&amp;_Entry_Assets'!Y34,'5.01_LTS_&amp;_Entry_Assets'!AN34,'5.01_LTS_&amp;_Entry_Assets'!AV34)</f>
        <v>23</v>
      </c>
      <c r="K31" s="178">
        <f>SUM(J31,'5.01_LTS_&amp;_Entry_Assets'!K34,'5.01_LTS_&amp;_Entry_Assets'!Z34,'5.01_LTS_&amp;_Entry_Assets'!AO34)</f>
        <v>23</v>
      </c>
      <c r="L31" s="178">
        <f>SUM(K31,'5.01_LTS_&amp;_Entry_Assets'!L34,'5.01_LTS_&amp;_Entry_Assets'!AA34,'5.01_LTS_&amp;_Entry_Assets'!AP34)</f>
        <v>23</v>
      </c>
      <c r="M31" s="178">
        <f>SUM(L31,'5.01_LTS_&amp;_Entry_Assets'!M34,'5.01_LTS_&amp;_Entry_Assets'!AB34,'5.01_LTS_&amp;_Entry_Assets'!AQ34)</f>
        <v>23</v>
      </c>
      <c r="N31" s="178">
        <f>SUM(M31,'5.01_LTS_&amp;_Entry_Assets'!N34,'5.01_LTS_&amp;_Entry_Assets'!AC34,'5.01_LTS_&amp;_Entry_Assets'!AR34)</f>
        <v>23</v>
      </c>
      <c r="O31" s="178">
        <f>SUM(N31,'5.01_LTS_&amp;_Entry_Assets'!O34,'5.01_LTS_&amp;_Entry_Assets'!AD34,'5.01_LTS_&amp;_Entry_Assets'!AS34)</f>
        <v>23</v>
      </c>
      <c r="P31" s="178">
        <f>SUM(O31,'5.01_LTS_&amp;_Entry_Assets'!P34,'5.01_LTS_&amp;_Entry_Assets'!AE34)</f>
        <v>23</v>
      </c>
      <c r="Q31" s="179">
        <f>SUM(P31,'5.01_LTS_&amp;_Entry_Assets'!Q34,'5.01_LTS_&amp;_Entry_Assets'!AF34)</f>
        <v>23</v>
      </c>
      <c r="R31" s="177">
        <f>SUM(Q31,'5.01_LTS_&amp;_Entry_Assets'!R34,'5.01_LTS_&amp;_Entry_Assets'!AG34)</f>
        <v>23</v>
      </c>
      <c r="S31" s="178">
        <f>SUM(R31,'5.01_LTS_&amp;_Entry_Assets'!S34,'5.01_LTS_&amp;_Entry_Assets'!AH34)</f>
        <v>23</v>
      </c>
      <c r="T31" s="178">
        <f>SUM(S31,'5.01_LTS_&amp;_Entry_Assets'!T34,'5.01_LTS_&amp;_Entry_Assets'!AI34)</f>
        <v>23</v>
      </c>
      <c r="U31" s="178">
        <f>SUM(T31,'5.01_LTS_&amp;_Entry_Assets'!U34,'5.01_LTS_&amp;_Entry_Assets'!AJ34)</f>
        <v>23</v>
      </c>
      <c r="V31" s="179">
        <f>SUM(U31,'5.01_LTS_&amp;_Entry_Assets'!V34,'5.01_LTS_&amp;_Entry_Assets'!AK34)</f>
        <v>23</v>
      </c>
      <c r="W31" s="192"/>
      <c r="X31" s="195" t="s">
        <v>2391</v>
      </c>
      <c r="Y31" s="177">
        <f>SUM('5.03_Capacity_&amp;_Storage_Assets'!J30,'5.03_Capacity_&amp;_Storage_Assets'!Y30,'5.03_Capacity_&amp;_Storage_Assets'!BC30,'5.03_Capacity_&amp;_Storage_Assets'!BK30)</f>
        <v>159.41000000000003</v>
      </c>
      <c r="Z31" s="178">
        <f>SUM(Y31,'5.03_Capacity_&amp;_Storage_Assets'!K30,'5.03_Capacity_&amp;_Storage_Assets'!Z30,'5.03_Capacity_&amp;_Storage_Assets'!BD30)</f>
        <v>240.33100000000002</v>
      </c>
      <c r="AA31" s="178">
        <f>SUM(Z31,'5.03_Capacity_&amp;_Storage_Assets'!L30,'5.03_Capacity_&amp;_Storage_Assets'!AA30,'5.03_Capacity_&amp;_Storage_Assets'!BE30)</f>
        <v>322.24603999999999</v>
      </c>
      <c r="AB31" s="178">
        <f>SUM(AA31,'5.03_Capacity_&amp;_Storage_Assets'!M30,'5.03_Capacity_&amp;_Storage_Assets'!AB30,'5.03_Capacity_&amp;_Storage_Assets'!BF30)</f>
        <v>403.36005999999998</v>
      </c>
      <c r="AC31" s="178">
        <f>SUM(AB31,'5.03_Capacity_&amp;_Storage_Assets'!N30,'5.03_Capacity_&amp;_Storage_Assets'!AC30,'5.03_Capacity_&amp;_Storage_Assets'!BG30)</f>
        <v>484.47407999999996</v>
      </c>
      <c r="AD31" s="178">
        <f>SUM(AC31,'5.03_Capacity_&amp;_Storage_Assets'!O30,'5.03_Capacity_&amp;_Storage_Assets'!AD30,'5.03_Capacity_&amp;_Storage_Assets'!BH30)</f>
        <v>562.34809999999993</v>
      </c>
      <c r="AE31" s="178">
        <f>SUM(AD31,'5.03_Capacity_&amp;_Storage_Assets'!P30,'5.03_Capacity_&amp;_Storage_Assets'!AE30)</f>
        <v>642.38211999999999</v>
      </c>
      <c r="AF31" s="179">
        <f>SUM(AE31,'5.03_Capacity_&amp;_Storage_Assets'!Q30,'5.03_Capacity_&amp;_Storage_Assets'!AF30)</f>
        <v>722.77613999999994</v>
      </c>
      <c r="AG31" s="243">
        <f>SUM(AF31,'5.03_Capacity_&amp;_Storage_Assets'!R30,'5.03_Capacity_&amp;_Storage_Assets'!AG30)</f>
        <v>803.1701599999999</v>
      </c>
      <c r="AH31" s="178">
        <f>SUM(AG31,'5.03_Capacity_&amp;_Storage_Assets'!S30,'5.03_Capacity_&amp;_Storage_Assets'!AH30)</f>
        <v>883.56417999999985</v>
      </c>
      <c r="AI31" s="178">
        <f>SUM(AH31,'5.03_Capacity_&amp;_Storage_Assets'!T30,'5.03_Capacity_&amp;_Storage_Assets'!AI30)</f>
        <v>963.95819999999981</v>
      </c>
      <c r="AJ31" s="178">
        <f>SUM(AI31,'5.03_Capacity_&amp;_Storage_Assets'!U30,'5.03_Capacity_&amp;_Storage_Assets'!AJ30)</f>
        <v>1044.3522199999998</v>
      </c>
      <c r="AK31" s="179">
        <f>SUM(AJ31,'5.03_Capacity_&amp;_Storage_Assets'!V30,'5.03_Capacity_&amp;_Storage_Assets'!AK30)</f>
        <v>1124.7462399999997</v>
      </c>
    </row>
    <row r="32" spans="1:37" s="99" customFormat="1" ht="15" customHeight="1" thickBot="1">
      <c r="B32" s="894"/>
      <c r="C32" s="894"/>
      <c r="D32" s="894"/>
      <c r="E32" s="894"/>
      <c r="F32" s="150"/>
      <c r="G32" s="97"/>
      <c r="H32" s="97"/>
      <c r="I32" s="98"/>
      <c r="J32" s="98"/>
      <c r="K32" s="98"/>
      <c r="L32" s="98"/>
      <c r="M32" s="98"/>
      <c r="N32" s="98"/>
      <c r="O32" s="98"/>
      <c r="P32" s="98"/>
      <c r="Q32" s="98"/>
      <c r="R32" s="98"/>
      <c r="S32" s="98"/>
      <c r="T32" s="98"/>
      <c r="U32" s="98"/>
      <c r="V32" s="98"/>
    </row>
    <row r="33" spans="1:22" s="100" customFormat="1" ht="30" customHeight="1" thickBot="1">
      <c r="A33" s="89"/>
      <c r="B33" s="621" t="s">
        <v>2968</v>
      </c>
      <c r="C33" s="788"/>
      <c r="D33" s="788"/>
      <c r="E33" s="788"/>
      <c r="F33" s="102"/>
      <c r="G33" s="103"/>
      <c r="H33" s="103"/>
      <c r="I33" s="105" t="s">
        <v>2966</v>
      </c>
      <c r="J33" s="106"/>
      <c r="K33" s="106"/>
      <c r="L33" s="106"/>
      <c r="M33" s="106"/>
      <c r="N33" s="106"/>
      <c r="O33" s="106"/>
      <c r="P33" s="106"/>
      <c r="Q33" s="106"/>
      <c r="R33" s="105"/>
      <c r="S33" s="105"/>
      <c r="T33" s="105"/>
      <c r="U33" s="105"/>
      <c r="V33" s="187"/>
    </row>
    <row r="34" spans="1:22" s="157" customFormat="1" ht="30" customHeight="1">
      <c r="A34" s="99"/>
      <c r="B34" s="109"/>
      <c r="C34" s="110"/>
      <c r="D34" s="110"/>
      <c r="E34" s="110"/>
      <c r="F34" s="110"/>
      <c r="G34" s="111"/>
      <c r="H34" s="111"/>
      <c r="I34" s="117"/>
      <c r="J34" s="695" t="s">
        <v>1666</v>
      </c>
      <c r="K34" s="152"/>
      <c r="L34" s="152"/>
      <c r="M34" s="152"/>
      <c r="N34" s="152"/>
      <c r="O34" s="152"/>
      <c r="P34" s="152"/>
      <c r="Q34" s="153"/>
      <c r="R34" s="871" t="s">
        <v>2</v>
      </c>
      <c r="S34" s="155"/>
      <c r="T34" s="155"/>
      <c r="U34" s="155"/>
      <c r="V34" s="156"/>
    </row>
    <row r="35" spans="1:22" s="98" customFormat="1" ht="15" customHeight="1">
      <c r="A35" s="99"/>
      <c r="B35" s="900"/>
      <c r="C35" s="620"/>
      <c r="D35" s="620"/>
      <c r="E35" s="620"/>
      <c r="F35" s="116"/>
      <c r="G35" s="117"/>
      <c r="H35" s="117"/>
      <c r="I35" s="119" t="s">
        <v>1667</v>
      </c>
      <c r="J35" s="158" t="s">
        <v>453</v>
      </c>
      <c r="K35" s="137" t="s">
        <v>455</v>
      </c>
      <c r="L35" s="137" t="s">
        <v>457</v>
      </c>
      <c r="M35" s="137" t="s">
        <v>459</v>
      </c>
      <c r="N35" s="137" t="s">
        <v>461</v>
      </c>
      <c r="O35" s="137" t="s">
        <v>463</v>
      </c>
      <c r="P35" s="137" t="s">
        <v>465</v>
      </c>
      <c r="Q35" s="138" t="s">
        <v>467</v>
      </c>
      <c r="R35" s="242" t="s">
        <v>469</v>
      </c>
      <c r="S35" s="121" t="s">
        <v>471</v>
      </c>
      <c r="T35" s="121" t="s">
        <v>473</v>
      </c>
      <c r="U35" s="121" t="s">
        <v>475</v>
      </c>
      <c r="V35" s="122" t="s">
        <v>477</v>
      </c>
    </row>
    <row r="36" spans="1:22" s="98" customFormat="1" ht="15" customHeight="1">
      <c r="A36" s="99"/>
      <c r="B36" s="901"/>
      <c r="C36" s="180" t="s">
        <v>2472</v>
      </c>
      <c r="D36" s="180"/>
      <c r="E36" s="180"/>
      <c r="F36" s="162"/>
      <c r="G36" s="163"/>
      <c r="H36" s="163"/>
      <c r="I36" s="117"/>
      <c r="J36" s="159"/>
      <c r="K36" s="117"/>
      <c r="L36" s="117"/>
      <c r="M36" s="117"/>
      <c r="N36" s="117"/>
      <c r="O36" s="117"/>
      <c r="P36" s="117"/>
      <c r="Q36" s="160"/>
      <c r="R36" s="117"/>
      <c r="S36" s="117"/>
      <c r="T36" s="117"/>
      <c r="U36" s="117"/>
      <c r="V36" s="160"/>
    </row>
    <row r="37" spans="1:22" s="98" customFormat="1" ht="15" customHeight="1" thickBot="1">
      <c r="A37" s="99"/>
      <c r="B37" s="903"/>
      <c r="C37" s="897"/>
      <c r="D37" s="897" t="s">
        <v>1825</v>
      </c>
      <c r="E37" s="897"/>
      <c r="F37" s="193"/>
      <c r="G37" s="193"/>
      <c r="H37" s="194"/>
      <c r="I37" s="195" t="s">
        <v>1876</v>
      </c>
      <c r="J37" s="177">
        <f>SUM('5.01_LTS_&amp;_Entry_Assets'!J37,'5.01_LTS_&amp;_Entry_Assets'!Y37,'5.01_LTS_&amp;_Entry_Assets'!AN37,'5.01_LTS_&amp;_Entry_Assets'!AV37)</f>
        <v>178</v>
      </c>
      <c r="K37" s="178">
        <f>SUM(J37,'5.01_LTS_&amp;_Entry_Assets'!K37,'5.01_LTS_&amp;_Entry_Assets'!Z37,'5.01_LTS_&amp;_Entry_Assets'!AO37)</f>
        <v>179</v>
      </c>
      <c r="L37" s="178">
        <f>SUM(K37,'5.01_LTS_&amp;_Entry_Assets'!L37,'5.01_LTS_&amp;_Entry_Assets'!AA37,'5.01_LTS_&amp;_Entry_Assets'!AP37)</f>
        <v>177</v>
      </c>
      <c r="M37" s="178">
        <f>SUM(L37,'5.01_LTS_&amp;_Entry_Assets'!M37,'5.01_LTS_&amp;_Entry_Assets'!AB37,'5.01_LTS_&amp;_Entry_Assets'!AQ37)</f>
        <v>177</v>
      </c>
      <c r="N37" s="178">
        <f>SUM(M37,'5.01_LTS_&amp;_Entry_Assets'!N37,'5.01_LTS_&amp;_Entry_Assets'!AC37,'5.01_LTS_&amp;_Entry_Assets'!AR37)</f>
        <v>178</v>
      </c>
      <c r="O37" s="178">
        <f>SUM(N37,'5.01_LTS_&amp;_Entry_Assets'!O37,'5.01_LTS_&amp;_Entry_Assets'!AD37,'5.01_LTS_&amp;_Entry_Assets'!AS37)</f>
        <v>178</v>
      </c>
      <c r="P37" s="178">
        <f>SUM(O37,'5.01_LTS_&amp;_Entry_Assets'!P37,'5.01_LTS_&amp;_Entry_Assets'!AE37)</f>
        <v>178</v>
      </c>
      <c r="Q37" s="179">
        <f>SUM(P37,'5.01_LTS_&amp;_Entry_Assets'!Q37,'5.01_LTS_&amp;_Entry_Assets'!AF37)</f>
        <v>178</v>
      </c>
      <c r="R37" s="177">
        <f>SUM(Q37,'5.01_LTS_&amp;_Entry_Assets'!R37,'5.01_LTS_&amp;_Entry_Assets'!AG37)</f>
        <v>178</v>
      </c>
      <c r="S37" s="178">
        <f>SUM(R37,'5.01_LTS_&amp;_Entry_Assets'!S37,'5.01_LTS_&amp;_Entry_Assets'!AH37)</f>
        <v>178</v>
      </c>
      <c r="T37" s="178">
        <f>SUM(S37,'5.01_LTS_&amp;_Entry_Assets'!T37,'5.01_LTS_&amp;_Entry_Assets'!AI37)</f>
        <v>178</v>
      </c>
      <c r="U37" s="178">
        <f>SUM(T37,'5.01_LTS_&amp;_Entry_Assets'!U37,'5.01_LTS_&amp;_Entry_Assets'!AJ37)</f>
        <v>178</v>
      </c>
      <c r="V37" s="179">
        <f>SUM(U37,'5.01_LTS_&amp;_Entry_Assets'!V37,'5.01_LTS_&amp;_Entry_Assets'!AK37)</f>
        <v>178</v>
      </c>
    </row>
    <row r="38" spans="1:22" s="99" customFormat="1" ht="15" customHeight="1" thickBot="1">
      <c r="B38" s="894"/>
      <c r="C38" s="894"/>
      <c r="D38" s="894"/>
      <c r="E38" s="894"/>
      <c r="F38" s="150"/>
      <c r="G38" s="97"/>
      <c r="H38" s="97"/>
      <c r="I38" s="98"/>
      <c r="J38" s="98"/>
      <c r="K38" s="98"/>
      <c r="L38" s="98"/>
      <c r="M38" s="98"/>
      <c r="N38" s="98"/>
      <c r="O38" s="98"/>
      <c r="P38" s="98"/>
      <c r="Q38" s="98"/>
      <c r="R38" s="98"/>
      <c r="S38" s="98"/>
      <c r="T38" s="98"/>
      <c r="U38" s="98"/>
      <c r="V38" s="98"/>
    </row>
    <row r="39" spans="1:22" s="100" customFormat="1" ht="30" customHeight="1" thickBot="1">
      <c r="A39" s="89"/>
      <c r="B39" s="621" t="s">
        <v>2416</v>
      </c>
      <c r="C39" s="788"/>
      <c r="D39" s="788"/>
      <c r="E39" s="788"/>
      <c r="F39" s="102"/>
      <c r="G39" s="103"/>
      <c r="H39" s="103"/>
      <c r="I39" s="105" t="s">
        <v>2966</v>
      </c>
      <c r="J39" s="106"/>
      <c r="K39" s="106"/>
      <c r="L39" s="106"/>
      <c r="M39" s="106"/>
      <c r="N39" s="106"/>
      <c r="O39" s="106"/>
      <c r="P39" s="106"/>
      <c r="Q39" s="106"/>
      <c r="R39" s="105"/>
      <c r="S39" s="105"/>
      <c r="T39" s="105"/>
      <c r="U39" s="105"/>
      <c r="V39" s="187"/>
    </row>
    <row r="40" spans="1:22" s="157" customFormat="1" ht="30" customHeight="1">
      <c r="A40" s="99"/>
      <c r="B40" s="109"/>
      <c r="C40" s="110"/>
      <c r="D40" s="110"/>
      <c r="E40" s="110"/>
      <c r="F40" s="110"/>
      <c r="G40" s="111"/>
      <c r="H40" s="111"/>
      <c r="I40" s="117"/>
      <c r="J40" s="695" t="s">
        <v>1666</v>
      </c>
      <c r="K40" s="152"/>
      <c r="L40" s="152"/>
      <c r="M40" s="152"/>
      <c r="N40" s="152"/>
      <c r="O40" s="152"/>
      <c r="P40" s="152"/>
      <c r="Q40" s="153"/>
      <c r="R40" s="696" t="s">
        <v>2</v>
      </c>
      <c r="S40" s="155"/>
      <c r="T40" s="155"/>
      <c r="U40" s="155"/>
      <c r="V40" s="156"/>
    </row>
    <row r="41" spans="1:22" s="98" customFormat="1" ht="15" customHeight="1">
      <c r="A41" s="99"/>
      <c r="B41" s="900"/>
      <c r="C41" s="620"/>
      <c r="D41" s="620"/>
      <c r="E41" s="620"/>
      <c r="F41" s="116"/>
      <c r="G41" s="117"/>
      <c r="H41" s="117"/>
      <c r="I41" s="119" t="s">
        <v>1667</v>
      </c>
      <c r="J41" s="158" t="s">
        <v>453</v>
      </c>
      <c r="K41" s="137" t="s">
        <v>455</v>
      </c>
      <c r="L41" s="137" t="s">
        <v>457</v>
      </c>
      <c r="M41" s="137" t="s">
        <v>459</v>
      </c>
      <c r="N41" s="137" t="s">
        <v>461</v>
      </c>
      <c r="O41" s="137" t="s">
        <v>463</v>
      </c>
      <c r="P41" s="137" t="s">
        <v>465</v>
      </c>
      <c r="Q41" s="138" t="s">
        <v>467</v>
      </c>
      <c r="R41" s="120" t="s">
        <v>469</v>
      </c>
      <c r="S41" s="121" t="s">
        <v>471</v>
      </c>
      <c r="T41" s="121" t="s">
        <v>473</v>
      </c>
      <c r="U41" s="121" t="s">
        <v>475</v>
      </c>
      <c r="V41" s="122" t="s">
        <v>477</v>
      </c>
    </row>
    <row r="42" spans="1:22" s="98" customFormat="1" ht="15" customHeight="1">
      <c r="A42" s="99"/>
      <c r="B42" s="901"/>
      <c r="C42" s="180" t="s">
        <v>2472</v>
      </c>
      <c r="D42" s="180"/>
      <c r="E42" s="180"/>
      <c r="F42" s="162"/>
      <c r="G42" s="163"/>
      <c r="H42" s="163"/>
      <c r="I42" s="117"/>
      <c r="J42" s="159"/>
      <c r="K42" s="117"/>
      <c r="L42" s="117"/>
      <c r="M42" s="117"/>
      <c r="N42" s="117"/>
      <c r="O42" s="117"/>
      <c r="P42" s="117"/>
      <c r="Q42" s="160"/>
      <c r="R42" s="159"/>
      <c r="S42" s="117"/>
      <c r="T42" s="117"/>
      <c r="U42" s="117"/>
      <c r="V42" s="160"/>
    </row>
    <row r="43" spans="1:22" s="98" customFormat="1" ht="15" customHeight="1">
      <c r="A43" s="99"/>
      <c r="B43" s="901"/>
      <c r="C43" s="222"/>
      <c r="D43" s="162" t="s">
        <v>2969</v>
      </c>
      <c r="E43" s="222"/>
      <c r="F43" s="185"/>
      <c r="G43" s="162"/>
      <c r="H43" s="163"/>
      <c r="I43" s="164" t="s">
        <v>1876</v>
      </c>
      <c r="J43" s="128">
        <f>SUM('5.01_LTS_&amp;_Entry_Assets'!J35,'5.01_LTS_&amp;_Entry_Assets'!Y35,'5.01_LTS_&amp;_Entry_Assets'!AN35,'5.01_LTS_&amp;_Entry_Assets'!AV35)</f>
        <v>0</v>
      </c>
      <c r="K43" s="129">
        <f>SUM(J43,'5.01_LTS_&amp;_Entry_Assets'!K35,'5.01_LTS_&amp;_Entry_Assets'!Z35,'5.01_LTS_&amp;_Entry_Assets'!AO35)</f>
        <v>0</v>
      </c>
      <c r="L43" s="129">
        <f>SUM(K43,'5.01_LTS_&amp;_Entry_Assets'!L35,'5.01_LTS_&amp;_Entry_Assets'!AA35,'5.01_LTS_&amp;_Entry_Assets'!AP35)</f>
        <v>2</v>
      </c>
      <c r="M43" s="129">
        <f>SUM(L43,'5.01_LTS_&amp;_Entry_Assets'!M35,'5.01_LTS_&amp;_Entry_Assets'!AB35,'5.01_LTS_&amp;_Entry_Assets'!AQ35)</f>
        <v>2</v>
      </c>
      <c r="N43" s="129">
        <f>SUM(M43,'5.01_LTS_&amp;_Entry_Assets'!N35,'5.01_LTS_&amp;_Entry_Assets'!AC35,'5.01_LTS_&amp;_Entry_Assets'!AR35)</f>
        <v>2</v>
      </c>
      <c r="O43" s="129">
        <f>SUM(N43,'5.01_LTS_&amp;_Entry_Assets'!O35,'5.01_LTS_&amp;_Entry_Assets'!AD35,'5.01_LTS_&amp;_Entry_Assets'!AS35)</f>
        <v>2</v>
      </c>
      <c r="P43" s="129">
        <f>SUM(O43,'5.01_LTS_&amp;_Entry_Assets'!P35,'5.01_LTS_&amp;_Entry_Assets'!AE35)</f>
        <v>4</v>
      </c>
      <c r="Q43" s="130">
        <f>SUM(P43,'5.01_LTS_&amp;_Entry_Assets'!Q35,'5.01_LTS_&amp;_Entry_Assets'!AF35)</f>
        <v>4</v>
      </c>
      <c r="R43" s="128">
        <f>SUM(Q43,'5.01_LTS_&amp;_Entry_Assets'!R35,'5.01_LTS_&amp;_Entry_Assets'!AG35)</f>
        <v>5</v>
      </c>
      <c r="S43" s="129">
        <f>SUM(R43,'5.01_LTS_&amp;_Entry_Assets'!S35,'5.01_LTS_&amp;_Entry_Assets'!AH35)</f>
        <v>6</v>
      </c>
      <c r="T43" s="129">
        <f>SUM(S43,'5.01_LTS_&amp;_Entry_Assets'!T35,'5.01_LTS_&amp;_Entry_Assets'!AI35)</f>
        <v>7</v>
      </c>
      <c r="U43" s="129">
        <f>SUM(T43,'5.01_LTS_&amp;_Entry_Assets'!U35,'5.01_LTS_&amp;_Entry_Assets'!AJ35)</f>
        <v>8</v>
      </c>
      <c r="V43" s="130">
        <f>SUM(U43,'5.01_LTS_&amp;_Entry_Assets'!V35,'5.01_LTS_&amp;_Entry_Assets'!AK35)</f>
        <v>9</v>
      </c>
    </row>
    <row r="44" spans="1:22" s="98" customFormat="1" ht="15" customHeight="1">
      <c r="A44" s="99"/>
      <c r="B44" s="901"/>
      <c r="C44" s="222"/>
      <c r="D44" s="162" t="s">
        <v>2970</v>
      </c>
      <c r="E44" s="222"/>
      <c r="F44" s="185"/>
      <c r="G44" s="162"/>
      <c r="H44" s="163"/>
      <c r="I44" s="164" t="s">
        <v>1876</v>
      </c>
      <c r="J44" s="128">
        <f>SUM('5.01_LTS_&amp;_Entry_Assets'!J36,'5.01_LTS_&amp;_Entry_Assets'!Y36,'5.01_LTS_&amp;_Entry_Assets'!AN36,'5.01_LTS_&amp;_Entry_Assets'!AV36)</f>
        <v>0</v>
      </c>
      <c r="K44" s="129">
        <f>SUM(J44,'5.01_LTS_&amp;_Entry_Assets'!K36,'5.01_LTS_&amp;_Entry_Assets'!Z36,'5.01_LTS_&amp;_Entry_Assets'!AO36)</f>
        <v>1</v>
      </c>
      <c r="L44" s="129">
        <f>SUM(K44,'5.01_LTS_&amp;_Entry_Assets'!L36,'5.01_LTS_&amp;_Entry_Assets'!AA36,'5.01_LTS_&amp;_Entry_Assets'!AP36)</f>
        <v>7</v>
      </c>
      <c r="M44" s="129">
        <f>SUM(L44,'5.01_LTS_&amp;_Entry_Assets'!M36,'5.01_LTS_&amp;_Entry_Assets'!AB36,'5.01_LTS_&amp;_Entry_Assets'!AQ36)</f>
        <v>7</v>
      </c>
      <c r="N44" s="129">
        <f>SUM(M44,'5.01_LTS_&amp;_Entry_Assets'!N36,'5.01_LTS_&amp;_Entry_Assets'!AC36,'5.01_LTS_&amp;_Entry_Assets'!AR36)</f>
        <v>7</v>
      </c>
      <c r="O44" s="129">
        <f>SUM(N44,'5.01_LTS_&amp;_Entry_Assets'!O36,'5.01_LTS_&amp;_Entry_Assets'!AD36,'5.01_LTS_&amp;_Entry_Assets'!AS36)</f>
        <v>7</v>
      </c>
      <c r="P44" s="129">
        <f>SUM(O44,'5.01_LTS_&amp;_Entry_Assets'!P36,'5.01_LTS_&amp;_Entry_Assets'!AE36)</f>
        <v>12</v>
      </c>
      <c r="Q44" s="130">
        <f>SUM(P44,'5.01_LTS_&amp;_Entry_Assets'!Q36,'5.01_LTS_&amp;_Entry_Assets'!AF36)</f>
        <v>13</v>
      </c>
      <c r="R44" s="128">
        <f>SUM(Q44,'5.01_LTS_&amp;_Entry_Assets'!R36,'5.01_LTS_&amp;_Entry_Assets'!AG36)</f>
        <v>14</v>
      </c>
      <c r="S44" s="129">
        <f>SUM(R44,'5.01_LTS_&amp;_Entry_Assets'!S36,'5.01_LTS_&amp;_Entry_Assets'!AH36)</f>
        <v>15</v>
      </c>
      <c r="T44" s="129">
        <f>SUM(S44,'5.01_LTS_&amp;_Entry_Assets'!T36,'5.01_LTS_&amp;_Entry_Assets'!AI36)</f>
        <v>16</v>
      </c>
      <c r="U44" s="129">
        <f>SUM(T44,'5.01_LTS_&amp;_Entry_Assets'!U36,'5.01_LTS_&amp;_Entry_Assets'!AJ36)</f>
        <v>17</v>
      </c>
      <c r="V44" s="130">
        <f>SUM(U44,'5.01_LTS_&amp;_Entry_Assets'!V36,'5.01_LTS_&amp;_Entry_Assets'!AK36)</f>
        <v>18</v>
      </c>
    </row>
    <row r="45" spans="1:22" s="98" customFormat="1" ht="15" customHeight="1" thickBot="1">
      <c r="A45" s="99"/>
      <c r="B45" s="902"/>
      <c r="C45" s="896" t="s">
        <v>1710</v>
      </c>
      <c r="D45" s="896"/>
      <c r="E45" s="896"/>
      <c r="F45" s="240"/>
      <c r="G45" s="241"/>
      <c r="H45" s="241"/>
      <c r="I45" s="195" t="s">
        <v>1876</v>
      </c>
      <c r="J45" s="2499">
        <f>SUM(J43:J44)</f>
        <v>0</v>
      </c>
      <c r="K45" s="2500">
        <f t="shared" ref="K45:V45" si="2">SUM(K43:K44)</f>
        <v>1</v>
      </c>
      <c r="L45" s="2500">
        <f t="shared" si="2"/>
        <v>9</v>
      </c>
      <c r="M45" s="2500">
        <f t="shared" si="2"/>
        <v>9</v>
      </c>
      <c r="N45" s="2500">
        <f t="shared" si="2"/>
        <v>9</v>
      </c>
      <c r="O45" s="2500">
        <f t="shared" si="2"/>
        <v>9</v>
      </c>
      <c r="P45" s="2500">
        <f t="shared" si="2"/>
        <v>16</v>
      </c>
      <c r="Q45" s="2501">
        <f t="shared" si="2"/>
        <v>17</v>
      </c>
      <c r="R45" s="2499">
        <f t="shared" si="2"/>
        <v>19</v>
      </c>
      <c r="S45" s="2500">
        <f t="shared" si="2"/>
        <v>21</v>
      </c>
      <c r="T45" s="2500">
        <f t="shared" si="2"/>
        <v>23</v>
      </c>
      <c r="U45" s="2500">
        <f t="shared" si="2"/>
        <v>25</v>
      </c>
      <c r="V45" s="2501">
        <f t="shared" si="2"/>
        <v>27</v>
      </c>
    </row>
    <row r="46" spans="1:22" s="98" customFormat="1" ht="15" customHeight="1" thickBot="1">
      <c r="B46" s="157"/>
      <c r="C46" s="157"/>
      <c r="D46" s="157"/>
      <c r="E46" s="157"/>
    </row>
    <row r="47" spans="1:22" s="100" customFormat="1" ht="30" customHeight="1" thickBot="1">
      <c r="A47" s="89"/>
      <c r="B47" s="621" t="s">
        <v>2971</v>
      </c>
      <c r="C47" s="788"/>
      <c r="D47" s="788"/>
      <c r="E47" s="788"/>
      <c r="F47" s="102"/>
      <c r="G47" s="103"/>
      <c r="H47" s="103"/>
      <c r="I47" s="105" t="s">
        <v>2966</v>
      </c>
      <c r="J47" s="106"/>
      <c r="K47" s="106"/>
      <c r="L47" s="106"/>
      <c r="M47" s="106"/>
      <c r="N47" s="106"/>
      <c r="O47" s="106"/>
      <c r="P47" s="106"/>
      <c r="Q47" s="106"/>
      <c r="R47" s="105"/>
      <c r="S47" s="105"/>
      <c r="T47" s="105"/>
      <c r="U47" s="105"/>
      <c r="V47" s="187"/>
    </row>
    <row r="48" spans="1:22" s="157" customFormat="1" ht="30" customHeight="1">
      <c r="A48" s="99"/>
      <c r="B48" s="109"/>
      <c r="C48" s="110"/>
      <c r="D48" s="110"/>
      <c r="E48" s="110"/>
      <c r="F48" s="110"/>
      <c r="G48" s="111"/>
      <c r="H48" s="111"/>
      <c r="I48" s="117"/>
      <c r="J48" s="695" t="s">
        <v>1666</v>
      </c>
      <c r="K48" s="152"/>
      <c r="L48" s="152"/>
      <c r="M48" s="152"/>
      <c r="N48" s="152"/>
      <c r="O48" s="152"/>
      <c r="P48" s="152"/>
      <c r="Q48" s="153"/>
      <c r="R48" s="871" t="s">
        <v>2</v>
      </c>
      <c r="S48" s="155"/>
      <c r="T48" s="155"/>
      <c r="U48" s="155"/>
      <c r="V48" s="156"/>
    </row>
    <row r="49" spans="1:23" s="98" customFormat="1" ht="15" customHeight="1">
      <c r="A49" s="99"/>
      <c r="B49" s="900"/>
      <c r="C49" s="620"/>
      <c r="D49" s="620"/>
      <c r="E49" s="620"/>
      <c r="F49" s="116"/>
      <c r="G49" s="117"/>
      <c r="H49" s="117"/>
      <c r="I49" s="119" t="s">
        <v>1667</v>
      </c>
      <c r="J49" s="158" t="s">
        <v>453</v>
      </c>
      <c r="K49" s="137" t="s">
        <v>455</v>
      </c>
      <c r="L49" s="137" t="s">
        <v>457</v>
      </c>
      <c r="M49" s="137" t="s">
        <v>459</v>
      </c>
      <c r="N49" s="137" t="s">
        <v>461</v>
      </c>
      <c r="O49" s="137" t="s">
        <v>463</v>
      </c>
      <c r="P49" s="137" t="s">
        <v>465</v>
      </c>
      <c r="Q49" s="138" t="s">
        <v>467</v>
      </c>
      <c r="R49" s="242" t="s">
        <v>469</v>
      </c>
      <c r="S49" s="121" t="s">
        <v>471</v>
      </c>
      <c r="T49" s="121" t="s">
        <v>473</v>
      </c>
      <c r="U49" s="121" t="s">
        <v>475</v>
      </c>
      <c r="V49" s="122" t="s">
        <v>477</v>
      </c>
    </row>
    <row r="50" spans="1:23" s="98" customFormat="1" ht="15" customHeight="1">
      <c r="A50" s="99"/>
      <c r="B50" s="901"/>
      <c r="C50" s="180" t="s">
        <v>2472</v>
      </c>
      <c r="D50" s="180"/>
      <c r="E50" s="180"/>
      <c r="F50" s="162"/>
      <c r="G50" s="163"/>
      <c r="H50" s="163"/>
      <c r="I50" s="117"/>
      <c r="J50" s="159"/>
      <c r="K50" s="117"/>
      <c r="L50" s="117"/>
      <c r="M50" s="117"/>
      <c r="N50" s="117"/>
      <c r="O50" s="117"/>
      <c r="P50" s="117"/>
      <c r="Q50" s="160"/>
      <c r="R50" s="117"/>
      <c r="S50" s="117"/>
      <c r="T50" s="117"/>
      <c r="U50" s="117"/>
      <c r="V50" s="160"/>
    </row>
    <row r="51" spans="1:23" s="98" customFormat="1" ht="15" customHeight="1" thickBot="1">
      <c r="A51" s="99"/>
      <c r="B51" s="903"/>
      <c r="C51" s="897"/>
      <c r="D51" s="897" t="s">
        <v>2859</v>
      </c>
      <c r="E51" s="897"/>
      <c r="F51" s="193"/>
      <c r="G51" s="193"/>
      <c r="H51" s="194"/>
      <c r="I51" s="195" t="s">
        <v>1876</v>
      </c>
      <c r="J51" s="177">
        <f>SUM('5.01_LTS_&amp;_Entry_Assets'!J38,'5.01_LTS_&amp;_Entry_Assets'!Y38,'5.01_LTS_&amp;_Entry_Assets'!AN38,'5.01_LTS_&amp;_Entry_Assets'!AV38)</f>
        <v>69</v>
      </c>
      <c r="K51" s="178">
        <f>SUM(J51,'5.01_LTS_&amp;_Entry_Assets'!K38,'5.01_LTS_&amp;_Entry_Assets'!Z38,'5.01_LTS_&amp;_Entry_Assets'!AO38)</f>
        <v>70</v>
      </c>
      <c r="L51" s="178">
        <f>SUM(K51,'5.01_LTS_&amp;_Entry_Assets'!L38,'5.01_LTS_&amp;_Entry_Assets'!AA38,'5.01_LTS_&amp;_Entry_Assets'!AP38)</f>
        <v>72</v>
      </c>
      <c r="M51" s="178">
        <f>SUM(L51,'5.01_LTS_&amp;_Entry_Assets'!M38,'5.01_LTS_&amp;_Entry_Assets'!AB38,'5.01_LTS_&amp;_Entry_Assets'!AQ38)</f>
        <v>72</v>
      </c>
      <c r="N51" s="178">
        <f>SUM(M51,'5.01_LTS_&amp;_Entry_Assets'!N38,'5.01_LTS_&amp;_Entry_Assets'!AC38,'5.01_LTS_&amp;_Entry_Assets'!AR38)</f>
        <v>72</v>
      </c>
      <c r="O51" s="178">
        <f>SUM(N51,'5.01_LTS_&amp;_Entry_Assets'!O38,'5.01_LTS_&amp;_Entry_Assets'!AD38,'5.01_LTS_&amp;_Entry_Assets'!AS38)</f>
        <v>72</v>
      </c>
      <c r="P51" s="178">
        <f>SUM(O51,'5.01_LTS_&amp;_Entry_Assets'!P38,'5.01_LTS_&amp;_Entry_Assets'!AE38)</f>
        <v>72</v>
      </c>
      <c r="Q51" s="179">
        <f>SUM(P51,'5.01_LTS_&amp;_Entry_Assets'!Q38,'5.01_LTS_&amp;_Entry_Assets'!AF38)</f>
        <v>72</v>
      </c>
      <c r="R51" s="177">
        <f>SUM(Q51,'5.01_LTS_&amp;_Entry_Assets'!R38,'5.01_LTS_&amp;_Entry_Assets'!AG38)</f>
        <v>72</v>
      </c>
      <c r="S51" s="178">
        <f>SUM(R51,'5.01_LTS_&amp;_Entry_Assets'!S38,'5.01_LTS_&amp;_Entry_Assets'!AH38)</f>
        <v>72</v>
      </c>
      <c r="T51" s="178">
        <f>SUM(S51,'5.01_LTS_&amp;_Entry_Assets'!T38,'5.01_LTS_&amp;_Entry_Assets'!AI38)</f>
        <v>72</v>
      </c>
      <c r="U51" s="178">
        <f>SUM(T51,'5.01_LTS_&amp;_Entry_Assets'!U38,'5.01_LTS_&amp;_Entry_Assets'!AJ38)</f>
        <v>72</v>
      </c>
      <c r="V51" s="179">
        <f>SUM(U51,'5.01_LTS_&amp;_Entry_Assets'!V38,'5.01_LTS_&amp;_Entry_Assets'!AK38)</f>
        <v>72</v>
      </c>
    </row>
    <row r="52" spans="1:23" s="99" customFormat="1" ht="15" customHeight="1" thickBot="1">
      <c r="B52" s="894"/>
      <c r="C52" s="894"/>
      <c r="D52" s="894"/>
      <c r="E52" s="894"/>
      <c r="F52" s="150"/>
      <c r="G52" s="97"/>
      <c r="H52" s="97"/>
      <c r="I52" s="98"/>
      <c r="J52" s="98"/>
      <c r="K52" s="98"/>
      <c r="L52" s="98"/>
      <c r="M52" s="98"/>
      <c r="N52" s="98"/>
      <c r="O52" s="98"/>
      <c r="P52" s="98"/>
      <c r="Q52" s="98"/>
      <c r="R52" s="98"/>
      <c r="S52" s="98"/>
      <c r="T52" s="98"/>
      <c r="U52" s="98"/>
      <c r="V52" s="98"/>
      <c r="W52" s="98"/>
    </row>
    <row r="53" spans="1:23" s="100" customFormat="1" ht="30" customHeight="1" thickBot="1">
      <c r="A53" s="89"/>
      <c r="B53" s="621" t="s">
        <v>1826</v>
      </c>
      <c r="C53" s="788"/>
      <c r="D53" s="788"/>
      <c r="E53" s="788"/>
      <c r="F53" s="102"/>
      <c r="G53" s="103"/>
      <c r="H53" s="103"/>
      <c r="I53" s="105" t="s">
        <v>2966</v>
      </c>
      <c r="J53" s="106"/>
      <c r="K53" s="106"/>
      <c r="L53" s="106"/>
      <c r="M53" s="106"/>
      <c r="N53" s="106"/>
      <c r="O53" s="106"/>
      <c r="P53" s="106"/>
      <c r="Q53" s="106"/>
      <c r="R53" s="105"/>
      <c r="S53" s="105"/>
      <c r="T53" s="105"/>
      <c r="U53" s="105"/>
      <c r="V53" s="187"/>
      <c r="W53" s="98"/>
    </row>
    <row r="54" spans="1:23" s="157" customFormat="1" ht="30" customHeight="1">
      <c r="A54" s="99"/>
      <c r="B54" s="109"/>
      <c r="C54" s="110"/>
      <c r="D54" s="110"/>
      <c r="E54" s="110"/>
      <c r="F54" s="110"/>
      <c r="G54" s="111"/>
      <c r="H54" s="111"/>
      <c r="I54" s="117"/>
      <c r="J54" s="695" t="s">
        <v>1666</v>
      </c>
      <c r="K54" s="152"/>
      <c r="L54" s="152"/>
      <c r="M54" s="152"/>
      <c r="N54" s="152"/>
      <c r="O54" s="152"/>
      <c r="P54" s="152"/>
      <c r="Q54" s="153"/>
      <c r="R54" s="696" t="s">
        <v>2</v>
      </c>
      <c r="S54" s="155"/>
      <c r="T54" s="155"/>
      <c r="U54" s="155"/>
      <c r="V54" s="156"/>
      <c r="W54" s="98"/>
    </row>
    <row r="55" spans="1:23" s="98" customFormat="1" ht="15" customHeight="1">
      <c r="A55" s="99"/>
      <c r="B55" s="900"/>
      <c r="C55" s="620"/>
      <c r="D55" s="620"/>
      <c r="E55" s="620"/>
      <c r="F55" s="116"/>
      <c r="G55" s="117"/>
      <c r="H55" s="117"/>
      <c r="I55" s="119" t="s">
        <v>1667</v>
      </c>
      <c r="J55" s="158" t="s">
        <v>453</v>
      </c>
      <c r="K55" s="137" t="s">
        <v>455</v>
      </c>
      <c r="L55" s="137" t="s">
        <v>457</v>
      </c>
      <c r="M55" s="137" t="s">
        <v>459</v>
      </c>
      <c r="N55" s="137" t="s">
        <v>461</v>
      </c>
      <c r="O55" s="137" t="s">
        <v>463</v>
      </c>
      <c r="P55" s="137" t="s">
        <v>465</v>
      </c>
      <c r="Q55" s="138" t="s">
        <v>467</v>
      </c>
      <c r="R55" s="120" t="s">
        <v>469</v>
      </c>
      <c r="S55" s="121" t="s">
        <v>471</v>
      </c>
      <c r="T55" s="121" t="s">
        <v>473</v>
      </c>
      <c r="U55" s="121" t="s">
        <v>475</v>
      </c>
      <c r="V55" s="122" t="s">
        <v>477</v>
      </c>
    </row>
    <row r="56" spans="1:23" s="98" customFormat="1" ht="15" customHeight="1">
      <c r="A56" s="99"/>
      <c r="B56" s="901"/>
      <c r="C56" s="180" t="s">
        <v>2472</v>
      </c>
      <c r="D56" s="180"/>
      <c r="E56" s="180"/>
      <c r="F56" s="162"/>
      <c r="G56" s="163"/>
      <c r="H56" s="163"/>
      <c r="I56" s="117"/>
      <c r="J56" s="159"/>
      <c r="K56" s="117"/>
      <c r="L56" s="117"/>
      <c r="M56" s="117"/>
      <c r="N56" s="117"/>
      <c r="O56" s="117"/>
      <c r="P56" s="117"/>
      <c r="Q56" s="160"/>
      <c r="R56" s="159"/>
      <c r="S56" s="117"/>
      <c r="T56" s="117"/>
      <c r="U56" s="117"/>
      <c r="V56" s="160"/>
    </row>
    <row r="57" spans="1:23" s="98" customFormat="1" ht="15" customHeight="1">
      <c r="A57" s="99"/>
      <c r="B57" s="901"/>
      <c r="C57" s="222"/>
      <c r="D57" s="162" t="s">
        <v>1829</v>
      </c>
      <c r="E57" s="222"/>
      <c r="F57" s="185"/>
      <c r="G57" s="162"/>
      <c r="H57" s="163"/>
      <c r="I57" s="164" t="s">
        <v>1876</v>
      </c>
      <c r="J57" s="777">
        <f>'5.03_Capacity_&amp;_Storage_Assets'!AN12</f>
        <v>4</v>
      </c>
      <c r="K57" s="778">
        <f>'5.03_Capacity_&amp;_Storage_Assets'!AO12</f>
        <v>4</v>
      </c>
      <c r="L57" s="778">
        <f>'5.03_Capacity_&amp;_Storage_Assets'!AP12</f>
        <v>4</v>
      </c>
      <c r="M57" s="778">
        <f>'5.03_Capacity_&amp;_Storage_Assets'!AQ12</f>
        <v>0</v>
      </c>
      <c r="N57" s="778">
        <f>'5.03_Capacity_&amp;_Storage_Assets'!AR12</f>
        <v>0</v>
      </c>
      <c r="O57" s="778">
        <f>'5.03_Capacity_&amp;_Storage_Assets'!AS12</f>
        <v>0</v>
      </c>
      <c r="P57" s="778">
        <f>'5.03_Capacity_&amp;_Storage_Assets'!AT12</f>
        <v>0</v>
      </c>
      <c r="Q57" s="779">
        <f>'5.03_Capacity_&amp;_Storage_Assets'!AU12</f>
        <v>0</v>
      </c>
      <c r="R57" s="777">
        <f>'5.03_Capacity_&amp;_Storage_Assets'!AV12</f>
        <v>0</v>
      </c>
      <c r="S57" s="778">
        <f>'5.03_Capacity_&amp;_Storage_Assets'!AW12</f>
        <v>0</v>
      </c>
      <c r="T57" s="778">
        <f>'5.03_Capacity_&amp;_Storage_Assets'!AX12</f>
        <v>0</v>
      </c>
      <c r="U57" s="778">
        <f>'5.03_Capacity_&amp;_Storage_Assets'!AY12</f>
        <v>0</v>
      </c>
      <c r="V57" s="779">
        <f>'5.03_Capacity_&amp;_Storage_Assets'!AZ12</f>
        <v>0</v>
      </c>
    </row>
    <row r="58" spans="1:23" s="98" customFormat="1" ht="15" customHeight="1">
      <c r="A58" s="99"/>
      <c r="B58" s="901"/>
      <c r="C58" s="222"/>
      <c r="D58" s="162" t="s">
        <v>2902</v>
      </c>
      <c r="E58" s="222"/>
      <c r="F58" s="185"/>
      <c r="G58" s="162"/>
      <c r="H58" s="163"/>
      <c r="I58" s="164" t="s">
        <v>1876</v>
      </c>
      <c r="J58" s="777">
        <f>'5.03_Capacity_&amp;_Storage_Assets'!AN13</f>
        <v>0</v>
      </c>
      <c r="K58" s="778">
        <f>'5.03_Capacity_&amp;_Storage_Assets'!AO13</f>
        <v>0</v>
      </c>
      <c r="L58" s="778">
        <f>'5.03_Capacity_&amp;_Storage_Assets'!AP13</f>
        <v>0</v>
      </c>
      <c r="M58" s="778">
        <f>'5.03_Capacity_&amp;_Storage_Assets'!AQ13</f>
        <v>0</v>
      </c>
      <c r="N58" s="778">
        <f>'5.03_Capacity_&amp;_Storage_Assets'!AR13</f>
        <v>0</v>
      </c>
      <c r="O58" s="778">
        <f>'5.03_Capacity_&amp;_Storage_Assets'!AS13</f>
        <v>0</v>
      </c>
      <c r="P58" s="778">
        <f>'5.03_Capacity_&amp;_Storage_Assets'!AT13</f>
        <v>0</v>
      </c>
      <c r="Q58" s="779">
        <f>'5.03_Capacity_&amp;_Storage_Assets'!AU13</f>
        <v>0</v>
      </c>
      <c r="R58" s="777">
        <f>'5.03_Capacity_&amp;_Storage_Assets'!AV13</f>
        <v>0</v>
      </c>
      <c r="S58" s="778">
        <f>'5.03_Capacity_&amp;_Storage_Assets'!AW13</f>
        <v>0</v>
      </c>
      <c r="T58" s="778">
        <f>'5.03_Capacity_&amp;_Storage_Assets'!AX13</f>
        <v>0</v>
      </c>
      <c r="U58" s="778">
        <f>'5.03_Capacity_&amp;_Storage_Assets'!AY13</f>
        <v>0</v>
      </c>
      <c r="V58" s="779">
        <f>'5.03_Capacity_&amp;_Storage_Assets'!AZ13</f>
        <v>0</v>
      </c>
    </row>
    <row r="59" spans="1:23" s="98" customFormat="1" ht="15" customHeight="1">
      <c r="A59" s="99"/>
      <c r="B59" s="901"/>
      <c r="C59" s="222"/>
      <c r="D59" s="162" t="s">
        <v>2903</v>
      </c>
      <c r="E59" s="222"/>
      <c r="F59" s="185"/>
      <c r="G59" s="162"/>
      <c r="H59" s="163"/>
      <c r="I59" s="164" t="s">
        <v>1876</v>
      </c>
      <c r="J59" s="777">
        <f>'5.03_Capacity_&amp;_Storage_Assets'!AN14</f>
        <v>0</v>
      </c>
      <c r="K59" s="778">
        <f>'5.03_Capacity_&amp;_Storage_Assets'!AO14</f>
        <v>0</v>
      </c>
      <c r="L59" s="778">
        <f>'5.03_Capacity_&amp;_Storage_Assets'!AP14</f>
        <v>0</v>
      </c>
      <c r="M59" s="778">
        <f>'5.03_Capacity_&amp;_Storage_Assets'!AQ14</f>
        <v>0</v>
      </c>
      <c r="N59" s="778">
        <f>'5.03_Capacity_&amp;_Storage_Assets'!AR14</f>
        <v>0</v>
      </c>
      <c r="O59" s="778">
        <f>'5.03_Capacity_&amp;_Storage_Assets'!AS14</f>
        <v>0</v>
      </c>
      <c r="P59" s="778">
        <f>'5.03_Capacity_&amp;_Storage_Assets'!AT14</f>
        <v>0</v>
      </c>
      <c r="Q59" s="779">
        <f>'5.03_Capacity_&amp;_Storage_Assets'!AU14</f>
        <v>0</v>
      </c>
      <c r="R59" s="777">
        <f>'5.03_Capacity_&amp;_Storage_Assets'!AV14</f>
        <v>0</v>
      </c>
      <c r="S59" s="778">
        <f>'5.03_Capacity_&amp;_Storage_Assets'!AW14</f>
        <v>0</v>
      </c>
      <c r="T59" s="778">
        <f>'5.03_Capacity_&amp;_Storage_Assets'!AX14</f>
        <v>0</v>
      </c>
      <c r="U59" s="778">
        <f>'5.03_Capacity_&amp;_Storage_Assets'!AY14</f>
        <v>0</v>
      </c>
      <c r="V59" s="779">
        <f>'5.03_Capacity_&amp;_Storage_Assets'!AZ14</f>
        <v>0</v>
      </c>
    </row>
    <row r="60" spans="1:23" s="98" customFormat="1" ht="15" customHeight="1">
      <c r="A60" s="99"/>
      <c r="B60" s="901"/>
      <c r="C60" s="222"/>
      <c r="D60" s="162" t="s">
        <v>2972</v>
      </c>
      <c r="E60" s="222"/>
      <c r="F60" s="185"/>
      <c r="G60" s="162"/>
      <c r="H60" s="163"/>
      <c r="I60" s="164" t="s">
        <v>1876</v>
      </c>
      <c r="J60" s="777">
        <f>'5.03_Capacity_&amp;_Storage_Assets'!AN15</f>
        <v>41</v>
      </c>
      <c r="K60" s="778">
        <f>'5.03_Capacity_&amp;_Storage_Assets'!AO15</f>
        <v>33</v>
      </c>
      <c r="L60" s="778">
        <f>'5.03_Capacity_&amp;_Storage_Assets'!AP15</f>
        <v>24</v>
      </c>
      <c r="M60" s="778">
        <f>'5.03_Capacity_&amp;_Storage_Assets'!AQ15</f>
        <v>10</v>
      </c>
      <c r="N60" s="778">
        <f>'5.03_Capacity_&amp;_Storage_Assets'!AR15</f>
        <v>3</v>
      </c>
      <c r="O60" s="778">
        <f>'5.03_Capacity_&amp;_Storage_Assets'!AS15</f>
        <v>0</v>
      </c>
      <c r="P60" s="778">
        <f>'5.03_Capacity_&amp;_Storage_Assets'!AT15</f>
        <v>0</v>
      </c>
      <c r="Q60" s="779">
        <f>'5.03_Capacity_&amp;_Storage_Assets'!AU15</f>
        <v>0</v>
      </c>
      <c r="R60" s="777">
        <f>'5.03_Capacity_&amp;_Storage_Assets'!AV15</f>
        <v>0</v>
      </c>
      <c r="S60" s="778">
        <f>'5.03_Capacity_&amp;_Storage_Assets'!AW15</f>
        <v>0</v>
      </c>
      <c r="T60" s="778">
        <f>'5.03_Capacity_&amp;_Storage_Assets'!AX15</f>
        <v>0</v>
      </c>
      <c r="U60" s="778">
        <f>'5.03_Capacity_&amp;_Storage_Assets'!AY15</f>
        <v>0</v>
      </c>
      <c r="V60" s="779">
        <f>'5.03_Capacity_&amp;_Storage_Assets'!AZ15</f>
        <v>0</v>
      </c>
    </row>
    <row r="61" spans="1:23" s="98" customFormat="1" ht="15" customHeight="1">
      <c r="A61" s="99"/>
      <c r="B61" s="901"/>
      <c r="C61" s="222"/>
      <c r="D61" s="162" t="s">
        <v>2973</v>
      </c>
      <c r="E61" s="222"/>
      <c r="F61" s="185"/>
      <c r="G61" s="162"/>
      <c r="H61" s="163"/>
      <c r="I61" s="164" t="s">
        <v>1876</v>
      </c>
      <c r="J61" s="143">
        <v>41</v>
      </c>
      <c r="K61" s="141">
        <v>33</v>
      </c>
      <c r="L61" s="141">
        <v>24</v>
      </c>
      <c r="M61" s="141">
        <v>10</v>
      </c>
      <c r="N61" s="141">
        <v>3</v>
      </c>
      <c r="O61" s="141">
        <v>0</v>
      </c>
      <c r="P61" s="141">
        <v>0</v>
      </c>
      <c r="Q61" s="144">
        <v>0</v>
      </c>
      <c r="R61" s="143">
        <v>0</v>
      </c>
      <c r="S61" s="141">
        <v>0</v>
      </c>
      <c r="T61" s="141">
        <v>0</v>
      </c>
      <c r="U61" s="141">
        <v>0</v>
      </c>
      <c r="V61" s="144">
        <v>0</v>
      </c>
    </row>
    <row r="62" spans="1:23" s="98" customFormat="1" ht="15" customHeight="1">
      <c r="A62" s="99"/>
      <c r="B62" s="901"/>
      <c r="C62" s="222"/>
      <c r="D62" s="162" t="s">
        <v>2974</v>
      </c>
      <c r="E62" s="222"/>
      <c r="F62" s="185"/>
      <c r="G62" s="162"/>
      <c r="H62" s="163"/>
      <c r="I62" s="164" t="s">
        <v>1876</v>
      </c>
      <c r="J62" s="143">
        <v>0</v>
      </c>
      <c r="K62" s="141">
        <v>0</v>
      </c>
      <c r="L62" s="141">
        <v>0</v>
      </c>
      <c r="M62" s="141">
        <v>0</v>
      </c>
      <c r="N62" s="141">
        <v>0</v>
      </c>
      <c r="O62" s="141">
        <v>0</v>
      </c>
      <c r="P62" s="141">
        <v>0</v>
      </c>
      <c r="Q62" s="144">
        <v>0</v>
      </c>
      <c r="R62" s="143">
        <v>0</v>
      </c>
      <c r="S62" s="141">
        <v>0</v>
      </c>
      <c r="T62" s="141">
        <v>0</v>
      </c>
      <c r="U62" s="141">
        <v>0</v>
      </c>
      <c r="V62" s="144">
        <v>0</v>
      </c>
    </row>
    <row r="63" spans="1:23" s="98" customFormat="1" ht="15" customHeight="1">
      <c r="A63" s="99"/>
      <c r="B63" s="901"/>
      <c r="C63" s="222"/>
      <c r="D63" s="162" t="s">
        <v>2975</v>
      </c>
      <c r="E63" s="222"/>
      <c r="F63" s="185"/>
      <c r="G63" s="162"/>
      <c r="H63" s="163"/>
      <c r="I63" s="163"/>
      <c r="J63" s="891"/>
      <c r="K63" s="879"/>
      <c r="L63" s="879"/>
      <c r="M63" s="879"/>
      <c r="N63" s="879"/>
      <c r="O63" s="879"/>
      <c r="P63" s="879"/>
      <c r="Q63" s="885"/>
      <c r="R63" s="891"/>
      <c r="S63" s="879"/>
      <c r="T63" s="879"/>
      <c r="U63" s="879"/>
      <c r="V63" s="885"/>
    </row>
    <row r="64" spans="1:23" s="98" customFormat="1" ht="15" customHeight="1">
      <c r="A64" s="99"/>
      <c r="B64" s="901"/>
      <c r="C64" s="222"/>
      <c r="D64" s="162" t="s">
        <v>2976</v>
      </c>
      <c r="E64" s="222"/>
      <c r="F64" s="185"/>
      <c r="G64" s="162"/>
      <c r="H64" s="163"/>
      <c r="I64" s="163"/>
      <c r="J64" s="891"/>
      <c r="K64" s="879"/>
      <c r="L64" s="879"/>
      <c r="M64" s="879"/>
      <c r="N64" s="879"/>
      <c r="O64" s="879"/>
      <c r="P64" s="879"/>
      <c r="Q64" s="885"/>
      <c r="R64" s="891"/>
      <c r="S64" s="879"/>
      <c r="T64" s="879"/>
      <c r="U64" s="879"/>
      <c r="V64" s="885"/>
    </row>
    <row r="65" spans="1:22" s="98" customFormat="1" ht="15" customHeight="1" thickBot="1">
      <c r="A65" s="99"/>
      <c r="B65" s="902"/>
      <c r="C65" s="896" t="s">
        <v>1710</v>
      </c>
      <c r="D65" s="896"/>
      <c r="E65" s="896"/>
      <c r="F65" s="240"/>
      <c r="G65" s="241"/>
      <c r="H65" s="241"/>
      <c r="I65" s="195" t="s">
        <v>1876</v>
      </c>
      <c r="J65" s="873">
        <f>SUM(J57:J62)</f>
        <v>86</v>
      </c>
      <c r="K65" s="781">
        <f t="shared" ref="K65:V65" si="3">SUM(K57:K62)</f>
        <v>70</v>
      </c>
      <c r="L65" s="781">
        <f t="shared" si="3"/>
        <v>52</v>
      </c>
      <c r="M65" s="781">
        <f t="shared" si="3"/>
        <v>20</v>
      </c>
      <c r="N65" s="781">
        <f t="shared" si="3"/>
        <v>6</v>
      </c>
      <c r="O65" s="781">
        <f t="shared" si="3"/>
        <v>0</v>
      </c>
      <c r="P65" s="781">
        <f t="shared" si="3"/>
        <v>0</v>
      </c>
      <c r="Q65" s="874">
        <f t="shared" si="3"/>
        <v>0</v>
      </c>
      <c r="R65" s="873">
        <f t="shared" si="3"/>
        <v>0</v>
      </c>
      <c r="S65" s="781">
        <f t="shared" si="3"/>
        <v>0</v>
      </c>
      <c r="T65" s="781">
        <f t="shared" si="3"/>
        <v>0</v>
      </c>
      <c r="U65" s="781">
        <f t="shared" si="3"/>
        <v>0</v>
      </c>
      <c r="V65" s="874">
        <f t="shared" si="3"/>
        <v>0</v>
      </c>
    </row>
    <row r="66" spans="1:22" s="98" customFormat="1" ht="15" customHeight="1" thickBot="1">
      <c r="B66" s="157"/>
      <c r="C66" s="157"/>
      <c r="D66" s="157"/>
      <c r="E66" s="157"/>
    </row>
    <row r="67" spans="1:22" s="100" customFormat="1" ht="30" customHeight="1" thickBot="1">
      <c r="A67" s="89"/>
      <c r="B67" s="621" t="s">
        <v>2977</v>
      </c>
      <c r="C67" s="788"/>
      <c r="D67" s="788"/>
      <c r="E67" s="788"/>
      <c r="F67" s="102"/>
      <c r="G67" s="103"/>
      <c r="H67" s="103"/>
      <c r="I67" s="105" t="s">
        <v>2897</v>
      </c>
      <c r="J67" s="106"/>
      <c r="K67" s="106"/>
      <c r="L67" s="106"/>
      <c r="M67" s="106"/>
      <c r="N67" s="106"/>
      <c r="O67" s="106"/>
      <c r="P67" s="106"/>
      <c r="Q67" s="106"/>
      <c r="R67" s="105"/>
      <c r="S67" s="105"/>
      <c r="T67" s="105"/>
      <c r="U67" s="105"/>
      <c r="V67" s="187"/>
    </row>
    <row r="68" spans="1:22" s="157" customFormat="1" ht="30" customHeight="1">
      <c r="A68" s="99"/>
      <c r="B68" s="109"/>
      <c r="C68" s="110"/>
      <c r="D68" s="110"/>
      <c r="E68" s="110"/>
      <c r="F68" s="110"/>
      <c r="G68" s="111"/>
      <c r="H68" s="111"/>
      <c r="I68" s="117"/>
      <c r="J68" s="695" t="s">
        <v>1666</v>
      </c>
      <c r="K68" s="152"/>
      <c r="L68" s="152"/>
      <c r="M68" s="152"/>
      <c r="N68" s="152"/>
      <c r="O68" s="152"/>
      <c r="P68" s="152"/>
      <c r="Q68" s="153"/>
      <c r="R68" s="696" t="s">
        <v>2</v>
      </c>
      <c r="S68" s="155"/>
      <c r="T68" s="155"/>
      <c r="U68" s="155"/>
      <c r="V68" s="156"/>
    </row>
    <row r="69" spans="1:22" s="98" customFormat="1" ht="15" customHeight="1">
      <c r="A69" s="99"/>
      <c r="B69" s="900"/>
      <c r="C69" s="620"/>
      <c r="D69" s="620"/>
      <c r="E69" s="620"/>
      <c r="F69" s="116"/>
      <c r="G69" s="117"/>
      <c r="H69" s="117"/>
      <c r="I69" s="119" t="s">
        <v>1667</v>
      </c>
      <c r="J69" s="158" t="s">
        <v>453</v>
      </c>
      <c r="K69" s="137" t="s">
        <v>455</v>
      </c>
      <c r="L69" s="137" t="s">
        <v>457</v>
      </c>
      <c r="M69" s="137" t="s">
        <v>459</v>
      </c>
      <c r="N69" s="137" t="s">
        <v>461</v>
      </c>
      <c r="O69" s="137" t="s">
        <v>463</v>
      </c>
      <c r="P69" s="137" t="s">
        <v>465</v>
      </c>
      <c r="Q69" s="138" t="s">
        <v>467</v>
      </c>
      <c r="R69" s="120" t="s">
        <v>469</v>
      </c>
      <c r="S69" s="121" t="s">
        <v>471</v>
      </c>
      <c r="T69" s="121" t="s">
        <v>473</v>
      </c>
      <c r="U69" s="121" t="s">
        <v>475</v>
      </c>
      <c r="V69" s="122" t="s">
        <v>477</v>
      </c>
    </row>
    <row r="70" spans="1:22" s="98" customFormat="1" ht="15" customHeight="1">
      <c r="A70" s="99"/>
      <c r="B70" s="901"/>
      <c r="C70" s="180" t="s">
        <v>2472</v>
      </c>
      <c r="D70" s="180"/>
      <c r="E70" s="180"/>
      <c r="F70" s="162"/>
      <c r="G70" s="163"/>
      <c r="H70" s="163"/>
      <c r="I70" s="117"/>
      <c r="J70" s="159"/>
      <c r="K70" s="117"/>
      <c r="L70" s="117"/>
      <c r="M70" s="117"/>
      <c r="N70" s="117"/>
      <c r="O70" s="117"/>
      <c r="P70" s="117"/>
      <c r="Q70" s="160"/>
      <c r="R70" s="159"/>
      <c r="S70" s="117"/>
      <c r="T70" s="117"/>
      <c r="U70" s="117"/>
      <c r="V70" s="160"/>
    </row>
    <row r="71" spans="1:22" s="98" customFormat="1" ht="15" customHeight="1">
      <c r="A71" s="99"/>
      <c r="B71" s="901"/>
      <c r="C71" s="222"/>
      <c r="D71" s="162" t="s">
        <v>2862</v>
      </c>
      <c r="E71" s="162"/>
      <c r="H71" s="163"/>
      <c r="I71" s="164" t="s">
        <v>2233</v>
      </c>
      <c r="J71" s="128">
        <f>SUM('5.02_Network_Assets'!$AV12,'5.02_Network_Assets'!J12,'5.02_Network_Assets'!Y12,'5.02_Network_Assets'!AN12)</f>
        <v>16237.369719999999</v>
      </c>
      <c r="K71" s="129">
        <f>SUM(J71,'5.02_Network_Assets'!K12,'5.02_Network_Assets'!Z12,'5.02_Network_Assets'!AO12)</f>
        <v>16551.932979999994</v>
      </c>
      <c r="L71" s="129">
        <f>SUM(K71,'5.02_Network_Assets'!L12,'5.02_Network_Assets'!AA12,'5.02_Network_Assets'!AP12)</f>
        <v>16866.141779999998</v>
      </c>
      <c r="M71" s="129">
        <f>SUM(L71,'5.02_Network_Assets'!M12,'5.02_Network_Assets'!AB12,'5.02_Network_Assets'!AQ12)</f>
        <v>17215.957809999996</v>
      </c>
      <c r="N71" s="129">
        <f>SUM(M71,'5.02_Network_Assets'!N12,'5.02_Network_Assets'!AC12,'5.02_Network_Assets'!AR12)</f>
        <v>17561.530049999998</v>
      </c>
      <c r="O71" s="129">
        <f>SUM(N71,'5.02_Network_Assets'!O12,'5.02_Network_Assets'!AD12,'5.02_Network_Assets'!AS12)</f>
        <v>17896.257895050436</v>
      </c>
      <c r="P71" s="129">
        <f>SUM(O71,'5.02_Network_Assets'!P12,'5.02_Network_Assets'!AE12)</f>
        <v>17998.630906608487</v>
      </c>
      <c r="Q71" s="130">
        <f>SUM(P71,'5.02_Network_Assets'!Q12,'5.02_Network_Assets'!AF12)</f>
        <v>18094.724154417279</v>
      </c>
      <c r="R71" s="128">
        <f>SUM(Q71,'5.02_Network_Assets'!R12,'5.02_Network_Assets'!AG12)</f>
        <v>18202.149427860906</v>
      </c>
      <c r="S71" s="129">
        <f>SUM(R71,'5.02_Network_Assets'!S12,'5.02_Network_Assets'!AH12)</f>
        <v>18310.130923654968</v>
      </c>
      <c r="T71" s="129">
        <f>SUM(S71,'5.02_Network_Assets'!T12,'5.02_Network_Assets'!AI12)</f>
        <v>18418.657498515477</v>
      </c>
      <c r="U71" s="129">
        <f>SUM(T71,'5.02_Network_Assets'!U12,'5.02_Network_Assets'!AJ12)</f>
        <v>18527.71976787211</v>
      </c>
      <c r="V71" s="130">
        <f>SUM(U71,'5.02_Network_Assets'!V12,'5.02_Network_Assets'!AK12)</f>
        <v>18637.309736867181</v>
      </c>
    </row>
    <row r="72" spans="1:22" s="98" customFormat="1" ht="15" customHeight="1">
      <c r="A72" s="99"/>
      <c r="B72" s="901"/>
      <c r="C72" s="222"/>
      <c r="D72" s="162" t="s">
        <v>2863</v>
      </c>
      <c r="E72" s="162"/>
      <c r="H72" s="163"/>
      <c r="I72" s="164" t="s">
        <v>2233</v>
      </c>
      <c r="J72" s="128">
        <f>SUM('5.02_Network_Assets'!$AV13,'5.02_Network_Assets'!J13,'5.02_Network_Assets'!Y13,'5.02_Network_Assets'!AN13)</f>
        <v>7993.0164399999994</v>
      </c>
      <c r="K72" s="129">
        <f>SUM(J72,'5.02_Network_Assets'!K13,'5.02_Network_Assets'!Z13,'5.02_Network_Assets'!AO13)</f>
        <v>7792.2535800000005</v>
      </c>
      <c r="L72" s="129">
        <f>SUM(K72,'5.02_Network_Assets'!L13,'5.02_Network_Assets'!AA13,'5.02_Network_Assets'!AP13)</f>
        <v>7598.4029299999984</v>
      </c>
      <c r="M72" s="129">
        <f>SUM(L72,'5.02_Network_Assets'!M13,'5.02_Network_Assets'!AB13,'5.02_Network_Assets'!AQ13)</f>
        <v>7396.0226900000025</v>
      </c>
      <c r="N72" s="129">
        <f>SUM(M72,'5.02_Network_Assets'!N13,'5.02_Network_Assets'!AC13,'5.02_Network_Assets'!AR13)</f>
        <v>7196.7646400000012</v>
      </c>
      <c r="O72" s="129">
        <f>SUM(N72,'5.02_Network_Assets'!O13,'5.02_Network_Assets'!AD13,'5.02_Network_Assets'!AS13)</f>
        <v>7051.6773891586918</v>
      </c>
      <c r="P72" s="129">
        <f>SUM(O72,'5.02_Network_Assets'!P13,'5.02_Network_Assets'!AE13)</f>
        <v>7072.6449724838849</v>
      </c>
      <c r="Q72" s="130">
        <f>SUM(P72,'5.02_Network_Assets'!Q13,'5.02_Network_Assets'!AF13)</f>
        <v>7098.5980795852329</v>
      </c>
      <c r="R72" s="128">
        <f>SUM(Q72,'5.02_Network_Assets'!R13,'5.02_Network_Assets'!AG13)</f>
        <v>7131.1328378500984</v>
      </c>
      <c r="S72" s="129">
        <f>SUM(R72,'5.02_Network_Assets'!S13,'5.02_Network_Assets'!AH13)</f>
        <v>7164.5610392640801</v>
      </c>
      <c r="T72" s="129">
        <f>SUM(S72,'5.02_Network_Assets'!T13,'5.02_Network_Assets'!AI13)</f>
        <v>7198.8647847069278</v>
      </c>
      <c r="U72" s="129">
        <f>SUM(T72,'5.02_Network_Assets'!U13,'5.02_Network_Assets'!AJ13)</f>
        <v>7234.0290000269879</v>
      </c>
      <c r="V72" s="130">
        <f>SUM(U72,'5.02_Network_Assets'!V13,'5.02_Network_Assets'!AK13)</f>
        <v>7270.0408433260136</v>
      </c>
    </row>
    <row r="73" spans="1:22" s="98" customFormat="1" ht="15" customHeight="1">
      <c r="A73" s="99"/>
      <c r="B73" s="901"/>
      <c r="C73" s="222"/>
      <c r="D73" s="162" t="s">
        <v>2864</v>
      </c>
      <c r="E73" s="162"/>
      <c r="H73" s="163"/>
      <c r="I73" s="164" t="s">
        <v>2233</v>
      </c>
      <c r="J73" s="128">
        <f>SUM('5.02_Network_Assets'!$AV14,'5.02_Network_Assets'!J14,'5.02_Network_Assets'!Y14,'5.02_Network_Assets'!AN14)</f>
        <v>4717.7219099999993</v>
      </c>
      <c r="K73" s="129">
        <f>SUM(J73,'5.02_Network_Assets'!K14,'5.02_Network_Assets'!Z14,'5.02_Network_Assets'!AO14)</f>
        <v>4641.2468899999994</v>
      </c>
      <c r="L73" s="129">
        <f>SUM(K73,'5.02_Network_Assets'!L14,'5.02_Network_Assets'!AA14,'5.02_Network_Assets'!AP14)</f>
        <v>4594.5762799999984</v>
      </c>
      <c r="M73" s="129">
        <f>SUM(L73,'5.02_Network_Assets'!M14,'5.02_Network_Assets'!AB14,'5.02_Network_Assets'!AQ14)</f>
        <v>4522.5574299999989</v>
      </c>
      <c r="N73" s="129">
        <f>SUM(M73,'5.02_Network_Assets'!N14,'5.02_Network_Assets'!AC14,'5.02_Network_Assets'!AR14)</f>
        <v>4448.5148699999982</v>
      </c>
      <c r="O73" s="129">
        <f>SUM(N73,'5.02_Network_Assets'!O14,'5.02_Network_Assets'!AD14,'5.02_Network_Assets'!AS14)</f>
        <v>4359.1913791922771</v>
      </c>
      <c r="P73" s="129">
        <f>SUM(O73,'5.02_Network_Assets'!P14,'5.02_Network_Assets'!AE14)</f>
        <v>4307.3875612255015</v>
      </c>
      <c r="Q73" s="130">
        <f>SUM(P73,'5.02_Network_Assets'!Q14,'5.02_Network_Assets'!AF14)</f>
        <v>4255.6897199656032</v>
      </c>
      <c r="R73" s="128">
        <f>SUM(Q73,'5.02_Network_Assets'!R14,'5.02_Network_Assets'!AG14)</f>
        <v>4210.6039499060971</v>
      </c>
      <c r="S73" s="129">
        <f>SUM(R73,'5.02_Network_Assets'!S14,'5.02_Network_Assets'!AH14)</f>
        <v>4165.8033082743787</v>
      </c>
      <c r="T73" s="129">
        <f>SUM(S73,'5.02_Network_Assets'!T14,'5.02_Network_Assets'!AI14)</f>
        <v>4121.2820828457579</v>
      </c>
      <c r="U73" s="129">
        <f>SUM(T73,'5.02_Network_Assets'!U14,'5.02_Network_Assets'!AJ14)</f>
        <v>4077.0354629401536</v>
      </c>
      <c r="V73" s="130">
        <f>SUM(U73,'5.02_Network_Assets'!V14,'5.02_Network_Assets'!AK14)</f>
        <v>4033.0593502662978</v>
      </c>
    </row>
    <row r="74" spans="1:22" s="98" customFormat="1" ht="15" customHeight="1">
      <c r="A74" s="99"/>
      <c r="B74" s="901"/>
      <c r="C74" s="222"/>
      <c r="D74" s="162" t="s">
        <v>2865</v>
      </c>
      <c r="E74" s="162"/>
      <c r="H74" s="163"/>
      <c r="I74" s="164" t="s">
        <v>2233</v>
      </c>
      <c r="J74" s="128">
        <f>SUM('5.02_Network_Assets'!$AV15,'5.02_Network_Assets'!J15,'5.02_Network_Assets'!Y15,'5.02_Network_Assets'!AN15)</f>
        <v>1411.2110600000001</v>
      </c>
      <c r="K74" s="129">
        <f>SUM(J74,'5.02_Network_Assets'!K15,'5.02_Network_Assets'!Z15,'5.02_Network_Assets'!AO15)</f>
        <v>1356.9394000000002</v>
      </c>
      <c r="L74" s="129">
        <f>SUM(K74,'5.02_Network_Assets'!L15,'5.02_Network_Assets'!AA15,'5.02_Network_Assets'!AP15)</f>
        <v>1309.9179300000003</v>
      </c>
      <c r="M74" s="129">
        <f>SUM(L74,'5.02_Network_Assets'!M15,'5.02_Network_Assets'!AB15,'5.02_Network_Assets'!AQ15)</f>
        <v>1270.9700300000002</v>
      </c>
      <c r="N74" s="129">
        <f>SUM(M74,'5.02_Network_Assets'!N15,'5.02_Network_Assets'!AC15,'5.02_Network_Assets'!AR15)</f>
        <v>1225.3782800000004</v>
      </c>
      <c r="O74" s="129">
        <f>SUM(N74,'5.02_Network_Assets'!O15,'5.02_Network_Assets'!AD15,'5.02_Network_Assets'!AS15)</f>
        <v>1175.4312600000001</v>
      </c>
      <c r="P74" s="129">
        <f>SUM(O74,'5.02_Network_Assets'!P15,'5.02_Network_Assets'!AE15)</f>
        <v>1150.3483938276913</v>
      </c>
      <c r="Q74" s="130">
        <f>SUM(P74,'5.02_Network_Assets'!Q15,'5.02_Network_Assets'!AF15)</f>
        <v>1125.6412931932787</v>
      </c>
      <c r="R74" s="128">
        <f>SUM(Q74,'5.02_Network_Assets'!R15,'5.02_Network_Assets'!AG15)</f>
        <v>1082.2919217755659</v>
      </c>
      <c r="S74" s="129">
        <f>SUM(R74,'5.02_Network_Assets'!S15,'5.02_Network_Assets'!AH15)</f>
        <v>1039.0761755062961</v>
      </c>
      <c r="T74" s="129">
        <f>SUM(S74,'5.02_Network_Assets'!T15,'5.02_Network_Assets'!AI15)</f>
        <v>995.9940543854691</v>
      </c>
      <c r="U74" s="129">
        <f>SUM(T74,'5.02_Network_Assets'!U15,'5.02_Network_Assets'!AJ15)</f>
        <v>953.04555841308479</v>
      </c>
      <c r="V74" s="130">
        <f>SUM(U74,'5.02_Network_Assets'!V15,'5.02_Network_Assets'!AK15)</f>
        <v>910.23068758914326</v>
      </c>
    </row>
    <row r="75" spans="1:22" s="98" customFormat="1" ht="15" customHeight="1">
      <c r="A75" s="99"/>
      <c r="B75" s="901"/>
      <c r="C75" s="222"/>
      <c r="D75" s="162" t="s">
        <v>2866</v>
      </c>
      <c r="E75" s="162"/>
      <c r="H75" s="163"/>
      <c r="I75" s="164" t="s">
        <v>2233</v>
      </c>
      <c r="J75" s="128">
        <f>SUM('5.02_Network_Assets'!$AV16,'5.02_Network_Assets'!J16,'5.02_Network_Assets'!Y16,'5.02_Network_Assets'!AN16)</f>
        <v>1246.56735</v>
      </c>
      <c r="K75" s="129">
        <f>SUM(J75,'5.02_Network_Assets'!K16,'5.02_Network_Assets'!Z16,'5.02_Network_Assets'!AO16)</f>
        <v>1262.49126</v>
      </c>
      <c r="L75" s="129">
        <f>SUM(K75,'5.02_Network_Assets'!L16,'5.02_Network_Assets'!AA16,'5.02_Network_Assets'!AP16)</f>
        <v>1275.3750599999996</v>
      </c>
      <c r="M75" s="129">
        <f>SUM(L75,'5.02_Network_Assets'!M16,'5.02_Network_Assets'!AB16,'5.02_Network_Assets'!AQ16)</f>
        <v>1282.9571199999996</v>
      </c>
      <c r="N75" s="129">
        <f>SUM(M75,'5.02_Network_Assets'!N16,'5.02_Network_Assets'!AC16,'5.02_Network_Assets'!AR16)</f>
        <v>1294.6764499999995</v>
      </c>
      <c r="O75" s="129">
        <f>SUM(N75,'5.02_Network_Assets'!O16,'5.02_Network_Assets'!AD16,'5.02_Network_Assets'!AS16)</f>
        <v>1310.6971499999995</v>
      </c>
      <c r="P75" s="129">
        <f>SUM(O75,'5.02_Network_Assets'!P16,'5.02_Network_Assets'!AE16)</f>
        <v>1326.3450664438931</v>
      </c>
      <c r="Q75" s="130">
        <f>SUM(P75,'5.02_Network_Assets'!Q16,'5.02_Network_Assets'!AF16)</f>
        <v>1339.6756000893267</v>
      </c>
      <c r="R75" s="128">
        <f>SUM(Q75,'5.02_Network_Assets'!R16,'5.02_Network_Assets'!AG16)</f>
        <v>1354.9072134703954</v>
      </c>
      <c r="S75" s="129">
        <f>SUM(R75,'5.02_Network_Assets'!S16,'5.02_Network_Assets'!AH16)</f>
        <v>1370.2394100697136</v>
      </c>
      <c r="T75" s="129">
        <f>SUM(S75,'5.02_Network_Assets'!T16,'5.02_Network_Assets'!AI16)</f>
        <v>1385.6721898872811</v>
      </c>
      <c r="U75" s="129">
        <f>SUM(T75,'5.02_Network_Assets'!U16,'5.02_Network_Assets'!AJ16)</f>
        <v>1401.2055529230979</v>
      </c>
      <c r="V75" s="130">
        <f>SUM(U75,'5.02_Network_Assets'!V16,'5.02_Network_Assets'!AK16)</f>
        <v>1416.839499177164</v>
      </c>
    </row>
    <row r="76" spans="1:22" s="98" customFormat="1" ht="15" customHeight="1">
      <c r="A76" s="99"/>
      <c r="B76" s="901"/>
      <c r="C76" s="222"/>
      <c r="D76" s="162" t="s">
        <v>2867</v>
      </c>
      <c r="E76" s="162"/>
      <c r="H76" s="163"/>
      <c r="I76" s="164" t="s">
        <v>2233</v>
      </c>
      <c r="J76" s="128">
        <f>SUM('5.02_Network_Assets'!$AV17,'5.02_Network_Assets'!J17,'5.02_Network_Assets'!Y17,'5.02_Network_Assets'!AN17)</f>
        <v>2375.6454899999999</v>
      </c>
      <c r="K76" s="129">
        <f>SUM(J76,'5.02_Network_Assets'!K17,'5.02_Network_Assets'!Z17,'5.02_Network_Assets'!AO17)</f>
        <v>2364.9925799999996</v>
      </c>
      <c r="L76" s="129">
        <f>SUM(K76,'5.02_Network_Assets'!L17,'5.02_Network_Assets'!AA17,'5.02_Network_Assets'!AP17)</f>
        <v>2355.6222999999995</v>
      </c>
      <c r="M76" s="129">
        <f>SUM(L76,'5.02_Network_Assets'!M17,'5.02_Network_Assets'!AB17,'5.02_Network_Assets'!AQ17)</f>
        <v>2347.7240599999991</v>
      </c>
      <c r="N76" s="129">
        <f>SUM(M76,'5.02_Network_Assets'!N17,'5.02_Network_Assets'!AC17,'5.02_Network_Assets'!AR17)</f>
        <v>2336.3629799999994</v>
      </c>
      <c r="O76" s="129">
        <f>SUM(N76,'5.02_Network_Assets'!O17,'5.02_Network_Assets'!AD17,'5.02_Network_Assets'!AS17)</f>
        <v>2322.0941499999994</v>
      </c>
      <c r="P76" s="129">
        <f>SUM(O76,'5.02_Network_Assets'!P17,'5.02_Network_Assets'!AE17)</f>
        <v>2297.3001746192949</v>
      </c>
      <c r="Q76" s="130">
        <f>SUM(P76,'5.02_Network_Assets'!Q17,'5.02_Network_Assets'!AF17)</f>
        <v>2275.545970513374</v>
      </c>
      <c r="R76" s="128">
        <f>SUM(Q76,'5.02_Network_Assets'!R17,'5.02_Network_Assets'!AG17)</f>
        <v>2261.8185450562746</v>
      </c>
      <c r="S76" s="129">
        <f>SUM(R76,'5.02_Network_Assets'!S17,'5.02_Network_Assets'!AH17)</f>
        <v>2248.1521615668239</v>
      </c>
      <c r="T76" s="129">
        <f>SUM(S76,'5.02_Network_Assets'!T17,'5.02_Network_Assets'!AI17)</f>
        <v>2234.5468200450214</v>
      </c>
      <c r="U76" s="129">
        <f>SUM(T76,'5.02_Network_Assets'!U17,'5.02_Network_Assets'!AJ17)</f>
        <v>2221.002520490867</v>
      </c>
      <c r="V76" s="130">
        <f>SUM(U76,'5.02_Network_Assets'!V17,'5.02_Network_Assets'!AK17)</f>
        <v>2207.5192629043609</v>
      </c>
    </row>
    <row r="77" spans="1:22" s="98" customFormat="1" ht="15" customHeight="1">
      <c r="A77" s="99"/>
      <c r="B77" s="901"/>
      <c r="C77" s="222"/>
      <c r="D77" s="162" t="s">
        <v>2868</v>
      </c>
      <c r="E77" s="162"/>
      <c r="H77" s="163"/>
      <c r="I77" s="164" t="s">
        <v>2233</v>
      </c>
      <c r="J77" s="128">
        <f>SUM('5.02_Network_Assets'!$AV18,'5.02_Network_Assets'!J18,'5.02_Network_Assets'!Y18,'5.02_Network_Assets'!AN18)</f>
        <v>349.27153000000004</v>
      </c>
      <c r="K77" s="129">
        <f>SUM(J77,'5.02_Network_Assets'!K18,'5.02_Network_Assets'!Z18,'5.02_Network_Assets'!AO18)</f>
        <v>344.25178000000005</v>
      </c>
      <c r="L77" s="129">
        <f>SUM(K77,'5.02_Network_Assets'!L18,'5.02_Network_Assets'!AA18,'5.02_Network_Assets'!AP18)</f>
        <v>343.34125000000006</v>
      </c>
      <c r="M77" s="129">
        <f>SUM(L77,'5.02_Network_Assets'!M18,'5.02_Network_Assets'!AB18,'5.02_Network_Assets'!AQ18)</f>
        <v>341.51763000000011</v>
      </c>
      <c r="N77" s="129">
        <f>SUM(M77,'5.02_Network_Assets'!N18,'5.02_Network_Assets'!AC18,'5.02_Network_Assets'!AR18)</f>
        <v>333.36567000000008</v>
      </c>
      <c r="O77" s="129">
        <f>SUM(N77,'5.02_Network_Assets'!O18,'5.02_Network_Assets'!AD18,'5.02_Network_Assets'!AS18)</f>
        <v>326.66737000000006</v>
      </c>
      <c r="P77" s="129">
        <f>SUM(O77,'5.02_Network_Assets'!P18,'5.02_Network_Assets'!AE18)</f>
        <v>315.73048389365198</v>
      </c>
      <c r="Q77" s="130">
        <f>SUM(P77,'5.02_Network_Assets'!Q18,'5.02_Network_Assets'!AF18)</f>
        <v>305.70824732483288</v>
      </c>
      <c r="R77" s="128">
        <f>SUM(Q77,'5.02_Network_Assets'!R18,'5.02_Network_Assets'!AG18)</f>
        <v>302.43498555270895</v>
      </c>
      <c r="S77" s="129">
        <f>SUM(R77,'5.02_Network_Assets'!S18,'5.02_Network_Assets'!AH18)</f>
        <v>299.16687344624467</v>
      </c>
      <c r="T77" s="129">
        <f>SUM(S77,'5.02_Network_Assets'!T18,'5.02_Network_Assets'!AI18)</f>
        <v>295.90391100544002</v>
      </c>
      <c r="U77" s="129">
        <f>SUM(T77,'5.02_Network_Assets'!U18,'5.02_Network_Assets'!AJ18)</f>
        <v>292.64609823029508</v>
      </c>
      <c r="V77" s="130">
        <f>SUM(U77,'5.02_Network_Assets'!V18,'5.02_Network_Assets'!AK18)</f>
        <v>289.39343512080978</v>
      </c>
    </row>
    <row r="78" spans="1:22" s="98" customFormat="1" ht="15" customHeight="1">
      <c r="A78" s="99"/>
      <c r="B78" s="901"/>
      <c r="C78" s="222"/>
      <c r="D78" s="162" t="s">
        <v>2869</v>
      </c>
      <c r="E78" s="162"/>
      <c r="H78" s="163"/>
      <c r="I78" s="164" t="s">
        <v>2233</v>
      </c>
      <c r="J78" s="128">
        <f>SUM('5.02_Network_Assets'!$AV19,'5.02_Network_Assets'!J19,'5.02_Network_Assets'!Y19,'5.02_Network_Assets'!AN19)</f>
        <v>534.85271</v>
      </c>
      <c r="K78" s="129">
        <f>SUM(J78,'5.02_Network_Assets'!K19,'5.02_Network_Assets'!Z19,'5.02_Network_Assets'!AO19)</f>
        <v>526.54375000000005</v>
      </c>
      <c r="L78" s="129">
        <f>SUM(K78,'5.02_Network_Assets'!L19,'5.02_Network_Assets'!AA19,'5.02_Network_Assets'!AP19)</f>
        <v>525.00909999999999</v>
      </c>
      <c r="M78" s="129">
        <f>SUM(L78,'5.02_Network_Assets'!M19,'5.02_Network_Assets'!AB19,'5.02_Network_Assets'!AQ19)</f>
        <v>519.83173999999997</v>
      </c>
      <c r="N78" s="129">
        <f>SUM(M78,'5.02_Network_Assets'!N19,'5.02_Network_Assets'!AC19,'5.02_Network_Assets'!AR19)</f>
        <v>518.12752</v>
      </c>
      <c r="O78" s="129">
        <f>SUM(N78,'5.02_Network_Assets'!O19,'5.02_Network_Assets'!AD19,'5.02_Network_Assets'!AS19)</f>
        <v>514.99392000000012</v>
      </c>
      <c r="P78" s="129">
        <f>SUM(O78,'5.02_Network_Assets'!P19,'5.02_Network_Assets'!AE19)</f>
        <v>508.26030362343624</v>
      </c>
      <c r="Q78" s="130">
        <f>SUM(P78,'5.02_Network_Assets'!Q19,'5.02_Network_Assets'!AF19)</f>
        <v>503.25423432460838</v>
      </c>
      <c r="R78" s="128">
        <f>SUM(Q78,'5.02_Network_Assets'!R19,'5.02_Network_Assets'!AG19)</f>
        <v>491.93503321308344</v>
      </c>
      <c r="S78" s="129">
        <f>SUM(R78,'5.02_Network_Assets'!S19,'5.02_Network_Assets'!AH19)</f>
        <v>480.61583210155851</v>
      </c>
      <c r="T78" s="129">
        <f>SUM(S78,'5.02_Network_Assets'!T19,'5.02_Network_Assets'!AI19)</f>
        <v>469.29663099003358</v>
      </c>
      <c r="U78" s="129">
        <f>SUM(T78,'5.02_Network_Assets'!U19,'5.02_Network_Assets'!AJ19)</f>
        <v>457.97742987850864</v>
      </c>
      <c r="V78" s="130">
        <f>SUM(U78,'5.02_Network_Assets'!V19,'5.02_Network_Assets'!AK19)</f>
        <v>446.65822876698371</v>
      </c>
    </row>
    <row r="79" spans="1:22" s="98" customFormat="1" ht="15" customHeight="1">
      <c r="A79" s="99"/>
      <c r="B79" s="901"/>
      <c r="C79" s="222"/>
      <c r="D79" s="162" t="s">
        <v>2870</v>
      </c>
      <c r="E79" s="162"/>
      <c r="H79" s="163"/>
      <c r="I79" s="164" t="s">
        <v>2233</v>
      </c>
      <c r="J79" s="128">
        <f>SUM('5.02_Network_Assets'!$AV20,'5.02_Network_Assets'!J20,'5.02_Network_Assets'!Y20,'5.02_Network_Assets'!AN20)</f>
        <v>11.983649999999995</v>
      </c>
      <c r="K79" s="129">
        <f>SUM(J79,'5.02_Network_Assets'!K20,'5.02_Network_Assets'!Z20,'5.02_Network_Assets'!AO20)</f>
        <v>11.642569999999996</v>
      </c>
      <c r="L79" s="129">
        <f>SUM(K79,'5.02_Network_Assets'!L20,'5.02_Network_Assets'!AA20,'5.02_Network_Assets'!AP20)</f>
        <v>11.650569999999995</v>
      </c>
      <c r="M79" s="129">
        <f>SUM(L79,'5.02_Network_Assets'!M20,'5.02_Network_Assets'!AB20,'5.02_Network_Assets'!AQ20)</f>
        <v>11.526569999999994</v>
      </c>
      <c r="N79" s="129">
        <f>SUM(M79,'5.02_Network_Assets'!N20,'5.02_Network_Assets'!AC20,'5.02_Network_Assets'!AR20)</f>
        <v>11.113569999999996</v>
      </c>
      <c r="O79" s="129">
        <f>SUM(N79,'5.02_Network_Assets'!O20,'5.02_Network_Assets'!AD20,'5.02_Network_Assets'!AS20)</f>
        <v>10.729569999999994</v>
      </c>
      <c r="P79" s="129">
        <f>SUM(O79,'5.02_Network_Assets'!P20,'5.02_Network_Assets'!AE20)</f>
        <v>10.476578674053288</v>
      </c>
      <c r="Q79" s="130">
        <f>SUM(P79,'5.02_Network_Assets'!Q20,'5.02_Network_Assets'!AF20)</f>
        <v>10.28373206417119</v>
      </c>
      <c r="R79" s="128">
        <f>SUM(Q79,'5.02_Network_Assets'!R20,'5.02_Network_Assets'!AG20)</f>
        <v>9.7952466283711335</v>
      </c>
      <c r="S79" s="129">
        <f>SUM(R79,'5.02_Network_Assets'!S20,'5.02_Network_Assets'!AH20)</f>
        <v>9.3067611925710771</v>
      </c>
      <c r="T79" s="129">
        <f>SUM(S79,'5.02_Network_Assets'!T20,'5.02_Network_Assets'!AI20)</f>
        <v>8.8182757567710208</v>
      </c>
      <c r="U79" s="129">
        <f>SUM(T79,'5.02_Network_Assets'!U20,'5.02_Network_Assets'!AJ20)</f>
        <v>8.3297903209709645</v>
      </c>
      <c r="V79" s="130">
        <f>SUM(U79,'5.02_Network_Assets'!V20,'5.02_Network_Assets'!AK20)</f>
        <v>7.8413048851709073</v>
      </c>
    </row>
    <row r="80" spans="1:22" s="98" customFormat="1" ht="15" customHeight="1" thickBot="1">
      <c r="A80" s="99"/>
      <c r="B80" s="902"/>
      <c r="C80" s="896" t="s">
        <v>1710</v>
      </c>
      <c r="D80" s="896"/>
      <c r="E80" s="896"/>
      <c r="F80" s="240"/>
      <c r="G80" s="241"/>
      <c r="H80" s="241"/>
      <c r="I80" s="195" t="s">
        <v>2233</v>
      </c>
      <c r="J80" s="717">
        <f>SUM(J71:J79)</f>
        <v>34877.639860000003</v>
      </c>
      <c r="K80" s="718">
        <f t="shared" ref="K80:V80" si="4">SUM(K71:K79)</f>
        <v>34852.294789999993</v>
      </c>
      <c r="L80" s="718">
        <f t="shared" si="4"/>
        <v>34880.037199999992</v>
      </c>
      <c r="M80" s="718">
        <f t="shared" si="4"/>
        <v>34909.06508</v>
      </c>
      <c r="N80" s="718">
        <f t="shared" si="4"/>
        <v>34925.834029999998</v>
      </c>
      <c r="O80" s="718">
        <f t="shared" si="4"/>
        <v>34967.740083401412</v>
      </c>
      <c r="P80" s="718">
        <f t="shared" si="4"/>
        <v>34987.124441399901</v>
      </c>
      <c r="Q80" s="719">
        <f t="shared" si="4"/>
        <v>35009.121031477705</v>
      </c>
      <c r="R80" s="717">
        <f t="shared" si="4"/>
        <v>35047.069161313506</v>
      </c>
      <c r="S80" s="718">
        <f t="shared" si="4"/>
        <v>35087.052485076638</v>
      </c>
      <c r="T80" s="718">
        <f t="shared" si="4"/>
        <v>35129.036248138174</v>
      </c>
      <c r="U80" s="718">
        <f t="shared" si="4"/>
        <v>35172.991181096069</v>
      </c>
      <c r="V80" s="719">
        <f t="shared" si="4"/>
        <v>35218.892348903122</v>
      </c>
    </row>
    <row r="81" spans="1:22" s="98" customFormat="1" ht="15" customHeight="1" thickBot="1">
      <c r="B81" s="157"/>
      <c r="C81" s="157"/>
      <c r="D81" s="157"/>
      <c r="E81" s="157"/>
    </row>
    <row r="82" spans="1:22" s="100" customFormat="1" ht="30" customHeight="1" thickBot="1">
      <c r="A82" s="89"/>
      <c r="B82" s="621" t="s">
        <v>66</v>
      </c>
      <c r="C82" s="788"/>
      <c r="D82" s="788"/>
      <c r="E82" s="788"/>
      <c r="F82" s="102"/>
      <c r="G82" s="103"/>
      <c r="H82" s="103"/>
      <c r="I82" s="105" t="s">
        <v>2966</v>
      </c>
      <c r="J82" s="106"/>
      <c r="K82" s="106"/>
      <c r="L82" s="106"/>
      <c r="M82" s="106"/>
      <c r="N82" s="106"/>
      <c r="O82" s="106"/>
      <c r="P82" s="106"/>
      <c r="Q82" s="106"/>
      <c r="R82" s="105"/>
      <c r="S82" s="105"/>
      <c r="T82" s="105"/>
      <c r="U82" s="105"/>
      <c r="V82" s="187"/>
    </row>
    <row r="83" spans="1:22" s="157" customFormat="1" ht="30" customHeight="1">
      <c r="A83" s="99"/>
      <c r="B83" s="109"/>
      <c r="C83" s="110"/>
      <c r="D83" s="110"/>
      <c r="E83" s="110"/>
      <c r="F83" s="110"/>
      <c r="G83" s="111"/>
      <c r="H83" s="111"/>
      <c r="I83" s="117"/>
      <c r="J83" s="695" t="s">
        <v>1666</v>
      </c>
      <c r="K83" s="152"/>
      <c r="L83" s="152"/>
      <c r="M83" s="152"/>
      <c r="N83" s="152"/>
      <c r="O83" s="152"/>
      <c r="P83" s="152"/>
      <c r="Q83" s="153"/>
      <c r="R83" s="871" t="s">
        <v>2</v>
      </c>
      <c r="S83" s="155"/>
      <c r="T83" s="155"/>
      <c r="U83" s="155"/>
      <c r="V83" s="156"/>
    </row>
    <row r="84" spans="1:22" s="98" customFormat="1" ht="15" customHeight="1">
      <c r="A84" s="99"/>
      <c r="B84" s="900"/>
      <c r="C84" s="620"/>
      <c r="D84" s="620"/>
      <c r="E84" s="620"/>
      <c r="F84" s="116"/>
      <c r="G84" s="117"/>
      <c r="H84" s="117"/>
      <c r="I84" s="119" t="s">
        <v>1667</v>
      </c>
      <c r="J84" s="158" t="s">
        <v>453</v>
      </c>
      <c r="K84" s="137" t="s">
        <v>455</v>
      </c>
      <c r="L84" s="137" t="s">
        <v>457</v>
      </c>
      <c r="M84" s="137" t="s">
        <v>459</v>
      </c>
      <c r="N84" s="137" t="s">
        <v>461</v>
      </c>
      <c r="O84" s="137" t="s">
        <v>463</v>
      </c>
      <c r="P84" s="137" t="s">
        <v>465</v>
      </c>
      <c r="Q84" s="138" t="s">
        <v>467</v>
      </c>
      <c r="R84" s="242" t="s">
        <v>469</v>
      </c>
      <c r="S84" s="121" t="s">
        <v>471</v>
      </c>
      <c r="T84" s="121" t="s">
        <v>473</v>
      </c>
      <c r="U84" s="121" t="s">
        <v>475</v>
      </c>
      <c r="V84" s="122" t="s">
        <v>477</v>
      </c>
    </row>
    <row r="85" spans="1:22" s="98" customFormat="1" ht="15" customHeight="1">
      <c r="A85" s="99"/>
      <c r="B85" s="901"/>
      <c r="C85" s="180" t="s">
        <v>2472</v>
      </c>
      <c r="D85" s="180"/>
      <c r="E85" s="180"/>
      <c r="F85" s="162"/>
      <c r="G85" s="163"/>
      <c r="H85" s="163"/>
      <c r="I85" s="117"/>
      <c r="J85" s="159"/>
      <c r="K85" s="117"/>
      <c r="L85" s="117"/>
      <c r="M85" s="117"/>
      <c r="N85" s="117"/>
      <c r="O85" s="117"/>
      <c r="P85" s="117"/>
      <c r="Q85" s="160"/>
      <c r="R85" s="159"/>
      <c r="S85" s="117"/>
      <c r="T85" s="117"/>
      <c r="U85" s="117"/>
      <c r="V85" s="160"/>
    </row>
    <row r="86" spans="1:22" s="98" customFormat="1" ht="15" customHeight="1">
      <c r="A86" s="99"/>
      <c r="B86" s="901"/>
      <c r="C86" s="222"/>
      <c r="D86" s="162" t="s">
        <v>2978</v>
      </c>
      <c r="E86" s="222"/>
      <c r="G86" s="162"/>
      <c r="H86" s="163"/>
      <c r="I86" s="164" t="s">
        <v>1876</v>
      </c>
      <c r="J86" s="777">
        <f>SUM('5.02_Network_Assets'!J212,'5.02_Network_Assets'!Y212,'5.02_Network_Assets'!AN212,'5.02_Network_Assets'!AV212)</f>
        <v>2348</v>
      </c>
      <c r="K86" s="778">
        <f>SUM(J86,'5.02_Network_Assets'!K212,'5.02_Network_Assets'!Z212,'5.02_Network_Assets'!AO212)</f>
        <v>2350</v>
      </c>
      <c r="L86" s="778">
        <f>SUM(K86,'5.02_Network_Assets'!L212,'5.02_Network_Assets'!AA212,'5.02_Network_Assets'!AP212)</f>
        <v>2355</v>
      </c>
      <c r="M86" s="778">
        <f>SUM(L86,'5.02_Network_Assets'!M212,'5.02_Network_Assets'!AB212,'5.02_Network_Assets'!AQ212)</f>
        <v>2362</v>
      </c>
      <c r="N86" s="778">
        <f>SUM(M86,'5.02_Network_Assets'!N212,'5.02_Network_Assets'!AC212,'5.02_Network_Assets'!AR212)</f>
        <v>2366</v>
      </c>
      <c r="O86" s="778">
        <f>SUM(N86,'5.02_Network_Assets'!O212,'5.02_Network_Assets'!AD212,'5.02_Network_Assets'!AS212)</f>
        <v>2371</v>
      </c>
      <c r="P86" s="778">
        <f>SUM(O86,'5.02_Network_Assets'!P212,'5.02_Network_Assets'!AE212)</f>
        <v>2375</v>
      </c>
      <c r="Q86" s="779">
        <f>SUM(P86,'5.02_Network_Assets'!Q212,'5.02_Network_Assets'!AF212)</f>
        <v>2379</v>
      </c>
      <c r="R86" s="777">
        <f>SUM(Q86,'5.02_Network_Assets'!R212,'5.02_Network_Assets'!AG212)</f>
        <v>2383</v>
      </c>
      <c r="S86" s="778">
        <f>SUM(R86,'5.02_Network_Assets'!S212,'5.02_Network_Assets'!AH212)</f>
        <v>2387</v>
      </c>
      <c r="T86" s="778">
        <f>SUM(S86,'5.02_Network_Assets'!T212,'5.02_Network_Assets'!AI212)</f>
        <v>2391</v>
      </c>
      <c r="U86" s="778">
        <f>SUM(T86,'5.02_Network_Assets'!U212,'5.02_Network_Assets'!AJ212)</f>
        <v>2395</v>
      </c>
      <c r="V86" s="779">
        <f>SUM(U86,'5.02_Network_Assets'!V212,'5.02_Network_Assets'!AK212)</f>
        <v>2399</v>
      </c>
    </row>
    <row r="87" spans="1:22" s="98" customFormat="1" ht="15" customHeight="1">
      <c r="A87" s="99"/>
      <c r="B87" s="901"/>
      <c r="C87" s="222"/>
      <c r="D87" s="162" t="s">
        <v>2882</v>
      </c>
      <c r="E87" s="222"/>
      <c r="G87" s="162"/>
      <c r="H87" s="163"/>
      <c r="I87" s="164" t="s">
        <v>1876</v>
      </c>
      <c r="J87" s="777">
        <f>SUM('5.02_Network_Assets'!J215,'5.02_Network_Assets'!Y215,'5.02_Network_Assets'!AN215,'5.02_Network_Assets'!AV215)</f>
        <v>3054</v>
      </c>
      <c r="K87" s="778">
        <f>SUM(J87,'5.02_Network_Assets'!K215,'5.02_Network_Assets'!Z215,'5.02_Network_Assets'!AO215)</f>
        <v>3046</v>
      </c>
      <c r="L87" s="778">
        <f>SUM(K87,'5.02_Network_Assets'!L215,'5.02_Network_Assets'!AA215,'5.02_Network_Assets'!AP215)</f>
        <v>3058</v>
      </c>
      <c r="M87" s="778">
        <f>SUM(L87,'5.02_Network_Assets'!M215,'5.02_Network_Assets'!AB215,'5.02_Network_Assets'!AQ215)</f>
        <v>3057</v>
      </c>
      <c r="N87" s="778">
        <f>SUM(M87,'5.02_Network_Assets'!N215,'5.02_Network_Assets'!AC215,'5.02_Network_Assets'!AR215)</f>
        <v>3057</v>
      </c>
      <c r="O87" s="778">
        <f>SUM(N87,'5.02_Network_Assets'!O215,'5.02_Network_Assets'!AD215,'5.02_Network_Assets'!AS215)</f>
        <v>3058</v>
      </c>
      <c r="P87" s="778">
        <f>SUM(O87,'5.02_Network_Assets'!P215,'5.02_Network_Assets'!AE215)</f>
        <v>3058</v>
      </c>
      <c r="Q87" s="779">
        <f>SUM(P87,'5.02_Network_Assets'!Q215,'5.02_Network_Assets'!AF215)</f>
        <v>3058</v>
      </c>
      <c r="R87" s="777">
        <f>SUM(Q87,'5.02_Network_Assets'!R215,'5.02_Network_Assets'!AG215)</f>
        <v>3058</v>
      </c>
      <c r="S87" s="778">
        <f>SUM(R87,'5.02_Network_Assets'!S215,'5.02_Network_Assets'!AH215)</f>
        <v>3058</v>
      </c>
      <c r="T87" s="778">
        <f>SUM(S87,'5.02_Network_Assets'!T215,'5.02_Network_Assets'!AI215)</f>
        <v>3058</v>
      </c>
      <c r="U87" s="778">
        <f>SUM(T87,'5.02_Network_Assets'!U215,'5.02_Network_Assets'!AJ215)</f>
        <v>3058</v>
      </c>
      <c r="V87" s="779">
        <f>SUM(U87,'5.02_Network_Assets'!V215,'5.02_Network_Assets'!AK215)</f>
        <v>3058</v>
      </c>
    </row>
    <row r="88" spans="1:22" s="98" customFormat="1" ht="15" customHeight="1">
      <c r="A88" s="99"/>
      <c r="B88" s="901"/>
      <c r="C88" s="222"/>
      <c r="D88" s="162" t="s">
        <v>2883</v>
      </c>
      <c r="E88" s="222"/>
      <c r="G88" s="162"/>
      <c r="H88" s="163"/>
      <c r="I88" s="164" t="s">
        <v>1876</v>
      </c>
      <c r="J88" s="777">
        <f>SUM('5.02_Network_Assets'!J216,'5.02_Network_Assets'!Y216,'5.02_Network_Assets'!AN216,'5.02_Network_Assets'!AV216)</f>
        <v>240</v>
      </c>
      <c r="K88" s="778">
        <f>SUM(J88,'5.02_Network_Assets'!K216,'5.02_Network_Assets'!Z216,'5.02_Network_Assets'!AO216)</f>
        <v>238</v>
      </c>
      <c r="L88" s="778">
        <f>SUM(K88,'5.02_Network_Assets'!L216,'5.02_Network_Assets'!AA216,'5.02_Network_Assets'!AP216)</f>
        <v>237</v>
      </c>
      <c r="M88" s="778">
        <f>SUM(L88,'5.02_Network_Assets'!M216,'5.02_Network_Assets'!AB216,'5.02_Network_Assets'!AQ216)</f>
        <v>238</v>
      </c>
      <c r="N88" s="778">
        <f>SUM(M88,'5.02_Network_Assets'!N216,'5.02_Network_Assets'!AC216,'5.02_Network_Assets'!AR216)</f>
        <v>238</v>
      </c>
      <c r="O88" s="778">
        <f>SUM(N88,'5.02_Network_Assets'!O216,'5.02_Network_Assets'!AD216,'5.02_Network_Assets'!AS216)</f>
        <v>239</v>
      </c>
      <c r="P88" s="778">
        <f>SUM(O88,'5.02_Network_Assets'!P216,'5.02_Network_Assets'!AE216)</f>
        <v>239</v>
      </c>
      <c r="Q88" s="779">
        <f>SUM(P88,'5.02_Network_Assets'!Q216,'5.02_Network_Assets'!AF216)</f>
        <v>239</v>
      </c>
      <c r="R88" s="777">
        <f>SUM(Q88,'5.02_Network_Assets'!R216,'5.02_Network_Assets'!AG216)</f>
        <v>239</v>
      </c>
      <c r="S88" s="778">
        <f>SUM(R88,'5.02_Network_Assets'!S216,'5.02_Network_Assets'!AH216)</f>
        <v>239</v>
      </c>
      <c r="T88" s="778">
        <f>SUM(S88,'5.02_Network_Assets'!T216,'5.02_Network_Assets'!AI216)</f>
        <v>239</v>
      </c>
      <c r="U88" s="778">
        <f>SUM(T88,'5.02_Network_Assets'!U216,'5.02_Network_Assets'!AJ216)</f>
        <v>239</v>
      </c>
      <c r="V88" s="779">
        <f>SUM(U88,'5.02_Network_Assets'!V216,'5.02_Network_Assets'!AK216)</f>
        <v>239</v>
      </c>
    </row>
    <row r="89" spans="1:22" s="98" customFormat="1" ht="15" customHeight="1">
      <c r="A89" s="99"/>
      <c r="B89" s="901"/>
      <c r="C89" s="222"/>
      <c r="D89" s="162" t="s">
        <v>2884</v>
      </c>
      <c r="E89" s="222"/>
      <c r="G89" s="162"/>
      <c r="H89" s="163"/>
      <c r="I89" s="164" t="s">
        <v>1876</v>
      </c>
      <c r="J89" s="777">
        <f>SUM('5.02_Network_Assets'!J217,'5.02_Network_Assets'!Y217,'5.02_Network_Assets'!AN217,'5.02_Network_Assets'!AV217)</f>
        <v>0</v>
      </c>
      <c r="K89" s="778">
        <f>SUM(J89,'5.02_Network_Assets'!K217,'5.02_Network_Assets'!Z217,'5.02_Network_Assets'!AO217)</f>
        <v>0</v>
      </c>
      <c r="L89" s="778">
        <f>SUM(K89,'5.02_Network_Assets'!L217,'5.02_Network_Assets'!AA217,'5.02_Network_Assets'!AP217)</f>
        <v>0</v>
      </c>
      <c r="M89" s="778">
        <f>SUM(L89,'5.02_Network_Assets'!M217,'5.02_Network_Assets'!AB217,'5.02_Network_Assets'!AQ217)</f>
        <v>0</v>
      </c>
      <c r="N89" s="778">
        <f>SUM(M89,'5.02_Network_Assets'!N217,'5.02_Network_Assets'!AC217,'5.02_Network_Assets'!AR217)</f>
        <v>0</v>
      </c>
      <c r="O89" s="778">
        <f>SUM(N89,'5.02_Network_Assets'!O217,'5.02_Network_Assets'!AD217,'5.02_Network_Assets'!AS217)</f>
        <v>0</v>
      </c>
      <c r="P89" s="778">
        <f>SUM(O89,'5.02_Network_Assets'!P217,'5.02_Network_Assets'!AE217)</f>
        <v>0</v>
      </c>
      <c r="Q89" s="779">
        <f>SUM(P89,'5.02_Network_Assets'!Q217,'5.02_Network_Assets'!AF217)</f>
        <v>0</v>
      </c>
      <c r="R89" s="777">
        <f>SUM(Q89,'5.02_Network_Assets'!R217,'5.02_Network_Assets'!AG217)</f>
        <v>0</v>
      </c>
      <c r="S89" s="778">
        <f>SUM(R89,'5.02_Network_Assets'!S217,'5.02_Network_Assets'!AH217)</f>
        <v>0</v>
      </c>
      <c r="T89" s="778">
        <f>SUM(S89,'5.02_Network_Assets'!T217,'5.02_Network_Assets'!AI217)</f>
        <v>0</v>
      </c>
      <c r="U89" s="778">
        <f>SUM(T89,'5.02_Network_Assets'!U217,'5.02_Network_Assets'!AJ217)</f>
        <v>0</v>
      </c>
      <c r="V89" s="779">
        <f>SUM(U89,'5.02_Network_Assets'!V217,'5.02_Network_Assets'!AK217)</f>
        <v>0</v>
      </c>
    </row>
    <row r="90" spans="1:22" s="98" customFormat="1" ht="15" customHeight="1" thickBot="1">
      <c r="A90" s="99"/>
      <c r="B90" s="902"/>
      <c r="C90" s="896" t="s">
        <v>1710</v>
      </c>
      <c r="D90" s="896"/>
      <c r="E90" s="896"/>
      <c r="F90" s="240"/>
      <c r="G90" s="241"/>
      <c r="H90" s="241"/>
      <c r="I90" s="195" t="s">
        <v>1876</v>
      </c>
      <c r="J90" s="873">
        <f>SUM(J86:J89)</f>
        <v>5642</v>
      </c>
      <c r="K90" s="781">
        <f t="shared" ref="K90:V90" si="5">SUM(K86:K89)</f>
        <v>5634</v>
      </c>
      <c r="L90" s="781">
        <f t="shared" si="5"/>
        <v>5650</v>
      </c>
      <c r="M90" s="781">
        <f t="shared" si="5"/>
        <v>5657</v>
      </c>
      <c r="N90" s="781">
        <f t="shared" si="5"/>
        <v>5661</v>
      </c>
      <c r="O90" s="781">
        <f t="shared" si="5"/>
        <v>5668</v>
      </c>
      <c r="P90" s="781">
        <f t="shared" si="5"/>
        <v>5672</v>
      </c>
      <c r="Q90" s="874">
        <f t="shared" si="5"/>
        <v>5676</v>
      </c>
      <c r="R90" s="873">
        <f t="shared" si="5"/>
        <v>5680</v>
      </c>
      <c r="S90" s="781">
        <f t="shared" si="5"/>
        <v>5684</v>
      </c>
      <c r="T90" s="781">
        <f t="shared" si="5"/>
        <v>5688</v>
      </c>
      <c r="U90" s="781">
        <f t="shared" si="5"/>
        <v>5692</v>
      </c>
      <c r="V90" s="874">
        <f t="shared" si="5"/>
        <v>5696</v>
      </c>
    </row>
    <row r="91" spans="1:22" s="98" customFormat="1" ht="15" customHeight="1" thickBot="1">
      <c r="B91" s="157"/>
      <c r="C91" s="157"/>
      <c r="D91" s="157"/>
      <c r="E91" s="157"/>
    </row>
    <row r="92" spans="1:22" s="100" customFormat="1" ht="30" customHeight="1" thickBot="1">
      <c r="A92" s="89"/>
      <c r="B92" s="621" t="s">
        <v>2979</v>
      </c>
      <c r="C92" s="788"/>
      <c r="D92" s="788"/>
      <c r="E92" s="788"/>
      <c r="F92" s="102"/>
      <c r="G92" s="103"/>
      <c r="H92" s="103"/>
      <c r="I92" s="105" t="s">
        <v>2966</v>
      </c>
      <c r="J92" s="106"/>
      <c r="K92" s="106"/>
      <c r="L92" s="106"/>
      <c r="M92" s="106"/>
      <c r="N92" s="106"/>
      <c r="O92" s="106"/>
      <c r="P92" s="106"/>
      <c r="Q92" s="106"/>
      <c r="R92" s="105"/>
      <c r="S92" s="105"/>
      <c r="T92" s="105"/>
      <c r="U92" s="105"/>
      <c r="V92" s="187"/>
    </row>
    <row r="93" spans="1:22" s="157" customFormat="1" ht="30" customHeight="1">
      <c r="A93" s="99"/>
      <c r="B93" s="109"/>
      <c r="C93" s="110"/>
      <c r="D93" s="110"/>
      <c r="E93" s="110"/>
      <c r="F93" s="110"/>
      <c r="G93" s="111"/>
      <c r="H93" s="111"/>
      <c r="I93" s="117"/>
      <c r="J93" s="695" t="s">
        <v>1666</v>
      </c>
      <c r="K93" s="152"/>
      <c r="L93" s="152"/>
      <c r="M93" s="152"/>
      <c r="N93" s="152"/>
      <c r="O93" s="152"/>
      <c r="P93" s="152"/>
      <c r="Q93" s="153"/>
      <c r="R93" s="696" t="s">
        <v>2</v>
      </c>
      <c r="S93" s="155"/>
      <c r="T93" s="155"/>
      <c r="U93" s="155"/>
      <c r="V93" s="156"/>
    </row>
    <row r="94" spans="1:22" s="98" customFormat="1" ht="15" customHeight="1">
      <c r="A94" s="99"/>
      <c r="B94" s="900"/>
      <c r="C94" s="620"/>
      <c r="D94" s="620"/>
      <c r="E94" s="620"/>
      <c r="F94" s="116"/>
      <c r="G94" s="117"/>
      <c r="H94" s="117"/>
      <c r="I94" s="119" t="s">
        <v>1667</v>
      </c>
      <c r="J94" s="158" t="s">
        <v>453</v>
      </c>
      <c r="K94" s="137" t="s">
        <v>455</v>
      </c>
      <c r="L94" s="137" t="s">
        <v>457</v>
      </c>
      <c r="M94" s="137" t="s">
        <v>459</v>
      </c>
      <c r="N94" s="137" t="s">
        <v>461</v>
      </c>
      <c r="O94" s="137" t="s">
        <v>463</v>
      </c>
      <c r="P94" s="137" t="s">
        <v>465</v>
      </c>
      <c r="Q94" s="138" t="s">
        <v>467</v>
      </c>
      <c r="R94" s="120" t="s">
        <v>469</v>
      </c>
      <c r="S94" s="121" t="s">
        <v>471</v>
      </c>
      <c r="T94" s="121" t="s">
        <v>473</v>
      </c>
      <c r="U94" s="121" t="s">
        <v>475</v>
      </c>
      <c r="V94" s="122" t="s">
        <v>477</v>
      </c>
    </row>
    <row r="95" spans="1:22" s="98" customFormat="1" ht="15" customHeight="1">
      <c r="A95" s="99"/>
      <c r="B95" s="901"/>
      <c r="C95" s="180" t="s">
        <v>2472</v>
      </c>
      <c r="D95" s="180"/>
      <c r="E95" s="180"/>
      <c r="F95" s="162"/>
      <c r="G95" s="163"/>
      <c r="H95" s="163"/>
      <c r="I95" s="117"/>
      <c r="J95" s="159"/>
      <c r="K95" s="117"/>
      <c r="L95" s="117"/>
      <c r="M95" s="117"/>
      <c r="N95" s="117"/>
      <c r="O95" s="117"/>
      <c r="P95" s="117"/>
      <c r="Q95" s="160"/>
      <c r="R95" s="159"/>
      <c r="S95" s="117"/>
      <c r="T95" s="117"/>
      <c r="U95" s="117"/>
      <c r="V95" s="160"/>
    </row>
    <row r="96" spans="1:22" s="98" customFormat="1" ht="15" customHeight="1">
      <c r="A96" s="99"/>
      <c r="B96" s="901"/>
      <c r="C96" s="222"/>
      <c r="D96" s="162" t="s">
        <v>2872</v>
      </c>
      <c r="E96" s="222"/>
      <c r="G96" s="162"/>
      <c r="H96" s="163"/>
      <c r="I96" s="164" t="s">
        <v>1876</v>
      </c>
      <c r="J96" s="777">
        <f>SUM('5.02_Network_Assets'!AV226,'5.02_Network_Assets'!J226,'5.02_Network_Assets'!Y226,'5.02_Network_Assets'!AN226)+SUM('5.02_Network_Assets'!AV233,'5.02_Network_Assets'!J233,'5.02_Network_Assets'!Y233,'5.02_Network_Assets'!AN233)</f>
        <v>1972243.3726652681</v>
      </c>
      <c r="K96" s="778">
        <f>SUM(J96,'5.02_Network_Assets'!K226,'5.02_Network_Assets'!Z226,'5.02_Network_Assets'!AO226)+SUM('5.02_Network_Assets'!K233,'5.02_Network_Assets'!Z233,'5.02_Network_Assets'!AO233)</f>
        <v>2005949.6734066922</v>
      </c>
      <c r="L96" s="778">
        <f>SUM(K96,'5.02_Network_Assets'!L226,'5.02_Network_Assets'!AA226,'5.02_Network_Assets'!AP226)+SUM('5.02_Network_Assets'!L233,'5.02_Network_Assets'!AA233,'5.02_Network_Assets'!AP233)</f>
        <v>2037866.6224247573</v>
      </c>
      <c r="M96" s="778">
        <f>SUM(L96,'5.02_Network_Assets'!M226,'5.02_Network_Assets'!AB226,'5.02_Network_Assets'!AQ226)+SUM('5.02_Network_Assets'!M233,'5.02_Network_Assets'!AB233,'5.02_Network_Assets'!AQ233)</f>
        <v>2072951.5323094677</v>
      </c>
      <c r="N96" s="778">
        <f>SUM(M96,'5.02_Network_Assets'!N226,'5.02_Network_Assets'!AC226,'5.02_Network_Assets'!AR226)+SUM('5.02_Network_Assets'!N233,'5.02_Network_Assets'!AC233,'5.02_Network_Assets'!AR233)</f>
        <v>2108032.2605283144</v>
      </c>
      <c r="O96" s="778">
        <f>SUM(N96,'5.02_Network_Assets'!O226,'5.02_Network_Assets'!AD226,'5.02_Network_Assets'!AS226)+SUM('5.02_Network_Assets'!O233,'5.02_Network_Assets'!AD233,'5.02_Network_Assets'!AS233)</f>
        <v>2145249.24879984</v>
      </c>
      <c r="P96" s="778">
        <f>SUM(O96,'5.02_Network_Assets'!P226,'5.02_Network_Assets'!AE226)+SUM('5.02_Network_Assets'!P233,'5.02_Network_Assets'!AE233)</f>
        <v>2180225.4288360374</v>
      </c>
      <c r="Q96" s="779">
        <f>SUM(P96,'5.02_Network_Assets'!Q226,'5.02_Network_Assets'!AF226)+SUM('5.02_Network_Assets'!Q233,'5.02_Network_Assets'!AF233)</f>
        <v>2212386.7524492969</v>
      </c>
      <c r="R96" s="777">
        <f>SUM(Q96,'5.02_Network_Assets'!R226,'5.02_Network_Assets'!AG226)+SUM('5.02_Network_Assets'!R233,'5.02_Network_Assets'!AG233)</f>
        <v>2244193.1877456056</v>
      </c>
      <c r="S96" s="778">
        <f>SUM(R96,'5.02_Network_Assets'!S226,'5.02_Network_Assets'!AH226)+SUM('5.02_Network_Assets'!S233,'5.02_Network_Assets'!AH233)</f>
        <v>2275925.8514181077</v>
      </c>
      <c r="T96" s="778">
        <f>SUM(S96,'5.02_Network_Assets'!T226,'5.02_Network_Assets'!AI226)+SUM('5.02_Network_Assets'!T233,'5.02_Network_Assets'!AI233)</f>
        <v>2307586.4028972797</v>
      </c>
      <c r="U96" s="778">
        <f>SUM(T96,'5.02_Network_Assets'!U226,'5.02_Network_Assets'!AJ226)+SUM('5.02_Network_Assets'!U233,'5.02_Network_Assets'!AJ233)</f>
        <v>2339176.468424988</v>
      </c>
      <c r="V96" s="779">
        <f>SUM(U96,'5.02_Network_Assets'!V226,'5.02_Network_Assets'!AK226)+SUM('5.02_Network_Assets'!V233,'5.02_Network_Assets'!AK233)</f>
        <v>2370697.6417182623</v>
      </c>
    </row>
    <row r="97" spans="1:22" s="98" customFormat="1" ht="15" customHeight="1">
      <c r="A97" s="99"/>
      <c r="B97" s="901"/>
      <c r="C97" s="222"/>
      <c r="D97" s="162" t="s">
        <v>2873</v>
      </c>
      <c r="E97" s="222"/>
      <c r="G97" s="162"/>
      <c r="H97" s="163"/>
      <c r="I97" s="164" t="s">
        <v>1876</v>
      </c>
      <c r="J97" s="777">
        <f>SUM('5.02_Network_Assets'!AV227,'5.02_Network_Assets'!J227,'5.02_Network_Assets'!Y227,'5.02_Network_Assets'!AN227)+SUM('5.02_Network_Assets'!AV234,'5.02_Network_Assets'!J234,'5.02_Network_Assets'!Y234,'5.02_Network_Assets'!AN234)</f>
        <v>468605.62733473175</v>
      </c>
      <c r="K97" s="778">
        <f>SUM(J97,'5.02_Network_Assets'!K227,'5.02_Network_Assets'!Z227,'5.02_Network_Assets'!AO227)+SUM('5.02_Network_Assets'!K234,'5.02_Network_Assets'!Z234,'5.02_Network_Assets'!AO234)</f>
        <v>437872.3265933076</v>
      </c>
      <c r="L97" s="778">
        <f>SUM(K97,'5.02_Network_Assets'!L227,'5.02_Network_Assets'!AA227,'5.02_Network_Assets'!AP227)+SUM('5.02_Network_Assets'!L234,'5.02_Network_Assets'!AA234,'5.02_Network_Assets'!AP234)</f>
        <v>409216.37757524266</v>
      </c>
      <c r="M97" s="778">
        <f>SUM(L97,'5.02_Network_Assets'!M227,'5.02_Network_Assets'!AB227,'5.02_Network_Assets'!AQ227)+SUM('5.02_Network_Assets'!M234,'5.02_Network_Assets'!AB234,'5.02_Network_Assets'!AQ234)</f>
        <v>379236.46769053227</v>
      </c>
      <c r="N97" s="778">
        <f>SUM(M97,'5.02_Network_Assets'!N227,'5.02_Network_Assets'!AC227,'5.02_Network_Assets'!AR227)+SUM('5.02_Network_Assets'!N234,'5.02_Network_Assets'!AC234,'5.02_Network_Assets'!AR234)</f>
        <v>348583.7394716859</v>
      </c>
      <c r="O97" s="778">
        <f>SUM(N97,'5.02_Network_Assets'!O227,'5.02_Network_Assets'!AD227,'5.02_Network_Assets'!AS227)+SUM('5.02_Network_Assets'!O234,'5.02_Network_Assets'!AD234,'5.02_Network_Assets'!AS234)</f>
        <v>316874.75120016054</v>
      </c>
      <c r="P97" s="778">
        <f>SUM(O97,'5.02_Network_Assets'!P227,'5.02_Network_Assets'!AE227)+SUM('5.02_Network_Assets'!P234,'5.02_Network_Assets'!AE234)</f>
        <v>286593.44677516411</v>
      </c>
      <c r="Q97" s="779">
        <f>SUM(P97,'5.02_Network_Assets'!Q227,'5.02_Network_Assets'!AF227)+SUM('5.02_Network_Assets'!Q234,'5.02_Network_Assets'!AF234)</f>
        <v>258757.19867310507</v>
      </c>
      <c r="R97" s="777">
        <f>SUM(Q97,'5.02_Network_Assets'!R227,'5.02_Network_Assets'!AG227)+SUM('5.02_Network_Assets'!R234,'5.02_Network_Assets'!AG234)</f>
        <v>230989.0387879973</v>
      </c>
      <c r="S97" s="778">
        <f>SUM(R97,'5.02_Network_Assets'!S227,'5.02_Network_Assets'!AH227)+SUM('5.02_Network_Assets'!S234,'5.02_Network_Assets'!AH234)</f>
        <v>203303.85042669583</v>
      </c>
      <c r="T97" s="778">
        <f>SUM(S97,'5.02_Network_Assets'!T227,'5.02_Network_Assets'!AI227)+SUM('5.02_Network_Assets'!T234,'5.02_Network_Assets'!AI234)</f>
        <v>175699.97415872457</v>
      </c>
      <c r="U97" s="778">
        <f>SUM(T97,'5.02_Network_Assets'!U227,'5.02_Network_Assets'!AJ227)+SUM('5.02_Network_Assets'!U234,'5.02_Network_Assets'!AJ234)</f>
        <v>148175.78374221688</v>
      </c>
      <c r="V97" s="779">
        <f>SUM(U97,'5.02_Network_Assets'!V227,'5.02_Network_Assets'!AK227)+SUM('5.02_Network_Assets'!V234,'5.02_Network_Assets'!AK234)</f>
        <v>120729.6854601435</v>
      </c>
    </row>
    <row r="98" spans="1:22" s="98" customFormat="1" ht="15" customHeight="1">
      <c r="A98" s="99"/>
      <c r="B98" s="901"/>
      <c r="C98" s="222"/>
      <c r="D98" s="162" t="s">
        <v>2887</v>
      </c>
      <c r="E98" s="222"/>
      <c r="G98" s="162"/>
      <c r="H98" s="163"/>
      <c r="I98" s="164" t="s">
        <v>1876</v>
      </c>
      <c r="J98" s="777">
        <f>SUM('5.02_Network_Assets'!AV228,'5.02_Network_Assets'!J228,'5.02_Network_Assets'!Y228,'5.02_Network_Assets'!AN228)</f>
        <v>0</v>
      </c>
      <c r="K98" s="778">
        <f>SUM(J98,'5.02_Network_Assets'!K228,'5.02_Network_Assets'!Z228,'5.02_Network_Assets'!AO228)</f>
        <v>0</v>
      </c>
      <c r="L98" s="778">
        <f>SUM(K98,'5.02_Network_Assets'!L228,'5.02_Network_Assets'!AA228,'5.02_Network_Assets'!AP228)</f>
        <v>0</v>
      </c>
      <c r="M98" s="778">
        <f>SUM(L98,'5.02_Network_Assets'!M228,'5.02_Network_Assets'!AB228,'5.02_Network_Assets'!AQ228)</f>
        <v>0</v>
      </c>
      <c r="N98" s="778">
        <f>SUM(M98,'5.02_Network_Assets'!N228,'5.02_Network_Assets'!AC228,'5.02_Network_Assets'!AR228)</f>
        <v>0</v>
      </c>
      <c r="O98" s="778">
        <f>SUM(N98,'5.02_Network_Assets'!O228,'5.02_Network_Assets'!AD228)</f>
        <v>0</v>
      </c>
      <c r="P98" s="778">
        <f>SUM(O98,'5.02_Network_Assets'!P228,'5.02_Network_Assets'!AE228)</f>
        <v>0</v>
      </c>
      <c r="Q98" s="779">
        <f>SUM(P98,'5.02_Network_Assets'!Q228,'5.02_Network_Assets'!AF228)</f>
        <v>0</v>
      </c>
      <c r="R98" s="777">
        <f>SUM(Q98,'5.02_Network_Assets'!R228,'5.02_Network_Assets'!AG228)</f>
        <v>0</v>
      </c>
      <c r="S98" s="778">
        <f>SUM(R98,'5.02_Network_Assets'!S228,'5.02_Network_Assets'!AH228)</f>
        <v>0</v>
      </c>
      <c r="T98" s="778">
        <f>SUM(S98,'5.02_Network_Assets'!T228,'5.02_Network_Assets'!AI228)</f>
        <v>0</v>
      </c>
      <c r="U98" s="778">
        <f>SUM(T98,'5.02_Network_Assets'!U228,'5.02_Network_Assets'!AJ228)</f>
        <v>0</v>
      </c>
      <c r="V98" s="779">
        <f>SUM(U98,'5.02_Network_Assets'!V228,'5.02_Network_Assets'!AK228)</f>
        <v>0</v>
      </c>
    </row>
    <row r="99" spans="1:22" s="98" customFormat="1" ht="15" customHeight="1">
      <c r="A99" s="99"/>
      <c r="B99" s="901"/>
      <c r="C99" s="222"/>
      <c r="D99" s="162" t="s">
        <v>85</v>
      </c>
      <c r="E99" s="222"/>
      <c r="G99" s="162"/>
      <c r="H99" s="163"/>
      <c r="I99" s="164" t="s">
        <v>1876</v>
      </c>
      <c r="J99" s="777">
        <f>SUM('5.02_Network_Assets'!AV229,'5.02_Network_Assets'!J229,'5.02_Network_Assets'!Y229,'5.02_Network_Assets'!AN229)+SUM('5.02_Network_Assets'!AV235,'5.02_Network_Assets'!J235,'5.02_Network_Assets'!Y235,'5.02_Network_Assets'!AN235)</f>
        <v>0</v>
      </c>
      <c r="K99" s="778">
        <f>SUM(J99,'5.02_Network_Assets'!K229,'5.02_Network_Assets'!Z229,'5.02_Network_Assets'!AO229)+SUM('5.02_Network_Assets'!K235,'5.02_Network_Assets'!Z235,'5.02_Network_Assets'!AO235)</f>
        <v>0</v>
      </c>
      <c r="L99" s="778">
        <f>SUM(K99,'5.02_Network_Assets'!L229,'5.02_Network_Assets'!AA229,'5.02_Network_Assets'!AP229)+SUM('5.02_Network_Assets'!L235,'5.02_Network_Assets'!AA235,'5.02_Network_Assets'!AP235)</f>
        <v>0</v>
      </c>
      <c r="M99" s="778">
        <f>SUM(L99,'5.02_Network_Assets'!M229,'5.02_Network_Assets'!AB229,'5.02_Network_Assets'!AQ229)+SUM('5.02_Network_Assets'!M235,'5.02_Network_Assets'!AB235,'5.02_Network_Assets'!AQ235)</f>
        <v>0</v>
      </c>
      <c r="N99" s="778">
        <f>SUM(M99,'5.02_Network_Assets'!N229,'5.02_Network_Assets'!AC229,'5.02_Network_Assets'!AR229)+SUM('5.02_Network_Assets'!N235,'5.02_Network_Assets'!AC235,'5.02_Network_Assets'!AR235)</f>
        <v>0</v>
      </c>
      <c r="O99" s="778">
        <f>SUM(N99,'5.02_Network_Assets'!O229,'5.02_Network_Assets'!AD229)+SUM('5.02_Network_Assets'!O235,'5.02_Network_Assets'!AD235)</f>
        <v>0</v>
      </c>
      <c r="P99" s="778">
        <f>SUM(O99,'5.02_Network_Assets'!P229,'5.02_Network_Assets'!AE229)+SUM('5.02_Network_Assets'!P235,'5.02_Network_Assets'!AE235)</f>
        <v>0</v>
      </c>
      <c r="Q99" s="779">
        <f>SUM(P99,'5.02_Network_Assets'!Q229,'5.02_Network_Assets'!AF229)+SUM('5.02_Network_Assets'!Q235,'5.02_Network_Assets'!AF235)</f>
        <v>0</v>
      </c>
      <c r="R99" s="777">
        <f>SUM(Q99,'5.02_Network_Assets'!R229,'5.02_Network_Assets'!AG229)+SUM('5.02_Network_Assets'!R235,'5.02_Network_Assets'!AG235)</f>
        <v>0</v>
      </c>
      <c r="S99" s="778">
        <f>SUM(R99,'5.02_Network_Assets'!S229,'5.02_Network_Assets'!AH229)+SUM('5.02_Network_Assets'!S235,'5.02_Network_Assets'!AH235)</f>
        <v>0</v>
      </c>
      <c r="T99" s="778">
        <f>SUM(S99,'5.02_Network_Assets'!T229,'5.02_Network_Assets'!AI229)+SUM('5.02_Network_Assets'!T235,'5.02_Network_Assets'!AI235)</f>
        <v>0</v>
      </c>
      <c r="U99" s="778">
        <f>SUM(T99,'5.02_Network_Assets'!U229,'5.02_Network_Assets'!AJ229)+SUM('5.02_Network_Assets'!U235,'5.02_Network_Assets'!AJ235)</f>
        <v>0</v>
      </c>
      <c r="V99" s="779">
        <f>SUM(U99,'5.02_Network_Assets'!V229,'5.02_Network_Assets'!AK229)+SUM('5.02_Network_Assets'!V235,'5.02_Network_Assets'!AK235)</f>
        <v>0</v>
      </c>
    </row>
    <row r="100" spans="1:22" s="98" customFormat="1" ht="15" customHeight="1" thickBot="1">
      <c r="A100" s="99"/>
      <c r="B100" s="902"/>
      <c r="C100" s="896" t="s">
        <v>1710</v>
      </c>
      <c r="D100" s="896"/>
      <c r="E100" s="896"/>
      <c r="F100" s="240"/>
      <c r="G100" s="241"/>
      <c r="H100" s="241"/>
      <c r="I100" s="195" t="s">
        <v>1876</v>
      </c>
      <c r="J100" s="873">
        <f>SUM(J96:J99)</f>
        <v>2440849</v>
      </c>
      <c r="K100" s="781">
        <f t="shared" ref="K100:V100" si="6">SUM(K96:K99)</f>
        <v>2443822</v>
      </c>
      <c r="L100" s="781">
        <f t="shared" si="6"/>
        <v>2447083</v>
      </c>
      <c r="M100" s="781">
        <f t="shared" si="6"/>
        <v>2452188</v>
      </c>
      <c r="N100" s="781">
        <f t="shared" si="6"/>
        <v>2456616.0000000005</v>
      </c>
      <c r="O100" s="781">
        <f t="shared" si="6"/>
        <v>2462124.0000000005</v>
      </c>
      <c r="P100" s="781">
        <f t="shared" si="6"/>
        <v>2466818.8756112014</v>
      </c>
      <c r="Q100" s="874">
        <f t="shared" si="6"/>
        <v>2471143.9511224017</v>
      </c>
      <c r="R100" s="873">
        <f t="shared" si="6"/>
        <v>2475182.2265336029</v>
      </c>
      <c r="S100" s="781">
        <f t="shared" si="6"/>
        <v>2479229.7018448035</v>
      </c>
      <c r="T100" s="781">
        <f t="shared" si="6"/>
        <v>2483286.3770560045</v>
      </c>
      <c r="U100" s="781">
        <f t="shared" si="6"/>
        <v>2487352.2521672049</v>
      </c>
      <c r="V100" s="874">
        <f t="shared" si="6"/>
        <v>2491427.3271784061</v>
      </c>
    </row>
    <row r="101" spans="1:22" s="98" customFormat="1" ht="15" customHeight="1" thickBot="1">
      <c r="B101" s="157"/>
      <c r="C101" s="157"/>
      <c r="D101" s="157"/>
      <c r="E101" s="157"/>
    </row>
    <row r="102" spans="1:22" s="100" customFormat="1" ht="30" customHeight="1" thickBot="1">
      <c r="A102" s="89"/>
      <c r="B102" s="621" t="s">
        <v>2673</v>
      </c>
      <c r="C102" s="788"/>
      <c r="D102" s="788"/>
      <c r="E102" s="788"/>
      <c r="F102" s="102"/>
      <c r="G102" s="103"/>
      <c r="H102" s="103"/>
      <c r="I102" s="105" t="s">
        <v>2966</v>
      </c>
      <c r="J102" s="106"/>
      <c r="K102" s="106"/>
      <c r="L102" s="106"/>
      <c r="M102" s="106"/>
      <c r="N102" s="106"/>
      <c r="O102" s="106"/>
      <c r="P102" s="106"/>
      <c r="Q102" s="106"/>
      <c r="R102" s="105"/>
      <c r="S102" s="105"/>
      <c r="T102" s="105"/>
      <c r="U102" s="105"/>
      <c r="V102" s="187"/>
    </row>
    <row r="103" spans="1:22" s="157" customFormat="1" ht="30" customHeight="1">
      <c r="A103" s="99"/>
      <c r="B103" s="109"/>
      <c r="C103" s="110"/>
      <c r="D103" s="110"/>
      <c r="E103" s="110"/>
      <c r="F103" s="110"/>
      <c r="G103" s="111"/>
      <c r="H103" s="111"/>
      <c r="I103" s="117"/>
      <c r="J103" s="695" t="s">
        <v>1666</v>
      </c>
      <c r="K103" s="152"/>
      <c r="L103" s="152"/>
      <c r="M103" s="152"/>
      <c r="N103" s="152"/>
      <c r="O103" s="152"/>
      <c r="P103" s="152"/>
      <c r="Q103" s="153"/>
      <c r="R103" s="871" t="s">
        <v>2</v>
      </c>
      <c r="S103" s="155"/>
      <c r="T103" s="155"/>
      <c r="U103" s="155"/>
      <c r="V103" s="156"/>
    </row>
    <row r="104" spans="1:22" s="98" customFormat="1" ht="15" customHeight="1">
      <c r="A104" s="99"/>
      <c r="B104" s="900"/>
      <c r="C104" s="620"/>
      <c r="D104" s="620"/>
      <c r="E104" s="620"/>
      <c r="F104" s="116"/>
      <c r="G104" s="117"/>
      <c r="H104" s="117"/>
      <c r="I104" s="119" t="s">
        <v>1667</v>
      </c>
      <c r="J104" s="158" t="s">
        <v>453</v>
      </c>
      <c r="K104" s="137" t="s">
        <v>455</v>
      </c>
      <c r="L104" s="137" t="s">
        <v>457</v>
      </c>
      <c r="M104" s="137" t="s">
        <v>459</v>
      </c>
      <c r="N104" s="137" t="s">
        <v>461</v>
      </c>
      <c r="O104" s="137" t="s">
        <v>463</v>
      </c>
      <c r="P104" s="137" t="s">
        <v>465</v>
      </c>
      <c r="Q104" s="138" t="s">
        <v>467</v>
      </c>
      <c r="R104" s="242" t="s">
        <v>469</v>
      </c>
      <c r="S104" s="121" t="s">
        <v>471</v>
      </c>
      <c r="T104" s="121" t="s">
        <v>473</v>
      </c>
      <c r="U104" s="121" t="s">
        <v>475</v>
      </c>
      <c r="V104" s="122" t="s">
        <v>477</v>
      </c>
    </row>
    <row r="105" spans="1:22" s="98" customFormat="1" ht="15" customHeight="1">
      <c r="A105" s="99"/>
      <c r="B105" s="901"/>
      <c r="C105" s="180" t="s">
        <v>2472</v>
      </c>
      <c r="D105" s="180"/>
      <c r="E105" s="180"/>
      <c r="F105" s="162"/>
      <c r="G105" s="163"/>
      <c r="H105" s="163"/>
      <c r="I105" s="117"/>
      <c r="J105" s="159"/>
      <c r="K105" s="117"/>
      <c r="L105" s="117"/>
      <c r="M105" s="117"/>
      <c r="N105" s="117"/>
      <c r="O105" s="117"/>
      <c r="P105" s="117"/>
      <c r="Q105" s="160"/>
      <c r="R105" s="159"/>
      <c r="S105" s="117"/>
      <c r="T105" s="117"/>
      <c r="U105" s="117"/>
      <c r="V105" s="160"/>
    </row>
    <row r="106" spans="1:22" s="98" customFormat="1" ht="15" customHeight="1">
      <c r="A106" s="99"/>
      <c r="B106" s="901"/>
      <c r="C106" s="222"/>
      <c r="D106" s="162" t="s">
        <v>2980</v>
      </c>
      <c r="E106" s="222"/>
      <c r="G106" s="162"/>
      <c r="H106" s="163"/>
      <c r="I106" s="164" t="s">
        <v>1876</v>
      </c>
      <c r="J106" s="777">
        <f>SUM('5.02_Network_Assets'!$J$247,'5.02_Network_Assets'!$Y$247,'5.02_Network_Assets'!$AN$247,'5.02_Network_Assets'!$AV$247)</f>
        <v>10498</v>
      </c>
      <c r="K106" s="778">
        <f>SUM(J106,'5.02_Network_Assets'!K247,'5.02_Network_Assets'!Z247,'5.02_Network_Assets'!AO247)</f>
        <v>10710</v>
      </c>
      <c r="L106" s="778">
        <f>SUM(K106,'5.02_Network_Assets'!L247,'5.02_Network_Assets'!AA247,'5.02_Network_Assets'!AP247)</f>
        <v>10906</v>
      </c>
      <c r="M106" s="778">
        <f>SUM(L106,'5.02_Network_Assets'!M247,'5.02_Network_Assets'!AB247,'5.02_Network_Assets'!AQ247)</f>
        <v>11070</v>
      </c>
      <c r="N106" s="778">
        <f>SUM(M106,'5.02_Network_Assets'!N247,'5.02_Network_Assets'!AC247,'5.02_Network_Assets'!AR247)</f>
        <v>11011</v>
      </c>
      <c r="O106" s="778">
        <f>SUM(N106,'5.02_Network_Assets'!O247,'5.02_Network_Assets'!AD247,'5.02_Network_Assets'!AS247)</f>
        <v>10993</v>
      </c>
      <c r="P106" s="778">
        <f>SUM(O106,'5.02_Network_Assets'!P247,'5.02_Network_Assets'!AE247)</f>
        <v>10993</v>
      </c>
      <c r="Q106" s="779">
        <f>SUM(P106,'5.02_Network_Assets'!Q247,'5.02_Network_Assets'!AF247)</f>
        <v>10993</v>
      </c>
      <c r="R106" s="777">
        <f>SUM(Q106,'5.02_Network_Assets'!R247,'5.02_Network_Assets'!AG247)</f>
        <v>10993</v>
      </c>
      <c r="S106" s="778">
        <f>SUM(R106,'5.02_Network_Assets'!S247,'5.02_Network_Assets'!AH247)</f>
        <v>10993</v>
      </c>
      <c r="T106" s="778">
        <f>SUM(S106,'5.02_Network_Assets'!T247,'5.02_Network_Assets'!AI247)</f>
        <v>10993</v>
      </c>
      <c r="U106" s="778">
        <f>SUM(T106,'5.02_Network_Assets'!U247,'5.02_Network_Assets'!AJ247)</f>
        <v>10993</v>
      </c>
      <c r="V106" s="779">
        <f>SUM(U106,'5.02_Network_Assets'!V247,'5.02_Network_Assets'!AK247)</f>
        <v>10993</v>
      </c>
    </row>
    <row r="107" spans="1:22" s="98" customFormat="1" ht="15" customHeight="1">
      <c r="A107" s="99"/>
      <c r="B107" s="901"/>
      <c r="C107" s="222"/>
      <c r="D107" s="162" t="s">
        <v>2981</v>
      </c>
      <c r="E107" s="222"/>
      <c r="G107" s="162"/>
      <c r="H107" s="163"/>
      <c r="I107" s="164" t="s">
        <v>1876</v>
      </c>
      <c r="J107" s="777">
        <f>SUM('5.02_Network_Assets'!$J$253,'5.02_Network_Assets'!$Y$253,'5.02_Network_Assets'!$AN$253,'5.02_Network_Assets'!$AV$253)</f>
        <v>2849</v>
      </c>
      <c r="K107" s="778">
        <f>SUM(J107,'5.02_Network_Assets'!K253,'5.02_Network_Assets'!Z253,'5.02_Network_Assets'!AO253)</f>
        <v>2940</v>
      </c>
      <c r="L107" s="778">
        <f>SUM(K107,'5.02_Network_Assets'!L253,'5.02_Network_Assets'!AA253,'5.02_Network_Assets'!AP253)</f>
        <v>2881</v>
      </c>
      <c r="M107" s="778">
        <f>SUM(L107,'5.02_Network_Assets'!M253,'5.02_Network_Assets'!AB253,'5.02_Network_Assets'!AQ253)</f>
        <v>2899</v>
      </c>
      <c r="N107" s="778">
        <f>SUM(M107,'5.02_Network_Assets'!N253,'5.02_Network_Assets'!AC253,'5.02_Network_Assets'!AR253)</f>
        <v>2707</v>
      </c>
      <c r="O107" s="778">
        <f>SUM(N107,'5.02_Network_Assets'!O253,'5.02_Network_Assets'!AD253,'5.02_Network_Assets'!AS253)</f>
        <v>2466</v>
      </c>
      <c r="P107" s="778">
        <f>SUM(O107,'5.02_Network_Assets'!P253,'5.02_Network_Assets'!AE253)</f>
        <v>2466</v>
      </c>
      <c r="Q107" s="779">
        <f>SUM(P107,'5.02_Network_Assets'!Q253,'5.02_Network_Assets'!AF253)</f>
        <v>2466</v>
      </c>
      <c r="R107" s="777">
        <f>SUM(Q107,'5.02_Network_Assets'!R253,'5.02_Network_Assets'!AG253)</f>
        <v>2466</v>
      </c>
      <c r="S107" s="778">
        <f>SUM(R107,'5.02_Network_Assets'!S253,'5.02_Network_Assets'!AH253)</f>
        <v>2466</v>
      </c>
      <c r="T107" s="778">
        <f>SUM(S107,'5.02_Network_Assets'!T253,'5.02_Network_Assets'!AI253)</f>
        <v>2466</v>
      </c>
      <c r="U107" s="778">
        <f>SUM(T107,'5.02_Network_Assets'!U253,'5.02_Network_Assets'!AJ253)</f>
        <v>2466</v>
      </c>
      <c r="V107" s="779">
        <f>SUM(U107,'5.02_Network_Assets'!V253,'5.02_Network_Assets'!AK253)</f>
        <v>2466</v>
      </c>
    </row>
    <row r="108" spans="1:22" s="98" customFormat="1" ht="15" customHeight="1">
      <c r="A108" s="99"/>
      <c r="B108" s="901"/>
      <c r="C108" s="222"/>
      <c r="D108" s="162" t="s">
        <v>2982</v>
      </c>
      <c r="E108" s="222"/>
      <c r="G108" s="162"/>
      <c r="H108" s="163"/>
      <c r="I108" s="164" t="s">
        <v>1876</v>
      </c>
      <c r="J108" s="777">
        <f>SUM('5.02_Network_Assets'!$J$259,'5.02_Network_Assets'!$Y$259,'5.02_Network_Assets'!$AN$259,'5.02_Network_Assets'!$AV$259)</f>
        <v>1510</v>
      </c>
      <c r="K108" s="778">
        <f>SUM(J108,'5.02_Network_Assets'!K259,'5.02_Network_Assets'!Z259,'5.02_Network_Assets'!AO259)</f>
        <v>1344</v>
      </c>
      <c r="L108" s="778">
        <f>SUM(K108,'5.02_Network_Assets'!L259,'5.02_Network_Assets'!AA259,'5.02_Network_Assets'!AP259)</f>
        <v>1323</v>
      </c>
      <c r="M108" s="778">
        <f>SUM(L108,'5.02_Network_Assets'!M259,'5.02_Network_Assets'!AB259,'5.02_Network_Assets'!AQ259)</f>
        <v>1346</v>
      </c>
      <c r="N108" s="778">
        <f>SUM(M108,'5.02_Network_Assets'!N259,'5.02_Network_Assets'!AC259,'5.02_Network_Assets'!AR259)</f>
        <v>1336</v>
      </c>
      <c r="O108" s="778">
        <f>SUM(N108,'5.02_Network_Assets'!O259,'5.02_Network_Assets'!AD259,'5.02_Network_Assets'!AS259)</f>
        <v>1241</v>
      </c>
      <c r="P108" s="778">
        <f>SUM(O108,'5.02_Network_Assets'!P259,'5.02_Network_Assets'!AE259)</f>
        <v>1241</v>
      </c>
      <c r="Q108" s="779">
        <f>SUM(P108,'5.02_Network_Assets'!Q259,'5.02_Network_Assets'!AF259)</f>
        <v>1241</v>
      </c>
      <c r="R108" s="777">
        <f>SUM(Q108,'5.02_Network_Assets'!R259,'5.02_Network_Assets'!AG259)</f>
        <v>1241</v>
      </c>
      <c r="S108" s="778">
        <f>SUM(R108,'5.02_Network_Assets'!S259,'5.02_Network_Assets'!AH259)</f>
        <v>1241</v>
      </c>
      <c r="T108" s="778">
        <f>SUM(S108,'5.02_Network_Assets'!T259,'5.02_Network_Assets'!AI259)</f>
        <v>1241</v>
      </c>
      <c r="U108" s="778">
        <f>SUM(T108,'5.02_Network_Assets'!U259,'5.02_Network_Assets'!AJ259)</f>
        <v>1241</v>
      </c>
      <c r="V108" s="779">
        <f>SUM(U108,'5.02_Network_Assets'!V259,'5.02_Network_Assets'!AK259)</f>
        <v>1241</v>
      </c>
    </row>
    <row r="109" spans="1:22" s="98" customFormat="1" ht="15" customHeight="1" thickBot="1">
      <c r="A109" s="99"/>
      <c r="B109" s="902"/>
      <c r="C109" s="896" t="s">
        <v>1710</v>
      </c>
      <c r="D109" s="896"/>
      <c r="E109" s="896"/>
      <c r="F109" s="240"/>
      <c r="G109" s="241"/>
      <c r="H109" s="241"/>
      <c r="I109" s="195" t="s">
        <v>1876</v>
      </c>
      <c r="J109" s="873">
        <f>SUM(J106:J108)</f>
        <v>14857</v>
      </c>
      <c r="K109" s="781">
        <f t="shared" ref="K109:V109" si="7">SUM(K106:K108)</f>
        <v>14994</v>
      </c>
      <c r="L109" s="781">
        <f t="shared" si="7"/>
        <v>15110</v>
      </c>
      <c r="M109" s="781">
        <f t="shared" si="7"/>
        <v>15315</v>
      </c>
      <c r="N109" s="781">
        <f t="shared" si="7"/>
        <v>15054</v>
      </c>
      <c r="O109" s="781">
        <f t="shared" si="7"/>
        <v>14700</v>
      </c>
      <c r="P109" s="781">
        <f t="shared" si="7"/>
        <v>14700</v>
      </c>
      <c r="Q109" s="874">
        <f t="shared" si="7"/>
        <v>14700</v>
      </c>
      <c r="R109" s="873">
        <f t="shared" si="7"/>
        <v>14700</v>
      </c>
      <c r="S109" s="781">
        <f t="shared" si="7"/>
        <v>14700</v>
      </c>
      <c r="T109" s="781">
        <f t="shared" si="7"/>
        <v>14700</v>
      </c>
      <c r="U109" s="781">
        <f t="shared" si="7"/>
        <v>14700</v>
      </c>
      <c r="V109" s="874">
        <f t="shared" si="7"/>
        <v>14700</v>
      </c>
    </row>
    <row r="110" spans="1:22" s="98" customFormat="1" ht="15" customHeight="1">
      <c r="C110" s="157"/>
      <c r="D110" s="157"/>
      <c r="E110" s="157"/>
    </row>
    <row r="111" spans="1:22" s="98" customFormat="1" ht="15" customHeight="1">
      <c r="C111" s="157"/>
      <c r="D111" s="157"/>
      <c r="E111" s="157"/>
    </row>
    <row r="112" spans="1:22" s="98" customFormat="1" ht="15" customHeight="1">
      <c r="C112" s="157"/>
      <c r="D112" s="157"/>
      <c r="E112" s="157"/>
    </row>
    <row r="113" spans="3:5" s="98" customFormat="1" ht="15" customHeight="1">
      <c r="C113" s="157"/>
      <c r="D113" s="157"/>
      <c r="E113" s="157"/>
    </row>
    <row r="114" spans="3:5" s="98" customFormat="1" ht="15" customHeight="1">
      <c r="C114" s="157"/>
      <c r="D114" s="157"/>
      <c r="E114" s="157"/>
    </row>
    <row r="115" spans="3:5" s="98" customFormat="1" ht="15" customHeight="1">
      <c r="C115" s="157"/>
      <c r="D115" s="157"/>
      <c r="E115" s="157"/>
    </row>
    <row r="116" spans="3:5" s="98" customFormat="1" ht="15" customHeight="1">
      <c r="C116" s="157"/>
      <c r="D116" s="157"/>
      <c r="E116" s="157"/>
    </row>
    <row r="117" spans="3:5" s="98" customFormat="1" ht="15" customHeight="1">
      <c r="C117" s="157"/>
      <c r="D117" s="157"/>
      <c r="E117" s="157"/>
    </row>
    <row r="118" spans="3:5" s="98" customFormat="1" ht="15" customHeight="1">
      <c r="C118" s="157"/>
      <c r="D118" s="157"/>
      <c r="E118" s="157"/>
    </row>
    <row r="119" spans="3:5" s="98" customFormat="1" ht="15" customHeight="1">
      <c r="C119" s="157"/>
      <c r="D119" s="157"/>
      <c r="E119" s="157"/>
    </row>
    <row r="120" spans="3:5" s="98" customFormat="1" ht="15" customHeight="1">
      <c r="C120" s="157"/>
      <c r="D120" s="157"/>
      <c r="E120" s="157"/>
    </row>
    <row r="121" spans="3:5" s="98" customFormat="1" ht="15" customHeight="1">
      <c r="C121" s="157"/>
      <c r="D121" s="157"/>
      <c r="E121" s="157"/>
    </row>
    <row r="122" spans="3:5" s="98" customFormat="1" ht="15" customHeight="1">
      <c r="C122" s="157"/>
      <c r="D122" s="157"/>
      <c r="E122" s="157"/>
    </row>
    <row r="123" spans="3:5" s="98" customFormat="1" ht="15" customHeight="1">
      <c r="C123" s="157"/>
      <c r="D123" s="157"/>
      <c r="E123" s="157"/>
    </row>
    <row r="124" spans="3:5" s="98" customFormat="1" ht="15" customHeight="1">
      <c r="C124" s="157"/>
      <c r="D124" s="157"/>
      <c r="E124" s="157"/>
    </row>
    <row r="125" spans="3:5" s="98" customFormat="1" ht="15" customHeight="1">
      <c r="C125" s="157"/>
      <c r="D125" s="157"/>
      <c r="E125" s="157"/>
    </row>
    <row r="126" spans="3:5" s="98" customFormat="1" ht="15" customHeight="1">
      <c r="C126" s="157"/>
      <c r="D126" s="157"/>
      <c r="E126" s="157"/>
    </row>
    <row r="127" spans="3:5" s="98" customFormat="1" ht="15" customHeight="1">
      <c r="C127" s="157"/>
      <c r="D127" s="157"/>
      <c r="E127" s="157"/>
    </row>
    <row r="128" spans="3:5" s="98" customFormat="1" ht="15" customHeight="1">
      <c r="C128" s="157"/>
      <c r="D128" s="157"/>
      <c r="E128" s="157"/>
    </row>
    <row r="129" spans="3:5" s="98" customFormat="1" ht="15" customHeight="1">
      <c r="C129" s="157"/>
      <c r="D129" s="157"/>
      <c r="E129" s="157"/>
    </row>
    <row r="130" spans="3:5" s="98" customFormat="1" ht="15" customHeight="1">
      <c r="C130" s="157"/>
      <c r="D130" s="157"/>
      <c r="E130" s="157"/>
    </row>
    <row r="131" spans="3:5" s="98" customFormat="1" ht="15" customHeight="1">
      <c r="C131" s="157"/>
      <c r="D131" s="157"/>
      <c r="E131" s="157"/>
    </row>
    <row r="132" spans="3:5" s="98" customFormat="1" ht="15" customHeight="1">
      <c r="C132" s="157"/>
      <c r="D132" s="157"/>
      <c r="E132" s="157"/>
    </row>
    <row r="133" spans="3:5" s="98" customFormat="1" ht="15" customHeight="1">
      <c r="C133" s="157"/>
      <c r="D133" s="157"/>
      <c r="E133" s="157"/>
    </row>
    <row r="134" spans="3:5" s="98" customFormat="1" ht="15" customHeight="1">
      <c r="C134" s="157"/>
      <c r="D134" s="157"/>
      <c r="E134" s="157"/>
    </row>
    <row r="135" spans="3:5" s="98" customFormat="1" ht="15" customHeight="1">
      <c r="C135" s="157"/>
      <c r="D135" s="157"/>
      <c r="E135" s="157"/>
    </row>
    <row r="136" spans="3:5" s="98" customFormat="1" ht="15" customHeight="1">
      <c r="C136" s="157"/>
      <c r="D136" s="157"/>
      <c r="E136" s="157"/>
    </row>
    <row r="137" spans="3:5" s="98" customFormat="1" ht="15" customHeight="1">
      <c r="C137" s="157"/>
      <c r="D137" s="157"/>
      <c r="E137" s="157"/>
    </row>
    <row r="138" spans="3:5" s="98" customFormat="1" ht="15" customHeight="1">
      <c r="C138" s="157"/>
      <c r="D138" s="157"/>
      <c r="E138" s="157"/>
    </row>
    <row r="139" spans="3:5" s="98" customFormat="1" ht="15" customHeight="1">
      <c r="C139" s="157"/>
      <c r="D139" s="157"/>
      <c r="E139" s="157"/>
    </row>
    <row r="140" spans="3:5" s="98" customFormat="1" ht="15" customHeight="1">
      <c r="C140" s="157"/>
      <c r="D140" s="157"/>
      <c r="E140" s="157"/>
    </row>
    <row r="141" spans="3:5" s="98" customFormat="1" ht="15" customHeight="1">
      <c r="C141" s="157"/>
      <c r="D141" s="157"/>
      <c r="E141" s="157"/>
    </row>
    <row r="142" spans="3:5" s="98" customFormat="1" ht="15" customHeight="1">
      <c r="C142" s="157"/>
      <c r="D142" s="157"/>
      <c r="E142" s="157"/>
    </row>
    <row r="143" spans="3:5" s="98" customFormat="1" ht="15" customHeight="1">
      <c r="C143" s="157"/>
      <c r="D143" s="157"/>
      <c r="E143" s="157"/>
    </row>
    <row r="144" spans="3:5" s="98" customFormat="1" ht="15" customHeight="1">
      <c r="C144" s="157"/>
      <c r="D144" s="157"/>
      <c r="E144" s="157"/>
    </row>
    <row r="145" spans="3:5" s="98" customFormat="1" ht="15" customHeight="1">
      <c r="C145" s="157"/>
      <c r="D145" s="157"/>
      <c r="E145" s="157"/>
    </row>
    <row r="146" spans="3:5" s="98" customFormat="1" ht="15" customHeight="1">
      <c r="C146" s="157"/>
      <c r="D146" s="157"/>
      <c r="E146" s="157"/>
    </row>
    <row r="147" spans="3:5" s="98" customFormat="1" ht="15" customHeight="1">
      <c r="C147" s="157"/>
      <c r="D147" s="157"/>
      <c r="E147" s="157"/>
    </row>
    <row r="148" spans="3:5" s="98" customFormat="1" ht="15" customHeight="1">
      <c r="C148" s="157"/>
      <c r="D148" s="157"/>
      <c r="E148" s="157"/>
    </row>
    <row r="149" spans="3:5" s="98" customFormat="1" ht="15" customHeight="1">
      <c r="C149" s="157"/>
      <c r="D149" s="157"/>
      <c r="E149" s="157"/>
    </row>
    <row r="150" spans="3:5" s="98" customFormat="1" ht="15" customHeight="1">
      <c r="C150" s="157"/>
      <c r="D150" s="157"/>
      <c r="E150" s="157"/>
    </row>
    <row r="151" spans="3:5" s="98" customFormat="1" ht="15" customHeight="1">
      <c r="C151" s="157"/>
      <c r="D151" s="157"/>
      <c r="E151" s="157"/>
    </row>
    <row r="152" spans="3:5" s="98" customFormat="1" ht="15" customHeight="1">
      <c r="C152" s="157"/>
      <c r="D152" s="157"/>
      <c r="E152" s="157"/>
    </row>
    <row r="153" spans="3:5" s="98" customFormat="1" ht="15" customHeight="1">
      <c r="C153" s="157"/>
      <c r="D153" s="157"/>
      <c r="E153" s="157"/>
    </row>
    <row r="154" spans="3:5" s="98" customFormat="1" ht="15" customHeight="1">
      <c r="C154" s="157"/>
      <c r="D154" s="157"/>
      <c r="E154" s="157"/>
    </row>
    <row r="155" spans="3:5" s="98" customFormat="1" ht="15" customHeight="1">
      <c r="C155" s="157"/>
      <c r="D155" s="157"/>
      <c r="E155" s="157"/>
    </row>
    <row r="156" spans="3:5" s="98" customFormat="1" ht="15" customHeight="1">
      <c r="C156" s="157"/>
      <c r="D156" s="157"/>
      <c r="E156" s="157"/>
    </row>
    <row r="157" spans="3:5" s="98" customFormat="1" ht="15" customHeight="1">
      <c r="C157" s="157"/>
      <c r="D157" s="157"/>
      <c r="E157" s="157"/>
    </row>
    <row r="158" spans="3:5" s="98" customFormat="1" ht="15" customHeight="1">
      <c r="C158" s="157"/>
      <c r="D158" s="157"/>
      <c r="E158" s="157"/>
    </row>
    <row r="159" spans="3:5" s="98" customFormat="1" ht="15" customHeight="1">
      <c r="C159" s="157"/>
      <c r="D159" s="157"/>
      <c r="E159" s="157"/>
    </row>
    <row r="160" spans="3:5" s="98" customFormat="1" ht="15" customHeight="1">
      <c r="C160" s="157"/>
      <c r="D160" s="157"/>
      <c r="E160" s="157"/>
    </row>
    <row r="161" spans="3:5" s="98" customFormat="1" ht="15" customHeight="1">
      <c r="C161" s="157"/>
      <c r="D161" s="157"/>
      <c r="E161" s="157"/>
    </row>
    <row r="162" spans="3:5" s="98" customFormat="1" ht="15" customHeight="1">
      <c r="C162" s="157"/>
      <c r="D162" s="157"/>
      <c r="E162" s="157"/>
    </row>
    <row r="163" spans="3:5" s="98" customFormat="1" ht="15" customHeight="1">
      <c r="C163" s="157"/>
      <c r="D163" s="157"/>
      <c r="E163" s="157"/>
    </row>
    <row r="164" spans="3:5" s="98" customFormat="1" ht="15" customHeight="1">
      <c r="C164" s="157"/>
      <c r="D164" s="157"/>
      <c r="E164" s="157"/>
    </row>
    <row r="165" spans="3:5" s="98" customFormat="1" ht="15" customHeight="1">
      <c r="C165" s="157"/>
      <c r="D165" s="157"/>
      <c r="E165" s="157"/>
    </row>
    <row r="166" spans="3:5" s="98" customFormat="1" ht="15" customHeight="1">
      <c r="C166" s="157"/>
      <c r="D166" s="157"/>
      <c r="E166" s="157"/>
    </row>
    <row r="167" spans="3:5" s="98" customFormat="1" ht="15" customHeight="1">
      <c r="C167" s="157"/>
      <c r="D167" s="157"/>
      <c r="E167" s="157"/>
    </row>
    <row r="168" spans="3:5" s="98" customFormat="1" ht="15" customHeight="1">
      <c r="C168" s="157"/>
      <c r="D168" s="157"/>
      <c r="E168" s="157"/>
    </row>
    <row r="169" spans="3:5" s="98" customFormat="1" ht="15" customHeight="1">
      <c r="C169" s="157"/>
      <c r="D169" s="157"/>
      <c r="E169" s="157"/>
    </row>
    <row r="170" spans="3:5" s="98" customFormat="1" ht="15" customHeight="1">
      <c r="C170" s="157"/>
      <c r="D170" s="157"/>
      <c r="E170" s="157"/>
    </row>
    <row r="171" spans="3:5" s="98" customFormat="1" ht="15" customHeight="1">
      <c r="C171" s="157"/>
      <c r="D171" s="157"/>
      <c r="E171" s="157"/>
    </row>
    <row r="172" spans="3:5" s="98" customFormat="1" ht="15" customHeight="1">
      <c r="C172" s="157"/>
      <c r="D172" s="157"/>
      <c r="E172" s="157"/>
    </row>
    <row r="173" spans="3:5" s="98" customFormat="1" ht="15" customHeight="1">
      <c r="C173" s="157"/>
      <c r="D173" s="157"/>
      <c r="E173" s="157"/>
    </row>
    <row r="174" spans="3:5" s="98" customFormat="1" ht="15" customHeight="1">
      <c r="C174" s="157"/>
      <c r="D174" s="157"/>
      <c r="E174" s="157"/>
    </row>
    <row r="175" spans="3:5" s="98" customFormat="1" ht="15" customHeight="1">
      <c r="C175" s="157"/>
      <c r="D175" s="157"/>
      <c r="E175" s="157"/>
    </row>
    <row r="176" spans="3:5" s="98" customFormat="1" ht="15" customHeight="1">
      <c r="C176" s="157"/>
      <c r="D176" s="157"/>
      <c r="E176" s="157"/>
    </row>
    <row r="177" spans="3:5" s="98" customFormat="1" ht="15" customHeight="1">
      <c r="C177" s="157"/>
      <c r="D177" s="157"/>
      <c r="E177" s="157"/>
    </row>
    <row r="178" spans="3:5" s="99" customFormat="1" ht="15" customHeight="1">
      <c r="C178" s="157"/>
      <c r="D178" s="157"/>
      <c r="E178" s="157"/>
    </row>
    <row r="179" spans="3:5" s="100" customFormat="1" ht="30" customHeight="1">
      <c r="C179" s="113"/>
      <c r="D179" s="113"/>
      <c r="E179" s="113"/>
    </row>
    <row r="180" spans="3:5" s="157" customFormat="1" ht="30" customHeight="1"/>
    <row r="181" spans="3:5" s="98" customFormat="1" ht="15" customHeight="1">
      <c r="C181" s="157"/>
      <c r="D181" s="157"/>
      <c r="E181" s="157"/>
    </row>
    <row r="182" spans="3:5" s="98" customFormat="1" ht="15" customHeight="1">
      <c r="C182" s="157"/>
      <c r="D182" s="157"/>
      <c r="E182" s="157"/>
    </row>
    <row r="183" spans="3:5" s="98" customFormat="1" ht="15" customHeight="1">
      <c r="C183" s="157"/>
      <c r="D183" s="157"/>
      <c r="E183" s="157"/>
    </row>
    <row r="184" spans="3:5" s="98" customFormat="1" ht="15" customHeight="1">
      <c r="C184" s="157"/>
      <c r="D184" s="157"/>
      <c r="E184" s="157"/>
    </row>
    <row r="185" spans="3:5" s="98" customFormat="1" ht="15" customHeight="1">
      <c r="C185" s="157"/>
      <c r="D185" s="157"/>
      <c r="E185" s="157"/>
    </row>
    <row r="186" spans="3:5" s="98" customFormat="1" ht="15" customHeight="1">
      <c r="C186" s="157"/>
      <c r="D186" s="157"/>
      <c r="E186" s="157"/>
    </row>
    <row r="187" spans="3:5" s="98" customFormat="1" ht="15" customHeight="1">
      <c r="C187" s="157"/>
      <c r="D187" s="157"/>
      <c r="E187" s="157"/>
    </row>
    <row r="188" spans="3:5" s="98" customFormat="1" ht="15" customHeight="1">
      <c r="C188" s="157"/>
      <c r="D188" s="157"/>
      <c r="E188" s="157"/>
    </row>
    <row r="189" spans="3:5" s="98" customFormat="1" ht="15" customHeight="1">
      <c r="C189" s="157"/>
      <c r="D189" s="157"/>
      <c r="E189" s="157"/>
    </row>
    <row r="190" spans="3:5" s="98" customFormat="1" ht="15" customHeight="1">
      <c r="C190" s="157"/>
      <c r="D190" s="157"/>
      <c r="E190" s="157"/>
    </row>
    <row r="191" spans="3:5" s="98" customFormat="1" ht="15" customHeight="1">
      <c r="C191" s="157"/>
      <c r="D191" s="157"/>
      <c r="E191" s="157"/>
    </row>
    <row r="192" spans="3:5" s="98" customFormat="1" ht="15" customHeight="1">
      <c r="C192" s="157"/>
      <c r="D192" s="157"/>
      <c r="E192" s="157"/>
    </row>
    <row r="193" spans="3:5" s="98" customFormat="1" ht="15" customHeight="1">
      <c r="C193" s="157"/>
      <c r="D193" s="157"/>
      <c r="E193" s="157"/>
    </row>
    <row r="194" spans="3:5" s="98" customFormat="1" ht="15" customHeight="1">
      <c r="C194" s="157"/>
      <c r="D194" s="157"/>
      <c r="E194" s="157"/>
    </row>
    <row r="195" spans="3:5" s="98" customFormat="1" ht="15" customHeight="1">
      <c r="C195" s="157"/>
      <c r="D195" s="157"/>
      <c r="E195" s="157"/>
    </row>
    <row r="196" spans="3:5" s="98" customFormat="1" ht="15" customHeight="1">
      <c r="C196" s="157"/>
      <c r="D196" s="157"/>
      <c r="E196" s="157"/>
    </row>
    <row r="197" spans="3:5" s="98" customFormat="1" ht="15" customHeight="1">
      <c r="C197" s="157"/>
      <c r="D197" s="157"/>
      <c r="E197" s="157"/>
    </row>
    <row r="198" spans="3:5" s="98" customFormat="1" ht="15" customHeight="1">
      <c r="C198" s="157"/>
      <c r="D198" s="157"/>
      <c r="E198" s="157"/>
    </row>
    <row r="199" spans="3:5" s="98" customFormat="1" ht="15" customHeight="1">
      <c r="C199" s="157"/>
      <c r="D199" s="157"/>
      <c r="E199" s="157"/>
    </row>
    <row r="200" spans="3:5" s="98" customFormat="1" ht="15" customHeight="1">
      <c r="C200" s="157"/>
      <c r="D200" s="157"/>
      <c r="E200" s="157"/>
    </row>
    <row r="201" spans="3:5" s="98" customFormat="1" ht="15" customHeight="1">
      <c r="C201" s="157"/>
      <c r="D201" s="157"/>
      <c r="E201" s="157"/>
    </row>
    <row r="202" spans="3:5" s="98" customFormat="1" ht="15" customHeight="1">
      <c r="C202" s="157"/>
      <c r="D202" s="157"/>
      <c r="E202" s="157"/>
    </row>
    <row r="203" spans="3:5" s="98" customFormat="1" ht="15" customHeight="1">
      <c r="C203" s="157"/>
      <c r="D203" s="157"/>
      <c r="E203" s="157"/>
    </row>
    <row r="204" spans="3:5" s="98" customFormat="1" ht="15" customHeight="1">
      <c r="C204" s="157"/>
      <c r="D204" s="157"/>
      <c r="E204" s="157"/>
    </row>
    <row r="205" spans="3:5" s="98" customFormat="1" ht="15" customHeight="1">
      <c r="C205" s="157"/>
      <c r="D205" s="157"/>
      <c r="E205" s="157"/>
    </row>
    <row r="206" spans="3:5" s="98" customFormat="1" ht="15" customHeight="1">
      <c r="C206" s="157"/>
      <c r="D206" s="157"/>
      <c r="E206" s="157"/>
    </row>
    <row r="207" spans="3:5" s="99" customFormat="1" ht="15" customHeight="1">
      <c r="C207" s="157"/>
      <c r="D207" s="157"/>
      <c r="E207" s="157"/>
    </row>
    <row r="208" spans="3:5" s="100" customFormat="1" ht="30" customHeight="1">
      <c r="C208" s="113"/>
      <c r="D208" s="113"/>
      <c r="E208" s="113"/>
    </row>
    <row r="209" spans="2:24" s="157" customFormat="1" ht="30" customHeight="1"/>
    <row r="210" spans="2:24" s="98" customFormat="1" ht="15" customHeight="1">
      <c r="C210" s="157"/>
      <c r="D210" s="157"/>
      <c r="E210" s="157"/>
    </row>
    <row r="211" spans="2:24" s="98" customFormat="1" ht="15" customHeight="1">
      <c r="C211" s="157"/>
      <c r="D211" s="157"/>
      <c r="E211" s="157"/>
    </row>
    <row r="212" spans="2:24" s="98" customFormat="1" ht="15" customHeight="1">
      <c r="C212" s="157"/>
      <c r="D212" s="157"/>
      <c r="E212" s="157"/>
    </row>
    <row r="213" spans="2:24" s="98" customFormat="1" ht="15" customHeight="1">
      <c r="C213" s="157"/>
      <c r="D213" s="157"/>
      <c r="E213" s="157"/>
    </row>
    <row r="214" spans="2:24" s="98" customFormat="1" ht="15" customHeight="1">
      <c r="C214" s="157"/>
      <c r="D214" s="157"/>
      <c r="E214" s="157"/>
    </row>
    <row r="215" spans="2:24" s="98" customFormat="1" ht="15" customHeight="1">
      <c r="C215" s="157"/>
      <c r="D215" s="157"/>
      <c r="E215" s="157"/>
    </row>
    <row r="216" spans="2:24" s="98" customFormat="1" ht="15" customHeight="1">
      <c r="C216" s="157"/>
      <c r="D216" s="157"/>
      <c r="E216" s="157"/>
    </row>
    <row r="217" spans="2:24" s="98" customFormat="1" ht="15" customHeight="1">
      <c r="C217" s="157"/>
      <c r="D217" s="157"/>
      <c r="E217" s="157"/>
    </row>
    <row r="218" spans="2:24" s="98" customFormat="1" ht="15" customHeight="1">
      <c r="C218" s="157"/>
      <c r="D218" s="157"/>
      <c r="E218" s="157"/>
    </row>
    <row r="219" spans="2:24" s="98" customFormat="1" ht="15" customHeight="1">
      <c r="C219" s="157"/>
      <c r="D219" s="157"/>
      <c r="E219" s="157"/>
    </row>
    <row r="220" spans="2:24" s="98" customFormat="1" ht="15" customHeight="1">
      <c r="C220" s="157"/>
      <c r="D220" s="157"/>
      <c r="E220" s="157"/>
    </row>
    <row r="221" spans="2:24" s="98" customFormat="1" ht="15" customHeight="1">
      <c r="C221" s="157"/>
      <c r="D221" s="157"/>
      <c r="E221" s="157"/>
    </row>
    <row r="222" spans="2:24" s="98" customFormat="1" ht="15" customHeight="1">
      <c r="C222" s="157"/>
      <c r="D222" s="157"/>
      <c r="E222" s="157"/>
    </row>
    <row r="223" spans="2:24" s="98" customFormat="1" ht="15" customHeight="1">
      <c r="C223" s="157"/>
      <c r="D223" s="157"/>
      <c r="E223" s="157"/>
    </row>
    <row r="224" spans="2:24">
      <c r="B224" s="173"/>
      <c r="C224" s="898"/>
      <c r="D224" s="898"/>
      <c r="E224" s="898"/>
      <c r="F224" s="173"/>
      <c r="I224" s="173"/>
      <c r="X224" s="173"/>
    </row>
    <row r="225" spans="3:5" s="100" customFormat="1" ht="30" customHeight="1">
      <c r="C225" s="113"/>
      <c r="D225" s="113"/>
      <c r="E225" s="113"/>
    </row>
    <row r="226" spans="3:5" s="157" customFormat="1" ht="30" customHeight="1"/>
    <row r="227" spans="3:5" s="98" customFormat="1" ht="15" customHeight="1">
      <c r="C227" s="157"/>
      <c r="D227" s="157"/>
      <c r="E227" s="157"/>
    </row>
    <row r="228" spans="3:5" s="98" customFormat="1" ht="15" customHeight="1">
      <c r="C228" s="157"/>
      <c r="D228" s="157"/>
      <c r="E228" s="157"/>
    </row>
    <row r="229" spans="3:5" s="98" customFormat="1" ht="15" customHeight="1">
      <c r="C229" s="157"/>
      <c r="D229" s="157"/>
      <c r="E229" s="157"/>
    </row>
    <row r="230" spans="3:5" s="98" customFormat="1" ht="15" customHeight="1">
      <c r="C230" s="157"/>
      <c r="D230" s="157"/>
      <c r="E230" s="157"/>
    </row>
    <row r="231" spans="3:5" s="98" customFormat="1" ht="15" customHeight="1">
      <c r="C231" s="157"/>
      <c r="D231" s="157"/>
      <c r="E231" s="157"/>
    </row>
    <row r="232" spans="3:5" s="98" customFormat="1" ht="15" customHeight="1">
      <c r="C232" s="157"/>
      <c r="D232" s="157"/>
      <c r="E232" s="157"/>
    </row>
    <row r="233" spans="3:5" s="98" customFormat="1" ht="15" customHeight="1">
      <c r="C233" s="157"/>
      <c r="D233" s="157"/>
      <c r="E233" s="157"/>
    </row>
    <row r="234" spans="3:5" s="98" customFormat="1" ht="15" customHeight="1">
      <c r="C234" s="157"/>
      <c r="D234" s="157"/>
      <c r="E234" s="157"/>
    </row>
    <row r="235" spans="3:5" s="98" customFormat="1" ht="15" customHeight="1">
      <c r="C235" s="157"/>
      <c r="D235" s="157"/>
      <c r="E235" s="157"/>
    </row>
    <row r="236" spans="3:5" s="98" customFormat="1" ht="15" customHeight="1">
      <c r="C236" s="157"/>
      <c r="D236" s="157"/>
      <c r="E236" s="157"/>
    </row>
    <row r="237" spans="3:5" s="98" customFormat="1" ht="15" customHeight="1">
      <c r="C237" s="157"/>
      <c r="D237" s="157"/>
      <c r="E237" s="157"/>
    </row>
    <row r="238" spans="3:5" s="98" customFormat="1" ht="15" customHeight="1">
      <c r="C238" s="157"/>
      <c r="D238" s="157"/>
      <c r="E238" s="157"/>
    </row>
    <row r="239" spans="3:5" s="98" customFormat="1" ht="15" customHeight="1">
      <c r="C239" s="157"/>
      <c r="D239" s="157"/>
      <c r="E239" s="157"/>
    </row>
    <row r="240" spans="3:5" s="98" customFormat="1" ht="15" customHeight="1">
      <c r="C240" s="157"/>
      <c r="D240" s="157"/>
      <c r="E240" s="157"/>
    </row>
    <row r="241" spans="2:24" s="98" customFormat="1" ht="15" customHeight="1">
      <c r="C241" s="157"/>
      <c r="D241" s="157"/>
      <c r="E241" s="157"/>
    </row>
    <row r="242" spans="2:24">
      <c r="B242" s="173"/>
      <c r="C242" s="898"/>
      <c r="D242" s="898"/>
      <c r="E242" s="898"/>
      <c r="F242" s="173"/>
      <c r="I242" s="173"/>
      <c r="X242" s="173"/>
    </row>
    <row r="243" spans="2:24" s="100" customFormat="1" ht="30" customHeight="1">
      <c r="C243" s="113"/>
      <c r="D243" s="113"/>
      <c r="E243" s="113"/>
    </row>
    <row r="244" spans="2:24" s="157" customFormat="1" ht="30" customHeight="1"/>
    <row r="245" spans="2:24" s="98" customFormat="1" ht="15" customHeight="1">
      <c r="C245" s="157"/>
      <c r="D245" s="157"/>
      <c r="E245" s="157"/>
    </row>
    <row r="246" spans="2:24" s="98" customFormat="1" ht="15" customHeight="1">
      <c r="C246" s="157"/>
      <c r="D246" s="157"/>
      <c r="E246" s="157"/>
    </row>
    <row r="247" spans="2:24" s="98" customFormat="1" ht="15" customHeight="1">
      <c r="C247" s="157"/>
      <c r="D247" s="157"/>
      <c r="E247" s="157"/>
    </row>
    <row r="248" spans="2:24" s="98" customFormat="1" ht="15" customHeight="1">
      <c r="C248" s="157"/>
      <c r="D248" s="157"/>
      <c r="E248" s="157"/>
    </row>
    <row r="249" spans="2:24" s="98" customFormat="1" ht="15" customHeight="1">
      <c r="C249" s="157"/>
      <c r="D249" s="157"/>
      <c r="E249" s="157"/>
    </row>
    <row r="250" spans="2:24" s="98" customFormat="1" ht="15" customHeight="1">
      <c r="C250" s="157"/>
      <c r="D250" s="157"/>
      <c r="E250" s="157"/>
    </row>
    <row r="251" spans="2:24" s="98" customFormat="1" ht="15" customHeight="1">
      <c r="C251" s="157"/>
      <c r="D251" s="157"/>
      <c r="E251" s="157"/>
    </row>
    <row r="252" spans="2:24" s="98" customFormat="1" ht="15" customHeight="1">
      <c r="C252" s="157"/>
      <c r="D252" s="157"/>
      <c r="E252" s="157"/>
    </row>
    <row r="253" spans="2:24">
      <c r="B253" s="173"/>
      <c r="C253" s="898"/>
      <c r="D253" s="898"/>
      <c r="E253" s="898"/>
      <c r="F253" s="173"/>
      <c r="I253" s="173"/>
      <c r="X253" s="173"/>
    </row>
    <row r="254" spans="2:24" s="100" customFormat="1" ht="30" customHeight="1">
      <c r="C254" s="113"/>
      <c r="D254" s="113"/>
      <c r="E254" s="113"/>
    </row>
    <row r="255" spans="2:24" s="157" customFormat="1" ht="30" customHeight="1"/>
    <row r="256" spans="2:24" s="98" customFormat="1" ht="15" customHeight="1">
      <c r="C256" s="157"/>
      <c r="D256" s="157"/>
      <c r="E256" s="157"/>
    </row>
    <row r="257" spans="2:24" s="98" customFormat="1" ht="15" customHeight="1">
      <c r="C257" s="157"/>
      <c r="D257" s="157"/>
      <c r="E257" s="157"/>
    </row>
    <row r="258" spans="2:24" s="98" customFormat="1" ht="15" customHeight="1">
      <c r="C258" s="157"/>
      <c r="D258" s="157"/>
      <c r="E258" s="157"/>
    </row>
    <row r="259" spans="2:24">
      <c r="B259" s="173"/>
      <c r="C259" s="898"/>
      <c r="D259" s="898"/>
      <c r="E259" s="898"/>
      <c r="F259" s="173"/>
      <c r="I259" s="173"/>
      <c r="X259" s="173"/>
    </row>
    <row r="260" spans="2:24" s="100" customFormat="1" ht="30" customHeight="1">
      <c r="C260" s="113"/>
      <c r="D260" s="113"/>
      <c r="E260" s="113"/>
    </row>
    <row r="261" spans="2:24" s="157" customFormat="1" ht="30" customHeight="1"/>
    <row r="262" spans="2:24" s="98" customFormat="1" ht="15" customHeight="1">
      <c r="C262" s="157"/>
      <c r="D262" s="157"/>
      <c r="E262" s="157"/>
    </row>
    <row r="263" spans="2:24" s="98" customFormat="1" ht="15" customHeight="1">
      <c r="C263" s="157"/>
      <c r="D263" s="157"/>
      <c r="E263" s="157"/>
    </row>
    <row r="264" spans="2:24" s="98" customFormat="1" ht="15" customHeight="1">
      <c r="C264" s="157"/>
      <c r="D264" s="157"/>
      <c r="E264" s="157"/>
    </row>
    <row r="265" spans="2:24">
      <c r="B265" s="173"/>
      <c r="C265" s="898"/>
      <c r="D265" s="898"/>
      <c r="E265" s="898"/>
      <c r="F265" s="173"/>
      <c r="I265" s="173"/>
      <c r="X265" s="173"/>
    </row>
    <row r="266" spans="2:24" s="100" customFormat="1" ht="30" customHeight="1">
      <c r="C266" s="113"/>
      <c r="D266" s="113"/>
      <c r="E266" s="113"/>
    </row>
    <row r="267" spans="2:24" s="157" customFormat="1" ht="30" customHeight="1"/>
    <row r="268" spans="2:24" s="98" customFormat="1" ht="15" customHeight="1">
      <c r="C268" s="157"/>
      <c r="D268" s="157"/>
      <c r="E268" s="157"/>
    </row>
    <row r="269" spans="2:24" s="98" customFormat="1" ht="15" customHeight="1">
      <c r="C269" s="157"/>
      <c r="D269" s="157"/>
      <c r="E269" s="157"/>
    </row>
    <row r="270" spans="2:24" s="98" customFormat="1" ht="15" customHeight="1">
      <c r="C270" s="157"/>
      <c r="D270" s="157"/>
      <c r="E270" s="157"/>
    </row>
    <row r="271" spans="2:24" s="98" customFormat="1" ht="15" customHeight="1">
      <c r="C271" s="157"/>
      <c r="D271" s="157"/>
      <c r="E271" s="157"/>
    </row>
    <row r="283" spans="8:14">
      <c r="H283" s="174"/>
      <c r="I283" s="174"/>
      <c r="J283" s="174"/>
      <c r="K283" s="174"/>
      <c r="L283" s="174"/>
      <c r="M283" s="174"/>
      <c r="N283" s="174"/>
    </row>
    <row r="284" spans="8:14">
      <c r="H284" s="174"/>
      <c r="I284" s="174"/>
      <c r="J284" s="174"/>
      <c r="K284" s="174"/>
      <c r="L284" s="174"/>
      <c r="M284" s="174"/>
      <c r="N284" s="174"/>
    </row>
    <row r="285" spans="8:14">
      <c r="H285" s="174"/>
      <c r="I285" s="174"/>
      <c r="J285" s="174"/>
      <c r="K285" s="174"/>
      <c r="L285" s="174"/>
      <c r="M285" s="174"/>
      <c r="N285" s="174"/>
    </row>
  </sheetData>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tabColor rgb="FF00B050"/>
  </sheetPr>
  <dimension ref="A1:BJ261"/>
  <sheetViews>
    <sheetView showGridLines="0" topLeftCell="C43" zoomScale="80" zoomScaleNormal="80" workbookViewId="0">
      <selection activeCell="T53" sqref="T53"/>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11.875" style="173" customWidth="1"/>
    <col min="24" max="24" width="11.875" style="175"/>
    <col min="25" max="37" width="11.875" style="173"/>
    <col min="38" max="38" width="11.875" style="173" customWidth="1"/>
    <col min="39" max="39" width="11.875" style="175"/>
    <col min="40" max="45" width="11.875" style="173"/>
    <col min="46" max="46" width="11.875" style="173" customWidth="1"/>
    <col min="47" max="50" width="14.125" style="173" customWidth="1"/>
    <col min="51" max="51" width="11.875" style="173" customWidth="1"/>
    <col min="52" max="52" width="11.875" style="173"/>
    <col min="53" max="53" width="11.875" style="175"/>
    <col min="54" max="16384" width="11.875" style="173"/>
  </cols>
  <sheetData>
    <row r="1" spans="1:62" s="2" customFormat="1" ht="25.15" customHeight="1">
      <c r="A1" s="1" t="s">
        <v>0</v>
      </c>
      <c r="G1" s="3"/>
      <c r="J1" s="4" t="s">
        <v>1</v>
      </c>
      <c r="L1" s="3"/>
    </row>
    <row r="2" spans="1:62" s="2" customFormat="1" ht="25.15" customHeight="1">
      <c r="A2" s="5" t="str">
        <f>Fixed_Data!I12</f>
        <v>MASTER</v>
      </c>
      <c r="B2" s="6"/>
      <c r="D2" s="7"/>
      <c r="E2" s="7"/>
      <c r="F2" s="7"/>
      <c r="G2" s="3"/>
    </row>
    <row r="3" spans="1:62" s="9" customFormat="1" ht="25.15" customHeight="1" thickBot="1">
      <c r="A3" s="8" t="str">
        <f>Fixed_Data!A3</f>
        <v>RIIO-GD2</v>
      </c>
      <c r="D3" s="10"/>
      <c r="E3" s="10"/>
      <c r="F3" s="10"/>
      <c r="G3" s="11"/>
    </row>
    <row r="4" spans="1:62" s="89" customFormat="1" ht="25.15" customHeight="1">
      <c r="B4" s="90" t="s">
        <v>2983</v>
      </c>
      <c r="C4" s="90"/>
      <c r="D4" s="90"/>
      <c r="E4" s="90"/>
      <c r="F4" s="90"/>
      <c r="G4" s="91"/>
      <c r="H4" s="92"/>
      <c r="I4" s="93"/>
      <c r="J4" s="94"/>
      <c r="K4" s="94"/>
      <c r="L4" s="94"/>
      <c r="M4" s="94"/>
      <c r="N4" s="94"/>
      <c r="O4" s="94"/>
      <c r="P4" s="94"/>
      <c r="Q4" s="94"/>
      <c r="R4" s="92"/>
      <c r="S4" s="92"/>
      <c r="T4" s="92"/>
      <c r="U4" s="92"/>
      <c r="V4" s="92"/>
      <c r="W4" s="92"/>
      <c r="X4" s="93"/>
      <c r="Y4" s="94"/>
      <c r="Z4" s="94"/>
      <c r="AA4" s="94"/>
      <c r="AB4" s="94"/>
      <c r="AC4" s="94"/>
      <c r="AD4" s="94"/>
      <c r="AE4" s="94"/>
      <c r="AF4" s="94"/>
      <c r="AG4" s="92"/>
      <c r="AH4" s="92"/>
      <c r="AI4" s="92"/>
      <c r="AJ4" s="92"/>
      <c r="AK4" s="92"/>
      <c r="AL4" s="92"/>
      <c r="AM4" s="93"/>
      <c r="AN4" s="94"/>
      <c r="AO4" s="94"/>
      <c r="AP4" s="94"/>
      <c r="AQ4" s="94"/>
      <c r="AR4" s="94"/>
      <c r="AS4" s="94"/>
      <c r="AT4" s="92"/>
      <c r="AU4" s="92"/>
      <c r="AV4" s="92"/>
      <c r="AW4" s="92"/>
      <c r="AX4" s="92"/>
      <c r="AY4" s="92"/>
      <c r="AZ4" s="92"/>
      <c r="BA4" s="92"/>
      <c r="BB4" s="92"/>
      <c r="BC4" s="92"/>
      <c r="BD4" s="94"/>
      <c r="BE4" s="92"/>
      <c r="BF4" s="92"/>
      <c r="BG4" s="92"/>
      <c r="BH4" s="92"/>
      <c r="BI4" s="92"/>
      <c r="BJ4" s="92"/>
    </row>
    <row r="5" spans="1:62" s="89" customFormat="1" ht="25.15" customHeight="1">
      <c r="B5" s="95"/>
      <c r="C5" s="95"/>
      <c r="D5" s="95"/>
      <c r="E5" s="95"/>
      <c r="F5" s="95"/>
      <c r="G5" s="95"/>
      <c r="H5" s="95"/>
      <c r="I5" s="93"/>
      <c r="J5" s="94"/>
      <c r="K5" s="94"/>
      <c r="L5" s="94"/>
      <c r="M5" s="94"/>
      <c r="N5" s="94"/>
      <c r="O5" s="94"/>
      <c r="P5" s="94"/>
      <c r="Q5" s="94"/>
      <c r="R5" s="92"/>
      <c r="S5" s="92"/>
      <c r="T5" s="92"/>
      <c r="U5" s="92"/>
      <c r="V5" s="92"/>
      <c r="W5" s="92"/>
      <c r="X5" s="93"/>
      <c r="Y5" s="94"/>
      <c r="Z5" s="94"/>
      <c r="AA5" s="94"/>
      <c r="AB5" s="94"/>
      <c r="AC5" s="94"/>
      <c r="AD5" s="94"/>
      <c r="AE5" s="94"/>
      <c r="AF5" s="94"/>
      <c r="AG5" s="92"/>
      <c r="AH5" s="92"/>
      <c r="AI5" s="92"/>
      <c r="AJ5" s="92"/>
      <c r="AK5" s="92"/>
      <c r="AL5" s="92"/>
      <c r="AM5" s="93"/>
      <c r="AN5" s="94"/>
      <c r="AO5" s="94"/>
      <c r="AP5" s="94"/>
      <c r="AQ5" s="94"/>
      <c r="AR5" s="94"/>
      <c r="AS5" s="94"/>
      <c r="AT5" s="92"/>
      <c r="AU5" s="92"/>
      <c r="AV5" s="92"/>
      <c r="AW5" s="92"/>
      <c r="AX5" s="92"/>
      <c r="AY5" s="92"/>
      <c r="AZ5" s="92"/>
      <c r="BA5" s="92"/>
      <c r="BB5" s="92"/>
      <c r="BC5" s="92"/>
      <c r="BD5" s="94"/>
      <c r="BE5" s="92"/>
      <c r="BF5" s="92"/>
      <c r="BG5" s="92"/>
      <c r="BH5" s="92"/>
      <c r="BI5" s="92"/>
      <c r="BJ5" s="92"/>
    </row>
    <row r="6" spans="1:62" s="89" customFormat="1" ht="15" customHeight="1">
      <c r="B6" s="95"/>
      <c r="C6" s="95"/>
      <c r="D6" s="95"/>
      <c r="E6" s="95"/>
      <c r="F6" s="95"/>
      <c r="G6" s="95"/>
      <c r="H6" s="95"/>
      <c r="I6" s="93"/>
      <c r="J6" s="94"/>
      <c r="K6" s="94"/>
      <c r="L6" s="94"/>
      <c r="M6" s="94"/>
      <c r="N6" s="94"/>
      <c r="O6" s="94"/>
      <c r="P6" s="94"/>
      <c r="Q6" s="94"/>
      <c r="R6" s="92"/>
      <c r="S6" s="92"/>
      <c r="T6" s="92"/>
      <c r="U6" s="92"/>
      <c r="V6" s="92"/>
      <c r="W6" s="92"/>
      <c r="X6" s="93"/>
      <c r="Y6" s="94"/>
      <c r="Z6" s="94"/>
      <c r="AA6" s="94"/>
      <c r="AB6" s="94"/>
      <c r="AC6" s="94"/>
      <c r="AD6" s="94"/>
      <c r="AE6" s="94"/>
      <c r="AF6" s="94"/>
      <c r="AG6" s="92"/>
      <c r="AH6" s="92"/>
      <c r="AI6" s="92"/>
      <c r="AJ6" s="92"/>
      <c r="AK6" s="92"/>
      <c r="AL6" s="92"/>
      <c r="AM6" s="93"/>
      <c r="AN6" s="94"/>
      <c r="AO6" s="94"/>
      <c r="AP6" s="94"/>
      <c r="AQ6" s="94"/>
      <c r="AR6" s="94"/>
      <c r="AS6" s="94"/>
      <c r="AT6" s="92"/>
      <c r="AU6" s="92"/>
      <c r="AV6" s="92"/>
      <c r="AW6" s="92"/>
      <c r="AX6" s="92"/>
      <c r="AY6" s="92"/>
      <c r="AZ6" s="92"/>
      <c r="BA6" s="92"/>
      <c r="BB6" s="92"/>
      <c r="BC6" s="92"/>
      <c r="BD6" s="94"/>
      <c r="BE6" s="92"/>
      <c r="BF6" s="92"/>
      <c r="BG6" s="92"/>
      <c r="BH6" s="92"/>
      <c r="BI6" s="92"/>
      <c r="BJ6" s="92"/>
    </row>
    <row r="7" spans="1:62"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6"/>
      <c r="Y7" s="97"/>
      <c r="Z7" s="97"/>
      <c r="AA7" s="97"/>
      <c r="AB7" s="97"/>
      <c r="AC7" s="97"/>
      <c r="AD7" s="97"/>
      <c r="AE7" s="97"/>
      <c r="AF7" s="97"/>
      <c r="AG7" s="97"/>
      <c r="AH7" s="97"/>
      <c r="AI7" s="97"/>
      <c r="AJ7" s="97"/>
      <c r="AK7" s="97"/>
      <c r="AL7" s="97"/>
      <c r="AM7" s="96"/>
      <c r="AN7" s="97"/>
      <c r="AO7" s="97"/>
      <c r="AP7" s="97"/>
      <c r="AQ7" s="97"/>
      <c r="AR7" s="97"/>
      <c r="AS7" s="97"/>
      <c r="AT7" s="97"/>
      <c r="AU7" s="97"/>
      <c r="AV7" s="97"/>
      <c r="AW7" s="97"/>
      <c r="AX7" s="97"/>
      <c r="AY7" s="97"/>
      <c r="AZ7" s="97"/>
      <c r="BA7" s="96"/>
      <c r="BB7" s="98"/>
      <c r="BC7" s="98"/>
      <c r="BD7" s="98"/>
      <c r="BE7" s="98"/>
      <c r="BF7" s="98"/>
      <c r="BG7" s="98"/>
      <c r="BH7" s="98"/>
      <c r="BI7" s="98"/>
      <c r="BJ7" s="98"/>
    </row>
    <row r="8" spans="1:62" s="100" customFormat="1" ht="30" customHeight="1" thickBot="1">
      <c r="A8" s="89"/>
      <c r="B8" s="621" t="s">
        <v>2984</v>
      </c>
      <c r="C8" s="102"/>
      <c r="D8" s="102"/>
      <c r="E8" s="102"/>
      <c r="F8" s="102"/>
      <c r="G8" s="103"/>
      <c r="H8" s="103"/>
      <c r="I8" s="105" t="s">
        <v>1869</v>
      </c>
      <c r="J8" s="106"/>
      <c r="K8" s="106"/>
      <c r="L8" s="106"/>
      <c r="M8" s="106"/>
      <c r="N8" s="106"/>
      <c r="O8" s="106"/>
      <c r="P8" s="106"/>
      <c r="Q8" s="106"/>
      <c r="R8" s="105"/>
      <c r="S8" s="105"/>
      <c r="T8" s="105"/>
      <c r="U8" s="105"/>
      <c r="V8" s="187"/>
    </row>
    <row r="9" spans="1:62"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row>
    <row r="10" spans="1:62"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62" s="98" customFormat="1" ht="15" customHeight="1">
      <c r="A11" s="99"/>
      <c r="B11" s="161"/>
      <c r="C11" s="180" t="s">
        <v>2985</v>
      </c>
      <c r="D11" s="162"/>
      <c r="E11" s="162"/>
      <c r="F11" s="162"/>
      <c r="G11" s="163"/>
      <c r="H11" s="163"/>
      <c r="I11" s="117"/>
      <c r="J11" s="159"/>
      <c r="K11" s="117"/>
      <c r="L11" s="117"/>
      <c r="M11" s="117"/>
      <c r="N11" s="117"/>
      <c r="O11" s="117"/>
      <c r="P11" s="117"/>
      <c r="Q11" s="160"/>
      <c r="R11" s="159"/>
      <c r="S11" s="117"/>
      <c r="T11" s="117"/>
      <c r="U11" s="117"/>
      <c r="V11" s="160"/>
    </row>
    <row r="12" spans="1:62" s="98" customFormat="1" ht="15" customHeight="1">
      <c r="A12" s="99"/>
      <c r="B12" s="161"/>
      <c r="C12" s="185"/>
      <c r="D12" s="162" t="s">
        <v>2986</v>
      </c>
      <c r="E12" s="162"/>
      <c r="F12" s="162"/>
      <c r="G12" s="162"/>
      <c r="H12" s="163"/>
      <c r="I12" s="164" t="s">
        <v>1876</v>
      </c>
      <c r="J12" s="165">
        <v>28798</v>
      </c>
      <c r="K12" s="166">
        <v>26936</v>
      </c>
      <c r="L12" s="166">
        <v>27498</v>
      </c>
      <c r="M12" s="166">
        <v>27607</v>
      </c>
      <c r="N12" s="166">
        <v>27163</v>
      </c>
      <c r="O12" s="166">
        <v>23528</v>
      </c>
      <c r="P12" s="166">
        <v>26428.266463554701</v>
      </c>
      <c r="Q12" s="167">
        <v>26240.390634603998</v>
      </c>
      <c r="R12" s="165">
        <v>26059.029838811301</v>
      </c>
      <c r="S12" s="166">
        <v>25886.8834748503</v>
      </c>
      <c r="T12" s="166">
        <v>25719.662965447798</v>
      </c>
      <c r="U12" s="166">
        <v>25560.091276421401</v>
      </c>
      <c r="V12" s="167">
        <v>25407.902454956002</v>
      </c>
    </row>
    <row r="13" spans="1:62" s="98" customFormat="1" ht="15" customHeight="1">
      <c r="A13" s="99"/>
      <c r="B13" s="161"/>
      <c r="C13" s="185"/>
      <c r="D13" s="162" t="s">
        <v>2987</v>
      </c>
      <c r="E13" s="162"/>
      <c r="F13" s="162"/>
      <c r="G13" s="162"/>
      <c r="H13" s="163"/>
      <c r="I13" s="164" t="s">
        <v>1876</v>
      </c>
      <c r="J13" s="165">
        <v>28789</v>
      </c>
      <c r="K13" s="166">
        <v>26933</v>
      </c>
      <c r="L13" s="166">
        <v>27487</v>
      </c>
      <c r="M13" s="166">
        <v>27600</v>
      </c>
      <c r="N13" s="166">
        <v>27088</v>
      </c>
      <c r="O13" s="166">
        <v>23515</v>
      </c>
      <c r="P13" s="166">
        <v>25635.418469648059</v>
      </c>
      <c r="Q13" s="167">
        <v>25453.178915565877</v>
      </c>
      <c r="R13" s="165">
        <v>25277.258943646961</v>
      </c>
      <c r="S13" s="166">
        <v>25110.276970604791</v>
      </c>
      <c r="T13" s="166">
        <v>24948.073076484365</v>
      </c>
      <c r="U13" s="166">
        <v>24793.28853812876</v>
      </c>
      <c r="V13" s="167">
        <v>24645.665381307321</v>
      </c>
    </row>
    <row r="14" spans="1:62" s="98" customFormat="1" ht="15" customHeight="1">
      <c r="A14" s="99"/>
      <c r="B14" s="161"/>
      <c r="C14" s="185"/>
      <c r="D14" s="162" t="s">
        <v>2987</v>
      </c>
      <c r="E14" s="162"/>
      <c r="F14" s="162"/>
      <c r="G14" s="162"/>
      <c r="H14" s="163"/>
      <c r="I14" s="164" t="s">
        <v>627</v>
      </c>
      <c r="J14" s="1103">
        <f>IF(J12,J13/J12,0)</f>
        <v>0.99968747829710392</v>
      </c>
      <c r="K14" s="1331">
        <f t="shared" ref="K14:V14" si="0">IF(K12,K13/K12,0)</f>
        <v>0.99988862488862484</v>
      </c>
      <c r="L14" s="1331">
        <f t="shared" si="0"/>
        <v>0.99959997090697505</v>
      </c>
      <c r="M14" s="1331">
        <f t="shared" si="0"/>
        <v>0.99974644112000577</v>
      </c>
      <c r="N14" s="1331">
        <f t="shared" si="0"/>
        <v>0.99723889113868125</v>
      </c>
      <c r="O14" s="1331">
        <f t="shared" si="0"/>
        <v>0.99944746684801089</v>
      </c>
      <c r="P14" s="2673">
        <f t="shared" si="0"/>
        <v>0.97</v>
      </c>
      <c r="Q14" s="2674">
        <f t="shared" si="0"/>
        <v>0.97</v>
      </c>
      <c r="R14" s="2675">
        <f t="shared" si="0"/>
        <v>0.97</v>
      </c>
      <c r="S14" s="2673">
        <f t="shared" si="0"/>
        <v>0.97</v>
      </c>
      <c r="T14" s="2673">
        <f t="shared" si="0"/>
        <v>0.97</v>
      </c>
      <c r="U14" s="2673">
        <f t="shared" si="0"/>
        <v>0.97000000000000008</v>
      </c>
      <c r="V14" s="2674">
        <f t="shared" si="0"/>
        <v>0.97</v>
      </c>
    </row>
    <row r="15" spans="1:62" s="98" customFormat="1" ht="15" customHeight="1">
      <c r="A15" s="99"/>
      <c r="B15" s="181"/>
      <c r="C15" s="185"/>
      <c r="D15" s="182"/>
      <c r="E15" s="182"/>
      <c r="F15" s="182"/>
      <c r="G15" s="184"/>
      <c r="H15" s="184"/>
      <c r="I15" s="117"/>
      <c r="J15" s="159"/>
      <c r="K15" s="163"/>
      <c r="L15" s="163"/>
      <c r="M15" s="163"/>
      <c r="N15" s="163"/>
      <c r="O15" s="163"/>
      <c r="P15" s="163"/>
      <c r="Q15" s="160"/>
      <c r="R15" s="171"/>
      <c r="S15" s="163"/>
      <c r="T15" s="163"/>
      <c r="U15" s="163"/>
      <c r="V15" s="160"/>
    </row>
    <row r="16" spans="1:62" s="98" customFormat="1" ht="15" customHeight="1">
      <c r="A16" s="99"/>
      <c r="B16" s="161"/>
      <c r="C16" s="180" t="s">
        <v>2988</v>
      </c>
      <c r="D16" s="162"/>
      <c r="E16" s="162"/>
      <c r="F16" s="162"/>
      <c r="G16" s="163"/>
      <c r="H16" s="163"/>
      <c r="I16" s="117"/>
      <c r="J16" s="159"/>
      <c r="K16" s="117"/>
      <c r="L16" s="117"/>
      <c r="M16" s="117"/>
      <c r="N16" s="117"/>
      <c r="O16" s="117"/>
      <c r="P16" s="117"/>
      <c r="Q16" s="160"/>
      <c r="R16" s="159"/>
      <c r="S16" s="117"/>
      <c r="T16" s="117"/>
      <c r="U16" s="117"/>
      <c r="V16" s="160"/>
    </row>
    <row r="17" spans="1:22" s="98" customFormat="1" ht="15" customHeight="1">
      <c r="A17" s="99"/>
      <c r="B17" s="161"/>
      <c r="C17" s="185"/>
      <c r="D17" s="162" t="s">
        <v>2989</v>
      </c>
      <c r="E17" s="162"/>
      <c r="F17" s="162"/>
      <c r="G17" s="162"/>
      <c r="H17" s="163"/>
      <c r="I17" s="164" t="s">
        <v>1876</v>
      </c>
      <c r="J17" s="165">
        <v>60492</v>
      </c>
      <c r="K17" s="166">
        <v>56510</v>
      </c>
      <c r="L17" s="166">
        <v>55955</v>
      </c>
      <c r="M17" s="166">
        <v>56525</v>
      </c>
      <c r="N17" s="166">
        <v>56421</v>
      </c>
      <c r="O17" s="166">
        <v>53374</v>
      </c>
      <c r="P17" s="166">
        <v>57807.314273451571</v>
      </c>
      <c r="Q17" s="167">
        <v>57381.112110309143</v>
      </c>
      <c r="R17" s="165">
        <v>56971.958033692397</v>
      </c>
      <c r="S17" s="166">
        <v>56579.170120140334</v>
      </c>
      <c r="T17" s="166">
        <v>56202.093723130354</v>
      </c>
      <c r="U17" s="166">
        <v>55840.100382000775</v>
      </c>
      <c r="V17" s="167">
        <v>55492.586774516378</v>
      </c>
    </row>
    <row r="18" spans="1:22" s="98" customFormat="1" ht="15" customHeight="1">
      <c r="A18" s="99"/>
      <c r="B18" s="161"/>
      <c r="C18" s="185"/>
      <c r="D18" s="162" t="s">
        <v>2987</v>
      </c>
      <c r="E18" s="162"/>
      <c r="F18" s="162"/>
      <c r="G18" s="162"/>
      <c r="H18" s="163"/>
      <c r="I18" s="164" t="s">
        <v>1876</v>
      </c>
      <c r="J18" s="165">
        <v>60403</v>
      </c>
      <c r="K18" s="166">
        <v>56428</v>
      </c>
      <c r="L18" s="166">
        <v>55821</v>
      </c>
      <c r="M18" s="166">
        <v>56387</v>
      </c>
      <c r="N18" s="166">
        <v>56203</v>
      </c>
      <c r="O18" s="166">
        <v>53240</v>
      </c>
      <c r="P18" s="166">
        <v>56073.094845248022</v>
      </c>
      <c r="Q18" s="167">
        <v>55659.678746999867</v>
      </c>
      <c r="R18" s="165">
        <v>55262.799292681622</v>
      </c>
      <c r="S18" s="166">
        <v>54881.795016536125</v>
      </c>
      <c r="T18" s="166">
        <v>54516.030911436443</v>
      </c>
      <c r="U18" s="166">
        <v>54164.897370540748</v>
      </c>
      <c r="V18" s="167">
        <v>53827.809171280882</v>
      </c>
    </row>
    <row r="19" spans="1:22" s="98" customFormat="1" ht="15" customHeight="1">
      <c r="A19" s="99"/>
      <c r="B19" s="161"/>
      <c r="C19" s="185"/>
      <c r="D19" s="162" t="s">
        <v>2987</v>
      </c>
      <c r="E19" s="162"/>
      <c r="F19" s="162"/>
      <c r="G19" s="162"/>
      <c r="H19" s="163"/>
      <c r="I19" s="164" t="s">
        <v>627</v>
      </c>
      <c r="J19" s="1103">
        <f>IF(J17,J18/J17,0)</f>
        <v>0.99852873107187723</v>
      </c>
      <c r="K19" s="1331">
        <f t="shared" ref="K19:V19" si="1">IF(K17,K18/K17,0)</f>
        <v>0.99854892939302775</v>
      </c>
      <c r="L19" s="1331">
        <f t="shared" si="1"/>
        <v>0.99760521847913497</v>
      </c>
      <c r="M19" s="1331">
        <f t="shared" si="1"/>
        <v>0.99755860238832372</v>
      </c>
      <c r="N19" s="1331">
        <f t="shared" si="1"/>
        <v>0.99613619042555079</v>
      </c>
      <c r="O19" s="1331">
        <f t="shared" si="1"/>
        <v>0.99748941432157978</v>
      </c>
      <c r="P19" s="1331">
        <f t="shared" si="1"/>
        <v>0.97</v>
      </c>
      <c r="Q19" s="1332">
        <f t="shared" si="1"/>
        <v>0.97</v>
      </c>
      <c r="R19" s="1103">
        <f t="shared" si="1"/>
        <v>0.97</v>
      </c>
      <c r="S19" s="1331">
        <f t="shared" si="1"/>
        <v>0.97</v>
      </c>
      <c r="T19" s="1331">
        <f t="shared" si="1"/>
        <v>0.97</v>
      </c>
      <c r="U19" s="1331">
        <f t="shared" si="1"/>
        <v>0.97</v>
      </c>
      <c r="V19" s="1332">
        <f t="shared" si="1"/>
        <v>0.96999999999999986</v>
      </c>
    </row>
    <row r="20" spans="1:22" s="98" customFormat="1" ht="15" customHeight="1">
      <c r="A20" s="99"/>
      <c r="B20" s="181"/>
      <c r="C20" s="185"/>
      <c r="D20" s="182"/>
      <c r="E20" s="182"/>
      <c r="F20" s="182"/>
      <c r="G20" s="184"/>
      <c r="H20" s="184"/>
      <c r="I20" s="117"/>
      <c r="J20" s="159"/>
      <c r="K20" s="163"/>
      <c r="L20" s="163"/>
      <c r="M20" s="163"/>
      <c r="N20" s="163"/>
      <c r="O20" s="163"/>
      <c r="P20" s="163"/>
      <c r="Q20" s="160"/>
      <c r="R20" s="171"/>
      <c r="S20" s="163"/>
      <c r="T20" s="163"/>
      <c r="U20" s="163"/>
      <c r="V20" s="160"/>
    </row>
    <row r="21" spans="1:22" s="98" customFormat="1" ht="15" customHeight="1">
      <c r="A21" s="99"/>
      <c r="B21" s="161"/>
      <c r="C21" s="180" t="s">
        <v>2990</v>
      </c>
      <c r="D21" s="162"/>
      <c r="E21" s="162"/>
      <c r="F21" s="162"/>
      <c r="G21" s="163"/>
      <c r="H21" s="163"/>
      <c r="I21" s="117"/>
      <c r="J21" s="159"/>
      <c r="K21" s="117"/>
      <c r="L21" s="117"/>
      <c r="M21" s="117"/>
      <c r="N21" s="117"/>
      <c r="O21" s="117"/>
      <c r="P21" s="117"/>
      <c r="Q21" s="160"/>
      <c r="R21" s="159"/>
      <c r="S21" s="117"/>
      <c r="T21" s="117"/>
      <c r="U21" s="117"/>
      <c r="V21" s="160"/>
    </row>
    <row r="22" spans="1:22" s="98" customFormat="1" ht="15" customHeight="1">
      <c r="A22" s="99"/>
      <c r="B22" s="161"/>
      <c r="C22" s="185"/>
      <c r="D22" s="162" t="s">
        <v>2991</v>
      </c>
      <c r="E22" s="162"/>
      <c r="F22" s="162"/>
      <c r="G22" s="162"/>
      <c r="H22" s="163"/>
      <c r="I22" s="164" t="s">
        <v>1876</v>
      </c>
      <c r="J22" s="165">
        <v>0</v>
      </c>
      <c r="K22" s="166">
        <v>0</v>
      </c>
      <c r="L22" s="166">
        <v>9958</v>
      </c>
      <c r="M22" s="166">
        <v>5884</v>
      </c>
      <c r="N22" s="166">
        <v>6640</v>
      </c>
      <c r="O22" s="166">
        <v>5811</v>
      </c>
      <c r="P22" s="166">
        <v>6293.6692629937252</v>
      </c>
      <c r="Q22" s="167">
        <v>6247.2672550868674</v>
      </c>
      <c r="R22" s="165">
        <v>6202.7213274962824</v>
      </c>
      <c r="S22" s="166">
        <v>6159.957237009321</v>
      </c>
      <c r="T22" s="166">
        <v>6118.9037101418389</v>
      </c>
      <c r="U22" s="166">
        <v>6079.4923243490557</v>
      </c>
      <c r="V22" s="167">
        <v>6041.6573939879836</v>
      </c>
    </row>
    <row r="23" spans="1:22" s="98" customFormat="1" ht="15" customHeight="1">
      <c r="A23" s="99"/>
      <c r="B23" s="161"/>
      <c r="C23" s="185"/>
      <c r="D23" s="162" t="s">
        <v>2987</v>
      </c>
      <c r="E23" s="162"/>
      <c r="F23" s="162"/>
      <c r="G23" s="162"/>
      <c r="H23" s="163"/>
      <c r="I23" s="164" t="s">
        <v>1876</v>
      </c>
      <c r="J23" s="165">
        <v>0</v>
      </c>
      <c r="K23" s="166">
        <v>0</v>
      </c>
      <c r="L23" s="166">
        <v>0</v>
      </c>
      <c r="M23" s="166">
        <v>0</v>
      </c>
      <c r="N23" s="166">
        <v>0</v>
      </c>
      <c r="O23" s="166">
        <v>0</v>
      </c>
      <c r="P23" s="166">
        <v>0</v>
      </c>
      <c r="Q23" s="167">
        <v>0</v>
      </c>
      <c r="R23" s="165">
        <v>0</v>
      </c>
      <c r="S23" s="166">
        <v>0</v>
      </c>
      <c r="T23" s="166">
        <v>0</v>
      </c>
      <c r="U23" s="166">
        <v>0</v>
      </c>
      <c r="V23" s="167">
        <v>0</v>
      </c>
    </row>
    <row r="24" spans="1:22" s="98" customFormat="1" ht="15" customHeight="1" thickBot="1">
      <c r="A24" s="99"/>
      <c r="B24" s="191"/>
      <c r="C24" s="192"/>
      <c r="D24" s="193" t="s">
        <v>2987</v>
      </c>
      <c r="E24" s="193"/>
      <c r="F24" s="193"/>
      <c r="G24" s="193"/>
      <c r="H24" s="194"/>
      <c r="I24" s="195" t="s">
        <v>627</v>
      </c>
      <c r="J24" s="1134">
        <f>IF(J22,J23/J22,0)</f>
        <v>0</v>
      </c>
      <c r="K24" s="1333">
        <f t="shared" ref="K24" si="2">IF(K22,K23/K22,0)</f>
        <v>0</v>
      </c>
      <c r="L24" s="1333">
        <f t="shared" ref="L24" si="3">IF(L22,L23/L22,0)</f>
        <v>0</v>
      </c>
      <c r="M24" s="1333">
        <f t="shared" ref="M24" si="4">IF(M22,M23/M22,0)</f>
        <v>0</v>
      </c>
      <c r="N24" s="1333">
        <f t="shared" ref="N24" si="5">IF(N22,N23/N22,0)</f>
        <v>0</v>
      </c>
      <c r="O24" s="1333">
        <f t="shared" ref="O24" si="6">IF(O22,O23/O22,0)</f>
        <v>0</v>
      </c>
      <c r="P24" s="1333">
        <f t="shared" ref="P24" si="7">IF(P22,P23/P22,0)</f>
        <v>0</v>
      </c>
      <c r="Q24" s="1334">
        <f t="shared" ref="Q24" si="8">IF(Q22,Q23/Q22,0)</f>
        <v>0</v>
      </c>
      <c r="R24" s="1134">
        <f t="shared" ref="R24" si="9">IF(R22,R23/R22,0)</f>
        <v>0</v>
      </c>
      <c r="S24" s="1333">
        <f t="shared" ref="S24" si="10">IF(S22,S23/S22,0)</f>
        <v>0</v>
      </c>
      <c r="T24" s="1333">
        <f t="shared" ref="T24" si="11">IF(T22,T23/T22,0)</f>
        <v>0</v>
      </c>
      <c r="U24" s="1333">
        <f t="shared" ref="U24" si="12">IF(U22,U23/U22,0)</f>
        <v>0</v>
      </c>
      <c r="V24" s="1334">
        <f t="shared" ref="V24" si="13">IF(V22,V23/V22,0)</f>
        <v>0</v>
      </c>
    </row>
    <row r="25" spans="1:22" s="99" customFormat="1" ht="15" customHeight="1" thickBot="1">
      <c r="B25" s="150"/>
      <c r="C25" s="150"/>
      <c r="D25" s="150"/>
      <c r="E25" s="150"/>
      <c r="F25" s="150"/>
      <c r="G25" s="97"/>
      <c r="H25" s="97"/>
      <c r="I25" s="98"/>
      <c r="J25" s="1559"/>
      <c r="K25" s="1559"/>
      <c r="L25" s="1559"/>
      <c r="M25" s="1559"/>
      <c r="N25" s="1559"/>
      <c r="O25" s="1559"/>
      <c r="P25" s="1559"/>
      <c r="Q25" s="1559"/>
      <c r="R25" s="1559"/>
      <c r="S25" s="1559"/>
      <c r="T25" s="1559"/>
      <c r="U25" s="1559"/>
      <c r="V25" s="1559"/>
    </row>
    <row r="26" spans="1:22" s="100" customFormat="1" ht="30" customHeight="1" thickBot="1">
      <c r="A26" s="89"/>
      <c r="B26" s="621" t="s">
        <v>2992</v>
      </c>
      <c r="C26" s="102"/>
      <c r="D26" s="102"/>
      <c r="E26" s="102"/>
      <c r="F26" s="102"/>
      <c r="G26" s="103"/>
      <c r="H26" s="103"/>
      <c r="I26" s="105" t="s">
        <v>1869</v>
      </c>
      <c r="J26" s="106"/>
      <c r="K26" s="106"/>
      <c r="L26" s="106"/>
      <c r="M26" s="106"/>
      <c r="N26" s="106"/>
      <c r="O26" s="106"/>
      <c r="P26" s="106"/>
      <c r="Q26" s="106"/>
      <c r="R26" s="105"/>
      <c r="S26" s="105"/>
      <c r="T26" s="105"/>
      <c r="U26" s="105"/>
      <c r="V26" s="187"/>
    </row>
    <row r="27" spans="1:22" s="157" customFormat="1" ht="30" customHeight="1">
      <c r="A27" s="99"/>
      <c r="B27" s="109"/>
      <c r="C27" s="110"/>
      <c r="D27" s="110"/>
      <c r="E27" s="110"/>
      <c r="F27" s="110"/>
      <c r="G27" s="111"/>
      <c r="H27" s="111"/>
      <c r="I27" s="117"/>
      <c r="J27" s="695" t="s">
        <v>1666</v>
      </c>
      <c r="K27" s="152"/>
      <c r="L27" s="152"/>
      <c r="M27" s="152"/>
      <c r="N27" s="152"/>
      <c r="O27" s="152"/>
      <c r="P27" s="152"/>
      <c r="Q27" s="153"/>
      <c r="R27" s="696" t="s">
        <v>2</v>
      </c>
      <c r="S27" s="155"/>
      <c r="T27" s="155"/>
      <c r="U27" s="155"/>
      <c r="V27" s="156"/>
    </row>
    <row r="28" spans="1:22" s="98" customFormat="1" ht="15" customHeight="1">
      <c r="A28" s="99"/>
      <c r="B28" s="115"/>
      <c r="C28" s="116"/>
      <c r="D28" s="116"/>
      <c r="E28" s="116"/>
      <c r="F28" s="116"/>
      <c r="G28" s="117"/>
      <c r="H28" s="117"/>
      <c r="I28" s="119" t="s">
        <v>1667</v>
      </c>
      <c r="J28" s="158" t="s">
        <v>453</v>
      </c>
      <c r="K28" s="137" t="s">
        <v>455</v>
      </c>
      <c r="L28" s="137" t="s">
        <v>457</v>
      </c>
      <c r="M28" s="137" t="s">
        <v>459</v>
      </c>
      <c r="N28" s="137" t="s">
        <v>461</v>
      </c>
      <c r="O28" s="137" t="s">
        <v>463</v>
      </c>
      <c r="P28" s="137" t="s">
        <v>465</v>
      </c>
      <c r="Q28" s="138" t="s">
        <v>467</v>
      </c>
      <c r="R28" s="120" t="s">
        <v>469</v>
      </c>
      <c r="S28" s="121" t="s">
        <v>471</v>
      </c>
      <c r="T28" s="121" t="s">
        <v>473</v>
      </c>
      <c r="U28" s="121" t="s">
        <v>475</v>
      </c>
      <c r="V28" s="122" t="s">
        <v>477</v>
      </c>
    </row>
    <row r="29" spans="1:22" s="98" customFormat="1" ht="15" customHeight="1">
      <c r="A29" s="99"/>
      <c r="B29" s="161"/>
      <c r="C29" s="180" t="s">
        <v>2993</v>
      </c>
      <c r="D29" s="162"/>
      <c r="E29" s="162"/>
      <c r="F29" s="162"/>
      <c r="G29" s="163"/>
      <c r="H29" s="163"/>
      <c r="I29" s="117"/>
      <c r="J29" s="159"/>
      <c r="K29" s="117"/>
      <c r="L29" s="117"/>
      <c r="M29" s="117"/>
      <c r="N29" s="117"/>
      <c r="O29" s="117"/>
      <c r="P29" s="117"/>
      <c r="Q29" s="160"/>
      <c r="R29" s="159"/>
      <c r="S29" s="117"/>
      <c r="T29" s="117"/>
      <c r="U29" s="117"/>
      <c r="V29" s="160"/>
    </row>
    <row r="30" spans="1:22" s="98" customFormat="1" ht="15" customHeight="1">
      <c r="A30" s="99"/>
      <c r="B30" s="161"/>
      <c r="C30" s="185"/>
      <c r="D30" s="98" t="s">
        <v>2994</v>
      </c>
      <c r="G30" s="162"/>
      <c r="H30" s="163"/>
      <c r="I30" s="164" t="s">
        <v>1876</v>
      </c>
      <c r="J30" s="165">
        <v>9579</v>
      </c>
      <c r="K30" s="166">
        <v>8466</v>
      </c>
      <c r="L30" s="166">
        <v>7047</v>
      </c>
      <c r="M30" s="166">
        <v>6631</v>
      </c>
      <c r="N30" s="166">
        <v>6359</v>
      </c>
      <c r="O30" s="166">
        <v>6929</v>
      </c>
      <c r="P30" s="166">
        <v>7395.9199408794193</v>
      </c>
      <c r="Q30" s="167">
        <v>7045.9199408794193</v>
      </c>
      <c r="R30" s="165">
        <v>6764.0831432442419</v>
      </c>
      <c r="S30" s="166">
        <v>6493.5198175144724</v>
      </c>
      <c r="T30" s="166">
        <v>6233.7790248138936</v>
      </c>
      <c r="U30" s="166">
        <v>5984.4278638213373</v>
      </c>
      <c r="V30" s="167">
        <v>5745.0507492684837</v>
      </c>
    </row>
    <row r="31" spans="1:22" s="98" customFormat="1" ht="15" customHeight="1">
      <c r="A31" s="99"/>
      <c r="B31" s="161"/>
      <c r="C31" s="185"/>
      <c r="D31" s="98" t="s">
        <v>2995</v>
      </c>
      <c r="G31" s="162"/>
      <c r="H31" s="163"/>
      <c r="I31" s="164" t="s">
        <v>1876</v>
      </c>
      <c r="J31" s="165">
        <v>12130</v>
      </c>
      <c r="K31" s="166">
        <v>8846</v>
      </c>
      <c r="L31" s="166">
        <v>8675</v>
      </c>
      <c r="M31" s="166">
        <v>7894</v>
      </c>
      <c r="N31" s="166">
        <v>8047</v>
      </c>
      <c r="O31" s="166">
        <v>9309</v>
      </c>
      <c r="P31" s="166">
        <v>9804.0800591205807</v>
      </c>
      <c r="Q31" s="167">
        <v>9466.0800591205807</v>
      </c>
      <c r="R31" s="165">
        <v>9087.4368567557576</v>
      </c>
      <c r="S31" s="166">
        <v>8723.9393824855269</v>
      </c>
      <c r="T31" s="166">
        <v>8374.9818071861064</v>
      </c>
      <c r="U31" s="166">
        <v>8039.9825348986615</v>
      </c>
      <c r="V31" s="167">
        <v>7718.3832335027146</v>
      </c>
    </row>
    <row r="32" spans="1:22" s="98" customFormat="1" ht="15" customHeight="1">
      <c r="A32" s="99"/>
      <c r="B32" s="161"/>
      <c r="C32" s="185"/>
      <c r="D32" s="98" t="s">
        <v>2996</v>
      </c>
      <c r="G32" s="162"/>
      <c r="H32" s="163"/>
      <c r="I32" s="164" t="s">
        <v>1876</v>
      </c>
      <c r="J32" s="165">
        <v>0</v>
      </c>
      <c r="K32" s="166">
        <v>0</v>
      </c>
      <c r="L32" s="166">
        <v>0</v>
      </c>
      <c r="M32" s="166">
        <v>0</v>
      </c>
      <c r="N32" s="166">
        <v>0</v>
      </c>
      <c r="O32" s="166" t="s">
        <v>1127</v>
      </c>
      <c r="P32" s="166">
        <v>0</v>
      </c>
      <c r="Q32" s="167">
        <v>0</v>
      </c>
      <c r="R32" s="165">
        <v>0</v>
      </c>
      <c r="S32" s="166">
        <v>0</v>
      </c>
      <c r="T32" s="166">
        <v>0</v>
      </c>
      <c r="U32" s="166">
        <v>0</v>
      </c>
      <c r="V32" s="167">
        <v>0</v>
      </c>
    </row>
    <row r="33" spans="1:22" s="98" customFormat="1" ht="15" customHeight="1">
      <c r="A33" s="99"/>
      <c r="B33" s="161"/>
      <c r="C33" s="185"/>
      <c r="D33" s="98" t="s">
        <v>2997</v>
      </c>
      <c r="G33" s="162"/>
      <c r="H33" s="163"/>
      <c r="I33" s="164" t="s">
        <v>1876</v>
      </c>
      <c r="J33" s="165">
        <v>1897</v>
      </c>
      <c r="K33" s="166">
        <v>1957</v>
      </c>
      <c r="L33" s="166">
        <v>1927</v>
      </c>
      <c r="M33" s="166">
        <v>1654</v>
      </c>
      <c r="N33" s="166">
        <v>1608</v>
      </c>
      <c r="O33" s="166">
        <v>1617</v>
      </c>
      <c r="P33" s="166">
        <v>1600</v>
      </c>
      <c r="Q33" s="167">
        <v>1701.5</v>
      </c>
      <c r="R33" s="165">
        <v>1701.5</v>
      </c>
      <c r="S33" s="166">
        <v>1701.5</v>
      </c>
      <c r="T33" s="166">
        <v>1701.5</v>
      </c>
      <c r="U33" s="166">
        <v>1701.5</v>
      </c>
      <c r="V33" s="167">
        <v>1701.5</v>
      </c>
    </row>
    <row r="34" spans="1:22" s="98" customFormat="1" ht="15" customHeight="1">
      <c r="A34" s="99"/>
      <c r="B34" s="161"/>
      <c r="C34" s="185"/>
      <c r="D34" s="98" t="s">
        <v>2998</v>
      </c>
      <c r="G34" s="162"/>
      <c r="H34" s="163"/>
      <c r="I34" s="164" t="s">
        <v>1876</v>
      </c>
      <c r="J34" s="165">
        <v>0</v>
      </c>
      <c r="K34" s="166">
        <v>10</v>
      </c>
      <c r="L34" s="166">
        <v>12</v>
      </c>
      <c r="M34" s="166">
        <v>10</v>
      </c>
      <c r="N34" s="166">
        <v>4</v>
      </c>
      <c r="O34" s="166">
        <v>5</v>
      </c>
      <c r="P34" s="166">
        <v>5</v>
      </c>
      <c r="Q34" s="167">
        <v>7.75</v>
      </c>
      <c r="R34" s="165">
        <v>7.75</v>
      </c>
      <c r="S34" s="166">
        <v>7.75</v>
      </c>
      <c r="T34" s="166">
        <v>7.75</v>
      </c>
      <c r="U34" s="166">
        <v>7.75</v>
      </c>
      <c r="V34" s="167">
        <v>7.75</v>
      </c>
    </row>
    <row r="35" spans="1:22" s="98" customFormat="1" ht="15" customHeight="1">
      <c r="A35" s="99"/>
      <c r="B35" s="161"/>
      <c r="C35" s="185"/>
      <c r="D35" s="98" t="s">
        <v>2999</v>
      </c>
      <c r="G35" s="162"/>
      <c r="H35" s="163"/>
      <c r="I35" s="164" t="s">
        <v>1876</v>
      </c>
      <c r="J35" s="165">
        <v>591</v>
      </c>
      <c r="K35" s="166">
        <v>2803</v>
      </c>
      <c r="L35" s="166">
        <v>2599</v>
      </c>
      <c r="M35" s="166">
        <v>2487</v>
      </c>
      <c r="N35" s="166">
        <v>2654</v>
      </c>
      <c r="O35" s="166">
        <v>2360</v>
      </c>
      <c r="P35" s="166">
        <v>2595</v>
      </c>
      <c r="Q35" s="167">
        <v>2491</v>
      </c>
      <c r="R35" s="165">
        <v>2491</v>
      </c>
      <c r="S35" s="166">
        <v>2491</v>
      </c>
      <c r="T35" s="166">
        <v>2491</v>
      </c>
      <c r="U35" s="166">
        <v>2491</v>
      </c>
      <c r="V35" s="167">
        <v>2491</v>
      </c>
    </row>
    <row r="36" spans="1:22" s="98" customFormat="1" ht="15" customHeight="1">
      <c r="A36" s="99"/>
      <c r="B36" s="161"/>
      <c r="D36" s="185" t="s">
        <v>1710</v>
      </c>
      <c r="E36" s="185"/>
      <c r="F36" s="185"/>
      <c r="G36" s="162"/>
      <c r="H36" s="163"/>
      <c r="I36" s="164" t="s">
        <v>1876</v>
      </c>
      <c r="J36" s="777">
        <f>SUM(J30:J35)</f>
        <v>24197</v>
      </c>
      <c r="K36" s="778">
        <f t="shared" ref="K36:V36" si="14">SUM(K30:K35)</f>
        <v>22082</v>
      </c>
      <c r="L36" s="778">
        <f t="shared" si="14"/>
        <v>20260</v>
      </c>
      <c r="M36" s="778">
        <f t="shared" si="14"/>
        <v>18676</v>
      </c>
      <c r="N36" s="778">
        <f t="shared" si="14"/>
        <v>18672</v>
      </c>
      <c r="O36" s="778">
        <f t="shared" si="14"/>
        <v>20220</v>
      </c>
      <c r="P36" s="778">
        <f t="shared" si="14"/>
        <v>21400</v>
      </c>
      <c r="Q36" s="779">
        <f t="shared" si="14"/>
        <v>20712.25</v>
      </c>
      <c r="R36" s="777">
        <f t="shared" si="14"/>
        <v>20051.77</v>
      </c>
      <c r="S36" s="778">
        <f t="shared" si="14"/>
        <v>19417.709199999998</v>
      </c>
      <c r="T36" s="778">
        <f t="shared" si="14"/>
        <v>18809.010832</v>
      </c>
      <c r="U36" s="778">
        <f t="shared" si="14"/>
        <v>18224.66039872</v>
      </c>
      <c r="V36" s="779">
        <f t="shared" si="14"/>
        <v>17663.683982771199</v>
      </c>
    </row>
    <row r="37" spans="1:22" s="98" customFormat="1" ht="15" customHeight="1">
      <c r="A37" s="99"/>
      <c r="B37" s="181"/>
      <c r="C37" s="185"/>
      <c r="D37" s="182"/>
      <c r="E37" s="182"/>
      <c r="F37" s="182"/>
      <c r="G37" s="184"/>
      <c r="H37" s="184"/>
      <c r="I37" s="117"/>
      <c r="J37" s="878"/>
      <c r="K37" s="879"/>
      <c r="L37" s="879"/>
      <c r="M37" s="879"/>
      <c r="N37" s="879"/>
      <c r="O37" s="879"/>
      <c r="P37" s="2677"/>
      <c r="Q37" s="2678"/>
      <c r="R37" s="2677"/>
      <c r="S37" s="2677"/>
      <c r="T37" s="2677"/>
      <c r="U37" s="2677"/>
      <c r="V37" s="2678"/>
    </row>
    <row r="38" spans="1:22" s="98" customFormat="1" ht="15" customHeight="1">
      <c r="A38" s="99"/>
      <c r="B38" s="161"/>
      <c r="C38" s="180" t="s">
        <v>3000</v>
      </c>
      <c r="D38" s="162"/>
      <c r="E38" s="162"/>
      <c r="F38" s="162"/>
      <c r="G38" s="163"/>
      <c r="H38" s="163"/>
      <c r="I38" s="117"/>
      <c r="J38" s="878"/>
      <c r="K38" s="881"/>
      <c r="L38" s="881"/>
      <c r="M38" s="881"/>
      <c r="N38" s="881"/>
      <c r="O38" s="881"/>
      <c r="P38" s="881"/>
      <c r="Q38" s="880"/>
      <c r="R38" s="878"/>
      <c r="S38" s="881"/>
      <c r="T38" s="881"/>
      <c r="U38" s="881"/>
      <c r="V38" s="880"/>
    </row>
    <row r="39" spans="1:22" s="98" customFormat="1" ht="15" customHeight="1">
      <c r="A39" s="99"/>
      <c r="B39" s="161"/>
      <c r="C39" s="185"/>
      <c r="D39" s="98" t="s">
        <v>3001</v>
      </c>
      <c r="G39" s="162"/>
      <c r="H39" s="163"/>
      <c r="I39" s="164" t="s">
        <v>1876</v>
      </c>
      <c r="J39" s="165">
        <v>47128</v>
      </c>
      <c r="K39" s="166">
        <v>22370</v>
      </c>
      <c r="L39" s="166">
        <v>22086</v>
      </c>
      <c r="M39" s="166">
        <v>21809</v>
      </c>
      <c r="N39" s="166">
        <v>22298</v>
      </c>
      <c r="O39" s="166">
        <v>21039</v>
      </c>
      <c r="P39" s="166">
        <v>22140.75</v>
      </c>
      <c r="Q39" s="167">
        <v>22140.75</v>
      </c>
      <c r="R39" s="165">
        <v>22140.75</v>
      </c>
      <c r="S39" s="166">
        <v>22140.75</v>
      </c>
      <c r="T39" s="166">
        <v>22140.75</v>
      </c>
      <c r="U39" s="166">
        <v>22140.75</v>
      </c>
      <c r="V39" s="167">
        <v>22140.75</v>
      </c>
    </row>
    <row r="40" spans="1:22" s="98" customFormat="1" ht="15" customHeight="1">
      <c r="A40" s="99"/>
      <c r="B40" s="161"/>
      <c r="C40" s="185"/>
      <c r="D40" s="98" t="s">
        <v>3002</v>
      </c>
      <c r="G40" s="162"/>
      <c r="H40" s="163"/>
      <c r="I40" s="164" t="s">
        <v>1876</v>
      </c>
      <c r="J40" s="165">
        <v>950</v>
      </c>
      <c r="K40" s="166">
        <v>2559</v>
      </c>
      <c r="L40" s="166">
        <v>2746</v>
      </c>
      <c r="M40" s="166">
        <v>2622</v>
      </c>
      <c r="N40" s="166">
        <v>2274</v>
      </c>
      <c r="O40" s="166">
        <v>2315</v>
      </c>
      <c r="P40" s="166">
        <v>2550.25</v>
      </c>
      <c r="Q40" s="167">
        <v>2550.25</v>
      </c>
      <c r="R40" s="165">
        <v>2550.25</v>
      </c>
      <c r="S40" s="166">
        <v>2550.25</v>
      </c>
      <c r="T40" s="166">
        <v>2550.25</v>
      </c>
      <c r="U40" s="166">
        <v>2550.25</v>
      </c>
      <c r="V40" s="167">
        <v>2550.25</v>
      </c>
    </row>
    <row r="41" spans="1:22" s="98" customFormat="1" ht="15" customHeight="1">
      <c r="A41" s="99"/>
      <c r="B41" s="161"/>
      <c r="C41" s="185"/>
      <c r="D41" s="98" t="s">
        <v>3003</v>
      </c>
      <c r="G41" s="162"/>
      <c r="H41" s="163"/>
      <c r="I41" s="164" t="s">
        <v>1876</v>
      </c>
      <c r="J41" s="165">
        <v>24226</v>
      </c>
      <c r="K41" s="166">
        <v>40602</v>
      </c>
      <c r="L41" s="166">
        <v>51393</v>
      </c>
      <c r="M41" s="166">
        <v>43014</v>
      </c>
      <c r="N41" s="166">
        <v>47873</v>
      </c>
      <c r="O41" s="166">
        <v>41045</v>
      </c>
      <c r="P41" s="166">
        <v>45720.5</v>
      </c>
      <c r="Q41" s="167">
        <v>45720.5</v>
      </c>
      <c r="R41" s="165">
        <v>45720.5</v>
      </c>
      <c r="S41" s="166">
        <v>45720.5</v>
      </c>
      <c r="T41" s="166">
        <v>45720.5</v>
      </c>
      <c r="U41" s="166">
        <v>45720.5</v>
      </c>
      <c r="V41" s="167">
        <v>45720.5</v>
      </c>
    </row>
    <row r="42" spans="1:22" s="98" customFormat="1" ht="15" customHeight="1">
      <c r="A42" s="99"/>
      <c r="B42" s="161"/>
      <c r="D42" s="185" t="s">
        <v>1710</v>
      </c>
      <c r="E42" s="185"/>
      <c r="F42" s="185"/>
      <c r="G42" s="162"/>
      <c r="H42" s="163"/>
      <c r="I42" s="164" t="s">
        <v>1876</v>
      </c>
      <c r="J42" s="777">
        <f>SUM(J39:J41)</f>
        <v>72304</v>
      </c>
      <c r="K42" s="778">
        <f t="shared" ref="K42:V42" si="15">SUM(K39:K41)</f>
        <v>65531</v>
      </c>
      <c r="L42" s="778">
        <f t="shared" si="15"/>
        <v>76225</v>
      </c>
      <c r="M42" s="778">
        <f t="shared" si="15"/>
        <v>67445</v>
      </c>
      <c r="N42" s="778">
        <f t="shared" si="15"/>
        <v>72445</v>
      </c>
      <c r="O42" s="778">
        <f t="shared" si="15"/>
        <v>64399</v>
      </c>
      <c r="P42" s="778">
        <f t="shared" si="15"/>
        <v>70411.5</v>
      </c>
      <c r="Q42" s="779">
        <f t="shared" si="15"/>
        <v>70411.5</v>
      </c>
      <c r="R42" s="777">
        <f t="shared" si="15"/>
        <v>70411.5</v>
      </c>
      <c r="S42" s="778">
        <f t="shared" si="15"/>
        <v>70411.5</v>
      </c>
      <c r="T42" s="778">
        <f t="shared" si="15"/>
        <v>70411.5</v>
      </c>
      <c r="U42" s="778">
        <f t="shared" si="15"/>
        <v>70411.5</v>
      </c>
      <c r="V42" s="779">
        <f t="shared" si="15"/>
        <v>70411.5</v>
      </c>
    </row>
    <row r="43" spans="1:22" s="98" customFormat="1" ht="15" customHeight="1">
      <c r="A43" s="99"/>
      <c r="B43" s="181"/>
      <c r="C43" s="185"/>
      <c r="D43" s="182"/>
      <c r="E43" s="182"/>
      <c r="F43" s="182"/>
      <c r="G43" s="184"/>
      <c r="H43" s="184"/>
      <c r="I43" s="117"/>
      <c r="J43" s="878"/>
      <c r="K43" s="879"/>
      <c r="L43" s="879"/>
      <c r="M43" s="879"/>
      <c r="N43" s="879"/>
      <c r="O43" s="879"/>
      <c r="P43" s="2676"/>
      <c r="Q43" s="880"/>
      <c r="R43" s="879"/>
      <c r="S43" s="879"/>
      <c r="T43" s="879"/>
      <c r="U43" s="879"/>
      <c r="V43" s="880"/>
    </row>
    <row r="44" spans="1:22" s="98" customFormat="1" ht="15" customHeight="1" thickBot="1">
      <c r="A44" s="99"/>
      <c r="B44" s="239" t="s">
        <v>1701</v>
      </c>
      <c r="C44" s="240"/>
      <c r="D44" s="240"/>
      <c r="E44" s="240"/>
      <c r="F44" s="240"/>
      <c r="G44" s="241"/>
      <c r="H44" s="241"/>
      <c r="I44" s="195" t="s">
        <v>1876</v>
      </c>
      <c r="J44" s="873">
        <f>SUM(J36,J42)</f>
        <v>96501</v>
      </c>
      <c r="K44" s="781">
        <f t="shared" ref="K44:V44" si="16">SUM(K36,K42)</f>
        <v>87613</v>
      </c>
      <c r="L44" s="781">
        <f t="shared" si="16"/>
        <v>96485</v>
      </c>
      <c r="M44" s="781">
        <f t="shared" si="16"/>
        <v>86121</v>
      </c>
      <c r="N44" s="781">
        <f t="shared" si="16"/>
        <v>91117</v>
      </c>
      <c r="O44" s="781">
        <f t="shared" si="16"/>
        <v>84619</v>
      </c>
      <c r="P44" s="781">
        <f t="shared" si="16"/>
        <v>91811.5</v>
      </c>
      <c r="Q44" s="874">
        <f t="shared" si="16"/>
        <v>91123.75</v>
      </c>
      <c r="R44" s="873">
        <f t="shared" si="16"/>
        <v>90463.27</v>
      </c>
      <c r="S44" s="781">
        <f t="shared" si="16"/>
        <v>89829.209199999998</v>
      </c>
      <c r="T44" s="781">
        <f t="shared" si="16"/>
        <v>89220.510832</v>
      </c>
      <c r="U44" s="781">
        <f t="shared" si="16"/>
        <v>88636.160398720007</v>
      </c>
      <c r="V44" s="874">
        <f t="shared" si="16"/>
        <v>88075.183982771196</v>
      </c>
    </row>
    <row r="45" spans="1:22" s="99" customFormat="1" ht="15" customHeight="1" thickBot="1">
      <c r="B45" s="150"/>
      <c r="C45" s="150"/>
      <c r="D45" s="150"/>
      <c r="E45" s="150"/>
      <c r="F45" s="150"/>
      <c r="G45" s="97"/>
      <c r="H45" s="97"/>
      <c r="I45" s="98"/>
      <c r="J45" s="98"/>
      <c r="K45" s="98"/>
      <c r="L45" s="98"/>
      <c r="M45" s="98"/>
      <c r="N45" s="98"/>
      <c r="O45" s="98"/>
      <c r="P45" s="98"/>
      <c r="Q45" s="98"/>
      <c r="R45" s="98"/>
      <c r="S45" s="98"/>
      <c r="T45" s="98"/>
      <c r="U45" s="98"/>
      <c r="V45" s="98"/>
    </row>
    <row r="46" spans="1:22" s="100" customFormat="1" ht="30" customHeight="1" thickBot="1">
      <c r="A46" s="89"/>
      <c r="B46" s="621" t="s">
        <v>3004</v>
      </c>
      <c r="C46" s="102"/>
      <c r="D46" s="102"/>
      <c r="E46" s="102"/>
      <c r="F46" s="102"/>
      <c r="G46" s="103"/>
      <c r="H46" s="103"/>
      <c r="I46" s="105" t="s">
        <v>1869</v>
      </c>
      <c r="J46" s="106"/>
      <c r="K46" s="106"/>
      <c r="L46" s="106"/>
      <c r="M46" s="106"/>
      <c r="N46" s="106"/>
      <c r="O46" s="106"/>
      <c r="P46" s="106"/>
      <c r="Q46" s="106"/>
      <c r="R46" s="105"/>
      <c r="S46" s="105"/>
      <c r="T46" s="105"/>
      <c r="U46" s="105"/>
      <c r="V46" s="187"/>
    </row>
    <row r="47" spans="1:22" s="157" customFormat="1" ht="30" customHeight="1">
      <c r="A47" s="99"/>
      <c r="B47" s="109"/>
      <c r="C47" s="110"/>
      <c r="D47" s="110"/>
      <c r="E47" s="110"/>
      <c r="F47" s="110"/>
      <c r="G47" s="111"/>
      <c r="H47" s="111"/>
      <c r="I47" s="117"/>
      <c r="J47" s="695" t="s">
        <v>1666</v>
      </c>
      <c r="K47" s="152"/>
      <c r="L47" s="152"/>
      <c r="M47" s="152"/>
      <c r="N47" s="152"/>
      <c r="O47" s="152"/>
      <c r="P47" s="152"/>
      <c r="Q47" s="153"/>
      <c r="R47" s="696" t="s">
        <v>2</v>
      </c>
      <c r="S47" s="155"/>
      <c r="T47" s="155"/>
      <c r="U47" s="155"/>
      <c r="V47" s="156"/>
    </row>
    <row r="48" spans="1:22" s="98" customFormat="1" ht="15" customHeight="1">
      <c r="A48" s="99"/>
      <c r="B48" s="115"/>
      <c r="C48" s="116"/>
      <c r="D48" s="116"/>
      <c r="E48" s="116"/>
      <c r="F48" s="116"/>
      <c r="G48" s="117"/>
      <c r="H48" s="117"/>
      <c r="I48" s="119" t="s">
        <v>1667</v>
      </c>
      <c r="J48" s="158" t="s">
        <v>453</v>
      </c>
      <c r="K48" s="137" t="s">
        <v>455</v>
      </c>
      <c r="L48" s="137" t="s">
        <v>457</v>
      </c>
      <c r="M48" s="137" t="s">
        <v>459</v>
      </c>
      <c r="N48" s="137" t="s">
        <v>461</v>
      </c>
      <c r="O48" s="137" t="s">
        <v>463</v>
      </c>
      <c r="P48" s="137" t="s">
        <v>465</v>
      </c>
      <c r="Q48" s="138" t="s">
        <v>467</v>
      </c>
      <c r="R48" s="120" t="s">
        <v>469</v>
      </c>
      <c r="S48" s="121" t="s">
        <v>471</v>
      </c>
      <c r="T48" s="121" t="s">
        <v>473</v>
      </c>
      <c r="U48" s="121" t="s">
        <v>475</v>
      </c>
      <c r="V48" s="122" t="s">
        <v>477</v>
      </c>
    </row>
    <row r="49" spans="1:22" s="98" customFormat="1" ht="15" customHeight="1">
      <c r="A49" s="99"/>
      <c r="B49" s="161"/>
      <c r="C49" s="180" t="s">
        <v>3005</v>
      </c>
      <c r="D49" s="162"/>
      <c r="E49" s="162"/>
      <c r="F49" s="162"/>
      <c r="G49" s="163"/>
      <c r="H49" s="163"/>
      <c r="I49" s="117"/>
      <c r="J49" s="159"/>
      <c r="K49" s="117"/>
      <c r="L49" s="117"/>
      <c r="M49" s="117"/>
      <c r="N49" s="117"/>
      <c r="O49" s="117"/>
      <c r="P49" s="117"/>
      <c r="Q49" s="160"/>
      <c r="R49" s="159"/>
      <c r="S49" s="117"/>
      <c r="T49" s="117"/>
      <c r="U49" s="117"/>
      <c r="V49" s="160"/>
    </row>
    <row r="50" spans="1:22" s="98" customFormat="1" ht="15" customHeight="1">
      <c r="A50" s="99"/>
      <c r="B50" s="161"/>
      <c r="C50" s="185"/>
      <c r="D50" s="98" t="s">
        <v>2862</v>
      </c>
      <c r="G50" s="162"/>
      <c r="H50" s="163"/>
      <c r="I50" s="164" t="s">
        <v>1876</v>
      </c>
      <c r="J50" s="165">
        <v>1950</v>
      </c>
      <c r="K50" s="166">
        <v>1344</v>
      </c>
      <c r="L50" s="166">
        <v>1265</v>
      </c>
      <c r="M50" s="166">
        <v>1045</v>
      </c>
      <c r="N50" s="166">
        <v>1106</v>
      </c>
      <c r="O50" s="166">
        <v>1298</v>
      </c>
      <c r="P50" s="166">
        <v>1385.4674676376803</v>
      </c>
      <c r="Q50" s="167">
        <v>1319.9024510407689</v>
      </c>
      <c r="R50" s="165">
        <v>1267.1063529991382</v>
      </c>
      <c r="S50" s="166">
        <v>1216.4220988791728</v>
      </c>
      <c r="T50" s="166">
        <v>1167.7652149240059</v>
      </c>
      <c r="U50" s="166">
        <v>1121.0546063270456</v>
      </c>
      <c r="V50" s="167">
        <v>1076.2124220739638</v>
      </c>
    </row>
    <row r="51" spans="1:22" s="98" customFormat="1" ht="15" customHeight="1">
      <c r="A51" s="99"/>
      <c r="B51" s="161"/>
      <c r="C51" s="185"/>
      <c r="D51" s="98" t="s">
        <v>2863</v>
      </c>
      <c r="G51" s="162"/>
      <c r="H51" s="163"/>
      <c r="I51" s="164" t="s">
        <v>1876</v>
      </c>
      <c r="J51" s="165">
        <v>3050</v>
      </c>
      <c r="K51" s="166">
        <v>3197</v>
      </c>
      <c r="L51" s="166">
        <v>2509</v>
      </c>
      <c r="M51" s="166">
        <v>2522</v>
      </c>
      <c r="N51" s="166">
        <v>2501</v>
      </c>
      <c r="O51" s="166">
        <v>2347</v>
      </c>
      <c r="P51" s="166">
        <v>2505.1557369380862</v>
      </c>
      <c r="Q51" s="167">
        <v>2386.6032762655504</v>
      </c>
      <c r="R51" s="165">
        <v>2291.1391452149282</v>
      </c>
      <c r="S51" s="166">
        <v>2199.4935794063313</v>
      </c>
      <c r="T51" s="166">
        <v>2111.5138362300781</v>
      </c>
      <c r="U51" s="166">
        <v>2027.053282780875</v>
      </c>
      <c r="V51" s="167">
        <v>1945.9711514696398</v>
      </c>
    </row>
    <row r="52" spans="1:22" s="98" customFormat="1" ht="15" customHeight="1">
      <c r="A52" s="99"/>
      <c r="B52" s="161"/>
      <c r="C52" s="185"/>
      <c r="D52" s="98" t="s">
        <v>2864</v>
      </c>
      <c r="G52" s="162"/>
      <c r="H52" s="163"/>
      <c r="I52" s="164" t="s">
        <v>1876</v>
      </c>
      <c r="J52" s="165">
        <v>2616</v>
      </c>
      <c r="K52" s="166">
        <v>2490</v>
      </c>
      <c r="L52" s="166">
        <v>1856</v>
      </c>
      <c r="M52" s="166">
        <v>1685</v>
      </c>
      <c r="N52" s="166">
        <v>1521</v>
      </c>
      <c r="O52" s="166">
        <v>1751</v>
      </c>
      <c r="P52" s="166">
        <v>1868.9934790705533</v>
      </c>
      <c r="Q52" s="167">
        <v>1780.5463727059987</v>
      </c>
      <c r="R52" s="165">
        <v>1709.3245177977587</v>
      </c>
      <c r="S52" s="166">
        <v>1640.9515370858485</v>
      </c>
      <c r="T52" s="166">
        <v>1575.3134756024144</v>
      </c>
      <c r="U52" s="166">
        <v>1512.3009365783178</v>
      </c>
      <c r="V52" s="167">
        <v>1451.8088991151849</v>
      </c>
    </row>
    <row r="53" spans="1:22" s="98" customFormat="1" ht="15" customHeight="1">
      <c r="A53" s="99"/>
      <c r="B53" s="161"/>
      <c r="C53" s="185"/>
      <c r="D53" s="98" t="s">
        <v>2865</v>
      </c>
      <c r="G53" s="162"/>
      <c r="H53" s="163"/>
      <c r="I53" s="164" t="s">
        <v>1876</v>
      </c>
      <c r="J53" s="165">
        <v>957</v>
      </c>
      <c r="K53" s="166">
        <v>1198</v>
      </c>
      <c r="L53" s="166">
        <v>1004</v>
      </c>
      <c r="M53" s="166">
        <v>953</v>
      </c>
      <c r="N53" s="166">
        <v>847</v>
      </c>
      <c r="O53" s="166">
        <v>873</v>
      </c>
      <c r="P53" s="166">
        <v>931.8282736885169</v>
      </c>
      <c r="Q53" s="167">
        <v>887.73100135484685</v>
      </c>
      <c r="R53" s="165">
        <v>852.22176130065293</v>
      </c>
      <c r="S53" s="166">
        <v>818.13289084862686</v>
      </c>
      <c r="T53" s="166">
        <v>785.40757521468174</v>
      </c>
      <c r="U53" s="166">
        <v>753.99127220609444</v>
      </c>
      <c r="V53" s="167">
        <v>723.83162131785059</v>
      </c>
    </row>
    <row r="54" spans="1:22" s="98" customFormat="1" ht="15" customHeight="1">
      <c r="A54" s="99"/>
      <c r="B54" s="161"/>
      <c r="C54" s="185"/>
      <c r="D54" s="98" t="s">
        <v>2866</v>
      </c>
      <c r="G54" s="162"/>
      <c r="H54" s="163"/>
      <c r="I54" s="164" t="s">
        <v>1876</v>
      </c>
      <c r="J54" s="165">
        <v>200</v>
      </c>
      <c r="K54" s="166">
        <v>305</v>
      </c>
      <c r="L54" s="166">
        <v>293</v>
      </c>
      <c r="M54" s="166">
        <v>138</v>
      </c>
      <c r="N54" s="166">
        <v>170</v>
      </c>
      <c r="O54" s="166">
        <v>140</v>
      </c>
      <c r="P54" s="166">
        <v>149.43408741854796</v>
      </c>
      <c r="Q54" s="167">
        <v>142.36235989653903</v>
      </c>
      <c r="R54" s="165">
        <v>136.66786550067746</v>
      </c>
      <c r="S54" s="166">
        <v>131.20115088065037</v>
      </c>
      <c r="T54" s="166">
        <v>125.95310484542435</v>
      </c>
      <c r="U54" s="166">
        <v>120.91498065160737</v>
      </c>
      <c r="V54" s="167">
        <v>116.07838142554307</v>
      </c>
    </row>
    <row r="55" spans="1:22" s="98" customFormat="1" ht="15" customHeight="1">
      <c r="A55" s="99"/>
      <c r="B55" s="161"/>
      <c r="C55" s="185"/>
      <c r="D55" s="98" t="s">
        <v>2867</v>
      </c>
      <c r="G55" s="162"/>
      <c r="H55" s="163"/>
      <c r="I55" s="164" t="s">
        <v>1876</v>
      </c>
      <c r="J55" s="165">
        <v>1479</v>
      </c>
      <c r="K55" s="166">
        <v>1549</v>
      </c>
      <c r="L55" s="166">
        <v>1236</v>
      </c>
      <c r="M55" s="166">
        <v>1068</v>
      </c>
      <c r="N55" s="166">
        <v>1021</v>
      </c>
      <c r="O55" s="166">
        <v>1117</v>
      </c>
      <c r="P55" s="166">
        <v>1192.2705403322718</v>
      </c>
      <c r="Q55" s="167">
        <v>1135.848257174529</v>
      </c>
      <c r="R55" s="165">
        <v>1090.4143268875478</v>
      </c>
      <c r="S55" s="166">
        <v>1046.797753812046</v>
      </c>
      <c r="T55" s="166">
        <v>1004.9258436595642</v>
      </c>
      <c r="U55" s="166">
        <v>964.72880991318152</v>
      </c>
      <c r="V55" s="167">
        <v>926.13965751665421</v>
      </c>
    </row>
    <row r="56" spans="1:22" s="98" customFormat="1" ht="15" customHeight="1">
      <c r="A56" s="99"/>
      <c r="B56" s="161"/>
      <c r="C56" s="185"/>
      <c r="D56" s="98" t="s">
        <v>2868</v>
      </c>
      <c r="G56" s="162"/>
      <c r="H56" s="163"/>
      <c r="I56" s="164" t="s">
        <v>1876</v>
      </c>
      <c r="J56" s="165">
        <v>245</v>
      </c>
      <c r="K56" s="166">
        <v>226</v>
      </c>
      <c r="L56" s="166">
        <v>263</v>
      </c>
      <c r="M56" s="166">
        <v>206</v>
      </c>
      <c r="N56" s="166">
        <v>157</v>
      </c>
      <c r="O56" s="166">
        <v>156</v>
      </c>
      <c r="P56" s="166">
        <v>166.51226883781058</v>
      </c>
      <c r="Q56" s="167">
        <v>158.63234388471491</v>
      </c>
      <c r="R56" s="165">
        <v>152.2870501293263</v>
      </c>
      <c r="S56" s="166">
        <v>146.19556812415325</v>
      </c>
      <c r="T56" s="166">
        <v>140.34774539918712</v>
      </c>
      <c r="U56" s="166">
        <v>134.73383558321962</v>
      </c>
      <c r="V56" s="167">
        <v>129.34448215989082</v>
      </c>
    </row>
    <row r="57" spans="1:22" s="98" customFormat="1" ht="15" customHeight="1">
      <c r="A57" s="99"/>
      <c r="B57" s="161"/>
      <c r="C57" s="185"/>
      <c r="D57" s="98" t="s">
        <v>2869</v>
      </c>
      <c r="G57" s="162"/>
      <c r="H57" s="163"/>
      <c r="I57" s="164" t="s">
        <v>1876</v>
      </c>
      <c r="J57" s="165">
        <v>680</v>
      </c>
      <c r="K57" s="166">
        <v>795</v>
      </c>
      <c r="L57" s="166">
        <v>635</v>
      </c>
      <c r="M57" s="166">
        <v>448</v>
      </c>
      <c r="N57" s="166">
        <v>347</v>
      </c>
      <c r="O57" s="166">
        <v>410</v>
      </c>
      <c r="P57" s="166">
        <v>437.62839886860473</v>
      </c>
      <c r="Q57" s="167">
        <v>416.91833969700713</v>
      </c>
      <c r="R57" s="165">
        <v>400.24160610912685</v>
      </c>
      <c r="S57" s="166">
        <v>384.23194186476178</v>
      </c>
      <c r="T57" s="166">
        <v>368.8626641901713</v>
      </c>
      <c r="U57" s="166">
        <v>354.10815762256442</v>
      </c>
      <c r="V57" s="167">
        <v>339.94383131766182</v>
      </c>
    </row>
    <row r="58" spans="1:22" s="98" customFormat="1" ht="15" customHeight="1">
      <c r="A58" s="99"/>
      <c r="B58" s="161"/>
      <c r="C58" s="185"/>
      <c r="D58" s="98" t="s">
        <v>2870</v>
      </c>
      <c r="G58" s="162"/>
      <c r="H58" s="163"/>
      <c r="I58" s="164" t="s">
        <v>1876</v>
      </c>
      <c r="J58" s="165">
        <v>75</v>
      </c>
      <c r="K58" s="166">
        <v>62</v>
      </c>
      <c r="L58" s="166">
        <v>65</v>
      </c>
      <c r="M58" s="166">
        <v>22</v>
      </c>
      <c r="N58" s="166">
        <v>23</v>
      </c>
      <c r="O58" s="166">
        <v>18</v>
      </c>
      <c r="P58" s="166">
        <v>19.212954096670451</v>
      </c>
      <c r="Q58" s="167">
        <v>18.303731986697873</v>
      </c>
      <c r="R58" s="165">
        <v>17.571582707229958</v>
      </c>
      <c r="S58" s="166">
        <v>16.868719398940762</v>
      </c>
      <c r="T58" s="166">
        <v>16.19397062298313</v>
      </c>
      <c r="U58" s="166">
        <v>15.546211798063805</v>
      </c>
      <c r="V58" s="167">
        <v>14.924363326141252</v>
      </c>
    </row>
    <row r="59" spans="1:22" s="98" customFormat="1" ht="15" customHeight="1">
      <c r="A59" s="99"/>
      <c r="B59" s="161"/>
      <c r="D59" s="185" t="s">
        <v>1710</v>
      </c>
      <c r="E59" s="185"/>
      <c r="F59" s="185"/>
      <c r="G59" s="162"/>
      <c r="H59" s="163"/>
      <c r="I59" s="164" t="s">
        <v>1876</v>
      </c>
      <c r="J59" s="777">
        <f>SUM(J50:J58)</f>
        <v>11252</v>
      </c>
      <c r="K59" s="778">
        <f t="shared" ref="K59:V59" si="17">SUM(K50:K58)</f>
        <v>11166</v>
      </c>
      <c r="L59" s="778">
        <f t="shared" si="17"/>
        <v>9126</v>
      </c>
      <c r="M59" s="778">
        <f t="shared" si="17"/>
        <v>8087</v>
      </c>
      <c r="N59" s="778">
        <f t="shared" si="17"/>
        <v>7693</v>
      </c>
      <c r="O59" s="778">
        <f t="shared" si="17"/>
        <v>8110</v>
      </c>
      <c r="P59" s="778">
        <f t="shared" si="17"/>
        <v>8656.5032068887431</v>
      </c>
      <c r="Q59" s="779">
        <f t="shared" si="17"/>
        <v>8246.8481340066519</v>
      </c>
      <c r="R59" s="777">
        <f t="shared" si="17"/>
        <v>7916.9742086463866</v>
      </c>
      <c r="S59" s="778">
        <f t="shared" si="17"/>
        <v>7600.2952403005311</v>
      </c>
      <c r="T59" s="778">
        <f t="shared" si="17"/>
        <v>7296.2834306885106</v>
      </c>
      <c r="U59" s="778">
        <f t="shared" si="17"/>
        <v>7004.4320934609696</v>
      </c>
      <c r="V59" s="779">
        <f t="shared" si="17"/>
        <v>6724.2548097225299</v>
      </c>
    </row>
    <row r="60" spans="1:22" s="98" customFormat="1" ht="15" customHeight="1">
      <c r="A60" s="99"/>
      <c r="B60" s="181"/>
      <c r="C60" s="185"/>
      <c r="D60" s="182"/>
      <c r="E60" s="182"/>
      <c r="F60" s="182"/>
      <c r="G60" s="184"/>
      <c r="H60" s="184"/>
      <c r="I60" s="117"/>
      <c r="J60" s="159"/>
      <c r="K60" s="163"/>
      <c r="L60" s="163"/>
      <c r="M60" s="163"/>
      <c r="N60" s="163"/>
      <c r="O60" s="163"/>
      <c r="P60" s="163"/>
      <c r="Q60" s="160"/>
      <c r="R60" s="163"/>
      <c r="S60" s="163"/>
      <c r="T60" s="163"/>
      <c r="U60" s="163"/>
      <c r="V60" s="160"/>
    </row>
    <row r="61" spans="1:22" s="98" customFormat="1" ht="15" customHeight="1">
      <c r="A61" s="99"/>
      <c r="B61" s="161"/>
      <c r="C61" s="180" t="s">
        <v>3006</v>
      </c>
      <c r="D61" s="162"/>
      <c r="E61" s="162"/>
      <c r="F61" s="162"/>
      <c r="G61" s="163"/>
      <c r="H61" s="163"/>
      <c r="I61" s="117"/>
      <c r="J61" s="159"/>
      <c r="K61" s="117"/>
      <c r="L61" s="117"/>
      <c r="M61" s="117"/>
      <c r="N61" s="117"/>
      <c r="O61" s="117"/>
      <c r="P61" s="117"/>
      <c r="Q61" s="160"/>
      <c r="R61" s="159"/>
      <c r="S61" s="117"/>
      <c r="T61" s="117"/>
      <c r="U61" s="117"/>
      <c r="V61" s="160"/>
    </row>
    <row r="62" spans="1:22" s="98" customFormat="1" ht="15" customHeight="1">
      <c r="A62" s="99"/>
      <c r="B62" s="161"/>
      <c r="C62" s="185"/>
      <c r="D62" s="98" t="s">
        <v>3007</v>
      </c>
      <c r="G62" s="162"/>
      <c r="H62" s="163"/>
      <c r="I62" s="164" t="s">
        <v>1876</v>
      </c>
      <c r="J62" s="165">
        <v>328</v>
      </c>
      <c r="K62" s="166">
        <v>379</v>
      </c>
      <c r="L62" s="166">
        <v>299</v>
      </c>
      <c r="M62" s="166">
        <v>272</v>
      </c>
      <c r="N62" s="166">
        <v>228</v>
      </c>
      <c r="O62" s="166">
        <v>273</v>
      </c>
      <c r="P62" s="166">
        <v>270.12987012987014</v>
      </c>
      <c r="Q62" s="167">
        <v>287.26623376623377</v>
      </c>
      <c r="R62" s="165">
        <v>287.26623376623377</v>
      </c>
      <c r="S62" s="166">
        <v>287.26623376623377</v>
      </c>
      <c r="T62" s="166">
        <v>287.26623376623377</v>
      </c>
      <c r="U62" s="166">
        <v>287.26623376623377</v>
      </c>
      <c r="V62" s="167">
        <v>287.26623376623377</v>
      </c>
    </row>
    <row r="63" spans="1:22" s="98" customFormat="1" ht="15" customHeight="1">
      <c r="A63" s="99"/>
      <c r="B63" s="181"/>
      <c r="C63" s="185"/>
      <c r="D63" s="182"/>
      <c r="E63" s="182"/>
      <c r="F63" s="182"/>
      <c r="G63" s="184"/>
      <c r="H63" s="184"/>
      <c r="I63" s="117"/>
      <c r="J63" s="159"/>
      <c r="K63" s="163"/>
      <c r="L63" s="163"/>
      <c r="M63" s="163"/>
      <c r="N63" s="163"/>
      <c r="O63" s="163"/>
      <c r="P63" s="163"/>
      <c r="Q63" s="160"/>
      <c r="R63" s="163"/>
      <c r="S63" s="163"/>
      <c r="T63" s="163"/>
      <c r="U63" s="163"/>
      <c r="V63" s="160"/>
    </row>
    <row r="64" spans="1:22" s="98" customFormat="1" ht="15" customHeight="1">
      <c r="A64" s="99"/>
      <c r="B64" s="161"/>
      <c r="C64" s="180" t="s">
        <v>3008</v>
      </c>
      <c r="D64" s="162"/>
      <c r="E64" s="162"/>
      <c r="F64" s="162"/>
      <c r="G64" s="163"/>
      <c r="H64" s="163"/>
      <c r="I64" s="164" t="s">
        <v>1876</v>
      </c>
      <c r="J64" s="165">
        <v>12341</v>
      </c>
      <c r="K64" s="166">
        <v>9136</v>
      </c>
      <c r="L64" s="166">
        <v>8818</v>
      </c>
      <c r="M64" s="166">
        <v>7986</v>
      </c>
      <c r="N64" s="166">
        <v>8133</v>
      </c>
      <c r="O64" s="166">
        <v>9415</v>
      </c>
      <c r="P64" s="166">
        <v>9915.7174515651805</v>
      </c>
      <c r="Q64" s="167">
        <v>9573.8687030422461</v>
      </c>
      <c r="R64" s="165">
        <v>9190.9139549205574</v>
      </c>
      <c r="S64" s="166">
        <v>8823.2773967237354</v>
      </c>
      <c r="T64" s="166">
        <v>8470.3463008547878</v>
      </c>
      <c r="U64" s="166">
        <v>8131.5324488205961</v>
      </c>
      <c r="V64" s="167">
        <v>7806.2711508677721</v>
      </c>
    </row>
    <row r="65" spans="1:22" s="98" customFormat="1" ht="15" customHeight="1">
      <c r="A65" s="99"/>
      <c r="B65" s="181"/>
      <c r="C65" s="185"/>
      <c r="D65" s="182"/>
      <c r="E65" s="182"/>
      <c r="F65" s="182"/>
      <c r="G65" s="184"/>
      <c r="H65" s="184"/>
      <c r="I65" s="117"/>
      <c r="J65" s="159"/>
      <c r="K65" s="163"/>
      <c r="L65" s="163"/>
      <c r="M65" s="163"/>
      <c r="N65" s="163"/>
      <c r="O65" s="163"/>
      <c r="P65" s="163"/>
      <c r="Q65" s="160"/>
      <c r="R65" s="163"/>
      <c r="S65" s="163"/>
      <c r="T65" s="163"/>
      <c r="U65" s="163"/>
      <c r="V65" s="160"/>
    </row>
    <row r="66" spans="1:22" s="98" customFormat="1" ht="15" customHeight="1">
      <c r="A66" s="99"/>
      <c r="B66" s="161"/>
      <c r="C66" s="180" t="s">
        <v>3009</v>
      </c>
      <c r="D66" s="162"/>
      <c r="E66" s="162"/>
      <c r="F66" s="162"/>
      <c r="G66" s="163"/>
      <c r="H66" s="163"/>
      <c r="I66" s="164" t="s">
        <v>1876</v>
      </c>
      <c r="J66" s="165">
        <v>1605</v>
      </c>
      <c r="K66" s="166">
        <v>1696</v>
      </c>
      <c r="L66" s="166">
        <v>1690</v>
      </c>
      <c r="M66" s="166">
        <v>1456</v>
      </c>
      <c r="N66" s="166">
        <v>1430</v>
      </c>
      <c r="O66" s="166">
        <v>1371</v>
      </c>
      <c r="P66" s="166">
        <v>1356.5862708719851</v>
      </c>
      <c r="Q66" s="167">
        <v>1442.6447124304268</v>
      </c>
      <c r="R66" s="165">
        <v>1442.6447124304268</v>
      </c>
      <c r="S66" s="166">
        <v>1442.6447124304268</v>
      </c>
      <c r="T66" s="166">
        <v>1442.6447124304268</v>
      </c>
      <c r="U66" s="166">
        <v>1442.6447124304268</v>
      </c>
      <c r="V66" s="167">
        <v>1442.6447124304268</v>
      </c>
    </row>
    <row r="67" spans="1:22" s="98" customFormat="1" ht="15" customHeight="1">
      <c r="A67" s="99"/>
      <c r="B67" s="181"/>
      <c r="C67" s="185"/>
      <c r="D67" s="182"/>
      <c r="E67" s="182"/>
      <c r="F67" s="182"/>
      <c r="G67" s="184"/>
      <c r="H67" s="184"/>
      <c r="I67" s="117"/>
      <c r="J67" s="159"/>
      <c r="K67" s="163"/>
      <c r="L67" s="163"/>
      <c r="M67" s="163"/>
      <c r="N67" s="163"/>
      <c r="O67" s="163"/>
      <c r="P67" s="163"/>
      <c r="Q67" s="160"/>
      <c r="R67" s="163"/>
      <c r="S67" s="163"/>
      <c r="T67" s="163"/>
      <c r="U67" s="163"/>
      <c r="V67" s="160"/>
    </row>
    <row r="68" spans="1:22" s="98" customFormat="1" ht="15" customHeight="1" thickBot="1">
      <c r="A68" s="99"/>
      <c r="B68" s="239" t="s">
        <v>1701</v>
      </c>
      <c r="C68" s="240"/>
      <c r="D68" s="240"/>
      <c r="E68" s="240"/>
      <c r="F68" s="240"/>
      <c r="G68" s="241"/>
      <c r="H68" s="241"/>
      <c r="I68" s="195" t="s">
        <v>1876</v>
      </c>
      <c r="J68" s="873">
        <f>SUM(J59,J62,J64,J66)</f>
        <v>25526</v>
      </c>
      <c r="K68" s="781">
        <f t="shared" ref="K68:V68" si="18">SUM(K59,K62,K64,K66)</f>
        <v>22377</v>
      </c>
      <c r="L68" s="781">
        <f t="shared" si="18"/>
        <v>19933</v>
      </c>
      <c r="M68" s="781">
        <f t="shared" si="18"/>
        <v>17801</v>
      </c>
      <c r="N68" s="781">
        <f t="shared" si="18"/>
        <v>17484</v>
      </c>
      <c r="O68" s="781">
        <f t="shared" si="18"/>
        <v>19169</v>
      </c>
      <c r="P68" s="781">
        <f t="shared" si="18"/>
        <v>20198.936799455783</v>
      </c>
      <c r="Q68" s="874">
        <f t="shared" si="18"/>
        <v>19550.62778324556</v>
      </c>
      <c r="R68" s="873">
        <f t="shared" si="18"/>
        <v>18837.799109763604</v>
      </c>
      <c r="S68" s="781">
        <f t="shared" si="18"/>
        <v>18153.483583220928</v>
      </c>
      <c r="T68" s="781">
        <f t="shared" si="18"/>
        <v>17496.540677739962</v>
      </c>
      <c r="U68" s="781">
        <f t="shared" si="18"/>
        <v>16865.875488478225</v>
      </c>
      <c r="V68" s="874">
        <f t="shared" si="18"/>
        <v>16260.436906786963</v>
      </c>
    </row>
    <row r="69" spans="1:22" s="98" customFormat="1" ht="15" customHeight="1" thickBot="1"/>
    <row r="70" spans="1:22" s="100" customFormat="1" ht="30" customHeight="1" thickBot="1">
      <c r="A70" s="89"/>
      <c r="B70" s="621" t="s">
        <v>3010</v>
      </c>
      <c r="C70" s="102"/>
      <c r="D70" s="102"/>
      <c r="E70" s="102"/>
      <c r="F70" s="102"/>
      <c r="G70" s="103"/>
      <c r="H70" s="103"/>
      <c r="I70" s="105" t="s">
        <v>1869</v>
      </c>
      <c r="J70" s="106"/>
      <c r="K70" s="106"/>
      <c r="L70" s="106"/>
      <c r="M70" s="106"/>
      <c r="N70" s="106"/>
      <c r="O70" s="106"/>
      <c r="P70" s="106"/>
      <c r="Q70" s="106"/>
      <c r="R70" s="105"/>
      <c r="S70" s="105"/>
      <c r="T70" s="105"/>
      <c r="U70" s="105"/>
      <c r="V70" s="187"/>
    </row>
    <row r="71" spans="1:22" s="157" customFormat="1" ht="30" customHeight="1">
      <c r="A71" s="99"/>
      <c r="B71" s="109"/>
      <c r="C71" s="110"/>
      <c r="D71" s="110"/>
      <c r="E71" s="110"/>
      <c r="F71" s="110"/>
      <c r="G71" s="111"/>
      <c r="H71" s="111"/>
      <c r="I71" s="117"/>
      <c r="J71" s="695" t="s">
        <v>1666</v>
      </c>
      <c r="K71" s="152"/>
      <c r="L71" s="152"/>
      <c r="M71" s="152"/>
      <c r="N71" s="152"/>
      <c r="O71" s="152"/>
      <c r="P71" s="152"/>
      <c r="Q71" s="153"/>
      <c r="R71" s="871" t="s">
        <v>2</v>
      </c>
      <c r="S71" s="155"/>
      <c r="T71" s="155"/>
      <c r="U71" s="155"/>
      <c r="V71" s="156"/>
    </row>
    <row r="72" spans="1:22" s="98" customFormat="1" ht="15" customHeight="1">
      <c r="A72" s="99"/>
      <c r="B72" s="115"/>
      <c r="C72" s="116"/>
      <c r="D72" s="116"/>
      <c r="E72" s="116"/>
      <c r="F72" s="116"/>
      <c r="G72" s="117"/>
      <c r="H72" s="117"/>
      <c r="I72" s="119" t="s">
        <v>1667</v>
      </c>
      <c r="J72" s="158" t="s">
        <v>453</v>
      </c>
      <c r="K72" s="137" t="s">
        <v>455</v>
      </c>
      <c r="L72" s="137" t="s">
        <v>457</v>
      </c>
      <c r="M72" s="137" t="s">
        <v>459</v>
      </c>
      <c r="N72" s="137" t="s">
        <v>461</v>
      </c>
      <c r="O72" s="137" t="s">
        <v>463</v>
      </c>
      <c r="P72" s="137" t="s">
        <v>465</v>
      </c>
      <c r="Q72" s="138" t="s">
        <v>467</v>
      </c>
      <c r="R72" s="242" t="s">
        <v>469</v>
      </c>
      <c r="S72" s="121" t="s">
        <v>471</v>
      </c>
      <c r="T72" s="121" t="s">
        <v>473</v>
      </c>
      <c r="U72" s="121" t="s">
        <v>475</v>
      </c>
      <c r="V72" s="122" t="s">
        <v>477</v>
      </c>
    </row>
    <row r="73" spans="1:22" s="98" customFormat="1" ht="15" customHeight="1">
      <c r="A73" s="99"/>
      <c r="B73" s="161"/>
      <c r="C73" s="180" t="s">
        <v>3011</v>
      </c>
      <c r="D73" s="162"/>
      <c r="E73" s="162"/>
      <c r="F73" s="162"/>
      <c r="G73" s="163"/>
      <c r="H73" s="163"/>
      <c r="I73" s="117"/>
      <c r="J73" s="159"/>
      <c r="K73" s="117"/>
      <c r="L73" s="117"/>
      <c r="M73" s="117"/>
      <c r="N73" s="117"/>
      <c r="O73" s="117"/>
      <c r="P73" s="117"/>
      <c r="Q73" s="160"/>
      <c r="R73" s="117"/>
      <c r="S73" s="117"/>
      <c r="T73" s="117"/>
      <c r="U73" s="117"/>
      <c r="V73" s="160"/>
    </row>
    <row r="74" spans="1:22" s="98" customFormat="1" ht="15" customHeight="1">
      <c r="A74" s="99"/>
      <c r="B74" s="161"/>
      <c r="C74" s="185"/>
      <c r="D74" s="98" t="s">
        <v>3012</v>
      </c>
      <c r="G74" s="162"/>
      <c r="H74" s="163"/>
      <c r="I74" s="164" t="s">
        <v>1876</v>
      </c>
      <c r="J74" s="165">
        <v>224</v>
      </c>
      <c r="K74" s="166">
        <v>165</v>
      </c>
      <c r="L74" s="166">
        <v>143</v>
      </c>
      <c r="M74" s="166">
        <v>129</v>
      </c>
      <c r="N74" s="166">
        <v>154</v>
      </c>
      <c r="O74" s="166">
        <v>182</v>
      </c>
      <c r="P74" s="166">
        <v>166.16666666666666</v>
      </c>
      <c r="Q74" s="167">
        <v>166.16666666666666</v>
      </c>
      <c r="R74" s="238">
        <v>166.16666666666666</v>
      </c>
      <c r="S74" s="166">
        <v>166.16666666666666</v>
      </c>
      <c r="T74" s="166">
        <v>166.16666666666666</v>
      </c>
      <c r="U74" s="166">
        <v>166.16666666666666</v>
      </c>
      <c r="V74" s="167">
        <v>166.16666666666666</v>
      </c>
    </row>
    <row r="75" spans="1:22" s="98" customFormat="1" ht="15" customHeight="1">
      <c r="A75" s="99"/>
      <c r="B75" s="161"/>
      <c r="C75" s="185"/>
      <c r="D75" s="98" t="s">
        <v>3013</v>
      </c>
      <c r="G75" s="162"/>
      <c r="H75" s="163"/>
      <c r="I75" s="164" t="s">
        <v>1876</v>
      </c>
      <c r="J75" s="165">
        <v>163</v>
      </c>
      <c r="K75" s="166">
        <v>115</v>
      </c>
      <c r="L75" s="166">
        <v>105</v>
      </c>
      <c r="M75" s="166">
        <v>105</v>
      </c>
      <c r="N75" s="166">
        <v>133</v>
      </c>
      <c r="O75" s="166">
        <v>126</v>
      </c>
      <c r="P75" s="166">
        <v>124.5</v>
      </c>
      <c r="Q75" s="167">
        <v>124.5</v>
      </c>
      <c r="R75" s="238">
        <v>124.5</v>
      </c>
      <c r="S75" s="166">
        <v>124.5</v>
      </c>
      <c r="T75" s="166">
        <v>124.5</v>
      </c>
      <c r="U75" s="166">
        <v>124.5</v>
      </c>
      <c r="V75" s="167">
        <v>124.5</v>
      </c>
    </row>
    <row r="76" spans="1:22" s="98" customFormat="1" ht="15" customHeight="1">
      <c r="A76" s="99"/>
      <c r="B76" s="161"/>
      <c r="C76" s="185"/>
      <c r="D76" s="98" t="s">
        <v>3014</v>
      </c>
      <c r="G76" s="162"/>
      <c r="H76" s="163"/>
      <c r="I76" s="164" t="s">
        <v>1876</v>
      </c>
      <c r="J76" s="165">
        <v>120</v>
      </c>
      <c r="K76" s="166">
        <v>84</v>
      </c>
      <c r="L76" s="166">
        <v>71</v>
      </c>
      <c r="M76" s="166">
        <v>73</v>
      </c>
      <c r="N76" s="166">
        <v>79</v>
      </c>
      <c r="O76" s="166">
        <v>83</v>
      </c>
      <c r="P76" s="166">
        <v>85</v>
      </c>
      <c r="Q76" s="167">
        <v>85</v>
      </c>
      <c r="R76" s="238">
        <v>85</v>
      </c>
      <c r="S76" s="166">
        <v>85</v>
      </c>
      <c r="T76" s="166">
        <v>85</v>
      </c>
      <c r="U76" s="166">
        <v>85</v>
      </c>
      <c r="V76" s="167">
        <v>85</v>
      </c>
    </row>
    <row r="77" spans="1:22" s="98" customFormat="1" ht="15" customHeight="1">
      <c r="A77" s="99"/>
      <c r="B77" s="161"/>
      <c r="C77" s="185"/>
      <c r="D77" s="98" t="s">
        <v>3015</v>
      </c>
      <c r="G77" s="162"/>
      <c r="H77" s="163"/>
      <c r="I77" s="164" t="s">
        <v>1876</v>
      </c>
      <c r="J77" s="165">
        <v>90</v>
      </c>
      <c r="K77" s="166">
        <v>70</v>
      </c>
      <c r="L77" s="166">
        <v>71</v>
      </c>
      <c r="M77" s="166">
        <v>57</v>
      </c>
      <c r="N77" s="166">
        <v>63</v>
      </c>
      <c r="O77" s="166">
        <v>86</v>
      </c>
      <c r="P77" s="166">
        <v>72.833333333333329</v>
      </c>
      <c r="Q77" s="167">
        <v>72.833333333333329</v>
      </c>
      <c r="R77" s="238">
        <v>72.833333333333329</v>
      </c>
      <c r="S77" s="166">
        <v>72.833333333333329</v>
      </c>
      <c r="T77" s="166">
        <v>72.833333333333329</v>
      </c>
      <c r="U77" s="166">
        <v>72.833333333333329</v>
      </c>
      <c r="V77" s="167">
        <v>72.833333333333329</v>
      </c>
    </row>
    <row r="78" spans="1:22" s="98" customFormat="1" ht="15" customHeight="1">
      <c r="A78" s="99"/>
      <c r="B78" s="161"/>
      <c r="C78" s="185"/>
      <c r="D78" s="98" t="s">
        <v>3016</v>
      </c>
      <c r="G78" s="162"/>
      <c r="H78" s="163"/>
      <c r="I78" s="164" t="s">
        <v>1876</v>
      </c>
      <c r="J78" s="165">
        <v>556</v>
      </c>
      <c r="K78" s="166">
        <v>424</v>
      </c>
      <c r="L78" s="166">
        <v>349</v>
      </c>
      <c r="M78" s="166">
        <v>354</v>
      </c>
      <c r="N78" s="166">
        <v>380</v>
      </c>
      <c r="O78" s="166">
        <v>548</v>
      </c>
      <c r="P78" s="166">
        <v>435.16666666666669</v>
      </c>
      <c r="Q78" s="167">
        <v>435.16666666666669</v>
      </c>
      <c r="R78" s="238">
        <v>435.16666666666669</v>
      </c>
      <c r="S78" s="166">
        <v>435.16666666666669</v>
      </c>
      <c r="T78" s="166">
        <v>435.16666666666669</v>
      </c>
      <c r="U78" s="166">
        <v>435.16666666666669</v>
      </c>
      <c r="V78" s="167">
        <v>435.16666666666669</v>
      </c>
    </row>
    <row r="79" spans="1:22" s="98" customFormat="1" ht="15" customHeight="1">
      <c r="A79" s="99"/>
      <c r="B79" s="161"/>
      <c r="C79" s="185"/>
      <c r="D79" s="98" t="s">
        <v>3017</v>
      </c>
      <c r="G79" s="162"/>
      <c r="H79" s="163"/>
      <c r="I79" s="164" t="s">
        <v>3018</v>
      </c>
      <c r="J79" s="165">
        <v>1</v>
      </c>
      <c r="K79" s="166">
        <v>1</v>
      </c>
      <c r="L79" s="166">
        <v>55</v>
      </c>
      <c r="M79" s="166">
        <v>56</v>
      </c>
      <c r="N79" s="166">
        <v>53</v>
      </c>
      <c r="O79" s="166">
        <v>61</v>
      </c>
      <c r="P79" s="166">
        <v>56.25</v>
      </c>
      <c r="Q79" s="167">
        <v>56.25</v>
      </c>
      <c r="R79" s="238">
        <v>56.25</v>
      </c>
      <c r="S79" s="166">
        <v>56.25</v>
      </c>
      <c r="T79" s="166">
        <v>56.25</v>
      </c>
      <c r="U79" s="166">
        <v>56.25</v>
      </c>
      <c r="V79" s="167">
        <v>56.25</v>
      </c>
    </row>
    <row r="80" spans="1:22" s="98" customFormat="1" ht="15" customHeight="1">
      <c r="A80" s="99"/>
      <c r="B80" s="181"/>
      <c r="C80" s="185"/>
      <c r="D80" s="182"/>
      <c r="E80" s="182"/>
      <c r="F80" s="182"/>
      <c r="G80" s="184"/>
      <c r="H80" s="184"/>
      <c r="I80" s="117"/>
      <c r="J80" s="878"/>
      <c r="K80" s="879"/>
      <c r="L80" s="879"/>
      <c r="M80" s="879"/>
      <c r="N80" s="879"/>
      <c r="O80" s="879"/>
      <c r="P80" s="879"/>
      <c r="Q80" s="880"/>
      <c r="R80" s="879"/>
      <c r="S80" s="879"/>
      <c r="T80" s="879"/>
      <c r="U80" s="879"/>
      <c r="V80" s="880"/>
    </row>
    <row r="81" spans="1:22" s="98" customFormat="1" ht="15" customHeight="1" thickBot="1">
      <c r="A81" s="99"/>
      <c r="B81" s="239" t="s">
        <v>1701</v>
      </c>
      <c r="C81" s="240"/>
      <c r="D81" s="240"/>
      <c r="E81" s="240"/>
      <c r="F81" s="240"/>
      <c r="G81" s="241"/>
      <c r="H81" s="241"/>
      <c r="I81" s="195" t="s">
        <v>1876</v>
      </c>
      <c r="J81" s="873">
        <f>SUM(J74:J78)</f>
        <v>1153</v>
      </c>
      <c r="K81" s="781">
        <f t="shared" ref="K81:V81" si="19">SUM(K74:K78)</f>
        <v>858</v>
      </c>
      <c r="L81" s="781">
        <f t="shared" si="19"/>
        <v>739</v>
      </c>
      <c r="M81" s="781">
        <f t="shared" si="19"/>
        <v>718</v>
      </c>
      <c r="N81" s="781">
        <f t="shared" si="19"/>
        <v>809</v>
      </c>
      <c r="O81" s="781">
        <f t="shared" si="19"/>
        <v>1025</v>
      </c>
      <c r="P81" s="781">
        <f t="shared" si="19"/>
        <v>883.66666666666663</v>
      </c>
      <c r="Q81" s="874">
        <f t="shared" si="19"/>
        <v>883.66666666666663</v>
      </c>
      <c r="R81" s="1335">
        <f t="shared" si="19"/>
        <v>883.66666666666663</v>
      </c>
      <c r="S81" s="781">
        <f t="shared" si="19"/>
        <v>883.66666666666663</v>
      </c>
      <c r="T81" s="781">
        <f t="shared" si="19"/>
        <v>883.66666666666663</v>
      </c>
      <c r="U81" s="781">
        <f t="shared" si="19"/>
        <v>883.66666666666663</v>
      </c>
      <c r="V81" s="874">
        <f t="shared" si="19"/>
        <v>883.66666666666663</v>
      </c>
    </row>
    <row r="82" spans="1:22" s="98" customFormat="1" ht="15" customHeight="1"/>
    <row r="83" spans="1:22" s="98" customFormat="1" ht="15" customHeight="1"/>
    <row r="84" spans="1:22" s="98" customFormat="1" ht="15" customHeight="1"/>
    <row r="85" spans="1:22" s="98" customFormat="1" ht="15" customHeight="1"/>
    <row r="86" spans="1:22" s="98" customFormat="1" ht="15" customHeight="1"/>
    <row r="87" spans="1:22" s="98" customFormat="1" ht="15" customHeight="1"/>
    <row r="88" spans="1:22" s="98" customFormat="1" ht="15" customHeight="1"/>
    <row r="89" spans="1:22" s="98" customFormat="1" ht="15" customHeight="1"/>
    <row r="90" spans="1:22" s="98" customFormat="1" ht="15" customHeight="1"/>
    <row r="91" spans="1:22" s="98" customFormat="1" ht="15" customHeight="1"/>
    <row r="92" spans="1:22" s="98" customFormat="1" ht="15" customHeight="1"/>
    <row r="93" spans="1:22" s="98" customFormat="1" ht="15" customHeight="1"/>
    <row r="94" spans="1:22" s="98" customFormat="1" ht="15" customHeight="1"/>
    <row r="95" spans="1:22" s="98" customFormat="1" ht="15" customHeight="1"/>
    <row r="96" spans="1:22" s="98" customFormat="1" ht="15" customHeight="1"/>
    <row r="97" s="98" customFormat="1" ht="15" customHeight="1"/>
    <row r="98" s="98" customFormat="1" ht="15" customHeight="1"/>
    <row r="99" s="98" customFormat="1" ht="15" customHeight="1"/>
    <row r="100" s="98" customFormat="1" ht="15" customHeight="1"/>
    <row r="101" s="98" customFormat="1" ht="15" customHeight="1"/>
    <row r="102" s="98" customFormat="1" ht="15" customHeight="1"/>
    <row r="103" s="98" customFormat="1" ht="15" customHeight="1"/>
    <row r="104" s="98" customFormat="1" ht="15" customHeight="1"/>
    <row r="105" s="98" customFormat="1" ht="15" customHeight="1"/>
    <row r="106" s="98" customFormat="1" ht="15" customHeight="1"/>
    <row r="107" s="98" customFormat="1" ht="15" customHeight="1"/>
    <row r="108" s="98" customFormat="1" ht="15" customHeight="1"/>
    <row r="109" s="98" customFormat="1" ht="15" customHeight="1"/>
    <row r="110" s="98" customFormat="1" ht="15" customHeight="1"/>
    <row r="111" s="98" customFormat="1" ht="15" customHeight="1"/>
    <row r="112" s="98" customFormat="1" ht="15" customHeight="1"/>
    <row r="113" s="98" customFormat="1" ht="15" customHeight="1"/>
    <row r="114" s="98" customFormat="1" ht="15" customHeight="1"/>
    <row r="115" s="98" customFormat="1" ht="15" customHeight="1"/>
    <row r="116" s="98" customFormat="1" ht="15" customHeight="1"/>
    <row r="117" s="98" customFormat="1" ht="15" customHeight="1"/>
    <row r="118" s="98" customFormat="1" ht="15" customHeight="1"/>
    <row r="119" s="98" customFormat="1" ht="15" customHeight="1"/>
    <row r="120" s="98" customFormat="1" ht="15" customHeight="1"/>
    <row r="121" s="98" customFormat="1" ht="15" customHeight="1"/>
    <row r="122" s="98" customFormat="1" ht="15" customHeight="1"/>
    <row r="123" s="98" customFormat="1" ht="15" customHeight="1"/>
    <row r="124" s="98" customFormat="1" ht="15" customHeight="1"/>
    <row r="125" s="98" customFormat="1" ht="15" customHeight="1"/>
    <row r="126" s="98" customFormat="1" ht="15" customHeight="1"/>
    <row r="127" s="98" customFormat="1" ht="15" customHeight="1"/>
    <row r="128" s="98" customFormat="1" ht="15" customHeight="1"/>
    <row r="129" s="98" customFormat="1" ht="15" customHeight="1"/>
    <row r="130" s="98" customFormat="1" ht="15" customHeight="1"/>
    <row r="131" s="98" customFormat="1" ht="15" customHeight="1"/>
    <row r="132" s="98" customFormat="1" ht="15" customHeight="1"/>
    <row r="133" s="98" customFormat="1" ht="15" customHeight="1"/>
    <row r="134" s="98" customFormat="1" ht="15" customHeight="1"/>
    <row r="135" s="98" customFormat="1" ht="15" customHeight="1"/>
    <row r="136" s="98" customFormat="1" ht="15" customHeight="1"/>
    <row r="137" s="98" customFormat="1" ht="15" customHeight="1"/>
    <row r="138" s="98" customFormat="1" ht="15" customHeight="1"/>
    <row r="139" s="98" customFormat="1" ht="15" customHeight="1"/>
    <row r="140" s="98" customFormat="1" ht="15" customHeight="1"/>
    <row r="141" s="98" customFormat="1" ht="15" customHeight="1"/>
    <row r="142" s="98" customFormat="1" ht="15" customHeight="1"/>
    <row r="143" s="98" customFormat="1" ht="15" customHeight="1"/>
    <row r="144" s="98" customFormat="1" ht="15" customHeight="1"/>
    <row r="145" s="98" customFormat="1" ht="15" customHeight="1"/>
    <row r="146" s="98" customFormat="1" ht="15" customHeight="1"/>
    <row r="147" s="98" customFormat="1" ht="15" customHeight="1"/>
    <row r="148" s="98" customFormat="1" ht="15" customHeight="1"/>
    <row r="149" s="98" customFormat="1" ht="15" customHeight="1"/>
    <row r="150" s="98" customFormat="1" ht="15" customHeight="1"/>
    <row r="151" s="98" customFormat="1" ht="15" customHeight="1"/>
    <row r="152" s="98" customFormat="1" ht="15" customHeight="1"/>
    <row r="153" s="98" customFormat="1" ht="15" customHeight="1"/>
    <row r="154" s="99" customFormat="1" ht="15" customHeight="1"/>
    <row r="155" s="100" customFormat="1" ht="30" customHeight="1"/>
    <row r="156" s="157" customFormat="1" ht="30" customHeight="1"/>
    <row r="157" s="98" customFormat="1" ht="15" customHeight="1"/>
    <row r="158" s="98" customFormat="1" ht="15" customHeight="1"/>
    <row r="159" s="98" customFormat="1" ht="15" customHeight="1"/>
    <row r="160" s="98" customFormat="1" ht="15" customHeight="1"/>
    <row r="161" s="98" customFormat="1" ht="15" customHeight="1"/>
    <row r="162" s="98" customFormat="1" ht="15" customHeight="1"/>
    <row r="163" s="98" customFormat="1" ht="15" customHeight="1"/>
    <row r="164" s="98" customFormat="1" ht="15" customHeight="1"/>
    <row r="165" s="98" customFormat="1" ht="15" customHeight="1"/>
    <row r="166" s="98" customFormat="1" ht="15" customHeight="1"/>
    <row r="167" s="98" customFormat="1" ht="15" customHeight="1"/>
    <row r="168" s="98" customFormat="1" ht="15" customHeight="1"/>
    <row r="169" s="98" customFormat="1" ht="15" customHeight="1"/>
    <row r="170" s="98" customFormat="1" ht="15" customHeight="1"/>
    <row r="171" s="98" customFormat="1" ht="15" customHeight="1"/>
    <row r="172" s="98" customFormat="1" ht="15" customHeight="1"/>
    <row r="173" s="98" customFormat="1" ht="15" customHeight="1"/>
    <row r="174" s="98" customFormat="1" ht="15" customHeight="1"/>
    <row r="175" s="98" customFormat="1" ht="15" customHeight="1"/>
    <row r="176" s="98" customFormat="1" ht="15" customHeight="1"/>
    <row r="177" s="98" customFormat="1" ht="15" customHeight="1"/>
    <row r="178" s="98" customFormat="1" ht="15" customHeight="1"/>
    <row r="179" s="98" customFormat="1" ht="15" customHeight="1"/>
    <row r="180" s="98" customFormat="1" ht="15" customHeight="1"/>
    <row r="181" s="98" customFormat="1" ht="15" customHeight="1"/>
    <row r="182" s="98" customFormat="1" ht="15" customHeight="1"/>
    <row r="183" s="99" customFormat="1" ht="15" customHeight="1"/>
    <row r="184" s="100" customFormat="1" ht="30" customHeight="1"/>
    <row r="185" s="157" customFormat="1" ht="30" customHeight="1"/>
    <row r="186" s="98" customFormat="1" ht="15" customHeight="1"/>
    <row r="187" s="98" customFormat="1" ht="15" customHeight="1"/>
    <row r="188" s="98" customFormat="1" ht="15" customHeight="1"/>
    <row r="189" s="98" customFormat="1" ht="15" customHeight="1"/>
    <row r="190" s="98" customFormat="1" ht="15" customHeight="1"/>
    <row r="191" s="98" customFormat="1" ht="15" customHeight="1"/>
    <row r="192" s="98" customFormat="1" ht="15" customHeight="1"/>
    <row r="193" spans="2:39" s="98" customFormat="1" ht="15" customHeight="1"/>
    <row r="194" spans="2:39" s="98" customFormat="1" ht="15" customHeight="1"/>
    <row r="195" spans="2:39" s="98" customFormat="1" ht="15" customHeight="1"/>
    <row r="196" spans="2:39" s="98" customFormat="1" ht="15" customHeight="1"/>
    <row r="197" spans="2:39" s="98" customFormat="1" ht="15" customHeight="1"/>
    <row r="198" spans="2:39" s="98" customFormat="1" ht="15" customHeight="1"/>
    <row r="199" spans="2:39" s="98" customFormat="1" ht="15" customHeight="1"/>
    <row r="200" spans="2:39">
      <c r="B200" s="173"/>
      <c r="C200" s="173"/>
      <c r="D200" s="173"/>
      <c r="E200" s="173"/>
      <c r="F200" s="173"/>
      <c r="I200" s="173"/>
      <c r="X200" s="173"/>
      <c r="AM200" s="173"/>
    </row>
    <row r="201" spans="2:39" s="100" customFormat="1" ht="30" customHeight="1"/>
    <row r="202" spans="2:39" s="157" customFormat="1" ht="30" customHeight="1"/>
    <row r="203" spans="2:39" s="98" customFormat="1" ht="15" customHeight="1"/>
    <row r="204" spans="2:39" s="98" customFormat="1" ht="15" customHeight="1"/>
    <row r="205" spans="2:39" s="98" customFormat="1" ht="15" customHeight="1"/>
    <row r="206" spans="2:39" s="98" customFormat="1" ht="15" customHeight="1"/>
    <row r="207" spans="2:39" s="98" customFormat="1" ht="15" customHeight="1"/>
    <row r="208" spans="2:39" s="98" customFormat="1" ht="15" customHeight="1"/>
    <row r="209" spans="2:39" s="98" customFormat="1" ht="15" customHeight="1"/>
    <row r="210" spans="2:39" s="98" customFormat="1" ht="15" customHeight="1"/>
    <row r="211" spans="2:39" s="98" customFormat="1" ht="15" customHeight="1"/>
    <row r="212" spans="2:39" s="98" customFormat="1" ht="15" customHeight="1"/>
    <row r="213" spans="2:39" s="98" customFormat="1" ht="15" customHeight="1"/>
    <row r="214" spans="2:39" s="98" customFormat="1" ht="15" customHeight="1"/>
    <row r="215" spans="2:39" s="98" customFormat="1" ht="15" customHeight="1"/>
    <row r="216" spans="2:39" s="98" customFormat="1" ht="15" customHeight="1"/>
    <row r="217" spans="2:39" s="98" customFormat="1" ht="15" customHeight="1"/>
    <row r="218" spans="2:39">
      <c r="B218" s="173"/>
      <c r="C218" s="173"/>
      <c r="D218" s="173"/>
      <c r="E218" s="173"/>
      <c r="F218" s="173"/>
      <c r="I218" s="173"/>
      <c r="X218" s="173"/>
      <c r="AM218" s="173"/>
    </row>
    <row r="219" spans="2:39" s="100" customFormat="1" ht="30" customHeight="1"/>
    <row r="220" spans="2:39" s="157" customFormat="1" ht="30" customHeight="1"/>
    <row r="221" spans="2:39" s="98" customFormat="1" ht="15" customHeight="1"/>
    <row r="222" spans="2:39" s="98" customFormat="1" ht="15" customHeight="1"/>
    <row r="223" spans="2:39" s="98" customFormat="1" ht="15" customHeight="1"/>
    <row r="224" spans="2:39" s="98" customFormat="1" ht="15" customHeight="1"/>
    <row r="225" spans="2:39" s="98" customFormat="1" ht="15" customHeight="1"/>
    <row r="226" spans="2:39" s="98" customFormat="1" ht="15" customHeight="1"/>
    <row r="227" spans="2:39" s="98" customFormat="1" ht="15" customHeight="1"/>
    <row r="228" spans="2:39" s="98" customFormat="1" ht="15" customHeight="1"/>
    <row r="229" spans="2:39">
      <c r="B229" s="173"/>
      <c r="C229" s="173"/>
      <c r="D229" s="173"/>
      <c r="E229" s="173"/>
      <c r="F229" s="173"/>
      <c r="I229" s="173"/>
      <c r="X229" s="173"/>
      <c r="AM229" s="173"/>
    </row>
    <row r="230" spans="2:39" s="100" customFormat="1" ht="30" customHeight="1"/>
    <row r="231" spans="2:39" s="157" customFormat="1" ht="30" customHeight="1"/>
    <row r="232" spans="2:39" s="98" customFormat="1" ht="15" customHeight="1"/>
    <row r="233" spans="2:39" s="98" customFormat="1" ht="15" customHeight="1"/>
    <row r="234" spans="2:39" s="98" customFormat="1" ht="15" customHeight="1"/>
    <row r="235" spans="2:39">
      <c r="B235" s="173"/>
      <c r="C235" s="173"/>
      <c r="D235" s="173"/>
      <c r="E235" s="173"/>
      <c r="F235" s="173"/>
      <c r="I235" s="173"/>
      <c r="X235" s="173"/>
      <c r="AM235" s="173"/>
    </row>
    <row r="236" spans="2:39" s="100" customFormat="1" ht="30" customHeight="1"/>
    <row r="237" spans="2:39" s="157" customFormat="1" ht="30" customHeight="1"/>
    <row r="238" spans="2:39" s="98" customFormat="1" ht="15" customHeight="1"/>
    <row r="239" spans="2:39" s="98" customFormat="1" ht="15" customHeight="1"/>
    <row r="240" spans="2:39" s="98" customFormat="1" ht="15" customHeight="1"/>
    <row r="241" spans="2:39">
      <c r="B241" s="173"/>
      <c r="C241" s="173"/>
      <c r="D241" s="173"/>
      <c r="E241" s="173"/>
      <c r="F241" s="173"/>
      <c r="I241" s="173"/>
      <c r="X241" s="173"/>
      <c r="AM241" s="173"/>
    </row>
    <row r="242" spans="2:39" s="100" customFormat="1" ht="30" customHeight="1"/>
    <row r="243" spans="2:39" s="157" customFormat="1" ht="30" customHeight="1"/>
    <row r="244" spans="2:39" s="98" customFormat="1" ht="15" customHeight="1"/>
    <row r="245" spans="2:39" s="98" customFormat="1" ht="15" customHeight="1"/>
    <row r="246" spans="2:39" s="98" customFormat="1" ht="15" customHeight="1"/>
    <row r="247" spans="2:39" s="98" customFormat="1" ht="15" customHeight="1"/>
    <row r="259" spans="8:14">
      <c r="H259" s="174"/>
      <c r="I259" s="174"/>
      <c r="J259" s="174"/>
      <c r="K259" s="174"/>
      <c r="L259" s="174"/>
      <c r="M259" s="174"/>
      <c r="N259" s="174"/>
    </row>
    <row r="260" spans="8:14">
      <c r="H260" s="174"/>
      <c r="I260" s="174"/>
      <c r="J260" s="174"/>
      <c r="K260" s="174"/>
      <c r="L260" s="174"/>
      <c r="M260" s="174"/>
      <c r="N260" s="174"/>
    </row>
    <row r="261" spans="8:14">
      <c r="H261" s="174"/>
      <c r="I261" s="174"/>
      <c r="J261" s="174"/>
      <c r="K261" s="174"/>
      <c r="L261" s="174"/>
      <c r="M261" s="174"/>
      <c r="N261" s="174"/>
    </row>
  </sheetData>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tabColor rgb="FF00B050"/>
    <pageSetUpPr fitToPage="1"/>
  </sheetPr>
  <dimension ref="A1:AH468"/>
  <sheetViews>
    <sheetView showGridLines="0" topLeftCell="A280" zoomScale="50" zoomScaleNormal="70" workbookViewId="0">
      <selection activeCell="P332" sqref="P332:V332"/>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11.875" style="173" customWidth="1"/>
    <col min="24" max="24" width="11.875" style="173"/>
    <col min="25" max="25" width="11.875" style="175"/>
    <col min="26" max="16384" width="11.875" style="173"/>
  </cols>
  <sheetData>
    <row r="1" spans="1:34" s="2" customFormat="1" ht="25.15" customHeight="1">
      <c r="A1" s="1" t="s">
        <v>0</v>
      </c>
      <c r="G1" s="3"/>
      <c r="J1" s="4" t="s">
        <v>1</v>
      </c>
      <c r="L1" s="3"/>
    </row>
    <row r="2" spans="1:34" s="2" customFormat="1" ht="25.15" customHeight="1">
      <c r="A2" s="5" t="str">
        <f>Fixed_Data!I12</f>
        <v>MASTER</v>
      </c>
      <c r="B2" s="6"/>
      <c r="D2" s="7"/>
      <c r="E2" s="7"/>
      <c r="F2" s="7"/>
      <c r="G2" s="3"/>
    </row>
    <row r="3" spans="1:34" s="9" customFormat="1" ht="25.15" customHeight="1" thickBot="1">
      <c r="A3" s="8" t="str">
        <f>Fixed_Data!A3</f>
        <v>RIIO-GD2</v>
      </c>
      <c r="D3" s="10"/>
      <c r="E3" s="10"/>
      <c r="F3" s="10"/>
      <c r="G3" s="11"/>
    </row>
    <row r="4" spans="1:34" s="89" customFormat="1" ht="25.15" customHeight="1">
      <c r="B4" s="90" t="s">
        <v>3019</v>
      </c>
      <c r="C4" s="90"/>
      <c r="D4" s="90"/>
      <c r="E4" s="90"/>
      <c r="F4" s="90"/>
      <c r="G4" s="91"/>
      <c r="H4" s="92"/>
      <c r="I4" s="93"/>
      <c r="J4" s="94"/>
      <c r="K4" s="94"/>
      <c r="L4" s="94"/>
      <c r="M4" s="94"/>
      <c r="N4" s="94"/>
      <c r="O4" s="94"/>
      <c r="P4" s="94"/>
      <c r="Q4" s="94"/>
      <c r="R4" s="92"/>
      <c r="S4" s="92"/>
      <c r="T4" s="92"/>
      <c r="U4" s="92"/>
      <c r="V4" s="92"/>
      <c r="W4" s="92"/>
      <c r="X4" s="92"/>
      <c r="Y4" s="92"/>
      <c r="Z4" s="92"/>
      <c r="AA4" s="92"/>
      <c r="AB4" s="94"/>
      <c r="AC4" s="92"/>
      <c r="AD4" s="92"/>
      <c r="AE4" s="92"/>
      <c r="AF4" s="92"/>
      <c r="AG4" s="92"/>
      <c r="AH4" s="92"/>
    </row>
    <row r="5" spans="1:34" s="89" customFormat="1" ht="25.15" customHeight="1">
      <c r="B5" s="95"/>
      <c r="C5" s="95"/>
      <c r="D5" s="95"/>
      <c r="E5" s="95"/>
      <c r="F5" s="95"/>
      <c r="G5" s="95"/>
      <c r="H5" s="95"/>
      <c r="I5" s="93"/>
      <c r="J5" s="94"/>
      <c r="K5" s="94"/>
      <c r="L5" s="94"/>
      <c r="M5" s="94"/>
      <c r="N5" s="94"/>
      <c r="O5" s="94"/>
      <c r="P5" s="94"/>
      <c r="Q5" s="94"/>
      <c r="R5" s="92"/>
      <c r="S5" s="92"/>
      <c r="T5" s="92"/>
      <c r="U5" s="92"/>
      <c r="V5" s="92"/>
      <c r="W5" s="92"/>
      <c r="X5" s="92"/>
      <c r="Y5" s="92"/>
      <c r="Z5" s="92"/>
      <c r="AA5" s="92"/>
      <c r="AB5" s="94"/>
      <c r="AC5" s="92"/>
      <c r="AD5" s="92"/>
      <c r="AE5" s="92"/>
      <c r="AF5" s="92"/>
      <c r="AG5" s="92"/>
      <c r="AH5" s="92"/>
    </row>
    <row r="6" spans="1:34"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4"/>
      <c r="AC6" s="92"/>
      <c r="AD6" s="92"/>
      <c r="AE6" s="92"/>
      <c r="AF6" s="92"/>
      <c r="AG6" s="92"/>
      <c r="AH6" s="92"/>
    </row>
    <row r="7" spans="1:34"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6"/>
      <c r="Z7" s="98"/>
      <c r="AA7" s="98"/>
      <c r="AB7" s="98"/>
      <c r="AC7" s="98"/>
      <c r="AD7" s="98"/>
      <c r="AE7" s="98"/>
      <c r="AF7" s="98"/>
      <c r="AG7" s="98"/>
      <c r="AH7" s="98"/>
    </row>
    <row r="8" spans="1:34" s="100" customFormat="1" ht="30" customHeight="1" thickBot="1">
      <c r="A8" s="89"/>
      <c r="B8" s="621" t="s">
        <v>3020</v>
      </c>
      <c r="C8" s="102"/>
      <c r="D8" s="102"/>
      <c r="E8" s="102"/>
      <c r="F8" s="102"/>
      <c r="G8" s="103"/>
      <c r="H8" s="103"/>
      <c r="I8" s="105" t="s">
        <v>1869</v>
      </c>
      <c r="J8" s="106"/>
      <c r="K8" s="106"/>
      <c r="L8" s="106"/>
      <c r="M8" s="106"/>
      <c r="N8" s="106"/>
      <c r="O8" s="106"/>
      <c r="P8" s="106"/>
      <c r="Q8" s="106"/>
      <c r="R8" s="105"/>
      <c r="S8" s="105"/>
      <c r="T8" s="105"/>
      <c r="U8" s="105"/>
      <c r="V8" s="187"/>
    </row>
    <row r="9" spans="1:34"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row>
    <row r="10" spans="1:34"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34" s="98" customFormat="1" ht="15" customHeight="1">
      <c r="B11" s="161"/>
      <c r="C11" s="180" t="s">
        <v>2874</v>
      </c>
      <c r="D11" s="162"/>
      <c r="E11" s="162"/>
      <c r="F11" s="162"/>
      <c r="G11" s="163"/>
      <c r="H11" s="163"/>
      <c r="I11" s="117"/>
      <c r="J11" s="159"/>
      <c r="K11" s="117"/>
      <c r="L11" s="117"/>
      <c r="M11" s="117"/>
      <c r="N11" s="117"/>
      <c r="O11" s="117"/>
      <c r="P11" s="117"/>
      <c r="Q11" s="160"/>
      <c r="R11" s="159"/>
      <c r="S11" s="117"/>
      <c r="T11" s="117"/>
      <c r="U11" s="117"/>
      <c r="V11" s="160"/>
      <c r="W11" s="185"/>
    </row>
    <row r="12" spans="1:34" s="98" customFormat="1" ht="15" customHeight="1">
      <c r="B12" s="161"/>
      <c r="C12" s="185"/>
      <c r="D12" s="162" t="s">
        <v>2862</v>
      </c>
      <c r="E12" s="162"/>
      <c r="F12" s="162"/>
      <c r="G12" s="162"/>
      <c r="H12" s="163"/>
      <c r="I12" s="164" t="s">
        <v>1876</v>
      </c>
      <c r="J12" s="165">
        <v>1</v>
      </c>
      <c r="K12" s="166">
        <v>2</v>
      </c>
      <c r="L12" s="166">
        <v>0</v>
      </c>
      <c r="M12" s="166">
        <v>0</v>
      </c>
      <c r="N12" s="166">
        <v>0</v>
      </c>
      <c r="O12" s="166">
        <v>0</v>
      </c>
      <c r="P12" s="166">
        <v>0</v>
      </c>
      <c r="Q12" s="167">
        <v>0</v>
      </c>
      <c r="R12" s="165">
        <v>0</v>
      </c>
      <c r="S12" s="166">
        <v>0</v>
      </c>
      <c r="T12" s="166">
        <v>0</v>
      </c>
      <c r="U12" s="166">
        <v>0</v>
      </c>
      <c r="V12" s="167">
        <v>0</v>
      </c>
      <c r="W12" s="185"/>
    </row>
    <row r="13" spans="1:34" s="98" customFormat="1" ht="15" customHeight="1">
      <c r="B13" s="161"/>
      <c r="C13" s="185"/>
      <c r="D13" s="162" t="s">
        <v>2863</v>
      </c>
      <c r="E13" s="162"/>
      <c r="F13" s="162"/>
      <c r="G13" s="162"/>
      <c r="H13" s="163"/>
      <c r="I13" s="164" t="s">
        <v>1876</v>
      </c>
      <c r="J13" s="165">
        <v>2</v>
      </c>
      <c r="K13" s="166">
        <v>3</v>
      </c>
      <c r="L13" s="166">
        <v>3</v>
      </c>
      <c r="M13" s="166">
        <v>1</v>
      </c>
      <c r="N13" s="166">
        <v>4</v>
      </c>
      <c r="O13" s="166">
        <v>2</v>
      </c>
      <c r="P13" s="166">
        <v>1</v>
      </c>
      <c r="Q13" s="167">
        <v>1</v>
      </c>
      <c r="R13" s="165">
        <v>1</v>
      </c>
      <c r="S13" s="166">
        <v>1</v>
      </c>
      <c r="T13" s="166">
        <v>1</v>
      </c>
      <c r="U13" s="166">
        <v>1</v>
      </c>
      <c r="V13" s="167">
        <v>1</v>
      </c>
      <c r="W13" s="185"/>
    </row>
    <row r="14" spans="1:34" s="98" customFormat="1" ht="15" customHeight="1">
      <c r="B14" s="161"/>
      <c r="C14" s="185"/>
      <c r="D14" s="162" t="s">
        <v>2864</v>
      </c>
      <c r="E14" s="162"/>
      <c r="F14" s="162"/>
      <c r="G14" s="162"/>
      <c r="H14" s="163"/>
      <c r="I14" s="164" t="s">
        <v>1876</v>
      </c>
      <c r="J14" s="165">
        <v>4</v>
      </c>
      <c r="K14" s="166">
        <v>1</v>
      </c>
      <c r="L14" s="166">
        <v>0</v>
      </c>
      <c r="M14" s="166">
        <v>1</v>
      </c>
      <c r="N14" s="166">
        <v>3</v>
      </c>
      <c r="O14" s="166">
        <v>0</v>
      </c>
      <c r="P14" s="166">
        <v>1</v>
      </c>
      <c r="Q14" s="167">
        <v>1</v>
      </c>
      <c r="R14" s="165">
        <v>1</v>
      </c>
      <c r="S14" s="166">
        <v>1</v>
      </c>
      <c r="T14" s="166">
        <v>1</v>
      </c>
      <c r="U14" s="166">
        <v>1</v>
      </c>
      <c r="V14" s="167">
        <v>1</v>
      </c>
      <c r="W14" s="185"/>
    </row>
    <row r="15" spans="1:34" s="98" customFormat="1" ht="15" customHeight="1">
      <c r="B15" s="161"/>
      <c r="C15" s="185"/>
      <c r="D15" s="162" t="s">
        <v>2865</v>
      </c>
      <c r="E15" s="162"/>
      <c r="F15" s="162"/>
      <c r="G15" s="162"/>
      <c r="H15" s="163"/>
      <c r="I15" s="164" t="s">
        <v>1876</v>
      </c>
      <c r="J15" s="165">
        <v>0</v>
      </c>
      <c r="K15" s="166">
        <v>1</v>
      </c>
      <c r="L15" s="166">
        <v>2</v>
      </c>
      <c r="M15" s="166">
        <v>2</v>
      </c>
      <c r="N15" s="166">
        <v>1</v>
      </c>
      <c r="O15" s="166">
        <v>0</v>
      </c>
      <c r="P15" s="166">
        <v>2</v>
      </c>
      <c r="Q15" s="167">
        <v>2</v>
      </c>
      <c r="R15" s="165">
        <v>2</v>
      </c>
      <c r="S15" s="166">
        <v>2</v>
      </c>
      <c r="T15" s="166">
        <v>2</v>
      </c>
      <c r="U15" s="166">
        <v>2</v>
      </c>
      <c r="V15" s="167">
        <v>2</v>
      </c>
      <c r="W15" s="185"/>
    </row>
    <row r="16" spans="1:34" s="98" customFormat="1" ht="15" customHeight="1">
      <c r="B16" s="161"/>
      <c r="C16" s="185"/>
      <c r="D16" s="162" t="s">
        <v>2866</v>
      </c>
      <c r="E16" s="162"/>
      <c r="F16" s="162"/>
      <c r="G16" s="162"/>
      <c r="H16" s="163"/>
      <c r="I16" s="164" t="s">
        <v>1876</v>
      </c>
      <c r="J16" s="165">
        <v>0</v>
      </c>
      <c r="K16" s="166">
        <v>1</v>
      </c>
      <c r="L16" s="166">
        <v>0</v>
      </c>
      <c r="M16" s="166">
        <v>0</v>
      </c>
      <c r="N16" s="166">
        <v>0</v>
      </c>
      <c r="O16" s="166">
        <v>1</v>
      </c>
      <c r="P16" s="166">
        <v>0</v>
      </c>
      <c r="Q16" s="167">
        <v>0</v>
      </c>
      <c r="R16" s="165">
        <v>0</v>
      </c>
      <c r="S16" s="166">
        <v>0</v>
      </c>
      <c r="T16" s="166">
        <v>0</v>
      </c>
      <c r="U16" s="166">
        <v>0</v>
      </c>
      <c r="V16" s="167">
        <v>0</v>
      </c>
      <c r="W16" s="185"/>
    </row>
    <row r="17" spans="2:23" s="98" customFormat="1" ht="15" customHeight="1">
      <c r="B17" s="161"/>
      <c r="C17" s="185"/>
      <c r="D17" s="162" t="s">
        <v>2867</v>
      </c>
      <c r="E17" s="162"/>
      <c r="F17" s="162"/>
      <c r="G17" s="162"/>
      <c r="H17" s="163"/>
      <c r="I17" s="164" t="s">
        <v>1876</v>
      </c>
      <c r="J17" s="165">
        <v>0</v>
      </c>
      <c r="K17" s="166">
        <v>0</v>
      </c>
      <c r="L17" s="166">
        <v>1</v>
      </c>
      <c r="M17" s="166">
        <v>1</v>
      </c>
      <c r="N17" s="166">
        <v>1</v>
      </c>
      <c r="O17" s="166">
        <v>1</v>
      </c>
      <c r="P17" s="166">
        <v>1</v>
      </c>
      <c r="Q17" s="167">
        <v>1</v>
      </c>
      <c r="R17" s="165">
        <v>1</v>
      </c>
      <c r="S17" s="166">
        <v>1</v>
      </c>
      <c r="T17" s="166">
        <v>1</v>
      </c>
      <c r="U17" s="166">
        <v>1</v>
      </c>
      <c r="V17" s="167">
        <v>1</v>
      </c>
      <c r="W17" s="185"/>
    </row>
    <row r="18" spans="2:23" s="98" customFormat="1" ht="15" customHeight="1">
      <c r="B18" s="161"/>
      <c r="C18" s="185"/>
      <c r="D18" s="162" t="s">
        <v>2868</v>
      </c>
      <c r="E18" s="162"/>
      <c r="F18" s="162"/>
      <c r="G18" s="162"/>
      <c r="H18" s="163"/>
      <c r="I18" s="164" t="s">
        <v>1876</v>
      </c>
      <c r="J18" s="165">
        <v>0</v>
      </c>
      <c r="K18" s="166">
        <v>0</v>
      </c>
      <c r="L18" s="166">
        <v>0</v>
      </c>
      <c r="M18" s="166">
        <v>0</v>
      </c>
      <c r="N18" s="166">
        <v>0</v>
      </c>
      <c r="O18" s="166">
        <v>0</v>
      </c>
      <c r="P18" s="166">
        <v>0</v>
      </c>
      <c r="Q18" s="167">
        <v>0</v>
      </c>
      <c r="R18" s="165">
        <v>0</v>
      </c>
      <c r="S18" s="166">
        <v>0</v>
      </c>
      <c r="T18" s="166">
        <v>0</v>
      </c>
      <c r="U18" s="166">
        <v>0</v>
      </c>
      <c r="V18" s="167">
        <v>0</v>
      </c>
      <c r="W18" s="185"/>
    </row>
    <row r="19" spans="2:23" s="98" customFormat="1" ht="15" customHeight="1">
      <c r="B19" s="161"/>
      <c r="C19" s="185"/>
      <c r="D19" s="162" t="s">
        <v>2869</v>
      </c>
      <c r="E19" s="162"/>
      <c r="F19" s="162"/>
      <c r="G19" s="162"/>
      <c r="H19" s="163"/>
      <c r="I19" s="164" t="s">
        <v>1876</v>
      </c>
      <c r="J19" s="165">
        <v>0</v>
      </c>
      <c r="K19" s="166">
        <v>0</v>
      </c>
      <c r="L19" s="166">
        <v>0</v>
      </c>
      <c r="M19" s="166">
        <v>0</v>
      </c>
      <c r="N19" s="166">
        <v>0</v>
      </c>
      <c r="O19" s="166">
        <v>0</v>
      </c>
      <c r="P19" s="166">
        <v>0</v>
      </c>
      <c r="Q19" s="167">
        <v>0</v>
      </c>
      <c r="R19" s="165">
        <v>0</v>
      </c>
      <c r="S19" s="166">
        <v>0</v>
      </c>
      <c r="T19" s="166">
        <v>0</v>
      </c>
      <c r="U19" s="166">
        <v>0</v>
      </c>
      <c r="V19" s="167">
        <v>0</v>
      </c>
      <c r="W19" s="185"/>
    </row>
    <row r="20" spans="2:23" s="98" customFormat="1" ht="15" customHeight="1">
      <c r="B20" s="161"/>
      <c r="C20" s="185"/>
      <c r="D20" s="162" t="s">
        <v>2870</v>
      </c>
      <c r="E20" s="162"/>
      <c r="F20" s="162"/>
      <c r="G20" s="162"/>
      <c r="H20" s="163"/>
      <c r="I20" s="164" t="s">
        <v>1876</v>
      </c>
      <c r="J20" s="165">
        <v>0</v>
      </c>
      <c r="K20" s="166">
        <v>0</v>
      </c>
      <c r="L20" s="166">
        <v>0</v>
      </c>
      <c r="M20" s="166">
        <v>0</v>
      </c>
      <c r="N20" s="166">
        <v>0</v>
      </c>
      <c r="O20" s="166">
        <v>0</v>
      </c>
      <c r="P20" s="166">
        <v>0</v>
      </c>
      <c r="Q20" s="167">
        <v>0</v>
      </c>
      <c r="R20" s="165">
        <v>0</v>
      </c>
      <c r="S20" s="166">
        <v>0</v>
      </c>
      <c r="T20" s="166">
        <v>0</v>
      </c>
      <c r="U20" s="166">
        <v>0</v>
      </c>
      <c r="V20" s="167">
        <v>0</v>
      </c>
      <c r="W20" s="185"/>
    </row>
    <row r="21" spans="2:23" s="98" customFormat="1" ht="15" customHeight="1">
      <c r="B21" s="181"/>
      <c r="C21" s="182" t="s">
        <v>1710</v>
      </c>
      <c r="G21" s="184"/>
      <c r="H21" s="184"/>
      <c r="I21" s="164" t="s">
        <v>1876</v>
      </c>
      <c r="J21" s="777">
        <f>SUM(J12:J20)</f>
        <v>7</v>
      </c>
      <c r="K21" s="778">
        <f t="shared" ref="K21:V21" si="0">SUM(K12:K20)</f>
        <v>8</v>
      </c>
      <c r="L21" s="778">
        <f t="shared" si="0"/>
        <v>6</v>
      </c>
      <c r="M21" s="778">
        <f t="shared" si="0"/>
        <v>5</v>
      </c>
      <c r="N21" s="778">
        <f t="shared" si="0"/>
        <v>9</v>
      </c>
      <c r="O21" s="778">
        <f t="shared" si="0"/>
        <v>4</v>
      </c>
      <c r="P21" s="778">
        <f t="shared" si="0"/>
        <v>5</v>
      </c>
      <c r="Q21" s="779">
        <f t="shared" si="0"/>
        <v>5</v>
      </c>
      <c r="R21" s="777">
        <f t="shared" si="0"/>
        <v>5</v>
      </c>
      <c r="S21" s="778">
        <f t="shared" si="0"/>
        <v>5</v>
      </c>
      <c r="T21" s="778">
        <f t="shared" si="0"/>
        <v>5</v>
      </c>
      <c r="U21" s="778">
        <f t="shared" si="0"/>
        <v>5</v>
      </c>
      <c r="V21" s="779">
        <f t="shared" si="0"/>
        <v>5</v>
      </c>
      <c r="W21" s="185"/>
    </row>
    <row r="22" spans="2:23" s="98" customFormat="1" ht="15" customHeight="1">
      <c r="B22" s="181"/>
      <c r="C22" s="185"/>
      <c r="D22" s="182"/>
      <c r="E22" s="182"/>
      <c r="F22" s="182"/>
      <c r="G22" s="184"/>
      <c r="H22" s="184"/>
      <c r="I22" s="117"/>
      <c r="J22" s="159"/>
      <c r="K22" s="2645"/>
      <c r="L22" s="2645"/>
      <c r="M22" s="2645"/>
      <c r="N22" s="2645"/>
      <c r="O22" s="2645"/>
      <c r="P22" s="2645"/>
      <c r="Q22" s="160"/>
      <c r="R22" s="2645"/>
      <c r="S22" s="2645"/>
      <c r="T22" s="2645"/>
      <c r="U22" s="2645"/>
      <c r="V22" s="160"/>
      <c r="W22" s="185"/>
    </row>
    <row r="23" spans="2:23" s="98" customFormat="1" ht="15" customHeight="1">
      <c r="B23" s="161"/>
      <c r="C23" s="180" t="s">
        <v>2875</v>
      </c>
      <c r="D23" s="162"/>
      <c r="E23" s="162"/>
      <c r="F23" s="162"/>
      <c r="G23" s="163"/>
      <c r="H23" s="163"/>
      <c r="I23" s="117"/>
      <c r="J23" s="159"/>
      <c r="K23" s="94"/>
      <c r="L23" s="94"/>
      <c r="M23" s="94"/>
      <c r="N23" s="94"/>
      <c r="O23" s="94"/>
      <c r="P23" s="94"/>
      <c r="Q23" s="160"/>
      <c r="R23" s="159"/>
      <c r="S23" s="94"/>
      <c r="T23" s="94"/>
      <c r="U23" s="94"/>
      <c r="V23" s="160"/>
      <c r="W23" s="185"/>
    </row>
    <row r="24" spans="2:23" s="98" customFormat="1" ht="15" customHeight="1">
      <c r="B24" s="161"/>
      <c r="C24" s="185"/>
      <c r="D24" s="162" t="s">
        <v>2862</v>
      </c>
      <c r="E24" s="162"/>
      <c r="F24" s="162"/>
      <c r="G24" s="162"/>
      <c r="H24" s="163"/>
      <c r="I24" s="164" t="s">
        <v>1876</v>
      </c>
      <c r="J24" s="165">
        <v>0</v>
      </c>
      <c r="K24" s="166">
        <v>0</v>
      </c>
      <c r="L24" s="166">
        <v>2</v>
      </c>
      <c r="M24" s="166">
        <v>0</v>
      </c>
      <c r="N24" s="166">
        <v>2</v>
      </c>
      <c r="O24" s="166">
        <v>0</v>
      </c>
      <c r="P24" s="166">
        <v>0</v>
      </c>
      <c r="Q24" s="167">
        <v>0</v>
      </c>
      <c r="R24" s="165">
        <v>0</v>
      </c>
      <c r="S24" s="166">
        <v>0</v>
      </c>
      <c r="T24" s="166">
        <v>0</v>
      </c>
      <c r="U24" s="166">
        <v>0</v>
      </c>
      <c r="V24" s="167">
        <v>0</v>
      </c>
      <c r="W24" s="185"/>
    </row>
    <row r="25" spans="2:23" s="98" customFormat="1" ht="15" customHeight="1">
      <c r="B25" s="161"/>
      <c r="C25" s="185"/>
      <c r="D25" s="162" t="s">
        <v>2863</v>
      </c>
      <c r="E25" s="162"/>
      <c r="F25" s="162"/>
      <c r="G25" s="162"/>
      <c r="H25" s="163"/>
      <c r="I25" s="164" t="s">
        <v>1876</v>
      </c>
      <c r="J25" s="165">
        <v>18</v>
      </c>
      <c r="K25" s="166">
        <v>16</v>
      </c>
      <c r="L25" s="166">
        <v>8</v>
      </c>
      <c r="M25" s="166">
        <v>3</v>
      </c>
      <c r="N25" s="166">
        <v>3</v>
      </c>
      <c r="O25" s="166">
        <v>5</v>
      </c>
      <c r="P25" s="166">
        <v>5</v>
      </c>
      <c r="Q25" s="167">
        <v>5</v>
      </c>
      <c r="R25" s="165">
        <v>5</v>
      </c>
      <c r="S25" s="166">
        <v>5</v>
      </c>
      <c r="T25" s="166">
        <v>5</v>
      </c>
      <c r="U25" s="166">
        <v>5</v>
      </c>
      <c r="V25" s="167">
        <v>5</v>
      </c>
      <c r="W25" s="185"/>
    </row>
    <row r="26" spans="2:23" s="98" customFormat="1" ht="15" customHeight="1">
      <c r="B26" s="161"/>
      <c r="C26" s="185"/>
      <c r="D26" s="162" t="s">
        <v>2864</v>
      </c>
      <c r="E26" s="162"/>
      <c r="F26" s="162"/>
      <c r="G26" s="162"/>
      <c r="H26" s="163"/>
      <c r="I26" s="164" t="s">
        <v>1876</v>
      </c>
      <c r="J26" s="165">
        <v>4</v>
      </c>
      <c r="K26" s="166">
        <v>6</v>
      </c>
      <c r="L26" s="166">
        <v>4</v>
      </c>
      <c r="M26" s="166">
        <v>3</v>
      </c>
      <c r="N26" s="166">
        <v>3</v>
      </c>
      <c r="O26" s="166">
        <v>2</v>
      </c>
      <c r="P26" s="166">
        <v>2</v>
      </c>
      <c r="Q26" s="167">
        <v>2</v>
      </c>
      <c r="R26" s="165">
        <v>2</v>
      </c>
      <c r="S26" s="166">
        <v>2</v>
      </c>
      <c r="T26" s="166">
        <v>2</v>
      </c>
      <c r="U26" s="166">
        <v>2</v>
      </c>
      <c r="V26" s="167">
        <v>2</v>
      </c>
      <c r="W26" s="185"/>
    </row>
    <row r="27" spans="2:23" s="98" customFormat="1" ht="15" customHeight="1">
      <c r="B27" s="161"/>
      <c r="C27" s="185"/>
      <c r="D27" s="162" t="s">
        <v>2865</v>
      </c>
      <c r="E27" s="162"/>
      <c r="F27" s="162"/>
      <c r="G27" s="162"/>
      <c r="H27" s="163"/>
      <c r="I27" s="164" t="s">
        <v>1876</v>
      </c>
      <c r="J27" s="165">
        <v>2</v>
      </c>
      <c r="K27" s="166">
        <v>0</v>
      </c>
      <c r="L27" s="166">
        <v>1</v>
      </c>
      <c r="M27" s="166">
        <v>0</v>
      </c>
      <c r="N27" s="166">
        <v>1</v>
      </c>
      <c r="O27" s="166">
        <v>0</v>
      </c>
      <c r="P27" s="166">
        <v>0</v>
      </c>
      <c r="Q27" s="167">
        <v>0</v>
      </c>
      <c r="R27" s="165">
        <v>0</v>
      </c>
      <c r="S27" s="166">
        <v>0</v>
      </c>
      <c r="T27" s="166">
        <v>0</v>
      </c>
      <c r="U27" s="166">
        <v>0</v>
      </c>
      <c r="V27" s="167">
        <v>0</v>
      </c>
      <c r="W27" s="185"/>
    </row>
    <row r="28" spans="2:23" s="98" customFormat="1" ht="15" customHeight="1">
      <c r="B28" s="161"/>
      <c r="C28" s="185"/>
      <c r="D28" s="162" t="s">
        <v>2866</v>
      </c>
      <c r="E28" s="162"/>
      <c r="F28" s="162"/>
      <c r="G28" s="162"/>
      <c r="H28" s="163"/>
      <c r="I28" s="164" t="s">
        <v>1876</v>
      </c>
      <c r="J28" s="165">
        <v>0</v>
      </c>
      <c r="K28" s="166">
        <v>0</v>
      </c>
      <c r="L28" s="166">
        <v>1</v>
      </c>
      <c r="M28" s="166">
        <v>0</v>
      </c>
      <c r="N28" s="166">
        <v>0</v>
      </c>
      <c r="O28" s="166">
        <v>0</v>
      </c>
      <c r="P28" s="166">
        <v>0</v>
      </c>
      <c r="Q28" s="167">
        <v>0</v>
      </c>
      <c r="R28" s="165">
        <v>0</v>
      </c>
      <c r="S28" s="166">
        <v>0</v>
      </c>
      <c r="T28" s="166">
        <v>0</v>
      </c>
      <c r="U28" s="166">
        <v>0</v>
      </c>
      <c r="V28" s="167">
        <v>0</v>
      </c>
      <c r="W28" s="185"/>
    </row>
    <row r="29" spans="2:23" s="98" customFormat="1" ht="15" customHeight="1">
      <c r="B29" s="161"/>
      <c r="C29" s="185"/>
      <c r="D29" s="162" t="s">
        <v>2867</v>
      </c>
      <c r="E29" s="162"/>
      <c r="F29" s="162"/>
      <c r="G29" s="162"/>
      <c r="H29" s="163"/>
      <c r="I29" s="164" t="s">
        <v>1876</v>
      </c>
      <c r="J29" s="165">
        <v>1</v>
      </c>
      <c r="K29" s="166">
        <v>0</v>
      </c>
      <c r="L29" s="166">
        <v>1</v>
      </c>
      <c r="M29" s="166">
        <v>2</v>
      </c>
      <c r="N29" s="166">
        <v>0</v>
      </c>
      <c r="O29" s="166">
        <v>2</v>
      </c>
      <c r="P29" s="166">
        <v>2</v>
      </c>
      <c r="Q29" s="167">
        <v>2</v>
      </c>
      <c r="R29" s="165">
        <v>2</v>
      </c>
      <c r="S29" s="166">
        <v>2</v>
      </c>
      <c r="T29" s="166">
        <v>2</v>
      </c>
      <c r="U29" s="166">
        <v>2</v>
      </c>
      <c r="V29" s="167">
        <v>2</v>
      </c>
      <c r="W29" s="185"/>
    </row>
    <row r="30" spans="2:23" s="98" customFormat="1" ht="15" customHeight="1">
      <c r="B30" s="161"/>
      <c r="C30" s="185"/>
      <c r="D30" s="162" t="s">
        <v>2868</v>
      </c>
      <c r="E30" s="162"/>
      <c r="F30" s="162"/>
      <c r="G30" s="162"/>
      <c r="H30" s="163"/>
      <c r="I30" s="164" t="s">
        <v>1876</v>
      </c>
      <c r="J30" s="165">
        <v>1</v>
      </c>
      <c r="K30" s="166">
        <v>0</v>
      </c>
      <c r="L30" s="166">
        <v>0</v>
      </c>
      <c r="M30" s="166">
        <v>0</v>
      </c>
      <c r="N30" s="166">
        <v>0</v>
      </c>
      <c r="O30" s="166">
        <v>0</v>
      </c>
      <c r="P30" s="166">
        <v>0</v>
      </c>
      <c r="Q30" s="167">
        <v>0</v>
      </c>
      <c r="R30" s="165">
        <v>0</v>
      </c>
      <c r="S30" s="166">
        <v>0</v>
      </c>
      <c r="T30" s="166">
        <v>0</v>
      </c>
      <c r="U30" s="166">
        <v>0</v>
      </c>
      <c r="V30" s="167">
        <v>0</v>
      </c>
      <c r="W30" s="185"/>
    </row>
    <row r="31" spans="2:23" s="98" customFormat="1" ht="15" customHeight="1">
      <c r="B31" s="161"/>
      <c r="C31" s="185"/>
      <c r="D31" s="162" t="s">
        <v>2869</v>
      </c>
      <c r="E31" s="162"/>
      <c r="F31" s="162"/>
      <c r="G31" s="162"/>
      <c r="H31" s="163"/>
      <c r="I31" s="164" t="s">
        <v>1876</v>
      </c>
      <c r="J31" s="165">
        <v>0</v>
      </c>
      <c r="K31" s="166">
        <v>0</v>
      </c>
      <c r="L31" s="166">
        <v>0</v>
      </c>
      <c r="M31" s="166">
        <v>0</v>
      </c>
      <c r="N31" s="166">
        <v>0</v>
      </c>
      <c r="O31" s="166">
        <v>0</v>
      </c>
      <c r="P31" s="166">
        <v>0</v>
      </c>
      <c r="Q31" s="167">
        <v>0</v>
      </c>
      <c r="R31" s="165">
        <v>0</v>
      </c>
      <c r="S31" s="166">
        <v>0</v>
      </c>
      <c r="T31" s="166">
        <v>0</v>
      </c>
      <c r="U31" s="166">
        <v>0</v>
      </c>
      <c r="V31" s="167">
        <v>0</v>
      </c>
      <c r="W31" s="185"/>
    </row>
    <row r="32" spans="2:23" s="98" customFormat="1" ht="15" customHeight="1">
      <c r="B32" s="161"/>
      <c r="C32" s="185"/>
      <c r="D32" s="162" t="s">
        <v>2870</v>
      </c>
      <c r="E32" s="162"/>
      <c r="F32" s="162"/>
      <c r="G32" s="162"/>
      <c r="H32" s="163"/>
      <c r="I32" s="164" t="s">
        <v>1876</v>
      </c>
      <c r="J32" s="165">
        <v>0</v>
      </c>
      <c r="K32" s="166">
        <v>0</v>
      </c>
      <c r="L32" s="166">
        <v>0</v>
      </c>
      <c r="M32" s="166">
        <v>0</v>
      </c>
      <c r="N32" s="166">
        <v>0</v>
      </c>
      <c r="O32" s="166">
        <v>0</v>
      </c>
      <c r="P32" s="166">
        <v>0</v>
      </c>
      <c r="Q32" s="167">
        <v>0</v>
      </c>
      <c r="R32" s="165">
        <v>0</v>
      </c>
      <c r="S32" s="166">
        <v>0</v>
      </c>
      <c r="T32" s="166">
        <v>0</v>
      </c>
      <c r="U32" s="166">
        <v>0</v>
      </c>
      <c r="V32" s="167">
        <v>0</v>
      </c>
      <c r="W32" s="185"/>
    </row>
    <row r="33" spans="1:23" s="98" customFormat="1" ht="15" customHeight="1">
      <c r="B33" s="181"/>
      <c r="C33" s="182" t="s">
        <v>1710</v>
      </c>
      <c r="G33" s="184"/>
      <c r="H33" s="184"/>
      <c r="I33" s="164" t="s">
        <v>1876</v>
      </c>
      <c r="J33" s="777">
        <f>SUM(J24:J32)</f>
        <v>26</v>
      </c>
      <c r="K33" s="778">
        <f t="shared" ref="K33:V33" si="1">SUM(K24:K32)</f>
        <v>22</v>
      </c>
      <c r="L33" s="778">
        <f t="shared" si="1"/>
        <v>17</v>
      </c>
      <c r="M33" s="778">
        <f t="shared" si="1"/>
        <v>8</v>
      </c>
      <c r="N33" s="778">
        <f t="shared" si="1"/>
        <v>9</v>
      </c>
      <c r="O33" s="778">
        <f t="shared" si="1"/>
        <v>9</v>
      </c>
      <c r="P33" s="778">
        <f t="shared" si="1"/>
        <v>9</v>
      </c>
      <c r="Q33" s="779">
        <f t="shared" si="1"/>
        <v>9</v>
      </c>
      <c r="R33" s="777">
        <f t="shared" si="1"/>
        <v>9</v>
      </c>
      <c r="S33" s="778">
        <f t="shared" si="1"/>
        <v>9</v>
      </c>
      <c r="T33" s="778">
        <f t="shared" si="1"/>
        <v>9</v>
      </c>
      <c r="U33" s="778">
        <f t="shared" si="1"/>
        <v>9</v>
      </c>
      <c r="V33" s="779">
        <f t="shared" si="1"/>
        <v>9</v>
      </c>
      <c r="W33" s="185"/>
    </row>
    <row r="34" spans="1:23" s="98" customFormat="1" ht="15" customHeight="1">
      <c r="A34" s="99"/>
      <c r="B34" s="181"/>
      <c r="C34" s="185"/>
      <c r="D34" s="182"/>
      <c r="E34" s="182"/>
      <c r="F34" s="182"/>
      <c r="G34" s="184"/>
      <c r="H34" s="184"/>
      <c r="I34" s="117"/>
      <c r="J34" s="159"/>
      <c r="K34" s="2645"/>
      <c r="L34" s="2645"/>
      <c r="M34" s="2645"/>
      <c r="N34" s="2645"/>
      <c r="O34" s="2645"/>
      <c r="P34" s="2645"/>
      <c r="Q34" s="160"/>
      <c r="R34" s="2645"/>
      <c r="S34" s="2645"/>
      <c r="T34" s="2645"/>
      <c r="U34" s="2645"/>
      <c r="V34" s="160"/>
      <c r="W34" s="185"/>
    </row>
    <row r="35" spans="1:23" s="98" customFormat="1" ht="15" customHeight="1">
      <c r="B35" s="161"/>
      <c r="C35" s="180" t="s">
        <v>2876</v>
      </c>
      <c r="D35" s="162"/>
      <c r="E35" s="162"/>
      <c r="F35" s="162"/>
      <c r="G35" s="163"/>
      <c r="H35" s="163"/>
      <c r="I35" s="117"/>
      <c r="J35" s="159"/>
      <c r="K35" s="94"/>
      <c r="L35" s="94"/>
      <c r="M35" s="94"/>
      <c r="N35" s="94"/>
      <c r="O35" s="94"/>
      <c r="P35" s="94"/>
      <c r="Q35" s="160"/>
      <c r="R35" s="159"/>
      <c r="S35" s="94"/>
      <c r="T35" s="94"/>
      <c r="U35" s="94"/>
      <c r="V35" s="160"/>
      <c r="W35" s="185"/>
    </row>
    <row r="36" spans="1:23" s="98" customFormat="1" ht="15" customHeight="1">
      <c r="B36" s="161"/>
      <c r="C36" s="185"/>
      <c r="D36" s="162" t="s">
        <v>2862</v>
      </c>
      <c r="E36" s="162"/>
      <c r="F36" s="162"/>
      <c r="G36" s="162"/>
      <c r="H36" s="163"/>
      <c r="I36" s="164" t="s">
        <v>1876</v>
      </c>
      <c r="J36" s="165">
        <v>0</v>
      </c>
      <c r="K36" s="166">
        <v>0</v>
      </c>
      <c r="L36" s="166">
        <v>0</v>
      </c>
      <c r="M36" s="166">
        <v>0</v>
      </c>
      <c r="N36" s="166">
        <v>0</v>
      </c>
      <c r="O36" s="166">
        <v>0</v>
      </c>
      <c r="P36" s="166">
        <v>0</v>
      </c>
      <c r="Q36" s="167">
        <v>0</v>
      </c>
      <c r="R36" s="165">
        <v>0</v>
      </c>
      <c r="S36" s="166">
        <v>0</v>
      </c>
      <c r="T36" s="166">
        <v>0</v>
      </c>
      <c r="U36" s="166">
        <v>0</v>
      </c>
      <c r="V36" s="167">
        <v>0</v>
      </c>
      <c r="W36" s="185"/>
    </row>
    <row r="37" spans="1:23" s="98" customFormat="1" ht="15" customHeight="1">
      <c r="B37" s="161"/>
      <c r="C37" s="185"/>
      <c r="D37" s="162" t="s">
        <v>2863</v>
      </c>
      <c r="E37" s="162"/>
      <c r="F37" s="162"/>
      <c r="G37" s="162"/>
      <c r="H37" s="163"/>
      <c r="I37" s="164" t="s">
        <v>1876</v>
      </c>
      <c r="J37" s="165">
        <v>5</v>
      </c>
      <c r="K37" s="166">
        <v>3</v>
      </c>
      <c r="L37" s="166">
        <v>0</v>
      </c>
      <c r="M37" s="166">
        <v>2</v>
      </c>
      <c r="N37" s="166">
        <v>0</v>
      </c>
      <c r="O37" s="166">
        <v>2</v>
      </c>
      <c r="P37" s="166">
        <v>2</v>
      </c>
      <c r="Q37" s="167">
        <v>2</v>
      </c>
      <c r="R37" s="165">
        <v>2</v>
      </c>
      <c r="S37" s="166">
        <v>2</v>
      </c>
      <c r="T37" s="166">
        <v>2</v>
      </c>
      <c r="U37" s="166">
        <v>2</v>
      </c>
      <c r="V37" s="167">
        <v>2</v>
      </c>
      <c r="W37" s="185"/>
    </row>
    <row r="38" spans="1:23" s="98" customFormat="1" ht="15" customHeight="1">
      <c r="B38" s="161"/>
      <c r="C38" s="185"/>
      <c r="D38" s="162" t="s">
        <v>2864</v>
      </c>
      <c r="E38" s="162"/>
      <c r="F38" s="162"/>
      <c r="G38" s="162"/>
      <c r="H38" s="163"/>
      <c r="I38" s="164" t="s">
        <v>1876</v>
      </c>
      <c r="J38" s="165">
        <v>0</v>
      </c>
      <c r="K38" s="166">
        <v>0</v>
      </c>
      <c r="L38" s="166">
        <v>1</v>
      </c>
      <c r="M38" s="166">
        <v>0</v>
      </c>
      <c r="N38" s="166">
        <v>0</v>
      </c>
      <c r="O38" s="166">
        <v>1</v>
      </c>
      <c r="P38" s="166">
        <v>1</v>
      </c>
      <c r="Q38" s="167">
        <v>1</v>
      </c>
      <c r="R38" s="165">
        <v>1</v>
      </c>
      <c r="S38" s="166">
        <v>1</v>
      </c>
      <c r="T38" s="166">
        <v>1</v>
      </c>
      <c r="U38" s="166">
        <v>1</v>
      </c>
      <c r="V38" s="167">
        <v>1</v>
      </c>
      <c r="W38" s="185"/>
    </row>
    <row r="39" spans="1:23" s="98" customFormat="1" ht="15" customHeight="1">
      <c r="B39" s="161"/>
      <c r="C39" s="185"/>
      <c r="D39" s="162" t="s">
        <v>2865</v>
      </c>
      <c r="E39" s="162"/>
      <c r="F39" s="162"/>
      <c r="G39" s="162"/>
      <c r="H39" s="163"/>
      <c r="I39" s="164" t="s">
        <v>1876</v>
      </c>
      <c r="J39" s="165">
        <v>0</v>
      </c>
      <c r="K39" s="166">
        <v>1</v>
      </c>
      <c r="L39" s="166">
        <v>0</v>
      </c>
      <c r="M39" s="166">
        <v>0</v>
      </c>
      <c r="N39" s="166">
        <v>0</v>
      </c>
      <c r="O39" s="166">
        <v>0</v>
      </c>
      <c r="P39" s="166">
        <v>0</v>
      </c>
      <c r="Q39" s="167">
        <v>0</v>
      </c>
      <c r="R39" s="165">
        <v>0</v>
      </c>
      <c r="S39" s="166">
        <v>0</v>
      </c>
      <c r="T39" s="166">
        <v>0</v>
      </c>
      <c r="U39" s="166">
        <v>0</v>
      </c>
      <c r="V39" s="167">
        <v>0</v>
      </c>
      <c r="W39" s="185"/>
    </row>
    <row r="40" spans="1:23" s="98" customFormat="1" ht="15" customHeight="1">
      <c r="B40" s="161"/>
      <c r="C40" s="185"/>
      <c r="D40" s="162" t="s">
        <v>2866</v>
      </c>
      <c r="E40" s="162"/>
      <c r="F40" s="162"/>
      <c r="G40" s="162"/>
      <c r="H40" s="163"/>
      <c r="I40" s="164" t="s">
        <v>1876</v>
      </c>
      <c r="J40" s="165">
        <v>0</v>
      </c>
      <c r="K40" s="166">
        <v>0</v>
      </c>
      <c r="L40" s="166">
        <v>0</v>
      </c>
      <c r="M40" s="166">
        <v>0</v>
      </c>
      <c r="N40" s="166">
        <v>0</v>
      </c>
      <c r="O40" s="166">
        <v>0</v>
      </c>
      <c r="P40" s="166">
        <v>0</v>
      </c>
      <c r="Q40" s="167">
        <v>0</v>
      </c>
      <c r="R40" s="165">
        <v>0</v>
      </c>
      <c r="S40" s="166">
        <v>0</v>
      </c>
      <c r="T40" s="166">
        <v>0</v>
      </c>
      <c r="U40" s="166">
        <v>0</v>
      </c>
      <c r="V40" s="167">
        <v>0</v>
      </c>
      <c r="W40" s="185"/>
    </row>
    <row r="41" spans="1:23" s="98" customFormat="1" ht="15" customHeight="1">
      <c r="B41" s="161"/>
      <c r="C41" s="185"/>
      <c r="D41" s="162" t="s">
        <v>2867</v>
      </c>
      <c r="E41" s="162"/>
      <c r="F41" s="162"/>
      <c r="G41" s="162"/>
      <c r="H41" s="163"/>
      <c r="I41" s="164" t="s">
        <v>1876</v>
      </c>
      <c r="J41" s="165">
        <v>0</v>
      </c>
      <c r="K41" s="166">
        <v>0</v>
      </c>
      <c r="L41" s="166">
        <v>0</v>
      </c>
      <c r="M41" s="166">
        <v>0</v>
      </c>
      <c r="N41" s="166">
        <v>0</v>
      </c>
      <c r="O41" s="166">
        <v>0</v>
      </c>
      <c r="P41" s="166">
        <v>0</v>
      </c>
      <c r="Q41" s="167">
        <v>0</v>
      </c>
      <c r="R41" s="165">
        <v>0</v>
      </c>
      <c r="S41" s="166">
        <v>0</v>
      </c>
      <c r="T41" s="166">
        <v>0</v>
      </c>
      <c r="U41" s="166">
        <v>0</v>
      </c>
      <c r="V41" s="167">
        <v>0</v>
      </c>
      <c r="W41" s="185"/>
    </row>
    <row r="42" spans="1:23" s="98" customFormat="1" ht="15" customHeight="1">
      <c r="B42" s="161"/>
      <c r="C42" s="185"/>
      <c r="D42" s="162" t="s">
        <v>2868</v>
      </c>
      <c r="E42" s="162"/>
      <c r="F42" s="162"/>
      <c r="G42" s="162"/>
      <c r="H42" s="163"/>
      <c r="I42" s="164" t="s">
        <v>1876</v>
      </c>
      <c r="J42" s="165">
        <v>0</v>
      </c>
      <c r="K42" s="166">
        <v>0</v>
      </c>
      <c r="L42" s="166">
        <v>0</v>
      </c>
      <c r="M42" s="166">
        <v>0</v>
      </c>
      <c r="N42" s="166">
        <v>0</v>
      </c>
      <c r="O42" s="166">
        <v>0</v>
      </c>
      <c r="P42" s="166">
        <v>0</v>
      </c>
      <c r="Q42" s="167">
        <v>0</v>
      </c>
      <c r="R42" s="165">
        <v>0</v>
      </c>
      <c r="S42" s="166">
        <v>0</v>
      </c>
      <c r="T42" s="166">
        <v>0</v>
      </c>
      <c r="U42" s="166">
        <v>0</v>
      </c>
      <c r="V42" s="167">
        <v>0</v>
      </c>
      <c r="W42" s="185"/>
    </row>
    <row r="43" spans="1:23" s="98" customFormat="1" ht="15" customHeight="1">
      <c r="B43" s="161"/>
      <c r="C43" s="185"/>
      <c r="D43" s="162" t="s">
        <v>2869</v>
      </c>
      <c r="E43" s="162"/>
      <c r="F43" s="162"/>
      <c r="G43" s="162"/>
      <c r="H43" s="163"/>
      <c r="I43" s="164" t="s">
        <v>1876</v>
      </c>
      <c r="J43" s="165">
        <v>0</v>
      </c>
      <c r="K43" s="166">
        <v>0</v>
      </c>
      <c r="L43" s="166">
        <v>0</v>
      </c>
      <c r="M43" s="166">
        <v>0</v>
      </c>
      <c r="N43" s="166">
        <v>0</v>
      </c>
      <c r="O43" s="166">
        <v>0</v>
      </c>
      <c r="P43" s="166">
        <v>0</v>
      </c>
      <c r="Q43" s="167">
        <v>0</v>
      </c>
      <c r="R43" s="165">
        <v>0</v>
      </c>
      <c r="S43" s="166">
        <v>0</v>
      </c>
      <c r="T43" s="166">
        <v>0</v>
      </c>
      <c r="U43" s="166">
        <v>0</v>
      </c>
      <c r="V43" s="167">
        <v>0</v>
      </c>
      <c r="W43" s="185"/>
    </row>
    <row r="44" spans="1:23" s="98" customFormat="1" ht="15" customHeight="1">
      <c r="B44" s="161"/>
      <c r="C44" s="185"/>
      <c r="D44" s="162" t="s">
        <v>2870</v>
      </c>
      <c r="E44" s="162"/>
      <c r="F44" s="162"/>
      <c r="G44" s="162"/>
      <c r="H44" s="163"/>
      <c r="I44" s="164" t="s">
        <v>1876</v>
      </c>
      <c r="J44" s="165">
        <v>0</v>
      </c>
      <c r="K44" s="166">
        <v>0</v>
      </c>
      <c r="L44" s="166">
        <v>0</v>
      </c>
      <c r="M44" s="166">
        <v>0</v>
      </c>
      <c r="N44" s="166">
        <v>0</v>
      </c>
      <c r="O44" s="166">
        <v>0</v>
      </c>
      <c r="P44" s="166">
        <v>0</v>
      </c>
      <c r="Q44" s="167">
        <v>0</v>
      </c>
      <c r="R44" s="165">
        <v>0</v>
      </c>
      <c r="S44" s="166">
        <v>0</v>
      </c>
      <c r="T44" s="166">
        <v>0</v>
      </c>
      <c r="U44" s="166">
        <v>0</v>
      </c>
      <c r="V44" s="167">
        <v>0</v>
      </c>
      <c r="W44" s="185"/>
    </row>
    <row r="45" spans="1:23" s="98" customFormat="1" ht="15" customHeight="1">
      <c r="B45" s="181"/>
      <c r="C45" s="182" t="s">
        <v>1710</v>
      </c>
      <c r="D45" s="245"/>
      <c r="E45" s="245"/>
      <c r="F45" s="245"/>
      <c r="G45" s="184"/>
      <c r="H45" s="184"/>
      <c r="I45" s="164" t="s">
        <v>1876</v>
      </c>
      <c r="J45" s="777">
        <f>SUM(J36:J44)</f>
        <v>5</v>
      </c>
      <c r="K45" s="778">
        <f t="shared" ref="K45:V45" si="2">SUM(K36:K44)</f>
        <v>4</v>
      </c>
      <c r="L45" s="778">
        <f t="shared" si="2"/>
        <v>1</v>
      </c>
      <c r="M45" s="778">
        <f t="shared" si="2"/>
        <v>2</v>
      </c>
      <c r="N45" s="778">
        <f t="shared" si="2"/>
        <v>0</v>
      </c>
      <c r="O45" s="778">
        <f t="shared" si="2"/>
        <v>3</v>
      </c>
      <c r="P45" s="778">
        <f t="shared" si="2"/>
        <v>3</v>
      </c>
      <c r="Q45" s="779">
        <f t="shared" si="2"/>
        <v>3</v>
      </c>
      <c r="R45" s="777">
        <f t="shared" si="2"/>
        <v>3</v>
      </c>
      <c r="S45" s="778">
        <f t="shared" si="2"/>
        <v>3</v>
      </c>
      <c r="T45" s="778">
        <f t="shared" si="2"/>
        <v>3</v>
      </c>
      <c r="U45" s="778">
        <f t="shared" si="2"/>
        <v>3</v>
      </c>
      <c r="V45" s="779">
        <f t="shared" si="2"/>
        <v>3</v>
      </c>
      <c r="W45" s="185"/>
    </row>
    <row r="46" spans="1:23" s="98" customFormat="1" ht="15" customHeight="1">
      <c r="A46" s="99"/>
      <c r="B46" s="181"/>
      <c r="C46" s="185"/>
      <c r="D46" s="182"/>
      <c r="E46" s="182"/>
      <c r="F46" s="182"/>
      <c r="G46" s="184"/>
      <c r="H46" s="184"/>
      <c r="I46" s="117"/>
      <c r="J46" s="159"/>
      <c r="K46" s="2645"/>
      <c r="L46" s="2645"/>
      <c r="M46" s="2645"/>
      <c r="N46" s="2645"/>
      <c r="O46" s="2645"/>
      <c r="P46" s="2645"/>
      <c r="Q46" s="160"/>
      <c r="R46" s="2645"/>
      <c r="S46" s="2645"/>
      <c r="T46" s="2645"/>
      <c r="U46" s="2645"/>
      <c r="V46" s="160"/>
      <c r="W46" s="185"/>
    </row>
    <row r="47" spans="1:23" s="98" customFormat="1" ht="15" customHeight="1">
      <c r="B47" s="161"/>
      <c r="C47" s="180" t="s">
        <v>3021</v>
      </c>
      <c r="D47" s="162"/>
      <c r="E47" s="162"/>
      <c r="F47" s="162"/>
      <c r="G47" s="163"/>
      <c r="H47" s="163"/>
      <c r="I47" s="117"/>
      <c r="J47" s="159"/>
      <c r="K47" s="94"/>
      <c r="L47" s="94"/>
      <c r="M47" s="94"/>
      <c r="N47" s="94"/>
      <c r="O47" s="94"/>
      <c r="P47" s="94"/>
      <c r="Q47" s="160"/>
      <c r="R47" s="159"/>
      <c r="S47" s="94"/>
      <c r="T47" s="94"/>
      <c r="U47" s="94"/>
      <c r="V47" s="160"/>
      <c r="W47" s="185"/>
    </row>
    <row r="48" spans="1:23" s="98" customFormat="1" ht="15" customHeight="1">
      <c r="B48" s="161"/>
      <c r="C48" s="185"/>
      <c r="D48" s="162" t="s">
        <v>3022</v>
      </c>
      <c r="E48" s="162"/>
      <c r="F48" s="162"/>
      <c r="G48" s="162"/>
      <c r="H48" s="163"/>
      <c r="I48" s="164" t="s">
        <v>1876</v>
      </c>
      <c r="J48" s="165">
        <v>7</v>
      </c>
      <c r="K48" s="166">
        <v>7</v>
      </c>
      <c r="L48" s="166">
        <v>10</v>
      </c>
      <c r="M48" s="166">
        <v>4</v>
      </c>
      <c r="N48" s="166">
        <v>6</v>
      </c>
      <c r="O48" s="166">
        <v>10</v>
      </c>
      <c r="P48" s="166">
        <v>7</v>
      </c>
      <c r="Q48" s="167">
        <v>7</v>
      </c>
      <c r="R48" s="165">
        <v>7</v>
      </c>
      <c r="S48" s="166">
        <v>7</v>
      </c>
      <c r="T48" s="166">
        <v>7</v>
      </c>
      <c r="U48" s="166">
        <v>7</v>
      </c>
      <c r="V48" s="167">
        <v>7</v>
      </c>
      <c r="W48" s="185"/>
    </row>
    <row r="49" spans="1:23" s="98" customFormat="1" ht="15" customHeight="1">
      <c r="B49" s="161"/>
      <c r="C49" s="185"/>
      <c r="D49" s="162" t="s">
        <v>3023</v>
      </c>
      <c r="E49" s="162"/>
      <c r="F49" s="162"/>
      <c r="G49" s="162"/>
      <c r="H49" s="163"/>
      <c r="I49" s="164" t="s">
        <v>1876</v>
      </c>
      <c r="J49" s="165">
        <v>110</v>
      </c>
      <c r="K49" s="166">
        <v>77</v>
      </c>
      <c r="L49" s="166">
        <v>66</v>
      </c>
      <c r="M49" s="166">
        <v>68</v>
      </c>
      <c r="N49" s="166">
        <v>91</v>
      </c>
      <c r="O49" s="166">
        <v>107</v>
      </c>
      <c r="P49" s="166">
        <v>87</v>
      </c>
      <c r="Q49" s="167">
        <v>86</v>
      </c>
      <c r="R49" s="165">
        <v>85</v>
      </c>
      <c r="S49" s="166">
        <v>84</v>
      </c>
      <c r="T49" s="166">
        <v>83</v>
      </c>
      <c r="U49" s="166">
        <v>82</v>
      </c>
      <c r="V49" s="167">
        <v>81</v>
      </c>
      <c r="W49" s="185"/>
    </row>
    <row r="50" spans="1:23" s="98" customFormat="1" ht="15" customHeight="1">
      <c r="B50" s="161"/>
      <c r="C50" s="185"/>
      <c r="D50" s="162" t="s">
        <v>3024</v>
      </c>
      <c r="E50" s="162"/>
      <c r="F50" s="162"/>
      <c r="G50" s="162"/>
      <c r="H50" s="163"/>
      <c r="I50" s="164" t="s">
        <v>1876</v>
      </c>
      <c r="J50" s="165">
        <v>117</v>
      </c>
      <c r="K50" s="166">
        <v>86</v>
      </c>
      <c r="L50" s="166">
        <v>71</v>
      </c>
      <c r="M50" s="166">
        <v>50</v>
      </c>
      <c r="N50" s="166">
        <v>41</v>
      </c>
      <c r="O50" s="166">
        <v>67</v>
      </c>
      <c r="P50" s="166">
        <v>72</v>
      </c>
      <c r="Q50" s="167">
        <v>71</v>
      </c>
      <c r="R50" s="165">
        <v>70</v>
      </c>
      <c r="S50" s="166">
        <v>70</v>
      </c>
      <c r="T50" s="166">
        <v>69</v>
      </c>
      <c r="U50" s="166">
        <v>69</v>
      </c>
      <c r="V50" s="167">
        <v>68</v>
      </c>
      <c r="W50" s="185"/>
    </row>
    <row r="51" spans="1:23" s="98" customFormat="1" ht="15" customHeight="1">
      <c r="B51" s="161"/>
      <c r="C51" s="185"/>
      <c r="D51" s="162" t="s">
        <v>3025</v>
      </c>
      <c r="E51" s="162"/>
      <c r="F51" s="162"/>
      <c r="G51" s="162"/>
      <c r="H51" s="163"/>
      <c r="I51" s="164" t="s">
        <v>1876</v>
      </c>
      <c r="J51" s="165">
        <v>23</v>
      </c>
      <c r="K51" s="166">
        <v>19</v>
      </c>
      <c r="L51" s="166">
        <v>7</v>
      </c>
      <c r="M51" s="166">
        <v>19</v>
      </c>
      <c r="N51" s="166">
        <v>14</v>
      </c>
      <c r="O51" s="166">
        <v>19</v>
      </c>
      <c r="P51" s="166">
        <v>17</v>
      </c>
      <c r="Q51" s="167">
        <v>17</v>
      </c>
      <c r="R51" s="165">
        <v>17</v>
      </c>
      <c r="S51" s="166">
        <v>16</v>
      </c>
      <c r="T51" s="166">
        <v>16</v>
      </c>
      <c r="U51" s="166">
        <v>16</v>
      </c>
      <c r="V51" s="167">
        <v>16</v>
      </c>
      <c r="W51" s="185"/>
    </row>
    <row r="52" spans="1:23" s="98" customFormat="1" ht="15" customHeight="1">
      <c r="B52" s="181"/>
      <c r="C52" s="182" t="s">
        <v>1710</v>
      </c>
      <c r="D52" s="245"/>
      <c r="E52" s="245"/>
      <c r="F52" s="245"/>
      <c r="G52" s="184"/>
      <c r="H52" s="184"/>
      <c r="I52" s="164" t="s">
        <v>1876</v>
      </c>
      <c r="J52" s="777">
        <f>SUM(J48:J51)</f>
        <v>257</v>
      </c>
      <c r="K52" s="778">
        <f t="shared" ref="K52:V52" si="3">SUM(K48:K51)</f>
        <v>189</v>
      </c>
      <c r="L52" s="778">
        <f t="shared" si="3"/>
        <v>154</v>
      </c>
      <c r="M52" s="778">
        <f t="shared" si="3"/>
        <v>141</v>
      </c>
      <c r="N52" s="778">
        <f t="shared" si="3"/>
        <v>152</v>
      </c>
      <c r="O52" s="778">
        <f t="shared" si="3"/>
        <v>203</v>
      </c>
      <c r="P52" s="778">
        <f t="shared" si="3"/>
        <v>183</v>
      </c>
      <c r="Q52" s="779">
        <f t="shared" si="3"/>
        <v>181</v>
      </c>
      <c r="R52" s="777">
        <f t="shared" si="3"/>
        <v>179</v>
      </c>
      <c r="S52" s="778">
        <f t="shared" si="3"/>
        <v>177</v>
      </c>
      <c r="T52" s="778">
        <f t="shared" si="3"/>
        <v>175</v>
      </c>
      <c r="U52" s="778">
        <f t="shared" si="3"/>
        <v>174</v>
      </c>
      <c r="V52" s="779">
        <f t="shared" si="3"/>
        <v>172</v>
      </c>
      <c r="W52" s="185"/>
    </row>
    <row r="53" spans="1:23" s="98" customFormat="1" ht="15" customHeight="1">
      <c r="A53" s="99"/>
      <c r="B53" s="181"/>
      <c r="C53" s="185"/>
      <c r="D53" s="182"/>
      <c r="E53" s="182"/>
      <c r="F53" s="182"/>
      <c r="G53" s="184"/>
      <c r="H53" s="184"/>
      <c r="I53" s="117"/>
      <c r="J53" s="159"/>
      <c r="K53" s="163"/>
      <c r="L53" s="163"/>
      <c r="M53" s="163"/>
      <c r="N53" s="163"/>
      <c r="O53" s="163"/>
      <c r="P53" s="163"/>
      <c r="Q53" s="160"/>
      <c r="R53" s="163"/>
      <c r="S53" s="163"/>
      <c r="T53" s="163"/>
      <c r="U53" s="163"/>
      <c r="V53" s="160"/>
      <c r="W53" s="185"/>
    </row>
    <row r="54" spans="1:23" s="98" customFormat="1" ht="15" customHeight="1" thickBot="1">
      <c r="A54" s="99"/>
      <c r="B54" s="239" t="s">
        <v>1701</v>
      </c>
      <c r="C54" s="240"/>
      <c r="D54" s="240"/>
      <c r="E54" s="240"/>
      <c r="F54" s="240"/>
      <c r="G54" s="241"/>
      <c r="H54" s="241"/>
      <c r="I54" s="195" t="s">
        <v>1876</v>
      </c>
      <c r="J54" s="873">
        <f>SUM(J21,J33,J45,J52)</f>
        <v>295</v>
      </c>
      <c r="K54" s="781">
        <f t="shared" ref="K54:V54" si="4">SUM(K21,K33,K45,K52)</f>
        <v>223</v>
      </c>
      <c r="L54" s="781">
        <f t="shared" si="4"/>
        <v>178</v>
      </c>
      <c r="M54" s="781">
        <f t="shared" si="4"/>
        <v>156</v>
      </c>
      <c r="N54" s="781">
        <f t="shared" si="4"/>
        <v>170</v>
      </c>
      <c r="O54" s="781">
        <f t="shared" si="4"/>
        <v>219</v>
      </c>
      <c r="P54" s="781">
        <f t="shared" si="4"/>
        <v>200</v>
      </c>
      <c r="Q54" s="874">
        <f t="shared" si="4"/>
        <v>198</v>
      </c>
      <c r="R54" s="873">
        <f t="shared" si="4"/>
        <v>196</v>
      </c>
      <c r="S54" s="781">
        <f t="shared" si="4"/>
        <v>194</v>
      </c>
      <c r="T54" s="781">
        <f t="shared" si="4"/>
        <v>192</v>
      </c>
      <c r="U54" s="781">
        <f t="shared" si="4"/>
        <v>191</v>
      </c>
      <c r="V54" s="874">
        <f t="shared" si="4"/>
        <v>189</v>
      </c>
    </row>
    <row r="55" spans="1:23" s="99" customFormat="1" ht="15" customHeight="1" thickBot="1">
      <c r="B55" s="150"/>
      <c r="C55" s="150"/>
      <c r="D55" s="150"/>
      <c r="E55" s="150"/>
      <c r="F55" s="150"/>
      <c r="G55" s="97"/>
      <c r="H55" s="97"/>
      <c r="I55" s="98"/>
      <c r="J55" s="98"/>
      <c r="K55" s="98"/>
      <c r="L55" s="98"/>
      <c r="M55" s="98"/>
      <c r="N55" s="98"/>
      <c r="O55" s="98"/>
      <c r="P55" s="98"/>
      <c r="Q55" s="98"/>
      <c r="R55" s="98"/>
      <c r="S55" s="98"/>
      <c r="T55" s="98"/>
      <c r="U55" s="98"/>
      <c r="V55" s="98"/>
    </row>
    <row r="56" spans="1:23" s="100" customFormat="1" ht="30" customHeight="1" thickBot="1">
      <c r="A56" s="89"/>
      <c r="B56" s="621" t="s">
        <v>3026</v>
      </c>
      <c r="C56" s="102"/>
      <c r="D56" s="102"/>
      <c r="E56" s="102"/>
      <c r="F56" s="102"/>
      <c r="G56" s="103"/>
      <c r="H56" s="103"/>
      <c r="I56" s="105" t="s">
        <v>1869</v>
      </c>
      <c r="J56" s="106"/>
      <c r="K56" s="106"/>
      <c r="L56" s="106"/>
      <c r="M56" s="106"/>
      <c r="N56" s="106"/>
      <c r="O56" s="106"/>
      <c r="P56" s="106"/>
      <c r="Q56" s="106"/>
      <c r="R56" s="105"/>
      <c r="S56" s="105"/>
      <c r="T56" s="105"/>
      <c r="U56" s="105"/>
      <c r="V56" s="187"/>
    </row>
    <row r="57" spans="1:23" s="157" customFormat="1" ht="30" customHeight="1">
      <c r="A57" s="99"/>
      <c r="B57" s="109"/>
      <c r="C57" s="110"/>
      <c r="D57" s="110"/>
      <c r="E57" s="110"/>
      <c r="F57" s="110"/>
      <c r="G57" s="111"/>
      <c r="H57" s="111"/>
      <c r="I57" s="117"/>
      <c r="J57" s="695" t="s">
        <v>1666</v>
      </c>
      <c r="K57" s="152"/>
      <c r="L57" s="152"/>
      <c r="M57" s="152"/>
      <c r="N57" s="152"/>
      <c r="O57" s="152"/>
      <c r="P57" s="152"/>
      <c r="Q57" s="153"/>
      <c r="R57" s="696" t="s">
        <v>2</v>
      </c>
      <c r="S57" s="155"/>
      <c r="T57" s="155"/>
      <c r="U57" s="155"/>
      <c r="V57" s="156"/>
    </row>
    <row r="58" spans="1:23" s="98" customFormat="1" ht="15" customHeight="1">
      <c r="A58" s="99"/>
      <c r="B58" s="115"/>
      <c r="C58" s="116"/>
      <c r="D58" s="116"/>
      <c r="E58" s="116"/>
      <c r="F58" s="116"/>
      <c r="G58" s="117"/>
      <c r="H58" s="117"/>
      <c r="I58" s="119" t="s">
        <v>1667</v>
      </c>
      <c r="J58" s="158" t="s">
        <v>453</v>
      </c>
      <c r="K58" s="137" t="s">
        <v>455</v>
      </c>
      <c r="L58" s="137" t="s">
        <v>457</v>
      </c>
      <c r="M58" s="137" t="s">
        <v>459</v>
      </c>
      <c r="N58" s="137" t="s">
        <v>461</v>
      </c>
      <c r="O58" s="137" t="s">
        <v>463</v>
      </c>
      <c r="P58" s="137" t="s">
        <v>465</v>
      </c>
      <c r="Q58" s="138" t="s">
        <v>467</v>
      </c>
      <c r="R58" s="120" t="s">
        <v>469</v>
      </c>
      <c r="S58" s="121" t="s">
        <v>471</v>
      </c>
      <c r="T58" s="121" t="s">
        <v>473</v>
      </c>
      <c r="U58" s="121" t="s">
        <v>475</v>
      </c>
      <c r="V58" s="122" t="s">
        <v>477</v>
      </c>
    </row>
    <row r="59" spans="1:23" s="98" customFormat="1" ht="15" customHeight="1">
      <c r="B59" s="161"/>
      <c r="C59" s="180" t="s">
        <v>2874</v>
      </c>
      <c r="D59" s="162"/>
      <c r="E59" s="162"/>
      <c r="F59" s="162"/>
      <c r="G59" s="163"/>
      <c r="H59" s="163"/>
      <c r="I59" s="117"/>
      <c r="J59" s="159"/>
      <c r="K59" s="117"/>
      <c r="L59" s="117"/>
      <c r="M59" s="117"/>
      <c r="N59" s="117"/>
      <c r="O59" s="117"/>
      <c r="P59" s="117"/>
      <c r="Q59" s="160"/>
      <c r="R59" s="159"/>
      <c r="S59" s="117"/>
      <c r="T59" s="117"/>
      <c r="U59" s="117"/>
      <c r="V59" s="160"/>
      <c r="W59" s="185"/>
    </row>
    <row r="60" spans="1:23" s="98" customFormat="1" ht="15" customHeight="1">
      <c r="B60" s="161"/>
      <c r="C60" s="185"/>
      <c r="D60" s="162" t="s">
        <v>2862</v>
      </c>
      <c r="E60" s="162"/>
      <c r="F60" s="162"/>
      <c r="G60" s="162"/>
      <c r="H60" s="163"/>
      <c r="I60" s="164" t="s">
        <v>1876</v>
      </c>
      <c r="J60" s="165">
        <v>0</v>
      </c>
      <c r="K60" s="166">
        <v>0</v>
      </c>
      <c r="L60" s="166">
        <v>0</v>
      </c>
      <c r="M60" s="166">
        <v>0</v>
      </c>
      <c r="N60" s="166">
        <v>0</v>
      </c>
      <c r="O60" s="166">
        <v>0</v>
      </c>
      <c r="P60" s="166">
        <v>0</v>
      </c>
      <c r="Q60" s="167">
        <v>0</v>
      </c>
      <c r="R60" s="165">
        <v>0</v>
      </c>
      <c r="S60" s="166">
        <v>0</v>
      </c>
      <c r="T60" s="166">
        <v>0</v>
      </c>
      <c r="U60" s="166">
        <v>0</v>
      </c>
      <c r="V60" s="167">
        <v>0</v>
      </c>
      <c r="W60" s="185"/>
    </row>
    <row r="61" spans="1:23" s="98" customFormat="1" ht="15" customHeight="1">
      <c r="B61" s="161"/>
      <c r="C61" s="185"/>
      <c r="D61" s="162" t="s">
        <v>2863</v>
      </c>
      <c r="E61" s="162"/>
      <c r="F61" s="162"/>
      <c r="G61" s="162"/>
      <c r="H61" s="163"/>
      <c r="I61" s="164" t="s">
        <v>1876</v>
      </c>
      <c r="J61" s="165">
        <v>0</v>
      </c>
      <c r="K61" s="166">
        <v>0</v>
      </c>
      <c r="L61" s="166">
        <v>0</v>
      </c>
      <c r="M61" s="166">
        <v>0</v>
      </c>
      <c r="N61" s="166">
        <v>0</v>
      </c>
      <c r="O61" s="166">
        <v>0</v>
      </c>
      <c r="P61" s="166">
        <v>0</v>
      </c>
      <c r="Q61" s="167">
        <v>0</v>
      </c>
      <c r="R61" s="165">
        <v>0</v>
      </c>
      <c r="S61" s="166">
        <v>0</v>
      </c>
      <c r="T61" s="166">
        <v>0</v>
      </c>
      <c r="U61" s="166">
        <v>0</v>
      </c>
      <c r="V61" s="167">
        <v>0</v>
      </c>
      <c r="W61" s="185"/>
    </row>
    <row r="62" spans="1:23" s="98" customFormat="1" ht="15" customHeight="1">
      <c r="B62" s="161"/>
      <c r="C62" s="185"/>
      <c r="D62" s="162" t="s">
        <v>2864</v>
      </c>
      <c r="E62" s="162"/>
      <c r="F62" s="162"/>
      <c r="G62" s="162"/>
      <c r="H62" s="163"/>
      <c r="I62" s="164" t="s">
        <v>1876</v>
      </c>
      <c r="J62" s="165">
        <v>0</v>
      </c>
      <c r="K62" s="166">
        <v>0</v>
      </c>
      <c r="L62" s="166">
        <v>0</v>
      </c>
      <c r="M62" s="166">
        <v>0</v>
      </c>
      <c r="N62" s="166">
        <v>0</v>
      </c>
      <c r="O62" s="166">
        <v>0</v>
      </c>
      <c r="P62" s="166">
        <v>0</v>
      </c>
      <c r="Q62" s="167">
        <v>0</v>
      </c>
      <c r="R62" s="165">
        <v>0</v>
      </c>
      <c r="S62" s="166">
        <v>0</v>
      </c>
      <c r="T62" s="166">
        <v>0</v>
      </c>
      <c r="U62" s="166">
        <v>0</v>
      </c>
      <c r="V62" s="167">
        <v>0</v>
      </c>
      <c r="W62" s="185"/>
    </row>
    <row r="63" spans="1:23" s="98" customFormat="1" ht="15" customHeight="1">
      <c r="B63" s="161"/>
      <c r="C63" s="185"/>
      <c r="D63" s="162" t="s">
        <v>2865</v>
      </c>
      <c r="E63" s="162"/>
      <c r="F63" s="162"/>
      <c r="G63" s="162"/>
      <c r="H63" s="163"/>
      <c r="I63" s="164" t="s">
        <v>1876</v>
      </c>
      <c r="J63" s="165">
        <v>0</v>
      </c>
      <c r="K63" s="166">
        <v>0</v>
      </c>
      <c r="L63" s="166">
        <v>0</v>
      </c>
      <c r="M63" s="166">
        <v>0</v>
      </c>
      <c r="N63" s="166">
        <v>0</v>
      </c>
      <c r="O63" s="166">
        <v>0</v>
      </c>
      <c r="P63" s="166">
        <v>0</v>
      </c>
      <c r="Q63" s="167">
        <v>0</v>
      </c>
      <c r="R63" s="165">
        <v>0</v>
      </c>
      <c r="S63" s="166">
        <v>0</v>
      </c>
      <c r="T63" s="166">
        <v>0</v>
      </c>
      <c r="U63" s="166">
        <v>0</v>
      </c>
      <c r="V63" s="167">
        <v>0</v>
      </c>
      <c r="W63" s="185"/>
    </row>
    <row r="64" spans="1:23" s="98" customFormat="1" ht="15" customHeight="1">
      <c r="B64" s="161"/>
      <c r="C64" s="185"/>
      <c r="D64" s="162" t="s">
        <v>2866</v>
      </c>
      <c r="E64" s="162"/>
      <c r="F64" s="162"/>
      <c r="G64" s="162"/>
      <c r="H64" s="163"/>
      <c r="I64" s="164" t="s">
        <v>1876</v>
      </c>
      <c r="J64" s="165">
        <v>0</v>
      </c>
      <c r="K64" s="166">
        <v>0</v>
      </c>
      <c r="L64" s="166">
        <v>0</v>
      </c>
      <c r="M64" s="166">
        <v>0</v>
      </c>
      <c r="N64" s="166">
        <v>0</v>
      </c>
      <c r="O64" s="166">
        <v>0</v>
      </c>
      <c r="P64" s="166">
        <v>0</v>
      </c>
      <c r="Q64" s="167">
        <v>0</v>
      </c>
      <c r="R64" s="165">
        <v>0</v>
      </c>
      <c r="S64" s="166">
        <v>0</v>
      </c>
      <c r="T64" s="166">
        <v>0</v>
      </c>
      <c r="U64" s="166">
        <v>0</v>
      </c>
      <c r="V64" s="167">
        <v>0</v>
      </c>
      <c r="W64" s="185"/>
    </row>
    <row r="65" spans="2:23" s="98" customFormat="1" ht="15" customHeight="1">
      <c r="B65" s="161"/>
      <c r="C65" s="185"/>
      <c r="D65" s="162" t="s">
        <v>2867</v>
      </c>
      <c r="E65" s="162"/>
      <c r="F65" s="162"/>
      <c r="G65" s="162"/>
      <c r="H65" s="163"/>
      <c r="I65" s="164" t="s">
        <v>1876</v>
      </c>
      <c r="J65" s="165">
        <v>0</v>
      </c>
      <c r="K65" s="166">
        <v>0</v>
      </c>
      <c r="L65" s="166">
        <v>0</v>
      </c>
      <c r="M65" s="166">
        <v>0</v>
      </c>
      <c r="N65" s="166">
        <v>0</v>
      </c>
      <c r="O65" s="166">
        <v>0</v>
      </c>
      <c r="P65" s="166">
        <v>0</v>
      </c>
      <c r="Q65" s="167">
        <v>0</v>
      </c>
      <c r="R65" s="165">
        <v>0</v>
      </c>
      <c r="S65" s="166">
        <v>0</v>
      </c>
      <c r="T65" s="166">
        <v>0</v>
      </c>
      <c r="U65" s="166">
        <v>0</v>
      </c>
      <c r="V65" s="167">
        <v>0</v>
      </c>
      <c r="W65" s="185"/>
    </row>
    <row r="66" spans="2:23" s="98" customFormat="1" ht="15" customHeight="1">
      <c r="B66" s="161"/>
      <c r="C66" s="185"/>
      <c r="D66" s="162" t="s">
        <v>2868</v>
      </c>
      <c r="E66" s="162"/>
      <c r="F66" s="162"/>
      <c r="G66" s="162"/>
      <c r="H66" s="163"/>
      <c r="I66" s="164" t="s">
        <v>1876</v>
      </c>
      <c r="J66" s="165">
        <v>0</v>
      </c>
      <c r="K66" s="166">
        <v>0</v>
      </c>
      <c r="L66" s="166">
        <v>0</v>
      </c>
      <c r="M66" s="166">
        <v>0</v>
      </c>
      <c r="N66" s="166">
        <v>0</v>
      </c>
      <c r="O66" s="166">
        <v>0</v>
      </c>
      <c r="P66" s="166">
        <v>0</v>
      </c>
      <c r="Q66" s="167">
        <v>0</v>
      </c>
      <c r="R66" s="165">
        <v>0</v>
      </c>
      <c r="S66" s="166">
        <v>0</v>
      </c>
      <c r="T66" s="166">
        <v>0</v>
      </c>
      <c r="U66" s="166">
        <v>0</v>
      </c>
      <c r="V66" s="167">
        <v>0</v>
      </c>
      <c r="W66" s="185"/>
    </row>
    <row r="67" spans="2:23" s="98" customFormat="1" ht="15" customHeight="1">
      <c r="B67" s="161"/>
      <c r="C67" s="185"/>
      <c r="D67" s="162" t="s">
        <v>2869</v>
      </c>
      <c r="E67" s="162"/>
      <c r="F67" s="162"/>
      <c r="G67" s="162"/>
      <c r="H67" s="163"/>
      <c r="I67" s="164" t="s">
        <v>1876</v>
      </c>
      <c r="J67" s="165">
        <v>0</v>
      </c>
      <c r="K67" s="166">
        <v>0</v>
      </c>
      <c r="L67" s="166">
        <v>0</v>
      </c>
      <c r="M67" s="166">
        <v>0</v>
      </c>
      <c r="N67" s="166">
        <v>0</v>
      </c>
      <c r="O67" s="166">
        <v>0</v>
      </c>
      <c r="P67" s="166">
        <v>0</v>
      </c>
      <c r="Q67" s="167">
        <v>0</v>
      </c>
      <c r="R67" s="165">
        <v>0</v>
      </c>
      <c r="S67" s="166">
        <v>0</v>
      </c>
      <c r="T67" s="166">
        <v>0</v>
      </c>
      <c r="U67" s="166">
        <v>0</v>
      </c>
      <c r="V67" s="167">
        <v>0</v>
      </c>
      <c r="W67" s="185"/>
    </row>
    <row r="68" spans="2:23" s="98" customFormat="1" ht="15" customHeight="1">
      <c r="B68" s="161"/>
      <c r="C68" s="185"/>
      <c r="D68" s="162" t="s">
        <v>2870</v>
      </c>
      <c r="E68" s="162"/>
      <c r="F68" s="162"/>
      <c r="G68" s="162"/>
      <c r="H68" s="163"/>
      <c r="I68" s="164" t="s">
        <v>1876</v>
      </c>
      <c r="J68" s="165">
        <v>0</v>
      </c>
      <c r="K68" s="166">
        <v>0</v>
      </c>
      <c r="L68" s="166">
        <v>0</v>
      </c>
      <c r="M68" s="166">
        <v>0</v>
      </c>
      <c r="N68" s="166">
        <v>0</v>
      </c>
      <c r="O68" s="166">
        <v>0</v>
      </c>
      <c r="P68" s="166">
        <v>0</v>
      </c>
      <c r="Q68" s="167">
        <v>0</v>
      </c>
      <c r="R68" s="165">
        <v>0</v>
      </c>
      <c r="S68" s="166">
        <v>0</v>
      </c>
      <c r="T68" s="166">
        <v>0</v>
      </c>
      <c r="U68" s="166">
        <v>0</v>
      </c>
      <c r="V68" s="167">
        <v>0</v>
      </c>
      <c r="W68" s="185"/>
    </row>
    <row r="69" spans="2:23" s="98" customFormat="1" ht="15" customHeight="1">
      <c r="B69" s="181"/>
      <c r="C69" s="182" t="s">
        <v>1710</v>
      </c>
      <c r="G69" s="184"/>
      <c r="H69" s="184"/>
      <c r="I69" s="164" t="s">
        <v>1876</v>
      </c>
      <c r="J69" s="777">
        <f>SUM(J60:J68)</f>
        <v>0</v>
      </c>
      <c r="K69" s="778">
        <f t="shared" ref="K69" si="5">SUM(K60:K68)</f>
        <v>0</v>
      </c>
      <c r="L69" s="778">
        <f t="shared" ref="L69" si="6">SUM(L60:L68)</f>
        <v>0</v>
      </c>
      <c r="M69" s="778">
        <f t="shared" ref="M69" si="7">SUM(M60:M68)</f>
        <v>0</v>
      </c>
      <c r="N69" s="778">
        <f t="shared" ref="N69" si="8">SUM(N60:N68)</f>
        <v>0</v>
      </c>
      <c r="O69" s="778">
        <f t="shared" ref="O69" si="9">SUM(O60:O68)</f>
        <v>0</v>
      </c>
      <c r="P69" s="778">
        <f t="shared" ref="P69" si="10">SUM(P60:P68)</f>
        <v>0</v>
      </c>
      <c r="Q69" s="779">
        <f t="shared" ref="Q69" si="11">SUM(Q60:Q68)</f>
        <v>0</v>
      </c>
      <c r="R69" s="777">
        <f t="shared" ref="R69" si="12">SUM(R60:R68)</f>
        <v>0</v>
      </c>
      <c r="S69" s="778">
        <f t="shared" ref="S69" si="13">SUM(S60:S68)</f>
        <v>0</v>
      </c>
      <c r="T69" s="778">
        <f t="shared" ref="T69" si="14">SUM(T60:T68)</f>
        <v>0</v>
      </c>
      <c r="U69" s="778">
        <f t="shared" ref="U69" si="15">SUM(U60:U68)</f>
        <v>0</v>
      </c>
      <c r="V69" s="779">
        <f t="shared" ref="V69" si="16">SUM(V60:V68)</f>
        <v>0</v>
      </c>
      <c r="W69" s="185"/>
    </row>
    <row r="70" spans="2:23" s="98" customFormat="1" ht="15" customHeight="1">
      <c r="B70" s="181"/>
      <c r="C70" s="185"/>
      <c r="D70" s="182"/>
      <c r="E70" s="182"/>
      <c r="F70" s="182"/>
      <c r="G70" s="184"/>
      <c r="H70" s="184"/>
      <c r="I70" s="117"/>
      <c r="J70" s="159"/>
      <c r="K70" s="163"/>
      <c r="L70" s="163"/>
      <c r="M70" s="163"/>
      <c r="N70" s="163"/>
      <c r="O70" s="163"/>
      <c r="P70" s="163"/>
      <c r="Q70" s="160"/>
      <c r="R70" s="163"/>
      <c r="S70" s="163"/>
      <c r="T70" s="163"/>
      <c r="U70" s="163"/>
      <c r="V70" s="160"/>
      <c r="W70" s="185"/>
    </row>
    <row r="71" spans="2:23" s="98" customFormat="1" ht="15" customHeight="1">
      <c r="B71" s="161"/>
      <c r="C71" s="180" t="s">
        <v>2875</v>
      </c>
      <c r="D71" s="162"/>
      <c r="E71" s="162"/>
      <c r="F71" s="162"/>
      <c r="G71" s="163"/>
      <c r="H71" s="163"/>
      <c r="I71" s="117"/>
      <c r="J71" s="159"/>
      <c r="K71" s="117"/>
      <c r="L71" s="117"/>
      <c r="M71" s="117"/>
      <c r="N71" s="117"/>
      <c r="O71" s="117"/>
      <c r="P71" s="117"/>
      <c r="Q71" s="160"/>
      <c r="R71" s="159"/>
      <c r="S71" s="117"/>
      <c r="T71" s="117"/>
      <c r="U71" s="117"/>
      <c r="V71" s="160"/>
      <c r="W71" s="185"/>
    </row>
    <row r="72" spans="2:23" s="98" customFormat="1" ht="15" customHeight="1">
      <c r="B72" s="161"/>
      <c r="C72" s="185"/>
      <c r="D72" s="162" t="s">
        <v>2862</v>
      </c>
      <c r="E72" s="162"/>
      <c r="F72" s="162"/>
      <c r="G72" s="162"/>
      <c r="H72" s="163"/>
      <c r="I72" s="164" t="s">
        <v>1876</v>
      </c>
      <c r="J72" s="165">
        <v>0</v>
      </c>
      <c r="K72" s="166">
        <v>0</v>
      </c>
      <c r="L72" s="166">
        <v>0</v>
      </c>
      <c r="M72" s="166">
        <v>0</v>
      </c>
      <c r="N72" s="166">
        <v>0</v>
      </c>
      <c r="O72" s="166">
        <v>0</v>
      </c>
      <c r="P72" s="166">
        <v>0</v>
      </c>
      <c r="Q72" s="167">
        <v>0</v>
      </c>
      <c r="R72" s="165">
        <v>0</v>
      </c>
      <c r="S72" s="166">
        <v>0</v>
      </c>
      <c r="T72" s="166">
        <v>0</v>
      </c>
      <c r="U72" s="166">
        <v>0</v>
      </c>
      <c r="V72" s="167">
        <v>0</v>
      </c>
      <c r="W72" s="185"/>
    </row>
    <row r="73" spans="2:23" s="98" customFormat="1" ht="15" customHeight="1">
      <c r="B73" s="161"/>
      <c r="C73" s="185"/>
      <c r="D73" s="162" t="s">
        <v>2863</v>
      </c>
      <c r="E73" s="162"/>
      <c r="F73" s="162"/>
      <c r="G73" s="162"/>
      <c r="H73" s="163"/>
      <c r="I73" s="164" t="s">
        <v>1876</v>
      </c>
      <c r="J73" s="165">
        <v>0</v>
      </c>
      <c r="K73" s="166">
        <v>0</v>
      </c>
      <c r="L73" s="166">
        <v>0</v>
      </c>
      <c r="M73" s="166">
        <v>0</v>
      </c>
      <c r="N73" s="166">
        <v>0</v>
      </c>
      <c r="O73" s="166">
        <v>0</v>
      </c>
      <c r="P73" s="166">
        <v>0</v>
      </c>
      <c r="Q73" s="167">
        <v>0</v>
      </c>
      <c r="R73" s="165">
        <v>0</v>
      </c>
      <c r="S73" s="166">
        <v>0</v>
      </c>
      <c r="T73" s="166">
        <v>0</v>
      </c>
      <c r="U73" s="166">
        <v>0</v>
      </c>
      <c r="V73" s="167">
        <v>0</v>
      </c>
      <c r="W73" s="185"/>
    </row>
    <row r="74" spans="2:23" s="98" customFormat="1" ht="15" customHeight="1">
      <c r="B74" s="161"/>
      <c r="C74" s="185"/>
      <c r="D74" s="162" t="s">
        <v>2864</v>
      </c>
      <c r="E74" s="162"/>
      <c r="F74" s="162"/>
      <c r="G74" s="162"/>
      <c r="H74" s="163"/>
      <c r="I74" s="164" t="s">
        <v>1876</v>
      </c>
      <c r="J74" s="165">
        <v>0</v>
      </c>
      <c r="K74" s="166">
        <v>0</v>
      </c>
      <c r="L74" s="166">
        <v>0</v>
      </c>
      <c r="M74" s="166">
        <v>0</v>
      </c>
      <c r="N74" s="166">
        <v>0</v>
      </c>
      <c r="O74" s="166">
        <v>0</v>
      </c>
      <c r="P74" s="166">
        <v>0</v>
      </c>
      <c r="Q74" s="167">
        <v>0</v>
      </c>
      <c r="R74" s="165">
        <v>0</v>
      </c>
      <c r="S74" s="166">
        <v>0</v>
      </c>
      <c r="T74" s="166">
        <v>0</v>
      </c>
      <c r="U74" s="166">
        <v>0</v>
      </c>
      <c r="V74" s="167">
        <v>0</v>
      </c>
      <c r="W74" s="185"/>
    </row>
    <row r="75" spans="2:23" s="98" customFormat="1" ht="15" customHeight="1">
      <c r="B75" s="161"/>
      <c r="C75" s="185"/>
      <c r="D75" s="162" t="s">
        <v>2865</v>
      </c>
      <c r="E75" s="162"/>
      <c r="F75" s="162"/>
      <c r="G75" s="162"/>
      <c r="H75" s="163"/>
      <c r="I75" s="164" t="s">
        <v>1876</v>
      </c>
      <c r="J75" s="165" t="s">
        <v>1127</v>
      </c>
      <c r="K75" s="166">
        <v>0</v>
      </c>
      <c r="L75" s="166">
        <v>0</v>
      </c>
      <c r="M75" s="166">
        <v>0</v>
      </c>
      <c r="N75" s="166">
        <v>0</v>
      </c>
      <c r="O75" s="166">
        <v>0</v>
      </c>
      <c r="P75" s="166">
        <v>0</v>
      </c>
      <c r="Q75" s="167">
        <v>0</v>
      </c>
      <c r="R75" s="165">
        <v>0</v>
      </c>
      <c r="S75" s="166">
        <v>0</v>
      </c>
      <c r="T75" s="166">
        <v>0</v>
      </c>
      <c r="U75" s="166">
        <v>0</v>
      </c>
      <c r="V75" s="167">
        <v>0</v>
      </c>
      <c r="W75" s="185"/>
    </row>
    <row r="76" spans="2:23" s="98" customFormat="1" ht="15" customHeight="1">
      <c r="B76" s="161"/>
      <c r="C76" s="185"/>
      <c r="D76" s="162" t="s">
        <v>2866</v>
      </c>
      <c r="E76" s="162"/>
      <c r="F76" s="162"/>
      <c r="G76" s="162"/>
      <c r="H76" s="163"/>
      <c r="I76" s="164" t="s">
        <v>1876</v>
      </c>
      <c r="J76" s="165">
        <v>0</v>
      </c>
      <c r="K76" s="166">
        <v>0</v>
      </c>
      <c r="L76" s="166">
        <v>0</v>
      </c>
      <c r="M76" s="166">
        <v>0</v>
      </c>
      <c r="N76" s="166">
        <v>0</v>
      </c>
      <c r="O76" s="166">
        <v>0</v>
      </c>
      <c r="P76" s="166">
        <v>0</v>
      </c>
      <c r="Q76" s="167">
        <v>0</v>
      </c>
      <c r="R76" s="165">
        <v>0</v>
      </c>
      <c r="S76" s="166">
        <v>0</v>
      </c>
      <c r="T76" s="166">
        <v>0</v>
      </c>
      <c r="U76" s="166">
        <v>0</v>
      </c>
      <c r="V76" s="167">
        <v>0</v>
      </c>
      <c r="W76" s="185"/>
    </row>
    <row r="77" spans="2:23" s="98" customFormat="1" ht="15" customHeight="1">
      <c r="B77" s="161"/>
      <c r="C77" s="185"/>
      <c r="D77" s="162" t="s">
        <v>2867</v>
      </c>
      <c r="E77" s="162"/>
      <c r="F77" s="162"/>
      <c r="G77" s="162"/>
      <c r="H77" s="163"/>
      <c r="I77" s="164" t="s">
        <v>1876</v>
      </c>
      <c r="J77" s="165">
        <v>0</v>
      </c>
      <c r="K77" s="166">
        <v>0</v>
      </c>
      <c r="L77" s="166">
        <v>0</v>
      </c>
      <c r="M77" s="166">
        <v>0</v>
      </c>
      <c r="N77" s="166">
        <v>0</v>
      </c>
      <c r="O77" s="166">
        <v>0</v>
      </c>
      <c r="P77" s="166">
        <v>0</v>
      </c>
      <c r="Q77" s="167">
        <v>0</v>
      </c>
      <c r="R77" s="165">
        <v>0</v>
      </c>
      <c r="S77" s="166">
        <v>0</v>
      </c>
      <c r="T77" s="166">
        <v>0</v>
      </c>
      <c r="U77" s="166">
        <v>0</v>
      </c>
      <c r="V77" s="167">
        <v>0</v>
      </c>
      <c r="W77" s="185"/>
    </row>
    <row r="78" spans="2:23" s="98" customFormat="1" ht="15" customHeight="1">
      <c r="B78" s="161"/>
      <c r="C78" s="185"/>
      <c r="D78" s="162" t="s">
        <v>2868</v>
      </c>
      <c r="E78" s="162"/>
      <c r="F78" s="162"/>
      <c r="G78" s="162"/>
      <c r="H78" s="163"/>
      <c r="I78" s="164" t="s">
        <v>1876</v>
      </c>
      <c r="J78" s="165">
        <v>0</v>
      </c>
      <c r="K78" s="166">
        <v>0</v>
      </c>
      <c r="L78" s="166">
        <v>0</v>
      </c>
      <c r="M78" s="166">
        <v>0</v>
      </c>
      <c r="N78" s="166">
        <v>0</v>
      </c>
      <c r="O78" s="166">
        <v>0</v>
      </c>
      <c r="P78" s="166">
        <v>0</v>
      </c>
      <c r="Q78" s="167">
        <v>0</v>
      </c>
      <c r="R78" s="165">
        <v>0</v>
      </c>
      <c r="S78" s="166">
        <v>0</v>
      </c>
      <c r="T78" s="166">
        <v>0</v>
      </c>
      <c r="U78" s="166">
        <v>0</v>
      </c>
      <c r="V78" s="167">
        <v>0</v>
      </c>
      <c r="W78" s="185"/>
    </row>
    <row r="79" spans="2:23" s="98" customFormat="1" ht="15" customHeight="1">
      <c r="B79" s="161"/>
      <c r="C79" s="185"/>
      <c r="D79" s="162" t="s">
        <v>2869</v>
      </c>
      <c r="E79" s="162"/>
      <c r="F79" s="162"/>
      <c r="G79" s="162"/>
      <c r="H79" s="163"/>
      <c r="I79" s="164" t="s">
        <v>1876</v>
      </c>
      <c r="J79" s="165">
        <v>0</v>
      </c>
      <c r="K79" s="166">
        <v>0</v>
      </c>
      <c r="L79" s="166">
        <v>0</v>
      </c>
      <c r="M79" s="166">
        <v>0</v>
      </c>
      <c r="N79" s="166">
        <v>0</v>
      </c>
      <c r="O79" s="166">
        <v>0</v>
      </c>
      <c r="P79" s="166">
        <v>0</v>
      </c>
      <c r="Q79" s="167">
        <v>0</v>
      </c>
      <c r="R79" s="165">
        <v>0</v>
      </c>
      <c r="S79" s="166">
        <v>0</v>
      </c>
      <c r="T79" s="166">
        <v>0</v>
      </c>
      <c r="U79" s="166">
        <v>0</v>
      </c>
      <c r="V79" s="167">
        <v>0</v>
      </c>
      <c r="W79" s="185"/>
    </row>
    <row r="80" spans="2:23" s="98" customFormat="1" ht="15" customHeight="1">
      <c r="B80" s="161"/>
      <c r="C80" s="185"/>
      <c r="D80" s="162" t="s">
        <v>2870</v>
      </c>
      <c r="E80" s="162"/>
      <c r="F80" s="162"/>
      <c r="G80" s="162"/>
      <c r="H80" s="163"/>
      <c r="I80" s="164" t="s">
        <v>1876</v>
      </c>
      <c r="J80" s="165">
        <v>0</v>
      </c>
      <c r="K80" s="166">
        <v>0</v>
      </c>
      <c r="L80" s="166">
        <v>0</v>
      </c>
      <c r="M80" s="166">
        <v>0</v>
      </c>
      <c r="N80" s="166">
        <v>0</v>
      </c>
      <c r="O80" s="166">
        <v>0</v>
      </c>
      <c r="P80" s="166">
        <v>0</v>
      </c>
      <c r="Q80" s="167">
        <v>0</v>
      </c>
      <c r="R80" s="165">
        <v>0</v>
      </c>
      <c r="S80" s="166">
        <v>0</v>
      </c>
      <c r="T80" s="166">
        <v>0</v>
      </c>
      <c r="U80" s="166">
        <v>0</v>
      </c>
      <c r="V80" s="167">
        <v>0</v>
      </c>
      <c r="W80" s="185"/>
    </row>
    <row r="81" spans="1:23" s="98" customFormat="1" ht="15" customHeight="1">
      <c r="B81" s="181"/>
      <c r="C81" s="182" t="s">
        <v>1710</v>
      </c>
      <c r="G81" s="184"/>
      <c r="H81" s="184"/>
      <c r="I81" s="164" t="s">
        <v>1876</v>
      </c>
      <c r="J81" s="777">
        <f>SUM(J72:J80)</f>
        <v>0</v>
      </c>
      <c r="K81" s="778">
        <f t="shared" ref="K81" si="17">SUM(K72:K80)</f>
        <v>0</v>
      </c>
      <c r="L81" s="778">
        <f t="shared" ref="L81" si="18">SUM(L72:L80)</f>
        <v>0</v>
      </c>
      <c r="M81" s="778">
        <f t="shared" ref="M81" si="19">SUM(M72:M80)</f>
        <v>0</v>
      </c>
      <c r="N81" s="778">
        <f t="shared" ref="N81" si="20">SUM(N72:N80)</f>
        <v>0</v>
      </c>
      <c r="O81" s="778">
        <f t="shared" ref="O81" si="21">SUM(O72:O80)</f>
        <v>0</v>
      </c>
      <c r="P81" s="778">
        <f t="shared" ref="P81" si="22">SUM(P72:P80)</f>
        <v>0</v>
      </c>
      <c r="Q81" s="779">
        <f t="shared" ref="Q81" si="23">SUM(Q72:Q80)</f>
        <v>0</v>
      </c>
      <c r="R81" s="777">
        <f t="shared" ref="R81" si="24">SUM(R72:R80)</f>
        <v>0</v>
      </c>
      <c r="S81" s="778">
        <f t="shared" ref="S81" si="25">SUM(S72:S80)</f>
        <v>0</v>
      </c>
      <c r="T81" s="778">
        <f t="shared" ref="T81" si="26">SUM(T72:T80)</f>
        <v>0</v>
      </c>
      <c r="U81" s="778">
        <f t="shared" ref="U81" si="27">SUM(U72:U80)</f>
        <v>0</v>
      </c>
      <c r="V81" s="779">
        <f t="shared" ref="V81" si="28">SUM(V72:V80)</f>
        <v>0</v>
      </c>
      <c r="W81" s="185"/>
    </row>
    <row r="82" spans="1:23" s="98" customFormat="1" ht="15" customHeight="1">
      <c r="A82" s="99"/>
      <c r="B82" s="181"/>
      <c r="C82" s="185"/>
      <c r="D82" s="182"/>
      <c r="E82" s="182"/>
      <c r="F82" s="182"/>
      <c r="G82" s="184"/>
      <c r="H82" s="184"/>
      <c r="I82" s="117"/>
      <c r="J82" s="159"/>
      <c r="K82" s="163"/>
      <c r="L82" s="163"/>
      <c r="M82" s="163"/>
      <c r="N82" s="163"/>
      <c r="O82" s="163"/>
      <c r="P82" s="163"/>
      <c r="Q82" s="160"/>
      <c r="R82" s="163"/>
      <c r="S82" s="163"/>
      <c r="T82" s="163"/>
      <c r="U82" s="163"/>
      <c r="V82" s="160"/>
      <c r="W82" s="185"/>
    </row>
    <row r="83" spans="1:23" s="98" customFormat="1" ht="15" customHeight="1">
      <c r="B83" s="161"/>
      <c r="C83" s="180" t="s">
        <v>2876</v>
      </c>
      <c r="D83" s="162"/>
      <c r="E83" s="162"/>
      <c r="F83" s="162"/>
      <c r="G83" s="163"/>
      <c r="H83" s="163"/>
      <c r="I83" s="117"/>
      <c r="J83" s="159"/>
      <c r="K83" s="117"/>
      <c r="L83" s="117"/>
      <c r="M83" s="117"/>
      <c r="N83" s="117"/>
      <c r="O83" s="117"/>
      <c r="P83" s="117"/>
      <c r="Q83" s="160"/>
      <c r="R83" s="159"/>
      <c r="S83" s="117"/>
      <c r="T83" s="117"/>
      <c r="U83" s="117"/>
      <c r="V83" s="160"/>
      <c r="W83" s="185"/>
    </row>
    <row r="84" spans="1:23" s="98" customFormat="1" ht="15" customHeight="1">
      <c r="B84" s="161"/>
      <c r="C84" s="185"/>
      <c r="D84" s="162" t="s">
        <v>2862</v>
      </c>
      <c r="E84" s="162"/>
      <c r="F84" s="162"/>
      <c r="G84" s="162"/>
      <c r="H84" s="163"/>
      <c r="I84" s="164" t="s">
        <v>1876</v>
      </c>
      <c r="J84" s="165">
        <v>0</v>
      </c>
      <c r="K84" s="166">
        <v>0</v>
      </c>
      <c r="L84" s="166">
        <v>0</v>
      </c>
      <c r="M84" s="166">
        <v>0</v>
      </c>
      <c r="N84" s="166">
        <v>0</v>
      </c>
      <c r="O84" s="166">
        <v>0</v>
      </c>
      <c r="P84" s="166">
        <v>0</v>
      </c>
      <c r="Q84" s="167">
        <v>0</v>
      </c>
      <c r="R84" s="165">
        <v>0</v>
      </c>
      <c r="S84" s="166">
        <v>0</v>
      </c>
      <c r="T84" s="166">
        <v>0</v>
      </c>
      <c r="U84" s="166">
        <v>0</v>
      </c>
      <c r="V84" s="167">
        <v>0</v>
      </c>
      <c r="W84" s="185"/>
    </row>
    <row r="85" spans="1:23" s="98" customFormat="1" ht="15" customHeight="1">
      <c r="B85" s="161"/>
      <c r="C85" s="185"/>
      <c r="D85" s="162" t="s">
        <v>2863</v>
      </c>
      <c r="E85" s="162"/>
      <c r="F85" s="162"/>
      <c r="G85" s="162"/>
      <c r="H85" s="163"/>
      <c r="I85" s="164" t="s">
        <v>1876</v>
      </c>
      <c r="J85" s="165">
        <v>0</v>
      </c>
      <c r="K85" s="166">
        <v>0</v>
      </c>
      <c r="L85" s="166">
        <v>0</v>
      </c>
      <c r="M85" s="166">
        <v>0</v>
      </c>
      <c r="N85" s="166">
        <v>0</v>
      </c>
      <c r="O85" s="166">
        <v>0</v>
      </c>
      <c r="P85" s="166">
        <v>0</v>
      </c>
      <c r="Q85" s="167">
        <v>0</v>
      </c>
      <c r="R85" s="165">
        <v>0</v>
      </c>
      <c r="S85" s="166">
        <v>0</v>
      </c>
      <c r="T85" s="166">
        <v>0</v>
      </c>
      <c r="U85" s="166">
        <v>0</v>
      </c>
      <c r="V85" s="167">
        <v>0</v>
      </c>
      <c r="W85" s="185"/>
    </row>
    <row r="86" spans="1:23" s="98" customFormat="1" ht="15" customHeight="1">
      <c r="B86" s="161"/>
      <c r="C86" s="185"/>
      <c r="D86" s="162" t="s">
        <v>2864</v>
      </c>
      <c r="E86" s="162"/>
      <c r="F86" s="162"/>
      <c r="G86" s="162"/>
      <c r="H86" s="163"/>
      <c r="I86" s="164" t="s">
        <v>1876</v>
      </c>
      <c r="J86" s="165">
        <v>0</v>
      </c>
      <c r="K86" s="166">
        <v>0</v>
      </c>
      <c r="L86" s="166">
        <v>0</v>
      </c>
      <c r="M86" s="166">
        <v>0</v>
      </c>
      <c r="N86" s="166">
        <v>0</v>
      </c>
      <c r="O86" s="166">
        <v>0</v>
      </c>
      <c r="P86" s="166">
        <v>0</v>
      </c>
      <c r="Q86" s="167">
        <v>0</v>
      </c>
      <c r="R86" s="165">
        <v>0</v>
      </c>
      <c r="S86" s="166">
        <v>0</v>
      </c>
      <c r="T86" s="166">
        <v>0</v>
      </c>
      <c r="U86" s="166">
        <v>0</v>
      </c>
      <c r="V86" s="167">
        <v>0</v>
      </c>
      <c r="W86" s="185"/>
    </row>
    <row r="87" spans="1:23" s="98" customFormat="1" ht="15" customHeight="1">
      <c r="B87" s="161"/>
      <c r="C87" s="185"/>
      <c r="D87" s="162" t="s">
        <v>2865</v>
      </c>
      <c r="E87" s="162"/>
      <c r="F87" s="162"/>
      <c r="G87" s="162"/>
      <c r="H87" s="163"/>
      <c r="I87" s="164" t="s">
        <v>1876</v>
      </c>
      <c r="J87" s="165">
        <v>0</v>
      </c>
      <c r="K87" s="166">
        <v>0</v>
      </c>
      <c r="L87" s="166">
        <v>0</v>
      </c>
      <c r="M87" s="166">
        <v>0</v>
      </c>
      <c r="N87" s="166">
        <v>0</v>
      </c>
      <c r="O87" s="166">
        <v>0</v>
      </c>
      <c r="P87" s="166">
        <v>0</v>
      </c>
      <c r="Q87" s="167">
        <v>0</v>
      </c>
      <c r="R87" s="165">
        <v>0</v>
      </c>
      <c r="S87" s="166">
        <v>0</v>
      </c>
      <c r="T87" s="166">
        <v>0</v>
      </c>
      <c r="U87" s="166">
        <v>0</v>
      </c>
      <c r="V87" s="167">
        <v>0</v>
      </c>
      <c r="W87" s="185"/>
    </row>
    <row r="88" spans="1:23" s="98" customFormat="1" ht="15" customHeight="1">
      <c r="B88" s="161"/>
      <c r="C88" s="185"/>
      <c r="D88" s="162" t="s">
        <v>2866</v>
      </c>
      <c r="E88" s="162"/>
      <c r="F88" s="162"/>
      <c r="G88" s="162"/>
      <c r="H88" s="163"/>
      <c r="I88" s="164" t="s">
        <v>1876</v>
      </c>
      <c r="J88" s="165">
        <v>0</v>
      </c>
      <c r="K88" s="166">
        <v>0</v>
      </c>
      <c r="L88" s="166">
        <v>0</v>
      </c>
      <c r="M88" s="166">
        <v>0</v>
      </c>
      <c r="N88" s="166">
        <v>0</v>
      </c>
      <c r="O88" s="166">
        <v>0</v>
      </c>
      <c r="P88" s="166">
        <v>0</v>
      </c>
      <c r="Q88" s="167">
        <v>0</v>
      </c>
      <c r="R88" s="165">
        <v>0</v>
      </c>
      <c r="S88" s="166">
        <v>0</v>
      </c>
      <c r="T88" s="166">
        <v>0</v>
      </c>
      <c r="U88" s="166">
        <v>0</v>
      </c>
      <c r="V88" s="167">
        <v>0</v>
      </c>
      <c r="W88" s="185"/>
    </row>
    <row r="89" spans="1:23" s="98" customFormat="1" ht="15" customHeight="1">
      <c r="B89" s="161"/>
      <c r="C89" s="185"/>
      <c r="D89" s="162" t="s">
        <v>2867</v>
      </c>
      <c r="E89" s="162"/>
      <c r="F89" s="162"/>
      <c r="G89" s="162"/>
      <c r="H89" s="163"/>
      <c r="I89" s="164" t="s">
        <v>1876</v>
      </c>
      <c r="J89" s="165">
        <v>0</v>
      </c>
      <c r="K89" s="166">
        <v>0</v>
      </c>
      <c r="L89" s="166">
        <v>0</v>
      </c>
      <c r="M89" s="166">
        <v>0</v>
      </c>
      <c r="N89" s="166">
        <v>0</v>
      </c>
      <c r="O89" s="166">
        <v>0</v>
      </c>
      <c r="P89" s="166">
        <v>0</v>
      </c>
      <c r="Q89" s="167">
        <v>0</v>
      </c>
      <c r="R89" s="165">
        <v>0</v>
      </c>
      <c r="S89" s="166">
        <v>0</v>
      </c>
      <c r="T89" s="166">
        <v>0</v>
      </c>
      <c r="U89" s="166">
        <v>0</v>
      </c>
      <c r="V89" s="167">
        <v>0</v>
      </c>
      <c r="W89" s="185"/>
    </row>
    <row r="90" spans="1:23" s="98" customFormat="1" ht="15" customHeight="1">
      <c r="B90" s="161"/>
      <c r="C90" s="185"/>
      <c r="D90" s="162" t="s">
        <v>2868</v>
      </c>
      <c r="E90" s="162"/>
      <c r="F90" s="162"/>
      <c r="G90" s="162"/>
      <c r="H90" s="163"/>
      <c r="I90" s="164" t="s">
        <v>1876</v>
      </c>
      <c r="J90" s="165">
        <v>0</v>
      </c>
      <c r="K90" s="166">
        <v>0</v>
      </c>
      <c r="L90" s="166">
        <v>0</v>
      </c>
      <c r="M90" s="166">
        <v>0</v>
      </c>
      <c r="N90" s="166">
        <v>0</v>
      </c>
      <c r="O90" s="166">
        <v>0</v>
      </c>
      <c r="P90" s="166">
        <v>0</v>
      </c>
      <c r="Q90" s="167">
        <v>0</v>
      </c>
      <c r="R90" s="165">
        <v>0</v>
      </c>
      <c r="S90" s="166">
        <v>0</v>
      </c>
      <c r="T90" s="166">
        <v>0</v>
      </c>
      <c r="U90" s="166">
        <v>0</v>
      </c>
      <c r="V90" s="167">
        <v>0</v>
      </c>
      <c r="W90" s="185"/>
    </row>
    <row r="91" spans="1:23" s="98" customFormat="1" ht="15" customHeight="1">
      <c r="B91" s="161"/>
      <c r="C91" s="185"/>
      <c r="D91" s="162" t="s">
        <v>2869</v>
      </c>
      <c r="E91" s="162"/>
      <c r="F91" s="162"/>
      <c r="G91" s="162"/>
      <c r="H91" s="163"/>
      <c r="I91" s="164" t="s">
        <v>1876</v>
      </c>
      <c r="J91" s="165">
        <v>0</v>
      </c>
      <c r="K91" s="166">
        <v>0</v>
      </c>
      <c r="L91" s="166">
        <v>0</v>
      </c>
      <c r="M91" s="166">
        <v>0</v>
      </c>
      <c r="N91" s="166">
        <v>0</v>
      </c>
      <c r="O91" s="166">
        <v>0</v>
      </c>
      <c r="P91" s="166">
        <v>0</v>
      </c>
      <c r="Q91" s="167">
        <v>0</v>
      </c>
      <c r="R91" s="165">
        <v>0</v>
      </c>
      <c r="S91" s="166">
        <v>0</v>
      </c>
      <c r="T91" s="166">
        <v>0</v>
      </c>
      <c r="U91" s="166">
        <v>0</v>
      </c>
      <c r="V91" s="167">
        <v>0</v>
      </c>
      <c r="W91" s="185"/>
    </row>
    <row r="92" spans="1:23" s="98" customFormat="1" ht="15" customHeight="1">
      <c r="B92" s="161"/>
      <c r="C92" s="185"/>
      <c r="D92" s="162" t="s">
        <v>2870</v>
      </c>
      <c r="E92" s="162"/>
      <c r="F92" s="162"/>
      <c r="G92" s="162"/>
      <c r="H92" s="163"/>
      <c r="I92" s="164" t="s">
        <v>1876</v>
      </c>
      <c r="J92" s="165">
        <v>0</v>
      </c>
      <c r="K92" s="166">
        <v>0</v>
      </c>
      <c r="L92" s="166">
        <v>0</v>
      </c>
      <c r="M92" s="166">
        <v>0</v>
      </c>
      <c r="N92" s="166">
        <v>0</v>
      </c>
      <c r="O92" s="166">
        <v>0</v>
      </c>
      <c r="P92" s="166">
        <v>0</v>
      </c>
      <c r="Q92" s="167">
        <v>0</v>
      </c>
      <c r="R92" s="165">
        <v>0</v>
      </c>
      <c r="S92" s="166">
        <v>0</v>
      </c>
      <c r="T92" s="166">
        <v>0</v>
      </c>
      <c r="U92" s="166">
        <v>0</v>
      </c>
      <c r="V92" s="167">
        <v>0</v>
      </c>
      <c r="W92" s="185"/>
    </row>
    <row r="93" spans="1:23" s="98" customFormat="1" ht="15" customHeight="1">
      <c r="B93" s="181"/>
      <c r="C93" s="182" t="s">
        <v>1710</v>
      </c>
      <c r="D93" s="245"/>
      <c r="E93" s="245"/>
      <c r="F93" s="245"/>
      <c r="G93" s="184"/>
      <c r="H93" s="184"/>
      <c r="I93" s="164" t="s">
        <v>1876</v>
      </c>
      <c r="J93" s="777">
        <f>SUM(J84:J92)</f>
        <v>0</v>
      </c>
      <c r="K93" s="778">
        <f t="shared" ref="K93" si="29">SUM(K84:K92)</f>
        <v>0</v>
      </c>
      <c r="L93" s="778">
        <f t="shared" ref="L93" si="30">SUM(L84:L92)</f>
        <v>0</v>
      </c>
      <c r="M93" s="778">
        <f t="shared" ref="M93" si="31">SUM(M84:M92)</f>
        <v>0</v>
      </c>
      <c r="N93" s="778">
        <f t="shared" ref="N93" si="32">SUM(N84:N92)</f>
        <v>0</v>
      </c>
      <c r="O93" s="778">
        <f t="shared" ref="O93" si="33">SUM(O84:O92)</f>
        <v>0</v>
      </c>
      <c r="P93" s="778">
        <f t="shared" ref="P93" si="34">SUM(P84:P92)</f>
        <v>0</v>
      </c>
      <c r="Q93" s="779">
        <f t="shared" ref="Q93" si="35">SUM(Q84:Q92)</f>
        <v>0</v>
      </c>
      <c r="R93" s="777">
        <f t="shared" ref="R93" si="36">SUM(R84:R92)</f>
        <v>0</v>
      </c>
      <c r="S93" s="778">
        <f t="shared" ref="S93" si="37">SUM(S84:S92)</f>
        <v>0</v>
      </c>
      <c r="T93" s="778">
        <f t="shared" ref="T93" si="38">SUM(T84:T92)</f>
        <v>0</v>
      </c>
      <c r="U93" s="778">
        <f t="shared" ref="U93" si="39">SUM(U84:U92)</f>
        <v>0</v>
      </c>
      <c r="V93" s="779">
        <f t="shared" ref="V93" si="40">SUM(V84:V92)</f>
        <v>0</v>
      </c>
      <c r="W93" s="185"/>
    </row>
    <row r="94" spans="1:23" s="98" customFormat="1" ht="15" customHeight="1">
      <c r="A94" s="99"/>
      <c r="B94" s="181"/>
      <c r="C94" s="185"/>
      <c r="D94" s="182"/>
      <c r="E94" s="182"/>
      <c r="F94" s="182"/>
      <c r="G94" s="184"/>
      <c r="H94" s="184"/>
      <c r="I94" s="117"/>
      <c r="J94" s="159"/>
      <c r="K94" s="163"/>
      <c r="L94" s="163"/>
      <c r="M94" s="163"/>
      <c r="N94" s="163"/>
      <c r="O94" s="163"/>
      <c r="P94" s="163"/>
      <c r="Q94" s="160"/>
      <c r="R94" s="163"/>
      <c r="S94" s="163"/>
      <c r="T94" s="163"/>
      <c r="U94" s="163"/>
      <c r="V94" s="160"/>
      <c r="W94" s="185"/>
    </row>
    <row r="95" spans="1:23" s="98" customFormat="1" ht="15" customHeight="1">
      <c r="B95" s="161"/>
      <c r="C95" s="180" t="s">
        <v>3021</v>
      </c>
      <c r="D95" s="162"/>
      <c r="E95" s="162"/>
      <c r="F95" s="162"/>
      <c r="G95" s="163"/>
      <c r="H95" s="163"/>
      <c r="I95" s="117"/>
      <c r="J95" s="159"/>
      <c r="K95" s="117"/>
      <c r="L95" s="117"/>
      <c r="M95" s="117"/>
      <c r="N95" s="117"/>
      <c r="O95" s="117"/>
      <c r="P95" s="117"/>
      <c r="Q95" s="160"/>
      <c r="R95" s="159"/>
      <c r="S95" s="117"/>
      <c r="T95" s="117"/>
      <c r="U95" s="117"/>
      <c r="V95" s="160"/>
      <c r="W95" s="185"/>
    </row>
    <row r="96" spans="1:23" s="98" customFormat="1" ht="15" customHeight="1">
      <c r="B96" s="161"/>
      <c r="C96" s="185"/>
      <c r="D96" s="162" t="s">
        <v>3022</v>
      </c>
      <c r="E96" s="162"/>
      <c r="F96" s="162"/>
      <c r="G96" s="162"/>
      <c r="H96" s="163"/>
      <c r="I96" s="164" t="s">
        <v>1876</v>
      </c>
      <c r="J96" s="165">
        <v>0</v>
      </c>
      <c r="K96" s="166">
        <v>0</v>
      </c>
      <c r="L96" s="166">
        <v>1</v>
      </c>
      <c r="M96" s="166">
        <v>0</v>
      </c>
      <c r="N96" s="166">
        <v>0</v>
      </c>
      <c r="O96" s="166">
        <v>0</v>
      </c>
      <c r="P96" s="166">
        <v>0</v>
      </c>
      <c r="Q96" s="167">
        <v>0</v>
      </c>
      <c r="R96" s="165">
        <v>0</v>
      </c>
      <c r="S96" s="166">
        <v>0</v>
      </c>
      <c r="T96" s="166">
        <v>0</v>
      </c>
      <c r="U96" s="166">
        <v>0</v>
      </c>
      <c r="V96" s="167">
        <v>0</v>
      </c>
      <c r="W96" s="185"/>
    </row>
    <row r="97" spans="1:23" s="98" customFormat="1" ht="15" customHeight="1">
      <c r="B97" s="161"/>
      <c r="C97" s="185"/>
      <c r="D97" s="162" t="s">
        <v>3023</v>
      </c>
      <c r="E97" s="162"/>
      <c r="F97" s="162"/>
      <c r="G97" s="162"/>
      <c r="H97" s="163"/>
      <c r="I97" s="164" t="s">
        <v>1876</v>
      </c>
      <c r="J97" s="165">
        <v>0</v>
      </c>
      <c r="K97" s="166">
        <v>0</v>
      </c>
      <c r="L97" s="166">
        <v>0</v>
      </c>
      <c r="M97" s="166">
        <v>0</v>
      </c>
      <c r="N97" s="166">
        <v>0</v>
      </c>
      <c r="O97" s="166">
        <v>0</v>
      </c>
      <c r="P97" s="166">
        <v>0</v>
      </c>
      <c r="Q97" s="167">
        <v>0</v>
      </c>
      <c r="R97" s="165">
        <v>0</v>
      </c>
      <c r="S97" s="166">
        <v>0</v>
      </c>
      <c r="T97" s="166">
        <v>0</v>
      </c>
      <c r="U97" s="166">
        <v>0</v>
      </c>
      <c r="V97" s="167">
        <v>0</v>
      </c>
      <c r="W97" s="185"/>
    </row>
    <row r="98" spans="1:23" s="98" customFormat="1" ht="15" customHeight="1">
      <c r="B98" s="161"/>
      <c r="C98" s="185"/>
      <c r="D98" s="162" t="s">
        <v>3024</v>
      </c>
      <c r="E98" s="162"/>
      <c r="F98" s="162"/>
      <c r="G98" s="162"/>
      <c r="H98" s="163"/>
      <c r="I98" s="164" t="s">
        <v>1876</v>
      </c>
      <c r="J98" s="165">
        <v>3</v>
      </c>
      <c r="K98" s="166">
        <v>4</v>
      </c>
      <c r="L98" s="166">
        <v>2</v>
      </c>
      <c r="M98" s="166">
        <v>0</v>
      </c>
      <c r="N98" s="166">
        <v>2</v>
      </c>
      <c r="O98" s="166">
        <v>1</v>
      </c>
      <c r="P98" s="166">
        <v>2</v>
      </c>
      <c r="Q98" s="167">
        <v>2</v>
      </c>
      <c r="R98" s="165">
        <v>2</v>
      </c>
      <c r="S98" s="166">
        <v>2</v>
      </c>
      <c r="T98" s="166">
        <v>2</v>
      </c>
      <c r="U98" s="166">
        <v>2</v>
      </c>
      <c r="V98" s="167">
        <v>2</v>
      </c>
      <c r="W98" s="185"/>
    </row>
    <row r="99" spans="1:23" s="98" customFormat="1" ht="15" customHeight="1">
      <c r="B99" s="161"/>
      <c r="C99" s="185"/>
      <c r="D99" s="162" t="s">
        <v>3025</v>
      </c>
      <c r="E99" s="162"/>
      <c r="F99" s="162"/>
      <c r="G99" s="162"/>
      <c r="H99" s="163"/>
      <c r="I99" s="164" t="s">
        <v>1876</v>
      </c>
      <c r="J99" s="165">
        <v>0</v>
      </c>
      <c r="K99" s="166">
        <v>0</v>
      </c>
      <c r="L99" s="166">
        <v>0</v>
      </c>
      <c r="M99" s="166">
        <v>0</v>
      </c>
      <c r="N99" s="166">
        <v>0</v>
      </c>
      <c r="O99" s="166">
        <v>0</v>
      </c>
      <c r="P99" s="166">
        <v>0</v>
      </c>
      <c r="Q99" s="167">
        <v>0</v>
      </c>
      <c r="R99" s="165">
        <v>0</v>
      </c>
      <c r="S99" s="166">
        <v>0</v>
      </c>
      <c r="T99" s="166">
        <v>0</v>
      </c>
      <c r="U99" s="166">
        <v>0</v>
      </c>
      <c r="V99" s="167">
        <v>0</v>
      </c>
      <c r="W99" s="185"/>
    </row>
    <row r="100" spans="1:23" s="98" customFormat="1" ht="15" customHeight="1">
      <c r="B100" s="181"/>
      <c r="C100" s="182" t="s">
        <v>1710</v>
      </c>
      <c r="D100" s="245"/>
      <c r="E100" s="245"/>
      <c r="F100" s="245"/>
      <c r="G100" s="184"/>
      <c r="H100" s="184"/>
      <c r="I100" s="164" t="s">
        <v>1876</v>
      </c>
      <c r="J100" s="777">
        <f>SUM(J96:J99)</f>
        <v>3</v>
      </c>
      <c r="K100" s="778">
        <f t="shared" ref="K100" si="41">SUM(K96:K99)</f>
        <v>4</v>
      </c>
      <c r="L100" s="778">
        <f t="shared" ref="L100" si="42">SUM(L96:L99)</f>
        <v>3</v>
      </c>
      <c r="M100" s="778">
        <f t="shared" ref="M100" si="43">SUM(M96:M99)</f>
        <v>0</v>
      </c>
      <c r="N100" s="778">
        <f t="shared" ref="N100" si="44">SUM(N96:N99)</f>
        <v>2</v>
      </c>
      <c r="O100" s="778">
        <f t="shared" ref="O100" si="45">SUM(O96:O99)</f>
        <v>1</v>
      </c>
      <c r="P100" s="778">
        <f t="shared" ref="P100" si="46">SUM(P96:P99)</f>
        <v>2</v>
      </c>
      <c r="Q100" s="779">
        <f t="shared" ref="Q100" si="47">SUM(Q96:Q99)</f>
        <v>2</v>
      </c>
      <c r="R100" s="777">
        <f t="shared" ref="R100" si="48">SUM(R96:R99)</f>
        <v>2</v>
      </c>
      <c r="S100" s="778">
        <f t="shared" ref="S100" si="49">SUM(S96:S99)</f>
        <v>2</v>
      </c>
      <c r="T100" s="778">
        <f t="shared" ref="T100" si="50">SUM(T96:T99)</f>
        <v>2</v>
      </c>
      <c r="U100" s="778">
        <f t="shared" ref="U100" si="51">SUM(U96:U99)</f>
        <v>2</v>
      </c>
      <c r="V100" s="779">
        <f t="shared" ref="V100" si="52">SUM(V96:V99)</f>
        <v>2</v>
      </c>
      <c r="W100" s="185"/>
    </row>
    <row r="101" spans="1:23" s="98" customFormat="1" ht="15" customHeight="1">
      <c r="A101" s="99"/>
      <c r="B101" s="181"/>
      <c r="C101" s="185"/>
      <c r="D101" s="182"/>
      <c r="E101" s="182"/>
      <c r="F101" s="182"/>
      <c r="G101" s="184"/>
      <c r="H101" s="184"/>
      <c r="I101" s="117"/>
      <c r="J101" s="159"/>
      <c r="K101" s="163"/>
      <c r="L101" s="163"/>
      <c r="M101" s="163"/>
      <c r="N101" s="163"/>
      <c r="O101" s="163"/>
      <c r="P101" s="163"/>
      <c r="Q101" s="160"/>
      <c r="R101" s="163"/>
      <c r="S101" s="163"/>
      <c r="T101" s="163"/>
      <c r="U101" s="163"/>
      <c r="V101" s="160"/>
      <c r="W101" s="185"/>
    </row>
    <row r="102" spans="1:23" s="98" customFormat="1" ht="15" customHeight="1" thickBot="1">
      <c r="A102" s="99"/>
      <c r="B102" s="239" t="s">
        <v>1701</v>
      </c>
      <c r="C102" s="240"/>
      <c r="D102" s="240"/>
      <c r="E102" s="240"/>
      <c r="F102" s="240"/>
      <c r="G102" s="241"/>
      <c r="H102" s="241"/>
      <c r="I102" s="195" t="s">
        <v>1876</v>
      </c>
      <c r="J102" s="873">
        <f>SUM(J69,J81,J93,J100)</f>
        <v>3</v>
      </c>
      <c r="K102" s="781">
        <f t="shared" ref="K102:V102" si="53">SUM(K69,K81,K93,K100)</f>
        <v>4</v>
      </c>
      <c r="L102" s="781">
        <f t="shared" si="53"/>
        <v>3</v>
      </c>
      <c r="M102" s="781">
        <f t="shared" si="53"/>
        <v>0</v>
      </c>
      <c r="N102" s="781">
        <f t="shared" si="53"/>
        <v>2</v>
      </c>
      <c r="O102" s="781">
        <f t="shared" si="53"/>
        <v>1</v>
      </c>
      <c r="P102" s="781">
        <f t="shared" si="53"/>
        <v>2</v>
      </c>
      <c r="Q102" s="874">
        <f t="shared" si="53"/>
        <v>2</v>
      </c>
      <c r="R102" s="873">
        <f t="shared" si="53"/>
        <v>2</v>
      </c>
      <c r="S102" s="781">
        <f t="shared" si="53"/>
        <v>2</v>
      </c>
      <c r="T102" s="781">
        <f t="shared" si="53"/>
        <v>2</v>
      </c>
      <c r="U102" s="781">
        <f t="shared" si="53"/>
        <v>2</v>
      </c>
      <c r="V102" s="874">
        <f t="shared" si="53"/>
        <v>2</v>
      </c>
    </row>
    <row r="103" spans="1:23" s="99" customFormat="1" ht="15" customHeight="1" thickBot="1">
      <c r="B103" s="150"/>
      <c r="C103" s="150"/>
      <c r="D103" s="150"/>
      <c r="E103" s="150"/>
      <c r="F103" s="150"/>
      <c r="G103" s="97"/>
      <c r="H103" s="97"/>
      <c r="I103" s="98"/>
      <c r="J103" s="98"/>
      <c r="K103" s="98"/>
      <c r="L103" s="98"/>
      <c r="M103" s="98"/>
      <c r="N103" s="98"/>
      <c r="O103" s="98"/>
      <c r="P103" s="98"/>
      <c r="Q103" s="98"/>
      <c r="R103" s="98"/>
      <c r="S103" s="98"/>
      <c r="T103" s="98"/>
      <c r="U103" s="98"/>
      <c r="V103" s="98"/>
    </row>
    <row r="104" spans="1:23" s="100" customFormat="1" ht="30" customHeight="1" thickBot="1">
      <c r="A104" s="89"/>
      <c r="B104" s="621" t="s">
        <v>3027</v>
      </c>
      <c r="C104" s="102"/>
      <c r="D104" s="102"/>
      <c r="E104" s="102"/>
      <c r="F104" s="102"/>
      <c r="G104" s="103"/>
      <c r="H104" s="103"/>
      <c r="I104" s="105" t="s">
        <v>1869</v>
      </c>
      <c r="J104" s="106"/>
      <c r="K104" s="106"/>
      <c r="L104" s="106"/>
      <c r="M104" s="106"/>
      <c r="N104" s="106"/>
      <c r="O104" s="106"/>
      <c r="P104" s="106"/>
      <c r="Q104" s="106"/>
      <c r="R104" s="105"/>
      <c r="S104" s="105"/>
      <c r="T104" s="105"/>
      <c r="U104" s="105"/>
      <c r="V104" s="187"/>
    </row>
    <row r="105" spans="1:23" s="157" customFormat="1" ht="30" customHeight="1">
      <c r="A105" s="99"/>
      <c r="B105" s="109"/>
      <c r="C105" s="110"/>
      <c r="D105" s="110"/>
      <c r="E105" s="110"/>
      <c r="F105" s="110"/>
      <c r="G105" s="111"/>
      <c r="H105" s="111"/>
      <c r="I105" s="117"/>
      <c r="J105" s="695" t="s">
        <v>1666</v>
      </c>
      <c r="K105" s="152"/>
      <c r="L105" s="152"/>
      <c r="M105" s="152"/>
      <c r="N105" s="152"/>
      <c r="O105" s="152"/>
      <c r="P105" s="152"/>
      <c r="Q105" s="153"/>
      <c r="R105" s="696" t="s">
        <v>2</v>
      </c>
      <c r="S105" s="155"/>
      <c r="T105" s="155"/>
      <c r="U105" s="155"/>
      <c r="V105" s="156"/>
    </row>
    <row r="106" spans="1:23" s="98" customFormat="1" ht="15" customHeight="1">
      <c r="A106" s="99"/>
      <c r="B106" s="115"/>
      <c r="C106" s="116"/>
      <c r="D106" s="116"/>
      <c r="E106" s="116"/>
      <c r="F106" s="116"/>
      <c r="G106" s="117"/>
      <c r="H106" s="117"/>
      <c r="I106" s="119" t="s">
        <v>1667</v>
      </c>
      <c r="J106" s="158" t="s">
        <v>453</v>
      </c>
      <c r="K106" s="137" t="s">
        <v>455</v>
      </c>
      <c r="L106" s="137" t="s">
        <v>457</v>
      </c>
      <c r="M106" s="137" t="s">
        <v>459</v>
      </c>
      <c r="N106" s="137" t="s">
        <v>461</v>
      </c>
      <c r="O106" s="137" t="s">
        <v>463</v>
      </c>
      <c r="P106" s="137" t="s">
        <v>465</v>
      </c>
      <c r="Q106" s="138" t="s">
        <v>467</v>
      </c>
      <c r="R106" s="120" t="s">
        <v>469</v>
      </c>
      <c r="S106" s="121" t="s">
        <v>471</v>
      </c>
      <c r="T106" s="121" t="s">
        <v>473</v>
      </c>
      <c r="U106" s="121" t="s">
        <v>475</v>
      </c>
      <c r="V106" s="122" t="s">
        <v>477</v>
      </c>
    </row>
    <row r="107" spans="1:23" s="98" customFormat="1" ht="15" customHeight="1">
      <c r="B107" s="161"/>
      <c r="C107" s="180" t="s">
        <v>3021</v>
      </c>
      <c r="D107" s="162"/>
      <c r="E107" s="162"/>
      <c r="F107" s="162"/>
      <c r="G107" s="163"/>
      <c r="H107" s="163"/>
      <c r="I107" s="117"/>
      <c r="J107" s="159"/>
      <c r="K107" s="117"/>
      <c r="L107" s="117"/>
      <c r="M107" s="117"/>
      <c r="N107" s="117"/>
      <c r="O107" s="117"/>
      <c r="P107" s="117"/>
      <c r="Q107" s="160"/>
      <c r="R107" s="159"/>
      <c r="S107" s="117"/>
      <c r="T107" s="117"/>
      <c r="U107" s="117"/>
      <c r="V107" s="160"/>
      <c r="W107" s="185"/>
    </row>
    <row r="108" spans="1:23" s="98" customFormat="1" ht="15" customHeight="1">
      <c r="B108" s="161"/>
      <c r="C108" s="185"/>
      <c r="D108" s="162" t="s">
        <v>3022</v>
      </c>
      <c r="E108" s="162"/>
      <c r="F108" s="162"/>
      <c r="G108" s="162"/>
      <c r="H108" s="163"/>
      <c r="I108" s="164" t="s">
        <v>1876</v>
      </c>
      <c r="J108" s="165">
        <v>0</v>
      </c>
      <c r="K108" s="166">
        <v>0</v>
      </c>
      <c r="L108" s="166">
        <v>0</v>
      </c>
      <c r="M108" s="166">
        <v>0</v>
      </c>
      <c r="N108" s="166">
        <v>0</v>
      </c>
      <c r="O108" s="166">
        <v>0</v>
      </c>
      <c r="P108" s="166">
        <v>0</v>
      </c>
      <c r="Q108" s="167">
        <v>0</v>
      </c>
      <c r="R108" s="165">
        <v>0</v>
      </c>
      <c r="S108" s="166">
        <v>0</v>
      </c>
      <c r="T108" s="166">
        <v>0</v>
      </c>
      <c r="U108" s="166">
        <v>0</v>
      </c>
      <c r="V108" s="167">
        <v>0</v>
      </c>
      <c r="W108" s="185"/>
    </row>
    <row r="109" spans="1:23" s="98" customFormat="1" ht="15" customHeight="1">
      <c r="B109" s="161"/>
      <c r="C109" s="185"/>
      <c r="D109" s="162" t="s">
        <v>3023</v>
      </c>
      <c r="E109" s="162"/>
      <c r="F109" s="162"/>
      <c r="G109" s="162"/>
      <c r="H109" s="163"/>
      <c r="I109" s="164" t="s">
        <v>1876</v>
      </c>
      <c r="J109" s="165">
        <v>0</v>
      </c>
      <c r="K109" s="166">
        <v>0</v>
      </c>
      <c r="L109" s="166">
        <v>0</v>
      </c>
      <c r="M109" s="166">
        <v>0</v>
      </c>
      <c r="N109" s="166">
        <v>0</v>
      </c>
      <c r="O109" s="166">
        <v>0</v>
      </c>
      <c r="P109" s="166">
        <v>0</v>
      </c>
      <c r="Q109" s="167">
        <v>0</v>
      </c>
      <c r="R109" s="165">
        <v>0</v>
      </c>
      <c r="S109" s="166">
        <v>0</v>
      </c>
      <c r="T109" s="166">
        <v>0</v>
      </c>
      <c r="U109" s="166">
        <v>0</v>
      </c>
      <c r="V109" s="167">
        <v>0</v>
      </c>
      <c r="W109" s="185"/>
    </row>
    <row r="110" spans="1:23" s="98" customFormat="1" ht="15" customHeight="1">
      <c r="B110" s="161"/>
      <c r="C110" s="185"/>
      <c r="D110" s="162" t="s">
        <v>3024</v>
      </c>
      <c r="E110" s="162"/>
      <c r="F110" s="162"/>
      <c r="G110" s="162"/>
      <c r="H110" s="163"/>
      <c r="I110" s="164" t="s">
        <v>1876</v>
      </c>
      <c r="J110" s="165">
        <v>3</v>
      </c>
      <c r="K110" s="166">
        <v>0</v>
      </c>
      <c r="L110" s="166">
        <v>1</v>
      </c>
      <c r="M110" s="166">
        <v>0</v>
      </c>
      <c r="N110" s="166">
        <v>0</v>
      </c>
      <c r="O110" s="166">
        <v>0</v>
      </c>
      <c r="P110" s="166">
        <v>0</v>
      </c>
      <c r="Q110" s="167">
        <v>0</v>
      </c>
      <c r="R110" s="165">
        <v>0</v>
      </c>
      <c r="S110" s="166">
        <v>0</v>
      </c>
      <c r="T110" s="166">
        <v>0</v>
      </c>
      <c r="U110" s="166">
        <v>0</v>
      </c>
      <c r="V110" s="167">
        <v>0</v>
      </c>
      <c r="W110" s="185"/>
    </row>
    <row r="111" spans="1:23" s="98" customFormat="1" ht="15" customHeight="1">
      <c r="B111" s="161"/>
      <c r="C111" s="185"/>
      <c r="D111" s="162" t="s">
        <v>3025</v>
      </c>
      <c r="E111" s="162"/>
      <c r="F111" s="162"/>
      <c r="G111" s="162"/>
      <c r="H111" s="163"/>
      <c r="I111" s="164" t="s">
        <v>1876</v>
      </c>
      <c r="J111" s="165">
        <v>0</v>
      </c>
      <c r="K111" s="166">
        <v>0</v>
      </c>
      <c r="L111" s="166">
        <v>0</v>
      </c>
      <c r="M111" s="166">
        <v>0</v>
      </c>
      <c r="N111" s="166">
        <v>0</v>
      </c>
      <c r="O111" s="166">
        <v>0</v>
      </c>
      <c r="P111" s="166">
        <v>0</v>
      </c>
      <c r="Q111" s="167">
        <v>0</v>
      </c>
      <c r="R111" s="165">
        <v>0</v>
      </c>
      <c r="S111" s="166">
        <v>0</v>
      </c>
      <c r="T111" s="166">
        <v>0</v>
      </c>
      <c r="U111" s="166">
        <v>0</v>
      </c>
      <c r="V111" s="167">
        <v>0</v>
      </c>
      <c r="W111" s="185"/>
    </row>
    <row r="112" spans="1:23" s="98" customFormat="1" ht="15" customHeight="1" thickBot="1">
      <c r="B112" s="239"/>
      <c r="C112" s="192" t="s">
        <v>1710</v>
      </c>
      <c r="D112" s="240"/>
      <c r="E112" s="240"/>
      <c r="F112" s="240"/>
      <c r="G112" s="241"/>
      <c r="H112" s="241"/>
      <c r="I112" s="195" t="s">
        <v>1876</v>
      </c>
      <c r="J112" s="892">
        <f>SUM(J108:J111)</f>
        <v>3</v>
      </c>
      <c r="K112" s="893">
        <f t="shared" ref="K112:V112" si="54">SUM(K108:K111)</f>
        <v>0</v>
      </c>
      <c r="L112" s="893">
        <f t="shared" si="54"/>
        <v>1</v>
      </c>
      <c r="M112" s="893">
        <f t="shared" si="54"/>
        <v>0</v>
      </c>
      <c r="N112" s="893">
        <f t="shared" si="54"/>
        <v>0</v>
      </c>
      <c r="O112" s="893">
        <f t="shared" si="54"/>
        <v>0</v>
      </c>
      <c r="P112" s="893">
        <f t="shared" si="54"/>
        <v>0</v>
      </c>
      <c r="Q112" s="890">
        <f t="shared" si="54"/>
        <v>0</v>
      </c>
      <c r="R112" s="892">
        <f t="shared" si="54"/>
        <v>0</v>
      </c>
      <c r="S112" s="893">
        <f t="shared" si="54"/>
        <v>0</v>
      </c>
      <c r="T112" s="893">
        <f t="shared" si="54"/>
        <v>0</v>
      </c>
      <c r="U112" s="893">
        <f t="shared" si="54"/>
        <v>0</v>
      </c>
      <c r="V112" s="890">
        <f t="shared" si="54"/>
        <v>0</v>
      </c>
      <c r="W112" s="185"/>
    </row>
    <row r="113" spans="1:23" s="99" customFormat="1" ht="15" customHeight="1" thickBot="1">
      <c r="B113" s="150"/>
      <c r="C113" s="150"/>
      <c r="D113" s="150"/>
      <c r="E113" s="150"/>
      <c r="F113" s="150"/>
      <c r="G113" s="97"/>
      <c r="H113" s="97"/>
      <c r="I113" s="98"/>
      <c r="J113" s="98"/>
      <c r="K113" s="98"/>
      <c r="L113" s="98"/>
      <c r="M113" s="98"/>
      <c r="N113" s="98"/>
      <c r="O113" s="98"/>
      <c r="P113" s="98"/>
      <c r="Q113" s="98"/>
      <c r="R113" s="98"/>
      <c r="S113" s="98"/>
      <c r="T113" s="98"/>
      <c r="U113" s="98"/>
      <c r="V113" s="98"/>
    </row>
    <row r="114" spans="1:23" s="100" customFormat="1" ht="30" customHeight="1" thickBot="1">
      <c r="A114" s="89"/>
      <c r="B114" s="621" t="s">
        <v>3028</v>
      </c>
      <c r="C114" s="102"/>
      <c r="D114" s="102"/>
      <c r="E114" s="102"/>
      <c r="F114" s="102"/>
      <c r="G114" s="103"/>
      <c r="H114" s="103"/>
      <c r="I114" s="105" t="s">
        <v>1869</v>
      </c>
      <c r="J114" s="106"/>
      <c r="K114" s="106"/>
      <c r="L114" s="106"/>
      <c r="M114" s="106"/>
      <c r="N114" s="106"/>
      <c r="O114" s="106"/>
      <c r="P114" s="106"/>
      <c r="Q114" s="106"/>
      <c r="R114" s="105"/>
      <c r="S114" s="105"/>
      <c r="T114" s="105"/>
      <c r="U114" s="105"/>
      <c r="V114" s="187"/>
    </row>
    <row r="115" spans="1:23" s="157" customFormat="1" ht="30" customHeight="1">
      <c r="A115" s="99"/>
      <c r="B115" s="109"/>
      <c r="C115" s="110"/>
      <c r="D115" s="110"/>
      <c r="E115" s="110"/>
      <c r="F115" s="110"/>
      <c r="G115" s="111"/>
      <c r="H115" s="111"/>
      <c r="I115" s="117"/>
      <c r="J115" s="695" t="s">
        <v>1666</v>
      </c>
      <c r="K115" s="152"/>
      <c r="L115" s="152"/>
      <c r="M115" s="152"/>
      <c r="N115" s="152"/>
      <c r="O115" s="152"/>
      <c r="P115" s="152"/>
      <c r="Q115" s="153"/>
      <c r="R115" s="696" t="s">
        <v>2</v>
      </c>
      <c r="S115" s="155"/>
      <c r="T115" s="155"/>
      <c r="U115" s="155"/>
      <c r="V115" s="156"/>
    </row>
    <row r="116" spans="1:23" s="98" customFormat="1" ht="15" customHeight="1">
      <c r="A116" s="99"/>
      <c r="B116" s="115"/>
      <c r="C116" s="116"/>
      <c r="D116" s="116"/>
      <c r="E116" s="116"/>
      <c r="F116" s="116"/>
      <c r="G116" s="117"/>
      <c r="H116" s="117"/>
      <c r="I116" s="119" t="s">
        <v>1667</v>
      </c>
      <c r="J116" s="158" t="s">
        <v>453</v>
      </c>
      <c r="K116" s="137" t="s">
        <v>455</v>
      </c>
      <c r="L116" s="137" t="s">
        <v>457</v>
      </c>
      <c r="M116" s="137" t="s">
        <v>459</v>
      </c>
      <c r="N116" s="137" t="s">
        <v>461</v>
      </c>
      <c r="O116" s="137" t="s">
        <v>463</v>
      </c>
      <c r="P116" s="137" t="s">
        <v>465</v>
      </c>
      <c r="Q116" s="138" t="s">
        <v>467</v>
      </c>
      <c r="R116" s="120" t="s">
        <v>469</v>
      </c>
      <c r="S116" s="121" t="s">
        <v>471</v>
      </c>
      <c r="T116" s="121" t="s">
        <v>473</v>
      </c>
      <c r="U116" s="121" t="s">
        <v>475</v>
      </c>
      <c r="V116" s="122" t="s">
        <v>477</v>
      </c>
    </row>
    <row r="117" spans="1:23" s="98" customFormat="1" ht="15" customHeight="1">
      <c r="B117" s="161"/>
      <c r="C117" s="180" t="s">
        <v>3021</v>
      </c>
      <c r="D117" s="162"/>
      <c r="E117" s="162"/>
      <c r="F117" s="162"/>
      <c r="G117" s="163"/>
      <c r="H117" s="163"/>
      <c r="I117" s="117"/>
      <c r="J117" s="159"/>
      <c r="K117" s="117"/>
      <c r="L117" s="117"/>
      <c r="M117" s="117"/>
      <c r="N117" s="117"/>
      <c r="O117" s="117"/>
      <c r="P117" s="117"/>
      <c r="Q117" s="160"/>
      <c r="R117" s="159"/>
      <c r="S117" s="117"/>
      <c r="T117" s="117"/>
      <c r="U117" s="117"/>
      <c r="V117" s="160"/>
      <c r="W117" s="185"/>
    </row>
    <row r="118" spans="1:23" s="98" customFormat="1" ht="15" customHeight="1">
      <c r="B118" s="161"/>
      <c r="C118" s="185"/>
      <c r="D118" s="162" t="s">
        <v>3022</v>
      </c>
      <c r="E118" s="162"/>
      <c r="F118" s="162"/>
      <c r="G118" s="162"/>
      <c r="H118" s="163"/>
      <c r="I118" s="164" t="s">
        <v>1876</v>
      </c>
      <c r="J118" s="165">
        <v>0</v>
      </c>
      <c r="K118" s="166">
        <v>0</v>
      </c>
      <c r="L118" s="166">
        <v>0</v>
      </c>
      <c r="M118" s="166">
        <v>0</v>
      </c>
      <c r="N118" s="166">
        <v>0</v>
      </c>
      <c r="O118" s="166">
        <v>0</v>
      </c>
      <c r="P118" s="166">
        <v>0</v>
      </c>
      <c r="Q118" s="167">
        <v>0</v>
      </c>
      <c r="R118" s="165">
        <v>0</v>
      </c>
      <c r="S118" s="166">
        <v>0</v>
      </c>
      <c r="T118" s="166">
        <v>0</v>
      </c>
      <c r="U118" s="166">
        <v>0</v>
      </c>
      <c r="V118" s="167">
        <v>0</v>
      </c>
      <c r="W118" s="185"/>
    </row>
    <row r="119" spans="1:23" s="98" customFormat="1" ht="15" customHeight="1">
      <c r="B119" s="161"/>
      <c r="C119" s="185"/>
      <c r="D119" s="162" t="s">
        <v>3023</v>
      </c>
      <c r="E119" s="162"/>
      <c r="F119" s="162"/>
      <c r="G119" s="162"/>
      <c r="H119" s="163"/>
      <c r="I119" s="164" t="s">
        <v>1876</v>
      </c>
      <c r="J119" s="165">
        <v>0</v>
      </c>
      <c r="K119" s="166">
        <v>0</v>
      </c>
      <c r="L119" s="166">
        <v>0</v>
      </c>
      <c r="M119" s="166">
        <v>0</v>
      </c>
      <c r="N119" s="166">
        <v>0</v>
      </c>
      <c r="O119" s="166">
        <v>0</v>
      </c>
      <c r="P119" s="166">
        <v>0</v>
      </c>
      <c r="Q119" s="167">
        <v>0</v>
      </c>
      <c r="R119" s="165">
        <v>0</v>
      </c>
      <c r="S119" s="166">
        <v>0</v>
      </c>
      <c r="T119" s="166">
        <v>0</v>
      </c>
      <c r="U119" s="166">
        <v>0</v>
      </c>
      <c r="V119" s="167">
        <v>0</v>
      </c>
      <c r="W119" s="185"/>
    </row>
    <row r="120" spans="1:23" s="98" customFormat="1" ht="15" customHeight="1">
      <c r="B120" s="161"/>
      <c r="C120" s="185"/>
      <c r="D120" s="162" t="s">
        <v>3024</v>
      </c>
      <c r="E120" s="162"/>
      <c r="F120" s="162"/>
      <c r="G120" s="162"/>
      <c r="H120" s="163"/>
      <c r="I120" s="164" t="s">
        <v>1876</v>
      </c>
      <c r="J120" s="165">
        <v>0</v>
      </c>
      <c r="K120" s="166">
        <v>0</v>
      </c>
      <c r="L120" s="166">
        <v>0</v>
      </c>
      <c r="M120" s="166">
        <v>0</v>
      </c>
      <c r="N120" s="166">
        <v>0</v>
      </c>
      <c r="O120" s="166">
        <v>0</v>
      </c>
      <c r="P120" s="166">
        <v>0</v>
      </c>
      <c r="Q120" s="167">
        <v>0</v>
      </c>
      <c r="R120" s="165">
        <v>0</v>
      </c>
      <c r="S120" s="166">
        <v>0</v>
      </c>
      <c r="T120" s="166">
        <v>0</v>
      </c>
      <c r="U120" s="166">
        <v>0</v>
      </c>
      <c r="V120" s="167">
        <v>0</v>
      </c>
      <c r="W120" s="185"/>
    </row>
    <row r="121" spans="1:23" s="98" customFormat="1" ht="15" customHeight="1">
      <c r="B121" s="161"/>
      <c r="C121" s="185"/>
      <c r="D121" s="162" t="s">
        <v>3025</v>
      </c>
      <c r="E121" s="162"/>
      <c r="F121" s="162"/>
      <c r="G121" s="162"/>
      <c r="H121" s="163"/>
      <c r="I121" s="164" t="s">
        <v>1876</v>
      </c>
      <c r="J121" s="165">
        <v>0</v>
      </c>
      <c r="K121" s="166">
        <v>0</v>
      </c>
      <c r="L121" s="166">
        <v>0</v>
      </c>
      <c r="M121" s="166">
        <v>0</v>
      </c>
      <c r="N121" s="166">
        <v>0</v>
      </c>
      <c r="O121" s="166">
        <v>0</v>
      </c>
      <c r="P121" s="166">
        <v>0</v>
      </c>
      <c r="Q121" s="167">
        <v>0</v>
      </c>
      <c r="R121" s="165">
        <v>0</v>
      </c>
      <c r="S121" s="166">
        <v>0</v>
      </c>
      <c r="T121" s="166">
        <v>0</v>
      </c>
      <c r="U121" s="166">
        <v>0</v>
      </c>
      <c r="V121" s="167">
        <v>0</v>
      </c>
      <c r="W121" s="185"/>
    </row>
    <row r="122" spans="1:23" s="98" customFormat="1" ht="15" customHeight="1" thickBot="1">
      <c r="B122" s="239"/>
      <c r="C122" s="192" t="s">
        <v>1710</v>
      </c>
      <c r="D122" s="246"/>
      <c r="E122" s="246"/>
      <c r="F122" s="246"/>
      <c r="G122" s="241"/>
      <c r="H122" s="241"/>
      <c r="I122" s="195" t="s">
        <v>1876</v>
      </c>
      <c r="J122" s="892">
        <f>SUM(J118:J121)</f>
        <v>0</v>
      </c>
      <c r="K122" s="893">
        <f t="shared" ref="K122" si="55">SUM(K118:K121)</f>
        <v>0</v>
      </c>
      <c r="L122" s="893">
        <f t="shared" ref="L122" si="56">SUM(L118:L121)</f>
        <v>0</v>
      </c>
      <c r="M122" s="893">
        <f t="shared" ref="M122" si="57">SUM(M118:M121)</f>
        <v>0</v>
      </c>
      <c r="N122" s="893">
        <f t="shared" ref="N122" si="58">SUM(N118:N121)</f>
        <v>0</v>
      </c>
      <c r="O122" s="893">
        <f t="shared" ref="O122" si="59">SUM(O118:O121)</f>
        <v>0</v>
      </c>
      <c r="P122" s="893">
        <f t="shared" ref="P122" si="60">SUM(P118:P121)</f>
        <v>0</v>
      </c>
      <c r="Q122" s="890">
        <f t="shared" ref="Q122" si="61">SUM(Q118:Q121)</f>
        <v>0</v>
      </c>
      <c r="R122" s="892">
        <f t="shared" ref="R122" si="62">SUM(R118:R121)</f>
        <v>0</v>
      </c>
      <c r="S122" s="893">
        <f t="shared" ref="S122" si="63">SUM(S118:S121)</f>
        <v>0</v>
      </c>
      <c r="T122" s="893">
        <f t="shared" ref="T122" si="64">SUM(T118:T121)</f>
        <v>0</v>
      </c>
      <c r="U122" s="893">
        <f t="shared" ref="U122" si="65">SUM(U118:U121)</f>
        <v>0</v>
      </c>
      <c r="V122" s="890">
        <f t="shared" ref="V122" si="66">SUM(V118:V121)</f>
        <v>0</v>
      </c>
      <c r="W122" s="185"/>
    </row>
    <row r="123" spans="1:23" s="99" customFormat="1" ht="15" customHeight="1" thickBot="1">
      <c r="B123" s="150"/>
      <c r="C123" s="150"/>
      <c r="D123" s="150"/>
      <c r="E123" s="150"/>
      <c r="F123" s="150"/>
      <c r="G123" s="97"/>
      <c r="H123" s="97"/>
      <c r="I123" s="98"/>
      <c r="J123" s="98"/>
      <c r="K123" s="98"/>
      <c r="L123" s="98"/>
      <c r="M123" s="98"/>
      <c r="N123" s="98"/>
      <c r="O123" s="98"/>
      <c r="P123" s="98"/>
      <c r="Q123" s="98"/>
      <c r="R123" s="98"/>
      <c r="S123" s="98"/>
      <c r="T123" s="98"/>
      <c r="U123" s="98"/>
      <c r="V123" s="98"/>
    </row>
    <row r="124" spans="1:23" s="100" customFormat="1" ht="30" customHeight="1" thickBot="1">
      <c r="A124" s="89"/>
      <c r="B124" s="621" t="s">
        <v>3029</v>
      </c>
      <c r="C124" s="102"/>
      <c r="D124" s="102"/>
      <c r="E124" s="102"/>
      <c r="F124" s="102"/>
      <c r="G124" s="103"/>
      <c r="H124" s="103"/>
      <c r="I124" s="105" t="s">
        <v>1869</v>
      </c>
      <c r="J124" s="106"/>
      <c r="K124" s="106"/>
      <c r="L124" s="106"/>
      <c r="M124" s="106"/>
      <c r="N124" s="106"/>
      <c r="O124" s="106"/>
      <c r="P124" s="106"/>
      <c r="Q124" s="106"/>
      <c r="R124" s="105"/>
      <c r="S124" s="105"/>
      <c r="T124" s="105"/>
      <c r="U124" s="105"/>
      <c r="V124" s="187"/>
    </row>
    <row r="125" spans="1:23" s="157" customFormat="1" ht="30" customHeight="1">
      <c r="A125" s="99"/>
      <c r="B125" s="109"/>
      <c r="C125" s="110"/>
      <c r="D125" s="110"/>
      <c r="E125" s="110"/>
      <c r="F125" s="110"/>
      <c r="G125" s="111"/>
      <c r="H125" s="111"/>
      <c r="I125" s="117"/>
      <c r="J125" s="695" t="s">
        <v>1666</v>
      </c>
      <c r="K125" s="152"/>
      <c r="L125" s="152"/>
      <c r="M125" s="152"/>
      <c r="N125" s="152"/>
      <c r="O125" s="152"/>
      <c r="P125" s="152"/>
      <c r="Q125" s="153"/>
      <c r="R125" s="696" t="s">
        <v>2</v>
      </c>
      <c r="S125" s="155"/>
      <c r="T125" s="155"/>
      <c r="U125" s="155"/>
      <c r="V125" s="156"/>
    </row>
    <row r="126" spans="1:23" s="98" customFormat="1" ht="15" customHeight="1">
      <c r="A126" s="99"/>
      <c r="B126" s="115"/>
      <c r="C126" s="116"/>
      <c r="D126" s="116"/>
      <c r="E126" s="116"/>
      <c r="F126" s="116"/>
      <c r="G126" s="117"/>
      <c r="H126" s="117"/>
      <c r="I126" s="119" t="s">
        <v>1667</v>
      </c>
      <c r="J126" s="158" t="s">
        <v>453</v>
      </c>
      <c r="K126" s="137" t="s">
        <v>455</v>
      </c>
      <c r="L126" s="137" t="s">
        <v>457</v>
      </c>
      <c r="M126" s="137" t="s">
        <v>459</v>
      </c>
      <c r="N126" s="137" t="s">
        <v>461</v>
      </c>
      <c r="O126" s="137" t="s">
        <v>463</v>
      </c>
      <c r="P126" s="137" t="s">
        <v>465</v>
      </c>
      <c r="Q126" s="138" t="s">
        <v>467</v>
      </c>
      <c r="R126" s="120" t="s">
        <v>469</v>
      </c>
      <c r="S126" s="121" t="s">
        <v>471</v>
      </c>
      <c r="T126" s="121" t="s">
        <v>473</v>
      </c>
      <c r="U126" s="121" t="s">
        <v>475</v>
      </c>
      <c r="V126" s="122" t="s">
        <v>477</v>
      </c>
    </row>
    <row r="127" spans="1:23" s="98" customFormat="1" ht="15" customHeight="1">
      <c r="B127" s="161"/>
      <c r="C127" s="185"/>
      <c r="D127" s="162"/>
      <c r="E127" s="162"/>
      <c r="F127" s="162"/>
      <c r="G127" s="163"/>
      <c r="H127" s="163"/>
      <c r="I127" s="117"/>
      <c r="J127" s="159"/>
      <c r="K127" s="117"/>
      <c r="L127" s="117"/>
      <c r="M127" s="117"/>
      <c r="N127" s="117"/>
      <c r="O127" s="117"/>
      <c r="P127" s="117"/>
      <c r="Q127" s="160"/>
      <c r="R127" s="159"/>
      <c r="S127" s="117"/>
      <c r="T127" s="117"/>
      <c r="U127" s="117"/>
      <c r="V127" s="160"/>
      <c r="W127" s="185"/>
    </row>
    <row r="128" spans="1:23" s="98" customFormat="1" ht="15" customHeight="1" thickBot="1">
      <c r="B128" s="191"/>
      <c r="C128" s="247" t="s">
        <v>3030</v>
      </c>
      <c r="D128" s="193"/>
      <c r="E128" s="193"/>
      <c r="F128" s="193"/>
      <c r="G128" s="193"/>
      <c r="H128" s="194"/>
      <c r="I128" s="195" t="s">
        <v>1876</v>
      </c>
      <c r="J128" s="232"/>
      <c r="K128" s="233"/>
      <c r="L128" s="233">
        <v>86</v>
      </c>
      <c r="M128" s="233">
        <v>101</v>
      </c>
      <c r="N128" s="233">
        <v>125</v>
      </c>
      <c r="O128" s="233">
        <v>128</v>
      </c>
      <c r="P128" s="233">
        <v>110</v>
      </c>
      <c r="Q128" s="234">
        <v>110</v>
      </c>
      <c r="R128" s="232">
        <v>110</v>
      </c>
      <c r="S128" s="233">
        <v>110</v>
      </c>
      <c r="T128" s="233">
        <v>110</v>
      </c>
      <c r="U128" s="233">
        <v>110</v>
      </c>
      <c r="V128" s="234">
        <v>110</v>
      </c>
      <c r="W128" s="185"/>
    </row>
    <row r="129" spans="1:23" s="99" customFormat="1" ht="15" customHeight="1" thickBot="1">
      <c r="B129" s="150"/>
      <c r="C129" s="150"/>
      <c r="D129" s="150"/>
      <c r="E129" s="150"/>
      <c r="F129" s="150"/>
      <c r="G129" s="97"/>
      <c r="H129" s="97"/>
      <c r="I129" s="98"/>
      <c r="J129" s="98"/>
      <c r="K129" s="98"/>
      <c r="L129" s="98"/>
      <c r="M129" s="98"/>
      <c r="N129" s="98"/>
      <c r="O129" s="98"/>
      <c r="P129" s="98"/>
      <c r="Q129" s="98"/>
      <c r="R129" s="98"/>
      <c r="S129" s="98"/>
      <c r="T129" s="98"/>
      <c r="U129" s="98"/>
      <c r="V129" s="98"/>
    </row>
    <row r="130" spans="1:23" s="100" customFormat="1" ht="30" customHeight="1" thickBot="1">
      <c r="A130" s="89"/>
      <c r="B130" s="621" t="s">
        <v>3031</v>
      </c>
      <c r="C130" s="102"/>
      <c r="D130" s="102"/>
      <c r="E130" s="102"/>
      <c r="F130" s="102"/>
      <c r="G130" s="103"/>
      <c r="H130" s="103"/>
      <c r="I130" s="105" t="s">
        <v>1869</v>
      </c>
      <c r="J130" s="106"/>
      <c r="K130" s="106"/>
      <c r="L130" s="106"/>
      <c r="M130" s="106"/>
      <c r="N130" s="106"/>
      <c r="O130" s="106"/>
      <c r="P130" s="106"/>
      <c r="Q130" s="106"/>
      <c r="R130" s="105"/>
      <c r="S130" s="105"/>
      <c r="T130" s="105"/>
      <c r="U130" s="105"/>
      <c r="V130" s="187"/>
    </row>
    <row r="131" spans="1:23" s="157" customFormat="1" ht="30" customHeight="1">
      <c r="A131" s="99"/>
      <c r="B131" s="109"/>
      <c r="C131" s="110"/>
      <c r="D131" s="110"/>
      <c r="E131" s="110"/>
      <c r="F131" s="110"/>
      <c r="G131" s="111"/>
      <c r="H131" s="111"/>
      <c r="I131" s="117"/>
      <c r="J131" s="695" t="s">
        <v>1666</v>
      </c>
      <c r="K131" s="152"/>
      <c r="L131" s="152"/>
      <c r="M131" s="152"/>
      <c r="N131" s="152"/>
      <c r="O131" s="152"/>
      <c r="P131" s="152"/>
      <c r="Q131" s="153"/>
      <c r="R131" s="696" t="s">
        <v>2</v>
      </c>
      <c r="S131" s="155"/>
      <c r="T131" s="155"/>
      <c r="U131" s="155"/>
      <c r="V131" s="156"/>
    </row>
    <row r="132" spans="1:23" s="98" customFormat="1" ht="15" customHeight="1">
      <c r="A132" s="99"/>
      <c r="B132" s="115"/>
      <c r="C132" s="116"/>
      <c r="D132" s="116"/>
      <c r="E132" s="116"/>
      <c r="F132" s="116"/>
      <c r="G132" s="117"/>
      <c r="H132" s="117"/>
      <c r="I132" s="119" t="s">
        <v>1667</v>
      </c>
      <c r="J132" s="158" t="s">
        <v>453</v>
      </c>
      <c r="K132" s="137" t="s">
        <v>455</v>
      </c>
      <c r="L132" s="137" t="s">
        <v>457</v>
      </c>
      <c r="M132" s="137" t="s">
        <v>459</v>
      </c>
      <c r="N132" s="137" t="s">
        <v>461</v>
      </c>
      <c r="O132" s="137" t="s">
        <v>463</v>
      </c>
      <c r="P132" s="137" t="s">
        <v>465</v>
      </c>
      <c r="Q132" s="138" t="s">
        <v>467</v>
      </c>
      <c r="R132" s="120" t="s">
        <v>469</v>
      </c>
      <c r="S132" s="121" t="s">
        <v>471</v>
      </c>
      <c r="T132" s="121" t="s">
        <v>473</v>
      </c>
      <c r="U132" s="121" t="s">
        <v>475</v>
      </c>
      <c r="V132" s="122" t="s">
        <v>477</v>
      </c>
    </row>
    <row r="133" spans="1:23" s="98" customFormat="1" ht="15" customHeight="1">
      <c r="B133" s="161"/>
      <c r="C133" s="180" t="s">
        <v>2874</v>
      </c>
      <c r="D133" s="162"/>
      <c r="E133" s="162"/>
      <c r="F133" s="162"/>
      <c r="G133" s="163"/>
      <c r="H133" s="163"/>
      <c r="I133" s="117"/>
      <c r="J133" s="159"/>
      <c r="K133" s="117"/>
      <c r="L133" s="117"/>
      <c r="M133" s="117"/>
      <c r="N133" s="117"/>
      <c r="O133" s="117"/>
      <c r="P133" s="117"/>
      <c r="Q133" s="160"/>
      <c r="R133" s="159"/>
      <c r="S133" s="117"/>
      <c r="T133" s="117"/>
      <c r="U133" s="117"/>
      <c r="V133" s="160"/>
      <c r="W133" s="185"/>
    </row>
    <row r="134" spans="1:23" s="98" customFormat="1" ht="15" customHeight="1">
      <c r="B134" s="161"/>
      <c r="C134" s="185"/>
      <c r="D134" s="162" t="s">
        <v>2862</v>
      </c>
      <c r="E134" s="162"/>
      <c r="F134" s="162"/>
      <c r="G134" s="162"/>
      <c r="H134" s="163"/>
      <c r="I134" s="164" t="s">
        <v>1876</v>
      </c>
      <c r="J134" s="165">
        <v>0</v>
      </c>
      <c r="K134" s="166">
        <v>1</v>
      </c>
      <c r="L134" s="166">
        <v>0</v>
      </c>
      <c r="M134" s="166">
        <v>0</v>
      </c>
      <c r="N134" s="166">
        <v>2</v>
      </c>
      <c r="O134" s="166">
        <v>0</v>
      </c>
      <c r="P134" s="166">
        <v>0</v>
      </c>
      <c r="Q134" s="167">
        <v>0</v>
      </c>
      <c r="R134" s="165">
        <v>0</v>
      </c>
      <c r="S134" s="166">
        <v>0</v>
      </c>
      <c r="T134" s="166">
        <v>0</v>
      </c>
      <c r="U134" s="166">
        <v>0</v>
      </c>
      <c r="V134" s="167">
        <v>0</v>
      </c>
      <c r="W134" s="185"/>
    </row>
    <row r="135" spans="1:23" s="98" customFormat="1" ht="15" customHeight="1">
      <c r="B135" s="161"/>
      <c r="C135" s="185"/>
      <c r="D135" s="162" t="s">
        <v>2863</v>
      </c>
      <c r="E135" s="162"/>
      <c r="F135" s="162"/>
      <c r="G135" s="162"/>
      <c r="H135" s="163"/>
      <c r="I135" s="164" t="s">
        <v>1876</v>
      </c>
      <c r="J135" s="165">
        <v>2</v>
      </c>
      <c r="K135" s="166">
        <v>5</v>
      </c>
      <c r="L135" s="166">
        <v>6</v>
      </c>
      <c r="M135" s="166">
        <v>6</v>
      </c>
      <c r="N135" s="166">
        <v>8</v>
      </c>
      <c r="O135" s="166">
        <v>3</v>
      </c>
      <c r="P135" s="166">
        <v>6</v>
      </c>
      <c r="Q135" s="167">
        <v>6</v>
      </c>
      <c r="R135" s="165">
        <v>6</v>
      </c>
      <c r="S135" s="166">
        <v>6</v>
      </c>
      <c r="T135" s="166">
        <v>6</v>
      </c>
      <c r="U135" s="166">
        <v>6</v>
      </c>
      <c r="V135" s="167">
        <v>6</v>
      </c>
      <c r="W135" s="185"/>
    </row>
    <row r="136" spans="1:23" s="98" customFormat="1" ht="15" customHeight="1">
      <c r="B136" s="161"/>
      <c r="C136" s="185"/>
      <c r="D136" s="162" t="s">
        <v>2864</v>
      </c>
      <c r="E136" s="162"/>
      <c r="F136" s="162"/>
      <c r="G136" s="162"/>
      <c r="H136" s="163"/>
      <c r="I136" s="164" t="s">
        <v>1876</v>
      </c>
      <c r="J136" s="165">
        <v>2</v>
      </c>
      <c r="K136" s="166">
        <v>0</v>
      </c>
      <c r="L136" s="166">
        <v>4</v>
      </c>
      <c r="M136" s="166">
        <v>4</v>
      </c>
      <c r="N136" s="166">
        <v>4</v>
      </c>
      <c r="O136" s="166">
        <v>3</v>
      </c>
      <c r="P136" s="166">
        <v>4</v>
      </c>
      <c r="Q136" s="167">
        <v>4</v>
      </c>
      <c r="R136" s="165">
        <v>4</v>
      </c>
      <c r="S136" s="166">
        <v>4</v>
      </c>
      <c r="T136" s="166">
        <v>4</v>
      </c>
      <c r="U136" s="166">
        <v>4</v>
      </c>
      <c r="V136" s="167">
        <v>4</v>
      </c>
      <c r="W136" s="185"/>
    </row>
    <row r="137" spans="1:23" s="98" customFormat="1" ht="15" customHeight="1">
      <c r="B137" s="161"/>
      <c r="C137" s="185"/>
      <c r="D137" s="162" t="s">
        <v>2865</v>
      </c>
      <c r="E137" s="162"/>
      <c r="F137" s="162"/>
      <c r="G137" s="162"/>
      <c r="H137" s="163"/>
      <c r="I137" s="164" t="s">
        <v>1876</v>
      </c>
      <c r="J137" s="165">
        <v>0</v>
      </c>
      <c r="K137" s="166">
        <v>1</v>
      </c>
      <c r="L137" s="166">
        <v>3</v>
      </c>
      <c r="M137" s="166">
        <v>0</v>
      </c>
      <c r="N137" s="166">
        <v>2</v>
      </c>
      <c r="O137" s="166">
        <v>2</v>
      </c>
      <c r="P137" s="166">
        <v>0</v>
      </c>
      <c r="Q137" s="167">
        <v>0</v>
      </c>
      <c r="R137" s="165">
        <v>0</v>
      </c>
      <c r="S137" s="166">
        <v>0</v>
      </c>
      <c r="T137" s="166">
        <v>0</v>
      </c>
      <c r="U137" s="166">
        <v>0</v>
      </c>
      <c r="V137" s="167">
        <v>0</v>
      </c>
      <c r="W137" s="185"/>
    </row>
    <row r="138" spans="1:23" s="98" customFormat="1" ht="15" customHeight="1">
      <c r="B138" s="161"/>
      <c r="C138" s="185"/>
      <c r="D138" s="162" t="s">
        <v>2866</v>
      </c>
      <c r="E138" s="162"/>
      <c r="F138" s="162"/>
      <c r="G138" s="162"/>
      <c r="H138" s="163"/>
      <c r="I138" s="164" t="s">
        <v>1876</v>
      </c>
      <c r="J138" s="165">
        <v>0</v>
      </c>
      <c r="K138" s="166">
        <v>0</v>
      </c>
      <c r="L138" s="166">
        <v>0</v>
      </c>
      <c r="M138" s="166">
        <v>0</v>
      </c>
      <c r="N138" s="166">
        <v>0</v>
      </c>
      <c r="O138" s="166">
        <v>0</v>
      </c>
      <c r="P138" s="166">
        <v>0</v>
      </c>
      <c r="Q138" s="167">
        <v>0</v>
      </c>
      <c r="R138" s="165">
        <v>0</v>
      </c>
      <c r="S138" s="166">
        <v>0</v>
      </c>
      <c r="T138" s="166">
        <v>0</v>
      </c>
      <c r="U138" s="166">
        <v>0</v>
      </c>
      <c r="V138" s="167">
        <v>0</v>
      </c>
      <c r="W138" s="185"/>
    </row>
    <row r="139" spans="1:23" s="98" customFormat="1" ht="15" customHeight="1">
      <c r="B139" s="161"/>
      <c r="C139" s="185"/>
      <c r="D139" s="162" t="s">
        <v>2867</v>
      </c>
      <c r="E139" s="162"/>
      <c r="F139" s="162"/>
      <c r="G139" s="162"/>
      <c r="H139" s="163"/>
      <c r="I139" s="164" t="s">
        <v>1876</v>
      </c>
      <c r="J139" s="165">
        <v>1</v>
      </c>
      <c r="K139" s="166">
        <v>1</v>
      </c>
      <c r="L139" s="166">
        <v>2</v>
      </c>
      <c r="M139" s="166">
        <v>2</v>
      </c>
      <c r="N139" s="166">
        <v>1</v>
      </c>
      <c r="O139" s="166">
        <v>1</v>
      </c>
      <c r="P139" s="166">
        <v>2</v>
      </c>
      <c r="Q139" s="167">
        <v>2</v>
      </c>
      <c r="R139" s="165">
        <v>2</v>
      </c>
      <c r="S139" s="166">
        <v>2</v>
      </c>
      <c r="T139" s="166">
        <v>2</v>
      </c>
      <c r="U139" s="166">
        <v>2</v>
      </c>
      <c r="V139" s="167">
        <v>2</v>
      </c>
      <c r="W139" s="185"/>
    </row>
    <row r="140" spans="1:23" s="98" customFormat="1" ht="15" customHeight="1">
      <c r="B140" s="161"/>
      <c r="C140" s="185"/>
      <c r="D140" s="162" t="s">
        <v>2868</v>
      </c>
      <c r="E140" s="162"/>
      <c r="F140" s="162"/>
      <c r="G140" s="162"/>
      <c r="H140" s="163"/>
      <c r="I140" s="164" t="s">
        <v>1876</v>
      </c>
      <c r="J140" s="165">
        <v>0</v>
      </c>
      <c r="K140" s="166">
        <v>0</v>
      </c>
      <c r="L140" s="166">
        <v>0</v>
      </c>
      <c r="M140" s="166">
        <v>0</v>
      </c>
      <c r="N140" s="166">
        <v>0</v>
      </c>
      <c r="O140" s="166">
        <v>0</v>
      </c>
      <c r="P140" s="166">
        <v>0</v>
      </c>
      <c r="Q140" s="167">
        <v>0</v>
      </c>
      <c r="R140" s="165">
        <v>0</v>
      </c>
      <c r="S140" s="166">
        <v>0</v>
      </c>
      <c r="T140" s="166">
        <v>0</v>
      </c>
      <c r="U140" s="166">
        <v>0</v>
      </c>
      <c r="V140" s="167">
        <v>0</v>
      </c>
      <c r="W140" s="185"/>
    </row>
    <row r="141" spans="1:23" s="98" customFormat="1" ht="15" customHeight="1">
      <c r="B141" s="161"/>
      <c r="C141" s="185"/>
      <c r="D141" s="162" t="s">
        <v>2869</v>
      </c>
      <c r="E141" s="162"/>
      <c r="F141" s="162"/>
      <c r="G141" s="162"/>
      <c r="H141" s="163"/>
      <c r="I141" s="164" t="s">
        <v>1876</v>
      </c>
      <c r="J141" s="165">
        <v>0</v>
      </c>
      <c r="K141" s="166">
        <v>0</v>
      </c>
      <c r="L141" s="166">
        <v>0</v>
      </c>
      <c r="M141" s="166">
        <v>0</v>
      </c>
      <c r="N141" s="166">
        <v>0</v>
      </c>
      <c r="O141" s="166">
        <v>0</v>
      </c>
      <c r="P141" s="166">
        <v>0</v>
      </c>
      <c r="Q141" s="167">
        <v>0</v>
      </c>
      <c r="R141" s="165">
        <v>0</v>
      </c>
      <c r="S141" s="166">
        <v>0</v>
      </c>
      <c r="T141" s="166">
        <v>0</v>
      </c>
      <c r="U141" s="166">
        <v>0</v>
      </c>
      <c r="V141" s="167">
        <v>0</v>
      </c>
      <c r="W141" s="185"/>
    </row>
    <row r="142" spans="1:23" s="98" customFormat="1" ht="15" customHeight="1">
      <c r="B142" s="161"/>
      <c r="C142" s="185"/>
      <c r="D142" s="162" t="s">
        <v>2870</v>
      </c>
      <c r="E142" s="162"/>
      <c r="F142" s="162"/>
      <c r="G142" s="162"/>
      <c r="H142" s="163"/>
      <c r="I142" s="164" t="s">
        <v>1876</v>
      </c>
      <c r="J142" s="165">
        <v>0</v>
      </c>
      <c r="K142" s="166">
        <v>0</v>
      </c>
      <c r="L142" s="166">
        <v>0</v>
      </c>
      <c r="M142" s="166">
        <v>0</v>
      </c>
      <c r="N142" s="166">
        <v>0</v>
      </c>
      <c r="O142" s="166">
        <v>0</v>
      </c>
      <c r="P142" s="166">
        <v>0</v>
      </c>
      <c r="Q142" s="167">
        <v>0</v>
      </c>
      <c r="R142" s="165">
        <v>0</v>
      </c>
      <c r="S142" s="166">
        <v>0</v>
      </c>
      <c r="T142" s="166">
        <v>0</v>
      </c>
      <c r="U142" s="166">
        <v>0</v>
      </c>
      <c r="V142" s="167">
        <v>0</v>
      </c>
      <c r="W142" s="185"/>
    </row>
    <row r="143" spans="1:23" s="98" customFormat="1" ht="15" customHeight="1">
      <c r="B143" s="181"/>
      <c r="C143" s="182" t="s">
        <v>1710</v>
      </c>
      <c r="G143" s="184"/>
      <c r="H143" s="184"/>
      <c r="I143" s="164" t="s">
        <v>1876</v>
      </c>
      <c r="J143" s="777">
        <f>SUM(J134:J142)</f>
        <v>5</v>
      </c>
      <c r="K143" s="778">
        <f t="shared" ref="K143:V143" si="67">SUM(K134:K142)</f>
        <v>8</v>
      </c>
      <c r="L143" s="778">
        <f t="shared" si="67"/>
        <v>15</v>
      </c>
      <c r="M143" s="778">
        <f t="shared" si="67"/>
        <v>12</v>
      </c>
      <c r="N143" s="778">
        <f t="shared" si="67"/>
        <v>17</v>
      </c>
      <c r="O143" s="778">
        <f t="shared" si="67"/>
        <v>9</v>
      </c>
      <c r="P143" s="778">
        <f t="shared" si="67"/>
        <v>12</v>
      </c>
      <c r="Q143" s="779">
        <f t="shared" si="67"/>
        <v>12</v>
      </c>
      <c r="R143" s="777">
        <f t="shared" si="67"/>
        <v>12</v>
      </c>
      <c r="S143" s="778">
        <f t="shared" si="67"/>
        <v>12</v>
      </c>
      <c r="T143" s="778">
        <f t="shared" si="67"/>
        <v>12</v>
      </c>
      <c r="U143" s="778">
        <f t="shared" si="67"/>
        <v>12</v>
      </c>
      <c r="V143" s="779">
        <f t="shared" si="67"/>
        <v>12</v>
      </c>
      <c r="W143" s="185"/>
    </row>
    <row r="144" spans="1:23" s="98" customFormat="1" ht="15" customHeight="1">
      <c r="B144" s="181"/>
      <c r="C144" s="185"/>
      <c r="D144" s="182"/>
      <c r="E144" s="182"/>
      <c r="F144" s="182"/>
      <c r="G144" s="184"/>
      <c r="H144" s="184"/>
      <c r="I144" s="117"/>
      <c r="J144" s="159"/>
      <c r="K144" s="2645"/>
      <c r="L144" s="2645"/>
      <c r="M144" s="2645"/>
      <c r="N144" s="2645"/>
      <c r="O144" s="2645"/>
      <c r="P144" s="2645"/>
      <c r="Q144" s="160"/>
      <c r="R144" s="2645"/>
      <c r="S144" s="2645"/>
      <c r="T144" s="2645"/>
      <c r="U144" s="2645"/>
      <c r="V144" s="160"/>
      <c r="W144" s="185"/>
    </row>
    <row r="145" spans="1:23" s="98" customFormat="1" ht="15" customHeight="1">
      <c r="B145" s="161"/>
      <c r="C145" s="180" t="s">
        <v>2875</v>
      </c>
      <c r="D145" s="162"/>
      <c r="E145" s="162"/>
      <c r="F145" s="162"/>
      <c r="G145" s="163"/>
      <c r="H145" s="163"/>
      <c r="I145" s="117"/>
      <c r="J145" s="159"/>
      <c r="K145" s="94"/>
      <c r="L145" s="94"/>
      <c r="M145" s="94"/>
      <c r="N145" s="94"/>
      <c r="O145" s="94"/>
      <c r="P145" s="94"/>
      <c r="Q145" s="160"/>
      <c r="R145" s="159"/>
      <c r="S145" s="94"/>
      <c r="T145" s="94"/>
      <c r="U145" s="94"/>
      <c r="V145" s="160"/>
      <c r="W145" s="185"/>
    </row>
    <row r="146" spans="1:23" s="98" customFormat="1" ht="15" customHeight="1">
      <c r="B146" s="161"/>
      <c r="C146" s="185"/>
      <c r="D146" s="162" t="s">
        <v>2862</v>
      </c>
      <c r="E146" s="162"/>
      <c r="F146" s="162"/>
      <c r="G146" s="162"/>
      <c r="H146" s="163"/>
      <c r="I146" s="164" t="s">
        <v>1876</v>
      </c>
      <c r="J146" s="165">
        <v>0</v>
      </c>
      <c r="K146" s="166">
        <v>0</v>
      </c>
      <c r="L146" s="166">
        <v>2</v>
      </c>
      <c r="M146" s="166">
        <v>1</v>
      </c>
      <c r="N146" s="166">
        <v>1</v>
      </c>
      <c r="O146" s="166">
        <v>0</v>
      </c>
      <c r="P146" s="166">
        <v>1</v>
      </c>
      <c r="Q146" s="167">
        <v>1</v>
      </c>
      <c r="R146" s="165">
        <v>1</v>
      </c>
      <c r="S146" s="166">
        <v>1</v>
      </c>
      <c r="T146" s="166">
        <v>1</v>
      </c>
      <c r="U146" s="166">
        <v>1</v>
      </c>
      <c r="V146" s="167">
        <v>1</v>
      </c>
      <c r="W146" s="185"/>
    </row>
    <row r="147" spans="1:23" s="98" customFormat="1" ht="15" customHeight="1">
      <c r="B147" s="161"/>
      <c r="C147" s="185"/>
      <c r="D147" s="162" t="s">
        <v>2863</v>
      </c>
      <c r="E147" s="162"/>
      <c r="F147" s="162"/>
      <c r="G147" s="162"/>
      <c r="H147" s="163"/>
      <c r="I147" s="164" t="s">
        <v>1876</v>
      </c>
      <c r="J147" s="165">
        <v>5</v>
      </c>
      <c r="K147" s="166">
        <v>22</v>
      </c>
      <c r="L147" s="166">
        <v>16</v>
      </c>
      <c r="M147" s="166">
        <v>13</v>
      </c>
      <c r="N147" s="166">
        <v>17</v>
      </c>
      <c r="O147" s="166">
        <v>8</v>
      </c>
      <c r="P147" s="166">
        <v>17</v>
      </c>
      <c r="Q147" s="167">
        <v>17</v>
      </c>
      <c r="R147" s="165">
        <v>17</v>
      </c>
      <c r="S147" s="166">
        <v>17</v>
      </c>
      <c r="T147" s="166">
        <v>17</v>
      </c>
      <c r="U147" s="166">
        <v>17</v>
      </c>
      <c r="V147" s="167">
        <v>17</v>
      </c>
      <c r="W147" s="185"/>
    </row>
    <row r="148" spans="1:23" s="98" customFormat="1" ht="15" customHeight="1">
      <c r="B148" s="161"/>
      <c r="C148" s="185"/>
      <c r="D148" s="162" t="s">
        <v>2864</v>
      </c>
      <c r="E148" s="162"/>
      <c r="F148" s="162"/>
      <c r="G148" s="162"/>
      <c r="H148" s="163"/>
      <c r="I148" s="164" t="s">
        <v>1876</v>
      </c>
      <c r="J148" s="165">
        <v>2</v>
      </c>
      <c r="K148" s="166">
        <v>5</v>
      </c>
      <c r="L148" s="166">
        <v>11</v>
      </c>
      <c r="M148" s="166">
        <v>4</v>
      </c>
      <c r="N148" s="166">
        <v>3</v>
      </c>
      <c r="O148" s="166">
        <v>5</v>
      </c>
      <c r="P148" s="166">
        <v>3</v>
      </c>
      <c r="Q148" s="167">
        <v>3</v>
      </c>
      <c r="R148" s="165">
        <v>3</v>
      </c>
      <c r="S148" s="166">
        <v>3</v>
      </c>
      <c r="T148" s="166">
        <v>3</v>
      </c>
      <c r="U148" s="166">
        <v>3</v>
      </c>
      <c r="V148" s="167">
        <v>3</v>
      </c>
      <c r="W148" s="185"/>
    </row>
    <row r="149" spans="1:23" s="98" customFormat="1" ht="15" customHeight="1">
      <c r="B149" s="161"/>
      <c r="C149" s="185"/>
      <c r="D149" s="162" t="s">
        <v>2865</v>
      </c>
      <c r="E149" s="162"/>
      <c r="F149" s="162"/>
      <c r="G149" s="162"/>
      <c r="H149" s="163"/>
      <c r="I149" s="164" t="s">
        <v>1876</v>
      </c>
      <c r="J149" s="165">
        <v>3</v>
      </c>
      <c r="K149" s="166">
        <v>3</v>
      </c>
      <c r="L149" s="166">
        <v>5</v>
      </c>
      <c r="M149" s="166">
        <v>2</v>
      </c>
      <c r="N149" s="166">
        <v>3</v>
      </c>
      <c r="O149" s="166">
        <v>5</v>
      </c>
      <c r="P149" s="166">
        <v>3</v>
      </c>
      <c r="Q149" s="167">
        <v>3</v>
      </c>
      <c r="R149" s="165">
        <v>3</v>
      </c>
      <c r="S149" s="166">
        <v>3</v>
      </c>
      <c r="T149" s="166">
        <v>3</v>
      </c>
      <c r="U149" s="166">
        <v>3</v>
      </c>
      <c r="V149" s="167">
        <v>3</v>
      </c>
      <c r="W149" s="185"/>
    </row>
    <row r="150" spans="1:23" s="98" customFormat="1" ht="15" customHeight="1">
      <c r="B150" s="161"/>
      <c r="C150" s="185"/>
      <c r="D150" s="162" t="s">
        <v>2866</v>
      </c>
      <c r="E150" s="162"/>
      <c r="F150" s="162"/>
      <c r="G150" s="162"/>
      <c r="H150" s="163"/>
      <c r="I150" s="164" t="s">
        <v>1876</v>
      </c>
      <c r="J150" s="165">
        <v>0</v>
      </c>
      <c r="K150" s="166">
        <v>0</v>
      </c>
      <c r="L150" s="166">
        <v>1</v>
      </c>
      <c r="M150" s="166">
        <v>0</v>
      </c>
      <c r="N150" s="166">
        <v>0</v>
      </c>
      <c r="O150" s="166">
        <v>0</v>
      </c>
      <c r="P150" s="166">
        <v>0</v>
      </c>
      <c r="Q150" s="167">
        <v>0</v>
      </c>
      <c r="R150" s="165">
        <v>0</v>
      </c>
      <c r="S150" s="166">
        <v>0</v>
      </c>
      <c r="T150" s="166">
        <v>0</v>
      </c>
      <c r="U150" s="166">
        <v>0</v>
      </c>
      <c r="V150" s="167">
        <v>0</v>
      </c>
      <c r="W150" s="185"/>
    </row>
    <row r="151" spans="1:23" s="98" customFormat="1" ht="15" customHeight="1">
      <c r="B151" s="161"/>
      <c r="C151" s="185"/>
      <c r="D151" s="162" t="s">
        <v>2867</v>
      </c>
      <c r="E151" s="162"/>
      <c r="F151" s="162"/>
      <c r="G151" s="162"/>
      <c r="H151" s="163"/>
      <c r="I151" s="164" t="s">
        <v>1876</v>
      </c>
      <c r="J151" s="165">
        <v>0</v>
      </c>
      <c r="K151" s="166">
        <v>1</v>
      </c>
      <c r="L151" s="166">
        <v>3</v>
      </c>
      <c r="M151" s="166">
        <v>2</v>
      </c>
      <c r="N151" s="166">
        <v>2</v>
      </c>
      <c r="O151" s="166">
        <v>5</v>
      </c>
      <c r="P151" s="166">
        <v>2</v>
      </c>
      <c r="Q151" s="167">
        <v>2</v>
      </c>
      <c r="R151" s="165">
        <v>2</v>
      </c>
      <c r="S151" s="166">
        <v>2</v>
      </c>
      <c r="T151" s="166">
        <v>2</v>
      </c>
      <c r="U151" s="166">
        <v>2</v>
      </c>
      <c r="V151" s="167">
        <v>2</v>
      </c>
      <c r="W151" s="185"/>
    </row>
    <row r="152" spans="1:23" s="98" customFormat="1" ht="15" customHeight="1">
      <c r="B152" s="161"/>
      <c r="C152" s="185"/>
      <c r="D152" s="162" t="s">
        <v>2868</v>
      </c>
      <c r="E152" s="162"/>
      <c r="F152" s="162"/>
      <c r="G152" s="162"/>
      <c r="H152" s="163"/>
      <c r="I152" s="164" t="s">
        <v>1876</v>
      </c>
      <c r="J152" s="165">
        <v>0</v>
      </c>
      <c r="K152" s="166">
        <v>0</v>
      </c>
      <c r="L152" s="166">
        <v>0</v>
      </c>
      <c r="M152" s="166">
        <v>0</v>
      </c>
      <c r="N152" s="166">
        <v>0</v>
      </c>
      <c r="O152" s="166">
        <v>0</v>
      </c>
      <c r="P152" s="166">
        <v>0</v>
      </c>
      <c r="Q152" s="167">
        <v>0</v>
      </c>
      <c r="R152" s="165">
        <v>0</v>
      </c>
      <c r="S152" s="166">
        <v>0</v>
      </c>
      <c r="T152" s="166">
        <v>0</v>
      </c>
      <c r="U152" s="166">
        <v>0</v>
      </c>
      <c r="V152" s="167">
        <v>0</v>
      </c>
      <c r="W152" s="185"/>
    </row>
    <row r="153" spans="1:23" s="98" customFormat="1" ht="15" customHeight="1">
      <c r="B153" s="161"/>
      <c r="C153" s="185"/>
      <c r="D153" s="162" t="s">
        <v>2869</v>
      </c>
      <c r="E153" s="162"/>
      <c r="F153" s="162"/>
      <c r="G153" s="162"/>
      <c r="H153" s="163"/>
      <c r="I153" s="164" t="s">
        <v>1876</v>
      </c>
      <c r="J153" s="165">
        <v>0</v>
      </c>
      <c r="K153" s="166">
        <v>0</v>
      </c>
      <c r="L153" s="166">
        <v>0</v>
      </c>
      <c r="M153" s="166">
        <v>0</v>
      </c>
      <c r="N153" s="166">
        <v>0</v>
      </c>
      <c r="O153" s="166">
        <v>0</v>
      </c>
      <c r="P153" s="166">
        <v>0</v>
      </c>
      <c r="Q153" s="167">
        <v>0</v>
      </c>
      <c r="R153" s="165">
        <v>0</v>
      </c>
      <c r="S153" s="166">
        <v>0</v>
      </c>
      <c r="T153" s="166">
        <v>0</v>
      </c>
      <c r="U153" s="166">
        <v>0</v>
      </c>
      <c r="V153" s="167">
        <v>0</v>
      </c>
      <c r="W153" s="185"/>
    </row>
    <row r="154" spans="1:23" s="98" customFormat="1" ht="15" customHeight="1">
      <c r="B154" s="161"/>
      <c r="C154" s="185"/>
      <c r="D154" s="162" t="s">
        <v>2870</v>
      </c>
      <c r="E154" s="162"/>
      <c r="F154" s="162"/>
      <c r="G154" s="162"/>
      <c r="H154" s="163"/>
      <c r="I154" s="164" t="s">
        <v>1876</v>
      </c>
      <c r="J154" s="165">
        <v>0</v>
      </c>
      <c r="K154" s="166">
        <v>0</v>
      </c>
      <c r="L154" s="166">
        <v>0</v>
      </c>
      <c r="M154" s="166">
        <v>0</v>
      </c>
      <c r="N154" s="166">
        <v>0</v>
      </c>
      <c r="O154" s="166">
        <v>0</v>
      </c>
      <c r="P154" s="166">
        <v>0</v>
      </c>
      <c r="Q154" s="167">
        <v>0</v>
      </c>
      <c r="R154" s="165">
        <v>0</v>
      </c>
      <c r="S154" s="166">
        <v>0</v>
      </c>
      <c r="T154" s="166">
        <v>0</v>
      </c>
      <c r="U154" s="166">
        <v>0</v>
      </c>
      <c r="V154" s="167">
        <v>0</v>
      </c>
      <c r="W154" s="185"/>
    </row>
    <row r="155" spans="1:23" s="98" customFormat="1" ht="15" customHeight="1">
      <c r="B155" s="181"/>
      <c r="C155" s="182" t="s">
        <v>1710</v>
      </c>
      <c r="G155" s="184"/>
      <c r="H155" s="184"/>
      <c r="I155" s="164" t="s">
        <v>1876</v>
      </c>
      <c r="J155" s="777">
        <f>SUM(J146:J154)</f>
        <v>10</v>
      </c>
      <c r="K155" s="778">
        <f t="shared" ref="K155:V155" si="68">SUM(K146:K154)</f>
        <v>31</v>
      </c>
      <c r="L155" s="778">
        <f t="shared" si="68"/>
        <v>38</v>
      </c>
      <c r="M155" s="778">
        <f t="shared" si="68"/>
        <v>22</v>
      </c>
      <c r="N155" s="778">
        <f t="shared" si="68"/>
        <v>26</v>
      </c>
      <c r="O155" s="778">
        <f t="shared" si="68"/>
        <v>23</v>
      </c>
      <c r="P155" s="778">
        <f t="shared" si="68"/>
        <v>26</v>
      </c>
      <c r="Q155" s="779">
        <f t="shared" si="68"/>
        <v>26</v>
      </c>
      <c r="R155" s="777">
        <f t="shared" si="68"/>
        <v>26</v>
      </c>
      <c r="S155" s="778">
        <f t="shared" si="68"/>
        <v>26</v>
      </c>
      <c r="T155" s="778">
        <f t="shared" si="68"/>
        <v>26</v>
      </c>
      <c r="U155" s="778">
        <f t="shared" si="68"/>
        <v>26</v>
      </c>
      <c r="V155" s="779">
        <f t="shared" si="68"/>
        <v>26</v>
      </c>
      <c r="W155" s="185"/>
    </row>
    <row r="156" spans="1:23" s="98" customFormat="1" ht="15" customHeight="1">
      <c r="A156" s="99"/>
      <c r="B156" s="181"/>
      <c r="C156" s="185"/>
      <c r="D156" s="182"/>
      <c r="E156" s="182"/>
      <c r="F156" s="182"/>
      <c r="G156" s="184"/>
      <c r="H156" s="184"/>
      <c r="I156" s="117"/>
      <c r="J156" s="159"/>
      <c r="K156" s="2645"/>
      <c r="L156" s="2645"/>
      <c r="M156" s="2645"/>
      <c r="N156" s="2645"/>
      <c r="O156" s="2645"/>
      <c r="P156" s="2645"/>
      <c r="Q156" s="160"/>
      <c r="R156" s="2645"/>
      <c r="S156" s="2645"/>
      <c r="T156" s="2645"/>
      <c r="U156" s="2645"/>
      <c r="V156" s="160"/>
      <c r="W156" s="185"/>
    </row>
    <row r="157" spans="1:23" s="98" customFormat="1" ht="15" customHeight="1">
      <c r="B157" s="161"/>
      <c r="C157" s="180" t="s">
        <v>2876</v>
      </c>
      <c r="D157" s="162"/>
      <c r="E157" s="162"/>
      <c r="F157" s="162"/>
      <c r="G157" s="163"/>
      <c r="H157" s="163"/>
      <c r="I157" s="117"/>
      <c r="J157" s="159"/>
      <c r="K157" s="94"/>
      <c r="L157" s="94"/>
      <c r="M157" s="94"/>
      <c r="N157" s="94"/>
      <c r="O157" s="94"/>
      <c r="P157" s="94"/>
      <c r="Q157" s="160"/>
      <c r="R157" s="159"/>
      <c r="S157" s="94"/>
      <c r="T157" s="94"/>
      <c r="U157" s="94"/>
      <c r="V157" s="160"/>
      <c r="W157" s="185"/>
    </row>
    <row r="158" spans="1:23" s="98" customFormat="1" ht="15" customHeight="1">
      <c r="B158" s="161"/>
      <c r="C158" s="185"/>
      <c r="D158" s="162" t="s">
        <v>2862</v>
      </c>
      <c r="E158" s="162"/>
      <c r="F158" s="162"/>
      <c r="G158" s="162"/>
      <c r="H158" s="163"/>
      <c r="I158" s="164" t="s">
        <v>1876</v>
      </c>
      <c r="J158" s="165">
        <v>0</v>
      </c>
      <c r="K158" s="166">
        <v>0</v>
      </c>
      <c r="L158" s="166">
        <v>0</v>
      </c>
      <c r="M158" s="166">
        <v>0</v>
      </c>
      <c r="N158" s="166">
        <v>0</v>
      </c>
      <c r="O158" s="166">
        <v>0</v>
      </c>
      <c r="P158" s="166">
        <v>0</v>
      </c>
      <c r="Q158" s="167">
        <v>0</v>
      </c>
      <c r="R158" s="165">
        <v>0</v>
      </c>
      <c r="S158" s="166">
        <v>0</v>
      </c>
      <c r="T158" s="166">
        <v>0</v>
      </c>
      <c r="U158" s="166">
        <v>0</v>
      </c>
      <c r="V158" s="167">
        <v>0</v>
      </c>
      <c r="W158" s="185"/>
    </row>
    <row r="159" spans="1:23" s="98" customFormat="1" ht="15" customHeight="1">
      <c r="B159" s="161"/>
      <c r="C159" s="185"/>
      <c r="D159" s="162" t="s">
        <v>2863</v>
      </c>
      <c r="E159" s="162"/>
      <c r="F159" s="162"/>
      <c r="G159" s="162"/>
      <c r="H159" s="163"/>
      <c r="I159" s="164" t="s">
        <v>1876</v>
      </c>
      <c r="J159" s="165">
        <v>1</v>
      </c>
      <c r="K159" s="166">
        <v>3</v>
      </c>
      <c r="L159" s="166">
        <v>1</v>
      </c>
      <c r="M159" s="166">
        <v>2</v>
      </c>
      <c r="N159" s="166">
        <v>2</v>
      </c>
      <c r="O159" s="166">
        <v>2</v>
      </c>
      <c r="P159" s="166">
        <v>2</v>
      </c>
      <c r="Q159" s="167">
        <v>2</v>
      </c>
      <c r="R159" s="165">
        <v>2</v>
      </c>
      <c r="S159" s="166">
        <v>2</v>
      </c>
      <c r="T159" s="166">
        <v>2</v>
      </c>
      <c r="U159" s="166">
        <v>2</v>
      </c>
      <c r="V159" s="167">
        <v>2</v>
      </c>
      <c r="W159" s="185"/>
    </row>
    <row r="160" spans="1:23" s="98" customFormat="1" ht="15" customHeight="1">
      <c r="B160" s="161"/>
      <c r="C160" s="185"/>
      <c r="D160" s="162" t="s">
        <v>2864</v>
      </c>
      <c r="E160" s="162"/>
      <c r="F160" s="162"/>
      <c r="G160" s="162"/>
      <c r="H160" s="163"/>
      <c r="I160" s="164" t="s">
        <v>1876</v>
      </c>
      <c r="J160" s="165">
        <v>2</v>
      </c>
      <c r="K160" s="166">
        <v>0</v>
      </c>
      <c r="L160" s="166">
        <v>4</v>
      </c>
      <c r="M160" s="166">
        <v>0</v>
      </c>
      <c r="N160" s="166">
        <v>0</v>
      </c>
      <c r="O160" s="166">
        <v>1</v>
      </c>
      <c r="P160" s="166">
        <v>1</v>
      </c>
      <c r="Q160" s="167">
        <v>1</v>
      </c>
      <c r="R160" s="165">
        <v>1</v>
      </c>
      <c r="S160" s="166">
        <v>1</v>
      </c>
      <c r="T160" s="166">
        <v>1</v>
      </c>
      <c r="U160" s="166">
        <v>1</v>
      </c>
      <c r="V160" s="167">
        <v>1</v>
      </c>
      <c r="W160" s="185"/>
    </row>
    <row r="161" spans="1:23" s="98" customFormat="1" ht="15" customHeight="1">
      <c r="B161" s="161"/>
      <c r="C161" s="185"/>
      <c r="D161" s="162" t="s">
        <v>2865</v>
      </c>
      <c r="E161" s="162"/>
      <c r="F161" s="162"/>
      <c r="G161" s="162"/>
      <c r="H161" s="163"/>
      <c r="I161" s="164" t="s">
        <v>1876</v>
      </c>
      <c r="J161" s="165">
        <v>0</v>
      </c>
      <c r="K161" s="166">
        <v>1</v>
      </c>
      <c r="L161" s="166">
        <v>0</v>
      </c>
      <c r="M161" s="166">
        <v>0</v>
      </c>
      <c r="N161" s="166">
        <v>0</v>
      </c>
      <c r="O161" s="166">
        <v>0</v>
      </c>
      <c r="P161" s="166">
        <v>0</v>
      </c>
      <c r="Q161" s="167">
        <v>0</v>
      </c>
      <c r="R161" s="165">
        <v>0</v>
      </c>
      <c r="S161" s="166">
        <v>0</v>
      </c>
      <c r="T161" s="166">
        <v>0</v>
      </c>
      <c r="U161" s="166">
        <v>0</v>
      </c>
      <c r="V161" s="167">
        <v>0</v>
      </c>
      <c r="W161" s="185"/>
    </row>
    <row r="162" spans="1:23" s="98" customFormat="1" ht="15" customHeight="1">
      <c r="B162" s="161"/>
      <c r="C162" s="185"/>
      <c r="D162" s="162" t="s">
        <v>2866</v>
      </c>
      <c r="E162" s="162"/>
      <c r="F162" s="162"/>
      <c r="G162" s="162"/>
      <c r="H162" s="163"/>
      <c r="I162" s="164" t="s">
        <v>1876</v>
      </c>
      <c r="J162" s="165">
        <v>0</v>
      </c>
      <c r="K162" s="166">
        <v>0</v>
      </c>
      <c r="L162" s="166">
        <v>0</v>
      </c>
      <c r="M162" s="166">
        <v>0</v>
      </c>
      <c r="N162" s="166">
        <v>0</v>
      </c>
      <c r="O162" s="166">
        <v>0</v>
      </c>
      <c r="P162" s="166">
        <v>0</v>
      </c>
      <c r="Q162" s="167">
        <v>0</v>
      </c>
      <c r="R162" s="165">
        <v>0</v>
      </c>
      <c r="S162" s="166">
        <v>0</v>
      </c>
      <c r="T162" s="166">
        <v>0</v>
      </c>
      <c r="U162" s="166">
        <v>0</v>
      </c>
      <c r="V162" s="167">
        <v>0</v>
      </c>
      <c r="W162" s="185"/>
    </row>
    <row r="163" spans="1:23" s="98" customFormat="1" ht="15" customHeight="1">
      <c r="B163" s="161"/>
      <c r="C163" s="185"/>
      <c r="D163" s="162" t="s">
        <v>2867</v>
      </c>
      <c r="E163" s="162"/>
      <c r="F163" s="162"/>
      <c r="G163" s="162"/>
      <c r="H163" s="163"/>
      <c r="I163" s="164" t="s">
        <v>1876</v>
      </c>
      <c r="J163" s="165">
        <v>0</v>
      </c>
      <c r="K163" s="166">
        <v>0</v>
      </c>
      <c r="L163" s="166">
        <v>0</v>
      </c>
      <c r="M163" s="166">
        <v>0</v>
      </c>
      <c r="N163" s="166">
        <v>0</v>
      </c>
      <c r="O163" s="166">
        <v>0</v>
      </c>
      <c r="P163" s="166">
        <v>0</v>
      </c>
      <c r="Q163" s="167">
        <v>0</v>
      </c>
      <c r="R163" s="165">
        <v>0</v>
      </c>
      <c r="S163" s="166">
        <v>0</v>
      </c>
      <c r="T163" s="166">
        <v>0</v>
      </c>
      <c r="U163" s="166">
        <v>0</v>
      </c>
      <c r="V163" s="167">
        <v>0</v>
      </c>
      <c r="W163" s="185"/>
    </row>
    <row r="164" spans="1:23" s="98" customFormat="1" ht="15" customHeight="1">
      <c r="B164" s="161"/>
      <c r="C164" s="185"/>
      <c r="D164" s="162" t="s">
        <v>2868</v>
      </c>
      <c r="E164" s="162"/>
      <c r="F164" s="162"/>
      <c r="G164" s="162"/>
      <c r="H164" s="163"/>
      <c r="I164" s="164" t="s">
        <v>1876</v>
      </c>
      <c r="J164" s="165">
        <v>0</v>
      </c>
      <c r="K164" s="166">
        <v>0</v>
      </c>
      <c r="L164" s="166">
        <v>0</v>
      </c>
      <c r="M164" s="166">
        <v>0</v>
      </c>
      <c r="N164" s="166">
        <v>0</v>
      </c>
      <c r="O164" s="166">
        <v>0</v>
      </c>
      <c r="P164" s="166">
        <v>0</v>
      </c>
      <c r="Q164" s="167">
        <v>0</v>
      </c>
      <c r="R164" s="165">
        <v>0</v>
      </c>
      <c r="S164" s="166">
        <v>0</v>
      </c>
      <c r="T164" s="166">
        <v>0</v>
      </c>
      <c r="U164" s="166">
        <v>0</v>
      </c>
      <c r="V164" s="167">
        <v>0</v>
      </c>
      <c r="W164" s="185"/>
    </row>
    <row r="165" spans="1:23" s="98" customFormat="1" ht="15" customHeight="1">
      <c r="B165" s="161"/>
      <c r="C165" s="185"/>
      <c r="D165" s="162" t="s">
        <v>2869</v>
      </c>
      <c r="E165" s="162"/>
      <c r="F165" s="162"/>
      <c r="G165" s="162"/>
      <c r="H165" s="163"/>
      <c r="I165" s="164" t="s">
        <v>1876</v>
      </c>
      <c r="J165" s="165">
        <v>0</v>
      </c>
      <c r="K165" s="166">
        <v>0</v>
      </c>
      <c r="L165" s="166">
        <v>0</v>
      </c>
      <c r="M165" s="166">
        <v>0</v>
      </c>
      <c r="N165" s="166">
        <v>0</v>
      </c>
      <c r="O165" s="166">
        <v>0</v>
      </c>
      <c r="P165" s="166">
        <v>0</v>
      </c>
      <c r="Q165" s="167">
        <v>0</v>
      </c>
      <c r="R165" s="165">
        <v>0</v>
      </c>
      <c r="S165" s="166">
        <v>0</v>
      </c>
      <c r="T165" s="166">
        <v>0</v>
      </c>
      <c r="U165" s="166">
        <v>0</v>
      </c>
      <c r="V165" s="167">
        <v>0</v>
      </c>
      <c r="W165" s="185"/>
    </row>
    <row r="166" spans="1:23" s="98" customFormat="1" ht="15" customHeight="1">
      <c r="B166" s="161"/>
      <c r="C166" s="185"/>
      <c r="D166" s="162" t="s">
        <v>2870</v>
      </c>
      <c r="E166" s="162"/>
      <c r="F166" s="162"/>
      <c r="G166" s="162"/>
      <c r="H166" s="163"/>
      <c r="I166" s="164" t="s">
        <v>1876</v>
      </c>
      <c r="J166" s="165">
        <v>0</v>
      </c>
      <c r="K166" s="166">
        <v>0</v>
      </c>
      <c r="L166" s="166">
        <v>0</v>
      </c>
      <c r="M166" s="166">
        <v>0</v>
      </c>
      <c r="N166" s="166">
        <v>0</v>
      </c>
      <c r="O166" s="166">
        <v>0</v>
      </c>
      <c r="P166" s="166">
        <v>0</v>
      </c>
      <c r="Q166" s="167">
        <v>0</v>
      </c>
      <c r="R166" s="165">
        <v>0</v>
      </c>
      <c r="S166" s="166">
        <v>0</v>
      </c>
      <c r="T166" s="166">
        <v>0</v>
      </c>
      <c r="U166" s="166">
        <v>0</v>
      </c>
      <c r="V166" s="167">
        <v>0</v>
      </c>
      <c r="W166" s="185"/>
    </row>
    <row r="167" spans="1:23" s="98" customFormat="1" ht="15" customHeight="1">
      <c r="B167" s="181"/>
      <c r="C167" s="182" t="s">
        <v>1710</v>
      </c>
      <c r="D167" s="245"/>
      <c r="E167" s="245"/>
      <c r="F167" s="245"/>
      <c r="G167" s="184"/>
      <c r="H167" s="184"/>
      <c r="I167" s="164" t="s">
        <v>1876</v>
      </c>
      <c r="J167" s="777">
        <f>SUM(J158:J166)</f>
        <v>3</v>
      </c>
      <c r="K167" s="778">
        <f t="shared" ref="K167:V167" si="69">SUM(K158:K166)</f>
        <v>4</v>
      </c>
      <c r="L167" s="778">
        <f t="shared" si="69"/>
        <v>5</v>
      </c>
      <c r="M167" s="778">
        <f t="shared" si="69"/>
        <v>2</v>
      </c>
      <c r="N167" s="778">
        <f t="shared" si="69"/>
        <v>2</v>
      </c>
      <c r="O167" s="778">
        <f t="shared" si="69"/>
        <v>3</v>
      </c>
      <c r="P167" s="778">
        <f t="shared" si="69"/>
        <v>3</v>
      </c>
      <c r="Q167" s="779">
        <f t="shared" si="69"/>
        <v>3</v>
      </c>
      <c r="R167" s="777">
        <f t="shared" si="69"/>
        <v>3</v>
      </c>
      <c r="S167" s="778">
        <f t="shared" si="69"/>
        <v>3</v>
      </c>
      <c r="T167" s="778">
        <f t="shared" si="69"/>
        <v>3</v>
      </c>
      <c r="U167" s="778">
        <f t="shared" si="69"/>
        <v>3</v>
      </c>
      <c r="V167" s="779">
        <f t="shared" si="69"/>
        <v>3</v>
      </c>
      <c r="W167" s="185"/>
    </row>
    <row r="168" spans="1:23" s="98" customFormat="1" ht="15" customHeight="1">
      <c r="A168" s="99"/>
      <c r="B168" s="181"/>
      <c r="C168" s="185"/>
      <c r="D168" s="182"/>
      <c r="E168" s="182"/>
      <c r="F168" s="182"/>
      <c r="G168" s="184"/>
      <c r="H168" s="184"/>
      <c r="I168" s="117"/>
      <c r="J168" s="159"/>
      <c r="K168" s="2645"/>
      <c r="L168" s="2645"/>
      <c r="M168" s="2645"/>
      <c r="N168" s="2645"/>
      <c r="O168" s="2645"/>
      <c r="P168" s="2645"/>
      <c r="Q168" s="160"/>
      <c r="R168" s="2645"/>
      <c r="S168" s="2645"/>
      <c r="T168" s="2645"/>
      <c r="U168" s="2645"/>
      <c r="V168" s="160"/>
      <c r="W168" s="185"/>
    </row>
    <row r="169" spans="1:23" s="98" customFormat="1" ht="15" customHeight="1">
      <c r="B169" s="161"/>
      <c r="C169" s="180" t="s">
        <v>3021</v>
      </c>
      <c r="D169" s="162"/>
      <c r="E169" s="162"/>
      <c r="F169" s="162"/>
      <c r="G169" s="163"/>
      <c r="H169" s="163"/>
      <c r="I169" s="117"/>
      <c r="J169" s="159"/>
      <c r="K169" s="94"/>
      <c r="L169" s="94"/>
      <c r="M169" s="94"/>
      <c r="N169" s="94"/>
      <c r="O169" s="94"/>
      <c r="P169" s="94"/>
      <c r="Q169" s="160"/>
      <c r="R169" s="159"/>
      <c r="S169" s="94"/>
      <c r="T169" s="94"/>
      <c r="U169" s="94"/>
      <c r="V169" s="160"/>
      <c r="W169" s="185"/>
    </row>
    <row r="170" spans="1:23" s="98" customFormat="1" ht="15" customHeight="1">
      <c r="B170" s="161"/>
      <c r="C170" s="185"/>
      <c r="D170" s="162" t="s">
        <v>3022</v>
      </c>
      <c r="E170" s="162"/>
      <c r="F170" s="162"/>
      <c r="G170" s="162"/>
      <c r="H170" s="163"/>
      <c r="I170" s="164" t="s">
        <v>1876</v>
      </c>
      <c r="J170" s="165">
        <v>13</v>
      </c>
      <c r="K170" s="166">
        <v>14</v>
      </c>
      <c r="L170" s="166">
        <v>32</v>
      </c>
      <c r="M170" s="166">
        <v>4</v>
      </c>
      <c r="N170" s="166">
        <v>19</v>
      </c>
      <c r="O170" s="166">
        <v>23</v>
      </c>
      <c r="P170" s="166">
        <v>25</v>
      </c>
      <c r="Q170" s="167">
        <v>24.75</v>
      </c>
      <c r="R170" s="165">
        <v>24.502500000000001</v>
      </c>
      <c r="S170" s="166">
        <v>24.257474999999999</v>
      </c>
      <c r="T170" s="166">
        <v>24.01490025</v>
      </c>
      <c r="U170" s="166">
        <v>23.774751247499999</v>
      </c>
      <c r="V170" s="167">
        <v>23.537003735024999</v>
      </c>
      <c r="W170" s="185"/>
    </row>
    <row r="171" spans="1:23" s="98" customFormat="1" ht="15" customHeight="1">
      <c r="B171" s="161"/>
      <c r="C171" s="185"/>
      <c r="D171" s="162" t="s">
        <v>3023</v>
      </c>
      <c r="E171" s="162"/>
      <c r="F171" s="162"/>
      <c r="G171" s="162"/>
      <c r="H171" s="163"/>
      <c r="I171" s="164" t="s">
        <v>1876</v>
      </c>
      <c r="J171" s="165">
        <v>1423</v>
      </c>
      <c r="K171" s="166">
        <v>1358</v>
      </c>
      <c r="L171" s="166">
        <v>1342</v>
      </c>
      <c r="M171" s="166">
        <v>68</v>
      </c>
      <c r="N171" s="166">
        <v>1071</v>
      </c>
      <c r="O171" s="166">
        <v>688</v>
      </c>
      <c r="P171" s="166">
        <v>1100</v>
      </c>
      <c r="Q171" s="167">
        <v>1089</v>
      </c>
      <c r="R171" s="165">
        <v>1078.1099999999999</v>
      </c>
      <c r="S171" s="166">
        <v>1067.3289</v>
      </c>
      <c r="T171" s="166">
        <v>1056.6556109999999</v>
      </c>
      <c r="U171" s="166">
        <v>1046.0890548899999</v>
      </c>
      <c r="V171" s="167">
        <v>1035.6281643411</v>
      </c>
      <c r="W171" s="185"/>
    </row>
    <row r="172" spans="1:23" s="98" customFormat="1" ht="15" customHeight="1">
      <c r="B172" s="161"/>
      <c r="C172" s="185"/>
      <c r="D172" s="162" t="s">
        <v>3024</v>
      </c>
      <c r="E172" s="162"/>
      <c r="F172" s="162"/>
      <c r="G172" s="162"/>
      <c r="H172" s="163"/>
      <c r="I172" s="164" t="s">
        <v>1876</v>
      </c>
      <c r="J172" s="165">
        <v>795</v>
      </c>
      <c r="K172" s="166">
        <v>642</v>
      </c>
      <c r="L172" s="166">
        <v>711</v>
      </c>
      <c r="M172" s="166">
        <v>50</v>
      </c>
      <c r="N172" s="166">
        <v>593</v>
      </c>
      <c r="O172" s="166">
        <v>988</v>
      </c>
      <c r="P172" s="166">
        <v>625</v>
      </c>
      <c r="Q172" s="167">
        <v>618.75</v>
      </c>
      <c r="R172" s="165">
        <v>612.5625</v>
      </c>
      <c r="S172" s="166">
        <v>606.43687499999999</v>
      </c>
      <c r="T172" s="166">
        <v>600.37250625000001</v>
      </c>
      <c r="U172" s="166">
        <v>594.36878118749996</v>
      </c>
      <c r="V172" s="167">
        <v>588.42509337562501</v>
      </c>
      <c r="W172" s="185"/>
    </row>
    <row r="173" spans="1:23" s="98" customFormat="1" ht="15" customHeight="1">
      <c r="B173" s="161"/>
      <c r="C173" s="185"/>
      <c r="D173" s="162" t="s">
        <v>3025</v>
      </c>
      <c r="E173" s="162"/>
      <c r="F173" s="162"/>
      <c r="G173" s="162"/>
      <c r="H173" s="163"/>
      <c r="I173" s="164" t="s">
        <v>1876</v>
      </c>
      <c r="J173" s="165">
        <v>37</v>
      </c>
      <c r="K173" s="166">
        <v>39</v>
      </c>
      <c r="L173" s="166">
        <v>52</v>
      </c>
      <c r="M173" s="166">
        <v>19</v>
      </c>
      <c r="N173" s="166">
        <v>28</v>
      </c>
      <c r="O173" s="166">
        <v>27</v>
      </c>
      <c r="P173" s="166">
        <v>30</v>
      </c>
      <c r="Q173" s="167">
        <v>29.7</v>
      </c>
      <c r="R173" s="165">
        <v>29.402999999999999</v>
      </c>
      <c r="S173" s="166">
        <v>29.108969999999999</v>
      </c>
      <c r="T173" s="166">
        <v>28.817880299999999</v>
      </c>
      <c r="U173" s="166">
        <v>28.529701496999998</v>
      </c>
      <c r="V173" s="167">
        <v>28.244404482029999</v>
      </c>
      <c r="W173" s="185"/>
    </row>
    <row r="174" spans="1:23" s="98" customFormat="1" ht="15" customHeight="1">
      <c r="B174" s="181"/>
      <c r="C174" s="182" t="s">
        <v>1710</v>
      </c>
      <c r="D174" s="245"/>
      <c r="E174" s="245"/>
      <c r="F174" s="245"/>
      <c r="G174" s="184"/>
      <c r="H174" s="184"/>
      <c r="I174" s="164" t="s">
        <v>1876</v>
      </c>
      <c r="J174" s="777">
        <f>SUM(J170:J173)</f>
        <v>2268</v>
      </c>
      <c r="K174" s="778">
        <f t="shared" ref="K174:V174" si="70">SUM(K170:K173)</f>
        <v>2053</v>
      </c>
      <c r="L174" s="778">
        <f t="shared" si="70"/>
        <v>2137</v>
      </c>
      <c r="M174" s="778">
        <f t="shared" si="70"/>
        <v>141</v>
      </c>
      <c r="N174" s="778">
        <f t="shared" si="70"/>
        <v>1711</v>
      </c>
      <c r="O174" s="778">
        <f t="shared" si="70"/>
        <v>1726</v>
      </c>
      <c r="P174" s="778">
        <f t="shared" si="70"/>
        <v>1780</v>
      </c>
      <c r="Q174" s="779">
        <f t="shared" si="70"/>
        <v>1762.2</v>
      </c>
      <c r="R174" s="777">
        <f t="shared" si="70"/>
        <v>1744.578</v>
      </c>
      <c r="S174" s="778">
        <f t="shared" si="70"/>
        <v>1727.1322199999997</v>
      </c>
      <c r="T174" s="778">
        <f t="shared" si="70"/>
        <v>1709.8608978</v>
      </c>
      <c r="U174" s="778">
        <f t="shared" si="70"/>
        <v>1692.7622888219998</v>
      </c>
      <c r="V174" s="779">
        <f t="shared" si="70"/>
        <v>1675.8346659337801</v>
      </c>
      <c r="W174" s="185"/>
    </row>
    <row r="175" spans="1:23" s="98" customFormat="1" ht="15" customHeight="1">
      <c r="A175" s="99"/>
      <c r="B175" s="181"/>
      <c r="C175" s="185"/>
      <c r="D175" s="182"/>
      <c r="E175" s="182"/>
      <c r="F175" s="182"/>
      <c r="G175" s="184"/>
      <c r="H175" s="184"/>
      <c r="I175" s="117"/>
      <c r="J175" s="159"/>
      <c r="K175" s="163"/>
      <c r="L175" s="163"/>
      <c r="M175" s="163"/>
      <c r="N175" s="163"/>
      <c r="O175" s="163"/>
      <c r="P175" s="163"/>
      <c r="Q175" s="160"/>
      <c r="R175" s="163"/>
      <c r="S175" s="163"/>
      <c r="T175" s="163"/>
      <c r="U175" s="163"/>
      <c r="V175" s="160"/>
      <c r="W175" s="185"/>
    </row>
    <row r="176" spans="1:23" s="98" customFormat="1" ht="15" customHeight="1" thickBot="1">
      <c r="A176" s="99"/>
      <c r="B176" s="239" t="s">
        <v>1701</v>
      </c>
      <c r="C176" s="240"/>
      <c r="D176" s="240"/>
      <c r="E176" s="240"/>
      <c r="F176" s="240"/>
      <c r="G176" s="241"/>
      <c r="H176" s="241"/>
      <c r="I176" s="195" t="s">
        <v>1876</v>
      </c>
      <c r="J176" s="873">
        <f>SUM(J143,J155,J167,J174)</f>
        <v>2286</v>
      </c>
      <c r="K176" s="781">
        <f t="shared" ref="K176:V176" si="71">SUM(K143,K155,K167,K174)</f>
        <v>2096</v>
      </c>
      <c r="L176" s="781">
        <f t="shared" si="71"/>
        <v>2195</v>
      </c>
      <c r="M176" s="781">
        <f t="shared" si="71"/>
        <v>177</v>
      </c>
      <c r="N176" s="781">
        <f t="shared" si="71"/>
        <v>1756</v>
      </c>
      <c r="O176" s="781">
        <f t="shared" si="71"/>
        <v>1761</v>
      </c>
      <c r="P176" s="781">
        <f t="shared" si="71"/>
        <v>1821</v>
      </c>
      <c r="Q176" s="874">
        <f t="shared" si="71"/>
        <v>1803.2</v>
      </c>
      <c r="R176" s="873">
        <f t="shared" si="71"/>
        <v>1785.578</v>
      </c>
      <c r="S176" s="781">
        <f t="shared" si="71"/>
        <v>1768.1322199999997</v>
      </c>
      <c r="T176" s="781">
        <f t="shared" si="71"/>
        <v>1750.8608978</v>
      </c>
      <c r="U176" s="781">
        <f t="shared" si="71"/>
        <v>1733.7622888219998</v>
      </c>
      <c r="V176" s="874">
        <f t="shared" si="71"/>
        <v>1716.8346659337801</v>
      </c>
    </row>
    <row r="177" spans="1:23" s="99" customFormat="1" ht="15" customHeight="1" thickBot="1">
      <c r="B177" s="150"/>
      <c r="C177" s="150"/>
      <c r="D177" s="150"/>
      <c r="E177" s="150"/>
      <c r="F177" s="150"/>
      <c r="G177" s="97"/>
      <c r="H177" s="97"/>
      <c r="I177" s="98"/>
      <c r="J177" s="98"/>
      <c r="K177" s="98"/>
      <c r="L177" s="98"/>
      <c r="M177" s="98"/>
      <c r="N177" s="98"/>
      <c r="O177" s="98"/>
      <c r="P177" s="98"/>
      <c r="Q177" s="98"/>
      <c r="R177" s="98"/>
      <c r="S177" s="98"/>
      <c r="T177" s="98"/>
      <c r="U177" s="98"/>
      <c r="V177" s="98"/>
    </row>
    <row r="178" spans="1:23" s="100" customFormat="1" ht="30" customHeight="1" thickBot="1">
      <c r="A178" s="89"/>
      <c r="B178" s="621" t="s">
        <v>3032</v>
      </c>
      <c r="C178" s="102"/>
      <c r="D178" s="102"/>
      <c r="E178" s="102"/>
      <c r="F178" s="102"/>
      <c r="G178" s="103"/>
      <c r="H178" s="103"/>
      <c r="I178" s="105" t="s">
        <v>1869</v>
      </c>
      <c r="J178" s="106"/>
      <c r="K178" s="106"/>
      <c r="L178" s="106"/>
      <c r="M178" s="106"/>
      <c r="N178" s="106"/>
      <c r="O178" s="106"/>
      <c r="P178" s="106"/>
      <c r="Q178" s="106"/>
      <c r="R178" s="105"/>
      <c r="S178" s="105"/>
      <c r="T178" s="105"/>
      <c r="U178" s="105"/>
      <c r="V178" s="187"/>
    </row>
    <row r="179" spans="1:23" s="157" customFormat="1" ht="30" customHeight="1">
      <c r="A179" s="99"/>
      <c r="B179" s="109"/>
      <c r="C179" s="110"/>
      <c r="D179" s="110"/>
      <c r="E179" s="110"/>
      <c r="F179" s="110"/>
      <c r="G179" s="111"/>
      <c r="H179" s="111"/>
      <c r="I179" s="117"/>
      <c r="J179" s="695" t="s">
        <v>1666</v>
      </c>
      <c r="K179" s="152"/>
      <c r="L179" s="152"/>
      <c r="M179" s="152"/>
      <c r="N179" s="152"/>
      <c r="O179" s="152"/>
      <c r="P179" s="152"/>
      <c r="Q179" s="153"/>
      <c r="R179" s="696" t="s">
        <v>2</v>
      </c>
      <c r="S179" s="155"/>
      <c r="T179" s="155"/>
      <c r="U179" s="155"/>
      <c r="V179" s="156"/>
    </row>
    <row r="180" spans="1:23" s="98" customFormat="1" ht="15" customHeight="1">
      <c r="A180" s="99"/>
      <c r="B180" s="115"/>
      <c r="C180" s="116"/>
      <c r="D180" s="116"/>
      <c r="E180" s="116"/>
      <c r="F180" s="116"/>
      <c r="G180" s="117"/>
      <c r="H180" s="117"/>
      <c r="I180" s="119" t="s">
        <v>1667</v>
      </c>
      <c r="J180" s="158" t="s">
        <v>453</v>
      </c>
      <c r="K180" s="137" t="s">
        <v>455</v>
      </c>
      <c r="L180" s="137" t="s">
        <v>457</v>
      </c>
      <c r="M180" s="137" t="s">
        <v>459</v>
      </c>
      <c r="N180" s="137" t="s">
        <v>461</v>
      </c>
      <c r="O180" s="137" t="s">
        <v>463</v>
      </c>
      <c r="P180" s="137" t="s">
        <v>465</v>
      </c>
      <c r="Q180" s="138" t="s">
        <v>467</v>
      </c>
      <c r="R180" s="120" t="s">
        <v>469</v>
      </c>
      <c r="S180" s="121" t="s">
        <v>471</v>
      </c>
      <c r="T180" s="121" t="s">
        <v>473</v>
      </c>
      <c r="U180" s="121" t="s">
        <v>475</v>
      </c>
      <c r="V180" s="122" t="s">
        <v>477</v>
      </c>
    </row>
    <row r="181" spans="1:23" s="98" customFormat="1" ht="15" customHeight="1">
      <c r="B181" s="161"/>
      <c r="C181" s="180" t="s">
        <v>2874</v>
      </c>
      <c r="D181" s="162"/>
      <c r="E181" s="162"/>
      <c r="F181" s="162"/>
      <c r="G181" s="163"/>
      <c r="H181" s="163"/>
      <c r="I181" s="117"/>
      <c r="J181" s="159"/>
      <c r="K181" s="117"/>
      <c r="L181" s="117"/>
      <c r="M181" s="117"/>
      <c r="N181" s="117"/>
      <c r="O181" s="117"/>
      <c r="P181" s="117"/>
      <c r="Q181" s="160"/>
      <c r="R181" s="159"/>
      <c r="S181" s="117"/>
      <c r="T181" s="117"/>
      <c r="U181" s="117"/>
      <c r="V181" s="160"/>
      <c r="W181" s="185"/>
    </row>
    <row r="182" spans="1:23" s="98" customFormat="1" ht="15" customHeight="1">
      <c r="B182" s="161"/>
      <c r="C182" s="185"/>
      <c r="D182" s="162" t="s">
        <v>2862</v>
      </c>
      <c r="E182" s="162"/>
      <c r="F182" s="162"/>
      <c r="G182" s="162"/>
      <c r="H182" s="163"/>
      <c r="I182" s="164" t="s">
        <v>1876</v>
      </c>
      <c r="J182" s="165">
        <v>0</v>
      </c>
      <c r="K182" s="166">
        <v>0</v>
      </c>
      <c r="L182" s="166">
        <v>0</v>
      </c>
      <c r="M182" s="166">
        <v>0</v>
      </c>
      <c r="N182" s="166">
        <v>0</v>
      </c>
      <c r="O182" s="166">
        <v>0</v>
      </c>
      <c r="P182" s="166">
        <v>0</v>
      </c>
      <c r="Q182" s="167">
        <v>0</v>
      </c>
      <c r="R182" s="165">
        <v>0</v>
      </c>
      <c r="S182" s="166">
        <v>0</v>
      </c>
      <c r="T182" s="166">
        <v>0</v>
      </c>
      <c r="U182" s="166">
        <v>0</v>
      </c>
      <c r="V182" s="167">
        <v>0</v>
      </c>
      <c r="W182" s="185"/>
    </row>
    <row r="183" spans="1:23" s="98" customFormat="1" ht="15" customHeight="1">
      <c r="B183" s="161"/>
      <c r="C183" s="185"/>
      <c r="D183" s="162" t="s">
        <v>2863</v>
      </c>
      <c r="E183" s="162"/>
      <c r="F183" s="162"/>
      <c r="G183" s="162"/>
      <c r="H183" s="163"/>
      <c r="I183" s="164" t="s">
        <v>1876</v>
      </c>
      <c r="J183" s="165">
        <v>0</v>
      </c>
      <c r="K183" s="166">
        <v>0</v>
      </c>
      <c r="L183" s="166">
        <v>0</v>
      </c>
      <c r="M183" s="166">
        <v>0</v>
      </c>
      <c r="N183" s="166">
        <v>0</v>
      </c>
      <c r="O183" s="166">
        <v>0</v>
      </c>
      <c r="P183" s="166">
        <v>0</v>
      </c>
      <c r="Q183" s="167">
        <v>0</v>
      </c>
      <c r="R183" s="165">
        <v>0</v>
      </c>
      <c r="S183" s="166">
        <v>0</v>
      </c>
      <c r="T183" s="166">
        <v>0</v>
      </c>
      <c r="U183" s="166">
        <v>0</v>
      </c>
      <c r="V183" s="167">
        <v>0</v>
      </c>
      <c r="W183" s="185"/>
    </row>
    <row r="184" spans="1:23" s="98" customFormat="1" ht="15" customHeight="1">
      <c r="B184" s="161"/>
      <c r="C184" s="185"/>
      <c r="D184" s="162" t="s">
        <v>2864</v>
      </c>
      <c r="E184" s="162"/>
      <c r="F184" s="162"/>
      <c r="G184" s="162"/>
      <c r="H184" s="163"/>
      <c r="I184" s="164" t="s">
        <v>1876</v>
      </c>
      <c r="J184" s="165">
        <v>0</v>
      </c>
      <c r="K184" s="166">
        <v>0</v>
      </c>
      <c r="L184" s="166">
        <v>0</v>
      </c>
      <c r="M184" s="166">
        <v>0</v>
      </c>
      <c r="N184" s="166">
        <v>0</v>
      </c>
      <c r="O184" s="166">
        <v>0</v>
      </c>
      <c r="P184" s="166">
        <v>0</v>
      </c>
      <c r="Q184" s="167">
        <v>0</v>
      </c>
      <c r="R184" s="165">
        <v>0</v>
      </c>
      <c r="S184" s="166">
        <v>0</v>
      </c>
      <c r="T184" s="166">
        <v>0</v>
      </c>
      <c r="U184" s="166">
        <v>0</v>
      </c>
      <c r="V184" s="167">
        <v>0</v>
      </c>
      <c r="W184" s="185"/>
    </row>
    <row r="185" spans="1:23" s="98" customFormat="1" ht="15" customHeight="1">
      <c r="B185" s="161"/>
      <c r="C185" s="185"/>
      <c r="D185" s="162" t="s">
        <v>2865</v>
      </c>
      <c r="E185" s="162"/>
      <c r="F185" s="162"/>
      <c r="G185" s="162"/>
      <c r="H185" s="163"/>
      <c r="I185" s="164" t="s">
        <v>1876</v>
      </c>
      <c r="J185" s="165">
        <v>0</v>
      </c>
      <c r="K185" s="166">
        <v>0</v>
      </c>
      <c r="L185" s="166">
        <v>0</v>
      </c>
      <c r="M185" s="166">
        <v>0</v>
      </c>
      <c r="N185" s="166">
        <v>0</v>
      </c>
      <c r="O185" s="166">
        <v>0</v>
      </c>
      <c r="P185" s="166">
        <v>0</v>
      </c>
      <c r="Q185" s="167">
        <v>0</v>
      </c>
      <c r="R185" s="165">
        <v>0</v>
      </c>
      <c r="S185" s="166">
        <v>0</v>
      </c>
      <c r="T185" s="166">
        <v>0</v>
      </c>
      <c r="U185" s="166">
        <v>0</v>
      </c>
      <c r="V185" s="167">
        <v>0</v>
      </c>
      <c r="W185" s="185"/>
    </row>
    <row r="186" spans="1:23" s="98" customFormat="1" ht="15" customHeight="1">
      <c r="B186" s="161"/>
      <c r="C186" s="185"/>
      <c r="D186" s="162" t="s">
        <v>2866</v>
      </c>
      <c r="E186" s="162"/>
      <c r="F186" s="162"/>
      <c r="G186" s="162"/>
      <c r="H186" s="163"/>
      <c r="I186" s="164" t="s">
        <v>1876</v>
      </c>
      <c r="J186" s="165">
        <v>0</v>
      </c>
      <c r="K186" s="166">
        <v>0</v>
      </c>
      <c r="L186" s="166">
        <v>0</v>
      </c>
      <c r="M186" s="166">
        <v>0</v>
      </c>
      <c r="N186" s="166">
        <v>0</v>
      </c>
      <c r="O186" s="166">
        <v>0</v>
      </c>
      <c r="P186" s="166">
        <v>0</v>
      </c>
      <c r="Q186" s="167">
        <v>0</v>
      </c>
      <c r="R186" s="165">
        <v>0</v>
      </c>
      <c r="S186" s="166">
        <v>0</v>
      </c>
      <c r="T186" s="166">
        <v>0</v>
      </c>
      <c r="U186" s="166">
        <v>0</v>
      </c>
      <c r="V186" s="167">
        <v>0</v>
      </c>
      <c r="W186" s="185"/>
    </row>
    <row r="187" spans="1:23" s="98" customFormat="1" ht="15" customHeight="1">
      <c r="B187" s="161"/>
      <c r="C187" s="185"/>
      <c r="D187" s="162" t="s">
        <v>2867</v>
      </c>
      <c r="E187" s="162"/>
      <c r="F187" s="162"/>
      <c r="G187" s="162"/>
      <c r="H187" s="163"/>
      <c r="I187" s="164" t="s">
        <v>1876</v>
      </c>
      <c r="J187" s="165">
        <v>0</v>
      </c>
      <c r="K187" s="166">
        <v>0</v>
      </c>
      <c r="L187" s="166">
        <v>0</v>
      </c>
      <c r="M187" s="166">
        <v>0</v>
      </c>
      <c r="N187" s="166">
        <v>0</v>
      </c>
      <c r="O187" s="166">
        <v>0</v>
      </c>
      <c r="P187" s="166">
        <v>0</v>
      </c>
      <c r="Q187" s="167">
        <v>0</v>
      </c>
      <c r="R187" s="165">
        <v>0</v>
      </c>
      <c r="S187" s="166">
        <v>0</v>
      </c>
      <c r="T187" s="166">
        <v>0</v>
      </c>
      <c r="U187" s="166">
        <v>0</v>
      </c>
      <c r="V187" s="167">
        <v>0</v>
      </c>
      <c r="W187" s="185"/>
    </row>
    <row r="188" spans="1:23" s="98" customFormat="1" ht="15" customHeight="1">
      <c r="B188" s="161"/>
      <c r="C188" s="185"/>
      <c r="D188" s="162" t="s">
        <v>2868</v>
      </c>
      <c r="E188" s="162"/>
      <c r="F188" s="162"/>
      <c r="G188" s="162"/>
      <c r="H188" s="163"/>
      <c r="I188" s="164" t="s">
        <v>1876</v>
      </c>
      <c r="J188" s="165">
        <v>0</v>
      </c>
      <c r="K188" s="166">
        <v>0</v>
      </c>
      <c r="L188" s="166">
        <v>0</v>
      </c>
      <c r="M188" s="166">
        <v>0</v>
      </c>
      <c r="N188" s="166">
        <v>0</v>
      </c>
      <c r="O188" s="166">
        <v>0</v>
      </c>
      <c r="P188" s="166">
        <v>0</v>
      </c>
      <c r="Q188" s="167">
        <v>0</v>
      </c>
      <c r="R188" s="165">
        <v>0</v>
      </c>
      <c r="S188" s="166">
        <v>0</v>
      </c>
      <c r="T188" s="166">
        <v>0</v>
      </c>
      <c r="U188" s="166">
        <v>0</v>
      </c>
      <c r="V188" s="167">
        <v>0</v>
      </c>
      <c r="W188" s="185"/>
    </row>
    <row r="189" spans="1:23" s="98" customFormat="1" ht="15" customHeight="1">
      <c r="B189" s="161"/>
      <c r="C189" s="185"/>
      <c r="D189" s="162" t="s">
        <v>2869</v>
      </c>
      <c r="E189" s="162"/>
      <c r="F189" s="162"/>
      <c r="G189" s="162"/>
      <c r="H189" s="163"/>
      <c r="I189" s="164" t="s">
        <v>1876</v>
      </c>
      <c r="J189" s="165">
        <v>0</v>
      </c>
      <c r="K189" s="166">
        <v>0</v>
      </c>
      <c r="L189" s="166">
        <v>0</v>
      </c>
      <c r="M189" s="166">
        <v>0</v>
      </c>
      <c r="N189" s="166">
        <v>0</v>
      </c>
      <c r="O189" s="166">
        <v>0</v>
      </c>
      <c r="P189" s="166">
        <v>0</v>
      </c>
      <c r="Q189" s="167">
        <v>0</v>
      </c>
      <c r="R189" s="165">
        <v>0</v>
      </c>
      <c r="S189" s="166">
        <v>0</v>
      </c>
      <c r="T189" s="166">
        <v>0</v>
      </c>
      <c r="U189" s="166">
        <v>0</v>
      </c>
      <c r="V189" s="167">
        <v>0</v>
      </c>
      <c r="W189" s="185"/>
    </row>
    <row r="190" spans="1:23" s="98" customFormat="1" ht="15" customHeight="1">
      <c r="B190" s="161"/>
      <c r="C190" s="185"/>
      <c r="D190" s="162" t="s">
        <v>2870</v>
      </c>
      <c r="E190" s="162"/>
      <c r="F190" s="162"/>
      <c r="G190" s="162"/>
      <c r="H190" s="163"/>
      <c r="I190" s="164" t="s">
        <v>1876</v>
      </c>
      <c r="J190" s="165">
        <v>0</v>
      </c>
      <c r="K190" s="166">
        <v>0</v>
      </c>
      <c r="L190" s="166">
        <v>0</v>
      </c>
      <c r="M190" s="166">
        <v>0</v>
      </c>
      <c r="N190" s="166">
        <v>0</v>
      </c>
      <c r="O190" s="166">
        <v>0</v>
      </c>
      <c r="P190" s="166">
        <v>0</v>
      </c>
      <c r="Q190" s="167">
        <v>0</v>
      </c>
      <c r="R190" s="165">
        <v>0</v>
      </c>
      <c r="S190" s="166">
        <v>0</v>
      </c>
      <c r="T190" s="166">
        <v>0</v>
      </c>
      <c r="U190" s="166">
        <v>0</v>
      </c>
      <c r="V190" s="167">
        <v>0</v>
      </c>
      <c r="W190" s="185"/>
    </row>
    <row r="191" spans="1:23" s="98" customFormat="1" ht="15" customHeight="1">
      <c r="B191" s="181"/>
      <c r="C191" s="182" t="s">
        <v>1710</v>
      </c>
      <c r="G191" s="184"/>
      <c r="H191" s="184"/>
      <c r="I191" s="164" t="s">
        <v>1876</v>
      </c>
      <c r="J191" s="777">
        <f>SUM(J182:J190)</f>
        <v>0</v>
      </c>
      <c r="K191" s="778">
        <f t="shared" ref="K191" si="72">SUM(K182:K190)</f>
        <v>0</v>
      </c>
      <c r="L191" s="778">
        <f t="shared" ref="L191" si="73">SUM(L182:L190)</f>
        <v>0</v>
      </c>
      <c r="M191" s="778">
        <f t="shared" ref="M191" si="74">SUM(M182:M190)</f>
        <v>0</v>
      </c>
      <c r="N191" s="778">
        <f t="shared" ref="N191" si="75">SUM(N182:N190)</f>
        <v>0</v>
      </c>
      <c r="O191" s="778">
        <f t="shared" ref="O191" si="76">SUM(O182:O190)</f>
        <v>0</v>
      </c>
      <c r="P191" s="778">
        <f t="shared" ref="P191" si="77">SUM(P182:P190)</f>
        <v>0</v>
      </c>
      <c r="Q191" s="779">
        <f t="shared" ref="Q191" si="78">SUM(Q182:Q190)</f>
        <v>0</v>
      </c>
      <c r="R191" s="777">
        <f t="shared" ref="R191" si="79">SUM(R182:R190)</f>
        <v>0</v>
      </c>
      <c r="S191" s="778">
        <f t="shared" ref="S191" si="80">SUM(S182:S190)</f>
        <v>0</v>
      </c>
      <c r="T191" s="778">
        <f t="shared" ref="T191" si="81">SUM(T182:T190)</f>
        <v>0</v>
      </c>
      <c r="U191" s="778">
        <f t="shared" ref="U191" si="82">SUM(U182:U190)</f>
        <v>0</v>
      </c>
      <c r="V191" s="779">
        <f t="shared" ref="V191" si="83">SUM(V182:V190)</f>
        <v>0</v>
      </c>
      <c r="W191" s="185"/>
    </row>
    <row r="192" spans="1:23" s="98" customFormat="1" ht="15" customHeight="1">
      <c r="B192" s="181"/>
      <c r="C192" s="185"/>
      <c r="D192" s="182"/>
      <c r="E192" s="182"/>
      <c r="F192" s="182"/>
      <c r="G192" s="184"/>
      <c r="H192" s="184"/>
      <c r="I192" s="117"/>
      <c r="J192" s="159"/>
      <c r="K192" s="163"/>
      <c r="L192" s="163"/>
      <c r="M192" s="163"/>
      <c r="N192" s="163"/>
      <c r="O192" s="163"/>
      <c r="P192" s="163"/>
      <c r="Q192" s="160"/>
      <c r="R192" s="163"/>
      <c r="S192" s="163"/>
      <c r="T192" s="163"/>
      <c r="U192" s="163"/>
      <c r="V192" s="160"/>
      <c r="W192" s="185"/>
    </row>
    <row r="193" spans="1:23" s="98" customFormat="1" ht="15" customHeight="1">
      <c r="B193" s="161"/>
      <c r="C193" s="180" t="s">
        <v>2875</v>
      </c>
      <c r="D193" s="162"/>
      <c r="E193" s="162"/>
      <c r="F193" s="162"/>
      <c r="G193" s="163"/>
      <c r="H193" s="163"/>
      <c r="I193" s="117"/>
      <c r="J193" s="159"/>
      <c r="K193" s="117"/>
      <c r="L193" s="117"/>
      <c r="M193" s="117"/>
      <c r="N193" s="117"/>
      <c r="O193" s="117"/>
      <c r="P193" s="117"/>
      <c r="Q193" s="160"/>
      <c r="R193" s="159"/>
      <c r="S193" s="117"/>
      <c r="T193" s="117"/>
      <c r="U193" s="117"/>
      <c r="V193" s="160"/>
      <c r="W193" s="185"/>
    </row>
    <row r="194" spans="1:23" s="98" customFormat="1" ht="15" customHeight="1">
      <c r="B194" s="161"/>
      <c r="C194" s="185"/>
      <c r="D194" s="162" t="s">
        <v>2862</v>
      </c>
      <c r="E194" s="162"/>
      <c r="F194" s="162"/>
      <c r="G194" s="162"/>
      <c r="H194" s="163"/>
      <c r="I194" s="164" t="s">
        <v>1876</v>
      </c>
      <c r="J194" s="165">
        <v>0</v>
      </c>
      <c r="K194" s="166">
        <v>0</v>
      </c>
      <c r="L194" s="166">
        <v>0</v>
      </c>
      <c r="M194" s="166">
        <v>0</v>
      </c>
      <c r="N194" s="166">
        <v>0</v>
      </c>
      <c r="O194" s="166">
        <v>0</v>
      </c>
      <c r="P194" s="166">
        <v>0</v>
      </c>
      <c r="Q194" s="167">
        <v>0</v>
      </c>
      <c r="R194" s="165">
        <v>0</v>
      </c>
      <c r="S194" s="166">
        <v>0</v>
      </c>
      <c r="T194" s="166">
        <v>0</v>
      </c>
      <c r="U194" s="166">
        <v>0</v>
      </c>
      <c r="V194" s="167">
        <v>0</v>
      </c>
      <c r="W194" s="185"/>
    </row>
    <row r="195" spans="1:23" s="98" customFormat="1" ht="15" customHeight="1">
      <c r="B195" s="161"/>
      <c r="C195" s="185"/>
      <c r="D195" s="162" t="s">
        <v>2863</v>
      </c>
      <c r="E195" s="162"/>
      <c r="F195" s="162"/>
      <c r="G195" s="162"/>
      <c r="H195" s="163"/>
      <c r="I195" s="164" t="s">
        <v>1876</v>
      </c>
      <c r="J195" s="165">
        <v>0</v>
      </c>
      <c r="K195" s="166">
        <v>0</v>
      </c>
      <c r="L195" s="166">
        <v>0</v>
      </c>
      <c r="M195" s="166">
        <v>0</v>
      </c>
      <c r="N195" s="166">
        <v>0</v>
      </c>
      <c r="O195" s="166">
        <v>0</v>
      </c>
      <c r="P195" s="166">
        <v>0</v>
      </c>
      <c r="Q195" s="167">
        <v>0</v>
      </c>
      <c r="R195" s="165">
        <v>0</v>
      </c>
      <c r="S195" s="166">
        <v>0</v>
      </c>
      <c r="T195" s="166">
        <v>0</v>
      </c>
      <c r="U195" s="166">
        <v>0</v>
      </c>
      <c r="V195" s="167">
        <v>0</v>
      </c>
      <c r="W195" s="185"/>
    </row>
    <row r="196" spans="1:23" s="98" customFormat="1" ht="15" customHeight="1">
      <c r="B196" s="161"/>
      <c r="C196" s="185"/>
      <c r="D196" s="162" t="s">
        <v>2864</v>
      </c>
      <c r="E196" s="162"/>
      <c r="F196" s="162"/>
      <c r="G196" s="162"/>
      <c r="H196" s="163"/>
      <c r="I196" s="164" t="s">
        <v>1876</v>
      </c>
      <c r="J196" s="165">
        <v>0</v>
      </c>
      <c r="K196" s="166">
        <v>0</v>
      </c>
      <c r="L196" s="166">
        <v>0</v>
      </c>
      <c r="M196" s="166">
        <v>0</v>
      </c>
      <c r="N196" s="166">
        <v>0</v>
      </c>
      <c r="O196" s="166">
        <v>0</v>
      </c>
      <c r="P196" s="166">
        <v>0</v>
      </c>
      <c r="Q196" s="167">
        <v>0</v>
      </c>
      <c r="R196" s="165">
        <v>0</v>
      </c>
      <c r="S196" s="166">
        <v>0</v>
      </c>
      <c r="T196" s="166">
        <v>0</v>
      </c>
      <c r="U196" s="166">
        <v>0</v>
      </c>
      <c r="V196" s="167">
        <v>0</v>
      </c>
      <c r="W196" s="185"/>
    </row>
    <row r="197" spans="1:23" s="98" customFormat="1" ht="15" customHeight="1">
      <c r="B197" s="161"/>
      <c r="C197" s="185"/>
      <c r="D197" s="162" t="s">
        <v>2865</v>
      </c>
      <c r="E197" s="162"/>
      <c r="F197" s="162"/>
      <c r="G197" s="162"/>
      <c r="H197" s="163"/>
      <c r="I197" s="164" t="s">
        <v>1876</v>
      </c>
      <c r="J197" s="165">
        <v>0</v>
      </c>
      <c r="K197" s="166">
        <v>0</v>
      </c>
      <c r="L197" s="166">
        <v>0</v>
      </c>
      <c r="M197" s="166">
        <v>0</v>
      </c>
      <c r="N197" s="166">
        <v>0</v>
      </c>
      <c r="O197" s="166">
        <v>0</v>
      </c>
      <c r="P197" s="166">
        <v>0</v>
      </c>
      <c r="Q197" s="167">
        <v>0</v>
      </c>
      <c r="R197" s="165">
        <v>0</v>
      </c>
      <c r="S197" s="166">
        <v>0</v>
      </c>
      <c r="T197" s="166">
        <v>0</v>
      </c>
      <c r="U197" s="166">
        <v>0</v>
      </c>
      <c r="V197" s="167">
        <v>0</v>
      </c>
      <c r="W197" s="185"/>
    </row>
    <row r="198" spans="1:23" s="98" customFormat="1" ht="15" customHeight="1">
      <c r="B198" s="161"/>
      <c r="C198" s="185"/>
      <c r="D198" s="162" t="s">
        <v>2866</v>
      </c>
      <c r="E198" s="162"/>
      <c r="F198" s="162"/>
      <c r="G198" s="162"/>
      <c r="H198" s="163"/>
      <c r="I198" s="164" t="s">
        <v>1876</v>
      </c>
      <c r="J198" s="165">
        <v>0</v>
      </c>
      <c r="K198" s="166">
        <v>0</v>
      </c>
      <c r="L198" s="166">
        <v>0</v>
      </c>
      <c r="M198" s="166">
        <v>0</v>
      </c>
      <c r="N198" s="166">
        <v>0</v>
      </c>
      <c r="O198" s="166">
        <v>0</v>
      </c>
      <c r="P198" s="166">
        <v>0</v>
      </c>
      <c r="Q198" s="167">
        <v>0</v>
      </c>
      <c r="R198" s="165">
        <v>0</v>
      </c>
      <c r="S198" s="166">
        <v>0</v>
      </c>
      <c r="T198" s="166">
        <v>0</v>
      </c>
      <c r="U198" s="166">
        <v>0</v>
      </c>
      <c r="V198" s="167">
        <v>0</v>
      </c>
      <c r="W198" s="185"/>
    </row>
    <row r="199" spans="1:23" s="98" customFormat="1" ht="15" customHeight="1">
      <c r="B199" s="161"/>
      <c r="C199" s="185"/>
      <c r="D199" s="162" t="s">
        <v>2867</v>
      </c>
      <c r="E199" s="162"/>
      <c r="F199" s="162"/>
      <c r="G199" s="162"/>
      <c r="H199" s="163"/>
      <c r="I199" s="164" t="s">
        <v>1876</v>
      </c>
      <c r="J199" s="165">
        <v>0</v>
      </c>
      <c r="K199" s="166">
        <v>0</v>
      </c>
      <c r="L199" s="166">
        <v>0</v>
      </c>
      <c r="M199" s="166">
        <v>0</v>
      </c>
      <c r="N199" s="166">
        <v>0</v>
      </c>
      <c r="O199" s="166">
        <v>0</v>
      </c>
      <c r="P199" s="166">
        <v>0</v>
      </c>
      <c r="Q199" s="167">
        <v>0</v>
      </c>
      <c r="R199" s="165">
        <v>0</v>
      </c>
      <c r="S199" s="166">
        <v>0</v>
      </c>
      <c r="T199" s="166">
        <v>0</v>
      </c>
      <c r="U199" s="166">
        <v>0</v>
      </c>
      <c r="V199" s="167">
        <v>0</v>
      </c>
      <c r="W199" s="185"/>
    </row>
    <row r="200" spans="1:23" s="98" customFormat="1" ht="15" customHeight="1">
      <c r="B200" s="161"/>
      <c r="C200" s="185"/>
      <c r="D200" s="162" t="s">
        <v>2868</v>
      </c>
      <c r="E200" s="162"/>
      <c r="F200" s="162"/>
      <c r="G200" s="162"/>
      <c r="H200" s="163"/>
      <c r="I200" s="164" t="s">
        <v>1876</v>
      </c>
      <c r="J200" s="165">
        <v>0</v>
      </c>
      <c r="K200" s="166">
        <v>0</v>
      </c>
      <c r="L200" s="166">
        <v>0</v>
      </c>
      <c r="M200" s="166">
        <v>0</v>
      </c>
      <c r="N200" s="166">
        <v>0</v>
      </c>
      <c r="O200" s="166">
        <v>0</v>
      </c>
      <c r="P200" s="166">
        <v>0</v>
      </c>
      <c r="Q200" s="167">
        <v>0</v>
      </c>
      <c r="R200" s="165">
        <v>0</v>
      </c>
      <c r="S200" s="166">
        <v>0</v>
      </c>
      <c r="T200" s="166">
        <v>0</v>
      </c>
      <c r="U200" s="166">
        <v>0</v>
      </c>
      <c r="V200" s="167">
        <v>0</v>
      </c>
      <c r="W200" s="185"/>
    </row>
    <row r="201" spans="1:23" s="98" customFormat="1" ht="15" customHeight="1">
      <c r="B201" s="161"/>
      <c r="C201" s="185"/>
      <c r="D201" s="162" t="s">
        <v>2869</v>
      </c>
      <c r="E201" s="162"/>
      <c r="F201" s="162"/>
      <c r="G201" s="162"/>
      <c r="H201" s="163"/>
      <c r="I201" s="164" t="s">
        <v>1876</v>
      </c>
      <c r="J201" s="165">
        <v>0</v>
      </c>
      <c r="K201" s="166">
        <v>0</v>
      </c>
      <c r="L201" s="166">
        <v>0</v>
      </c>
      <c r="M201" s="166">
        <v>0</v>
      </c>
      <c r="N201" s="166">
        <v>0</v>
      </c>
      <c r="O201" s="166">
        <v>0</v>
      </c>
      <c r="P201" s="166">
        <v>0</v>
      </c>
      <c r="Q201" s="167">
        <v>0</v>
      </c>
      <c r="R201" s="165">
        <v>0</v>
      </c>
      <c r="S201" s="166">
        <v>0</v>
      </c>
      <c r="T201" s="166">
        <v>0</v>
      </c>
      <c r="U201" s="166">
        <v>0</v>
      </c>
      <c r="V201" s="167">
        <v>0</v>
      </c>
      <c r="W201" s="185"/>
    </row>
    <row r="202" spans="1:23" s="98" customFormat="1" ht="15" customHeight="1">
      <c r="B202" s="161"/>
      <c r="C202" s="185"/>
      <c r="D202" s="162" t="s">
        <v>2870</v>
      </c>
      <c r="E202" s="162"/>
      <c r="F202" s="162"/>
      <c r="G202" s="162"/>
      <c r="H202" s="163"/>
      <c r="I202" s="164" t="s">
        <v>1876</v>
      </c>
      <c r="J202" s="165">
        <v>0</v>
      </c>
      <c r="K202" s="166">
        <v>0</v>
      </c>
      <c r="L202" s="166">
        <v>0</v>
      </c>
      <c r="M202" s="166">
        <v>0</v>
      </c>
      <c r="N202" s="166">
        <v>0</v>
      </c>
      <c r="O202" s="166">
        <v>0</v>
      </c>
      <c r="P202" s="166">
        <v>0</v>
      </c>
      <c r="Q202" s="167">
        <v>0</v>
      </c>
      <c r="R202" s="165">
        <v>0</v>
      </c>
      <c r="S202" s="166">
        <v>0</v>
      </c>
      <c r="T202" s="166">
        <v>0</v>
      </c>
      <c r="U202" s="166">
        <v>0</v>
      </c>
      <c r="V202" s="167">
        <v>0</v>
      </c>
      <c r="W202" s="185"/>
    </row>
    <row r="203" spans="1:23" s="98" customFormat="1" ht="15" customHeight="1">
      <c r="B203" s="181"/>
      <c r="C203" s="182" t="s">
        <v>1710</v>
      </c>
      <c r="G203" s="184"/>
      <c r="H203" s="184"/>
      <c r="I203" s="164" t="s">
        <v>1876</v>
      </c>
      <c r="J203" s="777">
        <f>SUM(J194:J202)</f>
        <v>0</v>
      </c>
      <c r="K203" s="778">
        <f t="shared" ref="K203" si="84">SUM(K194:K202)</f>
        <v>0</v>
      </c>
      <c r="L203" s="778">
        <f t="shared" ref="L203" si="85">SUM(L194:L202)</f>
        <v>0</v>
      </c>
      <c r="M203" s="778">
        <f t="shared" ref="M203" si="86">SUM(M194:M202)</f>
        <v>0</v>
      </c>
      <c r="N203" s="778">
        <f t="shared" ref="N203" si="87">SUM(N194:N202)</f>
        <v>0</v>
      </c>
      <c r="O203" s="778">
        <f t="shared" ref="O203" si="88">SUM(O194:O202)</f>
        <v>0</v>
      </c>
      <c r="P203" s="778">
        <f t="shared" ref="P203" si="89">SUM(P194:P202)</f>
        <v>0</v>
      </c>
      <c r="Q203" s="779">
        <f t="shared" ref="Q203" si="90">SUM(Q194:Q202)</f>
        <v>0</v>
      </c>
      <c r="R203" s="777">
        <f t="shared" ref="R203" si="91">SUM(R194:R202)</f>
        <v>0</v>
      </c>
      <c r="S203" s="778">
        <f t="shared" ref="S203" si="92">SUM(S194:S202)</f>
        <v>0</v>
      </c>
      <c r="T203" s="778">
        <f t="shared" ref="T203" si="93">SUM(T194:T202)</f>
        <v>0</v>
      </c>
      <c r="U203" s="778">
        <f t="shared" ref="U203" si="94">SUM(U194:U202)</f>
        <v>0</v>
      </c>
      <c r="V203" s="779">
        <f t="shared" ref="V203" si="95">SUM(V194:V202)</f>
        <v>0</v>
      </c>
      <c r="W203" s="185"/>
    </row>
    <row r="204" spans="1:23" s="98" customFormat="1" ht="15" customHeight="1">
      <c r="A204" s="99"/>
      <c r="B204" s="181"/>
      <c r="C204" s="185"/>
      <c r="D204" s="182"/>
      <c r="E204" s="182"/>
      <c r="F204" s="182"/>
      <c r="G204" s="184"/>
      <c r="H204" s="184"/>
      <c r="I204" s="117"/>
      <c r="J204" s="159"/>
      <c r="K204" s="163"/>
      <c r="L204" s="163"/>
      <c r="M204" s="163"/>
      <c r="N204" s="163"/>
      <c r="O204" s="163"/>
      <c r="P204" s="163"/>
      <c r="Q204" s="160"/>
      <c r="R204" s="163"/>
      <c r="S204" s="163"/>
      <c r="T204" s="163"/>
      <c r="U204" s="163"/>
      <c r="V204" s="160"/>
      <c r="W204" s="185"/>
    </row>
    <row r="205" spans="1:23" s="98" customFormat="1" ht="15" customHeight="1">
      <c r="B205" s="161"/>
      <c r="C205" s="180" t="s">
        <v>2876</v>
      </c>
      <c r="D205" s="162"/>
      <c r="E205" s="162"/>
      <c r="F205" s="162"/>
      <c r="G205" s="163"/>
      <c r="H205" s="163"/>
      <c r="I205" s="117"/>
      <c r="J205" s="159"/>
      <c r="K205" s="117"/>
      <c r="L205" s="117"/>
      <c r="M205" s="117"/>
      <c r="N205" s="117"/>
      <c r="O205" s="117"/>
      <c r="P205" s="117"/>
      <c r="Q205" s="160"/>
      <c r="R205" s="159"/>
      <c r="S205" s="117"/>
      <c r="T205" s="117"/>
      <c r="U205" s="117"/>
      <c r="V205" s="160"/>
      <c r="W205" s="185"/>
    </row>
    <row r="206" spans="1:23" s="98" customFormat="1" ht="15" customHeight="1">
      <c r="B206" s="161"/>
      <c r="C206" s="185"/>
      <c r="D206" s="162" t="s">
        <v>2862</v>
      </c>
      <c r="E206" s="162"/>
      <c r="F206" s="162"/>
      <c r="G206" s="162"/>
      <c r="H206" s="163"/>
      <c r="I206" s="164" t="s">
        <v>1876</v>
      </c>
      <c r="J206" s="165">
        <v>0</v>
      </c>
      <c r="K206" s="166">
        <v>0</v>
      </c>
      <c r="L206" s="166">
        <v>0</v>
      </c>
      <c r="M206" s="166">
        <v>0</v>
      </c>
      <c r="N206" s="166">
        <v>0</v>
      </c>
      <c r="O206" s="166">
        <v>0</v>
      </c>
      <c r="P206" s="166">
        <v>0</v>
      </c>
      <c r="Q206" s="167">
        <v>0</v>
      </c>
      <c r="R206" s="165">
        <v>0</v>
      </c>
      <c r="S206" s="166">
        <v>0</v>
      </c>
      <c r="T206" s="166">
        <v>0</v>
      </c>
      <c r="U206" s="166">
        <v>0</v>
      </c>
      <c r="V206" s="167">
        <v>0</v>
      </c>
      <c r="W206" s="185"/>
    </row>
    <row r="207" spans="1:23" s="98" customFormat="1" ht="15" customHeight="1">
      <c r="B207" s="161"/>
      <c r="C207" s="185"/>
      <c r="D207" s="162" t="s">
        <v>2863</v>
      </c>
      <c r="E207" s="162"/>
      <c r="F207" s="162"/>
      <c r="G207" s="162"/>
      <c r="H207" s="163"/>
      <c r="I207" s="164" t="s">
        <v>1876</v>
      </c>
      <c r="J207" s="165">
        <v>0</v>
      </c>
      <c r="K207" s="166">
        <v>0</v>
      </c>
      <c r="L207" s="166">
        <v>0</v>
      </c>
      <c r="M207" s="166">
        <v>0</v>
      </c>
      <c r="N207" s="166">
        <v>0</v>
      </c>
      <c r="O207" s="166">
        <v>0</v>
      </c>
      <c r="P207" s="166">
        <v>0</v>
      </c>
      <c r="Q207" s="167">
        <v>0</v>
      </c>
      <c r="R207" s="165">
        <v>0</v>
      </c>
      <c r="S207" s="166">
        <v>0</v>
      </c>
      <c r="T207" s="166">
        <v>0</v>
      </c>
      <c r="U207" s="166">
        <v>0</v>
      </c>
      <c r="V207" s="167">
        <v>0</v>
      </c>
      <c r="W207" s="185"/>
    </row>
    <row r="208" spans="1:23" s="98" customFormat="1" ht="15" customHeight="1">
      <c r="B208" s="161"/>
      <c r="C208" s="185"/>
      <c r="D208" s="162" t="s">
        <v>2864</v>
      </c>
      <c r="E208" s="162"/>
      <c r="F208" s="162"/>
      <c r="G208" s="162"/>
      <c r="H208" s="163"/>
      <c r="I208" s="164" t="s">
        <v>1876</v>
      </c>
      <c r="J208" s="165">
        <v>0</v>
      </c>
      <c r="K208" s="166">
        <v>0</v>
      </c>
      <c r="L208" s="166">
        <v>0</v>
      </c>
      <c r="M208" s="166">
        <v>0</v>
      </c>
      <c r="N208" s="166">
        <v>0</v>
      </c>
      <c r="O208" s="166">
        <v>0</v>
      </c>
      <c r="P208" s="166">
        <v>0</v>
      </c>
      <c r="Q208" s="167">
        <v>0</v>
      </c>
      <c r="R208" s="165">
        <v>0</v>
      </c>
      <c r="S208" s="166">
        <v>0</v>
      </c>
      <c r="T208" s="166">
        <v>0</v>
      </c>
      <c r="U208" s="166">
        <v>0</v>
      </c>
      <c r="V208" s="167">
        <v>0</v>
      </c>
      <c r="W208" s="185"/>
    </row>
    <row r="209" spans="1:23" s="98" customFormat="1" ht="15" customHeight="1">
      <c r="B209" s="161"/>
      <c r="C209" s="185"/>
      <c r="D209" s="162" t="s">
        <v>2865</v>
      </c>
      <c r="E209" s="162"/>
      <c r="F209" s="162"/>
      <c r="G209" s="162"/>
      <c r="H209" s="163"/>
      <c r="I209" s="164" t="s">
        <v>1876</v>
      </c>
      <c r="J209" s="165">
        <v>0</v>
      </c>
      <c r="K209" s="166">
        <v>0</v>
      </c>
      <c r="L209" s="166">
        <v>0</v>
      </c>
      <c r="M209" s="166">
        <v>0</v>
      </c>
      <c r="N209" s="166">
        <v>0</v>
      </c>
      <c r="O209" s="166">
        <v>0</v>
      </c>
      <c r="P209" s="166">
        <v>0</v>
      </c>
      <c r="Q209" s="167">
        <v>0</v>
      </c>
      <c r="R209" s="165">
        <v>0</v>
      </c>
      <c r="S209" s="166">
        <v>0</v>
      </c>
      <c r="T209" s="166">
        <v>0</v>
      </c>
      <c r="U209" s="166">
        <v>0</v>
      </c>
      <c r="V209" s="167">
        <v>0</v>
      </c>
      <c r="W209" s="185"/>
    </row>
    <row r="210" spans="1:23" s="98" customFormat="1" ht="15" customHeight="1">
      <c r="B210" s="161"/>
      <c r="C210" s="185"/>
      <c r="D210" s="162" t="s">
        <v>2866</v>
      </c>
      <c r="E210" s="162"/>
      <c r="F210" s="162"/>
      <c r="G210" s="162"/>
      <c r="H210" s="163"/>
      <c r="I210" s="164" t="s">
        <v>1876</v>
      </c>
      <c r="J210" s="165">
        <v>0</v>
      </c>
      <c r="K210" s="166">
        <v>0</v>
      </c>
      <c r="L210" s="166">
        <v>0</v>
      </c>
      <c r="M210" s="166">
        <v>0</v>
      </c>
      <c r="N210" s="166">
        <v>0</v>
      </c>
      <c r="O210" s="166">
        <v>0</v>
      </c>
      <c r="P210" s="166">
        <v>0</v>
      </c>
      <c r="Q210" s="167">
        <v>0</v>
      </c>
      <c r="R210" s="165">
        <v>0</v>
      </c>
      <c r="S210" s="166">
        <v>0</v>
      </c>
      <c r="T210" s="166">
        <v>0</v>
      </c>
      <c r="U210" s="166">
        <v>0</v>
      </c>
      <c r="V210" s="167">
        <v>0</v>
      </c>
      <c r="W210" s="185"/>
    </row>
    <row r="211" spans="1:23" s="98" customFormat="1" ht="15" customHeight="1">
      <c r="B211" s="161"/>
      <c r="C211" s="185"/>
      <c r="D211" s="162" t="s">
        <v>2867</v>
      </c>
      <c r="E211" s="162"/>
      <c r="F211" s="162"/>
      <c r="G211" s="162"/>
      <c r="H211" s="163"/>
      <c r="I211" s="164" t="s">
        <v>1876</v>
      </c>
      <c r="J211" s="165">
        <v>0</v>
      </c>
      <c r="K211" s="166">
        <v>0</v>
      </c>
      <c r="L211" s="166">
        <v>0</v>
      </c>
      <c r="M211" s="166">
        <v>0</v>
      </c>
      <c r="N211" s="166">
        <v>0</v>
      </c>
      <c r="O211" s="166">
        <v>0</v>
      </c>
      <c r="P211" s="166">
        <v>0</v>
      </c>
      <c r="Q211" s="167">
        <v>0</v>
      </c>
      <c r="R211" s="165">
        <v>0</v>
      </c>
      <c r="S211" s="166">
        <v>0</v>
      </c>
      <c r="T211" s="166">
        <v>0</v>
      </c>
      <c r="U211" s="166">
        <v>0</v>
      </c>
      <c r="V211" s="167">
        <v>0</v>
      </c>
      <c r="W211" s="185"/>
    </row>
    <row r="212" spans="1:23" s="98" customFormat="1" ht="15" customHeight="1">
      <c r="B212" s="161"/>
      <c r="C212" s="185"/>
      <c r="D212" s="162" t="s">
        <v>2868</v>
      </c>
      <c r="E212" s="162"/>
      <c r="F212" s="162"/>
      <c r="G212" s="162"/>
      <c r="H212" s="163"/>
      <c r="I212" s="164" t="s">
        <v>1876</v>
      </c>
      <c r="J212" s="165">
        <v>0</v>
      </c>
      <c r="K212" s="166">
        <v>0</v>
      </c>
      <c r="L212" s="166">
        <v>0</v>
      </c>
      <c r="M212" s="166">
        <v>0</v>
      </c>
      <c r="N212" s="166">
        <v>0</v>
      </c>
      <c r="O212" s="166">
        <v>0</v>
      </c>
      <c r="P212" s="166">
        <v>0</v>
      </c>
      <c r="Q212" s="167">
        <v>0</v>
      </c>
      <c r="R212" s="165">
        <v>0</v>
      </c>
      <c r="S212" s="166">
        <v>0</v>
      </c>
      <c r="T212" s="166">
        <v>0</v>
      </c>
      <c r="U212" s="166">
        <v>0</v>
      </c>
      <c r="V212" s="167">
        <v>0</v>
      </c>
      <c r="W212" s="185"/>
    </row>
    <row r="213" spans="1:23" s="98" customFormat="1" ht="15" customHeight="1">
      <c r="B213" s="161"/>
      <c r="C213" s="185"/>
      <c r="D213" s="162" t="s">
        <v>2869</v>
      </c>
      <c r="E213" s="162"/>
      <c r="F213" s="162"/>
      <c r="G213" s="162"/>
      <c r="H213" s="163"/>
      <c r="I213" s="164" t="s">
        <v>1876</v>
      </c>
      <c r="J213" s="165">
        <v>0</v>
      </c>
      <c r="K213" s="166">
        <v>0</v>
      </c>
      <c r="L213" s="166">
        <v>0</v>
      </c>
      <c r="M213" s="166">
        <v>0</v>
      </c>
      <c r="N213" s="166">
        <v>0</v>
      </c>
      <c r="O213" s="166">
        <v>0</v>
      </c>
      <c r="P213" s="166">
        <v>0</v>
      </c>
      <c r="Q213" s="167">
        <v>0</v>
      </c>
      <c r="R213" s="165">
        <v>0</v>
      </c>
      <c r="S213" s="166">
        <v>0</v>
      </c>
      <c r="T213" s="166">
        <v>0</v>
      </c>
      <c r="U213" s="166">
        <v>0</v>
      </c>
      <c r="V213" s="167">
        <v>0</v>
      </c>
      <c r="W213" s="185"/>
    </row>
    <row r="214" spans="1:23" s="98" customFormat="1" ht="15" customHeight="1">
      <c r="B214" s="161"/>
      <c r="C214" s="185"/>
      <c r="D214" s="162" t="s">
        <v>2870</v>
      </c>
      <c r="E214" s="162"/>
      <c r="F214" s="162"/>
      <c r="G214" s="162"/>
      <c r="H214" s="163"/>
      <c r="I214" s="164" t="s">
        <v>1876</v>
      </c>
      <c r="J214" s="165">
        <v>0</v>
      </c>
      <c r="K214" s="166">
        <v>0</v>
      </c>
      <c r="L214" s="166">
        <v>0</v>
      </c>
      <c r="M214" s="166">
        <v>0</v>
      </c>
      <c r="N214" s="166">
        <v>0</v>
      </c>
      <c r="O214" s="166">
        <v>0</v>
      </c>
      <c r="P214" s="166">
        <v>0</v>
      </c>
      <c r="Q214" s="167">
        <v>0</v>
      </c>
      <c r="R214" s="165">
        <v>0</v>
      </c>
      <c r="S214" s="166">
        <v>0</v>
      </c>
      <c r="T214" s="166">
        <v>0</v>
      </c>
      <c r="U214" s="166">
        <v>0</v>
      </c>
      <c r="V214" s="167">
        <v>0</v>
      </c>
      <c r="W214" s="185"/>
    </row>
    <row r="215" spans="1:23" s="98" customFormat="1" ht="15" customHeight="1">
      <c r="B215" s="181"/>
      <c r="C215" s="182" t="s">
        <v>1710</v>
      </c>
      <c r="D215" s="245"/>
      <c r="E215" s="245"/>
      <c r="F215" s="245"/>
      <c r="G215" s="184"/>
      <c r="H215" s="184"/>
      <c r="I215" s="164" t="s">
        <v>1876</v>
      </c>
      <c r="J215" s="777">
        <f>SUM(J206:J214)</f>
        <v>0</v>
      </c>
      <c r="K215" s="778">
        <f t="shared" ref="K215" si="96">SUM(K206:K214)</f>
        <v>0</v>
      </c>
      <c r="L215" s="778">
        <f t="shared" ref="L215" si="97">SUM(L206:L214)</f>
        <v>0</v>
      </c>
      <c r="M215" s="778">
        <f t="shared" ref="M215" si="98">SUM(M206:M214)</f>
        <v>0</v>
      </c>
      <c r="N215" s="778">
        <f t="shared" ref="N215" si="99">SUM(N206:N214)</f>
        <v>0</v>
      </c>
      <c r="O215" s="778">
        <f t="shared" ref="O215" si="100">SUM(O206:O214)</f>
        <v>0</v>
      </c>
      <c r="P215" s="778">
        <f t="shared" ref="P215" si="101">SUM(P206:P214)</f>
        <v>0</v>
      </c>
      <c r="Q215" s="779">
        <f t="shared" ref="Q215" si="102">SUM(Q206:Q214)</f>
        <v>0</v>
      </c>
      <c r="R215" s="777">
        <f t="shared" ref="R215" si="103">SUM(R206:R214)</f>
        <v>0</v>
      </c>
      <c r="S215" s="778">
        <f t="shared" ref="S215" si="104">SUM(S206:S214)</f>
        <v>0</v>
      </c>
      <c r="T215" s="778">
        <f t="shared" ref="T215" si="105">SUM(T206:T214)</f>
        <v>0</v>
      </c>
      <c r="U215" s="778">
        <f t="shared" ref="U215" si="106">SUM(U206:U214)</f>
        <v>0</v>
      </c>
      <c r="V215" s="779">
        <f t="shared" ref="V215" si="107">SUM(V206:V214)</f>
        <v>0</v>
      </c>
      <c r="W215" s="185"/>
    </row>
    <row r="216" spans="1:23" s="98" customFormat="1" ht="15" customHeight="1">
      <c r="A216" s="99"/>
      <c r="B216" s="181"/>
      <c r="C216" s="185"/>
      <c r="D216" s="182"/>
      <c r="E216" s="182"/>
      <c r="F216" s="182"/>
      <c r="G216" s="184"/>
      <c r="H216" s="184"/>
      <c r="I216" s="117"/>
      <c r="J216" s="159"/>
      <c r="K216" s="163"/>
      <c r="L216" s="163"/>
      <c r="M216" s="163"/>
      <c r="N216" s="163"/>
      <c r="O216" s="163"/>
      <c r="P216" s="163"/>
      <c r="Q216" s="160"/>
      <c r="R216" s="163"/>
      <c r="S216" s="163"/>
      <c r="T216" s="163"/>
      <c r="U216" s="163"/>
      <c r="V216" s="160"/>
      <c r="W216" s="185"/>
    </row>
    <row r="217" spans="1:23" s="98" customFormat="1" ht="15" customHeight="1">
      <c r="B217" s="161"/>
      <c r="C217" s="180" t="s">
        <v>3021</v>
      </c>
      <c r="D217" s="162"/>
      <c r="E217" s="162"/>
      <c r="F217" s="162"/>
      <c r="G217" s="163"/>
      <c r="H217" s="163"/>
      <c r="I217" s="117"/>
      <c r="J217" s="159"/>
      <c r="K217" s="117"/>
      <c r="L217" s="117"/>
      <c r="M217" s="117"/>
      <c r="N217" s="117"/>
      <c r="O217" s="117"/>
      <c r="P217" s="117"/>
      <c r="Q217" s="160"/>
      <c r="R217" s="159"/>
      <c r="S217" s="117"/>
      <c r="T217" s="117"/>
      <c r="U217" s="117"/>
      <c r="V217" s="160"/>
      <c r="W217" s="185"/>
    </row>
    <row r="218" spans="1:23" s="98" customFormat="1" ht="15" customHeight="1">
      <c r="B218" s="161"/>
      <c r="C218" s="185"/>
      <c r="D218" s="162" t="s">
        <v>3022</v>
      </c>
      <c r="E218" s="162"/>
      <c r="F218" s="162"/>
      <c r="G218" s="162"/>
      <c r="H218" s="163"/>
      <c r="I218" s="164" t="s">
        <v>1876</v>
      </c>
      <c r="J218" s="165">
        <v>0</v>
      </c>
      <c r="K218" s="166">
        <v>1</v>
      </c>
      <c r="L218" s="166">
        <v>3</v>
      </c>
      <c r="M218" s="166">
        <v>0</v>
      </c>
      <c r="N218" s="166">
        <v>2</v>
      </c>
      <c r="O218" s="166">
        <v>1</v>
      </c>
      <c r="P218" s="166">
        <v>1</v>
      </c>
      <c r="Q218" s="167">
        <v>1</v>
      </c>
      <c r="R218" s="165">
        <v>1</v>
      </c>
      <c r="S218" s="166">
        <v>1</v>
      </c>
      <c r="T218" s="166">
        <v>1</v>
      </c>
      <c r="U218" s="166">
        <v>1</v>
      </c>
      <c r="V218" s="167">
        <v>1</v>
      </c>
      <c r="W218" s="185"/>
    </row>
    <row r="219" spans="1:23" s="98" customFormat="1" ht="15" customHeight="1">
      <c r="B219" s="161"/>
      <c r="C219" s="185"/>
      <c r="D219" s="162" t="s">
        <v>3023</v>
      </c>
      <c r="E219" s="162"/>
      <c r="F219" s="162"/>
      <c r="G219" s="162"/>
      <c r="H219" s="163"/>
      <c r="I219" s="164" t="s">
        <v>1876</v>
      </c>
      <c r="J219" s="165">
        <v>4</v>
      </c>
      <c r="K219" s="166">
        <v>7</v>
      </c>
      <c r="L219" s="166">
        <v>7</v>
      </c>
      <c r="M219" s="166">
        <v>5</v>
      </c>
      <c r="N219" s="166">
        <v>2</v>
      </c>
      <c r="O219" s="166">
        <v>1</v>
      </c>
      <c r="P219" s="166">
        <v>1</v>
      </c>
      <c r="Q219" s="167">
        <v>1</v>
      </c>
      <c r="R219" s="165">
        <v>1</v>
      </c>
      <c r="S219" s="166">
        <v>1</v>
      </c>
      <c r="T219" s="166">
        <v>1</v>
      </c>
      <c r="U219" s="166">
        <v>1</v>
      </c>
      <c r="V219" s="167">
        <v>1</v>
      </c>
      <c r="W219" s="185"/>
    </row>
    <row r="220" spans="1:23" s="98" customFormat="1" ht="15" customHeight="1">
      <c r="B220" s="161"/>
      <c r="C220" s="185"/>
      <c r="D220" s="162" t="s">
        <v>3024</v>
      </c>
      <c r="E220" s="162"/>
      <c r="F220" s="162"/>
      <c r="G220" s="162"/>
      <c r="H220" s="163"/>
      <c r="I220" s="164" t="s">
        <v>1876</v>
      </c>
      <c r="J220" s="165">
        <v>0</v>
      </c>
      <c r="K220" s="166">
        <v>0</v>
      </c>
      <c r="L220" s="166">
        <v>1</v>
      </c>
      <c r="M220" s="166">
        <v>1</v>
      </c>
      <c r="N220" s="166">
        <v>1</v>
      </c>
      <c r="O220" s="166">
        <v>6</v>
      </c>
      <c r="P220" s="166">
        <v>6</v>
      </c>
      <c r="Q220" s="167">
        <v>6</v>
      </c>
      <c r="R220" s="165">
        <v>6</v>
      </c>
      <c r="S220" s="166">
        <v>5</v>
      </c>
      <c r="T220" s="166">
        <v>5</v>
      </c>
      <c r="U220" s="166">
        <v>5</v>
      </c>
      <c r="V220" s="167">
        <v>5</v>
      </c>
      <c r="W220" s="185"/>
    </row>
    <row r="221" spans="1:23" s="98" customFormat="1" ht="15" customHeight="1">
      <c r="B221" s="161"/>
      <c r="C221" s="185"/>
      <c r="D221" s="162" t="s">
        <v>3025</v>
      </c>
      <c r="E221" s="162"/>
      <c r="F221" s="162"/>
      <c r="G221" s="162"/>
      <c r="H221" s="163"/>
      <c r="I221" s="164" t="s">
        <v>1876</v>
      </c>
      <c r="J221" s="165">
        <v>0</v>
      </c>
      <c r="K221" s="166">
        <v>1</v>
      </c>
      <c r="L221" s="166">
        <v>0</v>
      </c>
      <c r="M221" s="166">
        <v>0</v>
      </c>
      <c r="N221" s="166">
        <v>0</v>
      </c>
      <c r="O221" s="166">
        <v>0</v>
      </c>
      <c r="P221" s="166">
        <v>0</v>
      </c>
      <c r="Q221" s="167">
        <v>0</v>
      </c>
      <c r="R221" s="165">
        <v>0</v>
      </c>
      <c r="S221" s="166">
        <v>0</v>
      </c>
      <c r="T221" s="166">
        <v>0</v>
      </c>
      <c r="U221" s="166">
        <v>0</v>
      </c>
      <c r="V221" s="167">
        <v>0</v>
      </c>
      <c r="W221" s="185"/>
    </row>
    <row r="222" spans="1:23" s="98" customFormat="1" ht="15" customHeight="1">
      <c r="B222" s="181"/>
      <c r="C222" s="182" t="s">
        <v>1710</v>
      </c>
      <c r="D222" s="245"/>
      <c r="E222" s="245"/>
      <c r="F222" s="245"/>
      <c r="G222" s="184"/>
      <c r="H222" s="184"/>
      <c r="I222" s="164" t="s">
        <v>1876</v>
      </c>
      <c r="J222" s="777">
        <f>SUM(J218:J221)</f>
        <v>4</v>
      </c>
      <c r="K222" s="778">
        <f t="shared" ref="K222" si="108">SUM(K218:K221)</f>
        <v>9</v>
      </c>
      <c r="L222" s="778">
        <f t="shared" ref="L222" si="109">SUM(L218:L221)</f>
        <v>11</v>
      </c>
      <c r="M222" s="778">
        <f t="shared" ref="M222" si="110">SUM(M218:M221)</f>
        <v>6</v>
      </c>
      <c r="N222" s="778">
        <f t="shared" ref="N222" si="111">SUM(N218:N221)</f>
        <v>5</v>
      </c>
      <c r="O222" s="778">
        <f t="shared" ref="O222" si="112">SUM(O218:O221)</f>
        <v>8</v>
      </c>
      <c r="P222" s="778">
        <f t="shared" ref="P222" si="113">SUM(P218:P221)</f>
        <v>8</v>
      </c>
      <c r="Q222" s="779">
        <f t="shared" ref="Q222" si="114">SUM(Q218:Q221)</f>
        <v>8</v>
      </c>
      <c r="R222" s="777">
        <f t="shared" ref="R222" si="115">SUM(R218:R221)</f>
        <v>8</v>
      </c>
      <c r="S222" s="778">
        <f t="shared" ref="S222" si="116">SUM(S218:S221)</f>
        <v>7</v>
      </c>
      <c r="T222" s="778">
        <f t="shared" ref="T222" si="117">SUM(T218:T221)</f>
        <v>7</v>
      </c>
      <c r="U222" s="778">
        <f t="shared" ref="U222" si="118">SUM(U218:U221)</f>
        <v>7</v>
      </c>
      <c r="V222" s="779">
        <f t="shared" ref="V222" si="119">SUM(V218:V221)</f>
        <v>7</v>
      </c>
      <c r="W222" s="185"/>
    </row>
    <row r="223" spans="1:23" s="98" customFormat="1" ht="15" customHeight="1">
      <c r="A223" s="99"/>
      <c r="B223" s="181"/>
      <c r="C223" s="185"/>
      <c r="D223" s="182"/>
      <c r="E223" s="182"/>
      <c r="F223" s="182"/>
      <c r="G223" s="184"/>
      <c r="H223" s="184"/>
      <c r="I223" s="117"/>
      <c r="J223" s="159"/>
      <c r="K223" s="163"/>
      <c r="L223" s="163"/>
      <c r="M223" s="163"/>
      <c r="N223" s="163"/>
      <c r="O223" s="163"/>
      <c r="P223" s="163"/>
      <c r="Q223" s="160"/>
      <c r="R223" s="163"/>
      <c r="S223" s="163"/>
      <c r="T223" s="163"/>
      <c r="U223" s="163"/>
      <c r="V223" s="160"/>
      <c r="W223" s="185"/>
    </row>
    <row r="224" spans="1:23" s="98" customFormat="1" ht="15" customHeight="1" thickBot="1">
      <c r="A224" s="99"/>
      <c r="B224" s="239" t="s">
        <v>1701</v>
      </c>
      <c r="C224" s="240"/>
      <c r="D224" s="240"/>
      <c r="E224" s="240"/>
      <c r="F224" s="240"/>
      <c r="G224" s="241"/>
      <c r="H224" s="241"/>
      <c r="I224" s="195" t="s">
        <v>1876</v>
      </c>
      <c r="J224" s="873">
        <f>SUM(J191,J203,J215,J222)</f>
        <v>4</v>
      </c>
      <c r="K224" s="781">
        <f t="shared" ref="K224:V224" si="120">SUM(K191,K203,K215,K222)</f>
        <v>9</v>
      </c>
      <c r="L224" s="781">
        <f t="shared" si="120"/>
        <v>11</v>
      </c>
      <c r="M224" s="781">
        <f t="shared" si="120"/>
        <v>6</v>
      </c>
      <c r="N224" s="781">
        <f t="shared" si="120"/>
        <v>5</v>
      </c>
      <c r="O224" s="781">
        <f t="shared" si="120"/>
        <v>8</v>
      </c>
      <c r="P224" s="781">
        <f t="shared" si="120"/>
        <v>8</v>
      </c>
      <c r="Q224" s="874">
        <f t="shared" si="120"/>
        <v>8</v>
      </c>
      <c r="R224" s="873">
        <f t="shared" si="120"/>
        <v>8</v>
      </c>
      <c r="S224" s="781">
        <f t="shared" si="120"/>
        <v>7</v>
      </c>
      <c r="T224" s="781">
        <f t="shared" si="120"/>
        <v>7</v>
      </c>
      <c r="U224" s="781">
        <f t="shared" si="120"/>
        <v>7</v>
      </c>
      <c r="V224" s="874">
        <f t="shared" si="120"/>
        <v>7</v>
      </c>
    </row>
    <row r="225" spans="1:23" s="99" customFormat="1" ht="15" customHeight="1" thickBot="1">
      <c r="B225" s="150"/>
      <c r="C225" s="150"/>
      <c r="D225" s="150"/>
      <c r="E225" s="150"/>
      <c r="F225" s="150"/>
      <c r="G225" s="97"/>
      <c r="H225" s="97"/>
      <c r="I225" s="98"/>
      <c r="J225" s="98"/>
      <c r="K225" s="98"/>
      <c r="L225" s="98"/>
      <c r="M225" s="98"/>
      <c r="N225" s="98"/>
      <c r="O225" s="98"/>
      <c r="P225" s="98"/>
      <c r="Q225" s="98"/>
      <c r="R225" s="98"/>
      <c r="S225" s="98"/>
      <c r="T225" s="98"/>
      <c r="U225" s="98"/>
      <c r="V225" s="98"/>
    </row>
    <row r="226" spans="1:23" s="100" customFormat="1" ht="30" customHeight="1" thickBot="1">
      <c r="A226" s="89"/>
      <c r="B226" s="621" t="s">
        <v>3033</v>
      </c>
      <c r="C226" s="102"/>
      <c r="D226" s="102"/>
      <c r="E226" s="102"/>
      <c r="F226" s="102"/>
      <c r="G226" s="103"/>
      <c r="H226" s="103"/>
      <c r="I226" s="105" t="s">
        <v>1869</v>
      </c>
      <c r="J226" s="106"/>
      <c r="K226" s="106"/>
      <c r="L226" s="106"/>
      <c r="M226" s="106"/>
      <c r="N226" s="106"/>
      <c r="O226" s="106"/>
      <c r="P226" s="106"/>
      <c r="Q226" s="106"/>
      <c r="R226" s="105"/>
      <c r="S226" s="105"/>
      <c r="T226" s="105"/>
      <c r="U226" s="105"/>
      <c r="V226" s="187"/>
    </row>
    <row r="227" spans="1:23" s="157" customFormat="1" ht="30" customHeight="1">
      <c r="A227" s="99"/>
      <c r="B227" s="109"/>
      <c r="C227" s="110"/>
      <c r="D227" s="110"/>
      <c r="E227" s="110"/>
      <c r="F227" s="110"/>
      <c r="G227" s="111"/>
      <c r="H227" s="111"/>
      <c r="I227" s="117"/>
      <c r="J227" s="695" t="s">
        <v>1666</v>
      </c>
      <c r="K227" s="152"/>
      <c r="L227" s="152"/>
      <c r="M227" s="152"/>
      <c r="N227" s="152"/>
      <c r="O227" s="152"/>
      <c r="P227" s="152"/>
      <c r="Q227" s="153"/>
      <c r="R227" s="696" t="s">
        <v>2</v>
      </c>
      <c r="S227" s="155"/>
      <c r="T227" s="155"/>
      <c r="U227" s="155"/>
      <c r="V227" s="156"/>
    </row>
    <row r="228" spans="1:23" s="98" customFormat="1" ht="15" customHeight="1">
      <c r="A228" s="99"/>
      <c r="B228" s="115"/>
      <c r="C228" s="116"/>
      <c r="D228" s="116"/>
      <c r="E228" s="116"/>
      <c r="F228" s="116"/>
      <c r="G228" s="117"/>
      <c r="H228" s="117"/>
      <c r="I228" s="119" t="s">
        <v>1667</v>
      </c>
      <c r="J228" s="158" t="s">
        <v>453</v>
      </c>
      <c r="K228" s="137" t="s">
        <v>455</v>
      </c>
      <c r="L228" s="137" t="s">
        <v>457</v>
      </c>
      <c r="M228" s="137" t="s">
        <v>459</v>
      </c>
      <c r="N228" s="137" t="s">
        <v>461</v>
      </c>
      <c r="O228" s="137" t="s">
        <v>463</v>
      </c>
      <c r="P228" s="137" t="s">
        <v>465</v>
      </c>
      <c r="Q228" s="138" t="s">
        <v>467</v>
      </c>
      <c r="R228" s="120" t="s">
        <v>469</v>
      </c>
      <c r="S228" s="121" t="s">
        <v>471</v>
      </c>
      <c r="T228" s="121" t="s">
        <v>473</v>
      </c>
      <c r="U228" s="121" t="s">
        <v>475</v>
      </c>
      <c r="V228" s="122" t="s">
        <v>477</v>
      </c>
    </row>
    <row r="229" spans="1:23" s="98" customFormat="1" ht="15" customHeight="1">
      <c r="B229" s="161"/>
      <c r="C229" s="180" t="s">
        <v>3034</v>
      </c>
      <c r="D229" s="162"/>
      <c r="E229" s="162"/>
      <c r="F229" s="162"/>
      <c r="G229" s="163"/>
      <c r="H229" s="163"/>
      <c r="I229" s="117"/>
      <c r="J229" s="159"/>
      <c r="K229" s="117"/>
      <c r="L229" s="117"/>
      <c r="M229" s="117"/>
      <c r="N229" s="117"/>
      <c r="O229" s="117"/>
      <c r="P229" s="117"/>
      <c r="Q229" s="160"/>
      <c r="R229" s="159"/>
      <c r="S229" s="117"/>
      <c r="T229" s="117"/>
      <c r="U229" s="117"/>
      <c r="V229" s="160"/>
      <c r="W229" s="185"/>
    </row>
    <row r="230" spans="1:23" s="98" customFormat="1" ht="15" customHeight="1">
      <c r="B230" s="161"/>
      <c r="C230" s="185"/>
      <c r="D230" s="162" t="s">
        <v>3022</v>
      </c>
      <c r="E230" s="162"/>
      <c r="F230" s="162"/>
      <c r="G230" s="162"/>
      <c r="H230" s="163"/>
      <c r="I230" s="164" t="s">
        <v>1876</v>
      </c>
      <c r="J230" s="165">
        <v>0</v>
      </c>
      <c r="K230" s="166">
        <v>0</v>
      </c>
      <c r="L230" s="166">
        <v>0</v>
      </c>
      <c r="M230" s="166">
        <v>0</v>
      </c>
      <c r="N230" s="166">
        <v>0</v>
      </c>
      <c r="O230" s="166">
        <v>0</v>
      </c>
      <c r="P230" s="166">
        <v>0</v>
      </c>
      <c r="Q230" s="167">
        <v>0</v>
      </c>
      <c r="R230" s="165">
        <v>0</v>
      </c>
      <c r="S230" s="166">
        <v>0</v>
      </c>
      <c r="T230" s="166">
        <v>0</v>
      </c>
      <c r="U230" s="166">
        <v>0</v>
      </c>
      <c r="V230" s="167">
        <v>0</v>
      </c>
      <c r="W230" s="185"/>
    </row>
    <row r="231" spans="1:23" s="98" customFormat="1" ht="15" customHeight="1">
      <c r="B231" s="161"/>
      <c r="C231" s="185"/>
      <c r="D231" s="162" t="s">
        <v>3023</v>
      </c>
      <c r="E231" s="162"/>
      <c r="F231" s="162"/>
      <c r="G231" s="162"/>
      <c r="H231" s="163"/>
      <c r="I231" s="164" t="s">
        <v>1876</v>
      </c>
      <c r="J231" s="165">
        <v>9</v>
      </c>
      <c r="K231" s="166">
        <v>0</v>
      </c>
      <c r="L231" s="166">
        <v>4</v>
      </c>
      <c r="M231" s="166">
        <v>3</v>
      </c>
      <c r="N231" s="166">
        <v>2</v>
      </c>
      <c r="O231" s="166">
        <v>0</v>
      </c>
      <c r="P231" s="166">
        <v>3</v>
      </c>
      <c r="Q231" s="167">
        <v>3</v>
      </c>
      <c r="R231" s="165">
        <v>3</v>
      </c>
      <c r="S231" s="166">
        <v>3</v>
      </c>
      <c r="T231" s="166">
        <v>2</v>
      </c>
      <c r="U231" s="166">
        <v>2</v>
      </c>
      <c r="V231" s="167">
        <v>2</v>
      </c>
      <c r="W231" s="185"/>
    </row>
    <row r="232" spans="1:23" s="98" customFormat="1" ht="15" customHeight="1">
      <c r="B232" s="161"/>
      <c r="C232" s="185"/>
      <c r="D232" s="162" t="s">
        <v>3024</v>
      </c>
      <c r="E232" s="162"/>
      <c r="F232" s="162"/>
      <c r="G232" s="162"/>
      <c r="H232" s="163"/>
      <c r="I232" s="164" t="s">
        <v>1876</v>
      </c>
      <c r="J232" s="165">
        <v>3</v>
      </c>
      <c r="K232" s="166">
        <v>3</v>
      </c>
      <c r="L232" s="166">
        <v>2</v>
      </c>
      <c r="M232" s="166">
        <v>1</v>
      </c>
      <c r="N232" s="166">
        <v>0</v>
      </c>
      <c r="O232" s="166">
        <v>2</v>
      </c>
      <c r="P232" s="166">
        <v>1</v>
      </c>
      <c r="Q232" s="167">
        <v>1</v>
      </c>
      <c r="R232" s="165">
        <v>1</v>
      </c>
      <c r="S232" s="166">
        <v>1</v>
      </c>
      <c r="T232" s="166">
        <v>1</v>
      </c>
      <c r="U232" s="166">
        <v>1</v>
      </c>
      <c r="V232" s="167">
        <v>1</v>
      </c>
      <c r="W232" s="185"/>
    </row>
    <row r="233" spans="1:23" s="98" customFormat="1" ht="15" customHeight="1">
      <c r="B233" s="161"/>
      <c r="C233" s="185"/>
      <c r="D233" s="162" t="s">
        <v>3025</v>
      </c>
      <c r="E233" s="162"/>
      <c r="F233" s="162"/>
      <c r="G233" s="162"/>
      <c r="H233" s="163"/>
      <c r="I233" s="164" t="s">
        <v>1876</v>
      </c>
      <c r="J233" s="165">
        <v>0</v>
      </c>
      <c r="K233" s="166">
        <v>0</v>
      </c>
      <c r="L233" s="166">
        <v>0</v>
      </c>
      <c r="M233" s="166">
        <v>0</v>
      </c>
      <c r="N233" s="166">
        <v>0</v>
      </c>
      <c r="O233" s="166">
        <v>0</v>
      </c>
      <c r="P233" s="166">
        <v>0</v>
      </c>
      <c r="Q233" s="167">
        <v>0</v>
      </c>
      <c r="R233" s="165">
        <v>0</v>
      </c>
      <c r="S233" s="166">
        <v>0</v>
      </c>
      <c r="T233" s="166">
        <v>0</v>
      </c>
      <c r="U233" s="166">
        <v>0</v>
      </c>
      <c r="V233" s="167">
        <v>0</v>
      </c>
      <c r="W233" s="185"/>
    </row>
    <row r="234" spans="1:23" s="98" customFormat="1" ht="15" customHeight="1" thickBot="1">
      <c r="B234" s="239"/>
      <c r="C234" s="192" t="s">
        <v>1710</v>
      </c>
      <c r="D234" s="246"/>
      <c r="E234" s="246"/>
      <c r="F234" s="246"/>
      <c r="G234" s="241"/>
      <c r="H234" s="241"/>
      <c r="I234" s="195" t="s">
        <v>1876</v>
      </c>
      <c r="J234" s="892">
        <f>SUM(J230:J233)</f>
        <v>12</v>
      </c>
      <c r="K234" s="893">
        <f t="shared" ref="K234:V234" si="121">SUM(K230:K233)</f>
        <v>3</v>
      </c>
      <c r="L234" s="893">
        <f t="shared" si="121"/>
        <v>6</v>
      </c>
      <c r="M234" s="893">
        <f t="shared" si="121"/>
        <v>4</v>
      </c>
      <c r="N234" s="893">
        <f t="shared" si="121"/>
        <v>2</v>
      </c>
      <c r="O234" s="893">
        <f t="shared" si="121"/>
        <v>2</v>
      </c>
      <c r="P234" s="893">
        <f t="shared" si="121"/>
        <v>4</v>
      </c>
      <c r="Q234" s="890">
        <f t="shared" si="121"/>
        <v>4</v>
      </c>
      <c r="R234" s="892">
        <f t="shared" si="121"/>
        <v>4</v>
      </c>
      <c r="S234" s="893">
        <f t="shared" si="121"/>
        <v>4</v>
      </c>
      <c r="T234" s="893">
        <f t="shared" si="121"/>
        <v>3</v>
      </c>
      <c r="U234" s="893">
        <f t="shared" si="121"/>
        <v>3</v>
      </c>
      <c r="V234" s="890">
        <f t="shared" si="121"/>
        <v>3</v>
      </c>
      <c r="W234" s="185"/>
    </row>
    <row r="235" spans="1:23" s="99" customFormat="1" ht="15" customHeight="1" thickBot="1">
      <c r="B235" s="150"/>
      <c r="C235" s="150"/>
      <c r="D235" s="150"/>
      <c r="E235" s="150"/>
      <c r="F235" s="150"/>
      <c r="G235" s="97"/>
      <c r="H235" s="97"/>
      <c r="I235" s="98"/>
      <c r="J235" s="98"/>
      <c r="K235" s="98"/>
      <c r="L235" s="98"/>
      <c r="M235" s="98"/>
      <c r="N235" s="98"/>
      <c r="O235" s="98"/>
      <c r="P235" s="98"/>
      <c r="Q235" s="98"/>
      <c r="R235" s="98"/>
      <c r="S235" s="98"/>
      <c r="T235" s="98"/>
      <c r="U235" s="98"/>
      <c r="V235" s="98"/>
    </row>
    <row r="236" spans="1:23" s="100" customFormat="1" ht="30" customHeight="1" thickBot="1">
      <c r="A236" s="89"/>
      <c r="B236" s="621" t="s">
        <v>3035</v>
      </c>
      <c r="C236" s="102"/>
      <c r="D236" s="102"/>
      <c r="E236" s="102"/>
      <c r="F236" s="102"/>
      <c r="G236" s="103"/>
      <c r="H236" s="103"/>
      <c r="I236" s="105" t="s">
        <v>1869</v>
      </c>
      <c r="J236" s="106"/>
      <c r="K236" s="106"/>
      <c r="L236" s="106"/>
      <c r="M236" s="106"/>
      <c r="N236" s="106"/>
      <c r="O236" s="106"/>
      <c r="P236" s="106"/>
      <c r="Q236" s="106"/>
      <c r="R236" s="105"/>
      <c r="S236" s="105"/>
      <c r="T236" s="105"/>
      <c r="U236" s="105"/>
      <c r="V236" s="187"/>
    </row>
    <row r="237" spans="1:23" s="157" customFormat="1" ht="30" customHeight="1">
      <c r="A237" s="99"/>
      <c r="B237" s="109"/>
      <c r="C237" s="110"/>
      <c r="D237" s="110"/>
      <c r="E237" s="110"/>
      <c r="F237" s="110"/>
      <c r="G237" s="111"/>
      <c r="H237" s="111"/>
      <c r="I237" s="117"/>
      <c r="J237" s="695" t="s">
        <v>1666</v>
      </c>
      <c r="K237" s="152"/>
      <c r="L237" s="152"/>
      <c r="M237" s="152"/>
      <c r="N237" s="152"/>
      <c r="O237" s="152"/>
      <c r="P237" s="152"/>
      <c r="Q237" s="153"/>
      <c r="R237" s="696" t="s">
        <v>2</v>
      </c>
      <c r="S237" s="155"/>
      <c r="T237" s="155"/>
      <c r="U237" s="155"/>
      <c r="V237" s="156"/>
    </row>
    <row r="238" spans="1:23" s="98" customFormat="1" ht="15" customHeight="1">
      <c r="A238" s="99"/>
      <c r="B238" s="115"/>
      <c r="C238" s="116"/>
      <c r="D238" s="116"/>
      <c r="E238" s="116"/>
      <c r="F238" s="116"/>
      <c r="G238" s="117"/>
      <c r="H238" s="117"/>
      <c r="I238" s="119" t="s">
        <v>1667</v>
      </c>
      <c r="J238" s="158" t="s">
        <v>453</v>
      </c>
      <c r="K238" s="137" t="s">
        <v>455</v>
      </c>
      <c r="L238" s="137" t="s">
        <v>457</v>
      </c>
      <c r="M238" s="137" t="s">
        <v>459</v>
      </c>
      <c r="N238" s="137" t="s">
        <v>461</v>
      </c>
      <c r="O238" s="137" t="s">
        <v>463</v>
      </c>
      <c r="P238" s="137" t="s">
        <v>465</v>
      </c>
      <c r="Q238" s="138" t="s">
        <v>467</v>
      </c>
      <c r="R238" s="120" t="s">
        <v>469</v>
      </c>
      <c r="S238" s="121" t="s">
        <v>471</v>
      </c>
      <c r="T238" s="121" t="s">
        <v>473</v>
      </c>
      <c r="U238" s="121" t="s">
        <v>475</v>
      </c>
      <c r="V238" s="122" t="s">
        <v>477</v>
      </c>
    </row>
    <row r="239" spans="1:23" s="98" customFormat="1" ht="15" customHeight="1">
      <c r="B239" s="161"/>
      <c r="C239" s="180" t="s">
        <v>3034</v>
      </c>
      <c r="D239" s="162"/>
      <c r="E239" s="162"/>
      <c r="F239" s="162"/>
      <c r="G239" s="163"/>
      <c r="H239" s="163"/>
      <c r="I239" s="117"/>
      <c r="J239" s="159"/>
      <c r="K239" s="117"/>
      <c r="L239" s="117"/>
      <c r="M239" s="117"/>
      <c r="N239" s="117"/>
      <c r="O239" s="117"/>
      <c r="P239" s="117"/>
      <c r="Q239" s="160"/>
      <c r="R239" s="159"/>
      <c r="S239" s="117"/>
      <c r="T239" s="117"/>
      <c r="U239" s="117"/>
      <c r="V239" s="160"/>
      <c r="W239" s="185"/>
    </row>
    <row r="240" spans="1:23" s="98" customFormat="1" ht="15" customHeight="1">
      <c r="B240" s="161"/>
      <c r="C240" s="185"/>
      <c r="D240" s="162" t="s">
        <v>3022</v>
      </c>
      <c r="E240" s="162"/>
      <c r="F240" s="162"/>
      <c r="G240" s="162"/>
      <c r="H240" s="163"/>
      <c r="I240" s="164" t="s">
        <v>1876</v>
      </c>
      <c r="J240" s="165">
        <v>0</v>
      </c>
      <c r="K240" s="166">
        <v>0</v>
      </c>
      <c r="L240" s="166">
        <v>0</v>
      </c>
      <c r="M240" s="166">
        <v>0</v>
      </c>
      <c r="N240" s="166">
        <v>0</v>
      </c>
      <c r="O240" s="166">
        <v>0</v>
      </c>
      <c r="P240" s="166">
        <v>0</v>
      </c>
      <c r="Q240" s="167">
        <v>0</v>
      </c>
      <c r="R240" s="165">
        <v>0</v>
      </c>
      <c r="S240" s="166">
        <v>0</v>
      </c>
      <c r="T240" s="166">
        <v>0</v>
      </c>
      <c r="U240" s="166">
        <v>0</v>
      </c>
      <c r="V240" s="167">
        <v>0</v>
      </c>
      <c r="W240" s="185"/>
    </row>
    <row r="241" spans="1:23" s="98" customFormat="1" ht="15" customHeight="1">
      <c r="B241" s="161"/>
      <c r="C241" s="185"/>
      <c r="D241" s="162" t="s">
        <v>3023</v>
      </c>
      <c r="E241" s="162"/>
      <c r="F241" s="162"/>
      <c r="G241" s="162"/>
      <c r="H241" s="163"/>
      <c r="I241" s="164" t="s">
        <v>1876</v>
      </c>
      <c r="J241" s="165">
        <v>0</v>
      </c>
      <c r="K241" s="166">
        <v>0</v>
      </c>
      <c r="L241" s="166">
        <v>0</v>
      </c>
      <c r="M241" s="166">
        <v>0</v>
      </c>
      <c r="N241" s="166">
        <v>0</v>
      </c>
      <c r="O241" s="166">
        <v>0</v>
      </c>
      <c r="P241" s="166">
        <v>0</v>
      </c>
      <c r="Q241" s="167">
        <v>0</v>
      </c>
      <c r="R241" s="165">
        <v>0</v>
      </c>
      <c r="S241" s="166">
        <v>0</v>
      </c>
      <c r="T241" s="166">
        <v>0</v>
      </c>
      <c r="U241" s="166">
        <v>0</v>
      </c>
      <c r="V241" s="167">
        <v>0</v>
      </c>
      <c r="W241" s="185"/>
    </row>
    <row r="242" spans="1:23" s="98" customFormat="1" ht="15" customHeight="1">
      <c r="B242" s="161"/>
      <c r="C242" s="185"/>
      <c r="D242" s="162" t="s">
        <v>3024</v>
      </c>
      <c r="E242" s="162"/>
      <c r="F242" s="162"/>
      <c r="G242" s="162"/>
      <c r="H242" s="163"/>
      <c r="I242" s="164" t="s">
        <v>1876</v>
      </c>
      <c r="J242" s="165">
        <v>0</v>
      </c>
      <c r="K242" s="166">
        <v>0</v>
      </c>
      <c r="L242" s="166">
        <v>0</v>
      </c>
      <c r="M242" s="166">
        <v>0</v>
      </c>
      <c r="N242" s="166">
        <v>0</v>
      </c>
      <c r="O242" s="166">
        <v>0</v>
      </c>
      <c r="P242" s="166">
        <v>0</v>
      </c>
      <c r="Q242" s="167">
        <v>0</v>
      </c>
      <c r="R242" s="165">
        <v>0</v>
      </c>
      <c r="S242" s="166">
        <v>0</v>
      </c>
      <c r="T242" s="166">
        <v>0</v>
      </c>
      <c r="U242" s="166">
        <v>0</v>
      </c>
      <c r="V242" s="167">
        <v>0</v>
      </c>
      <c r="W242" s="185"/>
    </row>
    <row r="243" spans="1:23" s="98" customFormat="1" ht="15" customHeight="1">
      <c r="B243" s="161"/>
      <c r="C243" s="185"/>
      <c r="D243" s="162" t="s">
        <v>3025</v>
      </c>
      <c r="E243" s="162"/>
      <c r="F243" s="162"/>
      <c r="G243" s="162"/>
      <c r="H243" s="163"/>
      <c r="I243" s="164" t="s">
        <v>1876</v>
      </c>
      <c r="J243" s="165">
        <v>0</v>
      </c>
      <c r="K243" s="166">
        <v>0</v>
      </c>
      <c r="L243" s="166">
        <v>0</v>
      </c>
      <c r="M243" s="166">
        <v>0</v>
      </c>
      <c r="N243" s="166">
        <v>0</v>
      </c>
      <c r="O243" s="166">
        <v>0</v>
      </c>
      <c r="P243" s="166">
        <v>0</v>
      </c>
      <c r="Q243" s="167">
        <v>0</v>
      </c>
      <c r="R243" s="165">
        <v>0</v>
      </c>
      <c r="S243" s="166">
        <v>0</v>
      </c>
      <c r="T243" s="166">
        <v>0</v>
      </c>
      <c r="U243" s="166">
        <v>0</v>
      </c>
      <c r="V243" s="167">
        <v>0</v>
      </c>
      <c r="W243" s="185"/>
    </row>
    <row r="244" spans="1:23" s="98" customFormat="1" ht="15" customHeight="1" thickBot="1">
      <c r="B244" s="239"/>
      <c r="C244" s="192" t="s">
        <v>1710</v>
      </c>
      <c r="D244" s="246"/>
      <c r="E244" s="246"/>
      <c r="F244" s="246"/>
      <c r="G244" s="241"/>
      <c r="H244" s="241"/>
      <c r="I244" s="195" t="s">
        <v>1876</v>
      </c>
      <c r="J244" s="892">
        <f>SUM(J240:J243)</f>
        <v>0</v>
      </c>
      <c r="K244" s="893">
        <f t="shared" ref="K244" si="122">SUM(K240:K243)</f>
        <v>0</v>
      </c>
      <c r="L244" s="893">
        <f t="shared" ref="L244" si="123">SUM(L240:L243)</f>
        <v>0</v>
      </c>
      <c r="M244" s="893">
        <f t="shared" ref="M244" si="124">SUM(M240:M243)</f>
        <v>0</v>
      </c>
      <c r="N244" s="893">
        <f t="shared" ref="N244" si="125">SUM(N240:N243)</f>
        <v>0</v>
      </c>
      <c r="O244" s="893">
        <f t="shared" ref="O244" si="126">SUM(O240:O243)</f>
        <v>0</v>
      </c>
      <c r="P244" s="893">
        <f t="shared" ref="P244" si="127">SUM(P240:P243)</f>
        <v>0</v>
      </c>
      <c r="Q244" s="890">
        <f t="shared" ref="Q244" si="128">SUM(Q240:Q243)</f>
        <v>0</v>
      </c>
      <c r="R244" s="892">
        <f t="shared" ref="R244" si="129">SUM(R240:R243)</f>
        <v>0</v>
      </c>
      <c r="S244" s="893">
        <f t="shared" ref="S244" si="130">SUM(S240:S243)</f>
        <v>0</v>
      </c>
      <c r="T244" s="893">
        <f t="shared" ref="T244" si="131">SUM(T240:T243)</f>
        <v>0</v>
      </c>
      <c r="U244" s="893">
        <f t="shared" ref="U244" si="132">SUM(U240:U243)</f>
        <v>0</v>
      </c>
      <c r="V244" s="890">
        <f t="shared" ref="V244" si="133">SUM(V240:V243)</f>
        <v>0</v>
      </c>
      <c r="W244" s="185"/>
    </row>
    <row r="245" spans="1:23" s="98" customFormat="1" ht="15" customHeight="1" thickBot="1"/>
    <row r="246" spans="1:23" s="100" customFormat="1" ht="30" customHeight="1" thickBot="1">
      <c r="A246" s="89"/>
      <c r="B246" s="621" t="s">
        <v>3036</v>
      </c>
      <c r="C246" s="102"/>
      <c r="D246" s="102"/>
      <c r="E246" s="102"/>
      <c r="F246" s="102"/>
      <c r="G246" s="103"/>
      <c r="H246" s="103"/>
      <c r="I246" s="105" t="s">
        <v>1869</v>
      </c>
      <c r="J246" s="106"/>
      <c r="K246" s="106"/>
      <c r="L246" s="106"/>
      <c r="M246" s="106"/>
      <c r="N246" s="106"/>
      <c r="O246" s="106"/>
      <c r="P246" s="106"/>
      <c r="Q246" s="106"/>
      <c r="R246" s="105"/>
      <c r="S246" s="105"/>
      <c r="T246" s="105"/>
      <c r="U246" s="105"/>
      <c r="V246" s="187"/>
    </row>
    <row r="247" spans="1:23" s="157" customFormat="1" ht="30" customHeight="1">
      <c r="A247" s="99"/>
      <c r="B247" s="109"/>
      <c r="C247" s="110"/>
      <c r="D247" s="110"/>
      <c r="E247" s="110"/>
      <c r="F247" s="110"/>
      <c r="G247" s="111"/>
      <c r="H247" s="111"/>
      <c r="I247" s="117"/>
      <c r="J247" s="695" t="s">
        <v>1666</v>
      </c>
      <c r="K247" s="152"/>
      <c r="L247" s="152"/>
      <c r="M247" s="152"/>
      <c r="N247" s="152"/>
      <c r="O247" s="152"/>
      <c r="P247" s="152"/>
      <c r="Q247" s="153"/>
      <c r="R247" s="696" t="s">
        <v>2</v>
      </c>
      <c r="S247" s="155"/>
      <c r="T247" s="155"/>
      <c r="U247" s="155"/>
      <c r="V247" s="156"/>
    </row>
    <row r="248" spans="1:23" s="98" customFormat="1" ht="15" customHeight="1">
      <c r="A248" s="99"/>
      <c r="B248" s="115"/>
      <c r="C248" s="116"/>
      <c r="D248" s="116"/>
      <c r="E248" s="116"/>
      <c r="F248" s="116"/>
      <c r="G248" s="117"/>
      <c r="H248" s="117"/>
      <c r="I248" s="119" t="s">
        <v>1667</v>
      </c>
      <c r="J248" s="158" t="s">
        <v>453</v>
      </c>
      <c r="K248" s="137" t="s">
        <v>455</v>
      </c>
      <c r="L248" s="137" t="s">
        <v>457</v>
      </c>
      <c r="M248" s="137" t="s">
        <v>459</v>
      </c>
      <c r="N248" s="137" t="s">
        <v>461</v>
      </c>
      <c r="O248" s="137" t="s">
        <v>463</v>
      </c>
      <c r="P248" s="137" t="s">
        <v>465</v>
      </c>
      <c r="Q248" s="138" t="s">
        <v>467</v>
      </c>
      <c r="R248" s="120" t="s">
        <v>469</v>
      </c>
      <c r="S248" s="121" t="s">
        <v>471</v>
      </c>
      <c r="T248" s="121" t="s">
        <v>473</v>
      </c>
      <c r="U248" s="121" t="s">
        <v>475</v>
      </c>
      <c r="V248" s="122" t="s">
        <v>477</v>
      </c>
    </row>
    <row r="249" spans="1:23" s="98" customFormat="1" ht="15" customHeight="1">
      <c r="B249" s="161"/>
      <c r="C249" s="180" t="s">
        <v>2874</v>
      </c>
      <c r="D249" s="162"/>
      <c r="E249" s="162"/>
      <c r="F249" s="162"/>
      <c r="G249" s="163"/>
      <c r="H249" s="163"/>
      <c r="I249" s="117"/>
      <c r="J249" s="159"/>
      <c r="K249" s="117"/>
      <c r="L249" s="117"/>
      <c r="M249" s="117"/>
      <c r="N249" s="117"/>
      <c r="O249" s="117"/>
      <c r="P249" s="117"/>
      <c r="Q249" s="160"/>
      <c r="R249" s="159"/>
      <c r="S249" s="117"/>
      <c r="T249" s="117"/>
      <c r="U249" s="117"/>
      <c r="V249" s="160"/>
      <c r="W249" s="185"/>
    </row>
    <row r="250" spans="1:23" s="98" customFormat="1" ht="15" customHeight="1">
      <c r="B250" s="161"/>
      <c r="C250" s="185"/>
      <c r="D250" s="162" t="s">
        <v>2862</v>
      </c>
      <c r="E250" s="162"/>
      <c r="F250" s="162"/>
      <c r="G250" s="162"/>
      <c r="H250" s="163"/>
      <c r="I250" s="164" t="s">
        <v>1876</v>
      </c>
      <c r="J250" s="165">
        <v>33</v>
      </c>
      <c r="K250" s="166">
        <v>35</v>
      </c>
      <c r="L250" s="166">
        <v>26</v>
      </c>
      <c r="M250" s="166">
        <v>17</v>
      </c>
      <c r="N250" s="166">
        <v>14</v>
      </c>
      <c r="O250" s="166">
        <v>26</v>
      </c>
      <c r="P250" s="166">
        <v>25.74</v>
      </c>
      <c r="Q250" s="167">
        <v>25.482599999999998</v>
      </c>
      <c r="R250" s="165">
        <v>25.227773999999997</v>
      </c>
      <c r="S250" s="166">
        <v>24.975496259999996</v>
      </c>
      <c r="T250" s="166">
        <v>24.725741297399995</v>
      </c>
      <c r="U250" s="166">
        <v>24.478483884425994</v>
      </c>
      <c r="V250" s="167">
        <v>24.233699045581734</v>
      </c>
      <c r="W250" s="185"/>
    </row>
    <row r="251" spans="1:23" s="98" customFormat="1" ht="15" customHeight="1">
      <c r="B251" s="161"/>
      <c r="C251" s="185"/>
      <c r="D251" s="162" t="s">
        <v>2863</v>
      </c>
      <c r="E251" s="162"/>
      <c r="F251" s="162"/>
      <c r="G251" s="162"/>
      <c r="H251" s="163"/>
      <c r="I251" s="164" t="s">
        <v>1876</v>
      </c>
      <c r="J251" s="165">
        <v>81</v>
      </c>
      <c r="K251" s="166">
        <v>106</v>
      </c>
      <c r="L251" s="166">
        <v>62</v>
      </c>
      <c r="M251" s="166">
        <v>61</v>
      </c>
      <c r="N251" s="166">
        <v>75</v>
      </c>
      <c r="O251" s="166">
        <v>74</v>
      </c>
      <c r="P251" s="166">
        <v>73.260000000000005</v>
      </c>
      <c r="Q251" s="167">
        <v>72.5274</v>
      </c>
      <c r="R251" s="165">
        <v>71.802126000000001</v>
      </c>
      <c r="S251" s="166">
        <v>71.084104740000001</v>
      </c>
      <c r="T251" s="166">
        <v>70.373263692600005</v>
      </c>
      <c r="U251" s="166">
        <v>69.669531055674</v>
      </c>
      <c r="V251" s="167">
        <v>68.972835745117266</v>
      </c>
      <c r="W251" s="185"/>
    </row>
    <row r="252" spans="1:23" s="98" customFormat="1" ht="15" customHeight="1">
      <c r="B252" s="161"/>
      <c r="C252" s="185"/>
      <c r="D252" s="162" t="s">
        <v>2864</v>
      </c>
      <c r="E252" s="162"/>
      <c r="F252" s="162"/>
      <c r="G252" s="162"/>
      <c r="H252" s="163"/>
      <c r="I252" s="164" t="s">
        <v>1876</v>
      </c>
      <c r="J252" s="165">
        <v>47</v>
      </c>
      <c r="K252" s="166">
        <v>55</v>
      </c>
      <c r="L252" s="166">
        <v>32</v>
      </c>
      <c r="M252" s="166">
        <v>46</v>
      </c>
      <c r="N252" s="166">
        <v>43</v>
      </c>
      <c r="O252" s="166">
        <v>46</v>
      </c>
      <c r="P252" s="166">
        <v>45.54</v>
      </c>
      <c r="Q252" s="167">
        <v>45.084600000000002</v>
      </c>
      <c r="R252" s="165">
        <v>44.633754000000003</v>
      </c>
      <c r="S252" s="166">
        <v>44.187416460000001</v>
      </c>
      <c r="T252" s="166">
        <v>43.7455422954</v>
      </c>
      <c r="U252" s="166">
        <v>43.308086872445998</v>
      </c>
      <c r="V252" s="167">
        <v>42.875006003721538</v>
      </c>
      <c r="W252" s="185"/>
    </row>
    <row r="253" spans="1:23" s="98" customFormat="1" ht="15" customHeight="1">
      <c r="B253" s="161"/>
      <c r="C253" s="185"/>
      <c r="D253" s="162" t="s">
        <v>2865</v>
      </c>
      <c r="E253" s="162"/>
      <c r="F253" s="162"/>
      <c r="G253" s="162"/>
      <c r="H253" s="163"/>
      <c r="I253" s="164" t="s">
        <v>1876</v>
      </c>
      <c r="J253" s="165">
        <v>12</v>
      </c>
      <c r="K253" s="166">
        <v>20</v>
      </c>
      <c r="L253" s="166">
        <v>21</v>
      </c>
      <c r="M253" s="166">
        <v>16</v>
      </c>
      <c r="N253" s="166">
        <v>25</v>
      </c>
      <c r="O253" s="166">
        <v>17</v>
      </c>
      <c r="P253" s="166">
        <v>16.829999999999998</v>
      </c>
      <c r="Q253" s="167">
        <v>16.6617</v>
      </c>
      <c r="R253" s="165">
        <v>16.495083000000001</v>
      </c>
      <c r="S253" s="166">
        <v>16.330132170000002</v>
      </c>
      <c r="T253" s="166">
        <v>16.166830848300002</v>
      </c>
      <c r="U253" s="166">
        <v>16.005162539817</v>
      </c>
      <c r="V253" s="167">
        <v>15.84511091441883</v>
      </c>
      <c r="W253" s="185"/>
    </row>
    <row r="254" spans="1:23" s="98" customFormat="1" ht="15" customHeight="1">
      <c r="B254" s="161"/>
      <c r="C254" s="185"/>
      <c r="D254" s="162" t="s">
        <v>2866</v>
      </c>
      <c r="E254" s="162"/>
      <c r="F254" s="162"/>
      <c r="G254" s="162"/>
      <c r="H254" s="163"/>
      <c r="I254" s="164" t="s">
        <v>1876</v>
      </c>
      <c r="J254" s="165">
        <v>3</v>
      </c>
      <c r="K254" s="166">
        <v>2</v>
      </c>
      <c r="L254" s="166">
        <v>1</v>
      </c>
      <c r="M254" s="166">
        <v>2</v>
      </c>
      <c r="N254" s="166">
        <v>5</v>
      </c>
      <c r="O254" s="166">
        <v>3</v>
      </c>
      <c r="P254" s="166">
        <v>2.9699999999999998</v>
      </c>
      <c r="Q254" s="167">
        <v>2.9402999999999997</v>
      </c>
      <c r="R254" s="165">
        <v>2.9108969999999998</v>
      </c>
      <c r="S254" s="166">
        <v>2.8817880299999996</v>
      </c>
      <c r="T254" s="166">
        <v>2.8529701496999995</v>
      </c>
      <c r="U254" s="166">
        <v>2.8244404482029997</v>
      </c>
      <c r="V254" s="167">
        <v>2.7961960437209696</v>
      </c>
      <c r="W254" s="185"/>
    </row>
    <row r="255" spans="1:23" s="98" customFormat="1" ht="15" customHeight="1">
      <c r="B255" s="161"/>
      <c r="C255" s="185"/>
      <c r="D255" s="162" t="s">
        <v>2867</v>
      </c>
      <c r="E255" s="162"/>
      <c r="F255" s="162"/>
      <c r="G255" s="162"/>
      <c r="H255" s="163"/>
      <c r="I255" s="164" t="s">
        <v>1876</v>
      </c>
      <c r="J255" s="165">
        <v>13</v>
      </c>
      <c r="K255" s="166">
        <v>7</v>
      </c>
      <c r="L255" s="166">
        <v>10</v>
      </c>
      <c r="M255" s="166">
        <v>11</v>
      </c>
      <c r="N255" s="166">
        <v>16</v>
      </c>
      <c r="O255" s="166">
        <v>14</v>
      </c>
      <c r="P255" s="166">
        <v>13.86</v>
      </c>
      <c r="Q255" s="167">
        <v>13.721399999999999</v>
      </c>
      <c r="R255" s="165">
        <v>13.584185999999999</v>
      </c>
      <c r="S255" s="166">
        <v>13.44834414</v>
      </c>
      <c r="T255" s="166">
        <v>13.313860698599999</v>
      </c>
      <c r="U255" s="166">
        <v>13.180722091613999</v>
      </c>
      <c r="V255" s="167">
        <v>13.048914870697859</v>
      </c>
      <c r="W255" s="185"/>
    </row>
    <row r="256" spans="1:23" s="98" customFormat="1" ht="15" customHeight="1">
      <c r="B256" s="161"/>
      <c r="C256" s="185"/>
      <c r="D256" s="162" t="s">
        <v>2868</v>
      </c>
      <c r="E256" s="162"/>
      <c r="F256" s="162"/>
      <c r="G256" s="162"/>
      <c r="H256" s="163"/>
      <c r="I256" s="164" t="s">
        <v>1876</v>
      </c>
      <c r="J256" s="165">
        <v>0</v>
      </c>
      <c r="K256" s="166">
        <v>1</v>
      </c>
      <c r="L256" s="166">
        <v>0</v>
      </c>
      <c r="M256" s="166">
        <v>1</v>
      </c>
      <c r="N256" s="166">
        <v>2</v>
      </c>
      <c r="O256" s="166">
        <v>1</v>
      </c>
      <c r="P256" s="166">
        <v>0.99</v>
      </c>
      <c r="Q256" s="167">
        <v>0.98009999999999997</v>
      </c>
      <c r="R256" s="165">
        <v>0.97029899999999991</v>
      </c>
      <c r="S256" s="166">
        <v>0.96059600999999994</v>
      </c>
      <c r="T256" s="166">
        <v>0.95099004989999991</v>
      </c>
      <c r="U256" s="166">
        <v>0.94148014940099989</v>
      </c>
      <c r="V256" s="167">
        <v>0.93206534790698992</v>
      </c>
      <c r="W256" s="185"/>
    </row>
    <row r="257" spans="1:23" s="98" customFormat="1" ht="15" customHeight="1">
      <c r="B257" s="161"/>
      <c r="C257" s="185"/>
      <c r="D257" s="162" t="s">
        <v>2869</v>
      </c>
      <c r="E257" s="162"/>
      <c r="F257" s="162"/>
      <c r="G257" s="162"/>
      <c r="H257" s="163"/>
      <c r="I257" s="164" t="s">
        <v>1876</v>
      </c>
      <c r="J257" s="165">
        <v>1</v>
      </c>
      <c r="K257" s="166">
        <v>1</v>
      </c>
      <c r="L257" s="166">
        <v>2</v>
      </c>
      <c r="M257" s="166">
        <v>1</v>
      </c>
      <c r="N257" s="166">
        <v>1</v>
      </c>
      <c r="O257" s="166">
        <v>0</v>
      </c>
      <c r="P257" s="166">
        <v>0</v>
      </c>
      <c r="Q257" s="167">
        <v>0</v>
      </c>
      <c r="R257" s="165">
        <v>0</v>
      </c>
      <c r="S257" s="166">
        <v>0</v>
      </c>
      <c r="T257" s="166">
        <v>0</v>
      </c>
      <c r="U257" s="166">
        <v>0</v>
      </c>
      <c r="V257" s="167">
        <v>0</v>
      </c>
      <c r="W257" s="185"/>
    </row>
    <row r="258" spans="1:23" s="98" customFormat="1" ht="15" customHeight="1">
      <c r="B258" s="161"/>
      <c r="C258" s="185"/>
      <c r="D258" s="162" t="s">
        <v>2870</v>
      </c>
      <c r="E258" s="162"/>
      <c r="F258" s="162"/>
      <c r="G258" s="162"/>
      <c r="H258" s="163"/>
      <c r="I258" s="164" t="s">
        <v>1876</v>
      </c>
      <c r="J258" s="165">
        <v>0</v>
      </c>
      <c r="K258" s="166">
        <v>0</v>
      </c>
      <c r="L258" s="166">
        <v>0</v>
      </c>
      <c r="M258" s="166">
        <v>0</v>
      </c>
      <c r="N258" s="166">
        <v>0</v>
      </c>
      <c r="O258" s="166">
        <v>0</v>
      </c>
      <c r="P258" s="166">
        <v>0</v>
      </c>
      <c r="Q258" s="167">
        <v>0</v>
      </c>
      <c r="R258" s="165">
        <v>0</v>
      </c>
      <c r="S258" s="166">
        <v>0</v>
      </c>
      <c r="T258" s="166">
        <v>0</v>
      </c>
      <c r="U258" s="166">
        <v>0</v>
      </c>
      <c r="V258" s="167">
        <v>0</v>
      </c>
      <c r="W258" s="185"/>
    </row>
    <row r="259" spans="1:23" s="98" customFormat="1" ht="15" customHeight="1">
      <c r="B259" s="181"/>
      <c r="C259" s="182" t="s">
        <v>1710</v>
      </c>
      <c r="G259" s="184"/>
      <c r="H259" s="184"/>
      <c r="I259" s="164" t="s">
        <v>1876</v>
      </c>
      <c r="J259" s="777">
        <f>SUM(J250:J258)</f>
        <v>190</v>
      </c>
      <c r="K259" s="778">
        <f t="shared" ref="K259:V259" si="134">SUM(K250:K258)</f>
        <v>227</v>
      </c>
      <c r="L259" s="778">
        <f t="shared" si="134"/>
        <v>154</v>
      </c>
      <c r="M259" s="778">
        <f t="shared" si="134"/>
        <v>155</v>
      </c>
      <c r="N259" s="778">
        <f t="shared" si="134"/>
        <v>181</v>
      </c>
      <c r="O259" s="778">
        <f t="shared" si="134"/>
        <v>181</v>
      </c>
      <c r="P259" s="778">
        <f t="shared" si="134"/>
        <v>179.19</v>
      </c>
      <c r="Q259" s="779">
        <f t="shared" si="134"/>
        <v>177.39809999999997</v>
      </c>
      <c r="R259" s="777">
        <f t="shared" si="134"/>
        <v>175.62411900000001</v>
      </c>
      <c r="S259" s="778">
        <f t="shared" si="134"/>
        <v>173.86787780999998</v>
      </c>
      <c r="T259" s="778">
        <f t="shared" si="134"/>
        <v>172.12919903190001</v>
      </c>
      <c r="U259" s="778">
        <f t="shared" si="134"/>
        <v>170.40790704158101</v>
      </c>
      <c r="V259" s="779">
        <f t="shared" si="134"/>
        <v>168.7038279711652</v>
      </c>
      <c r="W259" s="185"/>
    </row>
    <row r="260" spans="1:23" s="98" customFormat="1" ht="15" customHeight="1">
      <c r="B260" s="181"/>
      <c r="C260" s="185"/>
      <c r="D260" s="182"/>
      <c r="E260" s="182"/>
      <c r="F260" s="182"/>
      <c r="G260" s="184"/>
      <c r="H260" s="184"/>
      <c r="I260" s="117"/>
      <c r="J260" s="878"/>
      <c r="K260" s="2671"/>
      <c r="L260" s="2671"/>
      <c r="M260" s="2671"/>
      <c r="N260" s="2671"/>
      <c r="O260" s="2671"/>
      <c r="P260" s="2671"/>
      <c r="Q260" s="880"/>
      <c r="R260" s="2671"/>
      <c r="S260" s="2671"/>
      <c r="T260" s="2671"/>
      <c r="U260" s="2671"/>
      <c r="V260" s="880"/>
      <c r="W260" s="185"/>
    </row>
    <row r="261" spans="1:23" s="98" customFormat="1" ht="15" customHeight="1">
      <c r="B261" s="161"/>
      <c r="C261" s="180" t="s">
        <v>2875</v>
      </c>
      <c r="D261" s="162"/>
      <c r="E261" s="162"/>
      <c r="F261" s="162"/>
      <c r="G261" s="163"/>
      <c r="H261" s="163"/>
      <c r="I261" s="117"/>
      <c r="J261" s="878"/>
      <c r="K261" s="2662"/>
      <c r="L261" s="2662"/>
      <c r="M261" s="2662"/>
      <c r="N261" s="2662"/>
      <c r="O261" s="2662"/>
      <c r="P261" s="2662"/>
      <c r="Q261" s="880"/>
      <c r="R261" s="878"/>
      <c r="S261" s="2662"/>
      <c r="T261" s="2662"/>
      <c r="U261" s="2662"/>
      <c r="V261" s="880"/>
      <c r="W261" s="185"/>
    </row>
    <row r="262" spans="1:23" s="98" customFormat="1" ht="15" customHeight="1">
      <c r="B262" s="161"/>
      <c r="C262" s="185"/>
      <c r="D262" s="162" t="s">
        <v>2862</v>
      </c>
      <c r="E262" s="162"/>
      <c r="F262" s="162"/>
      <c r="G262" s="162"/>
      <c r="H262" s="163"/>
      <c r="I262" s="164" t="s">
        <v>1876</v>
      </c>
      <c r="J262" s="165">
        <v>23</v>
      </c>
      <c r="K262" s="166">
        <v>23</v>
      </c>
      <c r="L262" s="166">
        <v>22</v>
      </c>
      <c r="M262" s="166">
        <v>16</v>
      </c>
      <c r="N262" s="166">
        <v>17</v>
      </c>
      <c r="O262" s="166">
        <v>20</v>
      </c>
      <c r="P262" s="166">
        <v>18.75</v>
      </c>
      <c r="Q262" s="167">
        <v>18.375</v>
      </c>
      <c r="R262" s="165">
        <v>18.0075</v>
      </c>
      <c r="S262" s="166">
        <v>17.647349999999999</v>
      </c>
      <c r="T262" s="166">
        <v>17.294402999999999</v>
      </c>
      <c r="U262" s="166">
        <v>16.948514939999999</v>
      </c>
      <c r="V262" s="167">
        <v>16.609544641199999</v>
      </c>
      <c r="W262" s="185"/>
    </row>
    <row r="263" spans="1:23" s="98" customFormat="1" ht="15" customHeight="1">
      <c r="B263" s="161"/>
      <c r="C263" s="185"/>
      <c r="D263" s="162" t="s">
        <v>2863</v>
      </c>
      <c r="E263" s="162"/>
      <c r="F263" s="162"/>
      <c r="G263" s="162"/>
      <c r="H263" s="163"/>
      <c r="I263" s="164" t="s">
        <v>1876</v>
      </c>
      <c r="J263" s="165">
        <v>215</v>
      </c>
      <c r="K263" s="166">
        <v>259</v>
      </c>
      <c r="L263" s="166">
        <v>176</v>
      </c>
      <c r="M263" s="166">
        <v>176</v>
      </c>
      <c r="N263" s="166">
        <v>176</v>
      </c>
      <c r="O263" s="166">
        <v>129</v>
      </c>
      <c r="P263" s="166">
        <v>164.25</v>
      </c>
      <c r="Q263" s="167">
        <v>160.965</v>
      </c>
      <c r="R263" s="165">
        <v>157.7457</v>
      </c>
      <c r="S263" s="166">
        <v>154.59078600000001</v>
      </c>
      <c r="T263" s="166">
        <v>151.49897028000001</v>
      </c>
      <c r="U263" s="166">
        <v>148.46899087439999</v>
      </c>
      <c r="V263" s="167">
        <v>145.49961105691199</v>
      </c>
      <c r="W263" s="185"/>
    </row>
    <row r="264" spans="1:23" s="98" customFormat="1" ht="15" customHeight="1">
      <c r="B264" s="161"/>
      <c r="C264" s="185"/>
      <c r="D264" s="162" t="s">
        <v>2864</v>
      </c>
      <c r="E264" s="162"/>
      <c r="F264" s="162"/>
      <c r="G264" s="162"/>
      <c r="H264" s="163"/>
      <c r="I264" s="164" t="s">
        <v>1876</v>
      </c>
      <c r="J264" s="165">
        <v>99</v>
      </c>
      <c r="K264" s="166">
        <v>111</v>
      </c>
      <c r="L264" s="166">
        <v>87</v>
      </c>
      <c r="M264" s="166">
        <v>87</v>
      </c>
      <c r="N264" s="166">
        <v>60</v>
      </c>
      <c r="O264" s="166">
        <v>77</v>
      </c>
      <c r="P264" s="166">
        <v>77.75</v>
      </c>
      <c r="Q264" s="167">
        <v>76.194999999999993</v>
      </c>
      <c r="R264" s="165">
        <v>74.671099999999996</v>
      </c>
      <c r="S264" s="166">
        <v>73.177678</v>
      </c>
      <c r="T264" s="166">
        <v>71.714124439999992</v>
      </c>
      <c r="U264" s="166">
        <v>70.279841951199984</v>
      </c>
      <c r="V264" s="167">
        <v>68.874245112175984</v>
      </c>
      <c r="W264" s="185"/>
    </row>
    <row r="265" spans="1:23" s="98" customFormat="1" ht="15" customHeight="1">
      <c r="B265" s="161"/>
      <c r="C265" s="185"/>
      <c r="D265" s="162" t="s">
        <v>2865</v>
      </c>
      <c r="E265" s="162"/>
      <c r="F265" s="162"/>
      <c r="G265" s="162"/>
      <c r="H265" s="163"/>
      <c r="I265" s="164" t="s">
        <v>1876</v>
      </c>
      <c r="J265" s="165">
        <v>35</v>
      </c>
      <c r="K265" s="166">
        <v>37</v>
      </c>
      <c r="L265" s="166">
        <v>31</v>
      </c>
      <c r="M265" s="166">
        <v>26</v>
      </c>
      <c r="N265" s="166">
        <v>34</v>
      </c>
      <c r="O265" s="166">
        <v>25</v>
      </c>
      <c r="P265" s="166">
        <v>29</v>
      </c>
      <c r="Q265" s="167">
        <v>28.419999999999998</v>
      </c>
      <c r="R265" s="165">
        <v>27.851599999999998</v>
      </c>
      <c r="S265" s="166">
        <v>27.294567999999998</v>
      </c>
      <c r="T265" s="166">
        <v>26.748676639999999</v>
      </c>
      <c r="U265" s="166">
        <v>26.213703107200001</v>
      </c>
      <c r="V265" s="167">
        <v>25.689429045055999</v>
      </c>
      <c r="W265" s="185"/>
    </row>
    <row r="266" spans="1:23" s="98" customFormat="1" ht="15" customHeight="1">
      <c r="B266" s="161"/>
      <c r="C266" s="185"/>
      <c r="D266" s="162" t="s">
        <v>2866</v>
      </c>
      <c r="E266" s="162"/>
      <c r="F266" s="162"/>
      <c r="G266" s="162"/>
      <c r="H266" s="163"/>
      <c r="I266" s="164" t="s">
        <v>1876</v>
      </c>
      <c r="J266" s="165">
        <v>0</v>
      </c>
      <c r="K266" s="166">
        <v>1</v>
      </c>
      <c r="L266" s="166">
        <v>4</v>
      </c>
      <c r="M266" s="166">
        <v>0</v>
      </c>
      <c r="N266" s="166">
        <v>1</v>
      </c>
      <c r="O266" s="166">
        <v>0</v>
      </c>
      <c r="P266" s="166">
        <v>1.25</v>
      </c>
      <c r="Q266" s="167">
        <v>1.2250000000000001</v>
      </c>
      <c r="R266" s="165">
        <v>1.2005000000000001</v>
      </c>
      <c r="S266" s="166">
        <v>1.17649</v>
      </c>
      <c r="T266" s="166">
        <v>1.1529602000000001</v>
      </c>
      <c r="U266" s="166">
        <v>1.1299009960000002</v>
      </c>
      <c r="V266" s="167">
        <v>1.1073029760800002</v>
      </c>
      <c r="W266" s="185"/>
    </row>
    <row r="267" spans="1:23" s="98" customFormat="1" ht="15" customHeight="1">
      <c r="B267" s="161"/>
      <c r="C267" s="185"/>
      <c r="D267" s="162" t="s">
        <v>2867</v>
      </c>
      <c r="E267" s="162"/>
      <c r="F267" s="162"/>
      <c r="G267" s="162"/>
      <c r="H267" s="163"/>
      <c r="I267" s="164" t="s">
        <v>1876</v>
      </c>
      <c r="J267" s="165">
        <v>11</v>
      </c>
      <c r="K267" s="166">
        <v>25</v>
      </c>
      <c r="L267" s="166">
        <v>14</v>
      </c>
      <c r="M267" s="166">
        <v>15</v>
      </c>
      <c r="N267" s="166">
        <v>13</v>
      </c>
      <c r="O267" s="166">
        <v>20</v>
      </c>
      <c r="P267" s="166">
        <v>15.5</v>
      </c>
      <c r="Q267" s="167">
        <v>15.19</v>
      </c>
      <c r="R267" s="165">
        <v>14.886199999999999</v>
      </c>
      <c r="S267" s="166">
        <v>14.588475999999998</v>
      </c>
      <c r="T267" s="166">
        <v>14.296706479999997</v>
      </c>
      <c r="U267" s="166">
        <v>14.010772350399996</v>
      </c>
      <c r="V267" s="167">
        <v>13.730556903391996</v>
      </c>
      <c r="W267" s="185"/>
    </row>
    <row r="268" spans="1:23" s="98" customFormat="1" ht="15" customHeight="1">
      <c r="B268" s="161"/>
      <c r="C268" s="185"/>
      <c r="D268" s="162" t="s">
        <v>2868</v>
      </c>
      <c r="E268" s="162"/>
      <c r="F268" s="162"/>
      <c r="G268" s="162"/>
      <c r="H268" s="163"/>
      <c r="I268" s="164" t="s">
        <v>1876</v>
      </c>
      <c r="J268" s="165">
        <v>2</v>
      </c>
      <c r="K268" s="166">
        <v>1</v>
      </c>
      <c r="L268" s="166">
        <v>0</v>
      </c>
      <c r="M268" s="166">
        <v>0</v>
      </c>
      <c r="N268" s="166">
        <v>2</v>
      </c>
      <c r="O268" s="166">
        <v>2</v>
      </c>
      <c r="P268" s="166">
        <v>1</v>
      </c>
      <c r="Q268" s="167">
        <v>0.98</v>
      </c>
      <c r="R268" s="165">
        <v>0.96039999999999992</v>
      </c>
      <c r="S268" s="166">
        <v>0.94119199999999992</v>
      </c>
      <c r="T268" s="166">
        <v>0.92236815999999988</v>
      </c>
      <c r="U268" s="166">
        <v>0.90392079679999982</v>
      </c>
      <c r="V268" s="167">
        <v>0.8858423808639998</v>
      </c>
      <c r="W268" s="185"/>
    </row>
    <row r="269" spans="1:23" s="98" customFormat="1" ht="15" customHeight="1">
      <c r="B269" s="161"/>
      <c r="C269" s="185"/>
      <c r="D269" s="162" t="s">
        <v>2869</v>
      </c>
      <c r="E269" s="162"/>
      <c r="F269" s="162"/>
      <c r="G269" s="162"/>
      <c r="H269" s="163"/>
      <c r="I269" s="164" t="s">
        <v>1876</v>
      </c>
      <c r="J269" s="165">
        <v>0</v>
      </c>
      <c r="K269" s="166">
        <v>0</v>
      </c>
      <c r="L269" s="166">
        <v>1</v>
      </c>
      <c r="M269" s="166">
        <v>2</v>
      </c>
      <c r="N269" s="166">
        <v>0</v>
      </c>
      <c r="O269" s="166">
        <v>1</v>
      </c>
      <c r="P269" s="166">
        <v>1</v>
      </c>
      <c r="Q269" s="167">
        <v>0.98</v>
      </c>
      <c r="R269" s="165">
        <v>0.96039999999999992</v>
      </c>
      <c r="S269" s="166">
        <v>0.94119199999999992</v>
      </c>
      <c r="T269" s="166">
        <v>0.92236815999999988</v>
      </c>
      <c r="U269" s="166">
        <v>0.90392079679999982</v>
      </c>
      <c r="V269" s="167">
        <v>0.8858423808639998</v>
      </c>
      <c r="W269" s="185"/>
    </row>
    <row r="270" spans="1:23" s="98" customFormat="1" ht="15" customHeight="1">
      <c r="B270" s="161"/>
      <c r="C270" s="185"/>
      <c r="D270" s="162" t="s">
        <v>2870</v>
      </c>
      <c r="E270" s="162"/>
      <c r="F270" s="162"/>
      <c r="G270" s="162"/>
      <c r="H270" s="163"/>
      <c r="I270" s="164" t="s">
        <v>1876</v>
      </c>
      <c r="J270" s="165">
        <v>0</v>
      </c>
      <c r="K270" s="166">
        <v>0</v>
      </c>
      <c r="L270" s="166">
        <v>0</v>
      </c>
      <c r="M270" s="166">
        <v>0</v>
      </c>
      <c r="N270" s="166">
        <v>0</v>
      </c>
      <c r="O270" s="166">
        <v>0</v>
      </c>
      <c r="P270" s="166">
        <v>0</v>
      </c>
      <c r="Q270" s="167">
        <v>0</v>
      </c>
      <c r="R270" s="165">
        <v>0</v>
      </c>
      <c r="S270" s="166">
        <v>0</v>
      </c>
      <c r="T270" s="166">
        <v>0</v>
      </c>
      <c r="U270" s="166">
        <v>0</v>
      </c>
      <c r="V270" s="167">
        <v>0</v>
      </c>
      <c r="W270" s="185"/>
    </row>
    <row r="271" spans="1:23" s="98" customFormat="1" ht="15" customHeight="1">
      <c r="B271" s="181"/>
      <c r="C271" s="182" t="s">
        <v>1710</v>
      </c>
      <c r="G271" s="184"/>
      <c r="H271" s="184"/>
      <c r="I271" s="164" t="s">
        <v>1876</v>
      </c>
      <c r="J271" s="777">
        <f>SUM(J262:J270)</f>
        <v>385</v>
      </c>
      <c r="K271" s="778">
        <f t="shared" ref="K271:V271" si="135">SUM(K262:K270)</f>
        <v>457</v>
      </c>
      <c r="L271" s="778">
        <f t="shared" si="135"/>
        <v>335</v>
      </c>
      <c r="M271" s="778">
        <f t="shared" si="135"/>
        <v>322</v>
      </c>
      <c r="N271" s="778">
        <f t="shared" si="135"/>
        <v>303</v>
      </c>
      <c r="O271" s="778">
        <f t="shared" si="135"/>
        <v>274</v>
      </c>
      <c r="P271" s="778">
        <f t="shared" si="135"/>
        <v>308.5</v>
      </c>
      <c r="Q271" s="779">
        <f t="shared" si="135"/>
        <v>302.33000000000004</v>
      </c>
      <c r="R271" s="777">
        <f t="shared" si="135"/>
        <v>296.28339999999992</v>
      </c>
      <c r="S271" s="778">
        <f t="shared" si="135"/>
        <v>290.357732</v>
      </c>
      <c r="T271" s="778">
        <f t="shared" si="135"/>
        <v>284.55057736000003</v>
      </c>
      <c r="U271" s="778">
        <f t="shared" si="135"/>
        <v>278.85956581279993</v>
      </c>
      <c r="V271" s="779">
        <f t="shared" si="135"/>
        <v>273.28237449654392</v>
      </c>
      <c r="W271" s="185"/>
    </row>
    <row r="272" spans="1:23" s="98" customFormat="1" ht="15" customHeight="1">
      <c r="A272" s="99"/>
      <c r="B272" s="181"/>
      <c r="C272" s="185"/>
      <c r="D272" s="182"/>
      <c r="E272" s="182"/>
      <c r="F272" s="182"/>
      <c r="G272" s="184"/>
      <c r="H272" s="184"/>
      <c r="I272" s="117"/>
      <c r="J272" s="878"/>
      <c r="K272" s="2671"/>
      <c r="L272" s="2671"/>
      <c r="M272" s="2671"/>
      <c r="N272" s="2671"/>
      <c r="O272" s="2671"/>
      <c r="P272" s="2671"/>
      <c r="Q272" s="880"/>
      <c r="R272" s="2671"/>
      <c r="S272" s="2671"/>
      <c r="T272" s="2671"/>
      <c r="U272" s="2671"/>
      <c r="V272" s="880"/>
      <c r="W272" s="185"/>
    </row>
    <row r="273" spans="1:23" s="98" customFormat="1" ht="15" customHeight="1">
      <c r="B273" s="161"/>
      <c r="C273" s="180" t="s">
        <v>2876</v>
      </c>
      <c r="D273" s="162"/>
      <c r="E273" s="162"/>
      <c r="F273" s="162"/>
      <c r="G273" s="163"/>
      <c r="H273" s="163"/>
      <c r="I273" s="117"/>
      <c r="J273" s="878"/>
      <c r="K273" s="2662"/>
      <c r="L273" s="2662"/>
      <c r="M273" s="2662"/>
      <c r="N273" s="2662"/>
      <c r="O273" s="2662"/>
      <c r="P273" s="2662"/>
      <c r="Q273" s="880"/>
      <c r="R273" s="878"/>
      <c r="S273" s="2662"/>
      <c r="T273" s="2662"/>
      <c r="U273" s="2662"/>
      <c r="V273" s="880"/>
      <c r="W273" s="185"/>
    </row>
    <row r="274" spans="1:23" s="98" customFormat="1" ht="15" customHeight="1">
      <c r="B274" s="161"/>
      <c r="C274" s="185"/>
      <c r="D274" s="162" t="s">
        <v>2862</v>
      </c>
      <c r="E274" s="162"/>
      <c r="F274" s="162"/>
      <c r="G274" s="162"/>
      <c r="H274" s="163"/>
      <c r="I274" s="164" t="s">
        <v>1876</v>
      </c>
      <c r="J274" s="165">
        <v>3</v>
      </c>
      <c r="K274" s="166">
        <v>9</v>
      </c>
      <c r="L274" s="166">
        <v>0</v>
      </c>
      <c r="M274" s="166">
        <v>0</v>
      </c>
      <c r="N274" s="166">
        <v>1</v>
      </c>
      <c r="O274" s="166">
        <v>4</v>
      </c>
      <c r="P274" s="166">
        <v>1.25</v>
      </c>
      <c r="Q274" s="167">
        <v>1.2250000000000001</v>
      </c>
      <c r="R274" s="165">
        <v>1.2005000000000001</v>
      </c>
      <c r="S274" s="166">
        <v>1.17649</v>
      </c>
      <c r="T274" s="166">
        <v>1.1529602000000001</v>
      </c>
      <c r="U274" s="166">
        <v>1.1299009960000002</v>
      </c>
      <c r="V274" s="167">
        <v>1.1073029760800002</v>
      </c>
      <c r="W274" s="185"/>
    </row>
    <row r="275" spans="1:23" s="98" customFormat="1" ht="15" customHeight="1">
      <c r="B275" s="161"/>
      <c r="C275" s="185"/>
      <c r="D275" s="162" t="s">
        <v>2863</v>
      </c>
      <c r="E275" s="162"/>
      <c r="F275" s="162"/>
      <c r="G275" s="162"/>
      <c r="H275" s="163"/>
      <c r="I275" s="164" t="s">
        <v>1876</v>
      </c>
      <c r="J275" s="165">
        <v>139</v>
      </c>
      <c r="K275" s="166">
        <v>96</v>
      </c>
      <c r="L275" s="166">
        <v>107</v>
      </c>
      <c r="M275" s="166">
        <v>105</v>
      </c>
      <c r="N275" s="166">
        <v>106</v>
      </c>
      <c r="O275" s="166">
        <v>124</v>
      </c>
      <c r="P275" s="166">
        <v>110.5</v>
      </c>
      <c r="Q275" s="167">
        <v>108.28999999999999</v>
      </c>
      <c r="R275" s="165">
        <v>106.12419999999999</v>
      </c>
      <c r="S275" s="166">
        <v>104.00171599999999</v>
      </c>
      <c r="T275" s="166">
        <v>101.92168167999999</v>
      </c>
      <c r="U275" s="166">
        <v>99.883248046399984</v>
      </c>
      <c r="V275" s="167">
        <v>97.885583085471978</v>
      </c>
      <c r="W275" s="185"/>
    </row>
    <row r="276" spans="1:23" s="98" customFormat="1" ht="15" customHeight="1">
      <c r="B276" s="161"/>
      <c r="C276" s="185"/>
      <c r="D276" s="162" t="s">
        <v>2864</v>
      </c>
      <c r="E276" s="162"/>
      <c r="F276" s="162"/>
      <c r="G276" s="162"/>
      <c r="H276" s="163"/>
      <c r="I276" s="164" t="s">
        <v>1876</v>
      </c>
      <c r="J276" s="165">
        <v>40</v>
      </c>
      <c r="K276" s="166">
        <v>44</v>
      </c>
      <c r="L276" s="166">
        <v>44</v>
      </c>
      <c r="M276" s="166">
        <v>43</v>
      </c>
      <c r="N276" s="166">
        <v>38</v>
      </c>
      <c r="O276" s="166">
        <v>32</v>
      </c>
      <c r="P276" s="166">
        <v>39.25</v>
      </c>
      <c r="Q276" s="167">
        <v>38.464999999999996</v>
      </c>
      <c r="R276" s="165">
        <v>37.695699999999995</v>
      </c>
      <c r="S276" s="166">
        <v>36.941785999999993</v>
      </c>
      <c r="T276" s="166">
        <v>36.202950279999996</v>
      </c>
      <c r="U276" s="166">
        <v>35.478891274399999</v>
      </c>
      <c r="V276" s="167">
        <v>34.769313448912001</v>
      </c>
      <c r="W276" s="185"/>
    </row>
    <row r="277" spans="1:23" s="98" customFormat="1" ht="15" customHeight="1">
      <c r="B277" s="161"/>
      <c r="C277" s="185"/>
      <c r="D277" s="162" t="s">
        <v>2865</v>
      </c>
      <c r="E277" s="162"/>
      <c r="F277" s="162"/>
      <c r="G277" s="162"/>
      <c r="H277" s="163"/>
      <c r="I277" s="164" t="s">
        <v>1876</v>
      </c>
      <c r="J277" s="165">
        <v>10</v>
      </c>
      <c r="K277" s="166">
        <v>12</v>
      </c>
      <c r="L277" s="166">
        <v>6</v>
      </c>
      <c r="M277" s="166">
        <v>21</v>
      </c>
      <c r="N277" s="166">
        <v>19</v>
      </c>
      <c r="O277" s="166">
        <v>11</v>
      </c>
      <c r="P277" s="166">
        <v>14.25</v>
      </c>
      <c r="Q277" s="167">
        <v>13.965</v>
      </c>
      <c r="R277" s="165">
        <v>13.685699999999999</v>
      </c>
      <c r="S277" s="166">
        <v>13.411985999999999</v>
      </c>
      <c r="T277" s="166">
        <v>13.143746279999998</v>
      </c>
      <c r="U277" s="166">
        <v>12.880871354399998</v>
      </c>
      <c r="V277" s="167">
        <v>12.623253927311998</v>
      </c>
      <c r="W277" s="185"/>
    </row>
    <row r="278" spans="1:23" s="98" customFormat="1" ht="15" customHeight="1">
      <c r="B278" s="161"/>
      <c r="C278" s="185"/>
      <c r="D278" s="162" t="s">
        <v>2866</v>
      </c>
      <c r="E278" s="162"/>
      <c r="F278" s="162"/>
      <c r="G278" s="162"/>
      <c r="H278" s="163"/>
      <c r="I278" s="164" t="s">
        <v>1876</v>
      </c>
      <c r="J278" s="165">
        <v>0</v>
      </c>
      <c r="K278" s="166">
        <v>0</v>
      </c>
      <c r="L278" s="166">
        <v>0</v>
      </c>
      <c r="M278" s="166">
        <v>0</v>
      </c>
      <c r="N278" s="166">
        <v>0</v>
      </c>
      <c r="O278" s="166">
        <v>0</v>
      </c>
      <c r="P278" s="166">
        <v>0</v>
      </c>
      <c r="Q278" s="167">
        <v>0</v>
      </c>
      <c r="R278" s="165">
        <v>0</v>
      </c>
      <c r="S278" s="166">
        <v>0</v>
      </c>
      <c r="T278" s="166">
        <v>0</v>
      </c>
      <c r="U278" s="166">
        <v>0</v>
      </c>
      <c r="V278" s="167">
        <v>0</v>
      </c>
      <c r="W278" s="185"/>
    </row>
    <row r="279" spans="1:23" s="98" customFormat="1" ht="15" customHeight="1">
      <c r="B279" s="161"/>
      <c r="C279" s="185"/>
      <c r="D279" s="162" t="s">
        <v>2867</v>
      </c>
      <c r="E279" s="162"/>
      <c r="F279" s="162"/>
      <c r="G279" s="162"/>
      <c r="H279" s="163"/>
      <c r="I279" s="164" t="s">
        <v>1876</v>
      </c>
      <c r="J279" s="165">
        <v>6</v>
      </c>
      <c r="K279" s="166">
        <v>2</v>
      </c>
      <c r="L279" s="166">
        <v>6</v>
      </c>
      <c r="M279" s="166">
        <v>5</v>
      </c>
      <c r="N279" s="166">
        <v>10</v>
      </c>
      <c r="O279" s="166">
        <v>9</v>
      </c>
      <c r="P279" s="166">
        <v>7.5</v>
      </c>
      <c r="Q279" s="167">
        <v>7.35</v>
      </c>
      <c r="R279" s="165">
        <v>7.2029999999999994</v>
      </c>
      <c r="S279" s="166">
        <v>7.0589399999999989</v>
      </c>
      <c r="T279" s="166">
        <v>6.9177611999999984</v>
      </c>
      <c r="U279" s="166">
        <v>6.7794059759999987</v>
      </c>
      <c r="V279" s="167">
        <v>6.6438178564799983</v>
      </c>
      <c r="W279" s="185"/>
    </row>
    <row r="280" spans="1:23" s="98" customFormat="1" ht="15" customHeight="1">
      <c r="B280" s="161"/>
      <c r="C280" s="185"/>
      <c r="D280" s="162" t="s">
        <v>2868</v>
      </c>
      <c r="E280" s="162"/>
      <c r="F280" s="162"/>
      <c r="G280" s="162"/>
      <c r="H280" s="163"/>
      <c r="I280" s="164" t="s">
        <v>1876</v>
      </c>
      <c r="J280" s="165">
        <v>0</v>
      </c>
      <c r="K280" s="166">
        <v>1</v>
      </c>
      <c r="L280" s="166">
        <v>0</v>
      </c>
      <c r="M280" s="166">
        <v>0</v>
      </c>
      <c r="N280" s="166">
        <v>0</v>
      </c>
      <c r="O280" s="166">
        <v>0</v>
      </c>
      <c r="P280" s="166">
        <v>0</v>
      </c>
      <c r="Q280" s="167">
        <v>0</v>
      </c>
      <c r="R280" s="165">
        <v>0</v>
      </c>
      <c r="S280" s="166">
        <v>0</v>
      </c>
      <c r="T280" s="166">
        <v>0</v>
      </c>
      <c r="U280" s="166">
        <v>0</v>
      </c>
      <c r="V280" s="167">
        <v>0</v>
      </c>
      <c r="W280" s="185"/>
    </row>
    <row r="281" spans="1:23" s="98" customFormat="1" ht="15" customHeight="1">
      <c r="B281" s="161"/>
      <c r="C281" s="185"/>
      <c r="D281" s="162" t="s">
        <v>2869</v>
      </c>
      <c r="E281" s="162"/>
      <c r="F281" s="162"/>
      <c r="G281" s="162"/>
      <c r="H281" s="163"/>
      <c r="I281" s="164" t="s">
        <v>1876</v>
      </c>
      <c r="J281" s="165">
        <v>0</v>
      </c>
      <c r="K281" s="166">
        <v>0</v>
      </c>
      <c r="L281" s="166">
        <v>1</v>
      </c>
      <c r="M281" s="166">
        <v>0</v>
      </c>
      <c r="N281" s="166">
        <v>1</v>
      </c>
      <c r="O281" s="166">
        <v>0</v>
      </c>
      <c r="P281" s="166">
        <v>0.5</v>
      </c>
      <c r="Q281" s="167">
        <v>0.49</v>
      </c>
      <c r="R281" s="165">
        <v>0.48019999999999996</v>
      </c>
      <c r="S281" s="166">
        <v>0.47059599999999996</v>
      </c>
      <c r="T281" s="166">
        <v>0.46118407999999994</v>
      </c>
      <c r="U281" s="166">
        <v>0.45196039839999991</v>
      </c>
      <c r="V281" s="167">
        <v>0.4429211904319999</v>
      </c>
      <c r="W281" s="185"/>
    </row>
    <row r="282" spans="1:23" s="98" customFormat="1" ht="15" customHeight="1">
      <c r="B282" s="161"/>
      <c r="C282" s="185"/>
      <c r="D282" s="162" t="s">
        <v>2870</v>
      </c>
      <c r="E282" s="162"/>
      <c r="F282" s="162"/>
      <c r="G282" s="162"/>
      <c r="H282" s="163"/>
      <c r="I282" s="164" t="s">
        <v>1876</v>
      </c>
      <c r="J282" s="165">
        <v>0</v>
      </c>
      <c r="K282" s="166">
        <v>0</v>
      </c>
      <c r="L282" s="166">
        <v>0</v>
      </c>
      <c r="M282" s="166">
        <v>0</v>
      </c>
      <c r="N282" s="166">
        <v>0</v>
      </c>
      <c r="O282" s="166">
        <v>0</v>
      </c>
      <c r="P282" s="166">
        <v>0</v>
      </c>
      <c r="Q282" s="167">
        <v>0</v>
      </c>
      <c r="R282" s="165">
        <v>0</v>
      </c>
      <c r="S282" s="166">
        <v>0</v>
      </c>
      <c r="T282" s="166">
        <v>0</v>
      </c>
      <c r="U282" s="166">
        <v>0</v>
      </c>
      <c r="V282" s="167">
        <v>0</v>
      </c>
      <c r="W282" s="185"/>
    </row>
    <row r="283" spans="1:23" s="98" customFormat="1" ht="15" customHeight="1">
      <c r="B283" s="181"/>
      <c r="C283" s="182" t="s">
        <v>1710</v>
      </c>
      <c r="D283" s="245"/>
      <c r="E283" s="245"/>
      <c r="F283" s="245"/>
      <c r="G283" s="184"/>
      <c r="H283" s="184"/>
      <c r="I283" s="164" t="s">
        <v>1876</v>
      </c>
      <c r="J283" s="777">
        <f>SUM(J274:J282)</f>
        <v>198</v>
      </c>
      <c r="K283" s="778">
        <f t="shared" ref="K283" si="136">SUM(K274:K282)</f>
        <v>164</v>
      </c>
      <c r="L283" s="778">
        <f t="shared" ref="L283" si="137">SUM(L274:L282)</f>
        <v>164</v>
      </c>
      <c r="M283" s="778">
        <f t="shared" ref="M283" si="138">SUM(M274:M282)</f>
        <v>174</v>
      </c>
      <c r="N283" s="778">
        <f t="shared" ref="N283" si="139">SUM(N274:N282)</f>
        <v>175</v>
      </c>
      <c r="O283" s="778">
        <f t="shared" ref="O283" si="140">SUM(O274:O282)</f>
        <v>180</v>
      </c>
      <c r="P283" s="778">
        <f t="shared" ref="P283" si="141">SUM(P274:P282)</f>
        <v>173.25</v>
      </c>
      <c r="Q283" s="779">
        <f t="shared" ref="Q283" si="142">SUM(Q274:Q282)</f>
        <v>169.785</v>
      </c>
      <c r="R283" s="777">
        <f t="shared" ref="R283" si="143">SUM(R274:R282)</f>
        <v>166.38929999999999</v>
      </c>
      <c r="S283" s="778">
        <f t="shared" ref="S283" si="144">SUM(S274:S282)</f>
        <v>163.06151399999999</v>
      </c>
      <c r="T283" s="778">
        <f t="shared" ref="T283" si="145">SUM(T274:T282)</f>
        <v>159.80028371999998</v>
      </c>
      <c r="U283" s="778">
        <f t="shared" ref="U283" si="146">SUM(U274:U282)</f>
        <v>156.60427804559998</v>
      </c>
      <c r="V283" s="779">
        <f t="shared" ref="V283" si="147">SUM(V274:V282)</f>
        <v>153.47219248468798</v>
      </c>
      <c r="W283" s="185"/>
    </row>
    <row r="284" spans="1:23" s="98" customFormat="1" ht="15" customHeight="1">
      <c r="A284" s="99"/>
      <c r="B284" s="181"/>
      <c r="C284" s="185"/>
      <c r="D284" s="182"/>
      <c r="E284" s="182"/>
      <c r="F284" s="182"/>
      <c r="G284" s="184"/>
      <c r="H284" s="184"/>
      <c r="I284" s="117"/>
      <c r="J284" s="878"/>
      <c r="K284" s="879"/>
      <c r="L284" s="879"/>
      <c r="M284" s="879"/>
      <c r="N284" s="879"/>
      <c r="O284" s="879"/>
      <c r="P284" s="879"/>
      <c r="Q284" s="880"/>
      <c r="R284" s="879"/>
      <c r="S284" s="879"/>
      <c r="T284" s="879"/>
      <c r="U284" s="879"/>
      <c r="V284" s="880"/>
      <c r="W284" s="185"/>
    </row>
    <row r="285" spans="1:23" s="98" customFormat="1" ht="15" customHeight="1" thickBot="1">
      <c r="A285" s="99"/>
      <c r="B285" s="239" t="s">
        <v>1701</v>
      </c>
      <c r="C285" s="240"/>
      <c r="D285" s="240"/>
      <c r="E285" s="240"/>
      <c r="F285" s="240"/>
      <c r="G285" s="241"/>
      <c r="H285" s="241"/>
      <c r="I285" s="195" t="s">
        <v>1876</v>
      </c>
      <c r="J285" s="873">
        <f>SUM(J259,J271,J283)</f>
        <v>773</v>
      </c>
      <c r="K285" s="781">
        <f t="shared" ref="K285:V285" si="148">SUM(K259,K271,K283)</f>
        <v>848</v>
      </c>
      <c r="L285" s="781">
        <f t="shared" si="148"/>
        <v>653</v>
      </c>
      <c r="M285" s="781">
        <f t="shared" si="148"/>
        <v>651</v>
      </c>
      <c r="N285" s="781">
        <f t="shared" si="148"/>
        <v>659</v>
      </c>
      <c r="O285" s="781">
        <f t="shared" si="148"/>
        <v>635</v>
      </c>
      <c r="P285" s="781">
        <f t="shared" si="148"/>
        <v>660.94</v>
      </c>
      <c r="Q285" s="874">
        <f t="shared" si="148"/>
        <v>649.51310000000001</v>
      </c>
      <c r="R285" s="873">
        <f t="shared" si="148"/>
        <v>638.29681899999991</v>
      </c>
      <c r="S285" s="781">
        <f t="shared" si="148"/>
        <v>627.28712380999991</v>
      </c>
      <c r="T285" s="781">
        <f t="shared" si="148"/>
        <v>616.4800601119</v>
      </c>
      <c r="U285" s="781">
        <f t="shared" si="148"/>
        <v>605.87175089998095</v>
      </c>
      <c r="V285" s="874">
        <f t="shared" si="148"/>
        <v>595.45839495239716</v>
      </c>
    </row>
    <row r="286" spans="1:23" s="99" customFormat="1" ht="15" customHeight="1" thickBot="1">
      <c r="B286" s="150"/>
      <c r="C286" s="150"/>
      <c r="D286" s="150"/>
      <c r="E286" s="150"/>
      <c r="F286" s="150"/>
      <c r="G286" s="97"/>
      <c r="H286" s="97"/>
      <c r="I286" s="98"/>
      <c r="J286" s="98"/>
      <c r="K286" s="98"/>
      <c r="L286" s="98"/>
      <c r="M286" s="98"/>
      <c r="N286" s="98"/>
      <c r="O286" s="98"/>
      <c r="P286" s="98"/>
      <c r="Q286" s="98"/>
      <c r="R286" s="98"/>
      <c r="S286" s="98"/>
      <c r="T286" s="98"/>
      <c r="U286" s="98"/>
      <c r="V286" s="98"/>
    </row>
    <row r="287" spans="1:23" s="100" customFormat="1" ht="30" customHeight="1" thickBot="1">
      <c r="A287" s="89"/>
      <c r="B287" s="621" t="s">
        <v>3037</v>
      </c>
      <c r="C287" s="102"/>
      <c r="D287" s="102"/>
      <c r="E287" s="102"/>
      <c r="F287" s="102"/>
      <c r="G287" s="103"/>
      <c r="H287" s="103"/>
      <c r="I287" s="105" t="s">
        <v>1869</v>
      </c>
      <c r="J287" s="106"/>
      <c r="K287" s="106"/>
      <c r="L287" s="106"/>
      <c r="M287" s="106"/>
      <c r="N287" s="106"/>
      <c r="O287" s="106"/>
      <c r="P287" s="106"/>
      <c r="Q287" s="106"/>
      <c r="R287" s="105"/>
      <c r="S287" s="105"/>
      <c r="T287" s="105"/>
      <c r="U287" s="105"/>
      <c r="V287" s="187"/>
    </row>
    <row r="288" spans="1:23" s="157" customFormat="1" ht="30" customHeight="1">
      <c r="A288" s="99"/>
      <c r="B288" s="109"/>
      <c r="C288" s="110"/>
      <c r="D288" s="110"/>
      <c r="E288" s="110"/>
      <c r="F288" s="110"/>
      <c r="G288" s="111"/>
      <c r="H288" s="111"/>
      <c r="I288" s="117"/>
      <c r="J288" s="695" t="s">
        <v>1666</v>
      </c>
      <c r="K288" s="152"/>
      <c r="L288" s="152"/>
      <c r="M288" s="152"/>
      <c r="N288" s="152"/>
      <c r="O288" s="152"/>
      <c r="P288" s="152"/>
      <c r="Q288" s="153"/>
      <c r="R288" s="696" t="s">
        <v>2</v>
      </c>
      <c r="S288" s="155"/>
      <c r="T288" s="155"/>
      <c r="U288" s="155"/>
      <c r="V288" s="156"/>
    </row>
    <row r="289" spans="1:23" s="98" customFormat="1" ht="15" customHeight="1">
      <c r="A289" s="99"/>
      <c r="B289" s="115"/>
      <c r="C289" s="116"/>
      <c r="D289" s="116"/>
      <c r="E289" s="116"/>
      <c r="F289" s="116"/>
      <c r="G289" s="117"/>
      <c r="H289" s="117"/>
      <c r="I289" s="119" t="s">
        <v>1667</v>
      </c>
      <c r="J289" s="158" t="s">
        <v>453</v>
      </c>
      <c r="K289" s="137" t="s">
        <v>455</v>
      </c>
      <c r="L289" s="137" t="s">
        <v>457</v>
      </c>
      <c r="M289" s="137" t="s">
        <v>459</v>
      </c>
      <c r="N289" s="137" t="s">
        <v>461</v>
      </c>
      <c r="O289" s="137" t="s">
        <v>463</v>
      </c>
      <c r="P289" s="137" t="s">
        <v>465</v>
      </c>
      <c r="Q289" s="138" t="s">
        <v>467</v>
      </c>
      <c r="R289" s="120" t="s">
        <v>469</v>
      </c>
      <c r="S289" s="121" t="s">
        <v>471</v>
      </c>
      <c r="T289" s="121" t="s">
        <v>473</v>
      </c>
      <c r="U289" s="121" t="s">
        <v>475</v>
      </c>
      <c r="V289" s="122" t="s">
        <v>477</v>
      </c>
    </row>
    <row r="290" spans="1:23" s="98" customFormat="1" ht="15" customHeight="1">
      <c r="B290" s="161"/>
      <c r="C290" s="180" t="s">
        <v>2874</v>
      </c>
      <c r="D290" s="162"/>
      <c r="E290" s="162"/>
      <c r="F290" s="162"/>
      <c r="G290" s="163"/>
      <c r="H290" s="163"/>
      <c r="I290" s="117"/>
      <c r="J290" s="159"/>
      <c r="K290" s="117"/>
      <c r="L290" s="117"/>
      <c r="M290" s="117"/>
      <c r="N290" s="117"/>
      <c r="O290" s="117"/>
      <c r="P290" s="117"/>
      <c r="Q290" s="160"/>
      <c r="R290" s="159"/>
      <c r="S290" s="117"/>
      <c r="T290" s="117"/>
      <c r="U290" s="117"/>
      <c r="V290" s="160"/>
      <c r="W290" s="185"/>
    </row>
    <row r="291" spans="1:23" s="98" customFormat="1" ht="15" customHeight="1">
      <c r="B291" s="161"/>
      <c r="C291" s="185"/>
      <c r="D291" s="162" t="s">
        <v>2862</v>
      </c>
      <c r="E291" s="162"/>
      <c r="F291" s="162"/>
      <c r="G291" s="162"/>
      <c r="H291" s="163"/>
      <c r="I291" s="164" t="s">
        <v>1876</v>
      </c>
      <c r="J291" s="165">
        <v>0</v>
      </c>
      <c r="K291" s="166">
        <v>0</v>
      </c>
      <c r="L291" s="166">
        <v>0</v>
      </c>
      <c r="M291" s="166">
        <v>0</v>
      </c>
      <c r="N291" s="166">
        <v>0</v>
      </c>
      <c r="O291" s="166">
        <v>0</v>
      </c>
      <c r="P291" s="166">
        <v>0</v>
      </c>
      <c r="Q291" s="167">
        <v>0</v>
      </c>
      <c r="R291" s="165">
        <v>0</v>
      </c>
      <c r="S291" s="166">
        <v>0</v>
      </c>
      <c r="T291" s="166">
        <v>0</v>
      </c>
      <c r="U291" s="166">
        <v>0</v>
      </c>
      <c r="V291" s="167">
        <v>0</v>
      </c>
      <c r="W291" s="185"/>
    </row>
    <row r="292" spans="1:23" s="98" customFormat="1" ht="15" customHeight="1">
      <c r="B292" s="161"/>
      <c r="C292" s="185"/>
      <c r="D292" s="162" t="s">
        <v>2863</v>
      </c>
      <c r="E292" s="162"/>
      <c r="F292" s="162"/>
      <c r="G292" s="162"/>
      <c r="H292" s="163"/>
      <c r="I292" s="164" t="s">
        <v>1876</v>
      </c>
      <c r="J292" s="165">
        <v>0</v>
      </c>
      <c r="K292" s="166">
        <v>0</v>
      </c>
      <c r="L292" s="166">
        <v>0</v>
      </c>
      <c r="M292" s="166">
        <v>0</v>
      </c>
      <c r="N292" s="166">
        <v>0</v>
      </c>
      <c r="O292" s="166">
        <v>0</v>
      </c>
      <c r="P292" s="166">
        <v>0</v>
      </c>
      <c r="Q292" s="167">
        <v>0</v>
      </c>
      <c r="R292" s="165">
        <v>0</v>
      </c>
      <c r="S292" s="166">
        <v>0</v>
      </c>
      <c r="T292" s="166">
        <v>0</v>
      </c>
      <c r="U292" s="166">
        <v>0</v>
      </c>
      <c r="V292" s="167">
        <v>0</v>
      </c>
      <c r="W292" s="185"/>
    </row>
    <row r="293" spans="1:23" s="98" customFormat="1" ht="15" customHeight="1">
      <c r="B293" s="161"/>
      <c r="C293" s="185"/>
      <c r="D293" s="162" t="s">
        <v>2864</v>
      </c>
      <c r="E293" s="162"/>
      <c r="F293" s="162"/>
      <c r="G293" s="162"/>
      <c r="H293" s="163"/>
      <c r="I293" s="164" t="s">
        <v>1876</v>
      </c>
      <c r="J293" s="165">
        <v>0</v>
      </c>
      <c r="K293" s="166">
        <v>3</v>
      </c>
      <c r="L293" s="166">
        <v>1</v>
      </c>
      <c r="M293" s="166">
        <v>1</v>
      </c>
      <c r="N293" s="166">
        <v>0</v>
      </c>
      <c r="O293" s="166">
        <v>0</v>
      </c>
      <c r="P293" s="166">
        <v>0</v>
      </c>
      <c r="Q293" s="167">
        <v>0</v>
      </c>
      <c r="R293" s="165">
        <v>0</v>
      </c>
      <c r="S293" s="166">
        <v>0</v>
      </c>
      <c r="T293" s="166">
        <v>0</v>
      </c>
      <c r="U293" s="166">
        <v>0</v>
      </c>
      <c r="V293" s="167">
        <v>0</v>
      </c>
      <c r="W293" s="185"/>
    </row>
    <row r="294" spans="1:23" s="98" customFormat="1" ht="15" customHeight="1">
      <c r="B294" s="161"/>
      <c r="C294" s="185"/>
      <c r="D294" s="162" t="s">
        <v>2865</v>
      </c>
      <c r="E294" s="162"/>
      <c r="F294" s="162"/>
      <c r="G294" s="162"/>
      <c r="H294" s="163"/>
      <c r="I294" s="164" t="s">
        <v>1876</v>
      </c>
      <c r="J294" s="165">
        <v>0</v>
      </c>
      <c r="K294" s="166">
        <v>0</v>
      </c>
      <c r="L294" s="166">
        <v>1</v>
      </c>
      <c r="M294" s="166">
        <v>0</v>
      </c>
      <c r="N294" s="166">
        <v>0</v>
      </c>
      <c r="O294" s="166">
        <v>1</v>
      </c>
      <c r="P294" s="166">
        <v>1</v>
      </c>
      <c r="Q294" s="167">
        <v>1</v>
      </c>
      <c r="R294" s="165">
        <v>1</v>
      </c>
      <c r="S294" s="166">
        <v>1</v>
      </c>
      <c r="T294" s="166">
        <v>1</v>
      </c>
      <c r="U294" s="166">
        <v>1</v>
      </c>
      <c r="V294" s="167">
        <v>1</v>
      </c>
      <c r="W294" s="185"/>
    </row>
    <row r="295" spans="1:23" s="98" customFormat="1" ht="15" customHeight="1">
      <c r="B295" s="161"/>
      <c r="C295" s="185"/>
      <c r="D295" s="162" t="s">
        <v>2866</v>
      </c>
      <c r="E295" s="162"/>
      <c r="F295" s="162"/>
      <c r="G295" s="162"/>
      <c r="H295" s="163"/>
      <c r="I295" s="164" t="s">
        <v>1876</v>
      </c>
      <c r="J295" s="165">
        <v>0</v>
      </c>
      <c r="K295" s="166">
        <v>0</v>
      </c>
      <c r="L295" s="166">
        <v>0</v>
      </c>
      <c r="M295" s="166">
        <v>0</v>
      </c>
      <c r="N295" s="166">
        <v>0</v>
      </c>
      <c r="O295" s="166">
        <v>0</v>
      </c>
      <c r="P295" s="166">
        <v>0</v>
      </c>
      <c r="Q295" s="167">
        <v>0</v>
      </c>
      <c r="R295" s="165">
        <v>0</v>
      </c>
      <c r="S295" s="166">
        <v>0</v>
      </c>
      <c r="T295" s="166">
        <v>0</v>
      </c>
      <c r="U295" s="166">
        <v>0</v>
      </c>
      <c r="V295" s="167">
        <v>0</v>
      </c>
      <c r="W295" s="185"/>
    </row>
    <row r="296" spans="1:23" s="98" customFormat="1" ht="15" customHeight="1">
      <c r="B296" s="161"/>
      <c r="C296" s="185"/>
      <c r="D296" s="162" t="s">
        <v>2867</v>
      </c>
      <c r="E296" s="162"/>
      <c r="F296" s="162"/>
      <c r="G296" s="162"/>
      <c r="H296" s="163"/>
      <c r="I296" s="164" t="s">
        <v>1876</v>
      </c>
      <c r="J296" s="165">
        <v>0</v>
      </c>
      <c r="K296" s="166">
        <v>0</v>
      </c>
      <c r="L296" s="166">
        <v>0</v>
      </c>
      <c r="M296" s="166">
        <v>0</v>
      </c>
      <c r="N296" s="166">
        <v>1</v>
      </c>
      <c r="O296" s="166">
        <v>2</v>
      </c>
      <c r="P296" s="166">
        <v>2</v>
      </c>
      <c r="Q296" s="167">
        <v>2</v>
      </c>
      <c r="R296" s="165">
        <v>2</v>
      </c>
      <c r="S296" s="166">
        <v>2</v>
      </c>
      <c r="T296" s="166">
        <v>2</v>
      </c>
      <c r="U296" s="166">
        <v>2</v>
      </c>
      <c r="V296" s="167">
        <v>2</v>
      </c>
      <c r="W296" s="185"/>
    </row>
    <row r="297" spans="1:23" s="98" customFormat="1" ht="15" customHeight="1">
      <c r="B297" s="161"/>
      <c r="C297" s="185"/>
      <c r="D297" s="162" t="s">
        <v>2868</v>
      </c>
      <c r="E297" s="162"/>
      <c r="F297" s="162"/>
      <c r="G297" s="162"/>
      <c r="H297" s="163"/>
      <c r="I297" s="164" t="s">
        <v>1876</v>
      </c>
      <c r="J297" s="165">
        <v>0</v>
      </c>
      <c r="K297" s="166">
        <v>0</v>
      </c>
      <c r="L297" s="166">
        <v>0</v>
      </c>
      <c r="M297" s="166">
        <v>0</v>
      </c>
      <c r="N297" s="166">
        <v>0</v>
      </c>
      <c r="O297" s="166">
        <v>0</v>
      </c>
      <c r="P297" s="166">
        <v>0</v>
      </c>
      <c r="Q297" s="167">
        <v>0</v>
      </c>
      <c r="R297" s="165">
        <v>0</v>
      </c>
      <c r="S297" s="166">
        <v>0</v>
      </c>
      <c r="T297" s="166">
        <v>0</v>
      </c>
      <c r="U297" s="166">
        <v>0</v>
      </c>
      <c r="V297" s="167">
        <v>0</v>
      </c>
      <c r="W297" s="185"/>
    </row>
    <row r="298" spans="1:23" s="98" customFormat="1" ht="15" customHeight="1">
      <c r="B298" s="161"/>
      <c r="C298" s="185"/>
      <c r="D298" s="162" t="s">
        <v>2869</v>
      </c>
      <c r="E298" s="162"/>
      <c r="F298" s="162"/>
      <c r="G298" s="162"/>
      <c r="H298" s="163"/>
      <c r="I298" s="164" t="s">
        <v>1876</v>
      </c>
      <c r="J298" s="165">
        <v>0</v>
      </c>
      <c r="K298" s="166">
        <v>0</v>
      </c>
      <c r="L298" s="166">
        <v>1</v>
      </c>
      <c r="M298" s="166">
        <v>0</v>
      </c>
      <c r="N298" s="166">
        <v>0</v>
      </c>
      <c r="O298" s="166">
        <v>0</v>
      </c>
      <c r="P298" s="166">
        <v>0</v>
      </c>
      <c r="Q298" s="167">
        <v>0</v>
      </c>
      <c r="R298" s="165">
        <v>0</v>
      </c>
      <c r="S298" s="166">
        <v>0</v>
      </c>
      <c r="T298" s="166">
        <v>0</v>
      </c>
      <c r="U298" s="166">
        <v>0</v>
      </c>
      <c r="V298" s="167">
        <v>0</v>
      </c>
      <c r="W298" s="185"/>
    </row>
    <row r="299" spans="1:23" s="98" customFormat="1" ht="15" customHeight="1">
      <c r="B299" s="161"/>
      <c r="C299" s="185"/>
      <c r="D299" s="162" t="s">
        <v>2870</v>
      </c>
      <c r="E299" s="162"/>
      <c r="F299" s="162"/>
      <c r="G299" s="162"/>
      <c r="H299" s="163"/>
      <c r="I299" s="164" t="s">
        <v>1876</v>
      </c>
      <c r="J299" s="165">
        <v>0</v>
      </c>
      <c r="K299" s="166">
        <v>0</v>
      </c>
      <c r="L299" s="166">
        <v>0</v>
      </c>
      <c r="M299" s="166">
        <v>0</v>
      </c>
      <c r="N299" s="166">
        <v>0</v>
      </c>
      <c r="O299" s="166">
        <v>0</v>
      </c>
      <c r="P299" s="166">
        <v>0</v>
      </c>
      <c r="Q299" s="167">
        <v>0</v>
      </c>
      <c r="R299" s="165">
        <v>0</v>
      </c>
      <c r="S299" s="166">
        <v>0</v>
      </c>
      <c r="T299" s="166">
        <v>0</v>
      </c>
      <c r="U299" s="166">
        <v>0</v>
      </c>
      <c r="V299" s="167">
        <v>0</v>
      </c>
      <c r="W299" s="185"/>
    </row>
    <row r="300" spans="1:23" s="98" customFormat="1" ht="15" customHeight="1">
      <c r="B300" s="181"/>
      <c r="C300" s="182" t="s">
        <v>1710</v>
      </c>
      <c r="G300" s="184"/>
      <c r="H300" s="184"/>
      <c r="I300" s="164" t="s">
        <v>1876</v>
      </c>
      <c r="J300" s="777">
        <f>SUM(J291:J299)</f>
        <v>0</v>
      </c>
      <c r="K300" s="778">
        <f t="shared" ref="K300:V300" si="149">SUM(K291:K299)</f>
        <v>3</v>
      </c>
      <c r="L300" s="778">
        <f t="shared" si="149"/>
        <v>3</v>
      </c>
      <c r="M300" s="778">
        <f t="shared" si="149"/>
        <v>1</v>
      </c>
      <c r="N300" s="778">
        <f t="shared" si="149"/>
        <v>1</v>
      </c>
      <c r="O300" s="778">
        <f t="shared" si="149"/>
        <v>3</v>
      </c>
      <c r="P300" s="778">
        <f t="shared" si="149"/>
        <v>3</v>
      </c>
      <c r="Q300" s="779">
        <f t="shared" si="149"/>
        <v>3</v>
      </c>
      <c r="R300" s="777">
        <f t="shared" si="149"/>
        <v>3</v>
      </c>
      <c r="S300" s="778">
        <f t="shared" si="149"/>
        <v>3</v>
      </c>
      <c r="T300" s="778">
        <f t="shared" si="149"/>
        <v>3</v>
      </c>
      <c r="U300" s="778">
        <f t="shared" si="149"/>
        <v>3</v>
      </c>
      <c r="V300" s="779">
        <f t="shared" si="149"/>
        <v>3</v>
      </c>
      <c r="W300" s="185"/>
    </row>
    <row r="301" spans="1:23" s="98" customFormat="1" ht="15" customHeight="1">
      <c r="B301" s="181"/>
      <c r="C301" s="185"/>
      <c r="D301" s="182"/>
      <c r="E301" s="182"/>
      <c r="F301" s="182"/>
      <c r="G301" s="184"/>
      <c r="H301" s="184"/>
      <c r="I301" s="117"/>
      <c r="J301" s="878"/>
      <c r="K301" s="2671"/>
      <c r="L301" s="2671"/>
      <c r="M301" s="2671"/>
      <c r="N301" s="2671"/>
      <c r="O301" s="2671"/>
      <c r="P301" s="2671"/>
      <c r="Q301" s="880"/>
      <c r="R301" s="2671"/>
      <c r="S301" s="2671"/>
      <c r="T301" s="2671"/>
      <c r="U301" s="2671"/>
      <c r="V301" s="880"/>
      <c r="W301" s="185"/>
    </row>
    <row r="302" spans="1:23" s="98" customFormat="1" ht="15" customHeight="1">
      <c r="B302" s="161"/>
      <c r="C302" s="180" t="s">
        <v>2875</v>
      </c>
      <c r="D302" s="162"/>
      <c r="E302" s="162"/>
      <c r="F302" s="162"/>
      <c r="G302" s="163"/>
      <c r="H302" s="163"/>
      <c r="I302" s="117"/>
      <c r="J302" s="878"/>
      <c r="K302" s="2662"/>
      <c r="L302" s="2662"/>
      <c r="M302" s="2662"/>
      <c r="N302" s="2662"/>
      <c r="O302" s="2662"/>
      <c r="P302" s="2662"/>
      <c r="Q302" s="880"/>
      <c r="R302" s="878"/>
      <c r="S302" s="2662"/>
      <c r="T302" s="2662"/>
      <c r="U302" s="2662"/>
      <c r="V302" s="880"/>
      <c r="W302" s="185"/>
    </row>
    <row r="303" spans="1:23" s="98" customFormat="1" ht="15" customHeight="1">
      <c r="B303" s="161"/>
      <c r="C303" s="185"/>
      <c r="D303" s="162" t="s">
        <v>2862</v>
      </c>
      <c r="E303" s="162"/>
      <c r="F303" s="162"/>
      <c r="G303" s="162"/>
      <c r="H303" s="163"/>
      <c r="I303" s="164" t="s">
        <v>1876</v>
      </c>
      <c r="J303" s="165">
        <v>1</v>
      </c>
      <c r="K303" s="166">
        <v>0</v>
      </c>
      <c r="L303" s="166">
        <v>0</v>
      </c>
      <c r="M303" s="166">
        <v>0</v>
      </c>
      <c r="N303" s="166">
        <v>0</v>
      </c>
      <c r="O303" s="166">
        <v>0</v>
      </c>
      <c r="P303" s="166">
        <v>0</v>
      </c>
      <c r="Q303" s="167">
        <v>0</v>
      </c>
      <c r="R303" s="165">
        <v>0</v>
      </c>
      <c r="S303" s="166">
        <v>0</v>
      </c>
      <c r="T303" s="166">
        <v>0</v>
      </c>
      <c r="U303" s="166">
        <v>0</v>
      </c>
      <c r="V303" s="167">
        <v>0</v>
      </c>
      <c r="W303" s="185"/>
    </row>
    <row r="304" spans="1:23" s="98" customFormat="1" ht="15" customHeight="1">
      <c r="B304" s="161"/>
      <c r="C304" s="185"/>
      <c r="D304" s="162" t="s">
        <v>2863</v>
      </c>
      <c r="E304" s="162"/>
      <c r="F304" s="162"/>
      <c r="G304" s="162"/>
      <c r="H304" s="163"/>
      <c r="I304" s="164" t="s">
        <v>1876</v>
      </c>
      <c r="J304" s="165">
        <v>0</v>
      </c>
      <c r="K304" s="166">
        <v>0</v>
      </c>
      <c r="L304" s="166">
        <v>0</v>
      </c>
      <c r="M304" s="166">
        <v>0</v>
      </c>
      <c r="N304" s="166">
        <v>0</v>
      </c>
      <c r="O304" s="166">
        <v>0</v>
      </c>
      <c r="P304" s="166">
        <v>0</v>
      </c>
      <c r="Q304" s="167">
        <v>0</v>
      </c>
      <c r="R304" s="165">
        <v>0</v>
      </c>
      <c r="S304" s="166">
        <v>0</v>
      </c>
      <c r="T304" s="166">
        <v>0</v>
      </c>
      <c r="U304" s="166">
        <v>0</v>
      </c>
      <c r="V304" s="167">
        <v>0</v>
      </c>
      <c r="W304" s="185"/>
    </row>
    <row r="305" spans="1:23" s="98" customFormat="1" ht="15" customHeight="1">
      <c r="B305" s="161"/>
      <c r="C305" s="185"/>
      <c r="D305" s="162" t="s">
        <v>2864</v>
      </c>
      <c r="E305" s="162"/>
      <c r="F305" s="162"/>
      <c r="G305" s="162"/>
      <c r="H305" s="163"/>
      <c r="I305" s="164" t="s">
        <v>1876</v>
      </c>
      <c r="J305" s="165">
        <v>8</v>
      </c>
      <c r="K305" s="166">
        <v>7</v>
      </c>
      <c r="L305" s="166">
        <v>4</v>
      </c>
      <c r="M305" s="166">
        <v>9</v>
      </c>
      <c r="N305" s="166">
        <v>7</v>
      </c>
      <c r="O305" s="166">
        <v>4</v>
      </c>
      <c r="P305" s="166">
        <v>4</v>
      </c>
      <c r="Q305" s="167">
        <v>4</v>
      </c>
      <c r="R305" s="165">
        <v>4</v>
      </c>
      <c r="S305" s="166">
        <v>4</v>
      </c>
      <c r="T305" s="166">
        <v>4</v>
      </c>
      <c r="U305" s="166">
        <v>4</v>
      </c>
      <c r="V305" s="167">
        <v>4</v>
      </c>
      <c r="W305" s="185"/>
    </row>
    <row r="306" spans="1:23" s="98" customFormat="1" ht="15" customHeight="1">
      <c r="B306" s="161"/>
      <c r="C306" s="185"/>
      <c r="D306" s="162" t="s">
        <v>2865</v>
      </c>
      <c r="E306" s="162"/>
      <c r="F306" s="162"/>
      <c r="G306" s="162"/>
      <c r="H306" s="163"/>
      <c r="I306" s="164" t="s">
        <v>1876</v>
      </c>
      <c r="J306" s="165">
        <v>8</v>
      </c>
      <c r="K306" s="166">
        <v>12</v>
      </c>
      <c r="L306" s="166">
        <v>3</v>
      </c>
      <c r="M306" s="166">
        <v>7</v>
      </c>
      <c r="N306" s="166">
        <v>5</v>
      </c>
      <c r="O306" s="166">
        <v>9</v>
      </c>
      <c r="P306" s="166">
        <v>9</v>
      </c>
      <c r="Q306" s="167">
        <v>9</v>
      </c>
      <c r="R306" s="165">
        <v>9</v>
      </c>
      <c r="S306" s="166">
        <v>8</v>
      </c>
      <c r="T306" s="166">
        <v>8</v>
      </c>
      <c r="U306" s="166">
        <v>8</v>
      </c>
      <c r="V306" s="167">
        <v>8</v>
      </c>
      <c r="W306" s="185"/>
    </row>
    <row r="307" spans="1:23" s="98" customFormat="1" ht="15" customHeight="1">
      <c r="B307" s="161"/>
      <c r="C307" s="185"/>
      <c r="D307" s="162" t="s">
        <v>2866</v>
      </c>
      <c r="E307" s="162"/>
      <c r="F307" s="162"/>
      <c r="G307" s="162"/>
      <c r="H307" s="163"/>
      <c r="I307" s="164" t="s">
        <v>1876</v>
      </c>
      <c r="J307" s="165">
        <v>0</v>
      </c>
      <c r="K307" s="166">
        <v>0</v>
      </c>
      <c r="L307" s="166">
        <v>0</v>
      </c>
      <c r="M307" s="166">
        <v>0</v>
      </c>
      <c r="N307" s="166">
        <v>0</v>
      </c>
      <c r="O307" s="166">
        <v>0</v>
      </c>
      <c r="P307" s="166">
        <v>0</v>
      </c>
      <c r="Q307" s="167">
        <v>0</v>
      </c>
      <c r="R307" s="165">
        <v>0</v>
      </c>
      <c r="S307" s="166">
        <v>0</v>
      </c>
      <c r="T307" s="166">
        <v>0</v>
      </c>
      <c r="U307" s="166">
        <v>0</v>
      </c>
      <c r="V307" s="167">
        <v>0</v>
      </c>
      <c r="W307" s="185"/>
    </row>
    <row r="308" spans="1:23" s="98" customFormat="1" ht="15" customHeight="1">
      <c r="B308" s="161"/>
      <c r="C308" s="185"/>
      <c r="D308" s="162" t="s">
        <v>2867</v>
      </c>
      <c r="E308" s="162"/>
      <c r="F308" s="162"/>
      <c r="G308" s="162"/>
      <c r="H308" s="163"/>
      <c r="I308" s="164" t="s">
        <v>1876</v>
      </c>
      <c r="J308" s="165">
        <v>3</v>
      </c>
      <c r="K308" s="166">
        <v>3</v>
      </c>
      <c r="L308" s="166">
        <v>5</v>
      </c>
      <c r="M308" s="166">
        <v>6</v>
      </c>
      <c r="N308" s="166">
        <v>4</v>
      </c>
      <c r="O308" s="166">
        <v>5</v>
      </c>
      <c r="P308" s="166">
        <v>5</v>
      </c>
      <c r="Q308" s="167">
        <v>5</v>
      </c>
      <c r="R308" s="165">
        <v>5</v>
      </c>
      <c r="S308" s="166">
        <v>5</v>
      </c>
      <c r="T308" s="166">
        <v>5</v>
      </c>
      <c r="U308" s="166">
        <v>4</v>
      </c>
      <c r="V308" s="167">
        <v>4</v>
      </c>
      <c r="W308" s="185"/>
    </row>
    <row r="309" spans="1:23" s="98" customFormat="1" ht="15" customHeight="1">
      <c r="B309" s="161"/>
      <c r="C309" s="185"/>
      <c r="D309" s="162" t="s">
        <v>2868</v>
      </c>
      <c r="E309" s="162"/>
      <c r="F309" s="162"/>
      <c r="G309" s="162"/>
      <c r="H309" s="163"/>
      <c r="I309" s="164" t="s">
        <v>1876</v>
      </c>
      <c r="J309" s="165">
        <v>0</v>
      </c>
      <c r="K309" s="166">
        <v>2</v>
      </c>
      <c r="L309" s="166">
        <v>1</v>
      </c>
      <c r="M309" s="166">
        <v>3</v>
      </c>
      <c r="N309" s="166">
        <v>2</v>
      </c>
      <c r="O309" s="166">
        <v>5</v>
      </c>
      <c r="P309" s="166">
        <v>5</v>
      </c>
      <c r="Q309" s="167">
        <v>5</v>
      </c>
      <c r="R309" s="165">
        <v>5</v>
      </c>
      <c r="S309" s="166">
        <v>5</v>
      </c>
      <c r="T309" s="166">
        <v>5</v>
      </c>
      <c r="U309" s="166">
        <v>5</v>
      </c>
      <c r="V309" s="167">
        <v>5</v>
      </c>
      <c r="W309" s="185"/>
    </row>
    <row r="310" spans="1:23" s="98" customFormat="1" ht="15" customHeight="1">
      <c r="B310" s="161"/>
      <c r="C310" s="185"/>
      <c r="D310" s="162" t="s">
        <v>2869</v>
      </c>
      <c r="E310" s="162"/>
      <c r="F310" s="162"/>
      <c r="G310" s="162"/>
      <c r="H310" s="163"/>
      <c r="I310" s="164" t="s">
        <v>1876</v>
      </c>
      <c r="J310" s="165">
        <v>4</v>
      </c>
      <c r="K310" s="166">
        <v>2</v>
      </c>
      <c r="L310" s="166">
        <v>1</v>
      </c>
      <c r="M310" s="166">
        <v>0</v>
      </c>
      <c r="N310" s="166">
        <v>1</v>
      </c>
      <c r="O310" s="166">
        <v>1</v>
      </c>
      <c r="P310" s="166">
        <v>1</v>
      </c>
      <c r="Q310" s="167">
        <v>1</v>
      </c>
      <c r="R310" s="165">
        <v>1</v>
      </c>
      <c r="S310" s="166">
        <v>1</v>
      </c>
      <c r="T310" s="166">
        <v>1</v>
      </c>
      <c r="U310" s="166">
        <v>1</v>
      </c>
      <c r="V310" s="167">
        <v>1</v>
      </c>
      <c r="W310" s="185"/>
    </row>
    <row r="311" spans="1:23" s="98" customFormat="1" ht="15" customHeight="1">
      <c r="B311" s="161"/>
      <c r="C311" s="185"/>
      <c r="D311" s="162" t="s">
        <v>2870</v>
      </c>
      <c r="E311" s="162"/>
      <c r="F311" s="162"/>
      <c r="G311" s="162"/>
      <c r="H311" s="163"/>
      <c r="I311" s="164" t="s">
        <v>1876</v>
      </c>
      <c r="J311" s="165">
        <v>0</v>
      </c>
      <c r="K311" s="166">
        <v>0</v>
      </c>
      <c r="L311" s="166">
        <v>0</v>
      </c>
      <c r="M311" s="166">
        <v>0</v>
      </c>
      <c r="N311" s="166">
        <v>0</v>
      </c>
      <c r="O311" s="166">
        <v>0</v>
      </c>
      <c r="P311" s="166">
        <v>0</v>
      </c>
      <c r="Q311" s="167">
        <v>0</v>
      </c>
      <c r="R311" s="165">
        <v>0</v>
      </c>
      <c r="S311" s="166">
        <v>0</v>
      </c>
      <c r="T311" s="166">
        <v>0</v>
      </c>
      <c r="U311" s="166">
        <v>0</v>
      </c>
      <c r="V311" s="167">
        <v>0</v>
      </c>
      <c r="W311" s="185"/>
    </row>
    <row r="312" spans="1:23" s="98" customFormat="1" ht="15" customHeight="1">
      <c r="B312" s="181"/>
      <c r="C312" s="182" t="s">
        <v>1710</v>
      </c>
      <c r="G312" s="184"/>
      <c r="H312" s="184"/>
      <c r="I312" s="164" t="s">
        <v>1876</v>
      </c>
      <c r="J312" s="777">
        <f>SUM(J303:J311)</f>
        <v>24</v>
      </c>
      <c r="K312" s="778">
        <f t="shared" ref="K312:V312" si="150">SUM(K303:K311)</f>
        <v>26</v>
      </c>
      <c r="L312" s="778">
        <f t="shared" si="150"/>
        <v>14</v>
      </c>
      <c r="M312" s="778">
        <f t="shared" si="150"/>
        <v>25</v>
      </c>
      <c r="N312" s="778">
        <f t="shared" si="150"/>
        <v>19</v>
      </c>
      <c r="O312" s="778">
        <f t="shared" si="150"/>
        <v>24</v>
      </c>
      <c r="P312" s="778">
        <f t="shared" si="150"/>
        <v>24</v>
      </c>
      <c r="Q312" s="779">
        <f t="shared" si="150"/>
        <v>24</v>
      </c>
      <c r="R312" s="777">
        <f t="shared" si="150"/>
        <v>24</v>
      </c>
      <c r="S312" s="778">
        <f t="shared" si="150"/>
        <v>23</v>
      </c>
      <c r="T312" s="778">
        <f t="shared" si="150"/>
        <v>23</v>
      </c>
      <c r="U312" s="778">
        <f t="shared" si="150"/>
        <v>22</v>
      </c>
      <c r="V312" s="779">
        <f t="shared" si="150"/>
        <v>22</v>
      </c>
      <c r="W312" s="185"/>
    </row>
    <row r="313" spans="1:23" s="98" customFormat="1" ht="15" customHeight="1">
      <c r="A313" s="99"/>
      <c r="B313" s="181"/>
      <c r="C313" s="185"/>
      <c r="D313" s="182"/>
      <c r="E313" s="182"/>
      <c r="F313" s="182"/>
      <c r="G313" s="184"/>
      <c r="H313" s="184"/>
      <c r="I313" s="117"/>
      <c r="J313" s="878"/>
      <c r="K313" s="2671"/>
      <c r="L313" s="2671"/>
      <c r="M313" s="2671"/>
      <c r="N313" s="2671"/>
      <c r="O313" s="2671"/>
      <c r="P313" s="2671"/>
      <c r="Q313" s="880"/>
      <c r="R313" s="2671"/>
      <c r="S313" s="2671"/>
      <c r="T313" s="2671"/>
      <c r="U313" s="2671"/>
      <c r="V313" s="880"/>
      <c r="W313" s="185"/>
    </row>
    <row r="314" spans="1:23" s="98" customFormat="1" ht="15" customHeight="1">
      <c r="B314" s="161"/>
      <c r="C314" s="180" t="s">
        <v>2876</v>
      </c>
      <c r="D314" s="162"/>
      <c r="E314" s="162"/>
      <c r="F314" s="162"/>
      <c r="G314" s="163"/>
      <c r="H314" s="163"/>
      <c r="I314" s="117"/>
      <c r="J314" s="878"/>
      <c r="K314" s="2662"/>
      <c r="L314" s="2662"/>
      <c r="M314" s="2662"/>
      <c r="N314" s="2662"/>
      <c r="O314" s="2662"/>
      <c r="P314" s="2662"/>
      <c r="Q314" s="880"/>
      <c r="R314" s="878"/>
      <c r="S314" s="2662"/>
      <c r="T314" s="2662"/>
      <c r="U314" s="2662"/>
      <c r="V314" s="880"/>
      <c r="W314" s="185"/>
    </row>
    <row r="315" spans="1:23" s="98" customFormat="1" ht="15" customHeight="1">
      <c r="B315" s="161"/>
      <c r="C315" s="185"/>
      <c r="D315" s="162" t="s">
        <v>2862</v>
      </c>
      <c r="E315" s="162"/>
      <c r="F315" s="162"/>
      <c r="G315" s="162"/>
      <c r="H315" s="163"/>
      <c r="I315" s="164" t="s">
        <v>1876</v>
      </c>
      <c r="J315" s="165">
        <v>0</v>
      </c>
      <c r="K315" s="166">
        <v>0</v>
      </c>
      <c r="L315" s="166">
        <v>0</v>
      </c>
      <c r="M315" s="166">
        <v>0</v>
      </c>
      <c r="N315" s="166">
        <v>0</v>
      </c>
      <c r="O315" s="166">
        <v>0</v>
      </c>
      <c r="P315" s="166">
        <v>0</v>
      </c>
      <c r="Q315" s="167">
        <v>0</v>
      </c>
      <c r="R315" s="165">
        <v>0</v>
      </c>
      <c r="S315" s="166">
        <v>0</v>
      </c>
      <c r="T315" s="166">
        <v>0</v>
      </c>
      <c r="U315" s="166">
        <v>0</v>
      </c>
      <c r="V315" s="167">
        <v>0</v>
      </c>
      <c r="W315" s="185"/>
    </row>
    <row r="316" spans="1:23" s="98" customFormat="1" ht="15" customHeight="1">
      <c r="B316" s="161"/>
      <c r="C316" s="185"/>
      <c r="D316" s="162" t="s">
        <v>2863</v>
      </c>
      <c r="E316" s="162"/>
      <c r="F316" s="162"/>
      <c r="G316" s="162"/>
      <c r="H316" s="163"/>
      <c r="I316" s="164" t="s">
        <v>1876</v>
      </c>
      <c r="J316" s="165">
        <v>1</v>
      </c>
      <c r="K316" s="166">
        <v>0</v>
      </c>
      <c r="L316" s="166">
        <v>1</v>
      </c>
      <c r="M316" s="166">
        <v>1</v>
      </c>
      <c r="N316" s="166">
        <v>0</v>
      </c>
      <c r="O316" s="166">
        <v>1</v>
      </c>
      <c r="P316" s="166">
        <v>0</v>
      </c>
      <c r="Q316" s="167">
        <v>0</v>
      </c>
      <c r="R316" s="165">
        <v>0</v>
      </c>
      <c r="S316" s="166">
        <v>0</v>
      </c>
      <c r="T316" s="166">
        <v>0</v>
      </c>
      <c r="U316" s="166">
        <v>0</v>
      </c>
      <c r="V316" s="167">
        <v>0</v>
      </c>
      <c r="W316" s="185"/>
    </row>
    <row r="317" spans="1:23" s="98" customFormat="1" ht="15" customHeight="1">
      <c r="B317" s="161"/>
      <c r="C317" s="185"/>
      <c r="D317" s="162" t="s">
        <v>2864</v>
      </c>
      <c r="E317" s="162"/>
      <c r="F317" s="162"/>
      <c r="G317" s="162"/>
      <c r="H317" s="163"/>
      <c r="I317" s="164" t="s">
        <v>1876</v>
      </c>
      <c r="J317" s="165">
        <v>9</v>
      </c>
      <c r="K317" s="166">
        <v>4</v>
      </c>
      <c r="L317" s="166">
        <v>5</v>
      </c>
      <c r="M317" s="166">
        <v>3</v>
      </c>
      <c r="N317" s="166">
        <v>4</v>
      </c>
      <c r="O317" s="166">
        <v>6</v>
      </c>
      <c r="P317" s="166">
        <v>4</v>
      </c>
      <c r="Q317" s="167">
        <v>4</v>
      </c>
      <c r="R317" s="165">
        <v>4</v>
      </c>
      <c r="S317" s="166">
        <v>4</v>
      </c>
      <c r="T317" s="166">
        <v>4</v>
      </c>
      <c r="U317" s="166">
        <v>4</v>
      </c>
      <c r="V317" s="167">
        <v>4</v>
      </c>
      <c r="W317" s="185"/>
    </row>
    <row r="318" spans="1:23" s="98" customFormat="1" ht="15" customHeight="1">
      <c r="B318" s="161"/>
      <c r="C318" s="185"/>
      <c r="D318" s="162" t="s">
        <v>2865</v>
      </c>
      <c r="E318" s="162"/>
      <c r="F318" s="162"/>
      <c r="G318" s="162"/>
      <c r="H318" s="163"/>
      <c r="I318" s="164" t="s">
        <v>1876</v>
      </c>
      <c r="J318" s="165">
        <v>1</v>
      </c>
      <c r="K318" s="166">
        <v>0</v>
      </c>
      <c r="L318" s="166">
        <v>3</v>
      </c>
      <c r="M318" s="166">
        <v>1</v>
      </c>
      <c r="N318" s="166">
        <v>2</v>
      </c>
      <c r="O318" s="166">
        <v>3</v>
      </c>
      <c r="P318" s="166">
        <v>2</v>
      </c>
      <c r="Q318" s="167">
        <v>2</v>
      </c>
      <c r="R318" s="165">
        <v>2</v>
      </c>
      <c r="S318" s="166">
        <v>2</v>
      </c>
      <c r="T318" s="166">
        <v>2</v>
      </c>
      <c r="U318" s="166">
        <v>2</v>
      </c>
      <c r="V318" s="167">
        <v>2</v>
      </c>
      <c r="W318" s="185"/>
    </row>
    <row r="319" spans="1:23" s="98" customFormat="1" ht="15" customHeight="1">
      <c r="B319" s="161"/>
      <c r="C319" s="185"/>
      <c r="D319" s="162" t="s">
        <v>2866</v>
      </c>
      <c r="E319" s="162"/>
      <c r="F319" s="162"/>
      <c r="G319" s="162"/>
      <c r="H319" s="163"/>
      <c r="I319" s="164" t="s">
        <v>1876</v>
      </c>
      <c r="J319" s="165">
        <v>0</v>
      </c>
      <c r="K319" s="166">
        <v>0</v>
      </c>
      <c r="L319" s="166">
        <v>0</v>
      </c>
      <c r="M319" s="166">
        <v>0</v>
      </c>
      <c r="N319" s="166">
        <v>0</v>
      </c>
      <c r="O319" s="166">
        <v>0</v>
      </c>
      <c r="P319" s="166">
        <v>0</v>
      </c>
      <c r="Q319" s="167">
        <v>0</v>
      </c>
      <c r="R319" s="165">
        <v>0</v>
      </c>
      <c r="S319" s="166">
        <v>0</v>
      </c>
      <c r="T319" s="166">
        <v>0</v>
      </c>
      <c r="U319" s="166">
        <v>0</v>
      </c>
      <c r="V319" s="167">
        <v>0</v>
      </c>
      <c r="W319" s="185"/>
    </row>
    <row r="320" spans="1:23" s="98" customFormat="1" ht="15" customHeight="1">
      <c r="B320" s="161"/>
      <c r="C320" s="185"/>
      <c r="D320" s="162" t="s">
        <v>2867</v>
      </c>
      <c r="E320" s="162"/>
      <c r="F320" s="162"/>
      <c r="G320" s="162"/>
      <c r="H320" s="163"/>
      <c r="I320" s="164" t="s">
        <v>1876</v>
      </c>
      <c r="J320" s="165">
        <v>5</v>
      </c>
      <c r="K320" s="166">
        <v>1</v>
      </c>
      <c r="L320" s="166">
        <v>6</v>
      </c>
      <c r="M320" s="166">
        <v>1</v>
      </c>
      <c r="N320" s="166">
        <v>4</v>
      </c>
      <c r="O320" s="166">
        <v>5</v>
      </c>
      <c r="P320" s="166">
        <v>4</v>
      </c>
      <c r="Q320" s="167">
        <v>4</v>
      </c>
      <c r="R320" s="165">
        <v>4</v>
      </c>
      <c r="S320" s="166">
        <v>4</v>
      </c>
      <c r="T320" s="166">
        <v>4</v>
      </c>
      <c r="U320" s="166">
        <v>4</v>
      </c>
      <c r="V320" s="167">
        <v>4</v>
      </c>
      <c r="W320" s="185"/>
    </row>
    <row r="321" spans="1:23" s="98" customFormat="1" ht="15" customHeight="1">
      <c r="B321" s="161"/>
      <c r="C321" s="185"/>
      <c r="D321" s="162" t="s">
        <v>2868</v>
      </c>
      <c r="E321" s="162"/>
      <c r="F321" s="162"/>
      <c r="G321" s="162"/>
      <c r="H321" s="163"/>
      <c r="I321" s="164" t="s">
        <v>1876</v>
      </c>
      <c r="J321" s="165">
        <v>1</v>
      </c>
      <c r="K321" s="166">
        <v>1</v>
      </c>
      <c r="L321" s="166">
        <v>0</v>
      </c>
      <c r="M321" s="166">
        <v>0</v>
      </c>
      <c r="N321" s="166">
        <v>0</v>
      </c>
      <c r="O321" s="166">
        <v>1</v>
      </c>
      <c r="P321" s="166">
        <v>0</v>
      </c>
      <c r="Q321" s="167">
        <v>0</v>
      </c>
      <c r="R321" s="165">
        <v>0</v>
      </c>
      <c r="S321" s="166">
        <v>0</v>
      </c>
      <c r="T321" s="166">
        <v>0</v>
      </c>
      <c r="U321" s="166">
        <v>0</v>
      </c>
      <c r="V321" s="167">
        <v>0</v>
      </c>
      <c r="W321" s="185"/>
    </row>
    <row r="322" spans="1:23" s="98" customFormat="1" ht="15" customHeight="1">
      <c r="B322" s="161"/>
      <c r="C322" s="185"/>
      <c r="D322" s="162" t="s">
        <v>2869</v>
      </c>
      <c r="E322" s="162"/>
      <c r="F322" s="162"/>
      <c r="G322" s="162"/>
      <c r="H322" s="163"/>
      <c r="I322" s="164" t="s">
        <v>1876</v>
      </c>
      <c r="J322" s="165">
        <v>1</v>
      </c>
      <c r="K322" s="166">
        <v>0</v>
      </c>
      <c r="L322" s="166">
        <v>0</v>
      </c>
      <c r="M322" s="166">
        <v>0</v>
      </c>
      <c r="N322" s="166">
        <v>0</v>
      </c>
      <c r="O322" s="166">
        <v>0</v>
      </c>
      <c r="P322" s="166">
        <v>0</v>
      </c>
      <c r="Q322" s="167">
        <v>0</v>
      </c>
      <c r="R322" s="165">
        <v>0</v>
      </c>
      <c r="S322" s="166">
        <v>0</v>
      </c>
      <c r="T322" s="166">
        <v>0</v>
      </c>
      <c r="U322" s="166">
        <v>0</v>
      </c>
      <c r="V322" s="167">
        <v>0</v>
      </c>
      <c r="W322" s="185"/>
    </row>
    <row r="323" spans="1:23" s="98" customFormat="1" ht="15" customHeight="1">
      <c r="B323" s="161"/>
      <c r="C323" s="185"/>
      <c r="D323" s="162" t="s">
        <v>2870</v>
      </c>
      <c r="E323" s="162"/>
      <c r="F323" s="162"/>
      <c r="G323" s="162"/>
      <c r="H323" s="163"/>
      <c r="I323" s="164" t="s">
        <v>1876</v>
      </c>
      <c r="J323" s="165">
        <v>0</v>
      </c>
      <c r="K323" s="166">
        <v>0</v>
      </c>
      <c r="L323" s="166">
        <v>0</v>
      </c>
      <c r="M323" s="166">
        <v>0</v>
      </c>
      <c r="N323" s="166">
        <v>0</v>
      </c>
      <c r="O323" s="166">
        <v>0</v>
      </c>
      <c r="P323" s="166">
        <v>0</v>
      </c>
      <c r="Q323" s="167">
        <v>0</v>
      </c>
      <c r="R323" s="165">
        <v>0</v>
      </c>
      <c r="S323" s="166">
        <v>0</v>
      </c>
      <c r="T323" s="166">
        <v>0</v>
      </c>
      <c r="U323" s="166">
        <v>0</v>
      </c>
      <c r="V323" s="167">
        <v>0</v>
      </c>
      <c r="W323" s="185"/>
    </row>
    <row r="324" spans="1:23" s="98" customFormat="1" ht="15" customHeight="1">
      <c r="B324" s="181"/>
      <c r="C324" s="182" t="s">
        <v>1710</v>
      </c>
      <c r="D324" s="245"/>
      <c r="E324" s="245"/>
      <c r="F324" s="245"/>
      <c r="G324" s="184"/>
      <c r="H324" s="184"/>
      <c r="I324" s="164" t="s">
        <v>1876</v>
      </c>
      <c r="J324" s="777">
        <f>SUM(J315:J323)</f>
        <v>18</v>
      </c>
      <c r="K324" s="778">
        <f t="shared" ref="K324" si="151">SUM(K315:K323)</f>
        <v>6</v>
      </c>
      <c r="L324" s="778">
        <f t="shared" ref="L324" si="152">SUM(L315:L323)</f>
        <v>15</v>
      </c>
      <c r="M324" s="778">
        <f t="shared" ref="M324" si="153">SUM(M315:M323)</f>
        <v>6</v>
      </c>
      <c r="N324" s="778">
        <f t="shared" ref="N324" si="154">SUM(N315:N323)</f>
        <v>10</v>
      </c>
      <c r="O324" s="778">
        <f t="shared" ref="O324" si="155">SUM(O315:O323)</f>
        <v>16</v>
      </c>
      <c r="P324" s="778">
        <f t="shared" ref="P324" si="156">SUM(P315:P323)</f>
        <v>10</v>
      </c>
      <c r="Q324" s="779">
        <f t="shared" ref="Q324" si="157">SUM(Q315:Q323)</f>
        <v>10</v>
      </c>
      <c r="R324" s="777">
        <f t="shared" ref="R324" si="158">SUM(R315:R323)</f>
        <v>10</v>
      </c>
      <c r="S324" s="778">
        <f t="shared" ref="S324" si="159">SUM(S315:S323)</f>
        <v>10</v>
      </c>
      <c r="T324" s="778">
        <f t="shared" ref="T324" si="160">SUM(T315:T323)</f>
        <v>10</v>
      </c>
      <c r="U324" s="778">
        <f t="shared" ref="U324" si="161">SUM(U315:U323)</f>
        <v>10</v>
      </c>
      <c r="V324" s="779">
        <f t="shared" ref="V324" si="162">SUM(V315:V323)</f>
        <v>10</v>
      </c>
      <c r="W324" s="185"/>
    </row>
    <row r="325" spans="1:23" s="98" customFormat="1" ht="15" customHeight="1">
      <c r="A325" s="99"/>
      <c r="B325" s="181"/>
      <c r="C325" s="185"/>
      <c r="D325" s="182"/>
      <c r="E325" s="182"/>
      <c r="F325" s="182"/>
      <c r="G325" s="184"/>
      <c r="H325" s="184"/>
      <c r="I325" s="117"/>
      <c r="J325" s="878"/>
      <c r="K325" s="879"/>
      <c r="L325" s="879"/>
      <c r="M325" s="879"/>
      <c r="N325" s="879"/>
      <c r="O325" s="879"/>
      <c r="P325" s="879"/>
      <c r="Q325" s="880"/>
      <c r="R325" s="879"/>
      <c r="S325" s="879"/>
      <c r="T325" s="879"/>
      <c r="U325" s="879"/>
      <c r="V325" s="880"/>
      <c r="W325" s="185"/>
    </row>
    <row r="326" spans="1:23" s="98" customFormat="1" ht="15" customHeight="1" thickBot="1">
      <c r="A326" s="99"/>
      <c r="B326" s="239" t="s">
        <v>1701</v>
      </c>
      <c r="C326" s="240"/>
      <c r="D326" s="240"/>
      <c r="E326" s="240"/>
      <c r="F326" s="240"/>
      <c r="G326" s="241"/>
      <c r="H326" s="241"/>
      <c r="I326" s="195" t="s">
        <v>1876</v>
      </c>
      <c r="J326" s="873">
        <f>SUM(J300,J312,J324)</f>
        <v>42</v>
      </c>
      <c r="K326" s="781">
        <f t="shared" ref="K326:V326" si="163">SUM(K300,K312,K324)</f>
        <v>35</v>
      </c>
      <c r="L326" s="781">
        <f t="shared" si="163"/>
        <v>32</v>
      </c>
      <c r="M326" s="781">
        <f t="shared" si="163"/>
        <v>32</v>
      </c>
      <c r="N326" s="781">
        <f t="shared" si="163"/>
        <v>30</v>
      </c>
      <c r="O326" s="781">
        <f t="shared" si="163"/>
        <v>43</v>
      </c>
      <c r="P326" s="781">
        <f t="shared" si="163"/>
        <v>37</v>
      </c>
      <c r="Q326" s="874">
        <f t="shared" si="163"/>
        <v>37</v>
      </c>
      <c r="R326" s="873">
        <f t="shared" si="163"/>
        <v>37</v>
      </c>
      <c r="S326" s="781">
        <f t="shared" si="163"/>
        <v>36</v>
      </c>
      <c r="T326" s="781">
        <f t="shared" si="163"/>
        <v>36</v>
      </c>
      <c r="U326" s="781">
        <f t="shared" si="163"/>
        <v>35</v>
      </c>
      <c r="V326" s="874">
        <f t="shared" si="163"/>
        <v>35</v>
      </c>
    </row>
    <row r="327" spans="1:23" s="98" customFormat="1" ht="15" customHeight="1" thickBot="1"/>
    <row r="328" spans="1:23" s="100" customFormat="1" ht="30" customHeight="1" thickBot="1">
      <c r="A328" s="89"/>
      <c r="B328" s="621" t="s">
        <v>3038</v>
      </c>
      <c r="C328" s="102"/>
      <c r="D328" s="102"/>
      <c r="E328" s="102"/>
      <c r="F328" s="102"/>
      <c r="G328" s="103"/>
      <c r="H328" s="103"/>
      <c r="I328" s="105" t="s">
        <v>3039</v>
      </c>
      <c r="J328" s="106"/>
      <c r="K328" s="106"/>
      <c r="L328" s="106"/>
      <c r="M328" s="106"/>
      <c r="N328" s="106"/>
      <c r="O328" s="106"/>
      <c r="P328" s="106"/>
      <c r="Q328" s="106"/>
      <c r="R328" s="105"/>
      <c r="S328" s="105"/>
      <c r="T328" s="105"/>
      <c r="U328" s="105"/>
      <c r="V328" s="187"/>
    </row>
    <row r="329" spans="1:23" s="157" customFormat="1" ht="30" customHeight="1">
      <c r="A329" s="99"/>
      <c r="B329" s="109"/>
      <c r="C329" s="110"/>
      <c r="D329" s="110"/>
      <c r="E329" s="110"/>
      <c r="F329" s="110"/>
      <c r="G329" s="111"/>
      <c r="H329" s="111"/>
      <c r="I329" s="117"/>
      <c r="J329" s="151" t="s">
        <v>1666</v>
      </c>
      <c r="K329" s="152"/>
      <c r="L329" s="152"/>
      <c r="M329" s="152"/>
      <c r="N329" s="152"/>
      <c r="O329" s="152"/>
      <c r="P329" s="152"/>
      <c r="Q329" s="153"/>
      <c r="R329" s="154" t="s">
        <v>2</v>
      </c>
      <c r="S329" s="155"/>
      <c r="T329" s="155"/>
      <c r="U329" s="155"/>
      <c r="V329" s="156"/>
    </row>
    <row r="330" spans="1:23" s="98" customFormat="1" ht="15" customHeight="1">
      <c r="A330" s="99"/>
      <c r="B330" s="115"/>
      <c r="C330" s="116"/>
      <c r="D330" s="116"/>
      <c r="E330" s="116"/>
      <c r="F330" s="116"/>
      <c r="G330" s="117"/>
      <c r="H330" s="117"/>
      <c r="I330" s="119" t="s">
        <v>1667</v>
      </c>
      <c r="J330" s="158" t="s">
        <v>453</v>
      </c>
      <c r="K330" s="137" t="s">
        <v>455</v>
      </c>
      <c r="L330" s="137" t="s">
        <v>457</v>
      </c>
      <c r="M330" s="137" t="s">
        <v>459</v>
      </c>
      <c r="N330" s="137" t="s">
        <v>461</v>
      </c>
      <c r="O330" s="137" t="s">
        <v>463</v>
      </c>
      <c r="P330" s="137" t="s">
        <v>465</v>
      </c>
      <c r="Q330" s="138" t="s">
        <v>467</v>
      </c>
      <c r="R330" s="120" t="s">
        <v>469</v>
      </c>
      <c r="S330" s="121" t="s">
        <v>471</v>
      </c>
      <c r="T330" s="121" t="s">
        <v>473</v>
      </c>
      <c r="U330" s="121" t="s">
        <v>475</v>
      </c>
      <c r="V330" s="122" t="s">
        <v>477</v>
      </c>
    </row>
    <row r="331" spans="1:23" s="98" customFormat="1" ht="15" customHeight="1">
      <c r="A331" s="99"/>
      <c r="B331" s="115"/>
      <c r="C331" s="116"/>
      <c r="D331" s="116"/>
      <c r="E331" s="116"/>
      <c r="F331" s="116"/>
      <c r="G331" s="117"/>
      <c r="H331" s="117"/>
      <c r="I331" s="92"/>
      <c r="J331" s="619"/>
      <c r="K331" s="92"/>
      <c r="L331" s="92"/>
      <c r="M331" s="92"/>
      <c r="N331" s="92"/>
      <c r="O331" s="92"/>
      <c r="P331" s="92"/>
      <c r="Q331" s="618"/>
      <c r="R331" s="619"/>
      <c r="S331" s="92"/>
      <c r="T331" s="92"/>
      <c r="U331" s="92"/>
      <c r="V331" s="618"/>
    </row>
    <row r="332" spans="1:23" s="98" customFormat="1" ht="15" customHeight="1" thickBot="1">
      <c r="B332" s="191"/>
      <c r="C332" s="247" t="s">
        <v>3040</v>
      </c>
      <c r="D332" s="193"/>
      <c r="E332" s="193"/>
      <c r="F332" s="193"/>
      <c r="G332" s="193"/>
      <c r="H332" s="194"/>
      <c r="I332" s="195" t="s">
        <v>3041</v>
      </c>
      <c r="J332" s="232">
        <v>34.357028999999997</v>
      </c>
      <c r="K332" s="233">
        <v>24.8</v>
      </c>
      <c r="L332" s="233">
        <v>18.601358000000001</v>
      </c>
      <c r="M332" s="233">
        <v>17.396752574997912</v>
      </c>
      <c r="N332" s="233">
        <v>19.329999999999998</v>
      </c>
      <c r="O332" s="233">
        <v>23.62</v>
      </c>
      <c r="P332" s="233">
        <v>24.99841740850643</v>
      </c>
      <c r="Q332" s="234">
        <v>24.195022007912961</v>
      </c>
      <c r="R332" s="232">
        <v>23.423482067260142</v>
      </c>
      <c r="S332" s="233">
        <v>22.682803724233434</v>
      </c>
      <c r="T332" s="233">
        <v>21.9717525149278</v>
      </c>
      <c r="U332" s="233">
        <v>21.289143353994387</v>
      </c>
      <c r="V332" s="234">
        <v>20.633838559498312</v>
      </c>
      <c r="W332" s="185"/>
    </row>
    <row r="333" spans="1:23" s="98" customFormat="1" ht="15" customHeight="1"/>
    <row r="334" spans="1:23" s="98" customFormat="1" ht="15" customHeight="1"/>
    <row r="335" spans="1:23" s="98" customFormat="1" ht="15" customHeight="1"/>
    <row r="336" spans="1:23" s="98" customFormat="1" ht="15" customHeight="1"/>
    <row r="337" s="98" customFormat="1" ht="15" customHeight="1"/>
    <row r="338" s="98" customFormat="1" ht="15" customHeight="1"/>
    <row r="339" s="98" customFormat="1" ht="15" customHeight="1"/>
    <row r="340" s="98" customFormat="1" ht="15" customHeight="1"/>
    <row r="341" s="98" customFormat="1" ht="15" customHeight="1"/>
    <row r="342" s="98" customFormat="1" ht="15" customHeight="1"/>
    <row r="343" s="98" customFormat="1" ht="15" customHeight="1"/>
    <row r="344" s="98" customFormat="1" ht="15" customHeight="1"/>
    <row r="345" s="98" customFormat="1" ht="15" customHeight="1"/>
    <row r="346" s="98" customFormat="1" ht="15" customHeight="1"/>
    <row r="347" s="98" customFormat="1" ht="15" customHeight="1"/>
    <row r="348" s="98" customFormat="1" ht="15" customHeight="1"/>
    <row r="349" s="98" customFormat="1" ht="15" customHeight="1"/>
    <row r="350" s="98" customFormat="1" ht="15" customHeight="1"/>
    <row r="351" s="98" customFormat="1" ht="15" customHeight="1"/>
    <row r="352" s="98" customFormat="1" ht="15" customHeight="1"/>
    <row r="353" s="98" customFormat="1" ht="15" customHeight="1"/>
    <row r="354" s="98" customFormat="1" ht="15" customHeight="1"/>
    <row r="355" s="98" customFormat="1" ht="15" customHeight="1"/>
    <row r="356" s="98" customFormat="1" ht="15" customHeight="1"/>
    <row r="357" s="98" customFormat="1" ht="15" customHeight="1"/>
    <row r="358" s="98" customFormat="1" ht="15" customHeight="1"/>
    <row r="359" s="98" customFormat="1" ht="15" customHeight="1"/>
    <row r="360" s="98" customFormat="1" ht="15" customHeight="1"/>
    <row r="361" s="99" customFormat="1" ht="15" customHeight="1"/>
    <row r="362" s="100" customFormat="1" ht="30" customHeight="1"/>
    <row r="363" s="157" customFormat="1" ht="30" customHeight="1"/>
    <row r="364" s="98" customFormat="1" ht="15" customHeight="1"/>
    <row r="365" s="98" customFormat="1" ht="15" customHeight="1"/>
    <row r="366" s="98" customFormat="1" ht="15" customHeight="1"/>
    <row r="367" s="98" customFormat="1" ht="15" customHeight="1"/>
    <row r="368" s="98" customFormat="1" ht="15" customHeight="1"/>
    <row r="369" s="98" customFormat="1" ht="15" customHeight="1"/>
    <row r="370" s="98" customFormat="1" ht="15" customHeight="1"/>
    <row r="371" s="98" customFormat="1" ht="15" customHeight="1"/>
    <row r="372" s="98" customFormat="1" ht="15" customHeight="1"/>
    <row r="373" s="98" customFormat="1" ht="15" customHeight="1"/>
    <row r="374" s="98" customFormat="1" ht="15" customHeight="1"/>
    <row r="375" s="98" customFormat="1" ht="15" customHeight="1"/>
    <row r="376" s="98" customFormat="1" ht="15" customHeight="1"/>
    <row r="377" s="98" customFormat="1" ht="15" customHeight="1"/>
    <row r="378" s="98" customFormat="1" ht="15" customHeight="1"/>
    <row r="379" s="98" customFormat="1" ht="15" customHeight="1"/>
    <row r="380" s="98" customFormat="1" ht="15" customHeight="1"/>
    <row r="381" s="98" customFormat="1" ht="15" customHeight="1"/>
    <row r="382" s="98" customFormat="1" ht="15" customHeight="1"/>
    <row r="383" s="98" customFormat="1" ht="15" customHeight="1"/>
    <row r="384" s="98" customFormat="1" ht="15" customHeight="1"/>
    <row r="385" s="98" customFormat="1" ht="15" customHeight="1"/>
    <row r="386" s="98" customFormat="1" ht="15" customHeight="1"/>
    <row r="387" s="98" customFormat="1" ht="15" customHeight="1"/>
    <row r="388" s="98" customFormat="1" ht="15" customHeight="1"/>
    <row r="389" s="98" customFormat="1" ht="15" customHeight="1"/>
    <row r="390" s="99" customFormat="1" ht="15" customHeight="1"/>
    <row r="391" s="100" customFormat="1" ht="30" customHeight="1"/>
    <row r="392" s="157" customFormat="1" ht="30" customHeight="1"/>
    <row r="393" s="98" customFormat="1" ht="15" customHeight="1"/>
    <row r="394" s="98" customFormat="1" ht="15" customHeight="1"/>
    <row r="395" s="98" customFormat="1" ht="15" customHeight="1"/>
    <row r="396" s="98" customFormat="1" ht="15" customHeight="1"/>
    <row r="397" s="98" customFormat="1" ht="15" customHeight="1"/>
    <row r="398" s="98" customFormat="1" ht="15" customHeight="1"/>
    <row r="399" s="98" customFormat="1" ht="15" customHeight="1"/>
    <row r="400" s="98" customFormat="1" ht="15" customHeight="1"/>
    <row r="401" spans="2:9" s="98" customFormat="1" ht="15" customHeight="1"/>
    <row r="402" spans="2:9" s="98" customFormat="1" ht="15" customHeight="1"/>
    <row r="403" spans="2:9" s="98" customFormat="1" ht="15" customHeight="1"/>
    <row r="404" spans="2:9" s="98" customFormat="1" ht="15" customHeight="1"/>
    <row r="405" spans="2:9" s="98" customFormat="1" ht="15" customHeight="1"/>
    <row r="406" spans="2:9" s="98" customFormat="1" ht="15" customHeight="1"/>
    <row r="407" spans="2:9">
      <c r="B407" s="173"/>
      <c r="C407" s="173"/>
      <c r="D407" s="173"/>
      <c r="E407" s="173"/>
      <c r="F407" s="173"/>
      <c r="I407" s="173"/>
    </row>
    <row r="408" spans="2:9" s="100" customFormat="1" ht="30" customHeight="1"/>
    <row r="409" spans="2:9" s="157" customFormat="1" ht="30" customHeight="1"/>
    <row r="410" spans="2:9" s="98" customFormat="1" ht="15" customHeight="1"/>
    <row r="411" spans="2:9" s="98" customFormat="1" ht="15" customHeight="1"/>
    <row r="412" spans="2:9" s="98" customFormat="1" ht="15" customHeight="1"/>
    <row r="413" spans="2:9" s="98" customFormat="1" ht="15" customHeight="1"/>
    <row r="414" spans="2:9" s="98" customFormat="1" ht="15" customHeight="1"/>
    <row r="415" spans="2:9" s="98" customFormat="1" ht="15" customHeight="1"/>
    <row r="416" spans="2:9" s="98" customFormat="1" ht="15" customHeight="1"/>
    <row r="417" spans="2:9" s="98" customFormat="1" ht="15" customHeight="1"/>
    <row r="418" spans="2:9" s="98" customFormat="1" ht="15" customHeight="1"/>
    <row r="419" spans="2:9" s="98" customFormat="1" ht="15" customHeight="1"/>
    <row r="420" spans="2:9" s="98" customFormat="1" ht="15" customHeight="1"/>
    <row r="421" spans="2:9" s="98" customFormat="1" ht="15" customHeight="1"/>
    <row r="422" spans="2:9" s="98" customFormat="1" ht="15" customHeight="1"/>
    <row r="423" spans="2:9" s="98" customFormat="1" ht="15" customHeight="1"/>
    <row r="424" spans="2:9" s="98" customFormat="1" ht="15" customHeight="1"/>
    <row r="425" spans="2:9">
      <c r="B425" s="173"/>
      <c r="C425" s="173"/>
      <c r="D425" s="173"/>
      <c r="E425" s="173"/>
      <c r="F425" s="173"/>
      <c r="I425" s="173"/>
    </row>
    <row r="426" spans="2:9" s="100" customFormat="1" ht="30" customHeight="1"/>
    <row r="427" spans="2:9" s="157" customFormat="1" ht="30" customHeight="1"/>
    <row r="428" spans="2:9" s="98" customFormat="1" ht="15" customHeight="1"/>
    <row r="429" spans="2:9" s="98" customFormat="1" ht="15" customHeight="1"/>
    <row r="430" spans="2:9" s="98" customFormat="1" ht="15" customHeight="1"/>
    <row r="431" spans="2:9" s="98" customFormat="1" ht="15" customHeight="1"/>
    <row r="432" spans="2:9" s="98" customFormat="1" ht="15" customHeight="1"/>
    <row r="433" spans="2:9" s="98" customFormat="1" ht="15" customHeight="1"/>
    <row r="434" spans="2:9" s="98" customFormat="1" ht="15" customHeight="1"/>
    <row r="435" spans="2:9" s="98" customFormat="1" ht="15" customHeight="1"/>
    <row r="436" spans="2:9">
      <c r="B436" s="173"/>
      <c r="C436" s="173"/>
      <c r="D436" s="173"/>
      <c r="E436" s="173"/>
      <c r="F436" s="173"/>
      <c r="I436" s="173"/>
    </row>
    <row r="437" spans="2:9" s="100" customFormat="1" ht="30" customHeight="1"/>
    <row r="438" spans="2:9" s="157" customFormat="1" ht="30" customHeight="1"/>
    <row r="439" spans="2:9" s="98" customFormat="1" ht="15" customHeight="1"/>
    <row r="440" spans="2:9" s="98" customFormat="1" ht="15" customHeight="1"/>
    <row r="441" spans="2:9" s="98" customFormat="1" ht="15" customHeight="1"/>
    <row r="442" spans="2:9">
      <c r="B442" s="173"/>
      <c r="C442" s="173"/>
      <c r="D442" s="173"/>
      <c r="E442" s="173"/>
      <c r="F442" s="173"/>
      <c r="I442" s="173"/>
    </row>
    <row r="443" spans="2:9" s="100" customFormat="1" ht="30" customHeight="1"/>
    <row r="444" spans="2:9" s="157" customFormat="1" ht="30" customHeight="1"/>
    <row r="445" spans="2:9" s="98" customFormat="1" ht="15" customHeight="1"/>
    <row r="446" spans="2:9" s="98" customFormat="1" ht="15" customHeight="1"/>
    <row r="447" spans="2:9" s="98" customFormat="1" ht="15" customHeight="1"/>
    <row r="448" spans="2:9">
      <c r="B448" s="173"/>
      <c r="C448" s="173"/>
      <c r="D448" s="173"/>
      <c r="E448" s="173"/>
      <c r="F448" s="173"/>
      <c r="I448" s="173"/>
    </row>
    <row r="449" s="100" customFormat="1" ht="30" customHeight="1"/>
    <row r="450" s="157" customFormat="1" ht="30" customHeight="1"/>
    <row r="451" s="98" customFormat="1" ht="15" customHeight="1"/>
    <row r="452" s="98" customFormat="1" ht="15" customHeight="1"/>
    <row r="453" s="98" customFormat="1" ht="15" customHeight="1"/>
    <row r="454" s="98" customFormat="1" ht="15" customHeight="1"/>
    <row r="466" spans="8:14">
      <c r="H466" s="174"/>
      <c r="I466" s="174"/>
      <c r="J466" s="174"/>
      <c r="K466" s="174"/>
      <c r="L466" s="174"/>
      <c r="M466" s="174"/>
      <c r="N466" s="174"/>
    </row>
    <row r="467" spans="8:14">
      <c r="H467" s="174"/>
      <c r="I467" s="174"/>
      <c r="J467" s="174"/>
      <c r="K467" s="174"/>
      <c r="L467" s="174"/>
      <c r="M467" s="174"/>
      <c r="N467" s="174"/>
    </row>
    <row r="468" spans="8:14">
      <c r="H468" s="174"/>
      <c r="I468" s="174"/>
      <c r="J468" s="174"/>
      <c r="K468" s="174"/>
      <c r="L468" s="174"/>
      <c r="M468" s="174"/>
      <c r="N468" s="174"/>
    </row>
  </sheetData>
  <pageMargins left="0.7" right="0.7" top="0.75" bottom="0.75" header="0.3" footer="0.3"/>
  <pageSetup paperSize="8" scale="40"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tabColor rgb="FF00B050"/>
  </sheetPr>
  <dimension ref="A1:AZ207"/>
  <sheetViews>
    <sheetView showGridLines="0" topLeftCell="A16" zoomScale="70" zoomScaleNormal="70" workbookViewId="0">
      <pane xSplit="7" topLeftCell="AM1" activePane="topRight" state="frozen"/>
      <selection activeCell="G14" sqref="G14"/>
      <selection pane="topRight" activeCell="AZ31" sqref="AZ31"/>
    </sheetView>
  </sheetViews>
  <sheetFormatPr defaultColWidth="11.875" defaultRowHeight="12.75"/>
  <cols>
    <col min="1" max="1" width="11.875" style="173" customWidth="1"/>
    <col min="2" max="6" width="4.375" style="174" customWidth="1"/>
    <col min="7" max="7" width="38.125" style="173" customWidth="1"/>
    <col min="8" max="8" width="11.875" style="173" customWidth="1"/>
    <col min="9" max="9" width="15.625" style="175" customWidth="1"/>
    <col min="10" max="22" width="15.625" style="173" customWidth="1"/>
    <col min="23" max="23" width="5.625" style="173" customWidth="1"/>
    <col min="24" max="24" width="15.625" style="173" customWidth="1"/>
    <col min="25" max="25" width="15.625" style="175" customWidth="1"/>
    <col min="26" max="37" width="15.625" style="173" customWidth="1"/>
    <col min="38" max="38" width="5.625" style="173" customWidth="1"/>
    <col min="39" max="52" width="15.625" style="173" customWidth="1"/>
    <col min="53" max="16384" width="11.875" style="173"/>
  </cols>
  <sheetData>
    <row r="1" spans="1:34" s="2" customFormat="1" ht="25.15" customHeight="1">
      <c r="A1" s="1" t="s">
        <v>0</v>
      </c>
      <c r="E1" s="3"/>
      <c r="H1" s="4" t="s">
        <v>1</v>
      </c>
      <c r="J1" s="3"/>
    </row>
    <row r="2" spans="1:34" s="2" customFormat="1" ht="25.15" customHeight="1">
      <c r="A2" s="5" t="str">
        <f>Fixed_Data!I12</f>
        <v>MASTER</v>
      </c>
      <c r="B2" s="6"/>
      <c r="D2" s="7"/>
      <c r="E2" s="3"/>
    </row>
    <row r="3" spans="1:34" s="9" customFormat="1" ht="25.15" customHeight="1" thickBot="1">
      <c r="A3" s="8" t="str">
        <f>Fixed_Data!A3</f>
        <v>RIIO-GD2</v>
      </c>
      <c r="D3" s="10"/>
      <c r="E3" s="11"/>
    </row>
    <row r="4" spans="1:34" s="89" customFormat="1" ht="25.15" customHeight="1">
      <c r="B4" s="90" t="s">
        <v>3042</v>
      </c>
      <c r="C4" s="90"/>
      <c r="D4" s="90"/>
      <c r="E4" s="90"/>
      <c r="F4" s="90"/>
      <c r="G4" s="91"/>
      <c r="H4" s="92"/>
      <c r="I4" s="93"/>
      <c r="J4" s="94"/>
      <c r="K4" s="94"/>
      <c r="L4" s="94"/>
      <c r="M4" s="94"/>
      <c r="N4" s="94"/>
      <c r="O4" s="94"/>
      <c r="P4" s="94"/>
      <c r="Q4" s="94"/>
      <c r="R4" s="92"/>
      <c r="S4" s="92"/>
      <c r="T4" s="92"/>
      <c r="U4" s="92"/>
      <c r="V4" s="92"/>
      <c r="W4" s="92"/>
      <c r="X4" s="92"/>
      <c r="Y4" s="92"/>
      <c r="Z4" s="92"/>
      <c r="AA4" s="92"/>
      <c r="AB4" s="94"/>
      <c r="AC4" s="92"/>
      <c r="AD4" s="92"/>
      <c r="AE4" s="92"/>
      <c r="AF4" s="92"/>
      <c r="AG4" s="92"/>
      <c r="AH4" s="92"/>
    </row>
    <row r="5" spans="1:34" s="89" customFormat="1" ht="25.15" customHeight="1">
      <c r="B5" s="95"/>
      <c r="C5" s="95"/>
      <c r="D5" s="95"/>
      <c r="E5" s="95"/>
      <c r="F5" s="95"/>
      <c r="G5" s="95"/>
      <c r="H5" s="95"/>
      <c r="I5" s="93"/>
      <c r="J5" s="94"/>
      <c r="K5" s="94"/>
      <c r="L5" s="94"/>
      <c r="M5" s="94"/>
      <c r="N5" s="94"/>
      <c r="O5" s="94"/>
      <c r="P5" s="94"/>
      <c r="Q5" s="94"/>
      <c r="R5" s="92"/>
      <c r="S5" s="92"/>
      <c r="T5" s="92"/>
      <c r="U5" s="92"/>
      <c r="V5" s="92"/>
      <c r="W5" s="92"/>
      <c r="X5" s="92"/>
      <c r="Y5" s="92"/>
      <c r="Z5" s="92"/>
      <c r="AA5" s="92"/>
      <c r="AB5" s="94"/>
      <c r="AC5" s="92"/>
      <c r="AD5" s="92"/>
      <c r="AE5" s="92"/>
      <c r="AF5" s="92"/>
      <c r="AG5" s="92"/>
      <c r="AH5" s="92"/>
    </row>
    <row r="6" spans="1:34"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4"/>
      <c r="AC6" s="92"/>
      <c r="AD6" s="92"/>
      <c r="AE6" s="92"/>
      <c r="AF6" s="92"/>
      <c r="AG6" s="92"/>
      <c r="AH6" s="92"/>
    </row>
    <row r="7" spans="1:34"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6"/>
      <c r="Z7" s="98"/>
      <c r="AA7" s="98"/>
      <c r="AB7" s="98"/>
      <c r="AC7" s="98"/>
      <c r="AD7" s="98"/>
      <c r="AE7" s="98"/>
      <c r="AF7" s="98"/>
      <c r="AG7" s="98"/>
      <c r="AH7" s="98"/>
    </row>
    <row r="8" spans="1:34" s="100" customFormat="1" ht="30" customHeight="1" thickBot="1">
      <c r="A8" s="89"/>
      <c r="B8" s="621" t="s">
        <v>3043</v>
      </c>
      <c r="C8" s="102"/>
      <c r="D8" s="102"/>
      <c r="E8" s="102"/>
      <c r="F8" s="102"/>
      <c r="G8" s="103"/>
      <c r="H8" s="103"/>
      <c r="I8" s="105" t="s">
        <v>3044</v>
      </c>
      <c r="J8" s="106"/>
      <c r="K8" s="106"/>
      <c r="L8" s="106"/>
      <c r="M8" s="106"/>
      <c r="N8" s="106"/>
      <c r="O8" s="106"/>
      <c r="P8" s="106"/>
      <c r="Q8" s="106"/>
      <c r="R8" s="105"/>
      <c r="S8" s="105"/>
      <c r="T8" s="105"/>
      <c r="U8" s="105"/>
      <c r="V8" s="187"/>
    </row>
    <row r="9" spans="1:34" s="157" customFormat="1" ht="30" customHeight="1">
      <c r="A9" s="99"/>
      <c r="B9" s="109"/>
      <c r="C9" s="110"/>
      <c r="D9" s="110"/>
      <c r="E9" s="110"/>
      <c r="F9" s="110"/>
      <c r="G9" s="111"/>
      <c r="H9" s="111"/>
      <c r="I9" s="117"/>
      <c r="J9" s="695" t="s">
        <v>1666</v>
      </c>
      <c r="K9" s="152"/>
      <c r="L9" s="152"/>
      <c r="M9" s="152"/>
      <c r="N9" s="152"/>
      <c r="O9" s="152"/>
      <c r="P9" s="152"/>
      <c r="Q9" s="153"/>
      <c r="R9" s="696" t="s">
        <v>2</v>
      </c>
      <c r="S9" s="155"/>
      <c r="T9" s="155"/>
      <c r="U9" s="155"/>
      <c r="V9" s="156"/>
    </row>
    <row r="10" spans="1:34" s="98" customFormat="1" ht="15" customHeight="1">
      <c r="A10" s="99"/>
      <c r="B10" s="115"/>
      <c r="C10" s="116"/>
      <c r="D10" s="116"/>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row>
    <row r="11" spans="1:34" s="98" customFormat="1" ht="15" customHeight="1">
      <c r="B11" s="161"/>
      <c r="C11" s="180" t="s">
        <v>3045</v>
      </c>
      <c r="D11" s="180"/>
      <c r="E11" s="162"/>
      <c r="F11" s="162"/>
      <c r="G11" s="163"/>
      <c r="H11" s="163"/>
      <c r="I11" s="117"/>
      <c r="J11" s="159"/>
      <c r="K11" s="117"/>
      <c r="L11" s="117"/>
      <c r="M11" s="117"/>
      <c r="N11" s="117"/>
      <c r="O11" s="117"/>
      <c r="P11" s="117"/>
      <c r="Q11" s="160"/>
      <c r="R11" s="159"/>
      <c r="S11" s="117"/>
      <c r="T11" s="117"/>
      <c r="U11" s="117"/>
      <c r="V11" s="160"/>
      <c r="W11" s="185"/>
    </row>
    <row r="12" spans="1:34" s="98" customFormat="1" ht="15" customHeight="1">
      <c r="B12" s="161"/>
      <c r="C12" s="185"/>
      <c r="D12" s="162" t="s">
        <v>3046</v>
      </c>
      <c r="E12" s="185"/>
      <c r="F12" s="185"/>
      <c r="G12" s="162"/>
      <c r="H12" s="163"/>
      <c r="I12" s="164" t="s">
        <v>1876</v>
      </c>
      <c r="J12" s="165">
        <v>2432656</v>
      </c>
      <c r="K12" s="166">
        <v>2436455</v>
      </c>
      <c r="L12" s="166">
        <v>2440101</v>
      </c>
      <c r="M12" s="166">
        <v>2447296</v>
      </c>
      <c r="N12" s="166">
        <v>2449909</v>
      </c>
      <c r="O12" s="166">
        <v>2449080</v>
      </c>
      <c r="P12" s="166">
        <v>2452365</v>
      </c>
      <c r="Q12" s="167">
        <v>2455650</v>
      </c>
      <c r="R12" s="165">
        <v>2458935</v>
      </c>
      <c r="S12" s="166">
        <v>2462220</v>
      </c>
      <c r="T12" s="166">
        <v>2465505</v>
      </c>
      <c r="U12" s="166">
        <v>2468790</v>
      </c>
      <c r="V12" s="167">
        <v>2472075</v>
      </c>
      <c r="W12" s="185"/>
    </row>
    <row r="13" spans="1:34" s="98" customFormat="1" ht="15" customHeight="1">
      <c r="B13" s="161"/>
      <c r="C13" s="185"/>
      <c r="D13" s="162" t="s">
        <v>2673</v>
      </c>
      <c r="E13" s="185"/>
      <c r="F13" s="185"/>
      <c r="G13" s="162"/>
      <c r="H13" s="163"/>
      <c r="I13" s="164" t="s">
        <v>1876</v>
      </c>
      <c r="J13" s="165">
        <v>0</v>
      </c>
      <c r="K13" s="166">
        <v>0</v>
      </c>
      <c r="L13" s="166">
        <v>0</v>
      </c>
      <c r="M13" s="166">
        <v>0</v>
      </c>
      <c r="N13" s="166">
        <v>0</v>
      </c>
      <c r="O13" s="166">
        <v>0</v>
      </c>
      <c r="P13" s="166">
        <v>0</v>
      </c>
      <c r="Q13" s="167">
        <v>0</v>
      </c>
      <c r="R13" s="165">
        <v>0</v>
      </c>
      <c r="S13" s="166">
        <v>0</v>
      </c>
      <c r="T13" s="166">
        <v>0</v>
      </c>
      <c r="U13" s="166">
        <v>0</v>
      </c>
      <c r="V13" s="167">
        <v>0</v>
      </c>
      <c r="W13" s="185"/>
    </row>
    <row r="14" spans="1:34" s="98" customFormat="1" ht="15" customHeight="1">
      <c r="B14" s="161"/>
      <c r="C14" s="185"/>
      <c r="D14" s="162" t="s">
        <v>3047</v>
      </c>
      <c r="E14" s="185"/>
      <c r="F14" s="185"/>
      <c r="G14" s="162"/>
      <c r="H14" s="163"/>
      <c r="I14" s="164" t="s">
        <v>1876</v>
      </c>
      <c r="J14" s="165">
        <v>77948</v>
      </c>
      <c r="K14" s="166">
        <v>78364</v>
      </c>
      <c r="L14" s="166">
        <v>80761</v>
      </c>
      <c r="M14" s="166">
        <v>86021</v>
      </c>
      <c r="N14" s="166">
        <v>90032</v>
      </c>
      <c r="O14" s="166">
        <v>90861</v>
      </c>
      <c r="P14" s="166">
        <v>92346</v>
      </c>
      <c r="Q14" s="167">
        <v>93831</v>
      </c>
      <c r="R14" s="165">
        <v>95316</v>
      </c>
      <c r="S14" s="166">
        <v>96801</v>
      </c>
      <c r="T14" s="166">
        <v>98286</v>
      </c>
      <c r="U14" s="166">
        <v>99771</v>
      </c>
      <c r="V14" s="167">
        <v>101256</v>
      </c>
      <c r="W14" s="185"/>
    </row>
    <row r="15" spans="1:34" s="98" customFormat="1" ht="15" customHeight="1" thickBot="1">
      <c r="B15" s="239" t="s">
        <v>1701</v>
      </c>
      <c r="C15" s="192"/>
      <c r="D15" s="246"/>
      <c r="E15" s="192"/>
      <c r="F15" s="192"/>
      <c r="G15" s="241"/>
      <c r="H15" s="241"/>
      <c r="I15" s="195" t="s">
        <v>1876</v>
      </c>
      <c r="J15" s="873">
        <f>SUM(J12:J14)</f>
        <v>2510604</v>
      </c>
      <c r="K15" s="781">
        <f t="shared" ref="K15:V15" si="0">SUM(K12:K14)</f>
        <v>2514819</v>
      </c>
      <c r="L15" s="781">
        <f t="shared" si="0"/>
        <v>2520862</v>
      </c>
      <c r="M15" s="781">
        <f t="shared" si="0"/>
        <v>2533317</v>
      </c>
      <c r="N15" s="781">
        <f t="shared" si="0"/>
        <v>2539941</v>
      </c>
      <c r="O15" s="781">
        <f t="shared" si="0"/>
        <v>2539941</v>
      </c>
      <c r="P15" s="781">
        <f t="shared" si="0"/>
        <v>2544711</v>
      </c>
      <c r="Q15" s="874">
        <f t="shared" si="0"/>
        <v>2549481</v>
      </c>
      <c r="R15" s="873">
        <f t="shared" si="0"/>
        <v>2554251</v>
      </c>
      <c r="S15" s="781">
        <f t="shared" si="0"/>
        <v>2559021</v>
      </c>
      <c r="T15" s="781">
        <f t="shared" si="0"/>
        <v>2563791</v>
      </c>
      <c r="U15" s="781">
        <f t="shared" si="0"/>
        <v>2568561</v>
      </c>
      <c r="V15" s="874">
        <f t="shared" si="0"/>
        <v>2573331</v>
      </c>
      <c r="W15" s="185"/>
    </row>
    <row r="16" spans="1:34" s="99" customFormat="1" ht="15" customHeight="1" thickBot="1">
      <c r="B16" s="150"/>
      <c r="C16" s="150"/>
      <c r="D16" s="150"/>
      <c r="E16" s="150"/>
      <c r="F16" s="150"/>
      <c r="G16" s="97"/>
      <c r="H16" s="97"/>
      <c r="I16" s="98"/>
      <c r="J16" s="98"/>
      <c r="K16" s="98"/>
      <c r="L16" s="98"/>
      <c r="M16" s="98"/>
      <c r="N16" s="98"/>
      <c r="O16" s="98"/>
      <c r="P16" s="98"/>
      <c r="Q16" s="98"/>
      <c r="R16" s="98"/>
      <c r="S16" s="98"/>
      <c r="T16" s="98"/>
      <c r="U16" s="98"/>
      <c r="V16" s="98"/>
    </row>
    <row r="17" spans="1:52" s="100" customFormat="1" ht="30" customHeight="1" thickBot="1">
      <c r="A17" s="89"/>
      <c r="B17" s="621" t="s">
        <v>3048</v>
      </c>
      <c r="C17" s="102"/>
      <c r="D17" s="102"/>
      <c r="E17" s="102"/>
      <c r="F17" s="102"/>
      <c r="G17" s="103"/>
      <c r="H17" s="103"/>
      <c r="I17" s="105" t="s">
        <v>1869</v>
      </c>
      <c r="J17" s="106"/>
      <c r="K17" s="106"/>
      <c r="L17" s="106"/>
      <c r="M17" s="106"/>
      <c r="N17" s="106"/>
      <c r="O17" s="106"/>
      <c r="P17" s="106"/>
      <c r="Q17" s="106"/>
      <c r="R17" s="105"/>
      <c r="S17" s="105"/>
      <c r="T17" s="105"/>
      <c r="U17" s="105"/>
      <c r="V17" s="187"/>
      <c r="W17" s="103"/>
      <c r="X17" s="105" t="s">
        <v>3049</v>
      </c>
      <c r="Y17" s="106"/>
      <c r="Z17" s="106"/>
      <c r="AA17" s="106"/>
      <c r="AB17" s="106"/>
      <c r="AC17" s="106"/>
      <c r="AD17" s="106"/>
      <c r="AE17" s="106"/>
      <c r="AF17" s="106"/>
      <c r="AG17" s="105"/>
      <c r="AH17" s="105"/>
      <c r="AI17" s="105"/>
      <c r="AJ17" s="105"/>
      <c r="AK17" s="187"/>
    </row>
    <row r="18" spans="1:52" s="157" customFormat="1" ht="30" customHeight="1">
      <c r="A18" s="99"/>
      <c r="B18" s="109"/>
      <c r="C18" s="110"/>
      <c r="D18" s="110"/>
      <c r="E18" s="110"/>
      <c r="F18" s="110"/>
      <c r="G18" s="111"/>
      <c r="H18" s="111"/>
      <c r="I18" s="117"/>
      <c r="J18" s="695" t="s">
        <v>1666</v>
      </c>
      <c r="K18" s="152"/>
      <c r="L18" s="152"/>
      <c r="M18" s="152"/>
      <c r="N18" s="152"/>
      <c r="O18" s="152"/>
      <c r="P18" s="152"/>
      <c r="Q18" s="153"/>
      <c r="R18" s="696" t="s">
        <v>2</v>
      </c>
      <c r="S18" s="155"/>
      <c r="T18" s="155"/>
      <c r="U18" s="155"/>
      <c r="V18" s="156"/>
      <c r="W18" s="222"/>
      <c r="X18" s="117"/>
      <c r="Y18" s="695" t="s">
        <v>1666</v>
      </c>
      <c r="Z18" s="152"/>
      <c r="AA18" s="152"/>
      <c r="AB18" s="152"/>
      <c r="AC18" s="152"/>
      <c r="AD18" s="152"/>
      <c r="AE18" s="152"/>
      <c r="AF18" s="153"/>
      <c r="AG18" s="696" t="s">
        <v>2</v>
      </c>
      <c r="AH18" s="155"/>
      <c r="AI18" s="155"/>
      <c r="AJ18" s="155"/>
      <c r="AK18" s="156"/>
    </row>
    <row r="19" spans="1:52" s="98" customFormat="1" ht="15" customHeight="1">
      <c r="A19" s="99"/>
      <c r="B19" s="115"/>
      <c r="C19" s="116"/>
      <c r="D19" s="116"/>
      <c r="E19" s="116"/>
      <c r="F19" s="116"/>
      <c r="G19" s="117"/>
      <c r="H19" s="117"/>
      <c r="I19" s="119" t="s">
        <v>1667</v>
      </c>
      <c r="J19" s="158" t="s">
        <v>453</v>
      </c>
      <c r="K19" s="137" t="s">
        <v>455</v>
      </c>
      <c r="L19" s="137" t="s">
        <v>457</v>
      </c>
      <c r="M19" s="137" t="s">
        <v>459</v>
      </c>
      <c r="N19" s="137" t="s">
        <v>461</v>
      </c>
      <c r="O19" s="137" t="s">
        <v>463</v>
      </c>
      <c r="P19" s="137" t="s">
        <v>465</v>
      </c>
      <c r="Q19" s="138" t="s">
        <v>467</v>
      </c>
      <c r="R19" s="120" t="s">
        <v>469</v>
      </c>
      <c r="S19" s="121" t="s">
        <v>471</v>
      </c>
      <c r="T19" s="121" t="s">
        <v>473</v>
      </c>
      <c r="U19" s="121" t="s">
        <v>475</v>
      </c>
      <c r="V19" s="122" t="s">
        <v>477</v>
      </c>
      <c r="W19" s="185"/>
      <c r="X19" s="119" t="s">
        <v>1667</v>
      </c>
      <c r="Y19" s="158" t="s">
        <v>453</v>
      </c>
      <c r="Z19" s="137" t="s">
        <v>455</v>
      </c>
      <c r="AA19" s="137" t="s">
        <v>457</v>
      </c>
      <c r="AB19" s="137" t="s">
        <v>459</v>
      </c>
      <c r="AC19" s="137" t="s">
        <v>461</v>
      </c>
      <c r="AD19" s="137" t="s">
        <v>463</v>
      </c>
      <c r="AE19" s="137" t="s">
        <v>465</v>
      </c>
      <c r="AF19" s="138" t="s">
        <v>467</v>
      </c>
      <c r="AG19" s="120" t="s">
        <v>469</v>
      </c>
      <c r="AH19" s="121" t="s">
        <v>471</v>
      </c>
      <c r="AI19" s="121" t="s">
        <v>473</v>
      </c>
      <c r="AJ19" s="121" t="s">
        <v>475</v>
      </c>
      <c r="AK19" s="122" t="s">
        <v>477</v>
      </c>
    </row>
    <row r="20" spans="1:52" s="98" customFormat="1" ht="15" customHeight="1">
      <c r="B20" s="161"/>
      <c r="C20" s="180" t="s">
        <v>3050</v>
      </c>
      <c r="D20" s="180"/>
      <c r="E20" s="162"/>
      <c r="F20" s="162"/>
      <c r="G20" s="163"/>
      <c r="H20" s="163"/>
      <c r="I20" s="117"/>
      <c r="J20" s="159"/>
      <c r="K20" s="117"/>
      <c r="L20" s="117"/>
      <c r="M20" s="117"/>
      <c r="N20" s="117"/>
      <c r="O20" s="117"/>
      <c r="P20" s="117"/>
      <c r="Q20" s="160"/>
      <c r="R20" s="159"/>
      <c r="S20" s="117"/>
      <c r="T20" s="117"/>
      <c r="U20" s="117"/>
      <c r="V20" s="160"/>
      <c r="W20" s="185"/>
      <c r="X20" s="117"/>
      <c r="Y20" s="159"/>
      <c r="Z20" s="117"/>
      <c r="AA20" s="117"/>
      <c r="AB20" s="117"/>
      <c r="AC20" s="117"/>
      <c r="AD20" s="117"/>
      <c r="AE20" s="117"/>
      <c r="AF20" s="160"/>
      <c r="AG20" s="159"/>
      <c r="AH20" s="117"/>
      <c r="AI20" s="117"/>
      <c r="AJ20" s="117"/>
      <c r="AK20" s="160"/>
    </row>
    <row r="21" spans="1:52" s="98" customFormat="1" ht="15" customHeight="1">
      <c r="B21" s="161"/>
      <c r="C21" s="185"/>
      <c r="D21" s="162" t="s">
        <v>3051</v>
      </c>
      <c r="E21" s="185"/>
      <c r="F21" s="185"/>
      <c r="G21" s="162"/>
      <c r="H21" s="163"/>
      <c r="I21" s="164" t="s">
        <v>1876</v>
      </c>
      <c r="J21" s="165">
        <v>43168</v>
      </c>
      <c r="K21" s="166">
        <v>54703</v>
      </c>
      <c r="L21" s="166">
        <v>56070</v>
      </c>
      <c r="M21" s="166">
        <v>57411</v>
      </c>
      <c r="N21" s="166">
        <v>60248</v>
      </c>
      <c r="O21" s="166">
        <v>61254</v>
      </c>
      <c r="P21" s="166">
        <v>57903.332084776805</v>
      </c>
      <c r="Q21" s="167">
        <v>54481.124890000989</v>
      </c>
      <c r="R21" s="165">
        <v>56733.624491256662</v>
      </c>
      <c r="S21" s="166">
        <v>56733.624491256662</v>
      </c>
      <c r="T21" s="166">
        <v>56733.624491256662</v>
      </c>
      <c r="U21" s="166">
        <v>56733.624491256662</v>
      </c>
      <c r="V21" s="167">
        <v>56733.624491256662</v>
      </c>
      <c r="W21" s="185"/>
      <c r="X21" s="164" t="s">
        <v>3052</v>
      </c>
      <c r="Y21" s="165">
        <v>21827348.159352899</v>
      </c>
      <c r="Z21" s="166">
        <v>29732576.100000001</v>
      </c>
      <c r="AA21" s="166">
        <v>13353896</v>
      </c>
      <c r="AB21" s="166">
        <v>14860263.300000001</v>
      </c>
      <c r="AC21" s="166">
        <v>16146164</v>
      </c>
      <c r="AD21" s="166">
        <v>17396136</v>
      </c>
      <c r="AE21" s="166">
        <v>16444546.312076611</v>
      </c>
      <c r="AF21" s="167">
        <v>15472639.46876028</v>
      </c>
      <c r="AG21" s="165">
        <v>16112349.35551689</v>
      </c>
      <c r="AH21" s="166">
        <v>16112349.35551689</v>
      </c>
      <c r="AI21" s="166">
        <v>16112349.35551689</v>
      </c>
      <c r="AJ21" s="166">
        <v>16112349.35551689</v>
      </c>
      <c r="AK21" s="167">
        <v>16112349.35551689</v>
      </c>
    </row>
    <row r="22" spans="1:52" s="98" customFormat="1" ht="15" customHeight="1">
      <c r="B22" s="161"/>
      <c r="C22" s="185"/>
      <c r="D22" s="162" t="s">
        <v>3053</v>
      </c>
      <c r="E22" s="185"/>
      <c r="F22" s="185"/>
      <c r="G22" s="162"/>
      <c r="H22" s="163"/>
      <c r="I22" s="164" t="s">
        <v>1876</v>
      </c>
      <c r="J22" s="165">
        <v>64</v>
      </c>
      <c r="K22" s="166">
        <v>204</v>
      </c>
      <c r="L22" s="166">
        <v>148</v>
      </c>
      <c r="M22" s="166">
        <v>159</v>
      </c>
      <c r="N22" s="166">
        <v>149</v>
      </c>
      <c r="O22" s="166">
        <v>32</v>
      </c>
      <c r="P22" s="166">
        <v>125</v>
      </c>
      <c r="Q22" s="167">
        <v>125</v>
      </c>
      <c r="R22" s="165">
        <v>125</v>
      </c>
      <c r="S22" s="166">
        <v>125</v>
      </c>
      <c r="T22" s="166">
        <v>125</v>
      </c>
      <c r="U22" s="166">
        <v>125</v>
      </c>
      <c r="V22" s="167">
        <v>125</v>
      </c>
      <c r="W22" s="185"/>
      <c r="X22" s="164" t="s">
        <v>3052</v>
      </c>
      <c r="Y22" s="165">
        <v>14206.98</v>
      </c>
      <c r="Z22" s="166">
        <v>75366.900000000009</v>
      </c>
      <c r="AA22" s="166">
        <v>44400</v>
      </c>
      <c r="AB22" s="166">
        <v>37969</v>
      </c>
      <c r="AC22" s="166">
        <v>24171</v>
      </c>
      <c r="AD22" s="166">
        <v>7069</v>
      </c>
      <c r="AE22" s="166">
        <v>27500</v>
      </c>
      <c r="AF22" s="167">
        <v>27500</v>
      </c>
      <c r="AG22" s="165">
        <v>27500</v>
      </c>
      <c r="AH22" s="166">
        <v>27500</v>
      </c>
      <c r="AI22" s="166">
        <v>27500</v>
      </c>
      <c r="AJ22" s="166">
        <v>27500</v>
      </c>
      <c r="AK22" s="167">
        <v>27500</v>
      </c>
    </row>
    <row r="23" spans="1:52" s="98" customFormat="1" ht="15" customHeight="1">
      <c r="B23" s="161"/>
      <c r="C23" s="185"/>
      <c r="D23" s="162" t="s">
        <v>3054</v>
      </c>
      <c r="E23" s="185"/>
      <c r="F23" s="185"/>
      <c r="G23" s="162"/>
      <c r="H23" s="163"/>
      <c r="I23" s="164" t="s">
        <v>1876</v>
      </c>
      <c r="J23" s="165">
        <v>44</v>
      </c>
      <c r="K23" s="166">
        <v>2527</v>
      </c>
      <c r="L23" s="166">
        <v>2707</v>
      </c>
      <c r="M23" s="166">
        <v>2107</v>
      </c>
      <c r="N23" s="166">
        <v>2272</v>
      </c>
      <c r="O23" s="166">
        <v>2488</v>
      </c>
      <c r="P23" s="166">
        <v>2400</v>
      </c>
      <c r="Q23" s="167">
        <v>2400</v>
      </c>
      <c r="R23" s="165">
        <v>2400</v>
      </c>
      <c r="S23" s="166">
        <v>2400</v>
      </c>
      <c r="T23" s="166">
        <v>2400</v>
      </c>
      <c r="U23" s="166">
        <v>2400</v>
      </c>
      <c r="V23" s="167">
        <v>2400</v>
      </c>
      <c r="W23" s="185"/>
      <c r="X23" s="164" t="s">
        <v>3052</v>
      </c>
      <c r="Y23" s="165">
        <v>560020.98</v>
      </c>
      <c r="Z23" s="166">
        <v>499283</v>
      </c>
      <c r="AA23" s="166">
        <v>259872</v>
      </c>
      <c r="AB23" s="166">
        <v>202272</v>
      </c>
      <c r="AC23" s="166">
        <v>181646.4</v>
      </c>
      <c r="AD23" s="166">
        <v>179203</v>
      </c>
      <c r="AE23" s="166">
        <v>180000</v>
      </c>
      <c r="AF23" s="167">
        <v>180000</v>
      </c>
      <c r="AG23" s="165">
        <v>180000</v>
      </c>
      <c r="AH23" s="166">
        <v>180000</v>
      </c>
      <c r="AI23" s="166">
        <v>180000</v>
      </c>
      <c r="AJ23" s="166">
        <v>180000</v>
      </c>
      <c r="AK23" s="167">
        <v>180000</v>
      </c>
    </row>
    <row r="24" spans="1:52" s="98" customFormat="1" ht="15" customHeight="1" thickBot="1">
      <c r="B24" s="239" t="s">
        <v>1701</v>
      </c>
      <c r="C24" s="192"/>
      <c r="D24" s="246"/>
      <c r="E24" s="192"/>
      <c r="F24" s="192"/>
      <c r="G24" s="241"/>
      <c r="H24" s="241"/>
      <c r="I24" s="195" t="s">
        <v>1876</v>
      </c>
      <c r="J24" s="873">
        <f>SUM(J21:J23)</f>
        <v>43276</v>
      </c>
      <c r="K24" s="781">
        <f t="shared" ref="K24" si="1">SUM(K21:K23)</f>
        <v>57434</v>
      </c>
      <c r="L24" s="781">
        <f t="shared" ref="L24" si="2">SUM(L21:L23)</f>
        <v>58925</v>
      </c>
      <c r="M24" s="781">
        <f t="shared" ref="M24" si="3">SUM(M21:M23)</f>
        <v>59677</v>
      </c>
      <c r="N24" s="781">
        <f t="shared" ref="N24" si="4">SUM(N21:N23)</f>
        <v>62669</v>
      </c>
      <c r="O24" s="781">
        <f t="shared" ref="O24" si="5">SUM(O21:O23)</f>
        <v>63774</v>
      </c>
      <c r="P24" s="781">
        <f t="shared" ref="P24" si="6">SUM(P21:P23)</f>
        <v>60428.332084776805</v>
      </c>
      <c r="Q24" s="874">
        <f t="shared" ref="Q24" si="7">SUM(Q21:Q23)</f>
        <v>57006.124890000989</v>
      </c>
      <c r="R24" s="873">
        <f t="shared" ref="R24" si="8">SUM(R21:R23)</f>
        <v>59258.624491256662</v>
      </c>
      <c r="S24" s="781">
        <f t="shared" ref="S24" si="9">SUM(S21:S23)</f>
        <v>59258.624491256662</v>
      </c>
      <c r="T24" s="781">
        <f t="shared" ref="T24" si="10">SUM(T21:T23)</f>
        <v>59258.624491256662</v>
      </c>
      <c r="U24" s="781">
        <f t="shared" ref="U24" si="11">SUM(U21:U23)</f>
        <v>59258.624491256662</v>
      </c>
      <c r="V24" s="874">
        <f t="shared" ref="V24" si="12">SUM(V21:V23)</f>
        <v>59258.624491256662</v>
      </c>
      <c r="W24" s="192"/>
      <c r="X24" s="195" t="s">
        <v>3052</v>
      </c>
      <c r="Y24" s="873">
        <f>SUM(Y21:Y23)</f>
        <v>22401576.119352899</v>
      </c>
      <c r="Z24" s="781">
        <f t="shared" ref="Z24" si="13">SUM(Z21:Z23)</f>
        <v>30307226</v>
      </c>
      <c r="AA24" s="781">
        <f t="shared" ref="AA24" si="14">SUM(AA21:AA23)</f>
        <v>13658168</v>
      </c>
      <c r="AB24" s="781">
        <f t="shared" ref="AB24" si="15">SUM(AB21:AB23)</f>
        <v>15100504.300000001</v>
      </c>
      <c r="AC24" s="781">
        <f t="shared" ref="AC24" si="16">SUM(AC21:AC23)</f>
        <v>16351981.4</v>
      </c>
      <c r="AD24" s="781">
        <f t="shared" ref="AD24" si="17">SUM(AD21:AD23)</f>
        <v>17582408</v>
      </c>
      <c r="AE24" s="781">
        <f t="shared" ref="AE24" si="18">SUM(AE21:AE23)</f>
        <v>16652046.312076611</v>
      </c>
      <c r="AF24" s="874">
        <f t="shared" ref="AF24" si="19">SUM(AF21:AF23)</f>
        <v>15680139.46876028</v>
      </c>
      <c r="AG24" s="873">
        <f t="shared" ref="AG24" si="20">SUM(AG21:AG23)</f>
        <v>16319849.35551689</v>
      </c>
      <c r="AH24" s="781">
        <f t="shared" ref="AH24" si="21">SUM(AH21:AH23)</f>
        <v>16319849.35551689</v>
      </c>
      <c r="AI24" s="781">
        <f t="shared" ref="AI24" si="22">SUM(AI21:AI23)</f>
        <v>16319849.35551689</v>
      </c>
      <c r="AJ24" s="781">
        <f t="shared" ref="AJ24" si="23">SUM(AJ21:AJ23)</f>
        <v>16319849.35551689</v>
      </c>
      <c r="AK24" s="874">
        <f t="shared" ref="AK24" si="24">SUM(AK21:AK23)</f>
        <v>16319849.35551689</v>
      </c>
    </row>
    <row r="25" spans="1:52" s="98" customFormat="1" ht="15" customHeight="1" thickBot="1"/>
    <row r="26" spans="1:52" s="100" customFormat="1" ht="30" customHeight="1" thickBot="1">
      <c r="A26" s="3021" t="s">
        <v>3055</v>
      </c>
      <c r="B26" s="621" t="s">
        <v>3056</v>
      </c>
      <c r="C26" s="102"/>
      <c r="D26" s="102"/>
      <c r="E26" s="102"/>
      <c r="F26" s="102"/>
      <c r="G26" s="103"/>
      <c r="H26" s="103"/>
      <c r="I26" s="105" t="s">
        <v>1869</v>
      </c>
      <c r="J26" s="106"/>
      <c r="K26" s="106"/>
      <c r="L26" s="106"/>
      <c r="M26" s="106"/>
      <c r="N26" s="106"/>
      <c r="O26" s="106"/>
      <c r="P26" s="106"/>
      <c r="Q26" s="106"/>
      <c r="R26" s="105"/>
      <c r="S26" s="105"/>
      <c r="T26" s="105"/>
      <c r="U26" s="105"/>
      <c r="V26" s="187"/>
      <c r="W26" s="103"/>
      <c r="X26" s="105" t="s">
        <v>3049</v>
      </c>
      <c r="Y26" s="106"/>
      <c r="Z26" s="106"/>
      <c r="AA26" s="106"/>
      <c r="AB26" s="106"/>
      <c r="AC26" s="106"/>
      <c r="AD26" s="106"/>
      <c r="AE26" s="106"/>
      <c r="AF26" s="106"/>
      <c r="AG26" s="105"/>
      <c r="AH26" s="105"/>
      <c r="AI26" s="105"/>
      <c r="AJ26" s="105"/>
      <c r="AK26" s="187"/>
      <c r="AL26" s="103"/>
      <c r="AM26" s="105" t="s">
        <v>3057</v>
      </c>
      <c r="AN26" s="106"/>
      <c r="AO26" s="106"/>
      <c r="AP26" s="106"/>
      <c r="AQ26" s="106"/>
      <c r="AR26" s="106"/>
      <c r="AS26" s="106"/>
      <c r="AT26" s="106"/>
      <c r="AU26" s="106"/>
      <c r="AV26" s="105"/>
      <c r="AW26" s="105"/>
      <c r="AX26" s="105"/>
      <c r="AY26" s="105"/>
      <c r="AZ26" s="187"/>
    </row>
    <row r="27" spans="1:52" s="157" customFormat="1" ht="30" customHeight="1">
      <c r="A27" s="3021"/>
      <c r="B27" s="109"/>
      <c r="C27" s="110"/>
      <c r="D27" s="110"/>
      <c r="E27" s="110"/>
      <c r="F27" s="110"/>
      <c r="G27" s="111"/>
      <c r="H27" s="111"/>
      <c r="I27" s="117"/>
      <c r="J27" s="695" t="s">
        <v>1666</v>
      </c>
      <c r="K27" s="152"/>
      <c r="L27" s="152"/>
      <c r="M27" s="152"/>
      <c r="N27" s="152"/>
      <c r="O27" s="152"/>
      <c r="P27" s="152"/>
      <c r="Q27" s="153"/>
      <c r="R27" s="696" t="s">
        <v>2</v>
      </c>
      <c r="S27" s="155"/>
      <c r="T27" s="155"/>
      <c r="U27" s="155"/>
      <c r="V27" s="156"/>
      <c r="W27" s="222"/>
      <c r="X27" s="117"/>
      <c r="Y27" s="695" t="s">
        <v>1666</v>
      </c>
      <c r="Z27" s="152"/>
      <c r="AA27" s="152"/>
      <c r="AB27" s="152"/>
      <c r="AC27" s="152"/>
      <c r="AD27" s="152"/>
      <c r="AE27" s="152"/>
      <c r="AF27" s="153"/>
      <c r="AG27" s="696" t="s">
        <v>2</v>
      </c>
      <c r="AH27" s="155"/>
      <c r="AI27" s="155"/>
      <c r="AJ27" s="155"/>
      <c r="AK27" s="156"/>
      <c r="AL27" s="222"/>
      <c r="AM27" s="117"/>
      <c r="AN27" s="695" t="s">
        <v>1666</v>
      </c>
      <c r="AO27" s="152"/>
      <c r="AP27" s="152"/>
      <c r="AQ27" s="152"/>
      <c r="AR27" s="152"/>
      <c r="AS27" s="152"/>
      <c r="AT27" s="152"/>
      <c r="AU27" s="153"/>
      <c r="AV27" s="696" t="s">
        <v>2</v>
      </c>
      <c r="AW27" s="155"/>
      <c r="AX27" s="155"/>
      <c r="AY27" s="155"/>
      <c r="AZ27" s="156"/>
    </row>
    <row r="28" spans="1:52" s="98" customFormat="1" ht="15" customHeight="1">
      <c r="A28" s="3021"/>
      <c r="B28" s="115"/>
      <c r="C28" s="116"/>
      <c r="D28" s="116"/>
      <c r="E28" s="116"/>
      <c r="F28" s="116"/>
      <c r="G28" s="117"/>
      <c r="H28" s="117"/>
      <c r="I28" s="119" t="s">
        <v>1667</v>
      </c>
      <c r="J28" s="158" t="s">
        <v>453</v>
      </c>
      <c r="K28" s="137" t="s">
        <v>455</v>
      </c>
      <c r="L28" s="137" t="s">
        <v>457</v>
      </c>
      <c r="M28" s="137" t="s">
        <v>459</v>
      </c>
      <c r="N28" s="137" t="s">
        <v>461</v>
      </c>
      <c r="O28" s="137" t="s">
        <v>463</v>
      </c>
      <c r="P28" s="137" t="s">
        <v>465</v>
      </c>
      <c r="Q28" s="138" t="s">
        <v>467</v>
      </c>
      <c r="R28" s="120" t="s">
        <v>469</v>
      </c>
      <c r="S28" s="121" t="s">
        <v>471</v>
      </c>
      <c r="T28" s="121" t="s">
        <v>473</v>
      </c>
      <c r="U28" s="121" t="s">
        <v>475</v>
      </c>
      <c r="V28" s="122" t="s">
        <v>477</v>
      </c>
      <c r="W28" s="185"/>
      <c r="X28" s="119" t="s">
        <v>1667</v>
      </c>
      <c r="Y28" s="158" t="s">
        <v>453</v>
      </c>
      <c r="Z28" s="137" t="s">
        <v>455</v>
      </c>
      <c r="AA28" s="137" t="s">
        <v>457</v>
      </c>
      <c r="AB28" s="137" t="s">
        <v>459</v>
      </c>
      <c r="AC28" s="137" t="s">
        <v>461</v>
      </c>
      <c r="AD28" s="137" t="s">
        <v>463</v>
      </c>
      <c r="AE28" s="137" t="s">
        <v>465</v>
      </c>
      <c r="AF28" s="138" t="s">
        <v>467</v>
      </c>
      <c r="AG28" s="120" t="s">
        <v>469</v>
      </c>
      <c r="AH28" s="121" t="s">
        <v>471</v>
      </c>
      <c r="AI28" s="121" t="s">
        <v>473</v>
      </c>
      <c r="AJ28" s="121" t="s">
        <v>475</v>
      </c>
      <c r="AK28" s="122" t="s">
        <v>477</v>
      </c>
      <c r="AL28" s="185"/>
      <c r="AM28" s="119" t="s">
        <v>1667</v>
      </c>
      <c r="AN28" s="158" t="s">
        <v>453</v>
      </c>
      <c r="AO28" s="137" t="s">
        <v>455</v>
      </c>
      <c r="AP28" s="137" t="s">
        <v>457</v>
      </c>
      <c r="AQ28" s="137" t="s">
        <v>459</v>
      </c>
      <c r="AR28" s="137" t="s">
        <v>461</v>
      </c>
      <c r="AS28" s="137" t="s">
        <v>463</v>
      </c>
      <c r="AT28" s="137" t="s">
        <v>465</v>
      </c>
      <c r="AU28" s="138" t="s">
        <v>467</v>
      </c>
      <c r="AV28" s="120" t="s">
        <v>469</v>
      </c>
      <c r="AW28" s="121" t="s">
        <v>471</v>
      </c>
      <c r="AX28" s="121" t="s">
        <v>473</v>
      </c>
      <c r="AY28" s="121" t="s">
        <v>475</v>
      </c>
      <c r="AZ28" s="122" t="s">
        <v>477</v>
      </c>
    </row>
    <row r="29" spans="1:52" s="98" customFormat="1" ht="15" customHeight="1">
      <c r="A29" s="3021"/>
      <c r="B29" s="161"/>
      <c r="C29" s="180"/>
      <c r="D29" s="180"/>
      <c r="E29" s="162"/>
      <c r="F29" s="162"/>
      <c r="G29" s="163"/>
      <c r="H29" s="163"/>
      <c r="I29" s="117"/>
      <c r="J29" s="159"/>
      <c r="K29" s="117"/>
      <c r="L29" s="117"/>
      <c r="M29" s="117"/>
      <c r="N29" s="117"/>
      <c r="O29" s="117"/>
      <c r="P29" s="117"/>
      <c r="Q29" s="160"/>
      <c r="R29" s="159"/>
      <c r="S29" s="117"/>
      <c r="T29" s="117"/>
      <c r="U29" s="117"/>
      <c r="V29" s="160"/>
      <c r="W29" s="185"/>
      <c r="X29" s="117"/>
      <c r="Y29" s="159"/>
      <c r="Z29" s="117"/>
      <c r="AA29" s="117"/>
      <c r="AB29" s="117"/>
      <c r="AC29" s="117"/>
      <c r="AD29" s="117"/>
      <c r="AE29" s="117"/>
      <c r="AF29" s="160"/>
      <c r="AG29" s="159"/>
      <c r="AH29" s="117"/>
      <c r="AI29" s="117"/>
      <c r="AJ29" s="117"/>
      <c r="AK29" s="160"/>
      <c r="AL29" s="185"/>
      <c r="AM29" s="117"/>
      <c r="AN29" s="159"/>
      <c r="AO29" s="117"/>
      <c r="AP29" s="117"/>
      <c r="AQ29" s="117"/>
      <c r="AR29" s="117"/>
      <c r="AS29" s="117"/>
      <c r="AT29" s="117"/>
      <c r="AU29" s="160"/>
      <c r="AV29" s="159"/>
      <c r="AW29" s="117"/>
      <c r="AX29" s="117"/>
      <c r="AY29" s="117"/>
      <c r="AZ29" s="160"/>
    </row>
    <row r="30" spans="1:52" s="98" customFormat="1" ht="15" customHeight="1">
      <c r="A30" s="3021"/>
      <c r="B30" s="161"/>
      <c r="C30" s="185" t="s">
        <v>3058</v>
      </c>
      <c r="D30" s="180"/>
      <c r="E30" s="162"/>
      <c r="F30" s="162"/>
      <c r="G30" s="162"/>
      <c r="H30" s="163"/>
      <c r="I30" s="164" t="s">
        <v>1876</v>
      </c>
      <c r="J30" s="165">
        <v>11464</v>
      </c>
      <c r="K30" s="166">
        <v>13034</v>
      </c>
      <c r="L30" s="166">
        <v>12859</v>
      </c>
      <c r="M30" s="166">
        <v>12427</v>
      </c>
      <c r="N30" s="166">
        <v>13714</v>
      </c>
      <c r="O30" s="166">
        <v>14030</v>
      </c>
      <c r="P30" s="166">
        <v>13288.024268472951</v>
      </c>
      <c r="Q30" s="167">
        <v>12860.975731527049</v>
      </c>
      <c r="R30" s="165">
        <v>12450.860111487749</v>
      </c>
      <c r="S30" s="166">
        <v>12057.149116250019</v>
      </c>
      <c r="T30" s="166">
        <v>11679.186560821801</v>
      </c>
      <c r="U30" s="166">
        <v>11316.342507610711</v>
      </c>
      <c r="V30" s="167">
        <v>10968.012216528063</v>
      </c>
      <c r="W30" s="185"/>
      <c r="X30" s="164" t="s">
        <v>3052</v>
      </c>
      <c r="Y30" s="190">
        <v>4820704.0199999893</v>
      </c>
      <c r="Z30" s="188">
        <v>4168099.7400000049</v>
      </c>
      <c r="AA30" s="188">
        <v>4429493.42</v>
      </c>
      <c r="AB30" s="188">
        <v>4778423.1999999993</v>
      </c>
      <c r="AC30" s="166">
        <v>5630683.2599999998</v>
      </c>
      <c r="AD30" s="166">
        <v>6331103.9400000004</v>
      </c>
      <c r="AE30" s="166">
        <v>5979610.9208128275</v>
      </c>
      <c r="AF30" s="167">
        <v>5787439.0791871725</v>
      </c>
      <c r="AG30" s="165">
        <v>5602887.0501694875</v>
      </c>
      <c r="AH30" s="166">
        <v>5425717.102312508</v>
      </c>
      <c r="AI30" s="166">
        <v>5255633.952369811</v>
      </c>
      <c r="AJ30" s="166">
        <v>5092354.1284248196</v>
      </c>
      <c r="AK30" s="167">
        <v>4935605.497437628</v>
      </c>
      <c r="AL30" s="185"/>
      <c r="AM30" s="164" t="s">
        <v>3052</v>
      </c>
      <c r="AN30" s="641">
        <f>IFERROR(Y30/J30,"")</f>
        <v>420.50802686671227</v>
      </c>
      <c r="AO30" s="642">
        <f t="shared" ref="AO30:AZ30" si="25">IFERROR(Z30/K30,"")</f>
        <v>319.78669172932371</v>
      </c>
      <c r="AP30" s="642">
        <f t="shared" si="25"/>
        <v>344.46639863130878</v>
      </c>
      <c r="AQ30" s="642">
        <f t="shared" si="25"/>
        <v>384.51944958557971</v>
      </c>
      <c r="AR30" s="642">
        <f t="shared" si="25"/>
        <v>410.57920810850226</v>
      </c>
      <c r="AS30" s="642">
        <f t="shared" si="25"/>
        <v>451.25473556664292</v>
      </c>
      <c r="AT30" s="642">
        <f t="shared" si="25"/>
        <v>449.99999999999994</v>
      </c>
      <c r="AU30" s="643">
        <f t="shared" si="25"/>
        <v>450.00000000000006</v>
      </c>
      <c r="AV30" s="641">
        <f t="shared" si="25"/>
        <v>450</v>
      </c>
      <c r="AW30" s="642">
        <f t="shared" si="25"/>
        <v>449.99999999999994</v>
      </c>
      <c r="AX30" s="642">
        <f t="shared" si="25"/>
        <v>450.00000000000006</v>
      </c>
      <c r="AY30" s="642">
        <f t="shared" si="25"/>
        <v>450</v>
      </c>
      <c r="AZ30" s="643">
        <f t="shared" si="25"/>
        <v>450</v>
      </c>
    </row>
    <row r="31" spans="1:52" s="98" customFormat="1" ht="15" customHeight="1">
      <c r="A31" s="3021"/>
      <c r="B31" s="161"/>
      <c r="C31" s="185" t="s">
        <v>3059</v>
      </c>
      <c r="D31" s="185"/>
      <c r="E31" s="162"/>
      <c r="F31" s="162"/>
      <c r="G31" s="162"/>
      <c r="H31" s="163"/>
      <c r="I31" s="185"/>
      <c r="J31" s="1558"/>
      <c r="K31" s="886"/>
      <c r="L31" s="886"/>
      <c r="M31" s="886"/>
      <c r="N31" s="886"/>
      <c r="O31" s="886"/>
      <c r="P31" s="886"/>
      <c r="Q31" s="887"/>
      <c r="R31" s="1558"/>
      <c r="S31" s="886"/>
      <c r="T31" s="886"/>
      <c r="U31" s="886"/>
      <c r="V31" s="887"/>
      <c r="W31" s="185"/>
      <c r="X31" s="164" t="s">
        <v>3052</v>
      </c>
      <c r="Y31" s="161"/>
      <c r="Z31" s="185"/>
      <c r="AA31" s="185"/>
      <c r="AB31" s="185"/>
      <c r="AC31" s="886"/>
      <c r="AD31" s="886"/>
      <c r="AE31" s="185"/>
      <c r="AF31" s="215"/>
      <c r="AG31" s="990"/>
      <c r="AH31" s="838"/>
      <c r="AI31" s="838"/>
      <c r="AJ31" s="838"/>
      <c r="AK31" s="839"/>
      <c r="AL31" s="185"/>
      <c r="AN31" s="990"/>
      <c r="AO31" s="838"/>
      <c r="AP31" s="838"/>
      <c r="AQ31" s="838"/>
      <c r="AR31" s="838"/>
      <c r="AS31" s="838"/>
      <c r="AT31" s="838"/>
      <c r="AU31" s="839"/>
      <c r="AV31" s="190">
        <v>10</v>
      </c>
      <c r="AW31" s="188">
        <v>10</v>
      </c>
      <c r="AX31" s="188">
        <v>10</v>
      </c>
      <c r="AY31" s="188">
        <v>10</v>
      </c>
      <c r="AZ31" s="189">
        <v>10</v>
      </c>
    </row>
    <row r="32" spans="1:52" s="98" customFormat="1" ht="15" customHeight="1">
      <c r="A32" s="3021"/>
      <c r="B32" s="161"/>
      <c r="C32" s="185" t="s">
        <v>3060</v>
      </c>
      <c r="D32" s="185"/>
      <c r="E32" s="162"/>
      <c r="F32" s="162"/>
      <c r="G32" s="162"/>
      <c r="H32" s="163"/>
      <c r="I32" s="164" t="s">
        <v>1876</v>
      </c>
      <c r="J32" s="165">
        <v>0</v>
      </c>
      <c r="K32" s="166">
        <v>0</v>
      </c>
      <c r="L32" s="166">
        <v>1430</v>
      </c>
      <c r="M32" s="166">
        <v>2756</v>
      </c>
      <c r="N32" s="166">
        <v>765</v>
      </c>
      <c r="O32" s="166">
        <v>4577</v>
      </c>
      <c r="P32" s="166">
        <v>0</v>
      </c>
      <c r="Q32" s="167">
        <v>0</v>
      </c>
      <c r="R32" s="165">
        <v>0</v>
      </c>
      <c r="S32" s="166">
        <v>0</v>
      </c>
      <c r="T32" s="166">
        <v>0</v>
      </c>
      <c r="U32" s="166">
        <v>0</v>
      </c>
      <c r="V32" s="167">
        <v>0</v>
      </c>
      <c r="W32" s="185"/>
      <c r="X32" s="164" t="s">
        <v>3052</v>
      </c>
      <c r="Y32" s="190">
        <v>0</v>
      </c>
      <c r="Z32" s="188">
        <v>0</v>
      </c>
      <c r="AA32" s="188">
        <v>7407847.9000000004</v>
      </c>
      <c r="AB32" s="188">
        <v>4748970</v>
      </c>
      <c r="AC32" s="166">
        <v>1984523.46</v>
      </c>
      <c r="AD32" s="166">
        <v>16803444.359999999</v>
      </c>
      <c r="AE32" s="188">
        <v>0</v>
      </c>
      <c r="AF32" s="189">
        <v>0</v>
      </c>
      <c r="AG32" s="190">
        <v>0</v>
      </c>
      <c r="AH32" s="188">
        <v>0</v>
      </c>
      <c r="AI32" s="188">
        <v>0</v>
      </c>
      <c r="AJ32" s="188">
        <v>0</v>
      </c>
      <c r="AK32" s="189">
        <v>0</v>
      </c>
      <c r="AL32" s="185"/>
      <c r="AM32" s="164" t="s">
        <v>3052</v>
      </c>
      <c r="AN32" s="641">
        <f>IFERROR((Y32+Y30)/(J32+J30)-AN30,"")</f>
        <v>0</v>
      </c>
      <c r="AO32" s="642">
        <f t="shared" ref="AO32:AZ32" si="26">IFERROR((Z32+Z30)/(K32+K30)-AO30,"")</f>
        <v>0</v>
      </c>
      <c r="AP32" s="642">
        <f t="shared" si="26"/>
        <v>483.95695639703473</v>
      </c>
      <c r="AQ32" s="642">
        <f t="shared" si="26"/>
        <v>242.98454830679992</v>
      </c>
      <c r="AR32" s="642">
        <f t="shared" si="26"/>
        <v>115.36918059237485</v>
      </c>
      <c r="AS32" s="642">
        <f t="shared" si="26"/>
        <v>792.0702657769375</v>
      </c>
      <c r="AT32" s="642">
        <f t="shared" si="26"/>
        <v>0</v>
      </c>
      <c r="AU32" s="643">
        <f t="shared" si="26"/>
        <v>0</v>
      </c>
      <c r="AV32" s="641">
        <f t="shared" si="26"/>
        <v>0</v>
      </c>
      <c r="AW32" s="642">
        <f t="shared" si="26"/>
        <v>0</v>
      </c>
      <c r="AX32" s="642">
        <f t="shared" si="26"/>
        <v>0</v>
      </c>
      <c r="AY32" s="642">
        <f t="shared" si="26"/>
        <v>0</v>
      </c>
      <c r="AZ32" s="643">
        <f t="shared" si="26"/>
        <v>0</v>
      </c>
    </row>
    <row r="33" spans="1:52" s="98" customFormat="1" ht="15" customHeight="1" thickBot="1">
      <c r="A33" s="3021"/>
      <c r="B33" s="191" t="s">
        <v>1701</v>
      </c>
      <c r="C33" s="192"/>
      <c r="D33" s="192"/>
      <c r="E33" s="193"/>
      <c r="F33" s="193"/>
      <c r="G33" s="193"/>
      <c r="H33" s="194"/>
      <c r="I33" s="1694"/>
      <c r="J33" s="1698"/>
      <c r="K33" s="1695"/>
      <c r="L33" s="1695"/>
      <c r="M33" s="1695"/>
      <c r="N33" s="1695"/>
      <c r="O33" s="1695">
        <v>103677</v>
      </c>
      <c r="P33" s="1695">
        <f>SUM(J30:O30)</f>
        <v>77528</v>
      </c>
      <c r="Q33" s="1696">
        <f>O33-P33</f>
        <v>26149</v>
      </c>
      <c r="R33" s="1698"/>
      <c r="S33" s="1695"/>
      <c r="T33" s="1695"/>
      <c r="U33" s="1695"/>
      <c r="V33" s="1696"/>
      <c r="W33" s="192"/>
      <c r="X33" s="1694"/>
      <c r="Y33" s="1698"/>
      <c r="Z33" s="1695"/>
      <c r="AA33" s="1695"/>
      <c r="AB33" s="1695"/>
      <c r="AC33" s="1695"/>
      <c r="AD33" s="1695"/>
      <c r="AE33" s="1695"/>
      <c r="AF33" s="1696"/>
      <c r="AG33" s="1698"/>
      <c r="AH33" s="1695"/>
      <c r="AI33" s="1695"/>
      <c r="AJ33" s="1695"/>
      <c r="AK33" s="1696"/>
      <c r="AL33" s="192"/>
      <c r="AM33" s="1694"/>
      <c r="AN33" s="1698"/>
      <c r="AO33" s="1695"/>
      <c r="AP33" s="1695"/>
      <c r="AQ33" s="1695"/>
      <c r="AR33" s="1695"/>
      <c r="AS33" s="1695"/>
      <c r="AT33" s="1695"/>
      <c r="AU33" s="1696"/>
      <c r="AV33" s="701">
        <f t="shared" ref="AV33:AZ33" si="27">SUM(AV30:AV32)</f>
        <v>460</v>
      </c>
      <c r="AW33" s="1345">
        <f t="shared" si="27"/>
        <v>459.99999999999994</v>
      </c>
      <c r="AX33" s="1345">
        <f t="shared" si="27"/>
        <v>460.00000000000006</v>
      </c>
      <c r="AY33" s="1345">
        <f t="shared" si="27"/>
        <v>460</v>
      </c>
      <c r="AZ33" s="1353">
        <f t="shared" si="27"/>
        <v>460</v>
      </c>
    </row>
    <row r="34" spans="1:52" s="98" customFormat="1" ht="15" customHeight="1" thickBot="1">
      <c r="J34" s="1559"/>
      <c r="K34" s="1559"/>
      <c r="L34" s="1559"/>
      <c r="M34" s="1559"/>
      <c r="N34" s="1559"/>
      <c r="O34" s="1559"/>
      <c r="P34" s="1559"/>
      <c r="Q34" s="1559"/>
      <c r="R34" s="1006">
        <f>R30/Q30</f>
        <v>0.96811162476312329</v>
      </c>
      <c r="S34" s="1006">
        <f t="shared" ref="S34:V34" si="28">S30/R30</f>
        <v>0.96837881144657034</v>
      </c>
      <c r="T34" s="1006">
        <f t="shared" si="28"/>
        <v>0.9686524109651411</v>
      </c>
      <c r="U34" s="1006">
        <f t="shared" si="28"/>
        <v>0.96893242082216047</v>
      </c>
      <c r="V34" s="1006">
        <f t="shared" si="28"/>
        <v>0.96921882747465615</v>
      </c>
      <c r="Y34" s="1006">
        <f>Y30/J30</f>
        <v>420.50802686671227</v>
      </c>
      <c r="Z34" s="1006">
        <f t="shared" ref="Z34:AD34" si="29">Z30/K30</f>
        <v>319.78669172932371</v>
      </c>
      <c r="AA34" s="1006">
        <f t="shared" si="29"/>
        <v>344.46639863130878</v>
      </c>
      <c r="AB34" s="1006">
        <f t="shared" si="29"/>
        <v>384.51944958557971</v>
      </c>
      <c r="AC34" s="1006">
        <f t="shared" si="29"/>
        <v>410.57920810850226</v>
      </c>
      <c r="AD34" s="1006">
        <f t="shared" si="29"/>
        <v>451.25473556664292</v>
      </c>
      <c r="AE34" s="1006"/>
      <c r="AF34" s="1006"/>
      <c r="AG34" s="1006"/>
      <c r="AH34" s="1006"/>
      <c r="AI34" s="1006"/>
      <c r="AJ34" s="1006"/>
      <c r="AK34" s="1006"/>
      <c r="AN34" s="722"/>
      <c r="AO34" s="722"/>
      <c r="AP34" s="722"/>
      <c r="AQ34" s="722"/>
      <c r="AR34" s="722"/>
      <c r="AS34" s="722"/>
      <c r="AT34" s="722"/>
      <c r="AU34" s="722"/>
      <c r="AV34" s="722"/>
      <c r="AW34" s="722"/>
      <c r="AX34" s="722"/>
      <c r="AY34" s="722"/>
      <c r="AZ34" s="722"/>
    </row>
    <row r="35" spans="1:52" s="98" customFormat="1" ht="30" customHeight="1" thickBot="1">
      <c r="A35" s="3021" t="s">
        <v>3061</v>
      </c>
      <c r="B35" s="621" t="s">
        <v>3062</v>
      </c>
      <c r="C35" s="102"/>
      <c r="D35" s="102"/>
      <c r="E35" s="102"/>
      <c r="F35" s="102"/>
      <c r="G35" s="103"/>
      <c r="H35" s="103"/>
      <c r="I35" s="105" t="s">
        <v>1869</v>
      </c>
      <c r="J35" s="1560"/>
      <c r="K35" s="1560"/>
      <c r="L35" s="1560"/>
      <c r="M35" s="1560"/>
      <c r="N35" s="1560"/>
      <c r="O35" s="1560"/>
      <c r="P35" s="1560"/>
      <c r="Q35" s="1560"/>
      <c r="R35" s="1561"/>
      <c r="S35" s="1561"/>
      <c r="T35" s="1561"/>
      <c r="U35" s="1561"/>
      <c r="V35" s="1562"/>
      <c r="W35" s="103"/>
      <c r="X35" s="105" t="s">
        <v>3049</v>
      </c>
      <c r="Y35" s="1007"/>
      <c r="Z35" s="1007"/>
      <c r="AA35" s="1007"/>
      <c r="AB35" s="1007"/>
      <c r="AC35" s="1007"/>
      <c r="AD35" s="1007"/>
      <c r="AE35" s="1007"/>
      <c r="AF35" s="1007"/>
      <c r="AG35" s="1008"/>
      <c r="AH35" s="1008"/>
      <c r="AI35" s="1008"/>
      <c r="AJ35" s="1008"/>
      <c r="AK35" s="1556"/>
      <c r="AL35" s="103"/>
      <c r="AM35" s="105" t="s">
        <v>3057</v>
      </c>
      <c r="AN35" s="723"/>
      <c r="AO35" s="723"/>
      <c r="AP35" s="723"/>
      <c r="AQ35" s="723"/>
      <c r="AR35" s="723"/>
      <c r="AS35" s="723"/>
      <c r="AT35" s="723"/>
      <c r="AU35" s="723"/>
      <c r="AV35" s="724"/>
      <c r="AW35" s="724"/>
      <c r="AX35" s="724"/>
      <c r="AY35" s="724"/>
      <c r="AZ35" s="993"/>
    </row>
    <row r="36" spans="1:52" s="98" customFormat="1" ht="30" customHeight="1">
      <c r="A36" s="3021"/>
      <c r="B36" s="109"/>
      <c r="C36" s="110"/>
      <c r="D36" s="110"/>
      <c r="E36" s="110"/>
      <c r="F36" s="110"/>
      <c r="G36" s="111"/>
      <c r="H36" s="111"/>
      <c r="I36" s="117"/>
      <c r="J36" s="1563" t="s">
        <v>1666</v>
      </c>
      <c r="K36" s="1564"/>
      <c r="L36" s="1564"/>
      <c r="M36" s="1564"/>
      <c r="N36" s="1564"/>
      <c r="O36" s="1564"/>
      <c r="P36" s="1564"/>
      <c r="Q36" s="1565"/>
      <c r="R36" s="1703" t="s">
        <v>2</v>
      </c>
      <c r="S36" s="1566"/>
      <c r="T36" s="1566"/>
      <c r="U36" s="1566"/>
      <c r="V36" s="1567"/>
      <c r="W36" s="222"/>
      <c r="X36" s="117"/>
      <c r="Y36" s="1009" t="s">
        <v>1666</v>
      </c>
      <c r="Z36" s="1010"/>
      <c r="AA36" s="1010"/>
      <c r="AB36" s="1010"/>
      <c r="AC36" s="1010"/>
      <c r="AD36" s="1010"/>
      <c r="AE36" s="1010"/>
      <c r="AF36" s="1011"/>
      <c r="AG36" s="1699" t="s">
        <v>2</v>
      </c>
      <c r="AH36" s="1013"/>
      <c r="AI36" s="1013"/>
      <c r="AJ36" s="1013"/>
      <c r="AK36" s="1014"/>
      <c r="AL36" s="222"/>
      <c r="AM36" s="117"/>
      <c r="AN36" s="725" t="s">
        <v>1666</v>
      </c>
      <c r="AO36" s="726"/>
      <c r="AP36" s="726"/>
      <c r="AQ36" s="726"/>
      <c r="AR36" s="726"/>
      <c r="AS36" s="726"/>
      <c r="AT36" s="726"/>
      <c r="AU36" s="727"/>
      <c r="AV36" s="1557" t="s">
        <v>2</v>
      </c>
      <c r="AW36" s="729"/>
      <c r="AX36" s="729"/>
      <c r="AY36" s="729"/>
      <c r="AZ36" s="730"/>
    </row>
    <row r="37" spans="1:52" s="98" customFormat="1" ht="15" customHeight="1">
      <c r="A37" s="3021"/>
      <c r="B37" s="115"/>
      <c r="C37" s="116"/>
      <c r="D37" s="116"/>
      <c r="E37" s="116"/>
      <c r="F37" s="116"/>
      <c r="G37" s="117"/>
      <c r="H37" s="117"/>
      <c r="I37" s="119" t="s">
        <v>1667</v>
      </c>
      <c r="J37" s="1568" t="s">
        <v>453</v>
      </c>
      <c r="K37" s="1569" t="s">
        <v>455</v>
      </c>
      <c r="L37" s="1569" t="s">
        <v>457</v>
      </c>
      <c r="M37" s="1569" t="s">
        <v>459</v>
      </c>
      <c r="N37" s="1569" t="s">
        <v>461</v>
      </c>
      <c r="O37" s="1569" t="s">
        <v>463</v>
      </c>
      <c r="P37" s="1569" t="s">
        <v>465</v>
      </c>
      <c r="Q37" s="1570" t="s">
        <v>467</v>
      </c>
      <c r="R37" s="1704" t="s">
        <v>469</v>
      </c>
      <c r="S37" s="1571" t="s">
        <v>471</v>
      </c>
      <c r="T37" s="1571" t="s">
        <v>473</v>
      </c>
      <c r="U37" s="1571" t="s">
        <v>475</v>
      </c>
      <c r="V37" s="1572" t="s">
        <v>477</v>
      </c>
      <c r="W37" s="185"/>
      <c r="X37" s="119" t="s">
        <v>1667</v>
      </c>
      <c r="Y37" s="1015" t="s">
        <v>453</v>
      </c>
      <c r="Z37" s="1016" t="s">
        <v>455</v>
      </c>
      <c r="AA37" s="1016" t="s">
        <v>457</v>
      </c>
      <c r="AB37" s="1016" t="s">
        <v>459</v>
      </c>
      <c r="AC37" s="1016" t="s">
        <v>461</v>
      </c>
      <c r="AD37" s="1016" t="s">
        <v>463</v>
      </c>
      <c r="AE37" s="1016" t="s">
        <v>465</v>
      </c>
      <c r="AF37" s="1017" t="s">
        <v>467</v>
      </c>
      <c r="AG37" s="1700" t="s">
        <v>469</v>
      </c>
      <c r="AH37" s="1019" t="s">
        <v>471</v>
      </c>
      <c r="AI37" s="1019" t="s">
        <v>473</v>
      </c>
      <c r="AJ37" s="1019" t="s">
        <v>475</v>
      </c>
      <c r="AK37" s="1020" t="s">
        <v>477</v>
      </c>
      <c r="AL37" s="185"/>
      <c r="AM37" s="119" t="s">
        <v>1667</v>
      </c>
      <c r="AN37" s="731" t="s">
        <v>453</v>
      </c>
      <c r="AO37" s="732" t="s">
        <v>455</v>
      </c>
      <c r="AP37" s="732" t="s">
        <v>457</v>
      </c>
      <c r="AQ37" s="732" t="s">
        <v>459</v>
      </c>
      <c r="AR37" s="732" t="s">
        <v>461</v>
      </c>
      <c r="AS37" s="732" t="s">
        <v>463</v>
      </c>
      <c r="AT37" s="732" t="s">
        <v>465</v>
      </c>
      <c r="AU37" s="733" t="s">
        <v>467</v>
      </c>
      <c r="AV37" s="983" t="s">
        <v>469</v>
      </c>
      <c r="AW37" s="735" t="s">
        <v>471</v>
      </c>
      <c r="AX37" s="735" t="s">
        <v>473</v>
      </c>
      <c r="AY37" s="735" t="s">
        <v>475</v>
      </c>
      <c r="AZ37" s="736" t="s">
        <v>477</v>
      </c>
    </row>
    <row r="38" spans="1:52" s="98" customFormat="1" ht="15" customHeight="1">
      <c r="A38" s="3021"/>
      <c r="B38" s="161"/>
      <c r="C38" s="180"/>
      <c r="D38" s="180"/>
      <c r="E38" s="162"/>
      <c r="F38" s="162"/>
      <c r="G38" s="163"/>
      <c r="H38" s="163"/>
      <c r="I38" s="117"/>
      <c r="J38" s="878"/>
      <c r="K38" s="881"/>
      <c r="L38" s="881"/>
      <c r="M38" s="881"/>
      <c r="N38" s="881"/>
      <c r="O38" s="881"/>
      <c r="P38" s="881"/>
      <c r="Q38" s="880"/>
      <c r="R38" s="881"/>
      <c r="S38" s="881"/>
      <c r="T38" s="881"/>
      <c r="U38" s="881"/>
      <c r="V38" s="880"/>
      <c r="W38" s="185"/>
      <c r="X38" s="117"/>
      <c r="Y38" s="1005"/>
      <c r="Z38" s="1003"/>
      <c r="AA38" s="1003"/>
      <c r="AB38" s="1003"/>
      <c r="AC38" s="1003"/>
      <c r="AD38" s="1003"/>
      <c r="AE38" s="1003"/>
      <c r="AF38" s="1004"/>
      <c r="AG38" s="1003"/>
      <c r="AH38" s="1003"/>
      <c r="AI38" s="1003"/>
      <c r="AJ38" s="1003"/>
      <c r="AK38" s="1004"/>
      <c r="AL38" s="185"/>
      <c r="AM38" s="117"/>
      <c r="AN38" s="713"/>
      <c r="AO38" s="721"/>
      <c r="AP38" s="721"/>
      <c r="AQ38" s="721"/>
      <c r="AR38" s="721"/>
      <c r="AS38" s="721"/>
      <c r="AT38" s="721"/>
      <c r="AU38" s="715"/>
      <c r="AV38" s="721"/>
      <c r="AW38" s="721"/>
      <c r="AX38" s="721"/>
      <c r="AY38" s="721"/>
      <c r="AZ38" s="715"/>
    </row>
    <row r="39" spans="1:52" s="98" customFormat="1" ht="15" customHeight="1">
      <c r="A39" s="3021"/>
      <c r="B39" s="161"/>
      <c r="C39" s="185" t="s">
        <v>3058</v>
      </c>
      <c r="D39" s="180"/>
      <c r="E39" s="162"/>
      <c r="F39" s="162"/>
      <c r="G39" s="162"/>
      <c r="H39" s="163"/>
      <c r="I39" s="164" t="s">
        <v>1876</v>
      </c>
      <c r="J39" s="165">
        <v>0</v>
      </c>
      <c r="K39" s="166">
        <v>0</v>
      </c>
      <c r="L39" s="166">
        <v>0</v>
      </c>
      <c r="M39" s="166">
        <v>0</v>
      </c>
      <c r="N39" s="166">
        <v>0</v>
      </c>
      <c r="O39" s="166">
        <v>0</v>
      </c>
      <c r="P39" s="166">
        <v>0</v>
      </c>
      <c r="Q39" s="167">
        <v>0</v>
      </c>
      <c r="R39" s="238">
        <v>0</v>
      </c>
      <c r="S39" s="166">
        <v>0</v>
      </c>
      <c r="T39" s="166">
        <v>0</v>
      </c>
      <c r="U39" s="166">
        <v>0</v>
      </c>
      <c r="V39" s="167">
        <v>0</v>
      </c>
      <c r="W39" s="185"/>
      <c r="X39" s="164" t="s">
        <v>3052</v>
      </c>
      <c r="Y39" s="190">
        <v>0</v>
      </c>
      <c r="Z39" s="188">
        <v>0</v>
      </c>
      <c r="AA39" s="188">
        <v>0</v>
      </c>
      <c r="AB39" s="188">
        <v>0</v>
      </c>
      <c r="AC39" s="188">
        <v>0</v>
      </c>
      <c r="AD39" s="188">
        <v>0</v>
      </c>
      <c r="AE39" s="188">
        <v>0</v>
      </c>
      <c r="AF39" s="189">
        <v>0</v>
      </c>
      <c r="AG39" s="1701">
        <v>0</v>
      </c>
      <c r="AH39" s="188">
        <v>0</v>
      </c>
      <c r="AI39" s="188">
        <v>0</v>
      </c>
      <c r="AJ39" s="188">
        <v>0</v>
      </c>
      <c r="AK39" s="189">
        <v>0</v>
      </c>
      <c r="AL39" s="185"/>
      <c r="AM39" s="164" t="s">
        <v>3052</v>
      </c>
      <c r="AN39" s="641" t="str">
        <f>IFERROR(Y39/J39,"")</f>
        <v/>
      </c>
      <c r="AO39" s="642" t="str">
        <f t="shared" ref="AO39" si="30">IFERROR(Z39/K39,"")</f>
        <v/>
      </c>
      <c r="AP39" s="642" t="str">
        <f t="shared" ref="AP39" si="31">IFERROR(AA39/L39,"")</f>
        <v/>
      </c>
      <c r="AQ39" s="642" t="str">
        <f t="shared" ref="AQ39" si="32">IFERROR(AB39/M39,"")</f>
        <v/>
      </c>
      <c r="AR39" s="642" t="str">
        <f t="shared" ref="AR39" si="33">IFERROR(AC39/N39,"")</f>
        <v/>
      </c>
      <c r="AS39" s="642" t="str">
        <f t="shared" ref="AS39" si="34">IFERROR(AD39/O39,"")</f>
        <v/>
      </c>
      <c r="AT39" s="642" t="str">
        <f t="shared" ref="AT39" si="35">IFERROR(AE39/P39,"")</f>
        <v/>
      </c>
      <c r="AU39" s="643" t="str">
        <f t="shared" ref="AU39" si="36">IFERROR(AF39/Q39,"")</f>
        <v/>
      </c>
      <c r="AV39" s="998" t="str">
        <f t="shared" ref="AV39" si="37">IFERROR(AG39/R39,"")</f>
        <v/>
      </c>
      <c r="AW39" s="642" t="str">
        <f t="shared" ref="AW39" si="38">IFERROR(AH39/S39,"")</f>
        <v/>
      </c>
      <c r="AX39" s="642" t="str">
        <f t="shared" ref="AX39" si="39">IFERROR(AI39/T39,"")</f>
        <v/>
      </c>
      <c r="AY39" s="642" t="str">
        <f t="shared" ref="AY39" si="40">IFERROR(AJ39/U39,"")</f>
        <v/>
      </c>
      <c r="AZ39" s="643" t="str">
        <f t="shared" ref="AZ39" si="41">IFERROR(AK39/V39,"")</f>
        <v/>
      </c>
    </row>
    <row r="40" spans="1:52" s="98" customFormat="1" ht="15" customHeight="1">
      <c r="A40" s="3021"/>
      <c r="B40" s="161"/>
      <c r="C40" s="185" t="s">
        <v>3059</v>
      </c>
      <c r="D40" s="185"/>
      <c r="E40" s="162"/>
      <c r="F40" s="162"/>
      <c r="G40" s="162"/>
      <c r="H40" s="163"/>
      <c r="I40" s="185"/>
      <c r="J40" s="1558"/>
      <c r="K40" s="886"/>
      <c r="L40" s="886"/>
      <c r="M40" s="886"/>
      <c r="N40" s="886"/>
      <c r="O40" s="886"/>
      <c r="P40" s="886"/>
      <c r="Q40" s="887"/>
      <c r="R40" s="886"/>
      <c r="S40" s="886"/>
      <c r="T40" s="886"/>
      <c r="U40" s="886"/>
      <c r="V40" s="887"/>
      <c r="W40" s="185"/>
      <c r="X40" s="164" t="s">
        <v>3052</v>
      </c>
      <c r="Y40" s="161"/>
      <c r="Z40" s="185"/>
      <c r="AA40" s="185"/>
      <c r="AB40" s="185"/>
      <c r="AC40" s="185"/>
      <c r="AD40" s="185"/>
      <c r="AE40" s="185"/>
      <c r="AF40" s="215"/>
      <c r="AG40" s="838"/>
      <c r="AH40" s="838"/>
      <c r="AI40" s="838"/>
      <c r="AJ40" s="838"/>
      <c r="AK40" s="839"/>
      <c r="AL40" s="185"/>
      <c r="AN40" s="990"/>
      <c r="AO40" s="838"/>
      <c r="AP40" s="838"/>
      <c r="AQ40" s="838"/>
      <c r="AR40" s="838"/>
      <c r="AS40" s="838"/>
      <c r="AT40" s="838"/>
      <c r="AU40" s="839"/>
      <c r="AV40" s="1701">
        <v>0</v>
      </c>
      <c r="AW40" s="188">
        <v>0</v>
      </c>
      <c r="AX40" s="188">
        <v>0</v>
      </c>
      <c r="AY40" s="188">
        <v>0</v>
      </c>
      <c r="AZ40" s="189">
        <v>0</v>
      </c>
    </row>
    <row r="41" spans="1:52" s="98" customFormat="1" ht="15" customHeight="1">
      <c r="A41" s="3021"/>
      <c r="B41" s="161"/>
      <c r="C41" s="185" t="s">
        <v>3060</v>
      </c>
      <c r="D41" s="185"/>
      <c r="E41" s="162"/>
      <c r="F41" s="162"/>
      <c r="G41" s="162"/>
      <c r="H41" s="163"/>
      <c r="I41" s="164" t="s">
        <v>1876</v>
      </c>
      <c r="J41" s="165">
        <v>0</v>
      </c>
      <c r="K41" s="166">
        <v>0</v>
      </c>
      <c r="L41" s="166">
        <v>0</v>
      </c>
      <c r="M41" s="166">
        <v>0</v>
      </c>
      <c r="N41" s="166">
        <v>0</v>
      </c>
      <c r="O41" s="166">
        <v>0</v>
      </c>
      <c r="P41" s="166">
        <v>0</v>
      </c>
      <c r="Q41" s="167">
        <v>0</v>
      </c>
      <c r="R41" s="238">
        <v>0</v>
      </c>
      <c r="S41" s="166">
        <v>0</v>
      </c>
      <c r="T41" s="166">
        <v>0</v>
      </c>
      <c r="U41" s="166">
        <v>0</v>
      </c>
      <c r="V41" s="167">
        <v>0</v>
      </c>
      <c r="W41" s="185"/>
      <c r="X41" s="164" t="s">
        <v>3052</v>
      </c>
      <c r="Y41" s="190">
        <v>0</v>
      </c>
      <c r="Z41" s="188">
        <v>0</v>
      </c>
      <c r="AA41" s="188">
        <v>0</v>
      </c>
      <c r="AB41" s="188">
        <v>0</v>
      </c>
      <c r="AC41" s="188">
        <v>0</v>
      </c>
      <c r="AD41" s="188">
        <v>0</v>
      </c>
      <c r="AE41" s="188">
        <v>0</v>
      </c>
      <c r="AF41" s="189">
        <v>0</v>
      </c>
      <c r="AG41" s="1701">
        <v>0</v>
      </c>
      <c r="AH41" s="188">
        <v>0</v>
      </c>
      <c r="AI41" s="188">
        <v>0</v>
      </c>
      <c r="AJ41" s="188">
        <v>0</v>
      </c>
      <c r="AK41" s="189">
        <v>0</v>
      </c>
      <c r="AL41" s="185"/>
      <c r="AM41" s="164" t="s">
        <v>3052</v>
      </c>
      <c r="AN41" s="641" t="str">
        <f>IFERROR((Y41+Y39)/(J41+J39)-AN39,"")</f>
        <v/>
      </c>
      <c r="AO41" s="642" t="str">
        <f t="shared" ref="AO41:AZ41" si="42">IFERROR((Z41+Z39)/(K41+K39)-AO39,"")</f>
        <v/>
      </c>
      <c r="AP41" s="642" t="str">
        <f t="shared" si="42"/>
        <v/>
      </c>
      <c r="AQ41" s="642" t="str">
        <f t="shared" si="42"/>
        <v/>
      </c>
      <c r="AR41" s="642" t="str">
        <f t="shared" si="42"/>
        <v/>
      </c>
      <c r="AS41" s="642" t="str">
        <f t="shared" si="42"/>
        <v/>
      </c>
      <c r="AT41" s="642" t="str">
        <f t="shared" si="42"/>
        <v/>
      </c>
      <c r="AU41" s="643" t="str">
        <f t="shared" si="42"/>
        <v/>
      </c>
      <c r="AV41" s="998" t="str">
        <f t="shared" si="42"/>
        <v/>
      </c>
      <c r="AW41" s="642" t="str">
        <f t="shared" si="42"/>
        <v/>
      </c>
      <c r="AX41" s="642" t="str">
        <f t="shared" si="42"/>
        <v/>
      </c>
      <c r="AY41" s="642" t="str">
        <f t="shared" si="42"/>
        <v/>
      </c>
      <c r="AZ41" s="643" t="str">
        <f t="shared" si="42"/>
        <v/>
      </c>
    </row>
    <row r="42" spans="1:52" s="98" customFormat="1" ht="15" customHeight="1" thickBot="1">
      <c r="A42" s="3021"/>
      <c r="B42" s="191" t="s">
        <v>1701</v>
      </c>
      <c r="C42" s="192"/>
      <c r="D42" s="192"/>
      <c r="E42" s="193"/>
      <c r="F42" s="193"/>
      <c r="G42" s="193"/>
      <c r="H42" s="194"/>
      <c r="I42" s="1694"/>
      <c r="J42" s="1698"/>
      <c r="K42" s="1695"/>
      <c r="L42" s="1695"/>
      <c r="M42" s="1695"/>
      <c r="N42" s="1695"/>
      <c r="O42" s="1695"/>
      <c r="P42" s="1695"/>
      <c r="Q42" s="1696"/>
      <c r="R42" s="1695"/>
      <c r="S42" s="1695"/>
      <c r="T42" s="1695"/>
      <c r="U42" s="1695"/>
      <c r="V42" s="1696"/>
      <c r="W42" s="192"/>
      <c r="X42" s="1694"/>
      <c r="Y42" s="1698"/>
      <c r="Z42" s="1695"/>
      <c r="AA42" s="1695"/>
      <c r="AB42" s="1695"/>
      <c r="AC42" s="1695"/>
      <c r="AD42" s="1695"/>
      <c r="AE42" s="1695"/>
      <c r="AF42" s="1696"/>
      <c r="AG42" s="1695"/>
      <c r="AH42" s="1695"/>
      <c r="AI42" s="1695"/>
      <c r="AJ42" s="1695"/>
      <c r="AK42" s="1696"/>
      <c r="AL42" s="192"/>
      <c r="AM42" s="1694"/>
      <c r="AN42" s="1698"/>
      <c r="AO42" s="1695"/>
      <c r="AP42" s="1695"/>
      <c r="AQ42" s="1695"/>
      <c r="AR42" s="1695"/>
      <c r="AS42" s="1695"/>
      <c r="AT42" s="1695"/>
      <c r="AU42" s="1696"/>
      <c r="AV42" s="1345">
        <f t="shared" ref="AV42:AZ42" si="43">SUM(AV39:AV41)</f>
        <v>0</v>
      </c>
      <c r="AW42" s="702">
        <f t="shared" si="43"/>
        <v>0</v>
      </c>
      <c r="AX42" s="702">
        <f t="shared" si="43"/>
        <v>0</v>
      </c>
      <c r="AY42" s="702">
        <f t="shared" si="43"/>
        <v>0</v>
      </c>
      <c r="AZ42" s="703">
        <f t="shared" si="43"/>
        <v>0</v>
      </c>
    </row>
    <row r="43" spans="1:52" s="98" customFormat="1" ht="15" customHeight="1" thickBot="1">
      <c r="J43" s="1559"/>
      <c r="K43" s="1559"/>
      <c r="L43" s="1559"/>
      <c r="M43" s="1559"/>
      <c r="N43" s="1559"/>
      <c r="O43" s="1559"/>
      <c r="P43" s="1559"/>
      <c r="Q43" s="1559"/>
      <c r="R43" s="1559"/>
      <c r="S43" s="1559"/>
      <c r="T43" s="1559"/>
      <c r="U43" s="1559"/>
      <c r="V43" s="1559"/>
      <c r="Y43" s="1006"/>
      <c r="Z43" s="1006"/>
      <c r="AA43" s="1006"/>
      <c r="AB43" s="1006"/>
      <c r="AC43" s="1006"/>
      <c r="AD43" s="1006"/>
      <c r="AE43" s="1006"/>
      <c r="AF43" s="1006"/>
      <c r="AG43" s="1006"/>
      <c r="AH43" s="1006"/>
      <c r="AI43" s="1006"/>
      <c r="AJ43" s="1006"/>
      <c r="AK43" s="1006"/>
      <c r="AN43" s="722"/>
      <c r="AO43" s="722"/>
      <c r="AP43" s="722"/>
      <c r="AQ43" s="722"/>
      <c r="AR43" s="722"/>
      <c r="AS43" s="722"/>
      <c r="AT43" s="722"/>
      <c r="AU43" s="722"/>
      <c r="AV43" s="722"/>
      <c r="AW43" s="722"/>
      <c r="AX43" s="722"/>
      <c r="AY43" s="722"/>
      <c r="AZ43" s="722"/>
    </row>
    <row r="44" spans="1:52" s="98" customFormat="1" ht="30" customHeight="1" thickBot="1">
      <c r="A44" s="3021" t="s">
        <v>3061</v>
      </c>
      <c r="B44" s="621" t="s">
        <v>3063</v>
      </c>
      <c r="C44" s="102"/>
      <c r="D44" s="102"/>
      <c r="E44" s="102"/>
      <c r="F44" s="102"/>
      <c r="G44" s="103"/>
      <c r="H44" s="103"/>
      <c r="I44" s="105" t="s">
        <v>1869</v>
      </c>
      <c r="J44" s="1560"/>
      <c r="K44" s="1560"/>
      <c r="L44" s="1560"/>
      <c r="M44" s="1560"/>
      <c r="N44" s="1560"/>
      <c r="O44" s="1560"/>
      <c r="P44" s="1560"/>
      <c r="Q44" s="1560"/>
      <c r="R44" s="1561"/>
      <c r="S44" s="1561"/>
      <c r="T44" s="1561"/>
      <c r="U44" s="1561"/>
      <c r="V44" s="1562"/>
      <c r="W44" s="103"/>
      <c r="X44" s="105" t="s">
        <v>3049</v>
      </c>
      <c r="Y44" s="1007"/>
      <c r="Z44" s="1007"/>
      <c r="AA44" s="1007"/>
      <c r="AB44" s="1007"/>
      <c r="AC44" s="1007"/>
      <c r="AD44" s="1007"/>
      <c r="AE44" s="1007"/>
      <c r="AF44" s="1007"/>
      <c r="AG44" s="1008"/>
      <c r="AH44" s="1008"/>
      <c r="AI44" s="1008"/>
      <c r="AJ44" s="1008"/>
      <c r="AK44" s="1556"/>
      <c r="AL44" s="103"/>
      <c r="AM44" s="105" t="s">
        <v>3057</v>
      </c>
      <c r="AN44" s="723"/>
      <c r="AO44" s="723"/>
      <c r="AP44" s="723"/>
      <c r="AQ44" s="723"/>
      <c r="AR44" s="723"/>
      <c r="AS44" s="723"/>
      <c r="AT44" s="723"/>
      <c r="AU44" s="723"/>
      <c r="AV44" s="724"/>
      <c r="AW44" s="724"/>
      <c r="AX44" s="724"/>
      <c r="AY44" s="724"/>
      <c r="AZ44" s="993"/>
    </row>
    <row r="45" spans="1:52" s="98" customFormat="1" ht="30" customHeight="1">
      <c r="A45" s="3021"/>
      <c r="B45" s="109"/>
      <c r="C45" s="110"/>
      <c r="D45" s="110"/>
      <c r="E45" s="110"/>
      <c r="F45" s="110"/>
      <c r="G45" s="111"/>
      <c r="H45" s="111"/>
      <c r="I45" s="117"/>
      <c r="J45" s="1563" t="s">
        <v>1666</v>
      </c>
      <c r="K45" s="1564"/>
      <c r="L45" s="1564"/>
      <c r="M45" s="1564"/>
      <c r="N45" s="1564"/>
      <c r="O45" s="1564"/>
      <c r="P45" s="1564"/>
      <c r="Q45" s="1565"/>
      <c r="R45" s="1703" t="s">
        <v>2</v>
      </c>
      <c r="S45" s="1566"/>
      <c r="T45" s="1566"/>
      <c r="U45" s="1566"/>
      <c r="V45" s="1567"/>
      <c r="W45" s="222"/>
      <c r="X45" s="117"/>
      <c r="Y45" s="1009" t="s">
        <v>1666</v>
      </c>
      <c r="Z45" s="1010"/>
      <c r="AA45" s="1010"/>
      <c r="AB45" s="1010"/>
      <c r="AC45" s="1010"/>
      <c r="AD45" s="1010"/>
      <c r="AE45" s="1010"/>
      <c r="AF45" s="1010"/>
      <c r="AG45" s="1012" t="s">
        <v>2</v>
      </c>
      <c r="AH45" s="1013"/>
      <c r="AI45" s="1013"/>
      <c r="AJ45" s="1013"/>
      <c r="AK45" s="1014"/>
      <c r="AL45" s="222"/>
      <c r="AM45" s="117"/>
      <c r="AN45" s="725" t="s">
        <v>1666</v>
      </c>
      <c r="AO45" s="726"/>
      <c r="AP45" s="726"/>
      <c r="AQ45" s="726"/>
      <c r="AR45" s="726"/>
      <c r="AS45" s="726"/>
      <c r="AT45" s="726"/>
      <c r="AU45" s="727"/>
      <c r="AV45" s="728" t="s">
        <v>2</v>
      </c>
      <c r="AW45" s="729"/>
      <c r="AX45" s="729"/>
      <c r="AY45" s="729"/>
      <c r="AZ45" s="730"/>
    </row>
    <row r="46" spans="1:52" s="98" customFormat="1" ht="15" customHeight="1">
      <c r="A46" s="3021"/>
      <c r="B46" s="115"/>
      <c r="C46" s="116"/>
      <c r="D46" s="116"/>
      <c r="E46" s="116"/>
      <c r="F46" s="116"/>
      <c r="G46" s="117"/>
      <c r="H46" s="117"/>
      <c r="I46" s="119" t="s">
        <v>1667</v>
      </c>
      <c r="J46" s="1568" t="s">
        <v>453</v>
      </c>
      <c r="K46" s="1569" t="s">
        <v>455</v>
      </c>
      <c r="L46" s="1569" t="s">
        <v>457</v>
      </c>
      <c r="M46" s="1569" t="s">
        <v>459</v>
      </c>
      <c r="N46" s="1569" t="s">
        <v>461</v>
      </c>
      <c r="O46" s="1569" t="s">
        <v>463</v>
      </c>
      <c r="P46" s="1569" t="s">
        <v>465</v>
      </c>
      <c r="Q46" s="1570" t="s">
        <v>467</v>
      </c>
      <c r="R46" s="1704" t="s">
        <v>469</v>
      </c>
      <c r="S46" s="1571" t="s">
        <v>471</v>
      </c>
      <c r="T46" s="1571" t="s">
        <v>473</v>
      </c>
      <c r="U46" s="1571" t="s">
        <v>475</v>
      </c>
      <c r="V46" s="1572" t="s">
        <v>477</v>
      </c>
      <c r="W46" s="185"/>
      <c r="X46" s="119" t="s">
        <v>1667</v>
      </c>
      <c r="Y46" s="1015" t="s">
        <v>453</v>
      </c>
      <c r="Z46" s="1016" t="s">
        <v>455</v>
      </c>
      <c r="AA46" s="1016" t="s">
        <v>457</v>
      </c>
      <c r="AB46" s="1016" t="s">
        <v>459</v>
      </c>
      <c r="AC46" s="1016" t="s">
        <v>461</v>
      </c>
      <c r="AD46" s="1016" t="s">
        <v>463</v>
      </c>
      <c r="AE46" s="1016" t="s">
        <v>465</v>
      </c>
      <c r="AF46" s="1702" t="s">
        <v>467</v>
      </c>
      <c r="AG46" s="1018" t="s">
        <v>469</v>
      </c>
      <c r="AH46" s="1019" t="s">
        <v>471</v>
      </c>
      <c r="AI46" s="1019" t="s">
        <v>473</v>
      </c>
      <c r="AJ46" s="1019" t="s">
        <v>475</v>
      </c>
      <c r="AK46" s="1020" t="s">
        <v>477</v>
      </c>
      <c r="AL46" s="185"/>
      <c r="AM46" s="119" t="s">
        <v>1667</v>
      </c>
      <c r="AN46" s="731" t="s">
        <v>453</v>
      </c>
      <c r="AO46" s="732" t="s">
        <v>455</v>
      </c>
      <c r="AP46" s="732" t="s">
        <v>457</v>
      </c>
      <c r="AQ46" s="732" t="s">
        <v>459</v>
      </c>
      <c r="AR46" s="732" t="s">
        <v>461</v>
      </c>
      <c r="AS46" s="732" t="s">
        <v>463</v>
      </c>
      <c r="AT46" s="732" t="s">
        <v>465</v>
      </c>
      <c r="AU46" s="733" t="s">
        <v>467</v>
      </c>
      <c r="AV46" s="734" t="s">
        <v>469</v>
      </c>
      <c r="AW46" s="735" t="s">
        <v>471</v>
      </c>
      <c r="AX46" s="735" t="s">
        <v>473</v>
      </c>
      <c r="AY46" s="735" t="s">
        <v>475</v>
      </c>
      <c r="AZ46" s="736" t="s">
        <v>477</v>
      </c>
    </row>
    <row r="47" spans="1:52" s="98" customFormat="1" ht="15" customHeight="1">
      <c r="A47" s="3021"/>
      <c r="B47" s="161"/>
      <c r="C47" s="180"/>
      <c r="D47" s="180"/>
      <c r="E47" s="162"/>
      <c r="F47" s="162"/>
      <c r="G47" s="163"/>
      <c r="H47" s="163"/>
      <c r="I47" s="117"/>
      <c r="J47" s="878"/>
      <c r="K47" s="881"/>
      <c r="L47" s="881"/>
      <c r="M47" s="881"/>
      <c r="N47" s="881"/>
      <c r="O47" s="881"/>
      <c r="P47" s="881"/>
      <c r="Q47" s="880"/>
      <c r="R47" s="881"/>
      <c r="S47" s="881"/>
      <c r="T47" s="881"/>
      <c r="U47" s="881"/>
      <c r="V47" s="880"/>
      <c r="W47" s="185"/>
      <c r="X47" s="117"/>
      <c r="Y47" s="1005"/>
      <c r="Z47" s="1003"/>
      <c r="AA47" s="1003"/>
      <c r="AB47" s="1003"/>
      <c r="AC47" s="1003"/>
      <c r="AD47" s="1003"/>
      <c r="AE47" s="1003"/>
      <c r="AF47" s="1003"/>
      <c r="AG47" s="1005"/>
      <c r="AH47" s="1003"/>
      <c r="AI47" s="1003"/>
      <c r="AJ47" s="1003"/>
      <c r="AK47" s="1004"/>
      <c r="AL47" s="185"/>
      <c r="AM47" s="117"/>
      <c r="AN47" s="713"/>
      <c r="AO47" s="721"/>
      <c r="AP47" s="721"/>
      <c r="AQ47" s="721"/>
      <c r="AR47" s="721"/>
      <c r="AS47" s="721"/>
      <c r="AT47" s="721"/>
      <c r="AU47" s="715"/>
      <c r="AV47" s="713"/>
      <c r="AW47" s="721"/>
      <c r="AX47" s="721"/>
      <c r="AY47" s="721"/>
      <c r="AZ47" s="715"/>
    </row>
    <row r="48" spans="1:52" s="98" customFormat="1" ht="15" customHeight="1">
      <c r="A48" s="3021"/>
      <c r="B48" s="161"/>
      <c r="C48" s="185" t="s">
        <v>3058</v>
      </c>
      <c r="D48" s="180"/>
      <c r="E48" s="162"/>
      <c r="F48" s="162"/>
      <c r="G48" s="162"/>
      <c r="H48" s="163"/>
      <c r="I48" s="164" t="s">
        <v>1876</v>
      </c>
      <c r="J48" s="165">
        <v>0</v>
      </c>
      <c r="K48" s="166">
        <v>0</v>
      </c>
      <c r="L48" s="166">
        <v>0</v>
      </c>
      <c r="M48" s="166">
        <v>0</v>
      </c>
      <c r="N48" s="166">
        <v>0</v>
      </c>
      <c r="O48" s="166">
        <v>0</v>
      </c>
      <c r="P48" s="166">
        <v>0</v>
      </c>
      <c r="Q48" s="167">
        <v>0</v>
      </c>
      <c r="R48" s="238">
        <v>0</v>
      </c>
      <c r="S48" s="166">
        <v>0</v>
      </c>
      <c r="T48" s="166">
        <v>0</v>
      </c>
      <c r="U48" s="166">
        <v>0</v>
      </c>
      <c r="V48" s="167">
        <v>0</v>
      </c>
      <c r="W48" s="185"/>
      <c r="X48" s="164" t="s">
        <v>3052</v>
      </c>
      <c r="Y48" s="190">
        <v>0</v>
      </c>
      <c r="Z48" s="188">
        <v>0</v>
      </c>
      <c r="AA48" s="188">
        <v>0</v>
      </c>
      <c r="AB48" s="188">
        <v>0</v>
      </c>
      <c r="AC48" s="188">
        <v>0</v>
      </c>
      <c r="AD48" s="188">
        <v>0</v>
      </c>
      <c r="AE48" s="188">
        <v>0</v>
      </c>
      <c r="AF48" s="1372">
        <v>0</v>
      </c>
      <c r="AG48" s="190">
        <v>0</v>
      </c>
      <c r="AH48" s="188">
        <v>0</v>
      </c>
      <c r="AI48" s="188">
        <v>0</v>
      </c>
      <c r="AJ48" s="188">
        <v>0</v>
      </c>
      <c r="AK48" s="189">
        <v>0</v>
      </c>
      <c r="AL48" s="185"/>
      <c r="AM48" s="164" t="s">
        <v>3052</v>
      </c>
      <c r="AN48" s="641" t="str">
        <f>IFERROR(Y48/J48,"")</f>
        <v/>
      </c>
      <c r="AO48" s="642" t="str">
        <f t="shared" ref="AO48" si="44">IFERROR(Z48/K48,"")</f>
        <v/>
      </c>
      <c r="AP48" s="642" t="str">
        <f t="shared" ref="AP48" si="45">IFERROR(AA48/L48,"")</f>
        <v/>
      </c>
      <c r="AQ48" s="642" t="str">
        <f t="shared" ref="AQ48" si="46">IFERROR(AB48/M48,"")</f>
        <v/>
      </c>
      <c r="AR48" s="642" t="str">
        <f t="shared" ref="AR48" si="47">IFERROR(AC48/N48,"")</f>
        <v/>
      </c>
      <c r="AS48" s="642" t="str">
        <f t="shared" ref="AS48" si="48">IFERROR(AD48/O48,"")</f>
        <v/>
      </c>
      <c r="AT48" s="642" t="str">
        <f t="shared" ref="AT48" si="49">IFERROR(AE48/P48,"")</f>
        <v/>
      </c>
      <c r="AU48" s="643" t="str">
        <f t="shared" ref="AU48" si="50">IFERROR(AF48/Q48,"")</f>
        <v/>
      </c>
      <c r="AV48" s="641" t="str">
        <f t="shared" ref="AV48" si="51">IFERROR(AG48/R48,"")</f>
        <v/>
      </c>
      <c r="AW48" s="642" t="str">
        <f t="shared" ref="AW48" si="52">IFERROR(AH48/S48,"")</f>
        <v/>
      </c>
      <c r="AX48" s="642" t="str">
        <f t="shared" ref="AX48" si="53">IFERROR(AI48/T48,"")</f>
        <v/>
      </c>
      <c r="AY48" s="642" t="str">
        <f t="shared" ref="AY48" si="54">IFERROR(AJ48/U48,"")</f>
        <v/>
      </c>
      <c r="AZ48" s="643" t="str">
        <f t="shared" ref="AZ48" si="55">IFERROR(AK48/V48,"")</f>
        <v/>
      </c>
    </row>
    <row r="49" spans="1:52" s="98" customFormat="1" ht="15" customHeight="1">
      <c r="A49" s="3021"/>
      <c r="B49" s="161"/>
      <c r="C49" s="185" t="s">
        <v>3059</v>
      </c>
      <c r="D49" s="185"/>
      <c r="E49" s="162"/>
      <c r="F49" s="162"/>
      <c r="G49" s="162"/>
      <c r="H49" s="163"/>
      <c r="I49" s="185"/>
      <c r="J49" s="1558"/>
      <c r="K49" s="886"/>
      <c r="L49" s="886"/>
      <c r="M49" s="886"/>
      <c r="N49" s="886"/>
      <c r="O49" s="886"/>
      <c r="P49" s="886"/>
      <c r="Q49" s="887"/>
      <c r="R49" s="886"/>
      <c r="S49" s="886"/>
      <c r="T49" s="886"/>
      <c r="U49" s="886"/>
      <c r="V49" s="887"/>
      <c r="W49" s="185"/>
      <c r="X49" s="164" t="s">
        <v>3052</v>
      </c>
      <c r="Y49" s="190">
        <v>0</v>
      </c>
      <c r="Z49" s="188">
        <v>0</v>
      </c>
      <c r="AA49" s="188">
        <v>0</v>
      </c>
      <c r="AB49" s="188">
        <v>0</v>
      </c>
      <c r="AC49" s="188">
        <v>0</v>
      </c>
      <c r="AD49" s="188">
        <v>0</v>
      </c>
      <c r="AE49" s="188">
        <v>0</v>
      </c>
      <c r="AF49" s="1372">
        <v>0</v>
      </c>
      <c r="AG49" s="990"/>
      <c r="AH49" s="838"/>
      <c r="AI49" s="838"/>
      <c r="AJ49" s="838"/>
      <c r="AK49" s="839"/>
      <c r="AL49" s="185"/>
      <c r="AN49" s="990"/>
      <c r="AO49" s="838"/>
      <c r="AP49" s="838"/>
      <c r="AQ49" s="838"/>
      <c r="AR49" s="838"/>
      <c r="AS49" s="838"/>
      <c r="AT49" s="838"/>
      <c r="AU49" s="839"/>
      <c r="AV49" s="190">
        <v>0</v>
      </c>
      <c r="AW49" s="188">
        <v>0</v>
      </c>
      <c r="AX49" s="188">
        <v>0</v>
      </c>
      <c r="AY49" s="188">
        <v>0</v>
      </c>
      <c r="AZ49" s="189">
        <v>0</v>
      </c>
    </row>
    <row r="50" spans="1:52" s="98" customFormat="1" ht="15" customHeight="1" thickBot="1">
      <c r="A50" s="3021"/>
      <c r="B50" s="191" t="s">
        <v>1701</v>
      </c>
      <c r="C50" s="192"/>
      <c r="D50" s="192"/>
      <c r="E50" s="193"/>
      <c r="F50" s="193"/>
      <c r="G50" s="193"/>
      <c r="H50" s="194"/>
      <c r="I50" s="1694"/>
      <c r="J50" s="1698"/>
      <c r="K50" s="1695"/>
      <c r="L50" s="1695"/>
      <c r="M50" s="1695"/>
      <c r="N50" s="1695"/>
      <c r="O50" s="1695"/>
      <c r="P50" s="1695"/>
      <c r="Q50" s="1696"/>
      <c r="R50" s="1695"/>
      <c r="S50" s="1695"/>
      <c r="T50" s="1695"/>
      <c r="U50" s="1695"/>
      <c r="V50" s="1696"/>
      <c r="W50" s="192"/>
      <c r="X50" s="1694"/>
      <c r="Y50" s="1698"/>
      <c r="Z50" s="1695"/>
      <c r="AA50" s="1695"/>
      <c r="AB50" s="1695"/>
      <c r="AC50" s="1695"/>
      <c r="AD50" s="1695"/>
      <c r="AE50" s="1695"/>
      <c r="AF50" s="1695"/>
      <c r="AG50" s="1698"/>
      <c r="AH50" s="1695"/>
      <c r="AI50" s="1695"/>
      <c r="AJ50" s="1695"/>
      <c r="AK50" s="1696"/>
      <c r="AL50" s="192"/>
      <c r="AM50" s="1694"/>
      <c r="AN50" s="1698"/>
      <c r="AO50" s="1695"/>
      <c r="AP50" s="1695"/>
      <c r="AQ50" s="1695"/>
      <c r="AR50" s="1695"/>
      <c r="AS50" s="1695"/>
      <c r="AT50" s="1695"/>
      <c r="AU50" s="1696"/>
      <c r="AV50" s="701">
        <f t="shared" ref="AV50:AZ50" si="56">SUM(AV48:AV49)</f>
        <v>0</v>
      </c>
      <c r="AW50" s="702">
        <f t="shared" si="56"/>
        <v>0</v>
      </c>
      <c r="AX50" s="702">
        <f t="shared" si="56"/>
        <v>0</v>
      </c>
      <c r="AY50" s="702">
        <f t="shared" si="56"/>
        <v>0</v>
      </c>
      <c r="AZ50" s="703">
        <f t="shared" si="56"/>
        <v>0</v>
      </c>
    </row>
    <row r="51" spans="1:52" s="98" customFormat="1" ht="15" customHeight="1"/>
    <row r="52" spans="1:52" s="98" customFormat="1" ht="15" customHeight="1"/>
    <row r="53" spans="1:52" s="98" customFormat="1" ht="15" customHeight="1"/>
    <row r="54" spans="1:52" s="98" customFormat="1" ht="15" customHeight="1">
      <c r="AH54" s="185"/>
    </row>
    <row r="55" spans="1:52" s="98" customFormat="1" ht="15" customHeight="1"/>
    <row r="56" spans="1:52" s="98" customFormat="1" ht="15" customHeight="1"/>
    <row r="57" spans="1:52" s="98" customFormat="1" ht="15" customHeight="1"/>
    <row r="58" spans="1:52" s="98" customFormat="1" ht="15" customHeight="1">
      <c r="AG58" s="838"/>
      <c r="AH58" s="838"/>
      <c r="AI58" s="838"/>
      <c r="AJ58" s="838"/>
      <c r="AK58" s="838"/>
      <c r="AL58" s="185"/>
    </row>
    <row r="59" spans="1:52" s="98" customFormat="1" ht="15" customHeight="1"/>
    <row r="60" spans="1:52" s="98" customFormat="1" ht="15" customHeight="1"/>
    <row r="61" spans="1:52" s="98" customFormat="1" ht="15" customHeight="1"/>
    <row r="62" spans="1:52" s="98" customFormat="1" ht="15" customHeight="1"/>
    <row r="63" spans="1:52" s="98" customFormat="1" ht="15" customHeight="1"/>
    <row r="64" spans="1:52" s="98" customFormat="1" ht="15" customHeight="1"/>
    <row r="65" spans="30:30" s="98" customFormat="1" ht="15" customHeight="1"/>
    <row r="66" spans="30:30" s="98" customFormat="1" ht="15" customHeight="1" thickBot="1"/>
    <row r="67" spans="30:30" s="98" customFormat="1" ht="15" customHeight="1" thickBot="1">
      <c r="AD67" s="1697"/>
    </row>
    <row r="68" spans="30:30" s="98" customFormat="1" ht="15" customHeight="1"/>
    <row r="69" spans="30:30" s="98" customFormat="1" ht="15" customHeight="1"/>
    <row r="70" spans="30:30" s="98" customFormat="1" ht="15" customHeight="1"/>
    <row r="71" spans="30:30" s="98" customFormat="1" ht="15" customHeight="1"/>
    <row r="72" spans="30:30" s="98" customFormat="1" ht="15" customHeight="1"/>
    <row r="73" spans="30:30" s="98" customFormat="1" ht="15" customHeight="1"/>
    <row r="74" spans="30:30" s="98" customFormat="1" ht="15" customHeight="1"/>
    <row r="75" spans="30:30" s="98" customFormat="1" ht="15" customHeight="1"/>
    <row r="76" spans="30:30" s="98" customFormat="1" ht="15" customHeight="1"/>
    <row r="77" spans="30:30" s="98" customFormat="1" ht="15" customHeight="1"/>
    <row r="78" spans="30:30" s="98" customFormat="1" ht="15" customHeight="1"/>
    <row r="79" spans="30:30" s="98" customFormat="1" ht="15" customHeight="1"/>
    <row r="80" spans="30:30" s="98" customFormat="1" ht="15" customHeight="1"/>
    <row r="81" s="98" customFormat="1" ht="15" customHeight="1"/>
    <row r="82" s="98" customFormat="1" ht="15" customHeight="1"/>
    <row r="83" s="98" customFormat="1" ht="15" customHeight="1"/>
    <row r="84" s="98" customFormat="1" ht="15" customHeight="1"/>
    <row r="85" s="98" customFormat="1" ht="15" customHeight="1"/>
    <row r="86" s="98" customFormat="1" ht="15" customHeight="1"/>
    <row r="87" s="98" customFormat="1" ht="15" customHeight="1"/>
    <row r="88" s="98" customFormat="1" ht="15" customHeight="1"/>
    <row r="89" s="98" customFormat="1" ht="15" customHeight="1"/>
    <row r="90" s="98" customFormat="1" ht="15" customHeight="1"/>
    <row r="91" s="98" customFormat="1" ht="15" customHeight="1"/>
    <row r="92" s="98" customFormat="1" ht="15" customHeight="1"/>
    <row r="93" s="98" customFormat="1" ht="15" customHeight="1"/>
    <row r="94" s="98" customFormat="1" ht="15" customHeight="1"/>
    <row r="95" s="98" customFormat="1" ht="15" customHeight="1"/>
    <row r="96" s="98" customFormat="1" ht="15" customHeight="1"/>
    <row r="97" spans="10:13" s="98" customFormat="1" ht="15" customHeight="1"/>
    <row r="98" spans="10:13" s="98" customFormat="1" ht="15" customHeight="1"/>
    <row r="99" spans="10:13" s="98" customFormat="1" ht="15" customHeight="1"/>
    <row r="100" spans="10:13" s="99" customFormat="1" ht="15" customHeight="1">
      <c r="J100" s="98"/>
      <c r="K100" s="98"/>
      <c r="L100" s="98"/>
      <c r="M100" s="98"/>
    </row>
    <row r="101" spans="10:13" s="100" customFormat="1" ht="30" customHeight="1">
      <c r="J101" s="98"/>
      <c r="K101" s="98"/>
      <c r="L101" s="98"/>
      <c r="M101" s="98"/>
    </row>
    <row r="102" spans="10:13" s="157" customFormat="1" ht="30" customHeight="1">
      <c r="J102" s="98"/>
      <c r="K102" s="98"/>
      <c r="L102" s="98"/>
      <c r="M102" s="98"/>
    </row>
    <row r="103" spans="10:13" s="98" customFormat="1" ht="15" customHeight="1"/>
    <row r="104" spans="10:13" s="98" customFormat="1" ht="15" customHeight="1"/>
    <row r="105" spans="10:13" s="98" customFormat="1" ht="15" customHeight="1"/>
    <row r="106" spans="10:13" s="98" customFormat="1" ht="15" customHeight="1"/>
    <row r="107" spans="10:13" s="98" customFormat="1" ht="15" customHeight="1"/>
    <row r="108" spans="10:13" s="98" customFormat="1" ht="15" customHeight="1"/>
    <row r="109" spans="10:13" s="98" customFormat="1" ht="15" customHeight="1"/>
    <row r="110" spans="10:13" s="98" customFormat="1" ht="15" customHeight="1"/>
    <row r="111" spans="10:13" s="98" customFormat="1" ht="15" customHeight="1"/>
    <row r="112" spans="10:13" s="98" customFormat="1" ht="15" customHeight="1"/>
    <row r="113" s="98" customFormat="1" ht="15" customHeight="1"/>
    <row r="114" s="98" customFormat="1" ht="15" customHeight="1"/>
    <row r="115" s="98" customFormat="1" ht="15" customHeight="1"/>
    <row r="116" s="98" customFormat="1" ht="15" customHeight="1"/>
    <row r="117" s="98" customFormat="1" ht="15" customHeight="1"/>
    <row r="118" s="98" customFormat="1" ht="15" customHeight="1"/>
    <row r="119" s="98" customFormat="1" ht="15" customHeight="1"/>
    <row r="120" s="98" customFormat="1" ht="15" customHeight="1"/>
    <row r="121" s="98" customFormat="1" ht="15" customHeight="1"/>
    <row r="122" s="98" customFormat="1" ht="15" customHeight="1"/>
    <row r="123" s="98" customFormat="1" ht="15" customHeight="1"/>
    <row r="124" s="98" customFormat="1" ht="15" customHeight="1"/>
    <row r="125" s="98" customFormat="1" ht="15" customHeight="1"/>
    <row r="126" s="98" customFormat="1" ht="15" customHeight="1"/>
    <row r="127" s="98" customFormat="1" ht="15" customHeight="1"/>
    <row r="128" s="98" customFormat="1" ht="15" customHeight="1"/>
    <row r="129" s="99" customFormat="1" ht="15" customHeight="1"/>
    <row r="130" s="100" customFormat="1" ht="30" customHeight="1"/>
    <row r="131" s="157" customFormat="1" ht="30" customHeight="1"/>
    <row r="132" s="98" customFormat="1" ht="15" customHeight="1"/>
    <row r="133" s="98" customFormat="1" ht="15" customHeight="1"/>
    <row r="134" s="98" customFormat="1" ht="15" customHeight="1"/>
    <row r="135" s="98" customFormat="1" ht="15" customHeight="1"/>
    <row r="136" s="98" customFormat="1" ht="15" customHeight="1"/>
    <row r="137" s="98" customFormat="1" ht="15" customHeight="1"/>
    <row r="138" s="98" customFormat="1" ht="15" customHeight="1"/>
    <row r="139" s="98" customFormat="1" ht="15" customHeight="1"/>
    <row r="140" s="98" customFormat="1" ht="15" customHeight="1"/>
    <row r="141" s="98" customFormat="1" ht="15" customHeight="1"/>
    <row r="142" s="98" customFormat="1" ht="15" customHeight="1"/>
    <row r="143" s="98" customFormat="1" ht="15" customHeight="1"/>
    <row r="144" s="98" customFormat="1" ht="15" customHeight="1"/>
    <row r="145" spans="2:9" s="98" customFormat="1" ht="15" customHeight="1"/>
    <row r="146" spans="2:9">
      <c r="B146" s="173"/>
      <c r="C146" s="173"/>
      <c r="D146" s="173"/>
      <c r="E146" s="173"/>
      <c r="F146" s="173"/>
      <c r="I146" s="173"/>
    </row>
    <row r="147" spans="2:9" s="100" customFormat="1" ht="30" customHeight="1"/>
    <row r="148" spans="2:9" s="157" customFormat="1" ht="30" customHeight="1"/>
    <row r="149" spans="2:9" s="98" customFormat="1" ht="15" customHeight="1"/>
    <row r="150" spans="2:9" s="98" customFormat="1" ht="15" customHeight="1"/>
    <row r="151" spans="2:9" s="98" customFormat="1" ht="15" customHeight="1"/>
    <row r="152" spans="2:9" s="98" customFormat="1" ht="15" customHeight="1"/>
    <row r="153" spans="2:9" s="98" customFormat="1" ht="15" customHeight="1"/>
    <row r="154" spans="2:9" s="98" customFormat="1" ht="15" customHeight="1"/>
    <row r="155" spans="2:9" s="98" customFormat="1" ht="15" customHeight="1"/>
    <row r="156" spans="2:9" s="98" customFormat="1" ht="15" customHeight="1"/>
    <row r="157" spans="2:9" s="98" customFormat="1" ht="15" customHeight="1"/>
    <row r="158" spans="2:9" s="98" customFormat="1" ht="15" customHeight="1"/>
    <row r="159" spans="2:9" s="98" customFormat="1" ht="15" customHeight="1"/>
    <row r="160" spans="2:9" s="98" customFormat="1" ht="15" customHeight="1"/>
    <row r="161" spans="2:9" s="98" customFormat="1" ht="15" customHeight="1"/>
    <row r="162" spans="2:9" s="98" customFormat="1" ht="15" customHeight="1"/>
    <row r="163" spans="2:9" s="98" customFormat="1" ht="15" customHeight="1"/>
    <row r="164" spans="2:9">
      <c r="B164" s="173"/>
      <c r="C164" s="173"/>
      <c r="D164" s="173"/>
      <c r="E164" s="173"/>
      <c r="F164" s="173"/>
      <c r="I164" s="173"/>
    </row>
    <row r="165" spans="2:9" s="100" customFormat="1" ht="30" customHeight="1"/>
    <row r="166" spans="2:9" s="157" customFormat="1" ht="30" customHeight="1"/>
    <row r="167" spans="2:9" s="98" customFormat="1" ht="15" customHeight="1"/>
    <row r="168" spans="2:9" s="98" customFormat="1" ht="15" customHeight="1"/>
    <row r="169" spans="2:9" s="98" customFormat="1" ht="15" customHeight="1"/>
    <row r="170" spans="2:9" s="98" customFormat="1" ht="15" customHeight="1"/>
    <row r="171" spans="2:9" s="98" customFormat="1" ht="15" customHeight="1"/>
    <row r="172" spans="2:9" s="98" customFormat="1" ht="15" customHeight="1"/>
    <row r="173" spans="2:9" s="98" customFormat="1" ht="15" customHeight="1"/>
    <row r="174" spans="2:9" s="98" customFormat="1" ht="15" customHeight="1"/>
    <row r="175" spans="2:9">
      <c r="B175" s="173"/>
      <c r="C175" s="173"/>
      <c r="D175" s="173"/>
      <c r="E175" s="173"/>
      <c r="F175" s="173"/>
      <c r="I175" s="173"/>
    </row>
    <row r="176" spans="2:9" s="100" customFormat="1" ht="30" customHeight="1"/>
    <row r="177" spans="2:9" s="157" customFormat="1" ht="30" customHeight="1"/>
    <row r="178" spans="2:9" s="98" customFormat="1" ht="15" customHeight="1"/>
    <row r="179" spans="2:9" s="98" customFormat="1" ht="15" customHeight="1"/>
    <row r="180" spans="2:9" s="98" customFormat="1" ht="15" customHeight="1"/>
    <row r="181" spans="2:9">
      <c r="B181" s="173"/>
      <c r="C181" s="173"/>
      <c r="D181" s="173"/>
      <c r="E181" s="173"/>
      <c r="F181" s="173"/>
      <c r="I181" s="173"/>
    </row>
    <row r="182" spans="2:9" s="100" customFormat="1" ht="30" customHeight="1"/>
    <row r="183" spans="2:9" s="157" customFormat="1" ht="30" customHeight="1"/>
    <row r="184" spans="2:9" s="98" customFormat="1" ht="15" customHeight="1"/>
    <row r="185" spans="2:9" s="98" customFormat="1" ht="15" customHeight="1"/>
    <row r="186" spans="2:9" s="98" customFormat="1" ht="15" customHeight="1"/>
    <row r="187" spans="2:9">
      <c r="B187" s="173"/>
      <c r="C187" s="173"/>
      <c r="D187" s="173"/>
      <c r="E187" s="173"/>
      <c r="F187" s="173"/>
      <c r="I187" s="173"/>
    </row>
    <row r="188" spans="2:9" s="100" customFormat="1" ht="30" customHeight="1"/>
    <row r="189" spans="2:9" s="157" customFormat="1" ht="30" customHeight="1"/>
    <row r="190" spans="2:9" s="98" customFormat="1" ht="15" customHeight="1"/>
    <row r="191" spans="2:9" s="98" customFormat="1" ht="15" customHeight="1"/>
    <row r="192" spans="2:9" s="98" customFormat="1" ht="15" customHeight="1"/>
    <row r="193" spans="8:14" s="98" customFormat="1" ht="15" customHeight="1"/>
    <row r="205" spans="8:14">
      <c r="H205" s="174"/>
      <c r="I205" s="174"/>
      <c r="J205" s="174"/>
      <c r="K205" s="174"/>
      <c r="L205" s="174"/>
      <c r="M205" s="174"/>
      <c r="N205" s="174"/>
    </row>
    <row r="206" spans="8:14">
      <c r="H206" s="174"/>
      <c r="I206" s="174"/>
      <c r="J206" s="174"/>
      <c r="K206" s="174"/>
      <c r="L206" s="174"/>
      <c r="M206" s="174"/>
      <c r="N206" s="174"/>
    </row>
    <row r="207" spans="8:14">
      <c r="H207" s="174"/>
      <c r="I207" s="174"/>
      <c r="J207" s="174"/>
      <c r="K207" s="174"/>
      <c r="L207" s="174"/>
      <c r="M207" s="174"/>
      <c r="N207" s="174"/>
    </row>
  </sheetData>
  <mergeCells count="3">
    <mergeCell ref="A26:A33"/>
    <mergeCell ref="A35:A42"/>
    <mergeCell ref="A44:A50"/>
  </mergeCell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tabColor rgb="FF00B050"/>
  </sheetPr>
  <dimension ref="A1:BL161"/>
  <sheetViews>
    <sheetView showGridLines="0" topLeftCell="A55" zoomScale="55" zoomScaleNormal="55" workbookViewId="0">
      <pane xSplit="7" topLeftCell="H1" activePane="topRight" state="frozen"/>
      <selection activeCell="G14" sqref="G14"/>
      <selection pane="topRight" activeCell="R31" sqref="R31"/>
    </sheetView>
  </sheetViews>
  <sheetFormatPr defaultColWidth="11.875" defaultRowHeight="12.75"/>
  <cols>
    <col min="1" max="1" width="11.875" style="173" customWidth="1"/>
    <col min="2" max="6" width="4.375" style="174" customWidth="1"/>
    <col min="7" max="7" width="34.625" style="174" customWidth="1"/>
    <col min="8" max="8" width="11.875" style="173" customWidth="1"/>
    <col min="9" max="9" width="15.625" style="175" customWidth="1"/>
    <col min="10" max="27" width="15.625" style="173" customWidth="1"/>
    <col min="28" max="28" width="5.625" style="173" customWidth="1"/>
    <col min="29" max="30" width="15.625" style="173" customWidth="1"/>
    <col min="31" max="31" width="15.625" style="175" customWidth="1"/>
    <col min="32" max="35" width="15.625" style="173" customWidth="1"/>
    <col min="36" max="36" width="15.625" style="175" customWidth="1"/>
    <col min="37" max="39" width="15.625" style="173" customWidth="1"/>
    <col min="40" max="40" width="5.625" style="173" customWidth="1"/>
    <col min="41" max="51" width="15.625" style="173" customWidth="1"/>
    <col min="52" max="52" width="14.125" style="173" customWidth="1"/>
    <col min="53" max="53" width="11.875" style="173" customWidth="1"/>
    <col min="54" max="54" width="11.875" style="173"/>
    <col min="55" max="55" width="11.875" style="175"/>
    <col min="56" max="16384" width="11.875" style="173"/>
  </cols>
  <sheetData>
    <row r="1" spans="1:64" s="2" customFormat="1" ht="25.15" customHeight="1">
      <c r="A1" s="1" t="s">
        <v>0</v>
      </c>
      <c r="E1" s="3"/>
      <c r="H1" s="4" t="s">
        <v>1</v>
      </c>
      <c r="J1" s="3"/>
    </row>
    <row r="2" spans="1:64" s="2" customFormat="1" ht="25.15" customHeight="1">
      <c r="A2" s="5" t="str">
        <f>Fixed_Data!I12</f>
        <v>MASTER</v>
      </c>
      <c r="B2" s="6"/>
      <c r="D2" s="7"/>
      <c r="E2" s="3"/>
    </row>
    <row r="3" spans="1:64" s="9" customFormat="1" ht="25.15" customHeight="1" thickBot="1">
      <c r="A3" s="8" t="str">
        <f>Fixed_Data!A3</f>
        <v>RIIO-GD2</v>
      </c>
      <c r="D3" s="10"/>
      <c r="E3" s="11"/>
    </row>
    <row r="4" spans="1:64" s="89" customFormat="1" ht="25.15" customHeight="1">
      <c r="B4" s="90" t="s">
        <v>3064</v>
      </c>
      <c r="C4" s="90"/>
      <c r="D4" s="90"/>
      <c r="E4" s="90"/>
      <c r="F4" s="90"/>
      <c r="G4" s="90"/>
      <c r="H4" s="92"/>
      <c r="I4" s="93"/>
      <c r="J4" s="94"/>
      <c r="K4" s="94"/>
      <c r="L4" s="94"/>
      <c r="M4" s="94"/>
      <c r="N4" s="94"/>
      <c r="O4" s="94"/>
      <c r="P4" s="94"/>
      <c r="Q4" s="94"/>
      <c r="R4" s="92"/>
      <c r="S4" s="92"/>
      <c r="T4" s="92"/>
      <c r="U4" s="92"/>
      <c r="V4" s="92"/>
      <c r="W4" s="92"/>
      <c r="X4" s="92"/>
      <c r="Y4" s="92"/>
      <c r="Z4" s="92"/>
      <c r="AA4" s="92"/>
      <c r="AB4" s="94"/>
      <c r="AC4" s="94"/>
      <c r="AD4" s="92"/>
      <c r="AE4" s="93"/>
      <c r="AF4" s="94"/>
      <c r="AG4" s="94"/>
      <c r="AH4" s="94"/>
      <c r="AI4" s="92"/>
      <c r="AJ4" s="93"/>
      <c r="AK4" s="94"/>
      <c r="AL4" s="94"/>
      <c r="AM4" s="94"/>
      <c r="AN4" s="94"/>
      <c r="AO4" s="94"/>
      <c r="AP4" s="94"/>
      <c r="AQ4" s="92"/>
      <c r="AR4" s="92"/>
      <c r="AS4" s="92"/>
      <c r="AT4" s="92"/>
      <c r="AU4" s="94"/>
      <c r="AV4" s="92"/>
      <c r="AW4" s="92"/>
      <c r="AX4" s="92"/>
      <c r="AY4" s="92"/>
      <c r="AZ4" s="92"/>
      <c r="BA4" s="92"/>
      <c r="BB4" s="92"/>
      <c r="BC4" s="92"/>
      <c r="BD4" s="92"/>
      <c r="BE4" s="92"/>
      <c r="BF4" s="94"/>
      <c r="BG4" s="92"/>
      <c r="BH4" s="92"/>
      <c r="BI4" s="92"/>
      <c r="BJ4" s="92"/>
      <c r="BK4" s="92"/>
      <c r="BL4" s="92"/>
    </row>
    <row r="5" spans="1:64" s="89" customFormat="1" ht="25.15" customHeight="1">
      <c r="B5" s="95" t="s">
        <v>1663</v>
      </c>
      <c r="C5" s="95"/>
      <c r="D5" s="95"/>
      <c r="E5" s="95"/>
      <c r="F5" s="95" t="s">
        <v>463</v>
      </c>
      <c r="H5" s="95"/>
      <c r="I5" s="93"/>
      <c r="J5" s="94"/>
      <c r="K5" s="94"/>
      <c r="L5" s="94"/>
      <c r="M5" s="94"/>
      <c r="N5" s="94"/>
      <c r="O5" s="94"/>
      <c r="P5" s="94"/>
      <c r="Q5" s="94"/>
      <c r="R5" s="92"/>
      <c r="S5" s="92"/>
      <c r="T5" s="92"/>
      <c r="U5" s="92"/>
      <c r="V5" s="92"/>
      <c r="W5" s="92"/>
      <c r="X5" s="92"/>
      <c r="Y5" s="92"/>
      <c r="Z5" s="92"/>
      <c r="AA5" s="92"/>
      <c r="AB5" s="94"/>
      <c r="AC5" s="94"/>
      <c r="AD5" s="92"/>
      <c r="AE5" s="93"/>
      <c r="AF5" s="94"/>
      <c r="AG5" s="94"/>
      <c r="AH5" s="94"/>
      <c r="AI5" s="92"/>
      <c r="AJ5" s="93"/>
      <c r="AK5" s="94"/>
      <c r="AL5" s="94"/>
      <c r="AM5" s="94"/>
      <c r="AN5" s="94"/>
      <c r="AO5" s="94"/>
      <c r="AP5" s="94"/>
      <c r="AQ5" s="92"/>
      <c r="AR5" s="92"/>
      <c r="AS5" s="92"/>
      <c r="AT5" s="92"/>
      <c r="AU5" s="94"/>
      <c r="AV5" s="92"/>
      <c r="AW5" s="92"/>
      <c r="AX5" s="92"/>
      <c r="AY5" s="92"/>
      <c r="AZ5" s="92"/>
      <c r="BA5" s="92"/>
      <c r="BB5" s="92"/>
      <c r="BC5" s="92"/>
      <c r="BD5" s="92"/>
      <c r="BE5" s="92"/>
      <c r="BF5" s="94"/>
      <c r="BG5" s="92"/>
      <c r="BH5" s="92"/>
      <c r="BI5" s="92"/>
      <c r="BJ5" s="92"/>
      <c r="BK5" s="92"/>
      <c r="BL5" s="92"/>
    </row>
    <row r="6" spans="1:64" s="89" customFormat="1" ht="15" customHeight="1">
      <c r="B6" s="95"/>
      <c r="C6" s="95"/>
      <c r="D6" s="95"/>
      <c r="E6" s="95"/>
      <c r="F6" s="95"/>
      <c r="G6" s="95"/>
      <c r="H6" s="95"/>
      <c r="I6" s="93"/>
      <c r="J6" s="94"/>
      <c r="K6" s="94"/>
      <c r="L6" s="94"/>
      <c r="M6" s="94"/>
      <c r="N6" s="94"/>
      <c r="O6" s="94"/>
      <c r="P6" s="94"/>
      <c r="Q6" s="94"/>
      <c r="R6" s="92"/>
      <c r="S6" s="92"/>
      <c r="T6" s="92"/>
      <c r="U6" s="92"/>
      <c r="V6" s="92"/>
      <c r="W6" s="92"/>
      <c r="X6" s="92"/>
      <c r="Y6" s="92"/>
      <c r="Z6" s="92"/>
      <c r="AA6" s="92"/>
      <c r="AB6" s="94"/>
      <c r="AC6" s="94"/>
      <c r="AD6" s="92"/>
      <c r="AE6" s="93"/>
      <c r="AF6" s="94"/>
      <c r="AG6" s="94"/>
      <c r="AH6" s="94"/>
      <c r="AI6" s="92"/>
      <c r="AJ6" s="93"/>
      <c r="AK6" s="94"/>
      <c r="AL6" s="94"/>
      <c r="AM6" s="94"/>
      <c r="AN6" s="94"/>
      <c r="AO6" s="94"/>
      <c r="AP6" s="94"/>
      <c r="AQ6" s="92"/>
      <c r="AR6" s="92"/>
      <c r="AS6" s="92"/>
      <c r="AT6" s="92"/>
      <c r="AU6" s="94"/>
      <c r="AV6" s="92"/>
      <c r="AW6" s="92"/>
      <c r="AX6" s="92"/>
      <c r="AY6" s="92"/>
      <c r="AZ6" s="92"/>
      <c r="BA6" s="92"/>
      <c r="BB6" s="92"/>
      <c r="BC6" s="92"/>
      <c r="BD6" s="92"/>
      <c r="BE6" s="92"/>
      <c r="BF6" s="94"/>
      <c r="BG6" s="92"/>
      <c r="BH6" s="92"/>
      <c r="BI6" s="92"/>
      <c r="BJ6" s="92"/>
      <c r="BK6" s="92"/>
      <c r="BL6" s="92"/>
    </row>
    <row r="7" spans="1:64" s="99" customFormat="1" ht="15" customHeight="1" thickBot="1">
      <c r="A7" s="89"/>
      <c r="B7" s="95"/>
      <c r="C7" s="95"/>
      <c r="D7" s="95"/>
      <c r="E7" s="95"/>
      <c r="F7" s="95"/>
      <c r="G7" s="95"/>
      <c r="H7" s="95"/>
      <c r="I7" s="96"/>
      <c r="J7" s="97"/>
      <c r="K7" s="97"/>
      <c r="L7" s="97"/>
      <c r="M7" s="97"/>
      <c r="N7" s="97"/>
      <c r="O7" s="97"/>
      <c r="P7" s="97"/>
      <c r="Q7" s="97"/>
      <c r="R7" s="97"/>
      <c r="S7" s="97"/>
      <c r="T7" s="97"/>
      <c r="U7" s="97"/>
      <c r="V7" s="97"/>
      <c r="W7" s="97"/>
      <c r="X7" s="97"/>
      <c r="Y7" s="97"/>
      <c r="Z7" s="97"/>
      <c r="AA7" s="97"/>
      <c r="AB7" s="97"/>
      <c r="AC7" s="97"/>
      <c r="AD7" s="97"/>
      <c r="AE7" s="96"/>
      <c r="AF7" s="97"/>
      <c r="AG7" s="97"/>
      <c r="AH7" s="97"/>
      <c r="AI7" s="97"/>
      <c r="AJ7" s="96"/>
      <c r="AK7" s="97"/>
      <c r="AL7" s="97"/>
      <c r="AM7" s="97"/>
      <c r="AN7" s="97"/>
      <c r="AO7" s="97"/>
      <c r="AP7" s="97"/>
      <c r="AQ7" s="97"/>
      <c r="AR7" s="97"/>
      <c r="AS7" s="97"/>
      <c r="AT7" s="97"/>
      <c r="AU7" s="97"/>
      <c r="AV7" s="97"/>
      <c r="AW7" s="97"/>
      <c r="AX7" s="97"/>
      <c r="AY7" s="97"/>
      <c r="AZ7" s="97"/>
      <c r="BA7" s="97"/>
      <c r="BB7" s="97"/>
      <c r="BC7" s="96"/>
      <c r="BD7" s="98"/>
      <c r="BE7" s="98"/>
      <c r="BF7" s="98"/>
      <c r="BG7" s="98"/>
      <c r="BH7" s="98"/>
      <c r="BI7" s="98"/>
      <c r="BJ7" s="98"/>
      <c r="BK7" s="98"/>
      <c r="BL7" s="98"/>
    </row>
    <row r="8" spans="1:64" s="100" customFormat="1" ht="30" customHeight="1" thickBot="1">
      <c r="A8" s="89"/>
      <c r="B8" s="621" t="s">
        <v>2152</v>
      </c>
      <c r="C8" s="102"/>
      <c r="D8" s="102"/>
      <c r="E8" s="102"/>
      <c r="F8" s="102"/>
      <c r="G8" s="102"/>
      <c r="H8" s="103"/>
      <c r="I8" s="105" t="s">
        <v>2165</v>
      </c>
      <c r="J8" s="106"/>
      <c r="K8" s="106"/>
      <c r="L8" s="106"/>
      <c r="M8" s="106"/>
      <c r="N8" s="106"/>
      <c r="O8" s="106"/>
      <c r="P8" s="106"/>
      <c r="Q8" s="106"/>
      <c r="R8" s="105"/>
      <c r="S8" s="105"/>
      <c r="T8" s="105"/>
      <c r="U8" s="105"/>
      <c r="V8" s="187"/>
      <c r="W8" s="105"/>
      <c r="X8" s="105"/>
      <c r="Y8" s="105"/>
      <c r="Z8" s="105"/>
      <c r="AA8" s="187"/>
    </row>
    <row r="9" spans="1:64" s="157" customFormat="1" ht="30" customHeight="1">
      <c r="A9" s="99"/>
      <c r="B9" s="109"/>
      <c r="C9" s="110"/>
      <c r="D9" s="110"/>
      <c r="E9" s="110"/>
      <c r="F9" s="110"/>
      <c r="G9" s="110"/>
      <c r="H9" s="111"/>
      <c r="I9" s="117"/>
      <c r="J9" s="695" t="s">
        <v>1666</v>
      </c>
      <c r="K9" s="152"/>
      <c r="L9" s="152"/>
      <c r="M9" s="152"/>
      <c r="N9" s="152"/>
      <c r="O9" s="152"/>
      <c r="P9" s="152"/>
      <c r="Q9" s="153"/>
      <c r="R9" s="696" t="s">
        <v>2</v>
      </c>
      <c r="S9" s="155"/>
      <c r="T9" s="155"/>
      <c r="U9" s="155"/>
      <c r="V9" s="156"/>
      <c r="W9" s="266" t="s">
        <v>2692</v>
      </c>
      <c r="X9" s="267"/>
      <c r="Y9" s="267"/>
      <c r="Z9" s="267"/>
      <c r="AA9" s="268"/>
    </row>
    <row r="10" spans="1:64" s="98" customFormat="1" ht="15" customHeight="1">
      <c r="A10" s="99"/>
      <c r="B10" s="900"/>
      <c r="C10" s="185"/>
      <c r="D10" s="185"/>
      <c r="E10" s="185"/>
      <c r="F10" s="185"/>
      <c r="G10" s="116"/>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321" t="s">
        <v>2170</v>
      </c>
      <c r="X10" s="322" t="s">
        <v>2171</v>
      </c>
      <c r="Y10" s="322" t="s">
        <v>2172</v>
      </c>
      <c r="Z10" s="322" t="s">
        <v>2173</v>
      </c>
      <c r="AA10" s="792" t="s">
        <v>2174</v>
      </c>
    </row>
    <row r="11" spans="1:64" s="98" customFormat="1" ht="15" customHeight="1">
      <c r="A11" s="99"/>
      <c r="B11" s="901"/>
      <c r="D11" s="616"/>
      <c r="E11" s="616"/>
      <c r="F11" s="616"/>
      <c r="G11" s="186"/>
      <c r="H11" s="163"/>
      <c r="I11" s="117"/>
      <c r="J11" s="159"/>
      <c r="K11" s="117"/>
      <c r="L11" s="117"/>
      <c r="M11" s="117"/>
      <c r="N11" s="117"/>
      <c r="O11" s="117"/>
      <c r="P11" s="117"/>
      <c r="Q11" s="160"/>
      <c r="R11" s="159"/>
      <c r="S11" s="117"/>
      <c r="T11" s="117"/>
      <c r="U11" s="117"/>
      <c r="V11" s="160"/>
      <c r="W11" s="159"/>
      <c r="X11" s="117"/>
      <c r="Y11" s="117"/>
      <c r="Z11" s="117"/>
      <c r="AA11" s="160"/>
    </row>
    <row r="12" spans="1:64" s="98" customFormat="1" ht="15" customHeight="1">
      <c r="A12" s="99"/>
      <c r="B12" s="901"/>
      <c r="C12" s="616" t="s">
        <v>3065</v>
      </c>
      <c r="D12" s="616"/>
      <c r="E12" s="616"/>
      <c r="F12" s="616"/>
      <c r="G12" s="185"/>
      <c r="H12" s="185"/>
      <c r="I12" s="164" t="s">
        <v>2183</v>
      </c>
      <c r="J12" s="641">
        <f t="shared" ref="J12:AA12" si="0">J81+J143</f>
        <v>21740</v>
      </c>
      <c r="K12" s="642">
        <f t="shared" si="0"/>
        <v>25541</v>
      </c>
      <c r="L12" s="642">
        <f t="shared" si="0"/>
        <v>23765</v>
      </c>
      <c r="M12" s="642">
        <f t="shared" si="0"/>
        <v>21134</v>
      </c>
      <c r="N12" s="642">
        <f t="shared" si="0"/>
        <v>21825</v>
      </c>
      <c r="O12" s="642">
        <f t="shared" si="0"/>
        <v>21831</v>
      </c>
      <c r="P12" s="642">
        <f t="shared" si="0"/>
        <v>20939</v>
      </c>
      <c r="Q12" s="643">
        <f t="shared" si="0"/>
        <v>20088</v>
      </c>
      <c r="R12" s="641">
        <f t="shared" si="0"/>
        <v>17664.385294220367</v>
      </c>
      <c r="S12" s="642">
        <f t="shared" si="0"/>
        <v>17043.073245087813</v>
      </c>
      <c r="T12" s="642">
        <f t="shared" si="0"/>
        <v>16306.931884535579</v>
      </c>
      <c r="U12" s="642">
        <f t="shared" si="0"/>
        <v>15766.12904696148</v>
      </c>
      <c r="V12" s="643">
        <f t="shared" si="0"/>
        <v>15473.1340600652</v>
      </c>
      <c r="W12" s="641">
        <f t="shared" si="0"/>
        <v>14402.698331593034</v>
      </c>
      <c r="X12" s="642">
        <f t="shared" si="0"/>
        <v>13586.473231440063</v>
      </c>
      <c r="Y12" s="642">
        <f t="shared" si="0"/>
        <v>12770.248135437667</v>
      </c>
      <c r="Z12" s="642">
        <f t="shared" si="0"/>
        <v>11954.023039435273</v>
      </c>
      <c r="AA12" s="643">
        <f t="shared" si="0"/>
        <v>10782.871638172875</v>
      </c>
    </row>
    <row r="13" spans="1:64" s="98" customFormat="1" ht="15" customHeight="1">
      <c r="A13" s="99"/>
      <c r="B13" s="901"/>
      <c r="C13" s="185" t="s">
        <v>54</v>
      </c>
      <c r="D13" s="616"/>
      <c r="E13" s="616"/>
      <c r="F13" s="616"/>
      <c r="G13" s="185"/>
      <c r="H13" s="185"/>
      <c r="I13" s="164" t="s">
        <v>2183</v>
      </c>
      <c r="J13" s="641">
        <f>J79</f>
        <v>488629.40224272938</v>
      </c>
      <c r="K13" s="642">
        <f t="shared" ref="K13:AA13" si="1">K79</f>
        <v>463821.6853874377</v>
      </c>
      <c r="L13" s="642">
        <f t="shared" si="1"/>
        <v>445628.39997210569</v>
      </c>
      <c r="M13" s="642">
        <f t="shared" si="1"/>
        <v>411188.89338243991</v>
      </c>
      <c r="N13" s="642">
        <f t="shared" si="1"/>
        <v>407395.3790940668</v>
      </c>
      <c r="O13" s="642">
        <f t="shared" si="1"/>
        <v>395237.26965228567</v>
      </c>
      <c r="P13" s="642">
        <f t="shared" si="1"/>
        <v>367813.34556175943</v>
      </c>
      <c r="Q13" s="643">
        <f t="shared" si="1"/>
        <v>359345.55210035242</v>
      </c>
      <c r="R13" s="641">
        <f t="shared" si="1"/>
        <v>338318.57756758598</v>
      </c>
      <c r="S13" s="642">
        <f t="shared" si="1"/>
        <v>321502.53516114189</v>
      </c>
      <c r="T13" s="642">
        <f t="shared" si="1"/>
        <v>305384.80349351582</v>
      </c>
      <c r="U13" s="642">
        <f t="shared" si="1"/>
        <v>289430.90189770673</v>
      </c>
      <c r="V13" s="643">
        <f t="shared" si="1"/>
        <v>273288.89271813555</v>
      </c>
      <c r="W13" s="641">
        <f t="shared" si="1"/>
        <v>264312.69704807777</v>
      </c>
      <c r="X13" s="642">
        <f t="shared" si="1"/>
        <v>255336.50137801984</v>
      </c>
      <c r="Y13" s="642">
        <f t="shared" si="1"/>
        <v>246360.30570796199</v>
      </c>
      <c r="Z13" s="642">
        <f t="shared" si="1"/>
        <v>237384.11003790415</v>
      </c>
      <c r="AA13" s="643">
        <f t="shared" si="1"/>
        <v>228407.9143678463</v>
      </c>
    </row>
    <row r="14" spans="1:64" ht="15.75" thickBot="1">
      <c r="B14" s="905"/>
      <c r="C14" s="546" t="s">
        <v>3066</v>
      </c>
      <c r="D14" s="654"/>
      <c r="E14" s="654"/>
      <c r="F14" s="654"/>
      <c r="G14" s="547"/>
      <c r="H14" s="657"/>
      <c r="I14" s="195" t="s">
        <v>2183</v>
      </c>
      <c r="J14" s="701">
        <f>SUM(J12:J13)</f>
        <v>510369.40224272938</v>
      </c>
      <c r="K14" s="702">
        <f t="shared" ref="K14:V14" si="2">SUM(K12:K13)</f>
        <v>489362.6853874377</v>
      </c>
      <c r="L14" s="702">
        <f t="shared" si="2"/>
        <v>469393.39997210569</v>
      </c>
      <c r="M14" s="702">
        <f t="shared" si="2"/>
        <v>432322.89338243991</v>
      </c>
      <c r="N14" s="702">
        <f t="shared" si="2"/>
        <v>429220.3790940668</v>
      </c>
      <c r="O14" s="702">
        <f t="shared" si="2"/>
        <v>417068.26965228567</v>
      </c>
      <c r="P14" s="702">
        <f t="shared" si="2"/>
        <v>388752.34556175943</v>
      </c>
      <c r="Q14" s="703">
        <f t="shared" si="2"/>
        <v>379433.55210035242</v>
      </c>
      <c r="R14" s="701">
        <f t="shared" si="2"/>
        <v>355982.96286180633</v>
      </c>
      <c r="S14" s="702">
        <f t="shared" si="2"/>
        <v>338545.6084062297</v>
      </c>
      <c r="T14" s="702">
        <f t="shared" si="2"/>
        <v>321691.73537805141</v>
      </c>
      <c r="U14" s="702">
        <f t="shared" si="2"/>
        <v>305197.03094466822</v>
      </c>
      <c r="V14" s="703">
        <f t="shared" si="2"/>
        <v>288762.02677820076</v>
      </c>
      <c r="W14" s="701">
        <f t="shared" ref="W14:AA14" si="3">SUM(W12:W13)</f>
        <v>278715.39537967078</v>
      </c>
      <c r="X14" s="702">
        <f t="shared" si="3"/>
        <v>268922.97460945992</v>
      </c>
      <c r="Y14" s="702">
        <f t="shared" si="3"/>
        <v>259130.55384339966</v>
      </c>
      <c r="Z14" s="702">
        <f t="shared" si="3"/>
        <v>249338.13307733941</v>
      </c>
      <c r="AA14" s="703">
        <f t="shared" si="3"/>
        <v>239190.78600601919</v>
      </c>
    </row>
    <row r="15" spans="1:64" ht="15.75" thickBot="1">
      <c r="A15" s="89"/>
      <c r="B15" s="894"/>
      <c r="C15" s="95"/>
      <c r="D15" s="95"/>
      <c r="E15" s="95"/>
      <c r="F15" s="95"/>
      <c r="G15" s="95"/>
      <c r="H15" s="95"/>
      <c r="I15" s="96"/>
      <c r="J15" s="97"/>
      <c r="K15" s="97"/>
      <c r="L15" s="97"/>
      <c r="M15" s="97"/>
      <c r="N15" s="97"/>
      <c r="O15" s="97"/>
      <c r="P15" s="97"/>
      <c r="Q15" s="97"/>
      <c r="R15" s="97"/>
      <c r="S15" s="97"/>
      <c r="T15" s="97"/>
      <c r="U15" s="97"/>
      <c r="V15" s="97"/>
      <c r="W15" s="97"/>
      <c r="X15" s="97"/>
      <c r="Y15" s="97"/>
      <c r="Z15" s="97"/>
      <c r="AA15" s="97"/>
      <c r="AB15" s="97"/>
      <c r="AQ15" s="175"/>
      <c r="AV15" s="175"/>
    </row>
    <row r="16" spans="1:64" ht="30" customHeight="1" thickBot="1">
      <c r="B16" s="675" t="s">
        <v>3067</v>
      </c>
      <c r="C16" s="674"/>
      <c r="D16" s="674"/>
      <c r="E16" s="674"/>
      <c r="F16" s="674"/>
      <c r="G16" s="673"/>
      <c r="H16" s="672"/>
      <c r="I16" s="603" t="s">
        <v>2165</v>
      </c>
      <c r="J16" s="671"/>
      <c r="K16" s="106"/>
      <c r="L16" s="106"/>
      <c r="M16" s="106"/>
      <c r="N16" s="106"/>
      <c r="O16" s="106"/>
      <c r="P16" s="106"/>
      <c r="Q16" s="107"/>
      <c r="R16" s="611"/>
      <c r="S16" s="105"/>
      <c r="T16" s="105"/>
      <c r="U16" s="105"/>
      <c r="V16" s="187"/>
      <c r="W16" s="611"/>
      <c r="X16" s="105"/>
      <c r="Y16" s="105"/>
      <c r="Z16" s="105"/>
      <c r="AA16" s="187"/>
      <c r="AB16" s="672"/>
      <c r="AC16" s="105" t="s">
        <v>3068</v>
      </c>
      <c r="AD16" s="105"/>
      <c r="AE16" s="105"/>
      <c r="AF16" s="105"/>
      <c r="AG16" s="105"/>
      <c r="AH16" s="187"/>
      <c r="AI16" s="105"/>
      <c r="AJ16" s="105"/>
      <c r="AK16" s="105"/>
      <c r="AL16" s="105"/>
      <c r="AM16" s="187"/>
      <c r="AN16" s="672"/>
      <c r="AO16" s="105" t="s">
        <v>3069</v>
      </c>
      <c r="AP16" s="105"/>
      <c r="AQ16" s="105"/>
      <c r="AR16" s="105"/>
      <c r="AS16" s="105"/>
      <c r="AT16" s="187"/>
      <c r="AU16" s="105"/>
      <c r="AV16" s="105"/>
      <c r="AW16" s="105"/>
      <c r="AX16" s="105"/>
      <c r="AY16" s="187"/>
    </row>
    <row r="17" spans="2:51" ht="30" customHeight="1">
      <c r="B17" s="670"/>
      <c r="C17" s="667"/>
      <c r="D17" s="667"/>
      <c r="E17" s="667"/>
      <c r="F17" s="667"/>
      <c r="G17" s="541"/>
      <c r="H17" s="660"/>
      <c r="I17" s="117"/>
      <c r="J17" s="695" t="s">
        <v>1666</v>
      </c>
      <c r="K17" s="152"/>
      <c r="L17" s="152"/>
      <c r="M17" s="152"/>
      <c r="N17" s="152"/>
      <c r="O17" s="152"/>
      <c r="P17" s="152"/>
      <c r="Q17" s="153"/>
      <c r="R17" s="696" t="s">
        <v>2</v>
      </c>
      <c r="S17" s="155"/>
      <c r="T17" s="155"/>
      <c r="U17" s="155"/>
      <c r="V17" s="155"/>
      <c r="W17" s="266" t="s">
        <v>2692</v>
      </c>
      <c r="X17" s="267"/>
      <c r="Y17" s="267"/>
      <c r="Z17" s="267"/>
      <c r="AA17" s="268"/>
      <c r="AB17" s="660"/>
      <c r="AC17" s="117"/>
      <c r="AD17" s="696" t="s">
        <v>2</v>
      </c>
      <c r="AE17" s="155"/>
      <c r="AF17" s="155"/>
      <c r="AG17" s="155"/>
      <c r="AH17" s="156"/>
      <c r="AI17" s="266" t="s">
        <v>2692</v>
      </c>
      <c r="AJ17" s="267"/>
      <c r="AK17" s="267"/>
      <c r="AL17" s="267"/>
      <c r="AM17" s="268"/>
      <c r="AN17" s="660"/>
      <c r="AO17" s="117"/>
      <c r="AP17" s="696" t="s">
        <v>2</v>
      </c>
      <c r="AQ17" s="155"/>
      <c r="AR17" s="155"/>
      <c r="AS17" s="155"/>
      <c r="AT17" s="156"/>
      <c r="AU17" s="266" t="s">
        <v>2692</v>
      </c>
      <c r="AV17" s="267"/>
      <c r="AW17" s="267"/>
      <c r="AX17" s="267"/>
      <c r="AY17" s="268"/>
    </row>
    <row r="18" spans="2:51" ht="15.75">
      <c r="B18" s="670"/>
      <c r="C18" s="667"/>
      <c r="D18" s="667"/>
      <c r="E18" s="667"/>
      <c r="F18" s="667"/>
      <c r="G18" s="541"/>
      <c r="H18" s="660"/>
      <c r="I18" s="119" t="s">
        <v>1667</v>
      </c>
      <c r="J18" s="158" t="s">
        <v>453</v>
      </c>
      <c r="K18" s="137" t="s">
        <v>455</v>
      </c>
      <c r="L18" s="137" t="s">
        <v>457</v>
      </c>
      <c r="M18" s="137" t="s">
        <v>459</v>
      </c>
      <c r="N18" s="137" t="s">
        <v>461</v>
      </c>
      <c r="O18" s="137" t="s">
        <v>463</v>
      </c>
      <c r="P18" s="137" t="s">
        <v>465</v>
      </c>
      <c r="Q18" s="138" t="s">
        <v>467</v>
      </c>
      <c r="R18" s="120" t="s">
        <v>469</v>
      </c>
      <c r="S18" s="121" t="s">
        <v>471</v>
      </c>
      <c r="T18" s="121" t="s">
        <v>473</v>
      </c>
      <c r="U18" s="121" t="s">
        <v>475</v>
      </c>
      <c r="V18" s="1748" t="s">
        <v>477</v>
      </c>
      <c r="W18" s="321" t="s">
        <v>2170</v>
      </c>
      <c r="X18" s="322" t="s">
        <v>2171</v>
      </c>
      <c r="Y18" s="322" t="s">
        <v>2172</v>
      </c>
      <c r="Z18" s="322" t="s">
        <v>2173</v>
      </c>
      <c r="AA18" s="792" t="s">
        <v>2174</v>
      </c>
      <c r="AB18" s="660"/>
      <c r="AC18" s="119" t="s">
        <v>1667</v>
      </c>
      <c r="AD18" s="120" t="s">
        <v>469</v>
      </c>
      <c r="AE18" s="121" t="s">
        <v>471</v>
      </c>
      <c r="AF18" s="121" t="s">
        <v>473</v>
      </c>
      <c r="AG18" s="121" t="s">
        <v>475</v>
      </c>
      <c r="AH18" s="122" t="s">
        <v>477</v>
      </c>
      <c r="AI18" s="321" t="s">
        <v>2170</v>
      </c>
      <c r="AJ18" s="322" t="s">
        <v>2171</v>
      </c>
      <c r="AK18" s="322" t="s">
        <v>2172</v>
      </c>
      <c r="AL18" s="322" t="s">
        <v>2173</v>
      </c>
      <c r="AM18" s="792" t="s">
        <v>2174</v>
      </c>
      <c r="AN18" s="660"/>
      <c r="AO18" s="119" t="s">
        <v>1667</v>
      </c>
      <c r="AP18" s="120" t="s">
        <v>469</v>
      </c>
      <c r="AQ18" s="121" t="s">
        <v>471</v>
      </c>
      <c r="AR18" s="121" t="s">
        <v>473</v>
      </c>
      <c r="AS18" s="121" t="s">
        <v>475</v>
      </c>
      <c r="AT18" s="122" t="s">
        <v>477</v>
      </c>
      <c r="AU18" s="321" t="s">
        <v>2170</v>
      </c>
      <c r="AV18" s="322" t="s">
        <v>2171</v>
      </c>
      <c r="AW18" s="322" t="s">
        <v>2172</v>
      </c>
      <c r="AX18" s="322" t="s">
        <v>2173</v>
      </c>
      <c r="AY18" s="792" t="s">
        <v>2174</v>
      </c>
    </row>
    <row r="19" spans="2:51" ht="15">
      <c r="B19" s="906"/>
      <c r="C19" s="667" t="s">
        <v>3070</v>
      </c>
      <c r="D19" s="667"/>
      <c r="E19" s="667"/>
      <c r="F19" s="667"/>
      <c r="G19" s="530"/>
      <c r="H19" s="660"/>
      <c r="I19" s="96"/>
      <c r="J19" s="669"/>
      <c r="K19" s="97"/>
      <c r="L19" s="97"/>
      <c r="M19" s="97"/>
      <c r="N19" s="97"/>
      <c r="O19" s="97"/>
      <c r="P19" s="97"/>
      <c r="Q19" s="668"/>
      <c r="R19" s="669"/>
      <c r="S19" s="97"/>
      <c r="T19" s="97"/>
      <c r="U19" s="97"/>
      <c r="V19" s="97"/>
      <c r="W19" s="669"/>
      <c r="X19" s="97"/>
      <c r="Y19" s="97"/>
      <c r="Z19" s="97"/>
      <c r="AA19" s="668"/>
      <c r="AB19" s="660"/>
      <c r="AC19" s="97"/>
      <c r="AD19" s="669"/>
      <c r="AE19" s="97"/>
      <c r="AF19" s="97"/>
      <c r="AG19" s="97"/>
      <c r="AH19" s="668"/>
      <c r="AI19" s="669"/>
      <c r="AJ19" s="97"/>
      <c r="AK19" s="97"/>
      <c r="AL19" s="97"/>
      <c r="AM19" s="668"/>
      <c r="AN19" s="660"/>
      <c r="AO19" s="97"/>
      <c r="AP19" s="669"/>
      <c r="AQ19" s="97"/>
      <c r="AR19" s="97"/>
      <c r="AS19" s="97"/>
      <c r="AT19" s="668"/>
      <c r="AU19" s="669"/>
      <c r="AV19" s="97"/>
      <c r="AW19" s="97"/>
      <c r="AX19" s="97"/>
      <c r="AY19" s="668"/>
    </row>
    <row r="20" spans="2:51" ht="42.75">
      <c r="B20" s="906"/>
      <c r="C20" s="530"/>
      <c r="D20" s="530" t="s">
        <v>3071</v>
      </c>
      <c r="E20" s="530"/>
      <c r="F20" s="530"/>
      <c r="G20" s="660"/>
      <c r="H20" s="660"/>
      <c r="I20" s="164" t="s">
        <v>2183</v>
      </c>
      <c r="J20" s="907">
        <v>2828</v>
      </c>
      <c r="K20" s="908">
        <v>3059</v>
      </c>
      <c r="L20" s="908">
        <v>2971</v>
      </c>
      <c r="M20" s="908">
        <v>2661</v>
      </c>
      <c r="N20" s="908">
        <v>2019</v>
      </c>
      <c r="O20" s="908">
        <v>1389</v>
      </c>
      <c r="P20" s="908">
        <v>1559.5</v>
      </c>
      <c r="Q20" s="909">
        <v>1730</v>
      </c>
      <c r="R20" s="641">
        <f>AD20*AP20</f>
        <v>164.92623865732227</v>
      </c>
      <c r="S20" s="642">
        <f t="shared" ref="S20:AA20" si="4">AE20*AQ20</f>
        <v>157.61560798689413</v>
      </c>
      <c r="T20" s="642">
        <f t="shared" si="4"/>
        <v>0</v>
      </c>
      <c r="U20" s="642">
        <f t="shared" si="4"/>
        <v>0</v>
      </c>
      <c r="V20" s="1749">
        <f t="shared" si="4"/>
        <v>0</v>
      </c>
      <c r="W20" s="641">
        <f t="shared" si="4"/>
        <v>0</v>
      </c>
      <c r="X20" s="642">
        <f t="shared" si="4"/>
        <v>0</v>
      </c>
      <c r="Y20" s="642">
        <f t="shared" si="4"/>
        <v>0</v>
      </c>
      <c r="Z20" s="642">
        <f t="shared" si="4"/>
        <v>0</v>
      </c>
      <c r="AA20" s="643">
        <f t="shared" si="4"/>
        <v>0</v>
      </c>
      <c r="AB20" s="660"/>
      <c r="AC20" s="2701" t="s">
        <v>3072</v>
      </c>
      <c r="AD20" s="907">
        <v>2.5559999999999998E-4</v>
      </c>
      <c r="AE20" s="908">
        <v>2.5559999999999998E-4</v>
      </c>
      <c r="AF20" s="908">
        <v>2.5559999999999998E-4</v>
      </c>
      <c r="AG20" s="908">
        <v>2.5559999999999998E-4</v>
      </c>
      <c r="AH20" s="909">
        <v>2.5559999999999998E-4</v>
      </c>
      <c r="AI20" s="907">
        <v>2.5559999999999998E-4</v>
      </c>
      <c r="AJ20" s="908">
        <v>2.5559999999999998E-4</v>
      </c>
      <c r="AK20" s="908">
        <v>2.5559999999999998E-4</v>
      </c>
      <c r="AL20" s="908">
        <v>2.5559999999999998E-4</v>
      </c>
      <c r="AM20" s="909">
        <v>2.5559999999999998E-4</v>
      </c>
      <c r="AN20" s="660"/>
      <c r="AO20" s="1744" t="s">
        <v>3073</v>
      </c>
      <c r="AP20" s="907">
        <v>645251.32495040016</v>
      </c>
      <c r="AQ20" s="908">
        <v>616649.48351680022</v>
      </c>
      <c r="AR20" s="908">
        <v>0</v>
      </c>
      <c r="AS20" s="908">
        <v>0</v>
      </c>
      <c r="AT20" s="909">
        <v>0</v>
      </c>
      <c r="AU20" s="907">
        <v>0</v>
      </c>
      <c r="AV20" s="908">
        <v>0</v>
      </c>
      <c r="AW20" s="908">
        <v>0</v>
      </c>
      <c r="AX20" s="908">
        <v>0</v>
      </c>
      <c r="AY20" s="909">
        <v>0</v>
      </c>
    </row>
    <row r="21" spans="2:51" ht="28.5">
      <c r="B21" s="906"/>
      <c r="C21" s="530"/>
      <c r="D21" s="530" t="s">
        <v>3074</v>
      </c>
      <c r="E21" s="530"/>
      <c r="F21" s="530"/>
      <c r="G21" s="660"/>
      <c r="H21" s="660"/>
      <c r="I21" s="164" t="s">
        <v>2183</v>
      </c>
      <c r="J21" s="907">
        <v>358</v>
      </c>
      <c r="K21" s="908">
        <v>379</v>
      </c>
      <c r="L21" s="908">
        <v>367</v>
      </c>
      <c r="M21" s="908">
        <v>329</v>
      </c>
      <c r="N21" s="908">
        <v>285</v>
      </c>
      <c r="O21" s="908">
        <v>337</v>
      </c>
      <c r="P21" s="908">
        <v>286</v>
      </c>
      <c r="Q21" s="909">
        <v>235</v>
      </c>
      <c r="R21" s="641">
        <f t="shared" ref="R21:R23" si="5">AD21*AP21</f>
        <v>220.01999999999998</v>
      </c>
      <c r="S21" s="642">
        <f t="shared" ref="S21:S23" si="6">AE21*AQ21</f>
        <v>205.48499999999999</v>
      </c>
      <c r="T21" s="642">
        <f t="shared" ref="T21:T23" si="7">AF21*AR21</f>
        <v>190.95000000000002</v>
      </c>
      <c r="U21" s="642">
        <f t="shared" ref="U21:U23" si="8">AG21*AS21</f>
        <v>0</v>
      </c>
      <c r="V21" s="1749">
        <f t="shared" ref="V21:V23" si="9">AH21*AT21</f>
        <v>0</v>
      </c>
      <c r="W21" s="641">
        <f t="shared" ref="W21:W23" si="10">AI21*AU21</f>
        <v>0</v>
      </c>
      <c r="X21" s="642">
        <f t="shared" ref="X21:X23" si="11">AJ21*AV21</f>
        <v>0</v>
      </c>
      <c r="Y21" s="642">
        <f t="shared" ref="Y21:Y23" si="12">AK21*AW21</f>
        <v>0</v>
      </c>
      <c r="Z21" s="642">
        <f t="shared" ref="Z21:Z23" si="13">AL21*AX21</f>
        <v>0</v>
      </c>
      <c r="AA21" s="643">
        <f t="shared" ref="AA21:AA23" si="14">AM21*AY21</f>
        <v>0</v>
      </c>
      <c r="AB21" s="660"/>
      <c r="AC21" s="2701" t="s">
        <v>3075</v>
      </c>
      <c r="AD21" s="907">
        <v>1.8385000000000002E-4</v>
      </c>
      <c r="AE21" s="908">
        <v>1.8385000000000002E-4</v>
      </c>
      <c r="AF21" s="908">
        <v>1.8385000000000002E-4</v>
      </c>
      <c r="AG21" s="908">
        <v>1.8385000000000002E-4</v>
      </c>
      <c r="AH21" s="909">
        <v>1.8385000000000002E-4</v>
      </c>
      <c r="AI21" s="907">
        <v>1.8385000000000002E-4</v>
      </c>
      <c r="AJ21" s="908">
        <v>1.8385000000000002E-4</v>
      </c>
      <c r="AK21" s="908">
        <v>1.8385000000000002E-4</v>
      </c>
      <c r="AL21" s="908">
        <v>1.8385000000000002E-4</v>
      </c>
      <c r="AM21" s="909">
        <v>1.8385000000000002E-4</v>
      </c>
      <c r="AN21" s="660"/>
      <c r="AO21" s="1744" t="s">
        <v>3076</v>
      </c>
      <c r="AP21" s="907">
        <v>1196736.4699483272</v>
      </c>
      <c r="AQ21" s="908">
        <v>1117677.4544465595</v>
      </c>
      <c r="AR21" s="908">
        <v>1038618.4389447919</v>
      </c>
      <c r="AS21" s="908">
        <v>0</v>
      </c>
      <c r="AT21" s="909">
        <v>0</v>
      </c>
      <c r="AU21" s="907">
        <v>0</v>
      </c>
      <c r="AV21" s="908">
        <v>0</v>
      </c>
      <c r="AW21" s="908">
        <v>0</v>
      </c>
      <c r="AX21" s="908">
        <v>0</v>
      </c>
      <c r="AY21" s="909">
        <v>0</v>
      </c>
    </row>
    <row r="22" spans="2:51" ht="42.75">
      <c r="B22" s="906"/>
      <c r="C22" s="530"/>
      <c r="D22" s="530" t="s">
        <v>85</v>
      </c>
      <c r="E22" s="530"/>
      <c r="F22" s="530"/>
      <c r="G22" s="928" t="s">
        <v>3077</v>
      </c>
      <c r="H22" s="660"/>
      <c r="I22" s="164" t="s">
        <v>2183</v>
      </c>
      <c r="J22" s="907">
        <v>0</v>
      </c>
      <c r="K22" s="908">
        <v>0</v>
      </c>
      <c r="L22" s="908">
        <v>0</v>
      </c>
      <c r="M22" s="908">
        <v>0</v>
      </c>
      <c r="N22" s="908">
        <v>0</v>
      </c>
      <c r="O22" s="908">
        <v>0</v>
      </c>
      <c r="P22" s="908">
        <v>0</v>
      </c>
      <c r="Q22" s="909">
        <v>0</v>
      </c>
      <c r="R22" s="641">
        <f t="shared" si="5"/>
        <v>0</v>
      </c>
      <c r="S22" s="642">
        <f t="shared" si="6"/>
        <v>0</v>
      </c>
      <c r="T22" s="642">
        <f t="shared" si="7"/>
        <v>0</v>
      </c>
      <c r="U22" s="642">
        <f t="shared" si="8"/>
        <v>0</v>
      </c>
      <c r="V22" s="1749">
        <f t="shared" si="9"/>
        <v>0</v>
      </c>
      <c r="W22" s="641">
        <f t="shared" si="10"/>
        <v>0</v>
      </c>
      <c r="X22" s="642">
        <f t="shared" si="11"/>
        <v>0</v>
      </c>
      <c r="Y22" s="642">
        <f t="shared" si="12"/>
        <v>0</v>
      </c>
      <c r="Z22" s="642">
        <f t="shared" si="13"/>
        <v>0</v>
      </c>
      <c r="AA22" s="643">
        <f t="shared" si="14"/>
        <v>0</v>
      </c>
      <c r="AB22" s="660"/>
      <c r="AC22" s="2701" t="s">
        <v>3078</v>
      </c>
      <c r="AD22" s="907">
        <v>0</v>
      </c>
      <c r="AE22" s="908">
        <v>0</v>
      </c>
      <c r="AF22" s="908">
        <v>0</v>
      </c>
      <c r="AG22" s="908">
        <v>0</v>
      </c>
      <c r="AH22" s="909">
        <v>0</v>
      </c>
      <c r="AI22" s="907">
        <v>0</v>
      </c>
      <c r="AJ22" s="908">
        <v>0</v>
      </c>
      <c r="AK22" s="908">
        <v>0</v>
      </c>
      <c r="AL22" s="908">
        <v>0</v>
      </c>
      <c r="AM22" s="909">
        <v>0</v>
      </c>
      <c r="AN22" s="660"/>
      <c r="AO22" s="2702" t="s">
        <v>3079</v>
      </c>
      <c r="AP22" s="907">
        <v>4099243.7114496003</v>
      </c>
      <c r="AQ22" s="908">
        <v>3917537.8952832008</v>
      </c>
      <c r="AR22" s="908">
        <v>4323879.7212000014</v>
      </c>
      <c r="AS22" s="908">
        <v>4113572.0636000014</v>
      </c>
      <c r="AT22" s="909">
        <v>3903264.4060000004</v>
      </c>
      <c r="AU22" s="907">
        <v>3676955.0788000003</v>
      </c>
      <c r="AV22" s="908">
        <v>3450645.7516000001</v>
      </c>
      <c r="AW22" s="908">
        <v>3224336.4243999999</v>
      </c>
      <c r="AX22" s="908">
        <v>2998027.0971999997</v>
      </c>
      <c r="AY22" s="909">
        <v>2771717.77</v>
      </c>
    </row>
    <row r="23" spans="2:51" ht="15">
      <c r="B23" s="906"/>
      <c r="C23" s="530"/>
      <c r="D23" s="530" t="s">
        <v>85</v>
      </c>
      <c r="E23" s="530"/>
      <c r="F23" s="530"/>
      <c r="G23" s="928" t="s">
        <v>3080</v>
      </c>
      <c r="H23" s="660"/>
      <c r="I23" s="164" t="s">
        <v>2183</v>
      </c>
      <c r="J23" s="907">
        <v>0</v>
      </c>
      <c r="K23" s="908">
        <v>0</v>
      </c>
      <c r="L23" s="908">
        <v>0</v>
      </c>
      <c r="M23" s="908">
        <v>0</v>
      </c>
      <c r="N23" s="908">
        <v>0</v>
      </c>
      <c r="O23" s="908">
        <v>0</v>
      </c>
      <c r="P23" s="908">
        <v>0</v>
      </c>
      <c r="Q23" s="909">
        <v>0</v>
      </c>
      <c r="R23" s="641">
        <f t="shared" si="5"/>
        <v>0</v>
      </c>
      <c r="S23" s="642">
        <f t="shared" si="6"/>
        <v>0</v>
      </c>
      <c r="T23" s="642">
        <f t="shared" si="7"/>
        <v>0</v>
      </c>
      <c r="U23" s="642">
        <f t="shared" si="8"/>
        <v>0.20150747892303508</v>
      </c>
      <c r="V23" s="1749">
        <f t="shared" si="9"/>
        <v>0.18490508566766387</v>
      </c>
      <c r="W23" s="641">
        <f t="shared" si="10"/>
        <v>0.16962654337775362</v>
      </c>
      <c r="X23" s="642">
        <f t="shared" si="11"/>
        <v>0.15434800108784336</v>
      </c>
      <c r="Y23" s="642">
        <f t="shared" si="12"/>
        <v>0.13906945879793309</v>
      </c>
      <c r="Z23" s="642">
        <f t="shared" si="13"/>
        <v>0.12379091650802285</v>
      </c>
      <c r="AA23" s="643">
        <f t="shared" si="14"/>
        <v>0.10851237421811258</v>
      </c>
      <c r="AB23" s="660"/>
      <c r="AC23" s="2701" t="s">
        <v>3081</v>
      </c>
      <c r="AD23" s="907">
        <v>2.1E-7</v>
      </c>
      <c r="AE23" s="908">
        <v>2.1E-7</v>
      </c>
      <c r="AF23" s="908">
        <v>2.1E-7</v>
      </c>
      <c r="AG23" s="908">
        <v>2.1E-7</v>
      </c>
      <c r="AH23" s="909">
        <v>2.1E-7</v>
      </c>
      <c r="AI23" s="907">
        <v>2.1E-7</v>
      </c>
      <c r="AJ23" s="908">
        <v>2.1E-7</v>
      </c>
      <c r="AK23" s="908">
        <v>2.1E-7</v>
      </c>
      <c r="AL23" s="908">
        <v>2.1E-7</v>
      </c>
      <c r="AM23" s="909">
        <v>2.1E-7</v>
      </c>
      <c r="AN23" s="660"/>
      <c r="AO23" s="1744" t="s">
        <v>3082</v>
      </c>
      <c r="AP23" s="907">
        <v>0</v>
      </c>
      <c r="AQ23" s="908">
        <v>0</v>
      </c>
      <c r="AR23" s="908">
        <v>0</v>
      </c>
      <c r="AS23" s="908">
        <v>959559.42344302416</v>
      </c>
      <c r="AT23" s="909">
        <v>880500.40794125653</v>
      </c>
      <c r="AU23" s="907">
        <v>807745.44465596962</v>
      </c>
      <c r="AV23" s="908">
        <v>734990.4813706826</v>
      </c>
      <c r="AW23" s="908">
        <v>662235.51808539568</v>
      </c>
      <c r="AX23" s="908">
        <v>589480.55480010877</v>
      </c>
      <c r="AY23" s="909">
        <v>516725.5915148218</v>
      </c>
    </row>
    <row r="24" spans="2:51" ht="15">
      <c r="B24" s="906"/>
      <c r="C24" s="530" t="s">
        <v>1710</v>
      </c>
      <c r="D24" s="530"/>
      <c r="E24" s="530"/>
      <c r="F24" s="530"/>
      <c r="G24" s="660"/>
      <c r="H24" s="660"/>
      <c r="I24" s="164" t="s">
        <v>2183</v>
      </c>
      <c r="J24" s="697">
        <f t="shared" ref="J24:AA24" si="15">SUM(J20:J23)</f>
        <v>3186</v>
      </c>
      <c r="K24" s="698">
        <f t="shared" si="15"/>
        <v>3438</v>
      </c>
      <c r="L24" s="698">
        <f t="shared" si="15"/>
        <v>3338</v>
      </c>
      <c r="M24" s="698">
        <f t="shared" si="15"/>
        <v>2990</v>
      </c>
      <c r="N24" s="698">
        <f t="shared" si="15"/>
        <v>2304</v>
      </c>
      <c r="O24" s="698">
        <f t="shared" si="15"/>
        <v>1726</v>
      </c>
      <c r="P24" s="698">
        <f t="shared" si="15"/>
        <v>1845.5</v>
      </c>
      <c r="Q24" s="699">
        <f t="shared" si="15"/>
        <v>1965</v>
      </c>
      <c r="R24" s="697">
        <f t="shared" si="15"/>
        <v>384.94623865732228</v>
      </c>
      <c r="S24" s="698">
        <f t="shared" si="15"/>
        <v>363.10060798689415</v>
      </c>
      <c r="T24" s="698">
        <f t="shared" si="15"/>
        <v>190.95000000000002</v>
      </c>
      <c r="U24" s="698">
        <f t="shared" si="15"/>
        <v>0.20150747892303508</v>
      </c>
      <c r="V24" s="1750">
        <f t="shared" si="15"/>
        <v>0.18490508566766387</v>
      </c>
      <c r="W24" s="697">
        <f t="shared" si="15"/>
        <v>0.16962654337775362</v>
      </c>
      <c r="X24" s="698">
        <f t="shared" si="15"/>
        <v>0.15434800108784336</v>
      </c>
      <c r="Y24" s="698">
        <f t="shared" si="15"/>
        <v>0.13906945879793309</v>
      </c>
      <c r="Z24" s="698">
        <f t="shared" si="15"/>
        <v>0.12379091650802285</v>
      </c>
      <c r="AA24" s="699">
        <f t="shared" si="15"/>
        <v>0.10851237421811258</v>
      </c>
      <c r="AB24" s="660"/>
      <c r="AC24" s="1745"/>
      <c r="AD24" s="910"/>
      <c r="AE24" s="913"/>
      <c r="AF24" s="911"/>
      <c r="AG24" s="911"/>
      <c r="AH24" s="912"/>
      <c r="AI24" s="910"/>
      <c r="AJ24" s="913"/>
      <c r="AK24" s="911"/>
      <c r="AL24" s="911"/>
      <c r="AM24" s="912"/>
      <c r="AN24" s="660"/>
      <c r="AO24" s="1745"/>
      <c r="AP24" s="910"/>
      <c r="AQ24" s="913"/>
      <c r="AR24" s="911"/>
      <c r="AS24" s="911"/>
      <c r="AT24" s="912"/>
      <c r="AU24" s="910"/>
      <c r="AV24" s="913"/>
      <c r="AW24" s="911"/>
      <c r="AX24" s="911"/>
      <c r="AY24" s="912"/>
    </row>
    <row r="25" spans="2:51" ht="15">
      <c r="B25" s="906"/>
      <c r="C25" s="530"/>
      <c r="D25" s="530"/>
      <c r="E25" s="530"/>
      <c r="F25" s="530"/>
      <c r="G25" s="530"/>
      <c r="H25" s="660"/>
      <c r="I25" s="661"/>
      <c r="J25" s="910"/>
      <c r="K25" s="911"/>
      <c r="L25" s="911"/>
      <c r="M25" s="911"/>
      <c r="N25" s="911"/>
      <c r="O25" s="911"/>
      <c r="P25" s="911"/>
      <c r="Q25" s="912"/>
      <c r="R25" s="910"/>
      <c r="S25" s="911"/>
      <c r="T25" s="911"/>
      <c r="U25" s="911"/>
      <c r="V25" s="911"/>
      <c r="W25" s="910"/>
      <c r="X25" s="911"/>
      <c r="Y25" s="911"/>
      <c r="Z25" s="911"/>
      <c r="AA25" s="912"/>
      <c r="AB25" s="660"/>
      <c r="AC25" s="1745"/>
      <c r="AD25" s="910"/>
      <c r="AE25" s="913"/>
      <c r="AF25" s="911"/>
      <c r="AG25" s="911"/>
      <c r="AH25" s="912"/>
      <c r="AI25" s="910"/>
      <c r="AJ25" s="913"/>
      <c r="AK25" s="911"/>
      <c r="AL25" s="911"/>
      <c r="AM25" s="912"/>
      <c r="AN25" s="660"/>
      <c r="AO25" s="1745"/>
      <c r="AP25" s="910"/>
      <c r="AQ25" s="913"/>
      <c r="AR25" s="911"/>
      <c r="AS25" s="911"/>
      <c r="AT25" s="912"/>
      <c r="AU25" s="910"/>
      <c r="AV25" s="913"/>
      <c r="AW25" s="911"/>
      <c r="AX25" s="911"/>
      <c r="AY25" s="912"/>
    </row>
    <row r="26" spans="2:51" ht="15">
      <c r="B26" s="906"/>
      <c r="C26" s="667" t="s">
        <v>3083</v>
      </c>
      <c r="D26" s="667"/>
      <c r="E26" s="667"/>
      <c r="F26" s="667"/>
      <c r="G26" s="530"/>
      <c r="H26" s="660"/>
      <c r="I26" s="661"/>
      <c r="J26" s="910"/>
      <c r="K26" s="911"/>
      <c r="L26" s="911"/>
      <c r="M26" s="911"/>
      <c r="N26" s="911"/>
      <c r="O26" s="911"/>
      <c r="P26" s="911"/>
      <c r="Q26" s="912"/>
      <c r="R26" s="910"/>
      <c r="S26" s="911"/>
      <c r="T26" s="911"/>
      <c r="U26" s="911"/>
      <c r="V26" s="911"/>
      <c r="W26" s="910"/>
      <c r="X26" s="911"/>
      <c r="Y26" s="911"/>
      <c r="Z26" s="911"/>
      <c r="AA26" s="912"/>
      <c r="AB26" s="660"/>
      <c r="AC26" s="1745"/>
      <c r="AD26" s="910"/>
      <c r="AE26" s="913"/>
      <c r="AF26" s="911"/>
      <c r="AG26" s="911"/>
      <c r="AH26" s="912"/>
      <c r="AI26" s="910"/>
      <c r="AJ26" s="913"/>
      <c r="AK26" s="911"/>
      <c r="AL26" s="911"/>
      <c r="AM26" s="912"/>
      <c r="AN26" s="660"/>
      <c r="AO26" s="1745"/>
      <c r="AP26" s="910"/>
      <c r="AQ26" s="913"/>
      <c r="AR26" s="911"/>
      <c r="AS26" s="911"/>
      <c r="AT26" s="912"/>
      <c r="AU26" s="910"/>
      <c r="AV26" s="913"/>
      <c r="AW26" s="911"/>
      <c r="AX26" s="911"/>
      <c r="AY26" s="912"/>
    </row>
    <row r="27" spans="2:51" ht="15">
      <c r="B27" s="906"/>
      <c r="C27" s="530"/>
      <c r="D27" s="541" t="s">
        <v>3084</v>
      </c>
      <c r="E27" s="530"/>
      <c r="F27" s="530"/>
      <c r="G27" s="660"/>
      <c r="H27" s="660"/>
      <c r="I27" s="164" t="s">
        <v>2183</v>
      </c>
      <c r="J27" s="907">
        <v>4590</v>
      </c>
      <c r="K27" s="908">
        <v>4543</v>
      </c>
      <c r="L27" s="908">
        <v>3956</v>
      </c>
      <c r="M27" s="908">
        <v>3776</v>
      </c>
      <c r="N27" s="908">
        <v>3938</v>
      </c>
      <c r="O27" s="908">
        <v>4023</v>
      </c>
      <c r="P27" s="908">
        <v>3856</v>
      </c>
      <c r="Q27" s="909">
        <v>3689</v>
      </c>
      <c r="R27" s="641">
        <f>AD27*AP27</f>
        <v>3440.5940341</v>
      </c>
      <c r="S27" s="642">
        <f t="shared" ref="S27:AA27" si="16">AE27*AQ27</f>
        <v>3155.79447953</v>
      </c>
      <c r="T27" s="642">
        <f t="shared" si="16"/>
        <v>2916.9028896300001</v>
      </c>
      <c r="U27" s="642">
        <f t="shared" si="16"/>
        <v>2794.5983854600004</v>
      </c>
      <c r="V27" s="1749">
        <f t="shared" si="16"/>
        <v>2729.3694895100002</v>
      </c>
      <c r="W27" s="641">
        <f t="shared" si="16"/>
        <v>2183.4948911983001</v>
      </c>
      <c r="X27" s="642">
        <f t="shared" si="16"/>
        <v>1637.6211652857933</v>
      </c>
      <c r="Y27" s="642">
        <f t="shared" si="16"/>
        <v>1091.7474435238621</v>
      </c>
      <c r="Z27" s="642">
        <f t="shared" si="16"/>
        <v>545.87372176193105</v>
      </c>
      <c r="AA27" s="643">
        <f t="shared" si="16"/>
        <v>0</v>
      </c>
      <c r="AB27" s="660"/>
      <c r="AC27" s="2701" t="s">
        <v>3085</v>
      </c>
      <c r="AD27" s="907">
        <v>2.5941100000000002E-3</v>
      </c>
      <c r="AE27" s="908">
        <v>2.5941100000000002E-3</v>
      </c>
      <c r="AF27" s="908">
        <v>2.5941100000000002E-3</v>
      </c>
      <c r="AG27" s="908">
        <v>2.5941100000000002E-3</v>
      </c>
      <c r="AH27" s="909">
        <v>2.5941100000000002E-3</v>
      </c>
      <c r="AI27" s="907">
        <v>2.5941100000000002E-3</v>
      </c>
      <c r="AJ27" s="908">
        <v>2.5941100000000002E-3</v>
      </c>
      <c r="AK27" s="908">
        <v>2.5941100000000002E-3</v>
      </c>
      <c r="AL27" s="908">
        <v>2.5941100000000002E-3</v>
      </c>
      <c r="AM27" s="909">
        <v>2.5941100000000002E-3</v>
      </c>
      <c r="AN27" s="660"/>
      <c r="AO27" s="1744" t="s">
        <v>3086</v>
      </c>
      <c r="AP27" s="907">
        <v>1326310</v>
      </c>
      <c r="AQ27" s="908">
        <v>1216523</v>
      </c>
      <c r="AR27" s="908">
        <v>1124433</v>
      </c>
      <c r="AS27" s="908">
        <v>1077286</v>
      </c>
      <c r="AT27" s="909">
        <v>1052141</v>
      </c>
      <c r="AU27" s="907">
        <v>841712.53</v>
      </c>
      <c r="AV27" s="908">
        <v>631284.39630000002</v>
      </c>
      <c r="AW27" s="908">
        <v>420856.26419999998</v>
      </c>
      <c r="AX27" s="908">
        <v>210428.13209999999</v>
      </c>
      <c r="AY27" s="909">
        <v>0</v>
      </c>
    </row>
    <row r="28" spans="2:51" ht="15">
      <c r="B28" s="906"/>
      <c r="C28" s="530"/>
      <c r="D28" s="541" t="s">
        <v>3087</v>
      </c>
      <c r="E28" s="530"/>
      <c r="F28" s="530"/>
      <c r="G28" s="660"/>
      <c r="H28" s="660"/>
      <c r="I28" s="164" t="s">
        <v>2183</v>
      </c>
      <c r="J28" s="2697" t="s">
        <v>3088</v>
      </c>
      <c r="K28" s="2698" t="s">
        <v>3088</v>
      </c>
      <c r="L28" s="2698" t="s">
        <v>3088</v>
      </c>
      <c r="M28" s="2698" t="s">
        <v>3088</v>
      </c>
      <c r="N28" s="2698" t="s">
        <v>3088</v>
      </c>
      <c r="O28" s="2698" t="s">
        <v>3088</v>
      </c>
      <c r="P28" s="2698" t="s">
        <v>3088</v>
      </c>
      <c r="Q28" s="2699" t="s">
        <v>3088</v>
      </c>
      <c r="R28" s="641">
        <f t="shared" ref="R28:R38" si="17">AD28*AP28</f>
        <v>0</v>
      </c>
      <c r="S28" s="642">
        <f t="shared" ref="S28:S38" si="18">AE28*AQ28</f>
        <v>0</v>
      </c>
      <c r="T28" s="642">
        <f t="shared" ref="T28:T38" si="19">AF28*AR28</f>
        <v>0</v>
      </c>
      <c r="U28" s="642">
        <f t="shared" ref="U28:U38" si="20">AG28*AS28</f>
        <v>0</v>
      </c>
      <c r="V28" s="1749">
        <f t="shared" ref="V28:V38" si="21">AH28*AT28</f>
        <v>0</v>
      </c>
      <c r="W28" s="641">
        <f t="shared" ref="W28:W38" si="22">AI28*AU28</f>
        <v>0</v>
      </c>
      <c r="X28" s="642">
        <f t="shared" ref="X28:X38" si="23">AJ28*AV28</f>
        <v>0</v>
      </c>
      <c r="Y28" s="642">
        <f t="shared" ref="Y28:Y38" si="24">AK28*AW28</f>
        <v>0</v>
      </c>
      <c r="Z28" s="642">
        <f t="shared" ref="Z28:Z38" si="25">AL28*AX28</f>
        <v>0</v>
      </c>
      <c r="AA28" s="643">
        <f t="shared" ref="AA28:AA38" si="26">AM28*AY28</f>
        <v>0</v>
      </c>
      <c r="AB28" s="660"/>
      <c r="AC28" s="2701"/>
      <c r="AD28" s="907">
        <v>0</v>
      </c>
      <c r="AE28" s="908">
        <v>0</v>
      </c>
      <c r="AF28" s="908">
        <v>0</v>
      </c>
      <c r="AG28" s="908">
        <v>0</v>
      </c>
      <c r="AH28" s="909">
        <v>0</v>
      </c>
      <c r="AI28" s="907">
        <v>0</v>
      </c>
      <c r="AJ28" s="908">
        <v>0</v>
      </c>
      <c r="AK28" s="908">
        <v>0</v>
      </c>
      <c r="AL28" s="908">
        <v>0</v>
      </c>
      <c r="AM28" s="909">
        <v>0</v>
      </c>
      <c r="AN28" s="660"/>
      <c r="AO28" s="1744"/>
      <c r="AP28" s="907">
        <v>0</v>
      </c>
      <c r="AQ28" s="908">
        <v>0</v>
      </c>
      <c r="AR28" s="908">
        <v>0</v>
      </c>
      <c r="AS28" s="908">
        <v>0</v>
      </c>
      <c r="AT28" s="909">
        <v>0</v>
      </c>
      <c r="AU28" s="907">
        <v>0</v>
      </c>
      <c r="AV28" s="908">
        <v>0</v>
      </c>
      <c r="AW28" s="908">
        <v>0</v>
      </c>
      <c r="AX28" s="908">
        <v>0</v>
      </c>
      <c r="AY28" s="909">
        <v>0</v>
      </c>
    </row>
    <row r="29" spans="2:51" ht="15">
      <c r="B29" s="906"/>
      <c r="C29" s="530"/>
      <c r="D29" s="541" t="s">
        <v>3089</v>
      </c>
      <c r="E29" s="530"/>
      <c r="F29" s="530"/>
      <c r="G29" s="660"/>
      <c r="H29" s="660"/>
      <c r="I29" s="164" t="s">
        <v>2183</v>
      </c>
      <c r="J29" s="907">
        <v>0</v>
      </c>
      <c r="K29" s="908">
        <v>0</v>
      </c>
      <c r="L29" s="908">
        <v>0</v>
      </c>
      <c r="M29" s="908">
        <v>0</v>
      </c>
      <c r="N29" s="908">
        <v>0</v>
      </c>
      <c r="O29" s="908">
        <v>0</v>
      </c>
      <c r="P29" s="908">
        <v>0</v>
      </c>
      <c r="Q29" s="909">
        <v>0</v>
      </c>
      <c r="R29" s="641">
        <f t="shared" si="17"/>
        <v>0</v>
      </c>
      <c r="S29" s="642">
        <f t="shared" si="18"/>
        <v>0</v>
      </c>
      <c r="T29" s="642">
        <f t="shared" si="19"/>
        <v>0</v>
      </c>
      <c r="U29" s="642">
        <f t="shared" si="20"/>
        <v>0</v>
      </c>
      <c r="V29" s="1749">
        <f t="shared" si="21"/>
        <v>0</v>
      </c>
      <c r="W29" s="641">
        <f t="shared" si="22"/>
        <v>0</v>
      </c>
      <c r="X29" s="642">
        <f t="shared" si="23"/>
        <v>0</v>
      </c>
      <c r="Y29" s="642">
        <f t="shared" si="24"/>
        <v>0</v>
      </c>
      <c r="Z29" s="642">
        <f t="shared" si="25"/>
        <v>0</v>
      </c>
      <c r="AA29" s="643">
        <f t="shared" si="26"/>
        <v>0</v>
      </c>
      <c r="AB29" s="660"/>
      <c r="AC29" s="2701"/>
      <c r="AD29" s="907">
        <v>0</v>
      </c>
      <c r="AE29" s="908">
        <v>0</v>
      </c>
      <c r="AF29" s="908">
        <v>0</v>
      </c>
      <c r="AG29" s="908">
        <v>0</v>
      </c>
      <c r="AH29" s="909">
        <v>0</v>
      </c>
      <c r="AI29" s="907">
        <v>0</v>
      </c>
      <c r="AJ29" s="908">
        <v>0</v>
      </c>
      <c r="AK29" s="908">
        <v>0</v>
      </c>
      <c r="AL29" s="908">
        <v>0</v>
      </c>
      <c r="AM29" s="909">
        <v>0</v>
      </c>
      <c r="AN29" s="660"/>
      <c r="AO29" s="1744"/>
      <c r="AP29" s="907">
        <v>0</v>
      </c>
      <c r="AQ29" s="908">
        <v>0</v>
      </c>
      <c r="AR29" s="908">
        <v>0</v>
      </c>
      <c r="AS29" s="908">
        <v>0</v>
      </c>
      <c r="AT29" s="909">
        <v>0</v>
      </c>
      <c r="AU29" s="907">
        <v>0</v>
      </c>
      <c r="AV29" s="908">
        <v>0</v>
      </c>
      <c r="AW29" s="908">
        <v>0</v>
      </c>
      <c r="AX29" s="908">
        <v>0</v>
      </c>
      <c r="AY29" s="909">
        <v>0</v>
      </c>
    </row>
    <row r="30" spans="2:51" ht="15">
      <c r="B30" s="906"/>
      <c r="C30" s="530"/>
      <c r="D30" s="541" t="s">
        <v>3090</v>
      </c>
      <c r="E30" s="530"/>
      <c r="F30" s="530"/>
      <c r="G30" s="660"/>
      <c r="H30" s="660"/>
      <c r="I30" s="164" t="s">
        <v>2183</v>
      </c>
      <c r="J30" s="907">
        <v>0</v>
      </c>
      <c r="K30" s="908">
        <v>0</v>
      </c>
      <c r="L30" s="908">
        <v>0</v>
      </c>
      <c r="M30" s="2698" t="s">
        <v>3088</v>
      </c>
      <c r="N30" s="2698" t="s">
        <v>3088</v>
      </c>
      <c r="O30" s="2698" t="s">
        <v>3088</v>
      </c>
      <c r="P30" s="2698" t="s">
        <v>3088</v>
      </c>
      <c r="Q30" s="2699" t="s">
        <v>3088</v>
      </c>
      <c r="R30" s="641">
        <f t="shared" ref="R30:R31" si="27">AD30*AP30</f>
        <v>0</v>
      </c>
      <c r="S30" s="642">
        <f t="shared" ref="S30:S31" si="28">AE30*AQ30</f>
        <v>0</v>
      </c>
      <c r="T30" s="642">
        <f t="shared" ref="T30:T31" si="29">AF30*AR30</f>
        <v>0</v>
      </c>
      <c r="U30" s="642">
        <f t="shared" ref="U30:U31" si="30">AG30*AS30</f>
        <v>0</v>
      </c>
      <c r="V30" s="1749">
        <f t="shared" ref="V30:V31" si="31">AH30*AT30</f>
        <v>0</v>
      </c>
      <c r="W30" s="641">
        <f t="shared" ref="W30:W31" si="32">AI30*AU30</f>
        <v>0</v>
      </c>
      <c r="X30" s="642">
        <f t="shared" ref="X30:X31" si="33">AJ30*AV30</f>
        <v>0</v>
      </c>
      <c r="Y30" s="642">
        <f t="shared" ref="Y30:Y31" si="34">AK30*AW30</f>
        <v>0</v>
      </c>
      <c r="Z30" s="642">
        <f t="shared" ref="Z30:Z31" si="35">AL30*AX30</f>
        <v>0</v>
      </c>
      <c r="AA30" s="643">
        <f t="shared" ref="AA30:AA31" si="36">AM30*AY30</f>
        <v>0</v>
      </c>
      <c r="AB30" s="660"/>
      <c r="AC30" s="2701" t="s">
        <v>3091</v>
      </c>
      <c r="AD30" s="907">
        <v>0</v>
      </c>
      <c r="AE30" s="908">
        <v>0</v>
      </c>
      <c r="AF30" s="908">
        <v>0</v>
      </c>
      <c r="AG30" s="908">
        <v>0</v>
      </c>
      <c r="AH30" s="909">
        <v>0</v>
      </c>
      <c r="AI30" s="907">
        <v>0</v>
      </c>
      <c r="AJ30" s="908">
        <v>0</v>
      </c>
      <c r="AK30" s="908">
        <v>0</v>
      </c>
      <c r="AL30" s="908">
        <v>0</v>
      </c>
      <c r="AM30" s="909">
        <v>0</v>
      </c>
      <c r="AN30" s="660"/>
      <c r="AO30" s="1744"/>
      <c r="AP30" s="907">
        <v>0</v>
      </c>
      <c r="AQ30" s="908">
        <v>0</v>
      </c>
      <c r="AR30" s="908">
        <v>0</v>
      </c>
      <c r="AS30" s="908">
        <v>0</v>
      </c>
      <c r="AT30" s="909">
        <v>0</v>
      </c>
      <c r="AU30" s="907">
        <v>0</v>
      </c>
      <c r="AV30" s="908">
        <v>0</v>
      </c>
      <c r="AW30" s="908">
        <v>0</v>
      </c>
      <c r="AX30" s="908">
        <v>0</v>
      </c>
      <c r="AY30" s="909">
        <v>0</v>
      </c>
    </row>
    <row r="31" spans="2:51" ht="57">
      <c r="B31" s="906"/>
      <c r="C31" s="530"/>
      <c r="D31" s="541" t="s">
        <v>3092</v>
      </c>
      <c r="E31" s="530"/>
      <c r="F31" s="530"/>
      <c r="G31" s="660"/>
      <c r="H31" s="660"/>
      <c r="I31" s="164" t="s">
        <v>2183</v>
      </c>
      <c r="J31" s="907">
        <v>0</v>
      </c>
      <c r="K31" s="908">
        <v>0</v>
      </c>
      <c r="L31" s="908">
        <v>0</v>
      </c>
      <c r="M31" s="908">
        <v>0</v>
      </c>
      <c r="N31" s="908">
        <v>0</v>
      </c>
      <c r="O31" s="908">
        <v>0</v>
      </c>
      <c r="P31" s="908">
        <v>0</v>
      </c>
      <c r="Q31" s="909">
        <v>0</v>
      </c>
      <c r="R31" s="641">
        <f t="shared" si="27"/>
        <v>79.89514677999999</v>
      </c>
      <c r="S31" s="642">
        <f t="shared" si="28"/>
        <v>162.21128282999999</v>
      </c>
      <c r="T31" s="642">
        <f t="shared" si="29"/>
        <v>242.10628249999999</v>
      </c>
      <c r="U31" s="642">
        <f t="shared" si="30"/>
        <v>242.10628249999999</v>
      </c>
      <c r="V31" s="1749">
        <f t="shared" si="31"/>
        <v>242.10628249999999</v>
      </c>
      <c r="W31" s="641">
        <f t="shared" si="32"/>
        <v>193.68502599999999</v>
      </c>
      <c r="X31" s="642">
        <f t="shared" si="33"/>
        <v>145.2637695</v>
      </c>
      <c r="Y31" s="642">
        <f t="shared" si="34"/>
        <v>96.842512999999997</v>
      </c>
      <c r="Z31" s="642">
        <f t="shared" si="35"/>
        <v>48.421256499999998</v>
      </c>
      <c r="AA31" s="643">
        <f t="shared" si="36"/>
        <v>0</v>
      </c>
      <c r="AB31" s="660"/>
      <c r="AC31" s="2701" t="s">
        <v>3093</v>
      </c>
      <c r="AD31" s="907">
        <v>1.4710999999999999E-4</v>
      </c>
      <c r="AE31" s="908">
        <v>1.4710999999999999E-4</v>
      </c>
      <c r="AF31" s="908">
        <v>1.4710999999999999E-4</v>
      </c>
      <c r="AG31" s="908">
        <v>1.4710999999999999E-4</v>
      </c>
      <c r="AH31" s="909">
        <v>1.4710999999999999E-4</v>
      </c>
      <c r="AI31" s="907">
        <v>1.4710999999999999E-4</v>
      </c>
      <c r="AJ31" s="908">
        <v>1.4710999999999999E-4</v>
      </c>
      <c r="AK31" s="908">
        <v>1.4710999999999999E-4</v>
      </c>
      <c r="AL31" s="908">
        <v>1.4710999999999999E-4</v>
      </c>
      <c r="AM31" s="909">
        <v>1.4710999999999999E-4</v>
      </c>
      <c r="AN31" s="660"/>
      <c r="AO31" s="1744" t="s">
        <v>3094</v>
      </c>
      <c r="AP31" s="907">
        <v>543098</v>
      </c>
      <c r="AQ31" s="908">
        <v>1102653</v>
      </c>
      <c r="AR31" s="908">
        <v>1645750</v>
      </c>
      <c r="AS31" s="908">
        <v>1645750</v>
      </c>
      <c r="AT31" s="909">
        <v>1645750</v>
      </c>
      <c r="AU31" s="907">
        <v>1316600</v>
      </c>
      <c r="AV31" s="908">
        <v>987450</v>
      </c>
      <c r="AW31" s="908">
        <v>658300</v>
      </c>
      <c r="AX31" s="908">
        <v>329150</v>
      </c>
      <c r="AY31" s="909">
        <v>0</v>
      </c>
    </row>
    <row r="32" spans="2:51" ht="15">
      <c r="B32" s="906"/>
      <c r="C32" s="530"/>
      <c r="D32" s="541" t="s">
        <v>3095</v>
      </c>
      <c r="E32" s="530"/>
      <c r="F32" s="530"/>
      <c r="G32" s="660"/>
      <c r="H32" s="660"/>
      <c r="I32" s="164" t="s">
        <v>2183</v>
      </c>
      <c r="J32" s="907">
        <v>0</v>
      </c>
      <c r="K32" s="908">
        <v>0</v>
      </c>
      <c r="L32" s="908">
        <v>0</v>
      </c>
      <c r="M32" s="908">
        <v>0</v>
      </c>
      <c r="N32" s="908">
        <v>0</v>
      </c>
      <c r="O32" s="908">
        <v>0</v>
      </c>
      <c r="P32" s="908">
        <v>0</v>
      </c>
      <c r="Q32" s="909">
        <v>0</v>
      </c>
      <c r="R32" s="641">
        <f t="shared" si="17"/>
        <v>0</v>
      </c>
      <c r="S32" s="642">
        <f t="shared" si="18"/>
        <v>0</v>
      </c>
      <c r="T32" s="642">
        <f t="shared" si="19"/>
        <v>0</v>
      </c>
      <c r="U32" s="642">
        <f t="shared" si="20"/>
        <v>0</v>
      </c>
      <c r="V32" s="1749">
        <f t="shared" si="21"/>
        <v>0</v>
      </c>
      <c r="W32" s="641">
        <f t="shared" si="22"/>
        <v>0</v>
      </c>
      <c r="X32" s="642">
        <f t="shared" si="23"/>
        <v>0</v>
      </c>
      <c r="Y32" s="642">
        <f t="shared" si="24"/>
        <v>0</v>
      </c>
      <c r="Z32" s="642">
        <f t="shared" si="25"/>
        <v>0</v>
      </c>
      <c r="AA32" s="643">
        <f t="shared" si="26"/>
        <v>0</v>
      </c>
      <c r="AB32" s="660"/>
      <c r="AC32" s="2701"/>
      <c r="AD32" s="907">
        <v>0</v>
      </c>
      <c r="AE32" s="908">
        <v>0</v>
      </c>
      <c r="AF32" s="908">
        <v>0</v>
      </c>
      <c r="AG32" s="908">
        <v>0</v>
      </c>
      <c r="AH32" s="909">
        <v>0</v>
      </c>
      <c r="AI32" s="907">
        <v>0</v>
      </c>
      <c r="AJ32" s="908">
        <v>0</v>
      </c>
      <c r="AK32" s="908">
        <v>0</v>
      </c>
      <c r="AL32" s="908">
        <v>0</v>
      </c>
      <c r="AM32" s="909">
        <v>0</v>
      </c>
      <c r="AN32" s="660"/>
      <c r="AO32" s="1744"/>
      <c r="AP32" s="907">
        <v>0</v>
      </c>
      <c r="AQ32" s="908">
        <v>0</v>
      </c>
      <c r="AR32" s="908">
        <v>0</v>
      </c>
      <c r="AS32" s="908">
        <v>0</v>
      </c>
      <c r="AT32" s="909">
        <v>0</v>
      </c>
      <c r="AU32" s="907">
        <v>0</v>
      </c>
      <c r="AV32" s="908">
        <v>0</v>
      </c>
      <c r="AW32" s="908">
        <v>0</v>
      </c>
      <c r="AX32" s="908">
        <v>0</v>
      </c>
      <c r="AY32" s="909">
        <v>0</v>
      </c>
    </row>
    <row r="33" spans="2:51" ht="15">
      <c r="B33" s="906"/>
      <c r="C33" s="530"/>
      <c r="D33" s="541" t="s">
        <v>3096</v>
      </c>
      <c r="E33" s="530"/>
      <c r="F33" s="530"/>
      <c r="G33" s="660"/>
      <c r="H33" s="660"/>
      <c r="I33" s="164" t="s">
        <v>2183</v>
      </c>
      <c r="J33" s="907">
        <v>0</v>
      </c>
      <c r="K33" s="908">
        <v>0</v>
      </c>
      <c r="L33" s="908">
        <v>0</v>
      </c>
      <c r="M33" s="908">
        <v>0</v>
      </c>
      <c r="N33" s="908">
        <v>0</v>
      </c>
      <c r="O33" s="908">
        <v>0</v>
      </c>
      <c r="P33" s="908">
        <v>0</v>
      </c>
      <c r="Q33" s="909">
        <v>0</v>
      </c>
      <c r="R33" s="641">
        <f t="shared" si="17"/>
        <v>0</v>
      </c>
      <c r="S33" s="642">
        <f t="shared" si="18"/>
        <v>0</v>
      </c>
      <c r="T33" s="642">
        <f t="shared" si="19"/>
        <v>0</v>
      </c>
      <c r="U33" s="642">
        <f t="shared" si="20"/>
        <v>0</v>
      </c>
      <c r="V33" s="1749">
        <f t="shared" si="21"/>
        <v>0</v>
      </c>
      <c r="W33" s="641">
        <f t="shared" si="22"/>
        <v>0</v>
      </c>
      <c r="X33" s="642">
        <f t="shared" si="23"/>
        <v>0</v>
      </c>
      <c r="Y33" s="642">
        <f t="shared" si="24"/>
        <v>0</v>
      </c>
      <c r="Z33" s="642">
        <f t="shared" si="25"/>
        <v>0</v>
      </c>
      <c r="AA33" s="643">
        <f t="shared" si="26"/>
        <v>0</v>
      </c>
      <c r="AB33" s="660"/>
      <c r="AC33" s="2701"/>
      <c r="AD33" s="907">
        <v>0</v>
      </c>
      <c r="AE33" s="908">
        <v>0</v>
      </c>
      <c r="AF33" s="908">
        <v>0</v>
      </c>
      <c r="AG33" s="908">
        <v>0</v>
      </c>
      <c r="AH33" s="909">
        <v>0</v>
      </c>
      <c r="AI33" s="907">
        <v>0</v>
      </c>
      <c r="AJ33" s="908">
        <v>0</v>
      </c>
      <c r="AK33" s="908">
        <v>0</v>
      </c>
      <c r="AL33" s="908">
        <v>0</v>
      </c>
      <c r="AM33" s="909">
        <v>0</v>
      </c>
      <c r="AN33" s="660"/>
      <c r="AO33" s="1744"/>
      <c r="AP33" s="907">
        <v>0</v>
      </c>
      <c r="AQ33" s="908">
        <v>0</v>
      </c>
      <c r="AR33" s="908">
        <v>0</v>
      </c>
      <c r="AS33" s="908">
        <v>0</v>
      </c>
      <c r="AT33" s="909">
        <v>0</v>
      </c>
      <c r="AU33" s="907">
        <v>0</v>
      </c>
      <c r="AV33" s="908">
        <v>0</v>
      </c>
      <c r="AW33" s="908">
        <v>0</v>
      </c>
      <c r="AX33" s="908">
        <v>0</v>
      </c>
      <c r="AY33" s="909">
        <v>0</v>
      </c>
    </row>
    <row r="34" spans="2:51" ht="15">
      <c r="B34" s="906"/>
      <c r="C34" s="530"/>
      <c r="D34" s="541" t="s">
        <v>3097</v>
      </c>
      <c r="E34" s="530"/>
      <c r="F34" s="530"/>
      <c r="G34" s="660"/>
      <c r="H34" s="660"/>
      <c r="I34" s="164" t="s">
        <v>2183</v>
      </c>
      <c r="J34" s="907">
        <v>0</v>
      </c>
      <c r="K34" s="908">
        <v>0</v>
      </c>
      <c r="L34" s="908">
        <v>0</v>
      </c>
      <c r="M34" s="908">
        <v>0</v>
      </c>
      <c r="N34" s="908">
        <v>0</v>
      </c>
      <c r="O34" s="908">
        <v>0</v>
      </c>
      <c r="P34" s="908">
        <v>0</v>
      </c>
      <c r="Q34" s="909">
        <v>0</v>
      </c>
      <c r="R34" s="641">
        <f t="shared" si="17"/>
        <v>0</v>
      </c>
      <c r="S34" s="642">
        <f t="shared" si="18"/>
        <v>0</v>
      </c>
      <c r="T34" s="642">
        <f t="shared" si="19"/>
        <v>0</v>
      </c>
      <c r="U34" s="642">
        <f t="shared" si="20"/>
        <v>0</v>
      </c>
      <c r="V34" s="1749">
        <f t="shared" si="21"/>
        <v>0</v>
      </c>
      <c r="W34" s="641">
        <f t="shared" si="22"/>
        <v>0</v>
      </c>
      <c r="X34" s="642">
        <f t="shared" si="23"/>
        <v>0</v>
      </c>
      <c r="Y34" s="642">
        <f t="shared" si="24"/>
        <v>0</v>
      </c>
      <c r="Z34" s="642">
        <f t="shared" si="25"/>
        <v>0</v>
      </c>
      <c r="AA34" s="643">
        <f t="shared" si="26"/>
        <v>0</v>
      </c>
      <c r="AB34" s="660"/>
      <c r="AC34" s="2701"/>
      <c r="AD34" s="907">
        <v>0</v>
      </c>
      <c r="AE34" s="908">
        <v>0</v>
      </c>
      <c r="AF34" s="908">
        <v>0</v>
      </c>
      <c r="AG34" s="908">
        <v>0</v>
      </c>
      <c r="AH34" s="909">
        <v>0</v>
      </c>
      <c r="AI34" s="907">
        <v>0</v>
      </c>
      <c r="AJ34" s="908">
        <v>0</v>
      </c>
      <c r="AK34" s="908">
        <v>0</v>
      </c>
      <c r="AL34" s="908">
        <v>0</v>
      </c>
      <c r="AM34" s="909">
        <v>0</v>
      </c>
      <c r="AN34" s="660"/>
      <c r="AO34" s="1744"/>
      <c r="AP34" s="907">
        <v>0</v>
      </c>
      <c r="AQ34" s="908">
        <v>0</v>
      </c>
      <c r="AR34" s="908">
        <v>0</v>
      </c>
      <c r="AS34" s="908">
        <v>0</v>
      </c>
      <c r="AT34" s="909">
        <v>0</v>
      </c>
      <c r="AU34" s="907">
        <v>0</v>
      </c>
      <c r="AV34" s="908">
        <v>0</v>
      </c>
      <c r="AW34" s="908">
        <v>0</v>
      </c>
      <c r="AX34" s="908">
        <v>0</v>
      </c>
      <c r="AY34" s="909">
        <v>0</v>
      </c>
    </row>
    <row r="35" spans="2:51" ht="15">
      <c r="B35" s="906"/>
      <c r="C35" s="530"/>
      <c r="D35" s="541" t="s">
        <v>3098</v>
      </c>
      <c r="E35" s="530"/>
      <c r="F35" s="530"/>
      <c r="G35" s="660"/>
      <c r="H35" s="660"/>
      <c r="I35" s="164" t="s">
        <v>2183</v>
      </c>
      <c r="J35" s="907">
        <v>0</v>
      </c>
      <c r="K35" s="908">
        <v>0</v>
      </c>
      <c r="L35" s="908">
        <v>0</v>
      </c>
      <c r="M35" s="908">
        <v>0</v>
      </c>
      <c r="N35" s="908">
        <v>0</v>
      </c>
      <c r="O35" s="908">
        <v>0</v>
      </c>
      <c r="P35" s="908">
        <v>0</v>
      </c>
      <c r="Q35" s="909">
        <v>0</v>
      </c>
      <c r="R35" s="641">
        <f t="shared" si="17"/>
        <v>0</v>
      </c>
      <c r="S35" s="642">
        <f t="shared" si="18"/>
        <v>0</v>
      </c>
      <c r="T35" s="642">
        <f t="shared" si="19"/>
        <v>0</v>
      </c>
      <c r="U35" s="642">
        <f t="shared" si="20"/>
        <v>0</v>
      </c>
      <c r="V35" s="1749">
        <f t="shared" si="21"/>
        <v>0</v>
      </c>
      <c r="W35" s="641">
        <f t="shared" si="22"/>
        <v>0</v>
      </c>
      <c r="X35" s="642">
        <f t="shared" si="23"/>
        <v>0</v>
      </c>
      <c r="Y35" s="642">
        <f t="shared" si="24"/>
        <v>0</v>
      </c>
      <c r="Z35" s="642">
        <f t="shared" si="25"/>
        <v>0</v>
      </c>
      <c r="AA35" s="643">
        <f t="shared" si="26"/>
        <v>0</v>
      </c>
      <c r="AB35" s="660"/>
      <c r="AC35" s="2701"/>
      <c r="AD35" s="907">
        <v>0</v>
      </c>
      <c r="AE35" s="908">
        <v>0</v>
      </c>
      <c r="AF35" s="908">
        <v>0</v>
      </c>
      <c r="AG35" s="908">
        <v>0</v>
      </c>
      <c r="AH35" s="909">
        <v>0</v>
      </c>
      <c r="AI35" s="907">
        <v>0</v>
      </c>
      <c r="AJ35" s="908">
        <v>0</v>
      </c>
      <c r="AK35" s="908">
        <v>0</v>
      </c>
      <c r="AL35" s="908">
        <v>0</v>
      </c>
      <c r="AM35" s="909">
        <v>0</v>
      </c>
      <c r="AN35" s="660"/>
      <c r="AO35" s="1744"/>
      <c r="AP35" s="907">
        <v>0</v>
      </c>
      <c r="AQ35" s="908">
        <v>0</v>
      </c>
      <c r="AR35" s="908">
        <v>0</v>
      </c>
      <c r="AS35" s="908">
        <v>0</v>
      </c>
      <c r="AT35" s="909">
        <v>0</v>
      </c>
      <c r="AU35" s="907">
        <v>0</v>
      </c>
      <c r="AV35" s="908">
        <v>0</v>
      </c>
      <c r="AW35" s="908">
        <v>0</v>
      </c>
      <c r="AX35" s="908">
        <v>0</v>
      </c>
      <c r="AY35" s="909">
        <v>0</v>
      </c>
    </row>
    <row r="36" spans="2:51" ht="15">
      <c r="B36" s="906"/>
      <c r="C36" s="530"/>
      <c r="D36" s="541" t="s">
        <v>3099</v>
      </c>
      <c r="E36" s="530"/>
      <c r="F36" s="530"/>
      <c r="G36" s="660"/>
      <c r="H36" s="660"/>
      <c r="I36" s="164" t="s">
        <v>2183</v>
      </c>
      <c r="J36" s="907">
        <v>0</v>
      </c>
      <c r="K36" s="908">
        <v>0</v>
      </c>
      <c r="L36" s="908">
        <v>0</v>
      </c>
      <c r="M36" s="908">
        <v>0</v>
      </c>
      <c r="N36" s="908">
        <v>0</v>
      </c>
      <c r="O36" s="908">
        <v>0</v>
      </c>
      <c r="P36" s="908">
        <v>0</v>
      </c>
      <c r="Q36" s="909">
        <v>0</v>
      </c>
      <c r="R36" s="641">
        <f t="shared" si="17"/>
        <v>0</v>
      </c>
      <c r="S36" s="642">
        <f t="shared" si="18"/>
        <v>0</v>
      </c>
      <c r="T36" s="642">
        <f t="shared" si="19"/>
        <v>0</v>
      </c>
      <c r="U36" s="642">
        <f t="shared" si="20"/>
        <v>0</v>
      </c>
      <c r="V36" s="1749">
        <f t="shared" si="21"/>
        <v>0</v>
      </c>
      <c r="W36" s="641">
        <f t="shared" si="22"/>
        <v>0</v>
      </c>
      <c r="X36" s="642">
        <f t="shared" si="23"/>
        <v>0</v>
      </c>
      <c r="Y36" s="642">
        <f t="shared" si="24"/>
        <v>0</v>
      </c>
      <c r="Z36" s="642">
        <f t="shared" si="25"/>
        <v>0</v>
      </c>
      <c r="AA36" s="643">
        <f t="shared" si="26"/>
        <v>0</v>
      </c>
      <c r="AB36" s="660"/>
      <c r="AC36" s="2701"/>
      <c r="AD36" s="907">
        <v>0</v>
      </c>
      <c r="AE36" s="908">
        <v>0</v>
      </c>
      <c r="AF36" s="908">
        <v>0</v>
      </c>
      <c r="AG36" s="908">
        <v>0</v>
      </c>
      <c r="AH36" s="909">
        <v>0</v>
      </c>
      <c r="AI36" s="907">
        <v>0</v>
      </c>
      <c r="AJ36" s="908">
        <v>0</v>
      </c>
      <c r="AK36" s="908">
        <v>0</v>
      </c>
      <c r="AL36" s="908">
        <v>0</v>
      </c>
      <c r="AM36" s="909">
        <v>0</v>
      </c>
      <c r="AN36" s="660"/>
      <c r="AO36" s="1744"/>
      <c r="AP36" s="907">
        <v>0</v>
      </c>
      <c r="AQ36" s="908">
        <v>0</v>
      </c>
      <c r="AR36" s="908">
        <v>0</v>
      </c>
      <c r="AS36" s="908">
        <v>0</v>
      </c>
      <c r="AT36" s="909">
        <v>0</v>
      </c>
      <c r="AU36" s="907">
        <v>0</v>
      </c>
      <c r="AV36" s="908">
        <v>0</v>
      </c>
      <c r="AW36" s="908">
        <v>0</v>
      </c>
      <c r="AX36" s="908">
        <v>0</v>
      </c>
      <c r="AY36" s="909">
        <v>0</v>
      </c>
    </row>
    <row r="37" spans="2:51" ht="15">
      <c r="B37" s="906"/>
      <c r="C37" s="530"/>
      <c r="D37" s="530" t="s">
        <v>85</v>
      </c>
      <c r="E37" s="530"/>
      <c r="F37" s="530"/>
      <c r="G37" s="2696"/>
      <c r="H37" s="660"/>
      <c r="I37" s="164" t="s">
        <v>2183</v>
      </c>
      <c r="J37" s="907">
        <v>0</v>
      </c>
      <c r="K37" s="908">
        <v>0</v>
      </c>
      <c r="L37" s="908">
        <v>0</v>
      </c>
      <c r="M37" s="908">
        <v>0</v>
      </c>
      <c r="N37" s="908">
        <v>0</v>
      </c>
      <c r="O37" s="908">
        <v>0</v>
      </c>
      <c r="P37" s="908">
        <v>0</v>
      </c>
      <c r="Q37" s="909">
        <v>0</v>
      </c>
      <c r="R37" s="641">
        <f t="shared" si="17"/>
        <v>0</v>
      </c>
      <c r="S37" s="642">
        <f t="shared" si="18"/>
        <v>0</v>
      </c>
      <c r="T37" s="642">
        <f t="shared" si="19"/>
        <v>0</v>
      </c>
      <c r="U37" s="642">
        <f t="shared" si="20"/>
        <v>0</v>
      </c>
      <c r="V37" s="1749">
        <f t="shared" si="21"/>
        <v>0</v>
      </c>
      <c r="W37" s="641">
        <f t="shared" si="22"/>
        <v>0</v>
      </c>
      <c r="X37" s="642">
        <f t="shared" si="23"/>
        <v>0</v>
      </c>
      <c r="Y37" s="642">
        <f t="shared" si="24"/>
        <v>0</v>
      </c>
      <c r="Z37" s="642">
        <f t="shared" si="25"/>
        <v>0</v>
      </c>
      <c r="AA37" s="643">
        <f t="shared" si="26"/>
        <v>0</v>
      </c>
      <c r="AB37" s="660"/>
      <c r="AC37" s="2701"/>
      <c r="AD37" s="907"/>
      <c r="AE37" s="908"/>
      <c r="AF37" s="908"/>
      <c r="AG37" s="908"/>
      <c r="AH37" s="909"/>
      <c r="AI37" s="907"/>
      <c r="AJ37" s="908"/>
      <c r="AK37" s="908"/>
      <c r="AL37" s="908"/>
      <c r="AM37" s="909"/>
      <c r="AN37" s="660"/>
      <c r="AO37" s="1744"/>
      <c r="AP37" s="907"/>
      <c r="AQ37" s="908"/>
      <c r="AR37" s="908"/>
      <c r="AS37" s="908"/>
      <c r="AT37" s="909"/>
      <c r="AU37" s="907"/>
      <c r="AV37" s="908"/>
      <c r="AW37" s="908"/>
      <c r="AX37" s="908"/>
      <c r="AY37" s="909">
        <v>0</v>
      </c>
    </row>
    <row r="38" spans="2:51" ht="42.75">
      <c r="B38" s="906"/>
      <c r="C38" s="530"/>
      <c r="D38" s="530" t="s">
        <v>85</v>
      </c>
      <c r="E38" s="530"/>
      <c r="F38" s="530"/>
      <c r="G38" s="2696" t="s">
        <v>3100</v>
      </c>
      <c r="H38" s="660"/>
      <c r="I38" s="164" t="s">
        <v>2183</v>
      </c>
      <c r="J38" s="907">
        <v>0</v>
      </c>
      <c r="K38" s="908">
        <v>0</v>
      </c>
      <c r="L38" s="908">
        <v>0</v>
      </c>
      <c r="M38" s="908">
        <v>0</v>
      </c>
      <c r="N38" s="908">
        <v>0</v>
      </c>
      <c r="O38" s="908">
        <v>0</v>
      </c>
      <c r="P38" s="908">
        <v>0</v>
      </c>
      <c r="Q38" s="909">
        <v>0</v>
      </c>
      <c r="R38" s="641">
        <f t="shared" si="17"/>
        <v>0</v>
      </c>
      <c r="S38" s="642">
        <f t="shared" si="18"/>
        <v>0</v>
      </c>
      <c r="T38" s="642">
        <f t="shared" si="19"/>
        <v>0</v>
      </c>
      <c r="U38" s="642">
        <f t="shared" si="20"/>
        <v>0</v>
      </c>
      <c r="V38" s="1749">
        <f t="shared" si="21"/>
        <v>0</v>
      </c>
      <c r="W38" s="641">
        <f t="shared" si="22"/>
        <v>0</v>
      </c>
      <c r="X38" s="642">
        <f t="shared" si="23"/>
        <v>0</v>
      </c>
      <c r="Y38" s="642">
        <f t="shared" si="24"/>
        <v>0</v>
      </c>
      <c r="Z38" s="642">
        <f t="shared" si="25"/>
        <v>0</v>
      </c>
      <c r="AA38" s="643">
        <f t="shared" si="26"/>
        <v>0</v>
      </c>
      <c r="AB38" s="660"/>
      <c r="AC38" s="2701" t="s">
        <v>3101</v>
      </c>
      <c r="AD38" s="907">
        <v>0</v>
      </c>
      <c r="AE38" s="908">
        <v>0</v>
      </c>
      <c r="AF38" s="908">
        <v>0</v>
      </c>
      <c r="AG38" s="908">
        <v>0</v>
      </c>
      <c r="AH38" s="909">
        <v>0</v>
      </c>
      <c r="AI38" s="907">
        <v>0</v>
      </c>
      <c r="AJ38" s="908">
        <v>0</v>
      </c>
      <c r="AK38" s="908">
        <v>0</v>
      </c>
      <c r="AL38" s="908">
        <v>0</v>
      </c>
      <c r="AM38" s="909">
        <v>0</v>
      </c>
      <c r="AN38" s="660"/>
      <c r="AO38" s="1744" t="s">
        <v>3094</v>
      </c>
      <c r="AP38" s="907">
        <v>0</v>
      </c>
      <c r="AQ38" s="908">
        <v>0</v>
      </c>
      <c r="AR38" s="908">
        <v>0</v>
      </c>
      <c r="AS38" s="908">
        <v>0</v>
      </c>
      <c r="AT38" s="909">
        <v>0</v>
      </c>
      <c r="AU38" s="907">
        <v>2180695</v>
      </c>
      <c r="AV38" s="908">
        <v>4361391</v>
      </c>
      <c r="AW38" s="908">
        <v>6542086</v>
      </c>
      <c r="AX38" s="908">
        <v>8722782</v>
      </c>
      <c r="AY38" s="909">
        <v>10903477</v>
      </c>
    </row>
    <row r="39" spans="2:51" ht="15">
      <c r="B39" s="906"/>
      <c r="C39" s="541" t="s">
        <v>1710</v>
      </c>
      <c r="D39" s="530"/>
      <c r="E39" s="530"/>
      <c r="F39" s="530"/>
      <c r="G39" s="660"/>
      <c r="H39" s="660"/>
      <c r="I39" s="164" t="s">
        <v>2183</v>
      </c>
      <c r="J39" s="697">
        <f>SUM(J27:J38)</f>
        <v>4590</v>
      </c>
      <c r="K39" s="698">
        <f t="shared" ref="K39:Q39" si="37">SUM(K27:K38)</f>
        <v>4543</v>
      </c>
      <c r="L39" s="698">
        <f t="shared" si="37"/>
        <v>3956</v>
      </c>
      <c r="M39" s="698">
        <f t="shared" si="37"/>
        <v>3776</v>
      </c>
      <c r="N39" s="698">
        <f t="shared" si="37"/>
        <v>3938</v>
      </c>
      <c r="O39" s="698">
        <f t="shared" si="37"/>
        <v>4023</v>
      </c>
      <c r="P39" s="698">
        <f t="shared" si="37"/>
        <v>3856</v>
      </c>
      <c r="Q39" s="699">
        <f t="shared" si="37"/>
        <v>3689</v>
      </c>
      <c r="R39" s="697">
        <f>SUM(R27:R38)</f>
        <v>3520.4891808799998</v>
      </c>
      <c r="S39" s="698">
        <f t="shared" ref="S39:V39" si="38">SUM(S27:S38)</f>
        <v>3318.0057623600001</v>
      </c>
      <c r="T39" s="698">
        <f t="shared" si="38"/>
        <v>3159.00917213</v>
      </c>
      <c r="U39" s="698">
        <f t="shared" si="38"/>
        <v>3036.7046679600003</v>
      </c>
      <c r="V39" s="1750">
        <f t="shared" si="38"/>
        <v>2971.4757720100001</v>
      </c>
      <c r="W39" s="697">
        <f>SUM(W27:W38)</f>
        <v>2377.1799171983002</v>
      </c>
      <c r="X39" s="698">
        <f t="shared" ref="X39:AA39" si="39">SUM(X27:X38)</f>
        <v>1782.8849347857933</v>
      </c>
      <c r="Y39" s="698">
        <f t="shared" si="39"/>
        <v>1188.5899565238622</v>
      </c>
      <c r="Z39" s="698">
        <f t="shared" si="39"/>
        <v>594.29497826193108</v>
      </c>
      <c r="AA39" s="699">
        <f t="shared" si="39"/>
        <v>0</v>
      </c>
      <c r="AB39" s="660"/>
      <c r="AC39" s="1745"/>
      <c r="AD39" s="910"/>
      <c r="AE39" s="913"/>
      <c r="AF39" s="911"/>
      <c r="AG39" s="911"/>
      <c r="AH39" s="912"/>
      <c r="AI39" s="910"/>
      <c r="AJ39" s="913"/>
      <c r="AK39" s="911"/>
      <c r="AL39" s="911"/>
      <c r="AM39" s="912"/>
      <c r="AN39" s="660"/>
      <c r="AO39" s="1745"/>
      <c r="AP39" s="910"/>
      <c r="AQ39" s="913"/>
      <c r="AR39" s="911"/>
      <c r="AS39" s="911"/>
      <c r="AT39" s="912"/>
      <c r="AU39" s="910"/>
      <c r="AV39" s="913"/>
      <c r="AW39" s="911"/>
      <c r="AX39" s="911"/>
      <c r="AY39" s="912"/>
    </row>
    <row r="40" spans="2:51" ht="15">
      <c r="B40" s="906"/>
      <c r="C40" s="530"/>
      <c r="D40" s="530"/>
      <c r="E40" s="530"/>
      <c r="F40" s="530"/>
      <c r="G40" s="662"/>
      <c r="H40" s="660"/>
      <c r="I40" s="661"/>
      <c r="J40" s="910"/>
      <c r="K40" s="911"/>
      <c r="L40" s="911"/>
      <c r="M40" s="911"/>
      <c r="N40" s="911"/>
      <c r="O40" s="911"/>
      <c r="P40" s="911"/>
      <c r="Q40" s="912"/>
      <c r="R40" s="910"/>
      <c r="S40" s="911"/>
      <c r="T40" s="911"/>
      <c r="U40" s="911"/>
      <c r="V40" s="911"/>
      <c r="W40" s="910"/>
      <c r="X40" s="911"/>
      <c r="Y40" s="911"/>
      <c r="Z40" s="911"/>
      <c r="AA40" s="912"/>
      <c r="AB40" s="660"/>
      <c r="AC40" s="1745"/>
      <c r="AD40" s="910"/>
      <c r="AE40" s="913"/>
      <c r="AF40" s="911"/>
      <c r="AG40" s="911"/>
      <c r="AH40" s="912"/>
      <c r="AI40" s="910"/>
      <c r="AJ40" s="913"/>
      <c r="AK40" s="911"/>
      <c r="AL40" s="911"/>
      <c r="AM40" s="912"/>
      <c r="AN40" s="660"/>
      <c r="AO40" s="1745"/>
      <c r="AP40" s="910"/>
      <c r="AQ40" s="913"/>
      <c r="AR40" s="911"/>
      <c r="AS40" s="911"/>
      <c r="AT40" s="912"/>
      <c r="AU40" s="910"/>
      <c r="AV40" s="913"/>
      <c r="AW40" s="911"/>
      <c r="AX40" s="911"/>
      <c r="AY40" s="912"/>
    </row>
    <row r="41" spans="2:51" ht="15">
      <c r="B41" s="906"/>
      <c r="C41" s="667" t="s">
        <v>3102</v>
      </c>
      <c r="D41" s="667"/>
      <c r="E41" s="667"/>
      <c r="F41" s="667"/>
      <c r="G41" s="541"/>
      <c r="H41" s="660"/>
      <c r="I41" s="661"/>
      <c r="J41" s="910"/>
      <c r="K41" s="911"/>
      <c r="L41" s="911"/>
      <c r="M41" s="911"/>
      <c r="N41" s="911"/>
      <c r="O41" s="911"/>
      <c r="P41" s="911"/>
      <c r="Q41" s="912"/>
      <c r="R41" s="910"/>
      <c r="S41" s="911"/>
      <c r="T41" s="911"/>
      <c r="U41" s="911"/>
      <c r="V41" s="911"/>
      <c r="W41" s="910"/>
      <c r="X41" s="911"/>
      <c r="Y41" s="911"/>
      <c r="Z41" s="911"/>
      <c r="AA41" s="912"/>
      <c r="AB41" s="660"/>
      <c r="AC41" s="1745"/>
      <c r="AD41" s="910"/>
      <c r="AE41" s="913"/>
      <c r="AF41" s="911"/>
      <c r="AG41" s="911"/>
      <c r="AH41" s="912"/>
      <c r="AI41" s="910"/>
      <c r="AJ41" s="913"/>
      <c r="AK41" s="911"/>
      <c r="AL41" s="911"/>
      <c r="AM41" s="912"/>
      <c r="AN41" s="660"/>
      <c r="AO41" s="1745"/>
      <c r="AP41" s="910"/>
      <c r="AQ41" s="913"/>
      <c r="AR41" s="911"/>
      <c r="AS41" s="911"/>
      <c r="AT41" s="912"/>
      <c r="AU41" s="910"/>
      <c r="AV41" s="913"/>
      <c r="AW41" s="911"/>
      <c r="AX41" s="911"/>
      <c r="AY41" s="912"/>
    </row>
    <row r="42" spans="2:51" ht="42.75">
      <c r="B42" s="906"/>
      <c r="C42" s="530"/>
      <c r="D42" s="541" t="s">
        <v>3084</v>
      </c>
      <c r="E42" s="530"/>
      <c r="F42" s="530"/>
      <c r="G42" s="660"/>
      <c r="H42" s="660"/>
      <c r="I42" s="164" t="s">
        <v>2183</v>
      </c>
      <c r="J42" s="907">
        <v>1142</v>
      </c>
      <c r="K42" s="908">
        <v>1263</v>
      </c>
      <c r="L42" s="908">
        <v>1183</v>
      </c>
      <c r="M42" s="908">
        <v>1233</v>
      </c>
      <c r="N42" s="908">
        <v>1175</v>
      </c>
      <c r="O42" s="908">
        <v>988</v>
      </c>
      <c r="P42" s="908">
        <v>1037</v>
      </c>
      <c r="Q42" s="909">
        <v>1086</v>
      </c>
      <c r="R42" s="641">
        <f>AD42*AP42</f>
        <v>643.22982090000005</v>
      </c>
      <c r="S42" s="642">
        <f t="shared" ref="S42:AA53" si="40">AE42*AQ42</f>
        <v>317.02019598000004</v>
      </c>
      <c r="T42" s="642">
        <f t="shared" si="40"/>
        <v>0</v>
      </c>
      <c r="U42" s="642">
        <f t="shared" si="40"/>
        <v>0</v>
      </c>
      <c r="V42" s="1749">
        <f t="shared" si="40"/>
        <v>0</v>
      </c>
      <c r="W42" s="641">
        <f t="shared" si="40"/>
        <v>0</v>
      </c>
      <c r="X42" s="642">
        <f t="shared" si="40"/>
        <v>0</v>
      </c>
      <c r="Y42" s="642">
        <f t="shared" si="40"/>
        <v>0</v>
      </c>
      <c r="Z42" s="642">
        <f t="shared" si="40"/>
        <v>0</v>
      </c>
      <c r="AA42" s="643">
        <f t="shared" si="40"/>
        <v>0</v>
      </c>
      <c r="AB42" s="660"/>
      <c r="AC42" s="2701" t="s">
        <v>3103</v>
      </c>
      <c r="AD42" s="907">
        <v>2.7459000000000001E-4</v>
      </c>
      <c r="AE42" s="908">
        <v>2.7459000000000001E-4</v>
      </c>
      <c r="AF42" s="908">
        <v>2.7459000000000001E-4</v>
      </c>
      <c r="AG42" s="908">
        <v>2.7459000000000001E-4</v>
      </c>
      <c r="AH42" s="909">
        <v>2.7459000000000001E-4</v>
      </c>
      <c r="AI42" s="907">
        <v>2.7459000000000001E-4</v>
      </c>
      <c r="AJ42" s="908">
        <v>2.7459000000000001E-4</v>
      </c>
      <c r="AK42" s="908">
        <v>2.7459000000000001E-4</v>
      </c>
      <c r="AL42" s="908">
        <v>2.7459000000000001E-4</v>
      </c>
      <c r="AM42" s="909">
        <v>2.7459000000000001E-4</v>
      </c>
      <c r="AN42" s="660"/>
      <c r="AO42" s="1744" t="s">
        <v>3094</v>
      </c>
      <c r="AP42" s="907">
        <v>2342510</v>
      </c>
      <c r="AQ42" s="908">
        <v>1154522</v>
      </c>
      <c r="AR42" s="908">
        <v>0</v>
      </c>
      <c r="AS42" s="908">
        <v>0</v>
      </c>
      <c r="AT42" s="909">
        <v>0</v>
      </c>
      <c r="AU42" s="907">
        <v>0</v>
      </c>
      <c r="AV42" s="908">
        <v>0</v>
      </c>
      <c r="AW42" s="908">
        <v>0</v>
      </c>
      <c r="AX42" s="908">
        <v>0</v>
      </c>
      <c r="AY42" s="909">
        <v>0</v>
      </c>
    </row>
    <row r="43" spans="2:51" ht="42.75">
      <c r="B43" s="906"/>
      <c r="C43" s="530"/>
      <c r="D43" s="541" t="s">
        <v>3087</v>
      </c>
      <c r="E43" s="530"/>
      <c r="F43" s="530"/>
      <c r="G43" s="660"/>
      <c r="H43" s="660"/>
      <c r="I43" s="164" t="s">
        <v>2183</v>
      </c>
      <c r="J43" s="2697" t="s">
        <v>3088</v>
      </c>
      <c r="K43" s="2698" t="s">
        <v>3088</v>
      </c>
      <c r="L43" s="2698" t="s">
        <v>3088</v>
      </c>
      <c r="M43" s="2698" t="s">
        <v>3088</v>
      </c>
      <c r="N43" s="2698" t="s">
        <v>3088</v>
      </c>
      <c r="O43" s="2698" t="s">
        <v>3088</v>
      </c>
      <c r="P43" s="2698" t="s">
        <v>3088</v>
      </c>
      <c r="Q43" s="2699" t="s">
        <v>3088</v>
      </c>
      <c r="R43" s="641">
        <f t="shared" ref="R43:R52" si="41">AD43*AP43</f>
        <v>128.817846</v>
      </c>
      <c r="S43" s="642">
        <f t="shared" ref="S43:S52" si="42">AE43*AQ43</f>
        <v>63.48892815</v>
      </c>
      <c r="T43" s="642">
        <f t="shared" ref="T43:T52" si="43">AF43*AR43</f>
        <v>0</v>
      </c>
      <c r="U43" s="642">
        <f t="shared" ref="U43:U52" si="44">AG43*AS43</f>
        <v>0</v>
      </c>
      <c r="V43" s="1749">
        <f t="shared" ref="V43:V52" si="45">AH43*AT43</f>
        <v>0</v>
      </c>
      <c r="W43" s="641">
        <f t="shared" ref="W43:W52" si="46">AI43*AU43</f>
        <v>0</v>
      </c>
      <c r="X43" s="642">
        <f t="shared" ref="X43:X52" si="47">AJ43*AV43</f>
        <v>0</v>
      </c>
      <c r="Y43" s="642">
        <f t="shared" ref="Y43:Y52" si="48">AK43*AW43</f>
        <v>0</v>
      </c>
      <c r="Z43" s="642">
        <f t="shared" ref="Z43:Z52" si="49">AL43*AX43</f>
        <v>0</v>
      </c>
      <c r="AA43" s="643">
        <f t="shared" ref="AA43:AA52" si="50">AM43*AY43</f>
        <v>0</v>
      </c>
      <c r="AB43" s="660"/>
      <c r="AC43" s="2701" t="s">
        <v>3103</v>
      </c>
      <c r="AD43" s="907">
        <v>3.0945000000000001E-4</v>
      </c>
      <c r="AE43" s="908">
        <v>3.0945000000000001E-4</v>
      </c>
      <c r="AF43" s="908">
        <v>3.0945000000000001E-4</v>
      </c>
      <c r="AG43" s="908">
        <v>3.0945000000000001E-4</v>
      </c>
      <c r="AH43" s="909">
        <v>3.0945000000000001E-4</v>
      </c>
      <c r="AI43" s="907">
        <v>3.0945000000000001E-4</v>
      </c>
      <c r="AJ43" s="908">
        <v>3.0945000000000001E-4</v>
      </c>
      <c r="AK43" s="908">
        <v>3.0945000000000001E-4</v>
      </c>
      <c r="AL43" s="908">
        <v>3.0945000000000001E-4</v>
      </c>
      <c r="AM43" s="909">
        <v>3.0945000000000001E-4</v>
      </c>
      <c r="AN43" s="660"/>
      <c r="AO43" s="1744" t="s">
        <v>3094</v>
      </c>
      <c r="AP43" s="907">
        <v>416280</v>
      </c>
      <c r="AQ43" s="908">
        <v>205167</v>
      </c>
      <c r="AR43" s="908">
        <v>0</v>
      </c>
      <c r="AS43" s="908">
        <v>0</v>
      </c>
      <c r="AT43" s="909">
        <v>0</v>
      </c>
      <c r="AU43" s="907">
        <v>0</v>
      </c>
      <c r="AV43" s="908">
        <v>0</v>
      </c>
      <c r="AW43" s="908">
        <v>0</v>
      </c>
      <c r="AX43" s="908">
        <v>0</v>
      </c>
      <c r="AY43" s="909">
        <v>0</v>
      </c>
    </row>
    <row r="44" spans="2:51" ht="15">
      <c r="B44" s="906"/>
      <c r="C44" s="530"/>
      <c r="D44" s="541" t="s">
        <v>3089</v>
      </c>
      <c r="E44" s="530"/>
      <c r="F44" s="530"/>
      <c r="G44" s="660"/>
      <c r="H44" s="660"/>
      <c r="I44" s="164" t="s">
        <v>2183</v>
      </c>
      <c r="J44" s="907">
        <v>0</v>
      </c>
      <c r="K44" s="908">
        <v>0</v>
      </c>
      <c r="L44" s="908">
        <v>0</v>
      </c>
      <c r="M44" s="908">
        <v>0</v>
      </c>
      <c r="N44" s="908">
        <v>0</v>
      </c>
      <c r="O44" s="908">
        <v>0</v>
      </c>
      <c r="P44" s="908">
        <v>0</v>
      </c>
      <c r="Q44" s="909">
        <v>0</v>
      </c>
      <c r="R44" s="641">
        <f t="shared" si="41"/>
        <v>0</v>
      </c>
      <c r="S44" s="642">
        <f t="shared" si="42"/>
        <v>0</v>
      </c>
      <c r="T44" s="642">
        <f t="shared" si="43"/>
        <v>0</v>
      </c>
      <c r="U44" s="642">
        <f t="shared" si="44"/>
        <v>0</v>
      </c>
      <c r="V44" s="1749">
        <f t="shared" si="45"/>
        <v>0</v>
      </c>
      <c r="W44" s="641">
        <f t="shared" si="46"/>
        <v>0</v>
      </c>
      <c r="X44" s="642">
        <f t="shared" si="47"/>
        <v>0</v>
      </c>
      <c r="Y44" s="642">
        <f t="shared" si="48"/>
        <v>0</v>
      </c>
      <c r="Z44" s="642">
        <f t="shared" si="49"/>
        <v>0</v>
      </c>
      <c r="AA44" s="643">
        <f t="shared" si="50"/>
        <v>0</v>
      </c>
      <c r="AB44" s="660"/>
      <c r="AC44" s="2701"/>
      <c r="AD44" s="907">
        <v>0</v>
      </c>
      <c r="AE44" s="908">
        <v>0</v>
      </c>
      <c r="AF44" s="908">
        <v>0</v>
      </c>
      <c r="AG44" s="908">
        <v>0</v>
      </c>
      <c r="AH44" s="909">
        <v>0</v>
      </c>
      <c r="AI44" s="907">
        <v>0</v>
      </c>
      <c r="AJ44" s="908">
        <v>0</v>
      </c>
      <c r="AK44" s="908">
        <v>0</v>
      </c>
      <c r="AL44" s="908">
        <v>0</v>
      </c>
      <c r="AM44" s="909">
        <v>0</v>
      </c>
      <c r="AN44" s="660"/>
      <c r="AO44" s="1744"/>
      <c r="AP44" s="907">
        <v>0</v>
      </c>
      <c r="AQ44" s="908">
        <v>0</v>
      </c>
      <c r="AR44" s="908">
        <v>0</v>
      </c>
      <c r="AS44" s="908">
        <v>0</v>
      </c>
      <c r="AT44" s="909">
        <v>0</v>
      </c>
      <c r="AU44" s="907">
        <v>0</v>
      </c>
      <c r="AV44" s="908">
        <v>0</v>
      </c>
      <c r="AW44" s="908">
        <v>0</v>
      </c>
      <c r="AX44" s="908">
        <v>0</v>
      </c>
      <c r="AY44" s="909">
        <v>0</v>
      </c>
    </row>
    <row r="45" spans="2:51" ht="15">
      <c r="B45" s="906"/>
      <c r="C45" s="530"/>
      <c r="D45" s="541" t="s">
        <v>3090</v>
      </c>
      <c r="E45" s="530"/>
      <c r="F45" s="530"/>
      <c r="G45" s="660"/>
      <c r="H45" s="660"/>
      <c r="I45" s="164" t="s">
        <v>2183</v>
      </c>
      <c r="J45" s="2697" t="s">
        <v>3088</v>
      </c>
      <c r="K45" s="2698" t="s">
        <v>3088</v>
      </c>
      <c r="L45" s="2698" t="s">
        <v>3088</v>
      </c>
      <c r="M45" s="2698" t="s">
        <v>3088</v>
      </c>
      <c r="N45" s="2698" t="s">
        <v>3088</v>
      </c>
      <c r="O45" s="2698" t="s">
        <v>3088</v>
      </c>
      <c r="P45" s="2698" t="s">
        <v>3088</v>
      </c>
      <c r="Q45" s="2699" t="s">
        <v>3088</v>
      </c>
      <c r="R45" s="641">
        <f t="shared" si="41"/>
        <v>0</v>
      </c>
      <c r="S45" s="642">
        <f t="shared" si="42"/>
        <v>0</v>
      </c>
      <c r="T45" s="642">
        <f t="shared" si="43"/>
        <v>0</v>
      </c>
      <c r="U45" s="642">
        <f t="shared" si="44"/>
        <v>0</v>
      </c>
      <c r="V45" s="1749">
        <f t="shared" si="45"/>
        <v>0</v>
      </c>
      <c r="W45" s="641">
        <f t="shared" si="46"/>
        <v>0</v>
      </c>
      <c r="X45" s="642">
        <f t="shared" si="47"/>
        <v>0</v>
      </c>
      <c r="Y45" s="642">
        <f t="shared" si="48"/>
        <v>0</v>
      </c>
      <c r="Z45" s="642">
        <f t="shared" si="49"/>
        <v>0</v>
      </c>
      <c r="AA45" s="643">
        <f t="shared" si="50"/>
        <v>0</v>
      </c>
      <c r="AB45" s="660"/>
      <c r="AC45" s="2701"/>
      <c r="AD45" s="907">
        <v>0</v>
      </c>
      <c r="AE45" s="908">
        <v>0</v>
      </c>
      <c r="AF45" s="908">
        <v>0</v>
      </c>
      <c r="AG45" s="908">
        <v>0</v>
      </c>
      <c r="AH45" s="909">
        <v>0</v>
      </c>
      <c r="AI45" s="907">
        <v>0</v>
      </c>
      <c r="AJ45" s="908">
        <v>0</v>
      </c>
      <c r="AK45" s="908">
        <v>0</v>
      </c>
      <c r="AL45" s="908">
        <v>0</v>
      </c>
      <c r="AM45" s="909">
        <v>0</v>
      </c>
      <c r="AN45" s="660"/>
      <c r="AO45" s="1744"/>
      <c r="AP45" s="907">
        <v>0</v>
      </c>
      <c r="AQ45" s="908">
        <v>0</v>
      </c>
      <c r="AR45" s="908">
        <v>0</v>
      </c>
      <c r="AS45" s="908">
        <v>0</v>
      </c>
      <c r="AT45" s="909">
        <v>0</v>
      </c>
      <c r="AU45" s="907">
        <v>0</v>
      </c>
      <c r="AV45" s="908">
        <v>0</v>
      </c>
      <c r="AW45" s="908">
        <v>0</v>
      </c>
      <c r="AX45" s="908">
        <v>0</v>
      </c>
      <c r="AY45" s="909">
        <v>0</v>
      </c>
    </row>
    <row r="46" spans="2:51" ht="85.5">
      <c r="B46" s="906"/>
      <c r="C46" s="530"/>
      <c r="D46" s="541" t="s">
        <v>3092</v>
      </c>
      <c r="E46" s="530"/>
      <c r="F46" s="530"/>
      <c r="G46" s="660"/>
      <c r="H46" s="660"/>
      <c r="I46" s="164" t="s">
        <v>2183</v>
      </c>
      <c r="J46" s="907">
        <v>0</v>
      </c>
      <c r="K46" s="908">
        <v>0</v>
      </c>
      <c r="L46" s="908">
        <v>0</v>
      </c>
      <c r="M46" s="908">
        <v>0</v>
      </c>
      <c r="N46" s="908">
        <v>0</v>
      </c>
      <c r="O46" s="908">
        <v>0</v>
      </c>
      <c r="P46" s="908">
        <v>0</v>
      </c>
      <c r="Q46" s="909">
        <v>0</v>
      </c>
      <c r="R46" s="641">
        <f t="shared" si="41"/>
        <v>24.149355120000003</v>
      </c>
      <c r="S46" s="642">
        <f t="shared" si="42"/>
        <v>49.030567960000006</v>
      </c>
      <c r="T46" s="642">
        <f t="shared" si="43"/>
        <v>73.179923080000009</v>
      </c>
      <c r="U46" s="642">
        <f t="shared" si="44"/>
        <v>72.082554280000011</v>
      </c>
      <c r="V46" s="1749">
        <f t="shared" si="45"/>
        <v>70.985185480000013</v>
      </c>
      <c r="W46" s="641">
        <f t="shared" si="46"/>
        <v>354.92602024000007</v>
      </c>
      <c r="X46" s="642">
        <f t="shared" si="47"/>
        <v>354.92602024000007</v>
      </c>
      <c r="Y46" s="642">
        <f t="shared" si="48"/>
        <v>354.92602024000007</v>
      </c>
      <c r="Z46" s="642">
        <f t="shared" si="49"/>
        <v>354.92602024000007</v>
      </c>
      <c r="AA46" s="643">
        <f t="shared" si="50"/>
        <v>0</v>
      </c>
      <c r="AB46" s="660"/>
      <c r="AC46" s="2701" t="s">
        <v>3104</v>
      </c>
      <c r="AD46" s="907">
        <v>9.2840000000000012E-5</v>
      </c>
      <c r="AE46" s="908">
        <v>9.2840000000000012E-5</v>
      </c>
      <c r="AF46" s="908">
        <v>9.2840000000000012E-5</v>
      </c>
      <c r="AG46" s="908">
        <v>9.2840000000000012E-5</v>
      </c>
      <c r="AH46" s="909">
        <v>9.2840000000000012E-5</v>
      </c>
      <c r="AI46" s="907">
        <v>9.2840000000000012E-5</v>
      </c>
      <c r="AJ46" s="908">
        <v>9.2840000000000012E-5</v>
      </c>
      <c r="AK46" s="908">
        <v>9.2840000000000012E-5</v>
      </c>
      <c r="AL46" s="908">
        <v>9.2840000000000012E-5</v>
      </c>
      <c r="AM46" s="909">
        <v>0</v>
      </c>
      <c r="AN46" s="660"/>
      <c r="AO46" s="1744" t="s">
        <v>3094</v>
      </c>
      <c r="AP46" s="907">
        <v>260118</v>
      </c>
      <c r="AQ46" s="908">
        <v>528119</v>
      </c>
      <c r="AR46" s="908">
        <v>788237</v>
      </c>
      <c r="AS46" s="908">
        <v>776417</v>
      </c>
      <c r="AT46" s="909">
        <v>764597</v>
      </c>
      <c r="AU46" s="907">
        <v>3822986</v>
      </c>
      <c r="AV46" s="908">
        <v>3822986</v>
      </c>
      <c r="AW46" s="908">
        <v>3822986</v>
      </c>
      <c r="AX46" s="908">
        <v>3822986</v>
      </c>
      <c r="AY46" s="909">
        <v>3822986</v>
      </c>
    </row>
    <row r="47" spans="2:51" ht="28.5">
      <c r="B47" s="906"/>
      <c r="C47" s="530"/>
      <c r="D47" s="541" t="s">
        <v>3095</v>
      </c>
      <c r="E47" s="530"/>
      <c r="F47" s="530"/>
      <c r="G47" s="660"/>
      <c r="H47" s="660"/>
      <c r="I47" s="164" t="s">
        <v>2183</v>
      </c>
      <c r="J47" s="907">
        <v>17</v>
      </c>
      <c r="K47" s="908">
        <v>18</v>
      </c>
      <c r="L47" s="908">
        <v>20</v>
      </c>
      <c r="M47" s="908">
        <v>28</v>
      </c>
      <c r="N47" s="908">
        <v>22</v>
      </c>
      <c r="O47" s="908">
        <v>23</v>
      </c>
      <c r="P47" s="908">
        <v>22.5</v>
      </c>
      <c r="Q47" s="909">
        <v>22</v>
      </c>
      <c r="R47" s="641">
        <f t="shared" si="41"/>
        <v>22.4602</v>
      </c>
      <c r="S47" s="642">
        <f t="shared" si="42"/>
        <v>22.4602</v>
      </c>
      <c r="T47" s="642">
        <f t="shared" si="43"/>
        <v>22.4602</v>
      </c>
      <c r="U47" s="642">
        <f t="shared" si="44"/>
        <v>22.4602</v>
      </c>
      <c r="V47" s="1749">
        <f t="shared" si="45"/>
        <v>22.4602</v>
      </c>
      <c r="W47" s="641">
        <f t="shared" si="46"/>
        <v>22.4602</v>
      </c>
      <c r="X47" s="642">
        <f t="shared" si="47"/>
        <v>22.4602</v>
      </c>
      <c r="Y47" s="642">
        <f t="shared" si="48"/>
        <v>22.4602</v>
      </c>
      <c r="Z47" s="642">
        <f t="shared" si="49"/>
        <v>22.4602</v>
      </c>
      <c r="AA47" s="643">
        <f t="shared" si="50"/>
        <v>22.4602</v>
      </c>
      <c r="AB47" s="660"/>
      <c r="AC47" s="2701" t="s">
        <v>3105</v>
      </c>
      <c r="AD47" s="907">
        <v>4.1149999999999997E-5</v>
      </c>
      <c r="AE47" s="908">
        <v>4.1149999999999997E-5</v>
      </c>
      <c r="AF47" s="908">
        <v>4.1149999999999997E-5</v>
      </c>
      <c r="AG47" s="908">
        <v>4.1149999999999997E-5</v>
      </c>
      <c r="AH47" s="909">
        <v>4.1149999999999997E-5</v>
      </c>
      <c r="AI47" s="907">
        <v>4.1149999999999997E-5</v>
      </c>
      <c r="AJ47" s="908">
        <v>4.1149999999999997E-5</v>
      </c>
      <c r="AK47" s="908">
        <v>4.1149999999999997E-5</v>
      </c>
      <c r="AL47" s="908">
        <v>4.1149999999999997E-5</v>
      </c>
      <c r="AM47" s="909">
        <v>4.1149999999999997E-5</v>
      </c>
      <c r="AN47" s="660"/>
      <c r="AO47" s="1744" t="s">
        <v>3106</v>
      </c>
      <c r="AP47" s="907">
        <v>545812.87970838405</v>
      </c>
      <c r="AQ47" s="908">
        <v>545812.87970838405</v>
      </c>
      <c r="AR47" s="908">
        <v>545812.87970838405</v>
      </c>
      <c r="AS47" s="908">
        <v>545812.87970838405</v>
      </c>
      <c r="AT47" s="909">
        <v>545812.87970838405</v>
      </c>
      <c r="AU47" s="907">
        <v>545812.87970838405</v>
      </c>
      <c r="AV47" s="908">
        <v>545812.87970838405</v>
      </c>
      <c r="AW47" s="908">
        <v>545812.87970838405</v>
      </c>
      <c r="AX47" s="908">
        <v>545812.87970838405</v>
      </c>
      <c r="AY47" s="909">
        <v>545812.87970838405</v>
      </c>
    </row>
    <row r="48" spans="2:51" ht="15">
      <c r="B48" s="906"/>
      <c r="C48" s="530"/>
      <c r="D48" s="541" t="s">
        <v>3096</v>
      </c>
      <c r="E48" s="530"/>
      <c r="F48" s="530"/>
      <c r="G48" s="660"/>
      <c r="H48" s="660"/>
      <c r="I48" s="164" t="s">
        <v>2183</v>
      </c>
      <c r="J48" s="907">
        <v>0</v>
      </c>
      <c r="K48" s="908">
        <v>0</v>
      </c>
      <c r="L48" s="908">
        <v>0</v>
      </c>
      <c r="M48" s="908">
        <v>0</v>
      </c>
      <c r="N48" s="908">
        <v>0</v>
      </c>
      <c r="O48" s="908">
        <v>0</v>
      </c>
      <c r="P48" s="908">
        <v>0</v>
      </c>
      <c r="Q48" s="909">
        <v>0</v>
      </c>
      <c r="R48" s="641">
        <f t="shared" si="41"/>
        <v>0</v>
      </c>
      <c r="S48" s="642">
        <f t="shared" si="42"/>
        <v>0</v>
      </c>
      <c r="T48" s="642">
        <f t="shared" si="43"/>
        <v>0</v>
      </c>
      <c r="U48" s="642">
        <f t="shared" si="44"/>
        <v>0</v>
      </c>
      <c r="V48" s="1749">
        <f t="shared" si="45"/>
        <v>0</v>
      </c>
      <c r="W48" s="641">
        <f t="shared" si="46"/>
        <v>0</v>
      </c>
      <c r="X48" s="642">
        <f t="shared" si="47"/>
        <v>0</v>
      </c>
      <c r="Y48" s="642">
        <f t="shared" si="48"/>
        <v>0</v>
      </c>
      <c r="Z48" s="642">
        <f t="shared" si="49"/>
        <v>0</v>
      </c>
      <c r="AA48" s="643">
        <f t="shared" si="50"/>
        <v>0</v>
      </c>
      <c r="AB48" s="660"/>
      <c r="AC48" s="2701"/>
      <c r="AD48" s="907">
        <v>0</v>
      </c>
      <c r="AE48" s="908">
        <v>0</v>
      </c>
      <c r="AF48" s="908">
        <v>0</v>
      </c>
      <c r="AG48" s="908">
        <v>0</v>
      </c>
      <c r="AH48" s="909">
        <v>0</v>
      </c>
      <c r="AI48" s="907">
        <v>0</v>
      </c>
      <c r="AJ48" s="908">
        <v>0</v>
      </c>
      <c r="AK48" s="908">
        <v>0</v>
      </c>
      <c r="AL48" s="908">
        <v>0</v>
      </c>
      <c r="AM48" s="909">
        <v>0</v>
      </c>
      <c r="AN48" s="660"/>
      <c r="AO48" s="1744"/>
      <c r="AP48" s="907">
        <v>0</v>
      </c>
      <c r="AQ48" s="908">
        <v>0</v>
      </c>
      <c r="AR48" s="908">
        <v>0</v>
      </c>
      <c r="AS48" s="908">
        <v>0</v>
      </c>
      <c r="AT48" s="909">
        <v>0</v>
      </c>
      <c r="AU48" s="907">
        <v>0</v>
      </c>
      <c r="AV48" s="908">
        <v>0</v>
      </c>
      <c r="AW48" s="908">
        <v>0</v>
      </c>
      <c r="AX48" s="908">
        <v>0</v>
      </c>
      <c r="AY48" s="909">
        <v>0</v>
      </c>
    </row>
    <row r="49" spans="2:51" ht="15">
      <c r="B49" s="906"/>
      <c r="C49" s="530"/>
      <c r="D49" s="541" t="s">
        <v>3097</v>
      </c>
      <c r="E49" s="530"/>
      <c r="F49" s="530"/>
      <c r="G49" s="660"/>
      <c r="H49" s="660"/>
      <c r="I49" s="164" t="s">
        <v>2183</v>
      </c>
      <c r="J49" s="907">
        <v>0</v>
      </c>
      <c r="K49" s="908">
        <v>0</v>
      </c>
      <c r="L49" s="908">
        <v>0</v>
      </c>
      <c r="M49" s="908">
        <v>0</v>
      </c>
      <c r="N49" s="908">
        <v>0</v>
      </c>
      <c r="O49" s="908">
        <v>0</v>
      </c>
      <c r="P49" s="908">
        <v>0</v>
      </c>
      <c r="Q49" s="909">
        <v>0</v>
      </c>
      <c r="R49" s="641">
        <f t="shared" si="41"/>
        <v>0</v>
      </c>
      <c r="S49" s="642">
        <f t="shared" si="42"/>
        <v>0</v>
      </c>
      <c r="T49" s="642">
        <f t="shared" si="43"/>
        <v>0</v>
      </c>
      <c r="U49" s="642">
        <f t="shared" si="44"/>
        <v>0</v>
      </c>
      <c r="V49" s="1749">
        <f t="shared" si="45"/>
        <v>0</v>
      </c>
      <c r="W49" s="641">
        <f t="shared" si="46"/>
        <v>0</v>
      </c>
      <c r="X49" s="642">
        <f t="shared" si="47"/>
        <v>0</v>
      </c>
      <c r="Y49" s="642">
        <f t="shared" si="48"/>
        <v>0</v>
      </c>
      <c r="Z49" s="642">
        <f t="shared" si="49"/>
        <v>0</v>
      </c>
      <c r="AA49" s="643">
        <f t="shared" si="50"/>
        <v>0</v>
      </c>
      <c r="AB49" s="660"/>
      <c r="AC49" s="2701"/>
      <c r="AD49" s="907">
        <v>0</v>
      </c>
      <c r="AE49" s="908">
        <v>0</v>
      </c>
      <c r="AF49" s="908">
        <v>0</v>
      </c>
      <c r="AG49" s="908">
        <v>0</v>
      </c>
      <c r="AH49" s="909">
        <v>0</v>
      </c>
      <c r="AI49" s="907">
        <v>0</v>
      </c>
      <c r="AJ49" s="908">
        <v>0</v>
      </c>
      <c r="AK49" s="908">
        <v>0</v>
      </c>
      <c r="AL49" s="908">
        <v>0</v>
      </c>
      <c r="AM49" s="909">
        <v>0</v>
      </c>
      <c r="AN49" s="660"/>
      <c r="AO49" s="1744"/>
      <c r="AP49" s="907">
        <v>0</v>
      </c>
      <c r="AQ49" s="908">
        <v>0</v>
      </c>
      <c r="AR49" s="908">
        <v>0</v>
      </c>
      <c r="AS49" s="908">
        <v>0</v>
      </c>
      <c r="AT49" s="909">
        <v>0</v>
      </c>
      <c r="AU49" s="907">
        <v>0</v>
      </c>
      <c r="AV49" s="908">
        <v>0</v>
      </c>
      <c r="AW49" s="908">
        <v>0</v>
      </c>
      <c r="AX49" s="908">
        <v>0</v>
      </c>
      <c r="AY49" s="909">
        <v>0</v>
      </c>
    </row>
    <row r="50" spans="2:51" ht="71.25">
      <c r="B50" s="906"/>
      <c r="C50" s="530"/>
      <c r="D50" s="541" t="s">
        <v>3098</v>
      </c>
      <c r="E50" s="530"/>
      <c r="F50" s="530"/>
      <c r="G50" s="660"/>
      <c r="H50" s="660"/>
      <c r="I50" s="164" t="s">
        <v>2183</v>
      </c>
      <c r="J50" s="907">
        <v>155</v>
      </c>
      <c r="K50" s="908">
        <v>49</v>
      </c>
      <c r="L50" s="908">
        <v>305</v>
      </c>
      <c r="M50" s="908">
        <v>87</v>
      </c>
      <c r="N50" s="908">
        <v>422</v>
      </c>
      <c r="O50" s="908">
        <v>251</v>
      </c>
      <c r="P50" s="908">
        <v>205</v>
      </c>
      <c r="Q50" s="909">
        <v>200</v>
      </c>
      <c r="R50" s="641">
        <f t="shared" si="41"/>
        <v>198.34000000000003</v>
      </c>
      <c r="S50" s="642">
        <f t="shared" si="42"/>
        <v>196.23</v>
      </c>
      <c r="T50" s="642">
        <f t="shared" si="43"/>
        <v>194.12</v>
      </c>
      <c r="U50" s="642">
        <f t="shared" si="44"/>
        <v>192.01</v>
      </c>
      <c r="V50" s="1749">
        <f t="shared" si="45"/>
        <v>189.9</v>
      </c>
      <c r="W50" s="641">
        <f t="shared" si="46"/>
        <v>186.102</v>
      </c>
      <c r="X50" s="642">
        <f t="shared" si="47"/>
        <v>182.304</v>
      </c>
      <c r="Y50" s="642">
        <f t="shared" si="48"/>
        <v>178.506</v>
      </c>
      <c r="Z50" s="642">
        <f t="shared" si="49"/>
        <v>174.70800000000003</v>
      </c>
      <c r="AA50" s="643">
        <f t="shared" si="50"/>
        <v>170.91</v>
      </c>
      <c r="AB50" s="660"/>
      <c r="AC50" s="2701" t="s">
        <v>3107</v>
      </c>
      <c r="AD50" s="907">
        <v>1.5831999999999999E-4</v>
      </c>
      <c r="AE50" s="908">
        <v>1.5831999999999999E-4</v>
      </c>
      <c r="AF50" s="908">
        <v>1.5831999999999999E-4</v>
      </c>
      <c r="AG50" s="908">
        <v>1.5831999999999999E-4</v>
      </c>
      <c r="AH50" s="909">
        <v>1.5831999999999999E-4</v>
      </c>
      <c r="AI50" s="907">
        <v>1.5831999999999999E-4</v>
      </c>
      <c r="AJ50" s="908">
        <v>1.5831999999999999E-4</v>
      </c>
      <c r="AK50" s="908">
        <v>1.5831999999999999E-4</v>
      </c>
      <c r="AL50" s="908">
        <v>1.5831999999999999E-4</v>
      </c>
      <c r="AM50" s="909">
        <v>1.5831999999999999E-4</v>
      </c>
      <c r="AN50" s="660"/>
      <c r="AO50" s="1744" t="s">
        <v>3106</v>
      </c>
      <c r="AP50" s="907">
        <v>1252779.1814047501</v>
      </c>
      <c r="AQ50" s="908">
        <v>1239451.7433046994</v>
      </c>
      <c r="AR50" s="908">
        <v>1226124.305204649</v>
      </c>
      <c r="AS50" s="908">
        <v>1212796.8671045983</v>
      </c>
      <c r="AT50" s="909">
        <v>1199469.4290045479</v>
      </c>
      <c r="AU50" s="907">
        <v>1175480.0404244568</v>
      </c>
      <c r="AV50" s="908">
        <v>1151490.651844366</v>
      </c>
      <c r="AW50" s="908">
        <v>1127501.2632642749</v>
      </c>
      <c r="AX50" s="908">
        <v>1103511.8746841841</v>
      </c>
      <c r="AY50" s="909">
        <v>1079522.486104093</v>
      </c>
    </row>
    <row r="51" spans="2:51" ht="15">
      <c r="B51" s="906"/>
      <c r="C51" s="530"/>
      <c r="D51" s="541" t="s">
        <v>3099</v>
      </c>
      <c r="E51" s="530"/>
      <c r="F51" s="530"/>
      <c r="G51" s="660"/>
      <c r="H51" s="660"/>
      <c r="I51" s="164" t="s">
        <v>2183</v>
      </c>
      <c r="J51" s="907">
        <v>0</v>
      </c>
      <c r="K51" s="908">
        <v>0</v>
      </c>
      <c r="L51" s="908">
        <v>0</v>
      </c>
      <c r="M51" s="908">
        <v>0</v>
      </c>
      <c r="N51" s="908">
        <v>0</v>
      </c>
      <c r="O51" s="908">
        <v>0</v>
      </c>
      <c r="P51" s="908">
        <v>0</v>
      </c>
      <c r="Q51" s="909">
        <v>0</v>
      </c>
      <c r="R51" s="641">
        <f t="shared" si="41"/>
        <v>0</v>
      </c>
      <c r="S51" s="642">
        <f t="shared" si="42"/>
        <v>0</v>
      </c>
      <c r="T51" s="642">
        <f t="shared" si="43"/>
        <v>0</v>
      </c>
      <c r="U51" s="642">
        <f t="shared" si="44"/>
        <v>0</v>
      </c>
      <c r="V51" s="1749">
        <f t="shared" si="45"/>
        <v>0</v>
      </c>
      <c r="W51" s="641">
        <f t="shared" si="46"/>
        <v>0</v>
      </c>
      <c r="X51" s="642">
        <f t="shared" si="47"/>
        <v>0</v>
      </c>
      <c r="Y51" s="642">
        <f t="shared" si="48"/>
        <v>0</v>
      </c>
      <c r="Z51" s="642">
        <f t="shared" si="49"/>
        <v>0</v>
      </c>
      <c r="AA51" s="643">
        <f t="shared" si="50"/>
        <v>0</v>
      </c>
      <c r="AB51" s="660"/>
      <c r="AC51" s="2701"/>
      <c r="AD51" s="907">
        <v>0</v>
      </c>
      <c r="AE51" s="908">
        <v>0</v>
      </c>
      <c r="AF51" s="908">
        <v>0</v>
      </c>
      <c r="AG51" s="908">
        <v>0</v>
      </c>
      <c r="AH51" s="909">
        <v>0</v>
      </c>
      <c r="AI51" s="907">
        <v>0</v>
      </c>
      <c r="AJ51" s="908">
        <v>0</v>
      </c>
      <c r="AK51" s="908">
        <v>0</v>
      </c>
      <c r="AL51" s="908">
        <v>0</v>
      </c>
      <c r="AM51" s="909">
        <v>0</v>
      </c>
      <c r="AN51" s="660"/>
      <c r="AO51" s="1744"/>
      <c r="AP51" s="907">
        <v>0</v>
      </c>
      <c r="AQ51" s="908">
        <v>0</v>
      </c>
      <c r="AR51" s="908">
        <v>0</v>
      </c>
      <c r="AS51" s="908">
        <v>0</v>
      </c>
      <c r="AT51" s="909">
        <v>0</v>
      </c>
      <c r="AU51" s="907">
        <v>0</v>
      </c>
      <c r="AV51" s="908">
        <v>0</v>
      </c>
      <c r="AW51" s="908">
        <v>0</v>
      </c>
      <c r="AX51" s="908">
        <v>0</v>
      </c>
      <c r="AY51" s="909">
        <v>0</v>
      </c>
    </row>
    <row r="52" spans="2:51" ht="42.75">
      <c r="B52" s="906"/>
      <c r="C52" s="530"/>
      <c r="D52" s="530" t="s">
        <v>85</v>
      </c>
      <c r="E52" s="530"/>
      <c r="F52" s="530"/>
      <c r="G52" s="928" t="s">
        <v>3108</v>
      </c>
      <c r="H52" s="660"/>
      <c r="I52" s="164" t="s">
        <v>2183</v>
      </c>
      <c r="J52" s="907"/>
      <c r="K52" s="908"/>
      <c r="L52" s="908"/>
      <c r="M52" s="908"/>
      <c r="N52" s="908"/>
      <c r="O52" s="908"/>
      <c r="P52" s="908"/>
      <c r="Q52" s="909"/>
      <c r="R52" s="641">
        <f t="shared" si="41"/>
        <v>114.02272529999999</v>
      </c>
      <c r="S52" s="642">
        <f t="shared" si="42"/>
        <v>231.50070063999999</v>
      </c>
      <c r="T52" s="642">
        <f t="shared" si="43"/>
        <v>345.52360127999998</v>
      </c>
      <c r="U52" s="642">
        <f t="shared" si="44"/>
        <v>340.34230427999995</v>
      </c>
      <c r="V52" s="1749">
        <f t="shared" si="45"/>
        <v>335.16118261999998</v>
      </c>
      <c r="W52" s="641">
        <f t="shared" si="46"/>
        <v>0</v>
      </c>
      <c r="X52" s="642">
        <f t="shared" si="47"/>
        <v>0</v>
      </c>
      <c r="Y52" s="642">
        <f t="shared" si="48"/>
        <v>0</v>
      </c>
      <c r="Z52" s="642">
        <f t="shared" si="49"/>
        <v>0</v>
      </c>
      <c r="AA52" s="643">
        <f t="shared" si="50"/>
        <v>0</v>
      </c>
      <c r="AB52" s="660"/>
      <c r="AC52" s="2701" t="s">
        <v>3109</v>
      </c>
      <c r="AD52" s="907">
        <v>1.7533999999999998E-4</v>
      </c>
      <c r="AE52" s="908">
        <v>1.7533999999999998E-4</v>
      </c>
      <c r="AF52" s="908">
        <v>1.7533999999999998E-4</v>
      </c>
      <c r="AG52" s="908">
        <v>1.7533999999999998E-4</v>
      </c>
      <c r="AH52" s="909">
        <v>1.7533999999999998E-4</v>
      </c>
      <c r="AI52" s="907">
        <v>1.7533999999999998E-4</v>
      </c>
      <c r="AJ52" s="908">
        <v>1.7533999999999998E-4</v>
      </c>
      <c r="AK52" s="908">
        <v>1.7533999999999998E-4</v>
      </c>
      <c r="AL52" s="908">
        <v>1.7533999999999998E-4</v>
      </c>
      <c r="AM52" s="909">
        <v>1.7533999999999998E-4</v>
      </c>
      <c r="AN52" s="660"/>
      <c r="AO52" s="1744" t="s">
        <v>3094</v>
      </c>
      <c r="AP52" s="907">
        <v>650295</v>
      </c>
      <c r="AQ52" s="908">
        <v>1320296</v>
      </c>
      <c r="AR52" s="908">
        <v>1970592</v>
      </c>
      <c r="AS52" s="908">
        <v>1941042</v>
      </c>
      <c r="AT52" s="909">
        <v>1911493</v>
      </c>
      <c r="AU52" s="907">
        <v>0</v>
      </c>
      <c r="AV52" s="908">
        <v>0</v>
      </c>
      <c r="AW52" s="908">
        <v>0</v>
      </c>
      <c r="AX52" s="908">
        <v>0</v>
      </c>
      <c r="AY52" s="909">
        <v>0</v>
      </c>
    </row>
    <row r="53" spans="2:51" ht="71.25">
      <c r="B53" s="906"/>
      <c r="C53" s="530"/>
      <c r="D53" s="530" t="s">
        <v>85</v>
      </c>
      <c r="E53" s="530"/>
      <c r="F53" s="530"/>
      <c r="G53" s="928" t="s">
        <v>3110</v>
      </c>
      <c r="H53" s="660"/>
      <c r="I53" s="164" t="s">
        <v>2183</v>
      </c>
      <c r="J53" s="907">
        <v>0</v>
      </c>
      <c r="K53" s="908">
        <v>0</v>
      </c>
      <c r="L53" s="908">
        <v>0</v>
      </c>
      <c r="M53" s="908">
        <v>0</v>
      </c>
      <c r="N53" s="908">
        <v>0</v>
      </c>
      <c r="O53" s="908">
        <v>0</v>
      </c>
      <c r="P53" s="908">
        <v>0</v>
      </c>
      <c r="Q53" s="909">
        <v>0</v>
      </c>
      <c r="R53" s="641">
        <f t="shared" ref="R53" si="51">AD53*AP53</f>
        <v>69.057427230000002</v>
      </c>
      <c r="S53" s="642">
        <f t="shared" si="40"/>
        <v>140.20758422</v>
      </c>
      <c r="T53" s="642">
        <f t="shared" si="40"/>
        <v>209.26501145</v>
      </c>
      <c r="U53" s="642">
        <f t="shared" si="40"/>
        <v>206.12697875000001</v>
      </c>
      <c r="V53" s="1749">
        <f t="shared" si="40"/>
        <v>202.98912304000001</v>
      </c>
      <c r="W53" s="641">
        <f t="shared" si="40"/>
        <v>0</v>
      </c>
      <c r="X53" s="642">
        <f t="shared" si="40"/>
        <v>0</v>
      </c>
      <c r="Y53" s="642">
        <f t="shared" si="40"/>
        <v>0</v>
      </c>
      <c r="Z53" s="642">
        <f t="shared" si="40"/>
        <v>0</v>
      </c>
      <c r="AA53" s="643">
        <f t="shared" si="40"/>
        <v>0</v>
      </c>
      <c r="AB53" s="660"/>
      <c r="AC53" s="2701" t="s">
        <v>3111</v>
      </c>
      <c r="AD53" s="907">
        <v>1.7699E-4</v>
      </c>
      <c r="AE53" s="908">
        <v>1.7699E-4</v>
      </c>
      <c r="AF53" s="908">
        <v>1.7699E-4</v>
      </c>
      <c r="AG53" s="908">
        <v>1.7699E-4</v>
      </c>
      <c r="AH53" s="909">
        <v>1.7699E-4</v>
      </c>
      <c r="AI53" s="907">
        <v>1.7699E-4</v>
      </c>
      <c r="AJ53" s="908">
        <v>1.7699E-4</v>
      </c>
      <c r="AK53" s="908">
        <v>1.7699E-4</v>
      </c>
      <c r="AL53" s="908">
        <v>1.7699E-4</v>
      </c>
      <c r="AM53" s="909">
        <v>1.7699E-4</v>
      </c>
      <c r="AN53" s="660"/>
      <c r="AO53" s="1744" t="s">
        <v>3094</v>
      </c>
      <c r="AP53" s="907">
        <v>390177</v>
      </c>
      <c r="AQ53" s="908">
        <v>792178</v>
      </c>
      <c r="AR53" s="908">
        <v>1182355</v>
      </c>
      <c r="AS53" s="908">
        <v>1164625</v>
      </c>
      <c r="AT53" s="909">
        <v>1146896</v>
      </c>
      <c r="AU53" s="907">
        <v>0</v>
      </c>
      <c r="AV53" s="908">
        <v>0</v>
      </c>
      <c r="AW53" s="908">
        <v>0</v>
      </c>
      <c r="AX53" s="908">
        <v>0</v>
      </c>
      <c r="AY53" s="909">
        <v>0</v>
      </c>
    </row>
    <row r="54" spans="2:51" ht="15">
      <c r="B54" s="906"/>
      <c r="C54" s="541" t="s">
        <v>1710</v>
      </c>
      <c r="D54" s="530"/>
      <c r="E54" s="530"/>
      <c r="F54" s="530"/>
      <c r="G54" s="660"/>
      <c r="H54" s="660"/>
      <c r="I54" s="164" t="s">
        <v>2183</v>
      </c>
      <c r="J54" s="697">
        <f t="shared" ref="J54:AA54" si="52">SUM(J42:J53)</f>
        <v>1314</v>
      </c>
      <c r="K54" s="698">
        <f t="shared" si="52"/>
        <v>1330</v>
      </c>
      <c r="L54" s="698">
        <f t="shared" si="52"/>
        <v>1508</v>
      </c>
      <c r="M54" s="698">
        <f t="shared" si="52"/>
        <v>1348</v>
      </c>
      <c r="N54" s="698">
        <f t="shared" si="52"/>
        <v>1619</v>
      </c>
      <c r="O54" s="698">
        <f t="shared" si="52"/>
        <v>1262</v>
      </c>
      <c r="P54" s="698">
        <f t="shared" si="52"/>
        <v>1264.5</v>
      </c>
      <c r="Q54" s="699">
        <f t="shared" si="52"/>
        <v>1308</v>
      </c>
      <c r="R54" s="697">
        <f t="shared" si="52"/>
        <v>1200.0773745500001</v>
      </c>
      <c r="S54" s="698">
        <f t="shared" si="52"/>
        <v>1019.9381769500001</v>
      </c>
      <c r="T54" s="698">
        <f t="shared" si="52"/>
        <v>844.54873580999993</v>
      </c>
      <c r="U54" s="698">
        <f t="shared" si="52"/>
        <v>833.02203730999997</v>
      </c>
      <c r="V54" s="1750">
        <f t="shared" si="52"/>
        <v>821.49569113999996</v>
      </c>
      <c r="W54" s="697">
        <f t="shared" si="52"/>
        <v>563.48822024000003</v>
      </c>
      <c r="X54" s="698">
        <f t="shared" si="52"/>
        <v>559.69022024000003</v>
      </c>
      <c r="Y54" s="698">
        <f t="shared" si="52"/>
        <v>555.89222024000003</v>
      </c>
      <c r="Z54" s="698">
        <f t="shared" si="52"/>
        <v>552.09422024000014</v>
      </c>
      <c r="AA54" s="699">
        <f t="shared" si="52"/>
        <v>193.37020000000001</v>
      </c>
      <c r="AB54" s="660"/>
      <c r="AC54" s="1745"/>
      <c r="AD54" s="910"/>
      <c r="AE54" s="913"/>
      <c r="AF54" s="911"/>
      <c r="AG54" s="911"/>
      <c r="AH54" s="912"/>
      <c r="AI54" s="910"/>
      <c r="AJ54" s="913"/>
      <c r="AK54" s="911"/>
      <c r="AL54" s="911"/>
      <c r="AM54" s="912"/>
      <c r="AN54" s="660"/>
      <c r="AO54" s="1745"/>
      <c r="AP54" s="910"/>
      <c r="AQ54" s="913"/>
      <c r="AR54" s="911"/>
      <c r="AS54" s="911"/>
      <c r="AT54" s="912"/>
      <c r="AU54" s="910"/>
      <c r="AV54" s="913"/>
      <c r="AW54" s="911"/>
      <c r="AX54" s="911"/>
      <c r="AY54" s="912"/>
    </row>
    <row r="55" spans="2:51" ht="15">
      <c r="B55" s="906"/>
      <c r="C55" s="530"/>
      <c r="D55" s="530"/>
      <c r="E55" s="530"/>
      <c r="F55" s="530"/>
      <c r="G55" s="541"/>
      <c r="H55" s="660"/>
      <c r="I55" s="661"/>
      <c r="J55" s="910"/>
      <c r="K55" s="911"/>
      <c r="L55" s="911"/>
      <c r="M55" s="911"/>
      <c r="N55" s="911"/>
      <c r="O55" s="911"/>
      <c r="P55" s="911"/>
      <c r="Q55" s="912"/>
      <c r="R55" s="910"/>
      <c r="S55" s="911"/>
      <c r="T55" s="911"/>
      <c r="U55" s="911"/>
      <c r="V55" s="911"/>
      <c r="W55" s="910"/>
      <c r="X55" s="911"/>
      <c r="Y55" s="911"/>
      <c r="Z55" s="911"/>
      <c r="AA55" s="912"/>
      <c r="AB55" s="660"/>
      <c r="AC55" s="1745"/>
      <c r="AD55" s="910"/>
      <c r="AE55" s="913"/>
      <c r="AF55" s="911"/>
      <c r="AG55" s="911"/>
      <c r="AH55" s="912"/>
      <c r="AI55" s="910"/>
      <c r="AJ55" s="913"/>
      <c r="AK55" s="911"/>
      <c r="AL55" s="911"/>
      <c r="AM55" s="912"/>
      <c r="AN55" s="660"/>
      <c r="AO55" s="1745"/>
      <c r="AP55" s="910"/>
      <c r="AQ55" s="913"/>
      <c r="AR55" s="911"/>
      <c r="AS55" s="911"/>
      <c r="AT55" s="912"/>
      <c r="AU55" s="910"/>
      <c r="AV55" s="913"/>
      <c r="AW55" s="911"/>
      <c r="AX55" s="911"/>
      <c r="AY55" s="912"/>
    </row>
    <row r="56" spans="2:51" ht="15">
      <c r="B56" s="906"/>
      <c r="C56" s="667" t="s">
        <v>3112</v>
      </c>
      <c r="D56" s="667"/>
      <c r="E56" s="667"/>
      <c r="F56" s="667"/>
      <c r="G56" s="541"/>
      <c r="H56" s="660"/>
      <c r="I56" s="661"/>
      <c r="J56" s="910"/>
      <c r="K56" s="911"/>
      <c r="L56" s="911"/>
      <c r="M56" s="911"/>
      <c r="N56" s="911"/>
      <c r="O56" s="911"/>
      <c r="P56" s="911"/>
      <c r="Q56" s="912"/>
      <c r="R56" s="910"/>
      <c r="S56" s="911"/>
      <c r="T56" s="911"/>
      <c r="U56" s="911"/>
      <c r="V56" s="911"/>
      <c r="W56" s="910"/>
      <c r="X56" s="911"/>
      <c r="Y56" s="911"/>
      <c r="Z56" s="911"/>
      <c r="AA56" s="912"/>
      <c r="AB56" s="660"/>
      <c r="AC56" s="1745"/>
      <c r="AD56" s="910"/>
      <c r="AE56" s="913"/>
      <c r="AF56" s="911"/>
      <c r="AG56" s="911"/>
      <c r="AH56" s="912"/>
      <c r="AI56" s="910"/>
      <c r="AJ56" s="913"/>
      <c r="AK56" s="911"/>
      <c r="AL56" s="911"/>
      <c r="AM56" s="912"/>
      <c r="AN56" s="660"/>
      <c r="AO56" s="1745"/>
      <c r="AP56" s="910"/>
      <c r="AQ56" s="913"/>
      <c r="AR56" s="911"/>
      <c r="AS56" s="911"/>
      <c r="AT56" s="912"/>
      <c r="AU56" s="910"/>
      <c r="AV56" s="913"/>
      <c r="AW56" s="911"/>
      <c r="AX56" s="911"/>
      <c r="AY56" s="912"/>
    </row>
    <row r="57" spans="2:51" ht="15">
      <c r="B57" s="906"/>
      <c r="C57" s="530"/>
      <c r="D57" s="530" t="s">
        <v>85</v>
      </c>
      <c r="E57" s="530"/>
      <c r="F57" s="530"/>
      <c r="G57" s="928"/>
      <c r="H57" s="660"/>
      <c r="I57" s="164" t="s">
        <v>2183</v>
      </c>
      <c r="J57" s="907" t="s">
        <v>974</v>
      </c>
      <c r="K57" s="908" t="s">
        <v>974</v>
      </c>
      <c r="L57" s="908" t="s">
        <v>974</v>
      </c>
      <c r="M57" s="908" t="s">
        <v>974</v>
      </c>
      <c r="N57" s="908" t="s">
        <v>974</v>
      </c>
      <c r="O57" s="908" t="s">
        <v>974</v>
      </c>
      <c r="P57" s="908" t="s">
        <v>974</v>
      </c>
      <c r="Q57" s="909" t="s">
        <v>974</v>
      </c>
      <c r="R57" s="641">
        <f>AD57*AP57</f>
        <v>0</v>
      </c>
      <c r="S57" s="642">
        <f t="shared" ref="S57:AA58" si="53">AE57*AQ57</f>
        <v>0</v>
      </c>
      <c r="T57" s="642">
        <f t="shared" si="53"/>
        <v>0</v>
      </c>
      <c r="U57" s="642">
        <f t="shared" si="53"/>
        <v>0</v>
      </c>
      <c r="V57" s="1749">
        <f t="shared" si="53"/>
        <v>0</v>
      </c>
      <c r="W57" s="641">
        <f t="shared" si="53"/>
        <v>0</v>
      </c>
      <c r="X57" s="642">
        <f t="shared" si="53"/>
        <v>0</v>
      </c>
      <c r="Y57" s="642">
        <f t="shared" si="53"/>
        <v>0</v>
      </c>
      <c r="Z57" s="642">
        <f t="shared" si="53"/>
        <v>0</v>
      </c>
      <c r="AA57" s="643">
        <f t="shared" si="53"/>
        <v>0</v>
      </c>
      <c r="AB57" s="660"/>
      <c r="AC57" s="1744" t="s">
        <v>974</v>
      </c>
      <c r="AD57" s="907">
        <v>0</v>
      </c>
      <c r="AE57" s="908">
        <v>0</v>
      </c>
      <c r="AF57" s="908">
        <v>0</v>
      </c>
      <c r="AG57" s="908">
        <v>0</v>
      </c>
      <c r="AH57" s="909">
        <v>0</v>
      </c>
      <c r="AI57" s="907">
        <v>0</v>
      </c>
      <c r="AJ57" s="908">
        <v>0</v>
      </c>
      <c r="AK57" s="908">
        <v>0</v>
      </c>
      <c r="AL57" s="908">
        <v>0</v>
      </c>
      <c r="AM57" s="909">
        <v>0</v>
      </c>
      <c r="AN57" s="660"/>
      <c r="AO57" s="1744" t="s">
        <v>974</v>
      </c>
      <c r="AP57" s="907">
        <v>0</v>
      </c>
      <c r="AQ57" s="908">
        <v>0</v>
      </c>
      <c r="AR57" s="908">
        <v>0</v>
      </c>
      <c r="AS57" s="908">
        <v>0</v>
      </c>
      <c r="AT57" s="909">
        <v>0</v>
      </c>
      <c r="AU57" s="907">
        <v>0</v>
      </c>
      <c r="AV57" s="908">
        <v>0</v>
      </c>
      <c r="AW57" s="908">
        <v>0</v>
      </c>
      <c r="AX57" s="908">
        <v>0</v>
      </c>
      <c r="AY57" s="909">
        <v>0</v>
      </c>
    </row>
    <row r="58" spans="2:51" ht="15">
      <c r="B58" s="906"/>
      <c r="C58" s="530"/>
      <c r="D58" s="530" t="s">
        <v>85</v>
      </c>
      <c r="E58" s="530"/>
      <c r="F58" s="530"/>
      <c r="G58" s="928"/>
      <c r="H58" s="660"/>
      <c r="I58" s="164" t="s">
        <v>2183</v>
      </c>
      <c r="J58" s="907" t="s">
        <v>974</v>
      </c>
      <c r="K58" s="908" t="s">
        <v>974</v>
      </c>
      <c r="L58" s="908" t="s">
        <v>974</v>
      </c>
      <c r="M58" s="908" t="s">
        <v>974</v>
      </c>
      <c r="N58" s="908" t="s">
        <v>974</v>
      </c>
      <c r="O58" s="908" t="s">
        <v>974</v>
      </c>
      <c r="P58" s="908" t="s">
        <v>974</v>
      </c>
      <c r="Q58" s="909" t="s">
        <v>974</v>
      </c>
      <c r="R58" s="641">
        <f>AD58*AP58</f>
        <v>0</v>
      </c>
      <c r="S58" s="642">
        <f t="shared" si="53"/>
        <v>0</v>
      </c>
      <c r="T58" s="642">
        <f t="shared" si="53"/>
        <v>0</v>
      </c>
      <c r="U58" s="642">
        <f t="shared" si="53"/>
        <v>0</v>
      </c>
      <c r="V58" s="1749">
        <f t="shared" si="53"/>
        <v>0</v>
      </c>
      <c r="W58" s="641">
        <f t="shared" si="53"/>
        <v>0</v>
      </c>
      <c r="X58" s="642">
        <f t="shared" si="53"/>
        <v>0</v>
      </c>
      <c r="Y58" s="642">
        <f t="shared" si="53"/>
        <v>0</v>
      </c>
      <c r="Z58" s="642">
        <f t="shared" si="53"/>
        <v>0</v>
      </c>
      <c r="AA58" s="643">
        <f t="shared" si="53"/>
        <v>0</v>
      </c>
      <c r="AB58" s="660"/>
      <c r="AC58" s="1744" t="s">
        <v>974</v>
      </c>
      <c r="AD58" s="907">
        <v>0</v>
      </c>
      <c r="AE58" s="908">
        <v>0</v>
      </c>
      <c r="AF58" s="908">
        <v>0</v>
      </c>
      <c r="AG58" s="908">
        <v>0</v>
      </c>
      <c r="AH58" s="909">
        <v>0</v>
      </c>
      <c r="AI58" s="907">
        <v>0</v>
      </c>
      <c r="AJ58" s="908">
        <v>0</v>
      </c>
      <c r="AK58" s="908">
        <v>0</v>
      </c>
      <c r="AL58" s="908">
        <v>0</v>
      </c>
      <c r="AM58" s="909">
        <v>0</v>
      </c>
      <c r="AN58" s="660"/>
      <c r="AO58" s="1744" t="s">
        <v>974</v>
      </c>
      <c r="AP58" s="907">
        <v>0</v>
      </c>
      <c r="AQ58" s="908">
        <v>0</v>
      </c>
      <c r="AR58" s="908">
        <v>0</v>
      </c>
      <c r="AS58" s="908">
        <v>0</v>
      </c>
      <c r="AT58" s="909">
        <v>0</v>
      </c>
      <c r="AU58" s="907">
        <v>0</v>
      </c>
      <c r="AV58" s="908">
        <v>0</v>
      </c>
      <c r="AW58" s="908">
        <v>0</v>
      </c>
      <c r="AX58" s="908">
        <v>0</v>
      </c>
      <c r="AY58" s="909">
        <v>0</v>
      </c>
    </row>
    <row r="59" spans="2:51" ht="15">
      <c r="B59" s="906"/>
      <c r="C59" s="541" t="s">
        <v>1710</v>
      </c>
      <c r="D59" s="530"/>
      <c r="E59" s="530"/>
      <c r="F59" s="530"/>
      <c r="G59" s="660"/>
      <c r="H59" s="660"/>
      <c r="I59" s="164" t="s">
        <v>2183</v>
      </c>
      <c r="J59" s="697">
        <f>SUM(J57:J58)</f>
        <v>0</v>
      </c>
      <c r="K59" s="698">
        <f t="shared" ref="K59:Q59" si="54">SUM(K57:K58)</f>
        <v>0</v>
      </c>
      <c r="L59" s="698">
        <f t="shared" si="54"/>
        <v>0</v>
      </c>
      <c r="M59" s="698">
        <f t="shared" si="54"/>
        <v>0</v>
      </c>
      <c r="N59" s="698">
        <f t="shared" si="54"/>
        <v>0</v>
      </c>
      <c r="O59" s="698">
        <f t="shared" si="54"/>
        <v>0</v>
      </c>
      <c r="P59" s="698">
        <f t="shared" si="54"/>
        <v>0</v>
      </c>
      <c r="Q59" s="699">
        <f t="shared" si="54"/>
        <v>0</v>
      </c>
      <c r="R59" s="697">
        <f>SUM(R57:R58)</f>
        <v>0</v>
      </c>
      <c r="S59" s="698">
        <f t="shared" ref="S59:V59" si="55">SUM(S57:S58)</f>
        <v>0</v>
      </c>
      <c r="T59" s="698">
        <f t="shared" si="55"/>
        <v>0</v>
      </c>
      <c r="U59" s="698">
        <f t="shared" si="55"/>
        <v>0</v>
      </c>
      <c r="V59" s="1750">
        <f t="shared" si="55"/>
        <v>0</v>
      </c>
      <c r="W59" s="697">
        <f>SUM(W57:W58)</f>
        <v>0</v>
      </c>
      <c r="X59" s="698">
        <f t="shared" ref="X59:AA59" si="56">SUM(X57:X58)</f>
        <v>0</v>
      </c>
      <c r="Y59" s="698">
        <f t="shared" si="56"/>
        <v>0</v>
      </c>
      <c r="Z59" s="698">
        <f t="shared" si="56"/>
        <v>0</v>
      </c>
      <c r="AA59" s="699">
        <f t="shared" si="56"/>
        <v>0</v>
      </c>
      <c r="AB59" s="660"/>
      <c r="AC59" s="1745"/>
      <c r="AD59" s="910"/>
      <c r="AE59" s="913"/>
      <c r="AF59" s="911"/>
      <c r="AG59" s="911"/>
      <c r="AH59" s="912"/>
      <c r="AI59" s="910"/>
      <c r="AJ59" s="913"/>
      <c r="AK59" s="911"/>
      <c r="AL59" s="911"/>
      <c r="AM59" s="912"/>
      <c r="AN59" s="660"/>
      <c r="AO59" s="1745"/>
      <c r="AP59" s="910"/>
      <c r="AQ59" s="913"/>
      <c r="AR59" s="911"/>
      <c r="AS59" s="911"/>
      <c r="AT59" s="912"/>
      <c r="AU59" s="910"/>
      <c r="AV59" s="913"/>
      <c r="AW59" s="911"/>
      <c r="AX59" s="911"/>
      <c r="AY59" s="912"/>
    </row>
    <row r="60" spans="2:51" ht="15">
      <c r="B60" s="906"/>
      <c r="C60" s="662"/>
      <c r="D60" s="662"/>
      <c r="E60" s="662"/>
      <c r="F60" s="662"/>
      <c r="G60" s="660"/>
      <c r="H60" s="660"/>
      <c r="I60" s="661"/>
      <c r="J60" s="910"/>
      <c r="K60" s="911"/>
      <c r="L60" s="911"/>
      <c r="M60" s="911"/>
      <c r="N60" s="911"/>
      <c r="O60" s="911"/>
      <c r="P60" s="911"/>
      <c r="Q60" s="912"/>
      <c r="R60" s="910"/>
      <c r="S60" s="911"/>
      <c r="T60" s="911"/>
      <c r="U60" s="911"/>
      <c r="V60" s="911"/>
      <c r="W60" s="910"/>
      <c r="X60" s="911"/>
      <c r="Y60" s="911"/>
      <c r="Z60" s="911"/>
      <c r="AA60" s="912"/>
      <c r="AB60" s="660"/>
      <c r="AC60" s="1745"/>
      <c r="AD60" s="910"/>
      <c r="AE60" s="913"/>
      <c r="AF60" s="911"/>
      <c r="AG60" s="911"/>
      <c r="AH60" s="912"/>
      <c r="AI60" s="910"/>
      <c r="AJ60" s="913"/>
      <c r="AK60" s="911"/>
      <c r="AL60" s="911"/>
      <c r="AM60" s="912"/>
      <c r="AN60" s="660"/>
      <c r="AO60" s="1745"/>
      <c r="AP60" s="910"/>
      <c r="AQ60" s="913"/>
      <c r="AR60" s="911"/>
      <c r="AS60" s="911"/>
      <c r="AT60" s="912"/>
      <c r="AU60" s="910"/>
      <c r="AV60" s="913"/>
      <c r="AW60" s="911"/>
      <c r="AX60" s="911"/>
      <c r="AY60" s="912"/>
    </row>
    <row r="61" spans="2:51" ht="15">
      <c r="B61" s="906"/>
      <c r="C61" s="666" t="s">
        <v>3113</v>
      </c>
      <c r="D61" s="665"/>
      <c r="E61" s="665"/>
      <c r="F61" s="665"/>
      <c r="G61" s="662"/>
      <c r="H61" s="660"/>
      <c r="I61" s="661"/>
      <c r="J61" s="910"/>
      <c r="K61" s="911"/>
      <c r="L61" s="911"/>
      <c r="M61" s="911"/>
      <c r="N61" s="911"/>
      <c r="O61" s="911"/>
      <c r="P61" s="911"/>
      <c r="Q61" s="912"/>
      <c r="R61" s="910"/>
      <c r="S61" s="911"/>
      <c r="T61" s="911"/>
      <c r="U61" s="911"/>
      <c r="V61" s="911"/>
      <c r="W61" s="910"/>
      <c r="X61" s="911"/>
      <c r="Y61" s="911"/>
      <c r="Z61" s="911"/>
      <c r="AA61" s="912"/>
      <c r="AB61" s="660"/>
      <c r="AC61" s="1745"/>
      <c r="AD61" s="910"/>
      <c r="AE61" s="913"/>
      <c r="AF61" s="911"/>
      <c r="AG61" s="911"/>
      <c r="AH61" s="912"/>
      <c r="AI61" s="910"/>
      <c r="AJ61" s="913"/>
      <c r="AK61" s="911"/>
      <c r="AL61" s="911"/>
      <c r="AM61" s="912"/>
      <c r="AN61" s="660"/>
      <c r="AO61" s="1745"/>
      <c r="AP61" s="910"/>
      <c r="AQ61" s="913"/>
      <c r="AR61" s="911"/>
      <c r="AS61" s="911"/>
      <c r="AT61" s="912"/>
      <c r="AU61" s="910"/>
      <c r="AV61" s="913"/>
      <c r="AW61" s="911"/>
      <c r="AX61" s="911"/>
      <c r="AY61" s="912"/>
    </row>
    <row r="62" spans="2:51" ht="57">
      <c r="B62" s="906"/>
      <c r="C62" s="530"/>
      <c r="D62" s="530" t="s">
        <v>3114</v>
      </c>
      <c r="E62" s="662"/>
      <c r="F62" s="662"/>
      <c r="G62" s="660"/>
      <c r="H62" s="660"/>
      <c r="I62" s="164" t="s">
        <v>2183</v>
      </c>
      <c r="J62" s="2697" t="s">
        <v>3115</v>
      </c>
      <c r="K62" s="2698" t="s">
        <v>3115</v>
      </c>
      <c r="L62" s="2698" t="s">
        <v>3115</v>
      </c>
      <c r="M62" s="2698" t="s">
        <v>3115</v>
      </c>
      <c r="N62" s="2698" t="s">
        <v>3115</v>
      </c>
      <c r="O62" s="2698" t="s">
        <v>3115</v>
      </c>
      <c r="P62" s="2698" t="s">
        <v>3115</v>
      </c>
      <c r="Q62" s="2699" t="s">
        <v>3115</v>
      </c>
      <c r="R62" s="641">
        <f>AD62*AP62</f>
        <v>0</v>
      </c>
      <c r="S62" s="642">
        <f t="shared" ref="S62:AA66" si="57">AE62*AQ62</f>
        <v>0</v>
      </c>
      <c r="T62" s="642">
        <f t="shared" si="57"/>
        <v>0</v>
      </c>
      <c r="U62" s="642">
        <f t="shared" si="57"/>
        <v>0</v>
      </c>
      <c r="V62" s="1749">
        <f t="shared" si="57"/>
        <v>0</v>
      </c>
      <c r="W62" s="641">
        <f t="shared" si="57"/>
        <v>0</v>
      </c>
      <c r="X62" s="642">
        <f t="shared" si="57"/>
        <v>0</v>
      </c>
      <c r="Y62" s="642">
        <f t="shared" si="57"/>
        <v>0</v>
      </c>
      <c r="Z62" s="642">
        <f t="shared" si="57"/>
        <v>0</v>
      </c>
      <c r="AA62" s="643">
        <f t="shared" si="57"/>
        <v>0</v>
      </c>
      <c r="AB62" s="660"/>
      <c r="AC62" s="2702" t="s">
        <v>3115</v>
      </c>
      <c r="AD62" s="907">
        <v>0</v>
      </c>
      <c r="AE62" s="908">
        <v>0</v>
      </c>
      <c r="AF62" s="908">
        <v>0</v>
      </c>
      <c r="AG62" s="908">
        <v>0</v>
      </c>
      <c r="AH62" s="909">
        <v>0</v>
      </c>
      <c r="AI62" s="907">
        <v>0</v>
      </c>
      <c r="AJ62" s="908">
        <v>0</v>
      </c>
      <c r="AK62" s="908">
        <v>0</v>
      </c>
      <c r="AL62" s="908">
        <v>0</v>
      </c>
      <c r="AM62" s="909">
        <v>0</v>
      </c>
      <c r="AN62" s="660"/>
      <c r="AO62" s="2700" t="s">
        <v>3115</v>
      </c>
      <c r="AP62" s="907">
        <v>0</v>
      </c>
      <c r="AQ62" s="908">
        <v>0</v>
      </c>
      <c r="AR62" s="908">
        <v>0</v>
      </c>
      <c r="AS62" s="908">
        <v>0</v>
      </c>
      <c r="AT62" s="909">
        <v>0</v>
      </c>
      <c r="AU62" s="907">
        <v>0</v>
      </c>
      <c r="AV62" s="908">
        <v>0</v>
      </c>
      <c r="AW62" s="908">
        <v>0</v>
      </c>
      <c r="AX62" s="908">
        <v>0</v>
      </c>
      <c r="AY62" s="909">
        <v>0</v>
      </c>
    </row>
    <row r="63" spans="2:51" ht="15">
      <c r="B63" s="906"/>
      <c r="C63" s="530"/>
      <c r="D63" s="530" t="s">
        <v>3116</v>
      </c>
      <c r="E63" s="662"/>
      <c r="F63" s="662"/>
      <c r="G63" s="660"/>
      <c r="H63" s="660"/>
      <c r="I63" s="164" t="s">
        <v>2183</v>
      </c>
      <c r="J63" s="907" t="s">
        <v>974</v>
      </c>
      <c r="K63" s="908" t="s">
        <v>974</v>
      </c>
      <c r="L63" s="908" t="s">
        <v>974</v>
      </c>
      <c r="M63" s="908" t="s">
        <v>974</v>
      </c>
      <c r="N63" s="908" t="s">
        <v>974</v>
      </c>
      <c r="O63" s="908" t="s">
        <v>974</v>
      </c>
      <c r="P63" s="908" t="s">
        <v>974</v>
      </c>
      <c r="Q63" s="909" t="s">
        <v>974</v>
      </c>
      <c r="R63" s="641">
        <f t="shared" ref="R63:R66" si="58">AD63*AP63</f>
        <v>0</v>
      </c>
      <c r="S63" s="642">
        <f t="shared" si="57"/>
        <v>0</v>
      </c>
      <c r="T63" s="642">
        <f t="shared" si="57"/>
        <v>0</v>
      </c>
      <c r="U63" s="642">
        <f t="shared" si="57"/>
        <v>0</v>
      </c>
      <c r="V63" s="1749">
        <f t="shared" si="57"/>
        <v>0</v>
      </c>
      <c r="W63" s="641">
        <f t="shared" si="57"/>
        <v>0</v>
      </c>
      <c r="X63" s="642">
        <f t="shared" si="57"/>
        <v>0</v>
      </c>
      <c r="Y63" s="642">
        <f t="shared" si="57"/>
        <v>0</v>
      </c>
      <c r="Z63" s="642">
        <f t="shared" si="57"/>
        <v>0</v>
      </c>
      <c r="AA63" s="643">
        <f t="shared" si="57"/>
        <v>0</v>
      </c>
      <c r="AB63" s="660"/>
      <c r="AC63" s="1744" t="s">
        <v>974</v>
      </c>
      <c r="AD63" s="907">
        <v>0</v>
      </c>
      <c r="AE63" s="908">
        <v>0</v>
      </c>
      <c r="AF63" s="908">
        <v>0</v>
      </c>
      <c r="AG63" s="908">
        <v>0</v>
      </c>
      <c r="AH63" s="909">
        <v>0</v>
      </c>
      <c r="AI63" s="907">
        <v>0</v>
      </c>
      <c r="AJ63" s="908">
        <v>0</v>
      </c>
      <c r="AK63" s="908">
        <v>0</v>
      </c>
      <c r="AL63" s="908">
        <v>0</v>
      </c>
      <c r="AM63" s="909">
        <v>0</v>
      </c>
      <c r="AN63" s="660"/>
      <c r="AO63" s="1744"/>
      <c r="AP63" s="907">
        <v>0</v>
      </c>
      <c r="AQ63" s="908">
        <v>0</v>
      </c>
      <c r="AR63" s="908">
        <v>0</v>
      </c>
      <c r="AS63" s="908">
        <v>0</v>
      </c>
      <c r="AT63" s="909">
        <v>0</v>
      </c>
      <c r="AU63" s="907">
        <v>0</v>
      </c>
      <c r="AV63" s="908">
        <v>0</v>
      </c>
      <c r="AW63" s="908">
        <v>0</v>
      </c>
      <c r="AX63" s="908">
        <v>0</v>
      </c>
      <c r="AY63" s="909">
        <v>0</v>
      </c>
    </row>
    <row r="64" spans="2:51" ht="15">
      <c r="B64" s="906"/>
      <c r="C64" s="530"/>
      <c r="D64" s="530" t="s">
        <v>3117</v>
      </c>
      <c r="E64" s="662"/>
      <c r="F64" s="662"/>
      <c r="G64" s="660"/>
      <c r="H64" s="660"/>
      <c r="I64" s="164" t="s">
        <v>2183</v>
      </c>
      <c r="J64" s="907" t="s">
        <v>974</v>
      </c>
      <c r="K64" s="908" t="s">
        <v>974</v>
      </c>
      <c r="L64" s="908" t="s">
        <v>974</v>
      </c>
      <c r="M64" s="908" t="s">
        <v>974</v>
      </c>
      <c r="N64" s="908" t="s">
        <v>974</v>
      </c>
      <c r="O64" s="908" t="s">
        <v>974</v>
      </c>
      <c r="P64" s="908" t="s">
        <v>974</v>
      </c>
      <c r="Q64" s="909" t="s">
        <v>974</v>
      </c>
      <c r="R64" s="641">
        <f t="shared" si="58"/>
        <v>0</v>
      </c>
      <c r="S64" s="642">
        <f t="shared" si="57"/>
        <v>0</v>
      </c>
      <c r="T64" s="642">
        <f t="shared" si="57"/>
        <v>0</v>
      </c>
      <c r="U64" s="642">
        <f t="shared" si="57"/>
        <v>0</v>
      </c>
      <c r="V64" s="1749">
        <f t="shared" si="57"/>
        <v>0</v>
      </c>
      <c r="W64" s="641">
        <f t="shared" si="57"/>
        <v>0</v>
      </c>
      <c r="X64" s="642">
        <f t="shared" si="57"/>
        <v>0</v>
      </c>
      <c r="Y64" s="642">
        <f t="shared" si="57"/>
        <v>0</v>
      </c>
      <c r="Z64" s="642">
        <f t="shared" si="57"/>
        <v>0</v>
      </c>
      <c r="AA64" s="643">
        <f t="shared" si="57"/>
        <v>0</v>
      </c>
      <c r="AB64" s="660"/>
      <c r="AC64" s="1744" t="s">
        <v>974</v>
      </c>
      <c r="AD64" s="907">
        <v>0</v>
      </c>
      <c r="AE64" s="908">
        <v>0</v>
      </c>
      <c r="AF64" s="908">
        <v>0</v>
      </c>
      <c r="AG64" s="908">
        <v>0</v>
      </c>
      <c r="AH64" s="909">
        <v>0</v>
      </c>
      <c r="AI64" s="907">
        <v>0</v>
      </c>
      <c r="AJ64" s="908">
        <v>0</v>
      </c>
      <c r="AK64" s="908">
        <v>0</v>
      </c>
      <c r="AL64" s="908">
        <v>0</v>
      </c>
      <c r="AM64" s="909">
        <v>0</v>
      </c>
      <c r="AN64" s="660"/>
      <c r="AO64" s="1744"/>
      <c r="AP64" s="907">
        <v>0</v>
      </c>
      <c r="AQ64" s="908">
        <v>0</v>
      </c>
      <c r="AR64" s="908">
        <v>0</v>
      </c>
      <c r="AS64" s="908">
        <v>0</v>
      </c>
      <c r="AT64" s="909">
        <v>0</v>
      </c>
      <c r="AU64" s="907">
        <v>0</v>
      </c>
      <c r="AV64" s="908">
        <v>0</v>
      </c>
      <c r="AW64" s="908">
        <v>0</v>
      </c>
      <c r="AX64" s="908">
        <v>0</v>
      </c>
      <c r="AY64" s="909">
        <v>0</v>
      </c>
    </row>
    <row r="65" spans="2:51" ht="15">
      <c r="B65" s="906"/>
      <c r="C65" s="530"/>
      <c r="D65" s="530" t="s">
        <v>85</v>
      </c>
      <c r="E65" s="530"/>
      <c r="F65" s="530"/>
      <c r="G65" s="928"/>
      <c r="H65" s="660"/>
      <c r="I65" s="164" t="s">
        <v>2183</v>
      </c>
      <c r="J65" s="907" t="s">
        <v>974</v>
      </c>
      <c r="K65" s="908" t="s">
        <v>974</v>
      </c>
      <c r="L65" s="908" t="s">
        <v>974</v>
      </c>
      <c r="M65" s="908" t="s">
        <v>974</v>
      </c>
      <c r="N65" s="908" t="s">
        <v>974</v>
      </c>
      <c r="O65" s="908" t="s">
        <v>974</v>
      </c>
      <c r="P65" s="908" t="s">
        <v>974</v>
      </c>
      <c r="Q65" s="909" t="s">
        <v>974</v>
      </c>
      <c r="R65" s="641">
        <f t="shared" si="58"/>
        <v>0</v>
      </c>
      <c r="S65" s="642">
        <f t="shared" si="57"/>
        <v>0</v>
      </c>
      <c r="T65" s="642">
        <f t="shared" si="57"/>
        <v>0</v>
      </c>
      <c r="U65" s="642">
        <f t="shared" si="57"/>
        <v>0</v>
      </c>
      <c r="V65" s="1749">
        <f t="shared" si="57"/>
        <v>0</v>
      </c>
      <c r="W65" s="641">
        <f t="shared" si="57"/>
        <v>0</v>
      </c>
      <c r="X65" s="642">
        <f t="shared" si="57"/>
        <v>0</v>
      </c>
      <c r="Y65" s="642">
        <f t="shared" si="57"/>
        <v>0</v>
      </c>
      <c r="Z65" s="642">
        <f t="shared" si="57"/>
        <v>0</v>
      </c>
      <c r="AA65" s="643">
        <f t="shared" si="57"/>
        <v>0</v>
      </c>
      <c r="AB65" s="660"/>
      <c r="AC65" s="1744" t="s">
        <v>974</v>
      </c>
      <c r="AD65" s="907">
        <v>0</v>
      </c>
      <c r="AE65" s="908">
        <v>0</v>
      </c>
      <c r="AF65" s="908">
        <v>0</v>
      </c>
      <c r="AG65" s="908">
        <v>0</v>
      </c>
      <c r="AH65" s="909">
        <v>0</v>
      </c>
      <c r="AI65" s="907">
        <v>0</v>
      </c>
      <c r="AJ65" s="908">
        <v>0</v>
      </c>
      <c r="AK65" s="908">
        <v>0</v>
      </c>
      <c r="AL65" s="908">
        <v>0</v>
      </c>
      <c r="AM65" s="909">
        <v>0</v>
      </c>
      <c r="AN65" s="660"/>
      <c r="AO65" s="1744"/>
      <c r="AP65" s="907">
        <v>0</v>
      </c>
      <c r="AQ65" s="908">
        <v>0</v>
      </c>
      <c r="AR65" s="908">
        <v>0</v>
      </c>
      <c r="AS65" s="908">
        <v>0</v>
      </c>
      <c r="AT65" s="909">
        <v>0</v>
      </c>
      <c r="AU65" s="907">
        <v>0</v>
      </c>
      <c r="AV65" s="908">
        <v>0</v>
      </c>
      <c r="AW65" s="908">
        <v>0</v>
      </c>
      <c r="AX65" s="908">
        <v>0</v>
      </c>
      <c r="AY65" s="909">
        <v>0</v>
      </c>
    </row>
    <row r="66" spans="2:51" ht="15.75" thickBot="1">
      <c r="B66" s="906"/>
      <c r="C66" s="530"/>
      <c r="D66" s="530" t="s">
        <v>85</v>
      </c>
      <c r="E66" s="530"/>
      <c r="F66" s="530"/>
      <c r="G66" s="928"/>
      <c r="H66" s="660"/>
      <c r="I66" s="164" t="s">
        <v>2183</v>
      </c>
      <c r="J66" s="907" t="s">
        <v>974</v>
      </c>
      <c r="K66" s="908" t="s">
        <v>974</v>
      </c>
      <c r="L66" s="908" t="s">
        <v>974</v>
      </c>
      <c r="M66" s="908" t="s">
        <v>974</v>
      </c>
      <c r="N66" s="908" t="s">
        <v>974</v>
      </c>
      <c r="O66" s="908" t="s">
        <v>974</v>
      </c>
      <c r="P66" s="908" t="s">
        <v>974</v>
      </c>
      <c r="Q66" s="909" t="s">
        <v>974</v>
      </c>
      <c r="R66" s="641">
        <f t="shared" si="58"/>
        <v>0</v>
      </c>
      <c r="S66" s="642">
        <f t="shared" si="57"/>
        <v>0</v>
      </c>
      <c r="T66" s="642">
        <f t="shared" si="57"/>
        <v>0</v>
      </c>
      <c r="U66" s="642">
        <f t="shared" si="57"/>
        <v>0</v>
      </c>
      <c r="V66" s="1749">
        <f t="shared" si="57"/>
        <v>0</v>
      </c>
      <c r="W66" s="641">
        <f t="shared" si="57"/>
        <v>0</v>
      </c>
      <c r="X66" s="642">
        <f t="shared" si="57"/>
        <v>0</v>
      </c>
      <c r="Y66" s="642">
        <f t="shared" si="57"/>
        <v>0</v>
      </c>
      <c r="Z66" s="642">
        <f t="shared" si="57"/>
        <v>0</v>
      </c>
      <c r="AA66" s="643">
        <f t="shared" si="57"/>
        <v>0</v>
      </c>
      <c r="AB66" s="660"/>
      <c r="AC66" s="1744" t="s">
        <v>974</v>
      </c>
      <c r="AD66" s="914">
        <v>0</v>
      </c>
      <c r="AE66" s="915">
        <v>0</v>
      </c>
      <c r="AF66" s="915">
        <v>0</v>
      </c>
      <c r="AG66" s="915">
        <v>0</v>
      </c>
      <c r="AH66" s="916">
        <v>0</v>
      </c>
      <c r="AI66" s="914">
        <v>0</v>
      </c>
      <c r="AJ66" s="915">
        <v>0</v>
      </c>
      <c r="AK66" s="915">
        <v>0</v>
      </c>
      <c r="AL66" s="915">
        <v>0</v>
      </c>
      <c r="AM66" s="916">
        <v>0</v>
      </c>
      <c r="AN66" s="660"/>
      <c r="AO66" s="1744"/>
      <c r="AP66" s="914">
        <v>0</v>
      </c>
      <c r="AQ66" s="915">
        <v>0</v>
      </c>
      <c r="AR66" s="915">
        <v>0</v>
      </c>
      <c r="AS66" s="915">
        <v>0</v>
      </c>
      <c r="AT66" s="916">
        <v>0</v>
      </c>
      <c r="AU66" s="914">
        <v>0</v>
      </c>
      <c r="AV66" s="915">
        <v>0</v>
      </c>
      <c r="AW66" s="915">
        <v>0</v>
      </c>
      <c r="AX66" s="915">
        <v>0</v>
      </c>
      <c r="AY66" s="916">
        <v>0</v>
      </c>
    </row>
    <row r="67" spans="2:51" ht="15">
      <c r="B67" s="906"/>
      <c r="C67" s="530" t="s">
        <v>1710</v>
      </c>
      <c r="D67" s="530"/>
      <c r="E67" s="662"/>
      <c r="F67" s="662"/>
      <c r="G67" s="660"/>
      <c r="H67" s="660"/>
      <c r="I67" s="164" t="s">
        <v>2183</v>
      </c>
      <c r="J67" s="697">
        <v>0</v>
      </c>
      <c r="K67" s="698">
        <v>0</v>
      </c>
      <c r="L67" s="698">
        <v>0</v>
      </c>
      <c r="M67" s="698">
        <v>0</v>
      </c>
      <c r="N67" s="698">
        <v>0</v>
      </c>
      <c r="O67" s="698">
        <v>0</v>
      </c>
      <c r="P67" s="698">
        <v>0</v>
      </c>
      <c r="Q67" s="699">
        <v>0</v>
      </c>
      <c r="R67" s="697">
        <f>SUM(R62:R66)</f>
        <v>0</v>
      </c>
      <c r="S67" s="698">
        <f t="shared" ref="S67" si="59">SUM(S62:S66)</f>
        <v>0</v>
      </c>
      <c r="T67" s="698">
        <f t="shared" ref="T67" si="60">SUM(T62:T66)</f>
        <v>0</v>
      </c>
      <c r="U67" s="698">
        <f t="shared" ref="U67" si="61">SUM(U62:U66)</f>
        <v>0</v>
      </c>
      <c r="V67" s="1750">
        <f t="shared" ref="V67" si="62">SUM(V62:V66)</f>
        <v>0</v>
      </c>
      <c r="W67" s="697">
        <f>SUM(W62:W66)</f>
        <v>0</v>
      </c>
      <c r="X67" s="698">
        <f t="shared" ref="X67:AA67" si="63">SUM(X62:X66)</f>
        <v>0</v>
      </c>
      <c r="Y67" s="698">
        <f t="shared" si="63"/>
        <v>0</v>
      </c>
      <c r="Z67" s="698">
        <f t="shared" si="63"/>
        <v>0</v>
      </c>
      <c r="AA67" s="699">
        <f t="shared" si="63"/>
        <v>0</v>
      </c>
      <c r="AB67" s="660"/>
      <c r="AC67" s="660"/>
      <c r="AD67" s="660"/>
      <c r="AE67" s="661"/>
      <c r="AF67" s="660"/>
      <c r="AG67" s="660"/>
      <c r="AH67" s="660"/>
      <c r="AI67" s="660"/>
      <c r="AJ67" s="661"/>
      <c r="AK67" s="660"/>
      <c r="AL67" s="660"/>
      <c r="AM67" s="660"/>
      <c r="AN67" s="660"/>
      <c r="AO67" s="660"/>
      <c r="AP67" s="660"/>
      <c r="AQ67" s="660"/>
      <c r="AR67" s="660"/>
      <c r="AS67" s="660"/>
      <c r="AT67" s="660"/>
      <c r="AU67" s="660"/>
      <c r="AV67" s="660"/>
      <c r="AW67" s="660"/>
      <c r="AX67" s="660"/>
      <c r="AY67" s="659"/>
    </row>
    <row r="68" spans="2:51" ht="15">
      <c r="B68" s="906"/>
      <c r="C68" s="530"/>
      <c r="D68" s="530"/>
      <c r="E68" s="662"/>
      <c r="F68" s="662"/>
      <c r="G68" s="660"/>
      <c r="H68" s="660"/>
      <c r="I68" s="96"/>
      <c r="J68" s="1327"/>
      <c r="K68" s="1328"/>
      <c r="L68" s="1328"/>
      <c r="M68" s="1328"/>
      <c r="N68" s="1328"/>
      <c r="O68" s="1328"/>
      <c r="P68" s="1328"/>
      <c r="Q68" s="1329"/>
      <c r="R68" s="1327"/>
      <c r="S68" s="1328"/>
      <c r="T68" s="1328"/>
      <c r="U68" s="1328"/>
      <c r="V68" s="1328"/>
      <c r="W68" s="1327"/>
      <c r="X68" s="1328"/>
      <c r="Y68" s="1328"/>
      <c r="Z68" s="1328"/>
      <c r="AA68" s="1329"/>
      <c r="AB68" s="660"/>
      <c r="AC68" s="660"/>
      <c r="AD68" s="660"/>
      <c r="AE68" s="661"/>
      <c r="AF68" s="660"/>
      <c r="AG68" s="660"/>
      <c r="AH68" s="660"/>
      <c r="AI68" s="660"/>
      <c r="AJ68" s="661"/>
      <c r="AK68" s="660"/>
      <c r="AL68" s="660"/>
      <c r="AM68" s="660"/>
      <c r="AN68" s="660"/>
      <c r="AO68" s="661"/>
      <c r="AP68" s="661"/>
      <c r="AQ68" s="660"/>
      <c r="AR68" s="660"/>
      <c r="AS68" s="660"/>
      <c r="AT68" s="661"/>
      <c r="AU68" s="661"/>
      <c r="AV68" s="660"/>
      <c r="AW68" s="660"/>
      <c r="AX68" s="660"/>
      <c r="AY68" s="659"/>
    </row>
    <row r="69" spans="2:51" ht="15">
      <c r="B69" s="906"/>
      <c r="C69" s="667" t="s">
        <v>3118</v>
      </c>
      <c r="D69" s="530"/>
      <c r="E69" s="662"/>
      <c r="F69" s="662"/>
      <c r="G69" s="662"/>
      <c r="H69" s="660"/>
      <c r="I69" s="96"/>
      <c r="J69" s="1327"/>
      <c r="K69" s="1328"/>
      <c r="L69" s="1328"/>
      <c r="M69" s="1328"/>
      <c r="N69" s="1328"/>
      <c r="O69" s="1328"/>
      <c r="P69" s="1328"/>
      <c r="Q69" s="1329"/>
      <c r="R69" s="1327"/>
      <c r="S69" s="1328"/>
      <c r="T69" s="1328"/>
      <c r="U69" s="1328"/>
      <c r="V69" s="1328"/>
      <c r="W69" s="1327"/>
      <c r="X69" s="1328"/>
      <c r="Y69" s="1328"/>
      <c r="Z69" s="1328"/>
      <c r="AA69" s="1329"/>
      <c r="AB69" s="660"/>
      <c r="AC69" s="660"/>
      <c r="AD69" s="660"/>
      <c r="AE69" s="661"/>
      <c r="AF69" s="660"/>
      <c r="AG69" s="660"/>
      <c r="AH69" s="660"/>
      <c r="AI69" s="660"/>
      <c r="AJ69" s="661"/>
      <c r="AK69" s="660"/>
      <c r="AL69" s="660"/>
      <c r="AM69" s="660"/>
      <c r="AN69" s="660"/>
      <c r="AO69" s="1328"/>
      <c r="AP69" s="1328"/>
      <c r="AQ69" s="1328"/>
      <c r="AR69" s="1328"/>
      <c r="AS69" s="1328"/>
      <c r="AT69" s="1328"/>
      <c r="AU69" s="1328"/>
      <c r="AV69" s="1328"/>
      <c r="AW69" s="1328"/>
      <c r="AX69" s="1328"/>
      <c r="AY69" s="1329"/>
    </row>
    <row r="70" spans="2:51" ht="15">
      <c r="B70" s="906"/>
      <c r="C70" s="530"/>
      <c r="D70" s="530" t="s">
        <v>85</v>
      </c>
      <c r="E70" s="662"/>
      <c r="F70" s="662"/>
      <c r="G70" s="928"/>
      <c r="H70" s="660"/>
      <c r="I70" s="164" t="s">
        <v>2183</v>
      </c>
      <c r="J70" s="907" t="s">
        <v>974</v>
      </c>
      <c r="K70" s="908" t="s">
        <v>974</v>
      </c>
      <c r="L70" s="908" t="s">
        <v>974</v>
      </c>
      <c r="M70" s="908" t="s">
        <v>974</v>
      </c>
      <c r="N70" s="908" t="s">
        <v>974</v>
      </c>
      <c r="O70" s="908" t="s">
        <v>974</v>
      </c>
      <c r="P70" s="908" t="s">
        <v>974</v>
      </c>
      <c r="Q70" s="909" t="s">
        <v>974</v>
      </c>
      <c r="R70" s="907" t="s">
        <v>974</v>
      </c>
      <c r="S70" s="908" t="s">
        <v>974</v>
      </c>
      <c r="T70" s="908" t="s">
        <v>974</v>
      </c>
      <c r="U70" s="908" t="s">
        <v>974</v>
      </c>
      <c r="V70" s="1751" t="s">
        <v>974</v>
      </c>
      <c r="W70" s="907" t="s">
        <v>974</v>
      </c>
      <c r="X70" s="908" t="s">
        <v>974</v>
      </c>
      <c r="Y70" s="908" t="s">
        <v>974</v>
      </c>
      <c r="Z70" s="908" t="s">
        <v>974</v>
      </c>
      <c r="AA70" s="909" t="s">
        <v>974</v>
      </c>
      <c r="AB70" s="660"/>
      <c r="AC70" s="660"/>
      <c r="AD70" s="660"/>
      <c r="AE70" s="661"/>
      <c r="AF70" s="660"/>
      <c r="AG70" s="660"/>
      <c r="AH70" s="660"/>
      <c r="AI70" s="660"/>
      <c r="AJ70" s="661"/>
      <c r="AK70" s="660"/>
      <c r="AL70" s="660"/>
      <c r="AM70" s="660"/>
      <c r="AN70" s="1753"/>
      <c r="AO70" s="660"/>
      <c r="AP70" s="660"/>
      <c r="AQ70" s="660"/>
      <c r="AR70" s="660"/>
      <c r="AS70" s="660"/>
      <c r="AT70" s="660"/>
      <c r="AU70" s="660"/>
      <c r="AV70" s="660"/>
      <c r="AW70" s="660"/>
      <c r="AX70" s="660"/>
      <c r="AY70" s="659"/>
    </row>
    <row r="71" spans="2:51" ht="15">
      <c r="B71" s="906"/>
      <c r="C71" s="530"/>
      <c r="D71" s="530" t="s">
        <v>85</v>
      </c>
      <c r="E71" s="662"/>
      <c r="F71" s="662"/>
      <c r="G71" s="928"/>
      <c r="H71" s="660"/>
      <c r="I71" s="164" t="s">
        <v>2183</v>
      </c>
      <c r="J71" s="907" t="s">
        <v>974</v>
      </c>
      <c r="K71" s="908" t="s">
        <v>974</v>
      </c>
      <c r="L71" s="908" t="s">
        <v>974</v>
      </c>
      <c r="M71" s="908" t="s">
        <v>974</v>
      </c>
      <c r="N71" s="908" t="s">
        <v>974</v>
      </c>
      <c r="O71" s="908" t="s">
        <v>974</v>
      </c>
      <c r="P71" s="908" t="s">
        <v>974</v>
      </c>
      <c r="Q71" s="909" t="s">
        <v>974</v>
      </c>
      <c r="R71" s="907" t="s">
        <v>974</v>
      </c>
      <c r="S71" s="908" t="s">
        <v>974</v>
      </c>
      <c r="T71" s="908" t="s">
        <v>974</v>
      </c>
      <c r="U71" s="908" t="s">
        <v>974</v>
      </c>
      <c r="V71" s="1751" t="s">
        <v>974</v>
      </c>
      <c r="W71" s="907" t="s">
        <v>974</v>
      </c>
      <c r="X71" s="908" t="s">
        <v>974</v>
      </c>
      <c r="Y71" s="908" t="s">
        <v>974</v>
      </c>
      <c r="Z71" s="908" t="s">
        <v>974</v>
      </c>
      <c r="AA71" s="909" t="s">
        <v>974</v>
      </c>
      <c r="AB71" s="660"/>
      <c r="AC71" s="660"/>
      <c r="AD71" s="660"/>
      <c r="AE71" s="661"/>
      <c r="AF71" s="660"/>
      <c r="AG71" s="660"/>
      <c r="AH71" s="660"/>
      <c r="AI71" s="660"/>
      <c r="AJ71" s="661"/>
      <c r="AK71" s="660"/>
      <c r="AL71" s="660"/>
      <c r="AM71" s="660"/>
      <c r="AN71" s="1753"/>
      <c r="AO71" s="661"/>
      <c r="AP71" s="661"/>
      <c r="AQ71" s="660"/>
      <c r="AR71" s="660"/>
      <c r="AS71" s="660"/>
      <c r="AT71" s="661"/>
      <c r="AU71" s="661"/>
      <c r="AV71" s="660"/>
      <c r="AW71" s="660"/>
      <c r="AX71" s="660"/>
      <c r="AY71" s="659"/>
    </row>
    <row r="72" spans="2:51" ht="15">
      <c r="B72" s="906"/>
      <c r="C72" s="530"/>
      <c r="D72" s="530" t="s">
        <v>85</v>
      </c>
      <c r="E72" s="662"/>
      <c r="F72" s="662"/>
      <c r="G72" s="928"/>
      <c r="H72" s="660"/>
      <c r="I72" s="164" t="s">
        <v>2183</v>
      </c>
      <c r="J72" s="907" t="s">
        <v>974</v>
      </c>
      <c r="K72" s="908" t="s">
        <v>974</v>
      </c>
      <c r="L72" s="908" t="s">
        <v>974</v>
      </c>
      <c r="M72" s="908" t="s">
        <v>974</v>
      </c>
      <c r="N72" s="908" t="s">
        <v>974</v>
      </c>
      <c r="O72" s="908" t="s">
        <v>974</v>
      </c>
      <c r="P72" s="908" t="s">
        <v>974</v>
      </c>
      <c r="Q72" s="909" t="s">
        <v>974</v>
      </c>
      <c r="R72" s="907" t="s">
        <v>974</v>
      </c>
      <c r="S72" s="908" t="s">
        <v>974</v>
      </c>
      <c r="T72" s="908" t="s">
        <v>974</v>
      </c>
      <c r="U72" s="908" t="s">
        <v>974</v>
      </c>
      <c r="V72" s="1751" t="s">
        <v>974</v>
      </c>
      <c r="W72" s="907" t="s">
        <v>974</v>
      </c>
      <c r="X72" s="908" t="s">
        <v>974</v>
      </c>
      <c r="Y72" s="908" t="s">
        <v>974</v>
      </c>
      <c r="Z72" s="908" t="s">
        <v>974</v>
      </c>
      <c r="AA72" s="909" t="s">
        <v>974</v>
      </c>
      <c r="AB72" s="660"/>
      <c r="AC72" s="660"/>
      <c r="AD72" s="660"/>
      <c r="AE72" s="661"/>
      <c r="AF72" s="660"/>
      <c r="AG72" s="660"/>
      <c r="AH72" s="660"/>
      <c r="AI72" s="660"/>
      <c r="AJ72" s="661"/>
      <c r="AK72" s="660"/>
      <c r="AL72" s="660"/>
      <c r="AM72" s="660"/>
      <c r="AN72" s="1753"/>
      <c r="AO72" s="1328"/>
      <c r="AP72" s="1328"/>
      <c r="AQ72" s="1328"/>
      <c r="AR72" s="1328"/>
      <c r="AS72" s="1328"/>
      <c r="AT72" s="1328"/>
      <c r="AU72" s="1328"/>
      <c r="AV72" s="1328"/>
      <c r="AW72" s="1328"/>
      <c r="AX72" s="1328"/>
      <c r="AY72" s="1329"/>
    </row>
    <row r="73" spans="2:51" ht="15">
      <c r="B73" s="906"/>
      <c r="C73" s="530" t="s">
        <v>1710</v>
      </c>
      <c r="D73" s="530"/>
      <c r="E73" s="662"/>
      <c r="F73" s="662"/>
      <c r="G73" s="660"/>
      <c r="H73" s="660"/>
      <c r="I73" s="164" t="s">
        <v>2183</v>
      </c>
      <c r="J73" s="697">
        <f>SUM(J70:J72)</f>
        <v>0</v>
      </c>
      <c r="K73" s="698">
        <f t="shared" ref="K73:AA73" si="64">SUM(K70:K72)</f>
        <v>0</v>
      </c>
      <c r="L73" s="698">
        <f t="shared" si="64"/>
        <v>0</v>
      </c>
      <c r="M73" s="698">
        <f t="shared" si="64"/>
        <v>0</v>
      </c>
      <c r="N73" s="698">
        <f t="shared" si="64"/>
        <v>0</v>
      </c>
      <c r="O73" s="698">
        <f t="shared" si="64"/>
        <v>0</v>
      </c>
      <c r="P73" s="698">
        <f t="shared" si="64"/>
        <v>0</v>
      </c>
      <c r="Q73" s="699">
        <f t="shared" si="64"/>
        <v>0</v>
      </c>
      <c r="R73" s="697">
        <f t="shared" si="64"/>
        <v>0</v>
      </c>
      <c r="S73" s="698">
        <f t="shared" si="64"/>
        <v>0</v>
      </c>
      <c r="T73" s="698">
        <f t="shared" si="64"/>
        <v>0</v>
      </c>
      <c r="U73" s="698">
        <f t="shared" si="64"/>
        <v>0</v>
      </c>
      <c r="V73" s="1750">
        <f t="shared" si="64"/>
        <v>0</v>
      </c>
      <c r="W73" s="697">
        <f t="shared" si="64"/>
        <v>0</v>
      </c>
      <c r="X73" s="698">
        <f t="shared" si="64"/>
        <v>0</v>
      </c>
      <c r="Y73" s="698">
        <f t="shared" si="64"/>
        <v>0</v>
      </c>
      <c r="Z73" s="698">
        <f t="shared" si="64"/>
        <v>0</v>
      </c>
      <c r="AA73" s="699">
        <f t="shared" si="64"/>
        <v>0</v>
      </c>
      <c r="AB73" s="660"/>
      <c r="AC73" s="660"/>
      <c r="AD73" s="660"/>
      <c r="AE73" s="661"/>
      <c r="AF73" s="660"/>
      <c r="AG73" s="660"/>
      <c r="AH73" s="660"/>
      <c r="AI73" s="660"/>
      <c r="AJ73" s="661"/>
      <c r="AK73" s="660"/>
      <c r="AL73" s="660"/>
      <c r="AM73" s="660"/>
      <c r="AN73" s="660"/>
      <c r="AO73" s="660"/>
      <c r="AP73" s="660"/>
      <c r="AQ73" s="660"/>
      <c r="AR73" s="660"/>
      <c r="AS73" s="660"/>
      <c r="AT73" s="660"/>
      <c r="AU73" s="660"/>
      <c r="AV73" s="660"/>
      <c r="AW73" s="660"/>
      <c r="AX73" s="660"/>
      <c r="AY73" s="659"/>
    </row>
    <row r="74" spans="2:51" ht="15">
      <c r="B74" s="906"/>
      <c r="C74" s="530"/>
      <c r="D74" s="530"/>
      <c r="E74" s="662"/>
      <c r="F74" s="662"/>
      <c r="G74" s="660"/>
      <c r="H74" s="660"/>
      <c r="I74" s="96"/>
      <c r="J74" s="1327"/>
      <c r="K74" s="1328"/>
      <c r="L74" s="1328"/>
      <c r="M74" s="1328"/>
      <c r="N74" s="1328"/>
      <c r="O74" s="1328"/>
      <c r="P74" s="1328"/>
      <c r="Q74" s="1329"/>
      <c r="R74" s="1327"/>
      <c r="S74" s="1328"/>
      <c r="T74" s="1328"/>
      <c r="U74" s="1328"/>
      <c r="V74" s="1328"/>
      <c r="W74" s="1327"/>
      <c r="X74" s="1328"/>
      <c r="Y74" s="1328"/>
      <c r="Z74" s="1328"/>
      <c r="AA74" s="1329"/>
      <c r="AB74" s="660"/>
      <c r="AC74" s="660"/>
      <c r="AD74" s="660"/>
      <c r="AE74" s="661"/>
      <c r="AF74" s="660"/>
      <c r="AG74" s="660"/>
      <c r="AH74" s="660"/>
      <c r="AI74" s="660"/>
      <c r="AJ74" s="661"/>
      <c r="AK74" s="660"/>
      <c r="AL74" s="660"/>
      <c r="AM74" s="660"/>
      <c r="AN74" s="660"/>
      <c r="AO74" s="661"/>
      <c r="AP74" s="661"/>
      <c r="AQ74" s="660"/>
      <c r="AR74" s="660"/>
      <c r="AS74" s="660"/>
      <c r="AT74" s="661"/>
      <c r="AU74" s="661"/>
      <c r="AV74" s="660"/>
      <c r="AW74" s="660"/>
      <c r="AX74" s="660"/>
      <c r="AY74" s="659"/>
    </row>
    <row r="75" spans="2:51" ht="15">
      <c r="B75" s="906"/>
      <c r="C75" s="667" t="s">
        <v>54</v>
      </c>
      <c r="D75" s="530"/>
      <c r="E75" s="662"/>
      <c r="F75" s="662"/>
      <c r="G75" s="660"/>
      <c r="H75" s="660"/>
      <c r="I75" s="96"/>
      <c r="J75" s="1327"/>
      <c r="K75" s="1328"/>
      <c r="L75" s="1328"/>
      <c r="M75" s="1328"/>
      <c r="N75" s="1328"/>
      <c r="O75" s="1328"/>
      <c r="P75" s="1328"/>
      <c r="Q75" s="1329"/>
      <c r="R75" s="1327"/>
      <c r="S75" s="1328"/>
      <c r="T75" s="1328"/>
      <c r="U75" s="1328"/>
      <c r="V75" s="1328"/>
      <c r="W75" s="1327"/>
      <c r="X75" s="1328"/>
      <c r="Y75" s="1328"/>
      <c r="Z75" s="1328"/>
      <c r="AA75" s="1329"/>
      <c r="AB75" s="660"/>
      <c r="AC75" s="660"/>
      <c r="AD75" s="660"/>
      <c r="AE75" s="661"/>
      <c r="AF75" s="660"/>
      <c r="AG75" s="660"/>
      <c r="AH75" s="660"/>
      <c r="AI75" s="660"/>
      <c r="AJ75" s="661"/>
      <c r="AK75" s="660"/>
      <c r="AL75" s="660"/>
      <c r="AM75" s="660"/>
      <c r="AN75" s="660"/>
      <c r="AO75" s="1328"/>
      <c r="AP75" s="1328"/>
      <c r="AQ75" s="1328"/>
      <c r="AR75" s="1328"/>
      <c r="AS75" s="1328"/>
      <c r="AT75" s="1328"/>
      <c r="AU75" s="1328"/>
      <c r="AV75" s="1328"/>
      <c r="AW75" s="1328"/>
      <c r="AX75" s="1328"/>
      <c r="AY75" s="1329"/>
    </row>
    <row r="76" spans="2:51" ht="15">
      <c r="B76" s="906"/>
      <c r="C76" s="530"/>
      <c r="D76" s="530" t="s">
        <v>3119</v>
      </c>
      <c r="E76" s="662"/>
      <c r="F76" s="662"/>
      <c r="G76" s="662"/>
      <c r="H76" s="660"/>
      <c r="I76" s="164" t="s">
        <v>2183</v>
      </c>
      <c r="J76" s="641">
        <f>'2.17_Shrinkage'!Z25</f>
        <v>484631.05707862938</v>
      </c>
      <c r="K76" s="642">
        <f>'2.17_Shrinkage'!AA25</f>
        <v>459754.79229742981</v>
      </c>
      <c r="L76" s="642">
        <f>'2.17_Shrinkage'!AB25</f>
        <v>441679.44424608833</v>
      </c>
      <c r="M76" s="642">
        <f>'2.17_Shrinkage'!AC25</f>
        <v>407142.43636524619</v>
      </c>
      <c r="N76" s="642">
        <f>'2.17_Shrinkage'!AD25</f>
        <v>403094.26223688712</v>
      </c>
      <c r="O76" s="642">
        <f>'2.17_Shrinkage'!AE25</f>
        <v>391288.84410049563</v>
      </c>
      <c r="P76" s="642">
        <f>'2.17_Shrinkage'!AF25</f>
        <v>363655.14442592819</v>
      </c>
      <c r="Q76" s="643">
        <f>'2.17_Shrinkage'!AG25</f>
        <v>355186.3759160699</v>
      </c>
      <c r="R76" s="641">
        <f>'2.17_Shrinkage'!AH25</f>
        <v>334178.93452130735</v>
      </c>
      <c r="S76" s="642">
        <f>'2.17_Shrinkage'!AI25</f>
        <v>317386.95212137577</v>
      </c>
      <c r="T76" s="642">
        <f>'2.17_Shrinkage'!AJ25</f>
        <v>301292.00051308994</v>
      </c>
      <c r="U76" s="642">
        <f>'2.17_Shrinkage'!AK25</f>
        <v>285367.99287111528</v>
      </c>
      <c r="V76" s="1749">
        <f>'2.17_Shrinkage'!AL25</f>
        <v>269245.17993869382</v>
      </c>
      <c r="W76" s="641">
        <f>'2.17_Shrinkage'!AM25</f>
        <v>260268.98426863601</v>
      </c>
      <c r="X76" s="642">
        <f>'2.17_Shrinkage'!AN25</f>
        <v>251292.7885985781</v>
      </c>
      <c r="Y76" s="642">
        <f>'2.17_Shrinkage'!AO25</f>
        <v>242316.59292852026</v>
      </c>
      <c r="Z76" s="642">
        <f>'2.17_Shrinkage'!AP25</f>
        <v>233340.39725846241</v>
      </c>
      <c r="AA76" s="643">
        <f>'2.17_Shrinkage'!AQ25</f>
        <v>224364.20158840457</v>
      </c>
      <c r="AB76" s="660"/>
      <c r="AC76" s="660"/>
      <c r="AD76" s="660"/>
      <c r="AE76" s="661"/>
      <c r="AF76" s="660"/>
      <c r="AG76" s="660"/>
      <c r="AH76" s="660"/>
      <c r="AI76" s="660"/>
      <c r="AJ76" s="661"/>
      <c r="AK76" s="660"/>
      <c r="AL76" s="660"/>
      <c r="AM76" s="660"/>
      <c r="AN76" s="660"/>
      <c r="AO76" s="660"/>
      <c r="AP76" s="660"/>
      <c r="AQ76" s="660"/>
      <c r="AR76" s="660"/>
      <c r="AS76" s="660"/>
      <c r="AT76" s="660"/>
      <c r="AU76" s="660"/>
      <c r="AV76" s="660"/>
      <c r="AW76" s="660"/>
      <c r="AX76" s="660"/>
      <c r="AY76" s="659"/>
    </row>
    <row r="77" spans="2:51" ht="15">
      <c r="B77" s="906"/>
      <c r="C77" s="530"/>
      <c r="D77" s="530" t="s">
        <v>3120</v>
      </c>
      <c r="E77" s="662"/>
      <c r="F77" s="662"/>
      <c r="G77" s="662"/>
      <c r="H77" s="660"/>
      <c r="I77" s="164" t="s">
        <v>2183</v>
      </c>
      <c r="J77" s="641">
        <f>'2.17_Shrinkage'!Z26</f>
        <v>1443.4920241</v>
      </c>
      <c r="K77" s="642">
        <f>'2.17_Shrinkage'!AA26</f>
        <v>1468.2393583734529</v>
      </c>
      <c r="L77" s="642">
        <f>'2.17_Shrinkage'!AB26</f>
        <v>1425.6613323960346</v>
      </c>
      <c r="M77" s="642">
        <f>'2.17_Shrinkage'!AC26</f>
        <v>1460.8614790507668</v>
      </c>
      <c r="N77" s="642">
        <f>'2.17_Shrinkage'!AD26</f>
        <v>1552.7993765536958</v>
      </c>
      <c r="O77" s="642">
        <f>'2.17_Shrinkage'!AE26</f>
        <v>1425.4699276430497</v>
      </c>
      <c r="P77" s="642">
        <f>'2.17_Shrinkage'!AF26</f>
        <v>1501.2036049486535</v>
      </c>
      <c r="Q77" s="643">
        <f>'2.17_Shrinkage'!AG26</f>
        <v>1501.5556192457657</v>
      </c>
      <c r="R77" s="641">
        <f>'2.17_Shrinkage'!AH26</f>
        <v>1494.5037195830082</v>
      </c>
      <c r="S77" s="642">
        <f>'2.17_Shrinkage'!AI26</f>
        <v>1485.8175191487931</v>
      </c>
      <c r="T77" s="642">
        <f>'2.17_Shrinkage'!AJ26</f>
        <v>1477.5934082687616</v>
      </c>
      <c r="U77" s="642">
        <f>'2.17_Shrinkage'!AK26</f>
        <v>1466.8010223796689</v>
      </c>
      <c r="V77" s="1749">
        <f>'2.17_Shrinkage'!AL26</f>
        <v>1459.8707478495712</v>
      </c>
      <c r="W77" s="641">
        <f>'2.17_Shrinkage'!AM26</f>
        <v>1459.8707478495712</v>
      </c>
      <c r="X77" s="642">
        <f>'2.17_Shrinkage'!AN26</f>
        <v>1459.8707478495712</v>
      </c>
      <c r="Y77" s="642">
        <f>'2.17_Shrinkage'!AO26</f>
        <v>1459.8707478495712</v>
      </c>
      <c r="Z77" s="642">
        <f>'2.17_Shrinkage'!AP26</f>
        <v>1459.8707478495712</v>
      </c>
      <c r="AA77" s="643">
        <f>'2.17_Shrinkage'!AQ26</f>
        <v>1459.8707478495712</v>
      </c>
      <c r="AB77" s="660"/>
      <c r="AC77" s="660"/>
      <c r="AD77" s="660"/>
      <c r="AE77" s="661"/>
      <c r="AF77" s="660"/>
      <c r="AG77" s="660"/>
      <c r="AH77" s="660"/>
      <c r="AI77" s="660"/>
      <c r="AJ77" s="661"/>
      <c r="AK77" s="660"/>
      <c r="AL77" s="660"/>
      <c r="AM77" s="660"/>
      <c r="AN77" s="660"/>
      <c r="AO77" s="661"/>
      <c r="AP77" s="661"/>
      <c r="AQ77" s="660"/>
      <c r="AR77" s="660"/>
      <c r="AS77" s="660"/>
      <c r="AT77" s="661"/>
      <c r="AU77" s="661"/>
      <c r="AV77" s="660"/>
      <c r="AW77" s="660"/>
      <c r="AX77" s="660"/>
      <c r="AY77" s="659"/>
    </row>
    <row r="78" spans="2:51" ht="15">
      <c r="B78" s="906"/>
      <c r="C78" s="530"/>
      <c r="D78" s="530" t="s">
        <v>3121</v>
      </c>
      <c r="E78" s="662"/>
      <c r="F78" s="662"/>
      <c r="G78" s="662"/>
      <c r="H78" s="660"/>
      <c r="I78" s="164" t="s">
        <v>2183</v>
      </c>
      <c r="J78" s="641">
        <f>'2.17_Shrinkage'!Z27</f>
        <v>2554.8531400000002</v>
      </c>
      <c r="K78" s="642">
        <f>'2.17_Shrinkage'!AA27</f>
        <v>2598.6537316344302</v>
      </c>
      <c r="L78" s="642">
        <f>'2.17_Shrinkage'!AB27</f>
        <v>2523.2943936213005</v>
      </c>
      <c r="M78" s="642">
        <f>'2.17_Shrinkage'!AC27</f>
        <v>2585.5955381429508</v>
      </c>
      <c r="N78" s="642">
        <f>'2.17_Shrinkage'!AD27</f>
        <v>2748.3174806260108</v>
      </c>
      <c r="O78" s="642">
        <f>'2.17_Shrinkage'!AE27</f>
        <v>2522.95562414699</v>
      </c>
      <c r="P78" s="642">
        <f>'2.17_Shrinkage'!AF27</f>
        <v>2656.9975308825724</v>
      </c>
      <c r="Q78" s="643">
        <f>'2.17_Shrinkage'!AG27</f>
        <v>2657.6205650367538</v>
      </c>
      <c r="R78" s="641">
        <f>'2.17_Shrinkage'!AH27</f>
        <v>2645.1393266955897</v>
      </c>
      <c r="S78" s="642">
        <f>'2.17_Shrinkage'!AI27</f>
        <v>2629.7655206173331</v>
      </c>
      <c r="T78" s="642">
        <f>'2.17_Shrinkage'!AJ27</f>
        <v>2615.2095721571</v>
      </c>
      <c r="U78" s="642">
        <f>'2.17_Shrinkage'!AK27</f>
        <v>2596.1080042118037</v>
      </c>
      <c r="V78" s="1749">
        <f>'2.17_Shrinkage'!AL27</f>
        <v>2583.8420315921617</v>
      </c>
      <c r="W78" s="641">
        <f>'2.17_Shrinkage'!AM27</f>
        <v>2583.8420315921617</v>
      </c>
      <c r="X78" s="642">
        <f>'2.17_Shrinkage'!AN27</f>
        <v>2583.8420315921617</v>
      </c>
      <c r="Y78" s="642">
        <f>'2.17_Shrinkage'!AO27</f>
        <v>2583.8420315921617</v>
      </c>
      <c r="Z78" s="642">
        <f>'2.17_Shrinkage'!AP27</f>
        <v>2583.8420315921617</v>
      </c>
      <c r="AA78" s="643">
        <f>'2.17_Shrinkage'!AQ27</f>
        <v>2583.8420315921617</v>
      </c>
      <c r="AB78" s="660"/>
      <c r="AC78" s="660"/>
      <c r="AD78" s="660"/>
      <c r="AE78" s="661"/>
      <c r="AF78" s="660"/>
      <c r="AG78" s="660"/>
      <c r="AH78" s="660"/>
      <c r="AI78" s="660"/>
      <c r="AJ78" s="661"/>
      <c r="AK78" s="660"/>
      <c r="AL78" s="660"/>
      <c r="AM78" s="660"/>
      <c r="AN78" s="660"/>
      <c r="AO78" s="1328"/>
      <c r="AP78" s="1328"/>
      <c r="AQ78" s="1328"/>
      <c r="AR78" s="1328"/>
      <c r="AS78" s="1328"/>
      <c r="AT78" s="1328"/>
      <c r="AU78" s="1328"/>
      <c r="AV78" s="1328"/>
      <c r="AW78" s="1328"/>
      <c r="AX78" s="1328"/>
      <c r="AY78" s="1329"/>
    </row>
    <row r="79" spans="2:51" ht="15">
      <c r="B79" s="906"/>
      <c r="C79" s="530" t="s">
        <v>1710</v>
      </c>
      <c r="D79" s="530"/>
      <c r="E79" s="662"/>
      <c r="F79" s="662"/>
      <c r="G79" s="1555"/>
      <c r="H79" s="660"/>
      <c r="I79" s="164" t="s">
        <v>2183</v>
      </c>
      <c r="J79" s="697">
        <f>SUM(J76:J78)</f>
        <v>488629.40224272938</v>
      </c>
      <c r="K79" s="698">
        <f t="shared" ref="K79:AA79" si="65">SUM(K76:K78)</f>
        <v>463821.6853874377</v>
      </c>
      <c r="L79" s="698">
        <f t="shared" si="65"/>
        <v>445628.39997210569</v>
      </c>
      <c r="M79" s="698">
        <f t="shared" si="65"/>
        <v>411188.89338243991</v>
      </c>
      <c r="N79" s="698">
        <f t="shared" si="65"/>
        <v>407395.3790940668</v>
      </c>
      <c r="O79" s="698">
        <f t="shared" si="65"/>
        <v>395237.26965228567</v>
      </c>
      <c r="P79" s="698">
        <f t="shared" si="65"/>
        <v>367813.34556175943</v>
      </c>
      <c r="Q79" s="699">
        <f t="shared" si="65"/>
        <v>359345.55210035242</v>
      </c>
      <c r="R79" s="697">
        <f t="shared" si="65"/>
        <v>338318.57756758598</v>
      </c>
      <c r="S79" s="698">
        <f t="shared" si="65"/>
        <v>321502.53516114189</v>
      </c>
      <c r="T79" s="698">
        <f t="shared" si="65"/>
        <v>305384.80349351582</v>
      </c>
      <c r="U79" s="698">
        <f t="shared" si="65"/>
        <v>289430.90189770673</v>
      </c>
      <c r="V79" s="1750">
        <f t="shared" si="65"/>
        <v>273288.89271813555</v>
      </c>
      <c r="W79" s="697">
        <f t="shared" si="65"/>
        <v>264312.69704807777</v>
      </c>
      <c r="X79" s="698">
        <f t="shared" si="65"/>
        <v>255336.50137801984</v>
      </c>
      <c r="Y79" s="698">
        <f t="shared" si="65"/>
        <v>246360.30570796199</v>
      </c>
      <c r="Z79" s="698">
        <f t="shared" si="65"/>
        <v>237384.11003790415</v>
      </c>
      <c r="AA79" s="699">
        <f t="shared" si="65"/>
        <v>228407.9143678463</v>
      </c>
      <c r="AB79" s="660"/>
      <c r="AC79" s="660"/>
      <c r="AD79" s="660"/>
      <c r="AE79" s="661"/>
      <c r="AF79" s="660"/>
      <c r="AG79" s="660"/>
      <c r="AH79" s="660"/>
      <c r="AI79" s="660"/>
      <c r="AJ79" s="661"/>
      <c r="AK79" s="660"/>
      <c r="AL79" s="660"/>
      <c r="AM79" s="660"/>
      <c r="AN79" s="660"/>
      <c r="AO79" s="660"/>
      <c r="AP79" s="660"/>
      <c r="AQ79" s="660"/>
      <c r="AR79" s="660"/>
      <c r="AS79" s="660"/>
      <c r="AT79" s="660"/>
      <c r="AU79" s="660"/>
      <c r="AV79" s="660"/>
      <c r="AW79" s="660"/>
      <c r="AX79" s="660"/>
      <c r="AY79" s="659"/>
    </row>
    <row r="80" spans="2:51" ht="15">
      <c r="B80" s="906"/>
      <c r="C80" s="662"/>
      <c r="D80" s="662"/>
      <c r="E80" s="662"/>
      <c r="F80" s="662"/>
      <c r="G80" s="662"/>
      <c r="H80" s="660"/>
      <c r="I80" s="661"/>
      <c r="J80" s="910"/>
      <c r="K80" s="911"/>
      <c r="L80" s="911"/>
      <c r="M80" s="911"/>
      <c r="N80" s="911"/>
      <c r="O80" s="911"/>
      <c r="P80" s="911"/>
      <c r="Q80" s="912"/>
      <c r="R80" s="910"/>
      <c r="S80" s="911"/>
      <c r="T80" s="911"/>
      <c r="U80" s="911"/>
      <c r="V80" s="911"/>
      <c r="W80" s="910"/>
      <c r="X80" s="911"/>
      <c r="Y80" s="911"/>
      <c r="Z80" s="911"/>
      <c r="AA80" s="912"/>
      <c r="AB80" s="660"/>
      <c r="AC80" s="660"/>
      <c r="AD80" s="660"/>
      <c r="AE80" s="661"/>
      <c r="AF80" s="660"/>
      <c r="AG80" s="660"/>
      <c r="AH80" s="660"/>
      <c r="AI80" s="660"/>
      <c r="AJ80" s="661"/>
      <c r="AK80" s="660"/>
      <c r="AL80" s="660"/>
      <c r="AM80" s="660"/>
      <c r="AN80" s="660"/>
      <c r="AO80" s="661"/>
      <c r="AP80" s="661"/>
      <c r="AQ80" s="660"/>
      <c r="AR80" s="660"/>
      <c r="AS80" s="660"/>
      <c r="AT80" s="661"/>
      <c r="AU80" s="661"/>
      <c r="AV80" s="660"/>
      <c r="AW80" s="660"/>
      <c r="AX80" s="660"/>
      <c r="AY80" s="659"/>
    </row>
    <row r="81" spans="2:51" ht="15.75" thickBot="1">
      <c r="B81" s="905" t="s">
        <v>3122</v>
      </c>
      <c r="C81" s="663"/>
      <c r="D81" s="663"/>
      <c r="E81" s="663"/>
      <c r="F81" s="663"/>
      <c r="G81" s="658"/>
      <c r="H81" s="657"/>
      <c r="I81" s="195" t="s">
        <v>2183</v>
      </c>
      <c r="J81" s="701">
        <f>SUM(J24,J39,J54,J59,J67,J73)</f>
        <v>9090</v>
      </c>
      <c r="K81" s="702">
        <f t="shared" ref="K81:AA81" si="66">SUM(K24,K39,K54,K59,K67,K73)</f>
        <v>9311</v>
      </c>
      <c r="L81" s="702">
        <f t="shared" si="66"/>
        <v>8802</v>
      </c>
      <c r="M81" s="702">
        <f t="shared" si="66"/>
        <v>8114</v>
      </c>
      <c r="N81" s="702">
        <f t="shared" si="66"/>
        <v>7861</v>
      </c>
      <c r="O81" s="702">
        <f t="shared" si="66"/>
        <v>7011</v>
      </c>
      <c r="P81" s="702">
        <f t="shared" si="66"/>
        <v>6966</v>
      </c>
      <c r="Q81" s="703">
        <f t="shared" si="66"/>
        <v>6962</v>
      </c>
      <c r="R81" s="701">
        <f t="shared" si="66"/>
        <v>5105.5127940873226</v>
      </c>
      <c r="S81" s="702">
        <f t="shared" si="66"/>
        <v>4701.044547296895</v>
      </c>
      <c r="T81" s="702">
        <f t="shared" si="66"/>
        <v>4194.5079079400002</v>
      </c>
      <c r="U81" s="702">
        <f t="shared" si="66"/>
        <v>3869.9282127489232</v>
      </c>
      <c r="V81" s="1752">
        <f t="shared" si="66"/>
        <v>3793.1563682356677</v>
      </c>
      <c r="W81" s="701">
        <f t="shared" si="66"/>
        <v>2940.8377639816781</v>
      </c>
      <c r="X81" s="702">
        <f t="shared" si="66"/>
        <v>2342.729503026881</v>
      </c>
      <c r="Y81" s="702">
        <f t="shared" si="66"/>
        <v>1744.6212462226599</v>
      </c>
      <c r="Z81" s="702">
        <f t="shared" si="66"/>
        <v>1146.5129894184392</v>
      </c>
      <c r="AA81" s="703">
        <f t="shared" si="66"/>
        <v>193.47871237421813</v>
      </c>
      <c r="AB81" s="657"/>
      <c r="AC81" s="657"/>
      <c r="AD81" s="657"/>
      <c r="AE81" s="677"/>
      <c r="AF81" s="657"/>
      <c r="AG81" s="657"/>
      <c r="AH81" s="657"/>
      <c r="AI81" s="657"/>
      <c r="AJ81" s="677"/>
      <c r="AK81" s="657"/>
      <c r="AL81" s="657"/>
      <c r="AM81" s="657"/>
      <c r="AN81" s="657"/>
      <c r="AO81" s="2472"/>
      <c r="AP81" s="2472"/>
      <c r="AQ81" s="2472"/>
      <c r="AR81" s="2472"/>
      <c r="AS81" s="2472"/>
      <c r="AT81" s="2472"/>
      <c r="AU81" s="2472"/>
      <c r="AV81" s="2472"/>
      <c r="AW81" s="2472"/>
      <c r="AX81" s="2472"/>
      <c r="AY81" s="2473"/>
    </row>
    <row r="82" spans="2:51" ht="15.75" thickBot="1">
      <c r="B82" s="899"/>
    </row>
    <row r="83" spans="2:51" ht="30" customHeight="1" thickBot="1">
      <c r="B83" s="675" t="s">
        <v>3123</v>
      </c>
      <c r="C83" s="674"/>
      <c r="D83" s="674"/>
      <c r="E83" s="674"/>
      <c r="F83" s="674"/>
      <c r="G83" s="673"/>
      <c r="H83" s="672"/>
      <c r="I83" s="603" t="s">
        <v>2165</v>
      </c>
      <c r="J83" s="671"/>
      <c r="K83" s="106"/>
      <c r="L83" s="106"/>
      <c r="M83" s="106"/>
      <c r="N83" s="106"/>
      <c r="O83" s="106"/>
      <c r="P83" s="106"/>
      <c r="Q83" s="107"/>
      <c r="R83" s="611"/>
      <c r="S83" s="105"/>
      <c r="T83" s="105"/>
      <c r="U83" s="105"/>
      <c r="V83" s="187"/>
      <c r="W83" s="611"/>
      <c r="X83" s="105"/>
      <c r="Y83" s="105"/>
      <c r="Z83" s="105"/>
      <c r="AA83" s="187"/>
      <c r="AB83" s="672"/>
      <c r="AC83" s="105" t="s">
        <v>3068</v>
      </c>
      <c r="AD83" s="105"/>
      <c r="AE83" s="105"/>
      <c r="AF83" s="105"/>
      <c r="AG83" s="105"/>
      <c r="AH83" s="187"/>
      <c r="AI83" s="105"/>
      <c r="AJ83" s="105"/>
      <c r="AK83" s="105"/>
      <c r="AL83" s="105"/>
      <c r="AM83" s="187"/>
      <c r="AN83" s="672"/>
      <c r="AO83" s="105" t="s">
        <v>3069</v>
      </c>
      <c r="AP83" s="105"/>
      <c r="AQ83" s="105"/>
      <c r="AR83" s="105"/>
      <c r="AS83" s="105"/>
      <c r="AT83" s="187"/>
      <c r="AU83" s="105"/>
      <c r="AV83" s="105"/>
      <c r="AW83" s="105"/>
      <c r="AX83" s="105"/>
      <c r="AY83" s="187"/>
    </row>
    <row r="84" spans="2:51" ht="30" customHeight="1">
      <c r="B84" s="670"/>
      <c r="C84" s="667"/>
      <c r="D84" s="667"/>
      <c r="E84" s="667"/>
      <c r="F84" s="667"/>
      <c r="G84" s="541"/>
      <c r="H84" s="660"/>
      <c r="I84" s="117"/>
      <c r="J84" s="695" t="s">
        <v>1666</v>
      </c>
      <c r="K84" s="917"/>
      <c r="L84" s="917"/>
      <c r="M84" s="917"/>
      <c r="N84" s="917"/>
      <c r="O84" s="917"/>
      <c r="P84" s="917"/>
      <c r="Q84" s="918"/>
      <c r="R84" s="871" t="s">
        <v>2</v>
      </c>
      <c r="S84" s="871"/>
      <c r="T84" s="871"/>
      <c r="U84" s="871"/>
      <c r="V84" s="919"/>
      <c r="W84" s="266" t="s">
        <v>2692</v>
      </c>
      <c r="X84" s="267"/>
      <c r="Y84" s="267"/>
      <c r="Z84" s="267"/>
      <c r="AA84" s="268"/>
      <c r="AB84" s="660"/>
      <c r="AC84" s="117"/>
      <c r="AD84" s="696" t="s">
        <v>2</v>
      </c>
      <c r="AE84" s="155"/>
      <c r="AF84" s="155"/>
      <c r="AG84" s="155"/>
      <c r="AH84" s="156"/>
      <c r="AI84" s="266" t="s">
        <v>2692</v>
      </c>
      <c r="AJ84" s="267"/>
      <c r="AK84" s="267"/>
      <c r="AL84" s="267"/>
      <c r="AM84" s="268"/>
      <c r="AN84" s="660"/>
      <c r="AO84" s="117"/>
      <c r="AP84" s="696" t="s">
        <v>2</v>
      </c>
      <c r="AQ84" s="155"/>
      <c r="AR84" s="155"/>
      <c r="AS84" s="155"/>
      <c r="AT84" s="156"/>
      <c r="AU84" s="266" t="s">
        <v>2692</v>
      </c>
      <c r="AV84" s="267"/>
      <c r="AW84" s="267"/>
      <c r="AX84" s="267"/>
      <c r="AY84" s="268"/>
    </row>
    <row r="85" spans="2:51" ht="15">
      <c r="B85" s="906"/>
      <c r="C85" s="530"/>
      <c r="D85" s="530"/>
      <c r="E85" s="530"/>
      <c r="F85" s="530"/>
      <c r="G85" s="541"/>
      <c r="H85" s="660"/>
      <c r="I85" s="119" t="s">
        <v>1667</v>
      </c>
      <c r="J85" s="158" t="s">
        <v>453</v>
      </c>
      <c r="K85" s="137" t="s">
        <v>455</v>
      </c>
      <c r="L85" s="137" t="s">
        <v>457</v>
      </c>
      <c r="M85" s="137" t="s">
        <v>459</v>
      </c>
      <c r="N85" s="137" t="s">
        <v>461</v>
      </c>
      <c r="O85" s="137" t="s">
        <v>463</v>
      </c>
      <c r="P85" s="137" t="s">
        <v>465</v>
      </c>
      <c r="Q85" s="138" t="s">
        <v>467</v>
      </c>
      <c r="R85" s="242" t="s">
        <v>469</v>
      </c>
      <c r="S85" s="121" t="s">
        <v>471</v>
      </c>
      <c r="T85" s="121" t="s">
        <v>473</v>
      </c>
      <c r="U85" s="121" t="s">
        <v>475</v>
      </c>
      <c r="V85" s="122" t="s">
        <v>477</v>
      </c>
      <c r="W85" s="321" t="s">
        <v>2170</v>
      </c>
      <c r="X85" s="322" t="s">
        <v>2171</v>
      </c>
      <c r="Y85" s="322" t="s">
        <v>2172</v>
      </c>
      <c r="Z85" s="322" t="s">
        <v>2173</v>
      </c>
      <c r="AA85" s="792" t="s">
        <v>2174</v>
      </c>
      <c r="AB85" s="660"/>
      <c r="AC85" s="119" t="s">
        <v>1667</v>
      </c>
      <c r="AD85" s="120" t="s">
        <v>469</v>
      </c>
      <c r="AE85" s="121" t="s">
        <v>471</v>
      </c>
      <c r="AF85" s="121" t="s">
        <v>473</v>
      </c>
      <c r="AG85" s="121" t="s">
        <v>475</v>
      </c>
      <c r="AH85" s="122" t="s">
        <v>477</v>
      </c>
      <c r="AI85" s="321" t="s">
        <v>2170</v>
      </c>
      <c r="AJ85" s="322" t="s">
        <v>2171</v>
      </c>
      <c r="AK85" s="322" t="s">
        <v>2172</v>
      </c>
      <c r="AL85" s="322" t="s">
        <v>2173</v>
      </c>
      <c r="AM85" s="792" t="s">
        <v>2174</v>
      </c>
      <c r="AN85" s="660"/>
      <c r="AO85" s="119" t="s">
        <v>1667</v>
      </c>
      <c r="AP85" s="120" t="s">
        <v>469</v>
      </c>
      <c r="AQ85" s="121" t="s">
        <v>471</v>
      </c>
      <c r="AR85" s="121" t="s">
        <v>473</v>
      </c>
      <c r="AS85" s="121" t="s">
        <v>475</v>
      </c>
      <c r="AT85" s="122" t="s">
        <v>477</v>
      </c>
      <c r="AU85" s="321" t="s">
        <v>2170</v>
      </c>
      <c r="AV85" s="322" t="s">
        <v>2171</v>
      </c>
      <c r="AW85" s="322" t="s">
        <v>2172</v>
      </c>
      <c r="AX85" s="322" t="s">
        <v>2173</v>
      </c>
      <c r="AY85" s="792" t="s">
        <v>2174</v>
      </c>
    </row>
    <row r="86" spans="2:51" ht="15">
      <c r="B86" s="906"/>
      <c r="C86" s="667" t="s">
        <v>3070</v>
      </c>
      <c r="D86" s="667"/>
      <c r="E86" s="667"/>
      <c r="F86" s="667"/>
      <c r="G86" s="530"/>
      <c r="H86" s="660"/>
      <c r="I86" s="96"/>
      <c r="J86" s="669"/>
      <c r="K86" s="97"/>
      <c r="L86" s="97"/>
      <c r="M86" s="97"/>
      <c r="N86" s="97"/>
      <c r="O86" s="97"/>
      <c r="P86" s="97"/>
      <c r="Q86" s="668"/>
      <c r="R86" s="97"/>
      <c r="S86" s="97"/>
      <c r="T86" s="97"/>
      <c r="U86" s="97"/>
      <c r="V86" s="668"/>
      <c r="W86" s="669"/>
      <c r="X86" s="97"/>
      <c r="Y86" s="97"/>
      <c r="Z86" s="97"/>
      <c r="AA86" s="668"/>
      <c r="AB86" s="660"/>
      <c r="AC86" s="97"/>
      <c r="AD86" s="669"/>
      <c r="AE86" s="97"/>
      <c r="AF86" s="97"/>
      <c r="AG86" s="97"/>
      <c r="AH86" s="668"/>
      <c r="AI86" s="669"/>
      <c r="AJ86" s="97"/>
      <c r="AK86" s="97"/>
      <c r="AL86" s="97"/>
      <c r="AM86" s="668"/>
      <c r="AN86" s="660"/>
      <c r="AO86" s="97"/>
      <c r="AP86" s="669"/>
      <c r="AQ86" s="97"/>
      <c r="AR86" s="97"/>
      <c r="AS86" s="97"/>
      <c r="AT86" s="668"/>
      <c r="AU86" s="669"/>
      <c r="AV86" s="97"/>
      <c r="AW86" s="97"/>
      <c r="AX86" s="97"/>
      <c r="AY86" s="668"/>
    </row>
    <row r="87" spans="2:51" ht="15">
      <c r="B87" s="906"/>
      <c r="C87" s="530"/>
      <c r="D87" s="530" t="s">
        <v>3071</v>
      </c>
      <c r="E87" s="530"/>
      <c r="F87" s="530"/>
      <c r="G87" s="660"/>
      <c r="H87" s="660"/>
      <c r="I87" s="164" t="s">
        <v>2183</v>
      </c>
      <c r="J87" s="664"/>
      <c r="K87" s="660"/>
      <c r="L87" s="660"/>
      <c r="M87" s="660"/>
      <c r="N87" s="660"/>
      <c r="O87" s="660"/>
      <c r="P87" s="660"/>
      <c r="Q87" s="659"/>
      <c r="R87" s="998">
        <f>AD87*AP87</f>
        <v>0</v>
      </c>
      <c r="S87" s="642">
        <f t="shared" ref="S87:AA90" si="67">AE87*AQ87</f>
        <v>0</v>
      </c>
      <c r="T87" s="642">
        <f t="shared" si="67"/>
        <v>0</v>
      </c>
      <c r="U87" s="642">
        <f t="shared" si="67"/>
        <v>0</v>
      </c>
      <c r="V87" s="643">
        <f t="shared" si="67"/>
        <v>0</v>
      </c>
      <c r="W87" s="641">
        <f t="shared" si="67"/>
        <v>0</v>
      </c>
      <c r="X87" s="642">
        <f t="shared" si="67"/>
        <v>0</v>
      </c>
      <c r="Y87" s="642">
        <f t="shared" si="67"/>
        <v>0</v>
      </c>
      <c r="Z87" s="642">
        <f t="shared" si="67"/>
        <v>0</v>
      </c>
      <c r="AA87" s="643">
        <f t="shared" si="67"/>
        <v>0</v>
      </c>
      <c r="AB87" s="660"/>
      <c r="AC87" s="1744" t="s">
        <v>3124</v>
      </c>
      <c r="AD87" s="907">
        <v>0</v>
      </c>
      <c r="AE87" s="908">
        <v>0</v>
      </c>
      <c r="AF87" s="908">
        <v>0</v>
      </c>
      <c r="AG87" s="908">
        <v>0</v>
      </c>
      <c r="AH87" s="909">
        <v>0</v>
      </c>
      <c r="AI87" s="907">
        <v>0</v>
      </c>
      <c r="AJ87" s="908">
        <v>0</v>
      </c>
      <c r="AK87" s="908">
        <v>0</v>
      </c>
      <c r="AL87" s="908">
        <v>0</v>
      </c>
      <c r="AM87" s="909">
        <v>0</v>
      </c>
      <c r="AN87" s="660"/>
      <c r="AO87" s="1744" t="s">
        <v>3124</v>
      </c>
      <c r="AP87" s="907">
        <v>0</v>
      </c>
      <c r="AQ87" s="908">
        <v>0</v>
      </c>
      <c r="AR87" s="908">
        <v>0</v>
      </c>
      <c r="AS87" s="908">
        <v>0</v>
      </c>
      <c r="AT87" s="909">
        <v>0</v>
      </c>
      <c r="AU87" s="907">
        <v>0</v>
      </c>
      <c r="AV87" s="908">
        <v>0</v>
      </c>
      <c r="AW87" s="908">
        <v>0</v>
      </c>
      <c r="AX87" s="908">
        <v>0</v>
      </c>
      <c r="AY87" s="909">
        <v>0</v>
      </c>
    </row>
    <row r="88" spans="2:51" ht="15">
      <c r="B88" s="906"/>
      <c r="C88" s="530"/>
      <c r="D88" s="530" t="s">
        <v>3074</v>
      </c>
      <c r="E88" s="530"/>
      <c r="F88" s="530"/>
      <c r="G88" s="660"/>
      <c r="H88" s="660"/>
      <c r="I88" s="164" t="s">
        <v>2183</v>
      </c>
      <c r="J88" s="664"/>
      <c r="K88" s="660"/>
      <c r="L88" s="660"/>
      <c r="M88" s="660"/>
      <c r="N88" s="660"/>
      <c r="O88" s="660"/>
      <c r="P88" s="660"/>
      <c r="Q88" s="659"/>
      <c r="R88" s="998">
        <f>AD88*AP88</f>
        <v>0</v>
      </c>
      <c r="S88" s="642">
        <f t="shared" si="67"/>
        <v>0</v>
      </c>
      <c r="T88" s="642">
        <f t="shared" si="67"/>
        <v>0</v>
      </c>
      <c r="U88" s="642">
        <f t="shared" si="67"/>
        <v>0</v>
      </c>
      <c r="V88" s="643">
        <f t="shared" si="67"/>
        <v>0</v>
      </c>
      <c r="W88" s="641">
        <f t="shared" si="67"/>
        <v>0</v>
      </c>
      <c r="X88" s="642">
        <f t="shared" si="67"/>
        <v>0</v>
      </c>
      <c r="Y88" s="642">
        <f t="shared" si="67"/>
        <v>0</v>
      </c>
      <c r="Z88" s="642">
        <f t="shared" si="67"/>
        <v>0</v>
      </c>
      <c r="AA88" s="643">
        <f t="shared" si="67"/>
        <v>0</v>
      </c>
      <c r="AB88" s="660"/>
      <c r="AC88" s="1744" t="s">
        <v>3124</v>
      </c>
      <c r="AD88" s="907">
        <v>0</v>
      </c>
      <c r="AE88" s="908">
        <v>0</v>
      </c>
      <c r="AF88" s="908">
        <v>0</v>
      </c>
      <c r="AG88" s="908">
        <v>0</v>
      </c>
      <c r="AH88" s="909">
        <v>0</v>
      </c>
      <c r="AI88" s="907">
        <v>0</v>
      </c>
      <c r="AJ88" s="908">
        <v>0</v>
      </c>
      <c r="AK88" s="908">
        <v>0</v>
      </c>
      <c r="AL88" s="908">
        <v>0</v>
      </c>
      <c r="AM88" s="909">
        <v>0</v>
      </c>
      <c r="AN88" s="660"/>
      <c r="AO88" s="1744" t="s">
        <v>3124</v>
      </c>
      <c r="AP88" s="907">
        <v>0</v>
      </c>
      <c r="AQ88" s="908">
        <v>0</v>
      </c>
      <c r="AR88" s="908">
        <v>0</v>
      </c>
      <c r="AS88" s="908">
        <v>0</v>
      </c>
      <c r="AT88" s="909">
        <v>0</v>
      </c>
      <c r="AU88" s="907">
        <v>0</v>
      </c>
      <c r="AV88" s="908">
        <v>0</v>
      </c>
      <c r="AW88" s="908">
        <v>0</v>
      </c>
      <c r="AX88" s="908">
        <v>0</v>
      </c>
      <c r="AY88" s="909">
        <v>0</v>
      </c>
    </row>
    <row r="89" spans="2:51" ht="15">
      <c r="B89" s="906"/>
      <c r="C89" s="530"/>
      <c r="D89" s="530" t="s">
        <v>85</v>
      </c>
      <c r="E89" s="530"/>
      <c r="F89" s="530"/>
      <c r="G89" s="928"/>
      <c r="H89" s="660"/>
      <c r="I89" s="164" t="s">
        <v>2183</v>
      </c>
      <c r="J89" s="664"/>
      <c r="K89" s="660"/>
      <c r="L89" s="660"/>
      <c r="M89" s="660"/>
      <c r="N89" s="660"/>
      <c r="O89" s="660"/>
      <c r="P89" s="660"/>
      <c r="Q89" s="659"/>
      <c r="R89" s="998">
        <f>AD89*AP89</f>
        <v>0</v>
      </c>
      <c r="S89" s="642">
        <f t="shared" si="67"/>
        <v>0</v>
      </c>
      <c r="T89" s="642">
        <f t="shared" si="67"/>
        <v>0</v>
      </c>
      <c r="U89" s="642">
        <f t="shared" si="67"/>
        <v>0</v>
      </c>
      <c r="V89" s="643">
        <f t="shared" si="67"/>
        <v>0</v>
      </c>
      <c r="W89" s="641">
        <f t="shared" si="67"/>
        <v>0</v>
      </c>
      <c r="X89" s="642">
        <f t="shared" si="67"/>
        <v>0</v>
      </c>
      <c r="Y89" s="642">
        <f t="shared" si="67"/>
        <v>0</v>
      </c>
      <c r="Z89" s="642">
        <f t="shared" si="67"/>
        <v>0</v>
      </c>
      <c r="AA89" s="643">
        <f t="shared" si="67"/>
        <v>0</v>
      </c>
      <c r="AB89" s="660"/>
      <c r="AC89" s="1744" t="s">
        <v>3124</v>
      </c>
      <c r="AD89" s="907">
        <v>0</v>
      </c>
      <c r="AE89" s="908">
        <v>0</v>
      </c>
      <c r="AF89" s="908">
        <v>0</v>
      </c>
      <c r="AG89" s="908">
        <v>0</v>
      </c>
      <c r="AH89" s="909">
        <v>0</v>
      </c>
      <c r="AI89" s="907">
        <v>0</v>
      </c>
      <c r="AJ89" s="908">
        <v>0</v>
      </c>
      <c r="AK89" s="908">
        <v>0</v>
      </c>
      <c r="AL89" s="908">
        <v>0</v>
      </c>
      <c r="AM89" s="909">
        <v>0</v>
      </c>
      <c r="AN89" s="660"/>
      <c r="AO89" s="1744" t="s">
        <v>3124</v>
      </c>
      <c r="AP89" s="907">
        <v>0</v>
      </c>
      <c r="AQ89" s="908">
        <v>0</v>
      </c>
      <c r="AR89" s="908">
        <v>0</v>
      </c>
      <c r="AS89" s="908">
        <v>0</v>
      </c>
      <c r="AT89" s="909">
        <v>0</v>
      </c>
      <c r="AU89" s="907">
        <v>0</v>
      </c>
      <c r="AV89" s="908">
        <v>0</v>
      </c>
      <c r="AW89" s="908">
        <v>0</v>
      </c>
      <c r="AX89" s="908">
        <v>0</v>
      </c>
      <c r="AY89" s="909">
        <v>0</v>
      </c>
    </row>
    <row r="90" spans="2:51" ht="15">
      <c r="B90" s="906"/>
      <c r="C90" s="530"/>
      <c r="D90" s="530" t="s">
        <v>85</v>
      </c>
      <c r="E90" s="530"/>
      <c r="F90" s="530"/>
      <c r="G90" s="928"/>
      <c r="H90" s="660"/>
      <c r="I90" s="164" t="s">
        <v>2183</v>
      </c>
      <c r="J90" s="664"/>
      <c r="K90" s="660"/>
      <c r="L90" s="660"/>
      <c r="M90" s="660"/>
      <c r="N90" s="660"/>
      <c r="O90" s="660"/>
      <c r="P90" s="660"/>
      <c r="Q90" s="659"/>
      <c r="R90" s="998">
        <f>AD90*AP90</f>
        <v>0</v>
      </c>
      <c r="S90" s="642">
        <f t="shared" si="67"/>
        <v>0</v>
      </c>
      <c r="T90" s="642">
        <f t="shared" si="67"/>
        <v>0</v>
      </c>
      <c r="U90" s="642">
        <f t="shared" si="67"/>
        <v>0</v>
      </c>
      <c r="V90" s="643">
        <f t="shared" si="67"/>
        <v>0</v>
      </c>
      <c r="W90" s="641">
        <f t="shared" si="67"/>
        <v>0</v>
      </c>
      <c r="X90" s="642">
        <f t="shared" si="67"/>
        <v>0</v>
      </c>
      <c r="Y90" s="642">
        <f t="shared" si="67"/>
        <v>0</v>
      </c>
      <c r="Z90" s="642">
        <f t="shared" si="67"/>
        <v>0</v>
      </c>
      <c r="AA90" s="643">
        <f t="shared" si="67"/>
        <v>0</v>
      </c>
      <c r="AB90" s="660"/>
      <c r="AC90" s="1744" t="s">
        <v>3124</v>
      </c>
      <c r="AD90" s="907">
        <v>0</v>
      </c>
      <c r="AE90" s="908">
        <v>0</v>
      </c>
      <c r="AF90" s="908">
        <v>0</v>
      </c>
      <c r="AG90" s="908">
        <v>0</v>
      </c>
      <c r="AH90" s="909">
        <v>0</v>
      </c>
      <c r="AI90" s="907">
        <v>0</v>
      </c>
      <c r="AJ90" s="908">
        <v>0</v>
      </c>
      <c r="AK90" s="908">
        <v>0</v>
      </c>
      <c r="AL90" s="908">
        <v>0</v>
      </c>
      <c r="AM90" s="909">
        <v>0</v>
      </c>
      <c r="AN90" s="660"/>
      <c r="AO90" s="1744" t="s">
        <v>3124</v>
      </c>
      <c r="AP90" s="907">
        <v>0</v>
      </c>
      <c r="AQ90" s="908">
        <v>0</v>
      </c>
      <c r="AR90" s="908">
        <v>0</v>
      </c>
      <c r="AS90" s="908">
        <v>0</v>
      </c>
      <c r="AT90" s="909">
        <v>0</v>
      </c>
      <c r="AU90" s="907">
        <v>0</v>
      </c>
      <c r="AV90" s="908">
        <v>0</v>
      </c>
      <c r="AW90" s="908">
        <v>0</v>
      </c>
      <c r="AX90" s="908">
        <v>0</v>
      </c>
      <c r="AY90" s="909">
        <v>0</v>
      </c>
    </row>
    <row r="91" spans="2:51" ht="15">
      <c r="B91" s="906"/>
      <c r="C91" s="530"/>
      <c r="D91" s="530" t="s">
        <v>2443</v>
      </c>
      <c r="E91" s="530"/>
      <c r="F91" s="530"/>
      <c r="G91" s="1555"/>
      <c r="H91" s="660"/>
      <c r="I91" s="164" t="s">
        <v>2183</v>
      </c>
      <c r="J91" s="907" t="s">
        <v>3124</v>
      </c>
      <c r="K91" s="908" t="s">
        <v>3124</v>
      </c>
      <c r="L91" s="908" t="s">
        <v>3124</v>
      </c>
      <c r="M91" s="908" t="s">
        <v>3124</v>
      </c>
      <c r="N91" s="908" t="s">
        <v>3124</v>
      </c>
      <c r="O91" s="908" t="s">
        <v>3124</v>
      </c>
      <c r="P91" s="908" t="s">
        <v>3124</v>
      </c>
      <c r="Q91" s="909" t="s">
        <v>3124</v>
      </c>
      <c r="R91" s="911"/>
      <c r="S91" s="911"/>
      <c r="T91" s="911"/>
      <c r="U91" s="911"/>
      <c r="V91" s="912"/>
      <c r="W91" s="910"/>
      <c r="X91" s="911"/>
      <c r="Y91" s="911"/>
      <c r="Z91" s="911"/>
      <c r="AA91" s="912"/>
      <c r="AB91" s="660"/>
      <c r="AC91" s="660"/>
      <c r="AD91" s="910"/>
      <c r="AE91" s="913"/>
      <c r="AF91" s="911"/>
      <c r="AG91" s="911"/>
      <c r="AH91" s="912"/>
      <c r="AI91" s="910"/>
      <c r="AJ91" s="913"/>
      <c r="AK91" s="911"/>
      <c r="AL91" s="911"/>
      <c r="AM91" s="912"/>
      <c r="AN91" s="660"/>
      <c r="AO91" s="660"/>
      <c r="AP91" s="910"/>
      <c r="AQ91" s="913"/>
      <c r="AR91" s="911"/>
      <c r="AS91" s="911"/>
      <c r="AT91" s="912"/>
      <c r="AU91" s="910"/>
      <c r="AV91" s="913"/>
      <c r="AW91" s="911"/>
      <c r="AX91" s="911"/>
      <c r="AY91" s="912"/>
    </row>
    <row r="92" spans="2:51" ht="15">
      <c r="B92" s="906"/>
      <c r="C92" s="530" t="s">
        <v>1710</v>
      </c>
      <c r="D92" s="530"/>
      <c r="E92" s="530"/>
      <c r="F92" s="530"/>
      <c r="G92" s="660"/>
      <c r="H92" s="660"/>
      <c r="I92" s="164" t="s">
        <v>2183</v>
      </c>
      <c r="J92" s="697" t="str">
        <f>J91</f>
        <v>Not measured</v>
      </c>
      <c r="K92" s="1342" t="str">
        <f t="shared" ref="K92:Q92" si="68">K91</f>
        <v>Not measured</v>
      </c>
      <c r="L92" s="1342" t="str">
        <f t="shared" si="68"/>
        <v>Not measured</v>
      </c>
      <c r="M92" s="1342" t="str">
        <f t="shared" si="68"/>
        <v>Not measured</v>
      </c>
      <c r="N92" s="1342" t="str">
        <f t="shared" si="68"/>
        <v>Not measured</v>
      </c>
      <c r="O92" s="1342" t="str">
        <f t="shared" si="68"/>
        <v>Not measured</v>
      </c>
      <c r="P92" s="1342" t="str">
        <f t="shared" si="68"/>
        <v>Not measured</v>
      </c>
      <c r="Q92" s="1342" t="str">
        <f t="shared" si="68"/>
        <v>Not measured</v>
      </c>
      <c r="R92" s="1342">
        <f t="shared" ref="R92:AA92" si="69">SUM(R87:R90)</f>
        <v>0</v>
      </c>
      <c r="S92" s="698">
        <f t="shared" si="69"/>
        <v>0</v>
      </c>
      <c r="T92" s="698">
        <f t="shared" si="69"/>
        <v>0</v>
      </c>
      <c r="U92" s="698">
        <f t="shared" si="69"/>
        <v>0</v>
      </c>
      <c r="V92" s="699">
        <f t="shared" si="69"/>
        <v>0</v>
      </c>
      <c r="W92" s="697">
        <f t="shared" si="69"/>
        <v>0</v>
      </c>
      <c r="X92" s="698">
        <f t="shared" si="69"/>
        <v>0</v>
      </c>
      <c r="Y92" s="698">
        <f t="shared" si="69"/>
        <v>0</v>
      </c>
      <c r="Z92" s="698">
        <f t="shared" si="69"/>
        <v>0</v>
      </c>
      <c r="AA92" s="699">
        <f t="shared" si="69"/>
        <v>0</v>
      </c>
      <c r="AB92" s="660"/>
      <c r="AC92" s="660"/>
      <c r="AD92" s="910"/>
      <c r="AE92" s="913"/>
      <c r="AF92" s="911"/>
      <c r="AG92" s="911"/>
      <c r="AH92" s="912"/>
      <c r="AI92" s="910"/>
      <c r="AJ92" s="913"/>
      <c r="AK92" s="911"/>
      <c r="AL92" s="911"/>
      <c r="AM92" s="912"/>
      <c r="AN92" s="660"/>
      <c r="AO92" s="660"/>
      <c r="AP92" s="910"/>
      <c r="AQ92" s="913"/>
      <c r="AR92" s="911"/>
      <c r="AS92" s="911"/>
      <c r="AT92" s="912"/>
      <c r="AU92" s="910"/>
      <c r="AV92" s="913"/>
      <c r="AW92" s="911"/>
      <c r="AX92" s="911"/>
      <c r="AY92" s="912"/>
    </row>
    <row r="93" spans="2:51" ht="15">
      <c r="B93" s="906"/>
      <c r="C93" s="530"/>
      <c r="D93" s="530"/>
      <c r="E93" s="530"/>
      <c r="F93" s="530"/>
      <c r="G93" s="530"/>
      <c r="H93" s="660"/>
      <c r="I93" s="661"/>
      <c r="J93" s="664"/>
      <c r="K93" s="660"/>
      <c r="L93" s="660"/>
      <c r="M93" s="660"/>
      <c r="N93" s="660"/>
      <c r="O93" s="660"/>
      <c r="P93" s="660"/>
      <c r="Q93" s="659"/>
      <c r="R93" s="911"/>
      <c r="S93" s="911"/>
      <c r="T93" s="911"/>
      <c r="U93" s="911"/>
      <c r="V93" s="912"/>
      <c r="W93" s="910"/>
      <c r="X93" s="911"/>
      <c r="Y93" s="911"/>
      <c r="Z93" s="911"/>
      <c r="AA93" s="912"/>
      <c r="AB93" s="660"/>
      <c r="AC93" s="660"/>
      <c r="AD93" s="910"/>
      <c r="AE93" s="913"/>
      <c r="AF93" s="911"/>
      <c r="AG93" s="911"/>
      <c r="AH93" s="912"/>
      <c r="AI93" s="910"/>
      <c r="AJ93" s="913"/>
      <c r="AK93" s="911"/>
      <c r="AL93" s="911"/>
      <c r="AM93" s="912"/>
      <c r="AN93" s="660"/>
      <c r="AO93" s="660"/>
      <c r="AP93" s="910"/>
      <c r="AQ93" s="913"/>
      <c r="AR93" s="911"/>
      <c r="AS93" s="911"/>
      <c r="AT93" s="912"/>
      <c r="AU93" s="910"/>
      <c r="AV93" s="913"/>
      <c r="AW93" s="911"/>
      <c r="AX93" s="911"/>
      <c r="AY93" s="912"/>
    </row>
    <row r="94" spans="2:51" ht="15">
      <c r="B94" s="906"/>
      <c r="C94" s="667" t="s">
        <v>3083</v>
      </c>
      <c r="D94" s="667"/>
      <c r="E94" s="667"/>
      <c r="F94" s="667"/>
      <c r="G94" s="530"/>
      <c r="H94" s="660"/>
      <c r="I94" s="661"/>
      <c r="J94" s="664"/>
      <c r="K94" s="660"/>
      <c r="L94" s="660"/>
      <c r="M94" s="660"/>
      <c r="N94" s="660"/>
      <c r="O94" s="660"/>
      <c r="P94" s="660"/>
      <c r="Q94" s="659"/>
      <c r="R94" s="911"/>
      <c r="S94" s="911"/>
      <c r="T94" s="911"/>
      <c r="U94" s="911"/>
      <c r="V94" s="912"/>
      <c r="W94" s="910"/>
      <c r="X94" s="911"/>
      <c r="Y94" s="911"/>
      <c r="Z94" s="911"/>
      <c r="AA94" s="912"/>
      <c r="AB94" s="660"/>
      <c r="AC94" s="660"/>
      <c r="AD94" s="910"/>
      <c r="AE94" s="913"/>
      <c r="AF94" s="911"/>
      <c r="AG94" s="911"/>
      <c r="AH94" s="912"/>
      <c r="AI94" s="910"/>
      <c r="AJ94" s="913"/>
      <c r="AK94" s="911"/>
      <c r="AL94" s="911"/>
      <c r="AM94" s="912"/>
      <c r="AN94" s="660"/>
      <c r="AO94" s="660"/>
      <c r="AP94" s="910"/>
      <c r="AQ94" s="913"/>
      <c r="AR94" s="911"/>
      <c r="AS94" s="911"/>
      <c r="AT94" s="912"/>
      <c r="AU94" s="910"/>
      <c r="AV94" s="913"/>
      <c r="AW94" s="911"/>
      <c r="AX94" s="911"/>
      <c r="AY94" s="912"/>
    </row>
    <row r="95" spans="2:51" ht="15">
      <c r="B95" s="906"/>
      <c r="C95" s="530"/>
      <c r="D95" s="541" t="s">
        <v>3084</v>
      </c>
      <c r="E95" s="530"/>
      <c r="F95" s="530"/>
      <c r="G95" s="660"/>
      <c r="H95" s="660"/>
      <c r="I95" s="164" t="s">
        <v>2183</v>
      </c>
      <c r="J95" s="664"/>
      <c r="K95" s="660"/>
      <c r="L95" s="660"/>
      <c r="M95" s="660"/>
      <c r="N95" s="660"/>
      <c r="O95" s="660"/>
      <c r="P95" s="660"/>
      <c r="Q95" s="659"/>
      <c r="R95" s="998">
        <f t="shared" ref="R95:R100" si="70">AD95*AP95</f>
        <v>6126.6583700103747</v>
      </c>
      <c r="S95" s="642">
        <f t="shared" ref="S95:AA104" si="71">AE95*AQ95</f>
        <v>5960.2751816877108</v>
      </c>
      <c r="T95" s="642">
        <f t="shared" si="71"/>
        <v>5793.8919933650459</v>
      </c>
      <c r="U95" s="642">
        <f t="shared" si="71"/>
        <v>5627.5088050423819</v>
      </c>
      <c r="V95" s="643">
        <f t="shared" si="71"/>
        <v>5461.1256167197162</v>
      </c>
      <c r="W95" s="641">
        <f t="shared" si="71"/>
        <v>5298.7678281145354</v>
      </c>
      <c r="X95" s="642">
        <f t="shared" si="71"/>
        <v>5136.4100395093556</v>
      </c>
      <c r="Y95" s="642">
        <f t="shared" si="71"/>
        <v>4974.0522509041748</v>
      </c>
      <c r="Z95" s="642">
        <f t="shared" si="71"/>
        <v>4811.694462298994</v>
      </c>
      <c r="AA95" s="643">
        <f t="shared" si="71"/>
        <v>4649.3366736938133</v>
      </c>
      <c r="AB95" s="660"/>
      <c r="AC95" s="1744" t="s">
        <v>3085</v>
      </c>
      <c r="AD95" s="907">
        <v>2.5941100000000002E-3</v>
      </c>
      <c r="AE95" s="908">
        <v>2.5941100000000002E-3</v>
      </c>
      <c r="AF95" s="908">
        <v>2.5941100000000002E-3</v>
      </c>
      <c r="AG95" s="908">
        <v>2.5941100000000002E-3</v>
      </c>
      <c r="AH95" s="909">
        <v>2.5941100000000002E-3</v>
      </c>
      <c r="AI95" s="907">
        <v>2.5941100000000002E-3</v>
      </c>
      <c r="AJ95" s="908">
        <v>2.5941100000000002E-3</v>
      </c>
      <c r="AK95" s="908">
        <v>2.5941100000000002E-3</v>
      </c>
      <c r="AL95" s="908">
        <v>2.5941100000000002E-3</v>
      </c>
      <c r="AM95" s="909">
        <v>2.5941100000000002E-3</v>
      </c>
      <c r="AN95" s="660"/>
      <c r="AO95" s="1744" t="s">
        <v>3086</v>
      </c>
      <c r="AP95" s="907">
        <v>2361757.3541640001</v>
      </c>
      <c r="AQ95" s="908">
        <v>2297618.5210680002</v>
      </c>
      <c r="AR95" s="908">
        <v>2233479.6879720003</v>
      </c>
      <c r="AS95" s="908">
        <v>2169340.8548760004</v>
      </c>
      <c r="AT95" s="909">
        <v>2105202.0217800001</v>
      </c>
      <c r="AU95" s="907">
        <v>2042614.9346460002</v>
      </c>
      <c r="AV95" s="908">
        <v>1980027.8475120002</v>
      </c>
      <c r="AW95" s="908">
        <v>1917440.7603780003</v>
      </c>
      <c r="AX95" s="908">
        <v>1854853.6732440004</v>
      </c>
      <c r="AY95" s="909">
        <v>1792266.5861100003</v>
      </c>
    </row>
    <row r="96" spans="2:51" ht="15">
      <c r="B96" s="906"/>
      <c r="C96" s="530"/>
      <c r="D96" s="541" t="s">
        <v>3087</v>
      </c>
      <c r="E96" s="530"/>
      <c r="F96" s="530"/>
      <c r="G96" s="660"/>
      <c r="H96" s="660"/>
      <c r="I96" s="164" t="s">
        <v>2183</v>
      </c>
      <c r="J96" s="664"/>
      <c r="K96" s="660"/>
      <c r="L96" s="660"/>
      <c r="M96" s="660"/>
      <c r="N96" s="660"/>
      <c r="O96" s="660"/>
      <c r="P96" s="660"/>
      <c r="Q96" s="659"/>
      <c r="R96" s="998">
        <f t="shared" si="70"/>
        <v>0</v>
      </c>
      <c r="S96" s="642">
        <f t="shared" si="71"/>
        <v>0</v>
      </c>
      <c r="T96" s="642">
        <f t="shared" si="71"/>
        <v>0</v>
      </c>
      <c r="U96" s="642">
        <f t="shared" si="71"/>
        <v>0</v>
      </c>
      <c r="V96" s="643">
        <f t="shared" si="71"/>
        <v>0</v>
      </c>
      <c r="W96" s="641">
        <f t="shared" si="71"/>
        <v>0</v>
      </c>
      <c r="X96" s="642">
        <f t="shared" si="71"/>
        <v>0</v>
      </c>
      <c r="Y96" s="642">
        <f t="shared" si="71"/>
        <v>0</v>
      </c>
      <c r="Z96" s="642">
        <f t="shared" si="71"/>
        <v>0</v>
      </c>
      <c r="AA96" s="643">
        <f t="shared" si="71"/>
        <v>0</v>
      </c>
      <c r="AB96" s="660"/>
      <c r="AC96" s="1744"/>
      <c r="AD96" s="907">
        <v>0</v>
      </c>
      <c r="AE96" s="908">
        <v>0</v>
      </c>
      <c r="AF96" s="908">
        <v>0</v>
      </c>
      <c r="AG96" s="908">
        <v>0</v>
      </c>
      <c r="AH96" s="909">
        <v>0</v>
      </c>
      <c r="AI96" s="907">
        <v>0</v>
      </c>
      <c r="AJ96" s="908">
        <v>0</v>
      </c>
      <c r="AK96" s="908">
        <v>0</v>
      </c>
      <c r="AL96" s="908">
        <v>0</v>
      </c>
      <c r="AM96" s="909">
        <v>0</v>
      </c>
      <c r="AN96" s="660"/>
      <c r="AO96" s="1744"/>
      <c r="AP96" s="907"/>
      <c r="AQ96" s="908"/>
      <c r="AR96" s="908"/>
      <c r="AS96" s="908"/>
      <c r="AT96" s="909"/>
      <c r="AU96" s="907"/>
      <c r="AV96" s="908"/>
      <c r="AW96" s="908"/>
      <c r="AX96" s="908"/>
      <c r="AY96" s="909"/>
    </row>
    <row r="97" spans="2:51" ht="15">
      <c r="B97" s="906"/>
      <c r="C97" s="530"/>
      <c r="D97" s="541" t="s">
        <v>3089</v>
      </c>
      <c r="E97" s="530"/>
      <c r="F97" s="530"/>
      <c r="G97" s="660"/>
      <c r="H97" s="660"/>
      <c r="I97" s="164" t="s">
        <v>2183</v>
      </c>
      <c r="J97" s="664"/>
      <c r="K97" s="660"/>
      <c r="L97" s="660"/>
      <c r="M97" s="660"/>
      <c r="N97" s="660"/>
      <c r="O97" s="660"/>
      <c r="P97" s="660"/>
      <c r="Q97" s="659"/>
      <c r="R97" s="998">
        <f t="shared" si="70"/>
        <v>0</v>
      </c>
      <c r="S97" s="642">
        <f t="shared" ref="S97:S98" si="72">AE97*AQ97</f>
        <v>0</v>
      </c>
      <c r="T97" s="642">
        <f t="shared" ref="T97:T98" si="73">AF97*AR97</f>
        <v>0</v>
      </c>
      <c r="U97" s="642">
        <f t="shared" ref="U97:U98" si="74">AG97*AS97</f>
        <v>0</v>
      </c>
      <c r="V97" s="643">
        <f t="shared" ref="V97:V98" si="75">AH97*AT97</f>
        <v>0</v>
      </c>
      <c r="W97" s="641">
        <f t="shared" ref="W97:W98" si="76">AI97*AU97</f>
        <v>0</v>
      </c>
      <c r="X97" s="642">
        <f t="shared" ref="X97:X98" si="77">AJ97*AV97</f>
        <v>0</v>
      </c>
      <c r="Y97" s="642">
        <f t="shared" ref="Y97:Y98" si="78">AK97*AW97</f>
        <v>0</v>
      </c>
      <c r="Z97" s="642">
        <f t="shared" ref="Z97:Z98" si="79">AL97*AX97</f>
        <v>0</v>
      </c>
      <c r="AA97" s="643">
        <f t="shared" ref="AA97:AA98" si="80">AM97*AY97</f>
        <v>0</v>
      </c>
      <c r="AB97" s="660"/>
      <c r="AC97" s="1744"/>
      <c r="AD97" s="907">
        <v>0</v>
      </c>
      <c r="AE97" s="908">
        <v>0</v>
      </c>
      <c r="AF97" s="908">
        <v>0</v>
      </c>
      <c r="AG97" s="908">
        <v>0</v>
      </c>
      <c r="AH97" s="909">
        <v>0</v>
      </c>
      <c r="AI97" s="907">
        <v>0</v>
      </c>
      <c r="AJ97" s="908">
        <v>0</v>
      </c>
      <c r="AK97" s="908">
        <v>0</v>
      </c>
      <c r="AL97" s="908">
        <v>0</v>
      </c>
      <c r="AM97" s="909">
        <v>0</v>
      </c>
      <c r="AN97" s="660"/>
      <c r="AO97" s="1744"/>
      <c r="AP97" s="907">
        <v>0</v>
      </c>
      <c r="AQ97" s="908">
        <v>0</v>
      </c>
      <c r="AR97" s="908">
        <v>0</v>
      </c>
      <c r="AS97" s="908">
        <v>0</v>
      </c>
      <c r="AT97" s="909">
        <v>0</v>
      </c>
      <c r="AU97" s="907">
        <v>0</v>
      </c>
      <c r="AV97" s="908">
        <v>0</v>
      </c>
      <c r="AW97" s="908">
        <v>0</v>
      </c>
      <c r="AX97" s="908">
        <v>0</v>
      </c>
      <c r="AY97" s="909">
        <v>0</v>
      </c>
    </row>
    <row r="98" spans="2:51" ht="15">
      <c r="B98" s="906"/>
      <c r="C98" s="530"/>
      <c r="D98" s="541" t="s">
        <v>3090</v>
      </c>
      <c r="E98" s="530"/>
      <c r="F98" s="530"/>
      <c r="G98" s="660"/>
      <c r="H98" s="660"/>
      <c r="I98" s="164" t="s">
        <v>2183</v>
      </c>
      <c r="J98" s="664"/>
      <c r="K98" s="660"/>
      <c r="L98" s="660"/>
      <c r="M98" s="660"/>
      <c r="N98" s="660"/>
      <c r="O98" s="660"/>
      <c r="P98" s="660"/>
      <c r="Q98" s="659"/>
      <c r="R98" s="998">
        <f t="shared" si="70"/>
        <v>0</v>
      </c>
      <c r="S98" s="642">
        <f t="shared" si="72"/>
        <v>0</v>
      </c>
      <c r="T98" s="642">
        <f t="shared" si="73"/>
        <v>0</v>
      </c>
      <c r="U98" s="642">
        <f t="shared" si="74"/>
        <v>0</v>
      </c>
      <c r="V98" s="643">
        <f t="shared" si="75"/>
        <v>0</v>
      </c>
      <c r="W98" s="641">
        <f t="shared" si="76"/>
        <v>0</v>
      </c>
      <c r="X98" s="642">
        <f t="shared" si="77"/>
        <v>0</v>
      </c>
      <c r="Y98" s="642">
        <f t="shared" si="78"/>
        <v>0</v>
      </c>
      <c r="Z98" s="642">
        <f t="shared" si="79"/>
        <v>0</v>
      </c>
      <c r="AA98" s="643">
        <f t="shared" si="80"/>
        <v>0</v>
      </c>
      <c r="AB98" s="660"/>
      <c r="AC98" s="1744"/>
      <c r="AD98" s="907">
        <v>0</v>
      </c>
      <c r="AE98" s="908">
        <v>0</v>
      </c>
      <c r="AF98" s="908">
        <v>0</v>
      </c>
      <c r="AG98" s="908">
        <v>0</v>
      </c>
      <c r="AH98" s="909">
        <v>0</v>
      </c>
      <c r="AI98" s="907">
        <v>0</v>
      </c>
      <c r="AJ98" s="908">
        <v>0</v>
      </c>
      <c r="AK98" s="908">
        <v>0</v>
      </c>
      <c r="AL98" s="908">
        <v>0</v>
      </c>
      <c r="AM98" s="909">
        <v>0</v>
      </c>
      <c r="AN98" s="660"/>
      <c r="AO98" s="1744"/>
      <c r="AP98" s="907">
        <v>0</v>
      </c>
      <c r="AQ98" s="908">
        <v>0</v>
      </c>
      <c r="AR98" s="908">
        <v>0</v>
      </c>
      <c r="AS98" s="908">
        <v>0</v>
      </c>
      <c r="AT98" s="909">
        <v>0</v>
      </c>
      <c r="AU98" s="907">
        <v>0</v>
      </c>
      <c r="AV98" s="908">
        <v>0</v>
      </c>
      <c r="AW98" s="908">
        <v>0</v>
      </c>
      <c r="AX98" s="908">
        <v>0</v>
      </c>
      <c r="AY98" s="909">
        <v>0</v>
      </c>
    </row>
    <row r="99" spans="2:51" ht="15">
      <c r="B99" s="906"/>
      <c r="C99" s="530"/>
      <c r="D99" s="541" t="s">
        <v>3092</v>
      </c>
      <c r="E99" s="530"/>
      <c r="F99" s="530"/>
      <c r="G99" s="660"/>
      <c r="H99" s="660"/>
      <c r="I99" s="164" t="s">
        <v>2183</v>
      </c>
      <c r="J99" s="664"/>
      <c r="K99" s="660"/>
      <c r="L99" s="660"/>
      <c r="M99" s="660"/>
      <c r="N99" s="660"/>
      <c r="O99" s="660"/>
      <c r="P99" s="660"/>
      <c r="Q99" s="659"/>
      <c r="R99" s="998">
        <f t="shared" si="70"/>
        <v>0</v>
      </c>
      <c r="S99" s="642">
        <f t="shared" ref="S99" si="81">AE99*AQ99</f>
        <v>0</v>
      </c>
      <c r="T99" s="642">
        <f t="shared" ref="T99" si="82">AF99*AR99</f>
        <v>0</v>
      </c>
      <c r="U99" s="642">
        <f t="shared" ref="U99" si="83">AG99*AS99</f>
        <v>0</v>
      </c>
      <c r="V99" s="643">
        <f t="shared" ref="V99" si="84">AH99*AT99</f>
        <v>0</v>
      </c>
      <c r="W99" s="641">
        <f t="shared" ref="W99" si="85">AI99*AU99</f>
        <v>0</v>
      </c>
      <c r="X99" s="642">
        <f t="shared" ref="X99" si="86">AJ99*AV99</f>
        <v>0</v>
      </c>
      <c r="Y99" s="642">
        <f t="shared" ref="Y99" si="87">AK99*AW99</f>
        <v>0</v>
      </c>
      <c r="Z99" s="642">
        <f t="shared" ref="Z99" si="88">AL99*AX99</f>
        <v>0</v>
      </c>
      <c r="AA99" s="643">
        <f t="shared" ref="AA99" si="89">AM99*AY99</f>
        <v>0</v>
      </c>
      <c r="AB99" s="660"/>
      <c r="AC99" s="1744"/>
      <c r="AD99" s="907">
        <v>0</v>
      </c>
      <c r="AE99" s="908">
        <v>0</v>
      </c>
      <c r="AF99" s="908">
        <v>0</v>
      </c>
      <c r="AG99" s="908">
        <v>0</v>
      </c>
      <c r="AH99" s="909">
        <v>0</v>
      </c>
      <c r="AI99" s="907">
        <v>0</v>
      </c>
      <c r="AJ99" s="908">
        <v>0</v>
      </c>
      <c r="AK99" s="908">
        <v>0</v>
      </c>
      <c r="AL99" s="908">
        <v>0</v>
      </c>
      <c r="AM99" s="909">
        <v>0</v>
      </c>
      <c r="AN99" s="660"/>
      <c r="AO99" s="1744"/>
      <c r="AP99" s="907">
        <v>0</v>
      </c>
      <c r="AQ99" s="908">
        <v>0</v>
      </c>
      <c r="AR99" s="908">
        <v>0</v>
      </c>
      <c r="AS99" s="908">
        <v>0</v>
      </c>
      <c r="AT99" s="909">
        <v>0</v>
      </c>
      <c r="AU99" s="907">
        <v>0</v>
      </c>
      <c r="AV99" s="908">
        <v>0</v>
      </c>
      <c r="AW99" s="908">
        <v>0</v>
      </c>
      <c r="AX99" s="908">
        <v>0</v>
      </c>
      <c r="AY99" s="909">
        <v>0</v>
      </c>
    </row>
    <row r="100" spans="2:51" ht="15">
      <c r="B100" s="906"/>
      <c r="C100" s="530"/>
      <c r="D100" s="541" t="s">
        <v>3095</v>
      </c>
      <c r="E100" s="530"/>
      <c r="F100" s="530"/>
      <c r="G100" s="660"/>
      <c r="H100" s="660"/>
      <c r="I100" s="164" t="s">
        <v>2183</v>
      </c>
      <c r="J100" s="664"/>
      <c r="K100" s="660"/>
      <c r="L100" s="660"/>
      <c r="M100" s="660"/>
      <c r="N100" s="660"/>
      <c r="O100" s="660"/>
      <c r="P100" s="660"/>
      <c r="Q100" s="659"/>
      <c r="R100" s="998">
        <f t="shared" si="70"/>
        <v>0</v>
      </c>
      <c r="S100" s="642">
        <f t="shared" si="71"/>
        <v>0</v>
      </c>
      <c r="T100" s="642">
        <f t="shared" si="71"/>
        <v>0</v>
      </c>
      <c r="U100" s="642">
        <f t="shared" si="71"/>
        <v>0</v>
      </c>
      <c r="V100" s="643">
        <f t="shared" si="71"/>
        <v>0</v>
      </c>
      <c r="W100" s="641">
        <f t="shared" si="71"/>
        <v>0</v>
      </c>
      <c r="X100" s="642">
        <f t="shared" si="71"/>
        <v>0</v>
      </c>
      <c r="Y100" s="642">
        <f t="shared" si="71"/>
        <v>0</v>
      </c>
      <c r="Z100" s="642">
        <f t="shared" si="71"/>
        <v>0</v>
      </c>
      <c r="AA100" s="643">
        <f t="shared" si="71"/>
        <v>0</v>
      </c>
      <c r="AB100" s="660"/>
      <c r="AC100" s="1744"/>
      <c r="AD100" s="907">
        <v>0</v>
      </c>
      <c r="AE100" s="908">
        <v>0</v>
      </c>
      <c r="AF100" s="908">
        <v>0</v>
      </c>
      <c r="AG100" s="908">
        <v>0</v>
      </c>
      <c r="AH100" s="909">
        <v>0</v>
      </c>
      <c r="AI100" s="907">
        <v>0</v>
      </c>
      <c r="AJ100" s="908">
        <v>0</v>
      </c>
      <c r="AK100" s="908">
        <v>0</v>
      </c>
      <c r="AL100" s="908">
        <v>0</v>
      </c>
      <c r="AM100" s="909">
        <v>0</v>
      </c>
      <c r="AN100" s="660"/>
      <c r="AO100" s="1744"/>
      <c r="AP100" s="907">
        <v>0</v>
      </c>
      <c r="AQ100" s="908">
        <v>0</v>
      </c>
      <c r="AR100" s="908">
        <v>0</v>
      </c>
      <c r="AS100" s="908">
        <v>0</v>
      </c>
      <c r="AT100" s="909">
        <v>0</v>
      </c>
      <c r="AU100" s="907">
        <v>0</v>
      </c>
      <c r="AV100" s="908">
        <v>0</v>
      </c>
      <c r="AW100" s="908">
        <v>0</v>
      </c>
      <c r="AX100" s="908">
        <v>0</v>
      </c>
      <c r="AY100" s="909">
        <v>0</v>
      </c>
    </row>
    <row r="101" spans="2:51" ht="15">
      <c r="B101" s="906"/>
      <c r="C101" s="530"/>
      <c r="D101" s="541" t="s">
        <v>3096</v>
      </c>
      <c r="E101" s="530"/>
      <c r="F101" s="530"/>
      <c r="G101" s="660"/>
      <c r="H101" s="660"/>
      <c r="I101" s="164" t="s">
        <v>2183</v>
      </c>
      <c r="J101" s="664"/>
      <c r="K101" s="660"/>
      <c r="L101" s="660"/>
      <c r="M101" s="660"/>
      <c r="N101" s="660"/>
      <c r="O101" s="660"/>
      <c r="P101" s="660"/>
      <c r="Q101" s="659"/>
      <c r="R101" s="998">
        <f t="shared" ref="R101:R104" si="90">AD101*AP101</f>
        <v>0</v>
      </c>
      <c r="S101" s="642">
        <f t="shared" si="71"/>
        <v>0</v>
      </c>
      <c r="T101" s="642">
        <f t="shared" si="71"/>
        <v>0</v>
      </c>
      <c r="U101" s="642">
        <f t="shared" si="71"/>
        <v>0</v>
      </c>
      <c r="V101" s="643">
        <f t="shared" si="71"/>
        <v>0</v>
      </c>
      <c r="W101" s="641">
        <f t="shared" si="71"/>
        <v>0</v>
      </c>
      <c r="X101" s="642">
        <f t="shared" si="71"/>
        <v>0</v>
      </c>
      <c r="Y101" s="642">
        <f t="shared" si="71"/>
        <v>0</v>
      </c>
      <c r="Z101" s="642">
        <f t="shared" si="71"/>
        <v>0</v>
      </c>
      <c r="AA101" s="643">
        <f t="shared" si="71"/>
        <v>0</v>
      </c>
      <c r="AB101" s="660"/>
      <c r="AC101" s="1744"/>
      <c r="AD101" s="907">
        <v>0</v>
      </c>
      <c r="AE101" s="908">
        <v>0</v>
      </c>
      <c r="AF101" s="908">
        <v>0</v>
      </c>
      <c r="AG101" s="908">
        <v>0</v>
      </c>
      <c r="AH101" s="909">
        <v>0</v>
      </c>
      <c r="AI101" s="907">
        <v>0</v>
      </c>
      <c r="AJ101" s="908">
        <v>0</v>
      </c>
      <c r="AK101" s="908">
        <v>0</v>
      </c>
      <c r="AL101" s="908">
        <v>0</v>
      </c>
      <c r="AM101" s="909">
        <v>0</v>
      </c>
      <c r="AN101" s="660"/>
      <c r="AO101" s="1744"/>
      <c r="AP101" s="907">
        <v>0</v>
      </c>
      <c r="AQ101" s="908">
        <v>0</v>
      </c>
      <c r="AR101" s="908">
        <v>0</v>
      </c>
      <c r="AS101" s="908">
        <v>0</v>
      </c>
      <c r="AT101" s="909">
        <v>0</v>
      </c>
      <c r="AU101" s="907">
        <v>0</v>
      </c>
      <c r="AV101" s="908">
        <v>0</v>
      </c>
      <c r="AW101" s="908">
        <v>0</v>
      </c>
      <c r="AX101" s="908">
        <v>0</v>
      </c>
      <c r="AY101" s="909">
        <v>0</v>
      </c>
    </row>
    <row r="102" spans="2:51" ht="42.75">
      <c r="B102" s="906"/>
      <c r="C102" s="530"/>
      <c r="D102" s="541" t="s">
        <v>3125</v>
      </c>
      <c r="E102" s="530"/>
      <c r="F102" s="530"/>
      <c r="G102" s="660"/>
      <c r="H102" s="660"/>
      <c r="I102" s="164" t="s">
        <v>2183</v>
      </c>
      <c r="J102" s="664"/>
      <c r="K102" s="660"/>
      <c r="L102" s="660"/>
      <c r="M102" s="660"/>
      <c r="N102" s="660"/>
      <c r="O102" s="660"/>
      <c r="P102" s="660"/>
      <c r="Q102" s="659"/>
      <c r="R102" s="998">
        <f t="shared" si="90"/>
        <v>64.064767520000004</v>
      </c>
      <c r="S102" s="642">
        <f t="shared" si="71"/>
        <v>64.064767520000004</v>
      </c>
      <c r="T102" s="642">
        <f t="shared" si="71"/>
        <v>64.064767520000004</v>
      </c>
      <c r="U102" s="642">
        <f t="shared" si="71"/>
        <v>64.064767520000004</v>
      </c>
      <c r="V102" s="643">
        <f t="shared" si="71"/>
        <v>64.064767520000004</v>
      </c>
      <c r="W102" s="641">
        <f t="shared" si="71"/>
        <v>57.658290768000001</v>
      </c>
      <c r="X102" s="642">
        <f t="shared" si="71"/>
        <v>51.251814016000012</v>
      </c>
      <c r="Y102" s="642">
        <f t="shared" si="71"/>
        <v>44.845337264000008</v>
      </c>
      <c r="Z102" s="642">
        <f t="shared" si="71"/>
        <v>38.438860512000012</v>
      </c>
      <c r="AA102" s="643">
        <f t="shared" si="71"/>
        <v>32.032383760000002</v>
      </c>
      <c r="AB102" s="660"/>
      <c r="AC102" s="2701" t="s">
        <v>3126</v>
      </c>
      <c r="AD102" s="907">
        <v>2.5430600000000002E-3</v>
      </c>
      <c r="AE102" s="908">
        <v>2.5430600000000002E-3</v>
      </c>
      <c r="AF102" s="908">
        <v>2.5430600000000002E-3</v>
      </c>
      <c r="AG102" s="908">
        <v>2.5430600000000002E-3</v>
      </c>
      <c r="AH102" s="909">
        <v>2.5430600000000002E-3</v>
      </c>
      <c r="AI102" s="907">
        <v>2.5430600000000002E-3</v>
      </c>
      <c r="AJ102" s="908">
        <v>2.5430600000000002E-3</v>
      </c>
      <c r="AK102" s="908">
        <v>2.5430600000000002E-3</v>
      </c>
      <c r="AL102" s="908">
        <v>2.5430600000000002E-3</v>
      </c>
      <c r="AM102" s="909">
        <v>2.5430600000000002E-3</v>
      </c>
      <c r="AN102" s="660"/>
      <c r="AO102" s="1744" t="s">
        <v>3086</v>
      </c>
      <c r="AP102" s="907">
        <v>25192</v>
      </c>
      <c r="AQ102" s="908">
        <v>25192</v>
      </c>
      <c r="AR102" s="908">
        <v>25192</v>
      </c>
      <c r="AS102" s="908">
        <v>25192</v>
      </c>
      <c r="AT102" s="909">
        <v>25192</v>
      </c>
      <c r="AU102" s="907">
        <v>22672.799999999999</v>
      </c>
      <c r="AV102" s="908">
        <v>20153.600000000002</v>
      </c>
      <c r="AW102" s="908">
        <v>17634.400000000001</v>
      </c>
      <c r="AX102" s="908">
        <v>15115.200000000003</v>
      </c>
      <c r="AY102" s="909">
        <v>12596</v>
      </c>
    </row>
    <row r="103" spans="2:51" ht="15">
      <c r="B103" s="906"/>
      <c r="C103" s="530"/>
      <c r="D103" s="530" t="s">
        <v>85</v>
      </c>
      <c r="E103" s="530"/>
      <c r="F103" s="530"/>
      <c r="G103" s="928"/>
      <c r="H103" s="660"/>
      <c r="I103" s="164" t="s">
        <v>2183</v>
      </c>
      <c r="J103" s="664"/>
      <c r="K103" s="660"/>
      <c r="L103" s="660"/>
      <c r="M103" s="660"/>
      <c r="N103" s="660"/>
      <c r="O103" s="660"/>
      <c r="P103" s="660"/>
      <c r="Q103" s="659"/>
      <c r="R103" s="998">
        <f t="shared" si="90"/>
        <v>0</v>
      </c>
      <c r="S103" s="642">
        <f t="shared" si="71"/>
        <v>0</v>
      </c>
      <c r="T103" s="642">
        <f t="shared" si="71"/>
        <v>0</v>
      </c>
      <c r="U103" s="642">
        <f t="shared" si="71"/>
        <v>0</v>
      </c>
      <c r="V103" s="643">
        <f t="shared" si="71"/>
        <v>0</v>
      </c>
      <c r="W103" s="641">
        <f t="shared" si="71"/>
        <v>0</v>
      </c>
      <c r="X103" s="642">
        <f t="shared" si="71"/>
        <v>0</v>
      </c>
      <c r="Y103" s="642">
        <f t="shared" si="71"/>
        <v>0</v>
      </c>
      <c r="Z103" s="642">
        <f t="shared" si="71"/>
        <v>0</v>
      </c>
      <c r="AA103" s="643">
        <f t="shared" si="71"/>
        <v>0</v>
      </c>
      <c r="AB103" s="660"/>
      <c r="AC103" s="1744"/>
      <c r="AD103" s="907">
        <v>0</v>
      </c>
      <c r="AE103" s="908">
        <v>0</v>
      </c>
      <c r="AF103" s="908">
        <v>0</v>
      </c>
      <c r="AG103" s="908">
        <v>0</v>
      </c>
      <c r="AH103" s="909">
        <v>0</v>
      </c>
      <c r="AI103" s="907">
        <v>0</v>
      </c>
      <c r="AJ103" s="908">
        <v>0</v>
      </c>
      <c r="AK103" s="908">
        <v>0</v>
      </c>
      <c r="AL103" s="908">
        <v>0</v>
      </c>
      <c r="AM103" s="909">
        <v>0</v>
      </c>
      <c r="AN103" s="660"/>
      <c r="AO103" s="1744"/>
      <c r="AP103" s="907"/>
      <c r="AQ103" s="908"/>
      <c r="AR103" s="908"/>
      <c r="AS103" s="908"/>
      <c r="AT103" s="909"/>
      <c r="AU103" s="907"/>
      <c r="AV103" s="908"/>
      <c r="AW103" s="908"/>
      <c r="AX103" s="908"/>
      <c r="AY103" s="909"/>
    </row>
    <row r="104" spans="2:51" ht="15">
      <c r="B104" s="906"/>
      <c r="C104" s="530"/>
      <c r="D104" s="530" t="s">
        <v>85</v>
      </c>
      <c r="E104" s="530"/>
      <c r="F104" s="530"/>
      <c r="G104" s="928"/>
      <c r="H104" s="660"/>
      <c r="I104" s="164" t="s">
        <v>2183</v>
      </c>
      <c r="J104" s="664"/>
      <c r="K104" s="660"/>
      <c r="L104" s="660"/>
      <c r="M104" s="660"/>
      <c r="N104" s="660"/>
      <c r="O104" s="660"/>
      <c r="P104" s="660"/>
      <c r="Q104" s="659"/>
      <c r="R104" s="998">
        <f t="shared" si="90"/>
        <v>0</v>
      </c>
      <c r="S104" s="642">
        <f t="shared" si="71"/>
        <v>0</v>
      </c>
      <c r="T104" s="642">
        <f t="shared" si="71"/>
        <v>0</v>
      </c>
      <c r="U104" s="642">
        <f t="shared" si="71"/>
        <v>0</v>
      </c>
      <c r="V104" s="643">
        <f t="shared" si="71"/>
        <v>0</v>
      </c>
      <c r="W104" s="641">
        <f t="shared" si="71"/>
        <v>0</v>
      </c>
      <c r="X104" s="642">
        <f t="shared" si="71"/>
        <v>0</v>
      </c>
      <c r="Y104" s="642">
        <f t="shared" si="71"/>
        <v>0</v>
      </c>
      <c r="Z104" s="642">
        <f t="shared" si="71"/>
        <v>0</v>
      </c>
      <c r="AA104" s="643">
        <f t="shared" si="71"/>
        <v>0</v>
      </c>
      <c r="AB104" s="660"/>
      <c r="AC104" s="1744"/>
      <c r="AD104" s="907">
        <v>0</v>
      </c>
      <c r="AE104" s="908">
        <v>0</v>
      </c>
      <c r="AF104" s="908">
        <v>0</v>
      </c>
      <c r="AG104" s="908">
        <v>0</v>
      </c>
      <c r="AH104" s="909">
        <v>0</v>
      </c>
      <c r="AI104" s="907">
        <v>0</v>
      </c>
      <c r="AJ104" s="908">
        <v>0</v>
      </c>
      <c r="AK104" s="908">
        <v>0</v>
      </c>
      <c r="AL104" s="908">
        <v>0</v>
      </c>
      <c r="AM104" s="909">
        <v>0</v>
      </c>
      <c r="AN104" s="660"/>
      <c r="AO104" s="1744"/>
      <c r="AP104" s="907">
        <v>0</v>
      </c>
      <c r="AQ104" s="908">
        <v>0</v>
      </c>
      <c r="AR104" s="908">
        <v>0</v>
      </c>
      <c r="AS104" s="908">
        <v>0</v>
      </c>
      <c r="AT104" s="909">
        <v>0</v>
      </c>
      <c r="AU104" s="907">
        <v>0</v>
      </c>
      <c r="AV104" s="908">
        <v>0</v>
      </c>
      <c r="AW104" s="908">
        <v>0</v>
      </c>
      <c r="AX104" s="908">
        <v>0</v>
      </c>
      <c r="AY104" s="909">
        <v>0</v>
      </c>
    </row>
    <row r="105" spans="2:51" ht="15">
      <c r="B105" s="906"/>
      <c r="C105" s="530"/>
      <c r="D105" s="530" t="s">
        <v>2443</v>
      </c>
      <c r="E105" s="530"/>
      <c r="F105" s="530"/>
      <c r="G105" s="1555"/>
      <c r="H105" s="660"/>
      <c r="I105" s="164" t="s">
        <v>2183</v>
      </c>
      <c r="J105" s="907">
        <v>4463</v>
      </c>
      <c r="K105" s="908">
        <v>7748</v>
      </c>
      <c r="L105" s="908">
        <v>8929</v>
      </c>
      <c r="M105" s="908">
        <v>7432</v>
      </c>
      <c r="N105" s="908">
        <v>7810</v>
      </c>
      <c r="O105" s="908">
        <v>7657</v>
      </c>
      <c r="P105" s="908">
        <v>7492.5</v>
      </c>
      <c r="Q105" s="909">
        <v>7328</v>
      </c>
      <c r="R105" s="911"/>
      <c r="S105" s="911"/>
      <c r="T105" s="911"/>
      <c r="U105" s="911"/>
      <c r="V105" s="912"/>
      <c r="W105" s="910"/>
      <c r="X105" s="911"/>
      <c r="Y105" s="911"/>
      <c r="Z105" s="911"/>
      <c r="AA105" s="912"/>
      <c r="AB105" s="660"/>
      <c r="AC105" s="660"/>
      <c r="AD105" s="910"/>
      <c r="AE105" s="913"/>
      <c r="AF105" s="911"/>
      <c r="AG105" s="911"/>
      <c r="AH105" s="912"/>
      <c r="AI105" s="910"/>
      <c r="AJ105" s="913"/>
      <c r="AK105" s="911"/>
      <c r="AL105" s="911"/>
      <c r="AM105" s="912"/>
      <c r="AN105" s="660"/>
      <c r="AO105" s="660"/>
      <c r="AP105" s="910"/>
      <c r="AQ105" s="913"/>
      <c r="AR105" s="911"/>
      <c r="AS105" s="911"/>
      <c r="AT105" s="912"/>
      <c r="AU105" s="910"/>
      <c r="AV105" s="913"/>
      <c r="AW105" s="911"/>
      <c r="AX105" s="911"/>
      <c r="AY105" s="912"/>
    </row>
    <row r="106" spans="2:51" ht="15">
      <c r="B106" s="906"/>
      <c r="C106" s="530" t="s">
        <v>1710</v>
      </c>
      <c r="D106" s="530"/>
      <c r="E106" s="530"/>
      <c r="F106" s="530"/>
      <c r="G106" s="660"/>
      <c r="H106" s="660"/>
      <c r="I106" s="164" t="s">
        <v>2183</v>
      </c>
      <c r="J106" s="697">
        <f>J105</f>
        <v>4463</v>
      </c>
      <c r="K106" s="1342">
        <f t="shared" ref="K106" si="91">K105</f>
        <v>7748</v>
      </c>
      <c r="L106" s="1342">
        <f t="shared" ref="L106" si="92">L105</f>
        <v>8929</v>
      </c>
      <c r="M106" s="1342">
        <f t="shared" ref="M106" si="93">M105</f>
        <v>7432</v>
      </c>
      <c r="N106" s="1342">
        <f t="shared" ref="N106" si="94">N105</f>
        <v>7810</v>
      </c>
      <c r="O106" s="1342">
        <f t="shared" ref="O106" si="95">O105</f>
        <v>7657</v>
      </c>
      <c r="P106" s="1342">
        <f t="shared" ref="P106" si="96">P105</f>
        <v>7492.5</v>
      </c>
      <c r="Q106" s="1342">
        <f t="shared" ref="Q106" si="97">Q105</f>
        <v>7328</v>
      </c>
      <c r="R106" s="1342">
        <f t="shared" ref="R106:AA106" si="98">SUM(R95:R104)</f>
        <v>6190.7231375303745</v>
      </c>
      <c r="S106" s="698">
        <f t="shared" si="98"/>
        <v>6024.3399492077106</v>
      </c>
      <c r="T106" s="698">
        <f t="shared" si="98"/>
        <v>5857.9567608850457</v>
      </c>
      <c r="U106" s="698">
        <f t="shared" si="98"/>
        <v>5691.5735725623817</v>
      </c>
      <c r="V106" s="699">
        <f t="shared" si="98"/>
        <v>5525.190384239716</v>
      </c>
      <c r="W106" s="697">
        <f t="shared" si="98"/>
        <v>5356.4261188825358</v>
      </c>
      <c r="X106" s="698">
        <f t="shared" si="98"/>
        <v>5187.6618535253556</v>
      </c>
      <c r="Y106" s="698">
        <f t="shared" si="98"/>
        <v>5018.8975881681745</v>
      </c>
      <c r="Z106" s="698">
        <f t="shared" si="98"/>
        <v>4850.1333228109943</v>
      </c>
      <c r="AA106" s="699">
        <f t="shared" si="98"/>
        <v>4681.3690574538132</v>
      </c>
      <c r="AB106" s="660"/>
      <c r="AC106" s="660"/>
      <c r="AD106" s="910"/>
      <c r="AE106" s="913"/>
      <c r="AF106" s="911"/>
      <c r="AG106" s="911"/>
      <c r="AH106" s="912"/>
      <c r="AI106" s="910"/>
      <c r="AJ106" s="913"/>
      <c r="AK106" s="911"/>
      <c r="AL106" s="911"/>
      <c r="AM106" s="912"/>
      <c r="AN106" s="660"/>
      <c r="AO106" s="660"/>
      <c r="AP106" s="910"/>
      <c r="AQ106" s="913"/>
      <c r="AR106" s="911"/>
      <c r="AS106" s="911"/>
      <c r="AT106" s="912"/>
      <c r="AU106" s="910"/>
      <c r="AV106" s="913"/>
      <c r="AW106" s="911"/>
      <c r="AX106" s="911"/>
      <c r="AY106" s="912"/>
    </row>
    <row r="107" spans="2:51" ht="15">
      <c r="B107" s="906"/>
      <c r="C107" s="530"/>
      <c r="D107" s="530"/>
      <c r="E107" s="530"/>
      <c r="F107" s="530"/>
      <c r="G107" s="662"/>
      <c r="H107" s="660"/>
      <c r="I107" s="661"/>
      <c r="J107" s="664"/>
      <c r="K107" s="660"/>
      <c r="L107" s="660"/>
      <c r="M107" s="660"/>
      <c r="N107" s="660"/>
      <c r="O107" s="660"/>
      <c r="P107" s="660"/>
      <c r="Q107" s="659"/>
      <c r="R107" s="911"/>
      <c r="S107" s="911"/>
      <c r="T107" s="911"/>
      <c r="U107" s="911"/>
      <c r="V107" s="912"/>
      <c r="W107" s="910"/>
      <c r="X107" s="911"/>
      <c r="Y107" s="911"/>
      <c r="Z107" s="911"/>
      <c r="AA107" s="912"/>
      <c r="AB107" s="660"/>
      <c r="AC107" s="660"/>
      <c r="AD107" s="910"/>
      <c r="AE107" s="913"/>
      <c r="AF107" s="911"/>
      <c r="AG107" s="911"/>
      <c r="AH107" s="912"/>
      <c r="AI107" s="910"/>
      <c r="AJ107" s="913"/>
      <c r="AK107" s="911"/>
      <c r="AL107" s="911"/>
      <c r="AM107" s="912"/>
      <c r="AN107" s="660"/>
      <c r="AO107" s="660"/>
      <c r="AP107" s="910"/>
      <c r="AQ107" s="913"/>
      <c r="AR107" s="911"/>
      <c r="AS107" s="911"/>
      <c r="AT107" s="912"/>
      <c r="AU107" s="910"/>
      <c r="AV107" s="913"/>
      <c r="AW107" s="911"/>
      <c r="AX107" s="911"/>
      <c r="AY107" s="912"/>
    </row>
    <row r="108" spans="2:51" ht="15">
      <c r="B108" s="906"/>
      <c r="C108" s="667" t="s">
        <v>3102</v>
      </c>
      <c r="D108" s="667"/>
      <c r="E108" s="667"/>
      <c r="F108" s="667"/>
      <c r="G108" s="541"/>
      <c r="H108" s="660"/>
      <c r="I108" s="661"/>
      <c r="J108" s="664"/>
      <c r="K108" s="660"/>
      <c r="L108" s="660"/>
      <c r="M108" s="660"/>
      <c r="N108" s="660"/>
      <c r="O108" s="660"/>
      <c r="P108" s="660"/>
      <c r="Q108" s="659"/>
      <c r="R108" s="911"/>
      <c r="S108" s="911"/>
      <c r="T108" s="911"/>
      <c r="U108" s="911"/>
      <c r="V108" s="912"/>
      <c r="W108" s="910"/>
      <c r="X108" s="911"/>
      <c r="Y108" s="911"/>
      <c r="Z108" s="911"/>
      <c r="AA108" s="912"/>
      <c r="AB108" s="660"/>
      <c r="AC108" s="660"/>
      <c r="AD108" s="910"/>
      <c r="AE108" s="913"/>
      <c r="AF108" s="911"/>
      <c r="AG108" s="911"/>
      <c r="AH108" s="912"/>
      <c r="AI108" s="910"/>
      <c r="AJ108" s="913"/>
      <c r="AK108" s="911"/>
      <c r="AL108" s="911"/>
      <c r="AM108" s="912"/>
      <c r="AN108" s="660"/>
      <c r="AO108" s="660"/>
      <c r="AP108" s="910"/>
      <c r="AQ108" s="913"/>
      <c r="AR108" s="911"/>
      <c r="AS108" s="911"/>
      <c r="AT108" s="912"/>
      <c r="AU108" s="910"/>
      <c r="AV108" s="913"/>
      <c r="AW108" s="911"/>
      <c r="AX108" s="911"/>
      <c r="AY108" s="912"/>
    </row>
    <row r="109" spans="2:51" ht="15">
      <c r="B109" s="906"/>
      <c r="C109" s="530"/>
      <c r="D109" s="541" t="s">
        <v>3084</v>
      </c>
      <c r="E109" s="530"/>
      <c r="F109" s="530"/>
      <c r="G109" s="660"/>
      <c r="H109" s="660"/>
      <c r="I109" s="164" t="s">
        <v>2183</v>
      </c>
      <c r="J109" s="664"/>
      <c r="K109" s="660"/>
      <c r="L109" s="660"/>
      <c r="M109" s="660"/>
      <c r="N109" s="660"/>
      <c r="O109" s="660"/>
      <c r="P109" s="660"/>
      <c r="Q109" s="659"/>
      <c r="R109" s="998">
        <f t="shared" ref="R109:R114" si="99">AD109*AP109</f>
        <v>0</v>
      </c>
      <c r="S109" s="642">
        <f t="shared" ref="S109:AA118" si="100">AE109*AQ109</f>
        <v>0</v>
      </c>
      <c r="T109" s="642">
        <f t="shared" si="100"/>
        <v>0</v>
      </c>
      <c r="U109" s="642">
        <f t="shared" si="100"/>
        <v>0</v>
      </c>
      <c r="V109" s="643">
        <f t="shared" si="100"/>
        <v>0</v>
      </c>
      <c r="W109" s="641">
        <f t="shared" si="100"/>
        <v>0</v>
      </c>
      <c r="X109" s="642">
        <f t="shared" si="100"/>
        <v>0</v>
      </c>
      <c r="Y109" s="642">
        <f t="shared" si="100"/>
        <v>0</v>
      </c>
      <c r="Z109" s="642">
        <f t="shared" si="100"/>
        <v>0</v>
      </c>
      <c r="AA109" s="643">
        <f t="shared" si="100"/>
        <v>0</v>
      </c>
      <c r="AB109" s="660"/>
      <c r="AC109" s="1744"/>
      <c r="AD109" s="907">
        <v>0</v>
      </c>
      <c r="AE109" s="908">
        <v>0</v>
      </c>
      <c r="AF109" s="908">
        <v>0</v>
      </c>
      <c r="AG109" s="908">
        <v>0</v>
      </c>
      <c r="AH109" s="909">
        <v>0</v>
      </c>
      <c r="AI109" s="907">
        <v>0</v>
      </c>
      <c r="AJ109" s="908">
        <v>0</v>
      </c>
      <c r="AK109" s="908">
        <v>0</v>
      </c>
      <c r="AL109" s="908">
        <v>0</v>
      </c>
      <c r="AM109" s="909">
        <v>0</v>
      </c>
      <c r="AN109" s="660"/>
      <c r="AO109" s="1744"/>
      <c r="AP109" s="907">
        <v>0</v>
      </c>
      <c r="AQ109" s="908">
        <v>0</v>
      </c>
      <c r="AR109" s="908">
        <v>0</v>
      </c>
      <c r="AS109" s="908">
        <v>0</v>
      </c>
      <c r="AT109" s="909">
        <v>0</v>
      </c>
      <c r="AU109" s="907">
        <v>0</v>
      </c>
      <c r="AV109" s="908">
        <v>0</v>
      </c>
      <c r="AW109" s="908">
        <v>0</v>
      </c>
      <c r="AX109" s="908">
        <v>0</v>
      </c>
      <c r="AY109" s="909">
        <v>0</v>
      </c>
    </row>
    <row r="110" spans="2:51" ht="15">
      <c r="B110" s="906"/>
      <c r="C110" s="530"/>
      <c r="D110" s="541" t="s">
        <v>3087</v>
      </c>
      <c r="E110" s="530"/>
      <c r="F110" s="530"/>
      <c r="G110" s="660"/>
      <c r="H110" s="660"/>
      <c r="I110" s="164" t="s">
        <v>2183</v>
      </c>
      <c r="J110" s="664"/>
      <c r="K110" s="660"/>
      <c r="L110" s="660"/>
      <c r="M110" s="660"/>
      <c r="N110" s="660"/>
      <c r="O110" s="660"/>
      <c r="P110" s="660"/>
      <c r="Q110" s="659"/>
      <c r="R110" s="998">
        <f t="shared" si="99"/>
        <v>0</v>
      </c>
      <c r="S110" s="642">
        <f t="shared" si="100"/>
        <v>0</v>
      </c>
      <c r="T110" s="642">
        <f t="shared" si="100"/>
        <v>0</v>
      </c>
      <c r="U110" s="642">
        <f t="shared" si="100"/>
        <v>0</v>
      </c>
      <c r="V110" s="643">
        <f t="shared" si="100"/>
        <v>0</v>
      </c>
      <c r="W110" s="641">
        <f t="shared" si="100"/>
        <v>0</v>
      </c>
      <c r="X110" s="642">
        <f t="shared" si="100"/>
        <v>0</v>
      </c>
      <c r="Y110" s="642">
        <f t="shared" si="100"/>
        <v>0</v>
      </c>
      <c r="Z110" s="642">
        <f t="shared" si="100"/>
        <v>0</v>
      </c>
      <c r="AA110" s="643">
        <f t="shared" si="100"/>
        <v>0</v>
      </c>
      <c r="AB110" s="660"/>
      <c r="AC110" s="1744"/>
      <c r="AD110" s="907">
        <v>0</v>
      </c>
      <c r="AE110" s="908">
        <v>0</v>
      </c>
      <c r="AF110" s="908">
        <v>0</v>
      </c>
      <c r="AG110" s="908">
        <v>0</v>
      </c>
      <c r="AH110" s="909">
        <v>0</v>
      </c>
      <c r="AI110" s="907">
        <v>0</v>
      </c>
      <c r="AJ110" s="908">
        <v>0</v>
      </c>
      <c r="AK110" s="908">
        <v>0</v>
      </c>
      <c r="AL110" s="908">
        <v>0</v>
      </c>
      <c r="AM110" s="909">
        <v>0</v>
      </c>
      <c r="AN110" s="660"/>
      <c r="AO110" s="1744"/>
      <c r="AP110" s="907">
        <v>0</v>
      </c>
      <c r="AQ110" s="908">
        <v>0</v>
      </c>
      <c r="AR110" s="908">
        <v>0</v>
      </c>
      <c r="AS110" s="908">
        <v>0</v>
      </c>
      <c r="AT110" s="909">
        <v>0</v>
      </c>
      <c r="AU110" s="907">
        <v>0</v>
      </c>
      <c r="AV110" s="908">
        <v>0</v>
      </c>
      <c r="AW110" s="908">
        <v>0</v>
      </c>
      <c r="AX110" s="908">
        <v>0</v>
      </c>
      <c r="AY110" s="909">
        <v>0</v>
      </c>
    </row>
    <row r="111" spans="2:51" ht="15">
      <c r="B111" s="906"/>
      <c r="C111" s="530"/>
      <c r="D111" s="541" t="s">
        <v>3089</v>
      </c>
      <c r="E111" s="530"/>
      <c r="F111" s="530"/>
      <c r="G111" s="660"/>
      <c r="H111" s="660"/>
      <c r="I111" s="164" t="s">
        <v>2183</v>
      </c>
      <c r="J111" s="664"/>
      <c r="K111" s="660"/>
      <c r="L111" s="660"/>
      <c r="M111" s="660"/>
      <c r="N111" s="660"/>
      <c r="O111" s="660"/>
      <c r="P111" s="660"/>
      <c r="Q111" s="659"/>
      <c r="R111" s="998">
        <f t="shared" si="99"/>
        <v>0</v>
      </c>
      <c r="S111" s="642">
        <f t="shared" si="100"/>
        <v>0</v>
      </c>
      <c r="T111" s="642">
        <f t="shared" si="100"/>
        <v>0</v>
      </c>
      <c r="U111" s="642">
        <f t="shared" si="100"/>
        <v>0</v>
      </c>
      <c r="V111" s="643">
        <f t="shared" si="100"/>
        <v>0</v>
      </c>
      <c r="W111" s="641">
        <f t="shared" si="100"/>
        <v>0</v>
      </c>
      <c r="X111" s="642">
        <f t="shared" si="100"/>
        <v>0</v>
      </c>
      <c r="Y111" s="642">
        <f t="shared" si="100"/>
        <v>0</v>
      </c>
      <c r="Z111" s="642">
        <f t="shared" si="100"/>
        <v>0</v>
      </c>
      <c r="AA111" s="643">
        <f t="shared" si="100"/>
        <v>0</v>
      </c>
      <c r="AB111" s="660"/>
      <c r="AC111" s="1744"/>
      <c r="AD111" s="907">
        <v>0</v>
      </c>
      <c r="AE111" s="908">
        <v>0</v>
      </c>
      <c r="AF111" s="908">
        <v>0</v>
      </c>
      <c r="AG111" s="908">
        <v>0</v>
      </c>
      <c r="AH111" s="909">
        <v>0</v>
      </c>
      <c r="AI111" s="907">
        <v>0</v>
      </c>
      <c r="AJ111" s="908">
        <v>0</v>
      </c>
      <c r="AK111" s="908">
        <v>0</v>
      </c>
      <c r="AL111" s="908">
        <v>0</v>
      </c>
      <c r="AM111" s="909">
        <v>0</v>
      </c>
      <c r="AN111" s="660"/>
      <c r="AO111" s="1744"/>
      <c r="AP111" s="907">
        <v>0</v>
      </c>
      <c r="AQ111" s="908">
        <v>0</v>
      </c>
      <c r="AR111" s="908">
        <v>0</v>
      </c>
      <c r="AS111" s="908">
        <v>0</v>
      </c>
      <c r="AT111" s="909">
        <v>0</v>
      </c>
      <c r="AU111" s="907">
        <v>0</v>
      </c>
      <c r="AV111" s="908">
        <v>0</v>
      </c>
      <c r="AW111" s="908">
        <v>0</v>
      </c>
      <c r="AX111" s="908">
        <v>0</v>
      </c>
      <c r="AY111" s="909">
        <v>0</v>
      </c>
    </row>
    <row r="112" spans="2:51" ht="15">
      <c r="B112" s="906"/>
      <c r="C112" s="530"/>
      <c r="D112" s="541" t="s">
        <v>3090</v>
      </c>
      <c r="E112" s="530"/>
      <c r="F112" s="530"/>
      <c r="G112" s="660"/>
      <c r="H112" s="660"/>
      <c r="I112" s="164" t="s">
        <v>2183</v>
      </c>
      <c r="J112" s="664"/>
      <c r="K112" s="660"/>
      <c r="L112" s="660"/>
      <c r="M112" s="660"/>
      <c r="N112" s="660"/>
      <c r="O112" s="660"/>
      <c r="P112" s="660"/>
      <c r="Q112" s="659"/>
      <c r="R112" s="998">
        <f t="shared" si="99"/>
        <v>0</v>
      </c>
      <c r="S112" s="642">
        <f t="shared" si="100"/>
        <v>0</v>
      </c>
      <c r="T112" s="642">
        <f t="shared" si="100"/>
        <v>0</v>
      </c>
      <c r="U112" s="642">
        <f t="shared" si="100"/>
        <v>0</v>
      </c>
      <c r="V112" s="643">
        <f t="shared" si="100"/>
        <v>0</v>
      </c>
      <c r="W112" s="641">
        <f t="shared" si="100"/>
        <v>0</v>
      </c>
      <c r="X112" s="642">
        <f t="shared" si="100"/>
        <v>0</v>
      </c>
      <c r="Y112" s="642">
        <f t="shared" si="100"/>
        <v>0</v>
      </c>
      <c r="Z112" s="642">
        <f t="shared" si="100"/>
        <v>0</v>
      </c>
      <c r="AA112" s="643">
        <f t="shared" si="100"/>
        <v>0</v>
      </c>
      <c r="AB112" s="660"/>
      <c r="AC112" s="1744"/>
      <c r="AD112" s="907">
        <v>0</v>
      </c>
      <c r="AE112" s="908">
        <v>0</v>
      </c>
      <c r="AF112" s="908">
        <v>0</v>
      </c>
      <c r="AG112" s="908">
        <v>0</v>
      </c>
      <c r="AH112" s="909">
        <v>0</v>
      </c>
      <c r="AI112" s="907">
        <v>0</v>
      </c>
      <c r="AJ112" s="908">
        <v>0</v>
      </c>
      <c r="AK112" s="908">
        <v>0</v>
      </c>
      <c r="AL112" s="908">
        <v>0</v>
      </c>
      <c r="AM112" s="909">
        <v>0</v>
      </c>
      <c r="AN112" s="660"/>
      <c r="AO112" s="1744"/>
      <c r="AP112" s="907">
        <v>0</v>
      </c>
      <c r="AQ112" s="908">
        <v>0</v>
      </c>
      <c r="AR112" s="908">
        <v>0</v>
      </c>
      <c r="AS112" s="908">
        <v>0</v>
      </c>
      <c r="AT112" s="909">
        <v>0</v>
      </c>
      <c r="AU112" s="907">
        <v>0</v>
      </c>
      <c r="AV112" s="908">
        <v>0</v>
      </c>
      <c r="AW112" s="908">
        <v>0</v>
      </c>
      <c r="AX112" s="908">
        <v>0</v>
      </c>
      <c r="AY112" s="909">
        <v>0</v>
      </c>
    </row>
    <row r="113" spans="2:51" ht="15">
      <c r="B113" s="906"/>
      <c r="C113" s="530"/>
      <c r="D113" s="541" t="s">
        <v>3092</v>
      </c>
      <c r="E113" s="530"/>
      <c r="F113" s="530"/>
      <c r="G113" s="660"/>
      <c r="H113" s="660"/>
      <c r="I113" s="164" t="s">
        <v>2183</v>
      </c>
      <c r="J113" s="664"/>
      <c r="K113" s="660"/>
      <c r="L113" s="660"/>
      <c r="M113" s="660"/>
      <c r="N113" s="660"/>
      <c r="O113" s="660"/>
      <c r="P113" s="660"/>
      <c r="Q113" s="659"/>
      <c r="R113" s="998">
        <f t="shared" si="99"/>
        <v>0</v>
      </c>
      <c r="S113" s="642">
        <f t="shared" si="100"/>
        <v>0</v>
      </c>
      <c r="T113" s="642">
        <f t="shared" si="100"/>
        <v>0</v>
      </c>
      <c r="U113" s="642">
        <f t="shared" si="100"/>
        <v>0</v>
      </c>
      <c r="V113" s="643">
        <f t="shared" si="100"/>
        <v>0</v>
      </c>
      <c r="W113" s="641">
        <f t="shared" si="100"/>
        <v>0</v>
      </c>
      <c r="X113" s="642">
        <f t="shared" si="100"/>
        <v>0</v>
      </c>
      <c r="Y113" s="642">
        <f t="shared" si="100"/>
        <v>0</v>
      </c>
      <c r="Z113" s="642">
        <f t="shared" si="100"/>
        <v>0</v>
      </c>
      <c r="AA113" s="643">
        <f t="shared" si="100"/>
        <v>0</v>
      </c>
      <c r="AB113" s="660"/>
      <c r="AC113" s="1744"/>
      <c r="AD113" s="907">
        <v>0</v>
      </c>
      <c r="AE113" s="908">
        <v>0</v>
      </c>
      <c r="AF113" s="908">
        <v>0</v>
      </c>
      <c r="AG113" s="908">
        <v>0</v>
      </c>
      <c r="AH113" s="909">
        <v>0</v>
      </c>
      <c r="AI113" s="907">
        <v>0</v>
      </c>
      <c r="AJ113" s="908">
        <v>0</v>
      </c>
      <c r="AK113" s="908">
        <v>0</v>
      </c>
      <c r="AL113" s="908">
        <v>0</v>
      </c>
      <c r="AM113" s="909">
        <v>0</v>
      </c>
      <c r="AN113" s="660"/>
      <c r="AO113" s="1744"/>
      <c r="AP113" s="907">
        <v>0</v>
      </c>
      <c r="AQ113" s="908">
        <v>0</v>
      </c>
      <c r="AR113" s="908">
        <v>0</v>
      </c>
      <c r="AS113" s="908">
        <v>0</v>
      </c>
      <c r="AT113" s="909">
        <v>0</v>
      </c>
      <c r="AU113" s="907">
        <v>0</v>
      </c>
      <c r="AV113" s="908">
        <v>0</v>
      </c>
      <c r="AW113" s="908">
        <v>0</v>
      </c>
      <c r="AX113" s="908">
        <v>0</v>
      </c>
      <c r="AY113" s="909">
        <v>0</v>
      </c>
    </row>
    <row r="114" spans="2:51" ht="15">
      <c r="B114" s="906"/>
      <c r="C114" s="530"/>
      <c r="D114" s="541" t="s">
        <v>3095</v>
      </c>
      <c r="E114" s="530"/>
      <c r="F114" s="530"/>
      <c r="G114" s="660"/>
      <c r="H114" s="660"/>
      <c r="I114" s="164" t="s">
        <v>2183</v>
      </c>
      <c r="J114" s="664"/>
      <c r="K114" s="660"/>
      <c r="L114" s="660"/>
      <c r="M114" s="660"/>
      <c r="N114" s="660"/>
      <c r="O114" s="660"/>
      <c r="P114" s="660"/>
      <c r="Q114" s="659"/>
      <c r="R114" s="998">
        <f t="shared" si="99"/>
        <v>0</v>
      </c>
      <c r="S114" s="642">
        <f t="shared" si="100"/>
        <v>0</v>
      </c>
      <c r="T114" s="642">
        <f t="shared" si="100"/>
        <v>0</v>
      </c>
      <c r="U114" s="642">
        <f t="shared" si="100"/>
        <v>0</v>
      </c>
      <c r="V114" s="643">
        <f t="shared" si="100"/>
        <v>0</v>
      </c>
      <c r="W114" s="641">
        <f t="shared" si="100"/>
        <v>0</v>
      </c>
      <c r="X114" s="642">
        <f t="shared" si="100"/>
        <v>0</v>
      </c>
      <c r="Y114" s="642">
        <f t="shared" si="100"/>
        <v>0</v>
      </c>
      <c r="Z114" s="642">
        <f t="shared" si="100"/>
        <v>0</v>
      </c>
      <c r="AA114" s="643">
        <f t="shared" si="100"/>
        <v>0</v>
      </c>
      <c r="AB114" s="660"/>
      <c r="AC114" s="1744"/>
      <c r="AD114" s="907">
        <v>0</v>
      </c>
      <c r="AE114" s="908">
        <v>0</v>
      </c>
      <c r="AF114" s="908">
        <v>0</v>
      </c>
      <c r="AG114" s="908">
        <v>0</v>
      </c>
      <c r="AH114" s="909">
        <v>0</v>
      </c>
      <c r="AI114" s="907">
        <v>0</v>
      </c>
      <c r="AJ114" s="908">
        <v>0</v>
      </c>
      <c r="AK114" s="908">
        <v>0</v>
      </c>
      <c r="AL114" s="908">
        <v>0</v>
      </c>
      <c r="AM114" s="909">
        <v>0</v>
      </c>
      <c r="AN114" s="660"/>
      <c r="AO114" s="1744"/>
      <c r="AP114" s="907">
        <v>0</v>
      </c>
      <c r="AQ114" s="908">
        <v>0</v>
      </c>
      <c r="AR114" s="908">
        <v>0</v>
      </c>
      <c r="AS114" s="908">
        <v>0</v>
      </c>
      <c r="AT114" s="909">
        <v>0</v>
      </c>
      <c r="AU114" s="907">
        <v>0</v>
      </c>
      <c r="AV114" s="908">
        <v>0</v>
      </c>
      <c r="AW114" s="908">
        <v>0</v>
      </c>
      <c r="AX114" s="908">
        <v>0</v>
      </c>
      <c r="AY114" s="909">
        <v>0</v>
      </c>
    </row>
    <row r="115" spans="2:51" ht="15">
      <c r="B115" s="906"/>
      <c r="C115" s="530"/>
      <c r="D115" s="541" t="s">
        <v>3096</v>
      </c>
      <c r="E115" s="530"/>
      <c r="F115" s="530"/>
      <c r="G115" s="660"/>
      <c r="H115" s="660"/>
      <c r="I115" s="164" t="s">
        <v>2183</v>
      </c>
      <c r="J115" s="664"/>
      <c r="K115" s="660"/>
      <c r="L115" s="660"/>
      <c r="M115" s="660"/>
      <c r="N115" s="660"/>
      <c r="O115" s="660"/>
      <c r="P115" s="660"/>
      <c r="Q115" s="659"/>
      <c r="R115" s="998">
        <f t="shared" ref="R115:R118" si="101">AD115*AP115</f>
        <v>0</v>
      </c>
      <c r="S115" s="642">
        <f t="shared" si="100"/>
        <v>0</v>
      </c>
      <c r="T115" s="642">
        <f t="shared" si="100"/>
        <v>0</v>
      </c>
      <c r="U115" s="642">
        <f t="shared" si="100"/>
        <v>0</v>
      </c>
      <c r="V115" s="643">
        <f t="shared" si="100"/>
        <v>0</v>
      </c>
      <c r="W115" s="641">
        <f t="shared" si="100"/>
        <v>0</v>
      </c>
      <c r="X115" s="642">
        <f t="shared" si="100"/>
        <v>0</v>
      </c>
      <c r="Y115" s="642">
        <f t="shared" si="100"/>
        <v>0</v>
      </c>
      <c r="Z115" s="642">
        <f t="shared" si="100"/>
        <v>0</v>
      </c>
      <c r="AA115" s="643">
        <f t="shared" si="100"/>
        <v>0</v>
      </c>
      <c r="AB115" s="660"/>
      <c r="AC115" s="1744"/>
      <c r="AD115" s="907">
        <v>0</v>
      </c>
      <c r="AE115" s="908">
        <v>0</v>
      </c>
      <c r="AF115" s="908">
        <v>0</v>
      </c>
      <c r="AG115" s="908">
        <v>0</v>
      </c>
      <c r="AH115" s="909">
        <v>0</v>
      </c>
      <c r="AI115" s="907">
        <v>0</v>
      </c>
      <c r="AJ115" s="908">
        <v>0</v>
      </c>
      <c r="AK115" s="908">
        <v>0</v>
      </c>
      <c r="AL115" s="908">
        <v>0</v>
      </c>
      <c r="AM115" s="909">
        <v>0</v>
      </c>
      <c r="AN115" s="660"/>
      <c r="AO115" s="1744"/>
      <c r="AP115" s="907">
        <v>0</v>
      </c>
      <c r="AQ115" s="908">
        <v>0</v>
      </c>
      <c r="AR115" s="908">
        <v>0</v>
      </c>
      <c r="AS115" s="908">
        <v>0</v>
      </c>
      <c r="AT115" s="909">
        <v>0</v>
      </c>
      <c r="AU115" s="907">
        <v>0</v>
      </c>
      <c r="AV115" s="908">
        <v>0</v>
      </c>
      <c r="AW115" s="908">
        <v>0</v>
      </c>
      <c r="AX115" s="908">
        <v>0</v>
      </c>
      <c r="AY115" s="909">
        <v>0</v>
      </c>
    </row>
    <row r="116" spans="2:51" ht="15">
      <c r="B116" s="906"/>
      <c r="C116" s="530"/>
      <c r="D116" s="541" t="s">
        <v>3125</v>
      </c>
      <c r="E116" s="530"/>
      <c r="F116" s="530"/>
      <c r="G116" s="660"/>
      <c r="H116" s="660"/>
      <c r="I116" s="164" t="s">
        <v>2183</v>
      </c>
      <c r="J116" s="664"/>
      <c r="K116" s="660"/>
      <c r="L116" s="660"/>
      <c r="M116" s="660"/>
      <c r="N116" s="660"/>
      <c r="O116" s="660"/>
      <c r="P116" s="660"/>
      <c r="Q116" s="659"/>
      <c r="R116" s="998">
        <f t="shared" si="101"/>
        <v>0</v>
      </c>
      <c r="S116" s="642">
        <f t="shared" si="100"/>
        <v>0</v>
      </c>
      <c r="T116" s="642">
        <f t="shared" si="100"/>
        <v>0</v>
      </c>
      <c r="U116" s="642">
        <f t="shared" si="100"/>
        <v>0</v>
      </c>
      <c r="V116" s="643">
        <f t="shared" si="100"/>
        <v>0</v>
      </c>
      <c r="W116" s="641">
        <f t="shared" si="100"/>
        <v>0</v>
      </c>
      <c r="X116" s="642">
        <f t="shared" si="100"/>
        <v>0</v>
      </c>
      <c r="Y116" s="642">
        <f t="shared" si="100"/>
        <v>0</v>
      </c>
      <c r="Z116" s="642">
        <f t="shared" si="100"/>
        <v>0</v>
      </c>
      <c r="AA116" s="643">
        <f t="shared" si="100"/>
        <v>0</v>
      </c>
      <c r="AB116" s="660"/>
      <c r="AC116" s="1744"/>
      <c r="AD116" s="907">
        <v>0</v>
      </c>
      <c r="AE116" s="908">
        <v>0</v>
      </c>
      <c r="AF116" s="908">
        <v>0</v>
      </c>
      <c r="AG116" s="908">
        <v>0</v>
      </c>
      <c r="AH116" s="909">
        <v>0</v>
      </c>
      <c r="AI116" s="907">
        <v>0</v>
      </c>
      <c r="AJ116" s="908">
        <v>0</v>
      </c>
      <c r="AK116" s="908">
        <v>0</v>
      </c>
      <c r="AL116" s="908">
        <v>0</v>
      </c>
      <c r="AM116" s="909">
        <v>0</v>
      </c>
      <c r="AN116" s="660"/>
      <c r="AO116" s="1744"/>
      <c r="AP116" s="907">
        <v>0</v>
      </c>
      <c r="AQ116" s="908">
        <v>0</v>
      </c>
      <c r="AR116" s="908">
        <v>0</v>
      </c>
      <c r="AS116" s="908">
        <v>0</v>
      </c>
      <c r="AT116" s="909">
        <v>0</v>
      </c>
      <c r="AU116" s="907">
        <v>0</v>
      </c>
      <c r="AV116" s="908">
        <v>0</v>
      </c>
      <c r="AW116" s="908">
        <v>0</v>
      </c>
      <c r="AX116" s="908">
        <v>0</v>
      </c>
      <c r="AY116" s="909">
        <v>0</v>
      </c>
    </row>
    <row r="117" spans="2:51" ht="42.75">
      <c r="B117" s="906"/>
      <c r="C117" s="530"/>
      <c r="D117" s="530" t="s">
        <v>85</v>
      </c>
      <c r="E117" s="530"/>
      <c r="F117" s="530"/>
      <c r="G117" s="928" t="s">
        <v>3127</v>
      </c>
      <c r="H117" s="660"/>
      <c r="I117" s="164" t="s">
        <v>2183</v>
      </c>
      <c r="J117" s="664"/>
      <c r="K117" s="660"/>
      <c r="L117" s="660"/>
      <c r="M117" s="660"/>
      <c r="N117" s="660"/>
      <c r="O117" s="660"/>
      <c r="P117" s="660"/>
      <c r="Q117" s="659"/>
      <c r="R117" s="998">
        <f t="shared" si="101"/>
        <v>23.858739179999997</v>
      </c>
      <c r="S117" s="642">
        <f t="shared" si="100"/>
        <v>23.21088872</v>
      </c>
      <c r="T117" s="642">
        <f t="shared" si="100"/>
        <v>22.562753239999999</v>
      </c>
      <c r="U117" s="642">
        <f t="shared" si="100"/>
        <v>21.914902779999998</v>
      </c>
      <c r="V117" s="643">
        <f t="shared" si="100"/>
        <v>21.267052319999998</v>
      </c>
      <c r="W117" s="641">
        <f t="shared" si="100"/>
        <v>20.634592939999997</v>
      </c>
      <c r="X117" s="642">
        <f t="shared" si="100"/>
        <v>20.002418579999997</v>
      </c>
      <c r="Y117" s="642">
        <f t="shared" si="100"/>
        <v>19.37024422</v>
      </c>
      <c r="Z117" s="642">
        <f t="shared" si="100"/>
        <v>18.73806986</v>
      </c>
      <c r="AA117" s="643">
        <f t="shared" si="100"/>
        <v>18.105610479999999</v>
      </c>
      <c r="AB117" s="660"/>
      <c r="AC117" s="2701" t="s">
        <v>3128</v>
      </c>
      <c r="AD117" s="907">
        <v>2.8501999999999998E-4</v>
      </c>
      <c r="AE117" s="908">
        <v>2.8501999999999998E-4</v>
      </c>
      <c r="AF117" s="908">
        <v>2.8501999999999998E-4</v>
      </c>
      <c r="AG117" s="908">
        <v>2.8501999999999998E-4</v>
      </c>
      <c r="AH117" s="909">
        <v>2.8501999999999998E-4</v>
      </c>
      <c r="AI117" s="907">
        <v>2.8501999999999998E-4</v>
      </c>
      <c r="AJ117" s="908">
        <v>2.8501999999999998E-4</v>
      </c>
      <c r="AK117" s="908">
        <v>2.8501999999999998E-4</v>
      </c>
      <c r="AL117" s="908">
        <v>2.8501999999999998E-4</v>
      </c>
      <c r="AM117" s="909">
        <v>2.8501999999999998E-4</v>
      </c>
      <c r="AN117" s="660"/>
      <c r="AO117" s="1744" t="s">
        <v>3094</v>
      </c>
      <c r="AP117" s="907">
        <v>83709</v>
      </c>
      <c r="AQ117" s="908">
        <v>81436</v>
      </c>
      <c r="AR117" s="908">
        <v>79162</v>
      </c>
      <c r="AS117" s="908">
        <v>76889</v>
      </c>
      <c r="AT117" s="909">
        <v>74616</v>
      </c>
      <c r="AU117" s="907">
        <v>72397</v>
      </c>
      <c r="AV117" s="908">
        <v>70179</v>
      </c>
      <c r="AW117" s="908">
        <v>67961</v>
      </c>
      <c r="AX117" s="908">
        <v>65743</v>
      </c>
      <c r="AY117" s="909">
        <v>63524</v>
      </c>
    </row>
    <row r="118" spans="2:51" ht="15">
      <c r="B118" s="906"/>
      <c r="C118" s="530"/>
      <c r="D118" s="530" t="s">
        <v>85</v>
      </c>
      <c r="E118" s="530"/>
      <c r="F118" s="530"/>
      <c r="G118" s="928"/>
      <c r="H118" s="660"/>
      <c r="I118" s="164" t="s">
        <v>2183</v>
      </c>
      <c r="J118" s="664"/>
      <c r="K118" s="660"/>
      <c r="L118" s="660"/>
      <c r="M118" s="660"/>
      <c r="N118" s="660"/>
      <c r="O118" s="660"/>
      <c r="P118" s="660"/>
      <c r="Q118" s="659"/>
      <c r="R118" s="998">
        <f t="shared" si="101"/>
        <v>0</v>
      </c>
      <c r="S118" s="642">
        <f t="shared" si="100"/>
        <v>0</v>
      </c>
      <c r="T118" s="642">
        <f t="shared" si="100"/>
        <v>0</v>
      </c>
      <c r="U118" s="642">
        <f t="shared" si="100"/>
        <v>0</v>
      </c>
      <c r="V118" s="643">
        <f t="shared" si="100"/>
        <v>0</v>
      </c>
      <c r="W118" s="641">
        <f t="shared" si="100"/>
        <v>0</v>
      </c>
      <c r="X118" s="642">
        <f t="shared" si="100"/>
        <v>0</v>
      </c>
      <c r="Y118" s="642">
        <f t="shared" si="100"/>
        <v>0</v>
      </c>
      <c r="Z118" s="642">
        <f t="shared" si="100"/>
        <v>0</v>
      </c>
      <c r="AA118" s="643">
        <f t="shared" si="100"/>
        <v>0</v>
      </c>
      <c r="AB118" s="660"/>
      <c r="AC118" s="1744"/>
      <c r="AD118" s="907">
        <v>0</v>
      </c>
      <c r="AE118" s="908">
        <v>0</v>
      </c>
      <c r="AF118" s="908">
        <v>0</v>
      </c>
      <c r="AG118" s="908">
        <v>0</v>
      </c>
      <c r="AH118" s="909">
        <v>0</v>
      </c>
      <c r="AI118" s="907">
        <v>0</v>
      </c>
      <c r="AJ118" s="908">
        <v>0</v>
      </c>
      <c r="AK118" s="908">
        <v>0</v>
      </c>
      <c r="AL118" s="908">
        <v>0</v>
      </c>
      <c r="AM118" s="909">
        <v>0</v>
      </c>
      <c r="AN118" s="660"/>
      <c r="AO118" s="1744"/>
      <c r="AP118" s="907">
        <v>0</v>
      </c>
      <c r="AQ118" s="908">
        <v>0</v>
      </c>
      <c r="AR118" s="908">
        <v>0</v>
      </c>
      <c r="AS118" s="908">
        <v>0</v>
      </c>
      <c r="AT118" s="909">
        <v>0</v>
      </c>
      <c r="AU118" s="907">
        <v>0</v>
      </c>
      <c r="AV118" s="908">
        <v>0</v>
      </c>
      <c r="AW118" s="908">
        <v>0</v>
      </c>
      <c r="AX118" s="908">
        <v>0</v>
      </c>
      <c r="AY118" s="909">
        <v>0</v>
      </c>
    </row>
    <row r="119" spans="2:51" ht="15">
      <c r="B119" s="906"/>
      <c r="C119" s="530"/>
      <c r="D119" s="530" t="s">
        <v>2443</v>
      </c>
      <c r="E119" s="530"/>
      <c r="F119" s="530"/>
      <c r="G119" s="1555"/>
      <c r="H119" s="660"/>
      <c r="I119" s="164" t="s">
        <v>2183</v>
      </c>
      <c r="J119" s="2697" t="s">
        <v>3129</v>
      </c>
      <c r="K119" s="2698" t="s">
        <v>3129</v>
      </c>
      <c r="L119" s="2698" t="s">
        <v>3129</v>
      </c>
      <c r="M119" s="2698" t="s">
        <v>3129</v>
      </c>
      <c r="N119" s="2698" t="s">
        <v>3129</v>
      </c>
      <c r="O119" s="2698" t="s">
        <v>3129</v>
      </c>
      <c r="P119" s="2698" t="s">
        <v>3129</v>
      </c>
      <c r="Q119" s="2699" t="s">
        <v>3129</v>
      </c>
      <c r="R119" s="911"/>
      <c r="S119" s="911"/>
      <c r="T119" s="911"/>
      <c r="U119" s="911"/>
      <c r="V119" s="912"/>
      <c r="W119" s="910"/>
      <c r="X119" s="911"/>
      <c r="Y119" s="911"/>
      <c r="Z119" s="911"/>
      <c r="AA119" s="912"/>
      <c r="AB119" s="660"/>
      <c r="AC119" s="660"/>
      <c r="AD119" s="910"/>
      <c r="AE119" s="913"/>
      <c r="AF119" s="911"/>
      <c r="AG119" s="911"/>
      <c r="AH119" s="912"/>
      <c r="AI119" s="910"/>
      <c r="AJ119" s="913"/>
      <c r="AK119" s="911"/>
      <c r="AL119" s="911"/>
      <c r="AM119" s="912"/>
      <c r="AN119" s="660"/>
      <c r="AO119" s="660"/>
      <c r="AP119" s="910"/>
      <c r="AQ119" s="913"/>
      <c r="AR119" s="911"/>
      <c r="AS119" s="911"/>
      <c r="AT119" s="912"/>
      <c r="AU119" s="910"/>
      <c r="AV119" s="913"/>
      <c r="AW119" s="911"/>
      <c r="AX119" s="911"/>
      <c r="AY119" s="912"/>
    </row>
    <row r="120" spans="2:51" ht="15">
      <c r="B120" s="906"/>
      <c r="C120" s="530" t="s">
        <v>1710</v>
      </c>
      <c r="D120" s="530"/>
      <c r="E120" s="530"/>
      <c r="F120" s="530"/>
      <c r="G120" s="660"/>
      <c r="H120" s="660"/>
      <c r="I120" s="164" t="s">
        <v>2183</v>
      </c>
      <c r="J120" s="697" t="str">
        <f>J119</f>
        <v>Included in operational transport</v>
      </c>
      <c r="K120" s="1342" t="str">
        <f t="shared" ref="K120" si="102">K119</f>
        <v>Included in operational transport</v>
      </c>
      <c r="L120" s="1342" t="str">
        <f t="shared" ref="L120" si="103">L119</f>
        <v>Included in operational transport</v>
      </c>
      <c r="M120" s="1342" t="str">
        <f t="shared" ref="M120" si="104">M119</f>
        <v>Included in operational transport</v>
      </c>
      <c r="N120" s="1342" t="str">
        <f t="shared" ref="N120" si="105">N119</f>
        <v>Included in operational transport</v>
      </c>
      <c r="O120" s="1342" t="str">
        <f t="shared" ref="O120" si="106">O119</f>
        <v>Included in operational transport</v>
      </c>
      <c r="P120" s="1342" t="str">
        <f t="shared" ref="P120" si="107">P119</f>
        <v>Included in operational transport</v>
      </c>
      <c r="Q120" s="1342" t="str">
        <f t="shared" ref="Q120" si="108">Q119</f>
        <v>Included in operational transport</v>
      </c>
      <c r="R120" s="1342">
        <f>SUM(R109:R118)</f>
        <v>23.858739179999997</v>
      </c>
      <c r="S120" s="698">
        <f t="shared" ref="S120:AA120" si="109">SUM(S109:S118)</f>
        <v>23.21088872</v>
      </c>
      <c r="T120" s="698">
        <f t="shared" si="109"/>
        <v>22.562753239999999</v>
      </c>
      <c r="U120" s="698">
        <f t="shared" si="109"/>
        <v>21.914902779999998</v>
      </c>
      <c r="V120" s="699">
        <f t="shared" si="109"/>
        <v>21.267052319999998</v>
      </c>
      <c r="W120" s="697">
        <f t="shared" si="109"/>
        <v>20.634592939999997</v>
      </c>
      <c r="X120" s="698">
        <f t="shared" si="109"/>
        <v>20.002418579999997</v>
      </c>
      <c r="Y120" s="698">
        <f t="shared" si="109"/>
        <v>19.37024422</v>
      </c>
      <c r="Z120" s="698">
        <f t="shared" si="109"/>
        <v>18.73806986</v>
      </c>
      <c r="AA120" s="699">
        <f t="shared" si="109"/>
        <v>18.105610479999999</v>
      </c>
      <c r="AB120" s="660"/>
      <c r="AC120" s="660"/>
      <c r="AD120" s="910"/>
      <c r="AE120" s="913"/>
      <c r="AF120" s="911"/>
      <c r="AG120" s="911"/>
      <c r="AH120" s="912"/>
      <c r="AI120" s="910"/>
      <c r="AJ120" s="913"/>
      <c r="AK120" s="911"/>
      <c r="AL120" s="911"/>
      <c r="AM120" s="912"/>
      <c r="AN120" s="660"/>
      <c r="AO120" s="660"/>
      <c r="AP120" s="910"/>
      <c r="AQ120" s="913"/>
      <c r="AR120" s="911"/>
      <c r="AS120" s="911"/>
      <c r="AT120" s="912"/>
      <c r="AU120" s="910"/>
      <c r="AV120" s="913"/>
      <c r="AW120" s="911"/>
      <c r="AX120" s="911"/>
      <c r="AY120" s="912"/>
    </row>
    <row r="121" spans="2:51" ht="15">
      <c r="B121" s="906"/>
      <c r="C121" s="530"/>
      <c r="D121" s="530"/>
      <c r="E121" s="530"/>
      <c r="F121" s="530"/>
      <c r="G121" s="541"/>
      <c r="H121" s="660"/>
      <c r="I121" s="661"/>
      <c r="J121" s="664"/>
      <c r="K121" s="660"/>
      <c r="L121" s="660"/>
      <c r="M121" s="660"/>
      <c r="N121" s="660"/>
      <c r="O121" s="660"/>
      <c r="P121" s="660"/>
      <c r="Q121" s="659"/>
      <c r="R121" s="911"/>
      <c r="S121" s="911"/>
      <c r="T121" s="911"/>
      <c r="U121" s="911"/>
      <c r="V121" s="912"/>
      <c r="W121" s="910"/>
      <c r="X121" s="911"/>
      <c r="Y121" s="911"/>
      <c r="Z121" s="911"/>
      <c r="AA121" s="912"/>
      <c r="AB121" s="660"/>
      <c r="AC121" s="660"/>
      <c r="AD121" s="910"/>
      <c r="AE121" s="913"/>
      <c r="AF121" s="911"/>
      <c r="AG121" s="911"/>
      <c r="AH121" s="912"/>
      <c r="AI121" s="910"/>
      <c r="AJ121" s="913"/>
      <c r="AK121" s="911"/>
      <c r="AL121" s="911"/>
      <c r="AM121" s="912"/>
      <c r="AN121" s="660"/>
      <c r="AO121" s="660"/>
      <c r="AP121" s="910"/>
      <c r="AQ121" s="913"/>
      <c r="AR121" s="911"/>
      <c r="AS121" s="911"/>
      <c r="AT121" s="912"/>
      <c r="AU121" s="910"/>
      <c r="AV121" s="913"/>
      <c r="AW121" s="911"/>
      <c r="AX121" s="911"/>
      <c r="AY121" s="912"/>
    </row>
    <row r="122" spans="2:51" ht="15">
      <c r="B122" s="906"/>
      <c r="C122" s="667" t="s">
        <v>3112</v>
      </c>
      <c r="D122" s="667"/>
      <c r="E122" s="667"/>
      <c r="F122" s="667"/>
      <c r="G122" s="541"/>
      <c r="H122" s="660"/>
      <c r="I122" s="661"/>
      <c r="J122" s="664"/>
      <c r="K122" s="660"/>
      <c r="L122" s="660"/>
      <c r="M122" s="660"/>
      <c r="N122" s="660"/>
      <c r="O122" s="660"/>
      <c r="P122" s="660"/>
      <c r="Q122" s="659"/>
      <c r="R122" s="911"/>
      <c r="S122" s="911"/>
      <c r="T122" s="911"/>
      <c r="U122" s="911"/>
      <c r="V122" s="912"/>
      <c r="W122" s="910"/>
      <c r="X122" s="911"/>
      <c r="Y122" s="911"/>
      <c r="Z122" s="911"/>
      <c r="AA122" s="912"/>
      <c r="AB122" s="660"/>
      <c r="AC122" s="660"/>
      <c r="AD122" s="910"/>
      <c r="AE122" s="913"/>
      <c r="AF122" s="911"/>
      <c r="AG122" s="911"/>
      <c r="AH122" s="912"/>
      <c r="AI122" s="910"/>
      <c r="AJ122" s="913"/>
      <c r="AK122" s="911"/>
      <c r="AL122" s="911"/>
      <c r="AM122" s="912"/>
      <c r="AN122" s="660"/>
      <c r="AO122" s="660"/>
      <c r="AP122" s="910"/>
      <c r="AQ122" s="913"/>
      <c r="AR122" s="911"/>
      <c r="AS122" s="911"/>
      <c r="AT122" s="912"/>
      <c r="AU122" s="910"/>
      <c r="AV122" s="913"/>
      <c r="AW122" s="911"/>
      <c r="AX122" s="911"/>
      <c r="AY122" s="912"/>
    </row>
    <row r="123" spans="2:51" ht="15">
      <c r="B123" s="906"/>
      <c r="C123" s="530"/>
      <c r="D123" s="530" t="s">
        <v>85</v>
      </c>
      <c r="E123" s="530"/>
      <c r="F123" s="530"/>
      <c r="G123" s="928"/>
      <c r="H123" s="660"/>
      <c r="I123" s="164" t="s">
        <v>2183</v>
      </c>
      <c r="J123" s="664"/>
      <c r="K123" s="660"/>
      <c r="L123" s="660"/>
      <c r="M123" s="660"/>
      <c r="N123" s="660"/>
      <c r="O123" s="660"/>
      <c r="P123" s="660"/>
      <c r="Q123" s="659"/>
      <c r="R123" s="998">
        <f>AD123*AP123</f>
        <v>0</v>
      </c>
      <c r="S123" s="642">
        <f t="shared" ref="S123:AA124" si="110">AE123*AQ123</f>
        <v>0</v>
      </c>
      <c r="T123" s="642">
        <f t="shared" si="110"/>
        <v>0</v>
      </c>
      <c r="U123" s="642">
        <f t="shared" si="110"/>
        <v>0</v>
      </c>
      <c r="V123" s="643">
        <f t="shared" si="110"/>
        <v>0</v>
      </c>
      <c r="W123" s="641">
        <f t="shared" si="110"/>
        <v>0</v>
      </c>
      <c r="X123" s="642">
        <f t="shared" si="110"/>
        <v>0</v>
      </c>
      <c r="Y123" s="642">
        <f t="shared" si="110"/>
        <v>0</v>
      </c>
      <c r="Z123" s="642">
        <f t="shared" si="110"/>
        <v>0</v>
      </c>
      <c r="AA123" s="643">
        <f t="shared" si="110"/>
        <v>0</v>
      </c>
      <c r="AB123" s="660"/>
      <c r="AC123" s="1744" t="s">
        <v>3124</v>
      </c>
      <c r="AD123" s="907">
        <v>0</v>
      </c>
      <c r="AE123" s="908">
        <v>0</v>
      </c>
      <c r="AF123" s="908">
        <v>0</v>
      </c>
      <c r="AG123" s="908">
        <v>0</v>
      </c>
      <c r="AH123" s="909">
        <v>0</v>
      </c>
      <c r="AI123" s="907">
        <v>0</v>
      </c>
      <c r="AJ123" s="908">
        <v>0</v>
      </c>
      <c r="AK123" s="908">
        <v>0</v>
      </c>
      <c r="AL123" s="908">
        <v>0</v>
      </c>
      <c r="AM123" s="909">
        <v>0</v>
      </c>
      <c r="AN123" s="660"/>
      <c r="AO123" s="1744"/>
      <c r="AP123" s="907">
        <v>0</v>
      </c>
      <c r="AQ123" s="908">
        <v>0</v>
      </c>
      <c r="AR123" s="908">
        <v>0</v>
      </c>
      <c r="AS123" s="908">
        <v>0</v>
      </c>
      <c r="AT123" s="909">
        <v>0</v>
      </c>
      <c r="AU123" s="907">
        <v>0</v>
      </c>
      <c r="AV123" s="908">
        <v>0</v>
      </c>
      <c r="AW123" s="908">
        <v>0</v>
      </c>
      <c r="AX123" s="908">
        <v>0</v>
      </c>
      <c r="AY123" s="909">
        <v>0</v>
      </c>
    </row>
    <row r="124" spans="2:51" ht="15">
      <c r="B124" s="906"/>
      <c r="C124" s="530"/>
      <c r="D124" s="530" t="s">
        <v>85</v>
      </c>
      <c r="E124" s="530"/>
      <c r="F124" s="530"/>
      <c r="G124" s="928"/>
      <c r="H124" s="660"/>
      <c r="I124" s="164" t="s">
        <v>2183</v>
      </c>
      <c r="J124" s="664"/>
      <c r="K124" s="660"/>
      <c r="L124" s="660"/>
      <c r="M124" s="660"/>
      <c r="N124" s="660"/>
      <c r="O124" s="660"/>
      <c r="P124" s="660"/>
      <c r="Q124" s="659"/>
      <c r="R124" s="998">
        <f>AD124*AP124</f>
        <v>0</v>
      </c>
      <c r="S124" s="642">
        <f t="shared" si="110"/>
        <v>0</v>
      </c>
      <c r="T124" s="642">
        <f t="shared" si="110"/>
        <v>0</v>
      </c>
      <c r="U124" s="642">
        <f t="shared" si="110"/>
        <v>0</v>
      </c>
      <c r="V124" s="643">
        <f t="shared" si="110"/>
        <v>0</v>
      </c>
      <c r="W124" s="641">
        <f t="shared" si="110"/>
        <v>0</v>
      </c>
      <c r="X124" s="642">
        <f t="shared" si="110"/>
        <v>0</v>
      </c>
      <c r="Y124" s="642">
        <f t="shared" si="110"/>
        <v>0</v>
      </c>
      <c r="Z124" s="642">
        <f t="shared" si="110"/>
        <v>0</v>
      </c>
      <c r="AA124" s="643">
        <f t="shared" si="110"/>
        <v>0</v>
      </c>
      <c r="AB124" s="660"/>
      <c r="AC124" s="1744" t="s">
        <v>3124</v>
      </c>
      <c r="AD124" s="907">
        <v>0</v>
      </c>
      <c r="AE124" s="908">
        <v>0</v>
      </c>
      <c r="AF124" s="908">
        <v>0</v>
      </c>
      <c r="AG124" s="908">
        <v>0</v>
      </c>
      <c r="AH124" s="909">
        <v>0</v>
      </c>
      <c r="AI124" s="907">
        <v>0</v>
      </c>
      <c r="AJ124" s="908">
        <v>0</v>
      </c>
      <c r="AK124" s="908">
        <v>0</v>
      </c>
      <c r="AL124" s="908">
        <v>0</v>
      </c>
      <c r="AM124" s="909">
        <v>0</v>
      </c>
      <c r="AN124" s="660"/>
      <c r="AO124" s="1744"/>
      <c r="AP124" s="907">
        <v>0</v>
      </c>
      <c r="AQ124" s="908">
        <v>0</v>
      </c>
      <c r="AR124" s="908">
        <v>0</v>
      </c>
      <c r="AS124" s="908">
        <v>0</v>
      </c>
      <c r="AT124" s="909">
        <v>0</v>
      </c>
      <c r="AU124" s="907">
        <v>0</v>
      </c>
      <c r="AV124" s="908">
        <v>0</v>
      </c>
      <c r="AW124" s="908">
        <v>0</v>
      </c>
      <c r="AX124" s="908">
        <v>0</v>
      </c>
      <c r="AY124" s="909">
        <v>0</v>
      </c>
    </row>
    <row r="125" spans="2:51" ht="15">
      <c r="B125" s="906"/>
      <c r="C125" s="530"/>
      <c r="D125" s="530" t="s">
        <v>2443</v>
      </c>
      <c r="E125" s="530"/>
      <c r="F125" s="530"/>
      <c r="G125" s="1555"/>
      <c r="H125" s="660"/>
      <c r="I125" s="164" t="s">
        <v>2183</v>
      </c>
      <c r="J125" s="907" t="s">
        <v>3124</v>
      </c>
      <c r="K125" s="908" t="s">
        <v>3124</v>
      </c>
      <c r="L125" s="908" t="s">
        <v>3124</v>
      </c>
      <c r="M125" s="908" t="s">
        <v>3124</v>
      </c>
      <c r="N125" s="908" t="s">
        <v>3124</v>
      </c>
      <c r="O125" s="908" t="s">
        <v>3124</v>
      </c>
      <c r="P125" s="908" t="s">
        <v>3124</v>
      </c>
      <c r="Q125" s="909" t="s">
        <v>3124</v>
      </c>
      <c r="R125" s="911"/>
      <c r="S125" s="911"/>
      <c r="T125" s="911"/>
      <c r="U125" s="911"/>
      <c r="V125" s="912"/>
      <c r="W125" s="910"/>
      <c r="X125" s="911"/>
      <c r="Y125" s="911"/>
      <c r="Z125" s="911"/>
      <c r="AA125" s="912"/>
      <c r="AB125" s="660"/>
      <c r="AC125" s="660"/>
      <c r="AD125" s="910"/>
      <c r="AE125" s="913"/>
      <c r="AF125" s="911"/>
      <c r="AG125" s="911"/>
      <c r="AH125" s="912"/>
      <c r="AI125" s="910"/>
      <c r="AJ125" s="913"/>
      <c r="AK125" s="911"/>
      <c r="AL125" s="911"/>
      <c r="AM125" s="912"/>
      <c r="AN125" s="660"/>
      <c r="AO125" s="660"/>
      <c r="AP125" s="910"/>
      <c r="AQ125" s="913"/>
      <c r="AR125" s="911"/>
      <c r="AS125" s="911"/>
      <c r="AT125" s="912"/>
      <c r="AU125" s="910"/>
      <c r="AV125" s="913"/>
      <c r="AW125" s="911"/>
      <c r="AX125" s="911"/>
      <c r="AY125" s="912"/>
    </row>
    <row r="126" spans="2:51" ht="15">
      <c r="B126" s="906"/>
      <c r="C126" s="530" t="s">
        <v>1710</v>
      </c>
      <c r="D126" s="530"/>
      <c r="E126" s="530"/>
      <c r="F126" s="530"/>
      <c r="G126" s="660"/>
      <c r="H126" s="660"/>
      <c r="I126" s="164" t="s">
        <v>2183</v>
      </c>
      <c r="J126" s="697" t="str">
        <f>J125</f>
        <v>Not measured</v>
      </c>
      <c r="K126" s="1342" t="str">
        <f t="shared" ref="K126" si="111">K125</f>
        <v>Not measured</v>
      </c>
      <c r="L126" s="1342" t="str">
        <f t="shared" ref="L126" si="112">L125</f>
        <v>Not measured</v>
      </c>
      <c r="M126" s="1342" t="str">
        <f t="shared" ref="M126" si="113">M125</f>
        <v>Not measured</v>
      </c>
      <c r="N126" s="1342" t="str">
        <f t="shared" ref="N126" si="114">N125</f>
        <v>Not measured</v>
      </c>
      <c r="O126" s="1342" t="str">
        <f t="shared" ref="O126" si="115">O125</f>
        <v>Not measured</v>
      </c>
      <c r="P126" s="1342" t="str">
        <f t="shared" ref="P126" si="116">P125</f>
        <v>Not measured</v>
      </c>
      <c r="Q126" s="1342" t="str">
        <f t="shared" ref="Q126" si="117">Q125</f>
        <v>Not measured</v>
      </c>
      <c r="R126" s="1342">
        <f>SUM(R123:R124)</f>
        <v>0</v>
      </c>
      <c r="S126" s="1342">
        <f t="shared" ref="S126:AA126" si="118">SUM(S123:S124)</f>
        <v>0</v>
      </c>
      <c r="T126" s="1342">
        <f t="shared" si="118"/>
        <v>0</v>
      </c>
      <c r="U126" s="1342">
        <f t="shared" si="118"/>
        <v>0</v>
      </c>
      <c r="V126" s="1342">
        <f t="shared" si="118"/>
        <v>0</v>
      </c>
      <c r="W126" s="1342">
        <f t="shared" si="118"/>
        <v>0</v>
      </c>
      <c r="X126" s="1342">
        <f t="shared" si="118"/>
        <v>0</v>
      </c>
      <c r="Y126" s="1342">
        <f t="shared" si="118"/>
        <v>0</v>
      </c>
      <c r="Z126" s="1342">
        <f t="shared" si="118"/>
        <v>0</v>
      </c>
      <c r="AA126" s="1342">
        <f t="shared" si="118"/>
        <v>0</v>
      </c>
      <c r="AB126" s="660"/>
      <c r="AC126" s="660"/>
      <c r="AD126" s="910"/>
      <c r="AE126" s="913"/>
      <c r="AF126" s="911"/>
      <c r="AG126" s="911"/>
      <c r="AH126" s="912"/>
      <c r="AI126" s="910"/>
      <c r="AJ126" s="913"/>
      <c r="AK126" s="911"/>
      <c r="AL126" s="911"/>
      <c r="AM126" s="912"/>
      <c r="AN126" s="660"/>
      <c r="AO126" s="660"/>
      <c r="AP126" s="910"/>
      <c r="AQ126" s="913"/>
      <c r="AR126" s="911"/>
      <c r="AS126" s="911"/>
      <c r="AT126" s="912"/>
      <c r="AU126" s="910"/>
      <c r="AV126" s="913"/>
      <c r="AW126" s="911"/>
      <c r="AX126" s="911"/>
      <c r="AY126" s="912"/>
    </row>
    <row r="127" spans="2:51" ht="15">
      <c r="B127" s="906"/>
      <c r="C127" s="662"/>
      <c r="D127" s="662"/>
      <c r="E127" s="662"/>
      <c r="F127" s="662"/>
      <c r="G127" s="660"/>
      <c r="H127" s="660"/>
      <c r="I127" s="661"/>
      <c r="J127" s="664"/>
      <c r="K127" s="660"/>
      <c r="L127" s="660"/>
      <c r="M127" s="660"/>
      <c r="N127" s="660"/>
      <c r="O127" s="660"/>
      <c r="P127" s="660"/>
      <c r="Q127" s="659"/>
      <c r="R127" s="911"/>
      <c r="S127" s="911"/>
      <c r="T127" s="911"/>
      <c r="U127" s="911"/>
      <c r="V127" s="912"/>
      <c r="W127" s="910"/>
      <c r="X127" s="911"/>
      <c r="Y127" s="911"/>
      <c r="Z127" s="911"/>
      <c r="AA127" s="912"/>
      <c r="AB127" s="660"/>
      <c r="AC127" s="660"/>
      <c r="AD127" s="910"/>
      <c r="AE127" s="913"/>
      <c r="AF127" s="911"/>
      <c r="AG127" s="911"/>
      <c r="AH127" s="912"/>
      <c r="AI127" s="910"/>
      <c r="AJ127" s="913"/>
      <c r="AK127" s="911"/>
      <c r="AL127" s="911"/>
      <c r="AM127" s="912"/>
      <c r="AN127" s="660"/>
      <c r="AO127" s="660"/>
      <c r="AP127" s="910"/>
      <c r="AQ127" s="913"/>
      <c r="AR127" s="911"/>
      <c r="AS127" s="911"/>
      <c r="AT127" s="912"/>
      <c r="AU127" s="910"/>
      <c r="AV127" s="913"/>
      <c r="AW127" s="911"/>
      <c r="AX127" s="911"/>
      <c r="AY127" s="912"/>
    </row>
    <row r="128" spans="2:51" ht="15">
      <c r="B128" s="906"/>
      <c r="C128" s="666" t="s">
        <v>3113</v>
      </c>
      <c r="D128" s="665"/>
      <c r="E128" s="665"/>
      <c r="F128" s="665"/>
      <c r="G128" s="662"/>
      <c r="H128" s="660"/>
      <c r="I128" s="661"/>
      <c r="J128" s="664"/>
      <c r="K128" s="660"/>
      <c r="L128" s="660"/>
      <c r="M128" s="660"/>
      <c r="N128" s="660"/>
      <c r="O128" s="660"/>
      <c r="P128" s="660"/>
      <c r="Q128" s="659"/>
      <c r="R128" s="911"/>
      <c r="S128" s="911"/>
      <c r="T128" s="911"/>
      <c r="U128" s="911"/>
      <c r="V128" s="912"/>
      <c r="W128" s="910"/>
      <c r="X128" s="911"/>
      <c r="Y128" s="911"/>
      <c r="Z128" s="911"/>
      <c r="AA128" s="912"/>
      <c r="AB128" s="660"/>
      <c r="AC128" s="660"/>
      <c r="AD128" s="910"/>
      <c r="AE128" s="913"/>
      <c r="AF128" s="911"/>
      <c r="AG128" s="911"/>
      <c r="AH128" s="912"/>
      <c r="AI128" s="910"/>
      <c r="AJ128" s="913"/>
      <c r="AK128" s="911"/>
      <c r="AL128" s="911"/>
      <c r="AM128" s="912"/>
      <c r="AN128" s="660"/>
      <c r="AO128" s="660"/>
      <c r="AP128" s="910"/>
      <c r="AQ128" s="913"/>
      <c r="AR128" s="911"/>
      <c r="AS128" s="911"/>
      <c r="AT128" s="912"/>
      <c r="AU128" s="910"/>
      <c r="AV128" s="913"/>
      <c r="AW128" s="911"/>
      <c r="AX128" s="911"/>
      <c r="AY128" s="912"/>
    </row>
    <row r="129" spans="2:51" ht="42.75">
      <c r="B129" s="906"/>
      <c r="C129" s="530"/>
      <c r="D129" s="530" t="s">
        <v>3114</v>
      </c>
      <c r="E129" s="662"/>
      <c r="F129" s="662"/>
      <c r="G129" s="660"/>
      <c r="H129" s="660"/>
      <c r="I129" s="164" t="s">
        <v>2183</v>
      </c>
      <c r="J129" s="664"/>
      <c r="K129" s="660"/>
      <c r="L129" s="660"/>
      <c r="M129" s="660"/>
      <c r="N129" s="660"/>
      <c r="O129" s="660"/>
      <c r="P129" s="660"/>
      <c r="Q129" s="659"/>
      <c r="R129" s="998">
        <f>AD129*AP129</f>
        <v>0</v>
      </c>
      <c r="S129" s="642">
        <f t="shared" ref="S129:AA133" si="119">AE129*AQ129</f>
        <v>0</v>
      </c>
      <c r="T129" s="642">
        <f t="shared" si="119"/>
        <v>0</v>
      </c>
      <c r="U129" s="642">
        <f t="shared" si="119"/>
        <v>0</v>
      </c>
      <c r="V129" s="643">
        <f t="shared" si="119"/>
        <v>0</v>
      </c>
      <c r="W129" s="641">
        <f t="shared" si="119"/>
        <v>0</v>
      </c>
      <c r="X129" s="642">
        <f t="shared" si="119"/>
        <v>0</v>
      </c>
      <c r="Y129" s="642">
        <f t="shared" si="119"/>
        <v>0</v>
      </c>
      <c r="Z129" s="642">
        <f t="shared" si="119"/>
        <v>0</v>
      </c>
      <c r="AA129" s="643">
        <f t="shared" si="119"/>
        <v>0</v>
      </c>
      <c r="AB129" s="660"/>
      <c r="AC129" s="2701" t="s">
        <v>3129</v>
      </c>
      <c r="AD129" s="907">
        <v>0</v>
      </c>
      <c r="AE129" s="908">
        <v>0</v>
      </c>
      <c r="AF129" s="908">
        <v>0</v>
      </c>
      <c r="AG129" s="908">
        <v>0</v>
      </c>
      <c r="AH129" s="909">
        <v>0</v>
      </c>
      <c r="AI129" s="907">
        <v>0</v>
      </c>
      <c r="AJ129" s="908">
        <v>0</v>
      </c>
      <c r="AK129" s="908">
        <v>0</v>
      </c>
      <c r="AL129" s="908">
        <v>0</v>
      </c>
      <c r="AM129" s="909">
        <v>0</v>
      </c>
      <c r="AN129" s="660"/>
      <c r="AO129" s="1744"/>
      <c r="AP129" s="907">
        <v>0</v>
      </c>
      <c r="AQ129" s="908">
        <v>0</v>
      </c>
      <c r="AR129" s="908">
        <v>0</v>
      </c>
      <c r="AS129" s="908">
        <v>0</v>
      </c>
      <c r="AT129" s="909">
        <v>0</v>
      </c>
      <c r="AU129" s="907">
        <v>0</v>
      </c>
      <c r="AV129" s="908">
        <v>0</v>
      </c>
      <c r="AW129" s="908">
        <v>0</v>
      </c>
      <c r="AX129" s="908">
        <v>0</v>
      </c>
      <c r="AY129" s="909">
        <v>0</v>
      </c>
    </row>
    <row r="130" spans="2:51" ht="15">
      <c r="B130" s="906"/>
      <c r="C130" s="530"/>
      <c r="D130" s="530" t="s">
        <v>3116</v>
      </c>
      <c r="E130" s="662"/>
      <c r="F130" s="662"/>
      <c r="G130" s="660"/>
      <c r="H130" s="660"/>
      <c r="I130" s="164" t="s">
        <v>2183</v>
      </c>
      <c r="J130" s="664"/>
      <c r="K130" s="660"/>
      <c r="L130" s="660"/>
      <c r="M130" s="660"/>
      <c r="N130" s="660"/>
      <c r="O130" s="660"/>
      <c r="P130" s="660"/>
      <c r="Q130" s="659"/>
      <c r="R130" s="998">
        <f t="shared" ref="R130:R133" si="120">AD130*AP130</f>
        <v>0</v>
      </c>
      <c r="S130" s="642">
        <f t="shared" si="119"/>
        <v>0</v>
      </c>
      <c r="T130" s="642">
        <f t="shared" si="119"/>
        <v>0</v>
      </c>
      <c r="U130" s="642">
        <f t="shared" si="119"/>
        <v>0</v>
      </c>
      <c r="V130" s="643">
        <f t="shared" si="119"/>
        <v>0</v>
      </c>
      <c r="W130" s="641">
        <f t="shared" si="119"/>
        <v>0</v>
      </c>
      <c r="X130" s="642">
        <f t="shared" si="119"/>
        <v>0</v>
      </c>
      <c r="Y130" s="642">
        <f t="shared" si="119"/>
        <v>0</v>
      </c>
      <c r="Z130" s="642">
        <f t="shared" si="119"/>
        <v>0</v>
      </c>
      <c r="AA130" s="643">
        <f t="shared" si="119"/>
        <v>0</v>
      </c>
      <c r="AB130" s="660"/>
      <c r="AC130" s="2701"/>
      <c r="AD130" s="907">
        <v>0</v>
      </c>
      <c r="AE130" s="908">
        <v>0</v>
      </c>
      <c r="AF130" s="908">
        <v>0</v>
      </c>
      <c r="AG130" s="908">
        <v>0</v>
      </c>
      <c r="AH130" s="909">
        <v>0</v>
      </c>
      <c r="AI130" s="907">
        <v>0</v>
      </c>
      <c r="AJ130" s="908">
        <v>0</v>
      </c>
      <c r="AK130" s="908">
        <v>0</v>
      </c>
      <c r="AL130" s="908">
        <v>0</v>
      </c>
      <c r="AM130" s="909">
        <v>0</v>
      </c>
      <c r="AN130" s="660"/>
      <c r="AO130" s="1744"/>
      <c r="AP130" s="907">
        <v>0</v>
      </c>
      <c r="AQ130" s="908">
        <v>0</v>
      </c>
      <c r="AR130" s="908">
        <v>0</v>
      </c>
      <c r="AS130" s="908">
        <v>0</v>
      </c>
      <c r="AT130" s="909">
        <v>0</v>
      </c>
      <c r="AU130" s="907">
        <v>0</v>
      </c>
      <c r="AV130" s="908">
        <v>0</v>
      </c>
      <c r="AW130" s="908">
        <v>0</v>
      </c>
      <c r="AX130" s="908">
        <v>0</v>
      </c>
      <c r="AY130" s="909">
        <v>0</v>
      </c>
    </row>
    <row r="131" spans="2:51" ht="15">
      <c r="B131" s="906"/>
      <c r="C131" s="530"/>
      <c r="D131" s="530" t="s">
        <v>3117</v>
      </c>
      <c r="E131" s="662"/>
      <c r="F131" s="662"/>
      <c r="G131" s="660"/>
      <c r="H131" s="660"/>
      <c r="I131" s="164" t="s">
        <v>2183</v>
      </c>
      <c r="J131" s="664"/>
      <c r="K131" s="660"/>
      <c r="L131" s="660"/>
      <c r="M131" s="660"/>
      <c r="N131" s="660"/>
      <c r="O131" s="660"/>
      <c r="P131" s="660"/>
      <c r="Q131" s="659"/>
      <c r="R131" s="998">
        <f t="shared" si="120"/>
        <v>0</v>
      </c>
      <c r="S131" s="642">
        <f t="shared" si="119"/>
        <v>0</v>
      </c>
      <c r="T131" s="642">
        <f t="shared" si="119"/>
        <v>0</v>
      </c>
      <c r="U131" s="642">
        <f t="shared" si="119"/>
        <v>0</v>
      </c>
      <c r="V131" s="643">
        <f t="shared" si="119"/>
        <v>0</v>
      </c>
      <c r="W131" s="641">
        <f t="shared" si="119"/>
        <v>0</v>
      </c>
      <c r="X131" s="642">
        <f t="shared" si="119"/>
        <v>0</v>
      </c>
      <c r="Y131" s="642">
        <f t="shared" si="119"/>
        <v>0</v>
      </c>
      <c r="Z131" s="642">
        <f t="shared" si="119"/>
        <v>0</v>
      </c>
      <c r="AA131" s="643">
        <f t="shared" si="119"/>
        <v>0</v>
      </c>
      <c r="AB131" s="660"/>
      <c r="AC131" s="2701"/>
      <c r="AD131" s="907">
        <v>0</v>
      </c>
      <c r="AE131" s="908">
        <v>0</v>
      </c>
      <c r="AF131" s="908">
        <v>0</v>
      </c>
      <c r="AG131" s="908">
        <v>0</v>
      </c>
      <c r="AH131" s="909">
        <v>0</v>
      </c>
      <c r="AI131" s="907">
        <v>0</v>
      </c>
      <c r="AJ131" s="908">
        <v>0</v>
      </c>
      <c r="AK131" s="908">
        <v>0</v>
      </c>
      <c r="AL131" s="908">
        <v>0</v>
      </c>
      <c r="AM131" s="909">
        <v>0</v>
      </c>
      <c r="AN131" s="660"/>
      <c r="AO131" s="1744"/>
      <c r="AP131" s="907">
        <v>0</v>
      </c>
      <c r="AQ131" s="908">
        <v>0</v>
      </c>
      <c r="AR131" s="908">
        <v>0</v>
      </c>
      <c r="AS131" s="908">
        <v>0</v>
      </c>
      <c r="AT131" s="909">
        <v>0</v>
      </c>
      <c r="AU131" s="907">
        <v>0</v>
      </c>
      <c r="AV131" s="908">
        <v>0</v>
      </c>
      <c r="AW131" s="908">
        <v>0</v>
      </c>
      <c r="AX131" s="908">
        <v>0</v>
      </c>
      <c r="AY131" s="909">
        <v>0</v>
      </c>
    </row>
    <row r="132" spans="2:51" ht="15">
      <c r="B132" s="906"/>
      <c r="C132" s="530"/>
      <c r="D132" s="530" t="s">
        <v>85</v>
      </c>
      <c r="E132" s="530"/>
      <c r="F132" s="530"/>
      <c r="G132" s="928" t="s">
        <v>3130</v>
      </c>
      <c r="H132" s="660"/>
      <c r="I132" s="164" t="s">
        <v>2183</v>
      </c>
      <c r="J132" s="664"/>
      <c r="K132" s="660"/>
      <c r="L132" s="660"/>
      <c r="M132" s="660"/>
      <c r="N132" s="660"/>
      <c r="O132" s="660"/>
      <c r="P132" s="660"/>
      <c r="Q132" s="659"/>
      <c r="R132" s="998">
        <f t="shared" si="120"/>
        <v>148.0555375644835</v>
      </c>
      <c r="S132" s="642">
        <f t="shared" si="119"/>
        <v>144.03475643045022</v>
      </c>
      <c r="T132" s="642">
        <f t="shared" si="119"/>
        <v>140.01397529641696</v>
      </c>
      <c r="U132" s="642">
        <f t="shared" si="119"/>
        <v>135.99319416238367</v>
      </c>
      <c r="V132" s="643">
        <f t="shared" si="119"/>
        <v>131.97241302835039</v>
      </c>
      <c r="W132" s="641">
        <f t="shared" si="119"/>
        <v>128.04890885723725</v>
      </c>
      <c r="X132" s="642">
        <f t="shared" si="119"/>
        <v>124.12540468612414</v>
      </c>
      <c r="Y132" s="642">
        <f t="shared" si="119"/>
        <v>120.201900515011</v>
      </c>
      <c r="Z132" s="642">
        <f t="shared" si="119"/>
        <v>116.27839634389788</v>
      </c>
      <c r="AA132" s="643">
        <f t="shared" si="119"/>
        <v>112.35489217278479</v>
      </c>
      <c r="AB132" s="660"/>
      <c r="AC132" s="2701" t="s">
        <v>3085</v>
      </c>
      <c r="AD132" s="907">
        <v>2.2090399999999998E-3</v>
      </c>
      <c r="AE132" s="908">
        <v>2.2090399999999998E-3</v>
      </c>
      <c r="AF132" s="908">
        <v>2.2090399999999998E-3</v>
      </c>
      <c r="AG132" s="908">
        <v>2.2090399999999998E-3</v>
      </c>
      <c r="AH132" s="909">
        <v>2.2090399999999998E-3</v>
      </c>
      <c r="AI132" s="907">
        <v>2.2090399999999998E-3</v>
      </c>
      <c r="AJ132" s="908">
        <v>2.2090399999999998E-3</v>
      </c>
      <c r="AK132" s="908">
        <v>2.2090399999999998E-3</v>
      </c>
      <c r="AL132" s="908">
        <v>2.2090399999999998E-3</v>
      </c>
      <c r="AM132" s="909">
        <v>2.2090399999999998E-3</v>
      </c>
      <c r="AN132" s="660"/>
      <c r="AO132" s="1744" t="s">
        <v>3086</v>
      </c>
      <c r="AP132" s="907">
        <v>67022.569787999993</v>
      </c>
      <c r="AQ132" s="908">
        <v>65202.421155999997</v>
      </c>
      <c r="AR132" s="908">
        <v>63382.272524</v>
      </c>
      <c r="AS132" s="908">
        <v>61562.123892000003</v>
      </c>
      <c r="AT132" s="909">
        <v>59741.975259999999</v>
      </c>
      <c r="AU132" s="907">
        <v>57965.862481999997</v>
      </c>
      <c r="AV132" s="908">
        <v>56189.749703999994</v>
      </c>
      <c r="AW132" s="908">
        <v>54413.636925999992</v>
      </c>
      <c r="AX132" s="908">
        <v>52637.52414799999</v>
      </c>
      <c r="AY132" s="909">
        <v>50861.411370000002</v>
      </c>
    </row>
    <row r="133" spans="2:51" ht="15.75" thickBot="1">
      <c r="B133" s="906"/>
      <c r="C133" s="530"/>
      <c r="D133" s="530" t="s">
        <v>85</v>
      </c>
      <c r="E133" s="530"/>
      <c r="F133" s="530"/>
      <c r="G133" s="928" t="s">
        <v>3131</v>
      </c>
      <c r="H133" s="660"/>
      <c r="I133" s="164" t="s">
        <v>2183</v>
      </c>
      <c r="J133" s="664"/>
      <c r="K133" s="660"/>
      <c r="L133" s="660"/>
      <c r="M133" s="660"/>
      <c r="N133" s="660"/>
      <c r="O133" s="660"/>
      <c r="P133" s="660"/>
      <c r="Q133" s="659"/>
      <c r="R133" s="998">
        <f t="shared" si="120"/>
        <v>569.87813210676347</v>
      </c>
      <c r="S133" s="642">
        <f t="shared" si="119"/>
        <v>554.40180964043873</v>
      </c>
      <c r="T133" s="642">
        <f t="shared" si="119"/>
        <v>538.92548717411398</v>
      </c>
      <c r="U133" s="642">
        <f t="shared" si="119"/>
        <v>523.44916470778924</v>
      </c>
      <c r="V133" s="643">
        <f t="shared" si="119"/>
        <v>507.9728422414646</v>
      </c>
      <c r="W133" s="641">
        <f t="shared" si="119"/>
        <v>492.87094693158326</v>
      </c>
      <c r="X133" s="642">
        <f t="shared" si="119"/>
        <v>477.76905162170192</v>
      </c>
      <c r="Y133" s="642">
        <f t="shared" si="119"/>
        <v>462.66715631182052</v>
      </c>
      <c r="Z133" s="642">
        <f t="shared" si="119"/>
        <v>447.56526100193918</v>
      </c>
      <c r="AA133" s="643">
        <f t="shared" si="119"/>
        <v>432.46336569205772</v>
      </c>
      <c r="AB133" s="660"/>
      <c r="AC133" s="2701" t="s">
        <v>3085</v>
      </c>
      <c r="AD133" s="914">
        <v>2.7582100000000001E-3</v>
      </c>
      <c r="AE133" s="915">
        <v>2.7582100000000001E-3</v>
      </c>
      <c r="AF133" s="915">
        <v>2.7582100000000001E-3</v>
      </c>
      <c r="AG133" s="915">
        <v>2.7582100000000001E-3</v>
      </c>
      <c r="AH133" s="916">
        <v>2.7582100000000001E-3</v>
      </c>
      <c r="AI133" s="914">
        <v>2.7582100000000001E-3</v>
      </c>
      <c r="AJ133" s="915">
        <v>2.7582100000000001E-3</v>
      </c>
      <c r="AK133" s="915">
        <v>2.7582100000000001E-3</v>
      </c>
      <c r="AL133" s="915">
        <v>2.7582100000000001E-3</v>
      </c>
      <c r="AM133" s="916">
        <v>2.7582100000000001E-3</v>
      </c>
      <c r="AN133" s="660"/>
      <c r="AO133" s="1744" t="s">
        <v>3086</v>
      </c>
      <c r="AP133" s="914">
        <v>206611.58218799997</v>
      </c>
      <c r="AQ133" s="915">
        <v>201000.57995599997</v>
      </c>
      <c r="AR133" s="915">
        <v>195389.57772399997</v>
      </c>
      <c r="AS133" s="915">
        <v>189778.57549199997</v>
      </c>
      <c r="AT133" s="916">
        <v>184167.57326</v>
      </c>
      <c r="AU133" s="914">
        <v>178692.32108200001</v>
      </c>
      <c r="AV133" s="915">
        <v>173217.06890400001</v>
      </c>
      <c r="AW133" s="915">
        <v>167741.81672600002</v>
      </c>
      <c r="AX133" s="915">
        <v>162266.56454800002</v>
      </c>
      <c r="AY133" s="916">
        <v>156791.31237</v>
      </c>
    </row>
    <row r="134" spans="2:51" ht="15">
      <c r="B134" s="906"/>
      <c r="C134" s="530"/>
      <c r="D134" s="530" t="s">
        <v>2443</v>
      </c>
      <c r="E134" s="530"/>
      <c r="F134" s="530"/>
      <c r="G134" s="1555"/>
      <c r="H134" s="660"/>
      <c r="I134" s="164" t="s">
        <v>2183</v>
      </c>
      <c r="J134" s="2697" t="s">
        <v>3129</v>
      </c>
      <c r="K134" s="2698" t="s">
        <v>3129</v>
      </c>
      <c r="L134" s="2698" t="s">
        <v>3129</v>
      </c>
      <c r="M134" s="2698" t="s">
        <v>3129</v>
      </c>
      <c r="N134" s="2698" t="s">
        <v>3129</v>
      </c>
      <c r="O134" s="2698" t="s">
        <v>3129</v>
      </c>
      <c r="P134" s="2698" t="s">
        <v>3129</v>
      </c>
      <c r="Q134" s="2699" t="s">
        <v>3129</v>
      </c>
      <c r="R134" s="911"/>
      <c r="S134" s="911"/>
      <c r="T134" s="911"/>
      <c r="U134" s="911"/>
      <c r="V134" s="912"/>
      <c r="W134" s="910"/>
      <c r="X134" s="911"/>
      <c r="Y134" s="911"/>
      <c r="Z134" s="911"/>
      <c r="AA134" s="912"/>
      <c r="AB134" s="660"/>
      <c r="AC134" s="660"/>
      <c r="AD134" s="661"/>
      <c r="AE134" s="661"/>
      <c r="AF134" s="660"/>
      <c r="AG134" s="660"/>
      <c r="AH134" s="661"/>
      <c r="AI134" s="661"/>
      <c r="AJ134" s="661"/>
      <c r="AK134" s="660"/>
      <c r="AL134" s="660"/>
      <c r="AM134" s="661"/>
      <c r="AN134" s="661"/>
      <c r="AO134" s="661"/>
      <c r="AP134" s="661"/>
      <c r="AQ134" s="661"/>
      <c r="AR134" s="660"/>
      <c r="AS134" s="660"/>
      <c r="AT134" s="661"/>
      <c r="AU134" s="661"/>
      <c r="AV134" s="661"/>
      <c r="AW134" s="660"/>
      <c r="AX134" s="660"/>
      <c r="AY134" s="659"/>
    </row>
    <row r="135" spans="2:51" ht="15">
      <c r="B135" s="906"/>
      <c r="C135" s="530" t="s">
        <v>1710</v>
      </c>
      <c r="D135" s="530"/>
      <c r="E135" s="530"/>
      <c r="F135" s="530"/>
      <c r="G135" s="660"/>
      <c r="H135" s="660"/>
      <c r="I135" s="164" t="s">
        <v>2183</v>
      </c>
      <c r="J135" s="697" t="str">
        <f>J134</f>
        <v>Included in operational transport</v>
      </c>
      <c r="K135" s="1342" t="str">
        <f t="shared" ref="K135" si="121">K134</f>
        <v>Included in operational transport</v>
      </c>
      <c r="L135" s="1342" t="str">
        <f t="shared" ref="L135" si="122">L134</f>
        <v>Included in operational transport</v>
      </c>
      <c r="M135" s="1342" t="str">
        <f t="shared" ref="M135" si="123">M134</f>
        <v>Included in operational transport</v>
      </c>
      <c r="N135" s="1342" t="str">
        <f t="shared" ref="N135" si="124">N134</f>
        <v>Included in operational transport</v>
      </c>
      <c r="O135" s="1342" t="str">
        <f t="shared" ref="O135" si="125">O134</f>
        <v>Included in operational transport</v>
      </c>
      <c r="P135" s="1342" t="str">
        <f t="shared" ref="P135" si="126">P134</f>
        <v>Included in operational transport</v>
      </c>
      <c r="Q135" s="1342" t="str">
        <f t="shared" ref="Q135" si="127">Q134</f>
        <v>Included in operational transport</v>
      </c>
      <c r="R135" s="1342">
        <f>SUM(R129:R133)</f>
        <v>717.933669671247</v>
      </c>
      <c r="S135" s="1342">
        <f t="shared" ref="S135:AA135" si="128">SUM(S129:S133)</f>
        <v>698.43656607088894</v>
      </c>
      <c r="T135" s="1342">
        <f t="shared" si="128"/>
        <v>678.939462470531</v>
      </c>
      <c r="U135" s="1342">
        <f t="shared" si="128"/>
        <v>659.44235887017294</v>
      </c>
      <c r="V135" s="1342">
        <f t="shared" si="128"/>
        <v>639.94525526981499</v>
      </c>
      <c r="W135" s="1342">
        <f t="shared" si="128"/>
        <v>620.91985578882054</v>
      </c>
      <c r="X135" s="1342">
        <f t="shared" si="128"/>
        <v>601.89445630782609</v>
      </c>
      <c r="Y135" s="1342">
        <f t="shared" si="128"/>
        <v>582.86905682683152</v>
      </c>
      <c r="Z135" s="1342">
        <f t="shared" si="128"/>
        <v>563.84365734583707</v>
      </c>
      <c r="AA135" s="1342">
        <f t="shared" si="128"/>
        <v>544.81825786484251</v>
      </c>
      <c r="AB135" s="660"/>
      <c r="AC135" s="660"/>
      <c r="AD135" s="661"/>
      <c r="AE135" s="661"/>
      <c r="AF135" s="660"/>
      <c r="AG135" s="660"/>
      <c r="AH135" s="661"/>
      <c r="AI135" s="661"/>
      <c r="AJ135" s="661"/>
      <c r="AK135" s="660"/>
      <c r="AL135" s="660"/>
      <c r="AM135" s="661"/>
      <c r="AN135" s="661"/>
      <c r="AO135" s="661"/>
      <c r="AP135" s="661"/>
      <c r="AQ135" s="661"/>
      <c r="AR135" s="660"/>
      <c r="AS135" s="660"/>
      <c r="AT135" s="661"/>
      <c r="AU135" s="661"/>
      <c r="AV135" s="661"/>
      <c r="AW135" s="660"/>
      <c r="AX135" s="660"/>
      <c r="AY135" s="659"/>
    </row>
    <row r="136" spans="2:51" ht="15">
      <c r="B136" s="906"/>
      <c r="C136" s="530"/>
      <c r="D136" s="530"/>
      <c r="E136" s="662"/>
      <c r="F136" s="662"/>
      <c r="G136" s="173"/>
      <c r="H136" s="660"/>
      <c r="I136" s="96"/>
      <c r="J136" s="1327"/>
      <c r="K136" s="1328"/>
      <c r="L136" s="1328"/>
      <c r="M136" s="1328"/>
      <c r="N136" s="1328"/>
      <c r="O136" s="1328"/>
      <c r="P136" s="1328"/>
      <c r="Q136" s="1329"/>
      <c r="R136" s="1327"/>
      <c r="S136" s="1328"/>
      <c r="T136" s="1328"/>
      <c r="U136" s="1328"/>
      <c r="V136" s="1329"/>
      <c r="W136" s="1327"/>
      <c r="X136" s="1328"/>
      <c r="Y136" s="1328"/>
      <c r="Z136" s="1328"/>
      <c r="AA136" s="1329"/>
      <c r="AB136" s="660"/>
      <c r="AC136" s="1745"/>
      <c r="AD136" s="660"/>
      <c r="AE136" s="660"/>
      <c r="AF136" s="660"/>
      <c r="AG136" s="660"/>
      <c r="AH136" s="660"/>
      <c r="AI136" s="660"/>
      <c r="AJ136" s="660"/>
      <c r="AK136" s="660"/>
      <c r="AL136" s="660"/>
      <c r="AM136" s="660"/>
      <c r="AN136" s="660"/>
      <c r="AO136" s="660"/>
      <c r="AP136" s="660"/>
      <c r="AQ136" s="660"/>
      <c r="AR136" s="660"/>
      <c r="AS136" s="660"/>
      <c r="AT136" s="660"/>
      <c r="AU136" s="660"/>
      <c r="AV136" s="660"/>
      <c r="AW136" s="660"/>
      <c r="AX136" s="660"/>
      <c r="AY136" s="659"/>
    </row>
    <row r="137" spans="2:51" ht="15">
      <c r="B137" s="906"/>
      <c r="C137" s="667" t="s">
        <v>3118</v>
      </c>
      <c r="D137" s="530"/>
      <c r="E137" s="662"/>
      <c r="H137" s="660"/>
      <c r="I137" s="96"/>
      <c r="J137" s="1327"/>
      <c r="K137" s="1328"/>
      <c r="L137" s="1328"/>
      <c r="M137" s="1328"/>
      <c r="N137" s="1328"/>
      <c r="O137" s="1328"/>
      <c r="P137" s="1328"/>
      <c r="Q137" s="1329"/>
      <c r="R137" s="1327"/>
      <c r="S137" s="1328"/>
      <c r="T137" s="1328"/>
      <c r="U137" s="1328"/>
      <c r="V137" s="1328"/>
      <c r="W137" s="1327"/>
      <c r="X137" s="1328"/>
      <c r="Y137" s="1328"/>
      <c r="Z137" s="1328"/>
      <c r="AA137" s="1329"/>
      <c r="AB137" s="660"/>
      <c r="AC137" s="1745"/>
      <c r="AD137" s="661"/>
      <c r="AE137" s="661"/>
      <c r="AF137" s="660"/>
      <c r="AG137" s="660"/>
      <c r="AH137" s="661"/>
      <c r="AI137" s="661"/>
      <c r="AJ137" s="661"/>
      <c r="AK137" s="660"/>
      <c r="AL137" s="660"/>
      <c r="AM137" s="661"/>
      <c r="AN137" s="661"/>
      <c r="AO137" s="661"/>
      <c r="AP137" s="661"/>
      <c r="AQ137" s="660"/>
      <c r="AR137" s="660"/>
      <c r="AS137" s="660"/>
      <c r="AT137" s="661"/>
      <c r="AU137" s="661"/>
      <c r="AV137" s="660"/>
      <c r="AW137" s="660"/>
      <c r="AX137" s="660"/>
      <c r="AY137" s="659"/>
    </row>
    <row r="138" spans="2:51" ht="15">
      <c r="B138" s="906"/>
      <c r="C138" s="530"/>
      <c r="D138" s="530" t="s">
        <v>85</v>
      </c>
      <c r="E138" s="662"/>
      <c r="G138" s="928" t="s">
        <v>3132</v>
      </c>
      <c r="H138" s="660"/>
      <c r="I138" s="164" t="s">
        <v>2183</v>
      </c>
      <c r="J138" s="907">
        <v>7953</v>
      </c>
      <c r="K138" s="908">
        <v>8209</v>
      </c>
      <c r="L138" s="908">
        <v>5783</v>
      </c>
      <c r="M138" s="908">
        <v>5344</v>
      </c>
      <c r="N138" s="908">
        <v>5952</v>
      </c>
      <c r="O138" s="908">
        <v>7031</v>
      </c>
      <c r="P138" s="908">
        <v>6336.5</v>
      </c>
      <c r="Q138" s="909">
        <v>5642</v>
      </c>
      <c r="R138" s="907">
        <v>5612.3550000000005</v>
      </c>
      <c r="S138" s="908">
        <v>5582.6600000000008</v>
      </c>
      <c r="T138" s="908">
        <v>5552.9650000000011</v>
      </c>
      <c r="U138" s="908">
        <v>5523.2700000000013</v>
      </c>
      <c r="V138" s="1751">
        <v>5493.5749999999998</v>
      </c>
      <c r="W138" s="907">
        <v>5463.88</v>
      </c>
      <c r="X138" s="908">
        <v>5434.1850000000004</v>
      </c>
      <c r="Y138" s="908">
        <v>5404.4900000000007</v>
      </c>
      <c r="Z138" s="908">
        <v>5374.795000000001</v>
      </c>
      <c r="AA138" s="909">
        <v>5345.1</v>
      </c>
      <c r="AB138" s="660"/>
      <c r="AC138" s="1754"/>
      <c r="AD138" s="1328"/>
      <c r="AE138" s="1328"/>
      <c r="AF138" s="1328"/>
      <c r="AG138" s="1328"/>
      <c r="AH138" s="1328"/>
      <c r="AI138" s="1328"/>
      <c r="AJ138" s="1328"/>
      <c r="AK138" s="1328"/>
      <c r="AL138" s="1328"/>
      <c r="AM138" s="1328"/>
      <c r="AN138" s="1328"/>
      <c r="AO138" s="1328"/>
      <c r="AP138" s="1328"/>
      <c r="AQ138" s="1328"/>
      <c r="AR138" s="1328"/>
      <c r="AS138" s="1328"/>
      <c r="AT138" s="1328"/>
      <c r="AU138" s="1328"/>
      <c r="AV138" s="1328"/>
      <c r="AW138" s="1328"/>
      <c r="AX138" s="1328"/>
      <c r="AY138" s="1329"/>
    </row>
    <row r="139" spans="2:51" ht="15">
      <c r="B139" s="906"/>
      <c r="C139" s="530"/>
      <c r="D139" s="530" t="s">
        <v>85</v>
      </c>
      <c r="E139" s="662"/>
      <c r="G139" s="928" t="s">
        <v>3133</v>
      </c>
      <c r="H139" s="660"/>
      <c r="I139" s="164" t="s">
        <v>2183</v>
      </c>
      <c r="J139" s="907">
        <v>234</v>
      </c>
      <c r="K139" s="908">
        <v>273</v>
      </c>
      <c r="L139" s="908">
        <v>251</v>
      </c>
      <c r="M139" s="908">
        <v>244</v>
      </c>
      <c r="N139" s="908">
        <v>202</v>
      </c>
      <c r="O139" s="908">
        <v>132</v>
      </c>
      <c r="P139" s="908">
        <v>144</v>
      </c>
      <c r="Q139" s="909">
        <v>156</v>
      </c>
      <c r="R139" s="907">
        <v>14.001953751423683</v>
      </c>
      <c r="S139" s="908">
        <v>13.381293792314564</v>
      </c>
      <c r="T139" s="908">
        <v>0</v>
      </c>
      <c r="U139" s="908">
        <v>0</v>
      </c>
      <c r="V139" s="1751">
        <v>0</v>
      </c>
      <c r="W139" s="907">
        <v>0</v>
      </c>
      <c r="X139" s="908">
        <v>0</v>
      </c>
      <c r="Y139" s="908">
        <v>0</v>
      </c>
      <c r="Z139" s="908">
        <v>0</v>
      </c>
      <c r="AA139" s="909">
        <v>0</v>
      </c>
      <c r="AB139" s="660"/>
      <c r="AC139" s="1754"/>
      <c r="AD139" s="1328"/>
      <c r="AE139" s="1328"/>
      <c r="AF139" s="1328"/>
      <c r="AG139" s="1328"/>
      <c r="AH139" s="1328"/>
      <c r="AI139" s="1328"/>
      <c r="AJ139" s="1328"/>
      <c r="AK139" s="1328"/>
      <c r="AL139" s="1328"/>
      <c r="AM139" s="1328"/>
      <c r="AN139" s="1328"/>
      <c r="AO139" s="1328"/>
      <c r="AP139" s="1328"/>
      <c r="AQ139" s="1328"/>
      <c r="AR139" s="1328"/>
      <c r="AS139" s="1328"/>
      <c r="AT139" s="1328"/>
      <c r="AU139" s="1328"/>
      <c r="AV139" s="1328"/>
      <c r="AW139" s="1328"/>
      <c r="AX139" s="1328"/>
      <c r="AY139" s="1329"/>
    </row>
    <row r="140" spans="2:51" ht="15">
      <c r="B140" s="906"/>
      <c r="C140" s="530"/>
      <c r="D140" s="530" t="s">
        <v>85</v>
      </c>
      <c r="E140" s="662"/>
      <c r="G140" s="928"/>
      <c r="H140" s="660"/>
      <c r="I140" s="164" t="s">
        <v>2183</v>
      </c>
      <c r="J140" s="907">
        <v>0</v>
      </c>
      <c r="K140" s="908">
        <v>0</v>
      </c>
      <c r="L140" s="908">
        <v>0</v>
      </c>
      <c r="M140" s="908">
        <v>0</v>
      </c>
      <c r="N140" s="908">
        <v>0</v>
      </c>
      <c r="O140" s="908">
        <v>0</v>
      </c>
      <c r="P140" s="908">
        <v>0</v>
      </c>
      <c r="Q140" s="909">
        <v>0</v>
      </c>
      <c r="R140" s="907">
        <v>0</v>
      </c>
      <c r="S140" s="908">
        <v>0</v>
      </c>
      <c r="T140" s="908">
        <v>0</v>
      </c>
      <c r="U140" s="908">
        <v>0</v>
      </c>
      <c r="V140" s="1751">
        <v>0</v>
      </c>
      <c r="W140" s="907">
        <v>0</v>
      </c>
      <c r="X140" s="908">
        <v>0</v>
      </c>
      <c r="Y140" s="908">
        <v>0</v>
      </c>
      <c r="Z140" s="908">
        <v>0</v>
      </c>
      <c r="AA140" s="909">
        <v>0</v>
      </c>
      <c r="AB140" s="660"/>
      <c r="AC140" s="1754"/>
      <c r="AD140" s="1328"/>
      <c r="AE140" s="1328"/>
      <c r="AF140" s="1328"/>
      <c r="AG140" s="1328"/>
      <c r="AH140" s="1328"/>
      <c r="AI140" s="1328"/>
      <c r="AJ140" s="1328"/>
      <c r="AK140" s="1328"/>
      <c r="AL140" s="1328"/>
      <c r="AM140" s="1328"/>
      <c r="AN140" s="1328"/>
      <c r="AO140" s="1328"/>
      <c r="AP140" s="1328"/>
      <c r="AQ140" s="1328"/>
      <c r="AR140" s="1328"/>
      <c r="AS140" s="1328"/>
      <c r="AT140" s="1328"/>
      <c r="AU140" s="1328"/>
      <c r="AV140" s="1328"/>
      <c r="AW140" s="1328"/>
      <c r="AX140" s="1328"/>
      <c r="AY140" s="1329"/>
    </row>
    <row r="141" spans="2:51" ht="15">
      <c r="B141" s="906"/>
      <c r="C141" s="530" t="s">
        <v>1710</v>
      </c>
      <c r="D141" s="530"/>
      <c r="E141" s="662"/>
      <c r="F141" s="662"/>
      <c r="G141" s="173"/>
      <c r="H141" s="660"/>
      <c r="I141" s="164" t="s">
        <v>2183</v>
      </c>
      <c r="J141" s="697">
        <f>SUM(J138:J140)</f>
        <v>8187</v>
      </c>
      <c r="K141" s="698">
        <f t="shared" ref="K141:AA141" si="129">SUM(K138:K140)</f>
        <v>8482</v>
      </c>
      <c r="L141" s="698">
        <f t="shared" si="129"/>
        <v>6034</v>
      </c>
      <c r="M141" s="698">
        <f t="shared" si="129"/>
        <v>5588</v>
      </c>
      <c r="N141" s="698">
        <f t="shared" si="129"/>
        <v>6154</v>
      </c>
      <c r="O141" s="698">
        <f t="shared" si="129"/>
        <v>7163</v>
      </c>
      <c r="P141" s="698">
        <f t="shared" si="129"/>
        <v>6480.5</v>
      </c>
      <c r="Q141" s="699">
        <f t="shared" si="129"/>
        <v>5798</v>
      </c>
      <c r="R141" s="697">
        <f t="shared" si="129"/>
        <v>5626.356953751424</v>
      </c>
      <c r="S141" s="698">
        <f t="shared" si="129"/>
        <v>5596.0412937923156</v>
      </c>
      <c r="T141" s="698">
        <f t="shared" si="129"/>
        <v>5552.9650000000011</v>
      </c>
      <c r="U141" s="698">
        <f t="shared" si="129"/>
        <v>5523.2700000000013</v>
      </c>
      <c r="V141" s="1750">
        <f t="shared" si="129"/>
        <v>5493.5749999999998</v>
      </c>
      <c r="W141" s="697">
        <f t="shared" si="129"/>
        <v>5463.88</v>
      </c>
      <c r="X141" s="698">
        <f t="shared" si="129"/>
        <v>5434.1850000000004</v>
      </c>
      <c r="Y141" s="698">
        <f t="shared" si="129"/>
        <v>5404.4900000000007</v>
      </c>
      <c r="Z141" s="698">
        <f t="shared" si="129"/>
        <v>5374.795000000001</v>
      </c>
      <c r="AA141" s="699">
        <f t="shared" si="129"/>
        <v>5345.1</v>
      </c>
      <c r="AB141" s="660"/>
      <c r="AC141" s="660"/>
      <c r="AD141" s="661"/>
      <c r="AE141" s="661"/>
      <c r="AF141" s="660"/>
      <c r="AG141" s="660"/>
      <c r="AH141" s="661"/>
      <c r="AI141" s="661"/>
      <c r="AJ141" s="661"/>
      <c r="AK141" s="660"/>
      <c r="AL141" s="660"/>
      <c r="AM141" s="661"/>
      <c r="AN141" s="661"/>
      <c r="AO141" s="661"/>
      <c r="AP141" s="661"/>
      <c r="AQ141" s="660"/>
      <c r="AR141" s="660"/>
      <c r="AS141" s="660"/>
      <c r="AT141" s="661"/>
      <c r="AU141" s="661"/>
      <c r="AV141" s="660"/>
      <c r="AW141" s="660"/>
      <c r="AX141" s="660"/>
      <c r="AY141" s="659"/>
    </row>
    <row r="142" spans="2:51" ht="15">
      <c r="B142" s="906"/>
      <c r="C142" s="662"/>
      <c r="D142" s="662"/>
      <c r="E142" s="662"/>
      <c r="F142" s="662"/>
      <c r="G142" s="662"/>
      <c r="H142" s="660"/>
      <c r="I142" s="661"/>
      <c r="J142" s="664"/>
      <c r="K142" s="660"/>
      <c r="L142" s="660"/>
      <c r="M142" s="660"/>
      <c r="N142" s="660"/>
      <c r="O142" s="660"/>
      <c r="P142" s="660"/>
      <c r="Q142" s="659"/>
      <c r="R142" s="911"/>
      <c r="S142" s="911"/>
      <c r="T142" s="911"/>
      <c r="U142" s="911"/>
      <c r="V142" s="912"/>
      <c r="W142" s="910"/>
      <c r="X142" s="911"/>
      <c r="Y142" s="911"/>
      <c r="Z142" s="911"/>
      <c r="AA142" s="912"/>
      <c r="AB142" s="660"/>
      <c r="AC142" s="660"/>
      <c r="AD142" s="660"/>
      <c r="AE142" s="661"/>
      <c r="AF142" s="660"/>
      <c r="AG142" s="660"/>
      <c r="AH142" s="660"/>
      <c r="AI142" s="660"/>
      <c r="AJ142" s="661"/>
      <c r="AK142" s="660"/>
      <c r="AL142" s="660"/>
      <c r="AM142" s="660"/>
      <c r="AN142" s="660"/>
      <c r="AO142" s="660"/>
      <c r="AP142" s="660"/>
      <c r="AQ142" s="661"/>
      <c r="AR142" s="660"/>
      <c r="AS142" s="660"/>
      <c r="AT142" s="660"/>
      <c r="AU142" s="660"/>
      <c r="AV142" s="661"/>
      <c r="AW142" s="660"/>
      <c r="AX142" s="660"/>
      <c r="AY142" s="659"/>
    </row>
    <row r="143" spans="2:51" ht="15.75" thickBot="1">
      <c r="B143" s="905" t="s">
        <v>1701</v>
      </c>
      <c r="C143" s="663"/>
      <c r="D143" s="663"/>
      <c r="E143" s="663"/>
      <c r="F143" s="663"/>
      <c r="G143" s="658"/>
      <c r="H143" s="657"/>
      <c r="I143" s="195" t="s">
        <v>2183</v>
      </c>
      <c r="J143" s="701">
        <f t="shared" ref="J143:AA143" si="130">SUM(J92,J106,J120,J126,J135,J141)</f>
        <v>12650</v>
      </c>
      <c r="K143" s="702">
        <f t="shared" si="130"/>
        <v>16230</v>
      </c>
      <c r="L143" s="702">
        <f t="shared" si="130"/>
        <v>14963</v>
      </c>
      <c r="M143" s="702">
        <f t="shared" si="130"/>
        <v>13020</v>
      </c>
      <c r="N143" s="702">
        <f t="shared" si="130"/>
        <v>13964</v>
      </c>
      <c r="O143" s="702">
        <f t="shared" si="130"/>
        <v>14820</v>
      </c>
      <c r="P143" s="702">
        <f t="shared" si="130"/>
        <v>13973</v>
      </c>
      <c r="Q143" s="703">
        <f t="shared" si="130"/>
        <v>13126</v>
      </c>
      <c r="R143" s="1345">
        <f t="shared" si="130"/>
        <v>12558.872500133046</v>
      </c>
      <c r="S143" s="702">
        <f t="shared" si="130"/>
        <v>12342.028697790916</v>
      </c>
      <c r="T143" s="702">
        <f t="shared" si="130"/>
        <v>12112.423976595579</v>
      </c>
      <c r="U143" s="702">
        <f t="shared" si="130"/>
        <v>11896.200834212555</v>
      </c>
      <c r="V143" s="703">
        <f t="shared" si="130"/>
        <v>11679.977691829532</v>
      </c>
      <c r="W143" s="701">
        <f t="shared" si="130"/>
        <v>11461.860567611357</v>
      </c>
      <c r="X143" s="702">
        <f t="shared" si="130"/>
        <v>11243.743728413181</v>
      </c>
      <c r="Y143" s="702">
        <f t="shared" si="130"/>
        <v>11025.626889215007</v>
      </c>
      <c r="Z143" s="702">
        <f t="shared" si="130"/>
        <v>10807.510050016834</v>
      </c>
      <c r="AA143" s="703">
        <f t="shared" si="130"/>
        <v>10589.392925798657</v>
      </c>
      <c r="AB143" s="657"/>
      <c r="AC143" s="657"/>
      <c r="AD143" s="657"/>
      <c r="AE143" s="657"/>
      <c r="AF143" s="657"/>
      <c r="AG143" s="657"/>
      <c r="AH143" s="657"/>
      <c r="AI143" s="657"/>
      <c r="AJ143" s="657"/>
      <c r="AK143" s="657"/>
      <c r="AL143" s="657"/>
      <c r="AM143" s="657"/>
      <c r="AN143" s="657"/>
      <c r="AO143" s="657"/>
      <c r="AP143" s="657"/>
      <c r="AQ143" s="657"/>
      <c r="AR143" s="657"/>
      <c r="AS143" s="657"/>
      <c r="AT143" s="657"/>
      <c r="AU143" s="657"/>
      <c r="AV143" s="657"/>
      <c r="AW143" s="657"/>
      <c r="AX143" s="657"/>
      <c r="AY143" s="676"/>
    </row>
    <row r="144" spans="2:51" ht="15" customHeight="1" thickBot="1"/>
    <row r="145" spans="2:27" ht="30" customHeight="1" thickBot="1">
      <c r="B145" s="675" t="s">
        <v>3134</v>
      </c>
      <c r="C145" s="1368"/>
      <c r="D145" s="1368"/>
      <c r="E145" s="1368"/>
      <c r="F145" s="1368"/>
      <c r="G145" s="1368"/>
      <c r="H145" s="672"/>
      <c r="I145" s="603" t="s">
        <v>2165</v>
      </c>
      <c r="J145" s="671"/>
      <c r="K145" s="106"/>
      <c r="L145" s="106"/>
      <c r="M145" s="106"/>
      <c r="N145" s="106"/>
      <c r="O145" s="106"/>
      <c r="P145" s="106"/>
      <c r="Q145" s="107"/>
      <c r="R145" s="611"/>
      <c r="S145" s="105"/>
      <c r="T145" s="105"/>
      <c r="U145" s="105"/>
      <c r="V145" s="187"/>
      <c r="W145" s="611"/>
      <c r="X145" s="105"/>
      <c r="Y145" s="105"/>
      <c r="Z145" s="105"/>
      <c r="AA145" s="187"/>
    </row>
    <row r="146" spans="2:27" ht="30" customHeight="1">
      <c r="B146" s="1380"/>
      <c r="C146" s="662"/>
      <c r="D146" s="662"/>
      <c r="E146" s="662"/>
      <c r="F146" s="662"/>
      <c r="G146" s="662"/>
      <c r="H146" s="660"/>
      <c r="I146" s="117"/>
      <c r="J146" s="695" t="s">
        <v>1666</v>
      </c>
      <c r="K146" s="917"/>
      <c r="L146" s="917"/>
      <c r="M146" s="917"/>
      <c r="N146" s="917"/>
      <c r="O146" s="917"/>
      <c r="P146" s="917"/>
      <c r="Q146" s="918"/>
      <c r="R146" s="696" t="s">
        <v>2</v>
      </c>
      <c r="S146" s="871"/>
      <c r="T146" s="871"/>
      <c r="U146" s="871"/>
      <c r="V146" s="919"/>
      <c r="W146" s="266" t="s">
        <v>2692</v>
      </c>
      <c r="X146" s="267"/>
      <c r="Y146" s="267"/>
      <c r="Z146" s="267"/>
      <c r="AA146" s="268"/>
    </row>
    <row r="147" spans="2:27" ht="15" customHeight="1">
      <c r="B147" s="1380"/>
      <c r="C147" s="667" t="s">
        <v>3135</v>
      </c>
      <c r="D147" s="667"/>
      <c r="E147" s="662"/>
      <c r="F147" s="662"/>
      <c r="G147" s="662"/>
      <c r="H147" s="660"/>
      <c r="I147" s="119" t="s">
        <v>1667</v>
      </c>
      <c r="J147" s="158" t="s">
        <v>453</v>
      </c>
      <c r="K147" s="137" t="s">
        <v>455</v>
      </c>
      <c r="L147" s="137" t="s">
        <v>457</v>
      </c>
      <c r="M147" s="137" t="s">
        <v>459</v>
      </c>
      <c r="N147" s="137" t="s">
        <v>461</v>
      </c>
      <c r="O147" s="137" t="s">
        <v>463</v>
      </c>
      <c r="P147" s="137" t="s">
        <v>465</v>
      </c>
      <c r="Q147" s="138" t="s">
        <v>467</v>
      </c>
      <c r="R147" s="120" t="s">
        <v>469</v>
      </c>
      <c r="S147" s="121" t="s">
        <v>471</v>
      </c>
      <c r="T147" s="121" t="s">
        <v>473</v>
      </c>
      <c r="U147" s="121" t="s">
        <v>475</v>
      </c>
      <c r="V147" s="122" t="s">
        <v>477</v>
      </c>
      <c r="W147" s="321" t="s">
        <v>2170</v>
      </c>
      <c r="X147" s="322" t="s">
        <v>2171</v>
      </c>
      <c r="Y147" s="322" t="s">
        <v>2172</v>
      </c>
      <c r="Z147" s="322" t="s">
        <v>2173</v>
      </c>
      <c r="AA147" s="792" t="s">
        <v>2174</v>
      </c>
    </row>
    <row r="148" spans="2:27" ht="15" customHeight="1">
      <c r="B148" s="1380"/>
      <c r="C148" s="530"/>
      <c r="D148" s="530" t="s">
        <v>3136</v>
      </c>
      <c r="E148" s="662"/>
      <c r="F148" s="662"/>
      <c r="G148" s="662"/>
      <c r="H148" s="660"/>
      <c r="I148" s="164" t="s">
        <v>2183</v>
      </c>
      <c r="J148" s="907">
        <f t="shared" ref="J148:Q148" si="131">J21+J27+J42+J79</f>
        <v>494719.40224272938</v>
      </c>
      <c r="K148" s="908">
        <f t="shared" si="131"/>
        <v>470006.6853874377</v>
      </c>
      <c r="L148" s="908">
        <f t="shared" si="131"/>
        <v>451134.39997210569</v>
      </c>
      <c r="M148" s="908">
        <f t="shared" si="131"/>
        <v>416526.89338243991</v>
      </c>
      <c r="N148" s="908">
        <f t="shared" si="131"/>
        <v>412793.3790940668</v>
      </c>
      <c r="O148" s="908">
        <f t="shared" si="131"/>
        <v>400585.26965228567</v>
      </c>
      <c r="P148" s="908">
        <f t="shared" si="131"/>
        <v>372992.34556175943</v>
      </c>
      <c r="Q148" s="909">
        <f t="shared" si="131"/>
        <v>364355.55210035242</v>
      </c>
      <c r="R148" s="907">
        <f>R21+R23+R27+R37+R42+R43+R52+R53</f>
        <v>4615.7418535300003</v>
      </c>
      <c r="S148" s="908">
        <f>S21+S23+S27+S37+S42+S43+S52+S53</f>
        <v>4113.4968885200005</v>
      </c>
      <c r="T148" s="908">
        <f>T21+T23+T27+T37+T42+T43+T52+T53</f>
        <v>3662.6415023600002</v>
      </c>
      <c r="U148" s="908">
        <f>U21+U23+U27+U37+U42+U43+U52+U53</f>
        <v>3341.2691759689233</v>
      </c>
      <c r="V148" s="1751">
        <f>V21+V23+V27+V37+V42+V43+V52+V53</f>
        <v>3267.7047002556678</v>
      </c>
      <c r="W148" s="907">
        <f>W21+W23+W27+W28+W30+W37+W38+W42+W43+W52+W53</f>
        <v>2183.6645177416781</v>
      </c>
      <c r="X148" s="908">
        <f>X21+X23+X27+X28+X30+X37+X38+X42+X43+X52+X53</f>
        <v>1637.7755132868811</v>
      </c>
      <c r="Y148" s="908">
        <f>Y21+Y23+Y27+Y28+Y30+Y37+Y38+Y42+Y43+Y52+Y53</f>
        <v>1091.88651298266</v>
      </c>
      <c r="Z148" s="908">
        <f>Z21+Z23+Z27+Z28+Z30+Z37+Z38+Z42+Z43+Z52+Z53</f>
        <v>545.99751267843908</v>
      </c>
      <c r="AA148" s="909">
        <f>AA21+AA23+AA27+AA28+AA30+AA37+AA38+AA42+AA43+AA52+AA53</f>
        <v>0.10851237421811258</v>
      </c>
    </row>
    <row r="149" spans="2:27" ht="15" customHeight="1">
      <c r="B149" s="1380"/>
      <c r="C149" s="530"/>
      <c r="D149" s="530" t="s">
        <v>3137</v>
      </c>
      <c r="E149" s="662"/>
      <c r="F149" s="662"/>
      <c r="G149" s="662"/>
      <c r="H149" s="660"/>
      <c r="I149" s="164" t="s">
        <v>2183</v>
      </c>
      <c r="J149" s="907">
        <f>J20</f>
        <v>2828</v>
      </c>
      <c r="K149" s="908">
        <f t="shared" ref="K149:Q149" si="132">K20</f>
        <v>3059</v>
      </c>
      <c r="L149" s="908">
        <f t="shared" si="132"/>
        <v>2971</v>
      </c>
      <c r="M149" s="908">
        <f t="shared" si="132"/>
        <v>2661</v>
      </c>
      <c r="N149" s="908">
        <f t="shared" si="132"/>
        <v>2019</v>
      </c>
      <c r="O149" s="908">
        <f t="shared" si="132"/>
        <v>1389</v>
      </c>
      <c r="P149" s="908">
        <f t="shared" si="132"/>
        <v>1559.5</v>
      </c>
      <c r="Q149" s="909">
        <f t="shared" si="132"/>
        <v>1730</v>
      </c>
      <c r="R149" s="907">
        <f>R20+R22+R46+R31</f>
        <v>268.97074055732224</v>
      </c>
      <c r="S149" s="908">
        <f t="shared" ref="S149:V149" si="133">S20+S22+S46+S31</f>
        <v>368.85745877689413</v>
      </c>
      <c r="T149" s="908">
        <f t="shared" si="133"/>
        <v>315.28620558</v>
      </c>
      <c r="U149" s="908">
        <f t="shared" si="133"/>
        <v>314.18883677999997</v>
      </c>
      <c r="V149" s="1751">
        <f t="shared" si="133"/>
        <v>313.09146798</v>
      </c>
      <c r="W149" s="907">
        <f>W20+W22+W46+W31</f>
        <v>548.61104624000006</v>
      </c>
      <c r="X149" s="908">
        <f t="shared" ref="X149:AA149" si="134">X20+X22+X46+X31</f>
        <v>500.18978974000004</v>
      </c>
      <c r="Y149" s="908">
        <f t="shared" si="134"/>
        <v>451.76853324000007</v>
      </c>
      <c r="Z149" s="908">
        <f t="shared" si="134"/>
        <v>403.3472767400001</v>
      </c>
      <c r="AA149" s="909">
        <f t="shared" si="134"/>
        <v>0</v>
      </c>
    </row>
    <row r="150" spans="2:27" ht="15" customHeight="1">
      <c r="B150" s="1380"/>
      <c r="C150" s="530"/>
      <c r="D150" s="530" t="s">
        <v>3138</v>
      </c>
      <c r="E150" s="662"/>
      <c r="F150" s="662"/>
      <c r="G150" s="662"/>
      <c r="H150" s="660"/>
      <c r="I150" s="164" t="s">
        <v>2183</v>
      </c>
      <c r="J150" s="907">
        <f>J139+J138+J47+J50</f>
        <v>8359</v>
      </c>
      <c r="K150" s="908">
        <f t="shared" ref="K150:Q150" si="135">K139+K138+K47+K50</f>
        <v>8549</v>
      </c>
      <c r="L150" s="908">
        <f t="shared" si="135"/>
        <v>6359</v>
      </c>
      <c r="M150" s="908">
        <f t="shared" si="135"/>
        <v>5703</v>
      </c>
      <c r="N150" s="908">
        <f t="shared" si="135"/>
        <v>6598</v>
      </c>
      <c r="O150" s="908">
        <f t="shared" si="135"/>
        <v>7437</v>
      </c>
      <c r="P150" s="908">
        <f t="shared" si="135"/>
        <v>6708</v>
      </c>
      <c r="Q150" s="909">
        <f t="shared" si="135"/>
        <v>6020</v>
      </c>
      <c r="R150" s="907">
        <f>R47+R50+R138+R139</f>
        <v>5847.1571537514237</v>
      </c>
      <c r="S150" s="908">
        <f t="shared" ref="S150:V150" si="136">S47+S50+S138+S139</f>
        <v>5814.7314937923156</v>
      </c>
      <c r="T150" s="908">
        <f t="shared" si="136"/>
        <v>5769.5452000000014</v>
      </c>
      <c r="U150" s="908">
        <f t="shared" si="136"/>
        <v>5737.7402000000011</v>
      </c>
      <c r="V150" s="1751">
        <f t="shared" si="136"/>
        <v>5705.9351999999999</v>
      </c>
      <c r="W150" s="907">
        <f>W47+W50+W138+W139</f>
        <v>5672.4422000000004</v>
      </c>
      <c r="X150" s="908">
        <f t="shared" ref="X150:AA150" si="137">X47+X50+X138+X139</f>
        <v>5638.9492</v>
      </c>
      <c r="Y150" s="908">
        <f t="shared" si="137"/>
        <v>5605.4562000000005</v>
      </c>
      <c r="Z150" s="908">
        <f t="shared" si="137"/>
        <v>5571.9632000000011</v>
      </c>
      <c r="AA150" s="909">
        <f t="shared" si="137"/>
        <v>5538.4702000000007</v>
      </c>
    </row>
    <row r="151" spans="2:27" ht="15" customHeight="1">
      <c r="B151" s="1380"/>
      <c r="C151" s="662"/>
      <c r="D151" s="662"/>
      <c r="E151" s="662"/>
      <c r="F151" s="662"/>
      <c r="G151" s="662"/>
      <c r="H151" s="660"/>
      <c r="I151" s="661"/>
      <c r="J151" s="664"/>
      <c r="K151" s="660"/>
      <c r="L151" s="660"/>
      <c r="M151" s="660"/>
      <c r="N151" s="660"/>
      <c r="O151" s="660"/>
      <c r="P151" s="660"/>
      <c r="Q151" s="659"/>
      <c r="R151" s="664"/>
      <c r="S151" s="660"/>
      <c r="T151" s="660"/>
      <c r="U151" s="660"/>
      <c r="V151" s="659"/>
      <c r="W151" s="664"/>
      <c r="X151" s="660"/>
      <c r="Y151" s="660"/>
      <c r="Z151" s="660"/>
      <c r="AA151" s="659"/>
    </row>
    <row r="152" spans="2:27" ht="15" customHeight="1">
      <c r="B152" s="1380"/>
      <c r="C152" s="667" t="s">
        <v>3123</v>
      </c>
      <c r="D152" s="667"/>
      <c r="E152" s="662"/>
      <c r="F152" s="662"/>
      <c r="G152" s="662"/>
      <c r="H152" s="660"/>
      <c r="I152" s="661"/>
      <c r="J152" s="664"/>
      <c r="K152" s="660"/>
      <c r="L152" s="660"/>
      <c r="M152" s="660"/>
      <c r="N152" s="660"/>
      <c r="O152" s="660"/>
      <c r="P152" s="660"/>
      <c r="Q152" s="659"/>
      <c r="R152" s="664"/>
      <c r="S152" s="660"/>
      <c r="T152" s="660"/>
      <c r="U152" s="660"/>
      <c r="V152" s="659"/>
      <c r="W152" s="664"/>
      <c r="X152" s="660"/>
      <c r="Y152" s="660"/>
      <c r="Z152" s="660"/>
      <c r="AA152" s="659"/>
    </row>
    <row r="153" spans="2:27" ht="15" customHeight="1">
      <c r="B153" s="1380"/>
      <c r="C153" s="530"/>
      <c r="D153" s="530" t="s">
        <v>3136</v>
      </c>
      <c r="E153" s="662"/>
      <c r="F153" s="662"/>
      <c r="G153" s="662"/>
      <c r="H153" s="660"/>
      <c r="I153" s="164" t="s">
        <v>2183</v>
      </c>
      <c r="J153" s="907">
        <f>J105</f>
        <v>4463</v>
      </c>
      <c r="K153" s="908">
        <f t="shared" ref="K153:Q153" si="138">K105</f>
        <v>7748</v>
      </c>
      <c r="L153" s="908">
        <f t="shared" si="138"/>
        <v>8929</v>
      </c>
      <c r="M153" s="908">
        <f t="shared" si="138"/>
        <v>7432</v>
      </c>
      <c r="N153" s="908">
        <f t="shared" si="138"/>
        <v>7810</v>
      </c>
      <c r="O153" s="908">
        <f t="shared" si="138"/>
        <v>7657</v>
      </c>
      <c r="P153" s="908">
        <f t="shared" si="138"/>
        <v>7492.5</v>
      </c>
      <c r="Q153" s="909">
        <f t="shared" si="138"/>
        <v>7328</v>
      </c>
      <c r="R153" s="907">
        <f>R95+R102+R117+R132+R133</f>
        <v>6932.5155463816218</v>
      </c>
      <c r="S153" s="908">
        <f t="shared" ref="S153:V153" si="139">S95+S102+S117+S132+S133</f>
        <v>6745.9874039985998</v>
      </c>
      <c r="T153" s="908">
        <f t="shared" si="139"/>
        <v>6559.458976595577</v>
      </c>
      <c r="U153" s="908">
        <f t="shared" si="139"/>
        <v>6372.9308342125551</v>
      </c>
      <c r="V153" s="1751">
        <f t="shared" si="139"/>
        <v>6186.4026918295312</v>
      </c>
      <c r="W153" s="907">
        <f>W95+W102+W117+W132+W133</f>
        <v>5997.9805676113574</v>
      </c>
      <c r="X153" s="908">
        <f t="shared" ref="X153:AA153" si="140">X95+X102+X117+X132+X133</f>
        <v>5809.5587284131816</v>
      </c>
      <c r="Y153" s="908">
        <f t="shared" si="140"/>
        <v>5621.1368892150067</v>
      </c>
      <c r="Z153" s="908">
        <f t="shared" si="140"/>
        <v>5432.7150500168309</v>
      </c>
      <c r="AA153" s="909">
        <f t="shared" si="140"/>
        <v>5244.2929257986561</v>
      </c>
    </row>
    <row r="154" spans="2:27" ht="15" customHeight="1">
      <c r="B154" s="1380"/>
      <c r="C154" s="530"/>
      <c r="D154" s="530" t="s">
        <v>3137</v>
      </c>
      <c r="E154" s="662"/>
      <c r="F154" s="662"/>
      <c r="G154" s="662"/>
      <c r="H154" s="660"/>
      <c r="I154" s="164" t="s">
        <v>2183</v>
      </c>
      <c r="J154" s="907">
        <v>0</v>
      </c>
      <c r="K154" s="908">
        <v>0</v>
      </c>
      <c r="L154" s="908">
        <v>0</v>
      </c>
      <c r="M154" s="908">
        <v>0</v>
      </c>
      <c r="N154" s="908">
        <v>0</v>
      </c>
      <c r="O154" s="908">
        <v>0</v>
      </c>
      <c r="P154" s="908">
        <v>0</v>
      </c>
      <c r="Q154" s="909">
        <v>0</v>
      </c>
      <c r="R154" s="907">
        <v>0</v>
      </c>
      <c r="S154" s="908">
        <v>0</v>
      </c>
      <c r="T154" s="908">
        <v>0</v>
      </c>
      <c r="U154" s="908">
        <v>0</v>
      </c>
      <c r="V154" s="1751">
        <v>0</v>
      </c>
      <c r="W154" s="907">
        <v>0</v>
      </c>
      <c r="X154" s="908">
        <v>0</v>
      </c>
      <c r="Y154" s="908">
        <v>0</v>
      </c>
      <c r="Z154" s="908">
        <v>0</v>
      </c>
      <c r="AA154" s="909">
        <v>0</v>
      </c>
    </row>
    <row r="155" spans="2:27" ht="15" customHeight="1">
      <c r="B155" s="1380"/>
      <c r="C155" s="530"/>
      <c r="D155" s="530" t="s">
        <v>3138</v>
      </c>
      <c r="E155" s="662"/>
      <c r="F155" s="662"/>
      <c r="G155" s="662"/>
      <c r="H155" s="660"/>
      <c r="I155" s="164" t="s">
        <v>2183</v>
      </c>
      <c r="J155" s="907">
        <v>0</v>
      </c>
      <c r="K155" s="908">
        <v>0</v>
      </c>
      <c r="L155" s="908">
        <v>0</v>
      </c>
      <c r="M155" s="908">
        <v>0</v>
      </c>
      <c r="N155" s="908">
        <v>0</v>
      </c>
      <c r="O155" s="908">
        <v>0</v>
      </c>
      <c r="P155" s="908">
        <v>0</v>
      </c>
      <c r="Q155" s="909">
        <v>0</v>
      </c>
      <c r="R155" s="907">
        <v>0</v>
      </c>
      <c r="S155" s="908">
        <v>0</v>
      </c>
      <c r="T155" s="908">
        <v>0</v>
      </c>
      <c r="U155" s="908">
        <v>0</v>
      </c>
      <c r="V155" s="1751">
        <v>0</v>
      </c>
      <c r="W155" s="907">
        <v>0</v>
      </c>
      <c r="X155" s="908">
        <v>0</v>
      </c>
      <c r="Y155" s="908">
        <v>0</v>
      </c>
      <c r="Z155" s="908">
        <v>0</v>
      </c>
      <c r="AA155" s="909">
        <v>0</v>
      </c>
    </row>
    <row r="156" spans="2:27" ht="15" customHeight="1">
      <c r="B156" s="1380"/>
      <c r="C156" s="662"/>
      <c r="D156" s="662"/>
      <c r="E156" s="662"/>
      <c r="F156" s="662"/>
      <c r="G156" s="662"/>
      <c r="H156" s="660"/>
      <c r="I156" s="661"/>
      <c r="J156" s="664"/>
      <c r="K156" s="660"/>
      <c r="L156" s="660"/>
      <c r="M156" s="660"/>
      <c r="N156" s="660"/>
      <c r="O156" s="660"/>
      <c r="P156" s="660"/>
      <c r="Q156" s="659"/>
      <c r="R156" s="664"/>
      <c r="S156" s="660"/>
      <c r="T156" s="660"/>
      <c r="U156" s="660"/>
      <c r="V156" s="659"/>
      <c r="W156" s="664"/>
      <c r="X156" s="660"/>
      <c r="Y156" s="660"/>
      <c r="Z156" s="660"/>
      <c r="AA156" s="659"/>
    </row>
    <row r="157" spans="2:27" ht="15" customHeight="1">
      <c r="B157" s="1380"/>
      <c r="C157" s="667" t="s">
        <v>3139</v>
      </c>
      <c r="D157" s="667"/>
      <c r="E157" s="662"/>
      <c r="F157" s="662"/>
      <c r="G157" s="662"/>
      <c r="H157" s="660"/>
      <c r="I157" s="661"/>
      <c r="J157" s="664"/>
      <c r="K157" s="660"/>
      <c r="L157" s="660"/>
      <c r="M157" s="660"/>
      <c r="N157" s="660"/>
      <c r="O157" s="660"/>
      <c r="P157" s="660"/>
      <c r="Q157" s="659"/>
      <c r="R157" s="664"/>
      <c r="S157" s="660"/>
      <c r="T157" s="660"/>
      <c r="U157" s="660"/>
      <c r="V157" s="659"/>
      <c r="W157" s="664"/>
      <c r="X157" s="660"/>
      <c r="Y157" s="660"/>
      <c r="Z157" s="660"/>
      <c r="AA157" s="659"/>
    </row>
    <row r="158" spans="2:27" ht="15" customHeight="1">
      <c r="B158" s="1380"/>
      <c r="C158" s="530"/>
      <c r="D158" s="530" t="s">
        <v>3136</v>
      </c>
      <c r="E158" s="662"/>
      <c r="F158" s="662"/>
      <c r="G158" s="662"/>
      <c r="H158" s="660"/>
      <c r="I158" s="164" t="s">
        <v>2183</v>
      </c>
      <c r="J158" s="641">
        <f>SUM(J148,J153)</f>
        <v>499182.40224272938</v>
      </c>
      <c r="K158" s="642">
        <f t="shared" ref="K158:AA158" si="141">SUM(K148,K153)</f>
        <v>477754.6853874377</v>
      </c>
      <c r="L158" s="642">
        <f t="shared" si="141"/>
        <v>460063.39997210569</v>
      </c>
      <c r="M158" s="642">
        <f t="shared" si="141"/>
        <v>423958.89338243991</v>
      </c>
      <c r="N158" s="642">
        <f t="shared" si="141"/>
        <v>420603.3790940668</v>
      </c>
      <c r="O158" s="642">
        <f t="shared" si="141"/>
        <v>408242.26965228567</v>
      </c>
      <c r="P158" s="642">
        <f t="shared" si="141"/>
        <v>380484.84556175943</v>
      </c>
      <c r="Q158" s="643">
        <f t="shared" si="141"/>
        <v>371683.55210035242</v>
      </c>
      <c r="R158" s="641">
        <f t="shared" si="141"/>
        <v>11548.257399911621</v>
      </c>
      <c r="S158" s="642">
        <f t="shared" si="141"/>
        <v>10859.4842925186</v>
      </c>
      <c r="T158" s="642">
        <f t="shared" si="141"/>
        <v>10222.100478955577</v>
      </c>
      <c r="U158" s="642">
        <f t="shared" si="141"/>
        <v>9714.2000101814774</v>
      </c>
      <c r="V158" s="643">
        <f t="shared" si="141"/>
        <v>9454.1073920851995</v>
      </c>
      <c r="W158" s="641">
        <f t="shared" si="141"/>
        <v>8181.645085353035</v>
      </c>
      <c r="X158" s="642">
        <f t="shared" si="141"/>
        <v>7447.3342417000622</v>
      </c>
      <c r="Y158" s="642">
        <f t="shared" si="141"/>
        <v>6713.0234021976667</v>
      </c>
      <c r="Z158" s="642">
        <f t="shared" si="141"/>
        <v>5978.7125626952702</v>
      </c>
      <c r="AA158" s="643">
        <f t="shared" si="141"/>
        <v>5244.4014381728739</v>
      </c>
    </row>
    <row r="159" spans="2:27" ht="15" customHeight="1">
      <c r="B159" s="1380"/>
      <c r="C159" s="530"/>
      <c r="D159" s="530" t="s">
        <v>3137</v>
      </c>
      <c r="E159" s="662"/>
      <c r="F159" s="662"/>
      <c r="G159" s="662"/>
      <c r="H159" s="660"/>
      <c r="I159" s="164" t="s">
        <v>2183</v>
      </c>
      <c r="J159" s="641">
        <f t="shared" ref="J159" si="142">SUM(J149,J154)</f>
        <v>2828</v>
      </c>
      <c r="K159" s="642">
        <f t="shared" ref="K159:AA159" si="143">SUM(K149,K154)</f>
        <v>3059</v>
      </c>
      <c r="L159" s="642">
        <f t="shared" si="143"/>
        <v>2971</v>
      </c>
      <c r="M159" s="642">
        <f t="shared" si="143"/>
        <v>2661</v>
      </c>
      <c r="N159" s="642">
        <f t="shared" si="143"/>
        <v>2019</v>
      </c>
      <c r="O159" s="642">
        <f t="shared" si="143"/>
        <v>1389</v>
      </c>
      <c r="P159" s="642">
        <f t="shared" si="143"/>
        <v>1559.5</v>
      </c>
      <c r="Q159" s="643">
        <f t="shared" si="143"/>
        <v>1730</v>
      </c>
      <c r="R159" s="641">
        <f t="shared" si="143"/>
        <v>268.97074055732224</v>
      </c>
      <c r="S159" s="642">
        <f t="shared" si="143"/>
        <v>368.85745877689413</v>
      </c>
      <c r="T159" s="642">
        <f t="shared" si="143"/>
        <v>315.28620558</v>
      </c>
      <c r="U159" s="642">
        <f t="shared" si="143"/>
        <v>314.18883677999997</v>
      </c>
      <c r="V159" s="643">
        <f t="shared" si="143"/>
        <v>313.09146798</v>
      </c>
      <c r="W159" s="641">
        <f t="shared" si="143"/>
        <v>548.61104624000006</v>
      </c>
      <c r="X159" s="642">
        <f t="shared" si="143"/>
        <v>500.18978974000004</v>
      </c>
      <c r="Y159" s="642">
        <f t="shared" si="143"/>
        <v>451.76853324000007</v>
      </c>
      <c r="Z159" s="642">
        <f t="shared" si="143"/>
        <v>403.3472767400001</v>
      </c>
      <c r="AA159" s="643">
        <f t="shared" si="143"/>
        <v>0</v>
      </c>
    </row>
    <row r="160" spans="2:27" ht="15" customHeight="1" thickBot="1">
      <c r="B160" s="1381"/>
      <c r="C160" s="548"/>
      <c r="D160" s="548" t="s">
        <v>3138</v>
      </c>
      <c r="E160" s="658"/>
      <c r="F160" s="658"/>
      <c r="G160" s="658"/>
      <c r="H160" s="657"/>
      <c r="I160" s="195" t="s">
        <v>2183</v>
      </c>
      <c r="J160" s="1092">
        <f>SUM(J150,J155)</f>
        <v>8359</v>
      </c>
      <c r="K160" s="1093">
        <f t="shared" ref="K160:AA160" si="144">SUM(K150,K155)</f>
        <v>8549</v>
      </c>
      <c r="L160" s="1093">
        <f t="shared" si="144"/>
        <v>6359</v>
      </c>
      <c r="M160" s="1093">
        <f t="shared" si="144"/>
        <v>5703</v>
      </c>
      <c r="N160" s="1093">
        <f t="shared" si="144"/>
        <v>6598</v>
      </c>
      <c r="O160" s="1093">
        <f t="shared" si="144"/>
        <v>7437</v>
      </c>
      <c r="P160" s="1093">
        <f t="shared" si="144"/>
        <v>6708</v>
      </c>
      <c r="Q160" s="1094">
        <f t="shared" si="144"/>
        <v>6020</v>
      </c>
      <c r="R160" s="1092">
        <f t="shared" si="144"/>
        <v>5847.1571537514237</v>
      </c>
      <c r="S160" s="1093">
        <f t="shared" si="144"/>
        <v>5814.7314937923156</v>
      </c>
      <c r="T160" s="1093">
        <f t="shared" si="144"/>
        <v>5769.5452000000014</v>
      </c>
      <c r="U160" s="1093">
        <f t="shared" si="144"/>
        <v>5737.7402000000011</v>
      </c>
      <c r="V160" s="1094">
        <f t="shared" si="144"/>
        <v>5705.9351999999999</v>
      </c>
      <c r="W160" s="1092">
        <f t="shared" si="144"/>
        <v>5672.4422000000004</v>
      </c>
      <c r="X160" s="1093">
        <f t="shared" si="144"/>
        <v>5638.9492</v>
      </c>
      <c r="Y160" s="1093">
        <f t="shared" si="144"/>
        <v>5605.4562000000005</v>
      </c>
      <c r="Z160" s="1093">
        <f t="shared" si="144"/>
        <v>5571.9632000000011</v>
      </c>
      <c r="AA160" s="1094">
        <f t="shared" si="144"/>
        <v>5538.4702000000007</v>
      </c>
    </row>
    <row r="161" ht="15" customHeight="1"/>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AG272"/>
  <sheetViews>
    <sheetView topLeftCell="G173" zoomScale="80" zoomScaleNormal="80" workbookViewId="0">
      <selection activeCell="Q216" sqref="Q216"/>
    </sheetView>
  </sheetViews>
  <sheetFormatPr defaultColWidth="0" defaultRowHeight="0" customHeight="1" zeroHeight="1"/>
  <cols>
    <col min="1" max="1" width="21" hidden="1" customWidth="1"/>
    <col min="2" max="2" width="54" hidden="1" customWidth="1"/>
    <col min="3" max="3" width="10.625" hidden="1" customWidth="1"/>
    <col min="4" max="4" width="43.875" hidden="1" customWidth="1"/>
    <col min="5" max="5" width="36" hidden="1" customWidth="1"/>
    <col min="6" max="6" width="12.25" hidden="1" customWidth="1"/>
    <col min="7" max="9" width="1.5" customWidth="1"/>
    <col min="10" max="10" width="70.375" customWidth="1"/>
    <col min="11" max="11" width="16.25" bestFit="1" customWidth="1"/>
    <col min="12" max="12" width="9" customWidth="1"/>
    <col min="13" max="24" width="10.375" customWidth="1"/>
    <col min="25" max="25" width="3.375" customWidth="1"/>
    <col min="26" max="16384" width="9" hidden="1"/>
  </cols>
  <sheetData>
    <row r="1" spans="1:25" s="1194" customFormat="1" ht="14.45" hidden="1" customHeight="1">
      <c r="A1" s="1155" t="s">
        <v>362</v>
      </c>
      <c r="B1" s="1155" t="s">
        <v>363</v>
      </c>
      <c r="C1" s="1155" t="s">
        <v>364</v>
      </c>
      <c r="D1" s="1193" t="s">
        <v>365</v>
      </c>
      <c r="E1" s="1193" t="s">
        <v>487</v>
      </c>
      <c r="F1" s="1193" t="s">
        <v>488</v>
      </c>
    </row>
    <row r="2" spans="1:25" s="1160" customFormat="1" ht="26.25">
      <c r="A2" s="1262" t="s">
        <v>619</v>
      </c>
      <c r="B2" s="1262"/>
      <c r="C2" s="1262" t="s">
        <v>367</v>
      </c>
      <c r="D2" s="1263"/>
      <c r="E2" s="1263"/>
      <c r="F2" s="1263"/>
      <c r="G2" s="1" t="s">
        <v>0</v>
      </c>
      <c r="H2" s="1196"/>
      <c r="I2" s="1197"/>
      <c r="J2" s="1198"/>
      <c r="K2" s="1198"/>
      <c r="L2" s="1198"/>
      <c r="M2" s="1198"/>
      <c r="N2" s="1198"/>
      <c r="O2" s="1198"/>
      <c r="P2" s="1198"/>
      <c r="Q2" s="1198"/>
      <c r="R2" s="1198"/>
      <c r="S2" s="1198"/>
      <c r="T2" s="1198"/>
      <c r="U2" s="1198"/>
      <c r="V2" s="1198"/>
      <c r="W2" s="1198"/>
      <c r="X2" s="1198"/>
      <c r="Y2" s="1198"/>
    </row>
    <row r="3" spans="1:25" s="1160" customFormat="1" ht="26.25">
      <c r="A3" s="1262" t="s">
        <v>619</v>
      </c>
      <c r="B3" s="1262"/>
      <c r="C3" s="1262" t="s">
        <v>367</v>
      </c>
      <c r="D3" s="1262"/>
      <c r="E3" s="1262"/>
      <c r="F3" s="1262"/>
      <c r="G3" s="5" t="s">
        <v>6</v>
      </c>
      <c r="H3" s="1199"/>
      <c r="I3" s="1200"/>
      <c r="J3" s="1198"/>
      <c r="K3" s="1198"/>
      <c r="L3" s="1198"/>
      <c r="M3" s="1198"/>
      <c r="N3" s="1198"/>
      <c r="O3" s="1198"/>
      <c r="P3" s="1198"/>
      <c r="Q3" s="1198"/>
      <c r="R3" s="1198"/>
      <c r="S3" s="1198"/>
      <c r="T3" s="1198"/>
      <c r="U3" s="1198"/>
      <c r="V3" s="1198"/>
      <c r="W3" s="1198"/>
      <c r="X3" s="1198"/>
      <c r="Y3" s="1198"/>
    </row>
    <row r="4" spans="1:25" s="1321" customFormat="1" ht="27" thickBot="1">
      <c r="A4" s="1262" t="s">
        <v>619</v>
      </c>
      <c r="B4" s="1316"/>
      <c r="C4" s="1316" t="s">
        <v>367</v>
      </c>
      <c r="D4" s="1316"/>
      <c r="E4" s="1316"/>
      <c r="F4" s="1316"/>
      <c r="G4" s="1312" t="s">
        <v>2</v>
      </c>
      <c r="H4" s="1317"/>
      <c r="I4" s="1318"/>
      <c r="J4" s="1319"/>
      <c r="K4" s="1319"/>
      <c r="L4" s="1319"/>
      <c r="M4" s="1319"/>
      <c r="N4" s="1319"/>
      <c r="O4" s="1319"/>
      <c r="P4" s="1319"/>
      <c r="Q4" s="1319"/>
      <c r="R4" s="1319"/>
      <c r="S4" s="1319"/>
      <c r="T4" s="1319"/>
      <c r="U4" s="1319"/>
      <c r="V4" s="1319"/>
      <c r="W4" s="1319"/>
      <c r="X4" s="1319"/>
      <c r="Y4" s="1319"/>
    </row>
    <row r="5" spans="1:25" s="1201" customFormat="1" ht="21" thickTop="1">
      <c r="A5" s="1262" t="s">
        <v>619</v>
      </c>
      <c r="B5" s="1315"/>
      <c r="C5" s="1315" t="s">
        <v>367</v>
      </c>
      <c r="D5" s="1315"/>
      <c r="E5" s="1315"/>
      <c r="F5" s="1315"/>
      <c r="G5" s="1202" t="s">
        <v>620</v>
      </c>
      <c r="H5" s="1265"/>
      <c r="I5" s="1266"/>
      <c r="J5" s="1246"/>
      <c r="K5" s="1267"/>
      <c r="L5" s="1267"/>
      <c r="M5" s="1267"/>
      <c r="N5" s="1267"/>
      <c r="O5" s="1267"/>
      <c r="P5" s="1267"/>
      <c r="Q5" s="1267"/>
      <c r="R5" s="1243"/>
      <c r="S5" s="1243"/>
      <c r="T5" s="1243"/>
      <c r="U5" s="1243"/>
      <c r="V5" s="1243"/>
      <c r="W5" s="1243"/>
      <c r="X5" s="1243"/>
      <c r="Y5" s="1243"/>
    </row>
    <row r="6" spans="1:25" s="1160" customFormat="1" ht="12.75" hidden="1">
      <c r="A6" s="1262" t="s">
        <v>619</v>
      </c>
      <c r="B6" s="1262" t="s">
        <v>621</v>
      </c>
      <c r="C6" s="1262" t="s">
        <v>370</v>
      </c>
      <c r="D6" s="1262"/>
      <c r="E6" s="1262"/>
      <c r="F6" s="1262"/>
      <c r="G6" s="1156" t="s">
        <v>367</v>
      </c>
      <c r="H6" s="1156" t="s">
        <v>367</v>
      </c>
      <c r="I6" s="1156" t="s">
        <v>367</v>
      </c>
      <c r="J6" s="1156" t="s">
        <v>367</v>
      </c>
      <c r="K6" s="1156" t="s">
        <v>492</v>
      </c>
      <c r="L6" s="1156" t="s">
        <v>371</v>
      </c>
      <c r="M6" s="1156" t="s">
        <v>371</v>
      </c>
      <c r="N6" s="1156" t="s">
        <v>371</v>
      </c>
      <c r="O6" s="1156" t="s">
        <v>371</v>
      </c>
      <c r="P6" s="1156" t="s">
        <v>371</v>
      </c>
      <c r="Q6" s="1156" t="s">
        <v>371</v>
      </c>
      <c r="R6" s="1156" t="s">
        <v>371</v>
      </c>
      <c r="S6" s="1156" t="s">
        <v>371</v>
      </c>
      <c r="T6" s="1156" t="s">
        <v>371</v>
      </c>
      <c r="U6" s="1156" t="s">
        <v>371</v>
      </c>
      <c r="V6" s="1156" t="s">
        <v>371</v>
      </c>
      <c r="W6" s="1156" t="s">
        <v>371</v>
      </c>
      <c r="X6" s="1156" t="s">
        <v>371</v>
      </c>
    </row>
    <row r="7" spans="1:25" s="1160" customFormat="1" ht="14.45" customHeight="1">
      <c r="A7" s="1262" t="s">
        <v>619</v>
      </c>
      <c r="B7" s="1262" t="s">
        <v>621</v>
      </c>
      <c r="C7" s="1262" t="s">
        <v>367</v>
      </c>
      <c r="D7" s="1262"/>
      <c r="E7" s="1262"/>
      <c r="F7" s="1262"/>
      <c r="I7" s="1204"/>
      <c r="J7" s="1210" t="s">
        <v>622</v>
      </c>
      <c r="K7" s="1205"/>
      <c r="L7" s="1205"/>
    </row>
    <row r="8" spans="1:25" s="1160" customFormat="1" ht="14.45" customHeight="1">
      <c r="A8" s="1262" t="s">
        <v>619</v>
      </c>
      <c r="B8" s="1262" t="s">
        <v>621</v>
      </c>
      <c r="C8" s="1262" t="s">
        <v>367</v>
      </c>
      <c r="D8" s="1262"/>
      <c r="E8" s="1262"/>
      <c r="F8" s="1262"/>
      <c r="I8" s="1204"/>
      <c r="J8" s="1210"/>
      <c r="K8" s="1205"/>
      <c r="L8" s="1205"/>
    </row>
    <row r="9" spans="1:25" s="1160" customFormat="1" ht="14.45" customHeight="1">
      <c r="A9" s="1262" t="s">
        <v>619</v>
      </c>
      <c r="B9" s="1262" t="s">
        <v>621</v>
      </c>
      <c r="C9" s="1262" t="s">
        <v>367</v>
      </c>
      <c r="D9" s="1262"/>
      <c r="E9" s="1262"/>
      <c r="F9" s="1262"/>
      <c r="G9" s="1210"/>
      <c r="I9" s="1268" t="s">
        <v>623</v>
      </c>
      <c r="K9" s="1205"/>
      <c r="L9" s="1205"/>
      <c r="Y9" s="1242"/>
    </row>
    <row r="10" spans="1:25" s="1194" customFormat="1" ht="14.45" customHeight="1">
      <c r="A10" s="1262" t="s">
        <v>619</v>
      </c>
      <c r="B10" s="1262" t="s">
        <v>621</v>
      </c>
      <c r="C10" s="1262" t="s">
        <v>415</v>
      </c>
      <c r="D10" s="1262"/>
      <c r="E10" s="1262"/>
      <c r="F10" s="1262"/>
      <c r="G10" s="1241"/>
      <c r="K10" s="1269"/>
      <c r="L10" s="1203" t="s">
        <v>453</v>
      </c>
      <c r="M10" s="1203" t="s">
        <v>455</v>
      </c>
      <c r="N10" s="1203" t="s">
        <v>457</v>
      </c>
      <c r="O10" s="1203" t="s">
        <v>459</v>
      </c>
      <c r="P10" s="1203" t="s">
        <v>461</v>
      </c>
      <c r="Q10" s="1203" t="s">
        <v>463</v>
      </c>
      <c r="R10" s="1203" t="s">
        <v>465</v>
      </c>
      <c r="S10" s="1203" t="s">
        <v>467</v>
      </c>
      <c r="T10" s="1203" t="s">
        <v>469</v>
      </c>
      <c r="U10" s="1203" t="s">
        <v>471</v>
      </c>
      <c r="V10" s="1203" t="s">
        <v>473</v>
      </c>
      <c r="W10" s="1203" t="s">
        <v>475</v>
      </c>
      <c r="X10" s="1203" t="s">
        <v>477</v>
      </c>
      <c r="Y10" s="1244"/>
    </row>
    <row r="11" spans="1:25" s="1272" customFormat="1" ht="14.45" customHeight="1">
      <c r="A11" s="1262" t="s">
        <v>619</v>
      </c>
      <c r="B11" s="1262" t="s">
        <v>621</v>
      </c>
      <c r="C11" s="1262"/>
      <c r="D11" s="1262" t="s">
        <v>624</v>
      </c>
      <c r="E11" s="1262" t="s">
        <v>625</v>
      </c>
      <c r="F11" s="1262"/>
      <c r="G11" s="1194"/>
      <c r="H11" s="1194"/>
      <c r="I11" s="1194"/>
      <c r="J11" s="1215" t="s">
        <v>626</v>
      </c>
      <c r="K11" s="1269" t="s">
        <v>627</v>
      </c>
      <c r="L11" s="1270">
        <f>INDEX(Universal_Data!$F$57:$N$69,MATCH(L10,Universal_Data!$F$57:$F$69,0),6)</f>
        <v>2.8846428936344148E-2</v>
      </c>
      <c r="M11" s="1270">
        <f>INDEX(Universal_Data!$F$57:$N$69,MATCH(M10,Universal_Data!$F$57:$F$69,0),6)</f>
        <v>1.9598807731472156E-2</v>
      </c>
      <c r="N11" s="1270">
        <f>INDEX(Universal_Data!$F$57:$N$69,MATCH(N10,Universal_Data!$F$57:$F$69,0),6)</f>
        <v>1.0779220779220777E-2</v>
      </c>
      <c r="O11" s="1270">
        <f>INDEX(Universal_Data!$F$57:$N$69,MATCH(O10,Universal_Data!$F$57:$F$69,0),6)</f>
        <v>2.1426185275600806E-2</v>
      </c>
      <c r="P11" s="1270">
        <f>INDEX(Universal_Data!$F$57:$N$69,MATCH(P10,Universal_Data!$F$57:$F$69,0),6)</f>
        <v>3.7419997584832831E-2</v>
      </c>
      <c r="Q11" s="1270">
        <f>INDEX(Universal_Data!$F$57:$N$69,MATCH(Q10,Universal_Data!$F$57:$F$69,0),6)</f>
        <v>3.0555676808241117E-2</v>
      </c>
      <c r="R11" s="1270">
        <f>INDEX(Universal_Data!$F$57:$N$69,MATCH(R10,Universal_Data!$F$57:$F$69,0),6)</f>
        <v>2.9026890512265036E-2</v>
      </c>
      <c r="S11" s="1270">
        <f>INDEX(Universal_Data!$F$57:$N$69,MATCH(S10,Universal_Data!$F$57:$F$69,0),6)</f>
        <v>2.8332219054290564E-2</v>
      </c>
      <c r="T11" s="1270">
        <f>INDEX(Universal_Data!$F$57:$N$69,MATCH(T10,Universal_Data!$F$57:$F$69,0),6)</f>
        <v>3.0336689160836205E-2</v>
      </c>
      <c r="U11" s="1270">
        <f>INDEX(Universal_Data!$F$57:$N$69,MATCH(U10,Universal_Data!$F$57:$F$69,0),6)</f>
        <v>3.0683197951266117E-2</v>
      </c>
      <c r="V11" s="1270">
        <f>INDEX(Universal_Data!$F$57:$N$69,MATCH(V10,Universal_Data!$F$57:$F$69,0),6)</f>
        <v>3.0683197951266117E-2</v>
      </c>
      <c r="W11" s="1270">
        <f>INDEX(Universal_Data!$F$57:$N$69,MATCH(W10,Universal_Data!$F$57:$F$69,0),6)</f>
        <v>3.0683197951266117E-2</v>
      </c>
      <c r="X11" s="1270">
        <f>INDEX(Universal_Data!$F$57:$N$69,MATCH(X10,Universal_Data!$F$57:$F$69,0),6)</f>
        <v>3.0683197951266117E-2</v>
      </c>
      <c r="Y11" s="1271"/>
    </row>
    <row r="12" spans="1:25" s="1272" customFormat="1" ht="14.45" customHeight="1">
      <c r="A12" s="1262" t="s">
        <v>619</v>
      </c>
      <c r="B12" s="1262" t="s">
        <v>621</v>
      </c>
      <c r="C12" s="1262"/>
      <c r="D12" s="1262" t="s">
        <v>624</v>
      </c>
      <c r="E12" s="1262" t="s">
        <v>628</v>
      </c>
      <c r="F12" s="1262"/>
      <c r="G12" s="1194"/>
      <c r="H12" s="1194"/>
      <c r="I12" s="1194"/>
      <c r="J12" s="1215" t="s">
        <v>629</v>
      </c>
      <c r="K12" s="1269" t="s">
        <v>627</v>
      </c>
      <c r="L12" s="1270">
        <f>INDEX(Universal_Data!$F$57:$N$69,MATCH(L10,Universal_Data!$F$57:$F$69,0),9)</f>
        <v>2.088006902502193E-2</v>
      </c>
      <c r="M12" s="1270">
        <f>INDEX(Universal_Data!$F$57:$N$69,MATCH(M10,Universal_Data!$F$57:$F$69,0),9)</f>
        <v>1.1409736308316099E-2</v>
      </c>
      <c r="N12" s="1270">
        <f>INDEX(Universal_Data!$F$57:$N$69,MATCH(N10,Universal_Data!$F$57:$F$69,0),9)</f>
        <v>4.4288459931480784E-3</v>
      </c>
      <c r="O12" s="1270">
        <f>INDEX(Universal_Data!$F$57:$N$69,MATCH(O10,Universal_Data!$F$57:$F$69,0),9)</f>
        <v>1.3727121464226277E-2</v>
      </c>
      <c r="P12" s="1270">
        <f>INDEX(Universal_Data!$F$57:$N$69,MATCH(P10,Universal_Data!$F$57:$F$69,0),9)</f>
        <v>2.6343865408288814E-2</v>
      </c>
      <c r="Q12" s="1270">
        <f>INDEX(Universal_Data!$F$57:$N$69,MATCH(Q10,Universal_Data!$F$57:$F$69,0),9)</f>
        <v>2.126659203582304E-2</v>
      </c>
      <c r="R12" s="1270">
        <f>INDEX(Universal_Data!$F$57:$N$69,MATCH(R10,Universal_Data!$F$57:$F$69,0),9)</f>
        <v>2.0060367861951478E-2</v>
      </c>
      <c r="S12" s="1270">
        <f>INDEX(Universal_Data!$F$57:$N$69,MATCH(S10,Universal_Data!$F$57:$F$69,0),9)</f>
        <v>1.893848708313961E-2</v>
      </c>
      <c r="T12" s="1270">
        <f>INDEX(Universal_Data!$F$57:$N$69,MATCH(T10,Universal_Data!$F$57:$F$69,0),9)</f>
        <v>1.9884998702590362E-2</v>
      </c>
      <c r="U12" s="1270">
        <f>INDEX(Universal_Data!$F$57:$N$69,MATCH(U10,Universal_Data!$F$57:$F$69,0),9)</f>
        <v>1.9996919584223838E-2</v>
      </c>
      <c r="V12" s="1270">
        <f>INDEX(Universal_Data!$F$57:$N$69,MATCH(V10,Universal_Data!$F$57:$F$69,0),9)</f>
        <v>1.9996919584223838E-2</v>
      </c>
      <c r="W12" s="1270">
        <f>INDEX(Universal_Data!$F$57:$N$69,MATCH(W10,Universal_Data!$F$57:$F$69,0),9)</f>
        <v>1.9996919584223838E-2</v>
      </c>
      <c r="X12" s="1270">
        <f>INDEX(Universal_Data!$F$57:$N$69,MATCH(X10,Universal_Data!$F$57:$F$69,0),9)</f>
        <v>1.9996919584223838E-2</v>
      </c>
      <c r="Y12" s="1271"/>
    </row>
    <row r="13" spans="1:25" s="1194" customFormat="1" ht="14.45" customHeight="1">
      <c r="A13" s="1262" t="s">
        <v>619</v>
      </c>
      <c r="B13" s="1262" t="s">
        <v>621</v>
      </c>
      <c r="C13" s="1262"/>
      <c r="D13" s="1262" t="s">
        <v>624</v>
      </c>
      <c r="E13" s="1262" t="s">
        <v>630</v>
      </c>
      <c r="F13" s="1262"/>
      <c r="J13" s="1215" t="s">
        <v>631</v>
      </c>
      <c r="K13" s="1215" t="s">
        <v>627</v>
      </c>
      <c r="L13" s="1270">
        <f>L11</f>
        <v>2.8846428936344148E-2</v>
      </c>
      <c r="M13" s="1270">
        <f>M11</f>
        <v>1.9598807731472156E-2</v>
      </c>
      <c r="N13" s="1270">
        <f t="shared" ref="N13:S13" si="0">N11</f>
        <v>1.0779220779220777E-2</v>
      </c>
      <c r="O13" s="1270">
        <f t="shared" si="0"/>
        <v>2.1426185275600806E-2</v>
      </c>
      <c r="P13" s="1270">
        <f t="shared" si="0"/>
        <v>3.7419997584832831E-2</v>
      </c>
      <c r="Q13" s="1270">
        <f t="shared" si="0"/>
        <v>3.0555676808241117E-2</v>
      </c>
      <c r="R13" s="1270">
        <f t="shared" si="0"/>
        <v>2.9026890512265036E-2</v>
      </c>
      <c r="S13" s="1270">
        <f t="shared" si="0"/>
        <v>2.8332219054290564E-2</v>
      </c>
      <c r="T13" s="1270">
        <f>T12</f>
        <v>1.9884998702590362E-2</v>
      </c>
      <c r="U13" s="1270">
        <f t="shared" ref="U13:X13" si="1">U12</f>
        <v>1.9996919584223838E-2</v>
      </c>
      <c r="V13" s="1270">
        <f t="shared" si="1"/>
        <v>1.9996919584223838E-2</v>
      </c>
      <c r="W13" s="1270">
        <f t="shared" si="1"/>
        <v>1.9996919584223838E-2</v>
      </c>
      <c r="X13" s="1270">
        <f t="shared" si="1"/>
        <v>1.9996919584223838E-2</v>
      </c>
      <c r="Y13" s="1273"/>
    </row>
    <row r="14" spans="1:25" s="1194" customFormat="1" ht="14.45" customHeight="1">
      <c r="A14" s="1262" t="s">
        <v>619</v>
      </c>
      <c r="B14" s="1262" t="s">
        <v>621</v>
      </c>
      <c r="C14" s="1262" t="s">
        <v>367</v>
      </c>
      <c r="D14" s="1262"/>
      <c r="E14" s="1262"/>
      <c r="F14" s="1262"/>
      <c r="H14" s="1241"/>
      <c r="N14" s="1247"/>
      <c r="O14" s="1247"/>
      <c r="P14" s="1247"/>
      <c r="Q14" s="1247"/>
      <c r="R14" s="1247"/>
      <c r="S14" s="1247"/>
      <c r="T14" s="1247"/>
      <c r="U14" s="1247"/>
      <c r="V14" s="1247"/>
      <c r="W14" s="1247"/>
      <c r="X14" s="1247"/>
      <c r="Y14" s="1273"/>
    </row>
    <row r="15" spans="1:25" s="1194" customFormat="1" ht="14.45" customHeight="1">
      <c r="A15" s="1262" t="s">
        <v>619</v>
      </c>
      <c r="B15" s="1262" t="s">
        <v>621</v>
      </c>
      <c r="C15" s="1262" t="s">
        <v>367</v>
      </c>
      <c r="D15" s="1262"/>
      <c r="E15" s="1262"/>
      <c r="F15" s="1262"/>
      <c r="G15" s="1208"/>
      <c r="I15" s="1274" t="s">
        <v>632</v>
      </c>
      <c r="L15" s="1247"/>
      <c r="M15" s="1247"/>
      <c r="N15" s="1247"/>
      <c r="O15" s="1247"/>
      <c r="P15" s="1247"/>
      <c r="Q15" s="1247"/>
      <c r="R15" s="1247"/>
      <c r="S15" s="1247"/>
      <c r="T15" s="1247"/>
      <c r="U15" s="1247"/>
      <c r="V15" s="1247"/>
      <c r="W15" s="1247"/>
      <c r="X15" s="1247"/>
      <c r="Y15" s="1273"/>
    </row>
    <row r="16" spans="1:25" s="1194" customFormat="1" ht="14.45" customHeight="1">
      <c r="A16" s="1262" t="s">
        <v>619</v>
      </c>
      <c r="B16" s="1262" t="s">
        <v>621</v>
      </c>
      <c r="C16" s="1262" t="s">
        <v>367</v>
      </c>
      <c r="D16" s="1262"/>
      <c r="E16" s="1262"/>
      <c r="F16" s="1262"/>
      <c r="G16" s="1208"/>
      <c r="H16" s="1275"/>
      <c r="L16" s="1203" t="s">
        <v>453</v>
      </c>
      <c r="M16" s="1203" t="s">
        <v>455</v>
      </c>
      <c r="N16" s="1203" t="s">
        <v>457</v>
      </c>
      <c r="O16" s="1203" t="s">
        <v>459</v>
      </c>
      <c r="P16" s="1203" t="s">
        <v>461</v>
      </c>
      <c r="Q16" s="1203" t="s">
        <v>463</v>
      </c>
      <c r="R16" s="1203" t="s">
        <v>465</v>
      </c>
      <c r="S16" s="1203" t="s">
        <v>467</v>
      </c>
      <c r="T16" s="1203" t="s">
        <v>469</v>
      </c>
      <c r="U16" s="1203" t="s">
        <v>471</v>
      </c>
      <c r="V16" s="1203" t="s">
        <v>473</v>
      </c>
      <c r="W16" s="1203" t="s">
        <v>475</v>
      </c>
      <c r="X16" s="1203" t="s">
        <v>477</v>
      </c>
      <c r="Y16" s="1244"/>
    </row>
    <row r="17" spans="1:25" s="1194" customFormat="1" ht="14.45" customHeight="1">
      <c r="A17" s="1262" t="s">
        <v>619</v>
      </c>
      <c r="B17" s="1262" t="s">
        <v>621</v>
      </c>
      <c r="C17" s="1262"/>
      <c r="D17" s="1262" t="s">
        <v>633</v>
      </c>
      <c r="E17" s="1262" t="s">
        <v>634</v>
      </c>
      <c r="F17" s="1262" t="s">
        <v>634</v>
      </c>
      <c r="G17" s="1241"/>
      <c r="H17" s="1241"/>
      <c r="J17" s="1194" t="s">
        <v>635</v>
      </c>
      <c r="K17" s="1269" t="s">
        <v>627</v>
      </c>
      <c r="L17" s="1270"/>
      <c r="M17" s="1270"/>
      <c r="N17" s="1270"/>
      <c r="O17" s="1270"/>
      <c r="P17" s="1270"/>
      <c r="Q17" s="1270"/>
      <c r="R17" s="1270">
        <v>2.9718863339409683E-2</v>
      </c>
      <c r="S17" s="1270">
        <v>3.1057109300652867E-2</v>
      </c>
      <c r="T17" s="1270">
        <v>3.250927966523165E-2</v>
      </c>
      <c r="U17" s="1270">
        <v>3.3963953530365999E-2</v>
      </c>
      <c r="V17" s="1270">
        <v>3.5358861361718216E-2</v>
      </c>
      <c r="W17" s="1270">
        <v>3.665706772567566E-2</v>
      </c>
      <c r="X17" s="1270">
        <v>3.7826145412653563E-2</v>
      </c>
      <c r="Y17" s="1271"/>
    </row>
    <row r="18" spans="1:25" s="1194" customFormat="1" ht="14.45" customHeight="1">
      <c r="A18" s="1262" t="s">
        <v>619</v>
      </c>
      <c r="B18" s="1262" t="s">
        <v>621</v>
      </c>
      <c r="C18" s="1262"/>
      <c r="D18" s="1262" t="s">
        <v>633</v>
      </c>
      <c r="E18" s="1262" t="s">
        <v>636</v>
      </c>
      <c r="F18" s="1262" t="s">
        <v>637</v>
      </c>
      <c r="G18" s="1241"/>
      <c r="H18" s="1241"/>
      <c r="J18" s="1194" t="s">
        <v>638</v>
      </c>
      <c r="K18" s="1269" t="s">
        <v>627</v>
      </c>
      <c r="L18" s="1270"/>
      <c r="M18" s="1270"/>
      <c r="N18" s="1270"/>
      <c r="O18" s="1270"/>
      <c r="P18" s="1270"/>
      <c r="Q18" s="1270"/>
      <c r="R18" s="1270">
        <v>9.5282993357484018E-3</v>
      </c>
      <c r="S18" s="1270">
        <v>1.0840305182631156E-2</v>
      </c>
      <c r="T18" s="1270">
        <v>1.2264001621234494E-2</v>
      </c>
      <c r="U18" s="1270">
        <v>1.3690152472151924E-2</v>
      </c>
      <c r="V18" s="1270">
        <v>1.505770917218972E-2</v>
      </c>
      <c r="W18" s="1270">
        <v>1.6330460511854009E-2</v>
      </c>
      <c r="X18" s="1270">
        <v>1.7476615109137662E-2</v>
      </c>
      <c r="Y18" s="1271"/>
    </row>
    <row r="19" spans="1:25" s="1194" customFormat="1" ht="14.45" customHeight="1">
      <c r="A19" s="1262" t="s">
        <v>619</v>
      </c>
      <c r="B19" s="1262" t="s">
        <v>621</v>
      </c>
      <c r="C19" s="1262"/>
      <c r="D19" s="1262" t="s">
        <v>633</v>
      </c>
      <c r="E19" s="1262" t="s">
        <v>639</v>
      </c>
      <c r="F19" s="1262" t="s">
        <v>637</v>
      </c>
      <c r="G19" s="1241"/>
      <c r="H19" s="1241"/>
      <c r="J19" s="1254" t="s">
        <v>640</v>
      </c>
      <c r="K19" s="1269" t="s">
        <v>627</v>
      </c>
      <c r="L19" s="1270"/>
      <c r="M19" s="1270"/>
      <c r="N19" s="1270"/>
      <c r="O19" s="1270"/>
      <c r="P19" s="1270"/>
      <c r="Q19" s="1270"/>
      <c r="R19" s="1270">
        <v>-9.5171715133401946E-4</v>
      </c>
      <c r="S19" s="1270">
        <v>3.4666862871590709E-4</v>
      </c>
      <c r="T19" s="1270">
        <v>1.7555855290349864E-3</v>
      </c>
      <c r="U19" s="1270">
        <v>3.1669313621629502E-3</v>
      </c>
      <c r="V19" s="1270">
        <v>4.5202913162820657E-3</v>
      </c>
      <c r="W19" s="1270">
        <v>5.7798300941662717E-3</v>
      </c>
      <c r="X19" s="1270">
        <v>6.9140863433956312E-3</v>
      </c>
      <c r="Y19" s="1271"/>
    </row>
    <row r="20" spans="1:25" s="1194" customFormat="1" ht="14.45" customHeight="1">
      <c r="A20" s="1262" t="s">
        <v>619</v>
      </c>
      <c r="B20" s="1262" t="s">
        <v>621</v>
      </c>
      <c r="C20" s="1262"/>
      <c r="D20" s="1262" t="s">
        <v>633</v>
      </c>
      <c r="E20" s="1262" t="s">
        <v>641</v>
      </c>
      <c r="F20" s="1262" t="s">
        <v>634</v>
      </c>
      <c r="G20" s="1241"/>
      <c r="H20" s="1241"/>
      <c r="J20" s="1215" t="s">
        <v>642</v>
      </c>
      <c r="K20" s="1269" t="s">
        <v>627</v>
      </c>
      <c r="L20" s="1270">
        <v>5.1560669230769187E-3</v>
      </c>
      <c r="M20" s="1270">
        <v>5.5371553846153779E-3</v>
      </c>
      <c r="N20" s="1270">
        <v>5.8079011494252975E-3</v>
      </c>
      <c r="O20" s="1270">
        <v>4.3824315384615366E-3</v>
      </c>
      <c r="P20" s="1270">
        <v>4.1386950191570878E-3</v>
      </c>
      <c r="Q20" s="1270">
        <v>8.0118440613026875E-3</v>
      </c>
      <c r="R20" s="1270">
        <v>8.3999999999999995E-3</v>
      </c>
      <c r="S20" s="1270">
        <v>8.3000000000000001E-3</v>
      </c>
      <c r="T20" s="1270">
        <v>8.5000000000000006E-3</v>
      </c>
      <c r="U20" s="1270">
        <v>8.8999999999999999E-3</v>
      </c>
      <c r="V20" s="1270">
        <v>9.2999999999999992E-3</v>
      </c>
      <c r="W20" s="1270">
        <v>9.5999999999999992E-3</v>
      </c>
      <c r="X20" s="1270">
        <v>0.01</v>
      </c>
      <c r="Y20" s="1271"/>
    </row>
    <row r="21" spans="1:25" s="1194" customFormat="1" ht="14.45" customHeight="1">
      <c r="A21" s="1262" t="s">
        <v>619</v>
      </c>
      <c r="B21" s="1262" t="s">
        <v>621</v>
      </c>
      <c r="C21" s="1262"/>
      <c r="D21" s="1262" t="s">
        <v>633</v>
      </c>
      <c r="E21" s="1262" t="s">
        <v>643</v>
      </c>
      <c r="F21" s="1262" t="s">
        <v>634</v>
      </c>
      <c r="G21" s="1241"/>
      <c r="H21" s="1241"/>
      <c r="J21" s="1215" t="s">
        <v>644</v>
      </c>
      <c r="K21" s="1269" t="s">
        <v>627</v>
      </c>
      <c r="L21" s="1270">
        <v>5.997613076923084E-3</v>
      </c>
      <c r="M21" s="1270">
        <v>6.8144761538461605E-3</v>
      </c>
      <c r="N21" s="1270">
        <v>7.3441540229885038E-3</v>
      </c>
      <c r="O21" s="1270">
        <v>5.8508980769230749E-3</v>
      </c>
      <c r="P21" s="1270">
        <v>5.2862513409961667E-3</v>
      </c>
      <c r="Q21" s="1270">
        <v>9.1362072796934857E-3</v>
      </c>
      <c r="R21" s="1270">
        <v>9.4000000000000004E-3</v>
      </c>
      <c r="S21" s="1270">
        <v>9.4000000000000004E-3</v>
      </c>
      <c r="T21" s="1270">
        <v>9.5999999999999992E-3</v>
      </c>
      <c r="U21" s="1270">
        <v>0.01</v>
      </c>
      <c r="V21" s="1270">
        <v>1.03E-2</v>
      </c>
      <c r="W21" s="1270">
        <v>1.0699999999999999E-2</v>
      </c>
      <c r="X21" s="1270">
        <v>1.0999999999999999E-2</v>
      </c>
      <c r="Y21" s="1271"/>
    </row>
    <row r="22" spans="1:25" s="1194" customFormat="1" ht="14.45" customHeight="1">
      <c r="A22" s="1262" t="s">
        <v>619</v>
      </c>
      <c r="B22" s="1262" t="s">
        <v>621</v>
      </c>
      <c r="C22" s="1262"/>
      <c r="D22" s="1262" t="s">
        <v>633</v>
      </c>
      <c r="E22" s="1262" t="s">
        <v>645</v>
      </c>
      <c r="F22" s="1262" t="s">
        <v>634</v>
      </c>
      <c r="G22" s="1241"/>
      <c r="H22" s="1241"/>
      <c r="J22" s="1215" t="s">
        <v>646</v>
      </c>
      <c r="K22" s="1269" t="s">
        <v>627</v>
      </c>
      <c r="L22" s="1270">
        <v>8.8690453846153837E-3</v>
      </c>
      <c r="M22" s="1270">
        <v>9.9330492307692329E-3</v>
      </c>
      <c r="N22" s="1270">
        <v>1.0276293869731796E-2</v>
      </c>
      <c r="O22" s="1270">
        <v>8.2512961538461615E-3</v>
      </c>
      <c r="P22" s="1270">
        <v>7.3318164750957905E-3</v>
      </c>
      <c r="Q22" s="1270">
        <v>1.0660160919540229E-2</v>
      </c>
      <c r="R22" s="1270">
        <v>1.0500000000000001E-2</v>
      </c>
      <c r="S22" s="1270">
        <v>1.04E-2</v>
      </c>
      <c r="T22" s="1270">
        <v>1.0699999999999999E-2</v>
      </c>
      <c r="U22" s="1270">
        <v>1.11E-2</v>
      </c>
      <c r="V22" s="1270">
        <v>1.14E-2</v>
      </c>
      <c r="W22" s="1270">
        <v>1.18E-2</v>
      </c>
      <c r="X22" s="1270">
        <v>1.21E-2</v>
      </c>
      <c r="Y22" s="1271"/>
    </row>
    <row r="23" spans="1:25" s="1194" customFormat="1" ht="14.45" customHeight="1">
      <c r="A23" s="1262" t="s">
        <v>619</v>
      </c>
      <c r="B23" s="1262" t="s">
        <v>621</v>
      </c>
      <c r="C23" s="1262"/>
      <c r="D23" s="1262" t="s">
        <v>633</v>
      </c>
      <c r="E23" s="1262" t="s">
        <v>647</v>
      </c>
      <c r="F23" s="1262" t="s">
        <v>634</v>
      </c>
      <c r="G23" s="1241"/>
      <c r="H23" s="1241"/>
      <c r="J23" s="1215" t="s">
        <v>648</v>
      </c>
      <c r="K23" s="1215" t="s">
        <v>627</v>
      </c>
      <c r="L23" s="1270"/>
      <c r="M23" s="1270"/>
      <c r="N23" s="1270"/>
      <c r="O23" s="1270"/>
      <c r="P23" s="1270"/>
      <c r="Q23" s="1270"/>
      <c r="R23" s="1270">
        <v>1.4999999999999999E-2</v>
      </c>
      <c r="S23" s="1270">
        <v>1.4999999999999999E-2</v>
      </c>
      <c r="T23" s="1270">
        <v>1.4999999999999999E-2</v>
      </c>
      <c r="U23" s="1270">
        <v>1.4999999999999999E-2</v>
      </c>
      <c r="V23" s="1270">
        <v>1.4999999999999999E-2</v>
      </c>
      <c r="W23" s="1270">
        <v>1.4999999999999999E-2</v>
      </c>
      <c r="X23" s="1270">
        <v>1.4999999999999999E-2</v>
      </c>
      <c r="Y23" s="1241"/>
    </row>
    <row r="24" spans="1:25" s="1194" customFormat="1" ht="14.45" customHeight="1">
      <c r="A24" s="1262"/>
      <c r="B24" s="1262"/>
      <c r="C24" s="1262" t="s">
        <v>367</v>
      </c>
      <c r="D24" s="1262"/>
      <c r="E24" s="1262"/>
      <c r="F24" s="1262"/>
      <c r="G24" s="1241"/>
      <c r="H24" s="1241"/>
      <c r="Y24" s="1241"/>
    </row>
    <row r="25" spans="1:25" s="1160" customFormat="1" ht="14.45" hidden="1" customHeight="1">
      <c r="A25" s="1262" t="s">
        <v>619</v>
      </c>
      <c r="B25" s="1262" t="s">
        <v>649</v>
      </c>
      <c r="C25" s="1262" t="s">
        <v>370</v>
      </c>
      <c r="D25" s="1262"/>
      <c r="E25" s="1262"/>
      <c r="F25" s="1262"/>
      <c r="G25" s="1156" t="s">
        <v>367</v>
      </c>
      <c r="H25" s="1156" t="s">
        <v>367</v>
      </c>
      <c r="I25" s="1156" t="s">
        <v>367</v>
      </c>
      <c r="J25" s="1156" t="s">
        <v>367</v>
      </c>
      <c r="K25" s="1156" t="s">
        <v>492</v>
      </c>
      <c r="L25" s="1156" t="s">
        <v>371</v>
      </c>
      <c r="M25" s="1156" t="s">
        <v>371</v>
      </c>
      <c r="N25" s="1156" t="s">
        <v>371</v>
      </c>
      <c r="O25" s="1156" t="s">
        <v>371</v>
      </c>
      <c r="P25" s="1156" t="s">
        <v>371</v>
      </c>
      <c r="Q25" s="1156" t="s">
        <v>371</v>
      </c>
      <c r="R25" s="1156" t="s">
        <v>371</v>
      </c>
      <c r="S25" s="1156" t="s">
        <v>371</v>
      </c>
      <c r="T25" s="1156" t="s">
        <v>371</v>
      </c>
      <c r="U25" s="1156" t="s">
        <v>371</v>
      </c>
      <c r="V25" s="1156" t="s">
        <v>371</v>
      </c>
      <c r="W25" s="1156" t="s">
        <v>371</v>
      </c>
      <c r="X25" s="1156" t="s">
        <v>371</v>
      </c>
    </row>
    <row r="26" spans="1:25" s="1194" customFormat="1" ht="14.45" customHeight="1">
      <c r="A26" s="1262" t="s">
        <v>619</v>
      </c>
      <c r="B26" s="1262" t="s">
        <v>649</v>
      </c>
      <c r="C26" s="1262" t="s">
        <v>367</v>
      </c>
      <c r="D26" s="1262"/>
      <c r="E26" s="1262"/>
      <c r="F26" s="1262"/>
      <c r="G26" s="1241"/>
      <c r="H26" s="1274" t="s">
        <v>650</v>
      </c>
      <c r="K26" s="1216"/>
      <c r="L26" s="1278"/>
      <c r="M26" s="1278"/>
      <c r="N26" s="1278"/>
      <c r="O26" s="1278"/>
      <c r="P26" s="1278"/>
      <c r="Y26" s="1241"/>
    </row>
    <row r="27" spans="1:25" s="1194" customFormat="1" ht="14.45" customHeight="1">
      <c r="A27" s="1262" t="s">
        <v>619</v>
      </c>
      <c r="B27" s="1262" t="s">
        <v>649</v>
      </c>
      <c r="C27" s="1262" t="s">
        <v>367</v>
      </c>
      <c r="D27" s="1262"/>
      <c r="E27" s="1262"/>
      <c r="F27" s="1262"/>
      <c r="G27" s="1241"/>
      <c r="H27" s="1274"/>
      <c r="K27" s="1216"/>
      <c r="L27" s="1278"/>
      <c r="M27" s="1278"/>
      <c r="N27" s="1278"/>
      <c r="O27" s="1278"/>
      <c r="P27" s="1278"/>
      <c r="Y27" s="1241"/>
    </row>
    <row r="28" spans="1:25" s="1194" customFormat="1" ht="14.45" customHeight="1">
      <c r="A28" s="1262" t="s">
        <v>619</v>
      </c>
      <c r="B28" s="1262" t="s">
        <v>649</v>
      </c>
      <c r="C28" s="1262" t="s">
        <v>415</v>
      </c>
      <c r="D28" s="1262"/>
      <c r="E28" s="1262"/>
      <c r="F28" s="1262"/>
      <c r="I28" s="1279" t="s">
        <v>651</v>
      </c>
      <c r="L28" s="1203" t="s">
        <v>453</v>
      </c>
      <c r="M28" s="1203" t="s">
        <v>455</v>
      </c>
      <c r="N28" s="1203" t="s">
        <v>457</v>
      </c>
      <c r="O28" s="1203" t="s">
        <v>459</v>
      </c>
      <c r="P28" s="1203" t="s">
        <v>461</v>
      </c>
      <c r="Q28" s="1203" t="s">
        <v>463</v>
      </c>
      <c r="R28" s="1203" t="s">
        <v>465</v>
      </c>
      <c r="S28" s="1203" t="s">
        <v>467</v>
      </c>
      <c r="T28" s="1203" t="s">
        <v>469</v>
      </c>
      <c r="U28" s="1203" t="s">
        <v>471</v>
      </c>
      <c r="V28" s="1203" t="s">
        <v>473</v>
      </c>
      <c r="W28" s="1203" t="s">
        <v>475</v>
      </c>
      <c r="X28" s="1203" t="s">
        <v>477</v>
      </c>
      <c r="Y28" s="1244"/>
    </row>
    <row r="29" spans="1:25" s="1194" customFormat="1" ht="14.45" customHeight="1">
      <c r="A29" s="1262" t="s">
        <v>619</v>
      </c>
      <c r="B29" s="1262" t="s">
        <v>649</v>
      </c>
      <c r="C29" s="1262"/>
      <c r="D29" s="1262" t="s">
        <v>649</v>
      </c>
      <c r="E29" s="1262" t="s">
        <v>652</v>
      </c>
      <c r="F29" s="1262" t="s">
        <v>634</v>
      </c>
      <c r="I29" s="1279"/>
      <c r="J29" s="1215" t="s">
        <v>653</v>
      </c>
      <c r="K29" s="1215" t="s">
        <v>498</v>
      </c>
      <c r="L29" s="1231">
        <v>1190</v>
      </c>
      <c r="M29" s="1816">
        <f>L33</f>
        <v>1213</v>
      </c>
      <c r="N29" s="1816">
        <f t="shared" ref="N29:X29" si="2">M33</f>
        <v>1225</v>
      </c>
      <c r="O29" s="1816">
        <f t="shared" si="2"/>
        <v>1260.1578947400001</v>
      </c>
      <c r="P29" s="1816">
        <f t="shared" si="2"/>
        <v>1336.3157894800001</v>
      </c>
      <c r="Q29" s="1816">
        <f t="shared" si="2"/>
        <v>1379.4740000000002</v>
      </c>
      <c r="R29" s="1816">
        <f t="shared" si="2"/>
        <v>1532.6318947400002</v>
      </c>
      <c r="S29" s="1816">
        <f t="shared" si="2"/>
        <v>1430.7897894800003</v>
      </c>
      <c r="T29" s="1816">
        <f t="shared" si="2"/>
        <v>1428.9476842200004</v>
      </c>
      <c r="U29" s="1816">
        <f t="shared" si="2"/>
        <v>1427.1055789600005</v>
      </c>
      <c r="V29" s="1816">
        <f t="shared" si="2"/>
        <v>1400.2634737000005</v>
      </c>
      <c r="W29" s="1816">
        <f t="shared" si="2"/>
        <v>1298.4213684400006</v>
      </c>
      <c r="X29" s="1816">
        <f t="shared" si="2"/>
        <v>1171.5792631800007</v>
      </c>
      <c r="Y29" s="1244"/>
    </row>
    <row r="30" spans="1:25" s="1194" customFormat="1" ht="14.45" customHeight="1">
      <c r="A30" s="1262" t="s">
        <v>619</v>
      </c>
      <c r="B30" s="1262" t="s">
        <v>649</v>
      </c>
      <c r="C30" s="1262"/>
      <c r="D30" s="1262" t="s">
        <v>649</v>
      </c>
      <c r="E30" s="1262" t="s">
        <v>654</v>
      </c>
      <c r="F30" s="1262" t="s">
        <v>634</v>
      </c>
      <c r="I30" s="1279"/>
      <c r="J30" s="1215" t="s">
        <v>655</v>
      </c>
      <c r="K30" s="1215" t="s">
        <v>498</v>
      </c>
      <c r="L30" s="1231">
        <v>23</v>
      </c>
      <c r="M30" s="1231">
        <v>30</v>
      </c>
      <c r="N30" s="1231">
        <v>37</v>
      </c>
      <c r="O30" s="1231">
        <v>90</v>
      </c>
      <c r="P30" s="1231">
        <v>45</v>
      </c>
      <c r="Q30" s="1231">
        <v>200</v>
      </c>
      <c r="R30" s="1231">
        <v>100</v>
      </c>
      <c r="S30" s="1817"/>
      <c r="T30" s="1817"/>
      <c r="U30" s="1817"/>
      <c r="V30" s="1817"/>
      <c r="W30" s="1817"/>
      <c r="X30" s="1817"/>
      <c r="Y30" s="1244"/>
    </row>
    <row r="31" spans="1:25" s="1194" customFormat="1" ht="14.45" customHeight="1">
      <c r="A31" s="1262" t="s">
        <v>619</v>
      </c>
      <c r="B31" s="1262" t="s">
        <v>649</v>
      </c>
      <c r="C31" s="1262"/>
      <c r="D31" s="1262" t="s">
        <v>649</v>
      </c>
      <c r="E31" s="1262" t="s">
        <v>656</v>
      </c>
      <c r="F31" s="1262" t="s">
        <v>634</v>
      </c>
      <c r="I31" s="1279"/>
      <c r="J31" s="1215" t="s">
        <v>657</v>
      </c>
      <c r="K31" s="1215" t="s">
        <v>658</v>
      </c>
      <c r="L31" s="1231">
        <v>0</v>
      </c>
      <c r="M31" s="1231">
        <v>-18</v>
      </c>
      <c r="N31" s="1231">
        <v>-1.8421052599999821</v>
      </c>
      <c r="O31" s="1231">
        <v>-13.842105259999983</v>
      </c>
      <c r="P31" s="1231">
        <v>-1.8417894800000358</v>
      </c>
      <c r="Q31" s="1231">
        <v>-46.842105259999997</v>
      </c>
      <c r="R31" s="1231">
        <v>-201.84210526000001</v>
      </c>
      <c r="S31" s="2568">
        <v>-1.8421052600000001</v>
      </c>
      <c r="T31" s="1231">
        <v>-1.8421052600000001</v>
      </c>
      <c r="U31" s="1231">
        <v>-26.84210526</v>
      </c>
      <c r="V31" s="1231">
        <v>-101.84210526</v>
      </c>
      <c r="W31" s="1231">
        <v>-126.84210526</v>
      </c>
      <c r="X31" s="1231">
        <v>-1.8421052600000001</v>
      </c>
      <c r="Y31" s="1244"/>
    </row>
    <row r="32" spans="1:25" s="1194" customFormat="1" ht="14.45" customHeight="1">
      <c r="A32" s="1262" t="s">
        <v>619</v>
      </c>
      <c r="B32" s="1262" t="s">
        <v>649</v>
      </c>
      <c r="C32" s="1262"/>
      <c r="D32" s="1262" t="s">
        <v>649</v>
      </c>
      <c r="E32" s="1262" t="s">
        <v>659</v>
      </c>
      <c r="F32" s="1262" t="s">
        <v>634</v>
      </c>
      <c r="I32" s="1279"/>
      <c r="J32" s="1215" t="s">
        <v>660</v>
      </c>
      <c r="K32" s="1215" t="s">
        <v>498</v>
      </c>
      <c r="L32" s="1276">
        <f t="shared" ref="L32:X32" si="3">L63+L70</f>
        <v>0</v>
      </c>
      <c r="M32" s="1276">
        <f t="shared" si="3"/>
        <v>0</v>
      </c>
      <c r="N32" s="1276">
        <f t="shared" si="3"/>
        <v>0</v>
      </c>
      <c r="O32" s="1276">
        <f t="shared" si="3"/>
        <v>0</v>
      </c>
      <c r="P32" s="1276">
        <f t="shared" si="3"/>
        <v>0</v>
      </c>
      <c r="Q32" s="1276">
        <f t="shared" si="3"/>
        <v>0</v>
      </c>
      <c r="R32" s="1276">
        <f t="shared" si="3"/>
        <v>0</v>
      </c>
      <c r="S32" s="1276">
        <f t="shared" si="3"/>
        <v>0</v>
      </c>
      <c r="T32" s="1276">
        <f t="shared" si="3"/>
        <v>0</v>
      </c>
      <c r="U32" s="1276">
        <f t="shared" si="3"/>
        <v>0</v>
      </c>
      <c r="V32" s="1276">
        <f t="shared" si="3"/>
        <v>0</v>
      </c>
      <c r="W32" s="1276">
        <f t="shared" si="3"/>
        <v>0</v>
      </c>
      <c r="X32" s="1276">
        <f t="shared" si="3"/>
        <v>0</v>
      </c>
      <c r="Y32" s="1244"/>
    </row>
    <row r="33" spans="1:25" s="1194" customFormat="1" ht="14.45" customHeight="1">
      <c r="A33" s="1262" t="s">
        <v>619</v>
      </c>
      <c r="B33" s="1262" t="s">
        <v>649</v>
      </c>
      <c r="C33" s="1262"/>
      <c r="D33" s="1262" t="s">
        <v>649</v>
      </c>
      <c r="E33" s="1262" t="s">
        <v>661</v>
      </c>
      <c r="F33" s="1262" t="s">
        <v>634</v>
      </c>
      <c r="I33" s="1279"/>
      <c r="J33" s="1215" t="s">
        <v>662</v>
      </c>
      <c r="K33" s="1215" t="s">
        <v>498</v>
      </c>
      <c r="L33" s="1818">
        <f>SUM(L29:L32)</f>
        <v>1213</v>
      </c>
      <c r="M33" s="1818">
        <f t="shared" ref="M33:X33" si="4">SUM(M29:M32)</f>
        <v>1225</v>
      </c>
      <c r="N33" s="1818">
        <f t="shared" si="4"/>
        <v>1260.1578947400001</v>
      </c>
      <c r="O33" s="1818">
        <f t="shared" si="4"/>
        <v>1336.3157894800001</v>
      </c>
      <c r="P33" s="1818">
        <f t="shared" si="4"/>
        <v>1379.4740000000002</v>
      </c>
      <c r="Q33" s="1818">
        <f t="shared" si="4"/>
        <v>1532.6318947400002</v>
      </c>
      <c r="R33" s="1818">
        <f t="shared" si="4"/>
        <v>1430.7897894800003</v>
      </c>
      <c r="S33" s="1818">
        <f t="shared" si="4"/>
        <v>1428.9476842200004</v>
      </c>
      <c r="T33" s="1818">
        <f t="shared" si="4"/>
        <v>1427.1055789600005</v>
      </c>
      <c r="U33" s="1818">
        <f t="shared" si="4"/>
        <v>1400.2634737000005</v>
      </c>
      <c r="V33" s="1818">
        <f t="shared" si="4"/>
        <v>1298.4213684400006</v>
      </c>
      <c r="W33" s="1818">
        <f t="shared" si="4"/>
        <v>1171.5792631800007</v>
      </c>
      <c r="X33" s="1818">
        <f t="shared" si="4"/>
        <v>1169.7371579200008</v>
      </c>
      <c r="Y33" s="1244"/>
    </row>
    <row r="34" spans="1:25" s="1194" customFormat="1" ht="14.45" customHeight="1">
      <c r="A34" s="1262" t="s">
        <v>619</v>
      </c>
      <c r="B34" s="1262" t="s">
        <v>649</v>
      </c>
      <c r="C34" s="1262"/>
      <c r="D34" s="1262" t="s">
        <v>649</v>
      </c>
      <c r="E34" s="1262" t="s">
        <v>663</v>
      </c>
      <c r="F34" s="1262" t="s">
        <v>634</v>
      </c>
      <c r="G34" s="1241"/>
      <c r="H34" s="1241"/>
      <c r="I34" s="1241"/>
      <c r="J34" s="1215" t="s">
        <v>664</v>
      </c>
      <c r="K34" s="1212" t="s">
        <v>498</v>
      </c>
      <c r="L34" s="1818">
        <f t="shared" ref="L34:X34" si="5">L40+L46+L52+L58+L65+L72</f>
        <v>1193.3123287671233</v>
      </c>
      <c r="M34" s="1818">
        <f t="shared" si="5"/>
        <v>1203.1123287671232</v>
      </c>
      <c r="N34" s="1818">
        <f t="shared" si="5"/>
        <v>1230.6511360368306</v>
      </c>
      <c r="O34" s="1818">
        <f t="shared" si="5"/>
        <v>1267.0007209837261</v>
      </c>
      <c r="P34" s="1818">
        <f t="shared" si="5"/>
        <v>1347.5234318736987</v>
      </c>
      <c r="Q34" s="1818">
        <f t="shared" si="5"/>
        <v>1414.7173756403836</v>
      </c>
      <c r="R34" s="1818">
        <f t="shared" si="5"/>
        <v>1463.3506880960176</v>
      </c>
      <c r="S34" s="1818">
        <f t="shared" si="5"/>
        <v>1430.7591925176439</v>
      </c>
      <c r="T34" s="1818">
        <f t="shared" si="5"/>
        <v>1428.9170872576437</v>
      </c>
      <c r="U34" s="1818">
        <f t="shared" si="5"/>
        <v>1422.4402669819265</v>
      </c>
      <c r="V34" s="1818">
        <f t="shared" si="5"/>
        <v>1399.9597354293987</v>
      </c>
      <c r="W34" s="1818">
        <f t="shared" si="5"/>
        <v>1227.9643548296913</v>
      </c>
      <c r="X34" s="1818">
        <f t="shared" si="5"/>
        <v>1171.5486662176438</v>
      </c>
      <c r="Y34" s="1252"/>
    </row>
    <row r="35" spans="1:25" ht="14.45" customHeight="1">
      <c r="A35" s="1262" t="s">
        <v>619</v>
      </c>
      <c r="B35" s="1262" t="s">
        <v>649</v>
      </c>
      <c r="C35" s="1262" t="s">
        <v>367</v>
      </c>
      <c r="D35" s="1262"/>
      <c r="E35" s="1262"/>
      <c r="F35" s="1262" t="s">
        <v>634</v>
      </c>
    </row>
    <row r="36" spans="1:25" ht="14.45" customHeight="1">
      <c r="A36" s="1262" t="s">
        <v>619</v>
      </c>
      <c r="B36" s="1262" t="s">
        <v>649</v>
      </c>
      <c r="C36" s="1262"/>
      <c r="D36" s="1262" t="s">
        <v>665</v>
      </c>
      <c r="E36" s="1262" t="s">
        <v>652</v>
      </c>
      <c r="F36" s="1262" t="s">
        <v>634</v>
      </c>
      <c r="J36" t="s">
        <v>666</v>
      </c>
      <c r="K36" s="1212" t="s">
        <v>498</v>
      </c>
      <c r="L36" s="1231">
        <v>945</v>
      </c>
      <c r="M36" s="1818">
        <f>L39</f>
        <v>945</v>
      </c>
      <c r="N36" s="1818">
        <f t="shared" ref="N36:X36" si="6">M39</f>
        <v>945</v>
      </c>
      <c r="O36" s="1818">
        <f t="shared" si="6"/>
        <v>945</v>
      </c>
      <c r="P36" s="1818">
        <f t="shared" si="6"/>
        <v>945</v>
      </c>
      <c r="Q36" s="1818">
        <f t="shared" si="6"/>
        <v>945</v>
      </c>
      <c r="R36" s="1818">
        <f t="shared" si="6"/>
        <v>1145</v>
      </c>
      <c r="S36" s="1818">
        <f t="shared" si="6"/>
        <v>1045</v>
      </c>
      <c r="T36" s="1818">
        <f t="shared" si="6"/>
        <v>1045</v>
      </c>
      <c r="U36" s="1818">
        <f t="shared" si="6"/>
        <v>1045</v>
      </c>
      <c r="V36" s="1818">
        <f t="shared" si="6"/>
        <v>1045</v>
      </c>
      <c r="W36" s="1818">
        <f t="shared" si="6"/>
        <v>1045</v>
      </c>
      <c r="X36" s="1818">
        <f t="shared" si="6"/>
        <v>1005</v>
      </c>
    </row>
    <row r="37" spans="1:25" ht="14.45" customHeight="1">
      <c r="A37" s="1262" t="s">
        <v>619</v>
      </c>
      <c r="B37" s="1262" t="s">
        <v>649</v>
      </c>
      <c r="C37" s="1262"/>
      <c r="D37" s="1262" t="s">
        <v>665</v>
      </c>
      <c r="E37" s="1262" t="s">
        <v>654</v>
      </c>
      <c r="F37" s="1262" t="s">
        <v>634</v>
      </c>
      <c r="J37" s="1819" t="s">
        <v>667</v>
      </c>
      <c r="K37" s="1212" t="s">
        <v>498</v>
      </c>
      <c r="L37" s="1231">
        <v>0</v>
      </c>
      <c r="M37" s="1231">
        <v>0</v>
      </c>
      <c r="N37" s="1231">
        <v>0</v>
      </c>
      <c r="O37" s="1231">
        <v>0</v>
      </c>
      <c r="P37" s="1231">
        <v>0</v>
      </c>
      <c r="Q37" s="1231">
        <v>200</v>
      </c>
      <c r="R37" s="1231">
        <v>100</v>
      </c>
      <c r="S37" s="1817"/>
      <c r="T37" s="1817"/>
      <c r="U37" s="1817"/>
      <c r="V37" s="1817"/>
      <c r="W37" s="1817"/>
      <c r="X37" s="1817"/>
    </row>
    <row r="38" spans="1:25" ht="14.45" customHeight="1">
      <c r="A38" s="1262" t="s">
        <v>619</v>
      </c>
      <c r="B38" s="1262" t="s">
        <v>649</v>
      </c>
      <c r="C38" s="1262"/>
      <c r="D38" s="1262" t="s">
        <v>665</v>
      </c>
      <c r="E38" s="1262" t="s">
        <v>656</v>
      </c>
      <c r="F38" s="1262" t="s">
        <v>634</v>
      </c>
      <c r="J38" s="1819" t="s">
        <v>668</v>
      </c>
      <c r="K38" s="1215" t="s">
        <v>658</v>
      </c>
      <c r="L38" s="1231">
        <v>0</v>
      </c>
      <c r="M38" s="1231">
        <v>0</v>
      </c>
      <c r="N38" s="1231">
        <v>0</v>
      </c>
      <c r="O38" s="1231">
        <v>0</v>
      </c>
      <c r="P38" s="1231">
        <v>0</v>
      </c>
      <c r="Q38" s="1231">
        <v>0</v>
      </c>
      <c r="R38" s="1231">
        <v>-200</v>
      </c>
      <c r="S38" s="2568">
        <v>0</v>
      </c>
      <c r="T38" s="1231">
        <v>0</v>
      </c>
      <c r="U38" s="1231">
        <v>0</v>
      </c>
      <c r="V38" s="1231">
        <v>0</v>
      </c>
      <c r="W38" s="1231">
        <v>-40</v>
      </c>
      <c r="X38" s="1231">
        <v>0</v>
      </c>
    </row>
    <row r="39" spans="1:25" ht="14.45" customHeight="1">
      <c r="A39" s="1262" t="s">
        <v>619</v>
      </c>
      <c r="B39" s="1262" t="s">
        <v>649</v>
      </c>
      <c r="C39" s="1262"/>
      <c r="D39" s="1262" t="s">
        <v>665</v>
      </c>
      <c r="E39" s="1262" t="s">
        <v>661</v>
      </c>
      <c r="F39" s="1262" t="s">
        <v>634</v>
      </c>
      <c r="J39" s="1819" t="s">
        <v>669</v>
      </c>
      <c r="K39" s="1212" t="s">
        <v>498</v>
      </c>
      <c r="L39" s="1818">
        <f>SUM(L36:L38)</f>
        <v>945</v>
      </c>
      <c r="M39" s="1818">
        <f t="shared" ref="M39:X39" si="7">SUM(M36:M38)</f>
        <v>945</v>
      </c>
      <c r="N39" s="1818">
        <f t="shared" si="7"/>
        <v>945</v>
      </c>
      <c r="O39" s="1818">
        <f t="shared" si="7"/>
        <v>945</v>
      </c>
      <c r="P39" s="1818">
        <f t="shared" si="7"/>
        <v>945</v>
      </c>
      <c r="Q39" s="1818">
        <f t="shared" si="7"/>
        <v>1145</v>
      </c>
      <c r="R39" s="1818">
        <f t="shared" si="7"/>
        <v>1045</v>
      </c>
      <c r="S39" s="1818">
        <f t="shared" si="7"/>
        <v>1045</v>
      </c>
      <c r="T39" s="1818">
        <f t="shared" si="7"/>
        <v>1045</v>
      </c>
      <c r="U39" s="1818">
        <f t="shared" si="7"/>
        <v>1045</v>
      </c>
      <c r="V39" s="1818">
        <f t="shared" si="7"/>
        <v>1045</v>
      </c>
      <c r="W39" s="1818">
        <f t="shared" si="7"/>
        <v>1005</v>
      </c>
      <c r="X39" s="1818">
        <f t="shared" si="7"/>
        <v>1005</v>
      </c>
    </row>
    <row r="40" spans="1:25" s="1194" customFormat="1" ht="14.45" customHeight="1">
      <c r="A40" s="1262" t="s">
        <v>619</v>
      </c>
      <c r="B40" s="1262" t="s">
        <v>649</v>
      </c>
      <c r="C40" s="1262"/>
      <c r="D40" s="1262" t="s">
        <v>665</v>
      </c>
      <c r="E40" s="1262" t="s">
        <v>663</v>
      </c>
      <c r="F40" s="1262" t="s">
        <v>634</v>
      </c>
      <c r="G40" s="1241"/>
      <c r="H40" s="1241"/>
      <c r="I40" s="1241"/>
      <c r="J40" s="1215" t="s">
        <v>670</v>
      </c>
      <c r="K40" s="1212" t="s">
        <v>498</v>
      </c>
      <c r="L40" s="1231">
        <v>945</v>
      </c>
      <c r="M40" s="1231">
        <v>945</v>
      </c>
      <c r="N40" s="1231">
        <v>945</v>
      </c>
      <c r="O40" s="1231">
        <v>945</v>
      </c>
      <c r="P40" s="1231">
        <v>945</v>
      </c>
      <c r="Q40" s="1231">
        <v>989.38356164383561</v>
      </c>
      <c r="R40" s="1231">
        <v>1075.7493075829029</v>
      </c>
      <c r="S40" s="2568">
        <v>1045</v>
      </c>
      <c r="T40" s="1231">
        <v>1045</v>
      </c>
      <c r="U40" s="1231">
        <v>1045</v>
      </c>
      <c r="V40" s="1231">
        <v>1045</v>
      </c>
      <c r="W40" s="1231">
        <v>1033.9315068493152</v>
      </c>
      <c r="X40" s="1231">
        <v>1005</v>
      </c>
      <c r="Y40" s="1277"/>
    </row>
    <row r="41" spans="1:25" s="1194" customFormat="1" ht="14.45" customHeight="1">
      <c r="A41" s="1262" t="s">
        <v>619</v>
      </c>
      <c r="B41" s="1262" t="s">
        <v>649</v>
      </c>
      <c r="C41" s="1262"/>
      <c r="D41" s="1262" t="s">
        <v>665</v>
      </c>
      <c r="E41" s="1262" t="s">
        <v>671</v>
      </c>
      <c r="F41" s="1262" t="s">
        <v>634</v>
      </c>
      <c r="G41" s="1241"/>
      <c r="H41" s="1241"/>
      <c r="I41" s="1241"/>
      <c r="J41" s="1215" t="s">
        <v>672</v>
      </c>
      <c r="K41" s="1269" t="s">
        <v>627</v>
      </c>
      <c r="L41" s="1217">
        <v>5.1848835978835973E-2</v>
      </c>
      <c r="M41" s="1217">
        <v>5.1848835978835973E-2</v>
      </c>
      <c r="N41" s="1217">
        <v>5.1848835978835973E-2</v>
      </c>
      <c r="O41" s="1217">
        <v>5.1848835978835973E-2</v>
      </c>
      <c r="P41" s="1217">
        <v>5.1848835978835973E-2</v>
      </c>
      <c r="Q41" s="1217">
        <v>5.0840663897542403E-2</v>
      </c>
      <c r="R41" s="1217">
        <v>4.4972015405181746E-2</v>
      </c>
      <c r="S41" s="2569">
        <v>4.3858516746411481E-2</v>
      </c>
      <c r="T41" s="1217">
        <v>4.3858516746411481E-2</v>
      </c>
      <c r="U41" s="1217">
        <v>4.3858516746411481E-2</v>
      </c>
      <c r="V41" s="1217">
        <v>4.3858516746411481E-2</v>
      </c>
      <c r="W41" s="1217">
        <v>4.3959130198603542E-2</v>
      </c>
      <c r="X41" s="1217">
        <v>4.4232587064676615E-2</v>
      </c>
      <c r="Y41" s="1249"/>
    </row>
    <row r="42" spans="1:25" s="1194" customFormat="1" ht="14.45" customHeight="1">
      <c r="A42" s="1262" t="s">
        <v>619</v>
      </c>
      <c r="B42" s="1262" t="s">
        <v>649</v>
      </c>
      <c r="C42" s="1262"/>
      <c r="D42" s="1262" t="s">
        <v>673</v>
      </c>
      <c r="E42" s="1262" t="s">
        <v>652</v>
      </c>
      <c r="F42" s="1262" t="s">
        <v>634</v>
      </c>
      <c r="G42" s="1241"/>
      <c r="H42" s="1241"/>
      <c r="I42" s="1241"/>
      <c r="J42" t="s">
        <v>674</v>
      </c>
      <c r="K42" s="1212" t="s">
        <v>498</v>
      </c>
      <c r="L42" s="1231">
        <v>245</v>
      </c>
      <c r="M42" s="1818">
        <f>L45</f>
        <v>268</v>
      </c>
      <c r="N42" s="1818">
        <f t="shared" ref="N42:X42" si="8">M45</f>
        <v>280</v>
      </c>
      <c r="O42" s="1818">
        <f t="shared" si="8"/>
        <v>315.15789474000002</v>
      </c>
      <c r="P42" s="1818">
        <f t="shared" si="8"/>
        <v>391.31578948000003</v>
      </c>
      <c r="Q42" s="1818">
        <f t="shared" si="8"/>
        <v>434.47399999999999</v>
      </c>
      <c r="R42" s="1818">
        <f t="shared" si="8"/>
        <v>387.63189474000001</v>
      </c>
      <c r="S42" s="1818">
        <f t="shared" si="8"/>
        <v>385.78978948000002</v>
      </c>
      <c r="T42" s="1818">
        <f t="shared" si="8"/>
        <v>383.94768422000004</v>
      </c>
      <c r="U42" s="1818">
        <f t="shared" si="8"/>
        <v>382.10557896000006</v>
      </c>
      <c r="V42" s="1818">
        <f t="shared" si="8"/>
        <v>355.26347370000008</v>
      </c>
      <c r="W42" s="1818">
        <f t="shared" si="8"/>
        <v>253.42136844000009</v>
      </c>
      <c r="X42" s="1818">
        <f t="shared" si="8"/>
        <v>166.57926318000011</v>
      </c>
      <c r="Y42" s="1249"/>
    </row>
    <row r="43" spans="1:25" s="1194" customFormat="1" ht="14.45" customHeight="1">
      <c r="A43" s="1262" t="s">
        <v>619</v>
      </c>
      <c r="B43" s="1262" t="s">
        <v>649</v>
      </c>
      <c r="C43" s="1262"/>
      <c r="D43" s="1262" t="s">
        <v>673</v>
      </c>
      <c r="E43" s="1262" t="s">
        <v>654</v>
      </c>
      <c r="F43" s="1262" t="s">
        <v>634</v>
      </c>
      <c r="G43" s="1241"/>
      <c r="H43" s="1241"/>
      <c r="I43" s="1241"/>
      <c r="J43" s="1819" t="s">
        <v>675</v>
      </c>
      <c r="K43" s="1212" t="s">
        <v>498</v>
      </c>
      <c r="L43" s="1231">
        <v>23</v>
      </c>
      <c r="M43" s="1231">
        <v>30</v>
      </c>
      <c r="N43" s="1231">
        <v>37</v>
      </c>
      <c r="O43" s="1231">
        <v>90</v>
      </c>
      <c r="P43" s="1231">
        <v>45</v>
      </c>
      <c r="Q43" s="1231">
        <v>0</v>
      </c>
      <c r="R43" s="1231">
        <v>0</v>
      </c>
      <c r="S43" s="1817"/>
      <c r="T43" s="1817"/>
      <c r="U43" s="1817"/>
      <c r="V43" s="1817"/>
      <c r="W43" s="1817"/>
      <c r="X43" s="1817"/>
      <c r="Y43" s="1249"/>
    </row>
    <row r="44" spans="1:25" s="1194" customFormat="1" ht="14.45" customHeight="1">
      <c r="A44" s="1262" t="s">
        <v>619</v>
      </c>
      <c r="B44" s="1262" t="s">
        <v>649</v>
      </c>
      <c r="C44" s="1262"/>
      <c r="D44" s="1262" t="s">
        <v>673</v>
      </c>
      <c r="E44" s="1262" t="s">
        <v>656</v>
      </c>
      <c r="F44" s="1262" t="s">
        <v>634</v>
      </c>
      <c r="G44" s="1241"/>
      <c r="H44" s="1241"/>
      <c r="I44" s="1241"/>
      <c r="J44" s="1819" t="s">
        <v>676</v>
      </c>
      <c r="K44" s="1215" t="s">
        <v>658</v>
      </c>
      <c r="L44" s="1231">
        <v>0</v>
      </c>
      <c r="M44" s="1231">
        <v>-18</v>
      </c>
      <c r="N44" s="1231">
        <v>-1.8421052599999821</v>
      </c>
      <c r="O44" s="1231">
        <v>-13.842105259999983</v>
      </c>
      <c r="P44" s="1231">
        <v>-1.8417894800000358</v>
      </c>
      <c r="Q44" s="1231">
        <v>-46.842105259999997</v>
      </c>
      <c r="R44" s="1231">
        <v>-1.8421052600000001</v>
      </c>
      <c r="S44" s="2568">
        <v>-1.8421052600000001</v>
      </c>
      <c r="T44" s="1231">
        <v>-1.8421052600000001</v>
      </c>
      <c r="U44" s="1231">
        <v>-26.84210526</v>
      </c>
      <c r="V44" s="1231">
        <v>-101.84210526</v>
      </c>
      <c r="W44" s="1231">
        <v>-86.842105259999997</v>
      </c>
      <c r="X44" s="1231">
        <v>-1.8421052600000001</v>
      </c>
      <c r="Y44" s="1249"/>
    </row>
    <row r="45" spans="1:25" s="1194" customFormat="1" ht="14.45" customHeight="1">
      <c r="A45" s="1262" t="s">
        <v>619</v>
      </c>
      <c r="B45" s="1262" t="s">
        <v>649</v>
      </c>
      <c r="C45" s="1262"/>
      <c r="D45" s="1262" t="s">
        <v>673</v>
      </c>
      <c r="E45" s="1262" t="s">
        <v>661</v>
      </c>
      <c r="F45" s="1262" t="s">
        <v>634</v>
      </c>
      <c r="G45" s="1241"/>
      <c r="H45" s="1241"/>
      <c r="I45" s="1241"/>
      <c r="J45" s="1819" t="s">
        <v>677</v>
      </c>
      <c r="K45" s="1212" t="s">
        <v>498</v>
      </c>
      <c r="L45" s="1818">
        <f>SUM(L42:L44)</f>
        <v>268</v>
      </c>
      <c r="M45" s="1818">
        <f t="shared" ref="M45:X45" si="9">SUM(M42:M44)</f>
        <v>280</v>
      </c>
      <c r="N45" s="1818">
        <f t="shared" si="9"/>
        <v>315.15789474000002</v>
      </c>
      <c r="O45" s="1818">
        <f t="shared" si="9"/>
        <v>391.31578948000003</v>
      </c>
      <c r="P45" s="1818">
        <f t="shared" si="9"/>
        <v>434.47399999999999</v>
      </c>
      <c r="Q45" s="1818">
        <f t="shared" si="9"/>
        <v>387.63189474000001</v>
      </c>
      <c r="R45" s="1818">
        <f t="shared" si="9"/>
        <v>385.78978948000002</v>
      </c>
      <c r="S45" s="1818">
        <f t="shared" si="9"/>
        <v>383.94768422000004</v>
      </c>
      <c r="T45" s="1818">
        <f t="shared" si="9"/>
        <v>382.10557896000006</v>
      </c>
      <c r="U45" s="1818">
        <f t="shared" si="9"/>
        <v>355.26347370000008</v>
      </c>
      <c r="V45" s="1818">
        <f t="shared" si="9"/>
        <v>253.42136844000009</v>
      </c>
      <c r="W45" s="1818">
        <f t="shared" si="9"/>
        <v>166.57926318000011</v>
      </c>
      <c r="X45" s="1818">
        <f t="shared" si="9"/>
        <v>164.7371579200001</v>
      </c>
      <c r="Y45" s="1249"/>
    </row>
    <row r="46" spans="1:25" s="1194" customFormat="1" ht="14.45" customHeight="1">
      <c r="A46" s="1262" t="s">
        <v>619</v>
      </c>
      <c r="B46" s="1262" t="s">
        <v>649</v>
      </c>
      <c r="C46" s="1262"/>
      <c r="D46" s="1262" t="s">
        <v>673</v>
      </c>
      <c r="E46" s="1262" t="s">
        <v>663</v>
      </c>
      <c r="F46" s="1262" t="s">
        <v>634</v>
      </c>
      <c r="G46" s="1241"/>
      <c r="H46" s="1241"/>
      <c r="I46" s="1241"/>
      <c r="J46" s="1215" t="s">
        <v>678</v>
      </c>
      <c r="K46" s="1212" t="s">
        <v>498</v>
      </c>
      <c r="L46" s="1231">
        <v>248.31232876712329</v>
      </c>
      <c r="M46" s="1231">
        <v>258.1123287671233</v>
      </c>
      <c r="N46" s="1231">
        <v>285.65113603683062</v>
      </c>
      <c r="O46" s="1231">
        <v>322.00072098372601</v>
      </c>
      <c r="P46" s="1231">
        <v>402.52343187369866</v>
      </c>
      <c r="Q46" s="1231">
        <v>425.33381399654797</v>
      </c>
      <c r="R46" s="1231">
        <v>387.60138051311475</v>
      </c>
      <c r="S46" s="2568">
        <v>385.75919251764384</v>
      </c>
      <c r="T46" s="1231">
        <v>383.91708725764386</v>
      </c>
      <c r="U46" s="1231">
        <v>377.44026698192647</v>
      </c>
      <c r="V46" s="1231">
        <v>354.95973542939885</v>
      </c>
      <c r="W46" s="1231">
        <v>194.03284798037606</v>
      </c>
      <c r="X46" s="1231">
        <v>166.54866621764381</v>
      </c>
      <c r="Y46" s="1277"/>
    </row>
    <row r="47" spans="1:25" s="1194" customFormat="1" ht="14.45" customHeight="1">
      <c r="A47" s="1262" t="s">
        <v>619</v>
      </c>
      <c r="B47" s="1262" t="s">
        <v>649</v>
      </c>
      <c r="C47" s="1262"/>
      <c r="D47" s="1262" t="s">
        <v>673</v>
      </c>
      <c r="E47" s="1262" t="s">
        <v>679</v>
      </c>
      <c r="F47" s="1262" t="s">
        <v>634</v>
      </c>
      <c r="G47" s="1241"/>
      <c r="H47" s="1241"/>
      <c r="I47" s="1241"/>
      <c r="J47" s="1215" t="s">
        <v>680</v>
      </c>
      <c r="K47" s="1269" t="s">
        <v>627</v>
      </c>
      <c r="L47" s="1217">
        <v>7.462522342608734E-3</v>
      </c>
      <c r="M47" s="1217">
        <v>7.3778124565524435E-3</v>
      </c>
      <c r="N47" s="1217">
        <v>6.1941372359696134E-3</v>
      </c>
      <c r="O47" s="1217">
        <v>5.8851192414317065E-3</v>
      </c>
      <c r="P47" s="1217">
        <v>6.4045471073246709E-3</v>
      </c>
      <c r="Q47" s="1217">
        <v>6.2556157596747007E-3</v>
      </c>
      <c r="R47" s="1217">
        <v>6.4533358191384274E-3</v>
      </c>
      <c r="S47" s="2569">
        <v>6.4430844523246352E-3</v>
      </c>
      <c r="T47" s="1217">
        <v>6.4327351722128024E-3</v>
      </c>
      <c r="U47" s="1217">
        <v>6.4574447859306388E-3</v>
      </c>
      <c r="V47" s="1217">
        <v>6.6120134177945818E-3</v>
      </c>
      <c r="W47" s="1217">
        <v>7.316940248539276E-3</v>
      </c>
      <c r="X47" s="1217">
        <v>7.6927576699861167E-3</v>
      </c>
      <c r="Y47" s="1249"/>
    </row>
    <row r="48" spans="1:25" s="1194" customFormat="1" ht="14.45" customHeight="1">
      <c r="A48" s="1262" t="s">
        <v>619</v>
      </c>
      <c r="B48" s="1262" t="s">
        <v>649</v>
      </c>
      <c r="C48" s="1262"/>
      <c r="D48" s="1262" t="s">
        <v>681</v>
      </c>
      <c r="E48" s="1262" t="s">
        <v>652</v>
      </c>
      <c r="F48" s="1262" t="s">
        <v>634</v>
      </c>
      <c r="G48" s="1241"/>
      <c r="H48" s="1241"/>
      <c r="I48" s="1241"/>
      <c r="J48" t="s">
        <v>682</v>
      </c>
      <c r="K48" s="1212" t="s">
        <v>498</v>
      </c>
      <c r="L48" s="1217">
        <v>0</v>
      </c>
      <c r="M48" s="1818">
        <f>L51</f>
        <v>0</v>
      </c>
      <c r="N48" s="1818">
        <f t="shared" ref="N48:X48" si="10">M51</f>
        <v>0</v>
      </c>
      <c r="O48" s="1818">
        <f t="shared" si="10"/>
        <v>0</v>
      </c>
      <c r="P48" s="1818">
        <f t="shared" si="10"/>
        <v>0</v>
      </c>
      <c r="Q48" s="1818">
        <f t="shared" si="10"/>
        <v>0</v>
      </c>
      <c r="R48" s="1818">
        <f t="shared" si="10"/>
        <v>0</v>
      </c>
      <c r="S48" s="1818">
        <f t="shared" si="10"/>
        <v>0</v>
      </c>
      <c r="T48" s="1818">
        <f t="shared" si="10"/>
        <v>0</v>
      </c>
      <c r="U48" s="1818">
        <f t="shared" si="10"/>
        <v>0</v>
      </c>
      <c r="V48" s="1818">
        <f t="shared" si="10"/>
        <v>0</v>
      </c>
      <c r="W48" s="1818">
        <f t="shared" si="10"/>
        <v>0</v>
      </c>
      <c r="X48" s="1818">
        <f t="shared" si="10"/>
        <v>0</v>
      </c>
      <c r="Y48" s="1249"/>
    </row>
    <row r="49" spans="1:25" s="1194" customFormat="1" ht="14.45" customHeight="1">
      <c r="A49" s="1262" t="s">
        <v>619</v>
      </c>
      <c r="B49" s="1262" t="s">
        <v>649</v>
      </c>
      <c r="C49" s="1262"/>
      <c r="D49" s="1262" t="s">
        <v>681</v>
      </c>
      <c r="E49" s="1262" t="s">
        <v>654</v>
      </c>
      <c r="F49" s="1262" t="s">
        <v>634</v>
      </c>
      <c r="G49" s="1241"/>
      <c r="H49" s="1241"/>
      <c r="I49" s="1241"/>
      <c r="J49" s="1819" t="s">
        <v>683</v>
      </c>
      <c r="K49" s="1212" t="s">
        <v>498</v>
      </c>
      <c r="L49" s="1231">
        <v>0</v>
      </c>
      <c r="M49" s="1231">
        <v>0</v>
      </c>
      <c r="N49" s="1231">
        <v>0</v>
      </c>
      <c r="O49" s="1231">
        <v>0</v>
      </c>
      <c r="P49" s="1231">
        <v>0</v>
      </c>
      <c r="Q49" s="1231">
        <v>0</v>
      </c>
      <c r="R49" s="1231">
        <v>0</v>
      </c>
      <c r="S49" s="1817"/>
      <c r="T49" s="1817"/>
      <c r="U49" s="1817"/>
      <c r="V49" s="1817"/>
      <c r="W49" s="1817"/>
      <c r="X49" s="1817"/>
      <c r="Y49" s="1249"/>
    </row>
    <row r="50" spans="1:25" s="1194" customFormat="1" ht="14.45" customHeight="1">
      <c r="A50" s="1262" t="s">
        <v>619</v>
      </c>
      <c r="B50" s="1262" t="s">
        <v>649</v>
      </c>
      <c r="C50" s="1262"/>
      <c r="D50" s="1262" t="s">
        <v>681</v>
      </c>
      <c r="E50" s="1262" t="s">
        <v>656</v>
      </c>
      <c r="F50" s="1262" t="s">
        <v>634</v>
      </c>
      <c r="G50" s="1241"/>
      <c r="H50" s="1241"/>
      <c r="I50" s="1241"/>
      <c r="J50" s="1819" t="s">
        <v>684</v>
      </c>
      <c r="K50" s="1215" t="s">
        <v>658</v>
      </c>
      <c r="L50" s="1231">
        <v>0</v>
      </c>
      <c r="M50" s="1231">
        <v>0</v>
      </c>
      <c r="N50" s="1231">
        <v>0</v>
      </c>
      <c r="O50" s="1231">
        <v>0</v>
      </c>
      <c r="P50" s="1231">
        <v>0</v>
      </c>
      <c r="Q50" s="1231">
        <v>0</v>
      </c>
      <c r="R50" s="1231">
        <v>0</v>
      </c>
      <c r="S50" s="1231">
        <v>0</v>
      </c>
      <c r="T50" s="1231">
        <v>0</v>
      </c>
      <c r="U50" s="1231">
        <v>0</v>
      </c>
      <c r="V50" s="1231">
        <v>0</v>
      </c>
      <c r="W50" s="1231">
        <v>0</v>
      </c>
      <c r="X50" s="1231">
        <v>0</v>
      </c>
      <c r="Y50" s="1249"/>
    </row>
    <row r="51" spans="1:25" s="1194" customFormat="1" ht="14.45" customHeight="1">
      <c r="A51" s="1262" t="s">
        <v>619</v>
      </c>
      <c r="B51" s="1262" t="s">
        <v>649</v>
      </c>
      <c r="C51" s="1262"/>
      <c r="D51" s="1262" t="s">
        <v>681</v>
      </c>
      <c r="E51" s="1262" t="s">
        <v>661</v>
      </c>
      <c r="F51" s="1262" t="s">
        <v>634</v>
      </c>
      <c r="G51" s="1241"/>
      <c r="H51" s="1241"/>
      <c r="I51" s="1241"/>
      <c r="J51" s="1819" t="s">
        <v>685</v>
      </c>
      <c r="K51" s="1212" t="s">
        <v>498</v>
      </c>
      <c r="L51" s="1818">
        <f>SUM(L48:L50)</f>
        <v>0</v>
      </c>
      <c r="M51" s="1818">
        <f t="shared" ref="M51:X51" si="11">SUM(M48:M50)</f>
        <v>0</v>
      </c>
      <c r="N51" s="1818">
        <f t="shared" si="11"/>
        <v>0</v>
      </c>
      <c r="O51" s="1818">
        <f t="shared" si="11"/>
        <v>0</v>
      </c>
      <c r="P51" s="1818">
        <f t="shared" si="11"/>
        <v>0</v>
      </c>
      <c r="Q51" s="1818">
        <f t="shared" si="11"/>
        <v>0</v>
      </c>
      <c r="R51" s="1818">
        <f t="shared" si="11"/>
        <v>0</v>
      </c>
      <c r="S51" s="1818">
        <f t="shared" si="11"/>
        <v>0</v>
      </c>
      <c r="T51" s="1818">
        <f t="shared" si="11"/>
        <v>0</v>
      </c>
      <c r="U51" s="1818">
        <f t="shared" si="11"/>
        <v>0</v>
      </c>
      <c r="V51" s="1818">
        <f t="shared" si="11"/>
        <v>0</v>
      </c>
      <c r="W51" s="1818">
        <f t="shared" si="11"/>
        <v>0</v>
      </c>
      <c r="X51" s="1818">
        <f t="shared" si="11"/>
        <v>0</v>
      </c>
      <c r="Y51" s="1249"/>
    </row>
    <row r="52" spans="1:25" s="1194" customFormat="1" ht="14.45" customHeight="1">
      <c r="A52" s="1262" t="s">
        <v>619</v>
      </c>
      <c r="B52" s="1262" t="s">
        <v>649</v>
      </c>
      <c r="C52" s="1262"/>
      <c r="D52" s="1262" t="s">
        <v>681</v>
      </c>
      <c r="E52" s="1262" t="s">
        <v>663</v>
      </c>
      <c r="F52" s="1262" t="s">
        <v>634</v>
      </c>
      <c r="G52" s="1241"/>
      <c r="H52" s="1241"/>
      <c r="I52" s="1241"/>
      <c r="J52" s="1215" t="s">
        <v>686</v>
      </c>
      <c r="K52" s="1212" t="s">
        <v>498</v>
      </c>
      <c r="L52" s="1231">
        <v>0</v>
      </c>
      <c r="M52" s="1231">
        <v>0</v>
      </c>
      <c r="N52" s="1231">
        <v>0</v>
      </c>
      <c r="O52" s="1231">
        <v>0</v>
      </c>
      <c r="P52" s="1231">
        <v>0</v>
      </c>
      <c r="Q52" s="1231">
        <v>0</v>
      </c>
      <c r="R52" s="1231">
        <v>0</v>
      </c>
      <c r="S52" s="1231">
        <v>0</v>
      </c>
      <c r="T52" s="1231">
        <v>0</v>
      </c>
      <c r="U52" s="1231">
        <v>0</v>
      </c>
      <c r="V52" s="1231">
        <v>0</v>
      </c>
      <c r="W52" s="1231">
        <v>0</v>
      </c>
      <c r="X52" s="1231">
        <v>0</v>
      </c>
      <c r="Y52" s="1277"/>
    </row>
    <row r="53" spans="1:25" s="1194" customFormat="1" ht="14.45" customHeight="1">
      <c r="A53" s="1262" t="s">
        <v>619</v>
      </c>
      <c r="B53" s="1262" t="s">
        <v>649</v>
      </c>
      <c r="C53" s="1262"/>
      <c r="D53" s="1262" t="s">
        <v>681</v>
      </c>
      <c r="E53" s="1262" t="s">
        <v>679</v>
      </c>
      <c r="F53" s="1262" t="s">
        <v>634</v>
      </c>
      <c r="G53" s="1241"/>
      <c r="H53" s="1241"/>
      <c r="I53" s="1241"/>
      <c r="J53" s="1215" t="s">
        <v>687</v>
      </c>
      <c r="K53" s="1269" t="s">
        <v>627</v>
      </c>
      <c r="L53" s="1217">
        <v>0</v>
      </c>
      <c r="M53" s="1217">
        <v>0</v>
      </c>
      <c r="N53" s="1217">
        <v>0</v>
      </c>
      <c r="O53" s="1217">
        <v>0</v>
      </c>
      <c r="P53" s="1217">
        <v>0</v>
      </c>
      <c r="Q53" s="1217">
        <v>0</v>
      </c>
      <c r="R53" s="1217">
        <v>0</v>
      </c>
      <c r="S53" s="1217">
        <v>0</v>
      </c>
      <c r="T53" s="1217">
        <v>0</v>
      </c>
      <c r="U53" s="1217">
        <v>0</v>
      </c>
      <c r="V53" s="1217">
        <v>0</v>
      </c>
      <c r="W53" s="1217">
        <v>0</v>
      </c>
      <c r="X53" s="1217">
        <v>0</v>
      </c>
      <c r="Y53" s="1249"/>
    </row>
    <row r="54" spans="1:25" s="1194" customFormat="1" ht="14.45" customHeight="1">
      <c r="A54" s="1262" t="s">
        <v>619</v>
      </c>
      <c r="B54" s="1262" t="s">
        <v>649</v>
      </c>
      <c r="C54" s="1262"/>
      <c r="D54" s="1262" t="s">
        <v>688</v>
      </c>
      <c r="E54" s="1262" t="s">
        <v>652</v>
      </c>
      <c r="F54" s="1262" t="s">
        <v>634</v>
      </c>
      <c r="G54" s="1241"/>
      <c r="H54" s="1241"/>
      <c r="I54" s="1241"/>
      <c r="J54" t="s">
        <v>689</v>
      </c>
      <c r="K54" s="1212" t="s">
        <v>498</v>
      </c>
      <c r="L54" s="1217">
        <v>0</v>
      </c>
      <c r="M54" s="1820">
        <f>L57</f>
        <v>0</v>
      </c>
      <c r="N54" s="1820">
        <f t="shared" ref="N54:X54" si="12">M57</f>
        <v>0</v>
      </c>
      <c r="O54" s="1820">
        <f t="shared" si="12"/>
        <v>0</v>
      </c>
      <c r="P54" s="1820">
        <f t="shared" si="12"/>
        <v>0</v>
      </c>
      <c r="Q54" s="1820">
        <f t="shared" si="12"/>
        <v>0</v>
      </c>
      <c r="R54" s="1820">
        <f t="shared" si="12"/>
        <v>0</v>
      </c>
      <c r="S54" s="1820">
        <f t="shared" si="12"/>
        <v>0</v>
      </c>
      <c r="T54" s="1820">
        <f t="shared" si="12"/>
        <v>0</v>
      </c>
      <c r="U54" s="1820">
        <f t="shared" si="12"/>
        <v>0</v>
      </c>
      <c r="V54" s="1820">
        <f t="shared" si="12"/>
        <v>0</v>
      </c>
      <c r="W54" s="1820">
        <f t="shared" si="12"/>
        <v>0</v>
      </c>
      <c r="X54" s="1820">
        <f t="shared" si="12"/>
        <v>0</v>
      </c>
      <c r="Y54" s="1249"/>
    </row>
    <row r="55" spans="1:25" s="1194" customFormat="1" ht="14.45" customHeight="1">
      <c r="A55" s="1262" t="s">
        <v>619</v>
      </c>
      <c r="B55" s="1262" t="s">
        <v>649</v>
      </c>
      <c r="C55" s="1262"/>
      <c r="D55" s="1262" t="s">
        <v>688</v>
      </c>
      <c r="E55" s="1262" t="s">
        <v>654</v>
      </c>
      <c r="F55" s="1262" t="s">
        <v>634</v>
      </c>
      <c r="G55" s="1241"/>
      <c r="H55" s="1241"/>
      <c r="I55" s="1241"/>
      <c r="J55" s="1819" t="s">
        <v>690</v>
      </c>
      <c r="K55" s="1212" t="s">
        <v>498</v>
      </c>
      <c r="L55" s="1231">
        <v>0</v>
      </c>
      <c r="M55" s="1231">
        <v>0</v>
      </c>
      <c r="N55" s="1231">
        <v>0</v>
      </c>
      <c r="O55" s="1231">
        <v>0</v>
      </c>
      <c r="P55" s="1231">
        <v>0</v>
      </c>
      <c r="Q55" s="1231">
        <v>0</v>
      </c>
      <c r="R55" s="1231">
        <v>0</v>
      </c>
      <c r="S55" s="1821"/>
      <c r="T55" s="1821"/>
      <c r="U55" s="1821"/>
      <c r="V55" s="1821"/>
      <c r="W55" s="1821"/>
      <c r="X55" s="1821"/>
      <c r="Y55" s="1249"/>
    </row>
    <row r="56" spans="1:25" s="1194" customFormat="1" ht="14.45" customHeight="1">
      <c r="A56" s="1262" t="s">
        <v>619</v>
      </c>
      <c r="B56" s="1262" t="s">
        <v>649</v>
      </c>
      <c r="C56" s="1262"/>
      <c r="D56" s="1262" t="s">
        <v>688</v>
      </c>
      <c r="E56" s="1262" t="s">
        <v>656</v>
      </c>
      <c r="F56" s="1262" t="s">
        <v>634</v>
      </c>
      <c r="G56" s="1241"/>
      <c r="H56" s="1241"/>
      <c r="I56" s="1241"/>
      <c r="J56" s="1819" t="s">
        <v>691</v>
      </c>
      <c r="K56" s="1215" t="s">
        <v>658</v>
      </c>
      <c r="L56" s="1231">
        <v>0</v>
      </c>
      <c r="M56" s="1231">
        <v>0</v>
      </c>
      <c r="N56" s="1231">
        <v>0</v>
      </c>
      <c r="O56" s="1231">
        <v>0</v>
      </c>
      <c r="P56" s="1231">
        <v>0</v>
      </c>
      <c r="Q56" s="1231">
        <v>0</v>
      </c>
      <c r="R56" s="1231">
        <v>0</v>
      </c>
      <c r="S56" s="1231">
        <v>0</v>
      </c>
      <c r="T56" s="1231">
        <v>0</v>
      </c>
      <c r="U56" s="1231">
        <v>0</v>
      </c>
      <c r="V56" s="1231">
        <v>0</v>
      </c>
      <c r="W56" s="1231">
        <v>0</v>
      </c>
      <c r="X56" s="1231">
        <v>0</v>
      </c>
      <c r="Y56" s="1249"/>
    </row>
    <row r="57" spans="1:25" s="1194" customFormat="1" ht="14.45" customHeight="1">
      <c r="A57" s="1262" t="s">
        <v>619</v>
      </c>
      <c r="B57" s="1262" t="s">
        <v>649</v>
      </c>
      <c r="C57" s="1262"/>
      <c r="D57" s="1262" t="s">
        <v>688</v>
      </c>
      <c r="E57" s="1262" t="s">
        <v>661</v>
      </c>
      <c r="F57" s="1262" t="s">
        <v>634</v>
      </c>
      <c r="G57" s="1241"/>
      <c r="H57" s="1241"/>
      <c r="I57" s="1241"/>
      <c r="J57" s="1819" t="s">
        <v>692</v>
      </c>
      <c r="K57" s="1212" t="s">
        <v>498</v>
      </c>
      <c r="L57" s="1818">
        <f>SUM(L54:L56)</f>
        <v>0</v>
      </c>
      <c r="M57" s="1818">
        <f t="shared" ref="M57:X57" si="13">SUM(M54:M56)</f>
        <v>0</v>
      </c>
      <c r="N57" s="1818">
        <f t="shared" si="13"/>
        <v>0</v>
      </c>
      <c r="O57" s="1818">
        <f t="shared" si="13"/>
        <v>0</v>
      </c>
      <c r="P57" s="1818">
        <f t="shared" si="13"/>
        <v>0</v>
      </c>
      <c r="Q57" s="1818">
        <f t="shared" si="13"/>
        <v>0</v>
      </c>
      <c r="R57" s="1818">
        <f t="shared" si="13"/>
        <v>0</v>
      </c>
      <c r="S57" s="1818">
        <f t="shared" si="13"/>
        <v>0</v>
      </c>
      <c r="T57" s="1818">
        <f t="shared" si="13"/>
        <v>0</v>
      </c>
      <c r="U57" s="1818">
        <f t="shared" si="13"/>
        <v>0</v>
      </c>
      <c r="V57" s="1818">
        <f t="shared" si="13"/>
        <v>0</v>
      </c>
      <c r="W57" s="1818">
        <f t="shared" si="13"/>
        <v>0</v>
      </c>
      <c r="X57" s="1818">
        <f t="shared" si="13"/>
        <v>0</v>
      </c>
      <c r="Y57" s="1249"/>
    </row>
    <row r="58" spans="1:25" s="1194" customFormat="1" ht="14.45" customHeight="1">
      <c r="A58" s="1262" t="s">
        <v>619</v>
      </c>
      <c r="B58" s="1262" t="s">
        <v>649</v>
      </c>
      <c r="C58" s="1262"/>
      <c r="D58" s="1262" t="s">
        <v>688</v>
      </c>
      <c r="E58" s="1262" t="s">
        <v>663</v>
      </c>
      <c r="F58" s="1262" t="s">
        <v>634</v>
      </c>
      <c r="G58" s="1241"/>
      <c r="H58" s="1241"/>
      <c r="I58" s="1241"/>
      <c r="J58" s="1215" t="s">
        <v>693</v>
      </c>
      <c r="K58" s="1212" t="s">
        <v>498</v>
      </c>
      <c r="L58" s="1231">
        <v>0</v>
      </c>
      <c r="M58" s="1231">
        <v>0</v>
      </c>
      <c r="N58" s="1231">
        <v>0</v>
      </c>
      <c r="O58" s="1231">
        <v>0</v>
      </c>
      <c r="P58" s="1231">
        <v>0</v>
      </c>
      <c r="Q58" s="1231">
        <v>0</v>
      </c>
      <c r="R58" s="1231">
        <v>0</v>
      </c>
      <c r="S58" s="1231">
        <v>0</v>
      </c>
      <c r="T58" s="1231">
        <v>0</v>
      </c>
      <c r="U58" s="1231">
        <v>0</v>
      </c>
      <c r="V58" s="1231">
        <v>0</v>
      </c>
      <c r="W58" s="1231">
        <v>0</v>
      </c>
      <c r="X58" s="1231">
        <v>0</v>
      </c>
      <c r="Y58" s="1277"/>
    </row>
    <row r="59" spans="1:25" s="1194" customFormat="1" ht="14.45" customHeight="1">
      <c r="A59" s="1262" t="s">
        <v>619</v>
      </c>
      <c r="B59" s="1262" t="s">
        <v>649</v>
      </c>
      <c r="C59" s="1262"/>
      <c r="D59" s="1262" t="s">
        <v>688</v>
      </c>
      <c r="E59" s="1262" t="s">
        <v>679</v>
      </c>
      <c r="F59" s="1262" t="s">
        <v>634</v>
      </c>
      <c r="G59" s="1241"/>
      <c r="H59" s="1241"/>
      <c r="I59" s="1241"/>
      <c r="J59" s="1215" t="s">
        <v>694</v>
      </c>
      <c r="K59" s="1269" t="s">
        <v>627</v>
      </c>
      <c r="L59" s="1217">
        <v>0</v>
      </c>
      <c r="M59" s="1217">
        <v>0</v>
      </c>
      <c r="N59" s="1217">
        <v>0</v>
      </c>
      <c r="O59" s="1217">
        <v>0</v>
      </c>
      <c r="P59" s="1217">
        <v>0</v>
      </c>
      <c r="Q59" s="1217">
        <v>0</v>
      </c>
      <c r="R59" s="1217">
        <v>0</v>
      </c>
      <c r="S59" s="1217">
        <v>0</v>
      </c>
      <c r="T59" s="1217">
        <v>0</v>
      </c>
      <c r="U59" s="1217">
        <v>0</v>
      </c>
      <c r="V59" s="1217">
        <v>0</v>
      </c>
      <c r="W59" s="1217">
        <v>0</v>
      </c>
      <c r="X59" s="1217">
        <v>0</v>
      </c>
      <c r="Y59" s="1249"/>
    </row>
    <row r="60" spans="1:25" s="1194" customFormat="1" ht="14.45" customHeight="1">
      <c r="A60" s="1262" t="s">
        <v>619</v>
      </c>
      <c r="B60" s="1262" t="s">
        <v>649</v>
      </c>
      <c r="C60" s="1262"/>
      <c r="D60" s="1262" t="s">
        <v>695</v>
      </c>
      <c r="E60" s="1262" t="s">
        <v>652</v>
      </c>
      <c r="F60" s="1262" t="s">
        <v>634</v>
      </c>
      <c r="G60" s="1241"/>
      <c r="H60" s="1241"/>
      <c r="I60" s="1241"/>
      <c r="J60" t="s">
        <v>696</v>
      </c>
      <c r="K60" s="1212" t="s">
        <v>498</v>
      </c>
      <c r="L60" s="1217">
        <v>0</v>
      </c>
      <c r="M60" s="1818">
        <f>L64</f>
        <v>0</v>
      </c>
      <c r="N60" s="1818">
        <f t="shared" ref="N60:X60" si="14">M64</f>
        <v>0</v>
      </c>
      <c r="O60" s="1818">
        <f t="shared" si="14"/>
        <v>0</v>
      </c>
      <c r="P60" s="1818">
        <f t="shared" si="14"/>
        <v>0</v>
      </c>
      <c r="Q60" s="1818">
        <f t="shared" si="14"/>
        <v>0</v>
      </c>
      <c r="R60" s="1818">
        <f t="shared" si="14"/>
        <v>0</v>
      </c>
      <c r="S60" s="1818">
        <f t="shared" si="14"/>
        <v>0</v>
      </c>
      <c r="T60" s="1818">
        <f t="shared" si="14"/>
        <v>0</v>
      </c>
      <c r="U60" s="1818">
        <f t="shared" si="14"/>
        <v>0</v>
      </c>
      <c r="V60" s="1818">
        <f t="shared" si="14"/>
        <v>0</v>
      </c>
      <c r="W60" s="1818">
        <f t="shared" si="14"/>
        <v>0</v>
      </c>
      <c r="X60" s="1818">
        <f t="shared" si="14"/>
        <v>0</v>
      </c>
      <c r="Y60" s="1249"/>
    </row>
    <row r="61" spans="1:25" s="1194" customFormat="1" ht="15" customHeight="1">
      <c r="A61" s="1262" t="s">
        <v>619</v>
      </c>
      <c r="B61" s="1262" t="s">
        <v>649</v>
      </c>
      <c r="C61" s="1262"/>
      <c r="D61" s="1262" t="s">
        <v>695</v>
      </c>
      <c r="E61" s="1262" t="s">
        <v>654</v>
      </c>
      <c r="F61" s="1262" t="s">
        <v>634</v>
      </c>
      <c r="G61" s="1241"/>
      <c r="H61" s="1241"/>
      <c r="I61" s="1241"/>
      <c r="J61" s="1819" t="s">
        <v>697</v>
      </c>
      <c r="K61" s="1212" t="s">
        <v>498</v>
      </c>
      <c r="L61" s="1217">
        <v>0</v>
      </c>
      <c r="M61" s="1217">
        <v>0</v>
      </c>
      <c r="N61" s="1217">
        <v>0</v>
      </c>
      <c r="O61" s="1217">
        <v>0</v>
      </c>
      <c r="P61" s="1217">
        <v>0</v>
      </c>
      <c r="Q61" s="1217">
        <v>0</v>
      </c>
      <c r="R61" s="1217">
        <v>0</v>
      </c>
      <c r="S61" s="1817"/>
      <c r="T61" s="1817"/>
      <c r="U61" s="1817"/>
      <c r="V61" s="1817"/>
      <c r="W61" s="1817"/>
      <c r="X61" s="1817"/>
      <c r="Y61" s="1249"/>
    </row>
    <row r="62" spans="1:25" s="1194" customFormat="1" ht="14.45" customHeight="1">
      <c r="A62" s="1262" t="s">
        <v>619</v>
      </c>
      <c r="B62" s="1262" t="s">
        <v>649</v>
      </c>
      <c r="C62" s="1262"/>
      <c r="D62" s="1262" t="s">
        <v>695</v>
      </c>
      <c r="E62" s="1262" t="s">
        <v>656</v>
      </c>
      <c r="F62" s="1262" t="s">
        <v>634</v>
      </c>
      <c r="G62" s="1241"/>
      <c r="H62" s="1241"/>
      <c r="I62" s="1241"/>
      <c r="J62" s="1819" t="s">
        <v>698</v>
      </c>
      <c r="K62" s="1212" t="s">
        <v>658</v>
      </c>
      <c r="L62" s="1217">
        <v>0</v>
      </c>
      <c r="M62" s="1217">
        <v>0</v>
      </c>
      <c r="N62" s="1217">
        <v>0</v>
      </c>
      <c r="O62" s="1217">
        <v>0</v>
      </c>
      <c r="P62" s="1217">
        <v>0</v>
      </c>
      <c r="Q62" s="1217">
        <v>0</v>
      </c>
      <c r="R62" s="1217">
        <v>0</v>
      </c>
      <c r="S62" s="1217">
        <v>0</v>
      </c>
      <c r="T62" s="1217">
        <v>0</v>
      </c>
      <c r="U62" s="1217">
        <v>0</v>
      </c>
      <c r="V62" s="1217">
        <v>0</v>
      </c>
      <c r="W62" s="1217">
        <v>0</v>
      </c>
      <c r="X62" s="1217">
        <v>0</v>
      </c>
      <c r="Y62" s="1249"/>
    </row>
    <row r="63" spans="1:25" s="1194" customFormat="1" ht="14.45" customHeight="1">
      <c r="A63" s="1262" t="s">
        <v>619</v>
      </c>
      <c r="B63" s="1262" t="s">
        <v>649</v>
      </c>
      <c r="C63" s="1262"/>
      <c r="D63" s="1262" t="s">
        <v>695</v>
      </c>
      <c r="E63" s="1262" t="s">
        <v>699</v>
      </c>
      <c r="F63" s="1262" t="s">
        <v>634</v>
      </c>
      <c r="G63" s="1241"/>
      <c r="H63" s="1241"/>
      <c r="I63" s="1241"/>
      <c r="J63" s="1215" t="s">
        <v>700</v>
      </c>
      <c r="K63" s="1212" t="s">
        <v>498</v>
      </c>
      <c r="L63" s="1217">
        <v>0</v>
      </c>
      <c r="M63" s="1217">
        <v>0</v>
      </c>
      <c r="N63" s="1217">
        <v>0</v>
      </c>
      <c r="O63" s="1217">
        <v>0</v>
      </c>
      <c r="P63" s="1217">
        <v>0</v>
      </c>
      <c r="Q63" s="1217">
        <v>0</v>
      </c>
      <c r="R63" s="1217">
        <v>0</v>
      </c>
      <c r="S63" s="1217">
        <v>0</v>
      </c>
      <c r="T63" s="1217">
        <v>0</v>
      </c>
      <c r="U63" s="1217">
        <v>0</v>
      </c>
      <c r="V63" s="1217">
        <v>0</v>
      </c>
      <c r="W63" s="1217">
        <v>0</v>
      </c>
      <c r="X63" s="1217">
        <v>0</v>
      </c>
      <c r="Y63" s="1252"/>
    </row>
    <row r="64" spans="1:25" s="1194" customFormat="1" ht="14.45" customHeight="1">
      <c r="A64" s="1262" t="s">
        <v>619</v>
      </c>
      <c r="B64" s="1262" t="s">
        <v>649</v>
      </c>
      <c r="C64" s="1262"/>
      <c r="D64" s="1262" t="s">
        <v>695</v>
      </c>
      <c r="E64" s="1262" t="s">
        <v>661</v>
      </c>
      <c r="F64" s="1262" t="s">
        <v>634</v>
      </c>
      <c r="G64" s="1241"/>
      <c r="H64" s="1241"/>
      <c r="I64" s="1241"/>
      <c r="J64" s="1819" t="s">
        <v>701</v>
      </c>
      <c r="K64" s="1212" t="s">
        <v>498</v>
      </c>
      <c r="L64" s="1818">
        <f>SUM(L60:L63)</f>
        <v>0</v>
      </c>
      <c r="M64" s="1818">
        <f t="shared" ref="M64:X64" si="15">SUM(M60:M63)</f>
        <v>0</v>
      </c>
      <c r="N64" s="1818">
        <f t="shared" si="15"/>
        <v>0</v>
      </c>
      <c r="O64" s="1818">
        <f t="shared" si="15"/>
        <v>0</v>
      </c>
      <c r="P64" s="1818">
        <f t="shared" si="15"/>
        <v>0</v>
      </c>
      <c r="Q64" s="1818">
        <f t="shared" si="15"/>
        <v>0</v>
      </c>
      <c r="R64" s="1818">
        <f t="shared" si="15"/>
        <v>0</v>
      </c>
      <c r="S64" s="1818">
        <f t="shared" si="15"/>
        <v>0</v>
      </c>
      <c r="T64" s="1818">
        <f t="shared" si="15"/>
        <v>0</v>
      </c>
      <c r="U64" s="1818">
        <f t="shared" si="15"/>
        <v>0</v>
      </c>
      <c r="V64" s="1818">
        <f t="shared" si="15"/>
        <v>0</v>
      </c>
      <c r="W64" s="1818">
        <f t="shared" si="15"/>
        <v>0</v>
      </c>
      <c r="X64" s="1818">
        <f t="shared" si="15"/>
        <v>0</v>
      </c>
      <c r="Y64" s="1249"/>
    </row>
    <row r="65" spans="1:25" s="1194" customFormat="1" ht="14.45" customHeight="1">
      <c r="A65" s="1262" t="s">
        <v>619</v>
      </c>
      <c r="B65" s="1262" t="s">
        <v>649</v>
      </c>
      <c r="C65" s="1262"/>
      <c r="D65" s="1262" t="s">
        <v>695</v>
      </c>
      <c r="E65" s="1262" t="s">
        <v>663</v>
      </c>
      <c r="F65" s="1262" t="s">
        <v>634</v>
      </c>
      <c r="G65" s="1241"/>
      <c r="H65" s="1241"/>
      <c r="I65" s="1241"/>
      <c r="J65" s="1215" t="s">
        <v>702</v>
      </c>
      <c r="K65" s="1212" t="s">
        <v>498</v>
      </c>
      <c r="L65" s="1231">
        <v>0</v>
      </c>
      <c r="M65" s="1231">
        <v>0</v>
      </c>
      <c r="N65" s="1231">
        <v>0</v>
      </c>
      <c r="O65" s="1231">
        <v>0</v>
      </c>
      <c r="P65" s="1231">
        <v>0</v>
      </c>
      <c r="Q65" s="1231">
        <v>0</v>
      </c>
      <c r="R65" s="1231">
        <v>0</v>
      </c>
      <c r="S65" s="1231">
        <v>0</v>
      </c>
      <c r="T65" s="1231">
        <v>0</v>
      </c>
      <c r="U65" s="1231">
        <v>0</v>
      </c>
      <c r="V65" s="1231">
        <v>0</v>
      </c>
      <c r="W65" s="1231">
        <v>0</v>
      </c>
      <c r="X65" s="1231">
        <v>0</v>
      </c>
      <c r="Y65" s="1277"/>
    </row>
    <row r="66" spans="1:25" s="1194" customFormat="1" ht="14.45" customHeight="1">
      <c r="A66" s="1262" t="s">
        <v>619</v>
      </c>
      <c r="B66" s="1262" t="s">
        <v>649</v>
      </c>
      <c r="C66" s="1262"/>
      <c r="D66" s="1262" t="s">
        <v>695</v>
      </c>
      <c r="E66" s="1262" t="s">
        <v>703</v>
      </c>
      <c r="F66" s="1262" t="s">
        <v>637</v>
      </c>
      <c r="G66" s="1241"/>
      <c r="H66" s="1241"/>
      <c r="I66" s="1241"/>
      <c r="J66" s="1215" t="s">
        <v>704</v>
      </c>
      <c r="K66" s="1269" t="s">
        <v>627</v>
      </c>
      <c r="L66" s="1217">
        <v>0</v>
      </c>
      <c r="M66" s="1217">
        <v>0</v>
      </c>
      <c r="N66" s="1217">
        <v>0</v>
      </c>
      <c r="O66" s="1217">
        <v>0</v>
      </c>
      <c r="P66" s="1217">
        <v>0</v>
      </c>
      <c r="Q66" s="1217">
        <v>0</v>
      </c>
      <c r="R66" s="1217">
        <v>0</v>
      </c>
      <c r="S66" s="1217">
        <v>0</v>
      </c>
      <c r="T66" s="1217">
        <v>0</v>
      </c>
      <c r="U66" s="1217">
        <v>0</v>
      </c>
      <c r="V66" s="1217">
        <v>0</v>
      </c>
      <c r="W66" s="1217">
        <v>0</v>
      </c>
      <c r="X66" s="1217">
        <v>0</v>
      </c>
      <c r="Y66" s="1249"/>
    </row>
    <row r="67" spans="1:25" s="1194" customFormat="1" ht="14.45" customHeight="1">
      <c r="A67" s="1262" t="s">
        <v>619</v>
      </c>
      <c r="B67" s="1262" t="s">
        <v>649</v>
      </c>
      <c r="C67" s="1262"/>
      <c r="D67" s="1262" t="s">
        <v>705</v>
      </c>
      <c r="E67" s="1262" t="s">
        <v>652</v>
      </c>
      <c r="F67" s="1262" t="s">
        <v>634</v>
      </c>
      <c r="G67" s="1241"/>
      <c r="H67" s="1241"/>
      <c r="I67" s="1241"/>
      <c r="J67" t="s">
        <v>706</v>
      </c>
      <c r="K67" s="1212" t="s">
        <v>498</v>
      </c>
      <c r="L67" s="1231">
        <v>0</v>
      </c>
      <c r="M67" s="1818">
        <f>L72</f>
        <v>0</v>
      </c>
      <c r="N67" s="1818">
        <f t="shared" ref="N67:X67" si="16">M72</f>
        <v>0</v>
      </c>
      <c r="O67" s="1818">
        <f t="shared" si="16"/>
        <v>0</v>
      </c>
      <c r="P67" s="1818">
        <f t="shared" si="16"/>
        <v>0</v>
      </c>
      <c r="Q67" s="1818">
        <f t="shared" si="16"/>
        <v>0</v>
      </c>
      <c r="R67" s="1818">
        <f t="shared" si="16"/>
        <v>0</v>
      </c>
      <c r="S67" s="1818">
        <f t="shared" si="16"/>
        <v>0</v>
      </c>
      <c r="T67" s="1818">
        <f t="shared" si="16"/>
        <v>0</v>
      </c>
      <c r="U67" s="1818">
        <f t="shared" si="16"/>
        <v>0</v>
      </c>
      <c r="V67" s="1818">
        <f t="shared" si="16"/>
        <v>0</v>
      </c>
      <c r="W67" s="1818">
        <f t="shared" si="16"/>
        <v>0</v>
      </c>
      <c r="X67" s="1818">
        <f t="shared" si="16"/>
        <v>0</v>
      </c>
      <c r="Y67" s="1249"/>
    </row>
    <row r="68" spans="1:25" s="1194" customFormat="1" ht="14.45" customHeight="1">
      <c r="A68" s="1262" t="s">
        <v>619</v>
      </c>
      <c r="B68" s="1262" t="s">
        <v>649</v>
      </c>
      <c r="C68" s="1262"/>
      <c r="D68" s="1262" t="s">
        <v>705</v>
      </c>
      <c r="E68" s="1262" t="s">
        <v>654</v>
      </c>
      <c r="F68" s="1262" t="s">
        <v>634</v>
      </c>
      <c r="G68" s="1241"/>
      <c r="H68" s="1241"/>
      <c r="I68" s="1241"/>
      <c r="J68" s="1819" t="s">
        <v>707</v>
      </c>
      <c r="K68" s="1212" t="s">
        <v>498</v>
      </c>
      <c r="L68" s="1231">
        <v>0</v>
      </c>
      <c r="M68" s="1231">
        <v>0</v>
      </c>
      <c r="N68" s="1231">
        <v>0</v>
      </c>
      <c r="O68" s="1231">
        <v>0</v>
      </c>
      <c r="P68" s="1231">
        <v>0</v>
      </c>
      <c r="Q68" s="1231">
        <v>0</v>
      </c>
      <c r="R68" s="1231">
        <v>0</v>
      </c>
      <c r="S68" s="1817"/>
      <c r="T68" s="1817"/>
      <c r="U68" s="1817"/>
      <c r="V68" s="1817"/>
      <c r="W68" s="1817"/>
      <c r="X68" s="1817"/>
      <c r="Y68" s="1249"/>
    </row>
    <row r="69" spans="1:25" s="1194" customFormat="1" ht="14.45" customHeight="1">
      <c r="A69" s="1262" t="s">
        <v>619</v>
      </c>
      <c r="B69" s="1262" t="s">
        <v>649</v>
      </c>
      <c r="C69" s="1262"/>
      <c r="D69" s="1262" t="s">
        <v>705</v>
      </c>
      <c r="E69" s="1262" t="s">
        <v>656</v>
      </c>
      <c r="F69" s="1262" t="s">
        <v>634</v>
      </c>
      <c r="G69" s="1241"/>
      <c r="H69" s="1241"/>
      <c r="I69" s="1241"/>
      <c r="J69" s="1819" t="s">
        <v>708</v>
      </c>
      <c r="K69" s="1212" t="s">
        <v>658</v>
      </c>
      <c r="L69" s="1231">
        <v>0</v>
      </c>
      <c r="M69" s="1231">
        <v>0</v>
      </c>
      <c r="N69" s="1231">
        <v>0</v>
      </c>
      <c r="O69" s="1231">
        <v>0</v>
      </c>
      <c r="P69" s="1231">
        <v>0</v>
      </c>
      <c r="Q69" s="1231">
        <v>0</v>
      </c>
      <c r="R69" s="1231">
        <v>0</v>
      </c>
      <c r="S69" s="1231">
        <v>0</v>
      </c>
      <c r="T69" s="1231">
        <v>0</v>
      </c>
      <c r="U69" s="1231">
        <v>0</v>
      </c>
      <c r="V69" s="1231">
        <v>0</v>
      </c>
      <c r="W69" s="1231">
        <v>0</v>
      </c>
      <c r="X69" s="1231">
        <v>0</v>
      </c>
      <c r="Y69" s="1249"/>
    </row>
    <row r="70" spans="1:25" s="1194" customFormat="1" ht="14.45" customHeight="1">
      <c r="A70" s="1262" t="s">
        <v>619</v>
      </c>
      <c r="B70" s="1262" t="s">
        <v>649</v>
      </c>
      <c r="C70" s="1262"/>
      <c r="D70" s="1262" t="s">
        <v>705</v>
      </c>
      <c r="E70" s="1262" t="s">
        <v>699</v>
      </c>
      <c r="F70" s="1262" t="s">
        <v>634</v>
      </c>
      <c r="G70" s="1241"/>
      <c r="H70" s="1241"/>
      <c r="I70" s="1241"/>
      <c r="J70" s="1215" t="s">
        <v>709</v>
      </c>
      <c r="K70" s="1212" t="s">
        <v>498</v>
      </c>
      <c r="L70" s="1231">
        <v>0</v>
      </c>
      <c r="M70" s="1231">
        <v>0</v>
      </c>
      <c r="N70" s="1231">
        <v>0</v>
      </c>
      <c r="O70" s="1231">
        <v>0</v>
      </c>
      <c r="P70" s="1231">
        <v>0</v>
      </c>
      <c r="Q70" s="1231">
        <v>0</v>
      </c>
      <c r="R70" s="1231">
        <v>0</v>
      </c>
      <c r="S70" s="1231">
        <v>0</v>
      </c>
      <c r="T70" s="1231">
        <v>0</v>
      </c>
      <c r="U70" s="1231">
        <v>0</v>
      </c>
      <c r="V70" s="1231">
        <v>0</v>
      </c>
      <c r="W70" s="1231">
        <v>0</v>
      </c>
      <c r="X70" s="1231">
        <v>0</v>
      </c>
      <c r="Y70" s="1252"/>
    </row>
    <row r="71" spans="1:25" s="1194" customFormat="1" ht="14.45" customHeight="1">
      <c r="A71" s="1262" t="s">
        <v>619</v>
      </c>
      <c r="B71" s="1262" t="s">
        <v>649</v>
      </c>
      <c r="C71" s="1262"/>
      <c r="D71" s="1262" t="s">
        <v>705</v>
      </c>
      <c r="E71" s="1262" t="s">
        <v>661</v>
      </c>
      <c r="F71" s="1262" t="s">
        <v>634</v>
      </c>
      <c r="G71" s="1241"/>
      <c r="H71" s="1241"/>
      <c r="I71" s="1241"/>
      <c r="J71" s="1819" t="s">
        <v>710</v>
      </c>
      <c r="K71" s="1212" t="s">
        <v>498</v>
      </c>
      <c r="L71" s="1818">
        <f>SUM(L67:L70)</f>
        <v>0</v>
      </c>
      <c r="M71" s="1818">
        <f t="shared" ref="M71:X71" si="17">SUM(M67:M70)</f>
        <v>0</v>
      </c>
      <c r="N71" s="1818">
        <f t="shared" si="17"/>
        <v>0</v>
      </c>
      <c r="O71" s="1818">
        <f t="shared" si="17"/>
        <v>0</v>
      </c>
      <c r="P71" s="1818">
        <f t="shared" si="17"/>
        <v>0</v>
      </c>
      <c r="Q71" s="1818">
        <f t="shared" si="17"/>
        <v>0</v>
      </c>
      <c r="R71" s="1818">
        <f t="shared" si="17"/>
        <v>0</v>
      </c>
      <c r="S71" s="1818">
        <f t="shared" si="17"/>
        <v>0</v>
      </c>
      <c r="T71" s="1818">
        <f t="shared" si="17"/>
        <v>0</v>
      </c>
      <c r="U71" s="1818">
        <f t="shared" si="17"/>
        <v>0</v>
      </c>
      <c r="V71" s="1818">
        <f t="shared" si="17"/>
        <v>0</v>
      </c>
      <c r="W71" s="1818">
        <f t="shared" si="17"/>
        <v>0</v>
      </c>
      <c r="X71" s="1818">
        <f t="shared" si="17"/>
        <v>0</v>
      </c>
      <c r="Y71" s="1249"/>
    </row>
    <row r="72" spans="1:25" s="1194" customFormat="1" ht="14.45" customHeight="1">
      <c r="A72" s="1262" t="s">
        <v>619</v>
      </c>
      <c r="B72" s="1262" t="s">
        <v>649</v>
      </c>
      <c r="C72" s="1262"/>
      <c r="D72" s="1262" t="s">
        <v>705</v>
      </c>
      <c r="E72" s="1262" t="s">
        <v>663</v>
      </c>
      <c r="F72" s="1262" t="s">
        <v>634</v>
      </c>
      <c r="G72" s="1241"/>
      <c r="H72" s="1241"/>
      <c r="I72" s="1241"/>
      <c r="J72" s="1215" t="s">
        <v>711</v>
      </c>
      <c r="K72" s="1212" t="s">
        <v>498</v>
      </c>
      <c r="L72" s="1231">
        <v>0</v>
      </c>
      <c r="M72" s="1231">
        <v>0</v>
      </c>
      <c r="N72" s="1231">
        <v>0</v>
      </c>
      <c r="O72" s="1231">
        <v>0</v>
      </c>
      <c r="P72" s="1231">
        <v>0</v>
      </c>
      <c r="Q72" s="1231">
        <v>0</v>
      </c>
      <c r="R72" s="1231">
        <v>0</v>
      </c>
      <c r="S72" s="1231">
        <v>0</v>
      </c>
      <c r="T72" s="1231">
        <v>0</v>
      </c>
      <c r="U72" s="1231">
        <v>0</v>
      </c>
      <c r="V72" s="1231">
        <v>0</v>
      </c>
      <c r="W72" s="1231">
        <v>0</v>
      </c>
      <c r="X72" s="1231">
        <v>0</v>
      </c>
      <c r="Y72" s="1277"/>
    </row>
    <row r="73" spans="1:25" s="1194" customFormat="1" ht="14.45" customHeight="1">
      <c r="A73" s="1262" t="s">
        <v>619</v>
      </c>
      <c r="B73" s="1262" t="s">
        <v>649</v>
      </c>
      <c r="C73" s="1262"/>
      <c r="D73" s="1262" t="s">
        <v>705</v>
      </c>
      <c r="E73" s="1262" t="s">
        <v>703</v>
      </c>
      <c r="F73" s="1262" t="s">
        <v>637</v>
      </c>
      <c r="G73" s="1241"/>
      <c r="H73" s="1241"/>
      <c r="I73" s="1241"/>
      <c r="J73" s="1215" t="s">
        <v>712</v>
      </c>
      <c r="K73" s="1269" t="s">
        <v>627</v>
      </c>
      <c r="L73" s="1217">
        <v>0</v>
      </c>
      <c r="M73" s="1217">
        <v>0</v>
      </c>
      <c r="N73" s="1217">
        <v>0</v>
      </c>
      <c r="O73" s="1217">
        <v>0</v>
      </c>
      <c r="P73" s="1217">
        <v>0</v>
      </c>
      <c r="Q73" s="1217">
        <v>0</v>
      </c>
      <c r="R73" s="1217">
        <v>0</v>
      </c>
      <c r="S73" s="1217">
        <v>0</v>
      </c>
      <c r="T73" s="1217">
        <v>0</v>
      </c>
      <c r="U73" s="1217">
        <v>0</v>
      </c>
      <c r="V73" s="1217">
        <v>0</v>
      </c>
      <c r="W73" s="1217">
        <v>0</v>
      </c>
      <c r="X73" s="1217">
        <v>0</v>
      </c>
      <c r="Y73" s="1249"/>
    </row>
    <row r="74" spans="1:25" ht="14.45" customHeight="1">
      <c r="A74" s="1262" t="s">
        <v>619</v>
      </c>
      <c r="B74" s="1262" t="s">
        <v>649</v>
      </c>
      <c r="C74" s="1262" t="s">
        <v>367</v>
      </c>
      <c r="D74" s="1262"/>
      <c r="E74" s="1262"/>
      <c r="F74" s="1262"/>
    </row>
    <row r="75" spans="1:25" s="1241" customFormat="1" ht="14.45" customHeight="1">
      <c r="A75" s="1262" t="s">
        <v>619</v>
      </c>
      <c r="B75" s="1262" t="s">
        <v>649</v>
      </c>
      <c r="C75" s="1262" t="s">
        <v>367</v>
      </c>
      <c r="D75" s="1262"/>
      <c r="E75" s="1262"/>
      <c r="F75" s="1262"/>
      <c r="L75" s="1280"/>
      <c r="M75" s="1280"/>
      <c r="N75" s="1280"/>
      <c r="O75" s="1280"/>
      <c r="P75" s="1280"/>
      <c r="Q75" s="1281"/>
      <c r="R75" s="1281"/>
      <c r="S75" s="1281"/>
      <c r="T75" s="1282"/>
      <c r="U75" s="1282"/>
      <c r="V75" s="1282"/>
      <c r="W75" s="1282"/>
      <c r="X75" s="1282"/>
      <c r="Y75" s="1283"/>
    </row>
    <row r="76" spans="1:25" s="1241" customFormat="1" ht="14.45" customHeight="1">
      <c r="A76" s="1262" t="s">
        <v>619</v>
      </c>
      <c r="B76" s="1262" t="s">
        <v>649</v>
      </c>
      <c r="C76" s="1262"/>
      <c r="D76" s="1262" t="s">
        <v>713</v>
      </c>
      <c r="E76" s="1262" t="s">
        <v>714</v>
      </c>
      <c r="F76" s="1262"/>
      <c r="J76" s="1819" t="s">
        <v>715</v>
      </c>
      <c r="L76" s="1276" t="str">
        <f t="shared" ref="L76:X76" si="18">IF((L40+L46+L52+L58+L65+L63+L72+L70)=(L34+L32),"OK","ERROR")</f>
        <v>OK</v>
      </c>
      <c r="M76" s="1276" t="str">
        <f t="shared" si="18"/>
        <v>OK</v>
      </c>
      <c r="N76" s="1276" t="str">
        <f t="shared" si="18"/>
        <v>OK</v>
      </c>
      <c r="O76" s="1276" t="str">
        <f t="shared" si="18"/>
        <v>OK</v>
      </c>
      <c r="P76" s="1276" t="str">
        <f t="shared" si="18"/>
        <v>OK</v>
      </c>
      <c r="Q76" s="1276" t="str">
        <f t="shared" si="18"/>
        <v>OK</v>
      </c>
      <c r="R76" s="1276" t="str">
        <f t="shared" si="18"/>
        <v>OK</v>
      </c>
      <c r="S76" s="1276" t="str">
        <f t="shared" si="18"/>
        <v>OK</v>
      </c>
      <c r="T76" s="1276" t="str">
        <f t="shared" si="18"/>
        <v>OK</v>
      </c>
      <c r="U76" s="1276" t="str">
        <f t="shared" si="18"/>
        <v>OK</v>
      </c>
      <c r="V76" s="1276" t="str">
        <f t="shared" si="18"/>
        <v>OK</v>
      </c>
      <c r="W76" s="1276" t="str">
        <f t="shared" si="18"/>
        <v>OK</v>
      </c>
      <c r="X76" s="1276" t="str">
        <f t="shared" si="18"/>
        <v>OK</v>
      </c>
      <c r="Y76" s="1283"/>
    </row>
    <row r="77" spans="1:25" s="1241" customFormat="1" ht="14.45" customHeight="1">
      <c r="A77" s="1262" t="s">
        <v>619</v>
      </c>
      <c r="B77" s="1262" t="s">
        <v>649</v>
      </c>
      <c r="C77" s="1262" t="s">
        <v>367</v>
      </c>
      <c r="D77" s="1262"/>
      <c r="E77" s="1262"/>
      <c r="F77" s="1262"/>
      <c r="L77" s="1280"/>
      <c r="M77" s="1280"/>
      <c r="N77" s="1280"/>
      <c r="O77" s="1280"/>
      <c r="P77" s="1280"/>
      <c r="Q77" s="1281"/>
      <c r="R77" s="1281"/>
      <c r="S77" s="1281"/>
      <c r="T77" s="1282"/>
      <c r="U77" s="1282"/>
      <c r="V77" s="1282"/>
      <c r="W77" s="1282"/>
      <c r="X77" s="1282"/>
      <c r="Y77" s="1283"/>
    </row>
    <row r="78" spans="1:25" s="1194" customFormat="1" ht="14.45" customHeight="1">
      <c r="A78" s="1262" t="s">
        <v>619</v>
      </c>
      <c r="B78" s="1262" t="s">
        <v>649</v>
      </c>
      <c r="C78" s="1262"/>
      <c r="D78" s="1262" t="s">
        <v>716</v>
      </c>
      <c r="E78" s="1262" t="s">
        <v>717</v>
      </c>
      <c r="F78" s="1262"/>
      <c r="G78" s="1241"/>
      <c r="H78" s="1241"/>
      <c r="I78" s="1241"/>
      <c r="J78" s="1215" t="s">
        <v>718</v>
      </c>
      <c r="K78" s="1269" t="s">
        <v>627</v>
      </c>
      <c r="L78" s="1290">
        <f t="shared" ref="L78:X78" si="19">IF(L40=0,0,L40/L$34)</f>
        <v>0.79191338027683966</v>
      </c>
      <c r="M78" s="1290">
        <f t="shared" si="19"/>
        <v>0.78546281789696137</v>
      </c>
      <c r="N78" s="1290">
        <f t="shared" si="19"/>
        <v>0.7678861801917829</v>
      </c>
      <c r="O78" s="1290">
        <f t="shared" si="19"/>
        <v>0.74585592916338839</v>
      </c>
      <c r="P78" s="1290">
        <f t="shared" si="19"/>
        <v>0.7012865065255306</v>
      </c>
      <c r="Q78" s="1290">
        <f t="shared" si="19"/>
        <v>0.69935068210778351</v>
      </c>
      <c r="R78" s="1290">
        <f t="shared" si="19"/>
        <v>0.73512748265596728</v>
      </c>
      <c r="S78" s="1290">
        <f t="shared" si="19"/>
        <v>0.73038146842947038</v>
      </c>
      <c r="T78" s="1290">
        <f t="shared" si="19"/>
        <v>0.7313230482851516</v>
      </c>
      <c r="U78" s="1290">
        <f t="shared" si="19"/>
        <v>0.7346529933501087</v>
      </c>
      <c r="V78" s="1290">
        <f t="shared" si="19"/>
        <v>0.7464500396359437</v>
      </c>
      <c r="W78" s="1290">
        <f t="shared" si="19"/>
        <v>0.84198820819413212</v>
      </c>
      <c r="X78" s="1290">
        <f t="shared" si="19"/>
        <v>0.85783888367578631</v>
      </c>
      <c r="Y78" s="1249"/>
    </row>
    <row r="79" spans="1:25" s="1194" customFormat="1" ht="14.45" customHeight="1">
      <c r="A79" s="1262" t="s">
        <v>619</v>
      </c>
      <c r="B79" s="1262" t="s">
        <v>649</v>
      </c>
      <c r="C79" s="1262"/>
      <c r="D79" s="1262" t="s">
        <v>716</v>
      </c>
      <c r="E79" s="1262" t="s">
        <v>719</v>
      </c>
      <c r="F79" s="1262"/>
      <c r="G79" s="1241"/>
      <c r="H79" s="1241"/>
      <c r="I79" s="1241"/>
      <c r="J79" s="1215" t="s">
        <v>720</v>
      </c>
      <c r="K79" s="1269" t="s">
        <v>627</v>
      </c>
      <c r="L79" s="1290">
        <f t="shared" ref="L79:X79" si="20">IF(L46=0,0,L46/L$34)</f>
        <v>0.20808661972316037</v>
      </c>
      <c r="M79" s="1290">
        <f t="shared" si="20"/>
        <v>0.21453718210303871</v>
      </c>
      <c r="N79" s="1290">
        <f t="shared" si="20"/>
        <v>0.23211381980821713</v>
      </c>
      <c r="O79" s="1290">
        <f t="shared" si="20"/>
        <v>0.25414407083661156</v>
      </c>
      <c r="P79" s="1290">
        <f t="shared" si="20"/>
        <v>0.29871349347446935</v>
      </c>
      <c r="Q79" s="1290">
        <f t="shared" si="20"/>
        <v>0.30064931789221649</v>
      </c>
      <c r="R79" s="1290">
        <f t="shared" si="20"/>
        <v>0.26487251734403278</v>
      </c>
      <c r="S79" s="1290">
        <f t="shared" si="20"/>
        <v>0.26961853157052962</v>
      </c>
      <c r="T79" s="1290">
        <f t="shared" si="20"/>
        <v>0.26867695171484846</v>
      </c>
      <c r="U79" s="1290">
        <f t="shared" si="20"/>
        <v>0.26534700664989136</v>
      </c>
      <c r="V79" s="1290">
        <f t="shared" si="20"/>
        <v>0.25354996036405636</v>
      </c>
      <c r="W79" s="1290">
        <f t="shared" si="20"/>
        <v>0.15801179180586788</v>
      </c>
      <c r="X79" s="1290">
        <f t="shared" si="20"/>
        <v>0.14216111632421366</v>
      </c>
      <c r="Y79" s="1249"/>
    </row>
    <row r="80" spans="1:25" s="1194" customFormat="1" ht="14.45" customHeight="1">
      <c r="A80" s="1262" t="s">
        <v>619</v>
      </c>
      <c r="B80" s="1262" t="s">
        <v>649</v>
      </c>
      <c r="C80" s="1262"/>
      <c r="D80" s="1262" t="s">
        <v>716</v>
      </c>
      <c r="E80" s="1262" t="s">
        <v>721</v>
      </c>
      <c r="F80" s="1262"/>
      <c r="G80" s="1241"/>
      <c r="H80" s="1241"/>
      <c r="I80" s="1241"/>
      <c r="J80" s="1215" t="s">
        <v>722</v>
      </c>
      <c r="K80" s="1269" t="s">
        <v>627</v>
      </c>
      <c r="L80" s="1290">
        <f t="shared" ref="L80:X80" si="21">IF(L52=0,0,L52/L$34)</f>
        <v>0</v>
      </c>
      <c r="M80" s="1290">
        <f t="shared" si="21"/>
        <v>0</v>
      </c>
      <c r="N80" s="1290">
        <f t="shared" si="21"/>
        <v>0</v>
      </c>
      <c r="O80" s="1290">
        <f t="shared" si="21"/>
        <v>0</v>
      </c>
      <c r="P80" s="1290">
        <f t="shared" si="21"/>
        <v>0</v>
      </c>
      <c r="Q80" s="1290">
        <f t="shared" si="21"/>
        <v>0</v>
      </c>
      <c r="R80" s="1290">
        <f t="shared" si="21"/>
        <v>0</v>
      </c>
      <c r="S80" s="1290">
        <f t="shared" si="21"/>
        <v>0</v>
      </c>
      <c r="T80" s="1290">
        <f t="shared" si="21"/>
        <v>0</v>
      </c>
      <c r="U80" s="1290">
        <f t="shared" si="21"/>
        <v>0</v>
      </c>
      <c r="V80" s="1290">
        <f t="shared" si="21"/>
        <v>0</v>
      </c>
      <c r="W80" s="1290">
        <f t="shared" si="21"/>
        <v>0</v>
      </c>
      <c r="X80" s="1290">
        <f t="shared" si="21"/>
        <v>0</v>
      </c>
      <c r="Y80" s="1249"/>
    </row>
    <row r="81" spans="1:25" s="1194" customFormat="1" ht="14.45" customHeight="1">
      <c r="A81" s="1262" t="s">
        <v>619</v>
      </c>
      <c r="B81" s="1262" t="s">
        <v>649</v>
      </c>
      <c r="C81" s="1262"/>
      <c r="D81" s="1262" t="s">
        <v>716</v>
      </c>
      <c r="E81" s="1262" t="s">
        <v>723</v>
      </c>
      <c r="F81" s="1262"/>
      <c r="G81" s="1241"/>
      <c r="H81" s="1241"/>
      <c r="I81" s="1241"/>
      <c r="J81" s="1215" t="s">
        <v>724</v>
      </c>
      <c r="K81" s="1269" t="s">
        <v>627</v>
      </c>
      <c r="L81" s="1290">
        <f t="shared" ref="L81:X81" si="22">IF(L58=0,0,L58/L$34)</f>
        <v>0</v>
      </c>
      <c r="M81" s="1290">
        <f t="shared" si="22"/>
        <v>0</v>
      </c>
      <c r="N81" s="1290">
        <f t="shared" si="22"/>
        <v>0</v>
      </c>
      <c r="O81" s="1290">
        <f t="shared" si="22"/>
        <v>0</v>
      </c>
      <c r="P81" s="1290">
        <f t="shared" si="22"/>
        <v>0</v>
      </c>
      <c r="Q81" s="1290">
        <f t="shared" si="22"/>
        <v>0</v>
      </c>
      <c r="R81" s="1290">
        <f t="shared" si="22"/>
        <v>0</v>
      </c>
      <c r="S81" s="1290">
        <f t="shared" si="22"/>
        <v>0</v>
      </c>
      <c r="T81" s="1290">
        <f t="shared" si="22"/>
        <v>0</v>
      </c>
      <c r="U81" s="1290">
        <f t="shared" si="22"/>
        <v>0</v>
      </c>
      <c r="V81" s="1290">
        <f t="shared" si="22"/>
        <v>0</v>
      </c>
      <c r="W81" s="1290">
        <f t="shared" si="22"/>
        <v>0</v>
      </c>
      <c r="X81" s="1290">
        <f t="shared" si="22"/>
        <v>0</v>
      </c>
      <c r="Y81" s="1249"/>
    </row>
    <row r="82" spans="1:25" s="1194" customFormat="1" ht="14.45" customHeight="1">
      <c r="A82" s="1262" t="s">
        <v>619</v>
      </c>
      <c r="B82" s="1262" t="s">
        <v>649</v>
      </c>
      <c r="C82" s="1262"/>
      <c r="D82" s="1262" t="s">
        <v>716</v>
      </c>
      <c r="E82" s="1262" t="s">
        <v>725</v>
      </c>
      <c r="F82" s="1262"/>
      <c r="G82" s="1241"/>
      <c r="H82" s="1241"/>
      <c r="I82" s="1241"/>
      <c r="J82" s="1215" t="s">
        <v>726</v>
      </c>
      <c r="K82" s="1269" t="s">
        <v>627</v>
      </c>
      <c r="L82" s="1290">
        <f t="shared" ref="L82:X82" si="23">IF(L65=0,0,L65/L$34)</f>
        <v>0</v>
      </c>
      <c r="M82" s="1290">
        <f t="shared" si="23"/>
        <v>0</v>
      </c>
      <c r="N82" s="1290">
        <f t="shared" si="23"/>
        <v>0</v>
      </c>
      <c r="O82" s="1290">
        <f t="shared" si="23"/>
        <v>0</v>
      </c>
      <c r="P82" s="1290">
        <f t="shared" si="23"/>
        <v>0</v>
      </c>
      <c r="Q82" s="1290">
        <f t="shared" si="23"/>
        <v>0</v>
      </c>
      <c r="R82" s="1290">
        <f t="shared" si="23"/>
        <v>0</v>
      </c>
      <c r="S82" s="1290">
        <f t="shared" si="23"/>
        <v>0</v>
      </c>
      <c r="T82" s="1290">
        <f t="shared" si="23"/>
        <v>0</v>
      </c>
      <c r="U82" s="1290">
        <f t="shared" si="23"/>
        <v>0</v>
      </c>
      <c r="V82" s="1290">
        <f t="shared" si="23"/>
        <v>0</v>
      </c>
      <c r="W82" s="1290">
        <f t="shared" si="23"/>
        <v>0</v>
      </c>
      <c r="X82" s="1290">
        <f t="shared" si="23"/>
        <v>0</v>
      </c>
      <c r="Y82" s="1249"/>
    </row>
    <row r="83" spans="1:25" s="1194" customFormat="1" ht="14.45" customHeight="1">
      <c r="A83" s="1262" t="s">
        <v>619</v>
      </c>
      <c r="B83" s="1262" t="s">
        <v>649</v>
      </c>
      <c r="C83" s="1262"/>
      <c r="D83" s="1262" t="s">
        <v>716</v>
      </c>
      <c r="E83" s="1262" t="s">
        <v>727</v>
      </c>
      <c r="F83" s="1262"/>
      <c r="G83" s="1241"/>
      <c r="H83" s="1241"/>
      <c r="I83" s="1241"/>
      <c r="J83" s="1215" t="s">
        <v>728</v>
      </c>
      <c r="K83" s="1269" t="s">
        <v>627</v>
      </c>
      <c r="L83" s="1290">
        <f>IF(L72=0,0,L72/L$34)</f>
        <v>0</v>
      </c>
      <c r="M83" s="1290">
        <f t="shared" ref="M83:X83" si="24">IF(M72=0,0,M72/M$34)</f>
        <v>0</v>
      </c>
      <c r="N83" s="1290">
        <f t="shared" si="24"/>
        <v>0</v>
      </c>
      <c r="O83" s="1290">
        <f t="shared" si="24"/>
        <v>0</v>
      </c>
      <c r="P83" s="1290">
        <f t="shared" si="24"/>
        <v>0</v>
      </c>
      <c r="Q83" s="1290">
        <f t="shared" si="24"/>
        <v>0</v>
      </c>
      <c r="R83" s="1290">
        <f t="shared" si="24"/>
        <v>0</v>
      </c>
      <c r="S83" s="1290">
        <f t="shared" si="24"/>
        <v>0</v>
      </c>
      <c r="T83" s="1290">
        <f t="shared" si="24"/>
        <v>0</v>
      </c>
      <c r="U83" s="1290">
        <f t="shared" si="24"/>
        <v>0</v>
      </c>
      <c r="V83" s="1290">
        <f t="shared" si="24"/>
        <v>0</v>
      </c>
      <c r="W83" s="1290">
        <f t="shared" si="24"/>
        <v>0</v>
      </c>
      <c r="X83" s="1290">
        <f t="shared" si="24"/>
        <v>0</v>
      </c>
      <c r="Y83" s="1249"/>
    </row>
    <row r="84" spans="1:25" s="1241" customFormat="1" ht="14.45" customHeight="1">
      <c r="A84" s="1262" t="s">
        <v>619</v>
      </c>
      <c r="B84" s="1262" t="s">
        <v>649</v>
      </c>
      <c r="C84" s="1262" t="s">
        <v>367</v>
      </c>
      <c r="D84" s="1262"/>
      <c r="E84" s="1262"/>
      <c r="F84" s="1262"/>
      <c r="L84" s="1280"/>
      <c r="M84" s="1280"/>
      <c r="N84" s="1280"/>
      <c r="O84" s="1280"/>
      <c r="P84" s="1280"/>
      <c r="Q84" s="1281"/>
      <c r="R84" s="1281"/>
      <c r="S84" s="1281"/>
      <c r="T84" s="1282"/>
      <c r="U84" s="1282"/>
      <c r="V84" s="1282"/>
      <c r="W84" s="1282"/>
      <c r="X84" s="1282"/>
      <c r="Y84" s="1283"/>
    </row>
    <row r="85" spans="1:25" s="1194" customFormat="1" ht="14.45" customHeight="1">
      <c r="A85" s="1262" t="s">
        <v>619</v>
      </c>
      <c r="B85" s="1262" t="s">
        <v>649</v>
      </c>
      <c r="C85" s="1262"/>
      <c r="D85" s="1262" t="s">
        <v>713</v>
      </c>
      <c r="E85" s="1262" t="s">
        <v>729</v>
      </c>
      <c r="F85" s="1262"/>
      <c r="G85" s="1241"/>
      <c r="H85" s="1241"/>
      <c r="I85" s="1241"/>
      <c r="J85" s="1284" t="s">
        <v>715</v>
      </c>
      <c r="K85" s="1269"/>
      <c r="L85" s="1276" t="str">
        <f>IF(SUM(L78:L83)=100%,"OK","ERROR")</f>
        <v>OK</v>
      </c>
      <c r="M85" s="1276" t="str">
        <f t="shared" ref="M85:X85" si="25">IF(SUM(M78:M83)=100%,"OK","ERROR")</f>
        <v>OK</v>
      </c>
      <c r="N85" s="1276" t="str">
        <f t="shared" si="25"/>
        <v>OK</v>
      </c>
      <c r="O85" s="1276" t="str">
        <f t="shared" si="25"/>
        <v>OK</v>
      </c>
      <c r="P85" s="1276" t="str">
        <f t="shared" si="25"/>
        <v>OK</v>
      </c>
      <c r="Q85" s="1276" t="str">
        <f t="shared" si="25"/>
        <v>OK</v>
      </c>
      <c r="R85" s="1276" t="str">
        <f t="shared" si="25"/>
        <v>OK</v>
      </c>
      <c r="S85" s="1276" t="str">
        <f t="shared" si="25"/>
        <v>OK</v>
      </c>
      <c r="T85" s="1276" t="str">
        <f t="shared" si="25"/>
        <v>OK</v>
      </c>
      <c r="U85" s="1276" t="str">
        <f t="shared" si="25"/>
        <v>OK</v>
      </c>
      <c r="V85" s="1276" t="str">
        <f t="shared" si="25"/>
        <v>OK</v>
      </c>
      <c r="W85" s="1276" t="str">
        <f t="shared" si="25"/>
        <v>OK</v>
      </c>
      <c r="X85" s="1276" t="str">
        <f t="shared" si="25"/>
        <v>OK</v>
      </c>
      <c r="Y85" s="1277"/>
    </row>
    <row r="86" spans="1:25" s="1241" customFormat="1" ht="14.45" customHeight="1">
      <c r="A86" s="1262" t="s">
        <v>619</v>
      </c>
      <c r="B86" s="1262" t="s">
        <v>649</v>
      </c>
      <c r="C86" s="1262" t="s">
        <v>367</v>
      </c>
      <c r="D86" s="1262"/>
      <c r="E86" s="1262"/>
      <c r="F86" s="1262"/>
      <c r="J86" s="1285"/>
      <c r="K86" s="1286"/>
      <c r="L86" s="1280"/>
      <c r="M86" s="1280"/>
      <c r="N86" s="1280"/>
      <c r="O86" s="1280"/>
      <c r="P86" s="1280"/>
      <c r="Q86" s="1287"/>
      <c r="R86" s="1287"/>
      <c r="S86" s="1287"/>
      <c r="T86" s="1287"/>
      <c r="U86" s="1287"/>
      <c r="V86" s="1287"/>
      <c r="W86" s="1287"/>
      <c r="X86" s="1287"/>
      <c r="Y86" s="1288"/>
    </row>
    <row r="87" spans="1:25" s="1194" customFormat="1" ht="14.45" customHeight="1">
      <c r="A87" s="1262" t="s">
        <v>619</v>
      </c>
      <c r="B87" s="1262" t="s">
        <v>649</v>
      </c>
      <c r="C87" s="1262"/>
      <c r="D87" s="1262" t="s">
        <v>649</v>
      </c>
      <c r="E87" s="1262" t="s">
        <v>730</v>
      </c>
      <c r="F87" s="1262" t="s">
        <v>634</v>
      </c>
      <c r="G87" s="1241"/>
      <c r="H87" s="1241"/>
      <c r="I87" s="1241"/>
      <c r="J87" s="1289" t="s">
        <v>731</v>
      </c>
      <c r="K87" s="1212" t="s">
        <v>498</v>
      </c>
      <c r="L87" s="1231">
        <v>52.165802670000005</v>
      </c>
      <c r="M87" s="1231">
        <v>52.459614019999997</v>
      </c>
      <c r="N87" s="1231">
        <v>52.286205770000002</v>
      </c>
      <c r="O87" s="1231">
        <v>52.420813020000004</v>
      </c>
      <c r="P87" s="1231">
        <v>53.113530130000001</v>
      </c>
      <c r="Q87" s="1231">
        <v>56.248168369999995</v>
      </c>
      <c r="R87" s="1231">
        <v>54.127406329439459</v>
      </c>
      <c r="S87" s="2568">
        <v>51.519942105529999</v>
      </c>
      <c r="T87" s="1231">
        <v>51.565600000324004</v>
      </c>
      <c r="U87" s="1231">
        <v>51.628862653595206</v>
      </c>
      <c r="V87" s="1231">
        <v>51.495809322731745</v>
      </c>
      <c r="W87" s="1231">
        <v>48.727593158411999</v>
      </c>
      <c r="X87" s="1231">
        <v>47.401018421639996</v>
      </c>
      <c r="Y87" s="1252"/>
    </row>
    <row r="88" spans="1:25" s="1194" customFormat="1" ht="14.45" customHeight="1">
      <c r="A88" s="1262" t="s">
        <v>619</v>
      </c>
      <c r="B88" s="1262" t="s">
        <v>649</v>
      </c>
      <c r="C88" s="1262"/>
      <c r="D88" s="1262" t="s">
        <v>649</v>
      </c>
      <c r="E88" s="1262" t="s">
        <v>732</v>
      </c>
      <c r="F88" s="1262" t="s">
        <v>634</v>
      </c>
      <c r="G88" s="1241"/>
      <c r="H88" s="1241"/>
      <c r="I88" s="1241"/>
      <c r="J88" s="1284" t="s">
        <v>733</v>
      </c>
      <c r="K88" s="1212" t="s">
        <v>498</v>
      </c>
      <c r="L88" s="1276">
        <f>L40*L41+L46*(L$20+L47)+L52*(L$21+L53)+ L58*(L$22+L59)+L65*L66+L72*L73+L63+L70</f>
        <v>52.130501286318228</v>
      </c>
      <c r="M88" s="1276">
        <f t="shared" ref="M88:X88" si="26">M40*M41+M46*(M$20+M47)+M52*(M$21+M53)+ M58*(M$22+M59)+M65*M66+M72*M73+M63+M70</f>
        <v>52.33066242543633</v>
      </c>
      <c r="N88" s="1276">
        <f t="shared" si="26"/>
        <v>52.425545899545703</v>
      </c>
      <c r="O88" s="1276">
        <f t="shared" si="26"/>
        <v>52.303308753862638</v>
      </c>
      <c r="P88" s="1276">
        <f t="shared" si="26"/>
        <v>53.241052003826788</v>
      </c>
      <c r="Q88" s="1276">
        <f t="shared" si="26"/>
        <v>56.369350224986484</v>
      </c>
      <c r="R88" s="1276">
        <f t="shared" si="26"/>
        <v>54.135787901454862</v>
      </c>
      <c r="S88" s="1276">
        <f t="shared" si="26"/>
        <v>51.519430353548181</v>
      </c>
      <c r="T88" s="1276">
        <f t="shared" si="26"/>
        <v>51.565082192105706</v>
      </c>
      <c r="U88" s="1276">
        <f t="shared" si="26"/>
        <v>51.628668060161857</v>
      </c>
      <c r="V88" s="1276">
        <f t="shared" si="26"/>
        <v>51.480274072929404</v>
      </c>
      <c r="W88" s="1276">
        <f t="shared" si="26"/>
        <v>48.733171821565321</v>
      </c>
      <c r="X88" s="1276">
        <f t="shared" si="26"/>
        <v>47.400455191648177</v>
      </c>
      <c r="Y88" s="1277"/>
    </row>
    <row r="89" spans="1:25" s="1194" customFormat="1" ht="14.45" customHeight="1">
      <c r="A89" s="1262" t="s">
        <v>619</v>
      </c>
      <c r="B89" s="1262" t="s">
        <v>649</v>
      </c>
      <c r="C89" s="1262"/>
      <c r="D89" s="1262" t="s">
        <v>649</v>
      </c>
      <c r="E89" s="1262" t="s">
        <v>734</v>
      </c>
      <c r="F89" s="1262"/>
      <c r="G89" s="1241"/>
      <c r="H89" s="1241"/>
      <c r="I89" s="1241"/>
      <c r="J89" s="1289" t="s">
        <v>735</v>
      </c>
      <c r="K89" s="1269" t="s">
        <v>627</v>
      </c>
      <c r="L89" s="1290">
        <f t="shared" ref="L89:X89" si="27">IF(L88=0,0,L88/L34)</f>
        <v>4.3685546549390906E-2</v>
      </c>
      <c r="M89" s="1290">
        <f t="shared" si="27"/>
        <v>4.3496073620209366E-2</v>
      </c>
      <c r="N89" s="1290">
        <f t="shared" si="27"/>
        <v>4.25998435822975E-2</v>
      </c>
      <c r="O89" s="1290">
        <f t="shared" si="27"/>
        <v>4.1281198887758525E-2</v>
      </c>
      <c r="P89" s="1290">
        <f t="shared" si="27"/>
        <v>3.9510297739161683E-2</v>
      </c>
      <c r="Q89" s="1290">
        <f t="shared" si="27"/>
        <v>3.9844955038790292E-2</v>
      </c>
      <c r="R89" s="1290">
        <f t="shared" si="27"/>
        <v>3.6994404924148128E-2</v>
      </c>
      <c r="S89" s="1290">
        <f t="shared" si="27"/>
        <v>3.6008456645238607E-2</v>
      </c>
      <c r="T89" s="1290">
        <f t="shared" si="27"/>
        <v>3.6086825927086251E-2</v>
      </c>
      <c r="U89" s="1290">
        <f t="shared" si="27"/>
        <v>3.6295842615384745E-2</v>
      </c>
      <c r="V89" s="1290">
        <f t="shared" si="27"/>
        <v>3.67726819351267E-2</v>
      </c>
      <c r="W89" s="1290">
        <f t="shared" si="27"/>
        <v>3.968614531023925E-2</v>
      </c>
      <c r="X89" s="1290">
        <f t="shared" si="27"/>
        <v>4.0459655290873239E-2</v>
      </c>
      <c r="Y89" s="1249"/>
    </row>
    <row r="90" spans="1:25" s="1194" customFormat="1" ht="14.45" customHeight="1">
      <c r="A90" s="1262"/>
      <c r="B90" s="1262"/>
      <c r="C90" s="1262" t="s">
        <v>367</v>
      </c>
      <c r="D90" s="1262"/>
      <c r="E90" s="1262"/>
      <c r="F90" s="1262"/>
      <c r="G90" s="1241"/>
      <c r="H90" s="1241"/>
      <c r="Q90" s="1292"/>
      <c r="Y90" s="1241"/>
    </row>
    <row r="91" spans="1:25" s="1160" customFormat="1" ht="14.45" hidden="1" customHeight="1">
      <c r="A91" s="1262" t="s">
        <v>619</v>
      </c>
      <c r="B91" s="1262" t="s">
        <v>736</v>
      </c>
      <c r="C91" s="1262" t="s">
        <v>370</v>
      </c>
      <c r="D91" s="1262"/>
      <c r="E91" s="1262"/>
      <c r="F91" s="1262"/>
      <c r="G91" s="1156" t="s">
        <v>367</v>
      </c>
      <c r="H91" s="1156" t="s">
        <v>367</v>
      </c>
      <c r="I91" s="1156" t="s">
        <v>367</v>
      </c>
      <c r="J91" s="1156" t="s">
        <v>367</v>
      </c>
      <c r="K91" s="1156" t="s">
        <v>492</v>
      </c>
      <c r="L91" s="1156" t="s">
        <v>371</v>
      </c>
      <c r="M91" s="1156" t="s">
        <v>371</v>
      </c>
      <c r="N91" s="1156" t="s">
        <v>371</v>
      </c>
      <c r="O91" s="1156" t="s">
        <v>371</v>
      </c>
      <c r="P91" s="1156" t="s">
        <v>371</v>
      </c>
      <c r="Q91" s="1156" t="s">
        <v>371</v>
      </c>
      <c r="R91" s="1156" t="s">
        <v>371</v>
      </c>
      <c r="S91" s="1156" t="s">
        <v>371</v>
      </c>
      <c r="T91" s="1156" t="s">
        <v>371</v>
      </c>
      <c r="U91" s="1156" t="s">
        <v>371</v>
      </c>
      <c r="V91" s="1156" t="s">
        <v>371</v>
      </c>
      <c r="W91" s="1156" t="s">
        <v>371</v>
      </c>
      <c r="X91" s="1156" t="s">
        <v>371</v>
      </c>
    </row>
    <row r="92" spans="1:25" s="1194" customFormat="1" ht="14.45" customHeight="1">
      <c r="A92" s="1262"/>
      <c r="B92" s="1262"/>
      <c r="C92" s="1262" t="s">
        <v>367</v>
      </c>
      <c r="D92" s="1262"/>
      <c r="E92" s="1262"/>
      <c r="F92" s="1262"/>
      <c r="G92" s="1241"/>
      <c r="H92" s="1299" t="s">
        <v>737</v>
      </c>
      <c r="J92" s="1269"/>
      <c r="Y92" s="1241"/>
    </row>
    <row r="93" spans="1:25" s="1194" customFormat="1" ht="14.45" customHeight="1">
      <c r="A93" s="1262"/>
      <c r="B93" s="1262"/>
      <c r="C93" s="1262" t="s">
        <v>367</v>
      </c>
      <c r="D93" s="1262"/>
      <c r="E93" s="1262"/>
      <c r="F93" s="1262"/>
      <c r="G93" s="1241"/>
      <c r="H93" s="1299"/>
      <c r="J93" s="1269"/>
      <c r="Y93" s="1241"/>
    </row>
    <row r="94" spans="1:25" s="1194" customFormat="1" ht="14.45" customHeight="1">
      <c r="A94" s="1262" t="s">
        <v>619</v>
      </c>
      <c r="B94" s="1262" t="s">
        <v>736</v>
      </c>
      <c r="C94" s="1262" t="s">
        <v>415</v>
      </c>
      <c r="D94" s="1262"/>
      <c r="E94" s="1262"/>
      <c r="F94" s="1262"/>
      <c r="G94" s="1241"/>
      <c r="H94" s="1241"/>
      <c r="I94" s="1279" t="s">
        <v>738</v>
      </c>
      <c r="L94" s="1203" t="s">
        <v>453</v>
      </c>
      <c r="M94" s="1203" t="s">
        <v>455</v>
      </c>
      <c r="N94" s="1203" t="s">
        <v>457</v>
      </c>
      <c r="O94" s="1203" t="s">
        <v>459</v>
      </c>
      <c r="P94" s="1203" t="s">
        <v>461</v>
      </c>
      <c r="Q94" s="1203" t="s">
        <v>463</v>
      </c>
      <c r="R94" s="1203" t="s">
        <v>465</v>
      </c>
      <c r="S94" s="1203" t="s">
        <v>467</v>
      </c>
      <c r="T94" s="1203" t="s">
        <v>469</v>
      </c>
      <c r="U94" s="1203" t="s">
        <v>471</v>
      </c>
      <c r="V94" s="1203" t="s">
        <v>473</v>
      </c>
      <c r="W94" s="1203" t="s">
        <v>475</v>
      </c>
      <c r="X94" s="1203" t="s">
        <v>477</v>
      </c>
      <c r="Y94" s="1244"/>
    </row>
    <row r="95" spans="1:25" s="1194" customFormat="1" ht="14.45" customHeight="1">
      <c r="A95" s="1262" t="s">
        <v>619</v>
      </c>
      <c r="B95" s="1262" t="s">
        <v>736</v>
      </c>
      <c r="C95" s="1262"/>
      <c r="D95" s="1262" t="s">
        <v>736</v>
      </c>
      <c r="E95" s="1262" t="s">
        <v>739</v>
      </c>
      <c r="F95" s="1262" t="s">
        <v>634</v>
      </c>
      <c r="G95" s="1241"/>
      <c r="H95" s="1241"/>
      <c r="I95" s="1241"/>
      <c r="J95" s="1215" t="s">
        <v>664</v>
      </c>
      <c r="K95" s="1212" t="s">
        <v>498</v>
      </c>
      <c r="L95" s="1300">
        <f t="shared" ref="L95:X95" si="28">L34</f>
        <v>1193.3123287671233</v>
      </c>
      <c r="M95" s="1300">
        <f t="shared" si="28"/>
        <v>1203.1123287671232</v>
      </c>
      <c r="N95" s="1300">
        <f t="shared" si="28"/>
        <v>1230.6511360368306</v>
      </c>
      <c r="O95" s="1300">
        <f t="shared" si="28"/>
        <v>1267.0007209837261</v>
      </c>
      <c r="P95" s="1300">
        <f t="shared" si="28"/>
        <v>1347.5234318736987</v>
      </c>
      <c r="Q95" s="1300">
        <f t="shared" si="28"/>
        <v>1414.7173756403836</v>
      </c>
      <c r="R95" s="1300">
        <f t="shared" si="28"/>
        <v>1463.3506880960176</v>
      </c>
      <c r="S95" s="1300">
        <f t="shared" si="28"/>
        <v>1430.7591925176439</v>
      </c>
      <c r="T95" s="1300">
        <f t="shared" si="28"/>
        <v>1428.9170872576437</v>
      </c>
      <c r="U95" s="1300">
        <f t="shared" si="28"/>
        <v>1422.4402669819265</v>
      </c>
      <c r="V95" s="1300">
        <f t="shared" si="28"/>
        <v>1399.9597354293987</v>
      </c>
      <c r="W95" s="1300">
        <f t="shared" si="28"/>
        <v>1227.9643548296913</v>
      </c>
      <c r="X95" s="1300">
        <f t="shared" si="28"/>
        <v>1171.5486662176438</v>
      </c>
      <c r="Y95" s="1252"/>
    </row>
    <row r="96" spans="1:25" s="1194" customFormat="1" ht="14.45" customHeight="1">
      <c r="A96" s="1262"/>
      <c r="B96" s="1262"/>
      <c r="C96" s="1262" t="s">
        <v>367</v>
      </c>
      <c r="D96" s="1262"/>
      <c r="E96" s="1262"/>
      <c r="F96" s="1262"/>
      <c r="G96" s="1241"/>
      <c r="H96" s="1241"/>
      <c r="I96" s="1241"/>
      <c r="J96" s="1289" t="s">
        <v>740</v>
      </c>
      <c r="K96" s="1212" t="s">
        <v>498</v>
      </c>
      <c r="L96" s="1231">
        <v>1193.3123287671233</v>
      </c>
      <c r="M96" s="1231">
        <v>1203.1123287671232</v>
      </c>
      <c r="N96" s="1231">
        <v>1230.6511360368306</v>
      </c>
      <c r="O96" s="1231">
        <v>1267.0007209837261</v>
      </c>
      <c r="P96" s="1231">
        <v>1347.5234318736987</v>
      </c>
      <c r="Q96" s="1231">
        <v>1414.7173756403836</v>
      </c>
      <c r="R96" s="1231">
        <v>1463.3506880960176</v>
      </c>
      <c r="S96" s="2568">
        <v>1430.7591925176439</v>
      </c>
      <c r="T96" s="1231">
        <v>1428.9170872576437</v>
      </c>
      <c r="U96" s="1231">
        <v>1422.4402669819265</v>
      </c>
      <c r="V96" s="1231">
        <v>1399.9597354293987</v>
      </c>
      <c r="W96" s="1231">
        <v>1227.9643548296913</v>
      </c>
      <c r="X96" s="1231">
        <v>1171.5486662176438</v>
      </c>
      <c r="Y96" s="1252"/>
    </row>
    <row r="97" spans="1:25" ht="14.45" customHeight="1">
      <c r="A97" s="1262"/>
      <c r="B97" s="1262"/>
      <c r="C97" s="1262" t="s">
        <v>367</v>
      </c>
      <c r="D97" s="1262"/>
      <c r="E97" s="1262"/>
      <c r="F97" s="1262"/>
    </row>
    <row r="98" spans="1:25" ht="14.45" customHeight="1">
      <c r="A98" s="1262" t="s">
        <v>619</v>
      </c>
      <c r="B98" s="1262" t="s">
        <v>736</v>
      </c>
      <c r="C98" s="1262"/>
      <c r="D98" s="1262" t="s">
        <v>736</v>
      </c>
      <c r="E98" s="1262" t="s">
        <v>652</v>
      </c>
      <c r="F98" s="1262" t="s">
        <v>634</v>
      </c>
      <c r="J98" t="s">
        <v>741</v>
      </c>
      <c r="K98" s="1212" t="s">
        <v>498</v>
      </c>
      <c r="L98" s="1231">
        <v>1190</v>
      </c>
      <c r="M98" s="1276">
        <f>L101</f>
        <v>1190</v>
      </c>
      <c r="N98" s="1276">
        <f t="shared" ref="N98:X98" si="29">M101</f>
        <v>1220</v>
      </c>
      <c r="O98" s="1276">
        <f t="shared" si="29"/>
        <v>1248.1578947400001</v>
      </c>
      <c r="P98" s="1276">
        <f t="shared" si="29"/>
        <v>1336.3157894800001</v>
      </c>
      <c r="Q98" s="1276">
        <f t="shared" si="29"/>
        <v>1334.4740000000002</v>
      </c>
      <c r="R98" s="1276">
        <f t="shared" si="29"/>
        <v>1532.6318947400002</v>
      </c>
      <c r="S98" s="1276">
        <f t="shared" si="29"/>
        <v>1430.7897894800003</v>
      </c>
      <c r="T98" s="1276">
        <f t="shared" si="29"/>
        <v>1428.9476842200004</v>
      </c>
      <c r="U98" s="1276">
        <f t="shared" si="29"/>
        <v>1427.1055789600005</v>
      </c>
      <c r="V98" s="1276">
        <f t="shared" si="29"/>
        <v>1400.2634737000005</v>
      </c>
      <c r="W98" s="1276">
        <f t="shared" si="29"/>
        <v>1298.4213684400006</v>
      </c>
      <c r="X98" s="1276">
        <f t="shared" si="29"/>
        <v>1171.5792631800007</v>
      </c>
    </row>
    <row r="99" spans="1:25" ht="14.45" customHeight="1">
      <c r="A99" s="1262" t="s">
        <v>619</v>
      </c>
      <c r="B99" s="1262" t="s">
        <v>736</v>
      </c>
      <c r="C99" s="1262"/>
      <c r="D99" s="1262" t="s">
        <v>736</v>
      </c>
      <c r="E99" s="1262" t="s">
        <v>654</v>
      </c>
      <c r="F99" s="1262" t="s">
        <v>634</v>
      </c>
      <c r="J99" s="1819" t="s">
        <v>742</v>
      </c>
      <c r="K99" s="1212" t="s">
        <v>498</v>
      </c>
      <c r="L99" s="1231">
        <v>0</v>
      </c>
      <c r="M99" s="1231">
        <v>30</v>
      </c>
      <c r="N99" s="1231">
        <v>30</v>
      </c>
      <c r="O99" s="1231">
        <v>90</v>
      </c>
      <c r="P99" s="1231">
        <v>0</v>
      </c>
      <c r="Q99" s="1231">
        <v>200</v>
      </c>
      <c r="R99" s="1231">
        <v>100</v>
      </c>
      <c r="S99" s="1817"/>
      <c r="T99" s="1817"/>
      <c r="U99" s="1817"/>
      <c r="V99" s="1817"/>
      <c r="W99" s="1817"/>
      <c r="X99" s="1817"/>
    </row>
    <row r="100" spans="1:25" ht="14.45" customHeight="1">
      <c r="A100" s="1262" t="s">
        <v>619</v>
      </c>
      <c r="B100" s="1262" t="s">
        <v>736</v>
      </c>
      <c r="C100" s="1262"/>
      <c r="D100" s="1262" t="s">
        <v>736</v>
      </c>
      <c r="E100" s="1262" t="s">
        <v>656</v>
      </c>
      <c r="F100" s="1262" t="s">
        <v>634</v>
      </c>
      <c r="J100" s="1819" t="s">
        <v>743</v>
      </c>
      <c r="K100" s="1215" t="s">
        <v>658</v>
      </c>
      <c r="L100" s="1231">
        <v>0</v>
      </c>
      <c r="M100" s="1231">
        <v>0</v>
      </c>
      <c r="N100" s="1231">
        <v>-1.8421052599999821</v>
      </c>
      <c r="O100" s="1231">
        <v>-1.8421052599999821</v>
      </c>
      <c r="P100" s="1231">
        <v>-1.8417894800000358</v>
      </c>
      <c r="Q100" s="1231">
        <v>-1.8421052600000001</v>
      </c>
      <c r="R100" s="1231">
        <v>-201.84210526000001</v>
      </c>
      <c r="S100" s="2568">
        <v>-1.8421052600000001</v>
      </c>
      <c r="T100" s="1231">
        <v>-1.8421052600000001</v>
      </c>
      <c r="U100" s="1231">
        <v>-26.84210526</v>
      </c>
      <c r="V100" s="1231">
        <v>-101.84210526</v>
      </c>
      <c r="W100" s="1231">
        <v>-126.84210526</v>
      </c>
      <c r="X100" s="1231">
        <v>-1.8421052600000001</v>
      </c>
    </row>
    <row r="101" spans="1:25" ht="14.45" customHeight="1">
      <c r="A101" s="1262" t="s">
        <v>619</v>
      </c>
      <c r="B101" s="1262" t="s">
        <v>736</v>
      </c>
      <c r="C101" s="1262"/>
      <c r="D101" s="1262" t="s">
        <v>736</v>
      </c>
      <c r="E101" s="1262" t="s">
        <v>661</v>
      </c>
      <c r="F101" s="1262" t="s">
        <v>634</v>
      </c>
      <c r="J101" s="1819" t="s">
        <v>744</v>
      </c>
      <c r="K101" s="1212" t="s">
        <v>498</v>
      </c>
      <c r="L101" s="1818">
        <f>SUM(L98:L100)</f>
        <v>1190</v>
      </c>
      <c r="M101" s="1818">
        <f t="shared" ref="M101:X101" si="30">SUM(M98:M100)</f>
        <v>1220</v>
      </c>
      <c r="N101" s="1818">
        <f t="shared" si="30"/>
        <v>1248.1578947400001</v>
      </c>
      <c r="O101" s="1818">
        <f t="shared" si="30"/>
        <v>1336.3157894800001</v>
      </c>
      <c r="P101" s="1818">
        <f t="shared" si="30"/>
        <v>1334.4740000000002</v>
      </c>
      <c r="Q101" s="1818">
        <f t="shared" si="30"/>
        <v>1532.6318947400002</v>
      </c>
      <c r="R101" s="1818">
        <f t="shared" si="30"/>
        <v>1430.7897894800003</v>
      </c>
      <c r="S101" s="1818">
        <f t="shared" si="30"/>
        <v>1428.9476842200004</v>
      </c>
      <c r="T101" s="1818">
        <f t="shared" si="30"/>
        <v>1427.1055789600005</v>
      </c>
      <c r="U101" s="1818">
        <f t="shared" si="30"/>
        <v>1400.2634737000005</v>
      </c>
      <c r="V101" s="1818">
        <f t="shared" si="30"/>
        <v>1298.4213684400006</v>
      </c>
      <c r="W101" s="1818">
        <f t="shared" si="30"/>
        <v>1171.5792631800007</v>
      </c>
      <c r="X101" s="1818">
        <f t="shared" si="30"/>
        <v>1169.7371579200008</v>
      </c>
    </row>
    <row r="102" spans="1:25" s="1194" customFormat="1" ht="14.45" customHeight="1">
      <c r="A102" s="1262" t="s">
        <v>619</v>
      </c>
      <c r="B102" s="1262" t="s">
        <v>736</v>
      </c>
      <c r="C102" s="1262"/>
      <c r="D102" s="1262" t="s">
        <v>736</v>
      </c>
      <c r="E102" s="1262" t="s">
        <v>663</v>
      </c>
      <c r="F102" s="1262" t="s">
        <v>634</v>
      </c>
      <c r="G102" s="1241"/>
      <c r="H102" s="1241"/>
      <c r="I102" s="1241"/>
      <c r="J102" s="1215" t="s">
        <v>745</v>
      </c>
      <c r="K102" s="1212" t="s">
        <v>498</v>
      </c>
      <c r="L102" s="1231">
        <v>1190</v>
      </c>
      <c r="M102" s="1231">
        <v>1190.0821917808219</v>
      </c>
      <c r="N102" s="1231">
        <v>1222.6128846707104</v>
      </c>
      <c r="O102" s="1231">
        <v>1262.2198990659178</v>
      </c>
      <c r="P102" s="1231">
        <v>1336.2905551613699</v>
      </c>
      <c r="Q102" s="1231">
        <v>1378.8269646814792</v>
      </c>
      <c r="R102" s="1231">
        <v>1463.3506880960176</v>
      </c>
      <c r="S102" s="2568">
        <v>1430.7591925176439</v>
      </c>
      <c r="T102" s="1231">
        <v>1428.9170872576437</v>
      </c>
      <c r="U102" s="1231">
        <v>1422.4402669819265</v>
      </c>
      <c r="V102" s="1231">
        <v>1399.959735429399</v>
      </c>
      <c r="W102" s="1231">
        <v>1227.9643548296913</v>
      </c>
      <c r="X102" s="1231">
        <v>1171.5486662176438</v>
      </c>
      <c r="Y102" s="1277"/>
    </row>
    <row r="103" spans="1:25" s="1194" customFormat="1" ht="14.45" customHeight="1">
      <c r="A103" s="1262" t="s">
        <v>619</v>
      </c>
      <c r="B103" s="1262" t="s">
        <v>736</v>
      </c>
      <c r="C103" s="1262"/>
      <c r="D103" s="1262" t="s">
        <v>736</v>
      </c>
      <c r="E103" s="1262" t="s">
        <v>671</v>
      </c>
      <c r="F103" s="1262" t="s">
        <v>634</v>
      </c>
      <c r="G103" s="1241"/>
      <c r="H103" s="1241"/>
      <c r="I103" s="1241"/>
      <c r="J103" s="1819" t="s">
        <v>746</v>
      </c>
      <c r="K103" s="1269" t="s">
        <v>627</v>
      </c>
      <c r="L103" s="1217">
        <v>3.3222977941176471E-2</v>
      </c>
      <c r="M103" s="1217">
        <v>3.4272037918987988E-2</v>
      </c>
      <c r="N103" s="1217">
        <v>3.433688243293273E-2</v>
      </c>
      <c r="O103" s="1217">
        <v>3.3614070306284147E-2</v>
      </c>
      <c r="P103" s="1217">
        <v>3.311630124087897E-2</v>
      </c>
      <c r="Q103" s="1217">
        <v>3.3399198471952454E-2</v>
      </c>
      <c r="R103" s="1217">
        <v>3.0175159639426605E-2</v>
      </c>
      <c r="S103" s="2569">
        <v>2.7944186326973437E-2</v>
      </c>
      <c r="T103" s="1217">
        <v>2.8038094557823977E-2</v>
      </c>
      <c r="U103" s="1217">
        <v>2.8078783199369031E-2</v>
      </c>
      <c r="V103" s="1217">
        <v>2.8221400021434626E-2</v>
      </c>
      <c r="W103" s="1217">
        <v>2.8442355092725566E-2</v>
      </c>
      <c r="X103" s="1217">
        <v>2.8267535643266645E-2</v>
      </c>
      <c r="Y103" s="1249"/>
    </row>
    <row r="104" spans="1:25" s="1194" customFormat="1" ht="14.25" customHeight="1">
      <c r="A104" s="1262" t="s">
        <v>619</v>
      </c>
      <c r="B104" s="1262" t="s">
        <v>736</v>
      </c>
      <c r="C104" s="1262"/>
      <c r="D104" s="1262" t="s">
        <v>641</v>
      </c>
      <c r="E104" s="1262" t="s">
        <v>652</v>
      </c>
      <c r="F104" s="1262" t="s">
        <v>634</v>
      </c>
      <c r="G104" s="1241"/>
      <c r="H104" s="1241"/>
      <c r="I104" s="1241"/>
      <c r="J104" s="1819" t="s">
        <v>747</v>
      </c>
      <c r="K104" s="1212" t="s">
        <v>498</v>
      </c>
      <c r="L104" s="1231">
        <v>0</v>
      </c>
      <c r="M104" s="1276">
        <f>L107</f>
        <v>23</v>
      </c>
      <c r="N104" s="1276">
        <f t="shared" ref="N104:X104" si="31">M107</f>
        <v>5</v>
      </c>
      <c r="O104" s="1276">
        <f t="shared" si="31"/>
        <v>12</v>
      </c>
      <c r="P104" s="1276">
        <f t="shared" si="31"/>
        <v>0</v>
      </c>
      <c r="Q104" s="1276">
        <f t="shared" si="31"/>
        <v>45</v>
      </c>
      <c r="R104" s="1276">
        <f t="shared" si="31"/>
        <v>0</v>
      </c>
      <c r="S104" s="1276">
        <f t="shared" si="31"/>
        <v>0</v>
      </c>
      <c r="T104" s="1276">
        <f t="shared" si="31"/>
        <v>0</v>
      </c>
      <c r="U104" s="1276">
        <f t="shared" si="31"/>
        <v>0</v>
      </c>
      <c r="V104" s="1276">
        <f t="shared" si="31"/>
        <v>0</v>
      </c>
      <c r="W104" s="1276">
        <f t="shared" si="31"/>
        <v>0</v>
      </c>
      <c r="X104" s="1276">
        <f t="shared" si="31"/>
        <v>0</v>
      </c>
      <c r="Y104" s="1249"/>
    </row>
    <row r="105" spans="1:25" s="1194" customFormat="1" ht="14.45" customHeight="1">
      <c r="A105" s="1262" t="s">
        <v>619</v>
      </c>
      <c r="B105" s="1262" t="s">
        <v>736</v>
      </c>
      <c r="C105" s="1262"/>
      <c r="D105" s="1262" t="s">
        <v>641</v>
      </c>
      <c r="E105" s="1262" t="s">
        <v>654</v>
      </c>
      <c r="F105" s="1262" t="s">
        <v>634</v>
      </c>
      <c r="G105" s="1241"/>
      <c r="H105" s="1241"/>
      <c r="I105" s="1241"/>
      <c r="J105" s="1819" t="s">
        <v>748</v>
      </c>
      <c r="K105" s="1212" t="s">
        <v>498</v>
      </c>
      <c r="L105" s="1231">
        <v>23</v>
      </c>
      <c r="M105" s="1231">
        <v>0</v>
      </c>
      <c r="N105" s="1231">
        <v>7</v>
      </c>
      <c r="O105" s="1231">
        <v>0</v>
      </c>
      <c r="P105" s="1231">
        <v>45</v>
      </c>
      <c r="Q105" s="1231">
        <v>0</v>
      </c>
      <c r="R105" s="1231">
        <v>0</v>
      </c>
      <c r="S105" s="1817"/>
      <c r="T105" s="1817"/>
      <c r="U105" s="1817"/>
      <c r="V105" s="1817"/>
      <c r="W105" s="1817"/>
      <c r="X105" s="1817"/>
      <c r="Y105" s="1249"/>
    </row>
    <row r="106" spans="1:25" s="1194" customFormat="1" ht="14.45" customHeight="1">
      <c r="A106" s="1262" t="s">
        <v>619</v>
      </c>
      <c r="B106" s="1262" t="s">
        <v>736</v>
      </c>
      <c r="C106" s="1262"/>
      <c r="D106" s="1262" t="s">
        <v>641</v>
      </c>
      <c r="E106" s="1262" t="s">
        <v>656</v>
      </c>
      <c r="F106" s="1262" t="s">
        <v>634</v>
      </c>
      <c r="G106" s="1241"/>
      <c r="H106" s="1241"/>
      <c r="I106" s="1241"/>
      <c r="J106" s="1819" t="s">
        <v>749</v>
      </c>
      <c r="K106" s="1215" t="s">
        <v>658</v>
      </c>
      <c r="L106" s="1231">
        <v>0</v>
      </c>
      <c r="M106" s="1231">
        <v>-18</v>
      </c>
      <c r="N106" s="1231">
        <v>0</v>
      </c>
      <c r="O106" s="1231">
        <v>-12</v>
      </c>
      <c r="P106" s="1231">
        <v>0</v>
      </c>
      <c r="Q106" s="1231">
        <v>-45</v>
      </c>
      <c r="R106" s="1231">
        <v>0</v>
      </c>
      <c r="S106" s="1231">
        <v>0</v>
      </c>
      <c r="T106" s="1231">
        <v>0</v>
      </c>
      <c r="U106" s="1231">
        <v>0</v>
      </c>
      <c r="V106" s="1231">
        <v>0</v>
      </c>
      <c r="W106" s="1231">
        <v>0</v>
      </c>
      <c r="X106" s="1231">
        <v>0</v>
      </c>
      <c r="Y106" s="1249"/>
    </row>
    <row r="107" spans="1:25" s="1194" customFormat="1" ht="14.45" customHeight="1">
      <c r="A107" s="1262" t="s">
        <v>619</v>
      </c>
      <c r="B107" s="1262" t="s">
        <v>736</v>
      </c>
      <c r="C107" s="1262"/>
      <c r="D107" s="1262" t="s">
        <v>641</v>
      </c>
      <c r="E107" s="1262" t="s">
        <v>661</v>
      </c>
      <c r="F107" s="1262" t="s">
        <v>634</v>
      </c>
      <c r="G107" s="1241"/>
      <c r="H107" s="1241"/>
      <c r="I107" s="1241"/>
      <c r="J107" s="1819" t="s">
        <v>750</v>
      </c>
      <c r="K107" s="1212" t="s">
        <v>498</v>
      </c>
      <c r="L107" s="1818">
        <f>SUM(L104:L106)</f>
        <v>23</v>
      </c>
      <c r="M107" s="1818">
        <f t="shared" ref="M107:X107" si="32">SUM(M104:M106)</f>
        <v>5</v>
      </c>
      <c r="N107" s="1818">
        <f t="shared" si="32"/>
        <v>12</v>
      </c>
      <c r="O107" s="1818">
        <f t="shared" si="32"/>
        <v>0</v>
      </c>
      <c r="P107" s="1818">
        <f t="shared" si="32"/>
        <v>45</v>
      </c>
      <c r="Q107" s="1818">
        <f t="shared" si="32"/>
        <v>0</v>
      </c>
      <c r="R107" s="1818">
        <f t="shared" si="32"/>
        <v>0</v>
      </c>
      <c r="S107" s="1818">
        <f t="shared" si="32"/>
        <v>0</v>
      </c>
      <c r="T107" s="1818">
        <f t="shared" si="32"/>
        <v>0</v>
      </c>
      <c r="U107" s="1818">
        <f t="shared" si="32"/>
        <v>0</v>
      </c>
      <c r="V107" s="1818">
        <f t="shared" si="32"/>
        <v>0</v>
      </c>
      <c r="W107" s="1818">
        <f t="shared" si="32"/>
        <v>0</v>
      </c>
      <c r="X107" s="1818">
        <f t="shared" si="32"/>
        <v>0</v>
      </c>
      <c r="Y107" s="1249"/>
    </row>
    <row r="108" spans="1:25" s="1194" customFormat="1" ht="14.45" customHeight="1">
      <c r="A108" s="1262" t="s">
        <v>619</v>
      </c>
      <c r="B108" s="1262" t="s">
        <v>736</v>
      </c>
      <c r="C108" s="1262"/>
      <c r="D108" s="1262" t="s">
        <v>641</v>
      </c>
      <c r="E108" s="1262" t="s">
        <v>663</v>
      </c>
      <c r="F108" s="1262" t="s">
        <v>634</v>
      </c>
      <c r="G108" s="1241"/>
      <c r="H108" s="1241"/>
      <c r="I108" s="1241"/>
      <c r="J108" s="1215" t="s">
        <v>751</v>
      </c>
      <c r="K108" s="1212" t="s">
        <v>498</v>
      </c>
      <c r="L108" s="1231">
        <v>3.3123287671232875</v>
      </c>
      <c r="M108" s="1231">
        <v>13.03013698630137</v>
      </c>
      <c r="N108" s="1231">
        <v>8.0382513661202175</v>
      </c>
      <c r="O108" s="1231">
        <v>4.7808219178082192</v>
      </c>
      <c r="P108" s="1231">
        <v>11.232876712328766</v>
      </c>
      <c r="Q108" s="1231">
        <v>35.890410958904113</v>
      </c>
      <c r="R108" s="1822">
        <v>0</v>
      </c>
      <c r="S108" s="1822">
        <v>0</v>
      </c>
      <c r="T108" s="1822">
        <v>0</v>
      </c>
      <c r="U108" s="1822">
        <v>0</v>
      </c>
      <c r="V108" s="1822">
        <v>0</v>
      </c>
      <c r="W108" s="1822">
        <v>0</v>
      </c>
      <c r="X108" s="1822">
        <v>0</v>
      </c>
      <c r="Y108" s="1277"/>
    </row>
    <row r="109" spans="1:25" s="1194" customFormat="1" ht="14.45" customHeight="1">
      <c r="A109" s="1262" t="s">
        <v>619</v>
      </c>
      <c r="B109" s="1262" t="s">
        <v>736</v>
      </c>
      <c r="C109" s="1262"/>
      <c r="D109" s="1262" t="s">
        <v>641</v>
      </c>
      <c r="E109" s="1262" t="s">
        <v>679</v>
      </c>
      <c r="F109" s="1262" t="s">
        <v>634</v>
      </c>
      <c r="G109" s="1241"/>
      <c r="H109" s="1241"/>
      <c r="I109" s="1241"/>
      <c r="J109" s="1215" t="s">
        <v>752</v>
      </c>
      <c r="K109" s="1269" t="s">
        <v>627</v>
      </c>
      <c r="L109" s="1217">
        <v>7.000000000000001E-3</v>
      </c>
      <c r="M109" s="1217">
        <v>5.6803278688524594E-3</v>
      </c>
      <c r="N109" s="1217">
        <v>4.0000000000000001E-3</v>
      </c>
      <c r="O109" s="1217">
        <v>4.0000000000000001E-3</v>
      </c>
      <c r="P109" s="1217">
        <v>4.0000000000000001E-3</v>
      </c>
      <c r="Q109" s="1217">
        <v>4.0000000000000001E-3</v>
      </c>
      <c r="R109" s="1217">
        <v>0</v>
      </c>
      <c r="S109" s="1217">
        <v>0</v>
      </c>
      <c r="T109" s="1217">
        <v>0</v>
      </c>
      <c r="U109" s="1217">
        <v>0</v>
      </c>
      <c r="V109" s="1217">
        <v>0</v>
      </c>
      <c r="W109" s="1217">
        <v>0</v>
      </c>
      <c r="X109" s="1217">
        <v>0</v>
      </c>
      <c r="Y109" s="1249"/>
    </row>
    <row r="110" spans="1:25" s="1194" customFormat="1" ht="14.25" customHeight="1">
      <c r="A110" s="1262" t="s">
        <v>619</v>
      </c>
      <c r="B110" s="1262" t="s">
        <v>736</v>
      </c>
      <c r="C110" s="1262"/>
      <c r="D110" s="1262" t="s">
        <v>643</v>
      </c>
      <c r="E110" s="1262" t="s">
        <v>652</v>
      </c>
      <c r="F110" s="1262" t="s">
        <v>634</v>
      </c>
      <c r="G110" s="1241"/>
      <c r="H110" s="1241"/>
      <c r="I110" s="1241"/>
      <c r="J110" t="s">
        <v>753</v>
      </c>
      <c r="K110" s="1212" t="s">
        <v>498</v>
      </c>
      <c r="L110" s="1231">
        <v>0</v>
      </c>
      <c r="M110" s="1276">
        <f>L113</f>
        <v>0</v>
      </c>
      <c r="N110" s="1276">
        <f t="shared" ref="N110:X110" si="33">M113</f>
        <v>0</v>
      </c>
      <c r="O110" s="1276">
        <f t="shared" si="33"/>
        <v>0</v>
      </c>
      <c r="P110" s="1276">
        <f t="shared" si="33"/>
        <v>0</v>
      </c>
      <c r="Q110" s="1276">
        <f t="shared" si="33"/>
        <v>0</v>
      </c>
      <c r="R110" s="1276">
        <f t="shared" si="33"/>
        <v>0</v>
      </c>
      <c r="S110" s="1276">
        <f t="shared" si="33"/>
        <v>0</v>
      </c>
      <c r="T110" s="1276">
        <f t="shared" si="33"/>
        <v>0</v>
      </c>
      <c r="U110" s="1276">
        <f t="shared" si="33"/>
        <v>0</v>
      </c>
      <c r="V110" s="1276">
        <f t="shared" si="33"/>
        <v>0</v>
      </c>
      <c r="W110" s="1276">
        <f t="shared" si="33"/>
        <v>0</v>
      </c>
      <c r="X110" s="1276">
        <f t="shared" si="33"/>
        <v>0</v>
      </c>
      <c r="Y110" s="1249"/>
    </row>
    <row r="111" spans="1:25" s="1194" customFormat="1" ht="14.45" customHeight="1">
      <c r="A111" s="1262" t="s">
        <v>619</v>
      </c>
      <c r="B111" s="1262" t="s">
        <v>736</v>
      </c>
      <c r="C111" s="1262"/>
      <c r="D111" s="1262" t="s">
        <v>643</v>
      </c>
      <c r="E111" s="1262" t="s">
        <v>654</v>
      </c>
      <c r="F111" s="1262" t="s">
        <v>634</v>
      </c>
      <c r="G111" s="1241"/>
      <c r="H111" s="1241"/>
      <c r="I111" s="1241"/>
      <c r="J111" s="1819" t="s">
        <v>754</v>
      </c>
      <c r="K111" s="1212" t="s">
        <v>498</v>
      </c>
      <c r="L111" s="1231">
        <v>0</v>
      </c>
      <c r="M111" s="1231">
        <v>0</v>
      </c>
      <c r="N111" s="1231">
        <v>0</v>
      </c>
      <c r="O111" s="1231">
        <v>0</v>
      </c>
      <c r="P111" s="1231">
        <v>0</v>
      </c>
      <c r="Q111" s="1231">
        <v>0</v>
      </c>
      <c r="R111" s="1231">
        <v>0</v>
      </c>
      <c r="S111" s="1817"/>
      <c r="T111" s="1817"/>
      <c r="U111" s="1817"/>
      <c r="V111" s="1817"/>
      <c r="W111" s="1817"/>
      <c r="X111" s="1817"/>
      <c r="Y111" s="1249"/>
    </row>
    <row r="112" spans="1:25" s="1194" customFormat="1" ht="14.45" customHeight="1">
      <c r="A112" s="1262" t="s">
        <v>619</v>
      </c>
      <c r="B112" s="1262" t="s">
        <v>736</v>
      </c>
      <c r="C112" s="1262"/>
      <c r="D112" s="1262" t="s">
        <v>643</v>
      </c>
      <c r="E112" s="1262" t="s">
        <v>656</v>
      </c>
      <c r="F112" s="1262" t="s">
        <v>634</v>
      </c>
      <c r="G112" s="1241"/>
      <c r="H112" s="1241"/>
      <c r="I112" s="1241"/>
      <c r="J112" s="1819" t="s">
        <v>755</v>
      </c>
      <c r="K112" s="1215" t="s">
        <v>658</v>
      </c>
      <c r="L112" s="1231">
        <v>0</v>
      </c>
      <c r="M112" s="1231">
        <v>0</v>
      </c>
      <c r="N112" s="1231">
        <v>0</v>
      </c>
      <c r="O112" s="1231">
        <v>0</v>
      </c>
      <c r="P112" s="1231">
        <v>0</v>
      </c>
      <c r="Q112" s="1231">
        <v>0</v>
      </c>
      <c r="R112" s="1231">
        <v>0</v>
      </c>
      <c r="S112" s="1231">
        <v>0</v>
      </c>
      <c r="T112" s="1231">
        <v>0</v>
      </c>
      <c r="U112" s="1231">
        <v>0</v>
      </c>
      <c r="V112" s="1231">
        <v>0</v>
      </c>
      <c r="W112" s="1231">
        <v>0</v>
      </c>
      <c r="X112" s="1231">
        <v>0</v>
      </c>
      <c r="Y112" s="1249"/>
    </row>
    <row r="113" spans="1:25" s="1194" customFormat="1" ht="14.45" customHeight="1">
      <c r="A113" s="1262" t="s">
        <v>619</v>
      </c>
      <c r="B113" s="1262" t="s">
        <v>736</v>
      </c>
      <c r="C113" s="1262"/>
      <c r="D113" s="1262" t="s">
        <v>643</v>
      </c>
      <c r="E113" s="1262" t="s">
        <v>661</v>
      </c>
      <c r="F113" s="1262" t="s">
        <v>634</v>
      </c>
      <c r="G113" s="1241"/>
      <c r="H113" s="1241"/>
      <c r="I113" s="1241"/>
      <c r="J113" s="1819" t="s">
        <v>756</v>
      </c>
      <c r="K113" s="1212" t="s">
        <v>498</v>
      </c>
      <c r="L113" s="1818">
        <f>SUM(L110:L112)</f>
        <v>0</v>
      </c>
      <c r="M113" s="1818">
        <f t="shared" ref="M113:X113" si="34">SUM(M110:M112)</f>
        <v>0</v>
      </c>
      <c r="N113" s="1818">
        <f t="shared" si="34"/>
        <v>0</v>
      </c>
      <c r="O113" s="1818">
        <f t="shared" si="34"/>
        <v>0</v>
      </c>
      <c r="P113" s="1818">
        <f t="shared" si="34"/>
        <v>0</v>
      </c>
      <c r="Q113" s="1818">
        <f t="shared" si="34"/>
        <v>0</v>
      </c>
      <c r="R113" s="1818">
        <f t="shared" si="34"/>
        <v>0</v>
      </c>
      <c r="S113" s="1818">
        <f t="shared" si="34"/>
        <v>0</v>
      </c>
      <c r="T113" s="1818">
        <f t="shared" si="34"/>
        <v>0</v>
      </c>
      <c r="U113" s="1818">
        <f t="shared" si="34"/>
        <v>0</v>
      </c>
      <c r="V113" s="1818">
        <f t="shared" si="34"/>
        <v>0</v>
      </c>
      <c r="W113" s="1818">
        <f t="shared" si="34"/>
        <v>0</v>
      </c>
      <c r="X113" s="1818">
        <f t="shared" si="34"/>
        <v>0</v>
      </c>
      <c r="Y113" s="1249"/>
    </row>
    <row r="114" spans="1:25" s="1194" customFormat="1" ht="14.45" customHeight="1">
      <c r="A114" s="1262" t="s">
        <v>619</v>
      </c>
      <c r="B114" s="1262" t="s">
        <v>736</v>
      </c>
      <c r="C114" s="1262"/>
      <c r="D114" s="1262" t="s">
        <v>643</v>
      </c>
      <c r="E114" s="1262" t="s">
        <v>663</v>
      </c>
      <c r="F114" s="1262" t="s">
        <v>634</v>
      </c>
      <c r="G114" s="1241"/>
      <c r="H114" s="1241"/>
      <c r="I114" s="1241"/>
      <c r="J114" s="1215" t="s">
        <v>757</v>
      </c>
      <c r="K114" s="1212" t="s">
        <v>498</v>
      </c>
      <c r="L114" s="1231">
        <v>0</v>
      </c>
      <c r="M114" s="1231">
        <v>0</v>
      </c>
      <c r="N114" s="1231">
        <v>0</v>
      </c>
      <c r="O114" s="1231">
        <v>0</v>
      </c>
      <c r="P114" s="1231">
        <v>0</v>
      </c>
      <c r="Q114" s="1231">
        <v>0</v>
      </c>
      <c r="R114" s="1231">
        <v>0</v>
      </c>
      <c r="S114" s="1231">
        <v>0</v>
      </c>
      <c r="T114" s="1231">
        <v>0</v>
      </c>
      <c r="U114" s="1231">
        <v>0</v>
      </c>
      <c r="V114" s="1231">
        <v>0</v>
      </c>
      <c r="W114" s="1231">
        <v>0</v>
      </c>
      <c r="X114" s="1231">
        <v>0</v>
      </c>
      <c r="Y114" s="1277"/>
    </row>
    <row r="115" spans="1:25" s="1194" customFormat="1" ht="14.45" customHeight="1">
      <c r="A115" s="1262" t="s">
        <v>619</v>
      </c>
      <c r="B115" s="1262" t="s">
        <v>736</v>
      </c>
      <c r="C115" s="1262"/>
      <c r="D115" s="1262" t="s">
        <v>643</v>
      </c>
      <c r="E115" s="1262" t="s">
        <v>679</v>
      </c>
      <c r="F115" s="1262" t="s">
        <v>634</v>
      </c>
      <c r="G115" s="1241"/>
      <c r="H115" s="1241"/>
      <c r="I115" s="1241"/>
      <c r="J115" s="1215" t="s">
        <v>758</v>
      </c>
      <c r="K115" s="1269" t="s">
        <v>627</v>
      </c>
      <c r="L115" s="1217">
        <v>0</v>
      </c>
      <c r="M115" s="1217">
        <v>0</v>
      </c>
      <c r="N115" s="1217">
        <v>0</v>
      </c>
      <c r="O115" s="1217">
        <v>0</v>
      </c>
      <c r="P115" s="1217">
        <v>0</v>
      </c>
      <c r="Q115" s="1217">
        <v>0</v>
      </c>
      <c r="R115" s="1217">
        <v>0</v>
      </c>
      <c r="S115" s="1217">
        <v>0</v>
      </c>
      <c r="T115" s="1217">
        <v>0</v>
      </c>
      <c r="U115" s="1217">
        <v>0</v>
      </c>
      <c r="V115" s="1217">
        <v>0</v>
      </c>
      <c r="W115" s="1217">
        <v>0</v>
      </c>
      <c r="X115" s="1217">
        <v>0</v>
      </c>
      <c r="Y115" s="1249"/>
    </row>
    <row r="116" spans="1:25" s="1194" customFormat="1" ht="14.25" customHeight="1">
      <c r="A116" s="1262" t="s">
        <v>619</v>
      </c>
      <c r="B116" s="1262" t="s">
        <v>736</v>
      </c>
      <c r="C116" s="1262"/>
      <c r="D116" s="1262" t="s">
        <v>645</v>
      </c>
      <c r="E116" s="1262" t="s">
        <v>652</v>
      </c>
      <c r="F116" s="1262" t="s">
        <v>634</v>
      </c>
      <c r="G116" s="1241"/>
      <c r="H116" s="1241"/>
      <c r="I116" s="1241"/>
      <c r="J116" t="s">
        <v>759</v>
      </c>
      <c r="K116" s="1212" t="s">
        <v>498</v>
      </c>
      <c r="L116" s="1231">
        <v>0</v>
      </c>
      <c r="M116" s="1276">
        <f>L119</f>
        <v>0</v>
      </c>
      <c r="N116" s="1276">
        <f t="shared" ref="N116:X116" si="35">M119</f>
        <v>0</v>
      </c>
      <c r="O116" s="1276">
        <f t="shared" si="35"/>
        <v>0</v>
      </c>
      <c r="P116" s="1276">
        <f t="shared" si="35"/>
        <v>0</v>
      </c>
      <c r="Q116" s="1276">
        <f t="shared" si="35"/>
        <v>0</v>
      </c>
      <c r="R116" s="1276">
        <f t="shared" si="35"/>
        <v>0</v>
      </c>
      <c r="S116" s="1276">
        <f t="shared" si="35"/>
        <v>0</v>
      </c>
      <c r="T116" s="1276">
        <f t="shared" si="35"/>
        <v>0</v>
      </c>
      <c r="U116" s="1276">
        <f t="shared" si="35"/>
        <v>0</v>
      </c>
      <c r="V116" s="1276">
        <f t="shared" si="35"/>
        <v>0</v>
      </c>
      <c r="W116" s="1276">
        <f t="shared" si="35"/>
        <v>0</v>
      </c>
      <c r="X116" s="1276">
        <f t="shared" si="35"/>
        <v>0</v>
      </c>
      <c r="Y116" s="1249"/>
    </row>
    <row r="117" spans="1:25" s="1194" customFormat="1" ht="14.45" customHeight="1">
      <c r="A117" s="1262" t="s">
        <v>619</v>
      </c>
      <c r="B117" s="1262" t="s">
        <v>736</v>
      </c>
      <c r="C117" s="1262"/>
      <c r="D117" s="1262" t="s">
        <v>645</v>
      </c>
      <c r="E117" s="1262" t="s">
        <v>654</v>
      </c>
      <c r="F117" s="1262" t="s">
        <v>634</v>
      </c>
      <c r="G117" s="1241"/>
      <c r="H117" s="1241"/>
      <c r="I117" s="1241"/>
      <c r="J117" s="1819" t="s">
        <v>760</v>
      </c>
      <c r="K117" s="1212" t="s">
        <v>498</v>
      </c>
      <c r="L117" s="1231">
        <v>0</v>
      </c>
      <c r="M117" s="1231">
        <v>0</v>
      </c>
      <c r="N117" s="1231">
        <v>0</v>
      </c>
      <c r="O117" s="1231">
        <v>0</v>
      </c>
      <c r="P117" s="1231">
        <v>0</v>
      </c>
      <c r="Q117" s="1231">
        <v>0</v>
      </c>
      <c r="R117" s="1231">
        <v>0</v>
      </c>
      <c r="S117" s="1817"/>
      <c r="T117" s="1817"/>
      <c r="U117" s="1817"/>
      <c r="V117" s="1817"/>
      <c r="W117" s="1817"/>
      <c r="X117" s="1817"/>
      <c r="Y117" s="1249"/>
    </row>
    <row r="118" spans="1:25" s="1194" customFormat="1" ht="14.45" customHeight="1">
      <c r="A118" s="1262" t="s">
        <v>619</v>
      </c>
      <c r="B118" s="1262" t="s">
        <v>736</v>
      </c>
      <c r="C118" s="1262"/>
      <c r="D118" s="1262" t="s">
        <v>645</v>
      </c>
      <c r="E118" s="1262" t="s">
        <v>656</v>
      </c>
      <c r="F118" s="1262" t="s">
        <v>634</v>
      </c>
      <c r="G118" s="1241"/>
      <c r="H118" s="1241"/>
      <c r="I118" s="1241"/>
      <c r="J118" s="1819" t="s">
        <v>761</v>
      </c>
      <c r="K118" s="1215" t="s">
        <v>658</v>
      </c>
      <c r="L118" s="1231">
        <v>0</v>
      </c>
      <c r="M118" s="1231">
        <v>0</v>
      </c>
      <c r="N118" s="1231">
        <v>0</v>
      </c>
      <c r="O118" s="1231">
        <v>0</v>
      </c>
      <c r="P118" s="1231">
        <v>0</v>
      </c>
      <c r="Q118" s="1231">
        <v>0</v>
      </c>
      <c r="R118" s="1231">
        <v>0</v>
      </c>
      <c r="S118" s="1231">
        <v>0</v>
      </c>
      <c r="T118" s="1231">
        <v>0</v>
      </c>
      <c r="U118" s="1231">
        <v>0</v>
      </c>
      <c r="V118" s="1231">
        <v>0</v>
      </c>
      <c r="W118" s="1231">
        <v>0</v>
      </c>
      <c r="X118" s="1231">
        <v>0</v>
      </c>
      <c r="Y118" s="1249"/>
    </row>
    <row r="119" spans="1:25" s="1194" customFormat="1" ht="14.45" customHeight="1">
      <c r="A119" s="1262" t="s">
        <v>619</v>
      </c>
      <c r="B119" s="1262" t="s">
        <v>736</v>
      </c>
      <c r="C119" s="1262"/>
      <c r="D119" s="1262" t="s">
        <v>645</v>
      </c>
      <c r="E119" s="1262" t="s">
        <v>661</v>
      </c>
      <c r="F119" s="1262" t="s">
        <v>634</v>
      </c>
      <c r="G119" s="1241"/>
      <c r="H119" s="1241"/>
      <c r="I119" s="1241"/>
      <c r="J119" s="1819" t="s">
        <v>762</v>
      </c>
      <c r="K119" s="1212" t="s">
        <v>498</v>
      </c>
      <c r="L119" s="1818">
        <f>SUM(L116:L118)</f>
        <v>0</v>
      </c>
      <c r="M119" s="1818">
        <f t="shared" ref="M119:X119" si="36">SUM(M116:M118)</f>
        <v>0</v>
      </c>
      <c r="N119" s="1818">
        <f t="shared" si="36"/>
        <v>0</v>
      </c>
      <c r="O119" s="1818">
        <f t="shared" si="36"/>
        <v>0</v>
      </c>
      <c r="P119" s="1818">
        <f t="shared" si="36"/>
        <v>0</v>
      </c>
      <c r="Q119" s="1818">
        <f t="shared" si="36"/>
        <v>0</v>
      </c>
      <c r="R119" s="1818">
        <f t="shared" si="36"/>
        <v>0</v>
      </c>
      <c r="S119" s="1818">
        <f t="shared" si="36"/>
        <v>0</v>
      </c>
      <c r="T119" s="1818">
        <f t="shared" si="36"/>
        <v>0</v>
      </c>
      <c r="U119" s="1818">
        <f t="shared" si="36"/>
        <v>0</v>
      </c>
      <c r="V119" s="1818">
        <f t="shared" si="36"/>
        <v>0</v>
      </c>
      <c r="W119" s="1818">
        <f t="shared" si="36"/>
        <v>0</v>
      </c>
      <c r="X119" s="1818">
        <f t="shared" si="36"/>
        <v>0</v>
      </c>
      <c r="Y119" s="1249"/>
    </row>
    <row r="120" spans="1:25" s="1194" customFormat="1" ht="14.45" customHeight="1">
      <c r="A120" s="1262" t="s">
        <v>619</v>
      </c>
      <c r="B120" s="1262" t="s">
        <v>736</v>
      </c>
      <c r="C120" s="1262"/>
      <c r="D120" s="1262" t="s">
        <v>645</v>
      </c>
      <c r="E120" s="1262" t="s">
        <v>663</v>
      </c>
      <c r="F120" s="1262" t="s">
        <v>634</v>
      </c>
      <c r="G120" s="1241"/>
      <c r="H120" s="1241"/>
      <c r="I120" s="1241"/>
      <c r="J120" s="1215" t="s">
        <v>763</v>
      </c>
      <c r="K120" s="1212" t="s">
        <v>498</v>
      </c>
      <c r="L120" s="1231">
        <v>0</v>
      </c>
      <c r="M120" s="1231">
        <v>0</v>
      </c>
      <c r="N120" s="1231">
        <v>0</v>
      </c>
      <c r="O120" s="1231">
        <v>0</v>
      </c>
      <c r="P120" s="1231">
        <v>0</v>
      </c>
      <c r="Q120" s="1231">
        <v>0</v>
      </c>
      <c r="R120" s="1231">
        <v>0</v>
      </c>
      <c r="S120" s="1231">
        <v>0</v>
      </c>
      <c r="T120" s="1231">
        <v>0</v>
      </c>
      <c r="U120" s="1231">
        <v>0</v>
      </c>
      <c r="V120" s="1231">
        <v>0</v>
      </c>
      <c r="W120" s="1231">
        <v>0</v>
      </c>
      <c r="X120" s="1231">
        <v>0</v>
      </c>
      <c r="Y120" s="1277"/>
    </row>
    <row r="121" spans="1:25" s="1194" customFormat="1" ht="14.45" customHeight="1">
      <c r="A121" s="1262" t="s">
        <v>619</v>
      </c>
      <c r="B121" s="1262" t="s">
        <v>736</v>
      </c>
      <c r="C121" s="1262"/>
      <c r="D121" s="1262" t="s">
        <v>645</v>
      </c>
      <c r="E121" s="1262" t="s">
        <v>679</v>
      </c>
      <c r="F121" s="1262" t="s">
        <v>634</v>
      </c>
      <c r="G121" s="1241"/>
      <c r="H121" s="1241"/>
      <c r="I121" s="1241"/>
      <c r="J121" s="1215" t="s">
        <v>764</v>
      </c>
      <c r="K121" s="1269" t="s">
        <v>627</v>
      </c>
      <c r="L121" s="1217">
        <v>0</v>
      </c>
      <c r="M121" s="1217">
        <v>0</v>
      </c>
      <c r="N121" s="1217">
        <v>0</v>
      </c>
      <c r="O121" s="1217">
        <v>0</v>
      </c>
      <c r="P121" s="1217">
        <v>0</v>
      </c>
      <c r="Q121" s="1217">
        <v>0</v>
      </c>
      <c r="R121" s="1217">
        <v>0</v>
      </c>
      <c r="S121" s="1217">
        <v>0</v>
      </c>
      <c r="T121" s="1217">
        <v>0</v>
      </c>
      <c r="U121" s="1217">
        <v>0</v>
      </c>
      <c r="V121" s="1217">
        <v>0</v>
      </c>
      <c r="W121" s="1217">
        <v>0</v>
      </c>
      <c r="X121" s="1217">
        <v>0</v>
      </c>
      <c r="Y121" s="1249"/>
    </row>
    <row r="122" spans="1:25" s="1194" customFormat="1" ht="14.45" customHeight="1">
      <c r="A122" s="1262" t="s">
        <v>619</v>
      </c>
      <c r="B122" s="1262" t="s">
        <v>736</v>
      </c>
      <c r="C122" s="1262"/>
      <c r="D122" s="1262" t="s">
        <v>695</v>
      </c>
      <c r="E122" s="1262" t="s">
        <v>652</v>
      </c>
      <c r="F122" s="1262" t="s">
        <v>634</v>
      </c>
      <c r="G122" s="1241"/>
      <c r="H122" s="1241"/>
      <c r="I122" s="1241"/>
      <c r="J122" s="1819" t="s">
        <v>765</v>
      </c>
      <c r="K122" s="1212" t="s">
        <v>498</v>
      </c>
      <c r="L122" s="1231">
        <v>0</v>
      </c>
      <c r="M122" s="1276">
        <f>L126</f>
        <v>0</v>
      </c>
      <c r="N122" s="1276">
        <f t="shared" ref="N122:X122" si="37">M126</f>
        <v>0</v>
      </c>
      <c r="O122" s="1276">
        <f t="shared" si="37"/>
        <v>0</v>
      </c>
      <c r="P122" s="1276">
        <f t="shared" si="37"/>
        <v>0</v>
      </c>
      <c r="Q122" s="1276">
        <f t="shared" si="37"/>
        <v>0</v>
      </c>
      <c r="R122" s="1276">
        <f t="shared" si="37"/>
        <v>0</v>
      </c>
      <c r="S122" s="1276">
        <f t="shared" si="37"/>
        <v>0</v>
      </c>
      <c r="T122" s="1276">
        <f t="shared" si="37"/>
        <v>0</v>
      </c>
      <c r="U122" s="1276">
        <f t="shared" si="37"/>
        <v>0</v>
      </c>
      <c r="V122" s="1276">
        <f t="shared" si="37"/>
        <v>0</v>
      </c>
      <c r="W122" s="1276">
        <f t="shared" si="37"/>
        <v>0</v>
      </c>
      <c r="X122" s="1276">
        <f t="shared" si="37"/>
        <v>0</v>
      </c>
      <c r="Y122" s="1249"/>
    </row>
    <row r="123" spans="1:25" s="1194" customFormat="1" ht="15" customHeight="1">
      <c r="A123" s="1262" t="s">
        <v>619</v>
      </c>
      <c r="B123" s="1262" t="s">
        <v>736</v>
      </c>
      <c r="C123" s="1262"/>
      <c r="D123" s="1262" t="s">
        <v>695</v>
      </c>
      <c r="E123" s="1262" t="s">
        <v>654</v>
      </c>
      <c r="F123" s="1262" t="s">
        <v>634</v>
      </c>
      <c r="G123" s="1241"/>
      <c r="H123" s="1241"/>
      <c r="I123" s="1241"/>
      <c r="J123" s="1819" t="s">
        <v>766</v>
      </c>
      <c r="K123" s="1212" t="s">
        <v>498</v>
      </c>
      <c r="L123" s="1231">
        <v>0</v>
      </c>
      <c r="M123" s="1231">
        <v>0</v>
      </c>
      <c r="N123" s="1231">
        <v>0</v>
      </c>
      <c r="O123" s="1231">
        <v>0</v>
      </c>
      <c r="P123" s="1231">
        <v>0</v>
      </c>
      <c r="Q123" s="1231">
        <v>0</v>
      </c>
      <c r="R123" s="1231">
        <v>0</v>
      </c>
      <c r="S123" s="1817"/>
      <c r="T123" s="1817"/>
      <c r="U123" s="1817"/>
      <c r="V123" s="1817"/>
      <c r="W123" s="1817"/>
      <c r="X123" s="1817"/>
      <c r="Y123" s="1249"/>
    </row>
    <row r="124" spans="1:25" s="1194" customFormat="1" ht="14.45" customHeight="1">
      <c r="A124" s="1262" t="s">
        <v>619</v>
      </c>
      <c r="B124" s="1262" t="s">
        <v>736</v>
      </c>
      <c r="C124" s="1262"/>
      <c r="D124" s="1262" t="s">
        <v>695</v>
      </c>
      <c r="E124" s="1262" t="s">
        <v>656</v>
      </c>
      <c r="F124" s="1262" t="s">
        <v>634</v>
      </c>
      <c r="G124" s="1241"/>
      <c r="H124" s="1241"/>
      <c r="I124" s="1241"/>
      <c r="J124" s="1819" t="s">
        <v>767</v>
      </c>
      <c r="K124" s="1212" t="s">
        <v>658</v>
      </c>
      <c r="L124" s="1231">
        <v>0</v>
      </c>
      <c r="M124" s="1231">
        <v>0</v>
      </c>
      <c r="N124" s="1231">
        <v>0</v>
      </c>
      <c r="O124" s="1231">
        <v>0</v>
      </c>
      <c r="P124" s="1231">
        <v>0</v>
      </c>
      <c r="Q124" s="1231">
        <v>0</v>
      </c>
      <c r="R124" s="1231">
        <v>0</v>
      </c>
      <c r="S124" s="1231">
        <v>0</v>
      </c>
      <c r="T124" s="1231">
        <v>0</v>
      </c>
      <c r="U124" s="1231">
        <v>0</v>
      </c>
      <c r="V124" s="1231">
        <v>0</v>
      </c>
      <c r="W124" s="1231">
        <v>0</v>
      </c>
      <c r="X124" s="1231">
        <v>0</v>
      </c>
      <c r="Y124" s="1249"/>
    </row>
    <row r="125" spans="1:25" s="1194" customFormat="1" ht="14.45" customHeight="1">
      <c r="A125" s="1262" t="s">
        <v>619</v>
      </c>
      <c r="B125" s="1262" t="s">
        <v>736</v>
      </c>
      <c r="C125" s="1262"/>
      <c r="D125" s="1262" t="s">
        <v>695</v>
      </c>
      <c r="E125" s="1262" t="s">
        <v>699</v>
      </c>
      <c r="F125" s="1262" t="s">
        <v>634</v>
      </c>
      <c r="G125" s="1241"/>
      <c r="H125" s="1241"/>
      <c r="I125" s="1241"/>
      <c r="J125" s="1215" t="s">
        <v>700</v>
      </c>
      <c r="K125" s="1212" t="s">
        <v>498</v>
      </c>
      <c r="L125" s="1231">
        <v>0</v>
      </c>
      <c r="M125" s="1231">
        <v>0</v>
      </c>
      <c r="N125" s="1231">
        <v>0</v>
      </c>
      <c r="O125" s="1231">
        <v>0</v>
      </c>
      <c r="P125" s="1231">
        <v>0</v>
      </c>
      <c r="Q125" s="1231">
        <v>0</v>
      </c>
      <c r="R125" s="1231">
        <v>0</v>
      </c>
      <c r="S125" s="1231">
        <v>0</v>
      </c>
      <c r="T125" s="1231">
        <v>0</v>
      </c>
      <c r="U125" s="1231">
        <v>0</v>
      </c>
      <c r="V125" s="1231">
        <v>0</v>
      </c>
      <c r="W125" s="1231">
        <v>0</v>
      </c>
      <c r="X125" s="1231">
        <v>0</v>
      </c>
      <c r="Y125" s="1252"/>
    </row>
    <row r="126" spans="1:25" s="1194" customFormat="1" ht="14.45" customHeight="1">
      <c r="A126" s="1262" t="s">
        <v>619</v>
      </c>
      <c r="B126" s="1262" t="s">
        <v>736</v>
      </c>
      <c r="C126" s="1262"/>
      <c r="D126" s="1262" t="s">
        <v>695</v>
      </c>
      <c r="E126" s="1262" t="s">
        <v>661</v>
      </c>
      <c r="F126" s="1262" t="s">
        <v>634</v>
      </c>
      <c r="G126" s="1241"/>
      <c r="H126" s="1241"/>
      <c r="I126" s="1241"/>
      <c r="J126" s="1819" t="s">
        <v>768</v>
      </c>
      <c r="K126" s="1212" t="s">
        <v>498</v>
      </c>
      <c r="L126" s="1818">
        <f>SUM(L122:L125)</f>
        <v>0</v>
      </c>
      <c r="M126" s="1818">
        <f t="shared" ref="M126:X126" si="38">SUM(M122:M125)</f>
        <v>0</v>
      </c>
      <c r="N126" s="1818">
        <f t="shared" si="38"/>
        <v>0</v>
      </c>
      <c r="O126" s="1818">
        <f t="shared" si="38"/>
        <v>0</v>
      </c>
      <c r="P126" s="1818">
        <f t="shared" si="38"/>
        <v>0</v>
      </c>
      <c r="Q126" s="1818">
        <f t="shared" si="38"/>
        <v>0</v>
      </c>
      <c r="R126" s="1818">
        <f t="shared" si="38"/>
        <v>0</v>
      </c>
      <c r="S126" s="1818">
        <f t="shared" si="38"/>
        <v>0</v>
      </c>
      <c r="T126" s="1818">
        <f t="shared" si="38"/>
        <v>0</v>
      </c>
      <c r="U126" s="1818">
        <f t="shared" si="38"/>
        <v>0</v>
      </c>
      <c r="V126" s="1818">
        <f t="shared" si="38"/>
        <v>0</v>
      </c>
      <c r="W126" s="1818">
        <f t="shared" si="38"/>
        <v>0</v>
      </c>
      <c r="X126" s="1818">
        <f t="shared" si="38"/>
        <v>0</v>
      </c>
      <c r="Y126" s="1249"/>
    </row>
    <row r="127" spans="1:25" s="1194" customFormat="1" ht="14.45" customHeight="1">
      <c r="A127" s="1262" t="s">
        <v>619</v>
      </c>
      <c r="B127" s="1262" t="s">
        <v>736</v>
      </c>
      <c r="C127" s="1262"/>
      <c r="D127" s="1262" t="s">
        <v>695</v>
      </c>
      <c r="E127" s="1262" t="s">
        <v>663</v>
      </c>
      <c r="F127" s="1262" t="s">
        <v>634</v>
      </c>
      <c r="G127" s="1241"/>
      <c r="H127" s="1241"/>
      <c r="I127" s="1241"/>
      <c r="J127" s="1215" t="s">
        <v>769</v>
      </c>
      <c r="K127" s="1212" t="s">
        <v>498</v>
      </c>
      <c r="L127" s="1231">
        <v>0</v>
      </c>
      <c r="M127" s="1231">
        <v>0</v>
      </c>
      <c r="N127" s="1231">
        <v>0</v>
      </c>
      <c r="O127" s="1231">
        <v>0</v>
      </c>
      <c r="P127" s="1231">
        <v>0</v>
      </c>
      <c r="Q127" s="1231">
        <v>0</v>
      </c>
      <c r="R127" s="1231">
        <v>0</v>
      </c>
      <c r="S127" s="1231">
        <v>0</v>
      </c>
      <c r="T127" s="1231">
        <v>0</v>
      </c>
      <c r="U127" s="1231">
        <v>0</v>
      </c>
      <c r="V127" s="1231">
        <v>0</v>
      </c>
      <c r="W127" s="1231">
        <v>0</v>
      </c>
      <c r="X127" s="1231">
        <v>0</v>
      </c>
      <c r="Y127" s="1277"/>
    </row>
    <row r="128" spans="1:25" s="1194" customFormat="1" ht="14.45" customHeight="1">
      <c r="A128" s="1262" t="s">
        <v>619</v>
      </c>
      <c r="B128" s="1262" t="s">
        <v>736</v>
      </c>
      <c r="C128" s="1262"/>
      <c r="D128" s="1262" t="s">
        <v>695</v>
      </c>
      <c r="E128" s="1262" t="s">
        <v>703</v>
      </c>
      <c r="F128" s="1262" t="s">
        <v>637</v>
      </c>
      <c r="G128" s="1241"/>
      <c r="H128" s="1241"/>
      <c r="I128" s="1241"/>
      <c r="J128" s="1215" t="s">
        <v>770</v>
      </c>
      <c r="K128" s="1269" t="s">
        <v>627</v>
      </c>
      <c r="L128" s="1217">
        <v>0</v>
      </c>
      <c r="M128" s="1217">
        <v>0</v>
      </c>
      <c r="N128" s="1217">
        <v>0</v>
      </c>
      <c r="O128" s="1217">
        <v>0</v>
      </c>
      <c r="P128" s="1217">
        <v>0</v>
      </c>
      <c r="Q128" s="1217">
        <v>0</v>
      </c>
      <c r="R128" s="1217">
        <v>0</v>
      </c>
      <c r="S128" s="1217">
        <v>0</v>
      </c>
      <c r="T128" s="1217">
        <v>0</v>
      </c>
      <c r="U128" s="1217">
        <v>0</v>
      </c>
      <c r="V128" s="1217">
        <v>0</v>
      </c>
      <c r="W128" s="1217">
        <v>0</v>
      </c>
      <c r="X128" s="1217">
        <v>0</v>
      </c>
      <c r="Y128" s="1249"/>
    </row>
    <row r="129" spans="1:25" s="1194" customFormat="1" ht="14.45" customHeight="1">
      <c r="A129" s="1262" t="s">
        <v>619</v>
      </c>
      <c r="B129" s="1262" t="s">
        <v>736</v>
      </c>
      <c r="C129" s="1262"/>
      <c r="D129" s="1262" t="s">
        <v>695</v>
      </c>
      <c r="E129" s="1262" t="s">
        <v>771</v>
      </c>
      <c r="F129" s="1262" t="s">
        <v>634</v>
      </c>
      <c r="G129" s="1241"/>
      <c r="H129" s="1241"/>
      <c r="I129" s="1241"/>
      <c r="J129" s="1215" t="s">
        <v>772</v>
      </c>
      <c r="K129" s="1212" t="s">
        <v>498</v>
      </c>
      <c r="L129" s="1231">
        <v>0</v>
      </c>
      <c r="M129" s="1231">
        <v>0</v>
      </c>
      <c r="N129" s="1231">
        <v>0</v>
      </c>
      <c r="O129" s="1231">
        <v>0</v>
      </c>
      <c r="P129" s="1231">
        <v>0</v>
      </c>
      <c r="Q129" s="1231">
        <v>0</v>
      </c>
      <c r="R129" s="1231">
        <v>0</v>
      </c>
      <c r="S129" s="1231">
        <v>0</v>
      </c>
      <c r="T129" s="1231">
        <v>0</v>
      </c>
      <c r="U129" s="1231">
        <v>0</v>
      </c>
      <c r="V129" s="1231">
        <v>0</v>
      </c>
      <c r="W129" s="1231">
        <v>0</v>
      </c>
      <c r="X129" s="1231">
        <v>0</v>
      </c>
      <c r="Y129" s="1252"/>
    </row>
    <row r="130" spans="1:25" s="1194" customFormat="1" ht="14.45" customHeight="1">
      <c r="A130" s="1262" t="s">
        <v>619</v>
      </c>
      <c r="B130" s="1262" t="s">
        <v>736</v>
      </c>
      <c r="C130" s="1262"/>
      <c r="D130" s="1262" t="s">
        <v>705</v>
      </c>
      <c r="E130" s="1262" t="s">
        <v>652</v>
      </c>
      <c r="F130" s="1262" t="s">
        <v>634</v>
      </c>
      <c r="G130" s="1241"/>
      <c r="H130" s="1241"/>
      <c r="I130" s="1241"/>
      <c r="J130" t="s">
        <v>773</v>
      </c>
      <c r="K130" s="1212" t="s">
        <v>498</v>
      </c>
      <c r="L130" s="1231">
        <v>0</v>
      </c>
      <c r="M130" s="1276">
        <f>L134</f>
        <v>0</v>
      </c>
      <c r="N130" s="1276">
        <f t="shared" ref="N130:X130" si="39">M134</f>
        <v>0</v>
      </c>
      <c r="O130" s="1276">
        <f t="shared" si="39"/>
        <v>0</v>
      </c>
      <c r="P130" s="1276">
        <f t="shared" si="39"/>
        <v>0</v>
      </c>
      <c r="Q130" s="1276">
        <f t="shared" si="39"/>
        <v>0</v>
      </c>
      <c r="R130" s="1276">
        <f t="shared" si="39"/>
        <v>0</v>
      </c>
      <c r="S130" s="1276">
        <f t="shared" si="39"/>
        <v>0</v>
      </c>
      <c r="T130" s="1276">
        <f t="shared" si="39"/>
        <v>0</v>
      </c>
      <c r="U130" s="1276">
        <f t="shared" si="39"/>
        <v>0</v>
      </c>
      <c r="V130" s="1276">
        <f t="shared" si="39"/>
        <v>0</v>
      </c>
      <c r="W130" s="1276">
        <f t="shared" si="39"/>
        <v>0</v>
      </c>
      <c r="X130" s="1276">
        <f t="shared" si="39"/>
        <v>0</v>
      </c>
      <c r="Y130" s="1249"/>
    </row>
    <row r="131" spans="1:25" s="1194" customFormat="1" ht="14.45" customHeight="1">
      <c r="A131" s="1262" t="s">
        <v>619</v>
      </c>
      <c r="B131" s="1262" t="s">
        <v>736</v>
      </c>
      <c r="C131" s="1262"/>
      <c r="D131" s="1262" t="s">
        <v>705</v>
      </c>
      <c r="E131" s="1262" t="s">
        <v>654</v>
      </c>
      <c r="F131" s="1262" t="s">
        <v>634</v>
      </c>
      <c r="G131" s="1241"/>
      <c r="H131" s="1241"/>
      <c r="I131" s="1241"/>
      <c r="J131" s="1819" t="s">
        <v>774</v>
      </c>
      <c r="K131" s="1212" t="s">
        <v>498</v>
      </c>
      <c r="L131" s="1231">
        <v>0</v>
      </c>
      <c r="M131" s="1231">
        <v>0</v>
      </c>
      <c r="N131" s="1231">
        <v>0</v>
      </c>
      <c r="O131" s="1231">
        <v>0</v>
      </c>
      <c r="P131" s="1231">
        <v>0</v>
      </c>
      <c r="Q131" s="1231">
        <v>0</v>
      </c>
      <c r="R131" s="1231">
        <v>0</v>
      </c>
      <c r="S131" s="1817"/>
      <c r="T131" s="1817"/>
      <c r="U131" s="1817"/>
      <c r="V131" s="1817"/>
      <c r="W131" s="1817"/>
      <c r="X131" s="1817"/>
      <c r="Y131" s="1249"/>
    </row>
    <row r="132" spans="1:25" s="1194" customFormat="1" ht="14.45" customHeight="1">
      <c r="A132" s="1262" t="s">
        <v>619</v>
      </c>
      <c r="B132" s="1262" t="s">
        <v>736</v>
      </c>
      <c r="C132" s="1262"/>
      <c r="D132" s="1262" t="s">
        <v>705</v>
      </c>
      <c r="E132" s="1262" t="s">
        <v>656</v>
      </c>
      <c r="F132" s="1262" t="s">
        <v>634</v>
      </c>
      <c r="G132" s="1241"/>
      <c r="H132" s="1241"/>
      <c r="I132" s="1241"/>
      <c r="J132" s="1819" t="s">
        <v>775</v>
      </c>
      <c r="K132" s="1212" t="s">
        <v>658</v>
      </c>
      <c r="L132" s="1231">
        <v>0</v>
      </c>
      <c r="M132" s="1231">
        <v>0</v>
      </c>
      <c r="N132" s="1231">
        <v>0</v>
      </c>
      <c r="O132" s="1231">
        <v>0</v>
      </c>
      <c r="P132" s="1231">
        <v>0</v>
      </c>
      <c r="Q132" s="1231">
        <v>0</v>
      </c>
      <c r="R132" s="1231">
        <v>0</v>
      </c>
      <c r="S132" s="1231">
        <v>0</v>
      </c>
      <c r="T132" s="1231">
        <v>0</v>
      </c>
      <c r="U132" s="1231">
        <v>0</v>
      </c>
      <c r="V132" s="1231">
        <v>0</v>
      </c>
      <c r="W132" s="1231">
        <v>0</v>
      </c>
      <c r="X132" s="1231">
        <v>0</v>
      </c>
      <c r="Y132" s="1249"/>
    </row>
    <row r="133" spans="1:25" s="1194" customFormat="1" ht="14.45" customHeight="1">
      <c r="A133" s="1262" t="s">
        <v>619</v>
      </c>
      <c r="B133" s="1262" t="s">
        <v>736</v>
      </c>
      <c r="C133" s="1262"/>
      <c r="D133" s="1262" t="s">
        <v>705</v>
      </c>
      <c r="E133" s="1262" t="s">
        <v>699</v>
      </c>
      <c r="F133" s="1262" t="s">
        <v>634</v>
      </c>
      <c r="G133" s="1241"/>
      <c r="H133" s="1241"/>
      <c r="I133" s="1241"/>
      <c r="J133" s="1215" t="s">
        <v>776</v>
      </c>
      <c r="K133" s="1212" t="s">
        <v>498</v>
      </c>
      <c r="L133" s="1231">
        <v>0</v>
      </c>
      <c r="M133" s="1231">
        <v>0</v>
      </c>
      <c r="N133" s="1231">
        <v>0</v>
      </c>
      <c r="O133" s="1231">
        <v>0</v>
      </c>
      <c r="P133" s="1231">
        <v>0</v>
      </c>
      <c r="Q133" s="1231">
        <v>0</v>
      </c>
      <c r="R133" s="1231">
        <v>0</v>
      </c>
      <c r="S133" s="1231">
        <v>0</v>
      </c>
      <c r="T133" s="1231">
        <v>0</v>
      </c>
      <c r="U133" s="1231">
        <v>0</v>
      </c>
      <c r="V133" s="1231">
        <v>0</v>
      </c>
      <c r="W133" s="1231">
        <v>0</v>
      </c>
      <c r="X133" s="1231">
        <v>0</v>
      </c>
      <c r="Y133" s="1252"/>
    </row>
    <row r="134" spans="1:25" s="1194" customFormat="1" ht="14.45" customHeight="1">
      <c r="A134" s="1262" t="s">
        <v>619</v>
      </c>
      <c r="B134" s="1262" t="s">
        <v>736</v>
      </c>
      <c r="C134" s="1262"/>
      <c r="D134" s="1262" t="s">
        <v>705</v>
      </c>
      <c r="E134" s="1262" t="s">
        <v>661</v>
      </c>
      <c r="F134" s="1262" t="s">
        <v>634</v>
      </c>
      <c r="G134" s="1241"/>
      <c r="H134" s="1241"/>
      <c r="I134" s="1241"/>
      <c r="J134" s="1819" t="s">
        <v>777</v>
      </c>
      <c r="K134" s="1212" t="s">
        <v>498</v>
      </c>
      <c r="L134" s="1818">
        <f>SUM(L130:L133)</f>
        <v>0</v>
      </c>
      <c r="M134" s="1818">
        <f t="shared" ref="M134:X134" si="40">SUM(M130:M133)</f>
        <v>0</v>
      </c>
      <c r="N134" s="1818">
        <f t="shared" si="40"/>
        <v>0</v>
      </c>
      <c r="O134" s="1818">
        <f t="shared" si="40"/>
        <v>0</v>
      </c>
      <c r="P134" s="1818">
        <f t="shared" si="40"/>
        <v>0</v>
      </c>
      <c r="Q134" s="1818">
        <f t="shared" si="40"/>
        <v>0</v>
      </c>
      <c r="R134" s="1818">
        <f t="shared" si="40"/>
        <v>0</v>
      </c>
      <c r="S134" s="1818">
        <f t="shared" si="40"/>
        <v>0</v>
      </c>
      <c r="T134" s="1818">
        <f t="shared" si="40"/>
        <v>0</v>
      </c>
      <c r="U134" s="1818">
        <f t="shared" si="40"/>
        <v>0</v>
      </c>
      <c r="V134" s="1818">
        <f t="shared" si="40"/>
        <v>0</v>
      </c>
      <c r="W134" s="1818">
        <f t="shared" si="40"/>
        <v>0</v>
      </c>
      <c r="X134" s="1818">
        <f t="shared" si="40"/>
        <v>0</v>
      </c>
      <c r="Y134" s="1252"/>
    </row>
    <row r="135" spans="1:25" s="1194" customFormat="1" ht="14.45" customHeight="1">
      <c r="A135" s="1262" t="s">
        <v>619</v>
      </c>
      <c r="B135" s="1262" t="s">
        <v>736</v>
      </c>
      <c r="C135" s="1262"/>
      <c r="D135" s="1262" t="s">
        <v>705</v>
      </c>
      <c r="E135" s="1262" t="s">
        <v>663</v>
      </c>
      <c r="F135" s="1262" t="s">
        <v>634</v>
      </c>
      <c r="G135" s="1241"/>
      <c r="H135" s="1241"/>
      <c r="I135" s="1241"/>
      <c r="J135" s="1215" t="s">
        <v>778</v>
      </c>
      <c r="K135" s="1212" t="s">
        <v>498</v>
      </c>
      <c r="L135" s="1217">
        <v>0</v>
      </c>
      <c r="M135" s="1217">
        <v>0</v>
      </c>
      <c r="N135" s="1217">
        <v>0</v>
      </c>
      <c r="O135" s="1217">
        <v>0</v>
      </c>
      <c r="P135" s="1217">
        <v>0</v>
      </c>
      <c r="Q135" s="1217">
        <v>0</v>
      </c>
      <c r="R135" s="1217">
        <v>0</v>
      </c>
      <c r="S135" s="1217">
        <v>0</v>
      </c>
      <c r="T135" s="1217">
        <v>0</v>
      </c>
      <c r="U135" s="1217">
        <v>0</v>
      </c>
      <c r="V135" s="1217">
        <v>0</v>
      </c>
      <c r="W135" s="1217">
        <v>0</v>
      </c>
      <c r="X135" s="1217">
        <v>0</v>
      </c>
      <c r="Y135" s="1277"/>
    </row>
    <row r="136" spans="1:25" s="1194" customFormat="1" ht="14.45" customHeight="1">
      <c r="A136" s="1262" t="s">
        <v>619</v>
      </c>
      <c r="B136" s="1262" t="s">
        <v>736</v>
      </c>
      <c r="C136" s="1262"/>
      <c r="D136" s="1262" t="s">
        <v>705</v>
      </c>
      <c r="E136" s="1262" t="s">
        <v>703</v>
      </c>
      <c r="F136" s="1262" t="s">
        <v>637</v>
      </c>
      <c r="G136" s="1241"/>
      <c r="H136" s="1241"/>
      <c r="I136" s="1241"/>
      <c r="J136" s="1215" t="s">
        <v>779</v>
      </c>
      <c r="K136" s="1269" t="s">
        <v>627</v>
      </c>
      <c r="L136" s="1217">
        <v>0</v>
      </c>
      <c r="M136" s="1217">
        <v>0</v>
      </c>
      <c r="N136" s="1217">
        <v>0</v>
      </c>
      <c r="O136" s="1217">
        <v>0</v>
      </c>
      <c r="P136" s="1217">
        <v>0</v>
      </c>
      <c r="Q136" s="1217">
        <v>0</v>
      </c>
      <c r="R136" s="1217">
        <v>0</v>
      </c>
      <c r="S136" s="1217">
        <v>0</v>
      </c>
      <c r="T136" s="1217">
        <v>0</v>
      </c>
      <c r="U136" s="1217">
        <v>0</v>
      </c>
      <c r="V136" s="1217">
        <v>0</v>
      </c>
      <c r="W136" s="1217">
        <v>0</v>
      </c>
      <c r="X136" s="1217">
        <v>0</v>
      </c>
      <c r="Y136" s="1249"/>
    </row>
    <row r="137" spans="1:25" s="1194" customFormat="1" ht="14.45" customHeight="1">
      <c r="A137" s="1262" t="s">
        <v>619</v>
      </c>
      <c r="B137" s="1262" t="s">
        <v>736</v>
      </c>
      <c r="C137" s="1262"/>
      <c r="D137" s="1262" t="s">
        <v>705</v>
      </c>
      <c r="E137" s="1262" t="s">
        <v>771</v>
      </c>
      <c r="F137" s="1262" t="s">
        <v>634</v>
      </c>
      <c r="G137" s="1241"/>
      <c r="H137" s="1241"/>
      <c r="I137" s="1241"/>
      <c r="J137" s="1215" t="s">
        <v>780</v>
      </c>
      <c r="K137" s="1212" t="s">
        <v>498</v>
      </c>
      <c r="L137" s="1231">
        <v>0</v>
      </c>
      <c r="M137" s="1231">
        <v>0</v>
      </c>
      <c r="N137" s="1231">
        <v>0</v>
      </c>
      <c r="O137" s="1231">
        <v>0</v>
      </c>
      <c r="P137" s="1231">
        <v>0</v>
      </c>
      <c r="Q137" s="1231">
        <v>0</v>
      </c>
      <c r="R137" s="1231">
        <v>0</v>
      </c>
      <c r="S137" s="1231">
        <v>0</v>
      </c>
      <c r="T137" s="1231">
        <v>0</v>
      </c>
      <c r="U137" s="1231">
        <v>0</v>
      </c>
      <c r="V137" s="1231">
        <v>0</v>
      </c>
      <c r="W137" s="1231">
        <v>0</v>
      </c>
      <c r="X137" s="1231">
        <v>0</v>
      </c>
      <c r="Y137" s="1252"/>
    </row>
    <row r="138" spans="1:25" s="20" customFormat="1" ht="14.45" customHeight="1">
      <c r="A138" s="1262"/>
      <c r="B138" s="1262"/>
      <c r="C138" s="1262" t="s">
        <v>367</v>
      </c>
      <c r="D138" s="1262"/>
      <c r="E138" s="1262"/>
      <c r="F138" s="1262"/>
      <c r="Y138" s="1264"/>
    </row>
    <row r="139" spans="1:25" s="20" customFormat="1" ht="14.45" customHeight="1">
      <c r="A139" s="1262" t="s">
        <v>619</v>
      </c>
      <c r="B139" s="1262" t="s">
        <v>736</v>
      </c>
      <c r="C139" s="1262"/>
      <c r="D139" s="1262" t="s">
        <v>713</v>
      </c>
      <c r="E139" s="1262" t="s">
        <v>714</v>
      </c>
      <c r="F139" s="1262"/>
      <c r="J139" s="20" t="s">
        <v>715</v>
      </c>
      <c r="L139" s="1276" t="str">
        <f t="shared" ref="L139:X139" si="41">IF((L102+L108+L114+L120+L127+L135)=(L96),"OK","ERROR")</f>
        <v>OK</v>
      </c>
      <c r="M139" s="1276" t="str">
        <f t="shared" si="41"/>
        <v>OK</v>
      </c>
      <c r="N139" s="1276" t="str">
        <f t="shared" si="41"/>
        <v>OK</v>
      </c>
      <c r="O139" s="1276" t="str">
        <f t="shared" si="41"/>
        <v>OK</v>
      </c>
      <c r="P139" s="1276" t="str">
        <f t="shared" si="41"/>
        <v>OK</v>
      </c>
      <c r="Q139" s="1276" t="str">
        <f t="shared" si="41"/>
        <v>OK</v>
      </c>
      <c r="R139" s="1276" t="str">
        <f t="shared" si="41"/>
        <v>OK</v>
      </c>
      <c r="S139" s="1276" t="str">
        <f t="shared" si="41"/>
        <v>OK</v>
      </c>
      <c r="T139" s="1276" t="str">
        <f t="shared" si="41"/>
        <v>OK</v>
      </c>
      <c r="U139" s="1276" t="str">
        <f t="shared" si="41"/>
        <v>OK</v>
      </c>
      <c r="V139" s="1276" t="str">
        <f t="shared" si="41"/>
        <v>OK</v>
      </c>
      <c r="W139" s="1276" t="str">
        <f t="shared" si="41"/>
        <v>OK</v>
      </c>
      <c r="X139" s="1276" t="str">
        <f t="shared" si="41"/>
        <v>OK</v>
      </c>
      <c r="Y139" s="1264"/>
    </row>
    <row r="140" spans="1:25" s="20" customFormat="1" ht="14.45" customHeight="1">
      <c r="A140" s="1262"/>
      <c r="B140" s="1262"/>
      <c r="C140" s="1262" t="s">
        <v>367</v>
      </c>
      <c r="D140" s="1262"/>
      <c r="E140" s="1262"/>
      <c r="F140" s="1262"/>
      <c r="Y140" s="1264"/>
    </row>
    <row r="141" spans="1:25" s="1194" customFormat="1" ht="14.45" customHeight="1">
      <c r="A141" s="1262" t="s">
        <v>619</v>
      </c>
      <c r="B141" s="1262" t="s">
        <v>736</v>
      </c>
      <c r="C141" s="1262"/>
      <c r="D141" s="1262" t="s">
        <v>781</v>
      </c>
      <c r="E141" s="1262" t="s">
        <v>665</v>
      </c>
      <c r="F141" s="1262"/>
      <c r="G141" s="1241"/>
      <c r="H141" s="1241"/>
      <c r="I141" s="1241"/>
      <c r="J141" s="1215" t="s">
        <v>782</v>
      </c>
      <c r="K141" s="1269" t="s">
        <v>627</v>
      </c>
      <c r="L141" s="1290">
        <f t="shared" ref="L141:X141" si="42">IF(L102=0,0,L102/L$96)</f>
        <v>0.99722425664490921</v>
      </c>
      <c r="M141" s="1290">
        <f t="shared" si="42"/>
        <v>0.9891696422065146</v>
      </c>
      <c r="N141" s="1290">
        <f t="shared" si="42"/>
        <v>0.99346829403497205</v>
      </c>
      <c r="O141" s="1290">
        <f t="shared" si="42"/>
        <v>0.99622666203844279</v>
      </c>
      <c r="P141" s="1290">
        <f t="shared" si="42"/>
        <v>0.99166405834093008</v>
      </c>
      <c r="Q141" s="1290">
        <f t="shared" si="42"/>
        <v>0.97463068484427273</v>
      </c>
      <c r="R141" s="1290">
        <f t="shared" si="42"/>
        <v>1</v>
      </c>
      <c r="S141" s="1290">
        <f t="shared" si="42"/>
        <v>1</v>
      </c>
      <c r="T141" s="1290">
        <f t="shared" si="42"/>
        <v>1</v>
      </c>
      <c r="U141" s="1290">
        <f t="shared" si="42"/>
        <v>1</v>
      </c>
      <c r="V141" s="1290">
        <f t="shared" si="42"/>
        <v>1.0000000000000002</v>
      </c>
      <c r="W141" s="1290">
        <f t="shared" si="42"/>
        <v>1</v>
      </c>
      <c r="X141" s="1290">
        <f t="shared" si="42"/>
        <v>1</v>
      </c>
      <c r="Y141" s="1249"/>
    </row>
    <row r="142" spans="1:25" s="1194" customFormat="1" ht="14.45" customHeight="1">
      <c r="A142" s="1262" t="s">
        <v>619</v>
      </c>
      <c r="B142" s="1262" t="s">
        <v>736</v>
      </c>
      <c r="C142" s="1262"/>
      <c r="D142" s="1262" t="s">
        <v>781</v>
      </c>
      <c r="E142" s="1262" t="s">
        <v>641</v>
      </c>
      <c r="F142" s="1262"/>
      <c r="G142" s="1241"/>
      <c r="H142" s="1241"/>
      <c r="I142" s="1241"/>
      <c r="J142" s="1215" t="s">
        <v>783</v>
      </c>
      <c r="K142" s="1269" t="s">
        <v>627</v>
      </c>
      <c r="L142" s="1290">
        <f t="shared" ref="L142:X142" si="43">IF(L108=0,0,L108/L$96)</f>
        <v>2.7757433550908142E-3</v>
      </c>
      <c r="M142" s="1290">
        <f t="shared" si="43"/>
        <v>1.0830357793485391E-2</v>
      </c>
      <c r="N142" s="1290">
        <f t="shared" si="43"/>
        <v>6.531705965027973E-3</v>
      </c>
      <c r="O142" s="1290">
        <f t="shared" si="43"/>
        <v>3.773337961557187E-3</v>
      </c>
      <c r="P142" s="1290">
        <f t="shared" si="43"/>
        <v>8.3359416590698711E-3</v>
      </c>
      <c r="Q142" s="1290">
        <f t="shared" si="43"/>
        <v>2.5369315155727143E-2</v>
      </c>
      <c r="R142" s="1290">
        <f t="shared" si="43"/>
        <v>0</v>
      </c>
      <c r="S142" s="1290">
        <f t="shared" si="43"/>
        <v>0</v>
      </c>
      <c r="T142" s="1290">
        <f t="shared" si="43"/>
        <v>0</v>
      </c>
      <c r="U142" s="1290">
        <f t="shared" si="43"/>
        <v>0</v>
      </c>
      <c r="V142" s="1290">
        <f t="shared" si="43"/>
        <v>0</v>
      </c>
      <c r="W142" s="1290">
        <f t="shared" si="43"/>
        <v>0</v>
      </c>
      <c r="X142" s="1290">
        <f t="shared" si="43"/>
        <v>0</v>
      </c>
      <c r="Y142" s="1249"/>
    </row>
    <row r="143" spans="1:25" s="1194" customFormat="1" ht="14.45" customHeight="1">
      <c r="A143" s="1262" t="s">
        <v>619</v>
      </c>
      <c r="B143" s="1262" t="s">
        <v>736</v>
      </c>
      <c r="C143" s="1262"/>
      <c r="D143" s="1262" t="s">
        <v>781</v>
      </c>
      <c r="E143" s="1262" t="s">
        <v>643</v>
      </c>
      <c r="F143" s="1262"/>
      <c r="G143" s="1241"/>
      <c r="H143" s="1241"/>
      <c r="I143" s="1241"/>
      <c r="J143" s="1215" t="s">
        <v>784</v>
      </c>
      <c r="K143" s="1269" t="s">
        <v>627</v>
      </c>
      <c r="L143" s="1290">
        <f t="shared" ref="L143:X143" si="44">IF(L114=0,0,L114/L$96)</f>
        <v>0</v>
      </c>
      <c r="M143" s="1290">
        <f t="shared" si="44"/>
        <v>0</v>
      </c>
      <c r="N143" s="1290">
        <f t="shared" si="44"/>
        <v>0</v>
      </c>
      <c r="O143" s="1290">
        <f t="shared" si="44"/>
        <v>0</v>
      </c>
      <c r="P143" s="1290">
        <f t="shared" si="44"/>
        <v>0</v>
      </c>
      <c r="Q143" s="1290">
        <f t="shared" si="44"/>
        <v>0</v>
      </c>
      <c r="R143" s="1290">
        <f t="shared" si="44"/>
        <v>0</v>
      </c>
      <c r="S143" s="1290">
        <f t="shared" si="44"/>
        <v>0</v>
      </c>
      <c r="T143" s="1290">
        <f t="shared" si="44"/>
        <v>0</v>
      </c>
      <c r="U143" s="1290">
        <f t="shared" si="44"/>
        <v>0</v>
      </c>
      <c r="V143" s="1290">
        <f t="shared" si="44"/>
        <v>0</v>
      </c>
      <c r="W143" s="1290">
        <f t="shared" si="44"/>
        <v>0</v>
      </c>
      <c r="X143" s="1290">
        <f t="shared" si="44"/>
        <v>0</v>
      </c>
      <c r="Y143" s="1249"/>
    </row>
    <row r="144" spans="1:25" s="1194" customFormat="1" ht="14.45" customHeight="1">
      <c r="A144" s="1262" t="s">
        <v>619</v>
      </c>
      <c r="B144" s="1262" t="s">
        <v>736</v>
      </c>
      <c r="C144" s="1262"/>
      <c r="D144" s="1262" t="s">
        <v>781</v>
      </c>
      <c r="E144" s="1262" t="s">
        <v>645</v>
      </c>
      <c r="F144" s="1262"/>
      <c r="G144" s="1241"/>
      <c r="H144" s="1241"/>
      <c r="I144" s="1241"/>
      <c r="J144" s="1215" t="s">
        <v>785</v>
      </c>
      <c r="K144" s="1269" t="s">
        <v>627</v>
      </c>
      <c r="L144" s="1290">
        <f t="shared" ref="L144:X144" si="45">IF(L120=0,0,L120/L$96)</f>
        <v>0</v>
      </c>
      <c r="M144" s="1290">
        <f t="shared" si="45"/>
        <v>0</v>
      </c>
      <c r="N144" s="1290">
        <f t="shared" si="45"/>
        <v>0</v>
      </c>
      <c r="O144" s="1290">
        <f t="shared" si="45"/>
        <v>0</v>
      </c>
      <c r="P144" s="1290">
        <f t="shared" si="45"/>
        <v>0</v>
      </c>
      <c r="Q144" s="1290">
        <f t="shared" si="45"/>
        <v>0</v>
      </c>
      <c r="R144" s="1290">
        <f t="shared" si="45"/>
        <v>0</v>
      </c>
      <c r="S144" s="1290">
        <f t="shared" si="45"/>
        <v>0</v>
      </c>
      <c r="T144" s="1290">
        <f t="shared" si="45"/>
        <v>0</v>
      </c>
      <c r="U144" s="1290">
        <f t="shared" si="45"/>
        <v>0</v>
      </c>
      <c r="V144" s="1290">
        <f t="shared" si="45"/>
        <v>0</v>
      </c>
      <c r="W144" s="1290">
        <f t="shared" si="45"/>
        <v>0</v>
      </c>
      <c r="X144" s="1290">
        <f t="shared" si="45"/>
        <v>0</v>
      </c>
      <c r="Y144" s="1249"/>
    </row>
    <row r="145" spans="1:25" s="1194" customFormat="1" ht="14.45" customHeight="1">
      <c r="A145" s="1262" t="s">
        <v>619</v>
      </c>
      <c r="B145" s="1262" t="s">
        <v>736</v>
      </c>
      <c r="C145" s="1262"/>
      <c r="D145" s="1262" t="s">
        <v>781</v>
      </c>
      <c r="E145" s="1262" t="s">
        <v>695</v>
      </c>
      <c r="F145" s="1262"/>
      <c r="G145" s="1241"/>
      <c r="H145" s="1241"/>
      <c r="I145" s="1241"/>
      <c r="J145" s="1215" t="s">
        <v>786</v>
      </c>
      <c r="K145" s="1269" t="s">
        <v>627</v>
      </c>
      <c r="L145" s="1290">
        <f t="shared" ref="L145:X145" si="46">IF(L127=0,0,L127/L$96)</f>
        <v>0</v>
      </c>
      <c r="M145" s="1290">
        <f t="shared" si="46"/>
        <v>0</v>
      </c>
      <c r="N145" s="1290">
        <f t="shared" si="46"/>
        <v>0</v>
      </c>
      <c r="O145" s="1290">
        <f t="shared" si="46"/>
        <v>0</v>
      </c>
      <c r="P145" s="1290">
        <f t="shared" si="46"/>
        <v>0</v>
      </c>
      <c r="Q145" s="1290">
        <f t="shared" si="46"/>
        <v>0</v>
      </c>
      <c r="R145" s="1290">
        <f t="shared" si="46"/>
        <v>0</v>
      </c>
      <c r="S145" s="1290">
        <f t="shared" si="46"/>
        <v>0</v>
      </c>
      <c r="T145" s="1290">
        <f t="shared" si="46"/>
        <v>0</v>
      </c>
      <c r="U145" s="1290">
        <f t="shared" si="46"/>
        <v>0</v>
      </c>
      <c r="V145" s="1290">
        <f t="shared" si="46"/>
        <v>0</v>
      </c>
      <c r="W145" s="1290">
        <f t="shared" si="46"/>
        <v>0</v>
      </c>
      <c r="X145" s="1290">
        <f t="shared" si="46"/>
        <v>0</v>
      </c>
      <c r="Y145" s="1249"/>
    </row>
    <row r="146" spans="1:25" s="1194" customFormat="1" ht="14.45" customHeight="1">
      <c r="A146" s="1262" t="s">
        <v>619</v>
      </c>
      <c r="B146" s="1262" t="s">
        <v>736</v>
      </c>
      <c r="C146" s="1262"/>
      <c r="D146" s="1262" t="s">
        <v>781</v>
      </c>
      <c r="E146" s="1262" t="s">
        <v>787</v>
      </c>
      <c r="F146" s="1262"/>
      <c r="G146" s="1241"/>
      <c r="H146" s="1241"/>
      <c r="I146" s="1241"/>
      <c r="J146" s="1215" t="s">
        <v>788</v>
      </c>
      <c r="K146" s="1269" t="s">
        <v>627</v>
      </c>
      <c r="L146" s="1290">
        <f t="shared" ref="L146:X146" si="47">IF(L135=0,0,L135/L$96)</f>
        <v>0</v>
      </c>
      <c r="M146" s="1290">
        <f t="shared" si="47"/>
        <v>0</v>
      </c>
      <c r="N146" s="1290">
        <f t="shared" si="47"/>
        <v>0</v>
      </c>
      <c r="O146" s="1290">
        <f t="shared" si="47"/>
        <v>0</v>
      </c>
      <c r="P146" s="1290">
        <f t="shared" si="47"/>
        <v>0</v>
      </c>
      <c r="Q146" s="1290">
        <f t="shared" si="47"/>
        <v>0</v>
      </c>
      <c r="R146" s="1290">
        <f t="shared" si="47"/>
        <v>0</v>
      </c>
      <c r="S146" s="1290">
        <f t="shared" si="47"/>
        <v>0</v>
      </c>
      <c r="T146" s="1290">
        <f t="shared" si="47"/>
        <v>0</v>
      </c>
      <c r="U146" s="1290">
        <f t="shared" si="47"/>
        <v>0</v>
      </c>
      <c r="V146" s="1290">
        <f t="shared" si="47"/>
        <v>0</v>
      </c>
      <c r="W146" s="1290">
        <f t="shared" si="47"/>
        <v>0</v>
      </c>
      <c r="X146" s="1290">
        <f t="shared" si="47"/>
        <v>0</v>
      </c>
      <c r="Y146" s="1249"/>
    </row>
    <row r="147" spans="1:25" s="20" customFormat="1" ht="14.45" customHeight="1">
      <c r="A147" s="1262"/>
      <c r="B147" s="1262"/>
      <c r="C147" s="1262" t="s">
        <v>367</v>
      </c>
      <c r="D147" s="1262"/>
      <c r="E147" s="1262"/>
      <c r="F147" s="1262"/>
      <c r="Y147" s="1264"/>
    </row>
    <row r="148" spans="1:25" s="1194" customFormat="1" ht="14.45" customHeight="1">
      <c r="A148" s="1262" t="s">
        <v>619</v>
      </c>
      <c r="B148" s="1262" t="s">
        <v>736</v>
      </c>
      <c r="C148" s="1262"/>
      <c r="D148" s="1262" t="s">
        <v>713</v>
      </c>
      <c r="E148" s="1262" t="s">
        <v>729</v>
      </c>
      <c r="F148" s="1262"/>
      <c r="G148" s="1241"/>
      <c r="H148" s="20"/>
      <c r="I148" s="20"/>
      <c r="J148" s="1254" t="s">
        <v>789</v>
      </c>
      <c r="L148" s="1276" t="str">
        <f>IF(SUM(L141:L146)=100%,"OK","ERROR")</f>
        <v>OK</v>
      </c>
      <c r="M148" s="1276" t="str">
        <f t="shared" ref="M148:X148" si="48">IF(SUM(M141:M146)=100%,"OK","ERROR")</f>
        <v>OK</v>
      </c>
      <c r="N148" s="1276" t="str">
        <f t="shared" si="48"/>
        <v>OK</v>
      </c>
      <c r="O148" s="1276" t="str">
        <f t="shared" si="48"/>
        <v>OK</v>
      </c>
      <c r="P148" s="1276" t="str">
        <f t="shared" si="48"/>
        <v>OK</v>
      </c>
      <c r="Q148" s="1276" t="str">
        <f t="shared" si="48"/>
        <v>OK</v>
      </c>
      <c r="R148" s="1276" t="str">
        <f t="shared" si="48"/>
        <v>OK</v>
      </c>
      <c r="S148" s="1276" t="str">
        <f t="shared" si="48"/>
        <v>OK</v>
      </c>
      <c r="T148" s="1276" t="str">
        <f t="shared" si="48"/>
        <v>OK</v>
      </c>
      <c r="U148" s="1276" t="str">
        <f t="shared" si="48"/>
        <v>OK</v>
      </c>
      <c r="V148" s="1276" t="str">
        <f t="shared" si="48"/>
        <v>OK</v>
      </c>
      <c r="W148" s="1276" t="str">
        <f t="shared" si="48"/>
        <v>OK</v>
      </c>
      <c r="X148" s="1276" t="str">
        <f t="shared" si="48"/>
        <v>OK</v>
      </c>
      <c r="Y148" s="1277"/>
    </row>
    <row r="149" spans="1:25" s="20" customFormat="1" ht="14.45" customHeight="1">
      <c r="A149" s="1262"/>
      <c r="B149" s="1262"/>
      <c r="C149" s="1262" t="s">
        <v>367</v>
      </c>
      <c r="D149" s="1262"/>
      <c r="E149" s="1262"/>
      <c r="F149" s="1262"/>
      <c r="Y149" s="1264"/>
    </row>
    <row r="150" spans="1:25" s="20" customFormat="1" ht="14.45" customHeight="1">
      <c r="A150" s="1262"/>
      <c r="B150" s="1262"/>
      <c r="C150" s="1262" t="s">
        <v>367</v>
      </c>
      <c r="D150" s="1262"/>
      <c r="E150" s="1262"/>
      <c r="F150" s="1262"/>
      <c r="I150" s="1219" t="s">
        <v>790</v>
      </c>
      <c r="Y150" s="1264"/>
    </row>
    <row r="151" spans="1:25" s="20" customFormat="1" ht="14.45" customHeight="1">
      <c r="A151" s="1262" t="s">
        <v>619</v>
      </c>
      <c r="B151" s="1262" t="s">
        <v>791</v>
      </c>
      <c r="C151" s="1262"/>
      <c r="D151" s="1262" t="s">
        <v>792</v>
      </c>
      <c r="E151" s="1262" t="s">
        <v>793</v>
      </c>
      <c r="F151" s="1262" t="s">
        <v>634</v>
      </c>
      <c r="J151" s="20" t="s">
        <v>794</v>
      </c>
      <c r="K151" s="1212" t="s">
        <v>658</v>
      </c>
      <c r="L151" s="1231">
        <v>-2.6989258846153881</v>
      </c>
      <c r="M151" s="1231">
        <v>-3.0665142692307725</v>
      </c>
      <c r="N151" s="1231">
        <v>-3.3048693103448268</v>
      </c>
      <c r="O151" s="1231">
        <v>-2.6329041346153836</v>
      </c>
      <c r="P151" s="1231">
        <v>-2.3788131034482749</v>
      </c>
      <c r="Q151" s="1231">
        <v>-4.1112932758620682</v>
      </c>
      <c r="R151" s="1231">
        <v>-4.2300000000000004</v>
      </c>
      <c r="S151" s="2568">
        <v>-2.35</v>
      </c>
      <c r="T151" s="1231">
        <v>-2.4</v>
      </c>
      <c r="U151" s="1231">
        <v>-2.5</v>
      </c>
      <c r="V151" s="1231">
        <v>-2.5750000000000002</v>
      </c>
      <c r="W151" s="1231">
        <v>-2.6749999999999998</v>
      </c>
      <c r="X151" s="1231">
        <v>-2.75</v>
      </c>
      <c r="Y151" s="1264"/>
    </row>
    <row r="152" spans="1:25" s="20" customFormat="1" ht="14.45" customHeight="1">
      <c r="A152" s="1262" t="s">
        <v>619</v>
      </c>
      <c r="B152" s="1262" t="s">
        <v>791</v>
      </c>
      <c r="C152" s="1262"/>
      <c r="D152" s="1262" t="s">
        <v>730</v>
      </c>
      <c r="E152" s="1262" t="s">
        <v>793</v>
      </c>
      <c r="F152" s="1262" t="s">
        <v>634</v>
      </c>
      <c r="J152" s="20" t="s">
        <v>795</v>
      </c>
      <c r="K152" s="1212" t="s">
        <v>498</v>
      </c>
      <c r="L152" s="1231">
        <v>2.6989258846153881</v>
      </c>
      <c r="M152" s="1231">
        <v>3.0665142692307725</v>
      </c>
      <c r="N152" s="1231">
        <v>3.3048693103448268</v>
      </c>
      <c r="O152" s="1231">
        <v>2.6329041346153836</v>
      </c>
      <c r="P152" s="1231">
        <v>2.3788131034482749</v>
      </c>
      <c r="Q152" s="1231">
        <v>4.1112932758620682</v>
      </c>
      <c r="R152" s="1231">
        <v>4.2300000000000004</v>
      </c>
      <c r="S152" s="2568">
        <v>2.35</v>
      </c>
      <c r="T152" s="1231">
        <v>2.4</v>
      </c>
      <c r="U152" s="1231">
        <v>2.5</v>
      </c>
      <c r="V152" s="1231">
        <v>2.5750000000000002</v>
      </c>
      <c r="W152" s="1231">
        <v>2.6749999999999998</v>
      </c>
      <c r="X152" s="1231">
        <v>2.75</v>
      </c>
      <c r="Y152" s="1264"/>
    </row>
    <row r="153" spans="1:25" s="20" customFormat="1" ht="14.45" customHeight="1">
      <c r="A153" s="1262" t="s">
        <v>619</v>
      </c>
      <c r="B153" s="1262" t="s">
        <v>791</v>
      </c>
      <c r="C153" s="1262"/>
      <c r="D153" s="1262" t="s">
        <v>792</v>
      </c>
      <c r="E153" s="1262" t="s">
        <v>665</v>
      </c>
      <c r="F153" s="1262" t="s">
        <v>634</v>
      </c>
      <c r="J153" s="20" t="s">
        <v>796</v>
      </c>
      <c r="K153" s="1212" t="s">
        <v>658</v>
      </c>
      <c r="L153" s="1231">
        <v>-18.822199999999999</v>
      </c>
      <c r="M153" s="1231">
        <v>-18.822199999999999</v>
      </c>
      <c r="N153" s="1231">
        <v>-18.743825000000001</v>
      </c>
      <c r="O153" s="1231">
        <v>-18.743825000000001</v>
      </c>
      <c r="P153" s="1231">
        <v>-18.743825000000001</v>
      </c>
      <c r="Q153" s="1231">
        <v>-18.743825000000001</v>
      </c>
      <c r="R153" s="1231">
        <v>-18.743825000000001</v>
      </c>
      <c r="S153" s="2568">
        <v>-10.188124999999999</v>
      </c>
      <c r="T153" s="1231">
        <v>-10.188124999999999</v>
      </c>
      <c r="U153" s="1231">
        <v>-10.188124999999999</v>
      </c>
      <c r="V153" s="1231">
        <v>-10.188124999999999</v>
      </c>
      <c r="W153" s="1231">
        <v>-10.188124999999999</v>
      </c>
      <c r="X153" s="1231">
        <v>-10.188124999999999</v>
      </c>
      <c r="Y153" s="1264"/>
    </row>
    <row r="154" spans="1:25" s="20" customFormat="1" ht="14.45" customHeight="1">
      <c r="A154" s="1262" t="s">
        <v>619</v>
      </c>
      <c r="B154" s="1262" t="s">
        <v>791</v>
      </c>
      <c r="C154" s="1262"/>
      <c r="D154" s="1262" t="s">
        <v>730</v>
      </c>
      <c r="E154" s="1262" t="s">
        <v>665</v>
      </c>
      <c r="F154" s="1262" t="s">
        <v>634</v>
      </c>
      <c r="J154" s="20" t="s">
        <v>797</v>
      </c>
      <c r="K154" s="1212" t="s">
        <v>498</v>
      </c>
      <c r="L154" s="1231">
        <v>21.866250000000001</v>
      </c>
      <c r="M154" s="1231">
        <v>21.866250000000001</v>
      </c>
      <c r="N154" s="1231">
        <v>21.866250000000001</v>
      </c>
      <c r="O154" s="1231">
        <v>21.866250000000001</v>
      </c>
      <c r="P154" s="1231">
        <v>21.866250000000001</v>
      </c>
      <c r="Q154" s="1231">
        <v>21.866250000000001</v>
      </c>
      <c r="R154" s="1231">
        <v>21.866250000000001</v>
      </c>
      <c r="S154" s="2568">
        <v>11.6</v>
      </c>
      <c r="T154" s="1231">
        <v>11.6</v>
      </c>
      <c r="U154" s="1231">
        <v>11.6</v>
      </c>
      <c r="V154" s="1231">
        <v>11.6</v>
      </c>
      <c r="W154" s="1231">
        <v>11.6</v>
      </c>
      <c r="X154" s="1231">
        <v>11.6</v>
      </c>
      <c r="Y154" s="1264"/>
    </row>
    <row r="155" spans="1:25" s="20" customFormat="1" ht="14.45" customHeight="1">
      <c r="A155" s="1262" t="s">
        <v>619</v>
      </c>
      <c r="B155" s="1262" t="s">
        <v>791</v>
      </c>
      <c r="C155" s="1262"/>
      <c r="D155" s="1262" t="s">
        <v>792</v>
      </c>
      <c r="E155" s="1262" t="s">
        <v>695</v>
      </c>
      <c r="F155" s="1262" t="s">
        <v>634</v>
      </c>
      <c r="J155" s="20" t="s">
        <v>798</v>
      </c>
      <c r="K155" s="1212" t="s">
        <v>658</v>
      </c>
      <c r="L155" s="1231">
        <v>0</v>
      </c>
      <c r="M155" s="1231">
        <v>0</v>
      </c>
      <c r="N155" s="1231">
        <v>0</v>
      </c>
      <c r="O155" s="1231">
        <v>0</v>
      </c>
      <c r="P155" s="1231">
        <v>0</v>
      </c>
      <c r="Q155" s="1231">
        <v>0</v>
      </c>
      <c r="R155" s="1231">
        <v>0</v>
      </c>
      <c r="S155" s="1231">
        <v>0</v>
      </c>
      <c r="T155" s="1231">
        <v>0</v>
      </c>
      <c r="U155" s="1231">
        <v>0</v>
      </c>
      <c r="V155" s="1231">
        <v>0</v>
      </c>
      <c r="W155" s="1231">
        <v>0</v>
      </c>
      <c r="X155" s="1231">
        <v>0</v>
      </c>
      <c r="Y155" s="1264"/>
    </row>
    <row r="156" spans="1:25" s="20" customFormat="1" ht="14.45" customHeight="1">
      <c r="A156" s="1262" t="s">
        <v>619</v>
      </c>
      <c r="B156" s="1262" t="s">
        <v>791</v>
      </c>
      <c r="C156" s="1262"/>
      <c r="D156" s="1262" t="s">
        <v>730</v>
      </c>
      <c r="E156" s="1262" t="s">
        <v>695</v>
      </c>
      <c r="F156" s="1262" t="s">
        <v>634</v>
      </c>
      <c r="J156" s="20" t="s">
        <v>799</v>
      </c>
      <c r="K156" s="1212" t="s">
        <v>498</v>
      </c>
      <c r="L156" s="1231">
        <v>0</v>
      </c>
      <c r="M156" s="1231">
        <v>0</v>
      </c>
      <c r="N156" s="1231">
        <v>0</v>
      </c>
      <c r="O156" s="1231">
        <v>0</v>
      </c>
      <c r="P156" s="1231">
        <v>0</v>
      </c>
      <c r="Q156" s="1231">
        <v>0</v>
      </c>
      <c r="R156" s="1231">
        <v>0</v>
      </c>
      <c r="S156" s="1231">
        <v>0</v>
      </c>
      <c r="T156" s="1231">
        <v>0</v>
      </c>
      <c r="U156" s="1231">
        <v>0</v>
      </c>
      <c r="V156" s="1231">
        <v>0</v>
      </c>
      <c r="W156" s="1231">
        <v>0</v>
      </c>
      <c r="X156" s="1231">
        <v>0</v>
      </c>
      <c r="Y156" s="1264"/>
    </row>
    <row r="157" spans="1:25" s="20" customFormat="1" ht="14.45" customHeight="1">
      <c r="A157" s="1262" t="s">
        <v>619</v>
      </c>
      <c r="B157" s="1262" t="s">
        <v>791</v>
      </c>
      <c r="C157" s="1262"/>
      <c r="D157" s="1262" t="s">
        <v>792</v>
      </c>
      <c r="E157" s="1262" t="s">
        <v>705</v>
      </c>
      <c r="F157" s="1262" t="s">
        <v>634</v>
      </c>
      <c r="J157" s="20" t="s">
        <v>800</v>
      </c>
      <c r="K157" s="1212" t="s">
        <v>658</v>
      </c>
      <c r="L157" s="1231">
        <v>0</v>
      </c>
      <c r="M157" s="1231">
        <v>0</v>
      </c>
      <c r="N157" s="1231">
        <v>0</v>
      </c>
      <c r="O157" s="1231">
        <v>0</v>
      </c>
      <c r="P157" s="1231">
        <v>0</v>
      </c>
      <c r="Q157" s="1231">
        <v>0</v>
      </c>
      <c r="R157" s="1231">
        <v>0</v>
      </c>
      <c r="S157" s="1231">
        <v>0</v>
      </c>
      <c r="T157" s="1231">
        <v>0</v>
      </c>
      <c r="U157" s="1231">
        <v>0</v>
      </c>
      <c r="V157" s="1231">
        <v>0</v>
      </c>
      <c r="W157" s="1231">
        <v>0</v>
      </c>
      <c r="X157" s="1231">
        <v>0</v>
      </c>
      <c r="Y157" s="1264"/>
    </row>
    <row r="158" spans="1:25" s="20" customFormat="1" ht="14.45" customHeight="1">
      <c r="A158" s="1262" t="s">
        <v>619</v>
      </c>
      <c r="B158" s="1262" t="s">
        <v>791</v>
      </c>
      <c r="C158" s="1262"/>
      <c r="D158" s="1262" t="s">
        <v>730</v>
      </c>
      <c r="E158" s="1262" t="s">
        <v>705</v>
      </c>
      <c r="F158" s="1262" t="s">
        <v>634</v>
      </c>
      <c r="J158" s="20" t="s">
        <v>801</v>
      </c>
      <c r="K158" s="1212" t="s">
        <v>498</v>
      </c>
      <c r="L158" s="1231">
        <v>0</v>
      </c>
      <c r="M158" s="1231">
        <v>0</v>
      </c>
      <c r="N158" s="1231">
        <v>0</v>
      </c>
      <c r="O158" s="1231">
        <v>0</v>
      </c>
      <c r="P158" s="1231">
        <v>0</v>
      </c>
      <c r="Q158" s="1231">
        <v>0</v>
      </c>
      <c r="R158" s="1231">
        <v>0</v>
      </c>
      <c r="S158" s="1231">
        <v>0</v>
      </c>
      <c r="T158" s="1231">
        <v>0</v>
      </c>
      <c r="U158" s="1231">
        <v>0</v>
      </c>
      <c r="V158" s="1231">
        <v>0</v>
      </c>
      <c r="W158" s="1231">
        <v>0</v>
      </c>
      <c r="X158" s="1231">
        <v>0</v>
      </c>
      <c r="Y158" s="1264"/>
    </row>
    <row r="159" spans="1:25" s="20" customFormat="1" ht="14.45" customHeight="1">
      <c r="A159" s="1262"/>
      <c r="B159" s="1262"/>
      <c r="C159" s="1262" t="s">
        <v>367</v>
      </c>
      <c r="D159" s="1262"/>
      <c r="E159" s="1262"/>
      <c r="F159" s="1262"/>
      <c r="Y159" s="1264"/>
    </row>
    <row r="160" spans="1:25" s="1194" customFormat="1" ht="14.45" customHeight="1">
      <c r="A160" s="1262" t="s">
        <v>619</v>
      </c>
      <c r="B160" s="1262" t="s">
        <v>736</v>
      </c>
      <c r="C160" s="1262"/>
      <c r="D160" s="1262" t="s">
        <v>736</v>
      </c>
      <c r="E160" s="1262" t="s">
        <v>730</v>
      </c>
      <c r="F160" s="1262" t="s">
        <v>634</v>
      </c>
      <c r="J160" s="1289" t="s">
        <v>802</v>
      </c>
      <c r="K160" s="1212" t="s">
        <v>498</v>
      </c>
      <c r="L160" s="1231">
        <v>41.994149999999998</v>
      </c>
      <c r="M160" s="1231">
        <v>43.597550000000005</v>
      </c>
      <c r="N160" s="1231">
        <v>44.846150000000009</v>
      </c>
      <c r="O160" s="1231">
        <v>45.366812790000012</v>
      </c>
      <c r="P160" s="1231">
        <v>47.064485480000009</v>
      </c>
      <c r="Q160" s="1231">
        <v>48.498889799999986</v>
      </c>
      <c r="R160" s="1231">
        <v>46.613827297034668</v>
      </c>
      <c r="S160" s="2568">
        <v>39.911453169879728</v>
      </c>
      <c r="T160" s="1231">
        <v>39.205158475868949</v>
      </c>
      <c r="U160" s="1231">
        <v>38.546210771795472</v>
      </c>
      <c r="V160" s="1231">
        <v>37.38022709739046</v>
      </c>
      <c r="W160" s="1231">
        <v>33.43859767645656</v>
      </c>
      <c r="X160" s="1231">
        <v>31.0986174456126</v>
      </c>
      <c r="Y160" s="1252"/>
    </row>
    <row r="161" spans="1:25" s="1194" customFormat="1" ht="14.45" customHeight="1">
      <c r="A161" s="1262" t="s">
        <v>619</v>
      </c>
      <c r="B161" s="1262" t="s">
        <v>736</v>
      </c>
      <c r="C161" s="1262"/>
      <c r="D161" s="1262" t="s">
        <v>736</v>
      </c>
      <c r="E161" s="1262" t="s">
        <v>732</v>
      </c>
      <c r="F161" s="1262" t="s">
        <v>634</v>
      </c>
      <c r="J161" s="1289" t="s">
        <v>803</v>
      </c>
      <c r="K161" s="1212" t="s">
        <v>498</v>
      </c>
      <c r="L161" s="1276">
        <f>L102*L103+L108*(L$20+L109)+L114*(L$21+L115)+ L120*(L$22+L121)+L127*L128+L135*L136+L125+L133+L129+L137+SUM(L151:L158)</f>
        <v>42.619658640164388</v>
      </c>
      <c r="M161" s="1276">
        <f t="shared" ref="M161:X161" si="49">M102*M103+M108*(M$20+M109)+M114*(M$21+M115)+ M120*(M$22+M121)+M127*M128+M135*M136+M125+M133+M129+M137+SUM(M151:M158)</f>
        <v>43.976757346858889</v>
      </c>
      <c r="N161" s="1276">
        <f t="shared" si="49"/>
        <v>45.181978256740067</v>
      </c>
      <c r="O161" s="1276">
        <f t="shared" si="49"/>
        <v>45.590848341616244</v>
      </c>
      <c r="P161" s="1276">
        <f t="shared" si="49"/>
        <v>47.466846527814752</v>
      </c>
      <c r="Q161" s="1276">
        <f t="shared" si="49"/>
        <v>49.60525047161093</v>
      </c>
      <c r="R161" s="1276">
        <f t="shared" si="49"/>
        <v>47.2792656217621</v>
      </c>
      <c r="S161" s="1276">
        <f t="shared" si="49"/>
        <v>41.393276464743103</v>
      </c>
      <c r="T161" s="1276">
        <f t="shared" si="49"/>
        <v>41.475987407820234</v>
      </c>
      <c r="U161" s="1276">
        <f t="shared" si="49"/>
        <v>41.352266870638118</v>
      </c>
      <c r="V161" s="1276">
        <f t="shared" si="49"/>
        <v>40.920698707454854</v>
      </c>
      <c r="W161" s="1276">
        <f t="shared" si="49"/>
        <v>36.338073221275735</v>
      </c>
      <c r="X161" s="1276">
        <f t="shared" si="49"/>
        <v>34.528668680128746</v>
      </c>
      <c r="Y161" s="1277"/>
    </row>
    <row r="162" spans="1:25" s="1194" customFormat="1" ht="14.45" customHeight="1">
      <c r="A162" s="1262" t="s">
        <v>619</v>
      </c>
      <c r="B162" s="1262" t="s">
        <v>736</v>
      </c>
      <c r="C162" s="1262"/>
      <c r="D162" s="1262" t="s">
        <v>736</v>
      </c>
      <c r="E162" s="1262" t="s">
        <v>734</v>
      </c>
      <c r="F162" s="1262" t="s">
        <v>634</v>
      </c>
      <c r="J162" s="1289" t="s">
        <v>804</v>
      </c>
      <c r="K162" s="1269" t="s">
        <v>627</v>
      </c>
      <c r="L162" s="1290">
        <f t="shared" ref="L162:X162" si="50">IF(L161=0,0,L161/L96)</f>
        <v>3.5715426391510686E-2</v>
      </c>
      <c r="M162" s="1290">
        <f t="shared" si="50"/>
        <v>3.6552494971041988E-2</v>
      </c>
      <c r="N162" s="1290">
        <f t="shared" si="50"/>
        <v>3.6713880102726262E-2</v>
      </c>
      <c r="O162" s="1290">
        <f t="shared" si="50"/>
        <v>3.5983285239347414E-2</v>
      </c>
      <c r="P162" s="1290">
        <f t="shared" si="50"/>
        <v>3.5225247594999703E-2</v>
      </c>
      <c r="Q162" s="1290">
        <f t="shared" si="50"/>
        <v>3.5063717549349178E-2</v>
      </c>
      <c r="R162" s="1290">
        <f t="shared" si="50"/>
        <v>3.2308909960111952E-2</v>
      </c>
      <c r="S162" s="1290">
        <f t="shared" si="50"/>
        <v>2.8930987605192443E-2</v>
      </c>
      <c r="T162" s="1290">
        <f t="shared" si="50"/>
        <v>2.9026167982510676E-2</v>
      </c>
      <c r="U162" s="1290">
        <f t="shared" si="50"/>
        <v>2.907135563476251E-2</v>
      </c>
      <c r="V162" s="1290">
        <f t="shared" si="50"/>
        <v>2.9229911169483432E-2</v>
      </c>
      <c r="W162" s="1290">
        <f t="shared" si="50"/>
        <v>2.9592123809095039E-2</v>
      </c>
      <c r="X162" s="1290">
        <f t="shared" si="50"/>
        <v>2.9472671239176847E-2</v>
      </c>
      <c r="Y162" s="1249"/>
    </row>
    <row r="163" spans="1:25" s="1194" customFormat="1" ht="14.45" customHeight="1">
      <c r="A163" s="1262"/>
      <c r="B163" s="1262"/>
      <c r="C163" s="1262" t="s">
        <v>367</v>
      </c>
      <c r="D163" s="1262"/>
      <c r="E163" s="1262"/>
      <c r="F163" s="1262"/>
      <c r="L163" s="1259"/>
      <c r="M163" s="1259"/>
      <c r="N163" s="1259"/>
      <c r="O163" s="1259"/>
      <c r="P163" s="1259"/>
      <c r="Q163" s="1301"/>
      <c r="R163" s="1301"/>
      <c r="S163" s="1301"/>
      <c r="T163" s="1301"/>
      <c r="U163" s="1301"/>
      <c r="V163" s="1301"/>
      <c r="W163" s="1301"/>
      <c r="X163" s="1301"/>
      <c r="Y163" s="1301"/>
    </row>
    <row r="164" spans="1:25" s="1194" customFormat="1" ht="14.45" customHeight="1">
      <c r="A164" s="1262"/>
      <c r="B164" s="1262"/>
      <c r="C164" s="1262" t="s">
        <v>367</v>
      </c>
      <c r="D164" s="1262"/>
      <c r="E164" s="1262"/>
      <c r="F164" s="1262"/>
      <c r="G164" s="1241"/>
      <c r="H164" s="1241"/>
      <c r="I164" s="1279" t="s">
        <v>805</v>
      </c>
      <c r="J164" s="1269"/>
      <c r="K164" s="1269"/>
      <c r="L164" s="1203" t="s">
        <v>453</v>
      </c>
      <c r="M164" s="1203" t="s">
        <v>455</v>
      </c>
      <c r="N164" s="1203" t="s">
        <v>457</v>
      </c>
      <c r="O164" s="1203" t="s">
        <v>459</v>
      </c>
      <c r="P164" s="1203" t="s">
        <v>461</v>
      </c>
      <c r="Q164" s="1203" t="s">
        <v>463</v>
      </c>
      <c r="R164" s="1203" t="s">
        <v>465</v>
      </c>
      <c r="S164" s="1203" t="s">
        <v>467</v>
      </c>
      <c r="T164" s="1203" t="s">
        <v>469</v>
      </c>
      <c r="U164" s="1203" t="s">
        <v>471</v>
      </c>
      <c r="V164" s="1203" t="s">
        <v>473</v>
      </c>
      <c r="W164" s="1203" t="s">
        <v>475</v>
      </c>
      <c r="X164" s="1203" t="s">
        <v>477</v>
      </c>
      <c r="Y164" s="1244"/>
    </row>
    <row r="165" spans="1:25" ht="7.9" customHeight="1">
      <c r="A165" s="1262"/>
      <c r="B165" s="1262"/>
      <c r="C165" s="1262" t="s">
        <v>367</v>
      </c>
      <c r="D165" s="1262"/>
      <c r="E165" s="1262"/>
      <c r="F165" s="1262"/>
    </row>
    <row r="166" spans="1:25" ht="14.45" customHeight="1">
      <c r="A166" s="1262" t="s">
        <v>619</v>
      </c>
      <c r="B166" s="1262" t="s">
        <v>806</v>
      </c>
      <c r="C166" s="1262"/>
      <c r="D166" s="1262" t="s">
        <v>665</v>
      </c>
      <c r="E166" s="1262" t="s">
        <v>807</v>
      </c>
      <c r="F166" s="1262" t="s">
        <v>634</v>
      </c>
      <c r="J166" t="s">
        <v>808</v>
      </c>
      <c r="K166" s="1212" t="s">
        <v>498</v>
      </c>
      <c r="L166" s="1823"/>
      <c r="M166" s="1823"/>
      <c r="N166" s="1823"/>
      <c r="O166" s="1823"/>
      <c r="P166" s="1823"/>
      <c r="Q166" s="1823"/>
      <c r="R166" s="1231">
        <v>65.615971805215551</v>
      </c>
      <c r="S166" s="2568">
        <v>74.069464317799955</v>
      </c>
      <c r="T166" s="1231">
        <v>100.531817492396</v>
      </c>
      <c r="U166" s="1231">
        <v>177.88816425903775</v>
      </c>
      <c r="V166" s="1231">
        <v>204.52722157068621</v>
      </c>
      <c r="W166" s="1231">
        <v>68.803674999457201</v>
      </c>
      <c r="X166" s="1231">
        <v>57.599103985898026</v>
      </c>
    </row>
    <row r="167" spans="1:25" ht="14.45" customHeight="1">
      <c r="A167" s="1262" t="s">
        <v>619</v>
      </c>
      <c r="B167" s="1262" t="s">
        <v>806</v>
      </c>
      <c r="C167" s="1262"/>
      <c r="D167" s="1262" t="s">
        <v>665</v>
      </c>
      <c r="E167" s="1262" t="s">
        <v>809</v>
      </c>
      <c r="F167" s="1262" t="s">
        <v>634</v>
      </c>
      <c r="J167" t="s">
        <v>810</v>
      </c>
      <c r="K167" s="1212" t="s">
        <v>811</v>
      </c>
      <c r="L167" s="1823"/>
      <c r="M167" s="1823"/>
      <c r="N167" s="1823"/>
      <c r="O167" s="1823"/>
      <c r="P167" s="1823"/>
      <c r="Q167" s="1823"/>
      <c r="R167" s="1231">
        <v>0.75</v>
      </c>
      <c r="S167" s="2568">
        <v>0.75</v>
      </c>
      <c r="T167" s="1231">
        <v>0.75</v>
      </c>
      <c r="U167" s="1231">
        <v>0.75</v>
      </c>
      <c r="V167" s="1231">
        <v>0.75</v>
      </c>
      <c r="W167" s="1231">
        <v>0.75</v>
      </c>
      <c r="X167" s="1231">
        <v>0.75</v>
      </c>
    </row>
    <row r="168" spans="1:25" s="1194" customFormat="1" ht="13.9" customHeight="1">
      <c r="A168" s="1262" t="s">
        <v>619</v>
      </c>
      <c r="B168" s="1262" t="s">
        <v>806</v>
      </c>
      <c r="C168" s="1262"/>
      <c r="D168" s="1262" t="s">
        <v>665</v>
      </c>
      <c r="E168" s="1262" t="s">
        <v>812</v>
      </c>
      <c r="F168" s="1262" t="s">
        <v>634</v>
      </c>
      <c r="G168" s="1241"/>
      <c r="H168" s="1241"/>
      <c r="I168" s="1241"/>
      <c r="J168" s="1289" t="s">
        <v>813</v>
      </c>
      <c r="K168" s="1212" t="s">
        <v>498</v>
      </c>
      <c r="L168" s="1823"/>
      <c r="M168" s="1823"/>
      <c r="N168" s="1823"/>
      <c r="O168" s="1823"/>
      <c r="P168" s="1823"/>
      <c r="Q168" s="1823"/>
      <c r="R168" s="1276">
        <f>SUM($L$166:R$166)</f>
        <v>65.615971805215551</v>
      </c>
      <c r="S168" s="1276">
        <f>SUM($L$166:S$166)</f>
        <v>139.68543612301551</v>
      </c>
      <c r="T168" s="1276">
        <f>SUM($L$166:T$166)</f>
        <v>240.21725361541149</v>
      </c>
      <c r="U168" s="1276">
        <f>SUM($L$166:U$166)</f>
        <v>418.10541787444924</v>
      </c>
      <c r="V168" s="1276">
        <f>SUM($L$166:V$166)</f>
        <v>622.63263944513551</v>
      </c>
      <c r="W168" s="1276">
        <f>SUM($L$166:W$166)</f>
        <v>691.43631444459265</v>
      </c>
      <c r="X168" s="1276">
        <f>SUM($L$166:X$166)</f>
        <v>749.03541843049072</v>
      </c>
      <c r="Y168" s="1277"/>
    </row>
    <row r="169" spans="1:25" s="1194" customFormat="1" ht="14.45" customHeight="1" thickBot="1">
      <c r="A169" s="1262" t="s">
        <v>619</v>
      </c>
      <c r="B169" s="1262" t="s">
        <v>806</v>
      </c>
      <c r="C169" s="1262"/>
      <c r="D169" s="1262" t="s">
        <v>665</v>
      </c>
      <c r="E169" s="1262" t="s">
        <v>663</v>
      </c>
      <c r="F169" s="1262" t="s">
        <v>634</v>
      </c>
      <c r="G169" s="1241"/>
      <c r="H169" s="1241"/>
      <c r="I169" s="1241"/>
      <c r="J169" s="1289" t="s">
        <v>814</v>
      </c>
      <c r="K169" s="1212" t="s">
        <v>498</v>
      </c>
      <c r="L169" s="1823"/>
      <c r="M169" s="1823"/>
      <c r="N169" s="1823"/>
      <c r="O169" s="1823"/>
      <c r="P169" s="1823"/>
      <c r="Q169" s="1823"/>
      <c r="R169" s="1824">
        <f>Q168+(R166*R167)</f>
        <v>49.21197885391166</v>
      </c>
      <c r="S169" s="1276">
        <f t="shared" ref="S169:X169" si="51">R168+(S166*S167)</f>
        <v>121.16807004356552</v>
      </c>
      <c r="T169" s="1276">
        <f t="shared" si="51"/>
        <v>215.08429924231251</v>
      </c>
      <c r="U169" s="1276">
        <f t="shared" si="51"/>
        <v>373.63337680968982</v>
      </c>
      <c r="V169" s="1276">
        <f t="shared" si="51"/>
        <v>571.50083405246392</v>
      </c>
      <c r="W169" s="1276">
        <f t="shared" si="51"/>
        <v>674.23539569472837</v>
      </c>
      <c r="X169" s="1276">
        <f t="shared" si="51"/>
        <v>734.63564243401618</v>
      </c>
      <c r="Y169" s="1277"/>
    </row>
    <row r="170" spans="1:25" s="1194" customFormat="1" ht="14.25" customHeight="1" thickBot="1">
      <c r="A170" s="1262" t="s">
        <v>619</v>
      </c>
      <c r="B170" s="1262" t="s">
        <v>806</v>
      </c>
      <c r="C170" s="1262"/>
      <c r="D170" s="1262" t="s">
        <v>665</v>
      </c>
      <c r="E170" s="1262" t="s">
        <v>815</v>
      </c>
      <c r="F170" s="1262" t="s">
        <v>634</v>
      </c>
      <c r="G170" s="1241"/>
      <c r="H170" s="1241"/>
      <c r="I170" s="1241"/>
      <c r="J170" s="1289" t="s">
        <v>816</v>
      </c>
      <c r="K170" s="1269" t="s">
        <v>627</v>
      </c>
      <c r="L170" s="1825"/>
      <c r="M170" s="1825"/>
      <c r="N170" s="1825"/>
      <c r="O170" s="1825"/>
      <c r="P170" s="1825"/>
      <c r="Q170" s="1826"/>
      <c r="R170" s="1827">
        <f>IF(R169=0,0,IF(R$164="2019/20",(R166*R167*R$17)/R169,(SUMPRODUCT($Q166:Q166,$Q17:Q17)+(R166*R167*R$17))/R169))</f>
        <v>2.9718863339409683E-2</v>
      </c>
      <c r="S170" s="1827">
        <f>IF(S169=0,0,IF(S$164="2019/20",(S166*S167*S$17)/S169,(SUMPRODUCT($Q166:R166,$Q17:R17)+(S166*S167*S$17))/S169))</f>
        <v>3.0332410877794397E-2</v>
      </c>
      <c r="T170" s="1827">
        <f>IF(T169=0,0,IF(T$164="2019/20",(T166*T167*T$17)/T169,(SUMPRODUCT($Q166:S166,$Q17:S17)+(T166*T167*T$17))/T169))</f>
        <v>3.1157914823695589E-2</v>
      </c>
      <c r="U170" s="1827">
        <f>IF(U169=0,0,IF(U$164="2019/20",(U166*U167*U$17)/U169,(SUMPRODUCT($Q166:T166,$Q17:T17)+(U166*U167*U$17))/U169))</f>
        <v>3.2250789877223733E-2</v>
      </c>
      <c r="V170" s="1827">
        <f>IF(V169=0,0,IF(V$164="2019/20",(V166*V167*V$17)/V169,(SUMPRODUCT($Q166:U166,$Q17:U17)+(V166*V167*V$17))/V169))</f>
        <v>3.3218333177707324E-2</v>
      </c>
      <c r="W170" s="1827">
        <f>IF(W169=0,0,IF(W$164="2019/20",(W166*W167*W$17)/W169,(SUMPRODUCT($Q166:V166,$Q17:V17)+(W166*W167*W$17))/W169))</f>
        <v>3.364384814334128E-2</v>
      </c>
      <c r="X170" s="1827">
        <f>IF(X169=0,0,IF(X$164="2019/20",(X166*X167*X$17)/X169,(SUMPRODUCT($Q166:W166,$Q17:W17)+(X166*X167*X$17))/X169))</f>
        <v>3.3960335070013108E-2</v>
      </c>
      <c r="Y170" s="1249"/>
    </row>
    <row r="171" spans="1:25" s="1194" customFormat="1" ht="14.45" customHeight="1">
      <c r="A171" s="1262" t="s">
        <v>619</v>
      </c>
      <c r="B171" s="1262" t="s">
        <v>806</v>
      </c>
      <c r="C171" s="1262"/>
      <c r="D171" s="1262" t="s">
        <v>793</v>
      </c>
      <c r="E171" s="1262" t="s">
        <v>807</v>
      </c>
      <c r="F171" s="1262" t="s">
        <v>634</v>
      </c>
      <c r="G171" s="1241"/>
      <c r="H171" s="1241"/>
      <c r="I171" s="1241"/>
      <c r="J171" s="1289" t="s">
        <v>817</v>
      </c>
      <c r="K171" s="1212" t="s">
        <v>498</v>
      </c>
      <c r="L171" s="1825"/>
      <c r="M171" s="1825"/>
      <c r="N171" s="1825"/>
      <c r="O171" s="1825"/>
      <c r="P171" s="1825"/>
      <c r="Q171" s="1825"/>
      <c r="R171" s="1828">
        <v>0</v>
      </c>
      <c r="S171" s="1828">
        <v>0</v>
      </c>
      <c r="T171" s="1828">
        <v>0</v>
      </c>
      <c r="U171" s="1828">
        <v>0</v>
      </c>
      <c r="V171" s="1828">
        <v>0</v>
      </c>
      <c r="W171" s="1828">
        <v>0</v>
      </c>
      <c r="X171" s="1828">
        <v>0</v>
      </c>
      <c r="Y171" s="1249"/>
    </row>
    <row r="172" spans="1:25" s="1194" customFormat="1" ht="14.45" customHeight="1">
      <c r="A172" s="1262" t="s">
        <v>619</v>
      </c>
      <c r="B172" s="1262" t="s">
        <v>806</v>
      </c>
      <c r="C172" s="1262"/>
      <c r="D172" s="1262" t="s">
        <v>793</v>
      </c>
      <c r="E172" s="1262" t="s">
        <v>809</v>
      </c>
      <c r="F172" s="1262" t="s">
        <v>634</v>
      </c>
      <c r="G172" s="1241"/>
      <c r="H172" s="1241"/>
      <c r="I172" s="1241"/>
      <c r="J172" t="s">
        <v>818</v>
      </c>
      <c r="K172" s="1212" t="s">
        <v>811</v>
      </c>
      <c r="L172" s="1825"/>
      <c r="M172" s="1825"/>
      <c r="N172" s="1825"/>
      <c r="O172" s="1825"/>
      <c r="P172" s="1825"/>
      <c r="Q172" s="1825"/>
      <c r="R172" s="1231">
        <v>0</v>
      </c>
      <c r="S172" s="1231">
        <v>0</v>
      </c>
      <c r="T172" s="1231">
        <v>0</v>
      </c>
      <c r="U172" s="1231">
        <v>0</v>
      </c>
      <c r="V172" s="1231">
        <v>0</v>
      </c>
      <c r="W172" s="1231">
        <v>0</v>
      </c>
      <c r="X172" s="1231">
        <v>0</v>
      </c>
      <c r="Y172" s="1249"/>
    </row>
    <row r="173" spans="1:25" s="1194" customFormat="1" ht="14.45" customHeight="1">
      <c r="A173" s="1262" t="s">
        <v>619</v>
      </c>
      <c r="B173" s="1262" t="s">
        <v>806</v>
      </c>
      <c r="C173" s="1262"/>
      <c r="D173" s="1262" t="s">
        <v>793</v>
      </c>
      <c r="E173" s="1262" t="s">
        <v>812</v>
      </c>
      <c r="F173" s="1262" t="s">
        <v>634</v>
      </c>
      <c r="G173" s="1241"/>
      <c r="H173" s="1241"/>
      <c r="I173" s="1241"/>
      <c r="J173" t="s">
        <v>819</v>
      </c>
      <c r="K173" s="1212" t="s">
        <v>498</v>
      </c>
      <c r="L173" s="1825"/>
      <c r="M173" s="1825"/>
      <c r="N173" s="1825"/>
      <c r="O173" s="1825"/>
      <c r="P173" s="1825"/>
      <c r="Q173" s="1825"/>
      <c r="R173" s="1276">
        <f>SUM($L$171:R$171)</f>
        <v>0</v>
      </c>
      <c r="S173" s="1276">
        <f>SUM($L$171:S$171)</f>
        <v>0</v>
      </c>
      <c r="T173" s="1276">
        <f>SUM($L$171:T$171)</f>
        <v>0</v>
      </c>
      <c r="U173" s="1276">
        <f>SUM($L$171:U$171)</f>
        <v>0</v>
      </c>
      <c r="V173" s="1276">
        <f>SUM($L$171:V$171)</f>
        <v>0</v>
      </c>
      <c r="W173" s="1276">
        <f>SUM($L$171:W$171)</f>
        <v>0</v>
      </c>
      <c r="X173" s="1276">
        <f>SUM($L$171:X$171)</f>
        <v>0</v>
      </c>
      <c r="Y173" s="1249"/>
    </row>
    <row r="174" spans="1:25" s="1194" customFormat="1" ht="14.45" customHeight="1">
      <c r="A174" s="1262" t="s">
        <v>619</v>
      </c>
      <c r="B174" s="1262" t="s">
        <v>806</v>
      </c>
      <c r="C174" s="1262"/>
      <c r="D174" s="1262" t="s">
        <v>793</v>
      </c>
      <c r="E174" s="1262" t="s">
        <v>663</v>
      </c>
      <c r="F174" s="1262" t="s">
        <v>634</v>
      </c>
      <c r="G174" s="1241"/>
      <c r="H174" s="1241"/>
      <c r="I174" s="1241"/>
      <c r="J174" s="1215" t="s">
        <v>820</v>
      </c>
      <c r="K174" s="1212" t="s">
        <v>498</v>
      </c>
      <c r="L174" s="1823"/>
      <c r="M174" s="1823"/>
      <c r="N174" s="1823"/>
      <c r="O174" s="1823"/>
      <c r="P174" s="1823"/>
      <c r="Q174" s="1823"/>
      <c r="R174" s="1276">
        <f>Q173+(R171*R172)</f>
        <v>0</v>
      </c>
      <c r="S174" s="1276">
        <f t="shared" ref="S174:X174" si="52">R173+(S171*S172)</f>
        <v>0</v>
      </c>
      <c r="T174" s="1276">
        <f t="shared" si="52"/>
        <v>0</v>
      </c>
      <c r="U174" s="1276">
        <f t="shared" si="52"/>
        <v>0</v>
      </c>
      <c r="V174" s="1276">
        <f t="shared" si="52"/>
        <v>0</v>
      </c>
      <c r="W174" s="1276">
        <f t="shared" si="52"/>
        <v>0</v>
      </c>
      <c r="X174" s="1276">
        <f t="shared" si="52"/>
        <v>0</v>
      </c>
      <c r="Y174" s="1277"/>
    </row>
    <row r="175" spans="1:25" s="1194" customFormat="1" ht="14.45" customHeight="1">
      <c r="A175" s="1262" t="s">
        <v>619</v>
      </c>
      <c r="B175" s="1262" t="s">
        <v>806</v>
      </c>
      <c r="C175" s="1262"/>
      <c r="D175" s="1262" t="s">
        <v>793</v>
      </c>
      <c r="E175" s="1262" t="s">
        <v>815</v>
      </c>
      <c r="F175" s="1262" t="s">
        <v>634</v>
      </c>
      <c r="G175" s="1241"/>
      <c r="H175" s="1241"/>
      <c r="I175" s="1241"/>
      <c r="J175" s="1215" t="s">
        <v>821</v>
      </c>
      <c r="K175" s="1269" t="s">
        <v>627</v>
      </c>
      <c r="L175" s="1825"/>
      <c r="M175" s="1825"/>
      <c r="N175" s="1825"/>
      <c r="O175" s="1825"/>
      <c r="P175" s="1825"/>
      <c r="Q175" s="1825"/>
      <c r="R175" s="1829">
        <f t="shared" ref="R175:X175" si="53">R23</f>
        <v>1.4999999999999999E-2</v>
      </c>
      <c r="S175" s="1829">
        <f t="shared" si="53"/>
        <v>1.4999999999999999E-2</v>
      </c>
      <c r="T175" s="1829">
        <f t="shared" si="53"/>
        <v>1.4999999999999999E-2</v>
      </c>
      <c r="U175" s="1829">
        <f t="shared" si="53"/>
        <v>1.4999999999999999E-2</v>
      </c>
      <c r="V175" s="1829">
        <f t="shared" si="53"/>
        <v>1.4999999999999999E-2</v>
      </c>
      <c r="W175" s="1829">
        <f t="shared" si="53"/>
        <v>1.4999999999999999E-2</v>
      </c>
      <c r="X175" s="1829">
        <f t="shared" si="53"/>
        <v>1.4999999999999999E-2</v>
      </c>
      <c r="Y175" s="1249"/>
    </row>
    <row r="176" spans="1:25" s="1194" customFormat="1" ht="14.45" customHeight="1">
      <c r="A176" s="1262" t="s">
        <v>619</v>
      </c>
      <c r="B176" s="1262" t="s">
        <v>806</v>
      </c>
      <c r="C176" s="1262"/>
      <c r="D176" s="1262" t="s">
        <v>695</v>
      </c>
      <c r="E176" s="1262" t="s">
        <v>807</v>
      </c>
      <c r="F176" s="1262" t="s">
        <v>634</v>
      </c>
      <c r="G176" s="1241"/>
      <c r="H176" s="1241"/>
      <c r="I176" s="1241"/>
      <c r="J176" s="1215" t="s">
        <v>822</v>
      </c>
      <c r="K176" s="1289" t="s">
        <v>498</v>
      </c>
      <c r="L176" s="1825"/>
      <c r="M176" s="1825"/>
      <c r="N176" s="1825"/>
      <c r="O176" s="1825"/>
      <c r="P176" s="1825"/>
      <c r="Q176" s="1825"/>
      <c r="R176" s="1231">
        <v>0</v>
      </c>
      <c r="S176" s="1231">
        <v>0</v>
      </c>
      <c r="T176" s="1231">
        <v>0</v>
      </c>
      <c r="U176" s="1231">
        <v>0</v>
      </c>
      <c r="V176" s="1231">
        <v>0</v>
      </c>
      <c r="W176" s="1231">
        <v>0</v>
      </c>
      <c r="X176" s="1231">
        <v>0</v>
      </c>
      <c r="Y176" s="1249"/>
    </row>
    <row r="177" spans="1:25" s="1194" customFormat="1" ht="14.45" customHeight="1">
      <c r="A177" s="1262" t="s">
        <v>619</v>
      </c>
      <c r="B177" s="1262" t="s">
        <v>806</v>
      </c>
      <c r="C177" s="1262"/>
      <c r="D177" s="1262" t="s">
        <v>695</v>
      </c>
      <c r="E177" s="1262" t="s">
        <v>809</v>
      </c>
      <c r="F177" s="1262" t="s">
        <v>634</v>
      </c>
      <c r="G177" s="1241"/>
      <c r="H177" s="1241"/>
      <c r="I177" s="1241"/>
      <c r="J177" s="1215" t="s">
        <v>823</v>
      </c>
      <c r="K177" s="1212" t="s">
        <v>811</v>
      </c>
      <c r="L177" s="1825"/>
      <c r="M177" s="1825"/>
      <c r="N177" s="1825"/>
      <c r="O177" s="1825"/>
      <c r="P177" s="1825"/>
      <c r="Q177" s="1825"/>
      <c r="R177" s="1231">
        <v>0</v>
      </c>
      <c r="S177" s="1231">
        <v>0</v>
      </c>
      <c r="T177" s="1231">
        <v>0</v>
      </c>
      <c r="U177" s="1231">
        <v>0</v>
      </c>
      <c r="V177" s="1231">
        <v>0</v>
      </c>
      <c r="W177" s="1231">
        <v>0</v>
      </c>
      <c r="X177" s="1231">
        <v>0</v>
      </c>
      <c r="Y177" s="1249"/>
    </row>
    <row r="178" spans="1:25" s="1194" customFormat="1" ht="14.45" customHeight="1">
      <c r="A178" s="1262" t="s">
        <v>619</v>
      </c>
      <c r="B178" s="1262" t="s">
        <v>806</v>
      </c>
      <c r="C178" s="1262"/>
      <c r="D178" s="1262" t="s">
        <v>695</v>
      </c>
      <c r="E178" s="1262" t="s">
        <v>699</v>
      </c>
      <c r="F178" s="1262" t="s">
        <v>634</v>
      </c>
      <c r="G178" s="1241"/>
      <c r="H178" s="1241"/>
      <c r="I178" s="1241"/>
      <c r="J178" s="1289" t="s">
        <v>824</v>
      </c>
      <c r="K178" s="1212" t="s">
        <v>498</v>
      </c>
      <c r="L178" s="1817"/>
      <c r="M178" s="1817"/>
      <c r="N178" s="1817"/>
      <c r="O178" s="1817"/>
      <c r="P178" s="1817"/>
      <c r="Q178" s="1817"/>
      <c r="R178" s="1276">
        <f t="shared" ref="R178:X178" si="54">(Q179+(R176*R177))*R11</f>
        <v>0</v>
      </c>
      <c r="S178" s="1830">
        <f>(R179+(S176*S177))*S11</f>
        <v>0</v>
      </c>
      <c r="T178" s="1276">
        <f t="shared" si="54"/>
        <v>0</v>
      </c>
      <c r="U178" s="1276">
        <f t="shared" si="54"/>
        <v>0</v>
      </c>
      <c r="V178" s="1276">
        <f t="shared" si="54"/>
        <v>0</v>
      </c>
      <c r="W178" s="1276">
        <f t="shared" si="54"/>
        <v>0</v>
      </c>
      <c r="X178" s="1276">
        <f t="shared" si="54"/>
        <v>0</v>
      </c>
      <c r="Y178" s="1252"/>
    </row>
    <row r="179" spans="1:25" s="1194" customFormat="1" ht="14.45" customHeight="1">
      <c r="A179" s="1262" t="s">
        <v>619</v>
      </c>
      <c r="B179" s="1262" t="s">
        <v>806</v>
      </c>
      <c r="C179" s="1262"/>
      <c r="D179" s="1262" t="s">
        <v>695</v>
      </c>
      <c r="E179" s="1262" t="s">
        <v>812</v>
      </c>
      <c r="F179" s="1262" t="s">
        <v>634</v>
      </c>
      <c r="G179" s="1241"/>
      <c r="H179" s="1241"/>
      <c r="I179" s="1241"/>
      <c r="J179" s="1215" t="s">
        <v>825</v>
      </c>
      <c r="K179" s="1289" t="s">
        <v>498</v>
      </c>
      <c r="L179" s="1825"/>
      <c r="M179" s="1825"/>
      <c r="N179" s="1825"/>
      <c r="O179" s="1825"/>
      <c r="P179" s="1825"/>
      <c r="Q179" s="1825"/>
      <c r="R179" s="1830">
        <f>SUM($L$176:R$176)+SUM($L178:R178)</f>
        <v>0</v>
      </c>
      <c r="S179" s="1276">
        <f>SUM($L$176:S$176)+SUM($L178:S178)</f>
        <v>0</v>
      </c>
      <c r="T179" s="1276">
        <f>SUM($L$176:T$176)+SUM($L178:T178)</f>
        <v>0</v>
      </c>
      <c r="U179" s="1276">
        <f>SUM($L$176:U$176)+SUM($L178:U178)</f>
        <v>0</v>
      </c>
      <c r="V179" s="1276">
        <f>SUM($L$176:V$176)+SUM($L178:V178)</f>
        <v>0</v>
      </c>
      <c r="W179" s="1276">
        <f>SUM($L$176:W$176)+SUM($L178:W178)</f>
        <v>0</v>
      </c>
      <c r="X179" s="1276">
        <f>SUM($L$176:X$176)+SUM($L178:X178)</f>
        <v>0</v>
      </c>
      <c r="Y179" s="1249"/>
    </row>
    <row r="180" spans="1:25" s="1194" customFormat="1" ht="14.45" customHeight="1" thickBot="1">
      <c r="A180" s="1262" t="s">
        <v>619</v>
      </c>
      <c r="B180" s="1262" t="s">
        <v>806</v>
      </c>
      <c r="C180" s="1262"/>
      <c r="D180" s="1262" t="s">
        <v>695</v>
      </c>
      <c r="E180" s="1262" t="s">
        <v>663</v>
      </c>
      <c r="F180" s="1262" t="s">
        <v>634</v>
      </c>
      <c r="G180" s="1241"/>
      <c r="H180" s="1241"/>
      <c r="I180" s="1241"/>
      <c r="J180" s="1289" t="s">
        <v>826</v>
      </c>
      <c r="K180" s="1212" t="s">
        <v>498</v>
      </c>
      <c r="L180" s="1823"/>
      <c r="M180" s="1823"/>
      <c r="N180" s="1823"/>
      <c r="O180" s="1823"/>
      <c r="P180" s="1823"/>
      <c r="Q180" s="1823"/>
      <c r="R180" s="1831">
        <f>Q179+(R176*R177)+R178</f>
        <v>0</v>
      </c>
      <c r="S180" s="1831">
        <f>R179+(S176*S177)+S178</f>
        <v>0</v>
      </c>
      <c r="T180" s="1831">
        <f t="shared" ref="T180:X180" si="55">S179+(T176*T177)+T178</f>
        <v>0</v>
      </c>
      <c r="U180" s="1831">
        <f t="shared" si="55"/>
        <v>0</v>
      </c>
      <c r="V180" s="1831">
        <f t="shared" si="55"/>
        <v>0</v>
      </c>
      <c r="W180" s="1831">
        <f t="shared" si="55"/>
        <v>0</v>
      </c>
      <c r="X180" s="1831">
        <f t="shared" si="55"/>
        <v>0</v>
      </c>
      <c r="Y180" s="1277"/>
    </row>
    <row r="181" spans="1:25" s="1194" customFormat="1" ht="14.45" customHeight="1" thickBot="1">
      <c r="A181" s="1262" t="s">
        <v>619</v>
      </c>
      <c r="B181" s="1262" t="s">
        <v>806</v>
      </c>
      <c r="C181" s="1262"/>
      <c r="D181" s="1262" t="s">
        <v>695</v>
      </c>
      <c r="E181" s="1262" t="s">
        <v>815</v>
      </c>
      <c r="F181" s="1262" t="s">
        <v>637</v>
      </c>
      <c r="G181" s="1241"/>
      <c r="H181" s="1241"/>
      <c r="I181" s="1241"/>
      <c r="J181" s="1289" t="s">
        <v>827</v>
      </c>
      <c r="K181" s="1269" t="s">
        <v>627</v>
      </c>
      <c r="L181" s="1825"/>
      <c r="M181" s="1825"/>
      <c r="N181" s="1825"/>
      <c r="O181" s="1825"/>
      <c r="P181" s="1825"/>
      <c r="Q181" s="1826"/>
      <c r="R181" s="1827">
        <f>IF(R180=0,0,IF(R$164="2019/20",R$19,(SUMPRODUCT($Q176:Q176,$Q19:Q19)+(R176*R177*R$19))/R180))</f>
        <v>0</v>
      </c>
      <c r="S181" s="1827">
        <f>IF(S180=0,0,IF(S$164="2019/20",S$19,(SUMPRODUCT($Q176:R176,$Q19:R19)+(S176*S177*S$19))/S180))</f>
        <v>0</v>
      </c>
      <c r="T181" s="1827">
        <f>IF(T180=0,0,IF(T$164="2019/20",T$19,(SUMPRODUCT($Q176:S176,$Q19:S19)+(T176*T177*T$19))/T180))</f>
        <v>0</v>
      </c>
      <c r="U181" s="1827">
        <f>IF(U180=0,0,IF(U$164="2019/20",U$19,(SUMPRODUCT($Q176:T176,$Q19:T19)+(U176*U177*U$19))/U180))</f>
        <v>0</v>
      </c>
      <c r="V181" s="1827">
        <f>IF(V180=0,0,IF(V$164="2019/20",V$19,(SUMPRODUCT($Q176:U176,$Q19:U19)+(V176*V177*V$19))/V180))</f>
        <v>0</v>
      </c>
      <c r="W181" s="1827">
        <f>IF(W180=0,0,IF(W$164="2019/20",W$19,(SUMPRODUCT($Q176:V176,$Q19:V19)+(W176*W177*W$19))/W180))</f>
        <v>0</v>
      </c>
      <c r="X181" s="1827">
        <f>IF(X180=0,0,IF(X$164="2019/20",X$19,(SUMPRODUCT($Q176:W176,$Q19:W19)+(X176*X177*X$19))/X180))</f>
        <v>0</v>
      </c>
      <c r="Y181" s="1249"/>
    </row>
    <row r="182" spans="1:25" ht="14.45" customHeight="1">
      <c r="A182" s="1262" t="s">
        <v>619</v>
      </c>
      <c r="B182" s="1262" t="s">
        <v>806</v>
      </c>
      <c r="C182" s="1262"/>
      <c r="D182" s="1262" t="s">
        <v>705</v>
      </c>
      <c r="E182" s="1262" t="s">
        <v>807</v>
      </c>
      <c r="F182" s="1262" t="s">
        <v>634</v>
      </c>
      <c r="J182" s="1832" t="s">
        <v>828</v>
      </c>
      <c r="K182" s="1212" t="s">
        <v>498</v>
      </c>
      <c r="L182" s="1817"/>
      <c r="M182" s="1817"/>
      <c r="N182" s="1817"/>
      <c r="O182" s="1817"/>
      <c r="P182" s="1817"/>
      <c r="Q182" s="1817"/>
      <c r="R182" s="1828">
        <v>0</v>
      </c>
      <c r="S182" s="1828">
        <v>0</v>
      </c>
      <c r="T182" s="1828">
        <v>0</v>
      </c>
      <c r="U182" s="1828">
        <v>0</v>
      </c>
      <c r="V182" s="1828">
        <v>0</v>
      </c>
      <c r="W182" s="1828">
        <v>0</v>
      </c>
      <c r="X182" s="1828">
        <v>0</v>
      </c>
    </row>
    <row r="183" spans="1:25" s="1194" customFormat="1" ht="14.45" customHeight="1">
      <c r="A183" s="1262" t="s">
        <v>619</v>
      </c>
      <c r="B183" s="1262" t="s">
        <v>806</v>
      </c>
      <c r="C183" s="1262"/>
      <c r="D183" s="1262" t="s">
        <v>705</v>
      </c>
      <c r="E183" s="1262" t="s">
        <v>809</v>
      </c>
      <c r="F183" s="1262" t="s">
        <v>634</v>
      </c>
      <c r="G183" s="1241"/>
      <c r="H183" s="1241"/>
      <c r="I183" s="1241"/>
      <c r="J183" s="1215" t="s">
        <v>829</v>
      </c>
      <c r="K183" s="1212" t="s">
        <v>811</v>
      </c>
      <c r="L183" s="1817"/>
      <c r="M183" s="1817"/>
      <c r="N183" s="1817"/>
      <c r="O183" s="1817"/>
      <c r="P183" s="1817"/>
      <c r="Q183" s="1817"/>
      <c r="R183" s="1231">
        <v>0</v>
      </c>
      <c r="S183" s="1231">
        <v>0</v>
      </c>
      <c r="T183" s="1231">
        <v>0</v>
      </c>
      <c r="U183" s="1231">
        <v>0</v>
      </c>
      <c r="V183" s="1231">
        <v>0</v>
      </c>
      <c r="W183" s="1231">
        <v>0</v>
      </c>
      <c r="X183" s="1231">
        <v>0</v>
      </c>
      <c r="Y183" s="1252"/>
    </row>
    <row r="184" spans="1:25" s="1194" customFormat="1" ht="14.45" customHeight="1">
      <c r="A184" s="1262" t="s">
        <v>619</v>
      </c>
      <c r="B184" s="1262" t="s">
        <v>806</v>
      </c>
      <c r="C184" s="1262"/>
      <c r="D184" s="1262" t="s">
        <v>705</v>
      </c>
      <c r="E184" s="1262" t="s">
        <v>699</v>
      </c>
      <c r="F184" s="1262" t="s">
        <v>634</v>
      </c>
      <c r="G184" s="1241"/>
      <c r="H184" s="1241"/>
      <c r="I184" s="1241"/>
      <c r="J184" s="1289" t="s">
        <v>830</v>
      </c>
      <c r="K184" s="1212" t="s">
        <v>498</v>
      </c>
      <c r="L184" s="1817"/>
      <c r="M184" s="1817"/>
      <c r="N184" s="1817"/>
      <c r="O184" s="1817"/>
      <c r="P184" s="1817"/>
      <c r="Q184" s="1817"/>
      <c r="R184" s="1276">
        <f t="shared" ref="R184:X184" si="56">(Q185+(R182*R183))*R12</f>
        <v>0</v>
      </c>
      <c r="S184" s="1276">
        <f t="shared" si="56"/>
        <v>0</v>
      </c>
      <c r="T184" s="1276">
        <f t="shared" si="56"/>
        <v>0</v>
      </c>
      <c r="U184" s="1276">
        <f t="shared" si="56"/>
        <v>0</v>
      </c>
      <c r="V184" s="1276">
        <f t="shared" si="56"/>
        <v>0</v>
      </c>
      <c r="W184" s="1276">
        <f t="shared" si="56"/>
        <v>0</v>
      </c>
      <c r="X184" s="1276">
        <f t="shared" si="56"/>
        <v>0</v>
      </c>
      <c r="Y184" s="1252"/>
    </row>
    <row r="185" spans="1:25" s="1194" customFormat="1" ht="14.45" customHeight="1">
      <c r="A185" s="1262" t="s">
        <v>619</v>
      </c>
      <c r="B185" s="1262" t="s">
        <v>806</v>
      </c>
      <c r="C185" s="1262"/>
      <c r="D185" s="1262" t="s">
        <v>705</v>
      </c>
      <c r="E185" s="1262" t="s">
        <v>812</v>
      </c>
      <c r="F185" s="1262" t="s">
        <v>634</v>
      </c>
      <c r="G185" s="1241"/>
      <c r="H185" s="1241"/>
      <c r="I185" s="1241"/>
      <c r="J185" s="1289" t="s">
        <v>831</v>
      </c>
      <c r="K185" s="1212" t="s">
        <v>498</v>
      </c>
      <c r="L185" s="1817"/>
      <c r="M185" s="1817"/>
      <c r="N185" s="1817"/>
      <c r="O185" s="1817"/>
      <c r="P185" s="1817"/>
      <c r="Q185" s="1817"/>
      <c r="R185" s="1276">
        <f>SUM($L$182:R$182)+SUM($L184:R184)</f>
        <v>0</v>
      </c>
      <c r="S185" s="1276">
        <f>SUM($L$182:S$182)+SUM($L184:S184)</f>
        <v>0</v>
      </c>
      <c r="T185" s="1276">
        <f>SUM($L$182:T$182)+SUM($L184:T184)</f>
        <v>0</v>
      </c>
      <c r="U185" s="1276">
        <f>SUM($L$182:U$182)+SUM($L184:U184)</f>
        <v>0</v>
      </c>
      <c r="V185" s="1276">
        <f>SUM($L$182:V$182)+SUM($L184:V184)</f>
        <v>0</v>
      </c>
      <c r="W185" s="1276">
        <f>SUM($L$182:W$182)+SUM($L184:W184)</f>
        <v>0</v>
      </c>
      <c r="X185" s="1276">
        <f>SUM($L$182:X$182)+SUM($L184:X184)</f>
        <v>0</v>
      </c>
      <c r="Y185" s="1252"/>
    </row>
    <row r="186" spans="1:25" s="1194" customFormat="1" ht="14.45" customHeight="1" thickBot="1">
      <c r="A186" s="1262" t="s">
        <v>619</v>
      </c>
      <c r="B186" s="1262" t="s">
        <v>806</v>
      </c>
      <c r="C186" s="1262"/>
      <c r="D186" s="1262" t="s">
        <v>705</v>
      </c>
      <c r="E186" s="1262" t="s">
        <v>663</v>
      </c>
      <c r="F186" s="1262" t="s">
        <v>634</v>
      </c>
      <c r="G186" s="1241"/>
      <c r="H186" s="1241"/>
      <c r="I186" s="1241"/>
      <c r="J186" s="1289" t="s">
        <v>832</v>
      </c>
      <c r="K186" s="1212" t="s">
        <v>498</v>
      </c>
      <c r="L186" s="1823"/>
      <c r="M186" s="1823"/>
      <c r="N186" s="1823"/>
      <c r="O186" s="1823"/>
      <c r="P186" s="1823"/>
      <c r="Q186" s="1823"/>
      <c r="R186" s="1276">
        <f>Q185+(R182*R183)</f>
        <v>0</v>
      </c>
      <c r="S186" s="1276">
        <f t="shared" ref="S186:X186" si="57">R185+(S182*S183)</f>
        <v>0</v>
      </c>
      <c r="T186" s="1276">
        <f t="shared" si="57"/>
        <v>0</v>
      </c>
      <c r="U186" s="1276">
        <f t="shared" si="57"/>
        <v>0</v>
      </c>
      <c r="V186" s="1276">
        <f t="shared" si="57"/>
        <v>0</v>
      </c>
      <c r="W186" s="1276">
        <f t="shared" si="57"/>
        <v>0</v>
      </c>
      <c r="X186" s="1276">
        <f t="shared" si="57"/>
        <v>0</v>
      </c>
      <c r="Y186" s="1277"/>
    </row>
    <row r="187" spans="1:25" s="1194" customFormat="1" ht="14.45" customHeight="1" thickBot="1">
      <c r="A187" s="1262" t="s">
        <v>619</v>
      </c>
      <c r="B187" s="1262" t="s">
        <v>806</v>
      </c>
      <c r="C187" s="1262"/>
      <c r="D187" s="1262" t="s">
        <v>705</v>
      </c>
      <c r="E187" s="1262" t="s">
        <v>815</v>
      </c>
      <c r="F187" s="1262" t="s">
        <v>637</v>
      </c>
      <c r="G187" s="1241"/>
      <c r="H187" s="1241"/>
      <c r="I187" s="1241"/>
      <c r="J187" s="1289" t="s">
        <v>833</v>
      </c>
      <c r="K187" s="1269" t="s">
        <v>627</v>
      </c>
      <c r="L187" s="1825"/>
      <c r="M187" s="1825"/>
      <c r="N187" s="1825"/>
      <c r="O187" s="1825"/>
      <c r="P187" s="1825"/>
      <c r="Q187" s="1825"/>
      <c r="R187" s="1827">
        <f>IF(R186=0,0,IF(R$164="2019/20",(R182*R183*R$18)/R186,(SUMPRODUCT($Q182:Q182,$Q18:Q18)+(R182*R183*R$18))/R186))</f>
        <v>0</v>
      </c>
      <c r="S187" s="1827">
        <f>IF(S186=0,0,IF(S$164="2019/20",(S182*S183*S$18)/S186,(SUMPRODUCT($Q182:R182,$Q18:R18)+(S182*S183*S$18))/S186))</f>
        <v>0</v>
      </c>
      <c r="T187" s="1827">
        <f>IF(T186=0,0,IF(T$164="2019/20",(T182*T183*T$18)/T186,(SUMPRODUCT($Q182:S182,$Q18:S18)+(T182*T183*T$18))/T186))</f>
        <v>0</v>
      </c>
      <c r="U187" s="1827">
        <f>IF(U186=0,0,IF(U$164="2019/20",(U182*U183*U$18)/U186,(SUMPRODUCT($Q182:T182,$Q18:T18)+(U182*U183*U$18))/U186))</f>
        <v>0</v>
      </c>
      <c r="V187" s="1827">
        <f>IF(V186=0,0,IF(V$164="2019/20",(V182*V183*V$18)/V186,(SUMPRODUCT($Q182:U182,$Q18:U18)+(V182*V183*V$18))/V186))</f>
        <v>0</v>
      </c>
      <c r="W187" s="1827">
        <f>IF(W186=0,0,IF(W$164="2019/20",(W182*W183*W$18)/W186,(SUMPRODUCT($Q182:V182,$Q18:V18)+(W182*W183*W$18))/W186))</f>
        <v>0</v>
      </c>
      <c r="X187" s="1827">
        <f>IF(X186=0,0,IF(X$164="2019/20",(X182*X183*X$18)/X186,(SUMPRODUCT($Q182:W182,$Q18:W18)+(X182*X183*X$18))/X186))</f>
        <v>0</v>
      </c>
      <c r="Y187" s="1249"/>
    </row>
    <row r="188" spans="1:25" ht="14.45" customHeight="1">
      <c r="A188" s="1262"/>
      <c r="B188" s="1262"/>
      <c r="C188" s="1262" t="s">
        <v>367</v>
      </c>
      <c r="D188" s="1262"/>
      <c r="E188" s="1262"/>
      <c r="F188" s="1262"/>
    </row>
    <row r="189" spans="1:25" s="1194" customFormat="1" ht="14.45" customHeight="1">
      <c r="A189" s="1262"/>
      <c r="B189" s="1262"/>
      <c r="C189" s="1262" t="s">
        <v>367</v>
      </c>
      <c r="D189" s="1262"/>
      <c r="E189" s="1262"/>
      <c r="F189" s="1262"/>
      <c r="G189" s="1241"/>
      <c r="H189" s="1241"/>
      <c r="I189" s="1279" t="s">
        <v>834</v>
      </c>
      <c r="K189" s="1269"/>
      <c r="L189" s="1203" t="s">
        <v>453</v>
      </c>
      <c r="M189" s="1203" t="s">
        <v>455</v>
      </c>
      <c r="N189" s="1203" t="s">
        <v>457</v>
      </c>
      <c r="O189" s="1203" t="s">
        <v>459</v>
      </c>
      <c r="P189" s="1203" t="s">
        <v>461</v>
      </c>
      <c r="Q189" s="1203" t="s">
        <v>463</v>
      </c>
      <c r="R189" s="1203" t="s">
        <v>465</v>
      </c>
      <c r="S189" s="1203" t="s">
        <v>467</v>
      </c>
      <c r="T189" s="1203" t="s">
        <v>469</v>
      </c>
      <c r="U189" s="1203" t="s">
        <v>471</v>
      </c>
      <c r="V189" s="1203" t="s">
        <v>473</v>
      </c>
      <c r="W189" s="1203" t="s">
        <v>475</v>
      </c>
      <c r="X189" s="1203" t="s">
        <v>477</v>
      </c>
      <c r="Y189" s="1244"/>
    </row>
    <row r="190" spans="1:25" s="1194" customFormat="1" ht="14.45" customHeight="1">
      <c r="A190" s="1262" t="s">
        <v>619</v>
      </c>
      <c r="B190" s="1262" t="s">
        <v>835</v>
      </c>
      <c r="C190" s="1262"/>
      <c r="D190" s="1262" t="s">
        <v>836</v>
      </c>
      <c r="E190" s="1262" t="s">
        <v>837</v>
      </c>
      <c r="F190" s="1262" t="s">
        <v>634</v>
      </c>
      <c r="G190" s="1241"/>
      <c r="H190" s="1241"/>
      <c r="I190" s="1241"/>
      <c r="J190" s="1284" t="s">
        <v>838</v>
      </c>
      <c r="K190" s="1212" t="s">
        <v>498</v>
      </c>
      <c r="L190" s="1817"/>
      <c r="M190" s="1823"/>
      <c r="N190" s="1823"/>
      <c r="O190" s="1823"/>
      <c r="P190" s="1823"/>
      <c r="Q190" s="1823"/>
      <c r="R190" s="1231">
        <v>0</v>
      </c>
      <c r="S190" s="1293">
        <f t="shared" ref="S190:X190" si="58">R193</f>
        <v>65.615971805215551</v>
      </c>
      <c r="T190" s="1293">
        <f t="shared" si="58"/>
        <v>139.68543612301551</v>
      </c>
      <c r="U190" s="1293">
        <f t="shared" si="58"/>
        <v>240.21725361541149</v>
      </c>
      <c r="V190" s="1293">
        <f t="shared" si="58"/>
        <v>418.10541787444924</v>
      </c>
      <c r="W190" s="1293">
        <f t="shared" si="58"/>
        <v>622.63263944513551</v>
      </c>
      <c r="X190" s="1293">
        <f t="shared" si="58"/>
        <v>691.43631444459265</v>
      </c>
      <c r="Y190" s="1277"/>
    </row>
    <row r="191" spans="1:25" s="1194" customFormat="1" ht="14.45" customHeight="1">
      <c r="A191" s="1262" t="s">
        <v>619</v>
      </c>
      <c r="B191" s="1262" t="s">
        <v>835</v>
      </c>
      <c r="C191" s="1262"/>
      <c r="D191" s="1262" t="s">
        <v>836</v>
      </c>
      <c r="E191" s="1262" t="s">
        <v>839</v>
      </c>
      <c r="F191" s="1262" t="s">
        <v>634</v>
      </c>
      <c r="G191" s="1241"/>
      <c r="H191" s="1241"/>
      <c r="I191" s="1241"/>
      <c r="J191" s="1284" t="s">
        <v>840</v>
      </c>
      <c r="K191" s="1212" t="s">
        <v>498</v>
      </c>
      <c r="L191" s="1817"/>
      <c r="M191" s="1817"/>
      <c r="N191" s="1817"/>
      <c r="O191" s="1817"/>
      <c r="P191" s="1817"/>
      <c r="Q191" s="1817"/>
      <c r="R191" s="1276">
        <f>R166+R171+R176+R182</f>
        <v>65.615971805215551</v>
      </c>
      <c r="S191" s="1276">
        <f t="shared" ref="S191:X191" si="59">S166+S171+S176+S182</f>
        <v>74.069464317799955</v>
      </c>
      <c r="T191" s="1276">
        <f t="shared" si="59"/>
        <v>100.531817492396</v>
      </c>
      <c r="U191" s="1276">
        <f t="shared" si="59"/>
        <v>177.88816425903775</v>
      </c>
      <c r="V191" s="1276">
        <f t="shared" si="59"/>
        <v>204.52722157068621</v>
      </c>
      <c r="W191" s="1276">
        <f t="shared" si="59"/>
        <v>68.803674999457201</v>
      </c>
      <c r="X191" s="1276">
        <f t="shared" si="59"/>
        <v>57.599103985898026</v>
      </c>
      <c r="Y191" s="1252"/>
    </row>
    <row r="192" spans="1:25" s="1194" customFormat="1" ht="14.45" customHeight="1">
      <c r="A192" s="1262" t="s">
        <v>619</v>
      </c>
      <c r="B192" s="1262" t="s">
        <v>835</v>
      </c>
      <c r="C192" s="1262"/>
      <c r="D192" s="1262" t="s">
        <v>836</v>
      </c>
      <c r="E192" s="1262" t="s">
        <v>699</v>
      </c>
      <c r="F192" s="1262" t="s">
        <v>634</v>
      </c>
      <c r="G192" s="1241"/>
      <c r="H192" s="1241"/>
      <c r="I192" s="1241"/>
      <c r="J192" s="1289" t="s">
        <v>841</v>
      </c>
      <c r="K192" s="1212" t="s">
        <v>498</v>
      </c>
      <c r="L192" s="1817"/>
      <c r="M192" s="1817"/>
      <c r="N192" s="1817"/>
      <c r="O192" s="1817"/>
      <c r="P192" s="1817"/>
      <c r="Q192" s="1817"/>
      <c r="R192" s="1276">
        <f t="shared" ref="R192:X192" si="60">R178+R184</f>
        <v>0</v>
      </c>
      <c r="S192" s="1276">
        <f t="shared" si="60"/>
        <v>0</v>
      </c>
      <c r="T192" s="1276">
        <f t="shared" si="60"/>
        <v>0</v>
      </c>
      <c r="U192" s="1276">
        <f t="shared" si="60"/>
        <v>0</v>
      </c>
      <c r="V192" s="1276">
        <f t="shared" si="60"/>
        <v>0</v>
      </c>
      <c r="W192" s="1276">
        <f t="shared" si="60"/>
        <v>0</v>
      </c>
      <c r="X192" s="1276">
        <f t="shared" si="60"/>
        <v>0</v>
      </c>
      <c r="Y192" s="1252"/>
    </row>
    <row r="193" spans="1:25" s="1194" customFormat="1" ht="14.45" customHeight="1">
      <c r="A193" s="1262" t="s">
        <v>619</v>
      </c>
      <c r="B193" s="1262" t="s">
        <v>835</v>
      </c>
      <c r="C193" s="1262"/>
      <c r="D193" s="1262" t="s">
        <v>836</v>
      </c>
      <c r="E193" s="1262" t="s">
        <v>812</v>
      </c>
      <c r="F193" s="1262" t="s">
        <v>634</v>
      </c>
      <c r="G193" s="1241"/>
      <c r="H193" s="1241"/>
      <c r="I193" s="1241"/>
      <c r="J193" s="1284" t="s">
        <v>842</v>
      </c>
      <c r="K193" s="1212" t="s">
        <v>498</v>
      </c>
      <c r="L193" s="1823"/>
      <c r="M193" s="1823"/>
      <c r="N193" s="1823"/>
      <c r="O193" s="1823"/>
      <c r="P193" s="1823"/>
      <c r="Q193" s="1823"/>
      <c r="R193" s="1276">
        <f t="shared" ref="R193:X193" si="61">SUM(R190:R192)</f>
        <v>65.615971805215551</v>
      </c>
      <c r="S193" s="1276">
        <f t="shared" si="61"/>
        <v>139.68543612301551</v>
      </c>
      <c r="T193" s="1276">
        <f t="shared" si="61"/>
        <v>240.21725361541149</v>
      </c>
      <c r="U193" s="1276">
        <f t="shared" si="61"/>
        <v>418.10541787444924</v>
      </c>
      <c r="V193" s="1276">
        <f t="shared" si="61"/>
        <v>622.63263944513551</v>
      </c>
      <c r="W193" s="1276">
        <f t="shared" si="61"/>
        <v>691.43631444459265</v>
      </c>
      <c r="X193" s="1276">
        <f t="shared" si="61"/>
        <v>749.03541843049072</v>
      </c>
      <c r="Y193" s="1277"/>
    </row>
    <row r="194" spans="1:25" s="1194" customFormat="1" ht="14.45" customHeight="1">
      <c r="A194" s="1262" t="s">
        <v>619</v>
      </c>
      <c r="B194" s="1262" t="s">
        <v>835</v>
      </c>
      <c r="C194" s="1262"/>
      <c r="D194" s="1262" t="s">
        <v>836</v>
      </c>
      <c r="E194" s="1262" t="s">
        <v>663</v>
      </c>
      <c r="F194" s="1262" t="s">
        <v>634</v>
      </c>
      <c r="G194" s="1241"/>
      <c r="H194" s="1241"/>
      <c r="I194" s="1241"/>
      <c r="J194" s="1289" t="s">
        <v>843</v>
      </c>
      <c r="K194" s="1212" t="s">
        <v>498</v>
      </c>
      <c r="L194" s="1823"/>
      <c r="M194" s="1823"/>
      <c r="N194" s="1823"/>
      <c r="O194" s="1823"/>
      <c r="P194" s="1823"/>
      <c r="Q194" s="1823"/>
      <c r="R194" s="1276">
        <f t="shared" ref="R194:X194" si="62">R169+R174+R180+R186</f>
        <v>49.21197885391166</v>
      </c>
      <c r="S194" s="1276">
        <f t="shared" si="62"/>
        <v>121.16807004356552</v>
      </c>
      <c r="T194" s="1276">
        <f t="shared" si="62"/>
        <v>215.08429924231251</v>
      </c>
      <c r="U194" s="1276">
        <f t="shared" si="62"/>
        <v>373.63337680968982</v>
      </c>
      <c r="V194" s="1276">
        <f t="shared" si="62"/>
        <v>571.50083405246392</v>
      </c>
      <c r="W194" s="1276">
        <f t="shared" si="62"/>
        <v>674.23539569472837</v>
      </c>
      <c r="X194" s="1276">
        <f t="shared" si="62"/>
        <v>734.63564243401618</v>
      </c>
      <c r="Y194" s="1277"/>
    </row>
    <row r="195" spans="1:25" ht="14.45" customHeight="1">
      <c r="A195" s="1262"/>
      <c r="B195" s="1262"/>
      <c r="C195" s="1262" t="s">
        <v>367</v>
      </c>
      <c r="D195" s="1262"/>
      <c r="E195" s="1262"/>
      <c r="F195" s="1262"/>
    </row>
    <row r="196" spans="1:25" ht="14.45" customHeight="1">
      <c r="A196" s="1262" t="s">
        <v>619</v>
      </c>
      <c r="B196" s="1262" t="s">
        <v>835</v>
      </c>
      <c r="C196" s="1262"/>
      <c r="D196" s="1262" t="s">
        <v>713</v>
      </c>
      <c r="E196" s="1262" t="s">
        <v>714</v>
      </c>
      <c r="F196" s="1262"/>
      <c r="J196" t="s">
        <v>715</v>
      </c>
      <c r="L196" s="1823"/>
      <c r="M196" s="1823"/>
      <c r="N196" s="1823"/>
      <c r="O196" s="1823"/>
      <c r="P196" s="1823"/>
      <c r="Q196" s="1823"/>
      <c r="R196" s="1276" t="str">
        <f t="shared" ref="R196:X196" si="63">IF((R169+R174+R180+R178+R186+R184)=(R194+R192),"OK","ERROR")</f>
        <v>OK</v>
      </c>
      <c r="S196" s="1276" t="str">
        <f t="shared" si="63"/>
        <v>OK</v>
      </c>
      <c r="T196" s="1276" t="str">
        <f t="shared" si="63"/>
        <v>OK</v>
      </c>
      <c r="U196" s="1276" t="str">
        <f t="shared" si="63"/>
        <v>OK</v>
      </c>
      <c r="V196" s="1276" t="str">
        <f t="shared" si="63"/>
        <v>OK</v>
      </c>
      <c r="W196" s="1276" t="str">
        <f t="shared" si="63"/>
        <v>OK</v>
      </c>
      <c r="X196" s="1276" t="str">
        <f t="shared" si="63"/>
        <v>OK</v>
      </c>
    </row>
    <row r="197" spans="1:25" ht="14.45" customHeight="1">
      <c r="A197" s="1262"/>
      <c r="B197" s="1262"/>
      <c r="C197" s="1262" t="s">
        <v>367</v>
      </c>
      <c r="D197" s="1262"/>
      <c r="E197" s="1262"/>
      <c r="F197" s="1262"/>
    </row>
    <row r="198" spans="1:25" s="1194" customFormat="1" ht="14.45" customHeight="1">
      <c r="A198" s="1262" t="s">
        <v>619</v>
      </c>
      <c r="B198" s="1262" t="s">
        <v>835</v>
      </c>
      <c r="C198" s="1262"/>
      <c r="D198" s="1262" t="s">
        <v>844</v>
      </c>
      <c r="E198" s="1262" t="s">
        <v>665</v>
      </c>
      <c r="F198" s="1262"/>
      <c r="G198" s="1241"/>
      <c r="H198" s="1241"/>
      <c r="I198" s="1241"/>
      <c r="J198" s="1289" t="s">
        <v>845</v>
      </c>
      <c r="K198" s="1269" t="s">
        <v>627</v>
      </c>
      <c r="L198" s="1825"/>
      <c r="M198" s="1825"/>
      <c r="N198" s="1825"/>
      <c r="O198" s="1825"/>
      <c r="P198" s="1825"/>
      <c r="Q198" s="1825"/>
      <c r="R198" s="1290">
        <f t="shared" ref="R198:X198" si="64">IF(R169=0,0,R169/R$194)</f>
        <v>1</v>
      </c>
      <c r="S198" s="1290">
        <f t="shared" si="64"/>
        <v>1</v>
      </c>
      <c r="T198" s="1290">
        <f t="shared" si="64"/>
        <v>1</v>
      </c>
      <c r="U198" s="1290">
        <f t="shared" si="64"/>
        <v>1</v>
      </c>
      <c r="V198" s="1290">
        <f t="shared" si="64"/>
        <v>1</v>
      </c>
      <c r="W198" s="1290">
        <f t="shared" si="64"/>
        <v>1</v>
      </c>
      <c r="X198" s="1290">
        <f t="shared" si="64"/>
        <v>1</v>
      </c>
      <c r="Y198" s="1249"/>
    </row>
    <row r="199" spans="1:25" s="1194" customFormat="1" ht="14.45" customHeight="1">
      <c r="A199" s="1262" t="s">
        <v>619</v>
      </c>
      <c r="B199" s="1262" t="s">
        <v>835</v>
      </c>
      <c r="C199" s="1262"/>
      <c r="D199" s="1262" t="s">
        <v>844</v>
      </c>
      <c r="E199" s="1262" t="s">
        <v>793</v>
      </c>
      <c r="F199" s="1262"/>
      <c r="G199" s="1241"/>
      <c r="H199" s="1241"/>
      <c r="I199" s="1241"/>
      <c r="J199" s="1215" t="s">
        <v>846</v>
      </c>
      <c r="K199" s="1269" t="s">
        <v>627</v>
      </c>
      <c r="L199" s="1825"/>
      <c r="M199" s="1825"/>
      <c r="N199" s="1825"/>
      <c r="O199" s="1825"/>
      <c r="P199" s="1825"/>
      <c r="Q199" s="1825"/>
      <c r="R199" s="1290">
        <f t="shared" ref="R199:X199" si="65">IF(R174=0,0,R174/R$194)</f>
        <v>0</v>
      </c>
      <c r="S199" s="1290">
        <f t="shared" si="65"/>
        <v>0</v>
      </c>
      <c r="T199" s="1290">
        <f t="shared" si="65"/>
        <v>0</v>
      </c>
      <c r="U199" s="1290">
        <f t="shared" si="65"/>
        <v>0</v>
      </c>
      <c r="V199" s="1290">
        <f t="shared" si="65"/>
        <v>0</v>
      </c>
      <c r="W199" s="1290">
        <f t="shared" si="65"/>
        <v>0</v>
      </c>
      <c r="X199" s="1290">
        <f t="shared" si="65"/>
        <v>0</v>
      </c>
      <c r="Y199" s="1249"/>
    </row>
    <row r="200" spans="1:25" s="1194" customFormat="1" ht="14.45" customHeight="1">
      <c r="A200" s="1262" t="s">
        <v>619</v>
      </c>
      <c r="B200" s="1262" t="s">
        <v>835</v>
      </c>
      <c r="C200" s="1262"/>
      <c r="D200" s="1262" t="s">
        <v>844</v>
      </c>
      <c r="E200" s="1262" t="s">
        <v>695</v>
      </c>
      <c r="F200" s="1262"/>
      <c r="G200" s="1241"/>
      <c r="H200" s="1241"/>
      <c r="I200" s="1241"/>
      <c r="J200" s="1289" t="s">
        <v>847</v>
      </c>
      <c r="K200" s="1269" t="s">
        <v>627</v>
      </c>
      <c r="L200" s="1825"/>
      <c r="M200" s="1825"/>
      <c r="N200" s="1825"/>
      <c r="O200" s="1825"/>
      <c r="P200" s="1825"/>
      <c r="Q200" s="1825"/>
      <c r="R200" s="1290">
        <f t="shared" ref="R200:X200" si="66">IF(R180=0,0,R180/R$194)</f>
        <v>0</v>
      </c>
      <c r="S200" s="1290">
        <f t="shared" si="66"/>
        <v>0</v>
      </c>
      <c r="T200" s="1290">
        <f t="shared" si="66"/>
        <v>0</v>
      </c>
      <c r="U200" s="1290">
        <f t="shared" si="66"/>
        <v>0</v>
      </c>
      <c r="V200" s="1290">
        <f t="shared" si="66"/>
        <v>0</v>
      </c>
      <c r="W200" s="1290">
        <f t="shared" si="66"/>
        <v>0</v>
      </c>
      <c r="X200" s="1290">
        <f t="shared" si="66"/>
        <v>0</v>
      </c>
      <c r="Y200" s="1249"/>
    </row>
    <row r="201" spans="1:25" s="1194" customFormat="1" ht="14.45" customHeight="1">
      <c r="A201" s="1262" t="s">
        <v>619</v>
      </c>
      <c r="B201" s="1262" t="s">
        <v>835</v>
      </c>
      <c r="C201" s="1262"/>
      <c r="D201" s="1262" t="s">
        <v>844</v>
      </c>
      <c r="E201" s="1262" t="s">
        <v>705</v>
      </c>
      <c r="F201" s="1262"/>
      <c r="G201" s="1241"/>
      <c r="H201" s="1241"/>
      <c r="I201" s="1241"/>
      <c r="J201" s="1289" t="s">
        <v>848</v>
      </c>
      <c r="K201" s="1269" t="s">
        <v>627</v>
      </c>
      <c r="L201" s="1825"/>
      <c r="M201" s="1825"/>
      <c r="N201" s="1825"/>
      <c r="O201" s="1825"/>
      <c r="P201" s="1825"/>
      <c r="Q201" s="1825"/>
      <c r="R201" s="1290">
        <f t="shared" ref="R201:X201" si="67">IF(R186=0,0,R186/R$194)</f>
        <v>0</v>
      </c>
      <c r="S201" s="1290">
        <f t="shared" si="67"/>
        <v>0</v>
      </c>
      <c r="T201" s="1290">
        <f t="shared" si="67"/>
        <v>0</v>
      </c>
      <c r="U201" s="1290">
        <f t="shared" si="67"/>
        <v>0</v>
      </c>
      <c r="V201" s="1290">
        <f t="shared" si="67"/>
        <v>0</v>
      </c>
      <c r="W201" s="1290">
        <f t="shared" si="67"/>
        <v>0</v>
      </c>
      <c r="X201" s="1290">
        <f t="shared" si="67"/>
        <v>0</v>
      </c>
      <c r="Y201" s="1249"/>
    </row>
    <row r="202" spans="1:25" s="1241" customFormat="1" ht="14.45" customHeight="1">
      <c r="A202" s="1262"/>
      <c r="B202" s="1262"/>
      <c r="C202" s="1262" t="s">
        <v>367</v>
      </c>
      <c r="D202" s="1262"/>
      <c r="E202" s="1262"/>
      <c r="F202" s="1262"/>
      <c r="J202" s="1286"/>
      <c r="K202" s="1286"/>
      <c r="L202" s="1294"/>
      <c r="M202" s="1294"/>
      <c r="N202" s="1294"/>
      <c r="O202" s="1294"/>
      <c r="P202" s="1294"/>
      <c r="Q202" s="1281"/>
      <c r="R202" s="1281"/>
      <c r="S202" s="1281"/>
      <c r="T202" s="1282"/>
      <c r="U202" s="1282"/>
      <c r="V202" s="1282"/>
      <c r="W202" s="1282"/>
      <c r="X202" s="1282"/>
      <c r="Y202" s="1283"/>
    </row>
    <row r="203" spans="1:25" s="1194" customFormat="1" ht="14.45" customHeight="1">
      <c r="A203" s="1262" t="s">
        <v>619</v>
      </c>
      <c r="B203" s="1262" t="s">
        <v>835</v>
      </c>
      <c r="C203" s="1262"/>
      <c r="D203" s="1262" t="s">
        <v>713</v>
      </c>
      <c r="E203" s="1262" t="s">
        <v>729</v>
      </c>
      <c r="F203" s="1262"/>
      <c r="G203" s="1241"/>
      <c r="H203" s="1241"/>
      <c r="I203" s="1241"/>
      <c r="J203" s="1284" t="s">
        <v>715</v>
      </c>
      <c r="L203" s="1823"/>
      <c r="M203" s="1823"/>
      <c r="N203" s="1823"/>
      <c r="O203" s="1823"/>
      <c r="P203" s="1823"/>
      <c r="Q203" s="1823"/>
      <c r="R203" s="1276" t="str">
        <f t="shared" ref="R203:X203" si="68">IF(SUM(R198:R201)=100%,"OK","ERROR")</f>
        <v>OK</v>
      </c>
      <c r="S203" s="1276" t="str">
        <f t="shared" si="68"/>
        <v>OK</v>
      </c>
      <c r="T203" s="1276" t="str">
        <f t="shared" si="68"/>
        <v>OK</v>
      </c>
      <c r="U203" s="1276" t="str">
        <f t="shared" si="68"/>
        <v>OK</v>
      </c>
      <c r="V203" s="1276" t="str">
        <f t="shared" si="68"/>
        <v>OK</v>
      </c>
      <c r="W203" s="1276" t="str">
        <f t="shared" si="68"/>
        <v>OK</v>
      </c>
      <c r="X203" s="1276" t="str">
        <f t="shared" si="68"/>
        <v>OK</v>
      </c>
      <c r="Y203" s="1277"/>
    </row>
    <row r="204" spans="1:25" s="1241" customFormat="1" ht="14.45" customHeight="1">
      <c r="A204" s="1262"/>
      <c r="B204" s="1262"/>
      <c r="C204" s="1262" t="s">
        <v>367</v>
      </c>
      <c r="D204" s="1262"/>
      <c r="E204" s="1262"/>
      <c r="F204" s="1262"/>
      <c r="J204" s="1285"/>
      <c r="L204" s="1295"/>
      <c r="M204" s="1295"/>
      <c r="N204" s="1295"/>
      <c r="O204" s="1295"/>
      <c r="P204" s="1295"/>
      <c r="Q204" s="1295"/>
      <c r="R204" s="1295"/>
      <c r="S204" s="1295"/>
      <c r="T204" s="1295"/>
      <c r="U204" s="1295"/>
      <c r="V204" s="1295"/>
      <c r="W204" s="1295"/>
      <c r="X204" s="1295"/>
      <c r="Y204" s="1296"/>
    </row>
    <row r="205" spans="1:25" s="1194" customFormat="1" ht="14.45" customHeight="1">
      <c r="A205" s="1262" t="s">
        <v>619</v>
      </c>
      <c r="B205" s="1262" t="s">
        <v>835</v>
      </c>
      <c r="C205" s="1262"/>
      <c r="D205" s="1262" t="s">
        <v>806</v>
      </c>
      <c r="E205" s="1262" t="s">
        <v>730</v>
      </c>
      <c r="F205" s="1262" t="s">
        <v>634</v>
      </c>
      <c r="G205" s="1241"/>
      <c r="H205" s="1241"/>
      <c r="I205" s="1241"/>
      <c r="J205" s="1289" t="s">
        <v>849</v>
      </c>
      <c r="K205" s="1212" t="s">
        <v>498</v>
      </c>
      <c r="L205" s="1817"/>
      <c r="M205" s="1817"/>
      <c r="N205" s="1817"/>
      <c r="O205" s="1817"/>
      <c r="P205" s="1817"/>
      <c r="Q205" s="1817"/>
      <c r="R205" s="1231">
        <v>1.4625240742213197</v>
      </c>
      <c r="S205" s="2568">
        <v>3.6753196858308002</v>
      </c>
      <c r="T205" s="1231">
        <v>6.6803140048906187</v>
      </c>
      <c r="U205" s="1231">
        <v>11.893543799135543</v>
      </c>
      <c r="V205" s="1231">
        <v>18.768057577392469</v>
      </c>
      <c r="W205" s="1231">
        <v>22.410132157341458</v>
      </c>
      <c r="X205" s="1231">
        <v>24.920742795553132</v>
      </c>
      <c r="Y205" s="1252"/>
    </row>
    <row r="206" spans="1:25" s="1194" customFormat="1" ht="14.45" customHeight="1">
      <c r="A206" s="1262" t="s">
        <v>619</v>
      </c>
      <c r="B206" s="1262" t="s">
        <v>835</v>
      </c>
      <c r="C206" s="1262"/>
      <c r="D206" s="1262" t="s">
        <v>806</v>
      </c>
      <c r="E206" s="1262" t="s">
        <v>732</v>
      </c>
      <c r="F206" s="1262" t="s">
        <v>634</v>
      </c>
      <c r="G206" s="1241"/>
      <c r="H206" s="1241"/>
      <c r="I206" s="1241"/>
      <c r="J206" s="1284" t="s">
        <v>850</v>
      </c>
      <c r="K206" s="1212" t="s">
        <v>498</v>
      </c>
      <c r="L206" s="1823"/>
      <c r="M206" s="1823"/>
      <c r="N206" s="1823"/>
      <c r="O206" s="1823"/>
      <c r="P206" s="1823"/>
      <c r="Q206" s="1823"/>
      <c r="R206" s="1276">
        <f t="shared" ref="R206:X206" si="69">R169*R170+R174*(R$21+R175)+R180*R181+R186*R187+R178+R184</f>
        <v>1.4625240742213197</v>
      </c>
      <c r="S206" s="1276">
        <f t="shared" si="69"/>
        <v>3.6753196858308002</v>
      </c>
      <c r="T206" s="1276">
        <f t="shared" si="69"/>
        <v>6.7015782757062272</v>
      </c>
      <c r="U206" s="1276">
        <f t="shared" si="69"/>
        <v>12.049971526606866</v>
      </c>
      <c r="V206" s="1276">
        <f t="shared" si="69"/>
        <v>18.984305116892369</v>
      </c>
      <c r="W206" s="1276">
        <f t="shared" si="69"/>
        <v>22.683873265619059</v>
      </c>
      <c r="X206" s="1276">
        <f t="shared" si="69"/>
        <v>24.94847257143353</v>
      </c>
      <c r="Y206" s="1277"/>
    </row>
    <row r="207" spans="1:25" s="1194" customFormat="1" ht="14.45" customHeight="1">
      <c r="A207" s="1262" t="s">
        <v>619</v>
      </c>
      <c r="B207" s="1262" t="s">
        <v>835</v>
      </c>
      <c r="C207" s="1262"/>
      <c r="D207" s="1262" t="s">
        <v>806</v>
      </c>
      <c r="E207" s="1262" t="s">
        <v>734</v>
      </c>
      <c r="F207" s="1262" t="s">
        <v>634</v>
      </c>
      <c r="G207" s="1241"/>
      <c r="H207" s="1241"/>
      <c r="I207" s="1241"/>
      <c r="J207" s="1284" t="s">
        <v>851</v>
      </c>
      <c r="K207" s="1269" t="s">
        <v>627</v>
      </c>
      <c r="L207" s="1825"/>
      <c r="M207" s="1825"/>
      <c r="N207" s="1825"/>
      <c r="O207" s="1825"/>
      <c r="P207" s="1825"/>
      <c r="Q207" s="1825"/>
      <c r="R207" s="1290">
        <f t="shared" ref="R207:X207" si="70">IF(R206=0,0,R206/R194)</f>
        <v>2.9718863339409683E-2</v>
      </c>
      <c r="S207" s="1290">
        <f t="shared" si="70"/>
        <v>3.0332410877794397E-2</v>
      </c>
      <c r="T207" s="1290">
        <f t="shared" si="70"/>
        <v>3.1157914823695589E-2</v>
      </c>
      <c r="U207" s="1290">
        <f t="shared" si="70"/>
        <v>3.2250789877223733E-2</v>
      </c>
      <c r="V207" s="1290">
        <f t="shared" si="70"/>
        <v>3.3218333177707324E-2</v>
      </c>
      <c r="W207" s="1291">
        <f t="shared" si="70"/>
        <v>3.364384814334128E-2</v>
      </c>
      <c r="X207" s="1290">
        <f t="shared" si="70"/>
        <v>3.3960335070013108E-2</v>
      </c>
      <c r="Y207" s="1249"/>
    </row>
    <row r="208" spans="1:25" s="1241" customFormat="1" ht="14.45" customHeight="1">
      <c r="A208" s="1262"/>
      <c r="B208" s="1262"/>
      <c r="C208" s="1262" t="s">
        <v>367</v>
      </c>
      <c r="D208" s="1262"/>
      <c r="E208" s="1262"/>
      <c r="F208" s="1262"/>
      <c r="J208" s="1285"/>
      <c r="K208" s="1286"/>
      <c r="L208" s="1297"/>
      <c r="M208" s="1297"/>
      <c r="N208" s="1297"/>
      <c r="O208" s="1297"/>
      <c r="P208" s="1297"/>
      <c r="Q208" s="1297"/>
      <c r="R208" s="1297"/>
      <c r="S208" s="1297"/>
      <c r="T208" s="1297"/>
      <c r="U208" s="1297"/>
      <c r="V208" s="1297"/>
      <c r="W208" s="1297"/>
      <c r="X208" s="1297"/>
      <c r="Y208" s="1298"/>
    </row>
    <row r="209" spans="1:25" s="1194" customFormat="1" ht="14.45" customHeight="1">
      <c r="A209" s="1262" t="s">
        <v>619</v>
      </c>
      <c r="B209" s="1262" t="s">
        <v>852</v>
      </c>
      <c r="C209" s="1262"/>
      <c r="D209" s="1262" t="s">
        <v>853</v>
      </c>
      <c r="E209" s="1262" t="s">
        <v>854</v>
      </c>
      <c r="F209" s="1262" t="s">
        <v>634</v>
      </c>
      <c r="G209" s="1241"/>
      <c r="H209" s="1241"/>
      <c r="I209" s="1241"/>
      <c r="J209" s="1279" t="s">
        <v>855</v>
      </c>
      <c r="K209" s="1269" t="s">
        <v>627</v>
      </c>
      <c r="L209" s="1290">
        <f>(L34*L89+L194*L207)/(L34+L194)</f>
        <v>4.3685546549390906E-2</v>
      </c>
      <c r="M209" s="1290">
        <f t="shared" ref="M209:X209" si="71">(M34*M89+M194*M207)/(M34+M194)</f>
        <v>4.3496073620209366E-2</v>
      </c>
      <c r="N209" s="1290">
        <f t="shared" si="71"/>
        <v>4.25998435822975E-2</v>
      </c>
      <c r="O209" s="1290">
        <f t="shared" si="71"/>
        <v>4.1281198887758525E-2</v>
      </c>
      <c r="P209" s="1290">
        <f t="shared" si="71"/>
        <v>3.9510297739161683E-2</v>
      </c>
      <c r="Q209" s="1290">
        <f t="shared" si="71"/>
        <v>3.9844955038790292E-2</v>
      </c>
      <c r="R209" s="1290">
        <f t="shared" si="71"/>
        <v>3.6757691559179989E-2</v>
      </c>
      <c r="S209" s="1290">
        <f t="shared" si="71"/>
        <v>3.5565294438019486E-2</v>
      </c>
      <c r="T209" s="1290">
        <f t="shared" si="71"/>
        <v>3.544197769313346E-2</v>
      </c>
      <c r="U209" s="1290">
        <f t="shared" si="71"/>
        <v>3.5454358904983101E-2</v>
      </c>
      <c r="V209" s="1290">
        <f t="shared" si="71"/>
        <v>3.5742322357652435E-2</v>
      </c>
      <c r="W209" s="1290">
        <f t="shared" si="71"/>
        <v>3.754445087457052E-2</v>
      </c>
      <c r="X209" s="1290">
        <f t="shared" si="71"/>
        <v>3.7954843838924335E-2</v>
      </c>
      <c r="Y209" s="1249"/>
    </row>
    <row r="210" spans="1:25" s="20" customFormat="1" ht="14.45" customHeight="1">
      <c r="A210" s="1262"/>
      <c r="B210" s="1262"/>
      <c r="C210" s="1262" t="s">
        <v>367</v>
      </c>
      <c r="D210" s="1262"/>
      <c r="E210" s="1262"/>
      <c r="F210" s="1262"/>
      <c r="Y210" s="1264"/>
    </row>
    <row r="211" spans="1:25" s="1194" customFormat="1" ht="14.45" customHeight="1">
      <c r="A211" s="1262" t="s">
        <v>619</v>
      </c>
      <c r="B211" s="1262" t="s">
        <v>852</v>
      </c>
      <c r="C211" s="1262"/>
      <c r="D211" s="1262" t="s">
        <v>853</v>
      </c>
      <c r="E211" s="1262" t="s">
        <v>856</v>
      </c>
      <c r="F211" s="1262" t="s">
        <v>634</v>
      </c>
      <c r="G211" s="20"/>
      <c r="H211" s="20"/>
      <c r="I211" s="20"/>
      <c r="J211" s="1279" t="s">
        <v>857</v>
      </c>
      <c r="K211" s="1269" t="s">
        <v>627</v>
      </c>
      <c r="L211" s="1290">
        <f t="shared" ref="L211:X211" si="72">(L96*L162+L194*L207)/(L96+L194)</f>
        <v>3.5715426391510686E-2</v>
      </c>
      <c r="M211" s="1290">
        <f t="shared" si="72"/>
        <v>3.6552494971041988E-2</v>
      </c>
      <c r="N211" s="1290">
        <f t="shared" si="72"/>
        <v>3.6713880102726262E-2</v>
      </c>
      <c r="O211" s="1290">
        <f t="shared" si="72"/>
        <v>3.5983285239347414E-2</v>
      </c>
      <c r="P211" s="1290">
        <f t="shared" si="72"/>
        <v>3.5225247594999703E-2</v>
      </c>
      <c r="Q211" s="1290">
        <f t="shared" si="72"/>
        <v>3.5063717549349178E-2</v>
      </c>
      <c r="R211" s="1290">
        <f t="shared" si="72"/>
        <v>3.2224641504785288E-2</v>
      </c>
      <c r="S211" s="1290">
        <f t="shared" si="72"/>
        <v>2.9040404945393734E-2</v>
      </c>
      <c r="T211" s="1290">
        <f t="shared" si="72"/>
        <v>2.9305063900277765E-2</v>
      </c>
      <c r="U211" s="1290">
        <f t="shared" si="72"/>
        <v>2.9732766572148871E-2</v>
      </c>
      <c r="V211" s="1290">
        <f t="shared" si="72"/>
        <v>3.0386102949089867E-2</v>
      </c>
      <c r="W211" s="1290">
        <f t="shared" si="72"/>
        <v>3.1028258977861271E-2</v>
      </c>
      <c r="X211" s="1290">
        <f t="shared" si="72"/>
        <v>3.1202198539570101E-2</v>
      </c>
      <c r="Y211" s="1249"/>
    </row>
    <row r="212" spans="1:25" s="20" customFormat="1" ht="14.45" customHeight="1">
      <c r="A212" s="1262"/>
      <c r="B212" s="1262"/>
      <c r="C212" s="1262" t="s">
        <v>367</v>
      </c>
      <c r="D212" s="1262"/>
      <c r="E212" s="1262"/>
      <c r="F212" s="1262"/>
      <c r="J212" s="1284"/>
      <c r="Y212" s="1264"/>
    </row>
    <row r="213" spans="1:25" s="20" customFormat="1" ht="14.45" customHeight="1">
      <c r="A213" s="1262"/>
      <c r="B213" s="1262"/>
      <c r="C213" s="1262" t="s">
        <v>367</v>
      </c>
      <c r="D213" s="1262"/>
      <c r="E213" s="1262"/>
      <c r="F213" s="1262"/>
      <c r="Y213" s="1264"/>
    </row>
    <row r="214" spans="1:25" s="1194" customFormat="1" ht="14.45" customHeight="1">
      <c r="A214" s="1262"/>
      <c r="B214" s="1262"/>
      <c r="C214" s="1262" t="s">
        <v>367</v>
      </c>
      <c r="D214" s="1262"/>
      <c r="E214" s="1262"/>
      <c r="F214" s="1262"/>
      <c r="G214" s="1241"/>
      <c r="H214" s="1241"/>
      <c r="I214" s="1833" t="s">
        <v>858</v>
      </c>
      <c r="J214" s="1279"/>
      <c r="Y214" s="1241"/>
    </row>
    <row r="215" spans="1:25" s="1194" customFormat="1" ht="14.45" customHeight="1">
      <c r="A215" s="1262" t="s">
        <v>619</v>
      </c>
      <c r="B215" s="1262" t="s">
        <v>859</v>
      </c>
      <c r="C215" s="1262"/>
      <c r="D215" s="1262" t="s">
        <v>860</v>
      </c>
      <c r="E215" s="1262" t="s">
        <v>861</v>
      </c>
      <c r="F215" s="1262" t="s">
        <v>634</v>
      </c>
      <c r="G215" s="1241"/>
      <c r="H215" s="1241"/>
      <c r="I215" s="1241"/>
      <c r="J215" s="1289" t="s">
        <v>862</v>
      </c>
      <c r="K215" s="1212" t="s">
        <v>498</v>
      </c>
      <c r="L215" s="1276">
        <f t="shared" ref="L215:X215" si="73">L33+L193</f>
        <v>1213</v>
      </c>
      <c r="M215" s="1276">
        <f t="shared" si="73"/>
        <v>1225</v>
      </c>
      <c r="N215" s="1276">
        <f t="shared" si="73"/>
        <v>1260.1578947400001</v>
      </c>
      <c r="O215" s="1276">
        <f t="shared" si="73"/>
        <v>1336.3157894800001</v>
      </c>
      <c r="P215" s="1276">
        <f t="shared" si="73"/>
        <v>1379.4740000000002</v>
      </c>
      <c r="Q215" s="1276">
        <f t="shared" si="73"/>
        <v>1532.6318947400002</v>
      </c>
      <c r="R215" s="1276">
        <f t="shared" si="73"/>
        <v>1496.4057612852159</v>
      </c>
      <c r="S215" s="1276">
        <f t="shared" si="73"/>
        <v>1568.6331203430159</v>
      </c>
      <c r="T215" s="1276">
        <f t="shared" si="73"/>
        <v>1667.3228325754119</v>
      </c>
      <c r="U215" s="1276">
        <f t="shared" si="73"/>
        <v>1818.3688915744497</v>
      </c>
      <c r="V215" s="1276">
        <f t="shared" si="73"/>
        <v>1921.0540078851361</v>
      </c>
      <c r="W215" s="1276">
        <f t="shared" si="73"/>
        <v>1863.0155776245933</v>
      </c>
      <c r="X215" s="1276">
        <f t="shared" si="73"/>
        <v>1918.7725763504914</v>
      </c>
      <c r="Y215" s="1241"/>
    </row>
    <row r="216" spans="1:25" s="1194" customFormat="1" ht="14.45" customHeight="1">
      <c r="A216" s="1262" t="s">
        <v>619</v>
      </c>
      <c r="B216" s="1262" t="s">
        <v>859</v>
      </c>
      <c r="C216" s="1262"/>
      <c r="D216" s="1262" t="s">
        <v>860</v>
      </c>
      <c r="E216" s="1262" t="s">
        <v>863</v>
      </c>
      <c r="F216" s="1262" t="s">
        <v>634</v>
      </c>
      <c r="G216" s="1241"/>
      <c r="H216" s="1241"/>
      <c r="I216" s="1241"/>
      <c r="J216" s="1289" t="s">
        <v>864</v>
      </c>
      <c r="K216" s="1212" t="s">
        <v>498</v>
      </c>
      <c r="L216" s="1231">
        <v>-7.1</v>
      </c>
      <c r="M216" s="1231">
        <v>-8.6</v>
      </c>
      <c r="N216" s="1231">
        <v>-5</v>
      </c>
      <c r="O216" s="1231">
        <v>-8.1999999999999993</v>
      </c>
      <c r="P216" s="1231">
        <v>-8.1199999999999992</v>
      </c>
      <c r="Q216" s="1231">
        <v>-111.2</v>
      </c>
      <c r="R216" s="1231">
        <v>0</v>
      </c>
      <c r="S216" s="2568">
        <v>0</v>
      </c>
      <c r="T216" s="1231">
        <v>-25</v>
      </c>
      <c r="U216" s="1231">
        <v>-100</v>
      </c>
      <c r="V216" s="1231">
        <v>-125</v>
      </c>
      <c r="W216" s="1231">
        <v>0</v>
      </c>
      <c r="X216" s="1231">
        <v>0</v>
      </c>
      <c r="Y216" s="1241"/>
    </row>
    <row r="217" spans="1:25" s="1194" customFormat="1" ht="14.45" customHeight="1">
      <c r="A217" s="1262" t="s">
        <v>619</v>
      </c>
      <c r="B217" s="1262" t="s">
        <v>859</v>
      </c>
      <c r="C217" s="1262"/>
      <c r="D217" s="1262" t="s">
        <v>860</v>
      </c>
      <c r="E217" s="1262" t="s">
        <v>865</v>
      </c>
      <c r="F217" s="1262" t="s">
        <v>634</v>
      </c>
      <c r="G217" s="1241"/>
      <c r="H217" s="1241"/>
      <c r="I217" s="1241"/>
      <c r="J217" s="1289" t="s">
        <v>866</v>
      </c>
      <c r="K217" s="1212" t="s">
        <v>658</v>
      </c>
      <c r="L217" s="1231">
        <v>0</v>
      </c>
      <c r="M217" s="1231">
        <v>0</v>
      </c>
      <c r="N217" s="1231">
        <v>0</v>
      </c>
      <c r="O217" s="1231">
        <v>0</v>
      </c>
      <c r="P217" s="1231">
        <v>0</v>
      </c>
      <c r="Q217" s="1231">
        <v>0</v>
      </c>
      <c r="R217" s="1231">
        <v>0</v>
      </c>
      <c r="S217" s="1231">
        <v>0</v>
      </c>
      <c r="T217" s="1231">
        <v>0</v>
      </c>
      <c r="U217" s="1231">
        <v>0</v>
      </c>
      <c r="V217" s="1231">
        <v>0</v>
      </c>
      <c r="W217" s="1231">
        <v>0</v>
      </c>
      <c r="X217" s="1231">
        <v>0</v>
      </c>
      <c r="Y217" s="1241"/>
    </row>
    <row r="218" spans="1:25" s="1194" customFormat="1" ht="14.45" customHeight="1">
      <c r="A218" s="1262" t="s">
        <v>619</v>
      </c>
      <c r="B218" s="1262" t="s">
        <v>859</v>
      </c>
      <c r="C218" s="1262"/>
      <c r="D218" s="1262" t="s">
        <v>860</v>
      </c>
      <c r="E218" s="1262" t="s">
        <v>867</v>
      </c>
      <c r="F218" s="1262" t="s">
        <v>634</v>
      </c>
      <c r="G218" s="1241"/>
      <c r="H218" s="1241"/>
      <c r="I218" s="1241"/>
      <c r="J218" s="1289" t="s">
        <v>868</v>
      </c>
      <c r="K218" s="1212" t="s">
        <v>658</v>
      </c>
      <c r="L218" s="1231">
        <v>0</v>
      </c>
      <c r="M218" s="1231">
        <v>0</v>
      </c>
      <c r="N218" s="1231">
        <v>0</v>
      </c>
      <c r="O218" s="1231">
        <v>0</v>
      </c>
      <c r="P218" s="1231">
        <v>0</v>
      </c>
      <c r="Q218" s="1231">
        <v>0</v>
      </c>
      <c r="R218" s="1231">
        <v>0</v>
      </c>
      <c r="S218" s="1231">
        <v>0</v>
      </c>
      <c r="T218" s="1231">
        <v>0</v>
      </c>
      <c r="U218" s="1231">
        <v>0</v>
      </c>
      <c r="V218" s="1231">
        <v>0</v>
      </c>
      <c r="W218" s="1231">
        <v>0</v>
      </c>
      <c r="X218" s="1231">
        <v>0</v>
      </c>
      <c r="Y218" s="1241"/>
    </row>
    <row r="219" spans="1:25" s="1194" customFormat="1" ht="14.45" customHeight="1">
      <c r="A219" s="1262" t="s">
        <v>619</v>
      </c>
      <c r="B219" s="1262" t="s">
        <v>859</v>
      </c>
      <c r="C219" s="1262"/>
      <c r="D219" s="1262" t="s">
        <v>860</v>
      </c>
      <c r="E219" s="1262" t="str">
        <f>J219</f>
        <v>[Insert adjustment as necessary]</v>
      </c>
      <c r="F219" s="1262" t="s">
        <v>634</v>
      </c>
      <c r="G219" s="1241"/>
      <c r="H219" s="1241"/>
      <c r="I219" s="1241"/>
      <c r="J219" s="1834" t="s">
        <v>869</v>
      </c>
      <c r="K219" s="1212" t="s">
        <v>498</v>
      </c>
      <c r="L219" s="1231">
        <v>0</v>
      </c>
      <c r="M219" s="1231">
        <v>0</v>
      </c>
      <c r="N219" s="1231">
        <v>0</v>
      </c>
      <c r="O219" s="1231">
        <v>0</v>
      </c>
      <c r="P219" s="1231">
        <v>0</v>
      </c>
      <c r="Q219" s="1231">
        <v>0</v>
      </c>
      <c r="R219" s="1231">
        <v>0</v>
      </c>
      <c r="S219" s="1231">
        <v>0</v>
      </c>
      <c r="T219" s="1231">
        <v>0</v>
      </c>
      <c r="U219" s="1231">
        <v>0</v>
      </c>
      <c r="V219" s="1231">
        <v>0</v>
      </c>
      <c r="W219" s="1231">
        <v>0</v>
      </c>
      <c r="X219" s="1231">
        <v>0</v>
      </c>
      <c r="Y219" s="1241"/>
    </row>
    <row r="220" spans="1:25" s="1194" customFormat="1" ht="14.45" customHeight="1">
      <c r="A220" s="1262" t="s">
        <v>619</v>
      </c>
      <c r="B220" s="1262" t="s">
        <v>859</v>
      </c>
      <c r="C220" s="1262"/>
      <c r="D220" s="1262" t="s">
        <v>860</v>
      </c>
      <c r="E220" s="1262" t="str">
        <f t="shared" ref="E220:E222" si="74">J220</f>
        <v>[Insert adjustment as necessary]</v>
      </c>
      <c r="F220" s="1262" t="s">
        <v>634</v>
      </c>
      <c r="G220" s="1241"/>
      <c r="H220" s="1241"/>
      <c r="I220" s="1241"/>
      <c r="J220" s="1834" t="s">
        <v>869</v>
      </c>
      <c r="K220" s="1212" t="s">
        <v>498</v>
      </c>
      <c r="L220" s="1231">
        <v>0</v>
      </c>
      <c r="M220" s="1231">
        <v>0</v>
      </c>
      <c r="N220" s="1231">
        <v>0</v>
      </c>
      <c r="O220" s="1231">
        <v>0</v>
      </c>
      <c r="P220" s="1231">
        <v>0</v>
      </c>
      <c r="Q220" s="1231">
        <v>0</v>
      </c>
      <c r="R220" s="1231">
        <v>0</v>
      </c>
      <c r="S220" s="1231">
        <v>0</v>
      </c>
      <c r="T220" s="1231">
        <v>0</v>
      </c>
      <c r="U220" s="1231">
        <v>0</v>
      </c>
      <c r="V220" s="1231">
        <v>0</v>
      </c>
      <c r="W220" s="1231">
        <v>0</v>
      </c>
      <c r="X220" s="1231">
        <v>0</v>
      </c>
      <c r="Y220" s="1241"/>
    </row>
    <row r="221" spans="1:25" s="1194" customFormat="1" ht="14.45" customHeight="1">
      <c r="A221" s="1262" t="s">
        <v>619</v>
      </c>
      <c r="B221" s="1262" t="s">
        <v>859</v>
      </c>
      <c r="C221" s="1262"/>
      <c r="D221" s="1262" t="s">
        <v>860</v>
      </c>
      <c r="E221" s="1262" t="str">
        <f t="shared" si="74"/>
        <v>[Insert adjustment as necessary]</v>
      </c>
      <c r="F221" s="1262" t="s">
        <v>634</v>
      </c>
      <c r="G221" s="1241"/>
      <c r="H221" s="1241"/>
      <c r="I221" s="1241"/>
      <c r="J221" s="1834" t="s">
        <v>869</v>
      </c>
      <c r="K221" s="1212" t="s">
        <v>498</v>
      </c>
      <c r="L221" s="1231">
        <v>0</v>
      </c>
      <c r="M221" s="1231">
        <v>0</v>
      </c>
      <c r="N221" s="1231">
        <v>0</v>
      </c>
      <c r="O221" s="1231">
        <v>0</v>
      </c>
      <c r="P221" s="1231">
        <v>0</v>
      </c>
      <c r="Q221" s="1231">
        <v>0</v>
      </c>
      <c r="R221" s="1231">
        <v>0</v>
      </c>
      <c r="S221" s="1231">
        <v>0</v>
      </c>
      <c r="T221" s="1231">
        <v>0</v>
      </c>
      <c r="U221" s="1231">
        <v>0</v>
      </c>
      <c r="V221" s="1231">
        <v>0</v>
      </c>
      <c r="W221" s="1231">
        <v>0</v>
      </c>
      <c r="X221" s="1231">
        <v>0</v>
      </c>
      <c r="Y221" s="1241"/>
    </row>
    <row r="222" spans="1:25" s="1194" customFormat="1" ht="14.45" customHeight="1">
      <c r="A222" s="1262" t="s">
        <v>619</v>
      </c>
      <c r="B222" s="1262" t="s">
        <v>859</v>
      </c>
      <c r="C222" s="1262"/>
      <c r="D222" s="1262" t="s">
        <v>860</v>
      </c>
      <c r="E222" s="1262" t="str">
        <f t="shared" si="74"/>
        <v>[Insert adjustment as necessary]</v>
      </c>
      <c r="F222" s="1262" t="s">
        <v>634</v>
      </c>
      <c r="G222" s="1241"/>
      <c r="H222" s="1241"/>
      <c r="I222" s="1241"/>
      <c r="J222" s="1834" t="s">
        <v>869</v>
      </c>
      <c r="K222" s="1212" t="s">
        <v>498</v>
      </c>
      <c r="L222" s="1231">
        <v>0</v>
      </c>
      <c r="M222" s="1231">
        <v>0</v>
      </c>
      <c r="N222" s="1231">
        <v>0</v>
      </c>
      <c r="O222" s="1231">
        <v>0</v>
      </c>
      <c r="P222" s="1231">
        <v>0</v>
      </c>
      <c r="Q222" s="1231">
        <v>0</v>
      </c>
      <c r="R222" s="1231">
        <v>0</v>
      </c>
      <c r="S222" s="1231">
        <v>0</v>
      </c>
      <c r="T222" s="1231">
        <v>0</v>
      </c>
      <c r="U222" s="1231">
        <v>0</v>
      </c>
      <c r="V222" s="1231">
        <v>0</v>
      </c>
      <c r="W222" s="1231">
        <v>0</v>
      </c>
      <c r="X222" s="1231">
        <v>0</v>
      </c>
      <c r="Y222" s="1241"/>
    </row>
    <row r="223" spans="1:25" s="1194" customFormat="1" ht="14.45" customHeight="1">
      <c r="A223" s="1262" t="s">
        <v>619</v>
      </c>
      <c r="B223" s="1262" t="s">
        <v>859</v>
      </c>
      <c r="C223" s="1262"/>
      <c r="D223" s="1262" t="s">
        <v>860</v>
      </c>
      <c r="E223" s="1262" t="s">
        <v>870</v>
      </c>
      <c r="F223" s="1262" t="s">
        <v>634</v>
      </c>
      <c r="G223" s="1241"/>
      <c r="H223" s="1241"/>
      <c r="I223" s="1241"/>
      <c r="J223" s="1279" t="s">
        <v>871</v>
      </c>
      <c r="K223" s="1212" t="s">
        <v>498</v>
      </c>
      <c r="L223" s="1276">
        <f>SUM(L215:L222)</f>
        <v>1205.9000000000001</v>
      </c>
      <c r="M223" s="1276">
        <f t="shared" ref="M223:X223" si="75">SUM(M215:M222)</f>
        <v>1216.4000000000001</v>
      </c>
      <c r="N223" s="1276">
        <f t="shared" si="75"/>
        <v>1255.1578947400001</v>
      </c>
      <c r="O223" s="1276">
        <f t="shared" si="75"/>
        <v>1328.1157894800001</v>
      </c>
      <c r="P223" s="1276">
        <f t="shared" si="75"/>
        <v>1371.3540000000003</v>
      </c>
      <c r="Q223" s="1276">
        <f t="shared" si="75"/>
        <v>1421.4318947400002</v>
      </c>
      <c r="R223" s="1276">
        <f t="shared" si="75"/>
        <v>1496.4057612852159</v>
      </c>
      <c r="S223" s="1276">
        <f t="shared" si="75"/>
        <v>1568.6331203430159</v>
      </c>
      <c r="T223" s="1276">
        <f t="shared" si="75"/>
        <v>1642.3228325754119</v>
      </c>
      <c r="U223" s="1276">
        <f t="shared" si="75"/>
        <v>1718.3688915744497</v>
      </c>
      <c r="V223" s="1276">
        <f t="shared" si="75"/>
        <v>1796.0540078851361</v>
      </c>
      <c r="W223" s="1276">
        <f t="shared" si="75"/>
        <v>1863.0155776245933</v>
      </c>
      <c r="X223" s="1276">
        <f t="shared" si="75"/>
        <v>1918.7725763504914</v>
      </c>
      <c r="Y223" s="1241"/>
    </row>
    <row r="224" spans="1:25" s="1241" customFormat="1" ht="14.45" customHeight="1">
      <c r="A224" s="1262"/>
      <c r="B224" s="1262"/>
      <c r="C224" s="1262" t="s">
        <v>367</v>
      </c>
      <c r="D224" s="1262"/>
      <c r="E224" s="1262"/>
      <c r="F224" s="1262"/>
      <c r="J224" s="1835"/>
      <c r="K224" s="1836"/>
      <c r="L224" s="1249"/>
      <c r="M224" s="1249"/>
      <c r="N224" s="1249"/>
      <c r="O224" s="1249"/>
      <c r="P224" s="1249"/>
      <c r="Q224" s="1249"/>
      <c r="R224" s="1249"/>
      <c r="S224" s="1249"/>
      <c r="T224" s="1249"/>
      <c r="U224" s="1249"/>
      <c r="V224" s="1249"/>
      <c r="W224" s="1249"/>
      <c r="X224" s="1249"/>
    </row>
    <row r="225" spans="1:25" s="1194" customFormat="1" ht="14.45" customHeight="1">
      <c r="A225" s="1262" t="s">
        <v>619</v>
      </c>
      <c r="B225" s="1262" t="s">
        <v>859</v>
      </c>
      <c r="C225" s="1262"/>
      <c r="D225" s="1262" t="s">
        <v>860</v>
      </c>
      <c r="E225" s="1262" t="s">
        <v>872</v>
      </c>
      <c r="F225" s="1262" t="s">
        <v>634</v>
      </c>
      <c r="G225" s="1241"/>
      <c r="H225" s="1241"/>
      <c r="I225" s="1241"/>
      <c r="J225" s="1279" t="s">
        <v>873</v>
      </c>
      <c r="K225" s="1212" t="s">
        <v>498</v>
      </c>
      <c r="L225" s="1231">
        <v>1170.8</v>
      </c>
      <c r="M225" s="1276">
        <f>L226</f>
        <v>1205.9000000000001</v>
      </c>
      <c r="N225" s="1276">
        <f t="shared" ref="N225:X225" si="76">M226</f>
        <v>1216.4000000000001</v>
      </c>
      <c r="O225" s="1276">
        <f t="shared" si="76"/>
        <v>1255.1578947400001</v>
      </c>
      <c r="P225" s="1276">
        <f t="shared" si="76"/>
        <v>1328.1157894800001</v>
      </c>
      <c r="Q225" s="1276">
        <f t="shared" si="76"/>
        <v>1371.3540000000003</v>
      </c>
      <c r="R225" s="1276">
        <f t="shared" si="76"/>
        <v>1421.4318947400002</v>
      </c>
      <c r="S225" s="1276">
        <f t="shared" si="76"/>
        <v>1496.4057612852159</v>
      </c>
      <c r="T225" s="1276">
        <f t="shared" si="76"/>
        <v>1568.6331203430159</v>
      </c>
      <c r="U225" s="1276">
        <f t="shared" si="76"/>
        <v>1642.3228325754119</v>
      </c>
      <c r="V225" s="1276">
        <f t="shared" si="76"/>
        <v>1718.3688915744497</v>
      </c>
      <c r="W225" s="1276">
        <f t="shared" si="76"/>
        <v>1796.0540078851361</v>
      </c>
      <c r="X225" s="1276">
        <f t="shared" si="76"/>
        <v>1863.0155776245933</v>
      </c>
      <c r="Y225" s="1241"/>
    </row>
    <row r="226" spans="1:25" s="1194" customFormat="1" ht="14.45" customHeight="1">
      <c r="A226" s="1262"/>
      <c r="B226" s="1262"/>
      <c r="C226" s="1262" t="s">
        <v>367</v>
      </c>
      <c r="D226" s="1262"/>
      <c r="E226" s="1262"/>
      <c r="F226" s="1262"/>
      <c r="G226" s="1241"/>
      <c r="H226" s="1241"/>
      <c r="I226" s="1241"/>
      <c r="J226" s="1279" t="s">
        <v>871</v>
      </c>
      <c r="K226" s="1212" t="s">
        <v>498</v>
      </c>
      <c r="L226" s="1276">
        <f>L223</f>
        <v>1205.9000000000001</v>
      </c>
      <c r="M226" s="1276">
        <f t="shared" ref="M226:X226" si="77">M223</f>
        <v>1216.4000000000001</v>
      </c>
      <c r="N226" s="1276">
        <f>N223</f>
        <v>1255.1578947400001</v>
      </c>
      <c r="O226" s="1276">
        <f t="shared" si="77"/>
        <v>1328.1157894800001</v>
      </c>
      <c r="P226" s="1276">
        <f t="shared" si="77"/>
        <v>1371.3540000000003</v>
      </c>
      <c r="Q226" s="1276">
        <f t="shared" si="77"/>
        <v>1421.4318947400002</v>
      </c>
      <c r="R226" s="1276">
        <f t="shared" si="77"/>
        <v>1496.4057612852159</v>
      </c>
      <c r="S226" s="1276">
        <f t="shared" si="77"/>
        <v>1568.6331203430159</v>
      </c>
      <c r="T226" s="1276">
        <f t="shared" si="77"/>
        <v>1642.3228325754119</v>
      </c>
      <c r="U226" s="1276">
        <f t="shared" si="77"/>
        <v>1718.3688915744497</v>
      </c>
      <c r="V226" s="1276">
        <f t="shared" si="77"/>
        <v>1796.0540078851361</v>
      </c>
      <c r="W226" s="1276">
        <f t="shared" si="77"/>
        <v>1863.0155776245933</v>
      </c>
      <c r="X226" s="1276">
        <f t="shared" si="77"/>
        <v>1918.7725763504914</v>
      </c>
      <c r="Y226" s="1241"/>
    </row>
    <row r="227" spans="1:25" s="1194" customFormat="1" ht="14.45" customHeight="1">
      <c r="A227" s="1262" t="s">
        <v>619</v>
      </c>
      <c r="B227" s="1262" t="s">
        <v>859</v>
      </c>
      <c r="C227" s="1262"/>
      <c r="D227" s="1262" t="s">
        <v>860</v>
      </c>
      <c r="E227" s="1262" t="s">
        <v>874</v>
      </c>
      <c r="F227" s="1262" t="s">
        <v>634</v>
      </c>
      <c r="G227" s="1241"/>
      <c r="H227" s="1241"/>
      <c r="I227" s="1241"/>
      <c r="J227" s="1279" t="s">
        <v>875</v>
      </c>
      <c r="K227" s="1212" t="s">
        <v>498</v>
      </c>
      <c r="L227" s="1276">
        <f>AVERAGE(L225:L226)</f>
        <v>1188.3499999999999</v>
      </c>
      <c r="M227" s="1276">
        <f t="shared" ref="M227:X227" si="78">AVERAGE(M225:M226)</f>
        <v>1211.1500000000001</v>
      </c>
      <c r="N227" s="1276">
        <f>AVERAGE(N225:N226)</f>
        <v>1235.77894737</v>
      </c>
      <c r="O227" s="1276">
        <f t="shared" si="78"/>
        <v>1291.6368421100001</v>
      </c>
      <c r="P227" s="1276">
        <f t="shared" si="78"/>
        <v>1349.7348947400001</v>
      </c>
      <c r="Q227" s="1276">
        <f t="shared" si="78"/>
        <v>1396.3929473700002</v>
      </c>
      <c r="R227" s="1276">
        <f t="shared" si="78"/>
        <v>1458.9188280126082</v>
      </c>
      <c r="S227" s="1276">
        <f t="shared" si="78"/>
        <v>1532.519440814116</v>
      </c>
      <c r="T227" s="1276">
        <f t="shared" si="78"/>
        <v>1605.477976459214</v>
      </c>
      <c r="U227" s="1276">
        <f t="shared" si="78"/>
        <v>1680.3458620749307</v>
      </c>
      <c r="V227" s="1276">
        <f t="shared" si="78"/>
        <v>1757.211449729793</v>
      </c>
      <c r="W227" s="1276">
        <f t="shared" si="78"/>
        <v>1829.5347927548646</v>
      </c>
      <c r="X227" s="1276">
        <f t="shared" si="78"/>
        <v>1890.8940769875423</v>
      </c>
      <c r="Y227" s="1241"/>
    </row>
    <row r="228" spans="1:25" s="1241" customFormat="1" ht="14.45" customHeight="1">
      <c r="A228" s="1262"/>
      <c r="B228" s="1262"/>
      <c r="C228" s="1262" t="s">
        <v>367</v>
      </c>
      <c r="D228" s="1262"/>
      <c r="E228" s="1262"/>
      <c r="F228" s="1262"/>
      <c r="J228" s="1835"/>
      <c r="K228" s="1836"/>
      <c r="L228" s="1249"/>
      <c r="M228" s="1249"/>
      <c r="N228" s="1249"/>
      <c r="O228" s="1249"/>
      <c r="P228" s="1249"/>
      <c r="Q228" s="1249"/>
      <c r="R228" s="1249"/>
      <c r="S228" s="1249"/>
      <c r="T228" s="1249"/>
      <c r="U228" s="1249"/>
      <c r="V228" s="1249"/>
      <c r="W228" s="1249"/>
      <c r="X228" s="1249"/>
    </row>
    <row r="229" spans="1:25" s="1241" customFormat="1" ht="14.45" customHeight="1">
      <c r="A229" s="1262"/>
      <c r="B229" s="1262"/>
      <c r="C229" s="1262" t="s">
        <v>367</v>
      </c>
      <c r="D229" s="1262"/>
      <c r="E229" s="1262"/>
      <c r="F229" s="1262"/>
      <c r="I229" s="1833" t="s">
        <v>876</v>
      </c>
      <c r="J229" s="1835"/>
      <c r="K229" s="1836"/>
      <c r="L229" s="1249"/>
      <c r="M229" s="1249"/>
      <c r="N229" s="1249"/>
      <c r="O229" s="1249"/>
      <c r="P229" s="1249"/>
      <c r="Q229" s="1249"/>
      <c r="R229" s="1249"/>
      <c r="S229" s="1249"/>
      <c r="T229" s="1249"/>
      <c r="U229" s="1249"/>
      <c r="V229" s="1249"/>
      <c r="W229" s="1249"/>
      <c r="X229" s="1249"/>
    </row>
    <row r="230" spans="1:25" s="1241" customFormat="1" ht="14.45" customHeight="1">
      <c r="A230" s="1262" t="s">
        <v>619</v>
      </c>
      <c r="B230" s="1262" t="s">
        <v>859</v>
      </c>
      <c r="C230" s="1262"/>
      <c r="D230" s="1262" t="s">
        <v>877</v>
      </c>
      <c r="E230" s="1262" t="s">
        <v>730</v>
      </c>
      <c r="F230" s="1262" t="s">
        <v>634</v>
      </c>
      <c r="J230" s="1289" t="s">
        <v>878</v>
      </c>
      <c r="K230" s="1212" t="s">
        <v>498</v>
      </c>
      <c r="L230" s="1276">
        <f>L161+L206</f>
        <v>42.619658640164388</v>
      </c>
      <c r="M230" s="1276">
        <f t="shared" ref="M230:X230" si="79">M161+M206</f>
        <v>43.976757346858889</v>
      </c>
      <c r="N230" s="1276">
        <f t="shared" si="79"/>
        <v>45.181978256740067</v>
      </c>
      <c r="O230" s="1276">
        <f t="shared" si="79"/>
        <v>45.590848341616244</v>
      </c>
      <c r="P230" s="1276">
        <f t="shared" si="79"/>
        <v>47.466846527814752</v>
      </c>
      <c r="Q230" s="1276">
        <f t="shared" si="79"/>
        <v>49.60525047161093</v>
      </c>
      <c r="R230" s="1276">
        <f t="shared" si="79"/>
        <v>48.741789695983421</v>
      </c>
      <c r="S230" s="1276">
        <f t="shared" si="79"/>
        <v>45.068596150573903</v>
      </c>
      <c r="T230" s="1276">
        <f t="shared" si="79"/>
        <v>48.17756568352646</v>
      </c>
      <c r="U230" s="1276">
        <f t="shared" si="79"/>
        <v>53.402238397244986</v>
      </c>
      <c r="V230" s="1276">
        <f t="shared" si="79"/>
        <v>59.905003824347219</v>
      </c>
      <c r="W230" s="1276">
        <f t="shared" si="79"/>
        <v>59.021946486894791</v>
      </c>
      <c r="X230" s="1276">
        <f t="shared" si="79"/>
        <v>59.477141251562273</v>
      </c>
    </row>
    <row r="231" spans="1:25" s="1194" customFormat="1" ht="14.45" customHeight="1">
      <c r="A231" s="1262" t="s">
        <v>619</v>
      </c>
      <c r="B231" s="1262" t="s">
        <v>859</v>
      </c>
      <c r="C231" s="1262"/>
      <c r="D231" s="1262" t="s">
        <v>877</v>
      </c>
      <c r="E231" s="1262" t="s">
        <v>865</v>
      </c>
      <c r="F231" s="1262" t="s">
        <v>634</v>
      </c>
      <c r="G231" s="1241"/>
      <c r="H231" s="1241"/>
      <c r="I231" s="1241"/>
      <c r="J231" s="1289" t="s">
        <v>879</v>
      </c>
      <c r="K231" s="1212" t="s">
        <v>658</v>
      </c>
      <c r="L231" s="1231">
        <v>0</v>
      </c>
      <c r="M231" s="1231">
        <v>0</v>
      </c>
      <c r="N231" s="1231">
        <v>0</v>
      </c>
      <c r="O231" s="1231">
        <v>0</v>
      </c>
      <c r="P231" s="1231">
        <v>0</v>
      </c>
      <c r="Q231" s="1231">
        <v>0</v>
      </c>
      <c r="R231" s="1231">
        <v>0</v>
      </c>
      <c r="S231" s="1231">
        <v>0</v>
      </c>
      <c r="T231" s="1231">
        <v>0</v>
      </c>
      <c r="U231" s="1231">
        <v>0</v>
      </c>
      <c r="V231" s="1231">
        <v>0</v>
      </c>
      <c r="W231" s="1231">
        <v>0</v>
      </c>
      <c r="X231" s="1231">
        <v>0</v>
      </c>
      <c r="Y231" s="1241"/>
    </row>
    <row r="232" spans="1:25" s="1194" customFormat="1" ht="14.45" customHeight="1">
      <c r="A232" s="1262" t="s">
        <v>619</v>
      </c>
      <c r="B232" s="1262" t="s">
        <v>859</v>
      </c>
      <c r="C232" s="1262"/>
      <c r="D232" s="1262" t="s">
        <v>877</v>
      </c>
      <c r="E232" s="1262" t="s">
        <v>867</v>
      </c>
      <c r="F232" s="1262" t="s">
        <v>634</v>
      </c>
      <c r="G232" s="1241"/>
      <c r="H232" s="1241"/>
      <c r="I232" s="1241"/>
      <c r="J232" s="1289" t="s">
        <v>880</v>
      </c>
      <c r="K232" s="1212" t="s">
        <v>658</v>
      </c>
      <c r="L232" s="1231">
        <v>0</v>
      </c>
      <c r="M232" s="1231">
        <v>0</v>
      </c>
      <c r="N232" s="1231">
        <v>0</v>
      </c>
      <c r="O232" s="1231">
        <v>0</v>
      </c>
      <c r="P232" s="1231">
        <v>0</v>
      </c>
      <c r="Q232" s="1231">
        <v>0</v>
      </c>
      <c r="R232" s="1231">
        <v>0</v>
      </c>
      <c r="S232" s="1231">
        <v>0</v>
      </c>
      <c r="T232" s="1231">
        <v>0</v>
      </c>
      <c r="U232" s="1231">
        <v>0</v>
      </c>
      <c r="V232" s="1231">
        <v>0</v>
      </c>
      <c r="W232" s="1231">
        <v>0</v>
      </c>
      <c r="X232" s="1231">
        <v>0</v>
      </c>
      <c r="Y232" s="1241"/>
    </row>
    <row r="233" spans="1:25" s="1241" customFormat="1" ht="14.45" customHeight="1">
      <c r="A233" s="1262" t="s">
        <v>619</v>
      </c>
      <c r="B233" s="1262" t="s">
        <v>859</v>
      </c>
      <c r="C233" s="1262"/>
      <c r="D233" s="1262" t="s">
        <v>877</v>
      </c>
      <c r="E233" s="1262" t="s">
        <v>881</v>
      </c>
      <c r="F233" s="1262" t="s">
        <v>634</v>
      </c>
      <c r="J233" s="1289" t="s">
        <v>882</v>
      </c>
      <c r="K233" s="1212" t="s">
        <v>498</v>
      </c>
      <c r="L233" s="1231">
        <v>-8.5000000000000006E-2</v>
      </c>
      <c r="M233" s="1231">
        <v>-0.05</v>
      </c>
      <c r="N233" s="1231">
        <v>-0.62</v>
      </c>
      <c r="O233" s="1231">
        <v>-0.03</v>
      </c>
      <c r="P233" s="1231">
        <v>-5.4059999999999997E-2</v>
      </c>
      <c r="Q233" s="1231">
        <v>-0.29537999999999998</v>
      </c>
      <c r="R233" s="1231">
        <v>0</v>
      </c>
      <c r="S233" s="1231">
        <v>0</v>
      </c>
      <c r="T233" s="1231">
        <v>0</v>
      </c>
      <c r="U233" s="1231">
        <v>0</v>
      </c>
      <c r="V233" s="1231">
        <v>0</v>
      </c>
      <c r="W233" s="1231">
        <v>0</v>
      </c>
      <c r="X233" s="1231">
        <v>0</v>
      </c>
    </row>
    <row r="234" spans="1:25" s="1241" customFormat="1" ht="14.45" customHeight="1">
      <c r="A234" s="1262" t="s">
        <v>619</v>
      </c>
      <c r="B234" s="1262" t="s">
        <v>859</v>
      </c>
      <c r="C234" s="1262"/>
      <c r="D234" s="1262" t="s">
        <v>877</v>
      </c>
      <c r="E234" s="1262" t="s">
        <v>883</v>
      </c>
      <c r="F234" s="1262" t="s">
        <v>634</v>
      </c>
      <c r="J234" s="1837" t="s">
        <v>884</v>
      </c>
      <c r="K234" s="1212" t="s">
        <v>658</v>
      </c>
      <c r="L234" s="1231">
        <v>0</v>
      </c>
      <c r="M234" s="1231">
        <v>0</v>
      </c>
      <c r="N234" s="1231">
        <v>0</v>
      </c>
      <c r="O234" s="1231">
        <v>0</v>
      </c>
      <c r="P234" s="1231">
        <v>0</v>
      </c>
      <c r="Q234" s="1231">
        <v>0</v>
      </c>
      <c r="R234" s="1231">
        <v>0</v>
      </c>
      <c r="S234" s="1231">
        <v>0</v>
      </c>
      <c r="T234" s="1231">
        <v>0</v>
      </c>
      <c r="U234" s="1231">
        <v>0</v>
      </c>
      <c r="V234" s="1231">
        <v>0</v>
      </c>
      <c r="W234" s="1231">
        <v>0</v>
      </c>
      <c r="X234" s="1231">
        <v>0</v>
      </c>
    </row>
    <row r="235" spans="1:25" s="1241" customFormat="1" ht="14.45" customHeight="1">
      <c r="A235" s="1262" t="s">
        <v>619</v>
      </c>
      <c r="B235" s="1262" t="s">
        <v>859</v>
      </c>
      <c r="C235" s="1262"/>
      <c r="D235" s="1262" t="s">
        <v>877</v>
      </c>
      <c r="E235" s="1262" t="str">
        <f>J235</f>
        <v>[Insert adjustment as necessary]</v>
      </c>
      <c r="F235" s="1262" t="s">
        <v>634</v>
      </c>
      <c r="J235" s="1834" t="s">
        <v>869</v>
      </c>
      <c r="K235" s="1212" t="s">
        <v>498</v>
      </c>
      <c r="L235" s="1231">
        <v>0</v>
      </c>
      <c r="M235" s="1231">
        <v>0</v>
      </c>
      <c r="N235" s="1231">
        <v>0</v>
      </c>
      <c r="O235" s="1231">
        <v>0</v>
      </c>
      <c r="P235" s="1231">
        <v>0</v>
      </c>
      <c r="Q235" s="1231">
        <v>0</v>
      </c>
      <c r="R235" s="1231">
        <v>0</v>
      </c>
      <c r="S235" s="1231">
        <v>0</v>
      </c>
      <c r="T235" s="1231">
        <v>0</v>
      </c>
      <c r="U235" s="1231">
        <v>0</v>
      </c>
      <c r="V235" s="1231">
        <v>0</v>
      </c>
      <c r="W235" s="1231">
        <v>0</v>
      </c>
      <c r="X235" s="1231">
        <v>0</v>
      </c>
    </row>
    <row r="236" spans="1:25" s="1241" customFormat="1" ht="14.45" customHeight="1">
      <c r="A236" s="1262" t="s">
        <v>619</v>
      </c>
      <c r="B236" s="1262" t="s">
        <v>859</v>
      </c>
      <c r="C236" s="1262"/>
      <c r="D236" s="1262" t="s">
        <v>877</v>
      </c>
      <c r="E236" s="1262" t="str">
        <f t="shared" ref="E236:E238" si="80">J236</f>
        <v>[Insert adjustment as necessary]</v>
      </c>
      <c r="F236" s="1262" t="s">
        <v>634</v>
      </c>
      <c r="J236" s="1834" t="s">
        <v>869</v>
      </c>
      <c r="K236" s="1212" t="s">
        <v>498</v>
      </c>
      <c r="L236" s="1231">
        <v>0</v>
      </c>
      <c r="M236" s="1231">
        <v>0</v>
      </c>
      <c r="N236" s="1231">
        <v>0</v>
      </c>
      <c r="O236" s="1231">
        <v>0</v>
      </c>
      <c r="P236" s="1231">
        <v>0</v>
      </c>
      <c r="Q236" s="1231">
        <v>0</v>
      </c>
      <c r="R236" s="1231">
        <v>0</v>
      </c>
      <c r="S236" s="1231">
        <v>0</v>
      </c>
      <c r="T236" s="1231">
        <v>0</v>
      </c>
      <c r="U236" s="1231">
        <v>0</v>
      </c>
      <c r="V236" s="1231">
        <v>0</v>
      </c>
      <c r="W236" s="1231">
        <v>0</v>
      </c>
      <c r="X236" s="1231">
        <v>0</v>
      </c>
    </row>
    <row r="237" spans="1:25" s="1241" customFormat="1" ht="14.45" customHeight="1">
      <c r="A237" s="1262" t="s">
        <v>619</v>
      </c>
      <c r="B237" s="1262" t="s">
        <v>859</v>
      </c>
      <c r="C237" s="1262"/>
      <c r="D237" s="1262" t="s">
        <v>877</v>
      </c>
      <c r="E237" s="1262" t="str">
        <f t="shared" si="80"/>
        <v>[Insert adjustment as necessary]</v>
      </c>
      <c r="F237" s="1262" t="s">
        <v>634</v>
      </c>
      <c r="J237" s="1834" t="s">
        <v>869</v>
      </c>
      <c r="K237" s="1212" t="s">
        <v>498</v>
      </c>
      <c r="L237" s="1231">
        <v>0</v>
      </c>
      <c r="M237" s="1231">
        <v>0</v>
      </c>
      <c r="N237" s="1231">
        <v>0</v>
      </c>
      <c r="O237" s="1231">
        <v>0</v>
      </c>
      <c r="P237" s="1231">
        <v>0</v>
      </c>
      <c r="Q237" s="1231">
        <v>0</v>
      </c>
      <c r="R237" s="1231">
        <v>0</v>
      </c>
      <c r="S237" s="1231">
        <v>0</v>
      </c>
      <c r="T237" s="1231">
        <v>0</v>
      </c>
      <c r="U237" s="1231">
        <v>0</v>
      </c>
      <c r="V237" s="1231">
        <v>0</v>
      </c>
      <c r="W237" s="1231">
        <v>0</v>
      </c>
      <c r="X237" s="1231">
        <v>0</v>
      </c>
    </row>
    <row r="238" spans="1:25" s="1241" customFormat="1" ht="14.45" customHeight="1">
      <c r="A238" s="1262" t="s">
        <v>619</v>
      </c>
      <c r="B238" s="1262" t="s">
        <v>859</v>
      </c>
      <c r="C238" s="1262"/>
      <c r="D238" s="1262" t="s">
        <v>877</v>
      </c>
      <c r="E238" s="1262" t="str">
        <f t="shared" si="80"/>
        <v>[Insert adjustment as necessary]</v>
      </c>
      <c r="F238" s="1262" t="s">
        <v>634</v>
      </c>
      <c r="J238" s="1834" t="s">
        <v>869</v>
      </c>
      <c r="K238" s="1212" t="s">
        <v>498</v>
      </c>
      <c r="L238" s="1231">
        <v>0</v>
      </c>
      <c r="M238" s="1231">
        <v>0</v>
      </c>
      <c r="N238" s="1231">
        <v>0</v>
      </c>
      <c r="O238" s="1231">
        <v>0</v>
      </c>
      <c r="P238" s="1231">
        <v>0</v>
      </c>
      <c r="Q238" s="1231">
        <v>0</v>
      </c>
      <c r="R238" s="1231">
        <v>0</v>
      </c>
      <c r="S238" s="1231">
        <v>0</v>
      </c>
      <c r="T238" s="1231">
        <v>0</v>
      </c>
      <c r="U238" s="1231">
        <v>0</v>
      </c>
      <c r="V238" s="1231">
        <v>0</v>
      </c>
      <c r="W238" s="1231">
        <v>0</v>
      </c>
      <c r="X238" s="1231">
        <v>0</v>
      </c>
    </row>
    <row r="239" spans="1:25" s="1241" customFormat="1" ht="14.45" customHeight="1">
      <c r="A239" s="1262" t="s">
        <v>619</v>
      </c>
      <c r="B239" s="1262" t="s">
        <v>859</v>
      </c>
      <c r="C239" s="1262"/>
      <c r="D239" s="1262" t="s">
        <v>877</v>
      </c>
      <c r="E239" s="1262" t="str">
        <f>J239</f>
        <v>[Insert adjustment as necessary]</v>
      </c>
      <c r="F239" s="1262" t="s">
        <v>634</v>
      </c>
      <c r="J239" s="1834" t="s">
        <v>869</v>
      </c>
      <c r="K239" s="1212" t="s">
        <v>498</v>
      </c>
      <c r="L239" s="1231">
        <v>0</v>
      </c>
      <c r="M239" s="1231">
        <v>0</v>
      </c>
      <c r="N239" s="1231">
        <v>0</v>
      </c>
      <c r="O239" s="1231">
        <v>0</v>
      </c>
      <c r="P239" s="1231">
        <v>0</v>
      </c>
      <c r="Q239" s="1231">
        <v>0</v>
      </c>
      <c r="R239" s="1231">
        <v>0</v>
      </c>
      <c r="S239" s="1231">
        <v>0</v>
      </c>
      <c r="T239" s="1231">
        <v>0</v>
      </c>
      <c r="U239" s="1231">
        <v>0</v>
      </c>
      <c r="V239" s="1231">
        <v>0</v>
      </c>
      <c r="W239" s="1231">
        <v>0</v>
      </c>
      <c r="X239" s="1231">
        <v>0</v>
      </c>
    </row>
    <row r="240" spans="1:25" s="1241" customFormat="1" ht="14.45" customHeight="1">
      <c r="A240" s="1262" t="s">
        <v>619</v>
      </c>
      <c r="B240" s="1262" t="s">
        <v>859</v>
      </c>
      <c r="C240" s="1262"/>
      <c r="D240" s="1262" t="s">
        <v>877</v>
      </c>
      <c r="E240" s="1262" t="str">
        <f t="shared" ref="E240" si="81">J240</f>
        <v>[Insert adjustment as necessary]</v>
      </c>
      <c r="F240" s="1262" t="s">
        <v>634</v>
      </c>
      <c r="J240" s="1834" t="s">
        <v>869</v>
      </c>
      <c r="K240" s="1212" t="s">
        <v>498</v>
      </c>
      <c r="L240" s="1231">
        <v>0</v>
      </c>
      <c r="M240" s="1231">
        <v>0</v>
      </c>
      <c r="N240" s="1231">
        <v>0</v>
      </c>
      <c r="O240" s="1231">
        <v>0</v>
      </c>
      <c r="P240" s="1231">
        <v>0</v>
      </c>
      <c r="Q240" s="1231">
        <v>0</v>
      </c>
      <c r="R240" s="1231">
        <v>0</v>
      </c>
      <c r="S240" s="1231">
        <v>0</v>
      </c>
      <c r="T240" s="1231">
        <v>0</v>
      </c>
      <c r="U240" s="1231">
        <v>0</v>
      </c>
      <c r="V240" s="1231">
        <v>0</v>
      </c>
      <c r="W240" s="1231">
        <v>0</v>
      </c>
      <c r="X240" s="1231">
        <v>0</v>
      </c>
    </row>
    <row r="241" spans="1:24" s="1241" customFormat="1" ht="14.45" customHeight="1">
      <c r="A241" s="1262"/>
      <c r="B241" s="1262"/>
      <c r="C241" s="1262"/>
      <c r="D241" s="1262" t="s">
        <v>877</v>
      </c>
      <c r="E241" s="1262" t="s">
        <v>870</v>
      </c>
      <c r="F241" s="1262"/>
      <c r="J241" s="1279" t="s">
        <v>885</v>
      </c>
      <c r="K241" s="1212" t="s">
        <v>498</v>
      </c>
      <c r="L241" s="1276">
        <f t="shared" ref="L241:X241" si="82">SUM(L230:L240)</f>
        <v>42.534658640164388</v>
      </c>
      <c r="M241" s="1276">
        <f t="shared" si="82"/>
        <v>43.926757346858892</v>
      </c>
      <c r="N241" s="1276">
        <f t="shared" si="82"/>
        <v>44.561978256740069</v>
      </c>
      <c r="O241" s="1276">
        <f t="shared" si="82"/>
        <v>45.560848341616243</v>
      </c>
      <c r="P241" s="1276">
        <f t="shared" si="82"/>
        <v>47.412786527814752</v>
      </c>
      <c r="Q241" s="1276">
        <f t="shared" si="82"/>
        <v>49.309870471610928</v>
      </c>
      <c r="R241" s="1276">
        <f t="shared" si="82"/>
        <v>48.741789695983421</v>
      </c>
      <c r="S241" s="1276">
        <f t="shared" si="82"/>
        <v>45.068596150573903</v>
      </c>
      <c r="T241" s="1276">
        <f t="shared" si="82"/>
        <v>48.17756568352646</v>
      </c>
      <c r="U241" s="1276">
        <f t="shared" si="82"/>
        <v>53.402238397244986</v>
      </c>
      <c r="V241" s="1276">
        <f t="shared" si="82"/>
        <v>59.905003824347219</v>
      </c>
      <c r="W241" s="1276">
        <f t="shared" si="82"/>
        <v>59.021946486894791</v>
      </c>
      <c r="X241" s="1276">
        <f t="shared" si="82"/>
        <v>59.477141251562273</v>
      </c>
    </row>
    <row r="242" spans="1:24" s="1241" customFormat="1" ht="14.45" customHeight="1">
      <c r="A242" s="1262"/>
      <c r="B242" s="1262"/>
      <c r="C242" s="1262" t="s">
        <v>367</v>
      </c>
      <c r="D242" s="1262"/>
      <c r="E242" s="1262"/>
      <c r="F242" s="1262"/>
      <c r="J242" s="1835"/>
      <c r="K242" s="1836"/>
      <c r="L242" s="1249"/>
      <c r="M242" s="1249"/>
      <c r="N242" s="1249"/>
      <c r="O242" s="1249"/>
      <c r="P242" s="1249"/>
      <c r="Q242" s="1249"/>
      <c r="R242" s="1249"/>
      <c r="S242" s="1249"/>
      <c r="T242" s="1249"/>
      <c r="U242" s="1249"/>
      <c r="V242" s="1249"/>
      <c r="W242" s="1249"/>
      <c r="X242" s="1249"/>
    </row>
    <row r="243" spans="1:24" s="1241" customFormat="1" ht="14.45" customHeight="1">
      <c r="A243" s="1262" t="s">
        <v>619</v>
      </c>
      <c r="B243" s="1262" t="s">
        <v>886</v>
      </c>
      <c r="C243" s="1262"/>
      <c r="D243" s="1262" t="s">
        <v>887</v>
      </c>
      <c r="E243" s="1262" t="s">
        <v>888</v>
      </c>
      <c r="F243" s="1262" t="s">
        <v>634</v>
      </c>
      <c r="J243" s="1835" t="s">
        <v>889</v>
      </c>
      <c r="K243" s="1836" t="s">
        <v>890</v>
      </c>
      <c r="L243" s="1838">
        <f t="shared" ref="L243:X243" si="83">L241/L227</f>
        <v>3.5793039626511036E-2</v>
      </c>
      <c r="M243" s="1838">
        <f t="shared" si="83"/>
        <v>3.6268635054996397E-2</v>
      </c>
      <c r="N243" s="1838">
        <f t="shared" si="83"/>
        <v>3.6059829592968405E-2</v>
      </c>
      <c r="O243" s="1838">
        <f t="shared" si="83"/>
        <v>3.5273729314803895E-2</v>
      </c>
      <c r="P243" s="1838">
        <f t="shared" si="83"/>
        <v>3.5127480746467543E-2</v>
      </c>
      <c r="Q243" s="1838">
        <f t="shared" si="83"/>
        <v>3.5312317041189811E-2</v>
      </c>
      <c r="R243" s="1838">
        <f t="shared" si="83"/>
        <v>3.340952817942671E-2</v>
      </c>
      <c r="S243" s="1838">
        <f>S241/S227</f>
        <v>2.9408172549271049E-2</v>
      </c>
      <c r="T243" s="1838">
        <f t="shared" si="83"/>
        <v>3.0008238287876868E-2</v>
      </c>
      <c r="U243" s="1838">
        <f t="shared" si="83"/>
        <v>3.1780504003683291E-2</v>
      </c>
      <c r="V243" s="1838">
        <f t="shared" si="83"/>
        <v>3.409094781026998E-2</v>
      </c>
      <c r="W243" s="1838">
        <f t="shared" si="83"/>
        <v>3.2260630801134491E-2</v>
      </c>
      <c r="X243" s="1838">
        <f t="shared" si="83"/>
        <v>3.1454507143159303E-2</v>
      </c>
    </row>
    <row r="244" spans="1:24" s="1241" customFormat="1" ht="14.45" customHeight="1">
      <c r="A244" s="1262" t="s">
        <v>619</v>
      </c>
      <c r="B244" s="1262" t="s">
        <v>886</v>
      </c>
      <c r="C244" s="1262"/>
      <c r="D244" s="1262" t="s">
        <v>887</v>
      </c>
      <c r="E244" s="1262" t="s">
        <v>891</v>
      </c>
      <c r="F244" s="1262" t="s">
        <v>634</v>
      </c>
      <c r="J244" s="1835" t="s">
        <v>892</v>
      </c>
      <c r="K244" s="1836" t="s">
        <v>893</v>
      </c>
      <c r="L244" s="1838">
        <f>((1+L243)/(1+L$13))-1</f>
        <v>6.751844099170734E-3</v>
      </c>
      <c r="M244" s="1838">
        <f t="shared" ref="M244:X244" si="84">((1+M243)/(1+M$13))-1</f>
        <v>1.6349398603763721E-2</v>
      </c>
      <c r="N244" s="1838">
        <f t="shared" si="84"/>
        <v>2.5011009619151592E-2</v>
      </c>
      <c r="O244" s="1838">
        <f t="shared" si="84"/>
        <v>1.3557067792879129E-2</v>
      </c>
      <c r="P244" s="1838">
        <f t="shared" si="84"/>
        <v>-2.209825185269465E-3</v>
      </c>
      <c r="Q244" s="1838">
        <f t="shared" si="84"/>
        <v>4.6156072301504203E-3</v>
      </c>
      <c r="R244" s="1838">
        <f t="shared" si="84"/>
        <v>4.2590117980103592E-3</v>
      </c>
      <c r="S244" s="1838">
        <f t="shared" si="84"/>
        <v>1.0463092326038481E-3</v>
      </c>
      <c r="T244" s="1838">
        <f t="shared" si="84"/>
        <v>9.9258637965695673E-3</v>
      </c>
      <c r="U244" s="1838">
        <f t="shared" si="84"/>
        <v>1.155256863350429E-2</v>
      </c>
      <c r="V244" s="1838">
        <f t="shared" si="84"/>
        <v>1.3817716461135277E-2</v>
      </c>
      <c r="W244" s="1838">
        <f t="shared" si="84"/>
        <v>1.2023282601588248E-2</v>
      </c>
      <c r="X244" s="1838">
        <f t="shared" si="84"/>
        <v>1.1232962903070298E-2</v>
      </c>
    </row>
    <row r="245" spans="1:24" s="1241" customFormat="1" ht="14.45" customHeight="1">
      <c r="A245" s="1262"/>
      <c r="B245" s="1262"/>
      <c r="C245" s="1262" t="s">
        <v>367</v>
      </c>
      <c r="D245" s="1262"/>
      <c r="E245" s="1262"/>
      <c r="F245" s="1262"/>
      <c r="J245" s="1835"/>
      <c r="K245" s="1836"/>
      <c r="L245" s="1249"/>
      <c r="M245" s="1249"/>
      <c r="N245" s="1249"/>
      <c r="O245" s="1249"/>
      <c r="P245" s="1249"/>
      <c r="Q245" s="1249"/>
      <c r="R245" s="1249"/>
      <c r="S245" s="1249"/>
      <c r="T245" s="1249"/>
      <c r="U245" s="1249"/>
      <c r="V245" s="1249"/>
      <c r="W245" s="1249"/>
      <c r="X245" s="1249"/>
    </row>
    <row r="246" spans="1:24" s="1241" customFormat="1" ht="14.45" customHeight="1">
      <c r="A246" s="1262"/>
      <c r="B246" s="1262"/>
      <c r="C246" s="1262" t="s">
        <v>367</v>
      </c>
      <c r="D246" s="1262"/>
      <c r="E246" s="1262"/>
      <c r="F246" s="1262"/>
      <c r="I246" s="1833" t="s">
        <v>894</v>
      </c>
      <c r="J246" s="1835"/>
      <c r="K246" s="1836"/>
      <c r="L246" s="1249"/>
      <c r="M246" s="1249"/>
      <c r="N246" s="1249"/>
      <c r="O246" s="1249"/>
      <c r="P246" s="1249"/>
      <c r="Q246" s="1249"/>
      <c r="R246" s="1249"/>
      <c r="S246" s="1249"/>
      <c r="T246" s="1249"/>
      <c r="U246" s="1249"/>
      <c r="V246" s="1249"/>
      <c r="W246" s="1249"/>
      <c r="X246" s="1249"/>
    </row>
    <row r="247" spans="1:24" s="1241" customFormat="1" ht="14.45" customHeight="1">
      <c r="A247" s="1262" t="s">
        <v>619</v>
      </c>
      <c r="B247" s="1262" t="s">
        <v>859</v>
      </c>
      <c r="C247" s="1262"/>
      <c r="D247" s="1262" t="s">
        <v>895</v>
      </c>
      <c r="E247" s="1262" t="s">
        <v>896</v>
      </c>
      <c r="F247" s="1262" t="s">
        <v>634</v>
      </c>
      <c r="J247" s="1285" t="s">
        <v>897</v>
      </c>
      <c r="K247" s="1212" t="s">
        <v>498</v>
      </c>
      <c r="L247" s="1231">
        <v>0</v>
      </c>
      <c r="M247" s="1231">
        <v>0</v>
      </c>
      <c r="N247" s="1231">
        <v>0</v>
      </c>
      <c r="O247" s="1231">
        <v>0</v>
      </c>
      <c r="P247" s="1231">
        <v>0</v>
      </c>
      <c r="Q247" s="1231">
        <v>0</v>
      </c>
      <c r="R247" s="1231">
        <v>0</v>
      </c>
      <c r="S247" s="2568">
        <v>0</v>
      </c>
      <c r="T247" s="1231">
        <v>0</v>
      </c>
      <c r="U247" s="1231">
        <v>0</v>
      </c>
      <c r="V247" s="1231">
        <v>0</v>
      </c>
      <c r="W247" s="1231">
        <v>0</v>
      </c>
      <c r="X247" s="1231">
        <v>0</v>
      </c>
    </row>
    <row r="248" spans="1:24" s="1241" customFormat="1" ht="14.45" customHeight="1">
      <c r="A248" s="1262" t="s">
        <v>619</v>
      </c>
      <c r="B248" s="1262" t="s">
        <v>859</v>
      </c>
      <c r="C248" s="1262"/>
      <c r="D248" s="1262" t="s">
        <v>895</v>
      </c>
      <c r="E248" s="1262" t="s">
        <v>898</v>
      </c>
      <c r="F248" s="1262" t="s">
        <v>634</v>
      </c>
      <c r="J248" s="1285" t="s">
        <v>899</v>
      </c>
      <c r="K248" s="1212" t="s">
        <v>498</v>
      </c>
      <c r="L248" s="1231">
        <v>0</v>
      </c>
      <c r="M248" s="1231">
        <v>0</v>
      </c>
      <c r="N248" s="1231">
        <v>0.6581684499999999</v>
      </c>
      <c r="O248" s="1231">
        <v>0.128</v>
      </c>
      <c r="P248" s="1231">
        <v>0.128</v>
      </c>
      <c r="Q248" s="1231">
        <v>0.66814709999999999</v>
      </c>
      <c r="R248" s="1231">
        <v>1</v>
      </c>
      <c r="S248" s="2568">
        <v>1</v>
      </c>
      <c r="T248" s="1231">
        <v>1</v>
      </c>
      <c r="U248" s="1231">
        <v>1</v>
      </c>
      <c r="V248" s="1231">
        <v>1</v>
      </c>
      <c r="W248" s="1231">
        <v>1</v>
      </c>
      <c r="X248" s="1231">
        <v>1</v>
      </c>
    </row>
    <row r="249" spans="1:24" s="1241" customFormat="1" ht="14.45" customHeight="1">
      <c r="A249" s="1262" t="s">
        <v>619</v>
      </c>
      <c r="B249" s="1262" t="s">
        <v>859</v>
      </c>
      <c r="C249" s="1262"/>
      <c r="D249" s="1262" t="s">
        <v>895</v>
      </c>
      <c r="E249" s="1262" t="s">
        <v>900</v>
      </c>
      <c r="F249" s="1262" t="s">
        <v>634</v>
      </c>
      <c r="J249" s="1285" t="s">
        <v>901</v>
      </c>
      <c r="K249" s="1212" t="s">
        <v>498</v>
      </c>
      <c r="L249" s="1231">
        <v>0.47599999999999998</v>
      </c>
      <c r="M249" s="1231">
        <v>0.45500000000000002</v>
      </c>
      <c r="N249" s="1231">
        <v>0.49099999999999999</v>
      </c>
      <c r="O249" s="1231">
        <v>0.29099999999999998</v>
      </c>
      <c r="P249" s="1231">
        <v>0.20699999999999999</v>
      </c>
      <c r="Q249" s="1231">
        <v>0.153</v>
      </c>
      <c r="R249" s="1231">
        <v>0.153</v>
      </c>
      <c r="S249" s="2568">
        <v>0.153</v>
      </c>
      <c r="T249" s="1231">
        <v>0.153</v>
      </c>
      <c r="U249" s="1231">
        <v>0.153</v>
      </c>
      <c r="V249" s="1231">
        <v>0.153</v>
      </c>
      <c r="W249" s="1231">
        <v>0.153</v>
      </c>
      <c r="X249" s="1231">
        <v>0.153</v>
      </c>
    </row>
    <row r="250" spans="1:24" s="1241" customFormat="1" ht="14.45" customHeight="1">
      <c r="A250" s="1262" t="s">
        <v>619</v>
      </c>
      <c r="B250" s="1262" t="s">
        <v>859</v>
      </c>
      <c r="C250" s="1262"/>
      <c r="D250" s="1262" t="s">
        <v>895</v>
      </c>
      <c r="E250" s="1262" t="s">
        <v>902</v>
      </c>
      <c r="F250" s="1262" t="s">
        <v>634</v>
      </c>
      <c r="J250" s="1285" t="s">
        <v>903</v>
      </c>
      <c r="K250" s="1212" t="s">
        <v>498</v>
      </c>
      <c r="L250" s="1231">
        <v>0</v>
      </c>
      <c r="M250" s="1231">
        <v>0</v>
      </c>
      <c r="N250" s="1231">
        <v>0</v>
      </c>
      <c r="O250" s="1231">
        <v>0</v>
      </c>
      <c r="P250" s="1231">
        <v>0</v>
      </c>
      <c r="Q250" s="1231">
        <v>0</v>
      </c>
      <c r="R250" s="1231">
        <v>0</v>
      </c>
      <c r="S250" s="2568">
        <v>0</v>
      </c>
      <c r="T250" s="1231">
        <v>0</v>
      </c>
      <c r="U250" s="1231">
        <v>0</v>
      </c>
      <c r="V250" s="1231">
        <v>0</v>
      </c>
      <c r="W250" s="1231">
        <v>0</v>
      </c>
      <c r="X250" s="1231">
        <v>0</v>
      </c>
    </row>
    <row r="251" spans="1:24" s="1241" customFormat="1" ht="14.45" customHeight="1">
      <c r="A251" s="1262" t="s">
        <v>619</v>
      </c>
      <c r="B251" s="1262" t="s">
        <v>859</v>
      </c>
      <c r="C251" s="1262"/>
      <c r="D251" s="1262" t="s">
        <v>895</v>
      </c>
      <c r="E251" s="1262" t="str">
        <f>J251</f>
        <v>[Insert adjustment as necessary]</v>
      </c>
      <c r="F251" s="1262" t="s">
        <v>634</v>
      </c>
      <c r="J251" s="1834" t="s">
        <v>869</v>
      </c>
      <c r="K251" s="1212" t="s">
        <v>498</v>
      </c>
      <c r="L251" s="1231">
        <v>0.505</v>
      </c>
      <c r="M251" s="1231">
        <v>0.505</v>
      </c>
      <c r="N251" s="1231">
        <v>0.505</v>
      </c>
      <c r="O251" s="1231">
        <v>0.505</v>
      </c>
      <c r="P251" s="1231">
        <v>0.505</v>
      </c>
      <c r="Q251" s="1231">
        <v>0.505</v>
      </c>
      <c r="R251" s="1231">
        <v>0.505</v>
      </c>
      <c r="S251" s="2568">
        <v>0.505</v>
      </c>
      <c r="T251" s="1231">
        <v>0.505</v>
      </c>
      <c r="U251" s="1231">
        <v>0.505</v>
      </c>
      <c r="V251" s="1231">
        <v>0.505</v>
      </c>
      <c r="W251" s="1231">
        <v>0.505</v>
      </c>
      <c r="X251" s="1231">
        <v>0.505</v>
      </c>
    </row>
    <row r="252" spans="1:24" s="1241" customFormat="1" ht="14.45" customHeight="1">
      <c r="A252" s="1262" t="s">
        <v>619</v>
      </c>
      <c r="B252" s="1262" t="s">
        <v>859</v>
      </c>
      <c r="C252" s="1262"/>
      <c r="D252" s="1262" t="s">
        <v>895</v>
      </c>
      <c r="E252" s="1262" t="str">
        <f t="shared" ref="E252:E256" si="85">J252</f>
        <v>[Insert adjustment as necessary]</v>
      </c>
      <c r="F252" s="1262" t="s">
        <v>634</v>
      </c>
      <c r="J252" s="1834" t="s">
        <v>869</v>
      </c>
      <c r="K252" s="1212" t="s">
        <v>498</v>
      </c>
      <c r="L252" s="1231">
        <v>0.161</v>
      </c>
      <c r="M252" s="1231">
        <v>0.193</v>
      </c>
      <c r="N252" s="1231">
        <v>0.17299999999999999</v>
      </c>
      <c r="O252" s="1231">
        <v>0.19999999999999998</v>
      </c>
      <c r="P252" s="1231">
        <v>0.18970000000000001</v>
      </c>
      <c r="Q252" s="1231">
        <v>0.21399999999999997</v>
      </c>
      <c r="R252" s="1231">
        <v>0.21399999999999997</v>
      </c>
      <c r="S252" s="2568">
        <v>0.21399999999999997</v>
      </c>
      <c r="T252" s="1231">
        <v>0.21399999999999997</v>
      </c>
      <c r="U252" s="1231">
        <v>0.21399999999999997</v>
      </c>
      <c r="V252" s="1231">
        <v>0.21399999999999997</v>
      </c>
      <c r="W252" s="1231">
        <v>0.21399999999999997</v>
      </c>
      <c r="X252" s="1231">
        <v>0.21399999999999997</v>
      </c>
    </row>
    <row r="253" spans="1:24" s="1241" customFormat="1" ht="14.45" customHeight="1">
      <c r="A253" s="1262" t="s">
        <v>619</v>
      </c>
      <c r="B253" s="1262" t="s">
        <v>859</v>
      </c>
      <c r="C253" s="1262"/>
      <c r="D253" s="1262" t="s">
        <v>895</v>
      </c>
      <c r="E253" s="1262" t="str">
        <f t="shared" si="85"/>
        <v>[Insert adjustment as necessary]</v>
      </c>
      <c r="F253" s="1262" t="s">
        <v>634</v>
      </c>
      <c r="J253" s="1834" t="s">
        <v>869</v>
      </c>
      <c r="K253" s="1212" t="s">
        <v>498</v>
      </c>
      <c r="L253" s="1231">
        <v>0</v>
      </c>
      <c r="M253" s="1231">
        <v>0</v>
      </c>
      <c r="N253" s="1231">
        <v>0</v>
      </c>
      <c r="O253" s="1231">
        <v>0</v>
      </c>
      <c r="P253" s="1231">
        <v>0</v>
      </c>
      <c r="Q253" s="1231">
        <v>0</v>
      </c>
      <c r="R253" s="1231">
        <v>0</v>
      </c>
      <c r="S253" s="2568">
        <v>0</v>
      </c>
      <c r="T253" s="1231">
        <v>0</v>
      </c>
      <c r="U253" s="1231">
        <v>0</v>
      </c>
      <c r="V253" s="1231">
        <v>0</v>
      </c>
      <c r="W253" s="1231">
        <v>0</v>
      </c>
      <c r="X253" s="1231">
        <v>0</v>
      </c>
    </row>
    <row r="254" spans="1:24" s="1241" customFormat="1" ht="14.45" customHeight="1">
      <c r="A254" s="1262" t="s">
        <v>619</v>
      </c>
      <c r="B254" s="1262" t="s">
        <v>859</v>
      </c>
      <c r="C254" s="1262"/>
      <c r="D254" s="1262" t="s">
        <v>895</v>
      </c>
      <c r="E254" s="1262" t="str">
        <f t="shared" si="85"/>
        <v>[Insert adjustment as necessary]</v>
      </c>
      <c r="F254" s="1262" t="s">
        <v>634</v>
      </c>
      <c r="J254" s="1834" t="s">
        <v>869</v>
      </c>
      <c r="K254" s="1212" t="s">
        <v>498</v>
      </c>
      <c r="L254" s="1231">
        <v>0</v>
      </c>
      <c r="M254" s="1231">
        <v>0</v>
      </c>
      <c r="N254" s="1231">
        <v>0</v>
      </c>
      <c r="O254" s="1231">
        <v>0</v>
      </c>
      <c r="P254" s="1231">
        <v>0</v>
      </c>
      <c r="Q254" s="1231">
        <v>0</v>
      </c>
      <c r="R254" s="1231">
        <v>0</v>
      </c>
      <c r="S254" s="2568">
        <v>0</v>
      </c>
      <c r="T254" s="1231">
        <v>0</v>
      </c>
      <c r="U254" s="1231">
        <v>0</v>
      </c>
      <c r="V254" s="1231">
        <v>0</v>
      </c>
      <c r="W254" s="1231">
        <v>0</v>
      </c>
      <c r="X254" s="1231">
        <v>0</v>
      </c>
    </row>
    <row r="255" spans="1:24" s="1241" customFormat="1" ht="14.45" customHeight="1">
      <c r="A255" s="1262" t="s">
        <v>619</v>
      </c>
      <c r="B255" s="1262" t="s">
        <v>859</v>
      </c>
      <c r="C255" s="1262"/>
      <c r="D255" s="1262" t="s">
        <v>895</v>
      </c>
      <c r="E255" s="1262" t="str">
        <f t="shared" si="85"/>
        <v>[Insert adjustment as necessary]</v>
      </c>
      <c r="F255" s="1262" t="s">
        <v>634</v>
      </c>
      <c r="J255" s="1834" t="s">
        <v>869</v>
      </c>
      <c r="K255" s="1212" t="s">
        <v>498</v>
      </c>
      <c r="L255" s="1231">
        <v>0</v>
      </c>
      <c r="M255" s="1231">
        <v>0</v>
      </c>
      <c r="N255" s="1231">
        <v>0</v>
      </c>
      <c r="O255" s="1231">
        <v>0</v>
      </c>
      <c r="P255" s="1231">
        <v>0</v>
      </c>
      <c r="Q255" s="1231">
        <v>0</v>
      </c>
      <c r="R255" s="1231">
        <v>0</v>
      </c>
      <c r="S255" s="2568">
        <v>0</v>
      </c>
      <c r="T255" s="1231">
        <v>0</v>
      </c>
      <c r="U255" s="1231">
        <v>0</v>
      </c>
      <c r="V255" s="1231">
        <v>0</v>
      </c>
      <c r="W255" s="1231">
        <v>0</v>
      </c>
      <c r="X255" s="1231">
        <v>0</v>
      </c>
    </row>
    <row r="256" spans="1:24" s="1241" customFormat="1" ht="14.45" customHeight="1">
      <c r="A256" s="1262" t="s">
        <v>619</v>
      </c>
      <c r="B256" s="1262" t="s">
        <v>859</v>
      </c>
      <c r="C256" s="1262"/>
      <c r="D256" s="1262" t="s">
        <v>895</v>
      </c>
      <c r="E256" s="1262" t="str">
        <f t="shared" si="85"/>
        <v>[Insert adjustment as necessary]</v>
      </c>
      <c r="F256" s="1262" t="s">
        <v>634</v>
      </c>
      <c r="J256" s="1834" t="s">
        <v>869</v>
      </c>
      <c r="K256" s="1212" t="s">
        <v>498</v>
      </c>
      <c r="L256" s="1231">
        <v>0</v>
      </c>
      <c r="M256" s="1231">
        <v>0</v>
      </c>
      <c r="N256" s="1231">
        <v>0</v>
      </c>
      <c r="O256" s="1231">
        <v>0</v>
      </c>
      <c r="P256" s="1231">
        <v>0</v>
      </c>
      <c r="Q256" s="1231">
        <v>0</v>
      </c>
      <c r="R256" s="1231">
        <v>0</v>
      </c>
      <c r="S256" s="2568">
        <v>0</v>
      </c>
      <c r="T256" s="1231">
        <v>0</v>
      </c>
      <c r="U256" s="1231">
        <v>0</v>
      </c>
      <c r="V256" s="1231">
        <v>0</v>
      </c>
      <c r="W256" s="1231">
        <v>0</v>
      </c>
      <c r="X256" s="1231">
        <v>0</v>
      </c>
    </row>
    <row r="257" spans="1:33" s="1241" customFormat="1" ht="14.45" customHeight="1">
      <c r="A257" s="1262" t="s">
        <v>619</v>
      </c>
      <c r="B257" s="1262" t="s">
        <v>859</v>
      </c>
      <c r="C257" s="1262"/>
      <c r="D257" s="1262" t="s">
        <v>895</v>
      </c>
      <c r="E257" s="1262" t="s">
        <v>904</v>
      </c>
      <c r="F257" s="1262" t="s">
        <v>634</v>
      </c>
      <c r="J257" s="1839" t="s">
        <v>905</v>
      </c>
      <c r="K257" s="1202" t="s">
        <v>498</v>
      </c>
      <c r="L257" s="1276">
        <f>SUM(L247:L256)</f>
        <v>1.1419999999999999</v>
      </c>
      <c r="M257" s="1276">
        <f>SUM(M247:M256)</f>
        <v>1.153</v>
      </c>
      <c r="N257" s="1276">
        <f t="shared" ref="N257:X257" si="86">SUM(N247:N256)</f>
        <v>1.8271684499999998</v>
      </c>
      <c r="O257" s="1276">
        <f t="shared" si="86"/>
        <v>1.1239999999999999</v>
      </c>
      <c r="P257" s="1276">
        <f t="shared" si="86"/>
        <v>1.0297000000000001</v>
      </c>
      <c r="Q257" s="1276">
        <f t="shared" si="86"/>
        <v>1.5401471</v>
      </c>
      <c r="R257" s="1276">
        <f t="shared" si="86"/>
        <v>1.8719999999999999</v>
      </c>
      <c r="S257" s="1276">
        <f t="shared" si="86"/>
        <v>1.8719999999999999</v>
      </c>
      <c r="T257" s="1276">
        <f t="shared" si="86"/>
        <v>1.8719999999999999</v>
      </c>
      <c r="U257" s="1276">
        <f t="shared" si="86"/>
        <v>1.8719999999999999</v>
      </c>
      <c r="V257" s="1276">
        <f t="shared" si="86"/>
        <v>1.8719999999999999</v>
      </c>
      <c r="W257" s="1276">
        <f t="shared" si="86"/>
        <v>1.8719999999999999</v>
      </c>
      <c r="X257" s="1276">
        <f t="shared" si="86"/>
        <v>1.8719999999999999</v>
      </c>
    </row>
    <row r="258" spans="1:33" s="1241" customFormat="1" ht="14.45" customHeight="1">
      <c r="A258" s="1262" t="s">
        <v>619</v>
      </c>
      <c r="B258" s="1262" t="s">
        <v>859</v>
      </c>
      <c r="C258" s="1262"/>
      <c r="D258" s="1262" t="s">
        <v>877</v>
      </c>
      <c r="E258" s="1262" t="s">
        <v>906</v>
      </c>
      <c r="F258" s="1262" t="s">
        <v>634</v>
      </c>
      <c r="J258" s="1839" t="s">
        <v>907</v>
      </c>
      <c r="K258" s="1202" t="s">
        <v>498</v>
      </c>
      <c r="L258" s="1276">
        <f>L241+L257</f>
        <v>43.676658640164391</v>
      </c>
      <c r="M258" s="1276">
        <f>M241+M257</f>
        <v>45.079757346858891</v>
      </c>
      <c r="N258" s="1276">
        <f t="shared" ref="N258:X258" si="87">N241+N257</f>
        <v>46.389146706740071</v>
      </c>
      <c r="O258" s="1276">
        <f t="shared" si="87"/>
        <v>46.684848341616245</v>
      </c>
      <c r="P258" s="1276">
        <f t="shared" si="87"/>
        <v>48.442486527814751</v>
      </c>
      <c r="Q258" s="1276">
        <f t="shared" si="87"/>
        <v>50.850017571610927</v>
      </c>
      <c r="R258" s="1276">
        <f t="shared" si="87"/>
        <v>50.613789695983421</v>
      </c>
      <c r="S258" s="1276">
        <f t="shared" si="87"/>
        <v>46.940596150573903</v>
      </c>
      <c r="T258" s="1276">
        <f t="shared" si="87"/>
        <v>50.04956568352646</v>
      </c>
      <c r="U258" s="1276">
        <f t="shared" si="87"/>
        <v>55.274238397244986</v>
      </c>
      <c r="V258" s="1276">
        <f t="shared" si="87"/>
        <v>61.777003824347219</v>
      </c>
      <c r="W258" s="1276">
        <f t="shared" si="87"/>
        <v>60.893946486894791</v>
      </c>
      <c r="X258" s="1276">
        <f t="shared" si="87"/>
        <v>61.349141251562273</v>
      </c>
    </row>
    <row r="259" spans="1:33" s="1241" customFormat="1" ht="14.45" customHeight="1">
      <c r="A259" s="1262"/>
      <c r="B259" s="1262"/>
      <c r="C259" s="1262" t="s">
        <v>367</v>
      </c>
      <c r="D259" s="1262"/>
      <c r="E259" s="1262"/>
      <c r="F259" s="1262"/>
      <c r="J259" s="1840"/>
      <c r="K259" s="1836"/>
      <c r="L259" s="1249"/>
      <c r="M259" s="1249"/>
      <c r="N259" s="1249"/>
      <c r="O259" s="1249"/>
      <c r="P259" s="1249"/>
      <c r="Q259" s="1249"/>
      <c r="R259" s="1249"/>
      <c r="S259" s="1249"/>
      <c r="T259" s="1249"/>
      <c r="U259" s="1249"/>
      <c r="V259" s="1249"/>
      <c r="W259" s="1249"/>
      <c r="X259" s="1249"/>
    </row>
    <row r="260" spans="1:33" s="1241" customFormat="1" ht="14.45" customHeight="1">
      <c r="A260" s="1262" t="s">
        <v>619</v>
      </c>
      <c r="B260" s="1262" t="s">
        <v>886</v>
      </c>
      <c r="C260" s="1262"/>
      <c r="D260" s="1262" t="s">
        <v>908</v>
      </c>
      <c r="E260" s="1262" t="s">
        <v>888</v>
      </c>
      <c r="F260" s="1262" t="s">
        <v>634</v>
      </c>
      <c r="J260" s="1841" t="s">
        <v>909</v>
      </c>
      <c r="K260" s="1274" t="s">
        <v>890</v>
      </c>
      <c r="L260" s="1838">
        <f t="shared" ref="L260:X260" si="88">(L241+L257)/L227</f>
        <v>3.675403596597332E-2</v>
      </c>
      <c r="M260" s="1838">
        <f>(M241+M257)/M227</f>
        <v>3.7220622835205289E-2</v>
      </c>
      <c r="N260" s="1838">
        <f t="shared" si="88"/>
        <v>3.7538385651791552E-2</v>
      </c>
      <c r="O260" s="1838">
        <f t="shared" si="88"/>
        <v>3.6143942956406015E-2</v>
      </c>
      <c r="P260" s="1838">
        <f t="shared" si="88"/>
        <v>3.5890371299281139E-2</v>
      </c>
      <c r="Q260" s="1838">
        <f t="shared" si="88"/>
        <v>3.6415263817668991E-2</v>
      </c>
      <c r="R260" s="1838">
        <f t="shared" si="88"/>
        <v>3.4692670163789269E-2</v>
      </c>
      <c r="S260" s="1838">
        <f t="shared" si="88"/>
        <v>3.0629690495565774E-2</v>
      </c>
      <c r="T260" s="1838">
        <f t="shared" si="88"/>
        <v>3.1174246185492867E-2</v>
      </c>
      <c r="U260" s="1838">
        <f t="shared" si="88"/>
        <v>3.2894560366870579E-2</v>
      </c>
      <c r="V260" s="1838">
        <f t="shared" si="88"/>
        <v>3.5156272077470636E-2</v>
      </c>
      <c r="W260" s="1838">
        <f t="shared" si="88"/>
        <v>3.3283841732904301E-2</v>
      </c>
      <c r="X260" s="1838">
        <f t="shared" si="88"/>
        <v>3.2444515003875837E-2</v>
      </c>
    </row>
    <row r="261" spans="1:33" s="1241" customFormat="1" ht="14.45" customHeight="1">
      <c r="A261" s="1262" t="s">
        <v>619</v>
      </c>
      <c r="B261" s="1262" t="s">
        <v>886</v>
      </c>
      <c r="C261" s="1262"/>
      <c r="D261" s="1262" t="s">
        <v>908</v>
      </c>
      <c r="E261" s="1262" t="s">
        <v>891</v>
      </c>
      <c r="F261" s="1262" t="s">
        <v>637</v>
      </c>
      <c r="J261" s="1835" t="s">
        <v>910</v>
      </c>
      <c r="K261" s="1274" t="s">
        <v>893</v>
      </c>
      <c r="L261" s="1838">
        <f>((1+L260)/(1+L$13))-1</f>
        <v>7.6858963662869151E-3</v>
      </c>
      <c r="M261" s="1838">
        <f t="shared" ref="M261:X261" si="89">((1+M260)/(1+M$13))-1</f>
        <v>1.7283087200680614E-2</v>
      </c>
      <c r="N261" s="1838">
        <f t="shared" si="89"/>
        <v>2.6473797959500667E-2</v>
      </c>
      <c r="O261" s="1838">
        <f t="shared" si="89"/>
        <v>1.4409027194494772E-2</v>
      </c>
      <c r="P261" s="1838">
        <f t="shared" si="89"/>
        <v>-1.4744522846222852E-3</v>
      </c>
      <c r="Q261" s="1838">
        <f t="shared" si="89"/>
        <v>5.6858519547198227E-3</v>
      </c>
      <c r="R261" s="1838">
        <f t="shared" si="89"/>
        <v>5.5059587886023831E-3</v>
      </c>
      <c r="S261" s="1838">
        <f t="shared" si="89"/>
        <v>2.2341723800001212E-3</v>
      </c>
      <c r="T261" s="1838">
        <f t="shared" si="89"/>
        <v>1.1069137694214248E-2</v>
      </c>
      <c r="U261" s="1838">
        <f t="shared" si="89"/>
        <v>1.2644784052783464E-2</v>
      </c>
      <c r="V261" s="1838">
        <f t="shared" si="89"/>
        <v>1.4862155171435409E-2</v>
      </c>
      <c r="W261" s="1838">
        <f t="shared" si="89"/>
        <v>1.3026433603443133E-2</v>
      </c>
      <c r="X261" s="1838">
        <f t="shared" si="89"/>
        <v>1.2203561776172878E-2</v>
      </c>
    </row>
    <row r="262" spans="1:33" s="1241" customFormat="1" ht="14.45" customHeight="1">
      <c r="A262" s="1262" t="s">
        <v>619</v>
      </c>
      <c r="B262" s="1262" t="s">
        <v>886</v>
      </c>
      <c r="C262" s="1262"/>
      <c r="D262" s="1262" t="s">
        <v>908</v>
      </c>
      <c r="E262" s="1262" t="s">
        <v>911</v>
      </c>
      <c r="F262" s="1262"/>
      <c r="J262" s="1835" t="s">
        <v>912</v>
      </c>
      <c r="K262" s="1274" t="s">
        <v>627</v>
      </c>
      <c r="L262" s="1838">
        <f t="shared" ref="L262:X262" si="90">(L65+L180)/(L34+L194)</f>
        <v>0</v>
      </c>
      <c r="M262" s="1838">
        <f t="shared" si="90"/>
        <v>0</v>
      </c>
      <c r="N262" s="1838">
        <f t="shared" si="90"/>
        <v>0</v>
      </c>
      <c r="O262" s="1838">
        <f t="shared" si="90"/>
        <v>0</v>
      </c>
      <c r="P262" s="1838">
        <f t="shared" si="90"/>
        <v>0</v>
      </c>
      <c r="Q262" s="1838">
        <f t="shared" si="90"/>
        <v>0</v>
      </c>
      <c r="R262" s="1838">
        <f t="shared" si="90"/>
        <v>0</v>
      </c>
      <c r="S262" s="1838">
        <f t="shared" si="90"/>
        <v>0</v>
      </c>
      <c r="T262" s="1838">
        <f t="shared" si="90"/>
        <v>0</v>
      </c>
      <c r="U262" s="1838">
        <f t="shared" si="90"/>
        <v>0</v>
      </c>
      <c r="V262" s="1838">
        <f t="shared" si="90"/>
        <v>0</v>
      </c>
      <c r="W262" s="1838">
        <f t="shared" si="90"/>
        <v>0</v>
      </c>
      <c r="X262" s="1838">
        <f t="shared" si="90"/>
        <v>0</v>
      </c>
    </row>
    <row r="263" spans="1:33" s="1241" customFormat="1" ht="14.45" customHeight="1">
      <c r="A263" s="1262" t="s">
        <v>619</v>
      </c>
      <c r="B263" s="1262" t="s">
        <v>886</v>
      </c>
      <c r="C263" s="1262"/>
      <c r="D263" s="1262" t="s">
        <v>908</v>
      </c>
      <c r="E263" s="1262" t="s">
        <v>913</v>
      </c>
      <c r="F263" s="1262"/>
      <c r="J263" s="1835" t="s">
        <v>914</v>
      </c>
      <c r="K263" s="1274" t="s">
        <v>627</v>
      </c>
      <c r="L263" s="1838">
        <f t="shared" ref="L263:X263" si="91">(L72+L186)/(L34+L194)</f>
        <v>0</v>
      </c>
      <c r="M263" s="1838">
        <f t="shared" si="91"/>
        <v>0</v>
      </c>
      <c r="N263" s="1838">
        <f t="shared" si="91"/>
        <v>0</v>
      </c>
      <c r="O263" s="1838">
        <f t="shared" si="91"/>
        <v>0</v>
      </c>
      <c r="P263" s="1838">
        <f t="shared" si="91"/>
        <v>0</v>
      </c>
      <c r="Q263" s="1838">
        <f t="shared" si="91"/>
        <v>0</v>
      </c>
      <c r="R263" s="1838">
        <f t="shared" si="91"/>
        <v>0</v>
      </c>
      <c r="S263" s="1838">
        <f t="shared" si="91"/>
        <v>0</v>
      </c>
      <c r="T263" s="1838">
        <f t="shared" si="91"/>
        <v>0</v>
      </c>
      <c r="U263" s="1838">
        <f t="shared" si="91"/>
        <v>0</v>
      </c>
      <c r="V263" s="1838">
        <f t="shared" si="91"/>
        <v>0</v>
      </c>
      <c r="W263" s="1838">
        <f t="shared" si="91"/>
        <v>0</v>
      </c>
      <c r="X263" s="1838">
        <f t="shared" si="91"/>
        <v>0</v>
      </c>
    </row>
    <row r="264" spans="1:33" s="1241" customFormat="1" ht="14.45" customHeight="1">
      <c r="A264" s="1262" t="s">
        <v>619</v>
      </c>
      <c r="B264" s="1262" t="s">
        <v>886</v>
      </c>
      <c r="C264" s="1262"/>
      <c r="D264" s="1262" t="s">
        <v>908</v>
      </c>
      <c r="E264" s="1262" t="s">
        <v>915</v>
      </c>
      <c r="F264" s="1262"/>
      <c r="J264" s="1835" t="s">
        <v>916</v>
      </c>
      <c r="K264" s="1274" t="s">
        <v>627</v>
      </c>
      <c r="L264" s="1838">
        <f t="shared" ref="L264:X264" si="92">(L125+L133+L178+L184)/L258</f>
        <v>0</v>
      </c>
      <c r="M264" s="1838">
        <f t="shared" si="92"/>
        <v>0</v>
      </c>
      <c r="N264" s="1838">
        <f t="shared" si="92"/>
        <v>0</v>
      </c>
      <c r="O264" s="1838">
        <f t="shared" si="92"/>
        <v>0</v>
      </c>
      <c r="P264" s="1838">
        <f t="shared" si="92"/>
        <v>0</v>
      </c>
      <c r="Q264" s="1838">
        <f t="shared" si="92"/>
        <v>0</v>
      </c>
      <c r="R264" s="1838">
        <f t="shared" si="92"/>
        <v>0</v>
      </c>
      <c r="S264" s="1838">
        <f t="shared" si="92"/>
        <v>0</v>
      </c>
      <c r="T264" s="1838">
        <f t="shared" si="92"/>
        <v>0</v>
      </c>
      <c r="U264" s="1838">
        <f t="shared" si="92"/>
        <v>0</v>
      </c>
      <c r="V264" s="1838">
        <f t="shared" si="92"/>
        <v>0</v>
      </c>
      <c r="W264" s="1838">
        <f t="shared" si="92"/>
        <v>0</v>
      </c>
      <c r="X264" s="1838">
        <f t="shared" si="92"/>
        <v>0</v>
      </c>
    </row>
    <row r="265" spans="1:33" s="1241" customFormat="1" ht="14.45" customHeight="1">
      <c r="A265" s="1262"/>
      <c r="B265" s="1262"/>
      <c r="C265" s="1262" t="s">
        <v>367</v>
      </c>
      <c r="D265" s="1262"/>
      <c r="E265" s="1262"/>
      <c r="F265" s="1262"/>
      <c r="J265" s="1840"/>
      <c r="K265" s="1836"/>
      <c r="L265" s="1249"/>
      <c r="M265" s="1249"/>
      <c r="N265" s="1249"/>
      <c r="O265" s="1249"/>
      <c r="P265" s="1249"/>
      <c r="Q265" s="1249"/>
      <c r="R265" s="1249"/>
      <c r="S265" s="1249"/>
      <c r="T265" s="1249"/>
      <c r="U265" s="1249"/>
      <c r="V265" s="1249"/>
      <c r="W265" s="1249"/>
      <c r="X265" s="1249"/>
    </row>
    <row r="266" spans="1:33" s="20" customFormat="1" ht="14.45" customHeight="1">
      <c r="A266" s="1262"/>
      <c r="B266" s="1262"/>
      <c r="C266" s="1262" t="s">
        <v>367</v>
      </c>
      <c r="D266" s="1262"/>
      <c r="E266" s="1262"/>
      <c r="F266" s="1262"/>
      <c r="I266" s="1279" t="s">
        <v>917</v>
      </c>
      <c r="L266" s="1203" t="s">
        <v>453</v>
      </c>
      <c r="M266" s="1203" t="s">
        <v>455</v>
      </c>
      <c r="N266" s="1203" t="s">
        <v>457</v>
      </c>
      <c r="O266" s="1203" t="s">
        <v>459</v>
      </c>
      <c r="P266" s="1203" t="s">
        <v>461</v>
      </c>
      <c r="Q266" s="1203" t="s">
        <v>463</v>
      </c>
      <c r="R266" s="1203" t="s">
        <v>465</v>
      </c>
      <c r="S266" s="1203" t="s">
        <v>467</v>
      </c>
      <c r="T266" s="1203" t="s">
        <v>469</v>
      </c>
      <c r="U266" s="1203" t="s">
        <v>471</v>
      </c>
      <c r="V266" s="1203" t="s">
        <v>473</v>
      </c>
      <c r="W266" s="1203" t="s">
        <v>475</v>
      </c>
      <c r="X266" s="1203" t="s">
        <v>477</v>
      </c>
      <c r="Y266" s="1244"/>
    </row>
    <row r="267" spans="1:33" s="20" customFormat="1" ht="14.45" customHeight="1">
      <c r="A267" s="1262" t="s">
        <v>619</v>
      </c>
      <c r="B267" s="1262" t="s">
        <v>918</v>
      </c>
      <c r="C267" s="1262"/>
      <c r="D267" s="1262" t="s">
        <v>919</v>
      </c>
      <c r="E267" s="1262" t="s">
        <v>920</v>
      </c>
      <c r="F267" s="1262" t="s">
        <v>634</v>
      </c>
      <c r="J267" s="1284" t="s">
        <v>921</v>
      </c>
      <c r="K267" s="1212" t="s">
        <v>498</v>
      </c>
      <c r="L267" s="1231">
        <v>0</v>
      </c>
      <c r="M267" s="1231">
        <v>0</v>
      </c>
      <c r="N267" s="1231">
        <v>0</v>
      </c>
      <c r="O267" s="1231">
        <v>0</v>
      </c>
      <c r="P267" s="1231">
        <v>0</v>
      </c>
      <c r="Q267" s="1231">
        <v>0</v>
      </c>
      <c r="R267" s="1231">
        <v>0</v>
      </c>
      <c r="S267" s="1231">
        <v>0</v>
      </c>
      <c r="T267" s="1231">
        <v>0</v>
      </c>
      <c r="U267" s="1231">
        <v>0</v>
      </c>
      <c r="V267" s="1231">
        <v>0</v>
      </c>
      <c r="W267" s="1231">
        <v>0</v>
      </c>
      <c r="X267" s="1231">
        <v>0</v>
      </c>
      <c r="Y267" s="1252"/>
    </row>
    <row r="268" spans="1:33" s="1847" customFormat="1" ht="14.45" customHeight="1">
      <c r="A268" s="1842"/>
      <c r="B268" s="1842"/>
      <c r="C268" s="1842"/>
      <c r="D268" s="1842"/>
      <c r="E268" s="1842"/>
      <c r="F268" s="1842"/>
      <c r="G268" s="1843"/>
      <c r="H268" s="1843"/>
      <c r="I268" s="1843"/>
      <c r="J268" s="1289" t="s">
        <v>922</v>
      </c>
      <c r="K268" s="1212" t="s">
        <v>498</v>
      </c>
      <c r="L268" s="1844">
        <v>0</v>
      </c>
      <c r="M268" s="1844">
        <v>0</v>
      </c>
      <c r="N268" s="1844">
        <v>0</v>
      </c>
      <c r="O268" s="1844">
        <v>0</v>
      </c>
      <c r="P268" s="1844">
        <v>0</v>
      </c>
      <c r="Q268" s="1844">
        <v>0</v>
      </c>
      <c r="R268" s="1844">
        <v>0</v>
      </c>
      <c r="S268" s="1844">
        <v>0</v>
      </c>
      <c r="T268" s="1844">
        <v>0</v>
      </c>
      <c r="U268" s="1844">
        <v>0</v>
      </c>
      <c r="V268" s="1844">
        <v>0</v>
      </c>
      <c r="W268" s="1844">
        <v>0</v>
      </c>
      <c r="X268" s="1844">
        <v>0</v>
      </c>
      <c r="Y268" s="1845"/>
      <c r="Z268" s="1845"/>
      <c r="AA268" s="1845"/>
      <c r="AB268" s="1845"/>
      <c r="AC268" s="1845"/>
      <c r="AD268" s="1845"/>
      <c r="AE268" s="1845"/>
      <c r="AF268" s="1845"/>
      <c r="AG268" s="1846"/>
    </row>
    <row r="269" spans="1:33" s="1847" customFormat="1" ht="14.45" customHeight="1">
      <c r="A269" s="1842"/>
      <c r="B269" s="1842"/>
      <c r="C269" s="1842"/>
      <c r="D269" s="1842"/>
      <c r="E269" s="1842"/>
      <c r="F269" s="1842"/>
      <c r="G269" s="1843"/>
      <c r="H269" s="1843"/>
      <c r="I269" s="1843"/>
      <c r="J269" s="1289" t="s">
        <v>923</v>
      </c>
      <c r="K269" s="1212" t="s">
        <v>627</v>
      </c>
      <c r="L269" s="1848" t="e">
        <f>L268/L267</f>
        <v>#DIV/0!</v>
      </c>
      <c r="M269" s="1848" t="e">
        <f t="shared" ref="M269:X269" si="93">M268/M267</f>
        <v>#DIV/0!</v>
      </c>
      <c r="N269" s="1848" t="e">
        <f t="shared" si="93"/>
        <v>#DIV/0!</v>
      </c>
      <c r="O269" s="1848" t="e">
        <f t="shared" si="93"/>
        <v>#DIV/0!</v>
      </c>
      <c r="P269" s="1848" t="e">
        <f t="shared" si="93"/>
        <v>#DIV/0!</v>
      </c>
      <c r="Q269" s="1848" t="e">
        <f t="shared" si="93"/>
        <v>#DIV/0!</v>
      </c>
      <c r="R269" s="1848" t="e">
        <f t="shared" si="93"/>
        <v>#DIV/0!</v>
      </c>
      <c r="S269" s="1848" t="e">
        <f t="shared" si="93"/>
        <v>#DIV/0!</v>
      </c>
      <c r="T269" s="1848" t="e">
        <f t="shared" si="93"/>
        <v>#DIV/0!</v>
      </c>
      <c r="U269" s="1848" t="e">
        <f t="shared" si="93"/>
        <v>#DIV/0!</v>
      </c>
      <c r="V269" s="1848" t="e">
        <f t="shared" si="93"/>
        <v>#DIV/0!</v>
      </c>
      <c r="W269" s="1848" t="e">
        <f t="shared" si="93"/>
        <v>#DIV/0!</v>
      </c>
      <c r="X269" s="1848" t="e">
        <f t="shared" si="93"/>
        <v>#DIV/0!</v>
      </c>
      <c r="Y269" s="1845"/>
      <c r="Z269" s="1845"/>
      <c r="AA269" s="1845"/>
      <c r="AB269" s="1845"/>
      <c r="AC269" s="1845"/>
      <c r="AD269" s="1845"/>
      <c r="AE269" s="1845"/>
      <c r="AF269" s="1845"/>
      <c r="AG269" s="1846"/>
    </row>
    <row r="270" spans="1:33" s="20" customFormat="1" ht="14.45" customHeight="1">
      <c r="A270" s="1262" t="s">
        <v>619</v>
      </c>
      <c r="B270" s="1262" t="s">
        <v>918</v>
      </c>
      <c r="C270" s="1262"/>
      <c r="D270" s="1262" t="s">
        <v>919</v>
      </c>
      <c r="E270" s="1262" t="s">
        <v>924</v>
      </c>
      <c r="F270" s="1262" t="s">
        <v>634</v>
      </c>
      <c r="J270" s="1284" t="s">
        <v>925</v>
      </c>
      <c r="K270" s="1212" t="s">
        <v>926</v>
      </c>
      <c r="L270" s="1231">
        <v>-71.5</v>
      </c>
      <c r="M270" s="1231">
        <v>-58.35</v>
      </c>
      <c r="N270" s="1231">
        <v>-80</v>
      </c>
      <c r="O270" s="1231">
        <v>-90.3</v>
      </c>
      <c r="P270" s="1231">
        <v>-91.399000000000001</v>
      </c>
      <c r="Q270" s="1231">
        <v>-93.45</v>
      </c>
      <c r="R270" s="1231">
        <v>-94</v>
      </c>
      <c r="S270" s="2568">
        <v>-97</v>
      </c>
      <c r="T270" s="1231">
        <v>-49.169096903030301</v>
      </c>
      <c r="U270" s="1231">
        <v>-51.224319555012599</v>
      </c>
      <c r="V270" s="1231">
        <v>-53.257791560877401</v>
      </c>
      <c r="W270" s="1231">
        <v>-55.149192123483601</v>
      </c>
      <c r="X270" s="1231">
        <v>-56.859067410367203</v>
      </c>
      <c r="Y270" s="1252"/>
    </row>
    <row r="271" spans="1:33" s="20" customFormat="1" ht="14.45" customHeight="1">
      <c r="A271" s="1302"/>
      <c r="B271" s="1302"/>
      <c r="C271" s="1302"/>
      <c r="D271" s="1302"/>
      <c r="E271" s="1302"/>
      <c r="F271" s="1302"/>
      <c r="J271" s="1269"/>
      <c r="K271" s="1212"/>
      <c r="L271" s="1252"/>
      <c r="M271" s="1252"/>
      <c r="N271" s="1252"/>
      <c r="O271" s="1252"/>
      <c r="P271" s="1252"/>
      <c r="Q271" s="1252"/>
      <c r="R271" s="1252"/>
      <c r="S271" s="1252"/>
      <c r="T271" s="1252"/>
      <c r="U271" s="1252"/>
      <c r="V271" s="1252"/>
      <c r="W271" s="1252"/>
      <c r="X271" s="1252"/>
      <c r="Y271" s="1252"/>
    </row>
    <row r="272" spans="1:33" s="20" customFormat="1" ht="14.45" customHeight="1">
      <c r="A272" s="1302"/>
      <c r="B272" s="1302"/>
      <c r="C272" s="1302"/>
      <c r="D272" s="1302"/>
      <c r="E272" s="1302"/>
      <c r="F272" s="1302"/>
      <c r="J272" s="1269"/>
      <c r="K272" s="1212"/>
      <c r="L272" s="1252"/>
      <c r="M272" s="1252"/>
      <c r="N272" s="1252"/>
      <c r="O272" s="1252"/>
      <c r="P272" s="1252"/>
      <c r="Q272" s="1252"/>
      <c r="R272" s="1252"/>
      <c r="S272" s="1252"/>
      <c r="T272" s="1252"/>
      <c r="U272" s="1252"/>
      <c r="V272" s="1252"/>
      <c r="W272" s="1252"/>
      <c r="X272" s="1252"/>
      <c r="Y272" s="1252"/>
    </row>
  </sheetData>
  <pageMargins left="0.70866141732283472" right="0.70866141732283472" top="0.74803149606299213" bottom="0.74803149606299213" header="0.31496062992125984" footer="0.31496062992125984"/>
  <pageSetup paperSize="9" scale="12" orientation="landscape" r:id="rId1"/>
  <headerFooter>
    <oddFooter>&amp;L&amp;D&amp;R&amp;F
&amp;A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tabColor rgb="FF00B050"/>
  </sheetPr>
  <dimension ref="A1:BL62"/>
  <sheetViews>
    <sheetView showGridLines="0" topLeftCell="L25" zoomScale="80" zoomScaleNormal="80" workbookViewId="0">
      <selection activeCell="V46" sqref="V46"/>
    </sheetView>
  </sheetViews>
  <sheetFormatPr defaultRowHeight="12.75"/>
  <cols>
    <col min="2" max="3" width="4.375" customWidth="1"/>
    <col min="4" max="4" width="30.625" customWidth="1"/>
    <col min="5" max="5" width="79" bestFit="1" customWidth="1"/>
    <col min="6" max="6" width="20.625" customWidth="1"/>
    <col min="7" max="8" width="4.375" customWidth="1"/>
    <col min="9" max="24" width="15.625" customWidth="1"/>
  </cols>
  <sheetData>
    <row r="1" spans="1:64" s="2" customFormat="1" ht="25.15" customHeight="1">
      <c r="A1" s="1" t="s">
        <v>0</v>
      </c>
      <c r="E1" s="3"/>
      <c r="H1" s="4" t="s">
        <v>1</v>
      </c>
      <c r="J1" s="3"/>
    </row>
    <row r="2" spans="1:64" s="2" customFormat="1" ht="25.15" customHeight="1">
      <c r="A2" s="5" t="str">
        <f>Fixed_Data!I12</f>
        <v>MASTER</v>
      </c>
      <c r="B2" s="6"/>
      <c r="D2" s="7"/>
      <c r="E2" s="3"/>
    </row>
    <row r="3" spans="1:64" s="9" customFormat="1" ht="25.15" customHeight="1" thickBot="1">
      <c r="A3" s="8" t="str">
        <f>Fixed_Data!A3</f>
        <v>RIIO-GD2</v>
      </c>
      <c r="D3" s="10"/>
      <c r="E3" s="11"/>
    </row>
    <row r="4" spans="1:64" s="89" customFormat="1" ht="25.15" customHeight="1">
      <c r="B4" s="90" t="s">
        <v>3140</v>
      </c>
      <c r="C4" s="90"/>
      <c r="D4" s="90"/>
      <c r="E4" s="90"/>
      <c r="F4" s="90"/>
      <c r="G4" s="90"/>
      <c r="H4" s="92"/>
      <c r="I4" s="93"/>
      <c r="J4" s="94"/>
      <c r="K4" s="94"/>
      <c r="L4" s="94"/>
      <c r="M4" s="94"/>
      <c r="N4" s="94"/>
      <c r="O4" s="94"/>
      <c r="P4" s="94"/>
      <c r="Q4" s="94"/>
      <c r="R4" s="92"/>
      <c r="S4" s="92"/>
      <c r="T4" s="92"/>
      <c r="U4" s="92"/>
      <c r="V4" s="92"/>
      <c r="W4" s="92"/>
      <c r="X4" s="92"/>
      <c r="Y4" s="92"/>
      <c r="Z4" s="92"/>
      <c r="AA4" s="92"/>
      <c r="AB4" s="94"/>
      <c r="AC4" s="94"/>
      <c r="AD4" s="92"/>
      <c r="AE4" s="93"/>
      <c r="AF4" s="94"/>
      <c r="AG4" s="94"/>
      <c r="AH4" s="94"/>
      <c r="AI4" s="92"/>
      <c r="AJ4" s="93"/>
      <c r="AK4" s="94"/>
      <c r="AL4" s="94"/>
      <c r="AM4" s="94"/>
      <c r="AN4" s="94"/>
      <c r="AO4" s="94"/>
      <c r="AP4" s="94"/>
      <c r="AQ4" s="92"/>
      <c r="AR4" s="92"/>
      <c r="AS4" s="92"/>
      <c r="AT4" s="92"/>
      <c r="AU4" s="94"/>
      <c r="AV4" s="92"/>
      <c r="AW4" s="92"/>
      <c r="AX4" s="92"/>
      <c r="AY4" s="92"/>
      <c r="AZ4" s="92"/>
      <c r="BA4" s="92"/>
      <c r="BB4" s="92"/>
      <c r="BC4" s="92"/>
      <c r="BD4" s="92"/>
      <c r="BE4" s="92"/>
      <c r="BF4" s="94"/>
      <c r="BG4" s="92"/>
      <c r="BH4" s="92"/>
      <c r="BI4" s="92"/>
      <c r="BJ4" s="92"/>
      <c r="BK4" s="92"/>
      <c r="BL4" s="92"/>
    </row>
    <row r="5" spans="1:64" s="89" customFormat="1" ht="25.15" customHeight="1">
      <c r="B5" s="95" t="s">
        <v>1663</v>
      </c>
      <c r="E5" s="95" t="s">
        <v>463</v>
      </c>
      <c r="H5" s="95"/>
      <c r="I5" s="93"/>
      <c r="J5" s="94"/>
      <c r="K5" s="94"/>
      <c r="L5" s="94"/>
      <c r="M5" s="94"/>
      <c r="N5" s="94"/>
      <c r="O5" s="94"/>
      <c r="P5" s="94"/>
      <c r="Q5" s="94"/>
      <c r="R5" s="92"/>
      <c r="S5" s="92"/>
      <c r="T5" s="92"/>
      <c r="U5" s="92"/>
      <c r="V5" s="92"/>
      <c r="W5" s="92"/>
      <c r="X5" s="92"/>
      <c r="Y5" s="92"/>
      <c r="Z5" s="92"/>
      <c r="AA5" s="92"/>
      <c r="AB5" s="94"/>
      <c r="AC5" s="94"/>
      <c r="AD5" s="92"/>
      <c r="AE5" s="93"/>
      <c r="AF5" s="94"/>
      <c r="AG5" s="94"/>
      <c r="AH5" s="94"/>
      <c r="AI5" s="92"/>
      <c r="AJ5" s="93"/>
      <c r="AK5" s="94"/>
      <c r="AL5" s="94"/>
      <c r="AM5" s="94"/>
      <c r="AN5" s="94"/>
      <c r="AO5" s="94"/>
      <c r="AP5" s="94"/>
      <c r="AQ5" s="92"/>
      <c r="AR5" s="92"/>
      <c r="AS5" s="92"/>
      <c r="AT5" s="92"/>
      <c r="AU5" s="94"/>
      <c r="AV5" s="92"/>
      <c r="AW5" s="92"/>
      <c r="AX5" s="92"/>
      <c r="AY5" s="92"/>
      <c r="AZ5" s="92"/>
      <c r="BA5" s="92"/>
      <c r="BB5" s="92"/>
      <c r="BC5" s="92"/>
      <c r="BD5" s="92"/>
      <c r="BE5" s="92"/>
      <c r="BF5" s="94"/>
      <c r="BG5" s="92"/>
      <c r="BH5" s="92"/>
      <c r="BI5" s="92"/>
      <c r="BJ5" s="92"/>
      <c r="BK5" s="92"/>
      <c r="BL5" s="92"/>
    </row>
    <row r="7" spans="1:64" ht="13.5" thickBot="1"/>
    <row r="8" spans="1:64" ht="30" customHeight="1" thickBot="1">
      <c r="B8" s="640" t="s">
        <v>3141</v>
      </c>
      <c r="C8" s="558"/>
      <c r="D8" s="558"/>
      <c r="E8" s="558"/>
      <c r="F8" s="558"/>
      <c r="G8" s="559"/>
      <c r="H8" s="294"/>
      <c r="I8" s="105" t="s">
        <v>1704</v>
      </c>
      <c r="J8" s="106"/>
      <c r="K8" s="106"/>
      <c r="L8" s="106"/>
      <c r="M8" s="106"/>
      <c r="N8" s="106"/>
      <c r="O8" s="106"/>
      <c r="P8" s="106"/>
      <c r="Q8" s="106"/>
      <c r="R8" s="105"/>
      <c r="S8" s="105"/>
      <c r="T8" s="105"/>
      <c r="U8" s="105"/>
      <c r="V8" s="187"/>
    </row>
    <row r="9" spans="1:64" ht="30" customHeight="1">
      <c r="B9" s="560"/>
      <c r="C9" s="561"/>
      <c r="D9" s="561"/>
      <c r="E9" s="561"/>
      <c r="F9" s="561"/>
      <c r="G9" s="561"/>
      <c r="H9" s="259"/>
      <c r="I9" s="562"/>
      <c r="J9" s="563" t="s">
        <v>1666</v>
      </c>
      <c r="K9" s="564"/>
      <c r="L9" s="564"/>
      <c r="M9" s="564"/>
      <c r="N9" s="564"/>
      <c r="O9" s="564"/>
      <c r="P9" s="564"/>
      <c r="Q9" s="565"/>
      <c r="R9" s="567" t="s">
        <v>2</v>
      </c>
      <c r="S9" s="567"/>
      <c r="T9" s="567"/>
      <c r="U9" s="567"/>
      <c r="V9" s="568"/>
    </row>
    <row r="10" spans="1:64" ht="15">
      <c r="B10" s="572"/>
      <c r="C10" s="1408"/>
      <c r="D10" s="339"/>
      <c r="E10" s="339"/>
      <c r="F10" s="339"/>
      <c r="G10" s="339"/>
      <c r="H10" s="259"/>
      <c r="I10" s="571" t="s">
        <v>1745</v>
      </c>
      <c r="J10" s="158" t="s">
        <v>453</v>
      </c>
      <c r="K10" s="137" t="s">
        <v>455</v>
      </c>
      <c r="L10" s="137" t="s">
        <v>457</v>
      </c>
      <c r="M10" s="137" t="s">
        <v>459</v>
      </c>
      <c r="N10" s="137" t="s">
        <v>461</v>
      </c>
      <c r="O10" s="137" t="s">
        <v>463</v>
      </c>
      <c r="P10" s="137" t="s">
        <v>465</v>
      </c>
      <c r="Q10" s="138" t="s">
        <v>467</v>
      </c>
      <c r="R10" s="242" t="s">
        <v>469</v>
      </c>
      <c r="S10" s="121" t="s">
        <v>471</v>
      </c>
      <c r="T10" s="121" t="s">
        <v>473</v>
      </c>
      <c r="U10" s="121" t="s">
        <v>475</v>
      </c>
      <c r="V10" s="122" t="s">
        <v>477</v>
      </c>
    </row>
    <row r="11" spans="1:64" ht="15">
      <c r="B11" s="572"/>
      <c r="C11" s="1405"/>
      <c r="D11" s="623" t="s">
        <v>3142</v>
      </c>
      <c r="E11" s="591" t="s">
        <v>951</v>
      </c>
      <c r="F11" s="591" t="s">
        <v>3143</v>
      </c>
      <c r="G11" s="339"/>
      <c r="H11" s="259"/>
      <c r="I11" s="260"/>
      <c r="J11" s="295"/>
      <c r="K11" s="259"/>
      <c r="L11" s="259"/>
      <c r="M11" s="259"/>
      <c r="N11" s="259"/>
      <c r="O11" s="259"/>
      <c r="P11" s="259"/>
      <c r="Q11" s="296"/>
      <c r="R11" s="259"/>
      <c r="S11" s="259"/>
      <c r="T11" s="259"/>
      <c r="U11" s="259"/>
      <c r="V11" s="296"/>
    </row>
    <row r="12" spans="1:64" ht="14.25">
      <c r="B12" s="349"/>
      <c r="C12" s="1405"/>
      <c r="D12" s="293"/>
      <c r="E12" s="293"/>
      <c r="F12" s="293"/>
      <c r="G12" s="339"/>
      <c r="H12" s="339"/>
      <c r="I12" s="576" t="s">
        <v>498</v>
      </c>
      <c r="J12" s="297">
        <v>0</v>
      </c>
      <c r="K12" s="298">
        <v>0</v>
      </c>
      <c r="L12" s="298">
        <v>0</v>
      </c>
      <c r="M12" s="298">
        <v>0</v>
      </c>
      <c r="N12" s="298">
        <v>0</v>
      </c>
      <c r="O12" s="298">
        <v>0</v>
      </c>
      <c r="P12" s="298">
        <v>0</v>
      </c>
      <c r="Q12" s="299">
        <v>0</v>
      </c>
      <c r="R12" s="460">
        <v>0</v>
      </c>
      <c r="S12" s="298">
        <v>0</v>
      </c>
      <c r="T12" s="298">
        <v>0</v>
      </c>
      <c r="U12" s="298">
        <v>0</v>
      </c>
      <c r="V12" s="299">
        <v>0</v>
      </c>
    </row>
    <row r="13" spans="1:64" ht="14.25">
      <c r="B13" s="349"/>
      <c r="C13" s="339"/>
      <c r="D13" s="293"/>
      <c r="E13" s="293"/>
      <c r="F13" s="293"/>
      <c r="G13" s="339"/>
      <c r="H13" s="339"/>
      <c r="I13" s="576" t="s">
        <v>498</v>
      </c>
      <c r="J13" s="297">
        <v>0</v>
      </c>
      <c r="K13" s="298">
        <v>0</v>
      </c>
      <c r="L13" s="298">
        <v>0</v>
      </c>
      <c r="M13" s="298">
        <v>0</v>
      </c>
      <c r="N13" s="298">
        <v>0</v>
      </c>
      <c r="O13" s="298">
        <v>0</v>
      </c>
      <c r="P13" s="298">
        <v>0</v>
      </c>
      <c r="Q13" s="299">
        <v>0</v>
      </c>
      <c r="R13" s="460">
        <v>0</v>
      </c>
      <c r="S13" s="298">
        <v>0</v>
      </c>
      <c r="T13" s="298">
        <v>0</v>
      </c>
      <c r="U13" s="298">
        <v>0</v>
      </c>
      <c r="V13" s="299">
        <v>0</v>
      </c>
    </row>
    <row r="14" spans="1:64" ht="14.25">
      <c r="B14" s="349"/>
      <c r="C14" s="339"/>
      <c r="D14" s="293"/>
      <c r="E14" s="293"/>
      <c r="F14" s="293"/>
      <c r="G14" s="339"/>
      <c r="H14" s="339"/>
      <c r="I14" s="576" t="s">
        <v>498</v>
      </c>
      <c r="J14" s="297">
        <v>0</v>
      </c>
      <c r="K14" s="298">
        <v>0</v>
      </c>
      <c r="L14" s="298">
        <v>0</v>
      </c>
      <c r="M14" s="298">
        <v>0</v>
      </c>
      <c r="N14" s="298">
        <v>0</v>
      </c>
      <c r="O14" s="298">
        <v>0</v>
      </c>
      <c r="P14" s="298">
        <v>0</v>
      </c>
      <c r="Q14" s="299">
        <v>0</v>
      </c>
      <c r="R14" s="460">
        <v>0</v>
      </c>
      <c r="S14" s="298">
        <v>0</v>
      </c>
      <c r="T14" s="298">
        <v>0</v>
      </c>
      <c r="U14" s="298">
        <v>0</v>
      </c>
      <c r="V14" s="299">
        <v>0</v>
      </c>
    </row>
    <row r="15" spans="1:64" ht="14.25">
      <c r="B15" s="349"/>
      <c r="C15" s="339"/>
      <c r="D15" s="293"/>
      <c r="E15" s="293"/>
      <c r="F15" s="293"/>
      <c r="G15" s="339"/>
      <c r="H15" s="339"/>
      <c r="I15" s="576" t="s">
        <v>498</v>
      </c>
      <c r="J15" s="297">
        <v>0</v>
      </c>
      <c r="K15" s="298">
        <v>0</v>
      </c>
      <c r="L15" s="298">
        <v>0</v>
      </c>
      <c r="M15" s="298">
        <v>0</v>
      </c>
      <c r="N15" s="298">
        <v>0</v>
      </c>
      <c r="O15" s="298">
        <v>0</v>
      </c>
      <c r="P15" s="298">
        <v>0</v>
      </c>
      <c r="Q15" s="299">
        <v>0</v>
      </c>
      <c r="R15" s="460">
        <v>0</v>
      </c>
      <c r="S15" s="298">
        <v>0</v>
      </c>
      <c r="T15" s="298">
        <v>0</v>
      </c>
      <c r="U15" s="298">
        <v>0</v>
      </c>
      <c r="V15" s="299">
        <v>0</v>
      </c>
    </row>
    <row r="16" spans="1:64" ht="14.25">
      <c r="B16" s="349"/>
      <c r="C16" s="339"/>
      <c r="D16" s="293"/>
      <c r="E16" s="293"/>
      <c r="F16" s="293"/>
      <c r="G16" s="339"/>
      <c r="H16" s="339"/>
      <c r="I16" s="576" t="s">
        <v>498</v>
      </c>
      <c r="J16" s="297">
        <v>0</v>
      </c>
      <c r="K16" s="298">
        <v>0</v>
      </c>
      <c r="L16" s="298">
        <v>0</v>
      </c>
      <c r="M16" s="298">
        <v>0</v>
      </c>
      <c r="N16" s="298">
        <v>0</v>
      </c>
      <c r="O16" s="298">
        <v>0</v>
      </c>
      <c r="P16" s="298">
        <v>0</v>
      </c>
      <c r="Q16" s="299">
        <v>0</v>
      </c>
      <c r="R16" s="460">
        <v>0</v>
      </c>
      <c r="S16" s="298">
        <v>0</v>
      </c>
      <c r="T16" s="298">
        <v>0</v>
      </c>
      <c r="U16" s="298">
        <v>0</v>
      </c>
      <c r="V16" s="299">
        <v>0</v>
      </c>
    </row>
    <row r="17" spans="2:22" ht="14.25">
      <c r="B17" s="349"/>
      <c r="C17" s="339"/>
      <c r="D17" s="293"/>
      <c r="E17" s="293"/>
      <c r="F17" s="293"/>
      <c r="G17" s="339"/>
      <c r="H17" s="339"/>
      <c r="I17" s="576" t="s">
        <v>498</v>
      </c>
      <c r="J17" s="297">
        <v>0</v>
      </c>
      <c r="K17" s="298">
        <v>0</v>
      </c>
      <c r="L17" s="298">
        <v>0</v>
      </c>
      <c r="M17" s="298">
        <v>0</v>
      </c>
      <c r="N17" s="298">
        <v>0</v>
      </c>
      <c r="O17" s="298">
        <v>0</v>
      </c>
      <c r="P17" s="298">
        <v>0</v>
      </c>
      <c r="Q17" s="299">
        <v>0</v>
      </c>
      <c r="R17" s="460">
        <v>0</v>
      </c>
      <c r="S17" s="298">
        <v>0</v>
      </c>
      <c r="T17" s="298">
        <v>0</v>
      </c>
      <c r="U17" s="298">
        <v>0</v>
      </c>
      <c r="V17" s="299">
        <v>0</v>
      </c>
    </row>
    <row r="18" spans="2:22" ht="14.25">
      <c r="B18" s="349"/>
      <c r="C18" s="339"/>
      <c r="D18" s="293"/>
      <c r="E18" s="293"/>
      <c r="F18" s="293"/>
      <c r="G18" s="339"/>
      <c r="H18" s="339"/>
      <c r="I18" s="576" t="s">
        <v>498</v>
      </c>
      <c r="J18" s="297">
        <v>0</v>
      </c>
      <c r="K18" s="298">
        <v>0</v>
      </c>
      <c r="L18" s="298">
        <v>0</v>
      </c>
      <c r="M18" s="298">
        <v>0</v>
      </c>
      <c r="N18" s="298">
        <v>0</v>
      </c>
      <c r="O18" s="298">
        <v>0</v>
      </c>
      <c r="P18" s="298">
        <v>0</v>
      </c>
      <c r="Q18" s="299">
        <v>0</v>
      </c>
      <c r="R18" s="460">
        <v>0</v>
      </c>
      <c r="S18" s="298">
        <v>0</v>
      </c>
      <c r="T18" s="298">
        <v>0</v>
      </c>
      <c r="U18" s="298">
        <v>0</v>
      </c>
      <c r="V18" s="299">
        <v>0</v>
      </c>
    </row>
    <row r="19" spans="2:22" ht="14.25">
      <c r="B19" s="349"/>
      <c r="C19" s="339"/>
      <c r="D19" s="293"/>
      <c r="E19" s="293"/>
      <c r="F19" s="293"/>
      <c r="G19" s="1405"/>
      <c r="H19" s="339"/>
      <c r="I19" s="576" t="s">
        <v>498</v>
      </c>
      <c r="J19" s="297">
        <v>0</v>
      </c>
      <c r="K19" s="298">
        <v>0</v>
      </c>
      <c r="L19" s="298">
        <v>0</v>
      </c>
      <c r="M19" s="298">
        <v>0</v>
      </c>
      <c r="N19" s="298">
        <v>0</v>
      </c>
      <c r="O19" s="298">
        <v>0</v>
      </c>
      <c r="P19" s="298">
        <v>0</v>
      </c>
      <c r="Q19" s="299">
        <v>0</v>
      </c>
      <c r="R19" s="460">
        <v>0</v>
      </c>
      <c r="S19" s="298">
        <v>0</v>
      </c>
      <c r="T19" s="298">
        <v>0</v>
      </c>
      <c r="U19" s="298">
        <v>0</v>
      </c>
      <c r="V19" s="299">
        <v>0</v>
      </c>
    </row>
    <row r="20" spans="2:22" ht="14.25">
      <c r="B20" s="349"/>
      <c r="C20" s="339"/>
      <c r="D20" s="293"/>
      <c r="E20" s="293"/>
      <c r="F20" s="293"/>
      <c r="G20" s="1405"/>
      <c r="H20" s="339"/>
      <c r="I20" s="576" t="s">
        <v>498</v>
      </c>
      <c r="J20" s="297">
        <v>0</v>
      </c>
      <c r="K20" s="298">
        <v>0</v>
      </c>
      <c r="L20" s="298">
        <v>0</v>
      </c>
      <c r="M20" s="298">
        <v>0</v>
      </c>
      <c r="N20" s="298">
        <v>0</v>
      </c>
      <c r="O20" s="298">
        <v>0</v>
      </c>
      <c r="P20" s="298">
        <v>0</v>
      </c>
      <c r="Q20" s="299">
        <v>0</v>
      </c>
      <c r="R20" s="460">
        <v>0</v>
      </c>
      <c r="S20" s="298">
        <v>0</v>
      </c>
      <c r="T20" s="298">
        <v>0</v>
      </c>
      <c r="U20" s="298">
        <v>0</v>
      </c>
      <c r="V20" s="299">
        <v>0</v>
      </c>
    </row>
    <row r="21" spans="2:22" ht="14.25">
      <c r="B21" s="349"/>
      <c r="C21" s="339"/>
      <c r="D21" s="293"/>
      <c r="E21" s="293"/>
      <c r="F21" s="293"/>
      <c r="G21" s="1405"/>
      <c r="H21" s="339"/>
      <c r="I21" s="576" t="s">
        <v>498</v>
      </c>
      <c r="J21" s="297">
        <v>0</v>
      </c>
      <c r="K21" s="298">
        <v>0</v>
      </c>
      <c r="L21" s="298">
        <v>0</v>
      </c>
      <c r="M21" s="298">
        <v>0</v>
      </c>
      <c r="N21" s="298">
        <v>0</v>
      </c>
      <c r="O21" s="298">
        <v>0</v>
      </c>
      <c r="P21" s="298">
        <v>0</v>
      </c>
      <c r="Q21" s="299">
        <v>0</v>
      </c>
      <c r="R21" s="460">
        <v>0</v>
      </c>
      <c r="S21" s="298">
        <v>0</v>
      </c>
      <c r="T21" s="298">
        <v>0</v>
      </c>
      <c r="U21" s="298">
        <v>0</v>
      </c>
      <c r="V21" s="299">
        <v>0</v>
      </c>
    </row>
    <row r="22" spans="2:22" ht="14.25">
      <c r="B22" s="349"/>
      <c r="C22" s="339"/>
      <c r="D22" s="293"/>
      <c r="E22" s="293"/>
      <c r="F22" s="293"/>
      <c r="G22" s="1405"/>
      <c r="H22" s="339"/>
      <c r="I22" s="576" t="s">
        <v>498</v>
      </c>
      <c r="J22" s="297">
        <v>0</v>
      </c>
      <c r="K22" s="298">
        <v>0</v>
      </c>
      <c r="L22" s="298">
        <v>0</v>
      </c>
      <c r="M22" s="298">
        <v>0</v>
      </c>
      <c r="N22" s="298">
        <v>0</v>
      </c>
      <c r="O22" s="298">
        <v>0</v>
      </c>
      <c r="P22" s="298">
        <v>0</v>
      </c>
      <c r="Q22" s="299">
        <v>0</v>
      </c>
      <c r="R22" s="460">
        <v>0</v>
      </c>
      <c r="S22" s="298">
        <v>0</v>
      </c>
      <c r="T22" s="298">
        <v>0</v>
      </c>
      <c r="U22" s="298">
        <v>0</v>
      </c>
      <c r="V22" s="299">
        <v>0</v>
      </c>
    </row>
    <row r="23" spans="2:22" ht="14.25">
      <c r="B23" s="349"/>
      <c r="C23" s="339"/>
      <c r="D23" s="293"/>
      <c r="E23" s="293"/>
      <c r="F23" s="293"/>
      <c r="G23" s="1405"/>
      <c r="H23" s="339"/>
      <c r="I23" s="576" t="s">
        <v>498</v>
      </c>
      <c r="J23" s="297">
        <v>0</v>
      </c>
      <c r="K23" s="298">
        <v>0</v>
      </c>
      <c r="L23" s="298">
        <v>0</v>
      </c>
      <c r="M23" s="298">
        <v>0</v>
      </c>
      <c r="N23" s="298">
        <v>0</v>
      </c>
      <c r="O23" s="298">
        <v>0</v>
      </c>
      <c r="P23" s="298">
        <v>0</v>
      </c>
      <c r="Q23" s="299">
        <v>0</v>
      </c>
      <c r="R23" s="460">
        <v>0</v>
      </c>
      <c r="S23" s="298">
        <v>0</v>
      </c>
      <c r="T23" s="298">
        <v>0</v>
      </c>
      <c r="U23" s="298">
        <v>0</v>
      </c>
      <c r="V23" s="299">
        <v>0</v>
      </c>
    </row>
    <row r="24" spans="2:22" ht="14.25">
      <c r="B24" s="349"/>
      <c r="C24" s="339"/>
      <c r="D24" s="293"/>
      <c r="E24" s="293"/>
      <c r="F24" s="293"/>
      <c r="G24" s="1405"/>
      <c r="H24" s="339"/>
      <c r="I24" s="576" t="s">
        <v>498</v>
      </c>
      <c r="J24" s="297">
        <v>0</v>
      </c>
      <c r="K24" s="298">
        <v>0</v>
      </c>
      <c r="L24" s="298">
        <v>0</v>
      </c>
      <c r="M24" s="298">
        <v>0</v>
      </c>
      <c r="N24" s="298">
        <v>0</v>
      </c>
      <c r="O24" s="298">
        <v>0</v>
      </c>
      <c r="P24" s="298">
        <v>0</v>
      </c>
      <c r="Q24" s="299">
        <v>0</v>
      </c>
      <c r="R24" s="460">
        <v>0</v>
      </c>
      <c r="S24" s="298">
        <v>0</v>
      </c>
      <c r="T24" s="298">
        <v>0</v>
      </c>
      <c r="U24" s="298">
        <v>0</v>
      </c>
      <c r="V24" s="299">
        <v>0</v>
      </c>
    </row>
    <row r="25" spans="2:22" ht="14.25">
      <c r="B25" s="349"/>
      <c r="C25" s="339"/>
      <c r="D25" s="293"/>
      <c r="E25" s="293"/>
      <c r="F25" s="293"/>
      <c r="G25" s="1405"/>
      <c r="H25" s="339"/>
      <c r="I25" s="576" t="s">
        <v>498</v>
      </c>
      <c r="J25" s="297">
        <v>0</v>
      </c>
      <c r="K25" s="298">
        <v>0</v>
      </c>
      <c r="L25" s="298">
        <v>0</v>
      </c>
      <c r="M25" s="298">
        <v>0</v>
      </c>
      <c r="N25" s="298">
        <v>0</v>
      </c>
      <c r="O25" s="298">
        <v>0</v>
      </c>
      <c r="P25" s="298">
        <v>0</v>
      </c>
      <c r="Q25" s="299">
        <v>0</v>
      </c>
      <c r="R25" s="460">
        <v>0</v>
      </c>
      <c r="S25" s="298">
        <v>0</v>
      </c>
      <c r="T25" s="298">
        <v>0</v>
      </c>
      <c r="U25" s="298">
        <v>0</v>
      </c>
      <c r="V25" s="299">
        <v>0</v>
      </c>
    </row>
    <row r="26" spans="2:22" ht="14.25">
      <c r="B26" s="349"/>
      <c r="C26" s="339"/>
      <c r="D26" s="293"/>
      <c r="E26" s="293"/>
      <c r="F26" s="293"/>
      <c r="G26" s="1405"/>
      <c r="H26" s="339"/>
      <c r="I26" s="576" t="s">
        <v>498</v>
      </c>
      <c r="J26" s="297">
        <v>0</v>
      </c>
      <c r="K26" s="298">
        <v>0</v>
      </c>
      <c r="L26" s="298">
        <v>0</v>
      </c>
      <c r="M26" s="298">
        <v>0</v>
      </c>
      <c r="N26" s="298">
        <v>0</v>
      </c>
      <c r="O26" s="298">
        <v>0</v>
      </c>
      <c r="P26" s="298">
        <v>0</v>
      </c>
      <c r="Q26" s="299">
        <v>0</v>
      </c>
      <c r="R26" s="460">
        <v>0</v>
      </c>
      <c r="S26" s="298">
        <v>0</v>
      </c>
      <c r="T26" s="298">
        <v>0</v>
      </c>
      <c r="U26" s="298">
        <v>0</v>
      </c>
      <c r="V26" s="299">
        <v>0</v>
      </c>
    </row>
    <row r="27" spans="2:22" ht="14.25">
      <c r="B27" s="349"/>
      <c r="C27" s="339"/>
      <c r="D27" s="293"/>
      <c r="E27" s="293"/>
      <c r="F27" s="293"/>
      <c r="G27" s="1405"/>
      <c r="H27" s="339"/>
      <c r="I27" s="576" t="s">
        <v>498</v>
      </c>
      <c r="J27" s="297">
        <v>0</v>
      </c>
      <c r="K27" s="298">
        <v>0</v>
      </c>
      <c r="L27" s="298">
        <v>0</v>
      </c>
      <c r="M27" s="298">
        <v>0</v>
      </c>
      <c r="N27" s="298">
        <v>0</v>
      </c>
      <c r="O27" s="298">
        <v>0</v>
      </c>
      <c r="P27" s="298">
        <v>0</v>
      </c>
      <c r="Q27" s="299">
        <v>0</v>
      </c>
      <c r="R27" s="460">
        <v>0</v>
      </c>
      <c r="S27" s="298">
        <v>0</v>
      </c>
      <c r="T27" s="298">
        <v>0</v>
      </c>
      <c r="U27" s="298">
        <v>0</v>
      </c>
      <c r="V27" s="299">
        <v>0</v>
      </c>
    </row>
    <row r="28" spans="2:22" ht="14.25">
      <c r="B28" s="349"/>
      <c r="C28" s="339"/>
      <c r="D28" s="293"/>
      <c r="E28" s="293"/>
      <c r="F28" s="293"/>
      <c r="G28" s="1405"/>
      <c r="H28" s="339"/>
      <c r="I28" s="576" t="s">
        <v>498</v>
      </c>
      <c r="J28" s="297">
        <v>0</v>
      </c>
      <c r="K28" s="298">
        <v>0</v>
      </c>
      <c r="L28" s="298">
        <v>0</v>
      </c>
      <c r="M28" s="298">
        <v>0</v>
      </c>
      <c r="N28" s="298">
        <v>0</v>
      </c>
      <c r="O28" s="298">
        <v>0</v>
      </c>
      <c r="P28" s="298">
        <v>0</v>
      </c>
      <c r="Q28" s="299">
        <v>0</v>
      </c>
      <c r="R28" s="460">
        <v>0</v>
      </c>
      <c r="S28" s="298">
        <v>0</v>
      </c>
      <c r="T28" s="298">
        <v>0</v>
      </c>
      <c r="U28" s="298">
        <v>0</v>
      </c>
      <c r="V28" s="299">
        <v>0</v>
      </c>
    </row>
    <row r="29" spans="2:22" ht="14.25">
      <c r="B29" s="349"/>
      <c r="C29" s="339"/>
      <c r="D29" s="293"/>
      <c r="E29" s="293"/>
      <c r="F29" s="293"/>
      <c r="G29" s="1405"/>
      <c r="H29" s="339"/>
      <c r="I29" s="576" t="s">
        <v>498</v>
      </c>
      <c r="J29" s="297">
        <v>0</v>
      </c>
      <c r="K29" s="298">
        <v>0</v>
      </c>
      <c r="L29" s="298">
        <v>0</v>
      </c>
      <c r="M29" s="298">
        <v>0</v>
      </c>
      <c r="N29" s="298">
        <v>0</v>
      </c>
      <c r="O29" s="298">
        <v>0</v>
      </c>
      <c r="P29" s="298">
        <v>0</v>
      </c>
      <c r="Q29" s="299">
        <v>0</v>
      </c>
      <c r="R29" s="460">
        <v>0</v>
      </c>
      <c r="S29" s="298">
        <v>0</v>
      </c>
      <c r="T29" s="298">
        <v>0</v>
      </c>
      <c r="U29" s="298">
        <v>0</v>
      </c>
      <c r="V29" s="299">
        <v>0</v>
      </c>
    </row>
    <row r="30" spans="2:22" ht="14.25">
      <c r="B30" s="349"/>
      <c r="C30" s="339"/>
      <c r="D30" s="293"/>
      <c r="E30" s="293"/>
      <c r="F30" s="293"/>
      <c r="G30" s="1405"/>
      <c r="H30" s="339"/>
      <c r="I30" s="576" t="s">
        <v>498</v>
      </c>
      <c r="J30" s="297">
        <v>0</v>
      </c>
      <c r="K30" s="298">
        <v>0</v>
      </c>
      <c r="L30" s="298">
        <v>0</v>
      </c>
      <c r="M30" s="298">
        <v>0</v>
      </c>
      <c r="N30" s="298">
        <v>0</v>
      </c>
      <c r="O30" s="298">
        <v>0</v>
      </c>
      <c r="P30" s="298">
        <v>0</v>
      </c>
      <c r="Q30" s="299">
        <v>0</v>
      </c>
      <c r="R30" s="460">
        <v>0</v>
      </c>
      <c r="S30" s="298">
        <v>0</v>
      </c>
      <c r="T30" s="298">
        <v>0</v>
      </c>
      <c r="U30" s="298">
        <v>0</v>
      </c>
      <c r="V30" s="299">
        <v>0</v>
      </c>
    </row>
    <row r="31" spans="2:22" ht="14.25">
      <c r="B31" s="349"/>
      <c r="C31" s="339"/>
      <c r="D31" s="293"/>
      <c r="E31" s="293"/>
      <c r="F31" s="293"/>
      <c r="G31" s="1405"/>
      <c r="H31" s="339"/>
      <c r="I31" s="576" t="s">
        <v>498</v>
      </c>
      <c r="J31" s="297">
        <v>0</v>
      </c>
      <c r="K31" s="298">
        <v>0</v>
      </c>
      <c r="L31" s="298">
        <v>0</v>
      </c>
      <c r="M31" s="298">
        <v>0</v>
      </c>
      <c r="N31" s="298">
        <v>0</v>
      </c>
      <c r="O31" s="298">
        <v>0</v>
      </c>
      <c r="P31" s="298">
        <v>0</v>
      </c>
      <c r="Q31" s="299">
        <v>0</v>
      </c>
      <c r="R31" s="460">
        <v>0</v>
      </c>
      <c r="S31" s="298">
        <v>0</v>
      </c>
      <c r="T31" s="298">
        <v>0</v>
      </c>
      <c r="U31" s="298">
        <v>0</v>
      </c>
      <c r="V31" s="299">
        <v>0</v>
      </c>
    </row>
    <row r="32" spans="2:22" ht="14.25">
      <c r="B32" s="349"/>
      <c r="C32" s="339"/>
      <c r="D32" s="293"/>
      <c r="E32" s="293"/>
      <c r="F32" s="293"/>
      <c r="G32" s="1405"/>
      <c r="H32" s="339"/>
      <c r="I32" s="576" t="s">
        <v>498</v>
      </c>
      <c r="J32" s="297">
        <v>0</v>
      </c>
      <c r="K32" s="298">
        <v>0</v>
      </c>
      <c r="L32" s="298">
        <v>0</v>
      </c>
      <c r="M32" s="298">
        <v>0</v>
      </c>
      <c r="N32" s="298">
        <v>0</v>
      </c>
      <c r="O32" s="298">
        <v>0</v>
      </c>
      <c r="P32" s="298">
        <v>0</v>
      </c>
      <c r="Q32" s="299">
        <v>0</v>
      </c>
      <c r="R32" s="460">
        <v>0</v>
      </c>
      <c r="S32" s="298">
        <v>0</v>
      </c>
      <c r="T32" s="298">
        <v>0</v>
      </c>
      <c r="U32" s="298">
        <v>0</v>
      </c>
      <c r="V32" s="299">
        <v>0</v>
      </c>
    </row>
    <row r="33" spans="2:22" ht="15" thickBot="1">
      <c r="B33" s="357" t="s">
        <v>1701</v>
      </c>
      <c r="C33" s="358"/>
      <c r="D33" s="1406"/>
      <c r="E33" s="1406"/>
      <c r="F33" s="1406"/>
      <c r="G33" s="1407"/>
      <c r="H33" s="358"/>
      <c r="I33" s="581" t="s">
        <v>498</v>
      </c>
      <c r="J33" s="634">
        <f>SUM(J12:J32)</f>
        <v>0</v>
      </c>
      <c r="K33" s="635">
        <f t="shared" ref="K33:V33" si="0">SUM(K12:K32)</f>
        <v>0</v>
      </c>
      <c r="L33" s="635">
        <f t="shared" si="0"/>
        <v>0</v>
      </c>
      <c r="M33" s="635">
        <f t="shared" si="0"/>
        <v>0</v>
      </c>
      <c r="N33" s="635">
        <f t="shared" si="0"/>
        <v>0</v>
      </c>
      <c r="O33" s="635">
        <f t="shared" si="0"/>
        <v>0</v>
      </c>
      <c r="P33" s="635">
        <f t="shared" si="0"/>
        <v>0</v>
      </c>
      <c r="Q33" s="636">
        <f t="shared" si="0"/>
        <v>0</v>
      </c>
      <c r="R33" s="999">
        <f t="shared" si="0"/>
        <v>0</v>
      </c>
      <c r="S33" s="635">
        <f t="shared" si="0"/>
        <v>0</v>
      </c>
      <c r="T33" s="635">
        <f t="shared" si="0"/>
        <v>0</v>
      </c>
      <c r="U33" s="635">
        <f t="shared" si="0"/>
        <v>0</v>
      </c>
      <c r="V33" s="636">
        <f t="shared" si="0"/>
        <v>0</v>
      </c>
    </row>
    <row r="34" spans="2:22" ht="13.5" thickBot="1"/>
    <row r="35" spans="2:22" ht="30" customHeight="1" thickBot="1">
      <c r="B35" s="640" t="s">
        <v>3144</v>
      </c>
      <c r="C35" s="558"/>
      <c r="D35" s="558"/>
      <c r="E35" s="558"/>
      <c r="F35" s="558"/>
      <c r="G35" s="559"/>
      <c r="H35" s="294"/>
      <c r="I35" s="105" t="s">
        <v>1704</v>
      </c>
      <c r="J35" s="106"/>
      <c r="K35" s="106"/>
      <c r="L35" s="106"/>
      <c r="M35" s="106"/>
      <c r="N35" s="106"/>
      <c r="O35" s="106"/>
      <c r="P35" s="106"/>
      <c r="Q35" s="106"/>
      <c r="R35" s="105"/>
      <c r="S35" s="105"/>
      <c r="T35" s="105"/>
      <c r="U35" s="105"/>
      <c r="V35" s="187"/>
    </row>
    <row r="36" spans="2:22" ht="30" customHeight="1">
      <c r="B36" s="560"/>
      <c r="C36" s="561"/>
      <c r="D36" s="561"/>
      <c r="E36" s="561"/>
      <c r="F36" s="561"/>
      <c r="G36" s="561"/>
      <c r="H36" s="259"/>
      <c r="I36" s="562"/>
      <c r="J36" s="563" t="s">
        <v>1666</v>
      </c>
      <c r="K36" s="564"/>
      <c r="L36" s="564"/>
      <c r="M36" s="564"/>
      <c r="N36" s="564"/>
      <c r="O36" s="564"/>
      <c r="P36" s="564"/>
      <c r="Q36" s="565"/>
      <c r="R36" s="567" t="s">
        <v>2</v>
      </c>
      <c r="S36" s="567"/>
      <c r="T36" s="567"/>
      <c r="U36" s="567"/>
      <c r="V36" s="568"/>
    </row>
    <row r="37" spans="2:22" ht="15">
      <c r="B37" s="572"/>
      <c r="C37" s="1405"/>
      <c r="D37" s="339"/>
      <c r="E37" s="339"/>
      <c r="F37" s="339"/>
      <c r="G37" s="339"/>
      <c r="H37" s="259"/>
      <c r="I37" s="571" t="s">
        <v>1745</v>
      </c>
      <c r="J37" s="158" t="s">
        <v>453</v>
      </c>
      <c r="K37" s="137" t="s">
        <v>455</v>
      </c>
      <c r="L37" s="137" t="s">
        <v>457</v>
      </c>
      <c r="M37" s="137" t="s">
        <v>459</v>
      </c>
      <c r="N37" s="137" t="s">
        <v>461</v>
      </c>
      <c r="O37" s="137" t="s">
        <v>463</v>
      </c>
      <c r="P37" s="137" t="s">
        <v>465</v>
      </c>
      <c r="Q37" s="138" t="s">
        <v>467</v>
      </c>
      <c r="R37" s="242" t="s">
        <v>469</v>
      </c>
      <c r="S37" s="121" t="s">
        <v>471</v>
      </c>
      <c r="T37" s="121" t="s">
        <v>473</v>
      </c>
      <c r="U37" s="121" t="s">
        <v>475</v>
      </c>
      <c r="V37" s="122" t="s">
        <v>477</v>
      </c>
    </row>
    <row r="38" spans="2:22" ht="15">
      <c r="B38" s="572"/>
      <c r="C38" s="1405"/>
      <c r="D38" s="623" t="s">
        <v>3145</v>
      </c>
      <c r="E38" s="591" t="s">
        <v>951</v>
      </c>
      <c r="F38" s="591" t="s">
        <v>3143</v>
      </c>
      <c r="G38" s="339"/>
      <c r="H38" s="259"/>
      <c r="I38" s="260"/>
      <c r="J38" s="295"/>
      <c r="K38" s="259"/>
      <c r="L38" s="259"/>
      <c r="M38" s="259"/>
      <c r="N38" s="259"/>
      <c r="O38" s="259"/>
      <c r="P38" s="259"/>
      <c r="Q38" s="296"/>
      <c r="R38" s="259"/>
      <c r="S38" s="259"/>
      <c r="T38" s="259"/>
      <c r="U38" s="259"/>
      <c r="V38" s="296"/>
    </row>
    <row r="39" spans="2:22" ht="14.25">
      <c r="B39" s="349"/>
      <c r="C39" s="1405"/>
      <c r="D39" s="293" t="s">
        <v>3686</v>
      </c>
      <c r="E39" s="293">
        <v>0</v>
      </c>
      <c r="F39" s="293"/>
      <c r="G39" s="339"/>
      <c r="H39" s="339"/>
      <c r="I39" s="576" t="s">
        <v>498</v>
      </c>
      <c r="J39" s="297">
        <v>3.3207789944528623E-2</v>
      </c>
      <c r="K39" s="298">
        <v>0.43647303005565846</v>
      </c>
      <c r="L39" s="298">
        <v>1.2255070427190542</v>
      </c>
      <c r="M39" s="298">
        <v>0.81065603511885354</v>
      </c>
      <c r="N39" s="298">
        <v>1.4303834121482579</v>
      </c>
      <c r="O39" s="298">
        <v>0.86158510857142856</v>
      </c>
      <c r="P39" s="298">
        <v>0.88076465047142849</v>
      </c>
      <c r="Q39" s="299">
        <v>0.8776646504714285</v>
      </c>
      <c r="R39" s="460">
        <v>0</v>
      </c>
      <c r="S39" s="298">
        <v>0</v>
      </c>
      <c r="T39" s="298">
        <v>0</v>
      </c>
      <c r="U39" s="298">
        <v>0</v>
      </c>
      <c r="V39" s="299">
        <v>0</v>
      </c>
    </row>
    <row r="40" spans="2:22" ht="14.25">
      <c r="B40" s="349"/>
      <c r="C40" s="339"/>
      <c r="D40" s="293" t="s">
        <v>1670</v>
      </c>
      <c r="E40" s="293">
        <v>0</v>
      </c>
      <c r="F40" s="293"/>
      <c r="G40" s="339"/>
      <c r="H40" s="339"/>
      <c r="I40" s="576" t="s">
        <v>498</v>
      </c>
      <c r="J40" s="297">
        <v>0.76692017382312483</v>
      </c>
      <c r="K40" s="298">
        <v>0.63846795473098317</v>
      </c>
      <c r="L40" s="298">
        <v>9.41395609914943E-2</v>
      </c>
      <c r="M40" s="298">
        <v>0.2786333641439081</v>
      </c>
      <c r="N40" s="298">
        <v>0.22794471981046835</v>
      </c>
      <c r="O40" s="298">
        <v>8.7271248571428622E-2</v>
      </c>
      <c r="P40" s="298">
        <v>9.3458197571428592E-2</v>
      </c>
      <c r="Q40" s="299">
        <v>9.2458197571428591E-2</v>
      </c>
      <c r="R40" s="460">
        <v>0</v>
      </c>
      <c r="S40" s="298">
        <v>0</v>
      </c>
      <c r="T40" s="298">
        <v>0</v>
      </c>
      <c r="U40" s="298">
        <v>0</v>
      </c>
      <c r="V40" s="299">
        <v>0</v>
      </c>
    </row>
    <row r="41" spans="2:22" ht="14.25">
      <c r="B41" s="349"/>
      <c r="C41" s="339"/>
      <c r="D41" s="293" t="s">
        <v>3687</v>
      </c>
      <c r="E41" s="293">
        <v>0</v>
      </c>
      <c r="F41" s="293"/>
      <c r="G41" s="339"/>
      <c r="H41" s="339"/>
      <c r="I41" s="576" t="s">
        <v>498</v>
      </c>
      <c r="J41" s="297">
        <v>3.3183994784882993E-2</v>
      </c>
      <c r="K41" s="298">
        <v>9.8711024860853397E-2</v>
      </c>
      <c r="L41" s="298">
        <v>0.37749194821688281</v>
      </c>
      <c r="M41" s="298">
        <v>0.81619619418068157</v>
      </c>
      <c r="N41" s="298">
        <v>0.17337712537394809</v>
      </c>
      <c r="O41" s="298">
        <v>0.47805583857142858</v>
      </c>
      <c r="P41" s="298">
        <v>0.4867175671714285</v>
      </c>
      <c r="Q41" s="299">
        <v>0.48531756717142854</v>
      </c>
      <c r="R41" s="460">
        <v>0</v>
      </c>
      <c r="S41" s="298">
        <v>0</v>
      </c>
      <c r="T41" s="298">
        <v>0</v>
      </c>
      <c r="U41" s="298">
        <v>0</v>
      </c>
      <c r="V41" s="299">
        <v>0</v>
      </c>
    </row>
    <row r="42" spans="2:22" ht="14.25">
      <c r="B42" s="349"/>
      <c r="C42" s="339"/>
      <c r="D42" s="293" t="s">
        <v>3688</v>
      </c>
      <c r="E42" s="293">
        <v>0</v>
      </c>
      <c r="F42" s="293"/>
      <c r="G42" s="339"/>
      <c r="H42" s="339"/>
      <c r="I42" s="576" t="s">
        <v>498</v>
      </c>
      <c r="J42" s="297">
        <v>0.43803174223789176</v>
      </c>
      <c r="K42" s="298">
        <v>0.75767807421150257</v>
      </c>
      <c r="L42" s="298">
        <v>1.089393357618502</v>
      </c>
      <c r="M42" s="298">
        <v>0.45171363535144582</v>
      </c>
      <c r="N42" s="298">
        <v>0.60174173124752994</v>
      </c>
      <c r="O42" s="298">
        <v>0.34489046857142869</v>
      </c>
      <c r="P42" s="298">
        <v>0.35726436657142863</v>
      </c>
      <c r="Q42" s="299">
        <v>0.35526436657142862</v>
      </c>
      <c r="R42" s="460">
        <v>0</v>
      </c>
      <c r="S42" s="298">
        <v>0</v>
      </c>
      <c r="T42" s="298">
        <v>0</v>
      </c>
      <c r="U42" s="298">
        <v>0</v>
      </c>
      <c r="V42" s="299">
        <v>0</v>
      </c>
    </row>
    <row r="43" spans="2:22" ht="14.25">
      <c r="B43" s="349"/>
      <c r="C43" s="339"/>
      <c r="D43" s="293" t="s">
        <v>3689</v>
      </c>
      <c r="E43" s="293">
        <v>0</v>
      </c>
      <c r="F43" s="293"/>
      <c r="G43" s="339"/>
      <c r="H43" s="339"/>
      <c r="I43" s="576" t="s">
        <v>498</v>
      </c>
      <c r="J43" s="297">
        <v>8.1060109607522565E-2</v>
      </c>
      <c r="K43" s="298">
        <v>0.23116671317254167</v>
      </c>
      <c r="L43" s="298">
        <v>9.8808235129692917E-2</v>
      </c>
      <c r="M43" s="298">
        <v>3.0286157819277619E-2</v>
      </c>
      <c r="N43" s="298">
        <v>0.12342995655718483</v>
      </c>
      <c r="O43" s="298">
        <v>5.0234498571428615E-2</v>
      </c>
      <c r="P43" s="298">
        <v>5.2090583271428605E-2</v>
      </c>
      <c r="Q43" s="299">
        <v>5.179058327142861E-2</v>
      </c>
      <c r="R43" s="460">
        <v>0</v>
      </c>
      <c r="S43" s="298">
        <v>0</v>
      </c>
      <c r="T43" s="298">
        <v>0</v>
      </c>
      <c r="U43" s="298">
        <v>0</v>
      </c>
      <c r="V43" s="299">
        <v>0</v>
      </c>
    </row>
    <row r="44" spans="2:22" ht="14.25">
      <c r="B44" s="349"/>
      <c r="C44" s="339"/>
      <c r="D44" s="293" t="s">
        <v>3690</v>
      </c>
      <c r="E44" s="293">
        <v>0</v>
      </c>
      <c r="F44" s="293"/>
      <c r="G44" s="339"/>
      <c r="H44" s="339"/>
      <c r="I44" s="576" t="s">
        <v>498</v>
      </c>
      <c r="J44" s="297">
        <v>0.19412317782099478</v>
      </c>
      <c r="K44" s="298">
        <v>0.21571354953617802</v>
      </c>
      <c r="L44" s="298">
        <v>0.20076491286876524</v>
      </c>
      <c r="M44" s="298">
        <v>0.46284256077283531</v>
      </c>
      <c r="N44" s="298">
        <v>0.14207037855221882</v>
      </c>
      <c r="O44" s="298">
        <v>0.99657032857142869</v>
      </c>
      <c r="P44" s="298">
        <v>1.0089442265714286</v>
      </c>
      <c r="Q44" s="299">
        <v>1.0069442265714286</v>
      </c>
      <c r="R44" s="460">
        <v>0</v>
      </c>
      <c r="S44" s="298">
        <v>0</v>
      </c>
      <c r="T44" s="298">
        <v>0</v>
      </c>
      <c r="U44" s="298">
        <v>0</v>
      </c>
      <c r="V44" s="299">
        <v>0</v>
      </c>
    </row>
    <row r="45" spans="2:22" ht="14.25">
      <c r="B45" s="349"/>
      <c r="C45" s="339"/>
      <c r="D45" s="293" t="s">
        <v>1917</v>
      </c>
      <c r="E45" s="293">
        <v>0</v>
      </c>
      <c r="F45" s="293"/>
      <c r="G45" s="339"/>
      <c r="H45" s="339"/>
      <c r="I45" s="576" t="s">
        <v>498</v>
      </c>
      <c r="J45" s="297">
        <v>0</v>
      </c>
      <c r="K45" s="298">
        <v>0.23116671317254167</v>
      </c>
      <c r="L45" s="298">
        <v>0.13388658500537068</v>
      </c>
      <c r="M45" s="298">
        <v>1.0984188959830514E-2</v>
      </c>
      <c r="N45" s="298">
        <v>8.3389075307564141E-3</v>
      </c>
      <c r="O45" s="298">
        <v>9.5230185714286226E-3</v>
      </c>
      <c r="P45" s="298">
        <v>1.0760408371428618E-2</v>
      </c>
      <c r="Q45" s="299">
        <v>1.0560408371428617E-2</v>
      </c>
      <c r="R45" s="460">
        <v>0</v>
      </c>
      <c r="S45" s="298">
        <v>0</v>
      </c>
      <c r="T45" s="298">
        <v>0</v>
      </c>
      <c r="U45" s="298">
        <v>0</v>
      </c>
      <c r="V45" s="299">
        <v>0</v>
      </c>
    </row>
    <row r="46" spans="2:22" ht="14.25">
      <c r="B46" s="349"/>
      <c r="C46" s="339"/>
      <c r="D46" s="293" t="s">
        <v>3691</v>
      </c>
      <c r="E46" s="293" t="s">
        <v>3692</v>
      </c>
      <c r="F46" s="293"/>
      <c r="G46" s="1405"/>
      <c r="H46" s="339"/>
      <c r="I46" s="576" t="s">
        <v>498</v>
      </c>
      <c r="J46" s="297">
        <v>0</v>
      </c>
      <c r="K46" s="298">
        <v>0</v>
      </c>
      <c r="L46" s="298">
        <v>0</v>
      </c>
      <c r="M46" s="298">
        <v>0</v>
      </c>
      <c r="N46" s="298">
        <v>0</v>
      </c>
      <c r="O46" s="298">
        <v>0</v>
      </c>
      <c r="P46" s="298">
        <v>0</v>
      </c>
      <c r="Q46" s="299">
        <v>0</v>
      </c>
      <c r="R46" s="460">
        <v>0.35</v>
      </c>
      <c r="S46" s="298">
        <v>0.6</v>
      </c>
      <c r="T46" s="298">
        <v>0.35</v>
      </c>
      <c r="U46" s="298">
        <v>0.35</v>
      </c>
      <c r="V46" s="299">
        <v>0.35</v>
      </c>
    </row>
    <row r="47" spans="2:22" ht="14.25">
      <c r="B47" s="349"/>
      <c r="C47" s="339"/>
      <c r="D47" s="293" t="s">
        <v>3691</v>
      </c>
      <c r="E47" s="293" t="s">
        <v>3693</v>
      </c>
      <c r="F47" s="293"/>
      <c r="G47" s="1405"/>
      <c r="H47" s="339"/>
      <c r="I47" s="576" t="s">
        <v>498</v>
      </c>
      <c r="J47" s="297">
        <v>0</v>
      </c>
      <c r="K47" s="298">
        <v>0</v>
      </c>
      <c r="L47" s="298">
        <v>0</v>
      </c>
      <c r="M47" s="298">
        <v>0</v>
      </c>
      <c r="N47" s="298">
        <v>0</v>
      </c>
      <c r="O47" s="298">
        <v>0</v>
      </c>
      <c r="P47" s="298">
        <v>0</v>
      </c>
      <c r="Q47" s="299">
        <v>0</v>
      </c>
      <c r="R47" s="460">
        <v>0.3</v>
      </c>
      <c r="S47" s="298">
        <v>0.3</v>
      </c>
      <c r="T47" s="298">
        <v>0.25</v>
      </c>
      <c r="U47" s="298">
        <v>0.2</v>
      </c>
      <c r="V47" s="299">
        <v>0.2</v>
      </c>
    </row>
    <row r="48" spans="2:22" ht="14.25">
      <c r="B48" s="349"/>
      <c r="C48" s="339"/>
      <c r="D48" s="293" t="s">
        <v>3691</v>
      </c>
      <c r="E48" s="293" t="s">
        <v>3694</v>
      </c>
      <c r="F48" s="293"/>
      <c r="G48" s="1405"/>
      <c r="H48" s="339"/>
      <c r="I48" s="576" t="s">
        <v>498</v>
      </c>
      <c r="J48" s="297">
        <v>0</v>
      </c>
      <c r="K48" s="298">
        <v>0</v>
      </c>
      <c r="L48" s="298">
        <v>0</v>
      </c>
      <c r="M48" s="298">
        <v>0</v>
      </c>
      <c r="N48" s="298">
        <v>0</v>
      </c>
      <c r="O48" s="298">
        <v>0</v>
      </c>
      <c r="P48" s="298">
        <v>0</v>
      </c>
      <c r="Q48" s="299">
        <v>0</v>
      </c>
      <c r="R48" s="460">
        <v>0.05</v>
      </c>
      <c r="S48" s="298">
        <v>0.11</v>
      </c>
      <c r="T48" s="298">
        <v>0.1</v>
      </c>
      <c r="U48" s="298">
        <v>0.1</v>
      </c>
      <c r="V48" s="299">
        <v>0</v>
      </c>
    </row>
    <row r="49" spans="2:22" ht="14.25">
      <c r="B49" s="349"/>
      <c r="C49" s="339"/>
      <c r="D49" s="293" t="s">
        <v>3695</v>
      </c>
      <c r="E49" s="293" t="s">
        <v>3696</v>
      </c>
      <c r="F49" s="293"/>
      <c r="G49" s="1405"/>
      <c r="H49" s="339"/>
      <c r="I49" s="576" t="s">
        <v>498</v>
      </c>
      <c r="J49" s="297">
        <v>0</v>
      </c>
      <c r="K49" s="298">
        <v>0</v>
      </c>
      <c r="L49" s="298">
        <v>0</v>
      </c>
      <c r="M49" s="298">
        <v>0</v>
      </c>
      <c r="N49" s="298">
        <v>0</v>
      </c>
      <c r="O49" s="298">
        <v>0</v>
      </c>
      <c r="P49" s="298">
        <v>0</v>
      </c>
      <c r="Q49" s="299">
        <v>0</v>
      </c>
      <c r="R49" s="460">
        <v>0.91500000000000004</v>
      </c>
      <c r="S49" s="298">
        <v>0</v>
      </c>
      <c r="T49" s="298">
        <v>0.16250000000000001</v>
      </c>
      <c r="U49" s="298">
        <v>6.25E-2</v>
      </c>
      <c r="V49" s="299">
        <v>0</v>
      </c>
    </row>
    <row r="50" spans="2:22" ht="14.25">
      <c r="B50" s="349"/>
      <c r="C50" s="339"/>
      <c r="D50" s="293" t="s">
        <v>3695</v>
      </c>
      <c r="E50" s="293" t="s">
        <v>3697</v>
      </c>
      <c r="F50" s="293"/>
      <c r="G50" s="1405"/>
      <c r="H50" s="339"/>
      <c r="I50" s="576" t="s">
        <v>498</v>
      </c>
      <c r="J50" s="297">
        <v>0</v>
      </c>
      <c r="K50" s="298">
        <v>0</v>
      </c>
      <c r="L50" s="298">
        <v>0</v>
      </c>
      <c r="M50" s="298">
        <v>0</v>
      </c>
      <c r="N50" s="298">
        <v>0</v>
      </c>
      <c r="O50" s="298">
        <v>0</v>
      </c>
      <c r="P50" s="298">
        <v>0</v>
      </c>
      <c r="Q50" s="299">
        <v>0</v>
      </c>
      <c r="R50" s="460">
        <v>0.5</v>
      </c>
      <c r="S50" s="298">
        <v>0.5</v>
      </c>
      <c r="T50" s="298">
        <v>0.25</v>
      </c>
      <c r="U50" s="298">
        <v>0</v>
      </c>
      <c r="V50" s="299">
        <v>0</v>
      </c>
    </row>
    <row r="51" spans="2:22" ht="14.25">
      <c r="B51" s="349"/>
      <c r="C51" s="339"/>
      <c r="D51" s="293" t="s">
        <v>3695</v>
      </c>
      <c r="E51" s="293" t="s">
        <v>3698</v>
      </c>
      <c r="F51" s="293"/>
      <c r="G51" s="1405"/>
      <c r="H51" s="339"/>
      <c r="I51" s="576" t="s">
        <v>498</v>
      </c>
      <c r="J51" s="297">
        <v>0</v>
      </c>
      <c r="K51" s="298">
        <v>0</v>
      </c>
      <c r="L51" s="298">
        <v>0</v>
      </c>
      <c r="M51" s="298">
        <v>0</v>
      </c>
      <c r="N51" s="298">
        <v>0</v>
      </c>
      <c r="O51" s="298">
        <v>0</v>
      </c>
      <c r="P51" s="298">
        <v>0</v>
      </c>
      <c r="Q51" s="299">
        <v>0</v>
      </c>
      <c r="R51" s="460">
        <v>0.96</v>
      </c>
      <c r="S51" s="298">
        <v>1.46</v>
      </c>
      <c r="T51" s="298">
        <v>1.4850000000000001</v>
      </c>
      <c r="U51" s="298">
        <v>1.2949999999999999</v>
      </c>
      <c r="V51" s="299">
        <v>0.3</v>
      </c>
    </row>
    <row r="52" spans="2:22" ht="14.25">
      <c r="B52" s="349"/>
      <c r="C52" s="339"/>
      <c r="D52" s="293"/>
      <c r="E52" s="293"/>
      <c r="F52" s="293"/>
      <c r="G52" s="1405"/>
      <c r="H52" s="339"/>
      <c r="I52" s="576" t="s">
        <v>498</v>
      </c>
      <c r="J52" s="297">
        <v>0</v>
      </c>
      <c r="K52" s="298">
        <v>0</v>
      </c>
      <c r="L52" s="298">
        <v>0</v>
      </c>
      <c r="M52" s="298">
        <v>0</v>
      </c>
      <c r="N52" s="298">
        <v>0</v>
      </c>
      <c r="O52" s="298">
        <v>0</v>
      </c>
      <c r="P52" s="298">
        <v>0</v>
      </c>
      <c r="Q52" s="299">
        <v>0</v>
      </c>
      <c r="R52" s="460">
        <v>0</v>
      </c>
      <c r="S52" s="298">
        <v>0</v>
      </c>
      <c r="T52" s="298">
        <v>0</v>
      </c>
      <c r="U52" s="298">
        <v>0</v>
      </c>
      <c r="V52" s="299">
        <v>0</v>
      </c>
    </row>
    <row r="53" spans="2:22" ht="14.25">
      <c r="B53" s="349"/>
      <c r="C53" s="339"/>
      <c r="D53" s="293"/>
      <c r="E53" s="293"/>
      <c r="F53" s="293"/>
      <c r="G53" s="1405"/>
      <c r="H53" s="339"/>
      <c r="I53" s="576" t="s">
        <v>498</v>
      </c>
      <c r="J53" s="297">
        <v>0</v>
      </c>
      <c r="K53" s="298">
        <v>0</v>
      </c>
      <c r="L53" s="298">
        <v>0</v>
      </c>
      <c r="M53" s="298">
        <v>0</v>
      </c>
      <c r="N53" s="298">
        <v>0</v>
      </c>
      <c r="O53" s="298">
        <v>0</v>
      </c>
      <c r="P53" s="298">
        <v>0</v>
      </c>
      <c r="Q53" s="299">
        <v>0</v>
      </c>
      <c r="R53" s="460">
        <v>0</v>
      </c>
      <c r="S53" s="298">
        <v>0</v>
      </c>
      <c r="T53" s="298">
        <v>0</v>
      </c>
      <c r="U53" s="298">
        <v>0</v>
      </c>
      <c r="V53" s="299">
        <v>0</v>
      </c>
    </row>
    <row r="54" spans="2:22" ht="14.25">
      <c r="B54" s="349"/>
      <c r="C54" s="339"/>
      <c r="D54" s="293"/>
      <c r="E54" s="293"/>
      <c r="F54" s="293"/>
      <c r="G54" s="1405"/>
      <c r="H54" s="339"/>
      <c r="I54" s="576" t="s">
        <v>498</v>
      </c>
      <c r="J54" s="297">
        <v>0</v>
      </c>
      <c r="K54" s="298">
        <v>0</v>
      </c>
      <c r="L54" s="298">
        <v>0</v>
      </c>
      <c r="M54" s="298">
        <v>0</v>
      </c>
      <c r="N54" s="298">
        <v>0</v>
      </c>
      <c r="O54" s="298">
        <v>0</v>
      </c>
      <c r="P54" s="298">
        <v>0</v>
      </c>
      <c r="Q54" s="299">
        <v>0</v>
      </c>
      <c r="R54" s="460">
        <v>0</v>
      </c>
      <c r="S54" s="298">
        <v>0</v>
      </c>
      <c r="T54" s="298">
        <v>0</v>
      </c>
      <c r="U54" s="298">
        <v>0</v>
      </c>
      <c r="V54" s="299">
        <v>0</v>
      </c>
    </row>
    <row r="55" spans="2:22" ht="14.25">
      <c r="B55" s="349"/>
      <c r="C55" s="339"/>
      <c r="D55" s="293"/>
      <c r="E55" s="293"/>
      <c r="F55" s="293"/>
      <c r="G55" s="1405"/>
      <c r="H55" s="339"/>
      <c r="I55" s="576" t="s">
        <v>498</v>
      </c>
      <c r="J55" s="297">
        <v>0</v>
      </c>
      <c r="K55" s="298">
        <v>0</v>
      </c>
      <c r="L55" s="298">
        <v>0</v>
      </c>
      <c r="M55" s="298">
        <v>0</v>
      </c>
      <c r="N55" s="298">
        <v>0</v>
      </c>
      <c r="O55" s="298">
        <v>0</v>
      </c>
      <c r="P55" s="298">
        <v>0</v>
      </c>
      <c r="Q55" s="299">
        <v>0</v>
      </c>
      <c r="R55" s="460">
        <v>0</v>
      </c>
      <c r="S55" s="298">
        <v>0</v>
      </c>
      <c r="T55" s="298">
        <v>0</v>
      </c>
      <c r="U55" s="298">
        <v>0</v>
      </c>
      <c r="V55" s="299">
        <v>0</v>
      </c>
    </row>
    <row r="56" spans="2:22" ht="14.25">
      <c r="B56" s="349"/>
      <c r="C56" s="339"/>
      <c r="D56" s="293"/>
      <c r="E56" s="293"/>
      <c r="F56" s="293"/>
      <c r="G56" s="1405"/>
      <c r="H56" s="339"/>
      <c r="I56" s="576" t="s">
        <v>498</v>
      </c>
      <c r="J56" s="297">
        <v>0</v>
      </c>
      <c r="K56" s="298">
        <v>0</v>
      </c>
      <c r="L56" s="298">
        <v>0</v>
      </c>
      <c r="M56" s="298">
        <v>0</v>
      </c>
      <c r="N56" s="298">
        <v>0</v>
      </c>
      <c r="O56" s="298">
        <v>0</v>
      </c>
      <c r="P56" s="298">
        <v>0</v>
      </c>
      <c r="Q56" s="299">
        <v>0</v>
      </c>
      <c r="R56" s="460">
        <v>0</v>
      </c>
      <c r="S56" s="298">
        <v>0</v>
      </c>
      <c r="T56" s="298">
        <v>0</v>
      </c>
      <c r="U56" s="298">
        <v>0</v>
      </c>
      <c r="V56" s="299">
        <v>0</v>
      </c>
    </row>
    <row r="57" spans="2:22" ht="14.25">
      <c r="B57" s="349"/>
      <c r="C57" s="339"/>
      <c r="D57" s="293"/>
      <c r="E57" s="293"/>
      <c r="F57" s="293"/>
      <c r="G57" s="1405"/>
      <c r="H57" s="339"/>
      <c r="I57" s="576" t="s">
        <v>498</v>
      </c>
      <c r="J57" s="297">
        <v>0</v>
      </c>
      <c r="K57" s="298">
        <v>0</v>
      </c>
      <c r="L57" s="298">
        <v>0</v>
      </c>
      <c r="M57" s="298">
        <v>0</v>
      </c>
      <c r="N57" s="298">
        <v>0</v>
      </c>
      <c r="O57" s="298">
        <v>0</v>
      </c>
      <c r="P57" s="298">
        <v>0</v>
      </c>
      <c r="Q57" s="299">
        <v>0</v>
      </c>
      <c r="R57" s="460">
        <v>0</v>
      </c>
      <c r="S57" s="298">
        <v>0</v>
      </c>
      <c r="T57" s="298">
        <v>0</v>
      </c>
      <c r="U57" s="298">
        <v>0</v>
      </c>
      <c r="V57" s="299">
        <v>0</v>
      </c>
    </row>
    <row r="58" spans="2:22" ht="14.25">
      <c r="B58" s="349"/>
      <c r="C58" s="339"/>
      <c r="D58" s="293"/>
      <c r="E58" s="293"/>
      <c r="F58" s="293"/>
      <c r="G58" s="1405"/>
      <c r="H58" s="339"/>
      <c r="I58" s="576" t="s">
        <v>498</v>
      </c>
      <c r="J58" s="297">
        <v>0</v>
      </c>
      <c r="K58" s="298">
        <v>0</v>
      </c>
      <c r="L58" s="298">
        <v>0</v>
      </c>
      <c r="M58" s="298">
        <v>0</v>
      </c>
      <c r="N58" s="298">
        <v>0</v>
      </c>
      <c r="O58" s="298">
        <v>0</v>
      </c>
      <c r="P58" s="298">
        <v>0</v>
      </c>
      <c r="Q58" s="299">
        <v>0</v>
      </c>
      <c r="R58" s="460">
        <v>0</v>
      </c>
      <c r="S58" s="298">
        <v>0</v>
      </c>
      <c r="T58" s="298">
        <v>0</v>
      </c>
      <c r="U58" s="298">
        <v>0</v>
      </c>
      <c r="V58" s="299">
        <v>0</v>
      </c>
    </row>
    <row r="59" spans="2:22" ht="14.25">
      <c r="B59" s="349"/>
      <c r="C59" s="339"/>
      <c r="D59" s="293"/>
      <c r="E59" s="293"/>
      <c r="F59" s="293"/>
      <c r="G59" s="1405"/>
      <c r="H59" s="339"/>
      <c r="I59" s="576" t="s">
        <v>498</v>
      </c>
      <c r="J59" s="297">
        <v>0</v>
      </c>
      <c r="K59" s="298">
        <v>0</v>
      </c>
      <c r="L59" s="298">
        <v>0</v>
      </c>
      <c r="M59" s="298">
        <v>0</v>
      </c>
      <c r="N59" s="298">
        <v>0</v>
      </c>
      <c r="O59" s="298">
        <v>0</v>
      </c>
      <c r="P59" s="298">
        <v>0</v>
      </c>
      <c r="Q59" s="299">
        <v>0</v>
      </c>
      <c r="R59" s="460">
        <v>0</v>
      </c>
      <c r="S59" s="298">
        <v>0</v>
      </c>
      <c r="T59" s="298">
        <v>0</v>
      </c>
      <c r="U59" s="298">
        <v>0</v>
      </c>
      <c r="V59" s="299">
        <v>0</v>
      </c>
    </row>
    <row r="60" spans="2:22" ht="15" thickBot="1">
      <c r="B60" s="357" t="s">
        <v>1701</v>
      </c>
      <c r="C60" s="358"/>
      <c r="D60" s="1406"/>
      <c r="E60" s="1406"/>
      <c r="F60" s="1406"/>
      <c r="G60" s="1407"/>
      <c r="H60" s="358"/>
      <c r="I60" s="581" t="s">
        <v>498</v>
      </c>
      <c r="J60" s="634">
        <f>SUM(J39:J59)</f>
        <v>1.5465269882189456</v>
      </c>
      <c r="K60" s="635">
        <f t="shared" ref="K60:V60" si="1">SUM(K39:K59)</f>
        <v>2.6093770597402592</v>
      </c>
      <c r="L60" s="635">
        <f t="shared" si="1"/>
        <v>3.2199916425497626</v>
      </c>
      <c r="M60" s="635">
        <f t="shared" si="1"/>
        <v>2.8613121363468328</v>
      </c>
      <c r="N60" s="635">
        <f t="shared" si="1"/>
        <v>2.7072862312203645</v>
      </c>
      <c r="O60" s="635">
        <f t="shared" si="1"/>
        <v>2.8281305100000003</v>
      </c>
      <c r="P60" s="635">
        <f t="shared" si="1"/>
        <v>2.8899999999999997</v>
      </c>
      <c r="Q60" s="636">
        <f t="shared" si="1"/>
        <v>2.8800000000000003</v>
      </c>
      <c r="R60" s="999">
        <f t="shared" si="1"/>
        <v>3.0750000000000002</v>
      </c>
      <c r="S60" s="635">
        <f t="shared" si="1"/>
        <v>2.9699999999999998</v>
      </c>
      <c r="T60" s="635">
        <f t="shared" si="1"/>
        <v>2.5975000000000001</v>
      </c>
      <c r="U60" s="635">
        <f t="shared" si="1"/>
        <v>2.0074999999999998</v>
      </c>
      <c r="V60" s="636">
        <f t="shared" si="1"/>
        <v>0.85000000000000009</v>
      </c>
    </row>
    <row r="62" spans="2:22">
      <c r="J62" s="2550">
        <v>1546526.9882189452</v>
      </c>
    </row>
  </sheetData>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tabColor rgb="FF00B050"/>
  </sheetPr>
  <dimension ref="A1:BI433"/>
  <sheetViews>
    <sheetView showGridLines="0" topLeftCell="E1" zoomScale="80" zoomScaleNormal="80" workbookViewId="0">
      <selection activeCell="G12" sqref="G12:S12"/>
    </sheetView>
  </sheetViews>
  <sheetFormatPr defaultRowHeight="12.75"/>
  <cols>
    <col min="2" max="2" width="4.375" customWidth="1"/>
    <col min="3" max="4" width="40.625" customWidth="1"/>
    <col min="5" max="5" width="46.875" customWidth="1"/>
    <col min="6" max="21" width="15.625" customWidth="1"/>
  </cols>
  <sheetData>
    <row r="1" spans="1:61" s="2" customFormat="1" ht="25.15" customHeight="1">
      <c r="A1" s="1" t="s">
        <v>0</v>
      </c>
      <c r="E1" s="3"/>
      <c r="G1" s="3"/>
    </row>
    <row r="2" spans="1:61" s="2" customFormat="1" ht="25.15" customHeight="1">
      <c r="A2" s="5" t="str">
        <f>Fixed_Data!I12</f>
        <v>MASTER</v>
      </c>
      <c r="B2" s="6"/>
      <c r="D2" s="7"/>
      <c r="E2" s="3"/>
    </row>
    <row r="3" spans="1:61" s="9" customFormat="1" ht="25.15" customHeight="1" thickBot="1">
      <c r="A3" s="8" t="str">
        <f>Fixed_Data!A3</f>
        <v>RIIO-GD2</v>
      </c>
      <c r="D3" s="10"/>
      <c r="E3" s="11"/>
    </row>
    <row r="4" spans="1:61" s="89" customFormat="1" ht="25.15" customHeight="1">
      <c r="B4" s="90" t="s">
        <v>3146</v>
      </c>
      <c r="C4" s="90"/>
      <c r="D4" s="90"/>
      <c r="E4" s="90"/>
      <c r="F4" s="93"/>
      <c r="G4" s="94"/>
      <c r="H4" s="94"/>
      <c r="I4" s="94"/>
      <c r="J4" s="94"/>
      <c r="K4" s="94"/>
      <c r="L4" s="94"/>
      <c r="M4" s="94"/>
      <c r="N4" s="94"/>
      <c r="O4" s="92"/>
      <c r="P4" s="92"/>
      <c r="Q4" s="92"/>
      <c r="R4" s="92"/>
      <c r="S4" s="92"/>
      <c r="T4" s="92"/>
      <c r="U4" s="92"/>
      <c r="V4" s="92"/>
      <c r="W4" s="92"/>
      <c r="X4" s="92"/>
      <c r="Y4" s="94"/>
      <c r="Z4" s="94"/>
      <c r="AA4" s="92"/>
      <c r="AB4" s="93"/>
      <c r="AC4" s="94"/>
      <c r="AD4" s="94"/>
      <c r="AE4" s="94"/>
      <c r="AF4" s="92"/>
      <c r="AG4" s="93"/>
      <c r="AH4" s="94"/>
      <c r="AI4" s="94"/>
      <c r="AJ4" s="94"/>
      <c r="AK4" s="94"/>
      <c r="AL4" s="94"/>
      <c r="AM4" s="94"/>
      <c r="AN4" s="92"/>
      <c r="AO4" s="92"/>
      <c r="AP4" s="92"/>
      <c r="AQ4" s="92"/>
      <c r="AR4" s="94"/>
      <c r="AS4" s="92"/>
      <c r="AT4" s="92"/>
      <c r="AU4" s="92"/>
      <c r="AV4" s="92"/>
      <c r="AW4" s="92"/>
      <c r="AX4" s="92"/>
      <c r="AY4" s="92"/>
      <c r="AZ4" s="92"/>
      <c r="BA4" s="92"/>
      <c r="BB4" s="92"/>
      <c r="BC4" s="94"/>
      <c r="BD4" s="92"/>
      <c r="BE4" s="92"/>
      <c r="BF4" s="92"/>
      <c r="BG4" s="92"/>
      <c r="BH4" s="92"/>
      <c r="BI4" s="92"/>
    </row>
    <row r="5" spans="1:61" s="89" customFormat="1" ht="25.15" customHeight="1">
      <c r="B5" s="95" t="s">
        <v>1663</v>
      </c>
      <c r="E5" s="95" t="s">
        <v>463</v>
      </c>
      <c r="F5" s="93"/>
      <c r="G5" s="94"/>
      <c r="H5" s="94"/>
      <c r="I5" s="94"/>
      <c r="J5" s="94"/>
      <c r="K5" s="94"/>
      <c r="L5" s="94"/>
      <c r="M5" s="94"/>
      <c r="N5" s="94"/>
      <c r="O5" s="92"/>
      <c r="P5" s="92"/>
      <c r="Q5" s="92"/>
      <c r="R5" s="92"/>
      <c r="S5" s="92"/>
      <c r="T5" s="92"/>
      <c r="U5" s="92"/>
      <c r="V5" s="92"/>
      <c r="W5" s="92"/>
      <c r="X5" s="92"/>
      <c r="Y5" s="94"/>
      <c r="Z5" s="94"/>
      <c r="AA5" s="92"/>
      <c r="AB5" s="93"/>
      <c r="AC5" s="94"/>
      <c r="AD5" s="94"/>
      <c r="AE5" s="94"/>
      <c r="AF5" s="92"/>
      <c r="AG5" s="93"/>
      <c r="AH5" s="94"/>
      <c r="AI5" s="94"/>
      <c r="AJ5" s="94"/>
      <c r="AK5" s="94"/>
      <c r="AL5" s="94"/>
      <c r="AM5" s="94"/>
      <c r="AN5" s="92"/>
      <c r="AO5" s="92"/>
      <c r="AP5" s="92"/>
      <c r="AQ5" s="92"/>
      <c r="AR5" s="94"/>
      <c r="AS5" s="92"/>
      <c r="AT5" s="92"/>
      <c r="AU5" s="92"/>
      <c r="AV5" s="92"/>
      <c r="AW5" s="92"/>
      <c r="AX5" s="92"/>
      <c r="AY5" s="92"/>
      <c r="AZ5" s="92"/>
      <c r="BA5" s="92"/>
      <c r="BB5" s="92"/>
      <c r="BC5" s="94"/>
      <c r="BD5" s="92"/>
      <c r="BE5" s="92"/>
      <c r="BF5" s="92"/>
      <c r="BG5" s="92"/>
      <c r="BH5" s="92"/>
      <c r="BI5" s="92"/>
    </row>
    <row r="6" spans="1:61" s="1419" customFormat="1"/>
    <row r="7" spans="1:61" s="1419" customFormat="1" ht="13.5" thickBot="1"/>
    <row r="8" spans="1:61" s="1419" customFormat="1" ht="30" customHeight="1" thickBot="1">
      <c r="B8" s="1420" t="s">
        <v>2152</v>
      </c>
      <c r="C8" s="1421"/>
      <c r="D8" s="1421"/>
      <c r="E8" s="1421"/>
      <c r="F8" s="105" t="s">
        <v>3147</v>
      </c>
      <c r="G8" s="106"/>
      <c r="H8" s="106"/>
      <c r="I8" s="106"/>
      <c r="J8" s="106"/>
      <c r="K8" s="106"/>
      <c r="L8" s="106"/>
      <c r="M8" s="106"/>
      <c r="N8" s="106"/>
      <c r="O8" s="105"/>
      <c r="P8" s="105"/>
      <c r="Q8" s="105"/>
      <c r="R8" s="105"/>
      <c r="S8" s="187"/>
    </row>
    <row r="9" spans="1:61" s="1419" customFormat="1" ht="30" customHeight="1">
      <c r="B9" s="1422"/>
      <c r="C9" s="1423"/>
      <c r="D9" s="1423"/>
      <c r="E9" s="1423"/>
      <c r="F9" s="562"/>
      <c r="G9" s="563" t="s">
        <v>1666</v>
      </c>
      <c r="H9" s="564"/>
      <c r="I9" s="564"/>
      <c r="J9" s="564"/>
      <c r="K9" s="564"/>
      <c r="L9" s="564"/>
      <c r="M9" s="564"/>
      <c r="N9" s="565"/>
      <c r="O9" s="566" t="s">
        <v>2</v>
      </c>
      <c r="P9" s="567"/>
      <c r="Q9" s="567"/>
      <c r="R9" s="567"/>
      <c r="S9" s="568"/>
    </row>
    <row r="10" spans="1:61" s="1419" customFormat="1" ht="14.25">
      <c r="B10" s="1424"/>
      <c r="C10" s="1423"/>
      <c r="D10" s="1423"/>
      <c r="E10" s="1423"/>
      <c r="F10" s="571" t="s">
        <v>1745</v>
      </c>
      <c r="G10" s="158" t="s">
        <v>453</v>
      </c>
      <c r="H10" s="137" t="s">
        <v>455</v>
      </c>
      <c r="I10" s="137" t="s">
        <v>457</v>
      </c>
      <c r="J10" s="137" t="s">
        <v>459</v>
      </c>
      <c r="K10" s="137" t="s">
        <v>461</v>
      </c>
      <c r="L10" s="137" t="s">
        <v>463</v>
      </c>
      <c r="M10" s="137" t="s">
        <v>465</v>
      </c>
      <c r="N10" s="138" t="s">
        <v>467</v>
      </c>
      <c r="O10" s="120" t="s">
        <v>469</v>
      </c>
      <c r="P10" s="121" t="s">
        <v>471</v>
      </c>
      <c r="Q10" s="121" t="s">
        <v>473</v>
      </c>
      <c r="R10" s="121" t="s">
        <v>475</v>
      </c>
      <c r="S10" s="122" t="s">
        <v>477</v>
      </c>
    </row>
    <row r="11" spans="1:61" s="1419" customFormat="1" ht="14.25">
      <c r="B11" s="1424"/>
      <c r="C11" s="1423"/>
      <c r="D11" s="1423"/>
      <c r="E11" s="1423"/>
      <c r="F11" s="551"/>
      <c r="G11" s="619"/>
      <c r="H11" s="92"/>
      <c r="I11" s="92"/>
      <c r="J11" s="92"/>
      <c r="K11" s="92"/>
      <c r="L11" s="92"/>
      <c r="M11" s="92"/>
      <c r="N11" s="618"/>
      <c r="O11" s="619"/>
      <c r="P11" s="92"/>
      <c r="Q11" s="92"/>
      <c r="R11" s="92"/>
      <c r="S11" s="618"/>
    </row>
    <row r="12" spans="1:61" s="1428" customFormat="1" ht="15">
      <c r="B12" s="1429"/>
      <c r="C12" s="1430" t="s">
        <v>3148</v>
      </c>
      <c r="D12" s="1431"/>
      <c r="E12" s="1431"/>
      <c r="F12" s="576" t="s">
        <v>498</v>
      </c>
      <c r="G12" s="1397">
        <f>SUM(G62,G107)</f>
        <v>0.27500000000000002</v>
      </c>
      <c r="H12" s="1398">
        <f t="shared" ref="H12:S12" si="0">SUM(H62,H107)</f>
        <v>0.27500000000000002</v>
      </c>
      <c r="I12" s="1398">
        <f t="shared" si="0"/>
        <v>0.27500000000000002</v>
      </c>
      <c r="J12" s="1398">
        <f t="shared" si="0"/>
        <v>0.27500000000000002</v>
      </c>
      <c r="K12" s="1398">
        <f t="shared" si="0"/>
        <v>0.27500000000000002</v>
      </c>
      <c r="L12" s="1398">
        <f t="shared" si="0"/>
        <v>0.27500000000000002</v>
      </c>
      <c r="M12" s="1398">
        <f t="shared" si="0"/>
        <v>0.27500000000000002</v>
      </c>
      <c r="N12" s="1399">
        <f t="shared" si="0"/>
        <v>0.27500000000000002</v>
      </c>
      <c r="O12" s="1400">
        <f t="shared" si="0"/>
        <v>0.52651712404999829</v>
      </c>
      <c r="P12" s="1398">
        <f t="shared" si="0"/>
        <v>1.6934061691099895</v>
      </c>
      <c r="Q12" s="1398">
        <f t="shared" si="0"/>
        <v>1.1960065093649943</v>
      </c>
      <c r="R12" s="1398">
        <f t="shared" si="0"/>
        <v>1.0624823088583268</v>
      </c>
      <c r="S12" s="1399">
        <f t="shared" si="0"/>
        <v>1.3503719210099927</v>
      </c>
    </row>
    <row r="13" spans="1:61" s="1428" customFormat="1" ht="14.25">
      <c r="B13" s="1429"/>
      <c r="C13" s="1431"/>
      <c r="D13" s="1431"/>
      <c r="E13" s="1431"/>
      <c r="F13" s="551"/>
      <c r="G13" s="619"/>
      <c r="H13" s="92"/>
      <c r="I13" s="92"/>
      <c r="J13" s="92"/>
      <c r="K13" s="92"/>
      <c r="L13" s="92"/>
      <c r="M13" s="92"/>
      <c r="N13" s="618"/>
      <c r="O13" s="619"/>
      <c r="P13" s="92"/>
      <c r="Q13" s="92"/>
      <c r="R13" s="92"/>
      <c r="S13" s="618"/>
    </row>
    <row r="14" spans="1:61" s="1428" customFormat="1" ht="15">
      <c r="B14" s="1429"/>
      <c r="C14" s="1430" t="s">
        <v>3149</v>
      </c>
      <c r="D14" s="1431"/>
      <c r="E14" s="1431"/>
      <c r="F14" s="1431"/>
      <c r="G14" s="1429"/>
      <c r="H14" s="1431"/>
      <c r="I14" s="1431"/>
      <c r="J14" s="1431"/>
      <c r="K14" s="1431"/>
      <c r="L14" s="1431"/>
      <c r="M14" s="1431"/>
      <c r="N14" s="1432"/>
      <c r="O14" s="1429"/>
      <c r="P14" s="1431"/>
      <c r="Q14" s="1431"/>
      <c r="R14" s="1431"/>
      <c r="S14" s="1432"/>
    </row>
    <row r="15" spans="1:61" s="1428" customFormat="1" ht="14.25">
      <c r="B15" s="1429"/>
      <c r="C15" s="1433" t="s">
        <v>3150</v>
      </c>
      <c r="D15" s="1431"/>
      <c r="E15" s="1431"/>
      <c r="F15" s="576" t="s">
        <v>3151</v>
      </c>
      <c r="G15" s="407">
        <v>0</v>
      </c>
      <c r="H15" s="408">
        <v>0</v>
      </c>
      <c r="I15" s="408">
        <v>0</v>
      </c>
      <c r="J15" s="408">
        <v>0</v>
      </c>
      <c r="K15" s="408">
        <v>0</v>
      </c>
      <c r="L15" s="408">
        <v>0</v>
      </c>
      <c r="M15" s="408">
        <v>0</v>
      </c>
      <c r="N15" s="409">
        <v>0</v>
      </c>
      <c r="O15" s="1414">
        <v>0</v>
      </c>
      <c r="P15" s="408">
        <v>0</v>
      </c>
      <c r="Q15" s="408">
        <v>0</v>
      </c>
      <c r="R15" s="408">
        <v>0</v>
      </c>
      <c r="S15" s="409">
        <v>0</v>
      </c>
    </row>
    <row r="16" spans="1:61" s="1428" customFormat="1" ht="14.25">
      <c r="B16" s="1429"/>
      <c r="C16" s="1433" t="s">
        <v>3152</v>
      </c>
      <c r="D16" s="1431"/>
      <c r="E16" s="1431"/>
      <c r="F16" s="576" t="s">
        <v>3151</v>
      </c>
      <c r="G16" s="407">
        <v>0</v>
      </c>
      <c r="H16" s="408">
        <v>0</v>
      </c>
      <c r="I16" s="408">
        <v>0</v>
      </c>
      <c r="J16" s="408">
        <v>0</v>
      </c>
      <c r="K16" s="408">
        <v>0</v>
      </c>
      <c r="L16" s="408">
        <v>0</v>
      </c>
      <c r="M16" s="408">
        <v>0</v>
      </c>
      <c r="N16" s="409">
        <v>0</v>
      </c>
      <c r="O16" s="1414">
        <v>0</v>
      </c>
      <c r="P16" s="408">
        <v>0</v>
      </c>
      <c r="Q16" s="408">
        <v>0</v>
      </c>
      <c r="R16" s="408">
        <v>0</v>
      </c>
      <c r="S16" s="409">
        <v>0</v>
      </c>
    </row>
    <row r="17" spans="2:19" s="1428" customFormat="1" ht="15" thickBot="1">
      <c r="B17" s="1434"/>
      <c r="C17" s="1435" t="s">
        <v>3153</v>
      </c>
      <c r="D17" s="1436"/>
      <c r="E17" s="1436"/>
      <c r="F17" s="581" t="s">
        <v>3154</v>
      </c>
      <c r="G17" s="1415">
        <v>0</v>
      </c>
      <c r="H17" s="1416">
        <v>0</v>
      </c>
      <c r="I17" s="1416">
        <v>0</v>
      </c>
      <c r="J17" s="1416">
        <v>0</v>
      </c>
      <c r="K17" s="1416">
        <v>0</v>
      </c>
      <c r="L17" s="1416">
        <v>0</v>
      </c>
      <c r="M17" s="1416">
        <v>0</v>
      </c>
      <c r="N17" s="1417">
        <v>0</v>
      </c>
      <c r="O17" s="1418">
        <v>0</v>
      </c>
      <c r="P17" s="1416">
        <v>0</v>
      </c>
      <c r="Q17" s="1416">
        <v>0</v>
      </c>
      <c r="R17" s="1416">
        <v>0</v>
      </c>
      <c r="S17" s="1417">
        <v>0</v>
      </c>
    </row>
    <row r="18" spans="2:19" s="1419" customFormat="1" ht="13.5" thickBot="1"/>
    <row r="19" spans="2:19" s="1419" customFormat="1" ht="30" customHeight="1" thickBot="1">
      <c r="B19" s="640" t="s">
        <v>36</v>
      </c>
      <c r="C19" s="558"/>
      <c r="D19" s="558"/>
      <c r="E19" s="558"/>
      <c r="F19" s="105" t="s">
        <v>1704</v>
      </c>
      <c r="G19" s="106"/>
      <c r="H19" s="106"/>
      <c r="I19" s="106"/>
      <c r="J19" s="106"/>
      <c r="K19" s="106"/>
      <c r="L19" s="106"/>
      <c r="M19" s="106"/>
      <c r="N19" s="106"/>
      <c r="O19" s="105"/>
      <c r="P19" s="105"/>
      <c r="Q19" s="105"/>
      <c r="R19" s="105"/>
      <c r="S19" s="187"/>
    </row>
    <row r="20" spans="2:19" s="1419" customFormat="1" ht="30" customHeight="1">
      <c r="B20" s="1411" t="s">
        <v>3155</v>
      </c>
      <c r="D20" s="561"/>
      <c r="E20" s="561"/>
      <c r="F20" s="562"/>
      <c r="G20" s="563" t="s">
        <v>1666</v>
      </c>
      <c r="H20" s="564"/>
      <c r="I20" s="564"/>
      <c r="J20" s="564"/>
      <c r="K20" s="564"/>
      <c r="L20" s="564"/>
      <c r="M20" s="564"/>
      <c r="N20" s="565"/>
      <c r="O20" s="567" t="s">
        <v>2</v>
      </c>
      <c r="P20" s="567"/>
      <c r="Q20" s="567"/>
      <c r="R20" s="567"/>
      <c r="S20" s="568"/>
    </row>
    <row r="21" spans="2:19" s="1419" customFormat="1" ht="15">
      <c r="B21" s="572"/>
      <c r="C21" s="1425"/>
      <c r="D21" s="339"/>
      <c r="E21" s="339"/>
      <c r="F21" s="571" t="s">
        <v>1745</v>
      </c>
      <c r="G21" s="158" t="s">
        <v>453</v>
      </c>
      <c r="H21" s="137" t="s">
        <v>455</v>
      </c>
      <c r="I21" s="137" t="s">
        <v>457</v>
      </c>
      <c r="J21" s="137" t="s">
        <v>459</v>
      </c>
      <c r="K21" s="137" t="s">
        <v>461</v>
      </c>
      <c r="L21" s="137" t="s">
        <v>463</v>
      </c>
      <c r="M21" s="137" t="s">
        <v>465</v>
      </c>
      <c r="N21" s="138" t="s">
        <v>467</v>
      </c>
      <c r="O21" s="242" t="s">
        <v>469</v>
      </c>
      <c r="P21" s="121" t="s">
        <v>471</v>
      </c>
      <c r="Q21" s="121" t="s">
        <v>473</v>
      </c>
      <c r="R21" s="121" t="s">
        <v>475</v>
      </c>
      <c r="S21" s="122" t="s">
        <v>477</v>
      </c>
    </row>
    <row r="22" spans="2:19" s="1419" customFormat="1" ht="15">
      <c r="B22" s="572"/>
      <c r="C22" s="1423"/>
      <c r="D22" s="561"/>
      <c r="E22" s="561"/>
      <c r="F22" s="260"/>
      <c r="G22" s="295"/>
      <c r="H22" s="259"/>
      <c r="I22" s="259"/>
      <c r="J22" s="259"/>
      <c r="K22" s="259"/>
      <c r="L22" s="259"/>
      <c r="M22" s="259"/>
      <c r="N22" s="296"/>
      <c r="O22" s="259"/>
      <c r="P22" s="259"/>
      <c r="Q22" s="259"/>
      <c r="R22" s="259"/>
      <c r="S22" s="296"/>
    </row>
    <row r="23" spans="2:19" s="1428" customFormat="1" ht="15" customHeight="1">
      <c r="B23" s="349"/>
      <c r="C23" s="1437" t="s">
        <v>3156</v>
      </c>
      <c r="D23" s="1438" t="s">
        <v>3157</v>
      </c>
      <c r="E23" s="1439" t="s">
        <v>3158</v>
      </c>
      <c r="F23" s="576" t="s">
        <v>498</v>
      </c>
      <c r="G23" s="297">
        <v>0</v>
      </c>
      <c r="H23" s="298">
        <v>0</v>
      </c>
      <c r="I23" s="298">
        <v>0</v>
      </c>
      <c r="J23" s="298">
        <v>0</v>
      </c>
      <c r="K23" s="298">
        <v>0</v>
      </c>
      <c r="L23" s="298">
        <v>0</v>
      </c>
      <c r="M23" s="298">
        <v>0</v>
      </c>
      <c r="N23" s="299">
        <v>0</v>
      </c>
      <c r="O23" s="460">
        <v>0</v>
      </c>
      <c r="P23" s="298">
        <v>0</v>
      </c>
      <c r="Q23" s="298">
        <v>0</v>
      </c>
      <c r="R23" s="298">
        <v>0</v>
      </c>
      <c r="S23" s="299">
        <v>0</v>
      </c>
    </row>
    <row r="24" spans="2:19" s="1428" customFormat="1" ht="15" customHeight="1">
      <c r="B24" s="349"/>
      <c r="C24" s="1440"/>
      <c r="D24" s="1441"/>
      <c r="E24" s="1439" t="s">
        <v>3159</v>
      </c>
      <c r="F24" s="576" t="s">
        <v>498</v>
      </c>
      <c r="G24" s="297">
        <v>0</v>
      </c>
      <c r="H24" s="298">
        <v>0</v>
      </c>
      <c r="I24" s="298">
        <v>0</v>
      </c>
      <c r="J24" s="298">
        <v>0</v>
      </c>
      <c r="K24" s="298">
        <v>0</v>
      </c>
      <c r="L24" s="298">
        <v>0</v>
      </c>
      <c r="M24" s="298">
        <v>0</v>
      </c>
      <c r="N24" s="299">
        <v>0</v>
      </c>
      <c r="O24" s="460">
        <v>0</v>
      </c>
      <c r="P24" s="298">
        <v>0</v>
      </c>
      <c r="Q24" s="298">
        <v>0</v>
      </c>
      <c r="R24" s="298">
        <v>0</v>
      </c>
      <c r="S24" s="299">
        <v>0</v>
      </c>
    </row>
    <row r="25" spans="2:19" s="1428" customFormat="1" ht="15" customHeight="1">
      <c r="B25" s="349"/>
      <c r="C25" s="1440"/>
      <c r="D25" s="1441"/>
      <c r="E25" s="1439" t="s">
        <v>3160</v>
      </c>
      <c r="F25" s="576" t="s">
        <v>498</v>
      </c>
      <c r="G25" s="297">
        <v>0</v>
      </c>
      <c r="H25" s="298">
        <v>0</v>
      </c>
      <c r="I25" s="298">
        <v>0</v>
      </c>
      <c r="J25" s="298">
        <v>0</v>
      </c>
      <c r="K25" s="298">
        <v>0</v>
      </c>
      <c r="L25" s="298">
        <v>0</v>
      </c>
      <c r="M25" s="298">
        <v>0</v>
      </c>
      <c r="N25" s="299">
        <v>0</v>
      </c>
      <c r="O25" s="460">
        <v>0</v>
      </c>
      <c r="P25" s="298">
        <v>0</v>
      </c>
      <c r="Q25" s="298">
        <v>0</v>
      </c>
      <c r="R25" s="298">
        <v>0</v>
      </c>
      <c r="S25" s="299">
        <v>0</v>
      </c>
    </row>
    <row r="26" spans="2:19" s="1428" customFormat="1" ht="15" customHeight="1">
      <c r="B26" s="349"/>
      <c r="C26" s="1440"/>
      <c r="D26" s="1438" t="s">
        <v>3161</v>
      </c>
      <c r="E26" s="1439" t="s">
        <v>3162</v>
      </c>
      <c r="F26" s="576" t="s">
        <v>498</v>
      </c>
      <c r="G26" s="297">
        <v>0</v>
      </c>
      <c r="H26" s="298">
        <v>0</v>
      </c>
      <c r="I26" s="298">
        <v>0</v>
      </c>
      <c r="J26" s="298">
        <v>0</v>
      </c>
      <c r="K26" s="298">
        <v>0</v>
      </c>
      <c r="L26" s="298">
        <v>0</v>
      </c>
      <c r="M26" s="298">
        <v>0</v>
      </c>
      <c r="N26" s="299">
        <v>0</v>
      </c>
      <c r="O26" s="460">
        <v>0</v>
      </c>
      <c r="P26" s="298">
        <v>0</v>
      </c>
      <c r="Q26" s="298">
        <v>0</v>
      </c>
      <c r="R26" s="298">
        <v>0</v>
      </c>
      <c r="S26" s="299">
        <v>0</v>
      </c>
    </row>
    <row r="27" spans="2:19" s="1428" customFormat="1" ht="15" customHeight="1">
      <c r="B27" s="349"/>
      <c r="C27" s="1440"/>
      <c r="D27" s="1441"/>
      <c r="E27" s="1439" t="s">
        <v>3163</v>
      </c>
      <c r="F27" s="576" t="s">
        <v>498</v>
      </c>
      <c r="G27" s="297">
        <v>0</v>
      </c>
      <c r="H27" s="298">
        <v>0</v>
      </c>
      <c r="I27" s="298">
        <v>0</v>
      </c>
      <c r="J27" s="298">
        <v>0</v>
      </c>
      <c r="K27" s="298">
        <v>0</v>
      </c>
      <c r="L27" s="298">
        <v>0</v>
      </c>
      <c r="M27" s="298">
        <v>0</v>
      </c>
      <c r="N27" s="299">
        <v>0</v>
      </c>
      <c r="O27" s="460">
        <v>0</v>
      </c>
      <c r="P27" s="298">
        <v>0</v>
      </c>
      <c r="Q27" s="298">
        <v>0</v>
      </c>
      <c r="R27" s="298">
        <v>0</v>
      </c>
      <c r="S27" s="299">
        <v>0</v>
      </c>
    </row>
    <row r="28" spans="2:19" s="1428" customFormat="1" ht="15" customHeight="1">
      <c r="B28" s="349"/>
      <c r="C28" s="1440"/>
      <c r="D28" s="1439" t="s">
        <v>3164</v>
      </c>
      <c r="E28" s="1439" t="s">
        <v>3165</v>
      </c>
      <c r="F28" s="576" t="s">
        <v>498</v>
      </c>
      <c r="G28" s="297">
        <v>0</v>
      </c>
      <c r="H28" s="298">
        <v>0</v>
      </c>
      <c r="I28" s="298">
        <v>0</v>
      </c>
      <c r="J28" s="298">
        <v>0</v>
      </c>
      <c r="K28" s="298">
        <v>0</v>
      </c>
      <c r="L28" s="298">
        <v>0</v>
      </c>
      <c r="M28" s="298">
        <v>0</v>
      </c>
      <c r="N28" s="299">
        <v>0</v>
      </c>
      <c r="O28" s="460">
        <v>0</v>
      </c>
      <c r="P28" s="298">
        <v>0.08</v>
      </c>
      <c r="Q28" s="298">
        <v>0.08</v>
      </c>
      <c r="R28" s="298">
        <v>0</v>
      </c>
      <c r="S28" s="299">
        <v>0.08</v>
      </c>
    </row>
    <row r="29" spans="2:19" s="1428" customFormat="1" ht="15" customHeight="1">
      <c r="B29" s="349"/>
      <c r="C29" s="1440"/>
      <c r="D29" s="1439" t="s">
        <v>3166</v>
      </c>
      <c r="E29" s="1439" t="s">
        <v>3167</v>
      </c>
      <c r="F29" s="576" t="s">
        <v>498</v>
      </c>
      <c r="G29" s="297">
        <v>0</v>
      </c>
      <c r="H29" s="298">
        <v>0</v>
      </c>
      <c r="I29" s="298">
        <v>0</v>
      </c>
      <c r="J29" s="298">
        <v>0</v>
      </c>
      <c r="K29" s="298">
        <v>0</v>
      </c>
      <c r="L29" s="298">
        <v>0</v>
      </c>
      <c r="M29" s="298">
        <v>0</v>
      </c>
      <c r="N29" s="299">
        <v>0</v>
      </c>
      <c r="O29" s="460">
        <v>0</v>
      </c>
      <c r="P29" s="298">
        <v>0</v>
      </c>
      <c r="Q29" s="298">
        <v>0</v>
      </c>
      <c r="R29" s="298">
        <v>0</v>
      </c>
      <c r="S29" s="299">
        <v>0</v>
      </c>
    </row>
    <row r="30" spans="2:19" s="1428" customFormat="1" ht="15" customHeight="1">
      <c r="B30" s="349"/>
      <c r="C30" s="1437" t="s">
        <v>3168</v>
      </c>
      <c r="D30" s="1438" t="s">
        <v>3169</v>
      </c>
      <c r="E30" s="1439" t="s">
        <v>3170</v>
      </c>
      <c r="F30" s="576" t="s">
        <v>498</v>
      </c>
      <c r="G30" s="297">
        <v>0</v>
      </c>
      <c r="H30" s="298">
        <v>0</v>
      </c>
      <c r="I30" s="298">
        <v>0</v>
      </c>
      <c r="J30" s="298">
        <v>0</v>
      </c>
      <c r="K30" s="298">
        <v>0</v>
      </c>
      <c r="L30" s="298">
        <v>0</v>
      </c>
      <c r="M30" s="298">
        <v>0</v>
      </c>
      <c r="N30" s="299">
        <v>0</v>
      </c>
      <c r="O30" s="460">
        <v>0</v>
      </c>
      <c r="P30" s="298">
        <v>0</v>
      </c>
      <c r="Q30" s="298">
        <v>0</v>
      </c>
      <c r="R30" s="298">
        <v>0</v>
      </c>
      <c r="S30" s="299">
        <v>0</v>
      </c>
    </row>
    <row r="31" spans="2:19" s="1428" customFormat="1" ht="15" customHeight="1">
      <c r="B31" s="349"/>
      <c r="C31" s="1440"/>
      <c r="D31" s="1441"/>
      <c r="E31" s="1439" t="s">
        <v>3171</v>
      </c>
      <c r="F31" s="576" t="s">
        <v>498</v>
      </c>
      <c r="G31" s="297">
        <v>0</v>
      </c>
      <c r="H31" s="298">
        <v>0</v>
      </c>
      <c r="I31" s="298">
        <v>0</v>
      </c>
      <c r="J31" s="298">
        <v>0</v>
      </c>
      <c r="K31" s="298">
        <v>0</v>
      </c>
      <c r="L31" s="298">
        <v>0</v>
      </c>
      <c r="M31" s="298">
        <v>0</v>
      </c>
      <c r="N31" s="299">
        <v>0</v>
      </c>
      <c r="O31" s="460">
        <v>0</v>
      </c>
      <c r="P31" s="298">
        <v>0</v>
      </c>
      <c r="Q31" s="298">
        <v>0</v>
      </c>
      <c r="R31" s="298">
        <v>0</v>
      </c>
      <c r="S31" s="299">
        <v>0</v>
      </c>
    </row>
    <row r="32" spans="2:19" s="1428" customFormat="1" ht="15" customHeight="1">
      <c r="B32" s="349"/>
      <c r="C32" s="1440"/>
      <c r="D32" s="1438" t="s">
        <v>3172</v>
      </c>
      <c r="E32" s="1439" t="s">
        <v>3173</v>
      </c>
      <c r="F32" s="576" t="s">
        <v>498</v>
      </c>
      <c r="G32" s="297">
        <v>0</v>
      </c>
      <c r="H32" s="298">
        <v>0</v>
      </c>
      <c r="I32" s="298">
        <v>0</v>
      </c>
      <c r="J32" s="298">
        <v>0</v>
      </c>
      <c r="K32" s="298">
        <v>0</v>
      </c>
      <c r="L32" s="298">
        <v>0</v>
      </c>
      <c r="M32" s="298">
        <v>0</v>
      </c>
      <c r="N32" s="299">
        <v>0</v>
      </c>
      <c r="O32" s="460">
        <v>0</v>
      </c>
      <c r="P32" s="298">
        <v>0</v>
      </c>
      <c r="Q32" s="298">
        <v>0</v>
      </c>
      <c r="R32" s="298">
        <v>0</v>
      </c>
      <c r="S32" s="299">
        <v>0</v>
      </c>
    </row>
    <row r="33" spans="2:19" s="1428" customFormat="1" ht="15" customHeight="1">
      <c r="B33" s="349"/>
      <c r="C33" s="1440"/>
      <c r="D33" s="1441"/>
      <c r="E33" s="1439" t="s">
        <v>3174</v>
      </c>
      <c r="F33" s="576" t="s">
        <v>498</v>
      </c>
      <c r="G33" s="297">
        <v>0</v>
      </c>
      <c r="H33" s="298">
        <v>0</v>
      </c>
      <c r="I33" s="298">
        <v>0</v>
      </c>
      <c r="J33" s="298">
        <v>0</v>
      </c>
      <c r="K33" s="298">
        <v>0</v>
      </c>
      <c r="L33" s="298">
        <v>0</v>
      </c>
      <c r="M33" s="298">
        <v>0</v>
      </c>
      <c r="N33" s="299">
        <v>0</v>
      </c>
      <c r="O33" s="460">
        <v>0</v>
      </c>
      <c r="P33" s="298">
        <v>0</v>
      </c>
      <c r="Q33" s="298">
        <v>0</v>
      </c>
      <c r="R33" s="298">
        <v>0</v>
      </c>
      <c r="S33" s="299">
        <v>0</v>
      </c>
    </row>
    <row r="34" spans="2:19" s="1428" customFormat="1" ht="15" customHeight="1">
      <c r="B34" s="349"/>
      <c r="C34" s="1440"/>
      <c r="D34" s="1441"/>
      <c r="E34" s="1439" t="s">
        <v>3175</v>
      </c>
      <c r="F34" s="576" t="s">
        <v>498</v>
      </c>
      <c r="G34" s="297">
        <v>0</v>
      </c>
      <c r="H34" s="298">
        <v>0</v>
      </c>
      <c r="I34" s="298">
        <v>0</v>
      </c>
      <c r="J34" s="298">
        <v>0</v>
      </c>
      <c r="K34" s="298">
        <v>0</v>
      </c>
      <c r="L34" s="298">
        <v>0</v>
      </c>
      <c r="M34" s="298">
        <v>0</v>
      </c>
      <c r="N34" s="299">
        <v>0</v>
      </c>
      <c r="O34" s="460">
        <v>0</v>
      </c>
      <c r="P34" s="298">
        <v>0</v>
      </c>
      <c r="Q34" s="298">
        <v>0</v>
      </c>
      <c r="R34" s="298">
        <v>0</v>
      </c>
      <c r="S34" s="299">
        <v>0</v>
      </c>
    </row>
    <row r="35" spans="2:19" s="1428" customFormat="1" ht="15" customHeight="1">
      <c r="B35" s="349"/>
      <c r="C35" s="1440"/>
      <c r="D35" s="1441"/>
      <c r="E35" s="1439" t="s">
        <v>3176</v>
      </c>
      <c r="F35" s="576" t="s">
        <v>498</v>
      </c>
      <c r="G35" s="297">
        <v>0</v>
      </c>
      <c r="H35" s="298">
        <v>0</v>
      </c>
      <c r="I35" s="298">
        <v>0</v>
      </c>
      <c r="J35" s="298">
        <v>0</v>
      </c>
      <c r="K35" s="298">
        <v>0</v>
      </c>
      <c r="L35" s="298">
        <v>0</v>
      </c>
      <c r="M35" s="298">
        <v>0</v>
      </c>
      <c r="N35" s="299">
        <v>0</v>
      </c>
      <c r="O35" s="460">
        <v>0</v>
      </c>
      <c r="P35" s="298">
        <v>0</v>
      </c>
      <c r="Q35" s="298">
        <v>0</v>
      </c>
      <c r="R35" s="298">
        <v>0</v>
      </c>
      <c r="S35" s="299">
        <v>0</v>
      </c>
    </row>
    <row r="36" spans="2:19" s="1428" customFormat="1" ht="15" customHeight="1">
      <c r="B36" s="349"/>
      <c r="C36" s="1440"/>
      <c r="D36" s="1438" t="s">
        <v>3177</v>
      </c>
      <c r="E36" s="1439" t="s">
        <v>3178</v>
      </c>
      <c r="F36" s="576" t="s">
        <v>498</v>
      </c>
      <c r="G36" s="297">
        <v>0.05</v>
      </c>
      <c r="H36" s="298">
        <v>0.05</v>
      </c>
      <c r="I36" s="298">
        <v>0.05</v>
      </c>
      <c r="J36" s="298">
        <v>0.05</v>
      </c>
      <c r="K36" s="298">
        <v>0.05</v>
      </c>
      <c r="L36" s="298">
        <v>0.05</v>
      </c>
      <c r="M36" s="298">
        <v>0.05</v>
      </c>
      <c r="N36" s="299">
        <v>0.05</v>
      </c>
      <c r="O36" s="460">
        <v>0.05</v>
      </c>
      <c r="P36" s="298">
        <v>0.05</v>
      </c>
      <c r="Q36" s="298">
        <v>0.05</v>
      </c>
      <c r="R36" s="298">
        <v>0.05</v>
      </c>
      <c r="S36" s="299">
        <v>0.05</v>
      </c>
    </row>
    <row r="37" spans="2:19" s="1428" customFormat="1" ht="15" customHeight="1">
      <c r="B37" s="349"/>
      <c r="C37" s="1440"/>
      <c r="D37" s="1441"/>
      <c r="E37" s="1439" t="s">
        <v>3179</v>
      </c>
      <c r="F37" s="576" t="s">
        <v>498</v>
      </c>
      <c r="G37" s="297">
        <v>0</v>
      </c>
      <c r="H37" s="298">
        <v>0</v>
      </c>
      <c r="I37" s="298">
        <v>0</v>
      </c>
      <c r="J37" s="298">
        <v>0</v>
      </c>
      <c r="K37" s="298">
        <v>0</v>
      </c>
      <c r="L37" s="298">
        <v>0</v>
      </c>
      <c r="M37" s="298">
        <v>0</v>
      </c>
      <c r="N37" s="299">
        <v>0</v>
      </c>
      <c r="O37" s="460">
        <v>0</v>
      </c>
      <c r="P37" s="298">
        <v>0</v>
      </c>
      <c r="Q37" s="298">
        <v>0</v>
      </c>
      <c r="R37" s="298">
        <v>0</v>
      </c>
      <c r="S37" s="299">
        <v>0</v>
      </c>
    </row>
    <row r="38" spans="2:19" s="1428" customFormat="1" ht="15" customHeight="1">
      <c r="B38" s="349"/>
      <c r="C38" s="1440"/>
      <c r="D38" s="1441"/>
      <c r="E38" s="1439" t="s">
        <v>3180</v>
      </c>
      <c r="F38" s="576" t="s">
        <v>498</v>
      </c>
      <c r="G38" s="297">
        <v>0</v>
      </c>
      <c r="H38" s="298">
        <v>0</v>
      </c>
      <c r="I38" s="298">
        <v>0</v>
      </c>
      <c r="J38" s="298">
        <v>0</v>
      </c>
      <c r="K38" s="298">
        <v>0</v>
      </c>
      <c r="L38" s="298">
        <v>0</v>
      </c>
      <c r="M38" s="298">
        <v>0</v>
      </c>
      <c r="N38" s="299">
        <v>0</v>
      </c>
      <c r="O38" s="460">
        <v>0</v>
      </c>
      <c r="P38" s="298">
        <v>0</v>
      </c>
      <c r="Q38" s="298">
        <v>0</v>
      </c>
      <c r="R38" s="298">
        <v>0</v>
      </c>
      <c r="S38" s="299">
        <v>0</v>
      </c>
    </row>
    <row r="39" spans="2:19" s="1428" customFormat="1" ht="15" customHeight="1">
      <c r="B39" s="349"/>
      <c r="C39" s="1440"/>
      <c r="D39" s="1441"/>
      <c r="E39" s="1439" t="s">
        <v>3181</v>
      </c>
      <c r="F39" s="576" t="s">
        <v>498</v>
      </c>
      <c r="G39" s="297">
        <v>0</v>
      </c>
      <c r="H39" s="298">
        <v>0</v>
      </c>
      <c r="I39" s="298">
        <v>0</v>
      </c>
      <c r="J39" s="298">
        <v>0</v>
      </c>
      <c r="K39" s="298">
        <v>0</v>
      </c>
      <c r="L39" s="298">
        <v>0</v>
      </c>
      <c r="M39" s="298">
        <v>0</v>
      </c>
      <c r="N39" s="299">
        <v>0</v>
      </c>
      <c r="O39" s="460">
        <v>0</v>
      </c>
      <c r="P39" s="298">
        <v>0</v>
      </c>
      <c r="Q39" s="298">
        <v>0</v>
      </c>
      <c r="R39" s="298">
        <v>0</v>
      </c>
      <c r="S39" s="299">
        <v>0</v>
      </c>
    </row>
    <row r="40" spans="2:19" s="1428" customFormat="1" ht="15" customHeight="1">
      <c r="B40" s="349"/>
      <c r="C40" s="1440"/>
      <c r="D40" s="1441"/>
      <c r="E40" s="1439" t="s">
        <v>3182</v>
      </c>
      <c r="F40" s="576" t="s">
        <v>498</v>
      </c>
      <c r="G40" s="297">
        <v>0</v>
      </c>
      <c r="H40" s="298">
        <v>0</v>
      </c>
      <c r="I40" s="298">
        <v>0</v>
      </c>
      <c r="J40" s="298">
        <v>0</v>
      </c>
      <c r="K40" s="298">
        <v>0</v>
      </c>
      <c r="L40" s="298">
        <v>0</v>
      </c>
      <c r="M40" s="298">
        <v>0</v>
      </c>
      <c r="N40" s="299">
        <v>0</v>
      </c>
      <c r="O40" s="460">
        <v>0</v>
      </c>
      <c r="P40" s="298">
        <v>0</v>
      </c>
      <c r="Q40" s="298">
        <v>0</v>
      </c>
      <c r="R40" s="298">
        <v>0</v>
      </c>
      <c r="S40" s="299">
        <v>0</v>
      </c>
    </row>
    <row r="41" spans="2:19" s="1428" customFormat="1" ht="15" customHeight="1">
      <c r="B41" s="349"/>
      <c r="C41" s="1440"/>
      <c r="D41" s="1438" t="s">
        <v>3183</v>
      </c>
      <c r="E41" s="1439" t="s">
        <v>3184</v>
      </c>
      <c r="F41" s="576" t="s">
        <v>498</v>
      </c>
      <c r="G41" s="297">
        <v>0</v>
      </c>
      <c r="H41" s="298">
        <v>0</v>
      </c>
      <c r="I41" s="298">
        <v>0</v>
      </c>
      <c r="J41" s="298">
        <v>0</v>
      </c>
      <c r="K41" s="298">
        <v>0</v>
      </c>
      <c r="L41" s="298">
        <v>0</v>
      </c>
      <c r="M41" s="298">
        <v>0</v>
      </c>
      <c r="N41" s="299">
        <v>0</v>
      </c>
      <c r="O41" s="460">
        <v>0</v>
      </c>
      <c r="P41" s="298">
        <v>0</v>
      </c>
      <c r="Q41" s="298">
        <v>0</v>
      </c>
      <c r="R41" s="298">
        <v>0</v>
      </c>
      <c r="S41" s="299">
        <v>0</v>
      </c>
    </row>
    <row r="42" spans="2:19" s="1428" customFormat="1" ht="15" customHeight="1">
      <c r="B42" s="349"/>
      <c r="C42" s="1440"/>
      <c r="D42" s="1441"/>
      <c r="E42" s="1439" t="s">
        <v>3185</v>
      </c>
      <c r="F42" s="576" t="s">
        <v>498</v>
      </c>
      <c r="G42" s="297">
        <v>0</v>
      </c>
      <c r="H42" s="298">
        <v>0</v>
      </c>
      <c r="I42" s="298">
        <v>0</v>
      </c>
      <c r="J42" s="298">
        <v>0</v>
      </c>
      <c r="K42" s="298">
        <v>0</v>
      </c>
      <c r="L42" s="298">
        <v>0</v>
      </c>
      <c r="M42" s="298">
        <v>0</v>
      </c>
      <c r="N42" s="299">
        <v>0</v>
      </c>
      <c r="O42" s="460">
        <v>0</v>
      </c>
      <c r="P42" s="298">
        <v>0</v>
      </c>
      <c r="Q42" s="298">
        <v>0</v>
      </c>
      <c r="R42" s="298">
        <v>0</v>
      </c>
      <c r="S42" s="299">
        <v>0</v>
      </c>
    </row>
    <row r="43" spans="2:19" s="1428" customFormat="1" ht="15" customHeight="1">
      <c r="B43" s="349"/>
      <c r="C43" s="1440"/>
      <c r="D43" s="1441"/>
      <c r="E43" s="1439" t="s">
        <v>3186</v>
      </c>
      <c r="F43" s="576" t="s">
        <v>498</v>
      </c>
      <c r="G43" s="297">
        <v>0.1</v>
      </c>
      <c r="H43" s="298">
        <v>0.1</v>
      </c>
      <c r="I43" s="298">
        <v>0.1</v>
      </c>
      <c r="J43" s="298">
        <v>0.1</v>
      </c>
      <c r="K43" s="298">
        <v>0.1</v>
      </c>
      <c r="L43" s="298">
        <v>0.1</v>
      </c>
      <c r="M43" s="298">
        <v>0.1</v>
      </c>
      <c r="N43" s="299">
        <v>0.1</v>
      </c>
      <c r="O43" s="460">
        <v>0.1</v>
      </c>
      <c r="P43" s="298">
        <v>0.22500000000000001</v>
      </c>
      <c r="Q43" s="298">
        <v>0.22500000000000001</v>
      </c>
      <c r="R43" s="298">
        <v>0.15000000000000002</v>
      </c>
      <c r="S43" s="299">
        <v>0.22500000000000001</v>
      </c>
    </row>
    <row r="44" spans="2:19" s="1428" customFormat="1" ht="15" customHeight="1">
      <c r="B44" s="1429"/>
      <c r="C44" s="1440"/>
      <c r="D44" s="1441"/>
      <c r="E44" s="1439" t="s">
        <v>3187</v>
      </c>
      <c r="F44" s="576" t="s">
        <v>498</v>
      </c>
      <c r="G44" s="297">
        <v>0</v>
      </c>
      <c r="H44" s="298">
        <v>0</v>
      </c>
      <c r="I44" s="298">
        <v>0</v>
      </c>
      <c r="J44" s="298">
        <v>0</v>
      </c>
      <c r="K44" s="298">
        <v>0</v>
      </c>
      <c r="L44" s="298">
        <v>0</v>
      </c>
      <c r="M44" s="298">
        <v>0</v>
      </c>
      <c r="N44" s="299">
        <v>0</v>
      </c>
      <c r="O44" s="460">
        <v>0</v>
      </c>
      <c r="P44" s="298">
        <v>0</v>
      </c>
      <c r="Q44" s="298">
        <v>0</v>
      </c>
      <c r="R44" s="298">
        <v>0</v>
      </c>
      <c r="S44" s="299">
        <v>0</v>
      </c>
    </row>
    <row r="45" spans="2:19" s="1428" customFormat="1" ht="15" customHeight="1">
      <c r="B45" s="1429"/>
      <c r="C45" s="1440"/>
      <c r="D45" s="1438" t="s">
        <v>3188</v>
      </c>
      <c r="E45" s="1439" t="s">
        <v>3189</v>
      </c>
      <c r="F45" s="576" t="s">
        <v>498</v>
      </c>
      <c r="G45" s="297">
        <v>0</v>
      </c>
      <c r="H45" s="298">
        <v>0</v>
      </c>
      <c r="I45" s="298">
        <v>0</v>
      </c>
      <c r="J45" s="298">
        <v>0</v>
      </c>
      <c r="K45" s="298">
        <v>0</v>
      </c>
      <c r="L45" s="298">
        <v>0</v>
      </c>
      <c r="M45" s="298">
        <v>0</v>
      </c>
      <c r="N45" s="299">
        <v>0</v>
      </c>
      <c r="O45" s="460">
        <v>0</v>
      </c>
      <c r="P45" s="298">
        <v>0</v>
      </c>
      <c r="Q45" s="298">
        <v>0</v>
      </c>
      <c r="R45" s="298">
        <v>0</v>
      </c>
      <c r="S45" s="299">
        <v>0</v>
      </c>
    </row>
    <row r="46" spans="2:19" s="1428" customFormat="1" ht="15" customHeight="1">
      <c r="B46" s="1429"/>
      <c r="C46" s="1440"/>
      <c r="D46" s="1441"/>
      <c r="E46" s="1439" t="s">
        <v>3190</v>
      </c>
      <c r="F46" s="576" t="s">
        <v>498</v>
      </c>
      <c r="G46" s="297">
        <v>0</v>
      </c>
      <c r="H46" s="298">
        <v>0</v>
      </c>
      <c r="I46" s="298">
        <v>0</v>
      </c>
      <c r="J46" s="298">
        <v>0</v>
      </c>
      <c r="K46" s="298">
        <v>0</v>
      </c>
      <c r="L46" s="298">
        <v>0</v>
      </c>
      <c r="M46" s="298">
        <v>0</v>
      </c>
      <c r="N46" s="299">
        <v>0</v>
      </c>
      <c r="O46" s="460">
        <v>0</v>
      </c>
      <c r="P46" s="298">
        <v>0</v>
      </c>
      <c r="Q46" s="298">
        <v>0</v>
      </c>
      <c r="R46" s="298">
        <v>0</v>
      </c>
      <c r="S46" s="299">
        <v>0</v>
      </c>
    </row>
    <row r="47" spans="2:19" s="1428" customFormat="1" ht="15" customHeight="1">
      <c r="B47" s="1429"/>
      <c r="C47" s="1440"/>
      <c r="D47" s="1441"/>
      <c r="E47" s="1439" t="s">
        <v>3191</v>
      </c>
      <c r="F47" s="576" t="s">
        <v>498</v>
      </c>
      <c r="G47" s="297">
        <v>0</v>
      </c>
      <c r="H47" s="298">
        <v>0</v>
      </c>
      <c r="I47" s="298">
        <v>0</v>
      </c>
      <c r="J47" s="298">
        <v>0</v>
      </c>
      <c r="K47" s="298">
        <v>0</v>
      </c>
      <c r="L47" s="298">
        <v>0</v>
      </c>
      <c r="M47" s="298">
        <v>0</v>
      </c>
      <c r="N47" s="299">
        <v>0</v>
      </c>
      <c r="O47" s="460">
        <v>0</v>
      </c>
      <c r="P47" s="298">
        <v>0</v>
      </c>
      <c r="Q47" s="298">
        <v>0</v>
      </c>
      <c r="R47" s="298">
        <v>0</v>
      </c>
      <c r="S47" s="299">
        <v>0</v>
      </c>
    </row>
    <row r="48" spans="2:19" s="1428" customFormat="1" ht="15" customHeight="1">
      <c r="B48" s="1429"/>
      <c r="C48" s="1440"/>
      <c r="D48" s="1438" t="s">
        <v>3192</v>
      </c>
      <c r="E48" s="1439" t="s">
        <v>3193</v>
      </c>
      <c r="F48" s="576" t="s">
        <v>498</v>
      </c>
      <c r="G48" s="297">
        <v>0</v>
      </c>
      <c r="H48" s="298">
        <v>0</v>
      </c>
      <c r="I48" s="298">
        <v>0</v>
      </c>
      <c r="J48" s="298">
        <v>0</v>
      </c>
      <c r="K48" s="298">
        <v>0</v>
      </c>
      <c r="L48" s="298">
        <v>0</v>
      </c>
      <c r="M48" s="298">
        <v>0</v>
      </c>
      <c r="N48" s="299">
        <v>0</v>
      </c>
      <c r="O48" s="460">
        <v>0</v>
      </c>
      <c r="P48" s="298">
        <v>0</v>
      </c>
      <c r="Q48" s="298">
        <v>0</v>
      </c>
      <c r="R48" s="298">
        <v>0</v>
      </c>
      <c r="S48" s="299">
        <v>0</v>
      </c>
    </row>
    <row r="49" spans="2:19" s="1428" customFormat="1" ht="15" customHeight="1">
      <c r="B49" s="1429"/>
      <c r="C49" s="1440"/>
      <c r="D49" s="1441"/>
      <c r="E49" s="1439" t="s">
        <v>3194</v>
      </c>
      <c r="F49" s="576" t="s">
        <v>498</v>
      </c>
      <c r="G49" s="297">
        <v>0</v>
      </c>
      <c r="H49" s="298">
        <v>0</v>
      </c>
      <c r="I49" s="298">
        <v>0</v>
      </c>
      <c r="J49" s="298">
        <v>0</v>
      </c>
      <c r="K49" s="298">
        <v>0</v>
      </c>
      <c r="L49" s="298">
        <v>0</v>
      </c>
      <c r="M49" s="298">
        <v>0</v>
      </c>
      <c r="N49" s="299">
        <v>0</v>
      </c>
      <c r="O49" s="460">
        <v>0</v>
      </c>
      <c r="P49" s="298">
        <v>0</v>
      </c>
      <c r="Q49" s="298">
        <v>0</v>
      </c>
      <c r="R49" s="298">
        <v>0</v>
      </c>
      <c r="S49" s="299">
        <v>0</v>
      </c>
    </row>
    <row r="50" spans="2:19" s="1428" customFormat="1" ht="15" customHeight="1">
      <c r="B50" s="1429"/>
      <c r="C50" s="1437" t="s">
        <v>3195</v>
      </c>
      <c r="D50" s="1438" t="s">
        <v>3196</v>
      </c>
      <c r="E50" s="1439" t="s">
        <v>3197</v>
      </c>
      <c r="F50" s="576" t="s">
        <v>498</v>
      </c>
      <c r="G50" s="297">
        <v>0.1</v>
      </c>
      <c r="H50" s="298">
        <v>0.1</v>
      </c>
      <c r="I50" s="298">
        <v>0.1</v>
      </c>
      <c r="J50" s="298">
        <v>0.1</v>
      </c>
      <c r="K50" s="298">
        <v>0.1</v>
      </c>
      <c r="L50" s="298">
        <v>0.1</v>
      </c>
      <c r="M50" s="298">
        <v>0.1</v>
      </c>
      <c r="N50" s="299">
        <v>0.1</v>
      </c>
      <c r="O50" s="460">
        <v>0.1</v>
      </c>
      <c r="P50" s="298">
        <v>0.15000000000000002</v>
      </c>
      <c r="Q50" s="298">
        <v>0.15000000000000002</v>
      </c>
      <c r="R50" s="298">
        <v>0.1</v>
      </c>
      <c r="S50" s="299">
        <v>0.15000000000000002</v>
      </c>
    </row>
    <row r="51" spans="2:19" s="1428" customFormat="1" ht="15" customHeight="1">
      <c r="B51" s="1429"/>
      <c r="C51" s="1440"/>
      <c r="D51" s="1441"/>
      <c r="E51" s="1439" t="s">
        <v>3198</v>
      </c>
      <c r="F51" s="576" t="s">
        <v>498</v>
      </c>
      <c r="G51" s="297">
        <v>0</v>
      </c>
      <c r="H51" s="298">
        <v>0</v>
      </c>
      <c r="I51" s="298">
        <v>0</v>
      </c>
      <c r="J51" s="298">
        <v>0</v>
      </c>
      <c r="K51" s="298">
        <v>0</v>
      </c>
      <c r="L51" s="298">
        <v>0</v>
      </c>
      <c r="M51" s="298">
        <v>0</v>
      </c>
      <c r="N51" s="299">
        <v>0</v>
      </c>
      <c r="O51" s="460">
        <v>0</v>
      </c>
      <c r="P51" s="298">
        <v>0</v>
      </c>
      <c r="Q51" s="298">
        <v>0</v>
      </c>
      <c r="R51" s="298">
        <v>0</v>
      </c>
      <c r="S51" s="299">
        <v>0</v>
      </c>
    </row>
    <row r="52" spans="2:19" s="1428" customFormat="1" ht="15" customHeight="1">
      <c r="B52" s="1429"/>
      <c r="C52" s="1440"/>
      <c r="D52" s="1441"/>
      <c r="E52" s="1439" t="s">
        <v>3199</v>
      </c>
      <c r="F52" s="576" t="s">
        <v>498</v>
      </c>
      <c r="G52" s="297">
        <v>0</v>
      </c>
      <c r="H52" s="298">
        <v>0</v>
      </c>
      <c r="I52" s="298">
        <v>0</v>
      </c>
      <c r="J52" s="298">
        <v>0</v>
      </c>
      <c r="K52" s="298">
        <v>0</v>
      </c>
      <c r="L52" s="298">
        <v>0</v>
      </c>
      <c r="M52" s="298">
        <v>0</v>
      </c>
      <c r="N52" s="299">
        <v>0</v>
      </c>
      <c r="O52" s="460">
        <v>0</v>
      </c>
      <c r="P52" s="298">
        <v>0</v>
      </c>
      <c r="Q52" s="298">
        <v>0</v>
      </c>
      <c r="R52" s="298">
        <v>0</v>
      </c>
      <c r="S52" s="299">
        <v>0</v>
      </c>
    </row>
    <row r="53" spans="2:19" s="1428" customFormat="1" ht="15" customHeight="1">
      <c r="B53" s="1429"/>
      <c r="C53" s="1440"/>
      <c r="D53" s="1441"/>
      <c r="E53" s="1439" t="s">
        <v>3200</v>
      </c>
      <c r="F53" s="576" t="s">
        <v>498</v>
      </c>
      <c r="G53" s="297">
        <v>0</v>
      </c>
      <c r="H53" s="298">
        <v>0</v>
      </c>
      <c r="I53" s="298">
        <v>0</v>
      </c>
      <c r="J53" s="298">
        <v>0</v>
      </c>
      <c r="K53" s="298">
        <v>0</v>
      </c>
      <c r="L53" s="298">
        <v>0</v>
      </c>
      <c r="M53" s="298">
        <v>0</v>
      </c>
      <c r="N53" s="299">
        <v>0</v>
      </c>
      <c r="O53" s="460">
        <v>0</v>
      </c>
      <c r="P53" s="298">
        <v>0</v>
      </c>
      <c r="Q53" s="298">
        <v>0</v>
      </c>
      <c r="R53" s="298">
        <v>0</v>
      </c>
      <c r="S53" s="299">
        <v>0</v>
      </c>
    </row>
    <row r="54" spans="2:19" s="1428" customFormat="1" ht="15" customHeight="1">
      <c r="B54" s="1429"/>
      <c r="C54" s="1440"/>
      <c r="D54" s="1441"/>
      <c r="E54" s="1439" t="s">
        <v>3201</v>
      </c>
      <c r="F54" s="576" t="s">
        <v>498</v>
      </c>
      <c r="G54" s="297">
        <v>0</v>
      </c>
      <c r="H54" s="298">
        <v>0</v>
      </c>
      <c r="I54" s="298">
        <v>0</v>
      </c>
      <c r="J54" s="298">
        <v>0</v>
      </c>
      <c r="K54" s="298">
        <v>0</v>
      </c>
      <c r="L54" s="298">
        <v>0</v>
      </c>
      <c r="M54" s="298">
        <v>0</v>
      </c>
      <c r="N54" s="299">
        <v>0</v>
      </c>
      <c r="O54" s="460">
        <v>0</v>
      </c>
      <c r="P54" s="298">
        <v>0</v>
      </c>
      <c r="Q54" s="298">
        <v>0</v>
      </c>
      <c r="R54" s="298">
        <v>0</v>
      </c>
      <c r="S54" s="299">
        <v>0</v>
      </c>
    </row>
    <row r="55" spans="2:19" s="1428" customFormat="1" ht="15" customHeight="1">
      <c r="B55" s="1429"/>
      <c r="C55" s="1440"/>
      <c r="D55" s="1438" t="s">
        <v>3202</v>
      </c>
      <c r="E55" s="1439" t="s">
        <v>3203</v>
      </c>
      <c r="F55" s="576" t="s">
        <v>498</v>
      </c>
      <c r="G55" s="297">
        <v>0</v>
      </c>
      <c r="H55" s="298">
        <v>0</v>
      </c>
      <c r="I55" s="298">
        <v>0</v>
      </c>
      <c r="J55" s="298">
        <v>0</v>
      </c>
      <c r="K55" s="298">
        <v>0</v>
      </c>
      <c r="L55" s="298">
        <v>0</v>
      </c>
      <c r="M55" s="298">
        <v>0</v>
      </c>
      <c r="N55" s="299">
        <v>0</v>
      </c>
      <c r="O55" s="460">
        <v>0</v>
      </c>
      <c r="P55" s="298">
        <v>0</v>
      </c>
      <c r="Q55" s="298">
        <v>0</v>
      </c>
      <c r="R55" s="298">
        <v>0</v>
      </c>
      <c r="S55" s="299">
        <v>0</v>
      </c>
    </row>
    <row r="56" spans="2:19" s="1428" customFormat="1" ht="15" customHeight="1">
      <c r="B56" s="1429"/>
      <c r="C56" s="1440"/>
      <c r="D56" s="1441"/>
      <c r="E56" s="1439" t="s">
        <v>3204</v>
      </c>
      <c r="F56" s="576" t="s">
        <v>498</v>
      </c>
      <c r="G56" s="297">
        <v>0</v>
      </c>
      <c r="H56" s="298">
        <v>0</v>
      </c>
      <c r="I56" s="298">
        <v>0</v>
      </c>
      <c r="J56" s="298">
        <v>0</v>
      </c>
      <c r="K56" s="298">
        <v>0</v>
      </c>
      <c r="L56" s="298">
        <v>0</v>
      </c>
      <c r="M56" s="298">
        <v>0</v>
      </c>
      <c r="N56" s="299">
        <v>0</v>
      </c>
      <c r="O56" s="460">
        <v>0</v>
      </c>
      <c r="P56" s="298">
        <v>0.02</v>
      </c>
      <c r="Q56" s="298">
        <v>0.02</v>
      </c>
      <c r="R56" s="298">
        <v>0</v>
      </c>
      <c r="S56" s="299">
        <v>0.02</v>
      </c>
    </row>
    <row r="57" spans="2:19" s="1428" customFormat="1" ht="15" customHeight="1">
      <c r="B57" s="1429"/>
      <c r="C57" s="1437" t="s">
        <v>3205</v>
      </c>
      <c r="D57" s="1438" t="s">
        <v>3206</v>
      </c>
      <c r="E57" s="1439" t="s">
        <v>3207</v>
      </c>
      <c r="F57" s="576" t="s">
        <v>498</v>
      </c>
      <c r="G57" s="297">
        <v>0</v>
      </c>
      <c r="H57" s="298">
        <v>0</v>
      </c>
      <c r="I57" s="298">
        <v>0</v>
      </c>
      <c r="J57" s="298">
        <v>0</v>
      </c>
      <c r="K57" s="298">
        <v>0</v>
      </c>
      <c r="L57" s="298">
        <v>0</v>
      </c>
      <c r="M57" s="298">
        <v>0</v>
      </c>
      <c r="N57" s="299">
        <v>0</v>
      </c>
      <c r="O57" s="460">
        <v>0.08</v>
      </c>
      <c r="P57" s="298">
        <v>0.08</v>
      </c>
      <c r="Q57" s="298">
        <v>0.08</v>
      </c>
      <c r="R57" s="298">
        <v>0.08</v>
      </c>
      <c r="S57" s="299">
        <v>0.08</v>
      </c>
    </row>
    <row r="58" spans="2:19" s="1428" customFormat="1" ht="15" customHeight="1">
      <c r="B58" s="1429"/>
      <c r="C58" s="1440"/>
      <c r="D58" s="1441"/>
      <c r="E58" s="1439" t="s">
        <v>3208</v>
      </c>
      <c r="F58" s="576" t="s">
        <v>498</v>
      </c>
      <c r="G58" s="297">
        <v>0</v>
      </c>
      <c r="H58" s="298">
        <v>0</v>
      </c>
      <c r="I58" s="298">
        <v>0</v>
      </c>
      <c r="J58" s="298">
        <v>0</v>
      </c>
      <c r="K58" s="298">
        <v>0</v>
      </c>
      <c r="L58" s="298">
        <v>0</v>
      </c>
      <c r="M58" s="298">
        <v>0</v>
      </c>
      <c r="N58" s="299">
        <v>0</v>
      </c>
      <c r="O58" s="460">
        <v>0</v>
      </c>
      <c r="P58" s="298">
        <v>0</v>
      </c>
      <c r="Q58" s="298">
        <v>0</v>
      </c>
      <c r="R58" s="298">
        <v>0</v>
      </c>
      <c r="S58" s="299">
        <v>0</v>
      </c>
    </row>
    <row r="59" spans="2:19" s="1428" customFormat="1" ht="15" customHeight="1">
      <c r="B59" s="1429"/>
      <c r="C59" s="1440"/>
      <c r="D59" s="1441"/>
      <c r="E59" s="1439" t="s">
        <v>3209</v>
      </c>
      <c r="F59" s="576" t="s">
        <v>498</v>
      </c>
      <c r="G59" s="297">
        <v>2.5000000000000001E-2</v>
      </c>
      <c r="H59" s="298">
        <v>2.5000000000000001E-2</v>
      </c>
      <c r="I59" s="298">
        <v>2.5000000000000001E-2</v>
      </c>
      <c r="J59" s="298">
        <v>2.5000000000000001E-2</v>
      </c>
      <c r="K59" s="298">
        <v>2.5000000000000001E-2</v>
      </c>
      <c r="L59" s="298">
        <v>2.5000000000000001E-2</v>
      </c>
      <c r="M59" s="298">
        <v>2.5000000000000001E-2</v>
      </c>
      <c r="N59" s="299">
        <v>2.5000000000000001E-2</v>
      </c>
      <c r="O59" s="460">
        <v>2.5000000000000001E-2</v>
      </c>
      <c r="P59" s="298">
        <v>2.5000000000000001E-2</v>
      </c>
      <c r="Q59" s="298">
        <v>2.5000000000000001E-2</v>
      </c>
      <c r="R59" s="298">
        <v>2.5000000000000001E-2</v>
      </c>
      <c r="S59" s="299">
        <v>2.5000000000000001E-2</v>
      </c>
    </row>
    <row r="60" spans="2:19" s="1428" customFormat="1" ht="15" customHeight="1">
      <c r="B60" s="1429"/>
      <c r="C60" s="1440"/>
      <c r="D60" s="1438" t="s">
        <v>3210</v>
      </c>
      <c r="E60" s="1439" t="s">
        <v>3211</v>
      </c>
      <c r="F60" s="576" t="s">
        <v>498</v>
      </c>
      <c r="G60" s="297">
        <v>0</v>
      </c>
      <c r="H60" s="298">
        <v>0</v>
      </c>
      <c r="I60" s="298">
        <v>0</v>
      </c>
      <c r="J60" s="298">
        <v>0</v>
      </c>
      <c r="K60" s="298">
        <v>0</v>
      </c>
      <c r="L60" s="298">
        <v>0</v>
      </c>
      <c r="M60" s="298">
        <v>0</v>
      </c>
      <c r="N60" s="299">
        <v>0</v>
      </c>
      <c r="O60" s="460">
        <v>0</v>
      </c>
      <c r="P60" s="298">
        <v>0</v>
      </c>
      <c r="Q60" s="298">
        <v>0</v>
      </c>
      <c r="R60" s="298">
        <v>0</v>
      </c>
      <c r="S60" s="299">
        <v>0</v>
      </c>
    </row>
    <row r="61" spans="2:19" s="1428" customFormat="1" ht="15" customHeight="1">
      <c r="B61" s="1429"/>
      <c r="C61" s="1442"/>
      <c r="D61" s="1442"/>
      <c r="E61" s="1443" t="s">
        <v>3212</v>
      </c>
      <c r="F61" s="576" t="s">
        <v>498</v>
      </c>
      <c r="G61" s="297">
        <v>0</v>
      </c>
      <c r="H61" s="298">
        <v>0</v>
      </c>
      <c r="I61" s="298">
        <v>0</v>
      </c>
      <c r="J61" s="298">
        <v>0</v>
      </c>
      <c r="K61" s="298">
        <v>0</v>
      </c>
      <c r="L61" s="298">
        <v>0</v>
      </c>
      <c r="M61" s="298">
        <v>0</v>
      </c>
      <c r="N61" s="299">
        <v>0</v>
      </c>
      <c r="O61" s="460">
        <v>0</v>
      </c>
      <c r="P61" s="298">
        <v>0</v>
      </c>
      <c r="Q61" s="298">
        <v>0</v>
      </c>
      <c r="R61" s="298">
        <v>0</v>
      </c>
      <c r="S61" s="299">
        <v>0</v>
      </c>
    </row>
    <row r="62" spans="2:19" s="1428" customFormat="1" ht="15" thickBot="1">
      <c r="B62" s="1434" t="s">
        <v>1701</v>
      </c>
      <c r="C62" s="1436"/>
      <c r="D62" s="1436"/>
      <c r="E62" s="1436"/>
      <c r="F62" s="581" t="s">
        <v>498</v>
      </c>
      <c r="G62" s="1110">
        <f>SUM(G23:G61)</f>
        <v>0.27500000000000002</v>
      </c>
      <c r="H62" s="1111">
        <f t="shared" ref="H62:S62" si="1">SUM(H23:H61)</f>
        <v>0.27500000000000002</v>
      </c>
      <c r="I62" s="1111">
        <f t="shared" si="1"/>
        <v>0.27500000000000002</v>
      </c>
      <c r="J62" s="1111">
        <f t="shared" si="1"/>
        <v>0.27500000000000002</v>
      </c>
      <c r="K62" s="1111">
        <f t="shared" si="1"/>
        <v>0.27500000000000002</v>
      </c>
      <c r="L62" s="1111">
        <f t="shared" si="1"/>
        <v>0.27500000000000002</v>
      </c>
      <c r="M62" s="1111">
        <f t="shared" si="1"/>
        <v>0.27500000000000002</v>
      </c>
      <c r="N62" s="1112">
        <f t="shared" si="1"/>
        <v>0.27500000000000002</v>
      </c>
      <c r="O62" s="1387">
        <f t="shared" si="1"/>
        <v>0.35500000000000004</v>
      </c>
      <c r="P62" s="1111">
        <f t="shared" si="1"/>
        <v>0.63</v>
      </c>
      <c r="Q62" s="1111">
        <f t="shared" si="1"/>
        <v>0.63</v>
      </c>
      <c r="R62" s="1111">
        <f t="shared" si="1"/>
        <v>0.40500000000000008</v>
      </c>
      <c r="S62" s="1112">
        <f t="shared" si="1"/>
        <v>0.63</v>
      </c>
    </row>
    <row r="63" spans="2:19" s="1419" customFormat="1" ht="13.5" thickBot="1"/>
    <row r="64" spans="2:19" s="1419" customFormat="1" ht="30" customHeight="1" thickBot="1">
      <c r="B64" s="640" t="s">
        <v>62</v>
      </c>
      <c r="C64" s="558"/>
      <c r="D64" s="558"/>
      <c r="E64" s="558"/>
      <c r="F64" s="105" t="s">
        <v>1704</v>
      </c>
      <c r="G64" s="106"/>
      <c r="H64" s="106"/>
      <c r="I64" s="106"/>
      <c r="J64" s="106"/>
      <c r="K64" s="106"/>
      <c r="L64" s="106"/>
      <c r="M64" s="106"/>
      <c r="N64" s="106"/>
      <c r="O64" s="105"/>
      <c r="P64" s="105"/>
      <c r="Q64" s="105"/>
      <c r="R64" s="105"/>
      <c r="S64" s="187"/>
    </row>
    <row r="65" spans="2:19" s="1419" customFormat="1" ht="30" customHeight="1">
      <c r="B65" s="1411" t="s">
        <v>3213</v>
      </c>
      <c r="D65" s="561"/>
      <c r="E65" s="561"/>
      <c r="F65" s="562"/>
      <c r="G65" s="563" t="s">
        <v>1666</v>
      </c>
      <c r="H65" s="564"/>
      <c r="I65" s="564"/>
      <c r="J65" s="564"/>
      <c r="K65" s="564"/>
      <c r="L65" s="564"/>
      <c r="M65" s="564"/>
      <c r="N65" s="565"/>
      <c r="O65" s="567" t="s">
        <v>2</v>
      </c>
      <c r="P65" s="567"/>
      <c r="Q65" s="567"/>
      <c r="R65" s="567"/>
      <c r="S65" s="568"/>
    </row>
    <row r="66" spans="2:19" s="1419" customFormat="1" ht="15" customHeight="1">
      <c r="B66" s="572"/>
      <c r="C66" s="1425"/>
      <c r="D66" s="339"/>
      <c r="E66" s="339"/>
      <c r="F66" s="571" t="s">
        <v>1745</v>
      </c>
      <c r="G66" s="158" t="s">
        <v>453</v>
      </c>
      <c r="H66" s="137" t="s">
        <v>455</v>
      </c>
      <c r="I66" s="137" t="s">
        <v>457</v>
      </c>
      <c r="J66" s="137" t="s">
        <v>459</v>
      </c>
      <c r="K66" s="137" t="s">
        <v>461</v>
      </c>
      <c r="L66" s="137" t="s">
        <v>463</v>
      </c>
      <c r="M66" s="137" t="s">
        <v>465</v>
      </c>
      <c r="N66" s="138" t="s">
        <v>467</v>
      </c>
      <c r="O66" s="242" t="s">
        <v>469</v>
      </c>
      <c r="P66" s="121" t="s">
        <v>471</v>
      </c>
      <c r="Q66" s="121" t="s">
        <v>473</v>
      </c>
      <c r="R66" s="121" t="s">
        <v>475</v>
      </c>
      <c r="S66" s="122" t="s">
        <v>477</v>
      </c>
    </row>
    <row r="67" spans="2:19" s="1428" customFormat="1" ht="15" customHeight="1">
      <c r="B67" s="572"/>
      <c r="C67" s="1431"/>
      <c r="D67" s="561"/>
      <c r="E67" s="561"/>
      <c r="F67" s="260"/>
      <c r="G67" s="295"/>
      <c r="H67" s="259"/>
      <c r="I67" s="259"/>
      <c r="J67" s="259"/>
      <c r="K67" s="259"/>
      <c r="L67" s="259"/>
      <c r="M67" s="259"/>
      <c r="N67" s="296"/>
      <c r="O67" s="259"/>
      <c r="P67" s="259"/>
      <c r="Q67" s="259"/>
      <c r="R67" s="259"/>
      <c r="S67" s="296"/>
    </row>
    <row r="68" spans="2:19" s="1428" customFormat="1" ht="15" customHeight="1">
      <c r="B68" s="349"/>
      <c r="C68" s="1437" t="s">
        <v>3156</v>
      </c>
      <c r="D68" s="1438" t="s">
        <v>3157</v>
      </c>
      <c r="E68" s="1439" t="s">
        <v>3158</v>
      </c>
      <c r="F68" s="576" t="s">
        <v>498</v>
      </c>
      <c r="G68" s="297">
        <v>0</v>
      </c>
      <c r="H68" s="298">
        <v>0</v>
      </c>
      <c r="I68" s="298">
        <v>0</v>
      </c>
      <c r="J68" s="298">
        <v>0</v>
      </c>
      <c r="K68" s="298">
        <v>0</v>
      </c>
      <c r="L68" s="298">
        <v>0</v>
      </c>
      <c r="M68" s="298">
        <v>0</v>
      </c>
      <c r="N68" s="299">
        <v>0</v>
      </c>
      <c r="O68" s="460">
        <v>0</v>
      </c>
      <c r="P68" s="298">
        <v>0</v>
      </c>
      <c r="Q68" s="298">
        <v>0</v>
      </c>
      <c r="R68" s="298">
        <v>0</v>
      </c>
      <c r="S68" s="299">
        <v>0</v>
      </c>
    </row>
    <row r="69" spans="2:19" s="1428" customFormat="1" ht="15" customHeight="1">
      <c r="B69" s="349"/>
      <c r="C69" s="1440"/>
      <c r="D69" s="1441"/>
      <c r="E69" s="1439" t="s">
        <v>3159</v>
      </c>
      <c r="F69" s="576" t="s">
        <v>498</v>
      </c>
      <c r="G69" s="297">
        <v>0</v>
      </c>
      <c r="H69" s="298">
        <v>0</v>
      </c>
      <c r="I69" s="298">
        <v>0</v>
      </c>
      <c r="J69" s="298">
        <v>0</v>
      </c>
      <c r="K69" s="298">
        <v>0</v>
      </c>
      <c r="L69" s="298">
        <v>0</v>
      </c>
      <c r="M69" s="298">
        <v>0</v>
      </c>
      <c r="N69" s="299">
        <v>0</v>
      </c>
      <c r="O69" s="460">
        <v>0</v>
      </c>
      <c r="P69" s="298">
        <v>0</v>
      </c>
      <c r="Q69" s="298">
        <v>0</v>
      </c>
      <c r="R69" s="298">
        <v>0</v>
      </c>
      <c r="S69" s="299">
        <v>0</v>
      </c>
    </row>
    <row r="70" spans="2:19" s="1428" customFormat="1" ht="15" customHeight="1">
      <c r="B70" s="349"/>
      <c r="C70" s="1440"/>
      <c r="D70" s="1441"/>
      <c r="E70" s="1439" t="s">
        <v>3160</v>
      </c>
      <c r="F70" s="576" t="s">
        <v>498</v>
      </c>
      <c r="G70" s="297">
        <v>0</v>
      </c>
      <c r="H70" s="298">
        <v>0</v>
      </c>
      <c r="I70" s="298">
        <v>0</v>
      </c>
      <c r="J70" s="298">
        <v>0</v>
      </c>
      <c r="K70" s="298">
        <v>0</v>
      </c>
      <c r="L70" s="298">
        <v>0</v>
      </c>
      <c r="M70" s="298">
        <v>0</v>
      </c>
      <c r="N70" s="299">
        <v>0</v>
      </c>
      <c r="O70" s="460">
        <v>0</v>
      </c>
      <c r="P70" s="298">
        <v>0</v>
      </c>
      <c r="Q70" s="298">
        <v>0</v>
      </c>
      <c r="R70" s="298">
        <v>0</v>
      </c>
      <c r="S70" s="299">
        <v>0</v>
      </c>
    </row>
    <row r="71" spans="2:19" s="1428" customFormat="1" ht="15" customHeight="1">
      <c r="B71" s="349"/>
      <c r="C71" s="1440"/>
      <c r="D71" s="1438" t="s">
        <v>3161</v>
      </c>
      <c r="E71" s="1439" t="s">
        <v>3162</v>
      </c>
      <c r="F71" s="576" t="s">
        <v>498</v>
      </c>
      <c r="G71" s="297">
        <v>0</v>
      </c>
      <c r="H71" s="298">
        <v>0</v>
      </c>
      <c r="I71" s="298">
        <v>0</v>
      </c>
      <c r="J71" s="298">
        <v>0</v>
      </c>
      <c r="K71" s="298">
        <v>0</v>
      </c>
      <c r="L71" s="298">
        <v>0</v>
      </c>
      <c r="M71" s="298">
        <v>0</v>
      </c>
      <c r="N71" s="299">
        <v>0</v>
      </c>
      <c r="O71" s="460">
        <v>3.4303424809999657E-2</v>
      </c>
      <c r="P71" s="298">
        <v>3.4303424809999657E-2</v>
      </c>
      <c r="Q71" s="298">
        <v>3.4303424809999657E-2</v>
      </c>
      <c r="R71" s="298">
        <v>3.4303424809999657E-2</v>
      </c>
      <c r="S71" s="299">
        <v>3.4303424809999657E-2</v>
      </c>
    </row>
    <row r="72" spans="2:19" s="1428" customFormat="1" ht="15" customHeight="1">
      <c r="B72" s="349"/>
      <c r="C72" s="1440"/>
      <c r="D72" s="1441"/>
      <c r="E72" s="1439" t="s">
        <v>3163</v>
      </c>
      <c r="F72" s="576" t="s">
        <v>498</v>
      </c>
      <c r="G72" s="297">
        <v>0</v>
      </c>
      <c r="H72" s="298">
        <v>0</v>
      </c>
      <c r="I72" s="298">
        <v>0</v>
      </c>
      <c r="J72" s="298">
        <v>0</v>
      </c>
      <c r="K72" s="298">
        <v>0</v>
      </c>
      <c r="L72" s="298">
        <v>0</v>
      </c>
      <c r="M72" s="298">
        <v>0</v>
      </c>
      <c r="N72" s="299">
        <v>0</v>
      </c>
      <c r="O72" s="460">
        <v>0</v>
      </c>
      <c r="P72" s="298">
        <v>0</v>
      </c>
      <c r="Q72" s="298">
        <v>0</v>
      </c>
      <c r="R72" s="298">
        <v>0</v>
      </c>
      <c r="S72" s="299">
        <v>0</v>
      </c>
    </row>
    <row r="73" spans="2:19" s="1428" customFormat="1" ht="15" customHeight="1">
      <c r="B73" s="349"/>
      <c r="C73" s="1440"/>
      <c r="D73" s="1439" t="s">
        <v>3164</v>
      </c>
      <c r="E73" s="1439" t="s">
        <v>3165</v>
      </c>
      <c r="F73" s="576" t="s">
        <v>498</v>
      </c>
      <c r="G73" s="297">
        <v>0</v>
      </c>
      <c r="H73" s="298">
        <v>0</v>
      </c>
      <c r="I73" s="298">
        <v>0</v>
      </c>
      <c r="J73" s="298">
        <v>0</v>
      </c>
      <c r="K73" s="298">
        <v>0</v>
      </c>
      <c r="L73" s="298">
        <v>0</v>
      </c>
      <c r="M73" s="298">
        <v>0</v>
      </c>
      <c r="N73" s="299">
        <v>0</v>
      </c>
      <c r="O73" s="460">
        <v>0</v>
      </c>
      <c r="P73" s="298">
        <v>0.34303424809999661</v>
      </c>
      <c r="Q73" s="298">
        <v>0.39448938531499605</v>
      </c>
      <c r="R73" s="298">
        <v>0.39448938531499605</v>
      </c>
      <c r="S73" s="299">
        <v>0.34303424809999661</v>
      </c>
    </row>
    <row r="74" spans="2:19" s="1428" customFormat="1" ht="15" customHeight="1">
      <c r="B74" s="349"/>
      <c r="C74" s="1440"/>
      <c r="D74" s="1439" t="s">
        <v>3166</v>
      </c>
      <c r="E74" s="1439" t="s">
        <v>3167</v>
      </c>
      <c r="F74" s="576" t="s">
        <v>498</v>
      </c>
      <c r="G74" s="297">
        <v>0</v>
      </c>
      <c r="H74" s="298">
        <v>0</v>
      </c>
      <c r="I74" s="298">
        <v>0</v>
      </c>
      <c r="J74" s="298">
        <v>0</v>
      </c>
      <c r="K74" s="298">
        <v>0</v>
      </c>
      <c r="L74" s="298">
        <v>0</v>
      </c>
      <c r="M74" s="298">
        <v>0</v>
      </c>
      <c r="N74" s="299">
        <v>0</v>
      </c>
      <c r="O74" s="460">
        <v>0</v>
      </c>
      <c r="P74" s="298">
        <v>0</v>
      </c>
      <c r="Q74" s="298">
        <v>0</v>
      </c>
      <c r="R74" s="298">
        <v>0</v>
      </c>
      <c r="S74" s="299">
        <v>0</v>
      </c>
    </row>
    <row r="75" spans="2:19" s="1428" customFormat="1" ht="15" customHeight="1">
      <c r="B75" s="349"/>
      <c r="C75" s="1437" t="s">
        <v>3168</v>
      </c>
      <c r="D75" s="1438" t="s">
        <v>3169</v>
      </c>
      <c r="E75" s="1439" t="s">
        <v>3170</v>
      </c>
      <c r="F75" s="576" t="s">
        <v>498</v>
      </c>
      <c r="G75" s="297">
        <v>0</v>
      </c>
      <c r="H75" s="298">
        <v>0</v>
      </c>
      <c r="I75" s="298">
        <v>0</v>
      </c>
      <c r="J75" s="298">
        <v>0</v>
      </c>
      <c r="K75" s="298">
        <v>0</v>
      </c>
      <c r="L75" s="298">
        <v>0</v>
      </c>
      <c r="M75" s="298">
        <v>0</v>
      </c>
      <c r="N75" s="299">
        <v>0</v>
      </c>
      <c r="O75" s="460">
        <v>0</v>
      </c>
      <c r="P75" s="298">
        <v>0</v>
      </c>
      <c r="Q75" s="298">
        <v>0</v>
      </c>
      <c r="R75" s="298">
        <v>0</v>
      </c>
      <c r="S75" s="299">
        <v>0</v>
      </c>
    </row>
    <row r="76" spans="2:19" s="1428" customFormat="1" ht="15" customHeight="1">
      <c r="B76" s="349"/>
      <c r="C76" s="1440"/>
      <c r="D76" s="1441"/>
      <c r="E76" s="1439" t="s">
        <v>3171</v>
      </c>
      <c r="F76" s="576" t="s">
        <v>498</v>
      </c>
      <c r="G76" s="297">
        <v>0</v>
      </c>
      <c r="H76" s="298">
        <v>0</v>
      </c>
      <c r="I76" s="298">
        <v>0</v>
      </c>
      <c r="J76" s="298">
        <v>0</v>
      </c>
      <c r="K76" s="298">
        <v>0</v>
      </c>
      <c r="L76" s="298">
        <v>0</v>
      </c>
      <c r="M76" s="298">
        <v>0</v>
      </c>
      <c r="N76" s="299">
        <v>0</v>
      </c>
      <c r="O76" s="460">
        <v>0</v>
      </c>
      <c r="P76" s="298">
        <v>0</v>
      </c>
      <c r="Q76" s="298">
        <v>0</v>
      </c>
      <c r="R76" s="298">
        <v>0</v>
      </c>
      <c r="S76" s="299">
        <v>0</v>
      </c>
    </row>
    <row r="77" spans="2:19" s="1428" customFormat="1" ht="15" customHeight="1">
      <c r="B77" s="349"/>
      <c r="C77" s="1440"/>
      <c r="D77" s="1438" t="s">
        <v>3172</v>
      </c>
      <c r="E77" s="1439" t="s">
        <v>3173</v>
      </c>
      <c r="F77" s="576" t="s">
        <v>498</v>
      </c>
      <c r="G77" s="297">
        <v>0</v>
      </c>
      <c r="H77" s="298">
        <v>0</v>
      </c>
      <c r="I77" s="298">
        <v>0</v>
      </c>
      <c r="J77" s="298">
        <v>0</v>
      </c>
      <c r="K77" s="298">
        <v>0</v>
      </c>
      <c r="L77" s="298">
        <v>0</v>
      </c>
      <c r="M77" s="298">
        <v>0</v>
      </c>
      <c r="N77" s="299">
        <v>0</v>
      </c>
      <c r="O77" s="460">
        <v>0</v>
      </c>
      <c r="P77" s="298">
        <v>0</v>
      </c>
      <c r="Q77" s="298">
        <v>0</v>
      </c>
      <c r="R77" s="298">
        <v>0</v>
      </c>
      <c r="S77" s="299">
        <v>0</v>
      </c>
    </row>
    <row r="78" spans="2:19" s="1428" customFormat="1" ht="15" customHeight="1">
      <c r="B78" s="349"/>
      <c r="C78" s="1440"/>
      <c r="D78" s="1441"/>
      <c r="E78" s="1439" t="s">
        <v>3174</v>
      </c>
      <c r="F78" s="576" t="s">
        <v>498</v>
      </c>
      <c r="G78" s="297">
        <v>0</v>
      </c>
      <c r="H78" s="298">
        <v>0</v>
      </c>
      <c r="I78" s="298">
        <v>0</v>
      </c>
      <c r="J78" s="298">
        <v>0</v>
      </c>
      <c r="K78" s="298">
        <v>0</v>
      </c>
      <c r="L78" s="298">
        <v>0</v>
      </c>
      <c r="M78" s="298">
        <v>0</v>
      </c>
      <c r="N78" s="299">
        <v>0</v>
      </c>
      <c r="O78" s="460">
        <v>0</v>
      </c>
      <c r="P78" s="298">
        <v>0</v>
      </c>
      <c r="Q78" s="298">
        <v>0</v>
      </c>
      <c r="R78" s="298">
        <v>0</v>
      </c>
      <c r="S78" s="299">
        <v>0</v>
      </c>
    </row>
    <row r="79" spans="2:19" s="1428" customFormat="1" ht="15" customHeight="1">
      <c r="B79" s="349"/>
      <c r="C79" s="1440"/>
      <c r="D79" s="1441"/>
      <c r="E79" s="1439" t="s">
        <v>3175</v>
      </c>
      <c r="F79" s="576" t="s">
        <v>498</v>
      </c>
      <c r="G79" s="297">
        <v>0</v>
      </c>
      <c r="H79" s="298">
        <v>0</v>
      </c>
      <c r="I79" s="298">
        <v>0</v>
      </c>
      <c r="J79" s="298">
        <v>0</v>
      </c>
      <c r="K79" s="298">
        <v>0</v>
      </c>
      <c r="L79" s="298">
        <v>0</v>
      </c>
      <c r="M79" s="298">
        <v>0</v>
      </c>
      <c r="N79" s="299">
        <v>0</v>
      </c>
      <c r="O79" s="460">
        <v>0</v>
      </c>
      <c r="P79" s="298">
        <v>0</v>
      </c>
      <c r="Q79" s="298">
        <v>0</v>
      </c>
      <c r="R79" s="298">
        <v>0</v>
      </c>
      <c r="S79" s="299">
        <v>0</v>
      </c>
    </row>
    <row r="80" spans="2:19" s="1428" customFormat="1" ht="15" customHeight="1">
      <c r="B80" s="349"/>
      <c r="C80" s="1440"/>
      <c r="D80" s="1441"/>
      <c r="E80" s="1439" t="s">
        <v>3176</v>
      </c>
      <c r="F80" s="576" t="s">
        <v>498</v>
      </c>
      <c r="G80" s="297">
        <v>0</v>
      </c>
      <c r="H80" s="298">
        <v>0</v>
      </c>
      <c r="I80" s="298">
        <v>0</v>
      </c>
      <c r="J80" s="298">
        <v>0</v>
      </c>
      <c r="K80" s="298">
        <v>0</v>
      </c>
      <c r="L80" s="298">
        <v>0</v>
      </c>
      <c r="M80" s="298">
        <v>0</v>
      </c>
      <c r="N80" s="299">
        <v>0</v>
      </c>
      <c r="O80" s="460">
        <v>0</v>
      </c>
      <c r="P80" s="298">
        <v>0</v>
      </c>
      <c r="Q80" s="298">
        <v>0</v>
      </c>
      <c r="R80" s="298">
        <v>0</v>
      </c>
      <c r="S80" s="299">
        <v>0</v>
      </c>
    </row>
    <row r="81" spans="2:19" s="1428" customFormat="1" ht="15" customHeight="1">
      <c r="B81" s="349"/>
      <c r="C81" s="1440"/>
      <c r="D81" s="1438" t="s">
        <v>3177</v>
      </c>
      <c r="E81" s="1439" t="s">
        <v>3178</v>
      </c>
      <c r="F81" s="576" t="s">
        <v>498</v>
      </c>
      <c r="G81" s="297">
        <v>0</v>
      </c>
      <c r="H81" s="298">
        <v>0</v>
      </c>
      <c r="I81" s="298">
        <v>0</v>
      </c>
      <c r="J81" s="298">
        <v>0</v>
      </c>
      <c r="K81" s="298">
        <v>0</v>
      </c>
      <c r="L81" s="298">
        <v>0</v>
      </c>
      <c r="M81" s="298">
        <v>0</v>
      </c>
      <c r="N81" s="299">
        <v>0</v>
      </c>
      <c r="O81" s="460">
        <v>0</v>
      </c>
      <c r="P81" s="298">
        <v>0</v>
      </c>
      <c r="Q81" s="298">
        <v>0</v>
      </c>
      <c r="R81" s="298">
        <v>0</v>
      </c>
      <c r="S81" s="299">
        <v>0</v>
      </c>
    </row>
    <row r="82" spans="2:19" s="1428" customFormat="1" ht="15" customHeight="1">
      <c r="B82" s="349"/>
      <c r="C82" s="1440"/>
      <c r="D82" s="1441"/>
      <c r="E82" s="1439" t="s">
        <v>3179</v>
      </c>
      <c r="F82" s="576" t="s">
        <v>498</v>
      </c>
      <c r="G82" s="297">
        <v>0</v>
      </c>
      <c r="H82" s="298">
        <v>0</v>
      </c>
      <c r="I82" s="298">
        <v>0</v>
      </c>
      <c r="J82" s="298">
        <v>0</v>
      </c>
      <c r="K82" s="298">
        <v>0</v>
      </c>
      <c r="L82" s="298">
        <v>0</v>
      </c>
      <c r="M82" s="298">
        <v>0</v>
      </c>
      <c r="N82" s="299">
        <v>0</v>
      </c>
      <c r="O82" s="460">
        <v>0</v>
      </c>
      <c r="P82" s="298">
        <v>0</v>
      </c>
      <c r="Q82" s="298">
        <v>0</v>
      </c>
      <c r="R82" s="298">
        <v>0</v>
      </c>
      <c r="S82" s="299">
        <v>0</v>
      </c>
    </row>
    <row r="83" spans="2:19" s="1428" customFormat="1" ht="15" customHeight="1">
      <c r="B83" s="349"/>
      <c r="C83" s="1440"/>
      <c r="D83" s="1441"/>
      <c r="E83" s="1439" t="s">
        <v>3180</v>
      </c>
      <c r="F83" s="576" t="s">
        <v>498</v>
      </c>
      <c r="G83" s="297">
        <v>0</v>
      </c>
      <c r="H83" s="298">
        <v>0</v>
      </c>
      <c r="I83" s="298">
        <v>0</v>
      </c>
      <c r="J83" s="298">
        <v>0</v>
      </c>
      <c r="K83" s="298">
        <v>0</v>
      </c>
      <c r="L83" s="298">
        <v>0</v>
      </c>
      <c r="M83" s="298">
        <v>0</v>
      </c>
      <c r="N83" s="299">
        <v>0</v>
      </c>
      <c r="O83" s="460">
        <v>0</v>
      </c>
      <c r="P83" s="298">
        <v>0</v>
      </c>
      <c r="Q83" s="298">
        <v>0</v>
      </c>
      <c r="R83" s="298">
        <v>0</v>
      </c>
      <c r="S83" s="299">
        <v>0</v>
      </c>
    </row>
    <row r="84" spans="2:19" s="1428" customFormat="1" ht="15" customHeight="1">
      <c r="B84" s="349"/>
      <c r="C84" s="1440"/>
      <c r="D84" s="1441"/>
      <c r="E84" s="1439" t="s">
        <v>3181</v>
      </c>
      <c r="F84" s="576" t="s">
        <v>498</v>
      </c>
      <c r="G84" s="297">
        <v>0</v>
      </c>
      <c r="H84" s="298">
        <v>0</v>
      </c>
      <c r="I84" s="298">
        <v>0</v>
      </c>
      <c r="J84" s="298">
        <v>0</v>
      </c>
      <c r="K84" s="298">
        <v>0</v>
      </c>
      <c r="L84" s="298">
        <v>0</v>
      </c>
      <c r="M84" s="298">
        <v>0</v>
      </c>
      <c r="N84" s="299">
        <v>0</v>
      </c>
      <c r="O84" s="460">
        <v>0</v>
      </c>
      <c r="P84" s="298">
        <v>0</v>
      </c>
      <c r="Q84" s="298">
        <v>0</v>
      </c>
      <c r="R84" s="298">
        <v>0</v>
      </c>
      <c r="S84" s="299">
        <v>0</v>
      </c>
    </row>
    <row r="85" spans="2:19" s="1428" customFormat="1" ht="15" customHeight="1">
      <c r="B85" s="349"/>
      <c r="C85" s="1440"/>
      <c r="D85" s="1441"/>
      <c r="E85" s="1439" t="s">
        <v>3182</v>
      </c>
      <c r="F85" s="576" t="s">
        <v>498</v>
      </c>
      <c r="G85" s="297">
        <v>0</v>
      </c>
      <c r="H85" s="298">
        <v>0</v>
      </c>
      <c r="I85" s="298">
        <v>0</v>
      </c>
      <c r="J85" s="298">
        <v>0</v>
      </c>
      <c r="K85" s="298">
        <v>0</v>
      </c>
      <c r="L85" s="298">
        <v>0</v>
      </c>
      <c r="M85" s="298">
        <v>0</v>
      </c>
      <c r="N85" s="299">
        <v>0</v>
      </c>
      <c r="O85" s="460">
        <v>0</v>
      </c>
      <c r="P85" s="298">
        <v>0</v>
      </c>
      <c r="Q85" s="298">
        <v>0</v>
      </c>
      <c r="R85" s="298">
        <v>0</v>
      </c>
      <c r="S85" s="299">
        <v>0</v>
      </c>
    </row>
    <row r="86" spans="2:19" s="1428" customFormat="1" ht="15" customHeight="1">
      <c r="B86" s="349"/>
      <c r="C86" s="1440"/>
      <c r="D86" s="1438" t="s">
        <v>3183</v>
      </c>
      <c r="E86" s="1439" t="s">
        <v>3184</v>
      </c>
      <c r="F86" s="576" t="s">
        <v>498</v>
      </c>
      <c r="G86" s="297">
        <v>0</v>
      </c>
      <c r="H86" s="298">
        <v>0</v>
      </c>
      <c r="I86" s="298">
        <v>0</v>
      </c>
      <c r="J86" s="298">
        <v>0</v>
      </c>
      <c r="K86" s="298">
        <v>0</v>
      </c>
      <c r="L86" s="298">
        <v>0</v>
      </c>
      <c r="M86" s="298">
        <v>0</v>
      </c>
      <c r="N86" s="299">
        <v>0</v>
      </c>
      <c r="O86" s="460">
        <v>0</v>
      </c>
      <c r="P86" s="298">
        <v>0</v>
      </c>
      <c r="Q86" s="298">
        <v>0</v>
      </c>
      <c r="R86" s="298">
        <v>0</v>
      </c>
      <c r="S86" s="299">
        <v>0</v>
      </c>
    </row>
    <row r="87" spans="2:19" s="1428" customFormat="1" ht="15" customHeight="1">
      <c r="B87" s="349"/>
      <c r="C87" s="1440"/>
      <c r="D87" s="1441"/>
      <c r="E87" s="1439" t="s">
        <v>3185</v>
      </c>
      <c r="F87" s="576" t="s">
        <v>498</v>
      </c>
      <c r="G87" s="297">
        <v>0</v>
      </c>
      <c r="H87" s="298">
        <v>0</v>
      </c>
      <c r="I87" s="298">
        <v>0</v>
      </c>
      <c r="J87" s="298">
        <v>0</v>
      </c>
      <c r="K87" s="298">
        <v>0</v>
      </c>
      <c r="L87" s="298">
        <v>0</v>
      </c>
      <c r="M87" s="298">
        <v>0</v>
      </c>
      <c r="N87" s="299">
        <v>0</v>
      </c>
      <c r="O87" s="460">
        <v>0</v>
      </c>
      <c r="P87" s="298">
        <v>0</v>
      </c>
      <c r="Q87" s="298">
        <v>0</v>
      </c>
      <c r="R87" s="298">
        <v>0</v>
      </c>
      <c r="S87" s="299">
        <v>0</v>
      </c>
    </row>
    <row r="88" spans="2:19" s="1428" customFormat="1" ht="15" customHeight="1">
      <c r="B88" s="349"/>
      <c r="C88" s="1440"/>
      <c r="D88" s="1441"/>
      <c r="E88" s="1439" t="s">
        <v>3186</v>
      </c>
      <c r="F88" s="576" t="s">
        <v>498</v>
      </c>
      <c r="G88" s="297">
        <v>0</v>
      </c>
      <c r="H88" s="298">
        <v>0</v>
      </c>
      <c r="I88" s="298">
        <v>0</v>
      </c>
      <c r="J88" s="298">
        <v>0</v>
      </c>
      <c r="K88" s="298">
        <v>0</v>
      </c>
      <c r="L88" s="298">
        <v>0</v>
      </c>
      <c r="M88" s="298">
        <v>0</v>
      </c>
      <c r="N88" s="299">
        <v>0</v>
      </c>
      <c r="O88" s="460">
        <v>0.11434474936666553</v>
      </c>
      <c r="P88" s="298">
        <v>0.34303424809999661</v>
      </c>
      <c r="Q88" s="298">
        <v>0.11434474936666553</v>
      </c>
      <c r="R88" s="298">
        <v>0.22868949873333105</v>
      </c>
      <c r="S88" s="299">
        <v>0</v>
      </c>
    </row>
    <row r="89" spans="2:19" s="1428" customFormat="1" ht="15" customHeight="1">
      <c r="B89" s="1429"/>
      <c r="C89" s="1440"/>
      <c r="D89" s="1441"/>
      <c r="E89" s="1439" t="s">
        <v>3187</v>
      </c>
      <c r="F89" s="576" t="s">
        <v>498</v>
      </c>
      <c r="G89" s="297">
        <v>0</v>
      </c>
      <c r="H89" s="298">
        <v>0</v>
      </c>
      <c r="I89" s="298">
        <v>0</v>
      </c>
      <c r="J89" s="298">
        <v>0</v>
      </c>
      <c r="K89" s="298">
        <v>0</v>
      </c>
      <c r="L89" s="298">
        <v>0</v>
      </c>
      <c r="M89" s="298">
        <v>0</v>
      </c>
      <c r="N89" s="299">
        <v>0</v>
      </c>
      <c r="O89" s="460">
        <v>0</v>
      </c>
      <c r="P89" s="298">
        <v>0</v>
      </c>
      <c r="Q89" s="298">
        <v>0</v>
      </c>
      <c r="R89" s="298">
        <v>0</v>
      </c>
      <c r="S89" s="299">
        <v>0</v>
      </c>
    </row>
    <row r="90" spans="2:19" s="1428" customFormat="1" ht="15" customHeight="1">
      <c r="B90" s="1429"/>
      <c r="C90" s="1440"/>
      <c r="D90" s="1438" t="s">
        <v>3188</v>
      </c>
      <c r="E90" s="1439" t="s">
        <v>3189</v>
      </c>
      <c r="F90" s="576" t="s">
        <v>498</v>
      </c>
      <c r="G90" s="297">
        <v>0</v>
      </c>
      <c r="H90" s="298">
        <v>0</v>
      </c>
      <c r="I90" s="298">
        <v>0</v>
      </c>
      <c r="J90" s="298">
        <v>0</v>
      </c>
      <c r="K90" s="298">
        <v>0</v>
      </c>
      <c r="L90" s="298">
        <v>0</v>
      </c>
      <c r="M90" s="298">
        <v>0</v>
      </c>
      <c r="N90" s="299">
        <v>0</v>
      </c>
      <c r="O90" s="460">
        <v>0</v>
      </c>
      <c r="P90" s="298">
        <v>0</v>
      </c>
      <c r="Q90" s="298">
        <v>0</v>
      </c>
      <c r="R90" s="298">
        <v>0</v>
      </c>
      <c r="S90" s="299">
        <v>0</v>
      </c>
    </row>
    <row r="91" spans="2:19" s="1428" customFormat="1" ht="15" customHeight="1">
      <c r="B91" s="1429"/>
      <c r="C91" s="1440"/>
      <c r="D91" s="1441"/>
      <c r="E91" s="1439" t="s">
        <v>3190</v>
      </c>
      <c r="F91" s="576" t="s">
        <v>498</v>
      </c>
      <c r="G91" s="297">
        <v>0</v>
      </c>
      <c r="H91" s="298">
        <v>0</v>
      </c>
      <c r="I91" s="298">
        <v>0</v>
      </c>
      <c r="J91" s="298">
        <v>0</v>
      </c>
      <c r="K91" s="298">
        <v>0</v>
      </c>
      <c r="L91" s="298">
        <v>0</v>
      </c>
      <c r="M91" s="298">
        <v>0</v>
      </c>
      <c r="N91" s="299">
        <v>0</v>
      </c>
      <c r="O91" s="460">
        <v>0</v>
      </c>
      <c r="P91" s="298">
        <v>0</v>
      </c>
      <c r="Q91" s="298">
        <v>0</v>
      </c>
      <c r="R91" s="298">
        <v>0</v>
      </c>
      <c r="S91" s="299">
        <v>0</v>
      </c>
    </row>
    <row r="92" spans="2:19" s="1428" customFormat="1" ht="15" customHeight="1">
      <c r="B92" s="1429"/>
      <c r="C92" s="1440"/>
      <c r="D92" s="1441"/>
      <c r="E92" s="1439" t="s">
        <v>3191</v>
      </c>
      <c r="F92" s="576" t="s">
        <v>498</v>
      </c>
      <c r="G92" s="297">
        <v>0</v>
      </c>
      <c r="H92" s="298">
        <v>0</v>
      </c>
      <c r="I92" s="298">
        <v>0</v>
      </c>
      <c r="J92" s="298">
        <v>0</v>
      </c>
      <c r="K92" s="298">
        <v>0</v>
      </c>
      <c r="L92" s="298">
        <v>0</v>
      </c>
      <c r="M92" s="298">
        <v>0</v>
      </c>
      <c r="N92" s="299">
        <v>0</v>
      </c>
      <c r="O92" s="460">
        <v>0</v>
      </c>
      <c r="P92" s="298">
        <v>0</v>
      </c>
      <c r="Q92" s="298">
        <v>0</v>
      </c>
      <c r="R92" s="298">
        <v>0</v>
      </c>
      <c r="S92" s="299">
        <v>0</v>
      </c>
    </row>
    <row r="93" spans="2:19" s="1428" customFormat="1" ht="15" customHeight="1">
      <c r="B93" s="1429"/>
      <c r="C93" s="1440"/>
      <c r="D93" s="1438" t="s">
        <v>3192</v>
      </c>
      <c r="E93" s="1439" t="s">
        <v>3193</v>
      </c>
      <c r="F93" s="576" t="s">
        <v>498</v>
      </c>
      <c r="G93" s="297">
        <v>0</v>
      </c>
      <c r="H93" s="298">
        <v>0</v>
      </c>
      <c r="I93" s="298">
        <v>0</v>
      </c>
      <c r="J93" s="298">
        <v>0</v>
      </c>
      <c r="K93" s="298">
        <v>0</v>
      </c>
      <c r="L93" s="298">
        <v>0</v>
      </c>
      <c r="M93" s="298">
        <v>0</v>
      </c>
      <c r="N93" s="299">
        <v>0</v>
      </c>
      <c r="O93" s="460">
        <v>0</v>
      </c>
      <c r="P93" s="298">
        <v>0</v>
      </c>
      <c r="Q93" s="298">
        <v>0</v>
      </c>
      <c r="R93" s="298">
        <v>0</v>
      </c>
      <c r="S93" s="299">
        <v>0</v>
      </c>
    </row>
    <row r="94" spans="2:19" s="1428" customFormat="1" ht="15" customHeight="1">
      <c r="B94" s="1429"/>
      <c r="C94" s="1440"/>
      <c r="D94" s="1441"/>
      <c r="E94" s="1439" t="s">
        <v>3194</v>
      </c>
      <c r="F94" s="576" t="s">
        <v>498</v>
      </c>
      <c r="G94" s="297">
        <v>0</v>
      </c>
      <c r="H94" s="298">
        <v>0</v>
      </c>
      <c r="I94" s="298">
        <v>0</v>
      </c>
      <c r="J94" s="298">
        <v>0</v>
      </c>
      <c r="K94" s="298">
        <v>0</v>
      </c>
      <c r="L94" s="298">
        <v>0</v>
      </c>
      <c r="M94" s="298">
        <v>0</v>
      </c>
      <c r="N94" s="299">
        <v>0</v>
      </c>
      <c r="O94" s="460">
        <v>0</v>
      </c>
      <c r="P94" s="298">
        <v>0</v>
      </c>
      <c r="Q94" s="298">
        <v>0</v>
      </c>
      <c r="R94" s="298">
        <v>0</v>
      </c>
      <c r="S94" s="299">
        <v>0</v>
      </c>
    </row>
    <row r="95" spans="2:19" s="1428" customFormat="1" ht="15" customHeight="1">
      <c r="B95" s="1429"/>
      <c r="C95" s="1437" t="s">
        <v>3195</v>
      </c>
      <c r="D95" s="1438" t="s">
        <v>3196</v>
      </c>
      <c r="E95" s="1439" t="s">
        <v>3197</v>
      </c>
      <c r="F95" s="576" t="s">
        <v>498</v>
      </c>
      <c r="G95" s="297">
        <v>0</v>
      </c>
      <c r="H95" s="298">
        <v>0</v>
      </c>
      <c r="I95" s="298">
        <v>0</v>
      </c>
      <c r="J95" s="298">
        <v>0</v>
      </c>
      <c r="K95" s="298">
        <v>0</v>
      </c>
      <c r="L95" s="298">
        <v>0</v>
      </c>
      <c r="M95" s="298">
        <v>0</v>
      </c>
      <c r="N95" s="299">
        <v>0</v>
      </c>
      <c r="O95" s="460">
        <v>0</v>
      </c>
      <c r="P95" s="298">
        <v>0.34303424809999661</v>
      </c>
      <c r="Q95" s="298">
        <v>0</v>
      </c>
      <c r="R95" s="298">
        <v>0</v>
      </c>
      <c r="S95" s="299">
        <v>0.34303424809999661</v>
      </c>
    </row>
    <row r="96" spans="2:19" s="1428" customFormat="1" ht="15" customHeight="1">
      <c r="B96" s="1429"/>
      <c r="C96" s="1440"/>
      <c r="D96" s="1441"/>
      <c r="E96" s="1439" t="s">
        <v>3198</v>
      </c>
      <c r="F96" s="576" t="s">
        <v>498</v>
      </c>
      <c r="G96" s="297">
        <v>0</v>
      </c>
      <c r="H96" s="298">
        <v>0</v>
      </c>
      <c r="I96" s="298">
        <v>0</v>
      </c>
      <c r="J96" s="298">
        <v>0</v>
      </c>
      <c r="K96" s="298">
        <v>0</v>
      </c>
      <c r="L96" s="298">
        <v>0</v>
      </c>
      <c r="M96" s="298">
        <v>0</v>
      </c>
      <c r="N96" s="299">
        <v>0</v>
      </c>
      <c r="O96" s="460">
        <v>0</v>
      </c>
      <c r="P96" s="298">
        <v>0</v>
      </c>
      <c r="Q96" s="298">
        <v>0</v>
      </c>
      <c r="R96" s="298">
        <v>0</v>
      </c>
      <c r="S96" s="299">
        <v>0</v>
      </c>
    </row>
    <row r="97" spans="2:19" s="1428" customFormat="1" ht="15" customHeight="1">
      <c r="B97" s="1429"/>
      <c r="C97" s="1440"/>
      <c r="D97" s="1441"/>
      <c r="E97" s="1439" t="s">
        <v>3199</v>
      </c>
      <c r="F97" s="576" t="s">
        <v>498</v>
      </c>
      <c r="G97" s="297">
        <v>0</v>
      </c>
      <c r="H97" s="298">
        <v>0</v>
      </c>
      <c r="I97" s="298">
        <v>0</v>
      </c>
      <c r="J97" s="298">
        <v>0</v>
      </c>
      <c r="K97" s="298">
        <v>0</v>
      </c>
      <c r="L97" s="298">
        <v>0</v>
      </c>
      <c r="M97" s="298">
        <v>0</v>
      </c>
      <c r="N97" s="299">
        <v>0</v>
      </c>
      <c r="O97" s="460">
        <v>0</v>
      </c>
      <c r="P97" s="298">
        <v>0</v>
      </c>
      <c r="Q97" s="298">
        <v>0</v>
      </c>
      <c r="R97" s="298">
        <v>0</v>
      </c>
      <c r="S97" s="299">
        <v>0</v>
      </c>
    </row>
    <row r="98" spans="2:19" s="1428" customFormat="1" ht="15" customHeight="1">
      <c r="B98" s="1429"/>
      <c r="C98" s="1440"/>
      <c r="D98" s="1441"/>
      <c r="E98" s="1439" t="s">
        <v>3200</v>
      </c>
      <c r="F98" s="576" t="s">
        <v>498</v>
      </c>
      <c r="G98" s="297">
        <v>0</v>
      </c>
      <c r="H98" s="298">
        <v>0</v>
      </c>
      <c r="I98" s="298">
        <v>0</v>
      </c>
      <c r="J98" s="298">
        <v>0</v>
      </c>
      <c r="K98" s="298">
        <v>0</v>
      </c>
      <c r="L98" s="298">
        <v>0</v>
      </c>
      <c r="M98" s="298">
        <v>0</v>
      </c>
      <c r="N98" s="299">
        <v>0</v>
      </c>
      <c r="O98" s="460">
        <v>0</v>
      </c>
      <c r="P98" s="298">
        <v>0</v>
      </c>
      <c r="Q98" s="298">
        <v>0</v>
      </c>
      <c r="R98" s="298">
        <v>0</v>
      </c>
      <c r="S98" s="299">
        <v>0</v>
      </c>
    </row>
    <row r="99" spans="2:19" s="1428" customFormat="1" ht="15" customHeight="1">
      <c r="B99" s="1429"/>
      <c r="C99" s="1440"/>
      <c r="D99" s="1441"/>
      <c r="E99" s="1439" t="s">
        <v>3201</v>
      </c>
      <c r="F99" s="576" t="s">
        <v>498</v>
      </c>
      <c r="G99" s="297">
        <v>0</v>
      </c>
      <c r="H99" s="298">
        <v>0</v>
      </c>
      <c r="I99" s="298">
        <v>0</v>
      </c>
      <c r="J99" s="298">
        <v>0</v>
      </c>
      <c r="K99" s="298">
        <v>0</v>
      </c>
      <c r="L99" s="298">
        <v>0</v>
      </c>
      <c r="M99" s="298">
        <v>0</v>
      </c>
      <c r="N99" s="299">
        <v>0</v>
      </c>
      <c r="O99" s="460">
        <v>0</v>
      </c>
      <c r="P99" s="298">
        <v>0</v>
      </c>
      <c r="Q99" s="298">
        <v>0</v>
      </c>
      <c r="R99" s="298">
        <v>0</v>
      </c>
      <c r="S99" s="299">
        <v>0</v>
      </c>
    </row>
    <row r="100" spans="2:19" s="1428" customFormat="1" ht="15" customHeight="1">
      <c r="B100" s="1429"/>
      <c r="C100" s="1440"/>
      <c r="D100" s="1438" t="s">
        <v>3202</v>
      </c>
      <c r="E100" s="1439" t="s">
        <v>3203</v>
      </c>
      <c r="F100" s="576" t="s">
        <v>498</v>
      </c>
      <c r="G100" s="297">
        <v>0</v>
      </c>
      <c r="H100" s="298">
        <v>0</v>
      </c>
      <c r="I100" s="298">
        <v>0</v>
      </c>
      <c r="J100" s="298">
        <v>0</v>
      </c>
      <c r="K100" s="298">
        <v>0</v>
      </c>
      <c r="L100" s="298">
        <v>0</v>
      </c>
      <c r="M100" s="298">
        <v>0</v>
      </c>
      <c r="N100" s="299">
        <v>0</v>
      </c>
      <c r="O100" s="460">
        <v>0</v>
      </c>
      <c r="P100" s="298">
        <v>0</v>
      </c>
      <c r="Q100" s="298">
        <v>0</v>
      </c>
      <c r="R100" s="298">
        <v>0</v>
      </c>
      <c r="S100" s="299">
        <v>0</v>
      </c>
    </row>
    <row r="101" spans="2:19" s="1428" customFormat="1" ht="15" customHeight="1">
      <c r="B101" s="1429"/>
      <c r="C101" s="1440"/>
      <c r="D101" s="1441"/>
      <c r="E101" s="1439" t="s">
        <v>3204</v>
      </c>
      <c r="F101" s="576" t="s">
        <v>498</v>
      </c>
      <c r="G101" s="297">
        <v>0</v>
      </c>
      <c r="H101" s="298">
        <v>0</v>
      </c>
      <c r="I101" s="298">
        <v>0</v>
      </c>
      <c r="J101" s="298">
        <v>0</v>
      </c>
      <c r="K101" s="298">
        <v>0</v>
      </c>
      <c r="L101" s="298">
        <v>0</v>
      </c>
      <c r="M101" s="298">
        <v>0</v>
      </c>
      <c r="N101" s="299">
        <v>0</v>
      </c>
      <c r="O101" s="460">
        <v>2.2868949873333107E-2</v>
      </c>
      <c r="P101" s="298">
        <v>0</v>
      </c>
      <c r="Q101" s="298">
        <v>2.2868949873333107E-2</v>
      </c>
      <c r="R101" s="298">
        <v>0</v>
      </c>
      <c r="S101" s="299">
        <v>0</v>
      </c>
    </row>
    <row r="102" spans="2:19" s="1428" customFormat="1" ht="15" customHeight="1">
      <c r="B102" s="1429"/>
      <c r="C102" s="1437" t="s">
        <v>3205</v>
      </c>
      <c r="D102" s="1438" t="s">
        <v>3206</v>
      </c>
      <c r="E102" s="1439" t="s">
        <v>3207</v>
      </c>
      <c r="F102" s="576" t="s">
        <v>498</v>
      </c>
      <c r="G102" s="297">
        <v>0</v>
      </c>
      <c r="H102" s="298">
        <v>0</v>
      </c>
      <c r="I102" s="298">
        <v>0</v>
      </c>
      <c r="J102" s="298">
        <v>0</v>
      </c>
      <c r="K102" s="298">
        <v>0</v>
      </c>
      <c r="L102" s="298">
        <v>0</v>
      </c>
      <c r="M102" s="298">
        <v>0</v>
      </c>
      <c r="N102" s="299">
        <v>0</v>
      </c>
      <c r="O102" s="460">
        <v>0</v>
      </c>
      <c r="P102" s="298">
        <v>0</v>
      </c>
      <c r="Q102" s="298">
        <v>0</v>
      </c>
      <c r="R102" s="298">
        <v>0</v>
      </c>
      <c r="S102" s="299">
        <v>0</v>
      </c>
    </row>
    <row r="103" spans="2:19" s="1428" customFormat="1" ht="15" customHeight="1">
      <c r="B103" s="1429"/>
      <c r="C103" s="1440"/>
      <c r="D103" s="1441"/>
      <c r="E103" s="1439" t="s">
        <v>3208</v>
      </c>
      <c r="F103" s="576" t="s">
        <v>498</v>
      </c>
      <c r="G103" s="297">
        <v>0</v>
      </c>
      <c r="H103" s="298">
        <v>0</v>
      </c>
      <c r="I103" s="298">
        <v>0</v>
      </c>
      <c r="J103" s="298">
        <v>0</v>
      </c>
      <c r="K103" s="298">
        <v>0</v>
      </c>
      <c r="L103" s="298">
        <v>0</v>
      </c>
      <c r="M103" s="298">
        <v>0</v>
      </c>
      <c r="N103" s="299">
        <v>0</v>
      </c>
      <c r="O103" s="460">
        <v>0</v>
      </c>
      <c r="P103" s="298">
        <v>0</v>
      </c>
      <c r="Q103" s="298">
        <v>0</v>
      </c>
      <c r="R103" s="298">
        <v>0</v>
      </c>
      <c r="S103" s="299">
        <v>0</v>
      </c>
    </row>
    <row r="104" spans="2:19" s="1428" customFormat="1" ht="15" customHeight="1">
      <c r="B104" s="1429"/>
      <c r="C104" s="1440"/>
      <c r="D104" s="1441"/>
      <c r="E104" s="1439" t="s">
        <v>3209</v>
      </c>
      <c r="F104" s="576" t="s">
        <v>498</v>
      </c>
      <c r="G104" s="297">
        <v>0</v>
      </c>
      <c r="H104" s="298">
        <v>0</v>
      </c>
      <c r="I104" s="298">
        <v>0</v>
      </c>
      <c r="J104" s="298">
        <v>0</v>
      </c>
      <c r="K104" s="298">
        <v>0</v>
      </c>
      <c r="L104" s="298">
        <v>0</v>
      </c>
      <c r="M104" s="298">
        <v>0</v>
      </c>
      <c r="N104" s="299">
        <v>0</v>
      </c>
      <c r="O104" s="460">
        <v>0</v>
      </c>
      <c r="P104" s="298">
        <v>0</v>
      </c>
      <c r="Q104" s="298">
        <v>0</v>
      </c>
      <c r="R104" s="298">
        <v>0</v>
      </c>
      <c r="S104" s="299">
        <v>0</v>
      </c>
    </row>
    <row r="105" spans="2:19" s="1428" customFormat="1" ht="15" customHeight="1">
      <c r="B105" s="1429"/>
      <c r="C105" s="1440"/>
      <c r="D105" s="1438" t="s">
        <v>3210</v>
      </c>
      <c r="E105" s="1439" t="s">
        <v>3211</v>
      </c>
      <c r="F105" s="576" t="s">
        <v>498</v>
      </c>
      <c r="G105" s="297">
        <v>0</v>
      </c>
      <c r="H105" s="298">
        <v>0</v>
      </c>
      <c r="I105" s="298">
        <v>0</v>
      </c>
      <c r="J105" s="298">
        <v>0</v>
      </c>
      <c r="K105" s="298">
        <v>0</v>
      </c>
      <c r="L105" s="298">
        <v>0</v>
      </c>
      <c r="M105" s="298">
        <v>0</v>
      </c>
      <c r="N105" s="299">
        <v>0</v>
      </c>
      <c r="O105" s="460">
        <v>0</v>
      </c>
      <c r="P105" s="298">
        <v>0</v>
      </c>
      <c r="Q105" s="298">
        <v>0</v>
      </c>
      <c r="R105" s="298">
        <v>0</v>
      </c>
      <c r="S105" s="299">
        <v>0</v>
      </c>
    </row>
    <row r="106" spans="2:19" s="1428" customFormat="1" ht="15" customHeight="1">
      <c r="B106" s="1429"/>
      <c r="C106" s="1442"/>
      <c r="D106" s="1442"/>
      <c r="E106" s="1443" t="s">
        <v>3212</v>
      </c>
      <c r="F106" s="576" t="s">
        <v>498</v>
      </c>
      <c r="G106" s="297">
        <v>0</v>
      </c>
      <c r="H106" s="298">
        <v>0</v>
      </c>
      <c r="I106" s="298">
        <v>0</v>
      </c>
      <c r="J106" s="298">
        <v>0</v>
      </c>
      <c r="K106" s="298">
        <v>0</v>
      </c>
      <c r="L106" s="298">
        <v>0</v>
      </c>
      <c r="M106" s="298">
        <v>0</v>
      </c>
      <c r="N106" s="299">
        <v>0</v>
      </c>
      <c r="O106" s="460">
        <v>0</v>
      </c>
      <c r="P106" s="298">
        <v>0</v>
      </c>
      <c r="Q106" s="298">
        <v>0</v>
      </c>
      <c r="R106" s="298">
        <v>0</v>
      </c>
      <c r="S106" s="299">
        <v>0</v>
      </c>
    </row>
    <row r="107" spans="2:19" s="1419" customFormat="1" ht="15" customHeight="1" thickBot="1">
      <c r="B107" s="1426" t="s">
        <v>1701</v>
      </c>
      <c r="C107" s="1427"/>
      <c r="D107" s="1427"/>
      <c r="E107" s="1427"/>
      <c r="F107" s="581" t="s">
        <v>498</v>
      </c>
      <c r="G107" s="1110">
        <f>SUM(G68:G106)</f>
        <v>0</v>
      </c>
      <c r="H107" s="1111">
        <f t="shared" ref="H107" si="2">SUM(H68:H106)</f>
        <v>0</v>
      </c>
      <c r="I107" s="1111">
        <f t="shared" ref="I107" si="3">SUM(I68:I106)</f>
        <v>0</v>
      </c>
      <c r="J107" s="1111">
        <f t="shared" ref="J107" si="4">SUM(J68:J106)</f>
        <v>0</v>
      </c>
      <c r="K107" s="1111">
        <f t="shared" ref="K107" si="5">SUM(K68:K106)</f>
        <v>0</v>
      </c>
      <c r="L107" s="1111">
        <f t="shared" ref="L107" si="6">SUM(L68:L106)</f>
        <v>0</v>
      </c>
      <c r="M107" s="1111">
        <f t="shared" ref="M107" si="7">SUM(M68:M106)</f>
        <v>0</v>
      </c>
      <c r="N107" s="1112">
        <f t="shared" ref="N107" si="8">SUM(N68:N106)</f>
        <v>0</v>
      </c>
      <c r="O107" s="1387">
        <f t="shared" ref="O107" si="9">SUM(O68:O106)</f>
        <v>0.17151712404999828</v>
      </c>
      <c r="P107" s="1111">
        <f t="shared" ref="P107" si="10">SUM(P68:P106)</f>
        <v>1.0634061691099894</v>
      </c>
      <c r="Q107" s="1111">
        <f t="shared" ref="Q107" si="11">SUM(Q68:Q106)</f>
        <v>0.5660065093649943</v>
      </c>
      <c r="R107" s="1111">
        <f t="shared" ref="R107" si="12">SUM(R68:R106)</f>
        <v>0.65748230885832681</v>
      </c>
      <c r="S107" s="1112">
        <f t="shared" ref="S107" si="13">SUM(S68:S106)</f>
        <v>0.72037192100999281</v>
      </c>
    </row>
    <row r="108" spans="2:19" s="1419" customFormat="1" ht="15" customHeight="1" thickBot="1"/>
    <row r="109" spans="2:19" s="1419" customFormat="1" ht="30" customHeight="1" thickBot="1">
      <c r="B109" s="640" t="s">
        <v>3214</v>
      </c>
      <c r="C109" s="558"/>
      <c r="D109" s="558"/>
      <c r="E109" s="558"/>
      <c r="F109" s="105" t="s">
        <v>1704</v>
      </c>
      <c r="G109" s="106"/>
      <c r="H109" s="106"/>
      <c r="I109" s="106"/>
      <c r="J109" s="106"/>
      <c r="K109" s="106"/>
      <c r="L109" s="106"/>
      <c r="M109" s="106"/>
      <c r="N109" s="106"/>
      <c r="O109" s="105"/>
      <c r="P109" s="105"/>
      <c r="Q109" s="105"/>
      <c r="R109" s="105"/>
      <c r="S109" s="187"/>
    </row>
    <row r="110" spans="2:19" s="1419" customFormat="1" ht="30" customHeight="1">
      <c r="B110" s="560"/>
      <c r="C110" s="561"/>
      <c r="D110" s="561"/>
      <c r="E110" s="561"/>
      <c r="F110" s="562"/>
      <c r="G110" s="563" t="s">
        <v>1666</v>
      </c>
      <c r="H110" s="564"/>
      <c r="I110" s="564"/>
      <c r="J110" s="564"/>
      <c r="K110" s="564"/>
      <c r="L110" s="564"/>
      <c r="M110" s="564"/>
      <c r="N110" s="565"/>
      <c r="O110" s="567" t="s">
        <v>2</v>
      </c>
      <c r="P110" s="567"/>
      <c r="Q110" s="567"/>
      <c r="R110" s="567"/>
      <c r="S110" s="568"/>
    </row>
    <row r="111" spans="2:19" s="1419" customFormat="1" ht="15" customHeight="1">
      <c r="B111" s="572"/>
      <c r="C111" s="1425"/>
      <c r="D111" s="339"/>
      <c r="E111" s="339"/>
      <c r="F111" s="571" t="s">
        <v>1745</v>
      </c>
      <c r="G111" s="158" t="s">
        <v>453</v>
      </c>
      <c r="H111" s="137" t="s">
        <v>455</v>
      </c>
      <c r="I111" s="137" t="s">
        <v>457</v>
      </c>
      <c r="J111" s="137" t="s">
        <v>459</v>
      </c>
      <c r="K111" s="137" t="s">
        <v>461</v>
      </c>
      <c r="L111" s="137" t="s">
        <v>463</v>
      </c>
      <c r="M111" s="137" t="s">
        <v>465</v>
      </c>
      <c r="N111" s="138" t="s">
        <v>467</v>
      </c>
      <c r="O111" s="242" t="s">
        <v>469</v>
      </c>
      <c r="P111" s="121" t="s">
        <v>471</v>
      </c>
      <c r="Q111" s="121" t="s">
        <v>473</v>
      </c>
      <c r="R111" s="121" t="s">
        <v>475</v>
      </c>
      <c r="S111" s="122" t="s">
        <v>477</v>
      </c>
    </row>
    <row r="112" spans="2:19" s="1428" customFormat="1" ht="15" customHeight="1">
      <c r="B112" s="572"/>
      <c r="C112" s="623" t="s">
        <v>3215</v>
      </c>
      <c r="D112" s="591" t="s">
        <v>3216</v>
      </c>
      <c r="E112" s="591"/>
      <c r="F112" s="260"/>
      <c r="G112" s="295"/>
      <c r="H112" s="259"/>
      <c r="I112" s="259"/>
      <c r="J112" s="259"/>
      <c r="K112" s="259"/>
      <c r="L112" s="259"/>
      <c r="M112" s="259"/>
      <c r="N112" s="296"/>
      <c r="O112" s="259"/>
      <c r="P112" s="259"/>
      <c r="Q112" s="259"/>
      <c r="R112" s="259"/>
      <c r="S112" s="296"/>
    </row>
    <row r="113" spans="2:19" s="1428" customFormat="1" ht="15" customHeight="1">
      <c r="B113" s="349"/>
      <c r="C113" s="293"/>
      <c r="D113" s="293"/>
      <c r="F113" s="576" t="s">
        <v>498</v>
      </c>
      <c r="G113" s="297">
        <v>0</v>
      </c>
      <c r="H113" s="298">
        <v>0</v>
      </c>
      <c r="I113" s="298">
        <v>0</v>
      </c>
      <c r="J113" s="298">
        <v>0</v>
      </c>
      <c r="K113" s="298">
        <v>0</v>
      </c>
      <c r="L113" s="298">
        <v>0</v>
      </c>
      <c r="M113" s="298">
        <v>0</v>
      </c>
      <c r="N113" s="299">
        <v>0</v>
      </c>
      <c r="O113" s="460">
        <v>0</v>
      </c>
      <c r="P113" s="298">
        <v>0</v>
      </c>
      <c r="Q113" s="298">
        <v>0</v>
      </c>
      <c r="R113" s="298">
        <v>0</v>
      </c>
      <c r="S113" s="299">
        <v>0</v>
      </c>
    </row>
    <row r="114" spans="2:19" s="1428" customFormat="1" ht="15" customHeight="1">
      <c r="B114" s="349"/>
      <c r="C114" s="293"/>
      <c r="D114" s="293"/>
      <c r="F114" s="576" t="s">
        <v>498</v>
      </c>
      <c r="G114" s="297">
        <v>0</v>
      </c>
      <c r="H114" s="298">
        <v>0</v>
      </c>
      <c r="I114" s="298">
        <v>0</v>
      </c>
      <c r="J114" s="298">
        <v>0</v>
      </c>
      <c r="K114" s="298">
        <v>0</v>
      </c>
      <c r="L114" s="298">
        <v>0</v>
      </c>
      <c r="M114" s="298">
        <v>0</v>
      </c>
      <c r="N114" s="299">
        <v>0</v>
      </c>
      <c r="O114" s="460">
        <v>0</v>
      </c>
      <c r="P114" s="298">
        <v>0</v>
      </c>
      <c r="Q114" s="298">
        <v>0</v>
      </c>
      <c r="R114" s="298">
        <v>0</v>
      </c>
      <c r="S114" s="299">
        <v>0</v>
      </c>
    </row>
    <row r="115" spans="2:19" s="1428" customFormat="1" ht="15" customHeight="1">
      <c r="B115" s="349"/>
      <c r="C115" s="293"/>
      <c r="D115" s="293"/>
      <c r="F115" s="576" t="s">
        <v>498</v>
      </c>
      <c r="G115" s="297">
        <v>0</v>
      </c>
      <c r="H115" s="298">
        <v>0</v>
      </c>
      <c r="I115" s="298">
        <v>0</v>
      </c>
      <c r="J115" s="298">
        <v>0</v>
      </c>
      <c r="K115" s="298">
        <v>0</v>
      </c>
      <c r="L115" s="298">
        <v>0</v>
      </c>
      <c r="M115" s="298">
        <v>0</v>
      </c>
      <c r="N115" s="299">
        <v>0</v>
      </c>
      <c r="O115" s="460">
        <v>0</v>
      </c>
      <c r="P115" s="298">
        <v>0</v>
      </c>
      <c r="Q115" s="298">
        <v>0</v>
      </c>
      <c r="R115" s="298">
        <v>0</v>
      </c>
      <c r="S115" s="299">
        <v>0</v>
      </c>
    </row>
    <row r="116" spans="2:19" s="1428" customFormat="1" ht="15" customHeight="1">
      <c r="B116" s="349"/>
      <c r="C116" s="293"/>
      <c r="D116" s="293"/>
      <c r="F116" s="576" t="s">
        <v>498</v>
      </c>
      <c r="G116" s="297">
        <v>0</v>
      </c>
      <c r="H116" s="298">
        <v>0</v>
      </c>
      <c r="I116" s="298">
        <v>0</v>
      </c>
      <c r="J116" s="298">
        <v>0</v>
      </c>
      <c r="K116" s="298">
        <v>0</v>
      </c>
      <c r="L116" s="298">
        <v>0</v>
      </c>
      <c r="M116" s="298">
        <v>0</v>
      </c>
      <c r="N116" s="299">
        <v>0</v>
      </c>
      <c r="O116" s="460">
        <v>0</v>
      </c>
      <c r="P116" s="298">
        <v>0</v>
      </c>
      <c r="Q116" s="298">
        <v>0</v>
      </c>
      <c r="R116" s="298">
        <v>0</v>
      </c>
      <c r="S116" s="299">
        <v>0</v>
      </c>
    </row>
    <row r="117" spans="2:19" s="1428" customFormat="1" ht="15" customHeight="1">
      <c r="B117" s="349"/>
      <c r="C117" s="293"/>
      <c r="D117" s="293"/>
      <c r="F117" s="576" t="s">
        <v>498</v>
      </c>
      <c r="G117" s="297">
        <v>0</v>
      </c>
      <c r="H117" s="298">
        <v>0</v>
      </c>
      <c r="I117" s="298">
        <v>0</v>
      </c>
      <c r="J117" s="298">
        <v>0</v>
      </c>
      <c r="K117" s="298">
        <v>0</v>
      </c>
      <c r="L117" s="298">
        <v>0</v>
      </c>
      <c r="M117" s="298">
        <v>0</v>
      </c>
      <c r="N117" s="299">
        <v>0</v>
      </c>
      <c r="O117" s="460">
        <v>0</v>
      </c>
      <c r="P117" s="298">
        <v>0</v>
      </c>
      <c r="Q117" s="298">
        <v>0</v>
      </c>
      <c r="R117" s="298">
        <v>0</v>
      </c>
      <c r="S117" s="299">
        <v>0</v>
      </c>
    </row>
    <row r="118" spans="2:19" s="1428" customFormat="1" ht="15" customHeight="1">
      <c r="B118" s="349"/>
      <c r="C118" s="293"/>
      <c r="D118" s="293"/>
      <c r="F118" s="576" t="s">
        <v>498</v>
      </c>
      <c r="G118" s="297">
        <v>0</v>
      </c>
      <c r="H118" s="298">
        <v>0</v>
      </c>
      <c r="I118" s="298">
        <v>0</v>
      </c>
      <c r="J118" s="298">
        <v>0</v>
      </c>
      <c r="K118" s="298">
        <v>0</v>
      </c>
      <c r="L118" s="298">
        <v>0</v>
      </c>
      <c r="M118" s="298">
        <v>0</v>
      </c>
      <c r="N118" s="299">
        <v>0</v>
      </c>
      <c r="O118" s="460">
        <v>0</v>
      </c>
      <c r="P118" s="298">
        <v>0</v>
      </c>
      <c r="Q118" s="298">
        <v>0</v>
      </c>
      <c r="R118" s="298">
        <v>0</v>
      </c>
      <c r="S118" s="299">
        <v>0</v>
      </c>
    </row>
    <row r="119" spans="2:19" s="1428" customFormat="1" ht="15" customHeight="1">
      <c r="B119" s="349"/>
      <c r="C119" s="293"/>
      <c r="D119" s="293"/>
      <c r="F119" s="576" t="s">
        <v>498</v>
      </c>
      <c r="G119" s="297">
        <v>0</v>
      </c>
      <c r="H119" s="298">
        <v>0</v>
      </c>
      <c r="I119" s="298">
        <v>0</v>
      </c>
      <c r="J119" s="298">
        <v>0</v>
      </c>
      <c r="K119" s="298">
        <v>0</v>
      </c>
      <c r="L119" s="298">
        <v>0</v>
      </c>
      <c r="M119" s="298">
        <v>0</v>
      </c>
      <c r="N119" s="299">
        <v>0</v>
      </c>
      <c r="O119" s="460">
        <v>0</v>
      </c>
      <c r="P119" s="298">
        <v>0</v>
      </c>
      <c r="Q119" s="298">
        <v>0</v>
      </c>
      <c r="R119" s="298">
        <v>0</v>
      </c>
      <c r="S119" s="299">
        <v>0</v>
      </c>
    </row>
    <row r="120" spans="2:19" s="1428" customFormat="1" ht="15" customHeight="1">
      <c r="B120" s="349"/>
      <c r="C120" s="293"/>
      <c r="D120" s="293"/>
      <c r="F120" s="576" t="s">
        <v>498</v>
      </c>
      <c r="G120" s="297">
        <v>0</v>
      </c>
      <c r="H120" s="298">
        <v>0</v>
      </c>
      <c r="I120" s="298">
        <v>0</v>
      </c>
      <c r="J120" s="298">
        <v>0</v>
      </c>
      <c r="K120" s="298">
        <v>0</v>
      </c>
      <c r="L120" s="298">
        <v>0</v>
      </c>
      <c r="M120" s="298">
        <v>0</v>
      </c>
      <c r="N120" s="299">
        <v>0</v>
      </c>
      <c r="O120" s="460">
        <v>0</v>
      </c>
      <c r="P120" s="298">
        <v>0</v>
      </c>
      <c r="Q120" s="298">
        <v>0</v>
      </c>
      <c r="R120" s="298">
        <v>0</v>
      </c>
      <c r="S120" s="299">
        <v>0</v>
      </c>
    </row>
    <row r="121" spans="2:19" s="1428" customFormat="1" ht="15" customHeight="1">
      <c r="B121" s="349"/>
      <c r="C121" s="293"/>
      <c r="D121" s="293"/>
      <c r="F121" s="576" t="s">
        <v>498</v>
      </c>
      <c r="G121" s="297">
        <v>0</v>
      </c>
      <c r="H121" s="298">
        <v>0</v>
      </c>
      <c r="I121" s="298">
        <v>0</v>
      </c>
      <c r="J121" s="298">
        <v>0</v>
      </c>
      <c r="K121" s="298">
        <v>0</v>
      </c>
      <c r="L121" s="298">
        <v>0</v>
      </c>
      <c r="M121" s="298">
        <v>0</v>
      </c>
      <c r="N121" s="299">
        <v>0</v>
      </c>
      <c r="O121" s="460">
        <v>0</v>
      </c>
      <c r="P121" s="298">
        <v>0</v>
      </c>
      <c r="Q121" s="298">
        <v>0</v>
      </c>
      <c r="R121" s="298">
        <v>0</v>
      </c>
      <c r="S121" s="299">
        <v>0</v>
      </c>
    </row>
    <row r="122" spans="2:19" s="1428" customFormat="1" ht="15" customHeight="1">
      <c r="B122" s="349"/>
      <c r="C122" s="293"/>
      <c r="D122" s="293"/>
      <c r="F122" s="576" t="s">
        <v>498</v>
      </c>
      <c r="G122" s="297">
        <v>0</v>
      </c>
      <c r="H122" s="298">
        <v>0</v>
      </c>
      <c r="I122" s="298">
        <v>0</v>
      </c>
      <c r="J122" s="298">
        <v>0</v>
      </c>
      <c r="K122" s="298">
        <v>0</v>
      </c>
      <c r="L122" s="298">
        <v>0</v>
      </c>
      <c r="M122" s="298">
        <v>0</v>
      </c>
      <c r="N122" s="299">
        <v>0</v>
      </c>
      <c r="O122" s="460">
        <v>0</v>
      </c>
      <c r="P122" s="298">
        <v>0</v>
      </c>
      <c r="Q122" s="298">
        <v>0</v>
      </c>
      <c r="R122" s="298">
        <v>0</v>
      </c>
      <c r="S122" s="299">
        <v>0</v>
      </c>
    </row>
    <row r="123" spans="2:19" s="1428" customFormat="1" ht="15" customHeight="1">
      <c r="B123" s="349"/>
      <c r="C123" s="293"/>
      <c r="D123" s="293"/>
      <c r="F123" s="576" t="s">
        <v>498</v>
      </c>
      <c r="G123" s="297">
        <v>0</v>
      </c>
      <c r="H123" s="298">
        <v>0</v>
      </c>
      <c r="I123" s="298">
        <v>0</v>
      </c>
      <c r="J123" s="298">
        <v>0</v>
      </c>
      <c r="K123" s="298">
        <v>0</v>
      </c>
      <c r="L123" s="298">
        <v>0</v>
      </c>
      <c r="M123" s="298">
        <v>0</v>
      </c>
      <c r="N123" s="299">
        <v>0</v>
      </c>
      <c r="O123" s="460">
        <v>0</v>
      </c>
      <c r="P123" s="298">
        <v>0</v>
      </c>
      <c r="Q123" s="298">
        <v>0</v>
      </c>
      <c r="R123" s="298">
        <v>0</v>
      </c>
      <c r="S123" s="299">
        <v>0</v>
      </c>
    </row>
    <row r="124" spans="2:19" s="1428" customFormat="1" ht="15" customHeight="1">
      <c r="B124" s="349"/>
      <c r="C124" s="293"/>
      <c r="D124" s="293"/>
      <c r="F124" s="576" t="s">
        <v>498</v>
      </c>
      <c r="G124" s="297">
        <v>0</v>
      </c>
      <c r="H124" s="298">
        <v>0</v>
      </c>
      <c r="I124" s="298">
        <v>0</v>
      </c>
      <c r="J124" s="298">
        <v>0</v>
      </c>
      <c r="K124" s="298">
        <v>0</v>
      </c>
      <c r="L124" s="298">
        <v>0</v>
      </c>
      <c r="M124" s="298">
        <v>0</v>
      </c>
      <c r="N124" s="299">
        <v>0</v>
      </c>
      <c r="O124" s="460">
        <v>0</v>
      </c>
      <c r="P124" s="298">
        <v>0</v>
      </c>
      <c r="Q124" s="298">
        <v>0</v>
      </c>
      <c r="R124" s="298">
        <v>0</v>
      </c>
      <c r="S124" s="299">
        <v>0</v>
      </c>
    </row>
    <row r="125" spans="2:19" s="1428" customFormat="1" ht="15" customHeight="1">
      <c r="B125" s="349"/>
      <c r="C125" s="293"/>
      <c r="D125" s="293"/>
      <c r="F125" s="576" t="s">
        <v>498</v>
      </c>
      <c r="G125" s="297">
        <v>0</v>
      </c>
      <c r="H125" s="298">
        <v>0</v>
      </c>
      <c r="I125" s="298">
        <v>0</v>
      </c>
      <c r="J125" s="298">
        <v>0</v>
      </c>
      <c r="K125" s="298">
        <v>0</v>
      </c>
      <c r="L125" s="298">
        <v>0</v>
      </c>
      <c r="M125" s="298">
        <v>0</v>
      </c>
      <c r="N125" s="299">
        <v>0</v>
      </c>
      <c r="O125" s="460">
        <v>0</v>
      </c>
      <c r="P125" s="298">
        <v>0</v>
      </c>
      <c r="Q125" s="298">
        <v>0</v>
      </c>
      <c r="R125" s="298">
        <v>0</v>
      </c>
      <c r="S125" s="299">
        <v>0</v>
      </c>
    </row>
    <row r="126" spans="2:19" s="1428" customFormat="1" ht="15" customHeight="1">
      <c r="B126" s="349"/>
      <c r="C126" s="293"/>
      <c r="D126" s="293"/>
      <c r="F126" s="576" t="s">
        <v>498</v>
      </c>
      <c r="G126" s="297">
        <v>0</v>
      </c>
      <c r="H126" s="298">
        <v>0</v>
      </c>
      <c r="I126" s="298">
        <v>0</v>
      </c>
      <c r="J126" s="298">
        <v>0</v>
      </c>
      <c r="K126" s="298">
        <v>0</v>
      </c>
      <c r="L126" s="298">
        <v>0</v>
      </c>
      <c r="M126" s="298">
        <v>0</v>
      </c>
      <c r="N126" s="299">
        <v>0</v>
      </c>
      <c r="O126" s="460">
        <v>0</v>
      </c>
      <c r="P126" s="298">
        <v>0</v>
      </c>
      <c r="Q126" s="298">
        <v>0</v>
      </c>
      <c r="R126" s="298">
        <v>0</v>
      </c>
      <c r="S126" s="299">
        <v>0</v>
      </c>
    </row>
    <row r="127" spans="2:19" s="1428" customFormat="1" ht="15" customHeight="1">
      <c r="B127" s="349"/>
      <c r="C127" s="293"/>
      <c r="D127" s="293"/>
      <c r="F127" s="576" t="s">
        <v>498</v>
      </c>
      <c r="G127" s="297">
        <v>0</v>
      </c>
      <c r="H127" s="298">
        <v>0</v>
      </c>
      <c r="I127" s="298">
        <v>0</v>
      </c>
      <c r="J127" s="298">
        <v>0</v>
      </c>
      <c r="K127" s="298">
        <v>0</v>
      </c>
      <c r="L127" s="298">
        <v>0</v>
      </c>
      <c r="M127" s="298">
        <v>0</v>
      </c>
      <c r="N127" s="299">
        <v>0</v>
      </c>
      <c r="O127" s="460">
        <v>0</v>
      </c>
      <c r="P127" s="298">
        <v>0</v>
      </c>
      <c r="Q127" s="298">
        <v>0</v>
      </c>
      <c r="R127" s="298">
        <v>0</v>
      </c>
      <c r="S127" s="299">
        <v>0</v>
      </c>
    </row>
    <row r="128" spans="2:19" s="1428" customFormat="1" ht="15" customHeight="1">
      <c r="B128" s="349"/>
      <c r="C128" s="293"/>
      <c r="D128" s="293"/>
      <c r="F128" s="576" t="s">
        <v>498</v>
      </c>
      <c r="G128" s="297">
        <v>0</v>
      </c>
      <c r="H128" s="298">
        <v>0</v>
      </c>
      <c r="I128" s="298">
        <v>0</v>
      </c>
      <c r="J128" s="298">
        <v>0</v>
      </c>
      <c r="K128" s="298">
        <v>0</v>
      </c>
      <c r="L128" s="298">
        <v>0</v>
      </c>
      <c r="M128" s="298">
        <v>0</v>
      </c>
      <c r="N128" s="299">
        <v>0</v>
      </c>
      <c r="O128" s="460">
        <v>0</v>
      </c>
      <c r="P128" s="298">
        <v>0</v>
      </c>
      <c r="Q128" s="298">
        <v>0</v>
      </c>
      <c r="R128" s="298">
        <v>0</v>
      </c>
      <c r="S128" s="299">
        <v>0</v>
      </c>
    </row>
    <row r="129" spans="2:19" s="1428" customFormat="1" ht="15" customHeight="1">
      <c r="B129" s="349"/>
      <c r="C129" s="293"/>
      <c r="D129" s="293"/>
      <c r="F129" s="576" t="s">
        <v>498</v>
      </c>
      <c r="G129" s="297">
        <v>0</v>
      </c>
      <c r="H129" s="298">
        <v>0</v>
      </c>
      <c r="I129" s="298">
        <v>0</v>
      </c>
      <c r="J129" s="298">
        <v>0</v>
      </c>
      <c r="K129" s="298">
        <v>0</v>
      </c>
      <c r="L129" s="298">
        <v>0</v>
      </c>
      <c r="M129" s="298">
        <v>0</v>
      </c>
      <c r="N129" s="299">
        <v>0</v>
      </c>
      <c r="O129" s="460">
        <v>0</v>
      </c>
      <c r="P129" s="298">
        <v>0</v>
      </c>
      <c r="Q129" s="298">
        <v>0</v>
      </c>
      <c r="R129" s="298">
        <v>0</v>
      </c>
      <c r="S129" s="299">
        <v>0</v>
      </c>
    </row>
    <row r="130" spans="2:19" s="1428" customFormat="1" ht="15" customHeight="1">
      <c r="B130" s="349"/>
      <c r="C130" s="293"/>
      <c r="D130" s="293"/>
      <c r="F130" s="576" t="s">
        <v>498</v>
      </c>
      <c r="G130" s="297">
        <v>0</v>
      </c>
      <c r="H130" s="298">
        <v>0</v>
      </c>
      <c r="I130" s="298">
        <v>0</v>
      </c>
      <c r="J130" s="298">
        <v>0</v>
      </c>
      <c r="K130" s="298">
        <v>0</v>
      </c>
      <c r="L130" s="298">
        <v>0</v>
      </c>
      <c r="M130" s="298">
        <v>0</v>
      </c>
      <c r="N130" s="299">
        <v>0</v>
      </c>
      <c r="O130" s="460">
        <v>0</v>
      </c>
      <c r="P130" s="298">
        <v>0</v>
      </c>
      <c r="Q130" s="298">
        <v>0</v>
      </c>
      <c r="R130" s="298">
        <v>0</v>
      </c>
      <c r="S130" s="299">
        <v>0</v>
      </c>
    </row>
    <row r="131" spans="2:19" s="1428" customFormat="1" ht="15" customHeight="1">
      <c r="B131" s="349"/>
      <c r="C131" s="293"/>
      <c r="D131" s="293"/>
      <c r="F131" s="576" t="s">
        <v>498</v>
      </c>
      <c r="G131" s="297">
        <v>0</v>
      </c>
      <c r="H131" s="298">
        <v>0</v>
      </c>
      <c r="I131" s="298">
        <v>0</v>
      </c>
      <c r="J131" s="298">
        <v>0</v>
      </c>
      <c r="K131" s="298">
        <v>0</v>
      </c>
      <c r="L131" s="298">
        <v>0</v>
      </c>
      <c r="M131" s="298">
        <v>0</v>
      </c>
      <c r="N131" s="299">
        <v>0</v>
      </c>
      <c r="O131" s="460">
        <v>0</v>
      </c>
      <c r="P131" s="298">
        <v>0</v>
      </c>
      <c r="Q131" s="298">
        <v>0</v>
      </c>
      <c r="R131" s="298">
        <v>0</v>
      </c>
      <c r="S131" s="299">
        <v>0</v>
      </c>
    </row>
    <row r="132" spans="2:19" s="1428" customFormat="1" ht="15" customHeight="1">
      <c r="B132" s="349"/>
      <c r="C132" s="293"/>
      <c r="D132" s="293"/>
      <c r="F132" s="576" t="s">
        <v>498</v>
      </c>
      <c r="G132" s="297">
        <v>0</v>
      </c>
      <c r="H132" s="298">
        <v>0</v>
      </c>
      <c r="I132" s="298">
        <v>0</v>
      </c>
      <c r="J132" s="298">
        <v>0</v>
      </c>
      <c r="K132" s="298">
        <v>0</v>
      </c>
      <c r="L132" s="298">
        <v>0</v>
      </c>
      <c r="M132" s="298">
        <v>0</v>
      </c>
      <c r="N132" s="299">
        <v>0</v>
      </c>
      <c r="O132" s="460">
        <v>0</v>
      </c>
      <c r="P132" s="298">
        <v>0</v>
      </c>
      <c r="Q132" s="298">
        <v>0</v>
      </c>
      <c r="R132" s="298">
        <v>0</v>
      </c>
      <c r="S132" s="299">
        <v>0</v>
      </c>
    </row>
    <row r="133" spans="2:19" s="1428" customFormat="1" ht="15" customHeight="1">
      <c r="B133" s="349"/>
      <c r="C133" s="293"/>
      <c r="D133" s="293"/>
      <c r="F133" s="576" t="s">
        <v>498</v>
      </c>
      <c r="G133" s="297">
        <v>0</v>
      </c>
      <c r="H133" s="298">
        <v>0</v>
      </c>
      <c r="I133" s="298">
        <v>0</v>
      </c>
      <c r="J133" s="298">
        <v>0</v>
      </c>
      <c r="K133" s="298">
        <v>0</v>
      </c>
      <c r="L133" s="298">
        <v>0</v>
      </c>
      <c r="M133" s="298">
        <v>0</v>
      </c>
      <c r="N133" s="299">
        <v>0</v>
      </c>
      <c r="O133" s="460">
        <v>0</v>
      </c>
      <c r="P133" s="298">
        <v>0</v>
      </c>
      <c r="Q133" s="298">
        <v>0</v>
      </c>
      <c r="R133" s="298">
        <v>0</v>
      </c>
      <c r="S133" s="299">
        <v>0</v>
      </c>
    </row>
    <row r="134" spans="2:19" s="1428" customFormat="1" ht="15" customHeight="1">
      <c r="B134" s="349"/>
      <c r="C134" s="293"/>
      <c r="D134" s="293"/>
      <c r="F134" s="576" t="s">
        <v>498</v>
      </c>
      <c r="G134" s="297">
        <v>0</v>
      </c>
      <c r="H134" s="298">
        <v>0</v>
      </c>
      <c r="I134" s="298">
        <v>0</v>
      </c>
      <c r="J134" s="298">
        <v>0</v>
      </c>
      <c r="K134" s="298">
        <v>0</v>
      </c>
      <c r="L134" s="298">
        <v>0</v>
      </c>
      <c r="M134" s="298">
        <v>0</v>
      </c>
      <c r="N134" s="299">
        <v>0</v>
      </c>
      <c r="O134" s="460">
        <v>0</v>
      </c>
      <c r="P134" s="298">
        <v>0</v>
      </c>
      <c r="Q134" s="298">
        <v>0</v>
      </c>
      <c r="R134" s="298">
        <v>0</v>
      </c>
      <c r="S134" s="299">
        <v>0</v>
      </c>
    </row>
    <row r="135" spans="2:19" s="1428" customFormat="1" ht="15" customHeight="1">
      <c r="B135" s="349"/>
      <c r="C135" s="293"/>
      <c r="D135" s="293"/>
      <c r="F135" s="576" t="s">
        <v>498</v>
      </c>
      <c r="G135" s="297">
        <v>0</v>
      </c>
      <c r="H135" s="298">
        <v>0</v>
      </c>
      <c r="I135" s="298">
        <v>0</v>
      </c>
      <c r="J135" s="298">
        <v>0</v>
      </c>
      <c r="K135" s="298">
        <v>0</v>
      </c>
      <c r="L135" s="298">
        <v>0</v>
      </c>
      <c r="M135" s="298">
        <v>0</v>
      </c>
      <c r="N135" s="299">
        <v>0</v>
      </c>
      <c r="O135" s="460">
        <v>0</v>
      </c>
      <c r="P135" s="298">
        <v>0</v>
      </c>
      <c r="Q135" s="298">
        <v>0</v>
      </c>
      <c r="R135" s="298">
        <v>0</v>
      </c>
      <c r="S135" s="299">
        <v>0</v>
      </c>
    </row>
    <row r="136" spans="2:19" s="1428" customFormat="1" ht="15" customHeight="1">
      <c r="B136" s="349"/>
      <c r="C136" s="293"/>
      <c r="D136" s="293"/>
      <c r="F136" s="576" t="s">
        <v>498</v>
      </c>
      <c r="G136" s="297">
        <v>0</v>
      </c>
      <c r="H136" s="298">
        <v>0</v>
      </c>
      <c r="I136" s="298">
        <v>0</v>
      </c>
      <c r="J136" s="298">
        <v>0</v>
      </c>
      <c r="K136" s="298">
        <v>0</v>
      </c>
      <c r="L136" s="298">
        <v>0</v>
      </c>
      <c r="M136" s="298">
        <v>0</v>
      </c>
      <c r="N136" s="299">
        <v>0</v>
      </c>
      <c r="O136" s="460">
        <v>0</v>
      </c>
      <c r="P136" s="298">
        <v>0</v>
      </c>
      <c r="Q136" s="298">
        <v>0</v>
      </c>
      <c r="R136" s="298">
        <v>0</v>
      </c>
      <c r="S136" s="299">
        <v>0</v>
      </c>
    </row>
    <row r="137" spans="2:19" s="1428" customFormat="1" ht="15" customHeight="1">
      <c r="B137" s="349"/>
      <c r="C137" s="293"/>
      <c r="D137" s="293"/>
      <c r="F137" s="576" t="s">
        <v>498</v>
      </c>
      <c r="G137" s="297">
        <v>0</v>
      </c>
      <c r="H137" s="298">
        <v>0</v>
      </c>
      <c r="I137" s="298">
        <v>0</v>
      </c>
      <c r="J137" s="298">
        <v>0</v>
      </c>
      <c r="K137" s="298">
        <v>0</v>
      </c>
      <c r="L137" s="298">
        <v>0</v>
      </c>
      <c r="M137" s="298">
        <v>0</v>
      </c>
      <c r="N137" s="299">
        <v>0</v>
      </c>
      <c r="O137" s="460">
        <v>0</v>
      </c>
      <c r="P137" s="298">
        <v>0</v>
      </c>
      <c r="Q137" s="298">
        <v>0</v>
      </c>
      <c r="R137" s="298">
        <v>0</v>
      </c>
      <c r="S137" s="299">
        <v>0</v>
      </c>
    </row>
    <row r="138" spans="2:19" s="1428" customFormat="1" ht="15" customHeight="1">
      <c r="B138" s="349"/>
      <c r="C138" s="293"/>
      <c r="D138" s="293"/>
      <c r="F138" s="576" t="s">
        <v>498</v>
      </c>
      <c r="G138" s="297">
        <v>0</v>
      </c>
      <c r="H138" s="298">
        <v>0</v>
      </c>
      <c r="I138" s="298">
        <v>0</v>
      </c>
      <c r="J138" s="298">
        <v>0</v>
      </c>
      <c r="K138" s="298">
        <v>0</v>
      </c>
      <c r="L138" s="298">
        <v>0</v>
      </c>
      <c r="M138" s="298">
        <v>0</v>
      </c>
      <c r="N138" s="299">
        <v>0</v>
      </c>
      <c r="O138" s="460">
        <v>0</v>
      </c>
      <c r="P138" s="298">
        <v>0</v>
      </c>
      <c r="Q138" s="298">
        <v>0</v>
      </c>
      <c r="R138" s="298">
        <v>0</v>
      </c>
      <c r="S138" s="299">
        <v>0</v>
      </c>
    </row>
    <row r="139" spans="2:19" s="1428" customFormat="1" ht="15" customHeight="1">
      <c r="B139" s="349"/>
      <c r="C139" s="293"/>
      <c r="D139" s="293"/>
      <c r="F139" s="576" t="s">
        <v>498</v>
      </c>
      <c r="G139" s="297">
        <v>0</v>
      </c>
      <c r="H139" s="298">
        <v>0</v>
      </c>
      <c r="I139" s="298">
        <v>0</v>
      </c>
      <c r="J139" s="298">
        <v>0</v>
      </c>
      <c r="K139" s="298">
        <v>0</v>
      </c>
      <c r="L139" s="298">
        <v>0</v>
      </c>
      <c r="M139" s="298">
        <v>0</v>
      </c>
      <c r="N139" s="299">
        <v>0</v>
      </c>
      <c r="O139" s="460">
        <v>0</v>
      </c>
      <c r="P139" s="298">
        <v>0</v>
      </c>
      <c r="Q139" s="298">
        <v>0</v>
      </c>
      <c r="R139" s="298">
        <v>0</v>
      </c>
      <c r="S139" s="299">
        <v>0</v>
      </c>
    </row>
    <row r="140" spans="2:19" s="1428" customFormat="1" ht="15" customHeight="1">
      <c r="B140" s="349"/>
      <c r="C140" s="293"/>
      <c r="D140" s="293"/>
      <c r="F140" s="576" t="s">
        <v>498</v>
      </c>
      <c r="G140" s="297">
        <v>0</v>
      </c>
      <c r="H140" s="298">
        <v>0</v>
      </c>
      <c r="I140" s="298">
        <v>0</v>
      </c>
      <c r="J140" s="298">
        <v>0</v>
      </c>
      <c r="K140" s="298">
        <v>0</v>
      </c>
      <c r="L140" s="298">
        <v>0</v>
      </c>
      <c r="M140" s="298">
        <v>0</v>
      </c>
      <c r="N140" s="299">
        <v>0</v>
      </c>
      <c r="O140" s="460">
        <v>0</v>
      </c>
      <c r="P140" s="298">
        <v>0</v>
      </c>
      <c r="Q140" s="298">
        <v>0</v>
      </c>
      <c r="R140" s="298">
        <v>0</v>
      </c>
      <c r="S140" s="299">
        <v>0</v>
      </c>
    </row>
    <row r="141" spans="2:19" s="1419" customFormat="1" ht="15" customHeight="1" thickBot="1">
      <c r="B141" s="357" t="s">
        <v>1701</v>
      </c>
      <c r="C141" s="358"/>
      <c r="D141" s="1427"/>
      <c r="E141" s="1427"/>
      <c r="F141" s="581" t="s">
        <v>498</v>
      </c>
      <c r="G141" s="634">
        <f>SUM(G113:G140)</f>
        <v>0</v>
      </c>
      <c r="H141" s="635">
        <f t="shared" ref="H141:S141" si="14">SUM(H113:H140)</f>
        <v>0</v>
      </c>
      <c r="I141" s="635">
        <f t="shared" si="14"/>
        <v>0</v>
      </c>
      <c r="J141" s="635">
        <f t="shared" si="14"/>
        <v>0</v>
      </c>
      <c r="K141" s="635">
        <f t="shared" si="14"/>
        <v>0</v>
      </c>
      <c r="L141" s="635">
        <f t="shared" si="14"/>
        <v>0</v>
      </c>
      <c r="M141" s="635">
        <f t="shared" si="14"/>
        <v>0</v>
      </c>
      <c r="N141" s="636">
        <f t="shared" si="14"/>
        <v>0</v>
      </c>
      <c r="O141" s="999">
        <f t="shared" si="14"/>
        <v>0</v>
      </c>
      <c r="P141" s="635">
        <f t="shared" si="14"/>
        <v>0</v>
      </c>
      <c r="Q141" s="635">
        <f t="shared" si="14"/>
        <v>0</v>
      </c>
      <c r="R141" s="635">
        <f t="shared" si="14"/>
        <v>0</v>
      </c>
      <c r="S141" s="636">
        <f t="shared" si="14"/>
        <v>0</v>
      </c>
    </row>
    <row r="142" spans="2:19" s="1419" customFormat="1" ht="13.5" thickBot="1"/>
    <row r="143" spans="2:19" s="1419" customFormat="1" ht="30" customHeight="1" thickBot="1">
      <c r="B143" s="640" t="s">
        <v>3217</v>
      </c>
      <c r="C143" s="558"/>
      <c r="D143" s="558"/>
      <c r="E143" s="558"/>
      <c r="F143" s="105" t="s">
        <v>1704</v>
      </c>
      <c r="G143" s="106"/>
      <c r="H143" s="106"/>
      <c r="I143" s="106"/>
      <c r="J143" s="106"/>
      <c r="K143" s="106"/>
      <c r="L143" s="106"/>
      <c r="M143" s="106"/>
      <c r="N143" s="106"/>
      <c r="O143" s="105"/>
      <c r="P143" s="105"/>
      <c r="Q143" s="105"/>
      <c r="R143" s="105"/>
      <c r="S143" s="187"/>
    </row>
    <row r="144" spans="2:19" s="1419" customFormat="1" ht="30" customHeight="1">
      <c r="B144" s="560"/>
      <c r="C144" s="561"/>
      <c r="D144" s="561"/>
      <c r="E144" s="561"/>
      <c r="F144" s="562"/>
      <c r="G144" s="563" t="s">
        <v>1666</v>
      </c>
      <c r="H144" s="564"/>
      <c r="I144" s="564"/>
      <c r="J144" s="564"/>
      <c r="K144" s="564"/>
      <c r="L144" s="564"/>
      <c r="M144" s="564"/>
      <c r="N144" s="565"/>
      <c r="O144" s="567" t="s">
        <v>2</v>
      </c>
      <c r="P144" s="567"/>
      <c r="Q144" s="567"/>
      <c r="R144" s="567"/>
      <c r="S144" s="568"/>
    </row>
    <row r="145" spans="2:19" s="1428" customFormat="1" ht="15" customHeight="1">
      <c r="B145" s="572"/>
      <c r="C145" s="1430"/>
      <c r="D145" s="339"/>
      <c r="E145" s="339"/>
      <c r="F145" s="571" t="s">
        <v>1745</v>
      </c>
      <c r="G145" s="158" t="s">
        <v>453</v>
      </c>
      <c r="H145" s="137" t="s">
        <v>455</v>
      </c>
      <c r="I145" s="137" t="s">
        <v>457</v>
      </c>
      <c r="J145" s="137" t="s">
        <v>459</v>
      </c>
      <c r="K145" s="137" t="s">
        <v>461</v>
      </c>
      <c r="L145" s="137" t="s">
        <v>463</v>
      </c>
      <c r="M145" s="137" t="s">
        <v>465</v>
      </c>
      <c r="N145" s="138" t="s">
        <v>467</v>
      </c>
      <c r="O145" s="242" t="s">
        <v>469</v>
      </c>
      <c r="P145" s="121" t="s">
        <v>471</v>
      </c>
      <c r="Q145" s="121" t="s">
        <v>473</v>
      </c>
      <c r="R145" s="121" t="s">
        <v>475</v>
      </c>
      <c r="S145" s="122" t="s">
        <v>477</v>
      </c>
    </row>
    <row r="146" spans="2:19" s="1428" customFormat="1" ht="15" customHeight="1">
      <c r="B146" s="572"/>
      <c r="C146" s="623" t="s">
        <v>3215</v>
      </c>
      <c r="D146" s="591" t="s">
        <v>3216</v>
      </c>
      <c r="E146" s="591"/>
      <c r="F146" s="260"/>
      <c r="G146" s="295"/>
      <c r="H146" s="259"/>
      <c r="I146" s="259"/>
      <c r="J146" s="259"/>
      <c r="K146" s="259"/>
      <c r="L146" s="259"/>
      <c r="M146" s="259"/>
      <c r="N146" s="296"/>
      <c r="O146" s="259"/>
      <c r="P146" s="259"/>
      <c r="Q146" s="259"/>
      <c r="R146" s="259"/>
      <c r="S146" s="296"/>
    </row>
    <row r="147" spans="2:19" s="1428" customFormat="1" ht="15" customHeight="1">
      <c r="B147" s="349"/>
      <c r="C147" s="293"/>
      <c r="D147" s="293"/>
      <c r="F147" s="576" t="s">
        <v>498</v>
      </c>
      <c r="G147" s="297">
        <v>0</v>
      </c>
      <c r="H147" s="298">
        <v>0</v>
      </c>
      <c r="I147" s="298">
        <v>0</v>
      </c>
      <c r="J147" s="298">
        <v>0</v>
      </c>
      <c r="K147" s="298">
        <v>0</v>
      </c>
      <c r="L147" s="298">
        <v>0</v>
      </c>
      <c r="M147" s="298">
        <v>0</v>
      </c>
      <c r="N147" s="299">
        <v>0</v>
      </c>
      <c r="O147" s="460">
        <v>0</v>
      </c>
      <c r="P147" s="298">
        <v>0</v>
      </c>
      <c r="Q147" s="298">
        <v>0</v>
      </c>
      <c r="R147" s="298">
        <v>0</v>
      </c>
      <c r="S147" s="299">
        <v>0</v>
      </c>
    </row>
    <row r="148" spans="2:19" s="1428" customFormat="1" ht="15" customHeight="1">
      <c r="B148" s="349"/>
      <c r="C148" s="293"/>
      <c r="D148" s="293"/>
      <c r="F148" s="576" t="s">
        <v>498</v>
      </c>
      <c r="G148" s="297">
        <v>0</v>
      </c>
      <c r="H148" s="298">
        <v>0</v>
      </c>
      <c r="I148" s="298">
        <v>0</v>
      </c>
      <c r="J148" s="298">
        <v>0</v>
      </c>
      <c r="K148" s="298">
        <v>0</v>
      </c>
      <c r="L148" s="298">
        <v>0</v>
      </c>
      <c r="M148" s="298">
        <v>0</v>
      </c>
      <c r="N148" s="299">
        <v>0</v>
      </c>
      <c r="O148" s="460">
        <v>0</v>
      </c>
      <c r="P148" s="298">
        <v>0</v>
      </c>
      <c r="Q148" s="298">
        <v>0</v>
      </c>
      <c r="R148" s="298">
        <v>0</v>
      </c>
      <c r="S148" s="299">
        <v>0</v>
      </c>
    </row>
    <row r="149" spans="2:19" s="1428" customFormat="1" ht="15" customHeight="1">
      <c r="B149" s="349"/>
      <c r="C149" s="293"/>
      <c r="D149" s="293"/>
      <c r="F149" s="576" t="s">
        <v>498</v>
      </c>
      <c r="G149" s="297">
        <v>0</v>
      </c>
      <c r="H149" s="298">
        <v>0</v>
      </c>
      <c r="I149" s="298">
        <v>0</v>
      </c>
      <c r="J149" s="298">
        <v>0</v>
      </c>
      <c r="K149" s="298">
        <v>0</v>
      </c>
      <c r="L149" s="298">
        <v>0</v>
      </c>
      <c r="M149" s="298">
        <v>0</v>
      </c>
      <c r="N149" s="299">
        <v>0</v>
      </c>
      <c r="O149" s="460">
        <v>0</v>
      </c>
      <c r="P149" s="298">
        <v>0</v>
      </c>
      <c r="Q149" s="298">
        <v>0</v>
      </c>
      <c r="R149" s="298">
        <v>0</v>
      </c>
      <c r="S149" s="299">
        <v>0</v>
      </c>
    </row>
    <row r="150" spans="2:19" s="1428" customFormat="1" ht="15" customHeight="1">
      <c r="B150" s="349"/>
      <c r="C150" s="293"/>
      <c r="D150" s="293"/>
      <c r="F150" s="576" t="s">
        <v>498</v>
      </c>
      <c r="G150" s="297">
        <v>0</v>
      </c>
      <c r="H150" s="298">
        <v>0</v>
      </c>
      <c r="I150" s="298">
        <v>0</v>
      </c>
      <c r="J150" s="298">
        <v>0</v>
      </c>
      <c r="K150" s="298">
        <v>0</v>
      </c>
      <c r="L150" s="298">
        <v>0</v>
      </c>
      <c r="M150" s="298">
        <v>0</v>
      </c>
      <c r="N150" s="299">
        <v>0</v>
      </c>
      <c r="O150" s="460">
        <v>0</v>
      </c>
      <c r="P150" s="298">
        <v>0</v>
      </c>
      <c r="Q150" s="298">
        <v>0</v>
      </c>
      <c r="R150" s="298">
        <v>0</v>
      </c>
      <c r="S150" s="299">
        <v>0</v>
      </c>
    </row>
    <row r="151" spans="2:19" s="1428" customFormat="1" ht="15" customHeight="1">
      <c r="B151" s="349"/>
      <c r="C151" s="293"/>
      <c r="D151" s="293"/>
      <c r="F151" s="576" t="s">
        <v>498</v>
      </c>
      <c r="G151" s="297">
        <v>0</v>
      </c>
      <c r="H151" s="298">
        <v>0</v>
      </c>
      <c r="I151" s="298">
        <v>0</v>
      </c>
      <c r="J151" s="298">
        <v>0</v>
      </c>
      <c r="K151" s="298">
        <v>0</v>
      </c>
      <c r="L151" s="298">
        <v>0</v>
      </c>
      <c r="M151" s="298">
        <v>0</v>
      </c>
      <c r="N151" s="299">
        <v>0</v>
      </c>
      <c r="O151" s="460">
        <v>0</v>
      </c>
      <c r="P151" s="298">
        <v>0</v>
      </c>
      <c r="Q151" s="298">
        <v>0</v>
      </c>
      <c r="R151" s="298">
        <v>0</v>
      </c>
      <c r="S151" s="299">
        <v>0</v>
      </c>
    </row>
    <row r="152" spans="2:19" s="1428" customFormat="1" ht="15" customHeight="1">
      <c r="B152" s="349"/>
      <c r="C152" s="293"/>
      <c r="D152" s="293"/>
      <c r="F152" s="576" t="s">
        <v>498</v>
      </c>
      <c r="G152" s="297">
        <v>0</v>
      </c>
      <c r="H152" s="298">
        <v>0</v>
      </c>
      <c r="I152" s="298">
        <v>0</v>
      </c>
      <c r="J152" s="298">
        <v>0</v>
      </c>
      <c r="K152" s="298">
        <v>0</v>
      </c>
      <c r="L152" s="298">
        <v>0</v>
      </c>
      <c r="M152" s="298">
        <v>0</v>
      </c>
      <c r="N152" s="299">
        <v>0</v>
      </c>
      <c r="O152" s="460">
        <v>0</v>
      </c>
      <c r="P152" s="298">
        <v>0</v>
      </c>
      <c r="Q152" s="298">
        <v>0</v>
      </c>
      <c r="R152" s="298">
        <v>0</v>
      </c>
      <c r="S152" s="299">
        <v>0</v>
      </c>
    </row>
    <row r="153" spans="2:19" s="1428" customFormat="1" ht="15" customHeight="1">
      <c r="B153" s="349"/>
      <c r="C153" s="293"/>
      <c r="D153" s="293"/>
      <c r="F153" s="576" t="s">
        <v>498</v>
      </c>
      <c r="G153" s="297">
        <v>0</v>
      </c>
      <c r="H153" s="298">
        <v>0</v>
      </c>
      <c r="I153" s="298">
        <v>0</v>
      </c>
      <c r="J153" s="298">
        <v>0</v>
      </c>
      <c r="K153" s="298">
        <v>0</v>
      </c>
      <c r="L153" s="298">
        <v>0</v>
      </c>
      <c r="M153" s="298">
        <v>0</v>
      </c>
      <c r="N153" s="299">
        <v>0</v>
      </c>
      <c r="O153" s="460">
        <v>0</v>
      </c>
      <c r="P153" s="298">
        <v>0</v>
      </c>
      <c r="Q153" s="298">
        <v>0</v>
      </c>
      <c r="R153" s="298">
        <v>0</v>
      </c>
      <c r="S153" s="299">
        <v>0</v>
      </c>
    </row>
    <row r="154" spans="2:19" s="1428" customFormat="1" ht="15" customHeight="1">
      <c r="B154" s="349"/>
      <c r="C154" s="293"/>
      <c r="D154" s="293"/>
      <c r="F154" s="576" t="s">
        <v>498</v>
      </c>
      <c r="G154" s="297">
        <v>0</v>
      </c>
      <c r="H154" s="298">
        <v>0</v>
      </c>
      <c r="I154" s="298">
        <v>0</v>
      </c>
      <c r="J154" s="298">
        <v>0</v>
      </c>
      <c r="K154" s="298">
        <v>0</v>
      </c>
      <c r="L154" s="298">
        <v>0</v>
      </c>
      <c r="M154" s="298">
        <v>0</v>
      </c>
      <c r="N154" s="299">
        <v>0</v>
      </c>
      <c r="O154" s="460">
        <v>0</v>
      </c>
      <c r="P154" s="298">
        <v>0</v>
      </c>
      <c r="Q154" s="298">
        <v>0</v>
      </c>
      <c r="R154" s="298">
        <v>0</v>
      </c>
      <c r="S154" s="299">
        <v>0</v>
      </c>
    </row>
    <row r="155" spans="2:19" s="1428" customFormat="1" ht="15" customHeight="1">
      <c r="B155" s="349"/>
      <c r="C155" s="293"/>
      <c r="D155" s="293"/>
      <c r="F155" s="576" t="s">
        <v>498</v>
      </c>
      <c r="G155" s="297">
        <v>0</v>
      </c>
      <c r="H155" s="298">
        <v>0</v>
      </c>
      <c r="I155" s="298">
        <v>0</v>
      </c>
      <c r="J155" s="298">
        <v>0</v>
      </c>
      <c r="K155" s="298">
        <v>0</v>
      </c>
      <c r="L155" s="298">
        <v>0</v>
      </c>
      <c r="M155" s="298">
        <v>0</v>
      </c>
      <c r="N155" s="299">
        <v>0</v>
      </c>
      <c r="O155" s="460">
        <v>0</v>
      </c>
      <c r="P155" s="298">
        <v>0</v>
      </c>
      <c r="Q155" s="298">
        <v>0</v>
      </c>
      <c r="R155" s="298">
        <v>0</v>
      </c>
      <c r="S155" s="299">
        <v>0</v>
      </c>
    </row>
    <row r="156" spans="2:19" s="1428" customFormat="1" ht="15" customHeight="1">
      <c r="B156" s="349"/>
      <c r="C156" s="293"/>
      <c r="D156" s="293"/>
      <c r="F156" s="576" t="s">
        <v>498</v>
      </c>
      <c r="G156" s="297">
        <v>0</v>
      </c>
      <c r="H156" s="298">
        <v>0</v>
      </c>
      <c r="I156" s="298">
        <v>0</v>
      </c>
      <c r="J156" s="298">
        <v>0</v>
      </c>
      <c r="K156" s="298">
        <v>0</v>
      </c>
      <c r="L156" s="298">
        <v>0</v>
      </c>
      <c r="M156" s="298">
        <v>0</v>
      </c>
      <c r="N156" s="299">
        <v>0</v>
      </c>
      <c r="O156" s="460">
        <v>0</v>
      </c>
      <c r="P156" s="298">
        <v>0</v>
      </c>
      <c r="Q156" s="298">
        <v>0</v>
      </c>
      <c r="R156" s="298">
        <v>0</v>
      </c>
      <c r="S156" s="299">
        <v>0</v>
      </c>
    </row>
    <row r="157" spans="2:19" s="1428" customFormat="1" ht="15" customHeight="1">
      <c r="B157" s="349"/>
      <c r="C157" s="293"/>
      <c r="D157" s="293"/>
      <c r="F157" s="576" t="s">
        <v>498</v>
      </c>
      <c r="G157" s="297">
        <v>0</v>
      </c>
      <c r="H157" s="298">
        <v>0</v>
      </c>
      <c r="I157" s="298">
        <v>0</v>
      </c>
      <c r="J157" s="298">
        <v>0</v>
      </c>
      <c r="K157" s="298">
        <v>0</v>
      </c>
      <c r="L157" s="298">
        <v>0</v>
      </c>
      <c r="M157" s="298">
        <v>0</v>
      </c>
      <c r="N157" s="299">
        <v>0</v>
      </c>
      <c r="O157" s="460">
        <v>0</v>
      </c>
      <c r="P157" s="298">
        <v>0</v>
      </c>
      <c r="Q157" s="298">
        <v>0</v>
      </c>
      <c r="R157" s="298">
        <v>0</v>
      </c>
      <c r="S157" s="299">
        <v>0</v>
      </c>
    </row>
    <row r="158" spans="2:19" s="1428" customFormat="1" ht="15" customHeight="1">
      <c r="B158" s="349"/>
      <c r="C158" s="293"/>
      <c r="D158" s="293"/>
      <c r="F158" s="576" t="s">
        <v>498</v>
      </c>
      <c r="G158" s="297">
        <v>0</v>
      </c>
      <c r="H158" s="298">
        <v>0</v>
      </c>
      <c r="I158" s="298">
        <v>0</v>
      </c>
      <c r="J158" s="298">
        <v>0</v>
      </c>
      <c r="K158" s="298">
        <v>0</v>
      </c>
      <c r="L158" s="298">
        <v>0</v>
      </c>
      <c r="M158" s="298">
        <v>0</v>
      </c>
      <c r="N158" s="299">
        <v>0</v>
      </c>
      <c r="O158" s="460">
        <v>0</v>
      </c>
      <c r="P158" s="298">
        <v>0</v>
      </c>
      <c r="Q158" s="298">
        <v>0</v>
      </c>
      <c r="R158" s="298">
        <v>0</v>
      </c>
      <c r="S158" s="299">
        <v>0</v>
      </c>
    </row>
    <row r="159" spans="2:19" s="1428" customFormat="1" ht="15" customHeight="1">
      <c r="B159" s="349"/>
      <c r="C159" s="293"/>
      <c r="D159" s="293"/>
      <c r="F159" s="576" t="s">
        <v>498</v>
      </c>
      <c r="G159" s="297">
        <v>0</v>
      </c>
      <c r="H159" s="298">
        <v>0</v>
      </c>
      <c r="I159" s="298">
        <v>0</v>
      </c>
      <c r="J159" s="298">
        <v>0</v>
      </c>
      <c r="K159" s="298">
        <v>0</v>
      </c>
      <c r="L159" s="298">
        <v>0</v>
      </c>
      <c r="M159" s="298">
        <v>0</v>
      </c>
      <c r="N159" s="299">
        <v>0</v>
      </c>
      <c r="O159" s="460">
        <v>0</v>
      </c>
      <c r="P159" s="298">
        <v>0</v>
      </c>
      <c r="Q159" s="298">
        <v>0</v>
      </c>
      <c r="R159" s="298">
        <v>0</v>
      </c>
      <c r="S159" s="299">
        <v>0</v>
      </c>
    </row>
    <row r="160" spans="2:19" s="1428" customFormat="1" ht="15" customHeight="1">
      <c r="B160" s="349"/>
      <c r="C160" s="293"/>
      <c r="D160" s="293"/>
      <c r="F160" s="576" t="s">
        <v>498</v>
      </c>
      <c r="G160" s="297">
        <v>0</v>
      </c>
      <c r="H160" s="298">
        <v>0</v>
      </c>
      <c r="I160" s="298">
        <v>0</v>
      </c>
      <c r="J160" s="298">
        <v>0</v>
      </c>
      <c r="K160" s="298">
        <v>0</v>
      </c>
      <c r="L160" s="298">
        <v>0</v>
      </c>
      <c r="M160" s="298">
        <v>0</v>
      </c>
      <c r="N160" s="299">
        <v>0</v>
      </c>
      <c r="O160" s="460">
        <v>0</v>
      </c>
      <c r="P160" s="298">
        <v>0</v>
      </c>
      <c r="Q160" s="298">
        <v>0</v>
      </c>
      <c r="R160" s="298">
        <v>0</v>
      </c>
      <c r="S160" s="299">
        <v>0</v>
      </c>
    </row>
    <row r="161" spans="2:19" s="1428" customFormat="1" ht="15" customHeight="1">
      <c r="B161" s="349"/>
      <c r="C161" s="293"/>
      <c r="D161" s="293"/>
      <c r="F161" s="576" t="s">
        <v>498</v>
      </c>
      <c r="G161" s="297">
        <v>0</v>
      </c>
      <c r="H161" s="298">
        <v>0</v>
      </c>
      <c r="I161" s="298">
        <v>0</v>
      </c>
      <c r="J161" s="298">
        <v>0</v>
      </c>
      <c r="K161" s="298">
        <v>0</v>
      </c>
      <c r="L161" s="298">
        <v>0</v>
      </c>
      <c r="M161" s="298">
        <v>0</v>
      </c>
      <c r="N161" s="299">
        <v>0</v>
      </c>
      <c r="O161" s="460">
        <v>0</v>
      </c>
      <c r="P161" s="298">
        <v>0</v>
      </c>
      <c r="Q161" s="298">
        <v>0</v>
      </c>
      <c r="R161" s="298">
        <v>0</v>
      </c>
      <c r="S161" s="299">
        <v>0</v>
      </c>
    </row>
    <row r="162" spans="2:19" s="1428" customFormat="1" ht="15" customHeight="1">
      <c r="B162" s="349"/>
      <c r="C162" s="293"/>
      <c r="D162" s="293"/>
      <c r="F162" s="576" t="s">
        <v>498</v>
      </c>
      <c r="G162" s="297">
        <v>0</v>
      </c>
      <c r="H162" s="298">
        <v>0</v>
      </c>
      <c r="I162" s="298">
        <v>0</v>
      </c>
      <c r="J162" s="298">
        <v>0</v>
      </c>
      <c r="K162" s="298">
        <v>0</v>
      </c>
      <c r="L162" s="298">
        <v>0</v>
      </c>
      <c r="M162" s="298">
        <v>0</v>
      </c>
      <c r="N162" s="299">
        <v>0</v>
      </c>
      <c r="O162" s="460">
        <v>0</v>
      </c>
      <c r="P162" s="298">
        <v>0</v>
      </c>
      <c r="Q162" s="298">
        <v>0</v>
      </c>
      <c r="R162" s="298">
        <v>0</v>
      </c>
      <c r="S162" s="299">
        <v>0</v>
      </c>
    </row>
    <row r="163" spans="2:19" s="1428" customFormat="1" ht="15" customHeight="1">
      <c r="B163" s="349"/>
      <c r="C163" s="293"/>
      <c r="D163" s="293"/>
      <c r="F163" s="576" t="s">
        <v>498</v>
      </c>
      <c r="G163" s="297">
        <v>0</v>
      </c>
      <c r="H163" s="298">
        <v>0</v>
      </c>
      <c r="I163" s="298">
        <v>0</v>
      </c>
      <c r="J163" s="298">
        <v>0</v>
      </c>
      <c r="K163" s="298">
        <v>0</v>
      </c>
      <c r="L163" s="298">
        <v>0</v>
      </c>
      <c r="M163" s="298">
        <v>0</v>
      </c>
      <c r="N163" s="299">
        <v>0</v>
      </c>
      <c r="O163" s="460">
        <v>0</v>
      </c>
      <c r="P163" s="298">
        <v>0</v>
      </c>
      <c r="Q163" s="298">
        <v>0</v>
      </c>
      <c r="R163" s="298">
        <v>0</v>
      </c>
      <c r="S163" s="299">
        <v>0</v>
      </c>
    </row>
    <row r="164" spans="2:19" s="1428" customFormat="1" ht="15" customHeight="1">
      <c r="B164" s="349"/>
      <c r="C164" s="293"/>
      <c r="D164" s="293"/>
      <c r="F164" s="576" t="s">
        <v>498</v>
      </c>
      <c r="G164" s="297">
        <v>0</v>
      </c>
      <c r="H164" s="298">
        <v>0</v>
      </c>
      <c r="I164" s="298">
        <v>0</v>
      </c>
      <c r="J164" s="298">
        <v>0</v>
      </c>
      <c r="K164" s="298">
        <v>0</v>
      </c>
      <c r="L164" s="298">
        <v>0</v>
      </c>
      <c r="M164" s="298">
        <v>0</v>
      </c>
      <c r="N164" s="299">
        <v>0</v>
      </c>
      <c r="O164" s="460">
        <v>0</v>
      </c>
      <c r="P164" s="298">
        <v>0</v>
      </c>
      <c r="Q164" s="298">
        <v>0</v>
      </c>
      <c r="R164" s="298">
        <v>0</v>
      </c>
      <c r="S164" s="299">
        <v>0</v>
      </c>
    </row>
    <row r="165" spans="2:19" s="1428" customFormat="1" ht="15" customHeight="1">
      <c r="B165" s="349"/>
      <c r="C165" s="293"/>
      <c r="D165" s="293"/>
      <c r="F165" s="576" t="s">
        <v>498</v>
      </c>
      <c r="G165" s="297">
        <v>0</v>
      </c>
      <c r="H165" s="298">
        <v>0</v>
      </c>
      <c r="I165" s="298">
        <v>0</v>
      </c>
      <c r="J165" s="298">
        <v>0</v>
      </c>
      <c r="K165" s="298">
        <v>0</v>
      </c>
      <c r="L165" s="298">
        <v>0</v>
      </c>
      <c r="M165" s="298">
        <v>0</v>
      </c>
      <c r="N165" s="299">
        <v>0</v>
      </c>
      <c r="O165" s="460">
        <v>0</v>
      </c>
      <c r="P165" s="298">
        <v>0</v>
      </c>
      <c r="Q165" s="298">
        <v>0</v>
      </c>
      <c r="R165" s="298">
        <v>0</v>
      </c>
      <c r="S165" s="299">
        <v>0</v>
      </c>
    </row>
    <row r="166" spans="2:19" s="1428" customFormat="1" ht="15" customHeight="1">
      <c r="B166" s="349"/>
      <c r="C166" s="293"/>
      <c r="D166" s="293"/>
      <c r="F166" s="576" t="s">
        <v>498</v>
      </c>
      <c r="G166" s="297">
        <v>0</v>
      </c>
      <c r="H166" s="298">
        <v>0</v>
      </c>
      <c r="I166" s="298">
        <v>0</v>
      </c>
      <c r="J166" s="298">
        <v>0</v>
      </c>
      <c r="K166" s="298">
        <v>0</v>
      </c>
      <c r="L166" s="298">
        <v>0</v>
      </c>
      <c r="M166" s="298">
        <v>0</v>
      </c>
      <c r="N166" s="299">
        <v>0</v>
      </c>
      <c r="O166" s="460">
        <v>0</v>
      </c>
      <c r="P166" s="298">
        <v>0</v>
      </c>
      <c r="Q166" s="298">
        <v>0</v>
      </c>
      <c r="R166" s="298">
        <v>0</v>
      </c>
      <c r="S166" s="299">
        <v>0</v>
      </c>
    </row>
    <row r="167" spans="2:19" s="1428" customFormat="1" ht="15" customHeight="1">
      <c r="B167" s="349"/>
      <c r="C167" s="293"/>
      <c r="D167" s="293"/>
      <c r="F167" s="576" t="s">
        <v>498</v>
      </c>
      <c r="G167" s="297">
        <v>0</v>
      </c>
      <c r="H167" s="298">
        <v>0</v>
      </c>
      <c r="I167" s="298">
        <v>0</v>
      </c>
      <c r="J167" s="298">
        <v>0</v>
      </c>
      <c r="K167" s="298">
        <v>0</v>
      </c>
      <c r="L167" s="298">
        <v>0</v>
      </c>
      <c r="M167" s="298">
        <v>0</v>
      </c>
      <c r="N167" s="299">
        <v>0</v>
      </c>
      <c r="O167" s="460">
        <v>0</v>
      </c>
      <c r="P167" s="298">
        <v>0</v>
      </c>
      <c r="Q167" s="298">
        <v>0</v>
      </c>
      <c r="R167" s="298">
        <v>0</v>
      </c>
      <c r="S167" s="299">
        <v>0</v>
      </c>
    </row>
    <row r="168" spans="2:19" s="1428" customFormat="1" ht="15" customHeight="1">
      <c r="B168" s="349"/>
      <c r="C168" s="293"/>
      <c r="D168" s="293"/>
      <c r="F168" s="576" t="s">
        <v>498</v>
      </c>
      <c r="G168" s="297">
        <v>0</v>
      </c>
      <c r="H168" s="298">
        <v>0</v>
      </c>
      <c r="I168" s="298">
        <v>0</v>
      </c>
      <c r="J168" s="298">
        <v>0</v>
      </c>
      <c r="K168" s="298">
        <v>0</v>
      </c>
      <c r="L168" s="298">
        <v>0</v>
      </c>
      <c r="M168" s="298">
        <v>0</v>
      </c>
      <c r="N168" s="299">
        <v>0</v>
      </c>
      <c r="O168" s="460">
        <v>0</v>
      </c>
      <c r="P168" s="298">
        <v>0</v>
      </c>
      <c r="Q168" s="298">
        <v>0</v>
      </c>
      <c r="R168" s="298">
        <v>0</v>
      </c>
      <c r="S168" s="299">
        <v>0</v>
      </c>
    </row>
    <row r="169" spans="2:19" s="1428" customFormat="1" ht="15" customHeight="1">
      <c r="B169" s="349"/>
      <c r="C169" s="293"/>
      <c r="D169" s="293"/>
      <c r="F169" s="576" t="s">
        <v>498</v>
      </c>
      <c r="G169" s="297">
        <v>0</v>
      </c>
      <c r="H169" s="298">
        <v>0</v>
      </c>
      <c r="I169" s="298">
        <v>0</v>
      </c>
      <c r="J169" s="298">
        <v>0</v>
      </c>
      <c r="K169" s="298">
        <v>0</v>
      </c>
      <c r="L169" s="298">
        <v>0</v>
      </c>
      <c r="M169" s="298">
        <v>0</v>
      </c>
      <c r="N169" s="299">
        <v>0</v>
      </c>
      <c r="O169" s="460">
        <v>0</v>
      </c>
      <c r="P169" s="298">
        <v>0</v>
      </c>
      <c r="Q169" s="298">
        <v>0</v>
      </c>
      <c r="R169" s="298">
        <v>0</v>
      </c>
      <c r="S169" s="299">
        <v>0</v>
      </c>
    </row>
    <row r="170" spans="2:19" s="1428" customFormat="1" ht="15" customHeight="1">
      <c r="B170" s="349"/>
      <c r="C170" s="293"/>
      <c r="D170" s="293"/>
      <c r="F170" s="576" t="s">
        <v>498</v>
      </c>
      <c r="G170" s="297">
        <v>0</v>
      </c>
      <c r="H170" s="298">
        <v>0</v>
      </c>
      <c r="I170" s="298">
        <v>0</v>
      </c>
      <c r="J170" s="298">
        <v>0</v>
      </c>
      <c r="K170" s="298">
        <v>0</v>
      </c>
      <c r="L170" s="298">
        <v>0</v>
      </c>
      <c r="M170" s="298">
        <v>0</v>
      </c>
      <c r="N170" s="299">
        <v>0</v>
      </c>
      <c r="O170" s="460">
        <v>0</v>
      </c>
      <c r="P170" s="298">
        <v>0</v>
      </c>
      <c r="Q170" s="298">
        <v>0</v>
      </c>
      <c r="R170" s="298">
        <v>0</v>
      </c>
      <c r="S170" s="299">
        <v>0</v>
      </c>
    </row>
    <row r="171" spans="2:19" s="1428" customFormat="1" ht="15" customHeight="1">
      <c r="B171" s="349"/>
      <c r="C171" s="293"/>
      <c r="D171" s="293"/>
      <c r="F171" s="576" t="s">
        <v>498</v>
      </c>
      <c r="G171" s="297">
        <v>0</v>
      </c>
      <c r="H171" s="298">
        <v>0</v>
      </c>
      <c r="I171" s="298">
        <v>0</v>
      </c>
      <c r="J171" s="298">
        <v>0</v>
      </c>
      <c r="K171" s="298">
        <v>0</v>
      </c>
      <c r="L171" s="298">
        <v>0</v>
      </c>
      <c r="M171" s="298">
        <v>0</v>
      </c>
      <c r="N171" s="299">
        <v>0</v>
      </c>
      <c r="O171" s="460">
        <v>0</v>
      </c>
      <c r="P171" s="298">
        <v>0</v>
      </c>
      <c r="Q171" s="298">
        <v>0</v>
      </c>
      <c r="R171" s="298">
        <v>0</v>
      </c>
      <c r="S171" s="299">
        <v>0</v>
      </c>
    </row>
    <row r="172" spans="2:19" s="1428" customFormat="1" ht="15" customHeight="1">
      <c r="B172" s="349"/>
      <c r="C172" s="293"/>
      <c r="D172" s="293"/>
      <c r="F172" s="576" t="s">
        <v>498</v>
      </c>
      <c r="G172" s="297">
        <v>0</v>
      </c>
      <c r="H172" s="298">
        <v>0</v>
      </c>
      <c r="I172" s="298">
        <v>0</v>
      </c>
      <c r="J172" s="298">
        <v>0</v>
      </c>
      <c r="K172" s="298">
        <v>0</v>
      </c>
      <c r="L172" s="298">
        <v>0</v>
      </c>
      <c r="M172" s="298">
        <v>0</v>
      </c>
      <c r="N172" s="299">
        <v>0</v>
      </c>
      <c r="O172" s="460">
        <v>0</v>
      </c>
      <c r="P172" s="298">
        <v>0</v>
      </c>
      <c r="Q172" s="298">
        <v>0</v>
      </c>
      <c r="R172" s="298">
        <v>0</v>
      </c>
      <c r="S172" s="299">
        <v>0</v>
      </c>
    </row>
    <row r="173" spans="2:19" s="1428" customFormat="1" ht="15" customHeight="1">
      <c r="B173" s="349"/>
      <c r="C173" s="293"/>
      <c r="D173" s="293"/>
      <c r="F173" s="576" t="s">
        <v>498</v>
      </c>
      <c r="G173" s="297">
        <v>0</v>
      </c>
      <c r="H173" s="298">
        <v>0</v>
      </c>
      <c r="I173" s="298">
        <v>0</v>
      </c>
      <c r="J173" s="298">
        <v>0</v>
      </c>
      <c r="K173" s="298">
        <v>0</v>
      </c>
      <c r="L173" s="298">
        <v>0</v>
      </c>
      <c r="M173" s="298">
        <v>0</v>
      </c>
      <c r="N173" s="299">
        <v>0</v>
      </c>
      <c r="O173" s="460">
        <v>0</v>
      </c>
      <c r="P173" s="298">
        <v>0</v>
      </c>
      <c r="Q173" s="298">
        <v>0</v>
      </c>
      <c r="R173" s="298">
        <v>0</v>
      </c>
      <c r="S173" s="299">
        <v>0</v>
      </c>
    </row>
    <row r="174" spans="2:19" s="1428" customFormat="1" ht="15" customHeight="1">
      <c r="B174" s="349"/>
      <c r="C174" s="293"/>
      <c r="D174" s="293"/>
      <c r="F174" s="576" t="s">
        <v>498</v>
      </c>
      <c r="G174" s="297">
        <v>0</v>
      </c>
      <c r="H174" s="298">
        <v>0</v>
      </c>
      <c r="I174" s="298">
        <v>0</v>
      </c>
      <c r="J174" s="298">
        <v>0</v>
      </c>
      <c r="K174" s="298">
        <v>0</v>
      </c>
      <c r="L174" s="298">
        <v>0</v>
      </c>
      <c r="M174" s="298">
        <v>0</v>
      </c>
      <c r="N174" s="299">
        <v>0</v>
      </c>
      <c r="O174" s="460">
        <v>0</v>
      </c>
      <c r="P174" s="298">
        <v>0</v>
      </c>
      <c r="Q174" s="298">
        <v>0</v>
      </c>
      <c r="R174" s="298">
        <v>0</v>
      </c>
      <c r="S174" s="299">
        <v>0</v>
      </c>
    </row>
    <row r="175" spans="2:19" s="1428" customFormat="1" ht="15" customHeight="1" thickBot="1">
      <c r="B175" s="357" t="s">
        <v>1701</v>
      </c>
      <c r="C175" s="358"/>
      <c r="D175" s="1436"/>
      <c r="E175" s="1436"/>
      <c r="F175" s="581" t="s">
        <v>498</v>
      </c>
      <c r="G175" s="634">
        <f>SUM(G147:G174)</f>
        <v>0</v>
      </c>
      <c r="H175" s="635">
        <f t="shared" ref="H175:S175" si="15">SUM(H147:H174)</f>
        <v>0</v>
      </c>
      <c r="I175" s="635">
        <f t="shared" si="15"/>
        <v>0</v>
      </c>
      <c r="J175" s="635">
        <f t="shared" si="15"/>
        <v>0</v>
      </c>
      <c r="K175" s="635">
        <f t="shared" si="15"/>
        <v>0</v>
      </c>
      <c r="L175" s="635">
        <f t="shared" si="15"/>
        <v>0</v>
      </c>
      <c r="M175" s="635">
        <f t="shared" si="15"/>
        <v>0</v>
      </c>
      <c r="N175" s="636">
        <f t="shared" si="15"/>
        <v>0</v>
      </c>
      <c r="O175" s="999">
        <f t="shared" si="15"/>
        <v>0</v>
      </c>
      <c r="P175" s="635">
        <f t="shared" si="15"/>
        <v>0</v>
      </c>
      <c r="Q175" s="635">
        <f t="shared" si="15"/>
        <v>0</v>
      </c>
      <c r="R175" s="635">
        <f t="shared" si="15"/>
        <v>0</v>
      </c>
      <c r="S175" s="636">
        <f t="shared" si="15"/>
        <v>0</v>
      </c>
    </row>
    <row r="176" spans="2:19" s="1419" customFormat="1"/>
    <row r="177" s="1419" customFormat="1"/>
    <row r="178" s="1419" customFormat="1"/>
    <row r="179" s="1419" customFormat="1"/>
    <row r="180" s="1419" customFormat="1"/>
    <row r="181" s="1419" customFormat="1"/>
    <row r="182" s="1419" customFormat="1"/>
    <row r="183" s="1419" customFormat="1"/>
    <row r="184" s="1419" customFormat="1"/>
    <row r="185" s="1419" customFormat="1"/>
    <row r="186" s="1419" customFormat="1"/>
    <row r="187" s="1419" customFormat="1"/>
    <row r="188" s="1419" customFormat="1"/>
    <row r="189" s="1419" customFormat="1"/>
    <row r="190" s="1419" customFormat="1"/>
    <row r="191" s="1419" customFormat="1"/>
    <row r="192" s="1419" customFormat="1"/>
    <row r="193" s="1419" customFormat="1"/>
    <row r="194" s="1419" customFormat="1"/>
    <row r="195" s="1419" customFormat="1"/>
    <row r="196" s="1419" customFormat="1"/>
    <row r="197" s="1419" customFormat="1"/>
    <row r="198" s="1419" customFormat="1"/>
    <row r="199" s="1419" customFormat="1"/>
    <row r="200" s="1419" customFormat="1"/>
    <row r="201" s="1419" customFormat="1"/>
    <row r="202" s="1419" customFormat="1"/>
    <row r="203" s="1419" customFormat="1"/>
    <row r="204" s="1419" customFormat="1"/>
    <row r="205" s="1419" customFormat="1"/>
    <row r="206" s="1419" customFormat="1"/>
    <row r="207" s="1419" customFormat="1"/>
    <row r="208" s="1419" customFormat="1"/>
    <row r="209" s="1419" customFormat="1"/>
    <row r="210" s="1419" customFormat="1"/>
    <row r="211" s="1419" customFormat="1"/>
    <row r="212" s="1419" customFormat="1"/>
    <row r="213" s="1419" customFormat="1"/>
    <row r="214" s="1419" customFormat="1"/>
    <row r="215" s="1419" customFormat="1"/>
    <row r="216" s="1419" customFormat="1"/>
    <row r="217" s="1419" customFormat="1"/>
    <row r="218" s="1419" customFormat="1"/>
    <row r="219" s="1419" customFormat="1"/>
    <row r="220" s="1419" customFormat="1"/>
    <row r="221" s="1419" customFormat="1"/>
    <row r="222" s="1419" customFormat="1"/>
    <row r="223" s="1419" customFormat="1"/>
    <row r="224" s="1419" customFormat="1"/>
    <row r="225" s="1419" customFormat="1"/>
    <row r="226" s="1419" customFormat="1"/>
    <row r="227" s="1419" customFormat="1"/>
    <row r="228" s="1419" customFormat="1"/>
    <row r="229" s="1419" customFormat="1"/>
    <row r="230" s="1419" customFormat="1"/>
    <row r="231" s="1419" customFormat="1"/>
    <row r="232" s="1419" customFormat="1"/>
    <row r="233" s="1419" customFormat="1"/>
    <row r="234" s="1419" customFormat="1"/>
    <row r="235" s="1419" customFormat="1"/>
    <row r="236" s="1419" customFormat="1"/>
    <row r="237" s="1419" customFormat="1"/>
    <row r="238" s="1419" customFormat="1"/>
    <row r="239" s="1419" customFormat="1"/>
    <row r="240" s="1419" customFormat="1"/>
    <row r="241" s="1419" customFormat="1"/>
    <row r="242" s="1419" customFormat="1"/>
    <row r="243" s="1419" customFormat="1"/>
    <row r="244" s="1419" customFormat="1"/>
    <row r="245" s="1419" customFormat="1"/>
    <row r="246" s="1419" customFormat="1"/>
    <row r="247" s="1419" customFormat="1"/>
    <row r="248" s="1419" customFormat="1"/>
    <row r="249" s="1419" customFormat="1"/>
    <row r="250" s="1419" customFormat="1"/>
    <row r="251" s="1419" customFormat="1"/>
    <row r="252" s="1419" customFormat="1"/>
    <row r="253" s="1419" customFormat="1"/>
    <row r="254" s="1419" customFormat="1"/>
    <row r="255" s="1419" customFormat="1"/>
    <row r="256" s="1419" customFormat="1"/>
    <row r="257" s="1419" customFormat="1"/>
    <row r="258" s="1419" customFormat="1"/>
    <row r="259" s="1419" customFormat="1"/>
    <row r="260" s="1419" customFormat="1"/>
    <row r="261" s="1419" customFormat="1"/>
    <row r="262" s="1419" customFormat="1"/>
    <row r="263" s="1419" customFormat="1"/>
    <row r="264" s="1419" customFormat="1"/>
    <row r="265" s="1419" customFormat="1"/>
    <row r="266" s="1419" customFormat="1"/>
    <row r="267" s="1419" customFormat="1"/>
    <row r="268" s="1419" customFormat="1"/>
    <row r="269" s="1419" customFormat="1"/>
    <row r="270" s="1419" customFormat="1"/>
    <row r="271" s="1419" customFormat="1"/>
    <row r="272" s="1419" customFormat="1"/>
    <row r="273" s="1419" customFormat="1"/>
    <row r="274" s="1419" customFormat="1"/>
    <row r="275" s="1419" customFormat="1"/>
    <row r="276" s="1419" customFormat="1"/>
    <row r="277" s="1419" customFormat="1"/>
    <row r="278" s="1419" customFormat="1"/>
    <row r="279" s="1419" customFormat="1"/>
    <row r="280" s="1419" customFormat="1"/>
    <row r="281" s="1419" customFormat="1"/>
    <row r="282" s="1419" customFormat="1"/>
    <row r="283" s="1419" customFormat="1"/>
    <row r="284" s="1419" customFormat="1"/>
    <row r="285" s="1419" customFormat="1"/>
    <row r="286" s="1419" customFormat="1"/>
    <row r="287" s="1419" customFormat="1"/>
    <row r="288" s="1419" customFormat="1"/>
    <row r="289" s="1419" customFormat="1"/>
    <row r="290" s="1419" customFormat="1"/>
    <row r="291" s="1419" customFormat="1"/>
    <row r="292" s="1419" customFormat="1"/>
    <row r="293" s="1419" customFormat="1"/>
    <row r="294" s="1419" customFormat="1"/>
    <row r="295" s="1419" customFormat="1"/>
    <row r="296" s="1419" customFormat="1"/>
    <row r="297" s="1419" customFormat="1"/>
    <row r="298" s="1419" customFormat="1"/>
    <row r="299" s="1419" customFormat="1"/>
    <row r="300" s="1419" customFormat="1"/>
    <row r="301" s="1419" customFormat="1"/>
    <row r="302" s="1419" customFormat="1"/>
    <row r="303" s="1419" customFormat="1"/>
    <row r="304" s="1419" customFormat="1"/>
    <row r="305" s="1419" customFormat="1"/>
    <row r="306" s="1419" customFormat="1"/>
    <row r="307" s="1419" customFormat="1"/>
    <row r="308" s="1419" customFormat="1"/>
    <row r="309" s="1419" customFormat="1"/>
    <row r="310" s="1419" customFormat="1"/>
    <row r="311" s="1419" customFormat="1"/>
    <row r="312" s="1419" customFormat="1"/>
    <row r="313" s="1419" customFormat="1"/>
    <row r="314" s="1419" customFormat="1"/>
    <row r="315" s="1419" customFormat="1"/>
    <row r="316" s="1419" customFormat="1"/>
    <row r="317" s="1419" customFormat="1"/>
    <row r="318" s="1419" customFormat="1"/>
    <row r="319" s="1419" customFormat="1"/>
    <row r="320" s="1419" customFormat="1"/>
    <row r="321" s="1419" customFormat="1"/>
    <row r="322" s="1419" customFormat="1"/>
    <row r="323" s="1419" customFormat="1"/>
    <row r="324" s="1419" customFormat="1"/>
    <row r="325" s="1419" customFormat="1"/>
    <row r="326" s="1419" customFormat="1"/>
    <row r="327" s="1419" customFormat="1"/>
    <row r="328" s="1419" customFormat="1"/>
    <row r="329" s="1419" customFormat="1"/>
    <row r="330" s="1419" customFormat="1"/>
    <row r="331" s="1419" customFormat="1"/>
    <row r="332" s="1419" customFormat="1"/>
    <row r="333" s="1419" customFormat="1"/>
    <row r="334" s="1419" customFormat="1"/>
    <row r="335" s="1419" customFormat="1"/>
    <row r="336" s="1419" customFormat="1"/>
    <row r="337" s="1419" customFormat="1"/>
    <row r="338" s="1419" customFormat="1"/>
    <row r="339" s="1419" customFormat="1"/>
    <row r="340" s="1419" customFormat="1"/>
    <row r="341" s="1419" customFormat="1"/>
    <row r="342" s="1419" customFormat="1"/>
    <row r="343" s="1419" customFormat="1"/>
    <row r="344" s="1419" customFormat="1"/>
    <row r="345" s="1419" customFormat="1"/>
    <row r="346" s="1419" customFormat="1"/>
    <row r="347" s="1419" customFormat="1"/>
    <row r="348" s="1419" customFormat="1"/>
    <row r="349" s="1419" customFormat="1"/>
    <row r="350" s="1419" customFormat="1"/>
    <row r="351" s="1419" customFormat="1"/>
    <row r="352" s="1419" customFormat="1"/>
    <row r="353" s="1419" customFormat="1"/>
    <row r="354" s="1419" customFormat="1"/>
    <row r="355" s="1419" customFormat="1"/>
    <row r="356" s="1419" customFormat="1"/>
    <row r="357" s="1419" customFormat="1"/>
    <row r="358" s="1419" customFormat="1"/>
    <row r="359" s="1419" customFormat="1"/>
    <row r="360" s="1419" customFormat="1"/>
    <row r="361" s="1419" customFormat="1"/>
    <row r="362" s="1419" customFormat="1"/>
    <row r="363" s="1419" customFormat="1"/>
    <row r="364" s="1419" customFormat="1"/>
    <row r="365" s="1419" customFormat="1"/>
    <row r="366" s="1419" customFormat="1"/>
    <row r="367" s="1419" customFormat="1"/>
    <row r="368" s="1419" customFormat="1"/>
    <row r="369" s="1419" customFormat="1"/>
    <row r="370" s="1419" customFormat="1"/>
    <row r="371" s="1419" customFormat="1"/>
    <row r="372" s="1419" customFormat="1"/>
    <row r="373" s="1419" customFormat="1"/>
    <row r="374" s="1419" customFormat="1"/>
    <row r="375" s="1419" customFormat="1"/>
    <row r="376" s="1419" customFormat="1"/>
    <row r="377" s="1419" customFormat="1"/>
    <row r="378" s="1419" customFormat="1"/>
    <row r="379" s="1419" customFormat="1"/>
    <row r="380" s="1419" customFormat="1"/>
    <row r="381" s="1419" customFormat="1"/>
    <row r="382" s="1419" customFormat="1"/>
    <row r="383" s="1419" customFormat="1"/>
    <row r="384" s="1419" customFormat="1"/>
    <row r="385" s="1419" customFormat="1"/>
    <row r="386" s="1419" customFormat="1"/>
    <row r="387" s="1419" customFormat="1"/>
    <row r="388" s="1419" customFormat="1"/>
    <row r="389" s="1419" customFormat="1"/>
    <row r="390" s="1419" customFormat="1"/>
    <row r="391" s="1419" customFormat="1"/>
    <row r="392" s="1419" customFormat="1"/>
    <row r="393" s="1419" customFormat="1"/>
    <row r="394" s="1419" customFormat="1"/>
    <row r="395" s="1419" customFormat="1"/>
    <row r="396" s="1419" customFormat="1"/>
    <row r="397" s="1419" customFormat="1"/>
    <row r="398" s="1419" customFormat="1"/>
    <row r="399" s="1419" customFormat="1"/>
    <row r="400" s="1419" customFormat="1"/>
    <row r="401" s="1419" customFormat="1"/>
    <row r="402" s="1419" customFormat="1"/>
    <row r="403" s="1419" customFormat="1"/>
    <row r="404" s="1419" customFormat="1"/>
    <row r="405" s="1419" customFormat="1"/>
    <row r="406" s="1419" customFormat="1"/>
    <row r="407" s="1419" customFormat="1"/>
    <row r="408" s="1419" customFormat="1"/>
    <row r="409" s="1419" customFormat="1"/>
    <row r="410" s="1419" customFormat="1"/>
    <row r="411" s="1419" customFormat="1"/>
    <row r="412" s="1419" customFormat="1"/>
    <row r="413" s="1419" customFormat="1"/>
    <row r="414" s="1419" customFormat="1"/>
    <row r="415" s="1419" customFormat="1"/>
    <row r="416" s="1419" customFormat="1"/>
    <row r="417" s="1419" customFormat="1"/>
    <row r="418" s="1419" customFormat="1"/>
    <row r="419" s="1419" customFormat="1"/>
    <row r="420" s="1419" customFormat="1"/>
    <row r="421" s="1419" customFormat="1"/>
    <row r="422" s="1419" customFormat="1"/>
    <row r="423" s="1419" customFormat="1"/>
    <row r="424" s="1419" customFormat="1"/>
    <row r="425" s="1419" customFormat="1"/>
    <row r="426" s="1419" customFormat="1"/>
    <row r="427" s="1419" customFormat="1"/>
    <row r="428" s="1419" customFormat="1"/>
    <row r="429" s="1419" customFormat="1"/>
    <row r="430" s="1419" customFormat="1"/>
    <row r="431" s="1419" customFormat="1"/>
    <row r="432" s="1419" customFormat="1"/>
    <row r="433" s="1419" customFormat="1"/>
  </sheetData>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tabColor rgb="FF00B050"/>
  </sheetPr>
  <dimension ref="A1:BI433"/>
  <sheetViews>
    <sheetView showGridLines="0" topLeftCell="E37" zoomScale="80" zoomScaleNormal="80" workbookViewId="0">
      <selection activeCell="P69" sqref="P69"/>
    </sheetView>
  </sheetViews>
  <sheetFormatPr defaultRowHeight="12.75"/>
  <cols>
    <col min="2" max="2" width="4.375" customWidth="1"/>
    <col min="3" max="4" width="40.625" customWidth="1"/>
    <col min="5" max="5" width="46.875" customWidth="1"/>
    <col min="6" max="21" width="15.625" customWidth="1"/>
  </cols>
  <sheetData>
    <row r="1" spans="1:61" s="2" customFormat="1" ht="25.15" customHeight="1">
      <c r="A1" s="1" t="s">
        <v>0</v>
      </c>
      <c r="E1" s="3"/>
      <c r="G1" s="3"/>
    </row>
    <row r="2" spans="1:61" s="2" customFormat="1" ht="25.15" customHeight="1">
      <c r="A2" s="5" t="str">
        <f>Fixed_Data!I12</f>
        <v>MASTER</v>
      </c>
      <c r="B2" s="6"/>
      <c r="D2" s="7"/>
      <c r="E2" s="3"/>
    </row>
    <row r="3" spans="1:61" s="9" customFormat="1" ht="25.15" customHeight="1" thickBot="1">
      <c r="A3" s="8" t="str">
        <f>Fixed_Data!A3</f>
        <v>RIIO-GD2</v>
      </c>
      <c r="D3" s="10"/>
      <c r="E3" s="11"/>
    </row>
    <row r="4" spans="1:61" s="89" customFormat="1" ht="25.15" customHeight="1">
      <c r="B4" s="90" t="s">
        <v>3218</v>
      </c>
      <c r="C4" s="90"/>
      <c r="D4" s="90"/>
      <c r="E4" s="90"/>
      <c r="F4" s="93"/>
      <c r="G4" s="94"/>
      <c r="H4" s="94"/>
      <c r="I4" s="94"/>
      <c r="J4" s="94"/>
      <c r="K4" s="94"/>
      <c r="L4" s="94"/>
      <c r="M4" s="94"/>
      <c r="N4" s="94"/>
      <c r="O4" s="92"/>
      <c r="P4" s="92"/>
      <c r="Q4" s="92"/>
      <c r="R4" s="92"/>
      <c r="S4" s="92"/>
      <c r="T4" s="92"/>
      <c r="U4" s="92"/>
      <c r="V4" s="92"/>
      <c r="W4" s="92"/>
      <c r="X4" s="92"/>
      <c r="Y4" s="94"/>
      <c r="Z4" s="94"/>
      <c r="AA4" s="92"/>
      <c r="AB4" s="93"/>
      <c r="AC4" s="94"/>
      <c r="AD4" s="94"/>
      <c r="AE4" s="94"/>
      <c r="AF4" s="92"/>
      <c r="AG4" s="93"/>
      <c r="AH4" s="94"/>
      <c r="AI4" s="94"/>
      <c r="AJ4" s="94"/>
      <c r="AK4" s="94"/>
      <c r="AL4" s="94"/>
      <c r="AM4" s="94"/>
      <c r="AN4" s="92"/>
      <c r="AO4" s="92"/>
      <c r="AP4" s="92"/>
      <c r="AQ4" s="92"/>
      <c r="AR4" s="94"/>
      <c r="AS4" s="92"/>
      <c r="AT4" s="92"/>
      <c r="AU4" s="92"/>
      <c r="AV4" s="92"/>
      <c r="AW4" s="92"/>
      <c r="AX4" s="92"/>
      <c r="AY4" s="92"/>
      <c r="AZ4" s="92"/>
      <c r="BA4" s="92"/>
      <c r="BB4" s="92"/>
      <c r="BC4" s="94"/>
      <c r="BD4" s="92"/>
      <c r="BE4" s="92"/>
      <c r="BF4" s="92"/>
      <c r="BG4" s="92"/>
      <c r="BH4" s="92"/>
      <c r="BI4" s="92"/>
    </row>
    <row r="5" spans="1:61" s="89" customFormat="1" ht="25.15" customHeight="1">
      <c r="B5" s="95" t="s">
        <v>1663</v>
      </c>
      <c r="E5" s="95" t="s">
        <v>463</v>
      </c>
      <c r="F5" s="93"/>
      <c r="G5" s="94"/>
      <c r="H5" s="94"/>
      <c r="I5" s="94"/>
      <c r="J5" s="94"/>
      <c r="K5" s="94"/>
      <c r="L5" s="94"/>
      <c r="M5" s="94"/>
      <c r="N5" s="94"/>
      <c r="O5" s="92"/>
      <c r="P5" s="92"/>
      <c r="Q5" s="92"/>
      <c r="R5" s="92"/>
      <c r="S5" s="92"/>
      <c r="T5" s="92"/>
      <c r="U5" s="92"/>
      <c r="V5" s="92"/>
      <c r="W5" s="92"/>
      <c r="X5" s="92"/>
      <c r="Y5" s="94"/>
      <c r="Z5" s="94"/>
      <c r="AA5" s="92"/>
      <c r="AB5" s="93"/>
      <c r="AC5" s="94"/>
      <c r="AD5" s="94"/>
      <c r="AE5" s="94"/>
      <c r="AF5" s="92"/>
      <c r="AG5" s="93"/>
      <c r="AH5" s="94"/>
      <c r="AI5" s="94"/>
      <c r="AJ5" s="94"/>
      <c r="AK5" s="94"/>
      <c r="AL5" s="94"/>
      <c r="AM5" s="94"/>
      <c r="AN5" s="92"/>
      <c r="AO5" s="92"/>
      <c r="AP5" s="92"/>
      <c r="AQ5" s="92"/>
      <c r="AR5" s="94"/>
      <c r="AS5" s="92"/>
      <c r="AT5" s="92"/>
      <c r="AU5" s="92"/>
      <c r="AV5" s="92"/>
      <c r="AW5" s="92"/>
      <c r="AX5" s="92"/>
      <c r="AY5" s="92"/>
      <c r="AZ5" s="92"/>
      <c r="BA5" s="92"/>
      <c r="BB5" s="92"/>
      <c r="BC5" s="94"/>
      <c r="BD5" s="92"/>
      <c r="BE5" s="92"/>
      <c r="BF5" s="92"/>
      <c r="BG5" s="92"/>
      <c r="BH5" s="92"/>
      <c r="BI5" s="92"/>
    </row>
    <row r="6" spans="1:61" s="1419" customFormat="1"/>
    <row r="7" spans="1:61" s="1419" customFormat="1" ht="13.5" thickBot="1"/>
    <row r="8" spans="1:61" s="1419" customFormat="1" ht="30" customHeight="1" thickBot="1">
      <c r="B8" s="1420" t="s">
        <v>2152</v>
      </c>
      <c r="C8" s="1421"/>
      <c r="D8" s="1421"/>
      <c r="E8" s="1421"/>
      <c r="F8" s="105" t="s">
        <v>3147</v>
      </c>
      <c r="G8" s="106"/>
      <c r="H8" s="106"/>
      <c r="I8" s="106"/>
      <c r="J8" s="106"/>
      <c r="K8" s="106"/>
      <c r="L8" s="106"/>
      <c r="M8" s="106"/>
      <c r="N8" s="106"/>
      <c r="O8" s="105"/>
      <c r="P8" s="105"/>
      <c r="Q8" s="105"/>
      <c r="R8" s="105"/>
      <c r="S8" s="187"/>
    </row>
    <row r="9" spans="1:61" s="1419" customFormat="1" ht="30" customHeight="1">
      <c r="B9" s="1422"/>
      <c r="C9" s="1423"/>
      <c r="D9" s="1423"/>
      <c r="E9" s="1423"/>
      <c r="F9" s="562"/>
      <c r="G9" s="563" t="s">
        <v>1666</v>
      </c>
      <c r="H9" s="564"/>
      <c r="I9" s="564"/>
      <c r="J9" s="564"/>
      <c r="K9" s="564"/>
      <c r="L9" s="564"/>
      <c r="M9" s="564"/>
      <c r="N9" s="565"/>
      <c r="O9" s="566" t="s">
        <v>2</v>
      </c>
      <c r="P9" s="567"/>
      <c r="Q9" s="567"/>
      <c r="R9" s="567"/>
      <c r="S9" s="568"/>
    </row>
    <row r="10" spans="1:61" s="1419" customFormat="1" ht="14.25">
      <c r="B10" s="1424"/>
      <c r="C10" s="1423"/>
      <c r="D10" s="1423"/>
      <c r="E10" s="1423"/>
      <c r="F10" s="571" t="s">
        <v>1745</v>
      </c>
      <c r="G10" s="158" t="s">
        <v>453</v>
      </c>
      <c r="H10" s="137" t="s">
        <v>455</v>
      </c>
      <c r="I10" s="137" t="s">
        <v>457</v>
      </c>
      <c r="J10" s="137" t="s">
        <v>459</v>
      </c>
      <c r="K10" s="137" t="s">
        <v>461</v>
      </c>
      <c r="L10" s="137" t="s">
        <v>463</v>
      </c>
      <c r="M10" s="137" t="s">
        <v>465</v>
      </c>
      <c r="N10" s="138" t="s">
        <v>467</v>
      </c>
      <c r="O10" s="120" t="s">
        <v>469</v>
      </c>
      <c r="P10" s="121" t="s">
        <v>471</v>
      </c>
      <c r="Q10" s="121" t="s">
        <v>473</v>
      </c>
      <c r="R10" s="121" t="s">
        <v>475</v>
      </c>
      <c r="S10" s="122" t="s">
        <v>477</v>
      </c>
    </row>
    <row r="11" spans="1:61" s="1419" customFormat="1" ht="14.25">
      <c r="B11" s="1424"/>
      <c r="C11" s="1423"/>
      <c r="D11" s="1423"/>
      <c r="E11" s="1423"/>
      <c r="F11" s="551"/>
      <c r="G11" s="619"/>
      <c r="H11" s="92"/>
      <c r="I11" s="92"/>
      <c r="J11" s="92"/>
      <c r="K11" s="92"/>
      <c r="L11" s="92"/>
      <c r="M11" s="92"/>
      <c r="N11" s="618"/>
      <c r="O11" s="619"/>
      <c r="P11" s="92"/>
      <c r="Q11" s="92"/>
      <c r="R11" s="92"/>
      <c r="S11" s="618"/>
    </row>
    <row r="12" spans="1:61" s="1428" customFormat="1" ht="15">
      <c r="B12" s="1429"/>
      <c r="C12" s="1430" t="s">
        <v>3148</v>
      </c>
      <c r="D12" s="1431"/>
      <c r="E12" s="1431"/>
      <c r="F12" s="576" t="s">
        <v>498</v>
      </c>
      <c r="G12" s="1397">
        <f>SUM(G62,G107)</f>
        <v>0.41001888720164736</v>
      </c>
      <c r="H12" s="1398">
        <f t="shared" ref="H12:S12" si="0">SUM(H62,H107)</f>
        <v>0.54893278108242693</v>
      </c>
      <c r="I12" s="1398">
        <f t="shared" si="0"/>
        <v>0.62945669191071751</v>
      </c>
      <c r="J12" s="1398">
        <f t="shared" si="0"/>
        <v>0.98033040288016948</v>
      </c>
      <c r="K12" s="1398">
        <f t="shared" si="0"/>
        <v>0.99033608907722359</v>
      </c>
      <c r="L12" s="1398">
        <f t="shared" si="0"/>
        <v>0.92572108038185397</v>
      </c>
      <c r="M12" s="1398">
        <f t="shared" si="0"/>
        <v>0.92572108038185397</v>
      </c>
      <c r="N12" s="1399">
        <f t="shared" si="0"/>
        <v>0.81572108038185387</v>
      </c>
      <c r="O12" s="1400">
        <f t="shared" si="0"/>
        <v>3.4868839093654627</v>
      </c>
      <c r="P12" s="1398">
        <f t="shared" si="0"/>
        <v>3.1949217093654614</v>
      </c>
      <c r="Q12" s="1398">
        <f t="shared" si="0"/>
        <v>3.9701469093654618</v>
      </c>
      <c r="R12" s="1398">
        <f t="shared" si="0"/>
        <v>3.1284659093654619</v>
      </c>
      <c r="S12" s="1399">
        <f t="shared" si="0"/>
        <v>3.0782949093654617</v>
      </c>
    </row>
    <row r="13" spans="1:61" s="1428" customFormat="1" ht="14.25">
      <c r="B13" s="1429"/>
      <c r="C13" s="1431"/>
      <c r="D13" s="1431"/>
      <c r="E13" s="1431"/>
      <c r="F13" s="551"/>
      <c r="G13" s="619"/>
      <c r="H13" s="92"/>
      <c r="I13" s="92"/>
      <c r="J13" s="92"/>
      <c r="K13" s="92"/>
      <c r="L13" s="92"/>
      <c r="M13" s="92"/>
      <c r="N13" s="618"/>
      <c r="O13" s="619"/>
      <c r="P13" s="92"/>
      <c r="Q13" s="92"/>
      <c r="R13" s="92"/>
      <c r="S13" s="618"/>
    </row>
    <row r="14" spans="1:61" s="1428" customFormat="1" ht="15">
      <c r="B14" s="1429"/>
      <c r="C14" s="1430" t="s">
        <v>3149</v>
      </c>
      <c r="D14" s="1431"/>
      <c r="E14" s="1431"/>
      <c r="F14" s="1431"/>
      <c r="G14" s="1429"/>
      <c r="H14" s="1431"/>
      <c r="I14" s="1431"/>
      <c r="J14" s="1431"/>
      <c r="K14" s="1431"/>
      <c r="L14" s="1431"/>
      <c r="M14" s="1431"/>
      <c r="N14" s="1432"/>
      <c r="O14" s="1429"/>
      <c r="P14" s="1431"/>
      <c r="Q14" s="1431"/>
      <c r="R14" s="1431"/>
      <c r="S14" s="1432"/>
    </row>
    <row r="15" spans="1:61" s="1428" customFormat="1" ht="14.25">
      <c r="B15" s="1429"/>
      <c r="C15" s="1433" t="s">
        <v>3150</v>
      </c>
      <c r="D15" s="1431"/>
      <c r="E15" s="1431"/>
      <c r="F15" s="576" t="s">
        <v>3151</v>
      </c>
      <c r="G15" s="407">
        <v>0</v>
      </c>
      <c r="H15" s="408">
        <v>0</v>
      </c>
      <c r="I15" s="408">
        <v>0</v>
      </c>
      <c r="J15" s="408">
        <v>0</v>
      </c>
      <c r="K15" s="408">
        <v>0</v>
      </c>
      <c r="L15" s="408">
        <v>0</v>
      </c>
      <c r="M15" s="408">
        <v>0</v>
      </c>
      <c r="N15" s="409">
        <v>0</v>
      </c>
      <c r="O15" s="1414">
        <v>0</v>
      </c>
      <c r="P15" s="408">
        <v>0</v>
      </c>
      <c r="Q15" s="408">
        <v>0</v>
      </c>
      <c r="R15" s="408">
        <v>0</v>
      </c>
      <c r="S15" s="409">
        <v>0</v>
      </c>
    </row>
    <row r="16" spans="1:61" s="1428" customFormat="1" ht="14.25">
      <c r="B16" s="1429"/>
      <c r="C16" s="1433" t="s">
        <v>3152</v>
      </c>
      <c r="D16" s="1431"/>
      <c r="E16" s="1431"/>
      <c r="F16" s="576" t="s">
        <v>3151</v>
      </c>
      <c r="G16" s="407">
        <v>0</v>
      </c>
      <c r="H16" s="408">
        <v>0</v>
      </c>
      <c r="I16" s="408">
        <v>0</v>
      </c>
      <c r="J16" s="408">
        <v>0</v>
      </c>
      <c r="K16" s="408">
        <v>0</v>
      </c>
      <c r="L16" s="408">
        <v>0</v>
      </c>
      <c r="M16" s="408">
        <v>0</v>
      </c>
      <c r="N16" s="409">
        <v>0</v>
      </c>
      <c r="O16" s="1414">
        <v>0</v>
      </c>
      <c r="P16" s="408">
        <v>0</v>
      </c>
      <c r="Q16" s="408">
        <v>0</v>
      </c>
      <c r="R16" s="408">
        <v>0</v>
      </c>
      <c r="S16" s="409">
        <v>0</v>
      </c>
    </row>
    <row r="17" spans="2:19" s="1428" customFormat="1" ht="15" thickBot="1">
      <c r="B17" s="1434"/>
      <c r="C17" s="1435" t="s">
        <v>3153</v>
      </c>
      <c r="D17" s="1436"/>
      <c r="E17" s="1436"/>
      <c r="F17" s="581" t="s">
        <v>3154</v>
      </c>
      <c r="G17" s="1415">
        <v>0</v>
      </c>
      <c r="H17" s="1416">
        <v>0</v>
      </c>
      <c r="I17" s="1416">
        <v>0</v>
      </c>
      <c r="J17" s="1416">
        <v>0</v>
      </c>
      <c r="K17" s="1416">
        <v>0</v>
      </c>
      <c r="L17" s="1416">
        <v>0</v>
      </c>
      <c r="M17" s="1416">
        <v>0</v>
      </c>
      <c r="N17" s="1417">
        <v>0</v>
      </c>
      <c r="O17" s="1418">
        <v>0</v>
      </c>
      <c r="P17" s="1416">
        <v>0</v>
      </c>
      <c r="Q17" s="1416">
        <v>0</v>
      </c>
      <c r="R17" s="1416">
        <v>0</v>
      </c>
      <c r="S17" s="1417">
        <v>0</v>
      </c>
    </row>
    <row r="18" spans="2:19" s="1419" customFormat="1" ht="13.5" thickBot="1"/>
    <row r="19" spans="2:19" s="1419" customFormat="1" ht="30" customHeight="1" thickBot="1">
      <c r="B19" s="640" t="s">
        <v>36</v>
      </c>
      <c r="C19" s="558"/>
      <c r="D19" s="558"/>
      <c r="E19" s="558"/>
      <c r="F19" s="105" t="s">
        <v>1704</v>
      </c>
      <c r="G19" s="106"/>
      <c r="H19" s="106"/>
      <c r="I19" s="106"/>
      <c r="J19" s="106"/>
      <c r="K19" s="106"/>
      <c r="L19" s="106"/>
      <c r="M19" s="106"/>
      <c r="N19" s="106"/>
      <c r="O19" s="105"/>
      <c r="P19" s="105"/>
      <c r="Q19" s="105"/>
      <c r="R19" s="105"/>
      <c r="S19" s="187"/>
    </row>
    <row r="20" spans="2:19" s="1419" customFormat="1" ht="30" customHeight="1">
      <c r="B20" s="1411" t="s">
        <v>3155</v>
      </c>
      <c r="D20" s="561"/>
      <c r="E20" s="561"/>
      <c r="F20" s="562"/>
      <c r="G20" s="563" t="s">
        <v>1666</v>
      </c>
      <c r="H20" s="564"/>
      <c r="I20" s="564"/>
      <c r="J20" s="564"/>
      <c r="K20" s="564"/>
      <c r="L20" s="564"/>
      <c r="M20" s="564"/>
      <c r="N20" s="565"/>
      <c r="O20" s="567" t="s">
        <v>2</v>
      </c>
      <c r="P20" s="567"/>
      <c r="Q20" s="567"/>
      <c r="R20" s="567"/>
      <c r="S20" s="568"/>
    </row>
    <row r="21" spans="2:19" s="1419" customFormat="1" ht="15">
      <c r="B21" s="572"/>
      <c r="C21" s="1425"/>
      <c r="D21" s="339"/>
      <c r="E21" s="339"/>
      <c r="F21" s="571" t="s">
        <v>1745</v>
      </c>
      <c r="G21" s="158" t="s">
        <v>453</v>
      </c>
      <c r="H21" s="137" t="s">
        <v>455</v>
      </c>
      <c r="I21" s="137" t="s">
        <v>457</v>
      </c>
      <c r="J21" s="137" t="s">
        <v>459</v>
      </c>
      <c r="K21" s="137" t="s">
        <v>461</v>
      </c>
      <c r="L21" s="137" t="s">
        <v>463</v>
      </c>
      <c r="M21" s="137" t="s">
        <v>465</v>
      </c>
      <c r="N21" s="138" t="s">
        <v>467</v>
      </c>
      <c r="O21" s="242" t="s">
        <v>469</v>
      </c>
      <c r="P21" s="121" t="s">
        <v>471</v>
      </c>
      <c r="Q21" s="121" t="s">
        <v>473</v>
      </c>
      <c r="R21" s="121" t="s">
        <v>475</v>
      </c>
      <c r="S21" s="122" t="s">
        <v>477</v>
      </c>
    </row>
    <row r="22" spans="2:19" s="1419" customFormat="1" ht="15">
      <c r="B22" s="572"/>
      <c r="C22" s="1423"/>
      <c r="D22" s="561"/>
      <c r="E22" s="561"/>
      <c r="F22" s="260"/>
      <c r="G22" s="295"/>
      <c r="H22" s="259"/>
      <c r="I22" s="259"/>
      <c r="J22" s="259"/>
      <c r="K22" s="259"/>
      <c r="L22" s="259"/>
      <c r="M22" s="259"/>
      <c r="N22" s="296"/>
      <c r="O22" s="259"/>
      <c r="P22" s="259"/>
      <c r="Q22" s="259"/>
      <c r="R22" s="259"/>
      <c r="S22" s="296"/>
    </row>
    <row r="23" spans="2:19" s="1428" customFormat="1" ht="15" customHeight="1">
      <c r="B23" s="349"/>
      <c r="C23" s="1437" t="s">
        <v>3156</v>
      </c>
      <c r="D23" s="1438" t="s">
        <v>3157</v>
      </c>
      <c r="E23" s="1439" t="s">
        <v>3158</v>
      </c>
      <c r="F23" s="576" t="s">
        <v>498</v>
      </c>
      <c r="G23" s="297">
        <v>0</v>
      </c>
      <c r="H23" s="298">
        <v>0</v>
      </c>
      <c r="I23" s="298">
        <v>0</v>
      </c>
      <c r="J23" s="298">
        <v>0</v>
      </c>
      <c r="K23" s="298">
        <v>0</v>
      </c>
      <c r="L23" s="298">
        <v>0</v>
      </c>
      <c r="M23" s="298">
        <v>0</v>
      </c>
      <c r="N23" s="299">
        <v>0</v>
      </c>
      <c r="O23" s="460">
        <v>0</v>
      </c>
      <c r="P23" s="298">
        <v>0</v>
      </c>
      <c r="Q23" s="298">
        <v>0</v>
      </c>
      <c r="R23" s="298">
        <v>0</v>
      </c>
      <c r="S23" s="299">
        <v>0</v>
      </c>
    </row>
    <row r="24" spans="2:19" s="1428" customFormat="1" ht="15" customHeight="1">
      <c r="B24" s="349"/>
      <c r="C24" s="1440"/>
      <c r="D24" s="1441"/>
      <c r="E24" s="1439" t="s">
        <v>3159</v>
      </c>
      <c r="F24" s="576" t="s">
        <v>498</v>
      </c>
      <c r="G24" s="297">
        <v>0</v>
      </c>
      <c r="H24" s="298">
        <v>0</v>
      </c>
      <c r="I24" s="298">
        <v>0</v>
      </c>
      <c r="J24" s="298">
        <v>0</v>
      </c>
      <c r="K24" s="298">
        <v>0</v>
      </c>
      <c r="L24" s="298">
        <v>0</v>
      </c>
      <c r="M24" s="298">
        <v>0</v>
      </c>
      <c r="N24" s="299">
        <v>0</v>
      </c>
      <c r="O24" s="460">
        <v>5.2999999999999999E-2</v>
      </c>
      <c r="P24" s="298">
        <v>5.2999999999999999E-2</v>
      </c>
      <c r="Q24" s="298">
        <v>5.2999999999999999E-2</v>
      </c>
      <c r="R24" s="298">
        <v>5.2999999999999999E-2</v>
      </c>
      <c r="S24" s="299">
        <v>5.2999999999999999E-2</v>
      </c>
    </row>
    <row r="25" spans="2:19" s="1428" customFormat="1" ht="15" customHeight="1">
      <c r="B25" s="349"/>
      <c r="C25" s="1440"/>
      <c r="D25" s="1441"/>
      <c r="E25" s="1439" t="s">
        <v>3160</v>
      </c>
      <c r="F25" s="576" t="s">
        <v>498</v>
      </c>
      <c r="G25" s="297">
        <v>3.1574751064794002E-2</v>
      </c>
      <c r="H25" s="298">
        <v>3.5083056738660003E-2</v>
      </c>
      <c r="I25" s="298">
        <v>4.5607973760258005E-2</v>
      </c>
      <c r="J25" s="298">
        <v>7.0166113477320005E-2</v>
      </c>
      <c r="K25" s="298">
        <v>7.0166113477320005E-2</v>
      </c>
      <c r="L25" s="298">
        <v>7.0166113477320005E-2</v>
      </c>
      <c r="M25" s="298">
        <v>7.0166113477320005E-2</v>
      </c>
      <c r="N25" s="299">
        <v>7.0166113477320005E-2</v>
      </c>
      <c r="O25" s="460">
        <v>7.0166113477320005E-2</v>
      </c>
      <c r="P25" s="298">
        <v>7.0166113477320005E-2</v>
      </c>
      <c r="Q25" s="298">
        <v>7.0166113477320005E-2</v>
      </c>
      <c r="R25" s="298">
        <v>7.0166113477320005E-2</v>
      </c>
      <c r="S25" s="299">
        <v>7.0166113477320005E-2</v>
      </c>
    </row>
    <row r="26" spans="2:19" s="1428" customFormat="1" ht="15" customHeight="1">
      <c r="B26" s="349"/>
      <c r="C26" s="1440"/>
      <c r="D26" s="1438" t="s">
        <v>3161</v>
      </c>
      <c r="E26" s="1439" t="s">
        <v>3162</v>
      </c>
      <c r="F26" s="576" t="s">
        <v>498</v>
      </c>
      <c r="G26" s="297">
        <v>1.6356775353174001E-2</v>
      </c>
      <c r="H26" s="298">
        <v>1.8174194836859999E-2</v>
      </c>
      <c r="I26" s="298">
        <v>2.3626453287917997E-2</v>
      </c>
      <c r="J26" s="298">
        <v>3.6348389673719998E-2</v>
      </c>
      <c r="K26" s="298">
        <v>3.6348389673719998E-2</v>
      </c>
      <c r="L26" s="298">
        <v>3.6348389673719998E-2</v>
      </c>
      <c r="M26" s="298">
        <v>3.6348389673719998E-2</v>
      </c>
      <c r="N26" s="299">
        <v>3.6348389673719998E-2</v>
      </c>
      <c r="O26" s="460">
        <v>3.6348389673719998E-2</v>
      </c>
      <c r="P26" s="298">
        <v>3.6348389673719998E-2</v>
      </c>
      <c r="Q26" s="298">
        <v>3.6348389673719998E-2</v>
      </c>
      <c r="R26" s="298">
        <v>3.6348389673719998E-2</v>
      </c>
      <c r="S26" s="299">
        <v>3.6348389673719998E-2</v>
      </c>
    </row>
    <row r="27" spans="2:19" s="1428" customFormat="1" ht="15" customHeight="1">
      <c r="B27" s="349"/>
      <c r="C27" s="1440"/>
      <c r="D27" s="1441"/>
      <c r="E27" s="1439" t="s">
        <v>3163</v>
      </c>
      <c r="F27" s="576" t="s">
        <v>498</v>
      </c>
      <c r="G27" s="297">
        <v>0</v>
      </c>
      <c r="H27" s="298">
        <v>0</v>
      </c>
      <c r="I27" s="298">
        <v>0</v>
      </c>
      <c r="J27" s="298">
        <v>0</v>
      </c>
      <c r="K27" s="298">
        <v>0</v>
      </c>
      <c r="L27" s="298">
        <v>0</v>
      </c>
      <c r="M27" s="298">
        <v>0</v>
      </c>
      <c r="N27" s="299">
        <v>0</v>
      </c>
      <c r="O27" s="460">
        <v>0</v>
      </c>
      <c r="P27" s="298">
        <v>0</v>
      </c>
      <c r="Q27" s="298">
        <v>0</v>
      </c>
      <c r="R27" s="298">
        <v>0</v>
      </c>
      <c r="S27" s="299">
        <v>0</v>
      </c>
    </row>
    <row r="28" spans="2:19" s="1428" customFormat="1" ht="15" customHeight="1">
      <c r="B28" s="349"/>
      <c r="C28" s="1440"/>
      <c r="D28" s="1439" t="s">
        <v>3164</v>
      </c>
      <c r="E28" s="1439" t="s">
        <v>3165</v>
      </c>
      <c r="F28" s="576" t="s">
        <v>498</v>
      </c>
      <c r="G28" s="297">
        <v>1.19035353214872E-2</v>
      </c>
      <c r="H28" s="298">
        <v>1.3226150357208E-2</v>
      </c>
      <c r="I28" s="298">
        <v>1.71939954643704E-2</v>
      </c>
      <c r="J28" s="298">
        <v>0.21068633034051787</v>
      </c>
      <c r="K28" s="298">
        <v>8.5637362819395366E-2</v>
      </c>
      <c r="L28" s="298">
        <v>8.4214370714415773E-2</v>
      </c>
      <c r="M28" s="298">
        <v>8.4214370714415773E-2</v>
      </c>
      <c r="N28" s="299">
        <v>8.4214370714415773E-2</v>
      </c>
      <c r="O28" s="460">
        <v>0.11544623287712676</v>
      </c>
      <c r="P28" s="298">
        <v>0.11544623287712676</v>
      </c>
      <c r="Q28" s="298">
        <v>0.11544623287712676</v>
      </c>
      <c r="R28" s="298">
        <v>0.11544623287712676</v>
      </c>
      <c r="S28" s="299">
        <v>0.11544623287712676</v>
      </c>
    </row>
    <row r="29" spans="2:19" s="1428" customFormat="1" ht="15" customHeight="1">
      <c r="B29" s="349"/>
      <c r="C29" s="1440"/>
      <c r="D29" s="1439" t="s">
        <v>3166</v>
      </c>
      <c r="E29" s="1439" t="s">
        <v>3167</v>
      </c>
      <c r="F29" s="576" t="s">
        <v>498</v>
      </c>
      <c r="G29" s="297">
        <v>1.4827678467255002E-2</v>
      </c>
      <c r="H29" s="298">
        <v>1.6475198296950003E-2</v>
      </c>
      <c r="I29" s="298">
        <v>2.1417757786035004E-2</v>
      </c>
      <c r="J29" s="298">
        <v>3.2950396593900005E-2</v>
      </c>
      <c r="K29" s="298">
        <v>3.2950396593900005E-2</v>
      </c>
      <c r="L29" s="298">
        <v>3.2950396593900005E-2</v>
      </c>
      <c r="M29" s="298">
        <v>3.2950396593900005E-2</v>
      </c>
      <c r="N29" s="299">
        <v>3.2950396593900005E-2</v>
      </c>
      <c r="O29" s="460">
        <v>3.2950396593900005E-2</v>
      </c>
      <c r="P29" s="298">
        <v>3.2950396593900005E-2</v>
      </c>
      <c r="Q29" s="298">
        <v>3.2950396593900005E-2</v>
      </c>
      <c r="R29" s="298">
        <v>3.2950396593900005E-2</v>
      </c>
      <c r="S29" s="299">
        <v>3.2950396593900005E-2</v>
      </c>
    </row>
    <row r="30" spans="2:19" s="1428" customFormat="1" ht="15" customHeight="1">
      <c r="B30" s="349"/>
      <c r="C30" s="1437" t="s">
        <v>3168</v>
      </c>
      <c r="D30" s="1438" t="s">
        <v>3169</v>
      </c>
      <c r="E30" s="1439" t="s">
        <v>3170</v>
      </c>
      <c r="F30" s="576" t="s">
        <v>498</v>
      </c>
      <c r="G30" s="297">
        <v>1.710647718678E-2</v>
      </c>
      <c r="H30" s="298">
        <v>1.9007196874200001E-2</v>
      </c>
      <c r="I30" s="298">
        <v>2.4709355936460002E-2</v>
      </c>
      <c r="J30" s="298">
        <v>3.8014393748400002E-2</v>
      </c>
      <c r="K30" s="298">
        <v>3.8014393748400002E-2</v>
      </c>
      <c r="L30" s="298">
        <v>3.8014393748400002E-2</v>
      </c>
      <c r="M30" s="298">
        <v>3.8014393748400002E-2</v>
      </c>
      <c r="N30" s="299">
        <v>3.8014393748400002E-2</v>
      </c>
      <c r="O30" s="460">
        <v>3.8014393748400002E-2</v>
      </c>
      <c r="P30" s="298">
        <v>3.8014393748400002E-2</v>
      </c>
      <c r="Q30" s="298">
        <v>3.8014393748400002E-2</v>
      </c>
      <c r="R30" s="298">
        <v>3.8014393748400002E-2</v>
      </c>
      <c r="S30" s="299">
        <v>3.8014393748400002E-2</v>
      </c>
    </row>
    <row r="31" spans="2:19" s="1428" customFormat="1" ht="15" customHeight="1">
      <c r="B31" s="349"/>
      <c r="C31" s="1440"/>
      <c r="D31" s="1441"/>
      <c r="E31" s="1439" t="s">
        <v>3171</v>
      </c>
      <c r="F31" s="576" t="s">
        <v>498</v>
      </c>
      <c r="G31" s="297">
        <v>0</v>
      </c>
      <c r="H31" s="298">
        <v>0</v>
      </c>
      <c r="I31" s="298">
        <v>0</v>
      </c>
      <c r="J31" s="298">
        <v>0</v>
      </c>
      <c r="K31" s="298">
        <v>0</v>
      </c>
      <c r="L31" s="298">
        <v>0</v>
      </c>
      <c r="M31" s="298">
        <v>0</v>
      </c>
      <c r="N31" s="299">
        <v>0</v>
      </c>
      <c r="O31" s="460">
        <v>0</v>
      </c>
      <c r="P31" s="298">
        <v>0</v>
      </c>
      <c r="Q31" s="298">
        <v>0</v>
      </c>
      <c r="R31" s="298">
        <v>0</v>
      </c>
      <c r="S31" s="299">
        <v>0</v>
      </c>
    </row>
    <row r="32" spans="2:19" s="1428" customFormat="1" ht="15" customHeight="1">
      <c r="B32" s="349"/>
      <c r="C32" s="1440"/>
      <c r="D32" s="1438" t="s">
        <v>3172</v>
      </c>
      <c r="E32" s="1439" t="s">
        <v>3173</v>
      </c>
      <c r="F32" s="576" t="s">
        <v>498</v>
      </c>
      <c r="G32" s="297">
        <v>0</v>
      </c>
      <c r="H32" s="298">
        <v>0</v>
      </c>
      <c r="I32" s="298">
        <v>0</v>
      </c>
      <c r="J32" s="298">
        <v>0</v>
      </c>
      <c r="K32" s="298">
        <v>0</v>
      </c>
      <c r="L32" s="298">
        <v>0</v>
      </c>
      <c r="M32" s="298">
        <v>0</v>
      </c>
      <c r="N32" s="299">
        <v>0</v>
      </c>
      <c r="O32" s="460">
        <v>0</v>
      </c>
      <c r="P32" s="298">
        <v>0.16700000000000001</v>
      </c>
      <c r="Q32" s="298">
        <v>0.16700000000000001</v>
      </c>
      <c r="R32" s="298">
        <v>0.16700000000000001</v>
      </c>
      <c r="S32" s="299">
        <v>0.16700000000000001</v>
      </c>
    </row>
    <row r="33" spans="2:19" s="1428" customFormat="1" ht="15" customHeight="1">
      <c r="B33" s="349"/>
      <c r="C33" s="1440"/>
      <c r="D33" s="1441"/>
      <c r="E33" s="1439" t="s">
        <v>3174</v>
      </c>
      <c r="F33" s="576" t="s">
        <v>498</v>
      </c>
      <c r="G33" s="297">
        <v>0</v>
      </c>
      <c r="H33" s="298">
        <v>0</v>
      </c>
      <c r="I33" s="298">
        <v>0</v>
      </c>
      <c r="J33" s="298">
        <v>0</v>
      </c>
      <c r="K33" s="298">
        <v>0</v>
      </c>
      <c r="L33" s="298">
        <v>0</v>
      </c>
      <c r="M33" s="298">
        <v>0</v>
      </c>
      <c r="N33" s="299">
        <v>0</v>
      </c>
      <c r="O33" s="460">
        <v>0</v>
      </c>
      <c r="P33" s="298">
        <v>0</v>
      </c>
      <c r="Q33" s="298">
        <v>0</v>
      </c>
      <c r="R33" s="298">
        <v>0</v>
      </c>
      <c r="S33" s="299">
        <v>0</v>
      </c>
    </row>
    <row r="34" spans="2:19" s="1428" customFormat="1" ht="15" customHeight="1">
      <c r="B34" s="349"/>
      <c r="C34" s="1440"/>
      <c r="D34" s="1441"/>
      <c r="E34" s="1439" t="s">
        <v>3175</v>
      </c>
      <c r="F34" s="576" t="s">
        <v>498</v>
      </c>
      <c r="G34" s="297">
        <v>0</v>
      </c>
      <c r="H34" s="298">
        <v>0</v>
      </c>
      <c r="I34" s="298">
        <v>0</v>
      </c>
      <c r="J34" s="298">
        <v>0</v>
      </c>
      <c r="K34" s="298">
        <v>0</v>
      </c>
      <c r="L34" s="298">
        <v>0</v>
      </c>
      <c r="M34" s="298">
        <v>0</v>
      </c>
      <c r="N34" s="299">
        <v>0</v>
      </c>
      <c r="O34" s="460">
        <v>0</v>
      </c>
      <c r="P34" s="298">
        <v>0</v>
      </c>
      <c r="Q34" s="298">
        <v>0</v>
      </c>
      <c r="R34" s="298">
        <v>0</v>
      </c>
      <c r="S34" s="299">
        <v>0</v>
      </c>
    </row>
    <row r="35" spans="2:19" s="1428" customFormat="1" ht="15" customHeight="1">
      <c r="B35" s="349"/>
      <c r="C35" s="1440"/>
      <c r="D35" s="1441"/>
      <c r="E35" s="1439" t="s">
        <v>3176</v>
      </c>
      <c r="F35" s="576" t="s">
        <v>498</v>
      </c>
      <c r="G35" s="297">
        <v>0</v>
      </c>
      <c r="H35" s="298">
        <v>0</v>
      </c>
      <c r="I35" s="298">
        <v>0</v>
      </c>
      <c r="J35" s="298">
        <v>0</v>
      </c>
      <c r="K35" s="298">
        <v>0</v>
      </c>
      <c r="L35" s="298">
        <v>0</v>
      </c>
      <c r="M35" s="298">
        <v>0</v>
      </c>
      <c r="N35" s="299">
        <v>0</v>
      </c>
      <c r="O35" s="460">
        <v>0</v>
      </c>
      <c r="P35" s="298">
        <v>0</v>
      </c>
      <c r="Q35" s="298">
        <v>0</v>
      </c>
      <c r="R35" s="298">
        <v>0</v>
      </c>
      <c r="S35" s="299">
        <v>0</v>
      </c>
    </row>
    <row r="36" spans="2:19" s="1428" customFormat="1" ht="15" customHeight="1">
      <c r="B36" s="349"/>
      <c r="C36" s="1440"/>
      <c r="D36" s="1438" t="s">
        <v>3177</v>
      </c>
      <c r="E36" s="1439" t="s">
        <v>3178</v>
      </c>
      <c r="F36" s="576" t="s">
        <v>498</v>
      </c>
      <c r="G36" s="297">
        <v>0</v>
      </c>
      <c r="H36" s="298">
        <v>0</v>
      </c>
      <c r="I36" s="298">
        <v>0</v>
      </c>
      <c r="J36" s="298">
        <v>0</v>
      </c>
      <c r="K36" s="298">
        <v>0</v>
      </c>
      <c r="L36" s="298">
        <v>0</v>
      </c>
      <c r="M36" s="298">
        <v>0</v>
      </c>
      <c r="N36" s="299">
        <v>0</v>
      </c>
      <c r="O36" s="460">
        <v>0</v>
      </c>
      <c r="P36" s="298">
        <v>0</v>
      </c>
      <c r="Q36" s="298">
        <v>0</v>
      </c>
      <c r="R36" s="298">
        <v>0</v>
      </c>
      <c r="S36" s="299">
        <v>0</v>
      </c>
    </row>
    <row r="37" spans="2:19" s="1428" customFormat="1" ht="15" customHeight="1">
      <c r="B37" s="349"/>
      <c r="C37" s="1440"/>
      <c r="D37" s="1441"/>
      <c r="E37" s="1439" t="s">
        <v>3179</v>
      </c>
      <c r="F37" s="576" t="s">
        <v>498</v>
      </c>
      <c r="G37" s="297">
        <v>0</v>
      </c>
      <c r="H37" s="298">
        <v>0</v>
      </c>
      <c r="I37" s="298">
        <v>0</v>
      </c>
      <c r="J37" s="298">
        <v>0</v>
      </c>
      <c r="K37" s="298">
        <v>0</v>
      </c>
      <c r="L37" s="298">
        <v>0</v>
      </c>
      <c r="M37" s="298">
        <v>0</v>
      </c>
      <c r="N37" s="299">
        <v>0</v>
      </c>
      <c r="O37" s="460">
        <v>0</v>
      </c>
      <c r="P37" s="298">
        <v>0</v>
      </c>
      <c r="Q37" s="298">
        <v>0</v>
      </c>
      <c r="R37" s="298">
        <v>0</v>
      </c>
      <c r="S37" s="299">
        <v>0</v>
      </c>
    </row>
    <row r="38" spans="2:19" s="1428" customFormat="1" ht="15" customHeight="1">
      <c r="B38" s="349"/>
      <c r="C38" s="1440"/>
      <c r="D38" s="1441"/>
      <c r="E38" s="1439" t="s">
        <v>3180</v>
      </c>
      <c r="F38" s="576" t="s">
        <v>498</v>
      </c>
      <c r="G38" s="297">
        <v>1.638388537869245E-2</v>
      </c>
      <c r="H38" s="298">
        <v>2.2994622073168831E-2</v>
      </c>
      <c r="I38" s="298">
        <v>0.10159206329154313</v>
      </c>
      <c r="J38" s="298">
        <v>0.3171968806152034</v>
      </c>
      <c r="K38" s="298">
        <v>0.48705289159260839</v>
      </c>
      <c r="L38" s="298">
        <v>0.44254768200000005</v>
      </c>
      <c r="M38" s="298">
        <v>0.44254768200000005</v>
      </c>
      <c r="N38" s="299">
        <v>0.34254768200000008</v>
      </c>
      <c r="O38" s="460">
        <v>0.68183253111727216</v>
      </c>
      <c r="P38" s="298">
        <v>0.68183253111727216</v>
      </c>
      <c r="Q38" s="298">
        <v>0.68183253111727216</v>
      </c>
      <c r="R38" s="298">
        <v>0.68183253111727216</v>
      </c>
      <c r="S38" s="299">
        <v>0.68183253111727216</v>
      </c>
    </row>
    <row r="39" spans="2:19" s="1428" customFormat="1" ht="15" customHeight="1">
      <c r="B39" s="349"/>
      <c r="C39" s="1440"/>
      <c r="D39" s="1441"/>
      <c r="E39" s="1439" t="s">
        <v>3181</v>
      </c>
      <c r="F39" s="576" t="s">
        <v>498</v>
      </c>
      <c r="G39" s="297">
        <v>0</v>
      </c>
      <c r="H39" s="298">
        <v>0</v>
      </c>
      <c r="I39" s="298">
        <v>0</v>
      </c>
      <c r="J39" s="298">
        <v>0</v>
      </c>
      <c r="K39" s="298">
        <v>0</v>
      </c>
      <c r="L39" s="298">
        <v>0</v>
      </c>
      <c r="M39" s="298">
        <v>0</v>
      </c>
      <c r="N39" s="299">
        <v>0</v>
      </c>
      <c r="O39" s="460">
        <v>0</v>
      </c>
      <c r="P39" s="298">
        <v>0</v>
      </c>
      <c r="Q39" s="298">
        <v>0</v>
      </c>
      <c r="R39" s="298">
        <v>0</v>
      </c>
      <c r="S39" s="299">
        <v>0</v>
      </c>
    </row>
    <row r="40" spans="2:19" s="1428" customFormat="1" ht="15" customHeight="1">
      <c r="B40" s="349"/>
      <c r="C40" s="1440"/>
      <c r="D40" s="1441"/>
      <c r="E40" s="1439" t="s">
        <v>3182</v>
      </c>
      <c r="F40" s="576" t="s">
        <v>498</v>
      </c>
      <c r="G40" s="297">
        <v>0</v>
      </c>
      <c r="H40" s="298">
        <v>0</v>
      </c>
      <c r="I40" s="298">
        <v>0</v>
      </c>
      <c r="J40" s="298">
        <v>0</v>
      </c>
      <c r="K40" s="298">
        <v>0</v>
      </c>
      <c r="L40" s="298">
        <v>0</v>
      </c>
      <c r="M40" s="298">
        <v>0</v>
      </c>
      <c r="N40" s="299">
        <v>0</v>
      </c>
      <c r="O40" s="460">
        <v>0</v>
      </c>
      <c r="P40" s="298">
        <v>0</v>
      </c>
      <c r="Q40" s="298">
        <v>0</v>
      </c>
      <c r="R40" s="298">
        <v>0</v>
      </c>
      <c r="S40" s="299">
        <v>0</v>
      </c>
    </row>
    <row r="41" spans="2:19" s="1428" customFormat="1" ht="15" customHeight="1">
      <c r="B41" s="349"/>
      <c r="C41" s="1440"/>
      <c r="D41" s="1438" t="s">
        <v>3183</v>
      </c>
      <c r="E41" s="1439" t="s">
        <v>3184</v>
      </c>
      <c r="F41" s="576" t="s">
        <v>498</v>
      </c>
      <c r="G41" s="297">
        <v>0</v>
      </c>
      <c r="H41" s="298">
        <v>0</v>
      </c>
      <c r="I41" s="298">
        <v>0</v>
      </c>
      <c r="J41" s="298">
        <v>0</v>
      </c>
      <c r="K41" s="298">
        <v>0</v>
      </c>
      <c r="L41" s="298">
        <v>0</v>
      </c>
      <c r="M41" s="298">
        <v>0</v>
      </c>
      <c r="N41" s="299">
        <v>0</v>
      </c>
      <c r="O41" s="460">
        <v>0</v>
      </c>
      <c r="P41" s="298">
        <v>0</v>
      </c>
      <c r="Q41" s="298">
        <v>0</v>
      </c>
      <c r="R41" s="298">
        <v>0</v>
      </c>
      <c r="S41" s="299">
        <v>0</v>
      </c>
    </row>
    <row r="42" spans="2:19" s="1428" customFormat="1" ht="15" customHeight="1">
      <c r="B42" s="349"/>
      <c r="C42" s="1440"/>
      <c r="D42" s="1441"/>
      <c r="E42" s="1439" t="s">
        <v>3185</v>
      </c>
      <c r="F42" s="576" t="s">
        <v>498</v>
      </c>
      <c r="G42" s="297">
        <v>0</v>
      </c>
      <c r="H42" s="298">
        <v>0</v>
      </c>
      <c r="I42" s="298">
        <v>0</v>
      </c>
      <c r="J42" s="298">
        <v>0</v>
      </c>
      <c r="K42" s="298">
        <v>0</v>
      </c>
      <c r="L42" s="298">
        <v>0</v>
      </c>
      <c r="M42" s="298">
        <v>0</v>
      </c>
      <c r="N42" s="299">
        <v>0</v>
      </c>
      <c r="O42" s="460">
        <v>0</v>
      </c>
      <c r="P42" s="298">
        <v>0.3</v>
      </c>
      <c r="Q42" s="298">
        <v>0.3</v>
      </c>
      <c r="R42" s="298">
        <v>0.25</v>
      </c>
      <c r="S42" s="299">
        <v>0.3</v>
      </c>
    </row>
    <row r="43" spans="2:19" s="1428" customFormat="1" ht="15" customHeight="1">
      <c r="B43" s="349"/>
      <c r="C43" s="1440"/>
      <c r="D43" s="1441"/>
      <c r="E43" s="1439" t="s">
        <v>3186</v>
      </c>
      <c r="F43" s="576" t="s">
        <v>498</v>
      </c>
      <c r="G43" s="297">
        <v>0.24094479819291922</v>
      </c>
      <c r="H43" s="298">
        <v>0.35738913952428325</v>
      </c>
      <c r="I43" s="298">
        <v>0.30009897969514765</v>
      </c>
      <c r="J43" s="298">
        <v>0.14669822831399465</v>
      </c>
      <c r="K43" s="298">
        <v>7.8303836242857666E-2</v>
      </c>
      <c r="L43" s="298">
        <v>4.5841148999999998E-2</v>
      </c>
      <c r="M43" s="298">
        <v>4.5841148999999998E-2</v>
      </c>
      <c r="N43" s="299">
        <v>3.5841148999999996E-2</v>
      </c>
      <c r="O43" s="460">
        <v>7.0627387563616265E-2</v>
      </c>
      <c r="P43" s="298">
        <v>7.0627387563616265E-2</v>
      </c>
      <c r="Q43" s="298">
        <v>7.0627387563616265E-2</v>
      </c>
      <c r="R43" s="298">
        <v>7.0627387563616265E-2</v>
      </c>
      <c r="S43" s="299">
        <v>7.0627387563616265E-2</v>
      </c>
    </row>
    <row r="44" spans="2:19" s="1428" customFormat="1" ht="15" customHeight="1">
      <c r="B44" s="1429"/>
      <c r="C44" s="1440"/>
      <c r="D44" s="1441"/>
      <c r="E44" s="1439" t="s">
        <v>3187</v>
      </c>
      <c r="F44" s="576" t="s">
        <v>498</v>
      </c>
      <c r="G44" s="297">
        <v>0</v>
      </c>
      <c r="H44" s="298">
        <v>0</v>
      </c>
      <c r="I44" s="298">
        <v>0</v>
      </c>
      <c r="J44" s="298">
        <v>0</v>
      </c>
      <c r="K44" s="298">
        <v>0</v>
      </c>
      <c r="L44" s="298">
        <v>0</v>
      </c>
      <c r="M44" s="298">
        <v>0</v>
      </c>
      <c r="N44" s="299">
        <v>0</v>
      </c>
      <c r="O44" s="460">
        <v>0</v>
      </c>
      <c r="P44" s="298">
        <v>0</v>
      </c>
      <c r="Q44" s="298">
        <v>0</v>
      </c>
      <c r="R44" s="298">
        <v>0</v>
      </c>
      <c r="S44" s="299">
        <v>0</v>
      </c>
    </row>
    <row r="45" spans="2:19" s="1428" customFormat="1" ht="15" customHeight="1">
      <c r="B45" s="1429"/>
      <c r="C45" s="1440"/>
      <c r="D45" s="1438" t="s">
        <v>3188</v>
      </c>
      <c r="E45" s="1439" t="s">
        <v>3189</v>
      </c>
      <c r="F45" s="576" t="s">
        <v>498</v>
      </c>
      <c r="G45" s="297">
        <v>0</v>
      </c>
      <c r="H45" s="298">
        <v>0</v>
      </c>
      <c r="I45" s="298">
        <v>0</v>
      </c>
      <c r="J45" s="298">
        <v>0</v>
      </c>
      <c r="K45" s="298">
        <v>0</v>
      </c>
      <c r="L45" s="298">
        <v>0</v>
      </c>
      <c r="M45" s="298">
        <v>0</v>
      </c>
      <c r="N45" s="299">
        <v>0</v>
      </c>
      <c r="O45" s="460">
        <v>0</v>
      </c>
      <c r="P45" s="298">
        <v>7.4999999999999997E-2</v>
      </c>
      <c r="Q45" s="298">
        <v>7.4999999999999997E-2</v>
      </c>
      <c r="R45" s="298">
        <v>7.4999999999999997E-2</v>
      </c>
      <c r="S45" s="299">
        <v>7.4999999999999997E-2</v>
      </c>
    </row>
    <row r="46" spans="2:19" s="1428" customFormat="1" ht="15" customHeight="1">
      <c r="B46" s="1429"/>
      <c r="C46" s="1440"/>
      <c r="D46" s="1441"/>
      <c r="E46" s="1439" t="s">
        <v>3190</v>
      </c>
      <c r="F46" s="576" t="s">
        <v>498</v>
      </c>
      <c r="G46" s="297">
        <v>0</v>
      </c>
      <c r="H46" s="298">
        <v>0</v>
      </c>
      <c r="I46" s="298">
        <v>0</v>
      </c>
      <c r="J46" s="298">
        <v>0</v>
      </c>
      <c r="K46" s="298">
        <v>0</v>
      </c>
      <c r="L46" s="298">
        <v>0</v>
      </c>
      <c r="M46" s="298">
        <v>0</v>
      </c>
      <c r="N46" s="299">
        <v>0</v>
      </c>
      <c r="O46" s="460">
        <v>0</v>
      </c>
      <c r="P46" s="298">
        <v>0</v>
      </c>
      <c r="Q46" s="298">
        <v>0</v>
      </c>
      <c r="R46" s="298">
        <v>0</v>
      </c>
      <c r="S46" s="299">
        <v>0</v>
      </c>
    </row>
    <row r="47" spans="2:19" s="1428" customFormat="1" ht="15" customHeight="1">
      <c r="B47" s="1429"/>
      <c r="C47" s="1440"/>
      <c r="D47" s="1441"/>
      <c r="E47" s="1439" t="s">
        <v>3191</v>
      </c>
      <c r="F47" s="576" t="s">
        <v>498</v>
      </c>
      <c r="G47" s="297">
        <v>1.0760480883201379E-2</v>
      </c>
      <c r="H47" s="298">
        <v>1.0849327544047794E-2</v>
      </c>
      <c r="I47" s="298">
        <v>2.2756049400821807E-2</v>
      </c>
      <c r="J47" s="298">
        <v>6.1641457189484956E-3</v>
      </c>
      <c r="K47" s="298">
        <v>2.9680464018665021E-2</v>
      </c>
      <c r="L47" s="298">
        <v>3.1375235500000001E-2</v>
      </c>
      <c r="M47" s="298">
        <v>3.1375235500000001E-2</v>
      </c>
      <c r="N47" s="299">
        <v>3.1375235500000001E-2</v>
      </c>
      <c r="O47" s="460">
        <v>4.8339776944906675E-2</v>
      </c>
      <c r="P47" s="298">
        <v>4.8339776944906675E-2</v>
      </c>
      <c r="Q47" s="298">
        <v>4.8339776944906675E-2</v>
      </c>
      <c r="R47" s="298">
        <v>4.8339776944906675E-2</v>
      </c>
      <c r="S47" s="299">
        <v>4.8339776944906675E-2</v>
      </c>
    </row>
    <row r="48" spans="2:19" s="1428" customFormat="1" ht="15" customHeight="1">
      <c r="B48" s="1429"/>
      <c r="C48" s="1440"/>
      <c r="D48" s="1438" t="s">
        <v>3192</v>
      </c>
      <c r="E48" s="1439" t="s">
        <v>3193</v>
      </c>
      <c r="F48" s="576" t="s">
        <v>498</v>
      </c>
      <c r="G48" s="297">
        <v>0</v>
      </c>
      <c r="H48" s="298">
        <v>0</v>
      </c>
      <c r="I48" s="298">
        <v>0</v>
      </c>
      <c r="J48" s="298">
        <v>0</v>
      </c>
      <c r="K48" s="298">
        <v>0</v>
      </c>
      <c r="L48" s="298">
        <v>0</v>
      </c>
      <c r="M48" s="298">
        <v>0</v>
      </c>
      <c r="N48" s="299">
        <v>0</v>
      </c>
      <c r="O48" s="460">
        <v>0</v>
      </c>
      <c r="P48" s="298">
        <v>0</v>
      </c>
      <c r="Q48" s="298">
        <v>0</v>
      </c>
      <c r="R48" s="298">
        <v>0</v>
      </c>
      <c r="S48" s="299">
        <v>0</v>
      </c>
    </row>
    <row r="49" spans="2:19" s="1428" customFormat="1" ht="15" customHeight="1">
      <c r="B49" s="1429"/>
      <c r="C49" s="1440"/>
      <c r="D49" s="1441"/>
      <c r="E49" s="1439" t="s">
        <v>3194</v>
      </c>
      <c r="F49" s="576" t="s">
        <v>498</v>
      </c>
      <c r="G49" s="297">
        <v>0</v>
      </c>
      <c r="H49" s="298">
        <v>0</v>
      </c>
      <c r="I49" s="298">
        <v>0</v>
      </c>
      <c r="J49" s="298">
        <v>0</v>
      </c>
      <c r="K49" s="298">
        <v>1.7970616708595538E-2</v>
      </c>
      <c r="L49" s="298">
        <v>2.2145560000000002E-2</v>
      </c>
      <c r="M49" s="298">
        <v>2.2145560000000002E-2</v>
      </c>
      <c r="N49" s="299">
        <v>2.2145560000000002E-2</v>
      </c>
      <c r="O49" s="460">
        <v>3.4119630136960961E-2</v>
      </c>
      <c r="P49" s="298">
        <v>6.4119630136960953E-2</v>
      </c>
      <c r="Q49" s="298">
        <v>6.4119630136960953E-2</v>
      </c>
      <c r="R49" s="298">
        <v>6.4119630136960953E-2</v>
      </c>
      <c r="S49" s="299">
        <v>6.4119630136960953E-2</v>
      </c>
    </row>
    <row r="50" spans="2:19" s="1428" customFormat="1" ht="15" customHeight="1">
      <c r="B50" s="1429"/>
      <c r="C50" s="1437" t="s">
        <v>3195</v>
      </c>
      <c r="D50" s="1438" t="s">
        <v>3196</v>
      </c>
      <c r="E50" s="1439" t="s">
        <v>3197</v>
      </c>
      <c r="F50" s="576" t="s">
        <v>498</v>
      </c>
      <c r="G50" s="297">
        <v>0</v>
      </c>
      <c r="H50" s="298">
        <v>0</v>
      </c>
      <c r="I50" s="298">
        <v>0</v>
      </c>
      <c r="J50" s="298">
        <v>0</v>
      </c>
      <c r="K50" s="298">
        <v>0</v>
      </c>
      <c r="L50" s="298">
        <v>0</v>
      </c>
      <c r="M50" s="298">
        <v>0</v>
      </c>
      <c r="N50" s="299">
        <v>0</v>
      </c>
      <c r="O50" s="460">
        <v>0</v>
      </c>
      <c r="P50" s="298">
        <v>0</v>
      </c>
      <c r="Q50" s="298">
        <v>0</v>
      </c>
      <c r="R50" s="298">
        <v>0</v>
      </c>
      <c r="S50" s="299">
        <v>0</v>
      </c>
    </row>
    <row r="51" spans="2:19" s="1428" customFormat="1" ht="15" customHeight="1">
      <c r="B51" s="1429"/>
      <c r="C51" s="1440"/>
      <c r="D51" s="1441"/>
      <c r="E51" s="1439" t="s">
        <v>3198</v>
      </c>
      <c r="F51" s="576" t="s">
        <v>498</v>
      </c>
      <c r="G51" s="297">
        <v>0</v>
      </c>
      <c r="H51" s="298">
        <v>0</v>
      </c>
      <c r="I51" s="298">
        <v>0</v>
      </c>
      <c r="J51" s="298">
        <v>0</v>
      </c>
      <c r="K51" s="298">
        <v>0</v>
      </c>
      <c r="L51" s="298">
        <v>0</v>
      </c>
      <c r="M51" s="298">
        <v>0</v>
      </c>
      <c r="N51" s="299">
        <v>0</v>
      </c>
      <c r="O51" s="460">
        <v>0</v>
      </c>
      <c r="P51" s="298">
        <v>0</v>
      </c>
      <c r="Q51" s="298">
        <v>0</v>
      </c>
      <c r="R51" s="298">
        <v>0</v>
      </c>
      <c r="S51" s="299">
        <v>0</v>
      </c>
    </row>
    <row r="52" spans="2:19" s="1428" customFormat="1" ht="15" customHeight="1">
      <c r="B52" s="1429"/>
      <c r="C52" s="1440"/>
      <c r="D52" s="1441"/>
      <c r="E52" s="1439" t="s">
        <v>3199</v>
      </c>
      <c r="F52" s="576" t="s">
        <v>498</v>
      </c>
      <c r="G52" s="297">
        <v>0</v>
      </c>
      <c r="H52" s="298">
        <v>0</v>
      </c>
      <c r="I52" s="298">
        <v>0</v>
      </c>
      <c r="J52" s="298">
        <v>0</v>
      </c>
      <c r="K52" s="298">
        <v>0</v>
      </c>
      <c r="L52" s="298">
        <v>0</v>
      </c>
      <c r="M52" s="298">
        <v>0</v>
      </c>
      <c r="N52" s="299">
        <v>0</v>
      </c>
      <c r="O52" s="460">
        <v>0</v>
      </c>
      <c r="P52" s="298">
        <v>0</v>
      </c>
      <c r="Q52" s="298">
        <v>0</v>
      </c>
      <c r="R52" s="298">
        <v>0</v>
      </c>
      <c r="S52" s="299">
        <v>0</v>
      </c>
    </row>
    <row r="53" spans="2:19" s="1428" customFormat="1" ht="15" customHeight="1">
      <c r="B53" s="1429"/>
      <c r="C53" s="1440"/>
      <c r="D53" s="1441"/>
      <c r="E53" s="1439" t="s">
        <v>3200</v>
      </c>
      <c r="F53" s="576" t="s">
        <v>498</v>
      </c>
      <c r="G53" s="297">
        <v>3.6960029810117097E-2</v>
      </c>
      <c r="H53" s="298">
        <v>4.1066699789018994E-2</v>
      </c>
      <c r="I53" s="298">
        <v>5.3386709725724693E-2</v>
      </c>
      <c r="J53" s="298">
        <v>8.2133399578037988E-2</v>
      </c>
      <c r="K53" s="298">
        <v>8.2133399578037988E-2</v>
      </c>
      <c r="L53" s="298">
        <v>8.2133399578037988E-2</v>
      </c>
      <c r="M53" s="298">
        <v>8.2133399578037988E-2</v>
      </c>
      <c r="N53" s="299">
        <v>8.2133399578037988E-2</v>
      </c>
      <c r="O53" s="460">
        <v>8.2133399578037988E-2</v>
      </c>
      <c r="P53" s="298">
        <v>8.2133399578037988E-2</v>
      </c>
      <c r="Q53" s="298">
        <v>8.2133399578037988E-2</v>
      </c>
      <c r="R53" s="298">
        <v>8.2133399578037988E-2</v>
      </c>
      <c r="S53" s="299">
        <v>8.2133399578037988E-2</v>
      </c>
    </row>
    <row r="54" spans="2:19" s="1428" customFormat="1" ht="15" customHeight="1">
      <c r="B54" s="1429"/>
      <c r="C54" s="1440"/>
      <c r="D54" s="1441"/>
      <c r="E54" s="1439" t="s">
        <v>3201</v>
      </c>
      <c r="F54" s="576" t="s">
        <v>498</v>
      </c>
      <c r="G54" s="297">
        <v>0</v>
      </c>
      <c r="H54" s="298">
        <v>0</v>
      </c>
      <c r="I54" s="298">
        <v>0</v>
      </c>
      <c r="J54" s="298">
        <v>0</v>
      </c>
      <c r="K54" s="298">
        <v>0</v>
      </c>
      <c r="L54" s="298">
        <v>0</v>
      </c>
      <c r="M54" s="298">
        <v>0</v>
      </c>
      <c r="N54" s="299">
        <v>0</v>
      </c>
      <c r="O54" s="460">
        <v>0.12</v>
      </c>
      <c r="P54" s="298">
        <v>0.12</v>
      </c>
      <c r="Q54" s="298">
        <v>0.12</v>
      </c>
      <c r="R54" s="298">
        <v>0.12</v>
      </c>
      <c r="S54" s="299">
        <v>0.12</v>
      </c>
    </row>
    <row r="55" spans="2:19" s="1428" customFormat="1" ht="15" customHeight="1">
      <c r="B55" s="1429"/>
      <c r="C55" s="1440"/>
      <c r="D55" s="1438" t="s">
        <v>3202</v>
      </c>
      <c r="E55" s="1439" t="s">
        <v>3203</v>
      </c>
      <c r="F55" s="576" t="s">
        <v>498</v>
      </c>
      <c r="G55" s="297">
        <v>0</v>
      </c>
      <c r="H55" s="298">
        <v>0</v>
      </c>
      <c r="I55" s="298">
        <v>0</v>
      </c>
      <c r="J55" s="298">
        <v>1.0637734724067141E-2</v>
      </c>
      <c r="K55" s="298">
        <v>2.7438345276635983E-3</v>
      </c>
      <c r="L55" s="298">
        <v>1.065E-2</v>
      </c>
      <c r="M55" s="298">
        <v>1.065E-2</v>
      </c>
      <c r="N55" s="299">
        <v>1.065E-2</v>
      </c>
      <c r="O55" s="460">
        <v>1.6408438574532964E-2</v>
      </c>
      <c r="P55" s="298">
        <v>1.6408438574532964E-2</v>
      </c>
      <c r="Q55" s="298">
        <v>1.6408438574532964E-2</v>
      </c>
      <c r="R55" s="298">
        <v>1.6408438574532964E-2</v>
      </c>
      <c r="S55" s="299">
        <v>1.6408438574532964E-2</v>
      </c>
    </row>
    <row r="56" spans="2:19" s="1428" customFormat="1" ht="15" customHeight="1">
      <c r="B56" s="1429"/>
      <c r="C56" s="1440"/>
      <c r="D56" s="1441"/>
      <c r="E56" s="1439" t="s">
        <v>3204</v>
      </c>
      <c r="F56" s="576" t="s">
        <v>498</v>
      </c>
      <c r="G56" s="297">
        <v>0</v>
      </c>
      <c r="H56" s="298">
        <v>0</v>
      </c>
      <c r="I56" s="298">
        <v>0</v>
      </c>
      <c r="J56" s="298">
        <v>0</v>
      </c>
      <c r="K56" s="298">
        <v>0</v>
      </c>
      <c r="L56" s="298">
        <v>0</v>
      </c>
      <c r="M56" s="298">
        <v>0</v>
      </c>
      <c r="N56" s="299">
        <v>0</v>
      </c>
      <c r="O56" s="460">
        <v>0</v>
      </c>
      <c r="P56" s="298">
        <v>0.13</v>
      </c>
      <c r="Q56" s="298">
        <v>0.13</v>
      </c>
      <c r="R56" s="298">
        <v>0</v>
      </c>
      <c r="S56" s="299">
        <v>0.13</v>
      </c>
    </row>
    <row r="57" spans="2:19" s="1428" customFormat="1" ht="15" customHeight="1">
      <c r="B57" s="1429"/>
      <c r="C57" s="1437" t="s">
        <v>3205</v>
      </c>
      <c r="D57" s="1438" t="s">
        <v>3206</v>
      </c>
      <c r="E57" s="1439" t="s">
        <v>3207</v>
      </c>
      <c r="F57" s="576" t="s">
        <v>498</v>
      </c>
      <c r="G57" s="297">
        <v>0</v>
      </c>
      <c r="H57" s="298">
        <v>0</v>
      </c>
      <c r="I57" s="298">
        <v>0</v>
      </c>
      <c r="J57" s="298">
        <v>0</v>
      </c>
      <c r="K57" s="298">
        <v>0</v>
      </c>
      <c r="L57" s="298">
        <v>0</v>
      </c>
      <c r="M57" s="298">
        <v>0</v>
      </c>
      <c r="N57" s="299">
        <v>0</v>
      </c>
      <c r="O57" s="460">
        <v>0</v>
      </c>
      <c r="P57" s="298">
        <v>0.13</v>
      </c>
      <c r="Q57" s="298">
        <v>0.13</v>
      </c>
      <c r="R57" s="298">
        <v>0</v>
      </c>
      <c r="S57" s="299">
        <v>0.13</v>
      </c>
    </row>
    <row r="58" spans="2:19" s="1428" customFormat="1" ht="15" customHeight="1">
      <c r="B58" s="1429"/>
      <c r="C58" s="1440"/>
      <c r="D58" s="1441"/>
      <c r="E58" s="1439" t="s">
        <v>3208</v>
      </c>
      <c r="F58" s="576" t="s">
        <v>498</v>
      </c>
      <c r="G58" s="297">
        <v>8.5841603251947014E-3</v>
      </c>
      <c r="H58" s="298">
        <v>9.5379559168830008E-3</v>
      </c>
      <c r="I58" s="298">
        <v>1.2399342691947901E-2</v>
      </c>
      <c r="J58" s="298">
        <v>1.9075911833766002E-2</v>
      </c>
      <c r="K58" s="298">
        <v>1.9075911833766002E-2</v>
      </c>
      <c r="L58" s="298">
        <v>1.9075911833766002E-2</v>
      </c>
      <c r="M58" s="298">
        <v>1.9075911833766002E-2</v>
      </c>
      <c r="N58" s="299">
        <v>1.9075911833766002E-2</v>
      </c>
      <c r="O58" s="460">
        <v>1.223692632557E-2</v>
      </c>
      <c r="P58" s="298">
        <v>1.223692632557E-2</v>
      </c>
      <c r="Q58" s="298">
        <v>1.223692632557E-2</v>
      </c>
      <c r="R58" s="298">
        <v>1.223692632557E-2</v>
      </c>
      <c r="S58" s="299">
        <v>1.223692632557E-2</v>
      </c>
    </row>
    <row r="59" spans="2:19" s="1428" customFormat="1" ht="15" customHeight="1">
      <c r="B59" s="1429"/>
      <c r="C59" s="1440"/>
      <c r="D59" s="1441"/>
      <c r="E59" s="1439" t="s">
        <v>3209</v>
      </c>
      <c r="F59" s="576" t="s">
        <v>498</v>
      </c>
      <c r="G59" s="297">
        <v>0</v>
      </c>
      <c r="H59" s="298">
        <v>0</v>
      </c>
      <c r="I59" s="298">
        <v>0</v>
      </c>
      <c r="J59" s="298">
        <v>0</v>
      </c>
      <c r="K59" s="298">
        <v>0</v>
      </c>
      <c r="L59" s="298">
        <v>0</v>
      </c>
      <c r="M59" s="298">
        <v>0</v>
      </c>
      <c r="N59" s="299">
        <v>0</v>
      </c>
      <c r="O59" s="460">
        <v>0</v>
      </c>
      <c r="P59" s="298">
        <v>0</v>
      </c>
      <c r="Q59" s="298">
        <v>0</v>
      </c>
      <c r="R59" s="298">
        <v>0</v>
      </c>
      <c r="S59" s="299">
        <v>0</v>
      </c>
    </row>
    <row r="60" spans="2:19" s="1428" customFormat="1" ht="15" customHeight="1">
      <c r="B60" s="1429"/>
      <c r="C60" s="1440"/>
      <c r="D60" s="1438" t="s">
        <v>3210</v>
      </c>
      <c r="E60" s="1439" t="s">
        <v>3211</v>
      </c>
      <c r="F60" s="576" t="s">
        <v>498</v>
      </c>
      <c r="G60" s="297">
        <v>0</v>
      </c>
      <c r="H60" s="298">
        <v>0</v>
      </c>
      <c r="I60" s="298">
        <v>0</v>
      </c>
      <c r="J60" s="298">
        <v>0</v>
      </c>
      <c r="K60" s="298">
        <v>0</v>
      </c>
      <c r="L60" s="298">
        <v>0</v>
      </c>
      <c r="M60" s="298">
        <v>0</v>
      </c>
      <c r="N60" s="299">
        <v>0</v>
      </c>
      <c r="O60" s="460">
        <v>0</v>
      </c>
      <c r="P60" s="298">
        <v>0</v>
      </c>
      <c r="Q60" s="298">
        <v>0</v>
      </c>
      <c r="R60" s="298">
        <v>0</v>
      </c>
      <c r="S60" s="299">
        <v>0</v>
      </c>
    </row>
    <row r="61" spans="2:19" s="1428" customFormat="1" ht="15" customHeight="1">
      <c r="B61" s="1429"/>
      <c r="C61" s="1442"/>
      <c r="D61" s="1442"/>
      <c r="E61" s="1443" t="s">
        <v>3212</v>
      </c>
      <c r="F61" s="576" t="s">
        <v>498</v>
      </c>
      <c r="G61" s="297">
        <v>4.6163152180322999E-3</v>
      </c>
      <c r="H61" s="298">
        <v>5.1292391311470002E-3</v>
      </c>
      <c r="I61" s="298">
        <v>6.6680108704911005E-3</v>
      </c>
      <c r="J61" s="298">
        <v>1.0258478262294E-2</v>
      </c>
      <c r="K61" s="298">
        <v>1.0258478262294E-2</v>
      </c>
      <c r="L61" s="298">
        <v>1.0258478262294E-2</v>
      </c>
      <c r="M61" s="298">
        <v>1.0258478262294E-2</v>
      </c>
      <c r="N61" s="299">
        <v>1.0258478262294E-2</v>
      </c>
      <c r="O61" s="460">
        <v>3.4194927540980003E-3</v>
      </c>
      <c r="P61" s="298">
        <v>3.4194927540980003E-3</v>
      </c>
      <c r="Q61" s="298">
        <v>3.4194927540980003E-3</v>
      </c>
      <c r="R61" s="298">
        <v>3.4194927540980003E-3</v>
      </c>
      <c r="S61" s="299">
        <v>3.4194927540980003E-3</v>
      </c>
    </row>
    <row r="62" spans="2:19" s="1428" customFormat="1" ht="15" thickBot="1">
      <c r="B62" s="1434" t="s">
        <v>1701</v>
      </c>
      <c r="C62" s="1436"/>
      <c r="D62" s="1436"/>
      <c r="E62" s="1436"/>
      <c r="F62" s="581" t="s">
        <v>498</v>
      </c>
      <c r="G62" s="1110">
        <f>SUM(G23:G61)</f>
        <v>0.41001888720164736</v>
      </c>
      <c r="H62" s="1111">
        <f t="shared" ref="H62:S62" si="1">SUM(H23:H61)</f>
        <v>0.54893278108242693</v>
      </c>
      <c r="I62" s="1111">
        <f t="shared" si="1"/>
        <v>0.62945669191071751</v>
      </c>
      <c r="J62" s="1111">
        <f t="shared" si="1"/>
        <v>0.98033040288016948</v>
      </c>
      <c r="K62" s="1111">
        <f t="shared" si="1"/>
        <v>0.99033608907722359</v>
      </c>
      <c r="L62" s="1111">
        <f t="shared" si="1"/>
        <v>0.92572108038185397</v>
      </c>
      <c r="M62" s="1111">
        <f t="shared" si="1"/>
        <v>0.92572108038185397</v>
      </c>
      <c r="N62" s="1112">
        <f t="shared" si="1"/>
        <v>0.81572108038185387</v>
      </c>
      <c r="O62" s="1387">
        <f t="shared" si="1"/>
        <v>1.4150431093654621</v>
      </c>
      <c r="P62" s="1111">
        <f t="shared" si="1"/>
        <v>2.2470431093654617</v>
      </c>
      <c r="Q62" s="1111">
        <f t="shared" si="1"/>
        <v>2.2470431093654617</v>
      </c>
      <c r="R62" s="1111">
        <f t="shared" si="1"/>
        <v>1.9370431093654619</v>
      </c>
      <c r="S62" s="1112">
        <f t="shared" si="1"/>
        <v>2.2470431093654617</v>
      </c>
    </row>
    <row r="63" spans="2:19" s="1419" customFormat="1" ht="13.5" thickBot="1"/>
    <row r="64" spans="2:19" s="1419" customFormat="1" ht="30" customHeight="1" thickBot="1">
      <c r="B64" s="640" t="s">
        <v>62</v>
      </c>
      <c r="C64" s="558"/>
      <c r="D64" s="558"/>
      <c r="E64" s="558"/>
      <c r="F64" s="105" t="s">
        <v>1704</v>
      </c>
      <c r="G64" s="106"/>
      <c r="H64" s="106"/>
      <c r="I64" s="106"/>
      <c r="J64" s="106"/>
      <c r="K64" s="106"/>
      <c r="L64" s="106"/>
      <c r="M64" s="106"/>
      <c r="N64" s="106"/>
      <c r="O64" s="105"/>
      <c r="P64" s="105"/>
      <c r="Q64" s="105"/>
      <c r="R64" s="105"/>
      <c r="S64" s="187"/>
    </row>
    <row r="65" spans="2:19" s="1419" customFormat="1" ht="30" customHeight="1">
      <c r="B65" s="1411" t="s">
        <v>3213</v>
      </c>
      <c r="D65" s="561"/>
      <c r="E65" s="561"/>
      <c r="F65" s="562"/>
      <c r="G65" s="563" t="s">
        <v>1666</v>
      </c>
      <c r="H65" s="564"/>
      <c r="I65" s="564"/>
      <c r="J65" s="564"/>
      <c r="K65" s="564"/>
      <c r="L65" s="564"/>
      <c r="M65" s="564"/>
      <c r="N65" s="565"/>
      <c r="O65" s="567" t="s">
        <v>2</v>
      </c>
      <c r="P65" s="567"/>
      <c r="Q65" s="567"/>
      <c r="R65" s="567"/>
      <c r="S65" s="568"/>
    </row>
    <row r="66" spans="2:19" s="1419" customFormat="1" ht="15" customHeight="1">
      <c r="B66" s="572"/>
      <c r="C66" s="1425"/>
      <c r="D66" s="339"/>
      <c r="E66" s="339"/>
      <c r="F66" s="571" t="s">
        <v>1745</v>
      </c>
      <c r="G66" s="158" t="s">
        <v>453</v>
      </c>
      <c r="H66" s="137" t="s">
        <v>455</v>
      </c>
      <c r="I66" s="137" t="s">
        <v>457</v>
      </c>
      <c r="J66" s="137" t="s">
        <v>459</v>
      </c>
      <c r="K66" s="137" t="s">
        <v>461</v>
      </c>
      <c r="L66" s="137" t="s">
        <v>463</v>
      </c>
      <c r="M66" s="137" t="s">
        <v>465</v>
      </c>
      <c r="N66" s="138" t="s">
        <v>467</v>
      </c>
      <c r="O66" s="242" t="s">
        <v>469</v>
      </c>
      <c r="P66" s="121" t="s">
        <v>471</v>
      </c>
      <c r="Q66" s="121" t="s">
        <v>473</v>
      </c>
      <c r="R66" s="121" t="s">
        <v>475</v>
      </c>
      <c r="S66" s="122" t="s">
        <v>477</v>
      </c>
    </row>
    <row r="67" spans="2:19" s="1428" customFormat="1" ht="15" customHeight="1">
      <c r="B67" s="572"/>
      <c r="C67" s="1431"/>
      <c r="D67" s="561"/>
      <c r="E67" s="561"/>
      <c r="F67" s="260"/>
      <c r="G67" s="295"/>
      <c r="H67" s="259"/>
      <c r="I67" s="259"/>
      <c r="J67" s="259"/>
      <c r="K67" s="259"/>
      <c r="L67" s="259"/>
      <c r="M67" s="259"/>
      <c r="N67" s="296"/>
      <c r="O67" s="259"/>
      <c r="P67" s="259"/>
      <c r="Q67" s="259"/>
      <c r="R67" s="259"/>
      <c r="S67" s="296"/>
    </row>
    <row r="68" spans="2:19" s="1428" customFormat="1" ht="15" customHeight="1">
      <c r="B68" s="349"/>
      <c r="C68" s="1437" t="s">
        <v>3156</v>
      </c>
      <c r="D68" s="1438" t="s">
        <v>3157</v>
      </c>
      <c r="E68" s="1439" t="s">
        <v>3158</v>
      </c>
      <c r="F68" s="576" t="s">
        <v>498</v>
      </c>
      <c r="G68" s="297">
        <v>0</v>
      </c>
      <c r="H68" s="298">
        <v>0</v>
      </c>
      <c r="I68" s="298">
        <v>0</v>
      </c>
      <c r="J68" s="298">
        <v>0</v>
      </c>
      <c r="K68" s="298">
        <v>0</v>
      </c>
      <c r="L68" s="298">
        <v>0</v>
      </c>
      <c r="M68" s="298">
        <v>0</v>
      </c>
      <c r="N68" s="299">
        <v>0</v>
      </c>
      <c r="O68" s="460">
        <v>0</v>
      </c>
      <c r="P68" s="298">
        <v>0</v>
      </c>
      <c r="Q68" s="298">
        <v>0</v>
      </c>
      <c r="R68" s="298">
        <v>0</v>
      </c>
      <c r="S68" s="299">
        <v>0</v>
      </c>
    </row>
    <row r="69" spans="2:19" s="1428" customFormat="1" ht="15" customHeight="1">
      <c r="B69" s="349"/>
      <c r="C69" s="1440"/>
      <c r="D69" s="1441"/>
      <c r="E69" s="1439" t="s">
        <v>3159</v>
      </c>
      <c r="F69" s="576" t="s">
        <v>498</v>
      </c>
      <c r="G69" s="297">
        <v>0</v>
      </c>
      <c r="H69" s="298">
        <v>0</v>
      </c>
      <c r="I69" s="298">
        <v>0</v>
      </c>
      <c r="J69" s="298">
        <v>0</v>
      </c>
      <c r="K69" s="298">
        <v>0</v>
      </c>
      <c r="L69" s="298">
        <v>0</v>
      </c>
      <c r="M69" s="298">
        <v>0</v>
      </c>
      <c r="N69" s="299">
        <v>0</v>
      </c>
      <c r="O69" s="460">
        <v>8.8041800000000003E-2</v>
      </c>
      <c r="P69" s="298">
        <v>8.8041800000000003E-2</v>
      </c>
      <c r="Q69" s="298">
        <v>8.8041800000000003E-2</v>
      </c>
      <c r="R69" s="298">
        <v>8.8041800000000003E-2</v>
      </c>
      <c r="S69" s="299">
        <v>8.8041800000000003E-2</v>
      </c>
    </row>
    <row r="70" spans="2:19" s="1428" customFormat="1" ht="15" customHeight="1">
      <c r="B70" s="349"/>
      <c r="C70" s="1440"/>
      <c r="D70" s="1441"/>
      <c r="E70" s="1439" t="s">
        <v>3160</v>
      </c>
      <c r="F70" s="576" t="s">
        <v>498</v>
      </c>
      <c r="G70" s="297">
        <v>0</v>
      </c>
      <c r="H70" s="298">
        <v>0</v>
      </c>
      <c r="I70" s="298">
        <v>0</v>
      </c>
      <c r="J70" s="298">
        <v>0</v>
      </c>
      <c r="K70" s="298">
        <v>0</v>
      </c>
      <c r="L70" s="298">
        <v>0</v>
      </c>
      <c r="M70" s="298">
        <v>0</v>
      </c>
      <c r="N70" s="299">
        <v>0</v>
      </c>
      <c r="O70" s="460">
        <v>0</v>
      </c>
      <c r="P70" s="298">
        <v>0</v>
      </c>
      <c r="Q70" s="298">
        <v>0</v>
      </c>
      <c r="R70" s="298">
        <v>0</v>
      </c>
      <c r="S70" s="299">
        <v>0</v>
      </c>
    </row>
    <row r="71" spans="2:19" s="1428" customFormat="1" ht="15" customHeight="1">
      <c r="B71" s="349"/>
      <c r="C71" s="1440"/>
      <c r="D71" s="1438" t="s">
        <v>3161</v>
      </c>
      <c r="E71" s="1439" t="s">
        <v>3162</v>
      </c>
      <c r="F71" s="576" t="s">
        <v>498</v>
      </c>
      <c r="G71" s="297">
        <v>0</v>
      </c>
      <c r="H71" s="298">
        <v>0</v>
      </c>
      <c r="I71" s="298">
        <v>0</v>
      </c>
      <c r="J71" s="298">
        <v>0</v>
      </c>
      <c r="K71" s="298">
        <v>0</v>
      </c>
      <c r="L71" s="298">
        <v>0</v>
      </c>
      <c r="M71" s="298">
        <v>0</v>
      </c>
      <c r="N71" s="299">
        <v>0</v>
      </c>
      <c r="O71" s="460">
        <v>0</v>
      </c>
      <c r="P71" s="298">
        <v>0</v>
      </c>
      <c r="Q71" s="298">
        <v>0</v>
      </c>
      <c r="R71" s="298">
        <v>0</v>
      </c>
      <c r="S71" s="299">
        <v>0</v>
      </c>
    </row>
    <row r="72" spans="2:19" s="1428" customFormat="1" ht="15" customHeight="1">
      <c r="B72" s="349"/>
      <c r="C72" s="1440"/>
      <c r="D72" s="1441"/>
      <c r="E72" s="1439" t="s">
        <v>3163</v>
      </c>
      <c r="F72" s="576" t="s">
        <v>498</v>
      </c>
      <c r="G72" s="297">
        <v>0</v>
      </c>
      <c r="H72" s="298">
        <v>0</v>
      </c>
      <c r="I72" s="298">
        <v>0</v>
      </c>
      <c r="J72" s="298">
        <v>0</v>
      </c>
      <c r="K72" s="298">
        <v>0</v>
      </c>
      <c r="L72" s="298">
        <v>0</v>
      </c>
      <c r="M72" s="298">
        <v>0</v>
      </c>
      <c r="N72" s="299">
        <v>0</v>
      </c>
      <c r="O72" s="460">
        <v>2.8584999999999999E-2</v>
      </c>
      <c r="P72" s="298">
        <v>2.8584999999999999E-2</v>
      </c>
      <c r="Q72" s="298">
        <v>2.8584999999999999E-2</v>
      </c>
      <c r="R72" s="298">
        <v>2.8584999999999999E-2</v>
      </c>
      <c r="S72" s="299">
        <v>2.8584999999999999E-2</v>
      </c>
    </row>
    <row r="73" spans="2:19" s="1428" customFormat="1" ht="15" customHeight="1">
      <c r="B73" s="349"/>
      <c r="C73" s="1440"/>
      <c r="D73" s="1439" t="s">
        <v>3164</v>
      </c>
      <c r="E73" s="1439" t="s">
        <v>3165</v>
      </c>
      <c r="F73" s="576" t="s">
        <v>498</v>
      </c>
      <c r="G73" s="297">
        <v>0</v>
      </c>
      <c r="H73" s="298">
        <v>0</v>
      </c>
      <c r="I73" s="298">
        <v>0</v>
      </c>
      <c r="J73" s="298">
        <v>0</v>
      </c>
      <c r="K73" s="298">
        <v>0</v>
      </c>
      <c r="L73" s="298">
        <v>0</v>
      </c>
      <c r="M73" s="298">
        <v>0</v>
      </c>
      <c r="N73" s="299">
        <v>0</v>
      </c>
      <c r="O73" s="460">
        <v>0</v>
      </c>
      <c r="P73" s="298">
        <v>0</v>
      </c>
      <c r="Q73" s="298">
        <v>0</v>
      </c>
      <c r="R73" s="298">
        <v>0</v>
      </c>
      <c r="S73" s="299">
        <v>0</v>
      </c>
    </row>
    <row r="74" spans="2:19" s="1428" customFormat="1" ht="15" customHeight="1">
      <c r="B74" s="349"/>
      <c r="C74" s="1440"/>
      <c r="D74" s="1439" t="s">
        <v>3166</v>
      </c>
      <c r="E74" s="1439" t="s">
        <v>3167</v>
      </c>
      <c r="F74" s="576" t="s">
        <v>498</v>
      </c>
      <c r="G74" s="297">
        <v>0</v>
      </c>
      <c r="H74" s="298">
        <v>0</v>
      </c>
      <c r="I74" s="298">
        <v>0</v>
      </c>
      <c r="J74" s="298">
        <v>0</v>
      </c>
      <c r="K74" s="298">
        <v>0</v>
      </c>
      <c r="L74" s="298">
        <v>0</v>
      </c>
      <c r="M74" s="298">
        <v>0</v>
      </c>
      <c r="N74" s="299">
        <v>0</v>
      </c>
      <c r="O74" s="460">
        <v>0</v>
      </c>
      <c r="P74" s="298">
        <v>0</v>
      </c>
      <c r="Q74" s="298">
        <v>0</v>
      </c>
      <c r="R74" s="298">
        <v>0</v>
      </c>
      <c r="S74" s="299">
        <v>0</v>
      </c>
    </row>
    <row r="75" spans="2:19" s="1428" customFormat="1" ht="15" customHeight="1">
      <c r="B75" s="349"/>
      <c r="C75" s="1437" t="s">
        <v>3168</v>
      </c>
      <c r="D75" s="1438" t="s">
        <v>3169</v>
      </c>
      <c r="E75" s="1439" t="s">
        <v>3170</v>
      </c>
      <c r="F75" s="576" t="s">
        <v>498</v>
      </c>
      <c r="G75" s="297">
        <v>0</v>
      </c>
      <c r="H75" s="298">
        <v>0</v>
      </c>
      <c r="I75" s="298">
        <v>0</v>
      </c>
      <c r="J75" s="298">
        <v>0</v>
      </c>
      <c r="K75" s="298">
        <v>0</v>
      </c>
      <c r="L75" s="298">
        <v>0</v>
      </c>
      <c r="M75" s="298">
        <v>0</v>
      </c>
      <c r="N75" s="299">
        <v>0</v>
      </c>
      <c r="O75" s="460">
        <v>0</v>
      </c>
      <c r="P75" s="298">
        <v>0</v>
      </c>
      <c r="Q75" s="298">
        <v>0</v>
      </c>
      <c r="R75" s="298">
        <v>0</v>
      </c>
      <c r="S75" s="299">
        <v>0</v>
      </c>
    </row>
    <row r="76" spans="2:19" s="1428" customFormat="1" ht="15" customHeight="1">
      <c r="B76" s="349"/>
      <c r="C76" s="1440"/>
      <c r="D76" s="1441"/>
      <c r="E76" s="1439" t="s">
        <v>3171</v>
      </c>
      <c r="F76" s="576" t="s">
        <v>498</v>
      </c>
      <c r="G76" s="297">
        <v>0</v>
      </c>
      <c r="H76" s="298">
        <v>0</v>
      </c>
      <c r="I76" s="298">
        <v>0</v>
      </c>
      <c r="J76" s="298">
        <v>0</v>
      </c>
      <c r="K76" s="298">
        <v>0</v>
      </c>
      <c r="L76" s="298">
        <v>0</v>
      </c>
      <c r="M76" s="298">
        <v>0</v>
      </c>
      <c r="N76" s="299">
        <v>0</v>
      </c>
      <c r="O76" s="460">
        <v>0</v>
      </c>
      <c r="P76" s="298">
        <v>0</v>
      </c>
      <c r="Q76" s="298">
        <v>0</v>
      </c>
      <c r="R76" s="298">
        <v>0</v>
      </c>
      <c r="S76" s="299">
        <v>0</v>
      </c>
    </row>
    <row r="77" spans="2:19" s="1428" customFormat="1" ht="15" customHeight="1">
      <c r="B77" s="349"/>
      <c r="C77" s="1440"/>
      <c r="D77" s="1438" t="s">
        <v>3172</v>
      </c>
      <c r="E77" s="1439" t="s">
        <v>3173</v>
      </c>
      <c r="F77" s="576" t="s">
        <v>498</v>
      </c>
      <c r="G77" s="297">
        <v>0</v>
      </c>
      <c r="H77" s="298">
        <v>0</v>
      </c>
      <c r="I77" s="298">
        <v>0</v>
      </c>
      <c r="J77" s="298">
        <v>0</v>
      </c>
      <c r="K77" s="298">
        <v>0</v>
      </c>
      <c r="L77" s="298">
        <v>0</v>
      </c>
      <c r="M77" s="298">
        <v>0</v>
      </c>
      <c r="N77" s="299">
        <v>0</v>
      </c>
      <c r="O77" s="460">
        <v>0</v>
      </c>
      <c r="P77" s="298">
        <v>0.53396779999999988</v>
      </c>
      <c r="Q77" s="298">
        <v>0</v>
      </c>
      <c r="R77" s="298">
        <v>0.45735999999999999</v>
      </c>
      <c r="S77" s="299">
        <v>0</v>
      </c>
    </row>
    <row r="78" spans="2:19" s="1428" customFormat="1" ht="15" customHeight="1">
      <c r="B78" s="349"/>
      <c r="C78" s="1440"/>
      <c r="D78" s="1441"/>
      <c r="E78" s="1439" t="s">
        <v>3174</v>
      </c>
      <c r="F78" s="576" t="s">
        <v>498</v>
      </c>
      <c r="G78" s="297">
        <v>0</v>
      </c>
      <c r="H78" s="298">
        <v>0</v>
      </c>
      <c r="I78" s="298">
        <v>0</v>
      </c>
      <c r="J78" s="298">
        <v>0</v>
      </c>
      <c r="K78" s="298">
        <v>0</v>
      </c>
      <c r="L78" s="298">
        <v>0</v>
      </c>
      <c r="M78" s="298">
        <v>0</v>
      </c>
      <c r="N78" s="299">
        <v>0</v>
      </c>
      <c r="O78" s="460">
        <v>0</v>
      </c>
      <c r="P78" s="298">
        <v>0</v>
      </c>
      <c r="Q78" s="298">
        <v>0</v>
      </c>
      <c r="R78" s="298">
        <v>0</v>
      </c>
      <c r="S78" s="299">
        <v>0</v>
      </c>
    </row>
    <row r="79" spans="2:19" s="1428" customFormat="1" ht="15" customHeight="1">
      <c r="B79" s="349"/>
      <c r="C79" s="1440"/>
      <c r="D79" s="1441"/>
      <c r="E79" s="1439" t="s">
        <v>3175</v>
      </c>
      <c r="F79" s="576" t="s">
        <v>498</v>
      </c>
      <c r="G79" s="297">
        <v>0</v>
      </c>
      <c r="H79" s="298">
        <v>0</v>
      </c>
      <c r="I79" s="298">
        <v>0</v>
      </c>
      <c r="J79" s="298">
        <v>0</v>
      </c>
      <c r="K79" s="298">
        <v>0</v>
      </c>
      <c r="L79" s="298">
        <v>0</v>
      </c>
      <c r="M79" s="298">
        <v>0</v>
      </c>
      <c r="N79" s="299">
        <v>0</v>
      </c>
      <c r="O79" s="460">
        <v>0</v>
      </c>
      <c r="P79" s="298">
        <v>0</v>
      </c>
      <c r="Q79" s="298">
        <v>0</v>
      </c>
      <c r="R79" s="298">
        <v>0</v>
      </c>
      <c r="S79" s="299">
        <v>0</v>
      </c>
    </row>
    <row r="80" spans="2:19" s="1428" customFormat="1" ht="15" customHeight="1">
      <c r="B80" s="349"/>
      <c r="C80" s="1440"/>
      <c r="D80" s="1441"/>
      <c r="E80" s="1439" t="s">
        <v>3176</v>
      </c>
      <c r="F80" s="576" t="s">
        <v>498</v>
      </c>
      <c r="G80" s="297">
        <v>0</v>
      </c>
      <c r="H80" s="298">
        <v>0</v>
      </c>
      <c r="I80" s="298">
        <v>0</v>
      </c>
      <c r="J80" s="298">
        <v>0</v>
      </c>
      <c r="K80" s="298">
        <v>0</v>
      </c>
      <c r="L80" s="298">
        <v>0</v>
      </c>
      <c r="M80" s="298">
        <v>0</v>
      </c>
      <c r="N80" s="299">
        <v>0</v>
      </c>
      <c r="O80" s="460">
        <v>0</v>
      </c>
      <c r="P80" s="298">
        <v>0</v>
      </c>
      <c r="Q80" s="298">
        <v>0</v>
      </c>
      <c r="R80" s="298">
        <v>0</v>
      </c>
      <c r="S80" s="299">
        <v>0</v>
      </c>
    </row>
    <row r="81" spans="2:19" s="1428" customFormat="1" ht="15" customHeight="1">
      <c r="B81" s="349"/>
      <c r="C81" s="1440"/>
      <c r="D81" s="1438" t="s">
        <v>3177</v>
      </c>
      <c r="E81" s="1439" t="s">
        <v>3178</v>
      </c>
      <c r="F81" s="576" t="s">
        <v>498</v>
      </c>
      <c r="G81" s="297">
        <v>0</v>
      </c>
      <c r="H81" s="298">
        <v>0</v>
      </c>
      <c r="I81" s="298">
        <v>0</v>
      </c>
      <c r="J81" s="298">
        <v>0</v>
      </c>
      <c r="K81" s="298">
        <v>0</v>
      </c>
      <c r="L81" s="298">
        <v>0</v>
      </c>
      <c r="M81" s="298">
        <v>0</v>
      </c>
      <c r="N81" s="299">
        <v>0</v>
      </c>
      <c r="O81" s="460">
        <v>0</v>
      </c>
      <c r="P81" s="298">
        <v>0</v>
      </c>
      <c r="Q81" s="298">
        <v>0</v>
      </c>
      <c r="R81" s="298">
        <v>0</v>
      </c>
      <c r="S81" s="299">
        <v>0</v>
      </c>
    </row>
    <row r="82" spans="2:19" s="1428" customFormat="1" ht="15" customHeight="1">
      <c r="B82" s="349"/>
      <c r="C82" s="1440"/>
      <c r="D82" s="1441"/>
      <c r="E82" s="1439" t="s">
        <v>3179</v>
      </c>
      <c r="F82" s="576" t="s">
        <v>498</v>
      </c>
      <c r="G82" s="297">
        <v>0</v>
      </c>
      <c r="H82" s="298">
        <v>0</v>
      </c>
      <c r="I82" s="298">
        <v>0</v>
      </c>
      <c r="J82" s="298">
        <v>0</v>
      </c>
      <c r="K82" s="298">
        <v>0</v>
      </c>
      <c r="L82" s="298">
        <v>0</v>
      </c>
      <c r="M82" s="298">
        <v>0</v>
      </c>
      <c r="N82" s="299">
        <v>0</v>
      </c>
      <c r="O82" s="460">
        <v>0</v>
      </c>
      <c r="P82" s="298">
        <v>0</v>
      </c>
      <c r="Q82" s="298">
        <v>0</v>
      </c>
      <c r="R82" s="298">
        <v>0</v>
      </c>
      <c r="S82" s="299">
        <v>0</v>
      </c>
    </row>
    <row r="83" spans="2:19" s="1428" customFormat="1" ht="15" customHeight="1">
      <c r="B83" s="349"/>
      <c r="C83" s="1440"/>
      <c r="D83" s="1441"/>
      <c r="E83" s="1439" t="s">
        <v>3180</v>
      </c>
      <c r="F83" s="576" t="s">
        <v>498</v>
      </c>
      <c r="G83" s="297">
        <v>0</v>
      </c>
      <c r="H83" s="298">
        <v>0</v>
      </c>
      <c r="I83" s="298">
        <v>0</v>
      </c>
      <c r="J83" s="298">
        <v>0</v>
      </c>
      <c r="K83" s="298">
        <v>0</v>
      </c>
      <c r="L83" s="298">
        <v>0</v>
      </c>
      <c r="M83" s="298">
        <v>0</v>
      </c>
      <c r="N83" s="299">
        <v>0</v>
      </c>
      <c r="O83" s="460">
        <v>3.4301999999999999E-2</v>
      </c>
      <c r="P83" s="298">
        <v>0</v>
      </c>
      <c r="Q83" s="298">
        <v>0</v>
      </c>
      <c r="R83" s="298">
        <v>0</v>
      </c>
      <c r="S83" s="299">
        <v>0</v>
      </c>
    </row>
    <row r="84" spans="2:19" s="1428" customFormat="1" ht="15" customHeight="1">
      <c r="B84" s="349"/>
      <c r="C84" s="1440"/>
      <c r="D84" s="1441"/>
      <c r="E84" s="1439" t="s">
        <v>3181</v>
      </c>
      <c r="F84" s="576" t="s">
        <v>498</v>
      </c>
      <c r="G84" s="297">
        <v>0</v>
      </c>
      <c r="H84" s="298">
        <v>0</v>
      </c>
      <c r="I84" s="298">
        <v>0</v>
      </c>
      <c r="J84" s="298">
        <v>0</v>
      </c>
      <c r="K84" s="298">
        <v>0</v>
      </c>
      <c r="L84" s="298">
        <v>0</v>
      </c>
      <c r="M84" s="298">
        <v>0</v>
      </c>
      <c r="N84" s="299">
        <v>0</v>
      </c>
      <c r="O84" s="460">
        <v>0</v>
      </c>
      <c r="P84" s="298">
        <v>0</v>
      </c>
      <c r="Q84" s="298">
        <v>0</v>
      </c>
      <c r="R84" s="298">
        <v>0</v>
      </c>
      <c r="S84" s="299">
        <v>0</v>
      </c>
    </row>
    <row r="85" spans="2:19" s="1428" customFormat="1" ht="15" customHeight="1">
      <c r="B85" s="349"/>
      <c r="C85" s="1440"/>
      <c r="D85" s="1441"/>
      <c r="E85" s="1439" t="s">
        <v>3182</v>
      </c>
      <c r="F85" s="576" t="s">
        <v>498</v>
      </c>
      <c r="G85" s="297">
        <v>0</v>
      </c>
      <c r="H85" s="298">
        <v>0</v>
      </c>
      <c r="I85" s="298">
        <v>0</v>
      </c>
      <c r="J85" s="298">
        <v>0</v>
      </c>
      <c r="K85" s="298">
        <v>0</v>
      </c>
      <c r="L85" s="298">
        <v>0</v>
      </c>
      <c r="M85" s="298">
        <v>0</v>
      </c>
      <c r="N85" s="299">
        <v>0</v>
      </c>
      <c r="O85" s="460">
        <v>0</v>
      </c>
      <c r="P85" s="298">
        <v>0</v>
      </c>
      <c r="Q85" s="298">
        <v>0</v>
      </c>
      <c r="R85" s="298">
        <v>0</v>
      </c>
      <c r="S85" s="299">
        <v>0</v>
      </c>
    </row>
    <row r="86" spans="2:19" s="1428" customFormat="1" ht="15" customHeight="1">
      <c r="B86" s="349"/>
      <c r="C86" s="1440"/>
      <c r="D86" s="1438" t="s">
        <v>3183</v>
      </c>
      <c r="E86" s="1439" t="s">
        <v>3184</v>
      </c>
      <c r="F86" s="576" t="s">
        <v>498</v>
      </c>
      <c r="G86" s="297">
        <v>0</v>
      </c>
      <c r="H86" s="298">
        <v>0</v>
      </c>
      <c r="I86" s="298">
        <v>0</v>
      </c>
      <c r="J86" s="298">
        <v>0</v>
      </c>
      <c r="K86" s="298">
        <v>0</v>
      </c>
      <c r="L86" s="298">
        <v>0</v>
      </c>
      <c r="M86" s="298">
        <v>0</v>
      </c>
      <c r="N86" s="299">
        <v>0</v>
      </c>
      <c r="O86" s="460">
        <v>0</v>
      </c>
      <c r="P86" s="298">
        <v>0</v>
      </c>
      <c r="Q86" s="298">
        <v>0</v>
      </c>
      <c r="R86" s="298">
        <v>0</v>
      </c>
      <c r="S86" s="299">
        <v>0</v>
      </c>
    </row>
    <row r="87" spans="2:19" s="1428" customFormat="1" ht="15" customHeight="1">
      <c r="B87" s="349"/>
      <c r="C87" s="1440"/>
      <c r="D87" s="1441"/>
      <c r="E87" s="1439" t="s">
        <v>3185</v>
      </c>
      <c r="F87" s="576" t="s">
        <v>498</v>
      </c>
      <c r="G87" s="297">
        <v>0</v>
      </c>
      <c r="H87" s="298">
        <v>0</v>
      </c>
      <c r="I87" s="298">
        <v>0</v>
      </c>
      <c r="J87" s="298">
        <v>0</v>
      </c>
      <c r="K87" s="298">
        <v>0</v>
      </c>
      <c r="L87" s="298">
        <v>0</v>
      </c>
      <c r="M87" s="298">
        <v>0</v>
      </c>
      <c r="N87" s="299">
        <v>0</v>
      </c>
      <c r="O87" s="460">
        <v>1.360646</v>
      </c>
      <c r="P87" s="298">
        <v>0</v>
      </c>
      <c r="Q87" s="298">
        <v>0.91471999999999998</v>
      </c>
      <c r="R87" s="298">
        <v>0</v>
      </c>
      <c r="S87" s="299">
        <v>0</v>
      </c>
    </row>
    <row r="88" spans="2:19" s="1428" customFormat="1" ht="15" customHeight="1">
      <c r="B88" s="349"/>
      <c r="C88" s="1440"/>
      <c r="D88" s="1441"/>
      <c r="E88" s="1439" t="s">
        <v>3186</v>
      </c>
      <c r="F88" s="576" t="s">
        <v>498</v>
      </c>
      <c r="G88" s="297">
        <v>0</v>
      </c>
      <c r="H88" s="298">
        <v>0</v>
      </c>
      <c r="I88" s="298">
        <v>0</v>
      </c>
      <c r="J88" s="298">
        <v>0</v>
      </c>
      <c r="K88" s="298">
        <v>0</v>
      </c>
      <c r="L88" s="298">
        <v>0</v>
      </c>
      <c r="M88" s="298">
        <v>0</v>
      </c>
      <c r="N88" s="299">
        <v>0</v>
      </c>
      <c r="O88" s="460">
        <v>0</v>
      </c>
      <c r="P88" s="298">
        <v>0</v>
      </c>
      <c r="Q88" s="298">
        <v>0</v>
      </c>
      <c r="R88" s="298">
        <v>0</v>
      </c>
      <c r="S88" s="299">
        <v>0</v>
      </c>
    </row>
    <row r="89" spans="2:19" s="1428" customFormat="1" ht="15" customHeight="1">
      <c r="B89" s="1429"/>
      <c r="C89" s="1440"/>
      <c r="D89" s="1441"/>
      <c r="E89" s="1439" t="s">
        <v>3187</v>
      </c>
      <c r="F89" s="576" t="s">
        <v>498</v>
      </c>
      <c r="G89" s="297">
        <v>0</v>
      </c>
      <c r="H89" s="298">
        <v>0</v>
      </c>
      <c r="I89" s="298">
        <v>0</v>
      </c>
      <c r="J89" s="298">
        <v>0</v>
      </c>
      <c r="K89" s="298">
        <v>0</v>
      </c>
      <c r="L89" s="298">
        <v>0</v>
      </c>
      <c r="M89" s="298">
        <v>0</v>
      </c>
      <c r="N89" s="299">
        <v>0</v>
      </c>
      <c r="O89" s="460">
        <v>0</v>
      </c>
      <c r="P89" s="298">
        <v>0</v>
      </c>
      <c r="Q89" s="298">
        <v>0</v>
      </c>
      <c r="R89" s="298">
        <v>0</v>
      </c>
      <c r="S89" s="299">
        <v>0</v>
      </c>
    </row>
    <row r="90" spans="2:19" s="1428" customFormat="1" ht="15" customHeight="1">
      <c r="B90" s="1429"/>
      <c r="C90" s="1440"/>
      <c r="D90" s="1438" t="s">
        <v>3188</v>
      </c>
      <c r="E90" s="1439" t="s">
        <v>3189</v>
      </c>
      <c r="F90" s="576" t="s">
        <v>498</v>
      </c>
      <c r="G90" s="297">
        <v>0</v>
      </c>
      <c r="H90" s="298">
        <v>0</v>
      </c>
      <c r="I90" s="298">
        <v>0</v>
      </c>
      <c r="J90" s="298">
        <v>0</v>
      </c>
      <c r="K90" s="298">
        <v>0</v>
      </c>
      <c r="L90" s="298">
        <v>0</v>
      </c>
      <c r="M90" s="298">
        <v>0</v>
      </c>
      <c r="N90" s="299">
        <v>0</v>
      </c>
      <c r="O90" s="460">
        <v>0</v>
      </c>
      <c r="P90" s="298">
        <v>0</v>
      </c>
      <c r="Q90" s="298">
        <v>0</v>
      </c>
      <c r="R90" s="298">
        <v>0</v>
      </c>
      <c r="S90" s="299">
        <v>0</v>
      </c>
    </row>
    <row r="91" spans="2:19" s="1428" customFormat="1" ht="15" customHeight="1">
      <c r="B91" s="1429"/>
      <c r="C91" s="1440"/>
      <c r="D91" s="1441"/>
      <c r="E91" s="1439" t="s">
        <v>3190</v>
      </c>
      <c r="F91" s="576" t="s">
        <v>498</v>
      </c>
      <c r="G91" s="297">
        <v>0</v>
      </c>
      <c r="H91" s="298">
        <v>0</v>
      </c>
      <c r="I91" s="298">
        <v>0</v>
      </c>
      <c r="J91" s="298">
        <v>0</v>
      </c>
      <c r="K91" s="298">
        <v>0</v>
      </c>
      <c r="L91" s="298">
        <v>0</v>
      </c>
      <c r="M91" s="298">
        <v>0</v>
      </c>
      <c r="N91" s="299">
        <v>0</v>
      </c>
      <c r="O91" s="460">
        <v>0</v>
      </c>
      <c r="P91" s="298">
        <v>9.1471999999999998E-2</v>
      </c>
      <c r="Q91" s="298">
        <v>0</v>
      </c>
      <c r="R91" s="298">
        <v>9.1471999999999998E-2</v>
      </c>
      <c r="S91" s="299">
        <v>0</v>
      </c>
    </row>
    <row r="92" spans="2:19" s="1428" customFormat="1" ht="15" customHeight="1">
      <c r="B92" s="1429"/>
      <c r="C92" s="1440"/>
      <c r="D92" s="1441"/>
      <c r="E92" s="1439" t="s">
        <v>3191</v>
      </c>
      <c r="F92" s="576" t="s">
        <v>498</v>
      </c>
      <c r="G92" s="297">
        <v>0</v>
      </c>
      <c r="H92" s="298">
        <v>0</v>
      </c>
      <c r="I92" s="298">
        <v>0</v>
      </c>
      <c r="J92" s="298">
        <v>0</v>
      </c>
      <c r="K92" s="298">
        <v>0</v>
      </c>
      <c r="L92" s="298">
        <v>0</v>
      </c>
      <c r="M92" s="298">
        <v>0</v>
      </c>
      <c r="N92" s="299">
        <v>0</v>
      </c>
      <c r="O92" s="460">
        <v>0</v>
      </c>
      <c r="P92" s="298">
        <v>0</v>
      </c>
      <c r="Q92" s="298">
        <v>0</v>
      </c>
      <c r="R92" s="298">
        <v>0</v>
      </c>
      <c r="S92" s="299">
        <v>0</v>
      </c>
    </row>
    <row r="93" spans="2:19" s="1428" customFormat="1" ht="15" customHeight="1">
      <c r="B93" s="1429"/>
      <c r="C93" s="1440"/>
      <c r="D93" s="1438" t="s">
        <v>3192</v>
      </c>
      <c r="E93" s="1439" t="s">
        <v>3193</v>
      </c>
      <c r="F93" s="576" t="s">
        <v>498</v>
      </c>
      <c r="G93" s="297">
        <v>0</v>
      </c>
      <c r="H93" s="298">
        <v>0</v>
      </c>
      <c r="I93" s="298">
        <v>0</v>
      </c>
      <c r="J93" s="298">
        <v>0</v>
      </c>
      <c r="K93" s="298">
        <v>0</v>
      </c>
      <c r="L93" s="298">
        <v>0</v>
      </c>
      <c r="M93" s="298">
        <v>0</v>
      </c>
      <c r="N93" s="299">
        <v>0</v>
      </c>
      <c r="O93" s="460">
        <v>0</v>
      </c>
      <c r="P93" s="298">
        <v>0</v>
      </c>
      <c r="Q93" s="298">
        <v>0</v>
      </c>
      <c r="R93" s="298">
        <v>0</v>
      </c>
      <c r="S93" s="299">
        <v>0</v>
      </c>
    </row>
    <row r="94" spans="2:19" s="1428" customFormat="1" ht="15" customHeight="1">
      <c r="B94" s="1429"/>
      <c r="C94" s="1440"/>
      <c r="D94" s="1441"/>
      <c r="E94" s="1439" t="s">
        <v>3194</v>
      </c>
      <c r="F94" s="576" t="s">
        <v>498</v>
      </c>
      <c r="G94" s="297">
        <v>0</v>
      </c>
      <c r="H94" s="298">
        <v>0</v>
      </c>
      <c r="I94" s="298">
        <v>0</v>
      </c>
      <c r="J94" s="298">
        <v>0</v>
      </c>
      <c r="K94" s="298">
        <v>0</v>
      </c>
      <c r="L94" s="298">
        <v>0</v>
      </c>
      <c r="M94" s="298">
        <v>0</v>
      </c>
      <c r="N94" s="299">
        <v>0</v>
      </c>
      <c r="O94" s="460">
        <v>3.4301999999999999E-2</v>
      </c>
      <c r="P94" s="298">
        <v>0</v>
      </c>
      <c r="Q94" s="298">
        <v>0</v>
      </c>
      <c r="R94" s="298">
        <v>0</v>
      </c>
      <c r="S94" s="299">
        <v>0</v>
      </c>
    </row>
    <row r="95" spans="2:19" s="1428" customFormat="1" ht="15" customHeight="1">
      <c r="B95" s="1429"/>
      <c r="C95" s="1437" t="s">
        <v>3195</v>
      </c>
      <c r="D95" s="1438" t="s">
        <v>3196</v>
      </c>
      <c r="E95" s="1439" t="s">
        <v>3197</v>
      </c>
      <c r="F95" s="576" t="s">
        <v>498</v>
      </c>
      <c r="G95" s="297">
        <v>0</v>
      </c>
      <c r="H95" s="298">
        <v>0</v>
      </c>
      <c r="I95" s="298">
        <v>0</v>
      </c>
      <c r="J95" s="298">
        <v>0</v>
      </c>
      <c r="K95" s="298">
        <v>0</v>
      </c>
      <c r="L95" s="298">
        <v>0</v>
      </c>
      <c r="M95" s="298">
        <v>0</v>
      </c>
      <c r="N95" s="299">
        <v>0</v>
      </c>
      <c r="O95" s="460">
        <v>0.20581199999999999</v>
      </c>
      <c r="P95" s="298">
        <v>0.20581199999999999</v>
      </c>
      <c r="Q95" s="298">
        <v>0.20581199999999999</v>
      </c>
      <c r="R95" s="298">
        <v>0.20581199999999999</v>
      </c>
      <c r="S95" s="299">
        <v>0.20581199999999999</v>
      </c>
    </row>
    <row r="96" spans="2:19" s="1428" customFormat="1" ht="15" customHeight="1">
      <c r="B96" s="1429"/>
      <c r="C96" s="1440"/>
      <c r="D96" s="1441"/>
      <c r="E96" s="1439" t="s">
        <v>3198</v>
      </c>
      <c r="F96" s="576" t="s">
        <v>498</v>
      </c>
      <c r="G96" s="297">
        <v>0</v>
      </c>
      <c r="H96" s="298">
        <v>0</v>
      </c>
      <c r="I96" s="298">
        <v>0</v>
      </c>
      <c r="J96" s="298">
        <v>0</v>
      </c>
      <c r="K96" s="298">
        <v>0</v>
      </c>
      <c r="L96" s="298">
        <v>0</v>
      </c>
      <c r="M96" s="298">
        <v>0</v>
      </c>
      <c r="N96" s="299">
        <v>0</v>
      </c>
      <c r="O96" s="460">
        <v>0</v>
      </c>
      <c r="P96" s="298">
        <v>0</v>
      </c>
      <c r="Q96" s="298">
        <v>0</v>
      </c>
      <c r="R96" s="298">
        <v>0</v>
      </c>
      <c r="S96" s="299">
        <v>0</v>
      </c>
    </row>
    <row r="97" spans="2:19" s="1428" customFormat="1" ht="15" customHeight="1">
      <c r="B97" s="1429"/>
      <c r="C97" s="1440"/>
      <c r="D97" s="1441"/>
      <c r="E97" s="1439" t="s">
        <v>3199</v>
      </c>
      <c r="F97" s="576" t="s">
        <v>498</v>
      </c>
      <c r="G97" s="297">
        <v>0</v>
      </c>
      <c r="H97" s="298">
        <v>0</v>
      </c>
      <c r="I97" s="298">
        <v>0</v>
      </c>
      <c r="J97" s="298">
        <v>0</v>
      </c>
      <c r="K97" s="298">
        <v>0</v>
      </c>
      <c r="L97" s="298">
        <v>0</v>
      </c>
      <c r="M97" s="298">
        <v>0</v>
      </c>
      <c r="N97" s="299">
        <v>0</v>
      </c>
      <c r="O97" s="460">
        <v>0</v>
      </c>
      <c r="P97" s="298">
        <v>0</v>
      </c>
      <c r="Q97" s="298">
        <v>0</v>
      </c>
      <c r="R97" s="298">
        <v>0</v>
      </c>
      <c r="S97" s="299">
        <v>0</v>
      </c>
    </row>
    <row r="98" spans="2:19" s="1428" customFormat="1" ht="15" customHeight="1">
      <c r="B98" s="1429"/>
      <c r="C98" s="1440"/>
      <c r="D98" s="1441"/>
      <c r="E98" s="1439" t="s">
        <v>3200</v>
      </c>
      <c r="F98" s="576" t="s">
        <v>498</v>
      </c>
      <c r="G98" s="297">
        <v>0</v>
      </c>
      <c r="H98" s="298">
        <v>0</v>
      </c>
      <c r="I98" s="298">
        <v>0</v>
      </c>
      <c r="J98" s="298">
        <v>0</v>
      </c>
      <c r="K98" s="298">
        <v>0</v>
      </c>
      <c r="L98" s="298">
        <v>0</v>
      </c>
      <c r="M98" s="298">
        <v>0</v>
      </c>
      <c r="N98" s="299">
        <v>0</v>
      </c>
      <c r="O98" s="460">
        <v>0</v>
      </c>
      <c r="P98" s="298">
        <v>0</v>
      </c>
      <c r="Q98" s="298">
        <v>0</v>
      </c>
      <c r="R98" s="298">
        <v>0</v>
      </c>
      <c r="S98" s="299">
        <v>0</v>
      </c>
    </row>
    <row r="99" spans="2:19" s="1428" customFormat="1" ht="15" customHeight="1">
      <c r="B99" s="1429"/>
      <c r="C99" s="1440"/>
      <c r="D99" s="1441"/>
      <c r="E99" s="1439" t="s">
        <v>3201</v>
      </c>
      <c r="F99" s="576" t="s">
        <v>498</v>
      </c>
      <c r="G99" s="297">
        <v>0</v>
      </c>
      <c r="H99" s="298">
        <v>0</v>
      </c>
      <c r="I99" s="298">
        <v>0</v>
      </c>
      <c r="J99" s="298">
        <v>0</v>
      </c>
      <c r="K99" s="298">
        <v>0</v>
      </c>
      <c r="L99" s="298">
        <v>0</v>
      </c>
      <c r="M99" s="298">
        <v>0</v>
      </c>
      <c r="N99" s="299">
        <v>0</v>
      </c>
      <c r="O99" s="460">
        <v>0</v>
      </c>
      <c r="P99" s="298">
        <v>0</v>
      </c>
      <c r="Q99" s="298">
        <v>0</v>
      </c>
      <c r="R99" s="298">
        <v>0</v>
      </c>
      <c r="S99" s="299">
        <v>0</v>
      </c>
    </row>
    <row r="100" spans="2:19" s="1428" customFormat="1" ht="15" customHeight="1">
      <c r="B100" s="1429"/>
      <c r="C100" s="1440"/>
      <c r="D100" s="1438" t="s">
        <v>3202</v>
      </c>
      <c r="E100" s="1439" t="s">
        <v>3203</v>
      </c>
      <c r="F100" s="576" t="s">
        <v>498</v>
      </c>
      <c r="G100" s="297">
        <v>0</v>
      </c>
      <c r="H100" s="298">
        <v>0</v>
      </c>
      <c r="I100" s="298">
        <v>0</v>
      </c>
      <c r="J100" s="298">
        <v>0</v>
      </c>
      <c r="K100" s="298">
        <v>0</v>
      </c>
      <c r="L100" s="298">
        <v>0</v>
      </c>
      <c r="M100" s="298">
        <v>0</v>
      </c>
      <c r="N100" s="299">
        <v>0</v>
      </c>
      <c r="O100" s="460">
        <v>0</v>
      </c>
      <c r="P100" s="298">
        <v>0</v>
      </c>
      <c r="Q100" s="298">
        <v>0</v>
      </c>
      <c r="R100" s="298">
        <v>0</v>
      </c>
      <c r="S100" s="299">
        <v>0</v>
      </c>
    </row>
    <row r="101" spans="2:19" s="1428" customFormat="1" ht="15" customHeight="1">
      <c r="B101" s="1429"/>
      <c r="C101" s="1440"/>
      <c r="D101" s="1441"/>
      <c r="E101" s="1439" t="s">
        <v>3204</v>
      </c>
      <c r="F101" s="576" t="s">
        <v>498</v>
      </c>
      <c r="G101" s="297">
        <v>0</v>
      </c>
      <c r="H101" s="298">
        <v>0</v>
      </c>
      <c r="I101" s="298">
        <v>0</v>
      </c>
      <c r="J101" s="298">
        <v>0</v>
      </c>
      <c r="K101" s="298">
        <v>0</v>
      </c>
      <c r="L101" s="298">
        <v>0</v>
      </c>
      <c r="M101" s="298">
        <v>0</v>
      </c>
      <c r="N101" s="299">
        <v>0</v>
      </c>
      <c r="O101" s="460">
        <v>0.32015199999999999</v>
      </c>
      <c r="P101" s="298">
        <v>0</v>
      </c>
      <c r="Q101" s="298">
        <v>0</v>
      </c>
      <c r="R101" s="298">
        <v>0.32015199999999999</v>
      </c>
      <c r="S101" s="299">
        <v>0</v>
      </c>
    </row>
    <row r="102" spans="2:19" s="1428" customFormat="1" ht="15" customHeight="1">
      <c r="B102" s="1429"/>
      <c r="C102" s="1437" t="s">
        <v>3205</v>
      </c>
      <c r="D102" s="1438" t="s">
        <v>3206</v>
      </c>
      <c r="E102" s="1439" t="s">
        <v>3207</v>
      </c>
      <c r="F102" s="576" t="s">
        <v>498</v>
      </c>
      <c r="G102" s="297">
        <v>0</v>
      </c>
      <c r="H102" s="298">
        <v>0</v>
      </c>
      <c r="I102" s="298">
        <v>0</v>
      </c>
      <c r="J102" s="298">
        <v>0</v>
      </c>
      <c r="K102" s="298">
        <v>0</v>
      </c>
      <c r="L102" s="298">
        <v>0</v>
      </c>
      <c r="M102" s="298">
        <v>0</v>
      </c>
      <c r="N102" s="299">
        <v>0</v>
      </c>
      <c r="O102" s="460">
        <v>0</v>
      </c>
      <c r="P102" s="298">
        <v>0</v>
      </c>
      <c r="Q102" s="298">
        <v>0</v>
      </c>
      <c r="R102" s="298">
        <v>0</v>
      </c>
      <c r="S102" s="299">
        <v>0</v>
      </c>
    </row>
    <row r="103" spans="2:19" s="1428" customFormat="1" ht="15" customHeight="1">
      <c r="B103" s="1429"/>
      <c r="C103" s="1440"/>
      <c r="D103" s="1441"/>
      <c r="E103" s="1439" t="s">
        <v>3208</v>
      </c>
      <c r="F103" s="576" t="s">
        <v>498</v>
      </c>
      <c r="G103" s="297">
        <v>0</v>
      </c>
      <c r="H103" s="298">
        <v>0</v>
      </c>
      <c r="I103" s="298">
        <v>0</v>
      </c>
      <c r="J103" s="298">
        <v>0</v>
      </c>
      <c r="K103" s="298">
        <v>0</v>
      </c>
      <c r="L103" s="298">
        <v>0</v>
      </c>
      <c r="M103" s="298">
        <v>0</v>
      </c>
      <c r="N103" s="299">
        <v>0</v>
      </c>
      <c r="O103" s="460">
        <v>0</v>
      </c>
      <c r="P103" s="298">
        <v>0</v>
      </c>
      <c r="Q103" s="298">
        <v>0.48594500000000002</v>
      </c>
      <c r="R103" s="298">
        <v>0</v>
      </c>
      <c r="S103" s="299">
        <v>0.50881299999999996</v>
      </c>
    </row>
    <row r="104" spans="2:19" s="1428" customFormat="1" ht="15" customHeight="1">
      <c r="B104" s="1429"/>
      <c r="C104" s="1440"/>
      <c r="D104" s="1441"/>
      <c r="E104" s="1439" t="s">
        <v>3209</v>
      </c>
      <c r="F104" s="576" t="s">
        <v>498</v>
      </c>
      <c r="G104" s="297">
        <v>0</v>
      </c>
      <c r="H104" s="298">
        <v>0</v>
      </c>
      <c r="I104" s="298">
        <v>0</v>
      </c>
      <c r="J104" s="298">
        <v>0</v>
      </c>
      <c r="K104" s="298">
        <v>0</v>
      </c>
      <c r="L104" s="298">
        <v>0</v>
      </c>
      <c r="M104" s="298">
        <v>0</v>
      </c>
      <c r="N104" s="299">
        <v>0</v>
      </c>
      <c r="O104" s="460">
        <v>0</v>
      </c>
      <c r="P104" s="298">
        <v>0</v>
      </c>
      <c r="Q104" s="298">
        <v>0</v>
      </c>
      <c r="R104" s="298">
        <v>0</v>
      </c>
      <c r="S104" s="299">
        <v>0</v>
      </c>
    </row>
    <row r="105" spans="2:19" s="1428" customFormat="1" ht="15" customHeight="1">
      <c r="B105" s="1429"/>
      <c r="C105" s="1440"/>
      <c r="D105" s="1438" t="s">
        <v>3210</v>
      </c>
      <c r="E105" s="1439" t="s">
        <v>3211</v>
      </c>
      <c r="F105" s="576" t="s">
        <v>498</v>
      </c>
      <c r="G105" s="297">
        <v>0</v>
      </c>
      <c r="H105" s="298">
        <v>0</v>
      </c>
      <c r="I105" s="298">
        <v>0</v>
      </c>
      <c r="J105" s="298">
        <v>0</v>
      </c>
      <c r="K105" s="298">
        <v>0</v>
      </c>
      <c r="L105" s="298">
        <v>0</v>
      </c>
      <c r="M105" s="298">
        <v>0</v>
      </c>
      <c r="N105" s="299">
        <v>0</v>
      </c>
      <c r="O105" s="460">
        <v>0</v>
      </c>
      <c r="P105" s="298">
        <v>0</v>
      </c>
      <c r="Q105" s="298">
        <v>0</v>
      </c>
      <c r="R105" s="298">
        <v>0</v>
      </c>
      <c r="S105" s="299">
        <v>0</v>
      </c>
    </row>
    <row r="106" spans="2:19" s="1428" customFormat="1" ht="15" customHeight="1">
      <c r="B106" s="1429"/>
      <c r="C106" s="1442"/>
      <c r="D106" s="1442"/>
      <c r="E106" s="1443" t="s">
        <v>3212</v>
      </c>
      <c r="F106" s="576" t="s">
        <v>498</v>
      </c>
      <c r="G106" s="297">
        <v>0</v>
      </c>
      <c r="H106" s="298">
        <v>0</v>
      </c>
      <c r="I106" s="298">
        <v>0</v>
      </c>
      <c r="J106" s="298">
        <v>0</v>
      </c>
      <c r="K106" s="298">
        <v>0</v>
      </c>
      <c r="L106" s="298">
        <v>0</v>
      </c>
      <c r="M106" s="298">
        <v>0</v>
      </c>
      <c r="N106" s="299">
        <v>0</v>
      </c>
      <c r="O106" s="460">
        <v>0</v>
      </c>
      <c r="P106" s="298">
        <v>0</v>
      </c>
      <c r="Q106" s="298">
        <v>0</v>
      </c>
      <c r="R106" s="298">
        <v>0</v>
      </c>
      <c r="S106" s="299">
        <v>0</v>
      </c>
    </row>
    <row r="107" spans="2:19" s="1419" customFormat="1" ht="15" customHeight="1" thickBot="1">
      <c r="B107" s="1426" t="s">
        <v>1701</v>
      </c>
      <c r="C107" s="1427"/>
      <c r="D107" s="1427"/>
      <c r="E107" s="1427"/>
      <c r="F107" s="581" t="s">
        <v>498</v>
      </c>
      <c r="G107" s="1110">
        <f>SUM(G68:G106)</f>
        <v>0</v>
      </c>
      <c r="H107" s="1111">
        <f t="shared" ref="H107:S107" si="2">SUM(H68:H106)</f>
        <v>0</v>
      </c>
      <c r="I107" s="1111">
        <f t="shared" si="2"/>
        <v>0</v>
      </c>
      <c r="J107" s="1111">
        <f t="shared" si="2"/>
        <v>0</v>
      </c>
      <c r="K107" s="1111">
        <f t="shared" si="2"/>
        <v>0</v>
      </c>
      <c r="L107" s="1111">
        <f t="shared" si="2"/>
        <v>0</v>
      </c>
      <c r="M107" s="1111">
        <f t="shared" si="2"/>
        <v>0</v>
      </c>
      <c r="N107" s="1112">
        <f t="shared" si="2"/>
        <v>0</v>
      </c>
      <c r="O107" s="1387">
        <f t="shared" si="2"/>
        <v>2.0718408000000004</v>
      </c>
      <c r="P107" s="1111">
        <f t="shared" si="2"/>
        <v>0.9478785999999999</v>
      </c>
      <c r="Q107" s="1111">
        <f t="shared" si="2"/>
        <v>1.7231038000000001</v>
      </c>
      <c r="R107" s="1111">
        <f t="shared" si="2"/>
        <v>1.1914228</v>
      </c>
      <c r="S107" s="1112">
        <f t="shared" si="2"/>
        <v>0.83125179999999999</v>
      </c>
    </row>
    <row r="108" spans="2:19" s="1419" customFormat="1" ht="15" customHeight="1" thickBot="1"/>
    <row r="109" spans="2:19" s="1419" customFormat="1" ht="30" customHeight="1" thickBot="1">
      <c r="B109" s="640" t="s">
        <v>3214</v>
      </c>
      <c r="C109" s="558"/>
      <c r="D109" s="558"/>
      <c r="E109" s="558"/>
      <c r="F109" s="105" t="s">
        <v>1704</v>
      </c>
      <c r="G109" s="106"/>
      <c r="H109" s="106"/>
      <c r="I109" s="106"/>
      <c r="J109" s="106"/>
      <c r="K109" s="106"/>
      <c r="L109" s="106"/>
      <c r="M109" s="106"/>
      <c r="N109" s="106"/>
      <c r="O109" s="105"/>
      <c r="P109" s="105"/>
      <c r="Q109" s="105"/>
      <c r="R109" s="105"/>
      <c r="S109" s="187"/>
    </row>
    <row r="110" spans="2:19" s="1419" customFormat="1" ht="30" customHeight="1">
      <c r="B110" s="560"/>
      <c r="C110" s="561"/>
      <c r="D110" s="561"/>
      <c r="E110" s="561"/>
      <c r="F110" s="562"/>
      <c r="G110" s="563" t="s">
        <v>1666</v>
      </c>
      <c r="H110" s="564"/>
      <c r="I110" s="564"/>
      <c r="J110" s="564"/>
      <c r="K110" s="564"/>
      <c r="L110" s="564"/>
      <c r="M110" s="564"/>
      <c r="N110" s="565"/>
      <c r="O110" s="567" t="s">
        <v>2</v>
      </c>
      <c r="P110" s="567"/>
      <c r="Q110" s="567"/>
      <c r="R110" s="567"/>
      <c r="S110" s="568"/>
    </row>
    <row r="111" spans="2:19" s="1419" customFormat="1" ht="15" customHeight="1">
      <c r="B111" s="572"/>
      <c r="C111" s="1425"/>
      <c r="D111" s="339"/>
      <c r="E111" s="339"/>
      <c r="F111" s="571" t="s">
        <v>1745</v>
      </c>
      <c r="G111" s="158" t="s">
        <v>453</v>
      </c>
      <c r="H111" s="137" t="s">
        <v>455</v>
      </c>
      <c r="I111" s="137" t="s">
        <v>457</v>
      </c>
      <c r="J111" s="137" t="s">
        <v>459</v>
      </c>
      <c r="K111" s="137" t="s">
        <v>461</v>
      </c>
      <c r="L111" s="137" t="s">
        <v>463</v>
      </c>
      <c r="M111" s="137" t="s">
        <v>465</v>
      </c>
      <c r="N111" s="138" t="s">
        <v>467</v>
      </c>
      <c r="O111" s="242" t="s">
        <v>469</v>
      </c>
      <c r="P111" s="121" t="s">
        <v>471</v>
      </c>
      <c r="Q111" s="121" t="s">
        <v>473</v>
      </c>
      <c r="R111" s="121" t="s">
        <v>475</v>
      </c>
      <c r="S111" s="122" t="s">
        <v>477</v>
      </c>
    </row>
    <row r="112" spans="2:19" s="1428" customFormat="1" ht="15" customHeight="1">
      <c r="B112" s="572"/>
      <c r="C112" s="623" t="s">
        <v>3215</v>
      </c>
      <c r="D112" s="591" t="s">
        <v>3216</v>
      </c>
      <c r="E112" s="591"/>
      <c r="F112" s="260"/>
      <c r="G112" s="295"/>
      <c r="H112" s="259"/>
      <c r="I112" s="259"/>
      <c r="J112" s="259"/>
      <c r="K112" s="259"/>
      <c r="L112" s="259"/>
      <c r="M112" s="259"/>
      <c r="N112" s="296"/>
      <c r="O112" s="259"/>
      <c r="P112" s="259"/>
      <c r="Q112" s="259"/>
      <c r="R112" s="259"/>
      <c r="S112" s="296"/>
    </row>
    <row r="113" spans="2:19" s="1428" customFormat="1" ht="15" customHeight="1">
      <c r="B113" s="349"/>
      <c r="C113" s="293"/>
      <c r="D113" s="293"/>
      <c r="F113" s="576" t="s">
        <v>498</v>
      </c>
      <c r="G113" s="297">
        <v>0</v>
      </c>
      <c r="H113" s="298">
        <v>0</v>
      </c>
      <c r="I113" s="298">
        <v>0</v>
      </c>
      <c r="J113" s="298">
        <v>0</v>
      </c>
      <c r="K113" s="298">
        <v>0</v>
      </c>
      <c r="L113" s="298">
        <v>0</v>
      </c>
      <c r="M113" s="298">
        <v>0</v>
      </c>
      <c r="N113" s="299">
        <v>0</v>
      </c>
      <c r="O113" s="460">
        <v>0</v>
      </c>
      <c r="P113" s="298">
        <v>0</v>
      </c>
      <c r="Q113" s="298">
        <v>0</v>
      </c>
      <c r="R113" s="298">
        <v>0</v>
      </c>
      <c r="S113" s="299">
        <v>0</v>
      </c>
    </row>
    <row r="114" spans="2:19" s="1428" customFormat="1" ht="15" customHeight="1">
      <c r="B114" s="349"/>
      <c r="C114" s="293"/>
      <c r="D114" s="293"/>
      <c r="F114" s="576" t="s">
        <v>498</v>
      </c>
      <c r="G114" s="297">
        <v>0</v>
      </c>
      <c r="H114" s="298">
        <v>0</v>
      </c>
      <c r="I114" s="298">
        <v>0</v>
      </c>
      <c r="J114" s="298">
        <v>0</v>
      </c>
      <c r="K114" s="298">
        <v>0</v>
      </c>
      <c r="L114" s="298">
        <v>0</v>
      </c>
      <c r="M114" s="298">
        <v>0</v>
      </c>
      <c r="N114" s="299">
        <v>0</v>
      </c>
      <c r="O114" s="460">
        <v>0</v>
      </c>
      <c r="P114" s="298">
        <v>0</v>
      </c>
      <c r="Q114" s="298">
        <v>0</v>
      </c>
      <c r="R114" s="298">
        <v>0</v>
      </c>
      <c r="S114" s="299">
        <v>0</v>
      </c>
    </row>
    <row r="115" spans="2:19" s="1428" customFormat="1" ht="15" customHeight="1">
      <c r="B115" s="349"/>
      <c r="C115" s="293"/>
      <c r="D115" s="293"/>
      <c r="F115" s="576" t="s">
        <v>498</v>
      </c>
      <c r="G115" s="297">
        <v>0</v>
      </c>
      <c r="H115" s="298">
        <v>0</v>
      </c>
      <c r="I115" s="298">
        <v>0</v>
      </c>
      <c r="J115" s="298">
        <v>0</v>
      </c>
      <c r="K115" s="298">
        <v>0</v>
      </c>
      <c r="L115" s="298">
        <v>0</v>
      </c>
      <c r="M115" s="298">
        <v>0</v>
      </c>
      <c r="N115" s="299">
        <v>0</v>
      </c>
      <c r="O115" s="460">
        <v>0</v>
      </c>
      <c r="P115" s="298">
        <v>0</v>
      </c>
      <c r="Q115" s="298">
        <v>0</v>
      </c>
      <c r="R115" s="298">
        <v>0</v>
      </c>
      <c r="S115" s="299">
        <v>0</v>
      </c>
    </row>
    <row r="116" spans="2:19" s="1428" customFormat="1" ht="15" customHeight="1">
      <c r="B116" s="349"/>
      <c r="C116" s="293"/>
      <c r="D116" s="293"/>
      <c r="F116" s="576" t="s">
        <v>498</v>
      </c>
      <c r="G116" s="297">
        <v>0</v>
      </c>
      <c r="H116" s="298">
        <v>0</v>
      </c>
      <c r="I116" s="298">
        <v>0</v>
      </c>
      <c r="J116" s="298">
        <v>0</v>
      </c>
      <c r="K116" s="298">
        <v>0</v>
      </c>
      <c r="L116" s="298">
        <v>0</v>
      </c>
      <c r="M116" s="298">
        <v>0</v>
      </c>
      <c r="N116" s="299">
        <v>0</v>
      </c>
      <c r="O116" s="460">
        <v>0</v>
      </c>
      <c r="P116" s="298">
        <v>0</v>
      </c>
      <c r="Q116" s="298">
        <v>0</v>
      </c>
      <c r="R116" s="298">
        <v>0</v>
      </c>
      <c r="S116" s="299">
        <v>0</v>
      </c>
    </row>
    <row r="117" spans="2:19" s="1428" customFormat="1" ht="15" customHeight="1">
      <c r="B117" s="349"/>
      <c r="C117" s="293"/>
      <c r="D117" s="293"/>
      <c r="F117" s="576" t="s">
        <v>498</v>
      </c>
      <c r="G117" s="297">
        <v>0</v>
      </c>
      <c r="H117" s="298">
        <v>0</v>
      </c>
      <c r="I117" s="298">
        <v>0</v>
      </c>
      <c r="J117" s="298">
        <v>0</v>
      </c>
      <c r="K117" s="298">
        <v>0</v>
      </c>
      <c r="L117" s="298">
        <v>0</v>
      </c>
      <c r="M117" s="298">
        <v>0</v>
      </c>
      <c r="N117" s="299">
        <v>0</v>
      </c>
      <c r="O117" s="460">
        <v>0</v>
      </c>
      <c r="P117" s="298">
        <v>0</v>
      </c>
      <c r="Q117" s="298">
        <v>0</v>
      </c>
      <c r="R117" s="298">
        <v>0</v>
      </c>
      <c r="S117" s="299">
        <v>0</v>
      </c>
    </row>
    <row r="118" spans="2:19" s="1428" customFormat="1" ht="15" customHeight="1">
      <c r="B118" s="349"/>
      <c r="C118" s="293"/>
      <c r="D118" s="293"/>
      <c r="F118" s="576" t="s">
        <v>498</v>
      </c>
      <c r="G118" s="297">
        <v>0</v>
      </c>
      <c r="H118" s="298">
        <v>0</v>
      </c>
      <c r="I118" s="298">
        <v>0</v>
      </c>
      <c r="J118" s="298">
        <v>0</v>
      </c>
      <c r="K118" s="298">
        <v>0</v>
      </c>
      <c r="L118" s="298">
        <v>0</v>
      </c>
      <c r="M118" s="298">
        <v>0</v>
      </c>
      <c r="N118" s="299">
        <v>0</v>
      </c>
      <c r="O118" s="460">
        <v>0</v>
      </c>
      <c r="P118" s="298">
        <v>0</v>
      </c>
      <c r="Q118" s="298">
        <v>0</v>
      </c>
      <c r="R118" s="298">
        <v>0</v>
      </c>
      <c r="S118" s="299">
        <v>0</v>
      </c>
    </row>
    <row r="119" spans="2:19" s="1428" customFormat="1" ht="15" customHeight="1">
      <c r="B119" s="349"/>
      <c r="C119" s="293"/>
      <c r="D119" s="293"/>
      <c r="F119" s="576" t="s">
        <v>498</v>
      </c>
      <c r="G119" s="297">
        <v>0</v>
      </c>
      <c r="H119" s="298">
        <v>0</v>
      </c>
      <c r="I119" s="298">
        <v>0</v>
      </c>
      <c r="J119" s="298">
        <v>0</v>
      </c>
      <c r="K119" s="298">
        <v>0</v>
      </c>
      <c r="L119" s="298">
        <v>0</v>
      </c>
      <c r="M119" s="298">
        <v>0</v>
      </c>
      <c r="N119" s="299">
        <v>0</v>
      </c>
      <c r="O119" s="460">
        <v>0</v>
      </c>
      <c r="P119" s="298">
        <v>0</v>
      </c>
      <c r="Q119" s="298">
        <v>0</v>
      </c>
      <c r="R119" s="298">
        <v>0</v>
      </c>
      <c r="S119" s="299">
        <v>0</v>
      </c>
    </row>
    <row r="120" spans="2:19" s="1428" customFormat="1" ht="15" customHeight="1">
      <c r="B120" s="349"/>
      <c r="C120" s="293"/>
      <c r="D120" s="293"/>
      <c r="F120" s="576" t="s">
        <v>498</v>
      </c>
      <c r="G120" s="297">
        <v>0</v>
      </c>
      <c r="H120" s="298">
        <v>0</v>
      </c>
      <c r="I120" s="298">
        <v>0</v>
      </c>
      <c r="J120" s="298">
        <v>0</v>
      </c>
      <c r="K120" s="298">
        <v>0</v>
      </c>
      <c r="L120" s="298">
        <v>0</v>
      </c>
      <c r="M120" s="298">
        <v>0</v>
      </c>
      <c r="N120" s="299">
        <v>0</v>
      </c>
      <c r="O120" s="460">
        <v>0</v>
      </c>
      <c r="P120" s="298">
        <v>0</v>
      </c>
      <c r="Q120" s="298">
        <v>0</v>
      </c>
      <c r="R120" s="298">
        <v>0</v>
      </c>
      <c r="S120" s="299">
        <v>0</v>
      </c>
    </row>
    <row r="121" spans="2:19" s="1428" customFormat="1" ht="15" customHeight="1">
      <c r="B121" s="349"/>
      <c r="C121" s="293"/>
      <c r="D121" s="293"/>
      <c r="F121" s="576" t="s">
        <v>498</v>
      </c>
      <c r="G121" s="297">
        <v>0</v>
      </c>
      <c r="H121" s="298">
        <v>0</v>
      </c>
      <c r="I121" s="298">
        <v>0</v>
      </c>
      <c r="J121" s="298">
        <v>0</v>
      </c>
      <c r="K121" s="298">
        <v>0</v>
      </c>
      <c r="L121" s="298">
        <v>0</v>
      </c>
      <c r="M121" s="298">
        <v>0</v>
      </c>
      <c r="N121" s="299">
        <v>0</v>
      </c>
      <c r="O121" s="460">
        <v>0</v>
      </c>
      <c r="P121" s="298">
        <v>0</v>
      </c>
      <c r="Q121" s="298">
        <v>0</v>
      </c>
      <c r="R121" s="298">
        <v>0</v>
      </c>
      <c r="S121" s="299">
        <v>0</v>
      </c>
    </row>
    <row r="122" spans="2:19" s="1428" customFormat="1" ht="15" customHeight="1">
      <c r="B122" s="349"/>
      <c r="C122" s="293"/>
      <c r="D122" s="293"/>
      <c r="F122" s="576" t="s">
        <v>498</v>
      </c>
      <c r="G122" s="297">
        <v>0</v>
      </c>
      <c r="H122" s="298">
        <v>0</v>
      </c>
      <c r="I122" s="298">
        <v>0</v>
      </c>
      <c r="J122" s="298">
        <v>0</v>
      </c>
      <c r="K122" s="298">
        <v>0</v>
      </c>
      <c r="L122" s="298">
        <v>0</v>
      </c>
      <c r="M122" s="298">
        <v>0</v>
      </c>
      <c r="N122" s="299">
        <v>0</v>
      </c>
      <c r="O122" s="460">
        <v>0</v>
      </c>
      <c r="P122" s="298">
        <v>0</v>
      </c>
      <c r="Q122" s="298">
        <v>0</v>
      </c>
      <c r="R122" s="298">
        <v>0</v>
      </c>
      <c r="S122" s="299">
        <v>0</v>
      </c>
    </row>
    <row r="123" spans="2:19" s="1428" customFormat="1" ht="15" customHeight="1">
      <c r="B123" s="349"/>
      <c r="C123" s="293"/>
      <c r="D123" s="293"/>
      <c r="F123" s="576" t="s">
        <v>498</v>
      </c>
      <c r="G123" s="297">
        <v>0</v>
      </c>
      <c r="H123" s="298">
        <v>0</v>
      </c>
      <c r="I123" s="298">
        <v>0</v>
      </c>
      <c r="J123" s="298">
        <v>0</v>
      </c>
      <c r="K123" s="298">
        <v>0</v>
      </c>
      <c r="L123" s="298">
        <v>0</v>
      </c>
      <c r="M123" s="298">
        <v>0</v>
      </c>
      <c r="N123" s="299">
        <v>0</v>
      </c>
      <c r="O123" s="460">
        <v>0</v>
      </c>
      <c r="P123" s="298">
        <v>0</v>
      </c>
      <c r="Q123" s="298">
        <v>0</v>
      </c>
      <c r="R123" s="298">
        <v>0</v>
      </c>
      <c r="S123" s="299">
        <v>0</v>
      </c>
    </row>
    <row r="124" spans="2:19" s="1428" customFormat="1" ht="15" customHeight="1">
      <c r="B124" s="349"/>
      <c r="C124" s="293"/>
      <c r="D124" s="293"/>
      <c r="F124" s="576" t="s">
        <v>498</v>
      </c>
      <c r="G124" s="297">
        <v>0</v>
      </c>
      <c r="H124" s="298">
        <v>0</v>
      </c>
      <c r="I124" s="298">
        <v>0</v>
      </c>
      <c r="J124" s="298">
        <v>0</v>
      </c>
      <c r="K124" s="298">
        <v>0</v>
      </c>
      <c r="L124" s="298">
        <v>0</v>
      </c>
      <c r="M124" s="298">
        <v>0</v>
      </c>
      <c r="N124" s="299">
        <v>0</v>
      </c>
      <c r="O124" s="460">
        <v>0</v>
      </c>
      <c r="P124" s="298">
        <v>0</v>
      </c>
      <c r="Q124" s="298">
        <v>0</v>
      </c>
      <c r="R124" s="298">
        <v>0</v>
      </c>
      <c r="S124" s="299">
        <v>0</v>
      </c>
    </row>
    <row r="125" spans="2:19" s="1428" customFormat="1" ht="15" customHeight="1">
      <c r="B125" s="349"/>
      <c r="C125" s="293"/>
      <c r="D125" s="293"/>
      <c r="F125" s="576" t="s">
        <v>498</v>
      </c>
      <c r="G125" s="297">
        <v>0</v>
      </c>
      <c r="H125" s="298">
        <v>0</v>
      </c>
      <c r="I125" s="298">
        <v>0</v>
      </c>
      <c r="J125" s="298">
        <v>0</v>
      </c>
      <c r="K125" s="298">
        <v>0</v>
      </c>
      <c r="L125" s="298">
        <v>0</v>
      </c>
      <c r="M125" s="298">
        <v>0</v>
      </c>
      <c r="N125" s="299">
        <v>0</v>
      </c>
      <c r="O125" s="460">
        <v>0</v>
      </c>
      <c r="P125" s="298">
        <v>0</v>
      </c>
      <c r="Q125" s="298">
        <v>0</v>
      </c>
      <c r="R125" s="298">
        <v>0</v>
      </c>
      <c r="S125" s="299">
        <v>0</v>
      </c>
    </row>
    <row r="126" spans="2:19" s="1428" customFormat="1" ht="15" customHeight="1">
      <c r="B126" s="349"/>
      <c r="C126" s="293"/>
      <c r="D126" s="293"/>
      <c r="F126" s="576" t="s">
        <v>498</v>
      </c>
      <c r="G126" s="297">
        <v>0</v>
      </c>
      <c r="H126" s="298">
        <v>0</v>
      </c>
      <c r="I126" s="298">
        <v>0</v>
      </c>
      <c r="J126" s="298">
        <v>0</v>
      </c>
      <c r="K126" s="298">
        <v>0</v>
      </c>
      <c r="L126" s="298">
        <v>0</v>
      </c>
      <c r="M126" s="298">
        <v>0</v>
      </c>
      <c r="N126" s="299">
        <v>0</v>
      </c>
      <c r="O126" s="460">
        <v>0</v>
      </c>
      <c r="P126" s="298">
        <v>0</v>
      </c>
      <c r="Q126" s="298">
        <v>0</v>
      </c>
      <c r="R126" s="298">
        <v>0</v>
      </c>
      <c r="S126" s="299">
        <v>0</v>
      </c>
    </row>
    <row r="127" spans="2:19" s="1428" customFormat="1" ht="15" customHeight="1">
      <c r="B127" s="349"/>
      <c r="C127" s="293"/>
      <c r="D127" s="293"/>
      <c r="F127" s="576" t="s">
        <v>498</v>
      </c>
      <c r="G127" s="297">
        <v>0</v>
      </c>
      <c r="H127" s="298">
        <v>0</v>
      </c>
      <c r="I127" s="298">
        <v>0</v>
      </c>
      <c r="J127" s="298">
        <v>0</v>
      </c>
      <c r="K127" s="298">
        <v>0</v>
      </c>
      <c r="L127" s="298">
        <v>0</v>
      </c>
      <c r="M127" s="298">
        <v>0</v>
      </c>
      <c r="N127" s="299">
        <v>0</v>
      </c>
      <c r="O127" s="460">
        <v>0</v>
      </c>
      <c r="P127" s="298">
        <v>0</v>
      </c>
      <c r="Q127" s="298">
        <v>0</v>
      </c>
      <c r="R127" s="298">
        <v>0</v>
      </c>
      <c r="S127" s="299">
        <v>0</v>
      </c>
    </row>
    <row r="128" spans="2:19" s="1428" customFormat="1" ht="15" customHeight="1">
      <c r="B128" s="349"/>
      <c r="C128" s="293"/>
      <c r="D128" s="293"/>
      <c r="F128" s="576" t="s">
        <v>498</v>
      </c>
      <c r="G128" s="297">
        <v>0</v>
      </c>
      <c r="H128" s="298">
        <v>0</v>
      </c>
      <c r="I128" s="298">
        <v>0</v>
      </c>
      <c r="J128" s="298">
        <v>0</v>
      </c>
      <c r="K128" s="298">
        <v>0</v>
      </c>
      <c r="L128" s="298">
        <v>0</v>
      </c>
      <c r="M128" s="298">
        <v>0</v>
      </c>
      <c r="N128" s="299">
        <v>0</v>
      </c>
      <c r="O128" s="460">
        <v>0</v>
      </c>
      <c r="P128" s="298">
        <v>0</v>
      </c>
      <c r="Q128" s="298">
        <v>0</v>
      </c>
      <c r="R128" s="298">
        <v>0</v>
      </c>
      <c r="S128" s="299">
        <v>0</v>
      </c>
    </row>
    <row r="129" spans="2:19" s="1428" customFormat="1" ht="15" customHeight="1">
      <c r="B129" s="349"/>
      <c r="C129" s="293"/>
      <c r="D129" s="293"/>
      <c r="F129" s="576" t="s">
        <v>498</v>
      </c>
      <c r="G129" s="297">
        <v>0</v>
      </c>
      <c r="H129" s="298">
        <v>0</v>
      </c>
      <c r="I129" s="298">
        <v>0</v>
      </c>
      <c r="J129" s="298">
        <v>0</v>
      </c>
      <c r="K129" s="298">
        <v>0</v>
      </c>
      <c r="L129" s="298">
        <v>0</v>
      </c>
      <c r="M129" s="298">
        <v>0</v>
      </c>
      <c r="N129" s="299">
        <v>0</v>
      </c>
      <c r="O129" s="460">
        <v>0</v>
      </c>
      <c r="P129" s="298">
        <v>0</v>
      </c>
      <c r="Q129" s="298">
        <v>0</v>
      </c>
      <c r="R129" s="298">
        <v>0</v>
      </c>
      <c r="S129" s="299">
        <v>0</v>
      </c>
    </row>
    <row r="130" spans="2:19" s="1428" customFormat="1" ht="15" customHeight="1">
      <c r="B130" s="349"/>
      <c r="C130" s="293"/>
      <c r="D130" s="293"/>
      <c r="F130" s="576" t="s">
        <v>498</v>
      </c>
      <c r="G130" s="297">
        <v>0</v>
      </c>
      <c r="H130" s="298">
        <v>0</v>
      </c>
      <c r="I130" s="298">
        <v>0</v>
      </c>
      <c r="J130" s="298">
        <v>0</v>
      </c>
      <c r="K130" s="298">
        <v>0</v>
      </c>
      <c r="L130" s="298">
        <v>0</v>
      </c>
      <c r="M130" s="298">
        <v>0</v>
      </c>
      <c r="N130" s="299">
        <v>0</v>
      </c>
      <c r="O130" s="460">
        <v>0</v>
      </c>
      <c r="P130" s="298">
        <v>0</v>
      </c>
      <c r="Q130" s="298">
        <v>0</v>
      </c>
      <c r="R130" s="298">
        <v>0</v>
      </c>
      <c r="S130" s="299">
        <v>0</v>
      </c>
    </row>
    <row r="131" spans="2:19" s="1428" customFormat="1" ht="15" customHeight="1">
      <c r="B131" s="349"/>
      <c r="C131" s="293"/>
      <c r="D131" s="293"/>
      <c r="F131" s="576" t="s">
        <v>498</v>
      </c>
      <c r="G131" s="297">
        <v>0</v>
      </c>
      <c r="H131" s="298">
        <v>0</v>
      </c>
      <c r="I131" s="298">
        <v>0</v>
      </c>
      <c r="J131" s="298">
        <v>0</v>
      </c>
      <c r="K131" s="298">
        <v>0</v>
      </c>
      <c r="L131" s="298">
        <v>0</v>
      </c>
      <c r="M131" s="298">
        <v>0</v>
      </c>
      <c r="N131" s="299">
        <v>0</v>
      </c>
      <c r="O131" s="460">
        <v>0</v>
      </c>
      <c r="P131" s="298">
        <v>0</v>
      </c>
      <c r="Q131" s="298">
        <v>0</v>
      </c>
      <c r="R131" s="298">
        <v>0</v>
      </c>
      <c r="S131" s="299">
        <v>0</v>
      </c>
    </row>
    <row r="132" spans="2:19" s="1428" customFormat="1" ht="15" customHeight="1">
      <c r="B132" s="349"/>
      <c r="C132" s="293"/>
      <c r="D132" s="293"/>
      <c r="F132" s="576" t="s">
        <v>498</v>
      </c>
      <c r="G132" s="297">
        <v>0</v>
      </c>
      <c r="H132" s="298">
        <v>0</v>
      </c>
      <c r="I132" s="298">
        <v>0</v>
      </c>
      <c r="J132" s="298">
        <v>0</v>
      </c>
      <c r="K132" s="298">
        <v>0</v>
      </c>
      <c r="L132" s="298">
        <v>0</v>
      </c>
      <c r="M132" s="298">
        <v>0</v>
      </c>
      <c r="N132" s="299">
        <v>0</v>
      </c>
      <c r="O132" s="460">
        <v>0</v>
      </c>
      <c r="P132" s="298">
        <v>0</v>
      </c>
      <c r="Q132" s="298">
        <v>0</v>
      </c>
      <c r="R132" s="298">
        <v>0</v>
      </c>
      <c r="S132" s="299">
        <v>0</v>
      </c>
    </row>
    <row r="133" spans="2:19" s="1428" customFormat="1" ht="15" customHeight="1">
      <c r="B133" s="349"/>
      <c r="C133" s="293"/>
      <c r="D133" s="293"/>
      <c r="F133" s="576" t="s">
        <v>498</v>
      </c>
      <c r="G133" s="297">
        <v>0</v>
      </c>
      <c r="H133" s="298">
        <v>0</v>
      </c>
      <c r="I133" s="298">
        <v>0</v>
      </c>
      <c r="J133" s="298">
        <v>0</v>
      </c>
      <c r="K133" s="298">
        <v>0</v>
      </c>
      <c r="L133" s="298">
        <v>0</v>
      </c>
      <c r="M133" s="298">
        <v>0</v>
      </c>
      <c r="N133" s="299">
        <v>0</v>
      </c>
      <c r="O133" s="460">
        <v>0</v>
      </c>
      <c r="P133" s="298">
        <v>0</v>
      </c>
      <c r="Q133" s="298">
        <v>0</v>
      </c>
      <c r="R133" s="298">
        <v>0</v>
      </c>
      <c r="S133" s="299">
        <v>0</v>
      </c>
    </row>
    <row r="134" spans="2:19" s="1428" customFormat="1" ht="15" customHeight="1">
      <c r="B134" s="349"/>
      <c r="C134" s="293"/>
      <c r="D134" s="293"/>
      <c r="F134" s="576" t="s">
        <v>498</v>
      </c>
      <c r="G134" s="297">
        <v>0</v>
      </c>
      <c r="H134" s="298">
        <v>0</v>
      </c>
      <c r="I134" s="298">
        <v>0</v>
      </c>
      <c r="J134" s="298">
        <v>0</v>
      </c>
      <c r="K134" s="298">
        <v>0</v>
      </c>
      <c r="L134" s="298">
        <v>0</v>
      </c>
      <c r="M134" s="298">
        <v>0</v>
      </c>
      <c r="N134" s="299">
        <v>0</v>
      </c>
      <c r="O134" s="460">
        <v>0</v>
      </c>
      <c r="P134" s="298">
        <v>0</v>
      </c>
      <c r="Q134" s="298">
        <v>0</v>
      </c>
      <c r="R134" s="298">
        <v>0</v>
      </c>
      <c r="S134" s="299">
        <v>0</v>
      </c>
    </row>
    <row r="135" spans="2:19" s="1428" customFormat="1" ht="15" customHeight="1">
      <c r="B135" s="349"/>
      <c r="C135" s="293"/>
      <c r="D135" s="293"/>
      <c r="F135" s="576" t="s">
        <v>498</v>
      </c>
      <c r="G135" s="297">
        <v>0</v>
      </c>
      <c r="H135" s="298">
        <v>0</v>
      </c>
      <c r="I135" s="298">
        <v>0</v>
      </c>
      <c r="J135" s="298">
        <v>0</v>
      </c>
      <c r="K135" s="298">
        <v>0</v>
      </c>
      <c r="L135" s="298">
        <v>0</v>
      </c>
      <c r="M135" s="298">
        <v>0</v>
      </c>
      <c r="N135" s="299">
        <v>0</v>
      </c>
      <c r="O135" s="460">
        <v>0</v>
      </c>
      <c r="P135" s="298">
        <v>0</v>
      </c>
      <c r="Q135" s="298">
        <v>0</v>
      </c>
      <c r="R135" s="298">
        <v>0</v>
      </c>
      <c r="S135" s="299">
        <v>0</v>
      </c>
    </row>
    <row r="136" spans="2:19" s="1428" customFormat="1" ht="15" customHeight="1">
      <c r="B136" s="349"/>
      <c r="C136" s="293"/>
      <c r="D136" s="293"/>
      <c r="F136" s="576" t="s">
        <v>498</v>
      </c>
      <c r="G136" s="297">
        <v>0</v>
      </c>
      <c r="H136" s="298">
        <v>0</v>
      </c>
      <c r="I136" s="298">
        <v>0</v>
      </c>
      <c r="J136" s="298">
        <v>0</v>
      </c>
      <c r="K136" s="298">
        <v>0</v>
      </c>
      <c r="L136" s="298">
        <v>0</v>
      </c>
      <c r="M136" s="298">
        <v>0</v>
      </c>
      <c r="N136" s="299">
        <v>0</v>
      </c>
      <c r="O136" s="460">
        <v>0</v>
      </c>
      <c r="P136" s="298">
        <v>0</v>
      </c>
      <c r="Q136" s="298">
        <v>0</v>
      </c>
      <c r="R136" s="298">
        <v>0</v>
      </c>
      <c r="S136" s="299">
        <v>0</v>
      </c>
    </row>
    <row r="137" spans="2:19" s="1428" customFormat="1" ht="15" customHeight="1">
      <c r="B137" s="349"/>
      <c r="C137" s="293"/>
      <c r="D137" s="293"/>
      <c r="F137" s="576" t="s">
        <v>498</v>
      </c>
      <c r="G137" s="297">
        <v>0</v>
      </c>
      <c r="H137" s="298">
        <v>0</v>
      </c>
      <c r="I137" s="298">
        <v>0</v>
      </c>
      <c r="J137" s="298">
        <v>0</v>
      </c>
      <c r="K137" s="298">
        <v>0</v>
      </c>
      <c r="L137" s="298">
        <v>0</v>
      </c>
      <c r="M137" s="298">
        <v>0</v>
      </c>
      <c r="N137" s="299">
        <v>0</v>
      </c>
      <c r="O137" s="460">
        <v>0</v>
      </c>
      <c r="P137" s="298">
        <v>0</v>
      </c>
      <c r="Q137" s="298">
        <v>0</v>
      </c>
      <c r="R137" s="298">
        <v>0</v>
      </c>
      <c r="S137" s="299">
        <v>0</v>
      </c>
    </row>
    <row r="138" spans="2:19" s="1428" customFormat="1" ht="15" customHeight="1">
      <c r="B138" s="349"/>
      <c r="C138" s="293"/>
      <c r="D138" s="293"/>
      <c r="F138" s="576" t="s">
        <v>498</v>
      </c>
      <c r="G138" s="297">
        <v>0</v>
      </c>
      <c r="H138" s="298">
        <v>0</v>
      </c>
      <c r="I138" s="298">
        <v>0</v>
      </c>
      <c r="J138" s="298">
        <v>0</v>
      </c>
      <c r="K138" s="298">
        <v>0</v>
      </c>
      <c r="L138" s="298">
        <v>0</v>
      </c>
      <c r="M138" s="298">
        <v>0</v>
      </c>
      <c r="N138" s="299">
        <v>0</v>
      </c>
      <c r="O138" s="460">
        <v>0</v>
      </c>
      <c r="P138" s="298">
        <v>0</v>
      </c>
      <c r="Q138" s="298">
        <v>0</v>
      </c>
      <c r="R138" s="298">
        <v>0</v>
      </c>
      <c r="S138" s="299">
        <v>0</v>
      </c>
    </row>
    <row r="139" spans="2:19" s="1428" customFormat="1" ht="15" customHeight="1">
      <c r="B139" s="349"/>
      <c r="C139" s="293"/>
      <c r="D139" s="293"/>
      <c r="F139" s="576" t="s">
        <v>498</v>
      </c>
      <c r="G139" s="297">
        <v>0</v>
      </c>
      <c r="H139" s="298">
        <v>0</v>
      </c>
      <c r="I139" s="298">
        <v>0</v>
      </c>
      <c r="J139" s="298">
        <v>0</v>
      </c>
      <c r="K139" s="298">
        <v>0</v>
      </c>
      <c r="L139" s="298">
        <v>0</v>
      </c>
      <c r="M139" s="298">
        <v>0</v>
      </c>
      <c r="N139" s="299">
        <v>0</v>
      </c>
      <c r="O139" s="460">
        <v>0</v>
      </c>
      <c r="P139" s="298">
        <v>0</v>
      </c>
      <c r="Q139" s="298">
        <v>0</v>
      </c>
      <c r="R139" s="298">
        <v>0</v>
      </c>
      <c r="S139" s="299">
        <v>0</v>
      </c>
    </row>
    <row r="140" spans="2:19" s="1428" customFormat="1" ht="15" customHeight="1">
      <c r="B140" s="349"/>
      <c r="C140" s="293"/>
      <c r="D140" s="293"/>
      <c r="F140" s="576" t="s">
        <v>498</v>
      </c>
      <c r="G140" s="297">
        <v>0</v>
      </c>
      <c r="H140" s="298">
        <v>0</v>
      </c>
      <c r="I140" s="298">
        <v>0</v>
      </c>
      <c r="J140" s="298">
        <v>0</v>
      </c>
      <c r="K140" s="298">
        <v>0</v>
      </c>
      <c r="L140" s="298">
        <v>0</v>
      </c>
      <c r="M140" s="298">
        <v>0</v>
      </c>
      <c r="N140" s="299">
        <v>0</v>
      </c>
      <c r="O140" s="460">
        <v>0</v>
      </c>
      <c r="P140" s="298">
        <v>0</v>
      </c>
      <c r="Q140" s="298">
        <v>0</v>
      </c>
      <c r="R140" s="298">
        <v>0</v>
      </c>
      <c r="S140" s="299">
        <v>0</v>
      </c>
    </row>
    <row r="141" spans="2:19" s="1419" customFormat="1" ht="15" customHeight="1" thickBot="1">
      <c r="B141" s="357" t="s">
        <v>1701</v>
      </c>
      <c r="C141" s="358"/>
      <c r="D141" s="1427"/>
      <c r="E141" s="1427"/>
      <c r="F141" s="581" t="s">
        <v>498</v>
      </c>
      <c r="G141" s="634">
        <f>SUM(G113:G140)</f>
        <v>0</v>
      </c>
      <c r="H141" s="635">
        <f t="shared" ref="H141:S141" si="3">SUM(H113:H140)</f>
        <v>0</v>
      </c>
      <c r="I141" s="635">
        <f t="shared" si="3"/>
        <v>0</v>
      </c>
      <c r="J141" s="635">
        <f t="shared" si="3"/>
        <v>0</v>
      </c>
      <c r="K141" s="635">
        <f t="shared" si="3"/>
        <v>0</v>
      </c>
      <c r="L141" s="635">
        <f t="shared" si="3"/>
        <v>0</v>
      </c>
      <c r="M141" s="635">
        <f t="shared" si="3"/>
        <v>0</v>
      </c>
      <c r="N141" s="636">
        <f t="shared" si="3"/>
        <v>0</v>
      </c>
      <c r="O141" s="999">
        <f t="shared" si="3"/>
        <v>0</v>
      </c>
      <c r="P141" s="635">
        <f t="shared" si="3"/>
        <v>0</v>
      </c>
      <c r="Q141" s="635">
        <f t="shared" si="3"/>
        <v>0</v>
      </c>
      <c r="R141" s="635">
        <f t="shared" si="3"/>
        <v>0</v>
      </c>
      <c r="S141" s="636">
        <f t="shared" si="3"/>
        <v>0</v>
      </c>
    </row>
    <row r="142" spans="2:19" s="1419" customFormat="1" ht="13.5" thickBot="1"/>
    <row r="143" spans="2:19" s="1419" customFormat="1" ht="30" customHeight="1" thickBot="1">
      <c r="B143" s="640" t="s">
        <v>3217</v>
      </c>
      <c r="C143" s="558"/>
      <c r="D143" s="558"/>
      <c r="E143" s="558"/>
      <c r="F143" s="105" t="s">
        <v>1704</v>
      </c>
      <c r="G143" s="106"/>
      <c r="H143" s="106"/>
      <c r="I143" s="106"/>
      <c r="J143" s="106"/>
      <c r="K143" s="106"/>
      <c r="L143" s="106"/>
      <c r="M143" s="106"/>
      <c r="N143" s="106"/>
      <c r="O143" s="105"/>
      <c r="P143" s="105"/>
      <c r="Q143" s="105"/>
      <c r="R143" s="105"/>
      <c r="S143" s="187"/>
    </row>
    <row r="144" spans="2:19" s="1419" customFormat="1" ht="30" customHeight="1">
      <c r="B144" s="560"/>
      <c r="C144" s="561"/>
      <c r="D144" s="561"/>
      <c r="E144" s="561"/>
      <c r="F144" s="562"/>
      <c r="G144" s="563" t="s">
        <v>1666</v>
      </c>
      <c r="H144" s="564"/>
      <c r="I144" s="564"/>
      <c r="J144" s="564"/>
      <c r="K144" s="564"/>
      <c r="L144" s="564"/>
      <c r="M144" s="564"/>
      <c r="N144" s="565"/>
      <c r="O144" s="567" t="s">
        <v>2</v>
      </c>
      <c r="P144" s="567"/>
      <c r="Q144" s="567"/>
      <c r="R144" s="567"/>
      <c r="S144" s="568"/>
    </row>
    <row r="145" spans="2:19" s="1428" customFormat="1" ht="15" customHeight="1">
      <c r="B145" s="572"/>
      <c r="C145" s="1430"/>
      <c r="D145" s="339"/>
      <c r="E145" s="339"/>
      <c r="F145" s="571" t="s">
        <v>1745</v>
      </c>
      <c r="G145" s="158" t="s">
        <v>453</v>
      </c>
      <c r="H145" s="137" t="s">
        <v>455</v>
      </c>
      <c r="I145" s="137" t="s">
        <v>457</v>
      </c>
      <c r="J145" s="137" t="s">
        <v>459</v>
      </c>
      <c r="K145" s="137" t="s">
        <v>461</v>
      </c>
      <c r="L145" s="137" t="s">
        <v>463</v>
      </c>
      <c r="M145" s="137" t="s">
        <v>465</v>
      </c>
      <c r="N145" s="138" t="s">
        <v>467</v>
      </c>
      <c r="O145" s="242" t="s">
        <v>469</v>
      </c>
      <c r="P145" s="121" t="s">
        <v>471</v>
      </c>
      <c r="Q145" s="121" t="s">
        <v>473</v>
      </c>
      <c r="R145" s="121" t="s">
        <v>475</v>
      </c>
      <c r="S145" s="122" t="s">
        <v>477</v>
      </c>
    </row>
    <row r="146" spans="2:19" s="1428" customFormat="1" ht="15" customHeight="1">
      <c r="B146" s="572"/>
      <c r="C146" s="623" t="s">
        <v>3215</v>
      </c>
      <c r="D146" s="591" t="s">
        <v>3216</v>
      </c>
      <c r="E146" s="591"/>
      <c r="F146" s="260"/>
      <c r="G146" s="295"/>
      <c r="H146" s="259"/>
      <c r="I146" s="259"/>
      <c r="J146" s="259"/>
      <c r="K146" s="259"/>
      <c r="L146" s="259"/>
      <c r="M146" s="259"/>
      <c r="N146" s="296"/>
      <c r="O146" s="259"/>
      <c r="P146" s="259"/>
      <c r="Q146" s="259"/>
      <c r="R146" s="259"/>
      <c r="S146" s="296"/>
    </row>
    <row r="147" spans="2:19" s="1428" customFormat="1" ht="15" customHeight="1">
      <c r="B147" s="349"/>
      <c r="C147" s="293"/>
      <c r="D147" s="293"/>
      <c r="F147" s="576" t="s">
        <v>498</v>
      </c>
      <c r="G147" s="297">
        <v>0</v>
      </c>
      <c r="H147" s="298">
        <v>0</v>
      </c>
      <c r="I147" s="298">
        <v>0</v>
      </c>
      <c r="J147" s="298">
        <v>0</v>
      </c>
      <c r="K147" s="298">
        <v>0</v>
      </c>
      <c r="L147" s="298">
        <v>0</v>
      </c>
      <c r="M147" s="298">
        <v>0</v>
      </c>
      <c r="N147" s="299">
        <v>0</v>
      </c>
      <c r="O147" s="460">
        <v>0</v>
      </c>
      <c r="P147" s="298">
        <v>0</v>
      </c>
      <c r="Q147" s="298">
        <v>0</v>
      </c>
      <c r="R147" s="298">
        <v>0</v>
      </c>
      <c r="S147" s="299">
        <v>0</v>
      </c>
    </row>
    <row r="148" spans="2:19" s="1428" customFormat="1" ht="15" customHeight="1">
      <c r="B148" s="349"/>
      <c r="C148" s="293"/>
      <c r="D148" s="293"/>
      <c r="F148" s="576" t="s">
        <v>498</v>
      </c>
      <c r="G148" s="297">
        <v>0</v>
      </c>
      <c r="H148" s="298">
        <v>0</v>
      </c>
      <c r="I148" s="298">
        <v>0</v>
      </c>
      <c r="J148" s="298">
        <v>0</v>
      </c>
      <c r="K148" s="298">
        <v>0</v>
      </c>
      <c r="L148" s="298">
        <v>0</v>
      </c>
      <c r="M148" s="298">
        <v>0</v>
      </c>
      <c r="N148" s="299">
        <v>0</v>
      </c>
      <c r="O148" s="460">
        <v>0</v>
      </c>
      <c r="P148" s="298">
        <v>0</v>
      </c>
      <c r="Q148" s="298">
        <v>0</v>
      </c>
      <c r="R148" s="298">
        <v>0</v>
      </c>
      <c r="S148" s="299">
        <v>0</v>
      </c>
    </row>
    <row r="149" spans="2:19" s="1428" customFormat="1" ht="15" customHeight="1">
      <c r="B149" s="349"/>
      <c r="C149" s="293"/>
      <c r="D149" s="293"/>
      <c r="F149" s="576" t="s">
        <v>498</v>
      </c>
      <c r="G149" s="297">
        <v>0</v>
      </c>
      <c r="H149" s="298">
        <v>0</v>
      </c>
      <c r="I149" s="298">
        <v>0</v>
      </c>
      <c r="J149" s="298">
        <v>0</v>
      </c>
      <c r="K149" s="298">
        <v>0</v>
      </c>
      <c r="L149" s="298">
        <v>0</v>
      </c>
      <c r="M149" s="298">
        <v>0</v>
      </c>
      <c r="N149" s="299">
        <v>0</v>
      </c>
      <c r="O149" s="460">
        <v>0</v>
      </c>
      <c r="P149" s="298">
        <v>0</v>
      </c>
      <c r="Q149" s="298">
        <v>0</v>
      </c>
      <c r="R149" s="298">
        <v>0</v>
      </c>
      <c r="S149" s="299">
        <v>0</v>
      </c>
    </row>
    <row r="150" spans="2:19" s="1428" customFormat="1" ht="15" customHeight="1">
      <c r="B150" s="349"/>
      <c r="C150" s="293"/>
      <c r="D150" s="293"/>
      <c r="F150" s="576" t="s">
        <v>498</v>
      </c>
      <c r="G150" s="297">
        <v>0</v>
      </c>
      <c r="H150" s="298">
        <v>0</v>
      </c>
      <c r="I150" s="298">
        <v>0</v>
      </c>
      <c r="J150" s="298">
        <v>0</v>
      </c>
      <c r="K150" s="298">
        <v>0</v>
      </c>
      <c r="L150" s="298">
        <v>0</v>
      </c>
      <c r="M150" s="298">
        <v>0</v>
      </c>
      <c r="N150" s="299">
        <v>0</v>
      </c>
      <c r="O150" s="460">
        <v>0</v>
      </c>
      <c r="P150" s="298">
        <v>0</v>
      </c>
      <c r="Q150" s="298">
        <v>0</v>
      </c>
      <c r="R150" s="298">
        <v>0</v>
      </c>
      <c r="S150" s="299">
        <v>0</v>
      </c>
    </row>
    <row r="151" spans="2:19" s="1428" customFormat="1" ht="15" customHeight="1">
      <c r="B151" s="349"/>
      <c r="C151" s="293"/>
      <c r="D151" s="293"/>
      <c r="F151" s="576" t="s">
        <v>498</v>
      </c>
      <c r="G151" s="297">
        <v>0</v>
      </c>
      <c r="H151" s="298">
        <v>0</v>
      </c>
      <c r="I151" s="298">
        <v>0</v>
      </c>
      <c r="J151" s="298">
        <v>0</v>
      </c>
      <c r="K151" s="298">
        <v>0</v>
      </c>
      <c r="L151" s="298">
        <v>0</v>
      </c>
      <c r="M151" s="298">
        <v>0</v>
      </c>
      <c r="N151" s="299">
        <v>0</v>
      </c>
      <c r="O151" s="460">
        <v>0</v>
      </c>
      <c r="P151" s="298">
        <v>0</v>
      </c>
      <c r="Q151" s="298">
        <v>0</v>
      </c>
      <c r="R151" s="298">
        <v>0</v>
      </c>
      <c r="S151" s="299">
        <v>0</v>
      </c>
    </row>
    <row r="152" spans="2:19" s="1428" customFormat="1" ht="15" customHeight="1">
      <c r="B152" s="349"/>
      <c r="C152" s="293"/>
      <c r="D152" s="293"/>
      <c r="F152" s="576" t="s">
        <v>498</v>
      </c>
      <c r="G152" s="297">
        <v>0</v>
      </c>
      <c r="H152" s="298">
        <v>0</v>
      </c>
      <c r="I152" s="298">
        <v>0</v>
      </c>
      <c r="J152" s="298">
        <v>0</v>
      </c>
      <c r="K152" s="298">
        <v>0</v>
      </c>
      <c r="L152" s="298">
        <v>0</v>
      </c>
      <c r="M152" s="298">
        <v>0</v>
      </c>
      <c r="N152" s="299">
        <v>0</v>
      </c>
      <c r="O152" s="460">
        <v>0</v>
      </c>
      <c r="P152" s="298">
        <v>0</v>
      </c>
      <c r="Q152" s="298">
        <v>0</v>
      </c>
      <c r="R152" s="298">
        <v>0</v>
      </c>
      <c r="S152" s="299">
        <v>0</v>
      </c>
    </row>
    <row r="153" spans="2:19" s="1428" customFormat="1" ht="15" customHeight="1">
      <c r="B153" s="349"/>
      <c r="C153" s="293"/>
      <c r="D153" s="293"/>
      <c r="F153" s="576" t="s">
        <v>498</v>
      </c>
      <c r="G153" s="297">
        <v>0</v>
      </c>
      <c r="H153" s="298">
        <v>0</v>
      </c>
      <c r="I153" s="298">
        <v>0</v>
      </c>
      <c r="J153" s="298">
        <v>0</v>
      </c>
      <c r="K153" s="298">
        <v>0</v>
      </c>
      <c r="L153" s="298">
        <v>0</v>
      </c>
      <c r="M153" s="298">
        <v>0</v>
      </c>
      <c r="N153" s="299">
        <v>0</v>
      </c>
      <c r="O153" s="460">
        <v>0</v>
      </c>
      <c r="P153" s="298">
        <v>0</v>
      </c>
      <c r="Q153" s="298">
        <v>0</v>
      </c>
      <c r="R153" s="298">
        <v>0</v>
      </c>
      <c r="S153" s="299">
        <v>0</v>
      </c>
    </row>
    <row r="154" spans="2:19" s="1428" customFormat="1" ht="15" customHeight="1">
      <c r="B154" s="349"/>
      <c r="C154" s="293"/>
      <c r="D154" s="293"/>
      <c r="F154" s="576" t="s">
        <v>498</v>
      </c>
      <c r="G154" s="297">
        <v>0</v>
      </c>
      <c r="H154" s="298">
        <v>0</v>
      </c>
      <c r="I154" s="298">
        <v>0</v>
      </c>
      <c r="J154" s="298">
        <v>0</v>
      </c>
      <c r="K154" s="298">
        <v>0</v>
      </c>
      <c r="L154" s="298">
        <v>0</v>
      </c>
      <c r="M154" s="298">
        <v>0</v>
      </c>
      <c r="N154" s="299">
        <v>0</v>
      </c>
      <c r="O154" s="460">
        <v>0</v>
      </c>
      <c r="P154" s="298">
        <v>0</v>
      </c>
      <c r="Q154" s="298">
        <v>0</v>
      </c>
      <c r="R154" s="298">
        <v>0</v>
      </c>
      <c r="S154" s="299">
        <v>0</v>
      </c>
    </row>
    <row r="155" spans="2:19" s="1428" customFormat="1" ht="15" customHeight="1">
      <c r="B155" s="349"/>
      <c r="C155" s="293"/>
      <c r="D155" s="293"/>
      <c r="F155" s="576" t="s">
        <v>498</v>
      </c>
      <c r="G155" s="297">
        <v>0</v>
      </c>
      <c r="H155" s="298">
        <v>0</v>
      </c>
      <c r="I155" s="298">
        <v>0</v>
      </c>
      <c r="J155" s="298">
        <v>0</v>
      </c>
      <c r="K155" s="298">
        <v>0</v>
      </c>
      <c r="L155" s="298">
        <v>0</v>
      </c>
      <c r="M155" s="298">
        <v>0</v>
      </c>
      <c r="N155" s="299">
        <v>0</v>
      </c>
      <c r="O155" s="460">
        <v>0</v>
      </c>
      <c r="P155" s="298">
        <v>0</v>
      </c>
      <c r="Q155" s="298">
        <v>0</v>
      </c>
      <c r="R155" s="298">
        <v>0</v>
      </c>
      <c r="S155" s="299">
        <v>0</v>
      </c>
    </row>
    <row r="156" spans="2:19" s="1428" customFormat="1" ht="15" customHeight="1">
      <c r="B156" s="349"/>
      <c r="C156" s="293"/>
      <c r="D156" s="293"/>
      <c r="F156" s="576" t="s">
        <v>498</v>
      </c>
      <c r="G156" s="297">
        <v>0</v>
      </c>
      <c r="H156" s="298">
        <v>0</v>
      </c>
      <c r="I156" s="298">
        <v>0</v>
      </c>
      <c r="J156" s="298">
        <v>0</v>
      </c>
      <c r="K156" s="298">
        <v>0</v>
      </c>
      <c r="L156" s="298">
        <v>0</v>
      </c>
      <c r="M156" s="298">
        <v>0</v>
      </c>
      <c r="N156" s="299">
        <v>0</v>
      </c>
      <c r="O156" s="460">
        <v>0</v>
      </c>
      <c r="P156" s="298">
        <v>0</v>
      </c>
      <c r="Q156" s="298">
        <v>0</v>
      </c>
      <c r="R156" s="298">
        <v>0</v>
      </c>
      <c r="S156" s="299">
        <v>0</v>
      </c>
    </row>
    <row r="157" spans="2:19" s="1428" customFormat="1" ht="15" customHeight="1">
      <c r="B157" s="349"/>
      <c r="C157" s="293"/>
      <c r="D157" s="293"/>
      <c r="F157" s="576" t="s">
        <v>498</v>
      </c>
      <c r="G157" s="297">
        <v>0</v>
      </c>
      <c r="H157" s="298">
        <v>0</v>
      </c>
      <c r="I157" s="298">
        <v>0</v>
      </c>
      <c r="J157" s="298">
        <v>0</v>
      </c>
      <c r="K157" s="298">
        <v>0</v>
      </c>
      <c r="L157" s="298">
        <v>0</v>
      </c>
      <c r="M157" s="298">
        <v>0</v>
      </c>
      <c r="N157" s="299">
        <v>0</v>
      </c>
      <c r="O157" s="460">
        <v>0</v>
      </c>
      <c r="P157" s="298">
        <v>0</v>
      </c>
      <c r="Q157" s="298">
        <v>0</v>
      </c>
      <c r="R157" s="298">
        <v>0</v>
      </c>
      <c r="S157" s="299">
        <v>0</v>
      </c>
    </row>
    <row r="158" spans="2:19" s="1428" customFormat="1" ht="15" customHeight="1">
      <c r="B158" s="349"/>
      <c r="C158" s="293"/>
      <c r="D158" s="293"/>
      <c r="F158" s="576" t="s">
        <v>498</v>
      </c>
      <c r="G158" s="297">
        <v>0</v>
      </c>
      <c r="H158" s="298">
        <v>0</v>
      </c>
      <c r="I158" s="298">
        <v>0</v>
      </c>
      <c r="J158" s="298">
        <v>0</v>
      </c>
      <c r="K158" s="298">
        <v>0</v>
      </c>
      <c r="L158" s="298">
        <v>0</v>
      </c>
      <c r="M158" s="298">
        <v>0</v>
      </c>
      <c r="N158" s="299">
        <v>0</v>
      </c>
      <c r="O158" s="460">
        <v>0</v>
      </c>
      <c r="P158" s="298">
        <v>0</v>
      </c>
      <c r="Q158" s="298">
        <v>0</v>
      </c>
      <c r="R158" s="298">
        <v>0</v>
      </c>
      <c r="S158" s="299">
        <v>0</v>
      </c>
    </row>
    <row r="159" spans="2:19" s="1428" customFormat="1" ht="15" customHeight="1">
      <c r="B159" s="349"/>
      <c r="C159" s="293"/>
      <c r="D159" s="293"/>
      <c r="F159" s="576" t="s">
        <v>498</v>
      </c>
      <c r="G159" s="297">
        <v>0</v>
      </c>
      <c r="H159" s="298">
        <v>0</v>
      </c>
      <c r="I159" s="298">
        <v>0</v>
      </c>
      <c r="J159" s="298">
        <v>0</v>
      </c>
      <c r="K159" s="298">
        <v>0</v>
      </c>
      <c r="L159" s="298">
        <v>0</v>
      </c>
      <c r="M159" s="298">
        <v>0</v>
      </c>
      <c r="N159" s="299">
        <v>0</v>
      </c>
      <c r="O159" s="460">
        <v>0</v>
      </c>
      <c r="P159" s="298">
        <v>0</v>
      </c>
      <c r="Q159" s="298">
        <v>0</v>
      </c>
      <c r="R159" s="298">
        <v>0</v>
      </c>
      <c r="S159" s="299">
        <v>0</v>
      </c>
    </row>
    <row r="160" spans="2:19" s="1428" customFormat="1" ht="15" customHeight="1">
      <c r="B160" s="349"/>
      <c r="C160" s="293"/>
      <c r="D160" s="293"/>
      <c r="F160" s="576" t="s">
        <v>498</v>
      </c>
      <c r="G160" s="297">
        <v>0</v>
      </c>
      <c r="H160" s="298">
        <v>0</v>
      </c>
      <c r="I160" s="298">
        <v>0</v>
      </c>
      <c r="J160" s="298">
        <v>0</v>
      </c>
      <c r="K160" s="298">
        <v>0</v>
      </c>
      <c r="L160" s="298">
        <v>0</v>
      </c>
      <c r="M160" s="298">
        <v>0</v>
      </c>
      <c r="N160" s="299">
        <v>0</v>
      </c>
      <c r="O160" s="460">
        <v>0</v>
      </c>
      <c r="P160" s="298">
        <v>0</v>
      </c>
      <c r="Q160" s="298">
        <v>0</v>
      </c>
      <c r="R160" s="298">
        <v>0</v>
      </c>
      <c r="S160" s="299">
        <v>0</v>
      </c>
    </row>
    <row r="161" spans="2:19" s="1428" customFormat="1" ht="15" customHeight="1">
      <c r="B161" s="349"/>
      <c r="C161" s="293"/>
      <c r="D161" s="293"/>
      <c r="F161" s="576" t="s">
        <v>498</v>
      </c>
      <c r="G161" s="297">
        <v>0</v>
      </c>
      <c r="H161" s="298">
        <v>0</v>
      </c>
      <c r="I161" s="298">
        <v>0</v>
      </c>
      <c r="J161" s="298">
        <v>0</v>
      </c>
      <c r="K161" s="298">
        <v>0</v>
      </c>
      <c r="L161" s="298">
        <v>0</v>
      </c>
      <c r="M161" s="298">
        <v>0</v>
      </c>
      <c r="N161" s="299">
        <v>0</v>
      </c>
      <c r="O161" s="460">
        <v>0</v>
      </c>
      <c r="P161" s="298">
        <v>0</v>
      </c>
      <c r="Q161" s="298">
        <v>0</v>
      </c>
      <c r="R161" s="298">
        <v>0</v>
      </c>
      <c r="S161" s="299">
        <v>0</v>
      </c>
    </row>
    <row r="162" spans="2:19" s="1428" customFormat="1" ht="15" customHeight="1">
      <c r="B162" s="349"/>
      <c r="C162" s="293"/>
      <c r="D162" s="293"/>
      <c r="F162" s="576" t="s">
        <v>498</v>
      </c>
      <c r="G162" s="297">
        <v>0</v>
      </c>
      <c r="H162" s="298">
        <v>0</v>
      </c>
      <c r="I162" s="298">
        <v>0</v>
      </c>
      <c r="J162" s="298">
        <v>0</v>
      </c>
      <c r="K162" s="298">
        <v>0</v>
      </c>
      <c r="L162" s="298">
        <v>0</v>
      </c>
      <c r="M162" s="298">
        <v>0</v>
      </c>
      <c r="N162" s="299">
        <v>0</v>
      </c>
      <c r="O162" s="460">
        <v>0</v>
      </c>
      <c r="P162" s="298">
        <v>0</v>
      </c>
      <c r="Q162" s="298">
        <v>0</v>
      </c>
      <c r="R162" s="298">
        <v>0</v>
      </c>
      <c r="S162" s="299">
        <v>0</v>
      </c>
    </row>
    <row r="163" spans="2:19" s="1428" customFormat="1" ht="15" customHeight="1">
      <c r="B163" s="349"/>
      <c r="C163" s="293"/>
      <c r="D163" s="293"/>
      <c r="F163" s="576" t="s">
        <v>498</v>
      </c>
      <c r="G163" s="297">
        <v>0</v>
      </c>
      <c r="H163" s="298">
        <v>0</v>
      </c>
      <c r="I163" s="298">
        <v>0</v>
      </c>
      <c r="J163" s="298">
        <v>0</v>
      </c>
      <c r="K163" s="298">
        <v>0</v>
      </c>
      <c r="L163" s="298">
        <v>0</v>
      </c>
      <c r="M163" s="298">
        <v>0</v>
      </c>
      <c r="N163" s="299">
        <v>0</v>
      </c>
      <c r="O163" s="460">
        <v>0</v>
      </c>
      <c r="P163" s="298">
        <v>0</v>
      </c>
      <c r="Q163" s="298">
        <v>0</v>
      </c>
      <c r="R163" s="298">
        <v>0</v>
      </c>
      <c r="S163" s="299">
        <v>0</v>
      </c>
    </row>
    <row r="164" spans="2:19" s="1428" customFormat="1" ht="15" customHeight="1">
      <c r="B164" s="349"/>
      <c r="C164" s="293"/>
      <c r="D164" s="293"/>
      <c r="F164" s="576" t="s">
        <v>498</v>
      </c>
      <c r="G164" s="297">
        <v>0</v>
      </c>
      <c r="H164" s="298">
        <v>0</v>
      </c>
      <c r="I164" s="298">
        <v>0</v>
      </c>
      <c r="J164" s="298">
        <v>0</v>
      </c>
      <c r="K164" s="298">
        <v>0</v>
      </c>
      <c r="L164" s="298">
        <v>0</v>
      </c>
      <c r="M164" s="298">
        <v>0</v>
      </c>
      <c r="N164" s="299">
        <v>0</v>
      </c>
      <c r="O164" s="460">
        <v>0</v>
      </c>
      <c r="P164" s="298">
        <v>0</v>
      </c>
      <c r="Q164" s="298">
        <v>0</v>
      </c>
      <c r="R164" s="298">
        <v>0</v>
      </c>
      <c r="S164" s="299">
        <v>0</v>
      </c>
    </row>
    <row r="165" spans="2:19" s="1428" customFormat="1" ht="15" customHeight="1">
      <c r="B165" s="349"/>
      <c r="C165" s="293"/>
      <c r="D165" s="293"/>
      <c r="F165" s="576" t="s">
        <v>498</v>
      </c>
      <c r="G165" s="297">
        <v>0</v>
      </c>
      <c r="H165" s="298">
        <v>0</v>
      </c>
      <c r="I165" s="298">
        <v>0</v>
      </c>
      <c r="J165" s="298">
        <v>0</v>
      </c>
      <c r="K165" s="298">
        <v>0</v>
      </c>
      <c r="L165" s="298">
        <v>0</v>
      </c>
      <c r="M165" s="298">
        <v>0</v>
      </c>
      <c r="N165" s="299">
        <v>0</v>
      </c>
      <c r="O165" s="460">
        <v>0</v>
      </c>
      <c r="P165" s="298">
        <v>0</v>
      </c>
      <c r="Q165" s="298">
        <v>0</v>
      </c>
      <c r="R165" s="298">
        <v>0</v>
      </c>
      <c r="S165" s="299">
        <v>0</v>
      </c>
    </row>
    <row r="166" spans="2:19" s="1428" customFormat="1" ht="15" customHeight="1">
      <c r="B166" s="349"/>
      <c r="C166" s="293"/>
      <c r="D166" s="293"/>
      <c r="F166" s="576" t="s">
        <v>498</v>
      </c>
      <c r="G166" s="297">
        <v>0</v>
      </c>
      <c r="H166" s="298">
        <v>0</v>
      </c>
      <c r="I166" s="298">
        <v>0</v>
      </c>
      <c r="J166" s="298">
        <v>0</v>
      </c>
      <c r="K166" s="298">
        <v>0</v>
      </c>
      <c r="L166" s="298">
        <v>0</v>
      </c>
      <c r="M166" s="298">
        <v>0</v>
      </c>
      <c r="N166" s="299">
        <v>0</v>
      </c>
      <c r="O166" s="460">
        <v>0</v>
      </c>
      <c r="P166" s="298">
        <v>0</v>
      </c>
      <c r="Q166" s="298">
        <v>0</v>
      </c>
      <c r="R166" s="298">
        <v>0</v>
      </c>
      <c r="S166" s="299">
        <v>0</v>
      </c>
    </row>
    <row r="167" spans="2:19" s="1428" customFormat="1" ht="15" customHeight="1">
      <c r="B167" s="349"/>
      <c r="C167" s="293"/>
      <c r="D167" s="293"/>
      <c r="F167" s="576" t="s">
        <v>498</v>
      </c>
      <c r="G167" s="297">
        <v>0</v>
      </c>
      <c r="H167" s="298">
        <v>0</v>
      </c>
      <c r="I167" s="298">
        <v>0</v>
      </c>
      <c r="J167" s="298">
        <v>0</v>
      </c>
      <c r="K167" s="298">
        <v>0</v>
      </c>
      <c r="L167" s="298">
        <v>0</v>
      </c>
      <c r="M167" s="298">
        <v>0</v>
      </c>
      <c r="N167" s="299">
        <v>0</v>
      </c>
      <c r="O167" s="460">
        <v>0</v>
      </c>
      <c r="P167" s="298">
        <v>0</v>
      </c>
      <c r="Q167" s="298">
        <v>0</v>
      </c>
      <c r="R167" s="298">
        <v>0</v>
      </c>
      <c r="S167" s="299">
        <v>0</v>
      </c>
    </row>
    <row r="168" spans="2:19" s="1428" customFormat="1" ht="15" customHeight="1">
      <c r="B168" s="349"/>
      <c r="C168" s="293"/>
      <c r="D168" s="293"/>
      <c r="F168" s="576" t="s">
        <v>498</v>
      </c>
      <c r="G168" s="297">
        <v>0</v>
      </c>
      <c r="H168" s="298">
        <v>0</v>
      </c>
      <c r="I168" s="298">
        <v>0</v>
      </c>
      <c r="J168" s="298">
        <v>0</v>
      </c>
      <c r="K168" s="298">
        <v>0</v>
      </c>
      <c r="L168" s="298">
        <v>0</v>
      </c>
      <c r="M168" s="298">
        <v>0</v>
      </c>
      <c r="N168" s="299">
        <v>0</v>
      </c>
      <c r="O168" s="460">
        <v>0</v>
      </c>
      <c r="P168" s="298">
        <v>0</v>
      </c>
      <c r="Q168" s="298">
        <v>0</v>
      </c>
      <c r="R168" s="298">
        <v>0</v>
      </c>
      <c r="S168" s="299">
        <v>0</v>
      </c>
    </row>
    <row r="169" spans="2:19" s="1428" customFormat="1" ht="15" customHeight="1">
      <c r="B169" s="349"/>
      <c r="C169" s="293"/>
      <c r="D169" s="293"/>
      <c r="F169" s="576" t="s">
        <v>498</v>
      </c>
      <c r="G169" s="297">
        <v>0</v>
      </c>
      <c r="H169" s="298">
        <v>0</v>
      </c>
      <c r="I169" s="298">
        <v>0</v>
      </c>
      <c r="J169" s="298">
        <v>0</v>
      </c>
      <c r="K169" s="298">
        <v>0</v>
      </c>
      <c r="L169" s="298">
        <v>0</v>
      </c>
      <c r="M169" s="298">
        <v>0</v>
      </c>
      <c r="N169" s="299">
        <v>0</v>
      </c>
      <c r="O169" s="460">
        <v>0</v>
      </c>
      <c r="P169" s="298">
        <v>0</v>
      </c>
      <c r="Q169" s="298">
        <v>0</v>
      </c>
      <c r="R169" s="298">
        <v>0</v>
      </c>
      <c r="S169" s="299">
        <v>0</v>
      </c>
    </row>
    <row r="170" spans="2:19" s="1428" customFormat="1" ht="15" customHeight="1">
      <c r="B170" s="349"/>
      <c r="C170" s="293"/>
      <c r="D170" s="293"/>
      <c r="F170" s="576" t="s">
        <v>498</v>
      </c>
      <c r="G170" s="297">
        <v>0</v>
      </c>
      <c r="H170" s="298">
        <v>0</v>
      </c>
      <c r="I170" s="298">
        <v>0</v>
      </c>
      <c r="J170" s="298">
        <v>0</v>
      </c>
      <c r="K170" s="298">
        <v>0</v>
      </c>
      <c r="L170" s="298">
        <v>0</v>
      </c>
      <c r="M170" s="298">
        <v>0</v>
      </c>
      <c r="N170" s="299">
        <v>0</v>
      </c>
      <c r="O170" s="460">
        <v>0</v>
      </c>
      <c r="P170" s="298">
        <v>0</v>
      </c>
      <c r="Q170" s="298">
        <v>0</v>
      </c>
      <c r="R170" s="298">
        <v>0</v>
      </c>
      <c r="S170" s="299">
        <v>0</v>
      </c>
    </row>
    <row r="171" spans="2:19" s="1428" customFormat="1" ht="15" customHeight="1">
      <c r="B171" s="349"/>
      <c r="C171" s="293"/>
      <c r="D171" s="293"/>
      <c r="F171" s="576" t="s">
        <v>498</v>
      </c>
      <c r="G171" s="297">
        <v>0</v>
      </c>
      <c r="H171" s="298">
        <v>0</v>
      </c>
      <c r="I171" s="298">
        <v>0</v>
      </c>
      <c r="J171" s="298">
        <v>0</v>
      </c>
      <c r="K171" s="298">
        <v>0</v>
      </c>
      <c r="L171" s="298">
        <v>0</v>
      </c>
      <c r="M171" s="298">
        <v>0</v>
      </c>
      <c r="N171" s="299">
        <v>0</v>
      </c>
      <c r="O171" s="460">
        <v>0</v>
      </c>
      <c r="P171" s="298">
        <v>0</v>
      </c>
      <c r="Q171" s="298">
        <v>0</v>
      </c>
      <c r="R171" s="298">
        <v>0</v>
      </c>
      <c r="S171" s="299">
        <v>0</v>
      </c>
    </row>
    <row r="172" spans="2:19" s="1428" customFormat="1" ht="15" customHeight="1">
      <c r="B172" s="349"/>
      <c r="C172" s="293"/>
      <c r="D172" s="293"/>
      <c r="F172" s="576" t="s">
        <v>498</v>
      </c>
      <c r="G172" s="297">
        <v>0</v>
      </c>
      <c r="H172" s="298">
        <v>0</v>
      </c>
      <c r="I172" s="298">
        <v>0</v>
      </c>
      <c r="J172" s="298">
        <v>0</v>
      </c>
      <c r="K172" s="298">
        <v>0</v>
      </c>
      <c r="L172" s="298">
        <v>0</v>
      </c>
      <c r="M172" s="298">
        <v>0</v>
      </c>
      <c r="N172" s="299">
        <v>0</v>
      </c>
      <c r="O172" s="460">
        <v>0</v>
      </c>
      <c r="P172" s="298">
        <v>0</v>
      </c>
      <c r="Q172" s="298">
        <v>0</v>
      </c>
      <c r="R172" s="298">
        <v>0</v>
      </c>
      <c r="S172" s="299">
        <v>0</v>
      </c>
    </row>
    <row r="173" spans="2:19" s="1428" customFormat="1" ht="15" customHeight="1">
      <c r="B173" s="349"/>
      <c r="C173" s="293"/>
      <c r="D173" s="293"/>
      <c r="F173" s="576" t="s">
        <v>498</v>
      </c>
      <c r="G173" s="297">
        <v>0</v>
      </c>
      <c r="H173" s="298">
        <v>0</v>
      </c>
      <c r="I173" s="298">
        <v>0</v>
      </c>
      <c r="J173" s="298">
        <v>0</v>
      </c>
      <c r="K173" s="298">
        <v>0</v>
      </c>
      <c r="L173" s="298">
        <v>0</v>
      </c>
      <c r="M173" s="298">
        <v>0</v>
      </c>
      <c r="N173" s="299">
        <v>0</v>
      </c>
      <c r="O173" s="460">
        <v>0</v>
      </c>
      <c r="P173" s="298">
        <v>0</v>
      </c>
      <c r="Q173" s="298">
        <v>0</v>
      </c>
      <c r="R173" s="298">
        <v>0</v>
      </c>
      <c r="S173" s="299">
        <v>0</v>
      </c>
    </row>
    <row r="174" spans="2:19" s="1428" customFormat="1" ht="15" customHeight="1">
      <c r="B174" s="349"/>
      <c r="C174" s="293"/>
      <c r="D174" s="293"/>
      <c r="F174" s="576" t="s">
        <v>498</v>
      </c>
      <c r="G174" s="297">
        <v>0</v>
      </c>
      <c r="H174" s="298">
        <v>0</v>
      </c>
      <c r="I174" s="298">
        <v>0</v>
      </c>
      <c r="J174" s="298">
        <v>0</v>
      </c>
      <c r="K174" s="298">
        <v>0</v>
      </c>
      <c r="L174" s="298">
        <v>0</v>
      </c>
      <c r="M174" s="298">
        <v>0</v>
      </c>
      <c r="N174" s="299">
        <v>0</v>
      </c>
      <c r="O174" s="460">
        <v>0</v>
      </c>
      <c r="P174" s="298">
        <v>0</v>
      </c>
      <c r="Q174" s="298">
        <v>0</v>
      </c>
      <c r="R174" s="298">
        <v>0</v>
      </c>
      <c r="S174" s="299">
        <v>0</v>
      </c>
    </row>
    <row r="175" spans="2:19" s="1428" customFormat="1" ht="15" customHeight="1" thickBot="1">
      <c r="B175" s="357" t="s">
        <v>1701</v>
      </c>
      <c r="C175" s="358"/>
      <c r="D175" s="1436"/>
      <c r="E175" s="1436"/>
      <c r="F175" s="581" t="s">
        <v>498</v>
      </c>
      <c r="G175" s="634">
        <f>SUM(G147:G174)</f>
        <v>0</v>
      </c>
      <c r="H175" s="635">
        <f t="shared" ref="H175:S175" si="4">SUM(H147:H174)</f>
        <v>0</v>
      </c>
      <c r="I175" s="635">
        <f t="shared" si="4"/>
        <v>0</v>
      </c>
      <c r="J175" s="635">
        <f t="shared" si="4"/>
        <v>0</v>
      </c>
      <c r="K175" s="635">
        <f t="shared" si="4"/>
        <v>0</v>
      </c>
      <c r="L175" s="635">
        <f t="shared" si="4"/>
        <v>0</v>
      </c>
      <c r="M175" s="635">
        <f t="shared" si="4"/>
        <v>0</v>
      </c>
      <c r="N175" s="636">
        <f t="shared" si="4"/>
        <v>0</v>
      </c>
      <c r="O175" s="999">
        <f t="shared" si="4"/>
        <v>0</v>
      </c>
      <c r="P175" s="635">
        <f t="shared" si="4"/>
        <v>0</v>
      </c>
      <c r="Q175" s="635">
        <f t="shared" si="4"/>
        <v>0</v>
      </c>
      <c r="R175" s="635">
        <f t="shared" si="4"/>
        <v>0</v>
      </c>
      <c r="S175" s="636">
        <f t="shared" si="4"/>
        <v>0</v>
      </c>
    </row>
    <row r="176" spans="2:19" s="1419" customFormat="1"/>
    <row r="177" s="1419" customFormat="1"/>
    <row r="178" s="1419" customFormat="1"/>
    <row r="179" s="1419" customFormat="1"/>
    <row r="180" s="1419" customFormat="1"/>
    <row r="181" s="1419" customFormat="1"/>
    <row r="182" s="1419" customFormat="1"/>
    <row r="183" s="1419" customFormat="1"/>
    <row r="184" s="1419" customFormat="1"/>
    <row r="185" s="1419" customFormat="1"/>
    <row r="186" s="1419" customFormat="1"/>
    <row r="187" s="1419" customFormat="1"/>
    <row r="188" s="1419" customFormat="1"/>
    <row r="189" s="1419" customFormat="1"/>
    <row r="190" s="1419" customFormat="1"/>
    <row r="191" s="1419" customFormat="1"/>
    <row r="192" s="1419" customFormat="1"/>
    <row r="193" s="1419" customFormat="1"/>
    <row r="194" s="1419" customFormat="1"/>
    <row r="195" s="1419" customFormat="1"/>
    <row r="196" s="1419" customFormat="1"/>
    <row r="197" s="1419" customFormat="1"/>
    <row r="198" s="1419" customFormat="1"/>
    <row r="199" s="1419" customFormat="1"/>
    <row r="200" s="1419" customFormat="1"/>
    <row r="201" s="1419" customFormat="1"/>
    <row r="202" s="1419" customFormat="1"/>
    <row r="203" s="1419" customFormat="1"/>
    <row r="204" s="1419" customFormat="1"/>
    <row r="205" s="1419" customFormat="1"/>
    <row r="206" s="1419" customFormat="1"/>
    <row r="207" s="1419" customFormat="1"/>
    <row r="208" s="1419" customFormat="1"/>
    <row r="209" s="1419" customFormat="1"/>
    <row r="210" s="1419" customFormat="1"/>
    <row r="211" s="1419" customFormat="1"/>
    <row r="212" s="1419" customFormat="1"/>
    <row r="213" s="1419" customFormat="1"/>
    <row r="214" s="1419" customFormat="1"/>
    <row r="215" s="1419" customFormat="1"/>
    <row r="216" s="1419" customFormat="1"/>
    <row r="217" s="1419" customFormat="1"/>
    <row r="218" s="1419" customFormat="1"/>
    <row r="219" s="1419" customFormat="1"/>
    <row r="220" s="1419" customFormat="1"/>
    <row r="221" s="1419" customFormat="1"/>
    <row r="222" s="1419" customFormat="1"/>
    <row r="223" s="1419" customFormat="1"/>
    <row r="224" s="1419" customFormat="1"/>
    <row r="225" s="1419" customFormat="1"/>
    <row r="226" s="1419" customFormat="1"/>
    <row r="227" s="1419" customFormat="1"/>
    <row r="228" s="1419" customFormat="1"/>
    <row r="229" s="1419" customFormat="1"/>
    <row r="230" s="1419" customFormat="1"/>
    <row r="231" s="1419" customFormat="1"/>
    <row r="232" s="1419" customFormat="1"/>
    <row r="233" s="1419" customFormat="1"/>
    <row r="234" s="1419" customFormat="1"/>
    <row r="235" s="1419" customFormat="1"/>
    <row r="236" s="1419" customFormat="1"/>
    <row r="237" s="1419" customFormat="1"/>
    <row r="238" s="1419" customFormat="1"/>
    <row r="239" s="1419" customFormat="1"/>
    <row r="240" s="1419" customFormat="1"/>
    <row r="241" s="1419" customFormat="1"/>
    <row r="242" s="1419" customFormat="1"/>
    <row r="243" s="1419" customFormat="1"/>
    <row r="244" s="1419" customFormat="1"/>
    <row r="245" s="1419" customFormat="1"/>
    <row r="246" s="1419" customFormat="1"/>
    <row r="247" s="1419" customFormat="1"/>
    <row r="248" s="1419" customFormat="1"/>
    <row r="249" s="1419" customFormat="1"/>
    <row r="250" s="1419" customFormat="1"/>
    <row r="251" s="1419" customFormat="1"/>
    <row r="252" s="1419" customFormat="1"/>
    <row r="253" s="1419" customFormat="1"/>
    <row r="254" s="1419" customFormat="1"/>
    <row r="255" s="1419" customFormat="1"/>
    <row r="256" s="1419" customFormat="1"/>
    <row r="257" s="1419" customFormat="1"/>
    <row r="258" s="1419" customFormat="1"/>
    <row r="259" s="1419" customFormat="1"/>
    <row r="260" s="1419" customFormat="1"/>
    <row r="261" s="1419" customFormat="1"/>
    <row r="262" s="1419" customFormat="1"/>
    <row r="263" s="1419" customFormat="1"/>
    <row r="264" s="1419" customFormat="1"/>
    <row r="265" s="1419" customFormat="1"/>
    <row r="266" s="1419" customFormat="1"/>
    <row r="267" s="1419" customFormat="1"/>
    <row r="268" s="1419" customFormat="1"/>
    <row r="269" s="1419" customFormat="1"/>
    <row r="270" s="1419" customFormat="1"/>
    <row r="271" s="1419" customFormat="1"/>
    <row r="272" s="1419" customFormat="1"/>
    <row r="273" s="1419" customFormat="1"/>
    <row r="274" s="1419" customFormat="1"/>
    <row r="275" s="1419" customFormat="1"/>
    <row r="276" s="1419" customFormat="1"/>
    <row r="277" s="1419" customFormat="1"/>
    <row r="278" s="1419" customFormat="1"/>
    <row r="279" s="1419" customFormat="1"/>
    <row r="280" s="1419" customFormat="1"/>
    <row r="281" s="1419" customFormat="1"/>
    <row r="282" s="1419" customFormat="1"/>
    <row r="283" s="1419" customFormat="1"/>
    <row r="284" s="1419" customFormat="1"/>
    <row r="285" s="1419" customFormat="1"/>
    <row r="286" s="1419" customFormat="1"/>
    <row r="287" s="1419" customFormat="1"/>
    <row r="288" s="1419" customFormat="1"/>
    <row r="289" s="1419" customFormat="1"/>
    <row r="290" s="1419" customFormat="1"/>
    <row r="291" s="1419" customFormat="1"/>
    <row r="292" s="1419" customFormat="1"/>
    <row r="293" s="1419" customFormat="1"/>
    <row r="294" s="1419" customFormat="1"/>
    <row r="295" s="1419" customFormat="1"/>
    <row r="296" s="1419" customFormat="1"/>
    <row r="297" s="1419" customFormat="1"/>
    <row r="298" s="1419" customFormat="1"/>
    <row r="299" s="1419" customFormat="1"/>
    <row r="300" s="1419" customFormat="1"/>
    <row r="301" s="1419" customFormat="1"/>
    <row r="302" s="1419" customFormat="1"/>
    <row r="303" s="1419" customFormat="1"/>
    <row r="304" s="1419" customFormat="1"/>
    <row r="305" s="1419" customFormat="1"/>
    <row r="306" s="1419" customFormat="1"/>
    <row r="307" s="1419" customFormat="1"/>
    <row r="308" s="1419" customFormat="1"/>
    <row r="309" s="1419" customFormat="1"/>
    <row r="310" s="1419" customFormat="1"/>
    <row r="311" s="1419" customFormat="1"/>
    <row r="312" s="1419" customFormat="1"/>
    <row r="313" s="1419" customFormat="1"/>
    <row r="314" s="1419" customFormat="1"/>
    <row r="315" s="1419" customFormat="1"/>
    <row r="316" s="1419" customFormat="1"/>
    <row r="317" s="1419" customFormat="1"/>
    <row r="318" s="1419" customFormat="1"/>
    <row r="319" s="1419" customFormat="1"/>
    <row r="320" s="1419" customFormat="1"/>
    <row r="321" s="1419" customFormat="1"/>
    <row r="322" s="1419" customFormat="1"/>
    <row r="323" s="1419" customFormat="1"/>
    <row r="324" s="1419" customFormat="1"/>
    <row r="325" s="1419" customFormat="1"/>
    <row r="326" s="1419" customFormat="1"/>
    <row r="327" s="1419" customFormat="1"/>
    <row r="328" s="1419" customFormat="1"/>
    <row r="329" s="1419" customFormat="1"/>
    <row r="330" s="1419" customFormat="1"/>
    <row r="331" s="1419" customFormat="1"/>
    <row r="332" s="1419" customFormat="1"/>
    <row r="333" s="1419" customFormat="1"/>
    <row r="334" s="1419" customFormat="1"/>
    <row r="335" s="1419" customFormat="1"/>
    <row r="336" s="1419" customFormat="1"/>
    <row r="337" s="1419" customFormat="1"/>
    <row r="338" s="1419" customFormat="1"/>
    <row r="339" s="1419" customFormat="1"/>
    <row r="340" s="1419" customFormat="1"/>
    <row r="341" s="1419" customFormat="1"/>
    <row r="342" s="1419" customFormat="1"/>
    <row r="343" s="1419" customFormat="1"/>
    <row r="344" s="1419" customFormat="1"/>
    <row r="345" s="1419" customFormat="1"/>
    <row r="346" s="1419" customFormat="1"/>
    <row r="347" s="1419" customFormat="1"/>
    <row r="348" s="1419" customFormat="1"/>
    <row r="349" s="1419" customFormat="1"/>
    <row r="350" s="1419" customFormat="1"/>
    <row r="351" s="1419" customFormat="1"/>
    <row r="352" s="1419" customFormat="1"/>
    <row r="353" s="1419" customFormat="1"/>
    <row r="354" s="1419" customFormat="1"/>
    <row r="355" s="1419" customFormat="1"/>
    <row r="356" s="1419" customFormat="1"/>
    <row r="357" s="1419" customFormat="1"/>
    <row r="358" s="1419" customFormat="1"/>
    <row r="359" s="1419" customFormat="1"/>
    <row r="360" s="1419" customFormat="1"/>
    <row r="361" s="1419" customFormat="1"/>
    <row r="362" s="1419" customFormat="1"/>
    <row r="363" s="1419" customFormat="1"/>
    <row r="364" s="1419" customFormat="1"/>
    <row r="365" s="1419" customFormat="1"/>
    <row r="366" s="1419" customFormat="1"/>
    <row r="367" s="1419" customFormat="1"/>
    <row r="368" s="1419" customFormat="1"/>
    <row r="369" s="1419" customFormat="1"/>
    <row r="370" s="1419" customFormat="1"/>
    <row r="371" s="1419" customFormat="1"/>
    <row r="372" s="1419" customFormat="1"/>
    <row r="373" s="1419" customFormat="1"/>
    <row r="374" s="1419" customFormat="1"/>
    <row r="375" s="1419" customFormat="1"/>
    <row r="376" s="1419" customFormat="1"/>
    <row r="377" s="1419" customFormat="1"/>
    <row r="378" s="1419" customFormat="1"/>
    <row r="379" s="1419" customFormat="1"/>
    <row r="380" s="1419" customFormat="1"/>
    <row r="381" s="1419" customFormat="1"/>
    <row r="382" s="1419" customFormat="1"/>
    <row r="383" s="1419" customFormat="1"/>
    <row r="384" s="1419" customFormat="1"/>
    <row r="385" s="1419" customFormat="1"/>
    <row r="386" s="1419" customFormat="1"/>
    <row r="387" s="1419" customFormat="1"/>
    <row r="388" s="1419" customFormat="1"/>
    <row r="389" s="1419" customFormat="1"/>
    <row r="390" s="1419" customFormat="1"/>
    <row r="391" s="1419" customFormat="1"/>
    <row r="392" s="1419" customFormat="1"/>
    <row r="393" s="1419" customFormat="1"/>
    <row r="394" s="1419" customFormat="1"/>
    <row r="395" s="1419" customFormat="1"/>
    <row r="396" s="1419" customFormat="1"/>
    <row r="397" s="1419" customFormat="1"/>
    <row r="398" s="1419" customFormat="1"/>
    <row r="399" s="1419" customFormat="1"/>
    <row r="400" s="1419" customFormat="1"/>
    <row r="401" s="1419" customFormat="1"/>
    <row r="402" s="1419" customFormat="1"/>
    <row r="403" s="1419" customFormat="1"/>
    <row r="404" s="1419" customFormat="1"/>
    <row r="405" s="1419" customFormat="1"/>
    <row r="406" s="1419" customFormat="1"/>
    <row r="407" s="1419" customFormat="1"/>
    <row r="408" s="1419" customFormat="1"/>
    <row r="409" s="1419" customFormat="1"/>
    <row r="410" s="1419" customFormat="1"/>
    <row r="411" s="1419" customFormat="1"/>
    <row r="412" s="1419" customFormat="1"/>
    <row r="413" s="1419" customFormat="1"/>
    <row r="414" s="1419" customFormat="1"/>
    <row r="415" s="1419" customFormat="1"/>
    <row r="416" s="1419" customFormat="1"/>
    <row r="417" s="1419" customFormat="1"/>
    <row r="418" s="1419" customFormat="1"/>
    <row r="419" s="1419" customFormat="1"/>
    <row r="420" s="1419" customFormat="1"/>
    <row r="421" s="1419" customFormat="1"/>
    <row r="422" s="1419" customFormat="1"/>
    <row r="423" s="1419" customFormat="1"/>
    <row r="424" s="1419" customFormat="1"/>
    <row r="425" s="1419" customFormat="1"/>
    <row r="426" s="1419" customFormat="1"/>
    <row r="427" s="1419" customFormat="1"/>
    <row r="428" s="1419" customFormat="1"/>
    <row r="429" s="1419" customFormat="1"/>
    <row r="430" s="1419" customFormat="1"/>
    <row r="431" s="1419" customFormat="1"/>
    <row r="432" s="1419" customFormat="1"/>
    <row r="433" s="1419" customFormat="1"/>
  </sheetData>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tabColor rgb="FF00B050"/>
  </sheetPr>
  <dimension ref="A1:BI91"/>
  <sheetViews>
    <sheetView showGridLines="0" zoomScale="80" zoomScaleNormal="80" workbookViewId="0">
      <pane xSplit="7" topLeftCell="H1" activePane="topRight" state="frozen"/>
      <selection activeCell="G14" sqref="G14"/>
      <selection pane="topRight" activeCell="L12" sqref="L12:Q12"/>
    </sheetView>
  </sheetViews>
  <sheetFormatPr defaultRowHeight="12.75"/>
  <cols>
    <col min="2" max="6" width="4.375" customWidth="1"/>
    <col min="7" max="7" width="37.625" customWidth="1"/>
    <col min="8" max="22" width="15.625" customWidth="1"/>
    <col min="23" max="23" width="4.375" customWidth="1"/>
    <col min="24" max="24" width="20.625" customWidth="1"/>
    <col min="25" max="27" width="15.625" customWidth="1"/>
    <col min="28" max="28" width="20.625" customWidth="1"/>
  </cols>
  <sheetData>
    <row r="1" spans="1:61" s="2" customFormat="1" ht="25.15" customHeight="1">
      <c r="A1" s="1" t="s">
        <v>0</v>
      </c>
      <c r="E1" s="3"/>
      <c r="G1" s="3"/>
    </row>
    <row r="2" spans="1:61" s="2" customFormat="1" ht="25.15" customHeight="1">
      <c r="A2" s="5" t="str">
        <f>Fixed_Data!I12</f>
        <v>MASTER</v>
      </c>
      <c r="B2" s="6"/>
      <c r="D2" s="7"/>
      <c r="E2" s="3"/>
    </row>
    <row r="3" spans="1:61" s="9" customFormat="1" ht="25.15" customHeight="1" thickBot="1">
      <c r="A3" s="8" t="str">
        <f>Fixed_Data!A3</f>
        <v>RIIO-GD2</v>
      </c>
      <c r="D3" s="10"/>
      <c r="E3" s="11"/>
    </row>
    <row r="4" spans="1:61" s="89" customFormat="1" ht="25.15" customHeight="1">
      <c r="B4" s="90" t="s">
        <v>3219</v>
      </c>
      <c r="C4" s="90"/>
      <c r="D4" s="90"/>
      <c r="E4" s="90"/>
      <c r="F4" s="93"/>
      <c r="G4" s="94"/>
      <c r="H4" s="94"/>
      <c r="I4" s="94"/>
      <c r="J4" s="94"/>
      <c r="K4" s="94"/>
      <c r="L4" s="94"/>
      <c r="M4" s="94"/>
      <c r="N4" s="94"/>
      <c r="O4" s="92"/>
      <c r="P4" s="92"/>
      <c r="Q4" s="92"/>
      <c r="R4" s="92"/>
      <c r="S4" s="92"/>
      <c r="T4" s="92"/>
      <c r="U4" s="92"/>
      <c r="V4" s="92"/>
      <c r="W4" s="92"/>
      <c r="X4" s="92"/>
      <c r="Y4" s="94"/>
      <c r="Z4" s="94"/>
      <c r="AA4" s="92"/>
      <c r="AB4" s="93"/>
      <c r="AC4" s="94"/>
      <c r="AD4" s="94"/>
      <c r="AE4" s="94"/>
      <c r="AF4" s="92"/>
      <c r="AG4" s="93"/>
      <c r="AH4" s="94"/>
      <c r="AI4" s="94"/>
      <c r="AJ4" s="94"/>
      <c r="AK4" s="94"/>
      <c r="AL4" s="94"/>
      <c r="AM4" s="94"/>
      <c r="AN4" s="92"/>
      <c r="AO4" s="92"/>
      <c r="AP4" s="92"/>
      <c r="AQ4" s="92"/>
      <c r="AR4" s="94"/>
      <c r="AS4" s="92"/>
      <c r="AT4" s="92"/>
      <c r="AU4" s="92"/>
      <c r="AV4" s="92"/>
      <c r="AW4" s="92"/>
      <c r="AX4" s="92"/>
      <c r="AY4" s="92"/>
      <c r="AZ4" s="92"/>
      <c r="BA4" s="92"/>
      <c r="BB4" s="92"/>
      <c r="BC4" s="94"/>
      <c r="BD4" s="92"/>
      <c r="BE4" s="92"/>
      <c r="BF4" s="92"/>
      <c r="BG4" s="92"/>
      <c r="BH4" s="92"/>
      <c r="BI4" s="92"/>
    </row>
    <row r="5" spans="1:61" s="89" customFormat="1" ht="25.15" customHeight="1">
      <c r="B5" s="95" t="s">
        <v>1663</v>
      </c>
      <c r="E5" s="95" t="s">
        <v>463</v>
      </c>
      <c r="F5" s="93"/>
      <c r="G5" s="94"/>
      <c r="H5" s="94"/>
      <c r="I5" s="94"/>
      <c r="J5" s="94"/>
      <c r="K5" s="94"/>
      <c r="L5" s="94"/>
      <c r="M5" s="94"/>
      <c r="N5" s="94"/>
      <c r="O5" s="92"/>
      <c r="P5" s="92"/>
      <c r="Q5" s="92"/>
      <c r="R5" s="92"/>
      <c r="S5" s="92"/>
      <c r="T5" s="92"/>
      <c r="U5" s="92"/>
      <c r="V5" s="92"/>
      <c r="W5" s="92"/>
      <c r="X5" s="92"/>
      <c r="Y5" s="94"/>
      <c r="Z5" s="94"/>
      <c r="AA5" s="92"/>
      <c r="AB5" s="93"/>
      <c r="AC5" s="94"/>
      <c r="AD5" s="94"/>
      <c r="AE5" s="94"/>
      <c r="AF5" s="92"/>
      <c r="AG5" s="93"/>
      <c r="AH5" s="94"/>
      <c r="AI5" s="94"/>
      <c r="AJ5" s="94"/>
      <c r="AK5" s="94"/>
      <c r="AL5" s="94"/>
      <c r="AM5" s="94"/>
      <c r="AN5" s="92"/>
      <c r="AO5" s="92"/>
      <c r="AP5" s="92"/>
      <c r="AQ5" s="92"/>
      <c r="AR5" s="94"/>
      <c r="AS5" s="92"/>
      <c r="AT5" s="92"/>
      <c r="AU5" s="92"/>
      <c r="AV5" s="92"/>
      <c r="AW5" s="92"/>
      <c r="AX5" s="92"/>
      <c r="AY5" s="92"/>
      <c r="AZ5" s="92"/>
      <c r="BA5" s="92"/>
      <c r="BB5" s="92"/>
      <c r="BC5" s="94"/>
      <c r="BD5" s="92"/>
      <c r="BE5" s="92"/>
      <c r="BF5" s="92"/>
      <c r="BG5" s="92"/>
      <c r="BH5" s="92"/>
      <c r="BI5" s="92"/>
    </row>
    <row r="7" spans="1:61" ht="13.5" thickBot="1"/>
    <row r="8" spans="1:61" ht="30" customHeight="1" thickBot="1">
      <c r="B8" s="621" t="s">
        <v>3220</v>
      </c>
      <c r="C8" s="102"/>
      <c r="D8" s="102"/>
      <c r="E8" s="102"/>
      <c r="F8" s="102"/>
      <c r="G8" s="103"/>
      <c r="H8" s="103"/>
      <c r="I8" s="105" t="s">
        <v>1704</v>
      </c>
      <c r="J8" s="106"/>
      <c r="K8" s="106"/>
      <c r="L8" s="106"/>
      <c r="M8" s="106"/>
      <c r="N8" s="106"/>
      <c r="O8" s="106"/>
      <c r="P8" s="106"/>
      <c r="Q8" s="106"/>
      <c r="R8" s="105"/>
      <c r="S8" s="105"/>
      <c r="T8" s="105"/>
      <c r="U8" s="105"/>
      <c r="V8" s="187"/>
      <c r="W8" s="1413"/>
      <c r="X8" s="106" t="s">
        <v>3221</v>
      </c>
      <c r="Y8" s="106"/>
      <c r="Z8" s="106"/>
      <c r="AA8" s="106"/>
      <c r="AB8" s="107"/>
      <c r="AC8" s="1428"/>
      <c r="AD8" s="1428"/>
      <c r="AE8" s="1428"/>
      <c r="AF8" s="1428"/>
      <c r="AG8" s="1428"/>
      <c r="AH8" s="1428"/>
      <c r="AI8" s="1428"/>
      <c r="AJ8" s="1428"/>
      <c r="AK8" s="1428"/>
    </row>
    <row r="9" spans="1:61" ht="30" customHeight="1">
      <c r="B9" s="109"/>
      <c r="C9" s="110"/>
      <c r="D9" s="110"/>
      <c r="E9" s="110"/>
      <c r="F9" s="110"/>
      <c r="G9" s="111"/>
      <c r="H9" s="111"/>
      <c r="I9" s="117"/>
      <c r="J9" s="695" t="s">
        <v>1666</v>
      </c>
      <c r="K9" s="152"/>
      <c r="L9" s="152"/>
      <c r="M9" s="152"/>
      <c r="N9" s="152"/>
      <c r="O9" s="152"/>
      <c r="P9" s="152"/>
      <c r="Q9" s="153"/>
      <c r="R9" s="696" t="s">
        <v>2</v>
      </c>
      <c r="S9" s="155"/>
      <c r="T9" s="155"/>
      <c r="U9" s="155"/>
      <c r="V9" s="156"/>
      <c r="W9" s="1405"/>
      <c r="X9" s="1444" t="s">
        <v>3222</v>
      </c>
      <c r="Y9" s="1444" t="s">
        <v>3223</v>
      </c>
      <c r="Z9" s="1444" t="s">
        <v>3224</v>
      </c>
      <c r="AA9" s="1444" t="s">
        <v>3225</v>
      </c>
      <c r="AB9" s="1446" t="s">
        <v>3226</v>
      </c>
      <c r="AC9" s="1428"/>
      <c r="AD9" s="1428"/>
      <c r="AE9" s="1428"/>
      <c r="AF9" s="1428"/>
      <c r="AG9" s="1428"/>
      <c r="AH9" s="1428"/>
      <c r="AI9" s="1428"/>
      <c r="AJ9" s="1428"/>
      <c r="AK9" s="1428"/>
    </row>
    <row r="10" spans="1:61" ht="15.75">
      <c r="B10" s="115"/>
      <c r="C10" s="180" t="s">
        <v>3227</v>
      </c>
      <c r="D10" s="180"/>
      <c r="E10" s="116"/>
      <c r="F10" s="116"/>
      <c r="G10" s="117"/>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405"/>
      <c r="X10" s="1405"/>
      <c r="Y10" s="1405"/>
      <c r="Z10" s="1405"/>
      <c r="AA10" s="1405"/>
      <c r="AB10" s="1412"/>
    </row>
    <row r="11" spans="1:61" ht="15.75">
      <c r="B11" s="161"/>
      <c r="C11" s="185"/>
      <c r="D11" s="180" t="s">
        <v>3228</v>
      </c>
      <c r="E11" s="162"/>
      <c r="F11" s="162"/>
      <c r="G11" s="163"/>
      <c r="H11" s="163"/>
      <c r="I11" s="117"/>
      <c r="J11" s="159"/>
      <c r="K11" s="117"/>
      <c r="L11" s="117"/>
      <c r="M11" s="117"/>
      <c r="N11" s="117"/>
      <c r="O11" s="117"/>
      <c r="P11" s="117"/>
      <c r="Q11" s="160"/>
      <c r="R11" s="159"/>
      <c r="S11" s="117"/>
      <c r="T11" s="117"/>
      <c r="U11" s="117"/>
      <c r="V11" s="160"/>
      <c r="W11" s="1405"/>
      <c r="X11" s="1405"/>
      <c r="Y11" s="1405"/>
      <c r="Z11" s="1405"/>
      <c r="AA11" s="1405"/>
      <c r="AB11" s="1412"/>
    </row>
    <row r="12" spans="1:61" ht="14.25">
      <c r="B12" s="161"/>
      <c r="C12" s="1405"/>
      <c r="D12" s="1405"/>
      <c r="E12" s="162" t="s">
        <v>85</v>
      </c>
      <c r="F12" s="162"/>
      <c r="G12" s="720" t="s">
        <v>3653</v>
      </c>
      <c r="H12" s="163"/>
      <c r="I12" s="164" t="s">
        <v>498</v>
      </c>
      <c r="J12" s="143">
        <v>0</v>
      </c>
      <c r="K12" s="141">
        <v>0</v>
      </c>
      <c r="L12" s="141">
        <v>1.6683334249085587E-2</v>
      </c>
      <c r="M12" s="141">
        <v>1.9368994944149252E-2</v>
      </c>
      <c r="N12" s="141">
        <v>0.31079087526346799</v>
      </c>
      <c r="O12" s="141">
        <v>2.94728E-2</v>
      </c>
      <c r="P12" s="141">
        <v>5.1357715800000001</v>
      </c>
      <c r="Q12" s="144">
        <v>0.98880000000000001</v>
      </c>
      <c r="R12" s="143">
        <v>0</v>
      </c>
      <c r="S12" s="141">
        <v>0</v>
      </c>
      <c r="T12" s="141">
        <v>0</v>
      </c>
      <c r="U12" s="141">
        <v>0</v>
      </c>
      <c r="V12" s="144">
        <v>0</v>
      </c>
      <c r="W12" s="1405"/>
      <c r="X12" s="166"/>
      <c r="Y12" s="1445"/>
      <c r="Z12" s="1445"/>
      <c r="AA12" s="1085">
        <f>Z12-Y12</f>
        <v>0</v>
      </c>
      <c r="AB12" s="167"/>
    </row>
    <row r="13" spans="1:61" ht="14.25">
      <c r="B13" s="161"/>
      <c r="C13" s="185"/>
      <c r="D13" s="185"/>
      <c r="E13" s="162" t="s">
        <v>85</v>
      </c>
      <c r="F13" s="162"/>
      <c r="G13" s="720"/>
      <c r="H13" s="163"/>
      <c r="I13" s="164" t="s">
        <v>498</v>
      </c>
      <c r="J13" s="143">
        <v>0</v>
      </c>
      <c r="K13" s="141">
        <v>0</v>
      </c>
      <c r="L13" s="141">
        <v>0</v>
      </c>
      <c r="M13" s="141">
        <v>0</v>
      </c>
      <c r="N13" s="141">
        <v>0</v>
      </c>
      <c r="O13" s="141">
        <v>0</v>
      </c>
      <c r="P13" s="141">
        <v>0</v>
      </c>
      <c r="Q13" s="144">
        <v>0</v>
      </c>
      <c r="R13" s="143">
        <v>0</v>
      </c>
      <c r="S13" s="141">
        <v>0</v>
      </c>
      <c r="T13" s="141">
        <v>0</v>
      </c>
      <c r="U13" s="141">
        <v>0</v>
      </c>
      <c r="V13" s="144">
        <v>0</v>
      </c>
      <c r="W13" s="1405"/>
      <c r="X13" s="166"/>
      <c r="Y13" s="1445"/>
      <c r="Z13" s="1445"/>
      <c r="AA13" s="1085">
        <f t="shared" ref="AA13:AA76" si="0">Z13-Y13</f>
        <v>0</v>
      </c>
      <c r="AB13" s="167"/>
    </row>
    <row r="14" spans="1:61" ht="14.25">
      <c r="B14" s="161"/>
      <c r="C14" s="185"/>
      <c r="D14" s="185"/>
      <c r="E14" s="162" t="s">
        <v>85</v>
      </c>
      <c r="F14" s="162"/>
      <c r="G14" s="720"/>
      <c r="H14" s="163"/>
      <c r="I14" s="164" t="s">
        <v>498</v>
      </c>
      <c r="J14" s="143">
        <v>0</v>
      </c>
      <c r="K14" s="141">
        <v>0</v>
      </c>
      <c r="L14" s="141">
        <v>0</v>
      </c>
      <c r="M14" s="141">
        <v>0</v>
      </c>
      <c r="N14" s="141">
        <v>0</v>
      </c>
      <c r="O14" s="141">
        <v>0</v>
      </c>
      <c r="P14" s="141">
        <v>0</v>
      </c>
      <c r="Q14" s="144">
        <v>0</v>
      </c>
      <c r="R14" s="143">
        <v>0</v>
      </c>
      <c r="S14" s="141">
        <v>0</v>
      </c>
      <c r="T14" s="141">
        <v>0</v>
      </c>
      <c r="U14" s="141">
        <v>0</v>
      </c>
      <c r="V14" s="144">
        <v>0</v>
      </c>
      <c r="W14" s="1405"/>
      <c r="X14" s="166"/>
      <c r="Y14" s="1445"/>
      <c r="Z14" s="1445"/>
      <c r="AA14" s="1085">
        <f t="shared" si="0"/>
        <v>0</v>
      </c>
      <c r="AB14" s="167"/>
    </row>
    <row r="15" spans="1:61" ht="14.25">
      <c r="B15" s="161"/>
      <c r="C15" s="185"/>
      <c r="D15" s="185"/>
      <c r="E15" s="162" t="s">
        <v>85</v>
      </c>
      <c r="F15" s="162"/>
      <c r="G15" s="720"/>
      <c r="H15" s="163"/>
      <c r="I15" s="164" t="s">
        <v>498</v>
      </c>
      <c r="J15" s="143">
        <v>0</v>
      </c>
      <c r="K15" s="141">
        <v>0</v>
      </c>
      <c r="L15" s="141">
        <v>0</v>
      </c>
      <c r="M15" s="141">
        <v>0</v>
      </c>
      <c r="N15" s="141">
        <v>0</v>
      </c>
      <c r="O15" s="141">
        <v>0</v>
      </c>
      <c r="P15" s="141">
        <v>0</v>
      </c>
      <c r="Q15" s="144">
        <v>0</v>
      </c>
      <c r="R15" s="143">
        <v>0</v>
      </c>
      <c r="S15" s="141">
        <v>0</v>
      </c>
      <c r="T15" s="141">
        <v>0</v>
      </c>
      <c r="U15" s="141">
        <v>0</v>
      </c>
      <c r="V15" s="144">
        <v>0</v>
      </c>
      <c r="W15" s="1405"/>
      <c r="X15" s="166"/>
      <c r="Y15" s="1445"/>
      <c r="Z15" s="1445"/>
      <c r="AA15" s="1085">
        <f t="shared" si="0"/>
        <v>0</v>
      </c>
      <c r="AB15" s="167"/>
    </row>
    <row r="16" spans="1:61" ht="14.25">
      <c r="B16" s="161"/>
      <c r="C16" s="185"/>
      <c r="D16" s="185"/>
      <c r="E16" s="162" t="s">
        <v>85</v>
      </c>
      <c r="F16" s="162"/>
      <c r="G16" s="720"/>
      <c r="H16" s="163"/>
      <c r="I16" s="164" t="s">
        <v>498</v>
      </c>
      <c r="J16" s="143">
        <v>0</v>
      </c>
      <c r="K16" s="141">
        <v>0</v>
      </c>
      <c r="L16" s="141">
        <v>0</v>
      </c>
      <c r="M16" s="141">
        <v>0</v>
      </c>
      <c r="N16" s="141">
        <v>0</v>
      </c>
      <c r="O16" s="141">
        <v>0</v>
      </c>
      <c r="P16" s="141">
        <v>0</v>
      </c>
      <c r="Q16" s="144">
        <v>0</v>
      </c>
      <c r="R16" s="143">
        <v>0</v>
      </c>
      <c r="S16" s="141">
        <v>0</v>
      </c>
      <c r="T16" s="141">
        <v>0</v>
      </c>
      <c r="U16" s="141">
        <v>0</v>
      </c>
      <c r="V16" s="144">
        <v>0</v>
      </c>
      <c r="W16" s="1405"/>
      <c r="X16" s="166"/>
      <c r="Y16" s="1445"/>
      <c r="Z16" s="1445"/>
      <c r="AA16" s="1085">
        <f t="shared" si="0"/>
        <v>0</v>
      </c>
      <c r="AB16" s="167"/>
    </row>
    <row r="17" spans="2:28" ht="14.25">
      <c r="B17" s="161"/>
      <c r="C17" s="185"/>
      <c r="D17" s="185"/>
      <c r="E17" s="162" t="s">
        <v>85</v>
      </c>
      <c r="F17" s="162"/>
      <c r="G17" s="720"/>
      <c r="H17" s="163"/>
      <c r="I17" s="164" t="s">
        <v>498</v>
      </c>
      <c r="J17" s="143">
        <v>0</v>
      </c>
      <c r="K17" s="141">
        <v>0</v>
      </c>
      <c r="L17" s="141">
        <v>0</v>
      </c>
      <c r="M17" s="141">
        <v>0</v>
      </c>
      <c r="N17" s="141">
        <v>0</v>
      </c>
      <c r="O17" s="141">
        <v>0</v>
      </c>
      <c r="P17" s="141">
        <v>0</v>
      </c>
      <c r="Q17" s="144">
        <v>0</v>
      </c>
      <c r="R17" s="143">
        <v>0</v>
      </c>
      <c r="S17" s="141">
        <v>0</v>
      </c>
      <c r="T17" s="141">
        <v>0</v>
      </c>
      <c r="U17" s="141">
        <v>0</v>
      </c>
      <c r="V17" s="144">
        <v>0</v>
      </c>
      <c r="W17" s="1405"/>
      <c r="X17" s="166"/>
      <c r="Y17" s="1445"/>
      <c r="Z17" s="1445"/>
      <c r="AA17" s="1085">
        <f t="shared" si="0"/>
        <v>0</v>
      </c>
      <c r="AB17" s="167"/>
    </row>
    <row r="18" spans="2:28" ht="14.25">
      <c r="B18" s="161"/>
      <c r="C18" s="185"/>
      <c r="D18" s="185"/>
      <c r="E18" s="162" t="s">
        <v>85</v>
      </c>
      <c r="F18" s="162"/>
      <c r="G18" s="720"/>
      <c r="H18" s="163"/>
      <c r="I18" s="164" t="s">
        <v>498</v>
      </c>
      <c r="J18" s="143">
        <v>0</v>
      </c>
      <c r="K18" s="141">
        <v>0</v>
      </c>
      <c r="L18" s="141">
        <v>0</v>
      </c>
      <c r="M18" s="141">
        <v>0</v>
      </c>
      <c r="N18" s="141">
        <v>0</v>
      </c>
      <c r="O18" s="141">
        <v>0</v>
      </c>
      <c r="P18" s="141">
        <v>0</v>
      </c>
      <c r="Q18" s="144">
        <v>0</v>
      </c>
      <c r="R18" s="143">
        <v>0</v>
      </c>
      <c r="S18" s="141">
        <v>0</v>
      </c>
      <c r="T18" s="141">
        <v>0</v>
      </c>
      <c r="U18" s="141">
        <v>0</v>
      </c>
      <c r="V18" s="144">
        <v>0</v>
      </c>
      <c r="W18" s="1405"/>
      <c r="X18" s="166"/>
      <c r="Y18" s="1445"/>
      <c r="Z18" s="1445"/>
      <c r="AA18" s="1085">
        <f t="shared" si="0"/>
        <v>0</v>
      </c>
      <c r="AB18" s="167"/>
    </row>
    <row r="19" spans="2:28" ht="14.25">
      <c r="B19" s="161"/>
      <c r="C19" s="185"/>
      <c r="D19" s="185"/>
      <c r="E19" s="162" t="s">
        <v>85</v>
      </c>
      <c r="F19" s="162"/>
      <c r="G19" s="720"/>
      <c r="H19" s="163"/>
      <c r="I19" s="164" t="s">
        <v>498</v>
      </c>
      <c r="J19" s="143">
        <v>0</v>
      </c>
      <c r="K19" s="141">
        <v>0</v>
      </c>
      <c r="L19" s="141">
        <v>0</v>
      </c>
      <c r="M19" s="141">
        <v>0</v>
      </c>
      <c r="N19" s="141">
        <v>0</v>
      </c>
      <c r="O19" s="141">
        <v>0</v>
      </c>
      <c r="P19" s="141">
        <v>0</v>
      </c>
      <c r="Q19" s="144">
        <v>0</v>
      </c>
      <c r="R19" s="143">
        <v>0</v>
      </c>
      <c r="S19" s="141">
        <v>0</v>
      </c>
      <c r="T19" s="141">
        <v>0</v>
      </c>
      <c r="U19" s="141">
        <v>0</v>
      </c>
      <c r="V19" s="144">
        <v>0</v>
      </c>
      <c r="W19" s="1405"/>
      <c r="X19" s="166"/>
      <c r="Y19" s="1445"/>
      <c r="Z19" s="1445"/>
      <c r="AA19" s="1085">
        <f t="shared" si="0"/>
        <v>0</v>
      </c>
      <c r="AB19" s="167"/>
    </row>
    <row r="20" spans="2:28" ht="14.25">
      <c r="B20" s="181"/>
      <c r="C20" s="185"/>
      <c r="D20" s="182"/>
      <c r="E20" s="162" t="s">
        <v>85</v>
      </c>
      <c r="F20" s="162"/>
      <c r="G20" s="720"/>
      <c r="H20" s="184"/>
      <c r="I20" s="164" t="s">
        <v>498</v>
      </c>
      <c r="J20" s="143">
        <v>0</v>
      </c>
      <c r="K20" s="141">
        <v>0</v>
      </c>
      <c r="L20" s="141">
        <v>0</v>
      </c>
      <c r="M20" s="141">
        <v>0</v>
      </c>
      <c r="N20" s="141">
        <v>0</v>
      </c>
      <c r="O20" s="141">
        <v>0</v>
      </c>
      <c r="P20" s="141">
        <v>0</v>
      </c>
      <c r="Q20" s="144">
        <v>0</v>
      </c>
      <c r="R20" s="143">
        <v>0</v>
      </c>
      <c r="S20" s="141">
        <v>0</v>
      </c>
      <c r="T20" s="141">
        <v>0</v>
      </c>
      <c r="U20" s="141">
        <v>0</v>
      </c>
      <c r="V20" s="144">
        <v>0</v>
      </c>
      <c r="W20" s="1405"/>
      <c r="X20" s="166"/>
      <c r="Y20" s="1445"/>
      <c r="Z20" s="1445"/>
      <c r="AA20" s="1085">
        <f t="shared" si="0"/>
        <v>0</v>
      </c>
      <c r="AB20" s="167"/>
    </row>
    <row r="21" spans="2:28" ht="14.25">
      <c r="B21" s="1409"/>
      <c r="C21" s="1405"/>
      <c r="D21" s="1405"/>
      <c r="E21" s="162" t="s">
        <v>85</v>
      </c>
      <c r="F21" s="162"/>
      <c r="G21" s="720"/>
      <c r="H21" s="1405"/>
      <c r="I21" s="164" t="s">
        <v>498</v>
      </c>
      <c r="J21" s="143">
        <v>0</v>
      </c>
      <c r="K21" s="141">
        <v>0</v>
      </c>
      <c r="L21" s="141">
        <v>0</v>
      </c>
      <c r="M21" s="141">
        <v>0</v>
      </c>
      <c r="N21" s="141">
        <v>0</v>
      </c>
      <c r="O21" s="141">
        <v>0</v>
      </c>
      <c r="P21" s="141">
        <v>0</v>
      </c>
      <c r="Q21" s="144">
        <v>0</v>
      </c>
      <c r="R21" s="143">
        <v>0</v>
      </c>
      <c r="S21" s="141">
        <v>0</v>
      </c>
      <c r="T21" s="141">
        <v>0</v>
      </c>
      <c r="U21" s="141">
        <v>0</v>
      </c>
      <c r="V21" s="144">
        <v>0</v>
      </c>
      <c r="W21" s="1405"/>
      <c r="X21" s="166"/>
      <c r="Y21" s="1445"/>
      <c r="Z21" s="1445"/>
      <c r="AA21" s="1085">
        <f t="shared" si="0"/>
        <v>0</v>
      </c>
      <c r="AB21" s="167"/>
    </row>
    <row r="22" spans="2:28" ht="14.25">
      <c r="B22" s="1409"/>
      <c r="C22" s="1405"/>
      <c r="D22" s="1405"/>
      <c r="E22" s="162" t="s">
        <v>85</v>
      </c>
      <c r="F22" s="162"/>
      <c r="G22" s="720"/>
      <c r="H22" s="1405"/>
      <c r="I22" s="164" t="s">
        <v>498</v>
      </c>
      <c r="J22" s="143">
        <v>0</v>
      </c>
      <c r="K22" s="141">
        <v>0</v>
      </c>
      <c r="L22" s="141">
        <v>0</v>
      </c>
      <c r="M22" s="141">
        <v>0</v>
      </c>
      <c r="N22" s="141">
        <v>0</v>
      </c>
      <c r="O22" s="141">
        <v>0</v>
      </c>
      <c r="P22" s="141">
        <v>0</v>
      </c>
      <c r="Q22" s="144">
        <v>0</v>
      </c>
      <c r="R22" s="143">
        <v>0</v>
      </c>
      <c r="S22" s="141">
        <v>0</v>
      </c>
      <c r="T22" s="141">
        <v>0</v>
      </c>
      <c r="U22" s="141">
        <v>0</v>
      </c>
      <c r="V22" s="144">
        <v>0</v>
      </c>
      <c r="W22" s="1405"/>
      <c r="X22" s="166"/>
      <c r="Y22" s="1445"/>
      <c r="Z22" s="1445"/>
      <c r="AA22" s="1085">
        <f t="shared" si="0"/>
        <v>0</v>
      </c>
      <c r="AB22" s="167"/>
    </row>
    <row r="23" spans="2:28" ht="14.25">
      <c r="B23" s="1409"/>
      <c r="C23" s="1405"/>
      <c r="D23" s="1405"/>
      <c r="E23" s="162" t="s">
        <v>85</v>
      </c>
      <c r="F23" s="162"/>
      <c r="G23" s="720"/>
      <c r="H23" s="1405"/>
      <c r="I23" s="164" t="s">
        <v>498</v>
      </c>
      <c r="J23" s="143">
        <v>0</v>
      </c>
      <c r="K23" s="141">
        <v>0</v>
      </c>
      <c r="L23" s="141">
        <v>0</v>
      </c>
      <c r="M23" s="141">
        <v>0</v>
      </c>
      <c r="N23" s="141">
        <v>0</v>
      </c>
      <c r="O23" s="141">
        <v>0</v>
      </c>
      <c r="P23" s="141">
        <v>0</v>
      </c>
      <c r="Q23" s="144">
        <v>0</v>
      </c>
      <c r="R23" s="143">
        <v>0</v>
      </c>
      <c r="S23" s="141">
        <v>0</v>
      </c>
      <c r="T23" s="141">
        <v>0</v>
      </c>
      <c r="U23" s="141">
        <v>0</v>
      </c>
      <c r="V23" s="144">
        <v>0</v>
      </c>
      <c r="W23" s="1405"/>
      <c r="X23" s="166"/>
      <c r="Y23" s="1445"/>
      <c r="Z23" s="1445"/>
      <c r="AA23" s="1085">
        <f t="shared" si="0"/>
        <v>0</v>
      </c>
      <c r="AB23" s="167"/>
    </row>
    <row r="24" spans="2:28" ht="14.25">
      <c r="B24" s="1409"/>
      <c r="C24" s="1405"/>
      <c r="D24" s="1405"/>
      <c r="E24" s="162" t="s">
        <v>85</v>
      </c>
      <c r="F24" s="162"/>
      <c r="G24" s="720"/>
      <c r="H24" s="1405"/>
      <c r="I24" s="164" t="s">
        <v>498</v>
      </c>
      <c r="J24" s="143">
        <v>0</v>
      </c>
      <c r="K24" s="141">
        <v>0</v>
      </c>
      <c r="L24" s="141">
        <v>0</v>
      </c>
      <c r="M24" s="141">
        <v>0</v>
      </c>
      <c r="N24" s="141">
        <v>0</v>
      </c>
      <c r="O24" s="141">
        <v>0</v>
      </c>
      <c r="P24" s="141">
        <v>0</v>
      </c>
      <c r="Q24" s="144">
        <v>0</v>
      </c>
      <c r="R24" s="143">
        <v>0</v>
      </c>
      <c r="S24" s="141">
        <v>0</v>
      </c>
      <c r="T24" s="141">
        <v>0</v>
      </c>
      <c r="U24" s="141">
        <v>0</v>
      </c>
      <c r="V24" s="144">
        <v>0</v>
      </c>
      <c r="W24" s="1405"/>
      <c r="X24" s="166"/>
      <c r="Y24" s="1445"/>
      <c r="Z24" s="1445"/>
      <c r="AA24" s="1085">
        <f t="shared" si="0"/>
        <v>0</v>
      </c>
      <c r="AB24" s="167"/>
    </row>
    <row r="25" spans="2:28" ht="14.25">
      <c r="B25" s="1409"/>
      <c r="C25" s="1405"/>
      <c r="D25" s="1405"/>
      <c r="E25" s="162" t="s">
        <v>85</v>
      </c>
      <c r="F25" s="162"/>
      <c r="G25" s="720"/>
      <c r="H25" s="1405"/>
      <c r="I25" s="164" t="s">
        <v>498</v>
      </c>
      <c r="J25" s="143">
        <v>0</v>
      </c>
      <c r="K25" s="141">
        <v>0</v>
      </c>
      <c r="L25" s="141">
        <v>0</v>
      </c>
      <c r="M25" s="141">
        <v>0</v>
      </c>
      <c r="N25" s="141">
        <v>0</v>
      </c>
      <c r="O25" s="141">
        <v>0</v>
      </c>
      <c r="P25" s="141">
        <v>0</v>
      </c>
      <c r="Q25" s="144">
        <v>0</v>
      </c>
      <c r="R25" s="143">
        <v>0</v>
      </c>
      <c r="S25" s="141">
        <v>0</v>
      </c>
      <c r="T25" s="141">
        <v>0</v>
      </c>
      <c r="U25" s="141">
        <v>0</v>
      </c>
      <c r="V25" s="144">
        <v>0</v>
      </c>
      <c r="W25" s="1405"/>
      <c r="X25" s="166"/>
      <c r="Y25" s="1445"/>
      <c r="Z25" s="1445"/>
      <c r="AA25" s="1085">
        <f t="shared" si="0"/>
        <v>0</v>
      </c>
      <c r="AB25" s="167"/>
    </row>
    <row r="26" spans="2:28" ht="14.25">
      <c r="B26" s="1409"/>
      <c r="C26" s="1405"/>
      <c r="D26" s="1405"/>
      <c r="E26" s="162" t="s">
        <v>85</v>
      </c>
      <c r="F26" s="162"/>
      <c r="G26" s="720"/>
      <c r="H26" s="1405"/>
      <c r="I26" s="164" t="s">
        <v>498</v>
      </c>
      <c r="J26" s="143">
        <v>0</v>
      </c>
      <c r="K26" s="141">
        <v>0</v>
      </c>
      <c r="L26" s="141">
        <v>0</v>
      </c>
      <c r="M26" s="141">
        <v>0</v>
      </c>
      <c r="N26" s="141">
        <v>0</v>
      </c>
      <c r="O26" s="141">
        <v>0</v>
      </c>
      <c r="P26" s="141">
        <v>0</v>
      </c>
      <c r="Q26" s="144">
        <v>0</v>
      </c>
      <c r="R26" s="143">
        <v>0</v>
      </c>
      <c r="S26" s="141">
        <v>0</v>
      </c>
      <c r="T26" s="141">
        <v>0</v>
      </c>
      <c r="U26" s="141">
        <v>0</v>
      </c>
      <c r="V26" s="144">
        <v>0</v>
      </c>
      <c r="W26" s="1405"/>
      <c r="X26" s="166"/>
      <c r="Y26" s="1445"/>
      <c r="Z26" s="1445"/>
      <c r="AA26" s="1085">
        <f t="shared" si="0"/>
        <v>0</v>
      </c>
      <c r="AB26" s="167"/>
    </row>
    <row r="27" spans="2:28" ht="14.25">
      <c r="B27" s="1409"/>
      <c r="C27" s="1405"/>
      <c r="D27" s="1405"/>
      <c r="E27" s="162" t="s">
        <v>85</v>
      </c>
      <c r="F27" s="162"/>
      <c r="G27" s="720"/>
      <c r="H27" s="1405"/>
      <c r="I27" s="164" t="s">
        <v>498</v>
      </c>
      <c r="J27" s="143">
        <v>0</v>
      </c>
      <c r="K27" s="141">
        <v>0</v>
      </c>
      <c r="L27" s="141">
        <v>0</v>
      </c>
      <c r="M27" s="141">
        <v>0</v>
      </c>
      <c r="N27" s="141">
        <v>0</v>
      </c>
      <c r="O27" s="141">
        <v>0</v>
      </c>
      <c r="P27" s="141">
        <v>0</v>
      </c>
      <c r="Q27" s="144">
        <v>0</v>
      </c>
      <c r="R27" s="143">
        <v>0</v>
      </c>
      <c r="S27" s="141">
        <v>0</v>
      </c>
      <c r="T27" s="141">
        <v>0</v>
      </c>
      <c r="U27" s="141">
        <v>0</v>
      </c>
      <c r="V27" s="144">
        <v>0</v>
      </c>
      <c r="W27" s="1405"/>
      <c r="X27" s="166"/>
      <c r="Y27" s="1445"/>
      <c r="Z27" s="1445"/>
      <c r="AA27" s="1085">
        <f t="shared" si="0"/>
        <v>0</v>
      </c>
      <c r="AB27" s="167"/>
    </row>
    <row r="28" spans="2:28" ht="14.25">
      <c r="B28" s="1409"/>
      <c r="C28" s="1405"/>
      <c r="D28" s="1405"/>
      <c r="E28" s="162" t="s">
        <v>85</v>
      </c>
      <c r="F28" s="162"/>
      <c r="G28" s="720"/>
      <c r="H28" s="1405"/>
      <c r="I28" s="164" t="s">
        <v>498</v>
      </c>
      <c r="J28" s="143">
        <v>0</v>
      </c>
      <c r="K28" s="141">
        <v>0</v>
      </c>
      <c r="L28" s="141">
        <v>0</v>
      </c>
      <c r="M28" s="141">
        <v>0</v>
      </c>
      <c r="N28" s="141">
        <v>0</v>
      </c>
      <c r="O28" s="141">
        <v>0</v>
      </c>
      <c r="P28" s="141">
        <v>0</v>
      </c>
      <c r="Q28" s="144">
        <v>0</v>
      </c>
      <c r="R28" s="143">
        <v>0</v>
      </c>
      <c r="S28" s="141">
        <v>0</v>
      </c>
      <c r="T28" s="141">
        <v>0</v>
      </c>
      <c r="U28" s="141">
        <v>0</v>
      </c>
      <c r="V28" s="144">
        <v>0</v>
      </c>
      <c r="W28" s="1405"/>
      <c r="X28" s="166"/>
      <c r="Y28" s="1445"/>
      <c r="Z28" s="1445"/>
      <c r="AA28" s="1085">
        <f t="shared" si="0"/>
        <v>0</v>
      </c>
      <c r="AB28" s="167"/>
    </row>
    <row r="29" spans="2:28" ht="14.25">
      <c r="B29" s="1409"/>
      <c r="C29" s="1405"/>
      <c r="D29" s="1405"/>
      <c r="E29" s="162" t="s">
        <v>85</v>
      </c>
      <c r="F29" s="162"/>
      <c r="G29" s="720"/>
      <c r="H29" s="1405"/>
      <c r="I29" s="164" t="s">
        <v>498</v>
      </c>
      <c r="J29" s="143">
        <v>0</v>
      </c>
      <c r="K29" s="141">
        <v>0</v>
      </c>
      <c r="L29" s="141">
        <v>0</v>
      </c>
      <c r="M29" s="141">
        <v>0</v>
      </c>
      <c r="N29" s="141">
        <v>0</v>
      </c>
      <c r="O29" s="141">
        <v>0</v>
      </c>
      <c r="P29" s="141">
        <v>0</v>
      </c>
      <c r="Q29" s="144">
        <v>0</v>
      </c>
      <c r="R29" s="143">
        <v>0</v>
      </c>
      <c r="S29" s="141">
        <v>0</v>
      </c>
      <c r="T29" s="141">
        <v>0</v>
      </c>
      <c r="U29" s="141">
        <v>0</v>
      </c>
      <c r="V29" s="144">
        <v>0</v>
      </c>
      <c r="W29" s="1405"/>
      <c r="X29" s="166"/>
      <c r="Y29" s="1445"/>
      <c r="Z29" s="1445"/>
      <c r="AA29" s="1085">
        <f t="shared" si="0"/>
        <v>0</v>
      </c>
      <c r="AB29" s="167"/>
    </row>
    <row r="30" spans="2:28" ht="14.25">
      <c r="B30" s="1409"/>
      <c r="C30" s="1405"/>
      <c r="D30" s="1405"/>
      <c r="E30" s="162" t="s">
        <v>85</v>
      </c>
      <c r="F30" s="162"/>
      <c r="G30" s="720"/>
      <c r="H30" s="1405"/>
      <c r="I30" s="164" t="s">
        <v>498</v>
      </c>
      <c r="J30" s="143">
        <v>0</v>
      </c>
      <c r="K30" s="141">
        <v>0</v>
      </c>
      <c r="L30" s="141">
        <v>0</v>
      </c>
      <c r="M30" s="141">
        <v>0</v>
      </c>
      <c r="N30" s="141">
        <v>0</v>
      </c>
      <c r="O30" s="141">
        <v>0</v>
      </c>
      <c r="P30" s="141">
        <v>0</v>
      </c>
      <c r="Q30" s="144">
        <v>0</v>
      </c>
      <c r="R30" s="143">
        <v>0</v>
      </c>
      <c r="S30" s="141">
        <v>0</v>
      </c>
      <c r="T30" s="141">
        <v>0</v>
      </c>
      <c r="U30" s="141">
        <v>0</v>
      </c>
      <c r="V30" s="144">
        <v>0</v>
      </c>
      <c r="W30" s="1405"/>
      <c r="X30" s="166"/>
      <c r="Y30" s="1445"/>
      <c r="Z30" s="1445"/>
      <c r="AA30" s="1085">
        <f t="shared" si="0"/>
        <v>0</v>
      </c>
      <c r="AB30" s="167"/>
    </row>
    <row r="31" spans="2:28" ht="14.25">
      <c r="B31" s="1409"/>
      <c r="C31" s="1405"/>
      <c r="D31" s="1405"/>
      <c r="E31" s="162" t="s">
        <v>85</v>
      </c>
      <c r="F31" s="162"/>
      <c r="G31" s="720"/>
      <c r="H31" s="1405"/>
      <c r="I31" s="164" t="s">
        <v>498</v>
      </c>
      <c r="J31" s="143">
        <v>0</v>
      </c>
      <c r="K31" s="141">
        <v>0</v>
      </c>
      <c r="L31" s="141">
        <v>0</v>
      </c>
      <c r="M31" s="141">
        <v>0</v>
      </c>
      <c r="N31" s="141">
        <v>0</v>
      </c>
      <c r="O31" s="141">
        <v>0</v>
      </c>
      <c r="P31" s="141">
        <v>0</v>
      </c>
      <c r="Q31" s="144">
        <v>0</v>
      </c>
      <c r="R31" s="143">
        <v>0</v>
      </c>
      <c r="S31" s="141">
        <v>0</v>
      </c>
      <c r="T31" s="141">
        <v>0</v>
      </c>
      <c r="U31" s="141">
        <v>0</v>
      </c>
      <c r="V31" s="144">
        <v>0</v>
      </c>
      <c r="W31" s="1405"/>
      <c r="X31" s="166"/>
      <c r="Y31" s="1445"/>
      <c r="Z31" s="1445"/>
      <c r="AA31" s="1085">
        <f t="shared" si="0"/>
        <v>0</v>
      </c>
      <c r="AB31" s="167"/>
    </row>
    <row r="32" spans="2:28" ht="14.25">
      <c r="B32" s="1409"/>
      <c r="C32" s="1405"/>
      <c r="D32" s="1405"/>
      <c r="E32" s="162" t="s">
        <v>85</v>
      </c>
      <c r="F32" s="162"/>
      <c r="G32" s="720"/>
      <c r="H32" s="1405"/>
      <c r="I32" s="164" t="s">
        <v>498</v>
      </c>
      <c r="J32" s="143">
        <v>0</v>
      </c>
      <c r="K32" s="141">
        <v>0</v>
      </c>
      <c r="L32" s="141">
        <v>0</v>
      </c>
      <c r="M32" s="141">
        <v>0</v>
      </c>
      <c r="N32" s="141">
        <v>0</v>
      </c>
      <c r="O32" s="141">
        <v>0</v>
      </c>
      <c r="P32" s="141">
        <v>0</v>
      </c>
      <c r="Q32" s="144">
        <v>0</v>
      </c>
      <c r="R32" s="143">
        <v>0</v>
      </c>
      <c r="S32" s="141">
        <v>0</v>
      </c>
      <c r="T32" s="141">
        <v>0</v>
      </c>
      <c r="U32" s="141">
        <v>0</v>
      </c>
      <c r="V32" s="144">
        <v>0</v>
      </c>
      <c r="W32" s="1405"/>
      <c r="X32" s="166"/>
      <c r="Y32" s="1445"/>
      <c r="Z32" s="1445"/>
      <c r="AA32" s="1085">
        <f t="shared" si="0"/>
        <v>0</v>
      </c>
      <c r="AB32" s="167"/>
    </row>
    <row r="33" spans="2:28" ht="14.25">
      <c r="B33" s="1409"/>
      <c r="C33" s="1405"/>
      <c r="D33" s="1405"/>
      <c r="E33" s="162" t="s">
        <v>85</v>
      </c>
      <c r="F33" s="162"/>
      <c r="G33" s="720"/>
      <c r="H33" s="1405"/>
      <c r="I33" s="164" t="s">
        <v>498</v>
      </c>
      <c r="J33" s="143">
        <v>0</v>
      </c>
      <c r="K33" s="141">
        <v>0</v>
      </c>
      <c r="L33" s="141">
        <v>0</v>
      </c>
      <c r="M33" s="141">
        <v>0</v>
      </c>
      <c r="N33" s="141">
        <v>0</v>
      </c>
      <c r="O33" s="141">
        <v>0</v>
      </c>
      <c r="P33" s="141">
        <v>0</v>
      </c>
      <c r="Q33" s="144">
        <v>0</v>
      </c>
      <c r="R33" s="143">
        <v>0</v>
      </c>
      <c r="S33" s="141">
        <v>0</v>
      </c>
      <c r="T33" s="141">
        <v>0</v>
      </c>
      <c r="U33" s="141">
        <v>0</v>
      </c>
      <c r="V33" s="144">
        <v>0</v>
      </c>
      <c r="W33" s="1405"/>
      <c r="X33" s="166"/>
      <c r="Y33" s="1445"/>
      <c r="Z33" s="1445"/>
      <c r="AA33" s="1085">
        <f t="shared" si="0"/>
        <v>0</v>
      </c>
      <c r="AB33" s="167"/>
    </row>
    <row r="34" spans="2:28" ht="14.25">
      <c r="B34" s="1409"/>
      <c r="C34" s="1405"/>
      <c r="D34" s="1405"/>
      <c r="E34" s="162" t="s">
        <v>85</v>
      </c>
      <c r="F34" s="162"/>
      <c r="G34" s="720"/>
      <c r="H34" s="1405"/>
      <c r="I34" s="164" t="s">
        <v>498</v>
      </c>
      <c r="J34" s="143">
        <v>0</v>
      </c>
      <c r="K34" s="141">
        <v>0</v>
      </c>
      <c r="L34" s="141">
        <v>0</v>
      </c>
      <c r="M34" s="141">
        <v>0</v>
      </c>
      <c r="N34" s="141">
        <v>0</v>
      </c>
      <c r="O34" s="141">
        <v>0</v>
      </c>
      <c r="P34" s="141">
        <v>0</v>
      </c>
      <c r="Q34" s="144">
        <v>0</v>
      </c>
      <c r="R34" s="143">
        <v>0</v>
      </c>
      <c r="S34" s="141">
        <v>0</v>
      </c>
      <c r="T34" s="141">
        <v>0</v>
      </c>
      <c r="U34" s="141">
        <v>0</v>
      </c>
      <c r="V34" s="144">
        <v>0</v>
      </c>
      <c r="W34" s="1405"/>
      <c r="X34" s="166"/>
      <c r="Y34" s="1445"/>
      <c r="Z34" s="1445"/>
      <c r="AA34" s="1085">
        <f t="shared" si="0"/>
        <v>0</v>
      </c>
      <c r="AB34" s="167"/>
    </row>
    <row r="35" spans="2:28" ht="14.25">
      <c r="B35" s="1409"/>
      <c r="C35" s="1405"/>
      <c r="D35" s="1405"/>
      <c r="E35" s="162" t="s">
        <v>85</v>
      </c>
      <c r="F35" s="162"/>
      <c r="G35" s="720"/>
      <c r="H35" s="1405"/>
      <c r="I35" s="164" t="s">
        <v>498</v>
      </c>
      <c r="J35" s="143">
        <v>0</v>
      </c>
      <c r="K35" s="141">
        <v>0</v>
      </c>
      <c r="L35" s="141">
        <v>0</v>
      </c>
      <c r="M35" s="141">
        <v>0</v>
      </c>
      <c r="N35" s="141">
        <v>0</v>
      </c>
      <c r="O35" s="141">
        <v>0</v>
      </c>
      <c r="P35" s="141">
        <v>0</v>
      </c>
      <c r="Q35" s="144">
        <v>0</v>
      </c>
      <c r="R35" s="143">
        <v>0</v>
      </c>
      <c r="S35" s="141">
        <v>0</v>
      </c>
      <c r="T35" s="141">
        <v>0</v>
      </c>
      <c r="U35" s="141">
        <v>0</v>
      </c>
      <c r="V35" s="144">
        <v>0</v>
      </c>
      <c r="W35" s="1405"/>
      <c r="X35" s="166"/>
      <c r="Y35" s="1445"/>
      <c r="Z35" s="1445"/>
      <c r="AA35" s="1085">
        <f t="shared" si="0"/>
        <v>0</v>
      </c>
      <c r="AB35" s="167"/>
    </row>
    <row r="36" spans="2:28" ht="14.25">
      <c r="B36" s="1409"/>
      <c r="C36" s="1405"/>
      <c r="D36" s="1405"/>
      <c r="E36" s="162" t="s">
        <v>85</v>
      </c>
      <c r="F36" s="162"/>
      <c r="G36" s="720"/>
      <c r="H36" s="1405"/>
      <c r="I36" s="164" t="s">
        <v>498</v>
      </c>
      <c r="J36" s="143">
        <v>0</v>
      </c>
      <c r="K36" s="141">
        <v>0</v>
      </c>
      <c r="L36" s="141">
        <v>0</v>
      </c>
      <c r="M36" s="141">
        <v>0</v>
      </c>
      <c r="N36" s="141">
        <v>0</v>
      </c>
      <c r="O36" s="141">
        <v>0</v>
      </c>
      <c r="P36" s="141">
        <v>0</v>
      </c>
      <c r="Q36" s="144">
        <v>0</v>
      </c>
      <c r="R36" s="143">
        <v>0</v>
      </c>
      <c r="S36" s="141">
        <v>0</v>
      </c>
      <c r="T36" s="141">
        <v>0</v>
      </c>
      <c r="U36" s="141">
        <v>0</v>
      </c>
      <c r="V36" s="144">
        <v>0</v>
      </c>
      <c r="W36" s="1405"/>
      <c r="X36" s="166"/>
      <c r="Y36" s="1445"/>
      <c r="Z36" s="1445"/>
      <c r="AA36" s="1085">
        <f t="shared" si="0"/>
        <v>0</v>
      </c>
      <c r="AB36" s="167"/>
    </row>
    <row r="37" spans="2:28" ht="14.25">
      <c r="B37" s="1409"/>
      <c r="C37" s="1405"/>
      <c r="D37" s="1405"/>
      <c r="E37" s="162" t="s">
        <v>85</v>
      </c>
      <c r="F37" s="162"/>
      <c r="G37" s="720"/>
      <c r="H37" s="1405"/>
      <c r="I37" s="164" t="s">
        <v>498</v>
      </c>
      <c r="J37" s="143">
        <v>0</v>
      </c>
      <c r="K37" s="141">
        <v>0</v>
      </c>
      <c r="L37" s="141">
        <v>0</v>
      </c>
      <c r="M37" s="141">
        <v>0</v>
      </c>
      <c r="N37" s="141">
        <v>0</v>
      </c>
      <c r="O37" s="141">
        <v>0</v>
      </c>
      <c r="P37" s="141">
        <v>0</v>
      </c>
      <c r="Q37" s="144">
        <v>0</v>
      </c>
      <c r="R37" s="143">
        <v>0</v>
      </c>
      <c r="S37" s="141">
        <v>0</v>
      </c>
      <c r="T37" s="141">
        <v>0</v>
      </c>
      <c r="U37" s="141">
        <v>0</v>
      </c>
      <c r="V37" s="144">
        <v>0</v>
      </c>
      <c r="W37" s="1405"/>
      <c r="X37" s="166"/>
      <c r="Y37" s="1445"/>
      <c r="Z37" s="1445"/>
      <c r="AA37" s="1085">
        <f t="shared" si="0"/>
        <v>0</v>
      </c>
      <c r="AB37" s="167"/>
    </row>
    <row r="38" spans="2:28" ht="14.25">
      <c r="B38" s="1409"/>
      <c r="C38" s="1405"/>
      <c r="D38" s="1405"/>
      <c r="E38" s="162" t="s">
        <v>85</v>
      </c>
      <c r="F38" s="162"/>
      <c r="G38" s="720"/>
      <c r="H38" s="1405"/>
      <c r="I38" s="164" t="s">
        <v>498</v>
      </c>
      <c r="J38" s="143">
        <v>0</v>
      </c>
      <c r="K38" s="141">
        <v>0</v>
      </c>
      <c r="L38" s="141">
        <v>0</v>
      </c>
      <c r="M38" s="141">
        <v>0</v>
      </c>
      <c r="N38" s="141">
        <v>0</v>
      </c>
      <c r="O38" s="141">
        <v>0</v>
      </c>
      <c r="P38" s="141">
        <v>0</v>
      </c>
      <c r="Q38" s="144">
        <v>0</v>
      </c>
      <c r="R38" s="143">
        <v>0</v>
      </c>
      <c r="S38" s="141">
        <v>0</v>
      </c>
      <c r="T38" s="141">
        <v>0</v>
      </c>
      <c r="U38" s="141">
        <v>0</v>
      </c>
      <c r="V38" s="144">
        <v>0</v>
      </c>
      <c r="W38" s="1405"/>
      <c r="X38" s="166"/>
      <c r="Y38" s="1445"/>
      <c r="Z38" s="1445"/>
      <c r="AA38" s="1085">
        <f t="shared" si="0"/>
        <v>0</v>
      </c>
      <c r="AB38" s="167"/>
    </row>
    <row r="39" spans="2:28" ht="14.25">
      <c r="B39" s="1409"/>
      <c r="C39" s="1405"/>
      <c r="D39" s="1405"/>
      <c r="E39" s="162" t="s">
        <v>85</v>
      </c>
      <c r="F39" s="162"/>
      <c r="G39" s="720"/>
      <c r="H39" s="1405"/>
      <c r="I39" s="164" t="s">
        <v>498</v>
      </c>
      <c r="J39" s="143">
        <v>0</v>
      </c>
      <c r="K39" s="141">
        <v>0</v>
      </c>
      <c r="L39" s="141">
        <v>0</v>
      </c>
      <c r="M39" s="141">
        <v>0</v>
      </c>
      <c r="N39" s="141">
        <v>0</v>
      </c>
      <c r="O39" s="141">
        <v>0</v>
      </c>
      <c r="P39" s="141">
        <v>0</v>
      </c>
      <c r="Q39" s="144">
        <v>0</v>
      </c>
      <c r="R39" s="143">
        <v>0</v>
      </c>
      <c r="S39" s="141">
        <v>0</v>
      </c>
      <c r="T39" s="141">
        <v>0</v>
      </c>
      <c r="U39" s="141">
        <v>0</v>
      </c>
      <c r="V39" s="144">
        <v>0</v>
      </c>
      <c r="W39" s="1405"/>
      <c r="X39" s="166"/>
      <c r="Y39" s="1445"/>
      <c r="Z39" s="1445"/>
      <c r="AA39" s="1085">
        <f t="shared" si="0"/>
        <v>0</v>
      </c>
      <c r="AB39" s="167"/>
    </row>
    <row r="40" spans="2:28" ht="14.25">
      <c r="B40" s="1409"/>
      <c r="C40" s="1405"/>
      <c r="D40" s="1405"/>
      <c r="E40" s="162" t="s">
        <v>85</v>
      </c>
      <c r="F40" s="162"/>
      <c r="G40" s="720"/>
      <c r="H40" s="1405"/>
      <c r="I40" s="164" t="s">
        <v>498</v>
      </c>
      <c r="J40" s="143">
        <v>0</v>
      </c>
      <c r="K40" s="141">
        <v>0</v>
      </c>
      <c r="L40" s="141">
        <v>0</v>
      </c>
      <c r="M40" s="141">
        <v>0</v>
      </c>
      <c r="N40" s="141">
        <v>0</v>
      </c>
      <c r="O40" s="141">
        <v>0</v>
      </c>
      <c r="P40" s="141">
        <v>0</v>
      </c>
      <c r="Q40" s="144">
        <v>0</v>
      </c>
      <c r="R40" s="143">
        <v>0</v>
      </c>
      <c r="S40" s="141">
        <v>0</v>
      </c>
      <c r="T40" s="141">
        <v>0</v>
      </c>
      <c r="U40" s="141">
        <v>0</v>
      </c>
      <c r="V40" s="144">
        <v>0</v>
      </c>
      <c r="W40" s="1405"/>
      <c r="X40" s="166"/>
      <c r="Y40" s="1445"/>
      <c r="Z40" s="1445"/>
      <c r="AA40" s="1085">
        <f t="shared" si="0"/>
        <v>0</v>
      </c>
      <c r="AB40" s="167"/>
    </row>
    <row r="41" spans="2:28" ht="14.25">
      <c r="B41" s="1409"/>
      <c r="C41" s="1405"/>
      <c r="D41" s="1405"/>
      <c r="E41" s="162" t="s">
        <v>85</v>
      </c>
      <c r="F41" s="162"/>
      <c r="G41" s="720"/>
      <c r="H41" s="1405"/>
      <c r="I41" s="164" t="s">
        <v>498</v>
      </c>
      <c r="J41" s="143">
        <v>0</v>
      </c>
      <c r="K41" s="141">
        <v>0</v>
      </c>
      <c r="L41" s="141">
        <v>0</v>
      </c>
      <c r="M41" s="141">
        <v>0</v>
      </c>
      <c r="N41" s="141">
        <v>0</v>
      </c>
      <c r="O41" s="141">
        <v>0</v>
      </c>
      <c r="P41" s="141">
        <v>0</v>
      </c>
      <c r="Q41" s="144">
        <v>0</v>
      </c>
      <c r="R41" s="143">
        <v>0</v>
      </c>
      <c r="S41" s="141">
        <v>0</v>
      </c>
      <c r="T41" s="141">
        <v>0</v>
      </c>
      <c r="U41" s="141">
        <v>0</v>
      </c>
      <c r="V41" s="144">
        <v>0</v>
      </c>
      <c r="W41" s="1405"/>
      <c r="X41" s="166"/>
      <c r="Y41" s="1445"/>
      <c r="Z41" s="1445"/>
      <c r="AA41" s="1085">
        <f t="shared" si="0"/>
        <v>0</v>
      </c>
      <c r="AB41" s="167"/>
    </row>
    <row r="42" spans="2:28" ht="14.25">
      <c r="B42" s="1409"/>
      <c r="C42" s="1405"/>
      <c r="D42" s="1405"/>
      <c r="E42" s="162" t="s">
        <v>85</v>
      </c>
      <c r="F42" s="162"/>
      <c r="G42" s="720"/>
      <c r="H42" s="1405"/>
      <c r="I42" s="164" t="s">
        <v>498</v>
      </c>
      <c r="J42" s="143">
        <v>0</v>
      </c>
      <c r="K42" s="141">
        <v>0</v>
      </c>
      <c r="L42" s="141">
        <v>0</v>
      </c>
      <c r="M42" s="141">
        <v>0</v>
      </c>
      <c r="N42" s="141">
        <v>0</v>
      </c>
      <c r="O42" s="141">
        <v>0</v>
      </c>
      <c r="P42" s="141">
        <v>0</v>
      </c>
      <c r="Q42" s="144">
        <v>0</v>
      </c>
      <c r="R42" s="143">
        <v>0</v>
      </c>
      <c r="S42" s="141">
        <v>0</v>
      </c>
      <c r="T42" s="141">
        <v>0</v>
      </c>
      <c r="U42" s="141">
        <v>0</v>
      </c>
      <c r="V42" s="144">
        <v>0</v>
      </c>
      <c r="W42" s="1405"/>
      <c r="X42" s="166"/>
      <c r="Y42" s="1445"/>
      <c r="Z42" s="1445"/>
      <c r="AA42" s="1085">
        <f t="shared" si="0"/>
        <v>0</v>
      </c>
      <c r="AB42" s="167"/>
    </row>
    <row r="43" spans="2:28" ht="14.25">
      <c r="B43" s="1409"/>
      <c r="C43" s="1405"/>
      <c r="D43" s="1405"/>
      <c r="E43" s="162" t="s">
        <v>85</v>
      </c>
      <c r="F43" s="162"/>
      <c r="G43" s="720"/>
      <c r="H43" s="1405"/>
      <c r="I43" s="164" t="s">
        <v>498</v>
      </c>
      <c r="J43" s="143">
        <v>0</v>
      </c>
      <c r="K43" s="141">
        <v>0</v>
      </c>
      <c r="L43" s="141">
        <v>0</v>
      </c>
      <c r="M43" s="141">
        <v>0</v>
      </c>
      <c r="N43" s="141">
        <v>0</v>
      </c>
      <c r="O43" s="141">
        <v>0</v>
      </c>
      <c r="P43" s="141">
        <v>0</v>
      </c>
      <c r="Q43" s="144">
        <v>0</v>
      </c>
      <c r="R43" s="143">
        <v>0</v>
      </c>
      <c r="S43" s="141">
        <v>0</v>
      </c>
      <c r="T43" s="141">
        <v>0</v>
      </c>
      <c r="U43" s="141">
        <v>0</v>
      </c>
      <c r="V43" s="144">
        <v>0</v>
      </c>
      <c r="W43" s="1405"/>
      <c r="X43" s="166"/>
      <c r="Y43" s="1445"/>
      <c r="Z43" s="1445"/>
      <c r="AA43" s="1085">
        <f t="shared" si="0"/>
        <v>0</v>
      </c>
      <c r="AB43" s="167"/>
    </row>
    <row r="44" spans="2:28" ht="14.25">
      <c r="B44" s="1409"/>
      <c r="C44" s="1405"/>
      <c r="D44" s="1405"/>
      <c r="E44" s="162" t="s">
        <v>85</v>
      </c>
      <c r="F44" s="162"/>
      <c r="G44" s="720"/>
      <c r="H44" s="1405"/>
      <c r="I44" s="164" t="s">
        <v>498</v>
      </c>
      <c r="J44" s="143">
        <v>0</v>
      </c>
      <c r="K44" s="141">
        <v>0</v>
      </c>
      <c r="L44" s="141">
        <v>0</v>
      </c>
      <c r="M44" s="141">
        <v>0</v>
      </c>
      <c r="N44" s="141">
        <v>0</v>
      </c>
      <c r="O44" s="141">
        <v>0</v>
      </c>
      <c r="P44" s="141">
        <v>0</v>
      </c>
      <c r="Q44" s="144">
        <v>0</v>
      </c>
      <c r="R44" s="143">
        <v>0</v>
      </c>
      <c r="S44" s="141">
        <v>0</v>
      </c>
      <c r="T44" s="141">
        <v>0</v>
      </c>
      <c r="U44" s="141">
        <v>0</v>
      </c>
      <c r="V44" s="144">
        <v>0</v>
      </c>
      <c r="W44" s="1405"/>
      <c r="X44" s="166"/>
      <c r="Y44" s="1445"/>
      <c r="Z44" s="1445"/>
      <c r="AA44" s="1085">
        <f t="shared" si="0"/>
        <v>0</v>
      </c>
      <c r="AB44" s="167"/>
    </row>
    <row r="45" spans="2:28" ht="14.25">
      <c r="B45" s="1409"/>
      <c r="C45" s="1405"/>
      <c r="D45" s="1405"/>
      <c r="E45" s="162" t="s">
        <v>85</v>
      </c>
      <c r="F45" s="162"/>
      <c r="G45" s="720"/>
      <c r="H45" s="1405"/>
      <c r="I45" s="164" t="s">
        <v>498</v>
      </c>
      <c r="J45" s="143">
        <v>0</v>
      </c>
      <c r="K45" s="141">
        <v>0</v>
      </c>
      <c r="L45" s="141">
        <v>0</v>
      </c>
      <c r="M45" s="141">
        <v>0</v>
      </c>
      <c r="N45" s="141">
        <v>0</v>
      </c>
      <c r="O45" s="141">
        <v>0</v>
      </c>
      <c r="P45" s="141">
        <v>0</v>
      </c>
      <c r="Q45" s="144">
        <v>0</v>
      </c>
      <c r="R45" s="143">
        <v>0</v>
      </c>
      <c r="S45" s="141">
        <v>0</v>
      </c>
      <c r="T45" s="141">
        <v>0</v>
      </c>
      <c r="U45" s="141">
        <v>0</v>
      </c>
      <c r="V45" s="144">
        <v>0</v>
      </c>
      <c r="W45" s="1405"/>
      <c r="X45" s="166"/>
      <c r="Y45" s="1445"/>
      <c r="Z45" s="1445"/>
      <c r="AA45" s="1085">
        <f t="shared" si="0"/>
        <v>0</v>
      </c>
      <c r="AB45" s="167"/>
    </row>
    <row r="46" spans="2:28" ht="14.25">
      <c r="B46" s="1409"/>
      <c r="C46" s="1405"/>
      <c r="D46" s="1405"/>
      <c r="E46" s="162" t="s">
        <v>85</v>
      </c>
      <c r="F46" s="162"/>
      <c r="G46" s="720"/>
      <c r="H46" s="1405"/>
      <c r="I46" s="164" t="s">
        <v>498</v>
      </c>
      <c r="J46" s="143">
        <v>0</v>
      </c>
      <c r="K46" s="141">
        <v>0</v>
      </c>
      <c r="L46" s="141">
        <v>0</v>
      </c>
      <c r="M46" s="141">
        <v>0</v>
      </c>
      <c r="N46" s="141">
        <v>0</v>
      </c>
      <c r="O46" s="141">
        <v>0</v>
      </c>
      <c r="P46" s="141">
        <v>0</v>
      </c>
      <c r="Q46" s="144">
        <v>0</v>
      </c>
      <c r="R46" s="143">
        <v>0</v>
      </c>
      <c r="S46" s="141">
        <v>0</v>
      </c>
      <c r="T46" s="141">
        <v>0</v>
      </c>
      <c r="U46" s="141">
        <v>0</v>
      </c>
      <c r="V46" s="144">
        <v>0</v>
      </c>
      <c r="W46" s="1405"/>
      <c r="X46" s="166"/>
      <c r="Y46" s="1445"/>
      <c r="Z46" s="1445"/>
      <c r="AA46" s="1085">
        <f t="shared" si="0"/>
        <v>0</v>
      </c>
      <c r="AB46" s="167"/>
    </row>
    <row r="47" spans="2:28" ht="14.25">
      <c r="B47" s="1409"/>
      <c r="C47" s="1405"/>
      <c r="D47" s="1405"/>
      <c r="E47" s="162" t="s">
        <v>85</v>
      </c>
      <c r="F47" s="162"/>
      <c r="G47" s="720"/>
      <c r="H47" s="1405"/>
      <c r="I47" s="164" t="s">
        <v>498</v>
      </c>
      <c r="J47" s="143">
        <v>0</v>
      </c>
      <c r="K47" s="141">
        <v>0</v>
      </c>
      <c r="L47" s="141">
        <v>0</v>
      </c>
      <c r="M47" s="141">
        <v>0</v>
      </c>
      <c r="N47" s="141">
        <v>0</v>
      </c>
      <c r="O47" s="141">
        <v>0</v>
      </c>
      <c r="P47" s="141">
        <v>0</v>
      </c>
      <c r="Q47" s="144">
        <v>0</v>
      </c>
      <c r="R47" s="143">
        <v>0</v>
      </c>
      <c r="S47" s="141">
        <v>0</v>
      </c>
      <c r="T47" s="141">
        <v>0</v>
      </c>
      <c r="U47" s="141">
        <v>0</v>
      </c>
      <c r="V47" s="144">
        <v>0</v>
      </c>
      <c r="W47" s="1405"/>
      <c r="X47" s="166"/>
      <c r="Y47" s="1445"/>
      <c r="Z47" s="1445"/>
      <c r="AA47" s="1085">
        <f t="shared" si="0"/>
        <v>0</v>
      </c>
      <c r="AB47" s="167"/>
    </row>
    <row r="48" spans="2:28" ht="14.25">
      <c r="B48" s="1409"/>
      <c r="C48" s="1405"/>
      <c r="D48" s="1405"/>
      <c r="E48" s="162" t="s">
        <v>85</v>
      </c>
      <c r="F48" s="162"/>
      <c r="G48" s="720"/>
      <c r="H48" s="1405"/>
      <c r="I48" s="164" t="s">
        <v>498</v>
      </c>
      <c r="J48" s="143">
        <v>0</v>
      </c>
      <c r="K48" s="141">
        <v>0</v>
      </c>
      <c r="L48" s="141">
        <v>0</v>
      </c>
      <c r="M48" s="141">
        <v>0</v>
      </c>
      <c r="N48" s="141">
        <v>0</v>
      </c>
      <c r="O48" s="141">
        <v>0</v>
      </c>
      <c r="P48" s="141">
        <v>0</v>
      </c>
      <c r="Q48" s="144">
        <v>0</v>
      </c>
      <c r="R48" s="143">
        <v>0</v>
      </c>
      <c r="S48" s="141">
        <v>0</v>
      </c>
      <c r="T48" s="141">
        <v>0</v>
      </c>
      <c r="U48" s="141">
        <v>0</v>
      </c>
      <c r="V48" s="144">
        <v>0</v>
      </c>
      <c r="W48" s="1405"/>
      <c r="X48" s="166"/>
      <c r="Y48" s="1445"/>
      <c r="Z48" s="1445"/>
      <c r="AA48" s="1085">
        <f t="shared" si="0"/>
        <v>0</v>
      </c>
      <c r="AB48" s="167"/>
    </row>
    <row r="49" spans="2:28" ht="14.25">
      <c r="B49" s="1409"/>
      <c r="C49" s="1405"/>
      <c r="D49" s="1405"/>
      <c r="E49" s="162" t="s">
        <v>85</v>
      </c>
      <c r="F49" s="162"/>
      <c r="G49" s="720"/>
      <c r="H49" s="1405"/>
      <c r="I49" s="164" t="s">
        <v>498</v>
      </c>
      <c r="J49" s="143">
        <v>0</v>
      </c>
      <c r="K49" s="141">
        <v>0</v>
      </c>
      <c r="L49" s="141">
        <v>0</v>
      </c>
      <c r="M49" s="141">
        <v>0</v>
      </c>
      <c r="N49" s="141">
        <v>0</v>
      </c>
      <c r="O49" s="141">
        <v>0</v>
      </c>
      <c r="P49" s="141">
        <v>0</v>
      </c>
      <c r="Q49" s="144">
        <v>0</v>
      </c>
      <c r="R49" s="143">
        <v>0</v>
      </c>
      <c r="S49" s="141">
        <v>0</v>
      </c>
      <c r="T49" s="141">
        <v>0</v>
      </c>
      <c r="U49" s="141">
        <v>0</v>
      </c>
      <c r="V49" s="144">
        <v>0</v>
      </c>
      <c r="W49" s="1405"/>
      <c r="X49" s="166"/>
      <c r="Y49" s="1445"/>
      <c r="Z49" s="1445"/>
      <c r="AA49" s="1085">
        <f t="shared" si="0"/>
        <v>0</v>
      </c>
      <c r="AB49" s="167"/>
    </row>
    <row r="50" spans="2:28" ht="14.25">
      <c r="B50" s="1409"/>
      <c r="C50" s="1405"/>
      <c r="D50" s="1405"/>
      <c r="E50" s="162" t="s">
        <v>85</v>
      </c>
      <c r="F50" s="162"/>
      <c r="G50" s="720"/>
      <c r="H50" s="1405"/>
      <c r="I50" s="164" t="s">
        <v>498</v>
      </c>
      <c r="J50" s="143">
        <v>0</v>
      </c>
      <c r="K50" s="141">
        <v>0</v>
      </c>
      <c r="L50" s="141">
        <v>0</v>
      </c>
      <c r="M50" s="141">
        <v>0</v>
      </c>
      <c r="N50" s="141">
        <v>0</v>
      </c>
      <c r="O50" s="141">
        <v>0</v>
      </c>
      <c r="P50" s="141">
        <v>0</v>
      </c>
      <c r="Q50" s="144">
        <v>0</v>
      </c>
      <c r="R50" s="143">
        <v>0</v>
      </c>
      <c r="S50" s="141">
        <v>0</v>
      </c>
      <c r="T50" s="141">
        <v>0</v>
      </c>
      <c r="U50" s="141">
        <v>0</v>
      </c>
      <c r="V50" s="144">
        <v>0</v>
      </c>
      <c r="W50" s="1405"/>
      <c r="X50" s="166"/>
      <c r="Y50" s="1445"/>
      <c r="Z50" s="1445"/>
      <c r="AA50" s="1085">
        <f t="shared" si="0"/>
        <v>0</v>
      </c>
      <c r="AB50" s="167"/>
    </row>
    <row r="51" spans="2:28" ht="14.25">
      <c r="B51" s="1409"/>
      <c r="C51" s="1405"/>
      <c r="D51" s="1405"/>
      <c r="E51" s="162" t="s">
        <v>85</v>
      </c>
      <c r="F51" s="162"/>
      <c r="G51" s="720"/>
      <c r="H51" s="1405"/>
      <c r="I51" s="164" t="s">
        <v>498</v>
      </c>
      <c r="J51" s="143">
        <v>0</v>
      </c>
      <c r="K51" s="141">
        <v>0</v>
      </c>
      <c r="L51" s="141">
        <v>0</v>
      </c>
      <c r="M51" s="141">
        <v>0</v>
      </c>
      <c r="N51" s="141">
        <v>0</v>
      </c>
      <c r="O51" s="141">
        <v>0</v>
      </c>
      <c r="P51" s="141">
        <v>0</v>
      </c>
      <c r="Q51" s="144">
        <v>0</v>
      </c>
      <c r="R51" s="143">
        <v>0</v>
      </c>
      <c r="S51" s="141">
        <v>0</v>
      </c>
      <c r="T51" s="141">
        <v>0</v>
      </c>
      <c r="U51" s="141">
        <v>0</v>
      </c>
      <c r="V51" s="144">
        <v>0</v>
      </c>
      <c r="W51" s="1405"/>
      <c r="X51" s="166"/>
      <c r="Y51" s="1445"/>
      <c r="Z51" s="1445"/>
      <c r="AA51" s="1085">
        <f t="shared" si="0"/>
        <v>0</v>
      </c>
      <c r="AB51" s="167"/>
    </row>
    <row r="52" spans="2:28" ht="14.25">
      <c r="B52" s="1409"/>
      <c r="C52" s="1405"/>
      <c r="D52" s="1405"/>
      <c r="E52" s="162" t="s">
        <v>85</v>
      </c>
      <c r="F52" s="162"/>
      <c r="G52" s="720"/>
      <c r="H52" s="1405"/>
      <c r="I52" s="164" t="s">
        <v>498</v>
      </c>
      <c r="J52" s="143">
        <v>0</v>
      </c>
      <c r="K52" s="141">
        <v>0</v>
      </c>
      <c r="L52" s="141">
        <v>0</v>
      </c>
      <c r="M52" s="141">
        <v>0</v>
      </c>
      <c r="N52" s="141">
        <v>0</v>
      </c>
      <c r="O52" s="141">
        <v>0</v>
      </c>
      <c r="P52" s="141">
        <v>0</v>
      </c>
      <c r="Q52" s="144">
        <v>0</v>
      </c>
      <c r="R52" s="143">
        <v>0</v>
      </c>
      <c r="S52" s="141">
        <v>0</v>
      </c>
      <c r="T52" s="141">
        <v>0</v>
      </c>
      <c r="U52" s="141">
        <v>0</v>
      </c>
      <c r="V52" s="144">
        <v>0</v>
      </c>
      <c r="W52" s="1405"/>
      <c r="X52" s="166"/>
      <c r="Y52" s="1445"/>
      <c r="Z52" s="1445"/>
      <c r="AA52" s="1085">
        <f t="shared" si="0"/>
        <v>0</v>
      </c>
      <c r="AB52" s="167"/>
    </row>
    <row r="53" spans="2:28" ht="14.25">
      <c r="B53" s="1409"/>
      <c r="C53" s="1405"/>
      <c r="D53" s="1405"/>
      <c r="E53" s="162" t="s">
        <v>85</v>
      </c>
      <c r="F53" s="162"/>
      <c r="G53" s="720"/>
      <c r="H53" s="1405"/>
      <c r="I53" s="164" t="s">
        <v>498</v>
      </c>
      <c r="J53" s="143">
        <v>0</v>
      </c>
      <c r="K53" s="141">
        <v>0</v>
      </c>
      <c r="L53" s="141">
        <v>0</v>
      </c>
      <c r="M53" s="141">
        <v>0</v>
      </c>
      <c r="N53" s="141">
        <v>0</v>
      </c>
      <c r="O53" s="141">
        <v>0</v>
      </c>
      <c r="P53" s="141">
        <v>0</v>
      </c>
      <c r="Q53" s="144">
        <v>0</v>
      </c>
      <c r="R53" s="143">
        <v>0</v>
      </c>
      <c r="S53" s="141">
        <v>0</v>
      </c>
      <c r="T53" s="141">
        <v>0</v>
      </c>
      <c r="U53" s="141">
        <v>0</v>
      </c>
      <c r="V53" s="144">
        <v>0</v>
      </c>
      <c r="W53" s="1405"/>
      <c r="X53" s="166"/>
      <c r="Y53" s="1445"/>
      <c r="Z53" s="1445"/>
      <c r="AA53" s="1085">
        <f t="shared" si="0"/>
        <v>0</v>
      </c>
      <c r="AB53" s="167"/>
    </row>
    <row r="54" spans="2:28" ht="14.25">
      <c r="B54" s="1409"/>
      <c r="C54" s="1405"/>
      <c r="D54" s="1405"/>
      <c r="E54" s="162" t="s">
        <v>85</v>
      </c>
      <c r="F54" s="162"/>
      <c r="G54" s="720"/>
      <c r="H54" s="1405"/>
      <c r="I54" s="164" t="s">
        <v>498</v>
      </c>
      <c r="J54" s="143">
        <v>0</v>
      </c>
      <c r="K54" s="141">
        <v>0</v>
      </c>
      <c r="L54" s="141">
        <v>0</v>
      </c>
      <c r="M54" s="141">
        <v>0</v>
      </c>
      <c r="N54" s="141">
        <v>0</v>
      </c>
      <c r="O54" s="141">
        <v>0</v>
      </c>
      <c r="P54" s="141">
        <v>0</v>
      </c>
      <c r="Q54" s="144">
        <v>0</v>
      </c>
      <c r="R54" s="143">
        <v>0</v>
      </c>
      <c r="S54" s="141">
        <v>0</v>
      </c>
      <c r="T54" s="141">
        <v>0</v>
      </c>
      <c r="U54" s="141">
        <v>0</v>
      </c>
      <c r="V54" s="144">
        <v>0</v>
      </c>
      <c r="W54" s="1405"/>
      <c r="X54" s="166"/>
      <c r="Y54" s="1445"/>
      <c r="Z54" s="1445"/>
      <c r="AA54" s="1085">
        <f t="shared" si="0"/>
        <v>0</v>
      </c>
      <c r="AB54" s="167"/>
    </row>
    <row r="55" spans="2:28" ht="14.25">
      <c r="B55" s="1409"/>
      <c r="C55" s="1405"/>
      <c r="D55" s="1405"/>
      <c r="E55" s="162" t="s">
        <v>85</v>
      </c>
      <c r="F55" s="162"/>
      <c r="G55" s="720"/>
      <c r="H55" s="1405"/>
      <c r="I55" s="164" t="s">
        <v>498</v>
      </c>
      <c r="J55" s="143">
        <v>0</v>
      </c>
      <c r="K55" s="141">
        <v>0</v>
      </c>
      <c r="L55" s="141">
        <v>0</v>
      </c>
      <c r="M55" s="141">
        <v>0</v>
      </c>
      <c r="N55" s="141">
        <v>0</v>
      </c>
      <c r="O55" s="141">
        <v>0</v>
      </c>
      <c r="P55" s="141">
        <v>0</v>
      </c>
      <c r="Q55" s="144">
        <v>0</v>
      </c>
      <c r="R55" s="143">
        <v>0</v>
      </c>
      <c r="S55" s="141">
        <v>0</v>
      </c>
      <c r="T55" s="141">
        <v>0</v>
      </c>
      <c r="U55" s="141">
        <v>0</v>
      </c>
      <c r="V55" s="144">
        <v>0</v>
      </c>
      <c r="W55" s="1405"/>
      <c r="X55" s="166"/>
      <c r="Y55" s="1445"/>
      <c r="Z55" s="1445"/>
      <c r="AA55" s="1085">
        <f t="shared" si="0"/>
        <v>0</v>
      </c>
      <c r="AB55" s="167"/>
    </row>
    <row r="56" spans="2:28" ht="14.25">
      <c r="B56" s="1409"/>
      <c r="C56" s="1405"/>
      <c r="D56" s="1405"/>
      <c r="E56" s="162" t="s">
        <v>85</v>
      </c>
      <c r="F56" s="162"/>
      <c r="G56" s="720"/>
      <c r="H56" s="1405"/>
      <c r="I56" s="164" t="s">
        <v>498</v>
      </c>
      <c r="J56" s="143">
        <v>0</v>
      </c>
      <c r="K56" s="141">
        <v>0</v>
      </c>
      <c r="L56" s="141">
        <v>0</v>
      </c>
      <c r="M56" s="141">
        <v>0</v>
      </c>
      <c r="N56" s="141">
        <v>0</v>
      </c>
      <c r="O56" s="141">
        <v>0</v>
      </c>
      <c r="P56" s="141">
        <v>0</v>
      </c>
      <c r="Q56" s="144">
        <v>0</v>
      </c>
      <c r="R56" s="143">
        <v>0</v>
      </c>
      <c r="S56" s="141">
        <v>0</v>
      </c>
      <c r="T56" s="141">
        <v>0</v>
      </c>
      <c r="U56" s="141">
        <v>0</v>
      </c>
      <c r="V56" s="144">
        <v>0</v>
      </c>
      <c r="W56" s="1405"/>
      <c r="X56" s="166"/>
      <c r="Y56" s="1445"/>
      <c r="Z56" s="1445"/>
      <c r="AA56" s="1085">
        <f t="shared" si="0"/>
        <v>0</v>
      </c>
      <c r="AB56" s="167"/>
    </row>
    <row r="57" spans="2:28" ht="14.25">
      <c r="B57" s="1409"/>
      <c r="C57" s="1405"/>
      <c r="D57" s="1405"/>
      <c r="E57" s="162" t="s">
        <v>85</v>
      </c>
      <c r="F57" s="162"/>
      <c r="G57" s="720"/>
      <c r="H57" s="1405"/>
      <c r="I57" s="164" t="s">
        <v>498</v>
      </c>
      <c r="J57" s="143">
        <v>0</v>
      </c>
      <c r="K57" s="141">
        <v>0</v>
      </c>
      <c r="L57" s="141">
        <v>0</v>
      </c>
      <c r="M57" s="141">
        <v>0</v>
      </c>
      <c r="N57" s="141">
        <v>0</v>
      </c>
      <c r="O57" s="141">
        <v>0</v>
      </c>
      <c r="P57" s="141">
        <v>0</v>
      </c>
      <c r="Q57" s="144">
        <v>0</v>
      </c>
      <c r="R57" s="143">
        <v>0</v>
      </c>
      <c r="S57" s="141">
        <v>0</v>
      </c>
      <c r="T57" s="141">
        <v>0</v>
      </c>
      <c r="U57" s="141">
        <v>0</v>
      </c>
      <c r="V57" s="144">
        <v>0</v>
      </c>
      <c r="W57" s="1405"/>
      <c r="X57" s="166"/>
      <c r="Y57" s="1445"/>
      <c r="Z57" s="1445"/>
      <c r="AA57" s="1085">
        <f t="shared" si="0"/>
        <v>0</v>
      </c>
      <c r="AB57" s="167"/>
    </row>
    <row r="58" spans="2:28" ht="14.25">
      <c r="B58" s="1409"/>
      <c r="C58" s="1405"/>
      <c r="D58" s="1405"/>
      <c r="E58" s="162" t="s">
        <v>85</v>
      </c>
      <c r="F58" s="162"/>
      <c r="G58" s="720"/>
      <c r="H58" s="1405"/>
      <c r="I58" s="164" t="s">
        <v>498</v>
      </c>
      <c r="J58" s="143">
        <v>0</v>
      </c>
      <c r="K58" s="141">
        <v>0</v>
      </c>
      <c r="L58" s="141">
        <v>0</v>
      </c>
      <c r="M58" s="141">
        <v>0</v>
      </c>
      <c r="N58" s="141">
        <v>0</v>
      </c>
      <c r="O58" s="141">
        <v>0</v>
      </c>
      <c r="P58" s="141">
        <v>0</v>
      </c>
      <c r="Q58" s="144">
        <v>0</v>
      </c>
      <c r="R58" s="143">
        <v>0</v>
      </c>
      <c r="S58" s="141">
        <v>0</v>
      </c>
      <c r="T58" s="141">
        <v>0</v>
      </c>
      <c r="U58" s="141">
        <v>0</v>
      </c>
      <c r="V58" s="144">
        <v>0</v>
      </c>
      <c r="W58" s="1405"/>
      <c r="X58" s="166"/>
      <c r="Y58" s="1445"/>
      <c r="Z58" s="1445"/>
      <c r="AA58" s="1085">
        <f t="shared" si="0"/>
        <v>0</v>
      </c>
      <c r="AB58" s="167"/>
    </row>
    <row r="59" spans="2:28" ht="14.25">
      <c r="B59" s="1409"/>
      <c r="C59" s="1405"/>
      <c r="D59" s="1405"/>
      <c r="E59" s="162" t="s">
        <v>85</v>
      </c>
      <c r="F59" s="162"/>
      <c r="G59" s="720"/>
      <c r="H59" s="1405"/>
      <c r="I59" s="164" t="s">
        <v>498</v>
      </c>
      <c r="J59" s="143">
        <v>0</v>
      </c>
      <c r="K59" s="141">
        <v>0</v>
      </c>
      <c r="L59" s="141">
        <v>0</v>
      </c>
      <c r="M59" s="141">
        <v>0</v>
      </c>
      <c r="N59" s="141">
        <v>0</v>
      </c>
      <c r="O59" s="141">
        <v>0</v>
      </c>
      <c r="P59" s="141">
        <v>0</v>
      </c>
      <c r="Q59" s="144">
        <v>0</v>
      </c>
      <c r="R59" s="143">
        <v>0</v>
      </c>
      <c r="S59" s="141">
        <v>0</v>
      </c>
      <c r="T59" s="141">
        <v>0</v>
      </c>
      <c r="U59" s="141">
        <v>0</v>
      </c>
      <c r="V59" s="144">
        <v>0</v>
      </c>
      <c r="W59" s="1405"/>
      <c r="X59" s="166"/>
      <c r="Y59" s="1445"/>
      <c r="Z59" s="1445"/>
      <c r="AA59" s="1085">
        <f t="shared" si="0"/>
        <v>0</v>
      </c>
      <c r="AB59" s="167"/>
    </row>
    <row r="60" spans="2:28" ht="14.25">
      <c r="B60" s="1409"/>
      <c r="C60" s="1405"/>
      <c r="D60" s="1405"/>
      <c r="E60" s="162" t="s">
        <v>85</v>
      </c>
      <c r="F60" s="162"/>
      <c r="G60" s="720"/>
      <c r="H60" s="1405"/>
      <c r="I60" s="164" t="s">
        <v>498</v>
      </c>
      <c r="J60" s="143">
        <v>0</v>
      </c>
      <c r="K60" s="141">
        <v>0</v>
      </c>
      <c r="L60" s="141">
        <v>0</v>
      </c>
      <c r="M60" s="141">
        <v>0</v>
      </c>
      <c r="N60" s="141">
        <v>0</v>
      </c>
      <c r="O60" s="141">
        <v>0</v>
      </c>
      <c r="P60" s="141">
        <v>0</v>
      </c>
      <c r="Q60" s="144">
        <v>0</v>
      </c>
      <c r="R60" s="143">
        <v>0</v>
      </c>
      <c r="S60" s="141">
        <v>0</v>
      </c>
      <c r="T60" s="141">
        <v>0</v>
      </c>
      <c r="U60" s="141">
        <v>0</v>
      </c>
      <c r="V60" s="144">
        <v>0</v>
      </c>
      <c r="W60" s="1405"/>
      <c r="X60" s="166"/>
      <c r="Y60" s="1445"/>
      <c r="Z60" s="1445"/>
      <c r="AA60" s="1085">
        <f t="shared" si="0"/>
        <v>0</v>
      </c>
      <c r="AB60" s="167"/>
    </row>
    <row r="61" spans="2:28" ht="14.25">
      <c r="B61" s="1409"/>
      <c r="C61" s="1405"/>
      <c r="D61" s="1405"/>
      <c r="E61" s="162" t="s">
        <v>85</v>
      </c>
      <c r="F61" s="162"/>
      <c r="G61" s="720"/>
      <c r="H61" s="1405"/>
      <c r="I61" s="164" t="s">
        <v>498</v>
      </c>
      <c r="J61" s="143">
        <v>0</v>
      </c>
      <c r="K61" s="141">
        <v>0</v>
      </c>
      <c r="L61" s="141">
        <v>0</v>
      </c>
      <c r="M61" s="141">
        <v>0</v>
      </c>
      <c r="N61" s="141">
        <v>0</v>
      </c>
      <c r="O61" s="141">
        <v>0</v>
      </c>
      <c r="P61" s="141">
        <v>0</v>
      </c>
      <c r="Q61" s="144">
        <v>0</v>
      </c>
      <c r="R61" s="143">
        <v>0</v>
      </c>
      <c r="S61" s="141">
        <v>0</v>
      </c>
      <c r="T61" s="141">
        <v>0</v>
      </c>
      <c r="U61" s="141">
        <v>0</v>
      </c>
      <c r="V61" s="144">
        <v>0</v>
      </c>
      <c r="W61" s="1405"/>
      <c r="X61" s="166"/>
      <c r="Y61" s="1445"/>
      <c r="Z61" s="1445"/>
      <c r="AA61" s="1085">
        <f t="shared" si="0"/>
        <v>0</v>
      </c>
      <c r="AB61" s="167"/>
    </row>
    <row r="62" spans="2:28" ht="14.25">
      <c r="B62" s="1409"/>
      <c r="C62" s="1405"/>
      <c r="D62" s="1405"/>
      <c r="E62" s="162" t="s">
        <v>85</v>
      </c>
      <c r="F62" s="162"/>
      <c r="G62" s="720"/>
      <c r="H62" s="1405"/>
      <c r="I62" s="164" t="s">
        <v>498</v>
      </c>
      <c r="J62" s="143">
        <v>0</v>
      </c>
      <c r="K62" s="141">
        <v>0</v>
      </c>
      <c r="L62" s="141">
        <v>0</v>
      </c>
      <c r="M62" s="141">
        <v>0</v>
      </c>
      <c r="N62" s="141">
        <v>0</v>
      </c>
      <c r="O62" s="141">
        <v>0</v>
      </c>
      <c r="P62" s="141">
        <v>0</v>
      </c>
      <c r="Q62" s="144">
        <v>0</v>
      </c>
      <c r="R62" s="143">
        <v>0</v>
      </c>
      <c r="S62" s="141">
        <v>0</v>
      </c>
      <c r="T62" s="141">
        <v>0</v>
      </c>
      <c r="U62" s="141">
        <v>0</v>
      </c>
      <c r="V62" s="144">
        <v>0</v>
      </c>
      <c r="W62" s="1405"/>
      <c r="X62" s="166"/>
      <c r="Y62" s="1445"/>
      <c r="Z62" s="1445"/>
      <c r="AA62" s="1085">
        <f t="shared" si="0"/>
        <v>0</v>
      </c>
      <c r="AB62" s="167"/>
    </row>
    <row r="63" spans="2:28" ht="14.25">
      <c r="B63" s="1409"/>
      <c r="C63" s="1405"/>
      <c r="D63" s="1405"/>
      <c r="E63" s="162" t="s">
        <v>85</v>
      </c>
      <c r="F63" s="162"/>
      <c r="G63" s="720"/>
      <c r="H63" s="1405"/>
      <c r="I63" s="164" t="s">
        <v>498</v>
      </c>
      <c r="J63" s="143">
        <v>0</v>
      </c>
      <c r="K63" s="141">
        <v>0</v>
      </c>
      <c r="L63" s="141">
        <v>0</v>
      </c>
      <c r="M63" s="141">
        <v>0</v>
      </c>
      <c r="N63" s="141">
        <v>0</v>
      </c>
      <c r="O63" s="141">
        <v>0</v>
      </c>
      <c r="P63" s="141">
        <v>0</v>
      </c>
      <c r="Q63" s="144">
        <v>0</v>
      </c>
      <c r="R63" s="143">
        <v>0</v>
      </c>
      <c r="S63" s="141">
        <v>0</v>
      </c>
      <c r="T63" s="141">
        <v>0</v>
      </c>
      <c r="U63" s="141">
        <v>0</v>
      </c>
      <c r="V63" s="144">
        <v>0</v>
      </c>
      <c r="W63" s="1405"/>
      <c r="X63" s="166"/>
      <c r="Y63" s="1445"/>
      <c r="Z63" s="1445"/>
      <c r="AA63" s="1085">
        <f t="shared" si="0"/>
        <v>0</v>
      </c>
      <c r="AB63" s="167"/>
    </row>
    <row r="64" spans="2:28" ht="14.25">
      <c r="B64" s="1409"/>
      <c r="C64" s="1405"/>
      <c r="D64" s="1405"/>
      <c r="E64" s="162" t="s">
        <v>85</v>
      </c>
      <c r="F64" s="162"/>
      <c r="G64" s="720"/>
      <c r="H64" s="1405"/>
      <c r="I64" s="164" t="s">
        <v>498</v>
      </c>
      <c r="J64" s="143">
        <v>0</v>
      </c>
      <c r="K64" s="141">
        <v>0</v>
      </c>
      <c r="L64" s="141">
        <v>0</v>
      </c>
      <c r="M64" s="141">
        <v>0</v>
      </c>
      <c r="N64" s="141">
        <v>0</v>
      </c>
      <c r="O64" s="141">
        <v>0</v>
      </c>
      <c r="P64" s="141">
        <v>0</v>
      </c>
      <c r="Q64" s="144">
        <v>0</v>
      </c>
      <c r="R64" s="143">
        <v>0</v>
      </c>
      <c r="S64" s="141">
        <v>0</v>
      </c>
      <c r="T64" s="141">
        <v>0</v>
      </c>
      <c r="U64" s="141">
        <v>0</v>
      </c>
      <c r="V64" s="144">
        <v>0</v>
      </c>
      <c r="W64" s="1405"/>
      <c r="X64" s="166"/>
      <c r="Y64" s="1445"/>
      <c r="Z64" s="1445"/>
      <c r="AA64" s="1085">
        <f t="shared" si="0"/>
        <v>0</v>
      </c>
      <c r="AB64" s="167"/>
    </row>
    <row r="65" spans="2:28" ht="14.25">
      <c r="B65" s="1409"/>
      <c r="C65" s="1405"/>
      <c r="D65" s="1405"/>
      <c r="E65" s="162" t="s">
        <v>85</v>
      </c>
      <c r="F65" s="162"/>
      <c r="G65" s="720"/>
      <c r="H65" s="1405"/>
      <c r="I65" s="164" t="s">
        <v>498</v>
      </c>
      <c r="J65" s="143">
        <v>0</v>
      </c>
      <c r="K65" s="141">
        <v>0</v>
      </c>
      <c r="L65" s="141">
        <v>0</v>
      </c>
      <c r="M65" s="141">
        <v>0</v>
      </c>
      <c r="N65" s="141">
        <v>0</v>
      </c>
      <c r="O65" s="141">
        <v>0</v>
      </c>
      <c r="P65" s="141">
        <v>0</v>
      </c>
      <c r="Q65" s="144">
        <v>0</v>
      </c>
      <c r="R65" s="143">
        <v>0</v>
      </c>
      <c r="S65" s="141">
        <v>0</v>
      </c>
      <c r="T65" s="141">
        <v>0</v>
      </c>
      <c r="U65" s="141">
        <v>0</v>
      </c>
      <c r="V65" s="144">
        <v>0</v>
      </c>
      <c r="W65" s="1405"/>
      <c r="X65" s="166"/>
      <c r="Y65" s="1445"/>
      <c r="Z65" s="1445"/>
      <c r="AA65" s="1085">
        <f t="shared" si="0"/>
        <v>0</v>
      </c>
      <c r="AB65" s="167"/>
    </row>
    <row r="66" spans="2:28" ht="14.25">
      <c r="B66" s="1409"/>
      <c r="C66" s="1405"/>
      <c r="D66" s="1405"/>
      <c r="E66" s="162" t="s">
        <v>85</v>
      </c>
      <c r="F66" s="162"/>
      <c r="G66" s="720"/>
      <c r="H66" s="1405"/>
      <c r="I66" s="164" t="s">
        <v>498</v>
      </c>
      <c r="J66" s="143">
        <v>0</v>
      </c>
      <c r="K66" s="141">
        <v>0</v>
      </c>
      <c r="L66" s="141">
        <v>0</v>
      </c>
      <c r="M66" s="141">
        <v>0</v>
      </c>
      <c r="N66" s="141">
        <v>0</v>
      </c>
      <c r="O66" s="141">
        <v>0</v>
      </c>
      <c r="P66" s="141">
        <v>0</v>
      </c>
      <c r="Q66" s="144">
        <v>0</v>
      </c>
      <c r="R66" s="143">
        <v>0</v>
      </c>
      <c r="S66" s="141">
        <v>0</v>
      </c>
      <c r="T66" s="141">
        <v>0</v>
      </c>
      <c r="U66" s="141">
        <v>0</v>
      </c>
      <c r="V66" s="144">
        <v>0</v>
      </c>
      <c r="W66" s="1405"/>
      <c r="X66" s="166"/>
      <c r="Y66" s="1445"/>
      <c r="Z66" s="1445"/>
      <c r="AA66" s="1085">
        <f t="shared" si="0"/>
        <v>0</v>
      </c>
      <c r="AB66" s="167"/>
    </row>
    <row r="67" spans="2:28" ht="14.25">
      <c r="B67" s="1409"/>
      <c r="C67" s="1405"/>
      <c r="D67" s="1405"/>
      <c r="E67" s="162" t="s">
        <v>85</v>
      </c>
      <c r="F67" s="162"/>
      <c r="G67" s="720"/>
      <c r="H67" s="1405"/>
      <c r="I67" s="164" t="s">
        <v>498</v>
      </c>
      <c r="J67" s="143">
        <v>0</v>
      </c>
      <c r="K67" s="141">
        <v>0</v>
      </c>
      <c r="L67" s="141">
        <v>0</v>
      </c>
      <c r="M67" s="141">
        <v>0</v>
      </c>
      <c r="N67" s="141">
        <v>0</v>
      </c>
      <c r="O67" s="141">
        <v>0</v>
      </c>
      <c r="P67" s="141">
        <v>0</v>
      </c>
      <c r="Q67" s="144">
        <v>0</v>
      </c>
      <c r="R67" s="143">
        <v>0</v>
      </c>
      <c r="S67" s="141">
        <v>0</v>
      </c>
      <c r="T67" s="141">
        <v>0</v>
      </c>
      <c r="U67" s="141">
        <v>0</v>
      </c>
      <c r="V67" s="144">
        <v>0</v>
      </c>
      <c r="W67" s="1405"/>
      <c r="X67" s="166"/>
      <c r="Y67" s="1445"/>
      <c r="Z67" s="1445"/>
      <c r="AA67" s="1085">
        <f t="shared" si="0"/>
        <v>0</v>
      </c>
      <c r="AB67" s="167"/>
    </row>
    <row r="68" spans="2:28" ht="14.25">
      <c r="B68" s="1409"/>
      <c r="C68" s="1405"/>
      <c r="D68" s="1405"/>
      <c r="E68" s="162" t="s">
        <v>85</v>
      </c>
      <c r="F68" s="162"/>
      <c r="G68" s="720"/>
      <c r="H68" s="1405"/>
      <c r="I68" s="164" t="s">
        <v>498</v>
      </c>
      <c r="J68" s="143">
        <v>0</v>
      </c>
      <c r="K68" s="141">
        <v>0</v>
      </c>
      <c r="L68" s="141">
        <v>0</v>
      </c>
      <c r="M68" s="141">
        <v>0</v>
      </c>
      <c r="N68" s="141">
        <v>0</v>
      </c>
      <c r="O68" s="141">
        <v>0</v>
      </c>
      <c r="P68" s="141">
        <v>0</v>
      </c>
      <c r="Q68" s="144">
        <v>0</v>
      </c>
      <c r="R68" s="143">
        <v>0</v>
      </c>
      <c r="S68" s="141">
        <v>0</v>
      </c>
      <c r="T68" s="141">
        <v>0</v>
      </c>
      <c r="U68" s="141">
        <v>0</v>
      </c>
      <c r="V68" s="144">
        <v>0</v>
      </c>
      <c r="W68" s="1405"/>
      <c r="X68" s="166"/>
      <c r="Y68" s="1445"/>
      <c r="Z68" s="1445"/>
      <c r="AA68" s="1085">
        <f t="shared" si="0"/>
        <v>0</v>
      </c>
      <c r="AB68" s="167"/>
    </row>
    <row r="69" spans="2:28" ht="14.25">
      <c r="B69" s="1409"/>
      <c r="C69" s="1405"/>
      <c r="D69" s="1405"/>
      <c r="E69" s="162" t="s">
        <v>85</v>
      </c>
      <c r="F69" s="162"/>
      <c r="G69" s="720"/>
      <c r="H69" s="1405"/>
      <c r="I69" s="164" t="s">
        <v>498</v>
      </c>
      <c r="J69" s="143">
        <v>0</v>
      </c>
      <c r="K69" s="141">
        <v>0</v>
      </c>
      <c r="L69" s="141">
        <v>0</v>
      </c>
      <c r="M69" s="141">
        <v>0</v>
      </c>
      <c r="N69" s="141">
        <v>0</v>
      </c>
      <c r="O69" s="141">
        <v>0</v>
      </c>
      <c r="P69" s="141">
        <v>0</v>
      </c>
      <c r="Q69" s="144">
        <v>0</v>
      </c>
      <c r="R69" s="143">
        <v>0</v>
      </c>
      <c r="S69" s="141">
        <v>0</v>
      </c>
      <c r="T69" s="141">
        <v>0</v>
      </c>
      <c r="U69" s="141">
        <v>0</v>
      </c>
      <c r="V69" s="144">
        <v>0</v>
      </c>
      <c r="W69" s="1405"/>
      <c r="X69" s="166"/>
      <c r="Y69" s="1445"/>
      <c r="Z69" s="1445"/>
      <c r="AA69" s="1085">
        <f t="shared" si="0"/>
        <v>0</v>
      </c>
      <c r="AB69" s="167"/>
    </row>
    <row r="70" spans="2:28" ht="14.25">
      <c r="B70" s="1409"/>
      <c r="C70" s="1405"/>
      <c r="D70" s="1405"/>
      <c r="E70" s="162" t="s">
        <v>85</v>
      </c>
      <c r="F70" s="162"/>
      <c r="G70" s="720"/>
      <c r="H70" s="1405"/>
      <c r="I70" s="164" t="s">
        <v>498</v>
      </c>
      <c r="J70" s="143">
        <v>0</v>
      </c>
      <c r="K70" s="141">
        <v>0</v>
      </c>
      <c r="L70" s="141">
        <v>0</v>
      </c>
      <c r="M70" s="141">
        <v>0</v>
      </c>
      <c r="N70" s="141">
        <v>0</v>
      </c>
      <c r="O70" s="141">
        <v>0</v>
      </c>
      <c r="P70" s="141">
        <v>0</v>
      </c>
      <c r="Q70" s="144">
        <v>0</v>
      </c>
      <c r="R70" s="143">
        <v>0</v>
      </c>
      <c r="S70" s="141">
        <v>0</v>
      </c>
      <c r="T70" s="141">
        <v>0</v>
      </c>
      <c r="U70" s="141">
        <v>0</v>
      </c>
      <c r="V70" s="144">
        <v>0</v>
      </c>
      <c r="W70" s="1405"/>
      <c r="X70" s="166"/>
      <c r="Y70" s="1445"/>
      <c r="Z70" s="1445"/>
      <c r="AA70" s="1085">
        <f t="shared" si="0"/>
        <v>0</v>
      </c>
      <c r="AB70" s="167"/>
    </row>
    <row r="71" spans="2:28" ht="14.25">
      <c r="B71" s="1409"/>
      <c r="C71" s="1405"/>
      <c r="D71" s="1405"/>
      <c r="E71" s="162" t="s">
        <v>85</v>
      </c>
      <c r="F71" s="162"/>
      <c r="G71" s="720"/>
      <c r="H71" s="1405"/>
      <c r="I71" s="164" t="s">
        <v>498</v>
      </c>
      <c r="J71" s="143">
        <v>0</v>
      </c>
      <c r="K71" s="141">
        <v>0</v>
      </c>
      <c r="L71" s="141">
        <v>0</v>
      </c>
      <c r="M71" s="141">
        <v>0</v>
      </c>
      <c r="N71" s="141">
        <v>0</v>
      </c>
      <c r="O71" s="141">
        <v>0</v>
      </c>
      <c r="P71" s="141">
        <v>0</v>
      </c>
      <c r="Q71" s="144">
        <v>0</v>
      </c>
      <c r="R71" s="143">
        <v>0</v>
      </c>
      <c r="S71" s="141">
        <v>0</v>
      </c>
      <c r="T71" s="141">
        <v>0</v>
      </c>
      <c r="U71" s="141">
        <v>0</v>
      </c>
      <c r="V71" s="144">
        <v>0</v>
      </c>
      <c r="W71" s="1405"/>
      <c r="X71" s="166"/>
      <c r="Y71" s="1445"/>
      <c r="Z71" s="1445"/>
      <c r="AA71" s="1085">
        <f t="shared" si="0"/>
        <v>0</v>
      </c>
      <c r="AB71" s="167"/>
    </row>
    <row r="72" spans="2:28" ht="14.25">
      <c r="B72" s="1409"/>
      <c r="C72" s="1405"/>
      <c r="D72" s="1405"/>
      <c r="E72" s="162" t="s">
        <v>85</v>
      </c>
      <c r="F72" s="162"/>
      <c r="G72" s="720"/>
      <c r="H72" s="1405"/>
      <c r="I72" s="164" t="s">
        <v>498</v>
      </c>
      <c r="J72" s="143">
        <v>0</v>
      </c>
      <c r="K72" s="141">
        <v>0</v>
      </c>
      <c r="L72" s="141">
        <v>0</v>
      </c>
      <c r="M72" s="141">
        <v>0</v>
      </c>
      <c r="N72" s="141">
        <v>0</v>
      </c>
      <c r="O72" s="141">
        <v>0</v>
      </c>
      <c r="P72" s="141">
        <v>0</v>
      </c>
      <c r="Q72" s="144">
        <v>0</v>
      </c>
      <c r="R72" s="143">
        <v>0</v>
      </c>
      <c r="S72" s="141">
        <v>0</v>
      </c>
      <c r="T72" s="141">
        <v>0</v>
      </c>
      <c r="U72" s="141">
        <v>0</v>
      </c>
      <c r="V72" s="144">
        <v>0</v>
      </c>
      <c r="W72" s="1405"/>
      <c r="X72" s="166"/>
      <c r="Y72" s="1445"/>
      <c r="Z72" s="1445"/>
      <c r="AA72" s="1085">
        <f t="shared" si="0"/>
        <v>0</v>
      </c>
      <c r="AB72" s="167"/>
    </row>
    <row r="73" spans="2:28" ht="14.25">
      <c r="B73" s="1409"/>
      <c r="C73" s="1405"/>
      <c r="D73" s="1405"/>
      <c r="E73" s="162" t="s">
        <v>85</v>
      </c>
      <c r="F73" s="162"/>
      <c r="G73" s="720"/>
      <c r="H73" s="1405"/>
      <c r="I73" s="164" t="s">
        <v>498</v>
      </c>
      <c r="J73" s="143">
        <v>0</v>
      </c>
      <c r="K73" s="141">
        <v>0</v>
      </c>
      <c r="L73" s="141">
        <v>0</v>
      </c>
      <c r="M73" s="141">
        <v>0</v>
      </c>
      <c r="N73" s="141">
        <v>0</v>
      </c>
      <c r="O73" s="141">
        <v>0</v>
      </c>
      <c r="P73" s="141">
        <v>0</v>
      </c>
      <c r="Q73" s="144">
        <v>0</v>
      </c>
      <c r="R73" s="143">
        <v>0</v>
      </c>
      <c r="S73" s="141">
        <v>0</v>
      </c>
      <c r="T73" s="141">
        <v>0</v>
      </c>
      <c r="U73" s="141">
        <v>0</v>
      </c>
      <c r="V73" s="144">
        <v>0</v>
      </c>
      <c r="W73" s="1405"/>
      <c r="X73" s="166"/>
      <c r="Y73" s="1445"/>
      <c r="Z73" s="1445"/>
      <c r="AA73" s="1085">
        <f t="shared" si="0"/>
        <v>0</v>
      </c>
      <c r="AB73" s="167"/>
    </row>
    <row r="74" spans="2:28" ht="14.25">
      <c r="B74" s="1409"/>
      <c r="C74" s="1405"/>
      <c r="D74" s="1405"/>
      <c r="E74" s="162" t="s">
        <v>85</v>
      </c>
      <c r="F74" s="162"/>
      <c r="G74" s="720"/>
      <c r="H74" s="1405"/>
      <c r="I74" s="164" t="s">
        <v>498</v>
      </c>
      <c r="J74" s="143">
        <v>0</v>
      </c>
      <c r="K74" s="141">
        <v>0</v>
      </c>
      <c r="L74" s="141">
        <v>0</v>
      </c>
      <c r="M74" s="141">
        <v>0</v>
      </c>
      <c r="N74" s="141">
        <v>0</v>
      </c>
      <c r="O74" s="141">
        <v>0</v>
      </c>
      <c r="P74" s="141">
        <v>0</v>
      </c>
      <c r="Q74" s="144">
        <v>0</v>
      </c>
      <c r="R74" s="143">
        <v>0</v>
      </c>
      <c r="S74" s="141">
        <v>0</v>
      </c>
      <c r="T74" s="141">
        <v>0</v>
      </c>
      <c r="U74" s="141">
        <v>0</v>
      </c>
      <c r="V74" s="144">
        <v>0</v>
      </c>
      <c r="W74" s="1405"/>
      <c r="X74" s="166"/>
      <c r="Y74" s="1445"/>
      <c r="Z74" s="1445"/>
      <c r="AA74" s="1085">
        <f t="shared" si="0"/>
        <v>0</v>
      </c>
      <c r="AB74" s="167"/>
    </row>
    <row r="75" spans="2:28" ht="14.25">
      <c r="B75" s="1409"/>
      <c r="C75" s="1405"/>
      <c r="D75" s="1405"/>
      <c r="E75" s="162" t="s">
        <v>85</v>
      </c>
      <c r="F75" s="162"/>
      <c r="G75" s="720"/>
      <c r="H75" s="1405"/>
      <c r="I75" s="164" t="s">
        <v>498</v>
      </c>
      <c r="J75" s="143">
        <v>0</v>
      </c>
      <c r="K75" s="141">
        <v>0</v>
      </c>
      <c r="L75" s="141">
        <v>0</v>
      </c>
      <c r="M75" s="141">
        <v>0</v>
      </c>
      <c r="N75" s="141">
        <v>0</v>
      </c>
      <c r="O75" s="141">
        <v>0</v>
      </c>
      <c r="P75" s="141">
        <v>0</v>
      </c>
      <c r="Q75" s="144">
        <v>0</v>
      </c>
      <c r="R75" s="143">
        <v>0</v>
      </c>
      <c r="S75" s="141">
        <v>0</v>
      </c>
      <c r="T75" s="141">
        <v>0</v>
      </c>
      <c r="U75" s="141">
        <v>0</v>
      </c>
      <c r="V75" s="144">
        <v>0</v>
      </c>
      <c r="W75" s="1405"/>
      <c r="X75" s="166"/>
      <c r="Y75" s="1445"/>
      <c r="Z75" s="1445"/>
      <c r="AA75" s="1085">
        <f t="shared" si="0"/>
        <v>0</v>
      </c>
      <c r="AB75" s="167"/>
    </row>
    <row r="76" spans="2:28" ht="14.25">
      <c r="B76" s="1409"/>
      <c r="C76" s="1405"/>
      <c r="D76" s="1405"/>
      <c r="E76" s="162" t="s">
        <v>85</v>
      </c>
      <c r="F76" s="162"/>
      <c r="G76" s="720"/>
      <c r="H76" s="1405"/>
      <c r="I76" s="164" t="s">
        <v>498</v>
      </c>
      <c r="J76" s="143">
        <v>0</v>
      </c>
      <c r="K76" s="141">
        <v>0</v>
      </c>
      <c r="L76" s="141">
        <v>0</v>
      </c>
      <c r="M76" s="141">
        <v>0</v>
      </c>
      <c r="N76" s="141">
        <v>0</v>
      </c>
      <c r="O76" s="141">
        <v>0</v>
      </c>
      <c r="P76" s="141">
        <v>0</v>
      </c>
      <c r="Q76" s="144">
        <v>0</v>
      </c>
      <c r="R76" s="143">
        <v>0</v>
      </c>
      <c r="S76" s="141">
        <v>0</v>
      </c>
      <c r="T76" s="141">
        <v>0</v>
      </c>
      <c r="U76" s="141">
        <v>0</v>
      </c>
      <c r="V76" s="144">
        <v>0</v>
      </c>
      <c r="W76" s="1405"/>
      <c r="X76" s="166"/>
      <c r="Y76" s="1445"/>
      <c r="Z76" s="1445"/>
      <c r="AA76" s="1085">
        <f t="shared" si="0"/>
        <v>0</v>
      </c>
      <c r="AB76" s="167"/>
    </row>
    <row r="77" spans="2:28" ht="14.25">
      <c r="B77" s="1409"/>
      <c r="C77" s="1405"/>
      <c r="D77" s="1405"/>
      <c r="E77" s="162" t="s">
        <v>85</v>
      </c>
      <c r="F77" s="162"/>
      <c r="G77" s="720"/>
      <c r="H77" s="1405"/>
      <c r="I77" s="164" t="s">
        <v>498</v>
      </c>
      <c r="J77" s="143">
        <v>0</v>
      </c>
      <c r="K77" s="141">
        <v>0</v>
      </c>
      <c r="L77" s="141">
        <v>0</v>
      </c>
      <c r="M77" s="141">
        <v>0</v>
      </c>
      <c r="N77" s="141">
        <v>0</v>
      </c>
      <c r="O77" s="141">
        <v>0</v>
      </c>
      <c r="P77" s="141">
        <v>0</v>
      </c>
      <c r="Q77" s="144">
        <v>0</v>
      </c>
      <c r="R77" s="143">
        <v>0</v>
      </c>
      <c r="S77" s="141">
        <v>0</v>
      </c>
      <c r="T77" s="141">
        <v>0</v>
      </c>
      <c r="U77" s="141">
        <v>0</v>
      </c>
      <c r="V77" s="144">
        <v>0</v>
      </c>
      <c r="W77" s="1405"/>
      <c r="X77" s="166"/>
      <c r="Y77" s="1445"/>
      <c r="Z77" s="1445"/>
      <c r="AA77" s="1085">
        <f t="shared" ref="AA77:AA90" si="1">Z77-Y77</f>
        <v>0</v>
      </c>
      <c r="AB77" s="167"/>
    </row>
    <row r="78" spans="2:28" ht="14.25">
      <c r="B78" s="1409"/>
      <c r="C78" s="1405"/>
      <c r="D78" s="1405"/>
      <c r="E78" s="162" t="s">
        <v>85</v>
      </c>
      <c r="F78" s="162"/>
      <c r="G78" s="720"/>
      <c r="H78" s="1405"/>
      <c r="I78" s="164" t="s">
        <v>498</v>
      </c>
      <c r="J78" s="143">
        <v>0</v>
      </c>
      <c r="K78" s="141">
        <v>0</v>
      </c>
      <c r="L78" s="141">
        <v>0</v>
      </c>
      <c r="M78" s="141">
        <v>0</v>
      </c>
      <c r="N78" s="141">
        <v>0</v>
      </c>
      <c r="O78" s="141">
        <v>0</v>
      </c>
      <c r="P78" s="141">
        <v>0</v>
      </c>
      <c r="Q78" s="144">
        <v>0</v>
      </c>
      <c r="R78" s="143">
        <v>0</v>
      </c>
      <c r="S78" s="141">
        <v>0</v>
      </c>
      <c r="T78" s="141">
        <v>0</v>
      </c>
      <c r="U78" s="141">
        <v>0</v>
      </c>
      <c r="V78" s="144">
        <v>0</v>
      </c>
      <c r="W78" s="1405"/>
      <c r="X78" s="166"/>
      <c r="Y78" s="1445"/>
      <c r="Z78" s="1445"/>
      <c r="AA78" s="1085">
        <f t="shared" si="1"/>
        <v>0</v>
      </c>
      <c r="AB78" s="167"/>
    </row>
    <row r="79" spans="2:28" ht="14.25">
      <c r="B79" s="1409"/>
      <c r="C79" s="1405"/>
      <c r="D79" s="1405"/>
      <c r="E79" s="162" t="s">
        <v>85</v>
      </c>
      <c r="F79" s="162"/>
      <c r="G79" s="720"/>
      <c r="H79" s="1405"/>
      <c r="I79" s="164" t="s">
        <v>498</v>
      </c>
      <c r="J79" s="143">
        <v>0</v>
      </c>
      <c r="K79" s="141">
        <v>0</v>
      </c>
      <c r="L79" s="141">
        <v>0</v>
      </c>
      <c r="M79" s="141">
        <v>0</v>
      </c>
      <c r="N79" s="141">
        <v>0</v>
      </c>
      <c r="O79" s="141">
        <v>0</v>
      </c>
      <c r="P79" s="141">
        <v>0</v>
      </c>
      <c r="Q79" s="144">
        <v>0</v>
      </c>
      <c r="R79" s="143">
        <v>0</v>
      </c>
      <c r="S79" s="141">
        <v>0</v>
      </c>
      <c r="T79" s="141">
        <v>0</v>
      </c>
      <c r="U79" s="141">
        <v>0</v>
      </c>
      <c r="V79" s="144">
        <v>0</v>
      </c>
      <c r="W79" s="1405"/>
      <c r="X79" s="166"/>
      <c r="Y79" s="1445"/>
      <c r="Z79" s="1445"/>
      <c r="AA79" s="1085">
        <f t="shared" si="1"/>
        <v>0</v>
      </c>
      <c r="AB79" s="167"/>
    </row>
    <row r="80" spans="2:28" ht="14.25">
      <c r="B80" s="1409"/>
      <c r="C80" s="1405"/>
      <c r="D80" s="1405"/>
      <c r="E80" s="162" t="s">
        <v>85</v>
      </c>
      <c r="F80" s="162"/>
      <c r="G80" s="720"/>
      <c r="H80" s="1405"/>
      <c r="I80" s="164" t="s">
        <v>498</v>
      </c>
      <c r="J80" s="143">
        <v>0</v>
      </c>
      <c r="K80" s="141">
        <v>0</v>
      </c>
      <c r="L80" s="141">
        <v>0</v>
      </c>
      <c r="M80" s="141">
        <v>0</v>
      </c>
      <c r="N80" s="141">
        <v>0</v>
      </c>
      <c r="O80" s="141">
        <v>0</v>
      </c>
      <c r="P80" s="141">
        <v>0</v>
      </c>
      <c r="Q80" s="144">
        <v>0</v>
      </c>
      <c r="R80" s="143">
        <v>0</v>
      </c>
      <c r="S80" s="141">
        <v>0</v>
      </c>
      <c r="T80" s="141">
        <v>0</v>
      </c>
      <c r="U80" s="141">
        <v>0</v>
      </c>
      <c r="V80" s="144">
        <v>0</v>
      </c>
      <c r="W80" s="1405"/>
      <c r="X80" s="166"/>
      <c r="Y80" s="1445"/>
      <c r="Z80" s="1445"/>
      <c r="AA80" s="1085">
        <f t="shared" si="1"/>
        <v>0</v>
      </c>
      <c r="AB80" s="167"/>
    </row>
    <row r="81" spans="2:28" ht="14.25">
      <c r="B81" s="1409"/>
      <c r="C81" s="1405"/>
      <c r="D81" s="1405"/>
      <c r="E81" s="162" t="s">
        <v>85</v>
      </c>
      <c r="F81" s="162"/>
      <c r="G81" s="720"/>
      <c r="H81" s="1405"/>
      <c r="I81" s="164" t="s">
        <v>498</v>
      </c>
      <c r="J81" s="143">
        <v>0</v>
      </c>
      <c r="K81" s="141">
        <v>0</v>
      </c>
      <c r="L81" s="141">
        <v>0</v>
      </c>
      <c r="M81" s="141">
        <v>0</v>
      </c>
      <c r="N81" s="141">
        <v>0</v>
      </c>
      <c r="O81" s="141">
        <v>0</v>
      </c>
      <c r="P81" s="141">
        <v>0</v>
      </c>
      <c r="Q81" s="144">
        <v>0</v>
      </c>
      <c r="R81" s="143">
        <v>0</v>
      </c>
      <c r="S81" s="141">
        <v>0</v>
      </c>
      <c r="T81" s="141">
        <v>0</v>
      </c>
      <c r="U81" s="141">
        <v>0</v>
      </c>
      <c r="V81" s="144">
        <v>0</v>
      </c>
      <c r="W81" s="1405"/>
      <c r="X81" s="166"/>
      <c r="Y81" s="1445"/>
      <c r="Z81" s="1445"/>
      <c r="AA81" s="1085">
        <f t="shared" si="1"/>
        <v>0</v>
      </c>
      <c r="AB81" s="167"/>
    </row>
    <row r="82" spans="2:28" ht="14.25">
      <c r="B82" s="1409"/>
      <c r="C82" s="1405"/>
      <c r="D82" s="1405"/>
      <c r="E82" s="162" t="s">
        <v>85</v>
      </c>
      <c r="F82" s="162"/>
      <c r="G82" s="720"/>
      <c r="H82" s="1405"/>
      <c r="I82" s="164" t="s">
        <v>498</v>
      </c>
      <c r="J82" s="143">
        <v>0</v>
      </c>
      <c r="K82" s="141">
        <v>0</v>
      </c>
      <c r="L82" s="141">
        <v>0</v>
      </c>
      <c r="M82" s="141">
        <v>0</v>
      </c>
      <c r="N82" s="141">
        <v>0</v>
      </c>
      <c r="O82" s="141">
        <v>0</v>
      </c>
      <c r="P82" s="141">
        <v>0</v>
      </c>
      <c r="Q82" s="144">
        <v>0</v>
      </c>
      <c r="R82" s="143">
        <v>0</v>
      </c>
      <c r="S82" s="141">
        <v>0</v>
      </c>
      <c r="T82" s="141">
        <v>0</v>
      </c>
      <c r="U82" s="141">
        <v>0</v>
      </c>
      <c r="V82" s="144">
        <v>0</v>
      </c>
      <c r="W82" s="1405"/>
      <c r="X82" s="166"/>
      <c r="Y82" s="1445"/>
      <c r="Z82" s="1445"/>
      <c r="AA82" s="1085">
        <f t="shared" si="1"/>
        <v>0</v>
      </c>
      <c r="AB82" s="167"/>
    </row>
    <row r="83" spans="2:28" ht="14.25">
      <c r="B83" s="1409"/>
      <c r="C83" s="1405"/>
      <c r="D83" s="1405"/>
      <c r="E83" s="162" t="s">
        <v>85</v>
      </c>
      <c r="F83" s="162"/>
      <c r="G83" s="720"/>
      <c r="H83" s="1405"/>
      <c r="I83" s="164" t="s">
        <v>498</v>
      </c>
      <c r="J83" s="143">
        <v>0</v>
      </c>
      <c r="K83" s="141">
        <v>0</v>
      </c>
      <c r="L83" s="141">
        <v>0</v>
      </c>
      <c r="M83" s="141">
        <v>0</v>
      </c>
      <c r="N83" s="141">
        <v>0</v>
      </c>
      <c r="O83" s="141">
        <v>0</v>
      </c>
      <c r="P83" s="141">
        <v>0</v>
      </c>
      <c r="Q83" s="144">
        <v>0</v>
      </c>
      <c r="R83" s="143">
        <v>0</v>
      </c>
      <c r="S83" s="141">
        <v>0</v>
      </c>
      <c r="T83" s="141">
        <v>0</v>
      </c>
      <c r="U83" s="141">
        <v>0</v>
      </c>
      <c r="V83" s="144">
        <v>0</v>
      </c>
      <c r="W83" s="1405"/>
      <c r="X83" s="166"/>
      <c r="Y83" s="1445"/>
      <c r="Z83" s="1445"/>
      <c r="AA83" s="1085">
        <f t="shared" si="1"/>
        <v>0</v>
      </c>
      <c r="AB83" s="167"/>
    </row>
    <row r="84" spans="2:28" ht="14.25">
      <c r="B84" s="1409"/>
      <c r="C84" s="1405"/>
      <c r="D84" s="1405"/>
      <c r="E84" s="162" t="s">
        <v>85</v>
      </c>
      <c r="F84" s="162"/>
      <c r="G84" s="720"/>
      <c r="H84" s="1405"/>
      <c r="I84" s="164" t="s">
        <v>498</v>
      </c>
      <c r="J84" s="143">
        <v>0</v>
      </c>
      <c r="K84" s="141">
        <v>0</v>
      </c>
      <c r="L84" s="141">
        <v>0</v>
      </c>
      <c r="M84" s="141">
        <v>0</v>
      </c>
      <c r="N84" s="141">
        <v>0</v>
      </c>
      <c r="O84" s="141">
        <v>0</v>
      </c>
      <c r="P84" s="141">
        <v>0</v>
      </c>
      <c r="Q84" s="144">
        <v>0</v>
      </c>
      <c r="R84" s="143">
        <v>0</v>
      </c>
      <c r="S84" s="141">
        <v>0</v>
      </c>
      <c r="T84" s="141">
        <v>0</v>
      </c>
      <c r="U84" s="141">
        <v>0</v>
      </c>
      <c r="V84" s="144">
        <v>0</v>
      </c>
      <c r="W84" s="1405"/>
      <c r="X84" s="166"/>
      <c r="Y84" s="1445"/>
      <c r="Z84" s="1445"/>
      <c r="AA84" s="1085">
        <f t="shared" si="1"/>
        <v>0</v>
      </c>
      <c r="AB84" s="167"/>
    </row>
    <row r="85" spans="2:28" ht="14.25">
      <c r="B85" s="1409"/>
      <c r="C85" s="1405"/>
      <c r="D85" s="1405"/>
      <c r="E85" s="162" t="s">
        <v>85</v>
      </c>
      <c r="F85" s="162"/>
      <c r="G85" s="720"/>
      <c r="H85" s="1405"/>
      <c r="I85" s="164" t="s">
        <v>498</v>
      </c>
      <c r="J85" s="143">
        <v>0</v>
      </c>
      <c r="K85" s="141">
        <v>0</v>
      </c>
      <c r="L85" s="141">
        <v>0</v>
      </c>
      <c r="M85" s="141">
        <v>0</v>
      </c>
      <c r="N85" s="141">
        <v>0</v>
      </c>
      <c r="O85" s="141">
        <v>0</v>
      </c>
      <c r="P85" s="141">
        <v>0</v>
      </c>
      <c r="Q85" s="144">
        <v>0</v>
      </c>
      <c r="R85" s="143">
        <v>0</v>
      </c>
      <c r="S85" s="141">
        <v>0</v>
      </c>
      <c r="T85" s="141">
        <v>0</v>
      </c>
      <c r="U85" s="141">
        <v>0</v>
      </c>
      <c r="V85" s="144">
        <v>0</v>
      </c>
      <c r="W85" s="1405"/>
      <c r="X85" s="166"/>
      <c r="Y85" s="1445"/>
      <c r="Z85" s="1445"/>
      <c r="AA85" s="1085">
        <f t="shared" si="1"/>
        <v>0</v>
      </c>
      <c r="AB85" s="167"/>
    </row>
    <row r="86" spans="2:28" ht="14.25">
      <c r="B86" s="1409"/>
      <c r="C86" s="1405"/>
      <c r="D86" s="1405"/>
      <c r="E86" s="162" t="s">
        <v>85</v>
      </c>
      <c r="F86" s="162"/>
      <c r="G86" s="720"/>
      <c r="H86" s="1405"/>
      <c r="I86" s="164" t="s">
        <v>498</v>
      </c>
      <c r="J86" s="143">
        <v>0</v>
      </c>
      <c r="K86" s="141">
        <v>0</v>
      </c>
      <c r="L86" s="141">
        <v>0</v>
      </c>
      <c r="M86" s="141">
        <v>0</v>
      </c>
      <c r="N86" s="141">
        <v>0</v>
      </c>
      <c r="O86" s="141">
        <v>0</v>
      </c>
      <c r="P86" s="141">
        <v>0</v>
      </c>
      <c r="Q86" s="144">
        <v>0</v>
      </c>
      <c r="R86" s="143">
        <v>0</v>
      </c>
      <c r="S86" s="141">
        <v>0</v>
      </c>
      <c r="T86" s="141">
        <v>0</v>
      </c>
      <c r="U86" s="141">
        <v>0</v>
      </c>
      <c r="V86" s="144">
        <v>0</v>
      </c>
      <c r="W86" s="1405"/>
      <c r="X86" s="166"/>
      <c r="Y86" s="1445"/>
      <c r="Z86" s="1445"/>
      <c r="AA86" s="1085">
        <f t="shared" si="1"/>
        <v>0</v>
      </c>
      <c r="AB86" s="167"/>
    </row>
    <row r="87" spans="2:28" ht="14.25">
      <c r="B87" s="1409"/>
      <c r="C87" s="1405"/>
      <c r="D87" s="1405"/>
      <c r="E87" s="162" t="s">
        <v>85</v>
      </c>
      <c r="F87" s="162"/>
      <c r="G87" s="720"/>
      <c r="H87" s="1405"/>
      <c r="I87" s="164" t="s">
        <v>498</v>
      </c>
      <c r="J87" s="143">
        <v>0</v>
      </c>
      <c r="K87" s="141">
        <v>0</v>
      </c>
      <c r="L87" s="141">
        <v>0</v>
      </c>
      <c r="M87" s="141">
        <v>0</v>
      </c>
      <c r="N87" s="141">
        <v>0</v>
      </c>
      <c r="O87" s="141">
        <v>0</v>
      </c>
      <c r="P87" s="141">
        <v>0</v>
      </c>
      <c r="Q87" s="144">
        <v>0</v>
      </c>
      <c r="R87" s="143">
        <v>0</v>
      </c>
      <c r="S87" s="141">
        <v>0</v>
      </c>
      <c r="T87" s="141">
        <v>0</v>
      </c>
      <c r="U87" s="141">
        <v>0</v>
      </c>
      <c r="V87" s="144">
        <v>0</v>
      </c>
      <c r="W87" s="1405"/>
      <c r="X87" s="166"/>
      <c r="Y87" s="1445"/>
      <c r="Z87" s="1445"/>
      <c r="AA87" s="1085">
        <f t="shared" si="1"/>
        <v>0</v>
      </c>
      <c r="AB87" s="167"/>
    </row>
    <row r="88" spans="2:28" ht="14.25">
      <c r="B88" s="1409"/>
      <c r="C88" s="1405"/>
      <c r="D88" s="1405"/>
      <c r="E88" s="162" t="s">
        <v>85</v>
      </c>
      <c r="F88" s="162"/>
      <c r="G88" s="720"/>
      <c r="H88" s="1405"/>
      <c r="I88" s="164" t="s">
        <v>498</v>
      </c>
      <c r="J88" s="143">
        <v>0</v>
      </c>
      <c r="K88" s="141">
        <v>0</v>
      </c>
      <c r="L88" s="141">
        <v>0</v>
      </c>
      <c r="M88" s="141">
        <v>0</v>
      </c>
      <c r="N88" s="141">
        <v>0</v>
      </c>
      <c r="O88" s="141">
        <v>0</v>
      </c>
      <c r="P88" s="141">
        <v>0</v>
      </c>
      <c r="Q88" s="144">
        <v>0</v>
      </c>
      <c r="R88" s="143">
        <v>0</v>
      </c>
      <c r="S88" s="141">
        <v>0</v>
      </c>
      <c r="T88" s="141">
        <v>0</v>
      </c>
      <c r="U88" s="141">
        <v>0</v>
      </c>
      <c r="V88" s="144">
        <v>0</v>
      </c>
      <c r="W88" s="1405"/>
      <c r="X88" s="166"/>
      <c r="Y88" s="1445"/>
      <c r="Z88" s="1445"/>
      <c r="AA88" s="1085">
        <f t="shared" si="1"/>
        <v>0</v>
      </c>
      <c r="AB88" s="167"/>
    </row>
    <row r="89" spans="2:28" ht="14.25">
      <c r="B89" s="1409"/>
      <c r="C89" s="1405"/>
      <c r="D89" s="1405"/>
      <c r="E89" s="162" t="s">
        <v>85</v>
      </c>
      <c r="F89" s="162"/>
      <c r="G89" s="720"/>
      <c r="H89" s="1405"/>
      <c r="I89" s="164" t="s">
        <v>498</v>
      </c>
      <c r="J89" s="143">
        <v>0</v>
      </c>
      <c r="K89" s="141">
        <v>0</v>
      </c>
      <c r="L89" s="141">
        <v>0</v>
      </c>
      <c r="M89" s="141">
        <v>0</v>
      </c>
      <c r="N89" s="141">
        <v>0</v>
      </c>
      <c r="O89" s="141">
        <v>0</v>
      </c>
      <c r="P89" s="141">
        <v>0</v>
      </c>
      <c r="Q89" s="144">
        <v>0</v>
      </c>
      <c r="R89" s="143">
        <v>0</v>
      </c>
      <c r="S89" s="141">
        <v>0</v>
      </c>
      <c r="T89" s="141">
        <v>0</v>
      </c>
      <c r="U89" s="141">
        <v>0</v>
      </c>
      <c r="V89" s="144">
        <v>0</v>
      </c>
      <c r="W89" s="1405"/>
      <c r="X89" s="166"/>
      <c r="Y89" s="1445"/>
      <c r="Z89" s="1445"/>
      <c r="AA89" s="1085">
        <f t="shared" si="1"/>
        <v>0</v>
      </c>
      <c r="AB89" s="167"/>
    </row>
    <row r="90" spans="2:28" ht="14.25">
      <c r="B90" s="1409"/>
      <c r="C90" s="1405"/>
      <c r="D90" s="1405"/>
      <c r="E90" s="162" t="s">
        <v>85</v>
      </c>
      <c r="F90" s="162"/>
      <c r="G90" s="720"/>
      <c r="H90" s="1405"/>
      <c r="I90" s="164" t="s">
        <v>498</v>
      </c>
      <c r="J90" s="143">
        <v>0</v>
      </c>
      <c r="K90" s="141">
        <v>0</v>
      </c>
      <c r="L90" s="141">
        <v>0</v>
      </c>
      <c r="M90" s="141">
        <v>0</v>
      </c>
      <c r="N90" s="141">
        <v>0</v>
      </c>
      <c r="O90" s="141">
        <v>0</v>
      </c>
      <c r="P90" s="141">
        <v>0</v>
      </c>
      <c r="Q90" s="144">
        <v>0</v>
      </c>
      <c r="R90" s="143">
        <v>0</v>
      </c>
      <c r="S90" s="141">
        <v>0</v>
      </c>
      <c r="T90" s="141">
        <v>0</v>
      </c>
      <c r="U90" s="141">
        <v>0</v>
      </c>
      <c r="V90" s="144">
        <v>0</v>
      </c>
      <c r="W90" s="1405"/>
      <c r="X90" s="166"/>
      <c r="Y90" s="1445"/>
      <c r="Z90" s="1445"/>
      <c r="AA90" s="1085">
        <f t="shared" si="1"/>
        <v>0</v>
      </c>
      <c r="AB90" s="167"/>
    </row>
    <row r="91" spans="2:28" ht="15" thickBot="1">
      <c r="B91" s="1410" t="s">
        <v>1701</v>
      </c>
      <c r="C91" s="1406"/>
      <c r="D91" s="1406"/>
      <c r="E91" s="1406"/>
      <c r="F91" s="1406"/>
      <c r="G91" s="1406"/>
      <c r="H91" s="1406"/>
      <c r="I91" s="195" t="s">
        <v>498</v>
      </c>
      <c r="J91" s="177">
        <f>SUM(J12:J90)</f>
        <v>0</v>
      </c>
      <c r="K91" s="178">
        <f t="shared" ref="K91:V91" si="2">SUM(K12:K90)</f>
        <v>0</v>
      </c>
      <c r="L91" s="178">
        <f t="shared" si="2"/>
        <v>1.6683334249085587E-2</v>
      </c>
      <c r="M91" s="178">
        <f t="shared" si="2"/>
        <v>1.9368994944149252E-2</v>
      </c>
      <c r="N91" s="178">
        <f t="shared" si="2"/>
        <v>0.31079087526346799</v>
      </c>
      <c r="O91" s="178">
        <f t="shared" si="2"/>
        <v>2.94728E-2</v>
      </c>
      <c r="P91" s="178">
        <f t="shared" si="2"/>
        <v>5.1357715800000001</v>
      </c>
      <c r="Q91" s="179">
        <f t="shared" si="2"/>
        <v>0.98880000000000001</v>
      </c>
      <c r="R91" s="177">
        <f t="shared" si="2"/>
        <v>0</v>
      </c>
      <c r="S91" s="178">
        <f t="shared" si="2"/>
        <v>0</v>
      </c>
      <c r="T91" s="178">
        <f t="shared" si="2"/>
        <v>0</v>
      </c>
      <c r="U91" s="178">
        <f t="shared" si="2"/>
        <v>0</v>
      </c>
      <c r="V91" s="179">
        <f t="shared" si="2"/>
        <v>0</v>
      </c>
      <c r="W91" s="1406"/>
      <c r="X91" s="1406"/>
      <c r="Y91" s="1406"/>
      <c r="Z91" s="1406"/>
      <c r="AA91" s="1406"/>
      <c r="AB91" s="1447"/>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800-000000000000}">
          <x14:formula1>
            <xm:f>List!$A$53:$A$58</xm:f>
          </x14:formula1>
          <xm:sqref>AB12:AB90</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tabColor rgb="FF00B050"/>
  </sheetPr>
  <dimension ref="A1:BI92"/>
  <sheetViews>
    <sheetView showGridLines="0" zoomScale="80" zoomScaleNormal="80" workbookViewId="0">
      <pane xSplit="7" topLeftCell="H1" activePane="topRight" state="frozen"/>
      <selection activeCell="G14" sqref="G14"/>
      <selection pane="topRight" activeCell="S14" sqref="S14"/>
    </sheetView>
  </sheetViews>
  <sheetFormatPr defaultRowHeight="12.75"/>
  <cols>
    <col min="2" max="6" width="4.375" customWidth="1"/>
    <col min="7" max="7" width="37.625" customWidth="1"/>
    <col min="8" max="8" width="4.375" customWidth="1"/>
    <col min="9" max="22" width="15.625" customWidth="1"/>
    <col min="23" max="23" width="4.375" customWidth="1"/>
    <col min="24" max="37" width="15.625" customWidth="1"/>
  </cols>
  <sheetData>
    <row r="1" spans="1:61" s="2" customFormat="1" ht="25.15" customHeight="1">
      <c r="A1" s="1" t="s">
        <v>0</v>
      </c>
      <c r="E1" s="3"/>
      <c r="G1" s="3"/>
    </row>
    <row r="2" spans="1:61" s="2" customFormat="1" ht="25.15" customHeight="1">
      <c r="A2" s="5" t="str">
        <f>Fixed_Data!I12</f>
        <v>MASTER</v>
      </c>
      <c r="B2" s="6"/>
      <c r="D2" s="7"/>
      <c r="E2" s="3"/>
    </row>
    <row r="3" spans="1:61" s="9" customFormat="1" ht="25.15" customHeight="1" thickBot="1">
      <c r="A3" s="8" t="str">
        <f>Fixed_Data!A3</f>
        <v>RIIO-GD2</v>
      </c>
      <c r="D3" s="10"/>
      <c r="E3" s="11"/>
    </row>
    <row r="4" spans="1:61" s="89" customFormat="1" ht="25.15" customHeight="1">
      <c r="B4" s="90" t="s">
        <v>3229</v>
      </c>
      <c r="C4" s="90"/>
      <c r="D4" s="90"/>
      <c r="E4" s="90"/>
      <c r="F4" s="93"/>
      <c r="G4" s="94"/>
      <c r="H4" s="94"/>
      <c r="I4" s="94"/>
      <c r="J4" s="94"/>
      <c r="K4" s="94"/>
      <c r="L4" s="94"/>
      <c r="M4" s="94"/>
      <c r="N4" s="94"/>
      <c r="O4" s="92"/>
      <c r="P4" s="92"/>
      <c r="Q4" s="92"/>
      <c r="R4" s="92"/>
      <c r="S4" s="92"/>
      <c r="T4" s="92"/>
      <c r="U4" s="92"/>
      <c r="V4" s="92"/>
      <c r="W4" s="92"/>
      <c r="X4" s="92"/>
      <c r="Y4" s="94"/>
      <c r="Z4" s="94"/>
      <c r="AA4" s="92"/>
      <c r="AB4" s="93"/>
      <c r="AC4" s="94"/>
      <c r="AD4" s="94"/>
      <c r="AE4" s="94"/>
      <c r="AF4" s="92"/>
      <c r="AG4" s="93"/>
      <c r="AH4" s="94"/>
      <c r="AI4" s="94"/>
      <c r="AJ4" s="94"/>
      <c r="AK4" s="94"/>
      <c r="AL4" s="94"/>
      <c r="AM4" s="94"/>
      <c r="AN4" s="92"/>
      <c r="AO4" s="92"/>
      <c r="AP4" s="92"/>
      <c r="AQ4" s="92"/>
      <c r="AR4" s="94"/>
      <c r="AS4" s="92"/>
      <c r="AT4" s="92"/>
      <c r="AU4" s="92"/>
      <c r="AV4" s="92"/>
      <c r="AW4" s="92"/>
      <c r="AX4" s="92"/>
      <c r="AY4" s="92"/>
      <c r="AZ4" s="92"/>
      <c r="BA4" s="92"/>
      <c r="BB4" s="92"/>
      <c r="BC4" s="94"/>
      <c r="BD4" s="92"/>
      <c r="BE4" s="92"/>
      <c r="BF4" s="92"/>
      <c r="BG4" s="92"/>
      <c r="BH4" s="92"/>
      <c r="BI4" s="92"/>
    </row>
    <row r="5" spans="1:61" s="89" customFormat="1" ht="25.15" customHeight="1">
      <c r="B5" s="95" t="s">
        <v>1663</v>
      </c>
      <c r="E5" s="95" t="s">
        <v>463</v>
      </c>
      <c r="F5" s="93"/>
      <c r="G5" s="94"/>
      <c r="H5" s="94"/>
      <c r="I5" s="94"/>
      <c r="J5" s="94"/>
      <c r="K5" s="94"/>
      <c r="L5" s="94"/>
      <c r="M5" s="94"/>
      <c r="N5" s="94"/>
      <c r="O5" s="92"/>
      <c r="P5" s="92"/>
      <c r="Q5" s="92"/>
      <c r="R5" s="92"/>
      <c r="S5" s="92"/>
      <c r="T5" s="92"/>
      <c r="U5" s="92"/>
      <c r="V5" s="92"/>
      <c r="W5" s="92"/>
      <c r="X5" s="92"/>
      <c r="Y5" s="94"/>
      <c r="Z5" s="94"/>
      <c r="AA5" s="92"/>
      <c r="AB5" s="93"/>
      <c r="AC5" s="94"/>
      <c r="AD5" s="94"/>
      <c r="AE5" s="94"/>
      <c r="AF5" s="92"/>
      <c r="AG5" s="93"/>
      <c r="AH5" s="94"/>
      <c r="AI5" s="94"/>
      <c r="AJ5" s="94"/>
      <c r="AK5" s="94"/>
      <c r="AL5" s="94"/>
      <c r="AM5" s="94"/>
      <c r="AN5" s="92"/>
      <c r="AO5" s="92"/>
      <c r="AP5" s="92"/>
      <c r="AQ5" s="92"/>
      <c r="AR5" s="94"/>
      <c r="AS5" s="92"/>
      <c r="AT5" s="92"/>
      <c r="AU5" s="92"/>
      <c r="AV5" s="92"/>
      <c r="AW5" s="92"/>
      <c r="AX5" s="92"/>
      <c r="AY5" s="92"/>
      <c r="AZ5" s="92"/>
      <c r="BA5" s="92"/>
      <c r="BB5" s="92"/>
      <c r="BC5" s="94"/>
      <c r="BD5" s="92"/>
      <c r="BE5" s="92"/>
      <c r="BF5" s="92"/>
      <c r="BG5" s="92"/>
      <c r="BH5" s="92"/>
      <c r="BI5" s="92"/>
    </row>
    <row r="7" spans="1:61" ht="13.5" thickBot="1"/>
    <row r="8" spans="1:61" ht="30" customHeight="1" thickBot="1">
      <c r="B8" s="621" t="s">
        <v>100</v>
      </c>
      <c r="C8" s="102"/>
      <c r="D8" s="102"/>
      <c r="E8" s="102"/>
      <c r="F8" s="102"/>
      <c r="G8" s="103"/>
      <c r="H8" s="103"/>
      <c r="I8" s="105" t="s">
        <v>1704</v>
      </c>
      <c r="J8" s="106"/>
      <c r="K8" s="106"/>
      <c r="L8" s="106"/>
      <c r="M8" s="106"/>
      <c r="N8" s="106"/>
      <c r="O8" s="106"/>
      <c r="P8" s="106"/>
      <c r="Q8" s="106"/>
      <c r="R8" s="105"/>
      <c r="S8" s="105"/>
      <c r="T8" s="105"/>
      <c r="U8" s="105"/>
      <c r="V8" s="187"/>
      <c r="W8" s="1413"/>
      <c r="X8" s="105" t="s">
        <v>1869</v>
      </c>
      <c r="Y8" s="106"/>
      <c r="Z8" s="106"/>
      <c r="AA8" s="106"/>
      <c r="AB8" s="106"/>
      <c r="AC8" s="106"/>
      <c r="AD8" s="106"/>
      <c r="AE8" s="106"/>
      <c r="AF8" s="106"/>
      <c r="AG8" s="105"/>
      <c r="AH8" s="105"/>
      <c r="AI8" s="105"/>
      <c r="AJ8" s="105"/>
      <c r="AK8" s="187"/>
    </row>
    <row r="9" spans="1:61" ht="30" customHeight="1">
      <c r="B9" s="109"/>
      <c r="C9" s="110"/>
      <c r="D9" s="110"/>
      <c r="E9" s="110"/>
      <c r="F9" s="110"/>
      <c r="G9" s="111"/>
      <c r="H9" s="111"/>
      <c r="I9" s="117"/>
      <c r="J9" s="695" t="s">
        <v>1666</v>
      </c>
      <c r="K9" s="152"/>
      <c r="L9" s="152"/>
      <c r="M9" s="152"/>
      <c r="N9" s="152"/>
      <c r="O9" s="152"/>
      <c r="P9" s="152"/>
      <c r="Q9" s="153"/>
      <c r="R9" s="696" t="s">
        <v>2</v>
      </c>
      <c r="S9" s="155"/>
      <c r="T9" s="155"/>
      <c r="U9" s="155"/>
      <c r="V9" s="156"/>
      <c r="W9" s="1405"/>
      <c r="X9" s="117"/>
      <c r="Y9" s="695" t="s">
        <v>1666</v>
      </c>
      <c r="Z9" s="152"/>
      <c r="AA9" s="152"/>
      <c r="AB9" s="152"/>
      <c r="AC9" s="152"/>
      <c r="AD9" s="152"/>
      <c r="AE9" s="152"/>
      <c r="AF9" s="153"/>
      <c r="AG9" s="696" t="s">
        <v>2</v>
      </c>
      <c r="AH9" s="155"/>
      <c r="AI9" s="155"/>
      <c r="AJ9" s="155"/>
      <c r="AK9" s="156"/>
    </row>
    <row r="10" spans="1:61" ht="15">
      <c r="B10" s="115"/>
      <c r="C10" s="1405"/>
      <c r="D10" s="1405"/>
      <c r="E10" s="1405"/>
      <c r="F10" s="1405"/>
      <c r="G10" s="1405"/>
      <c r="H10" s="117"/>
      <c r="I10" s="119" t="s">
        <v>1667</v>
      </c>
      <c r="J10" s="158" t="s">
        <v>453</v>
      </c>
      <c r="K10" s="137" t="s">
        <v>455</v>
      </c>
      <c r="L10" s="137" t="s">
        <v>457</v>
      </c>
      <c r="M10" s="137" t="s">
        <v>459</v>
      </c>
      <c r="N10" s="137" t="s">
        <v>461</v>
      </c>
      <c r="O10" s="137" t="s">
        <v>463</v>
      </c>
      <c r="P10" s="137" t="s">
        <v>465</v>
      </c>
      <c r="Q10" s="138" t="s">
        <v>467</v>
      </c>
      <c r="R10" s="120" t="s">
        <v>469</v>
      </c>
      <c r="S10" s="121" t="s">
        <v>471</v>
      </c>
      <c r="T10" s="121" t="s">
        <v>473</v>
      </c>
      <c r="U10" s="121" t="s">
        <v>475</v>
      </c>
      <c r="V10" s="122" t="s">
        <v>477</v>
      </c>
      <c r="W10" s="1405"/>
      <c r="X10" s="119" t="s">
        <v>1667</v>
      </c>
      <c r="Y10" s="158" t="s">
        <v>453</v>
      </c>
      <c r="Z10" s="137" t="s">
        <v>455</v>
      </c>
      <c r="AA10" s="137" t="s">
        <v>457</v>
      </c>
      <c r="AB10" s="137" t="s">
        <v>459</v>
      </c>
      <c r="AC10" s="137" t="s">
        <v>461</v>
      </c>
      <c r="AD10" s="137" t="s">
        <v>463</v>
      </c>
      <c r="AE10" s="137" t="s">
        <v>465</v>
      </c>
      <c r="AF10" s="138" t="s">
        <v>467</v>
      </c>
      <c r="AG10" s="120" t="s">
        <v>469</v>
      </c>
      <c r="AH10" s="121" t="s">
        <v>471</v>
      </c>
      <c r="AI10" s="121" t="s">
        <v>473</v>
      </c>
      <c r="AJ10" s="121" t="s">
        <v>475</v>
      </c>
      <c r="AK10" s="122" t="s">
        <v>477</v>
      </c>
    </row>
    <row r="11" spans="1:61" ht="15">
      <c r="B11" s="161"/>
      <c r="C11" s="186" t="s">
        <v>3230</v>
      </c>
      <c r="D11" s="186"/>
      <c r="E11" s="116"/>
      <c r="F11" s="116"/>
      <c r="G11" s="117"/>
      <c r="H11" s="163"/>
      <c r="I11" s="117"/>
      <c r="J11" s="159"/>
      <c r="K11" s="117"/>
      <c r="L11" s="117"/>
      <c r="M11" s="117"/>
      <c r="N11" s="117"/>
      <c r="O11" s="117"/>
      <c r="P11" s="117"/>
      <c r="Q11" s="160"/>
      <c r="R11" s="159"/>
      <c r="S11" s="117"/>
      <c r="T11" s="117"/>
      <c r="U11" s="117"/>
      <c r="V11" s="160"/>
      <c r="W11" s="1405"/>
      <c r="X11" s="1405"/>
      <c r="Y11" s="1409"/>
      <c r="Z11" s="1405"/>
      <c r="AA11" s="1405"/>
      <c r="AB11" s="1405"/>
      <c r="AC11" s="1405"/>
      <c r="AD11" s="1405"/>
      <c r="AE11" s="1405"/>
      <c r="AF11" s="1412"/>
      <c r="AG11" s="1409"/>
      <c r="AH11" s="1405"/>
      <c r="AI11" s="1405"/>
      <c r="AJ11" s="1405"/>
      <c r="AK11" s="1412"/>
    </row>
    <row r="12" spans="1:61" ht="14.25">
      <c r="B12" s="161"/>
      <c r="C12" s="185"/>
      <c r="D12" s="162" t="s">
        <v>3231</v>
      </c>
      <c r="E12" s="162"/>
      <c r="F12" s="162"/>
      <c r="G12" s="163"/>
      <c r="H12" s="163"/>
      <c r="I12" s="164" t="s">
        <v>498</v>
      </c>
      <c r="J12" s="143">
        <v>0</v>
      </c>
      <c r="K12" s="141">
        <v>0</v>
      </c>
      <c r="L12" s="141">
        <v>0</v>
      </c>
      <c r="M12" s="141">
        <v>0</v>
      </c>
      <c r="N12" s="141">
        <v>0</v>
      </c>
      <c r="O12" s="141">
        <v>0</v>
      </c>
      <c r="P12" s="141">
        <v>0</v>
      </c>
      <c r="Q12" s="144">
        <v>0</v>
      </c>
      <c r="R12" s="143">
        <v>8.3573946982777401E-3</v>
      </c>
      <c r="S12" s="141">
        <v>8.1535558031977946E-3</v>
      </c>
      <c r="T12" s="141">
        <v>7.954688588485654E-3</v>
      </c>
      <c r="U12" s="141">
        <v>7.7606717936445418E-3</v>
      </c>
      <c r="V12" s="144">
        <v>7.5713871157507716E-3</v>
      </c>
      <c r="W12" s="1405"/>
      <c r="X12" s="1405"/>
      <c r="Y12" s="1409"/>
      <c r="Z12" s="1405"/>
      <c r="AA12" s="1405"/>
      <c r="AB12" s="1405"/>
      <c r="AC12" s="1405"/>
      <c r="AD12" s="1405"/>
      <c r="AE12" s="1405"/>
      <c r="AF12" s="1412"/>
      <c r="AG12" s="1409"/>
      <c r="AH12" s="1405"/>
      <c r="AI12" s="1405"/>
      <c r="AJ12" s="1405"/>
      <c r="AK12" s="1412"/>
    </row>
    <row r="13" spans="1:61" ht="14.25">
      <c r="B13" s="161"/>
      <c r="C13" s="1431"/>
      <c r="D13" s="1431" t="s">
        <v>2819</v>
      </c>
      <c r="E13" s="162"/>
      <c r="F13" s="162"/>
      <c r="G13" s="117"/>
      <c r="H13" s="163"/>
      <c r="I13" s="164" t="s">
        <v>498</v>
      </c>
      <c r="J13" s="143">
        <v>0</v>
      </c>
      <c r="K13" s="141">
        <v>0</v>
      </c>
      <c r="L13" s="141">
        <v>0</v>
      </c>
      <c r="M13" s="141">
        <v>0</v>
      </c>
      <c r="N13" s="141">
        <v>0</v>
      </c>
      <c r="O13" s="141">
        <v>0</v>
      </c>
      <c r="P13" s="141">
        <v>0</v>
      </c>
      <c r="Q13" s="144">
        <v>0</v>
      </c>
      <c r="R13" s="143">
        <v>0</v>
      </c>
      <c r="S13" s="141">
        <v>0</v>
      </c>
      <c r="T13" s="141">
        <v>0</v>
      </c>
      <c r="U13" s="141">
        <v>0</v>
      </c>
      <c r="V13" s="144">
        <v>0</v>
      </c>
      <c r="W13" s="1405"/>
      <c r="X13" s="1405"/>
      <c r="Y13" s="1409"/>
      <c r="Z13" s="1405"/>
      <c r="AA13" s="1405"/>
      <c r="AB13" s="1405"/>
      <c r="AC13" s="1405"/>
      <c r="AD13" s="1405"/>
      <c r="AE13" s="1405"/>
      <c r="AF13" s="1412"/>
      <c r="AG13" s="1409"/>
      <c r="AH13" s="1405"/>
      <c r="AI13" s="1405"/>
      <c r="AJ13" s="1405"/>
      <c r="AK13" s="1412"/>
    </row>
    <row r="14" spans="1:61" ht="14.25">
      <c r="B14" s="161"/>
      <c r="C14" s="185"/>
      <c r="D14" s="185" t="s">
        <v>3232</v>
      </c>
      <c r="E14" s="162"/>
      <c r="F14" s="162"/>
      <c r="G14" s="117"/>
      <c r="H14" s="163"/>
      <c r="I14" s="164" t="s">
        <v>498</v>
      </c>
      <c r="J14" s="143">
        <v>0</v>
      </c>
      <c r="K14" s="141">
        <v>0</v>
      </c>
      <c r="L14" s="141">
        <v>0</v>
      </c>
      <c r="M14" s="141">
        <v>0</v>
      </c>
      <c r="N14" s="141">
        <v>0</v>
      </c>
      <c r="O14" s="141">
        <v>0</v>
      </c>
      <c r="P14" s="141">
        <v>0</v>
      </c>
      <c r="Q14" s="144">
        <v>0</v>
      </c>
      <c r="R14" s="143">
        <v>1.671478939655548E-2</v>
      </c>
      <c r="S14" s="141">
        <v>1.6307111606395589E-2</v>
      </c>
      <c r="T14" s="141">
        <v>1.5909377176971308E-2</v>
      </c>
      <c r="U14" s="141">
        <v>1.5521343587289084E-2</v>
      </c>
      <c r="V14" s="144">
        <v>1.5142774231501543E-2</v>
      </c>
      <c r="W14" s="1405"/>
      <c r="X14" s="1405"/>
      <c r="Y14" s="1409"/>
      <c r="Z14" s="1405"/>
      <c r="AA14" s="1405"/>
      <c r="AB14" s="1405"/>
      <c r="AC14" s="1405"/>
      <c r="AD14" s="1405"/>
      <c r="AE14" s="1405"/>
      <c r="AF14" s="1412"/>
      <c r="AG14" s="1409"/>
      <c r="AH14" s="1405"/>
      <c r="AI14" s="1405"/>
      <c r="AJ14" s="1405"/>
      <c r="AK14" s="1412"/>
    </row>
    <row r="15" spans="1:61" ht="14.25">
      <c r="B15" s="161"/>
      <c r="C15" s="185"/>
      <c r="D15" s="185" t="s">
        <v>85</v>
      </c>
      <c r="E15" s="162"/>
      <c r="F15" s="162"/>
      <c r="G15" s="117"/>
      <c r="H15" s="163"/>
      <c r="I15" s="164" t="s">
        <v>498</v>
      </c>
      <c r="J15" s="143">
        <v>0</v>
      </c>
      <c r="K15" s="141">
        <v>0</v>
      </c>
      <c r="L15" s="141">
        <v>0</v>
      </c>
      <c r="M15" s="141">
        <v>0</v>
      </c>
      <c r="N15" s="141">
        <v>0</v>
      </c>
      <c r="O15" s="141">
        <v>0</v>
      </c>
      <c r="P15" s="141">
        <v>0</v>
      </c>
      <c r="Q15" s="144">
        <v>0</v>
      </c>
      <c r="R15" s="143">
        <v>5.8501762887944168E-2</v>
      </c>
      <c r="S15" s="141">
        <v>5.7074890622384564E-2</v>
      </c>
      <c r="T15" s="141">
        <v>5.5682820119399574E-2</v>
      </c>
      <c r="U15" s="141">
        <v>5.4324702555511785E-2</v>
      </c>
      <c r="V15" s="144">
        <v>5.2999709810255403E-2</v>
      </c>
      <c r="W15" s="1405"/>
      <c r="X15" s="1405"/>
      <c r="Y15" s="1409"/>
      <c r="Z15" s="1405"/>
      <c r="AA15" s="1405"/>
      <c r="AB15" s="1405"/>
      <c r="AC15" s="1405"/>
      <c r="AD15" s="1405"/>
      <c r="AE15" s="1405"/>
      <c r="AF15" s="1412"/>
      <c r="AG15" s="1409"/>
      <c r="AH15" s="1405"/>
      <c r="AI15" s="1405"/>
      <c r="AJ15" s="1405"/>
      <c r="AK15" s="1412"/>
    </row>
    <row r="16" spans="1:61" ht="14.25">
      <c r="B16" s="161"/>
      <c r="C16" s="185" t="s">
        <v>1710</v>
      </c>
      <c r="D16" s="185"/>
      <c r="E16" s="162"/>
      <c r="F16" s="162"/>
      <c r="G16" s="117"/>
      <c r="H16" s="163"/>
      <c r="I16" s="164" t="s">
        <v>498</v>
      </c>
      <c r="J16" s="641">
        <f>SUM(J12:J15)</f>
        <v>0</v>
      </c>
      <c r="K16" s="642">
        <f t="shared" ref="K16:V16" si="0">SUM(K12:K15)</f>
        <v>0</v>
      </c>
      <c r="L16" s="642">
        <f t="shared" si="0"/>
        <v>0</v>
      </c>
      <c r="M16" s="642">
        <f t="shared" si="0"/>
        <v>0</v>
      </c>
      <c r="N16" s="642">
        <f t="shared" si="0"/>
        <v>0</v>
      </c>
      <c r="O16" s="642">
        <f t="shared" si="0"/>
        <v>0</v>
      </c>
      <c r="P16" s="642">
        <f t="shared" si="0"/>
        <v>0</v>
      </c>
      <c r="Q16" s="643">
        <f t="shared" si="0"/>
        <v>0</v>
      </c>
      <c r="R16" s="641">
        <f t="shared" si="0"/>
        <v>8.3573946982777397E-2</v>
      </c>
      <c r="S16" s="642">
        <f t="shared" si="0"/>
        <v>8.1535558031977956E-2</v>
      </c>
      <c r="T16" s="642">
        <f t="shared" si="0"/>
        <v>7.9546885884856533E-2</v>
      </c>
      <c r="U16" s="642">
        <f t="shared" si="0"/>
        <v>7.7606717936445413E-2</v>
      </c>
      <c r="V16" s="643">
        <f t="shared" si="0"/>
        <v>7.5713871157507717E-2</v>
      </c>
      <c r="W16" s="1405"/>
      <c r="X16" s="1456" t="s">
        <v>3233</v>
      </c>
      <c r="Y16" s="165">
        <v>0</v>
      </c>
      <c r="Z16" s="166">
        <v>0</v>
      </c>
      <c r="AA16" s="166">
        <v>0</v>
      </c>
      <c r="AB16" s="166">
        <v>0</v>
      </c>
      <c r="AC16" s="166">
        <v>0</v>
      </c>
      <c r="AD16" s="166">
        <v>0</v>
      </c>
      <c r="AE16" s="166">
        <v>0</v>
      </c>
      <c r="AF16" s="167">
        <v>0</v>
      </c>
      <c r="AG16" s="165">
        <v>1</v>
      </c>
      <c r="AH16" s="166">
        <v>1</v>
      </c>
      <c r="AI16" s="166">
        <v>1</v>
      </c>
      <c r="AJ16" s="166">
        <v>1</v>
      </c>
      <c r="AK16" s="167">
        <v>1</v>
      </c>
    </row>
    <row r="17" spans="2:37" ht="14.25">
      <c r="B17" s="161"/>
      <c r="C17" s="185"/>
      <c r="D17" s="185"/>
      <c r="E17" s="162"/>
      <c r="F17" s="162"/>
      <c r="G17" s="117"/>
      <c r="H17" s="163"/>
      <c r="I17" s="1405"/>
      <c r="J17" s="1738"/>
      <c r="K17" s="1739"/>
      <c r="L17" s="1739"/>
      <c r="M17" s="1739"/>
      <c r="N17" s="1739"/>
      <c r="O17" s="1739"/>
      <c r="P17" s="1739"/>
      <c r="Q17" s="1740"/>
      <c r="R17" s="1738"/>
      <c r="S17" s="1739"/>
      <c r="T17" s="1739"/>
      <c r="U17" s="1739"/>
      <c r="V17" s="1740"/>
      <c r="W17" s="1405"/>
      <c r="X17" s="1457"/>
      <c r="Y17" s="1409"/>
      <c r="Z17" s="1405"/>
      <c r="AA17" s="1405"/>
      <c r="AB17" s="1405"/>
      <c r="AC17" s="1405"/>
      <c r="AD17" s="1405"/>
      <c r="AE17" s="1405"/>
      <c r="AF17" s="1412"/>
      <c r="AG17" s="1409"/>
      <c r="AH17" s="1405"/>
      <c r="AI17" s="1405"/>
      <c r="AJ17" s="1405"/>
      <c r="AK17" s="1412"/>
    </row>
    <row r="18" spans="2:37" ht="15">
      <c r="B18" s="161"/>
      <c r="C18" s="616" t="s">
        <v>3234</v>
      </c>
      <c r="D18" s="185"/>
      <c r="E18" s="162"/>
      <c r="F18" s="162"/>
      <c r="G18" s="117"/>
      <c r="H18" s="163"/>
      <c r="I18" s="164" t="s">
        <v>498</v>
      </c>
      <c r="J18" s="143">
        <v>0</v>
      </c>
      <c r="K18" s="141">
        <v>0</v>
      </c>
      <c r="L18" s="141">
        <v>0</v>
      </c>
      <c r="M18" s="141">
        <v>0</v>
      </c>
      <c r="N18" s="141">
        <v>0</v>
      </c>
      <c r="O18" s="141">
        <v>0</v>
      </c>
      <c r="P18" s="141">
        <v>0</v>
      </c>
      <c r="Q18" s="144">
        <v>0</v>
      </c>
      <c r="R18" s="143">
        <v>0</v>
      </c>
      <c r="S18" s="141">
        <v>0</v>
      </c>
      <c r="T18" s="141">
        <v>0</v>
      </c>
      <c r="U18" s="141">
        <v>0</v>
      </c>
      <c r="V18" s="144">
        <v>0</v>
      </c>
      <c r="W18" s="1405"/>
      <c r="X18" s="1457"/>
      <c r="Y18" s="1409"/>
      <c r="Z18" s="1405"/>
      <c r="AA18" s="1405"/>
      <c r="AB18" s="1405"/>
      <c r="AC18" s="1405"/>
      <c r="AD18" s="1405"/>
      <c r="AE18" s="1405"/>
      <c r="AF18" s="1412"/>
      <c r="AG18" s="1409"/>
      <c r="AH18" s="1405"/>
      <c r="AI18" s="1405"/>
      <c r="AJ18" s="1405"/>
      <c r="AK18" s="1412"/>
    </row>
    <row r="19" spans="2:37" ht="14.25">
      <c r="B19" s="161"/>
      <c r="C19" s="185"/>
      <c r="D19" s="162" t="s">
        <v>3231</v>
      </c>
      <c r="E19" s="162"/>
      <c r="F19" s="162"/>
      <c r="G19" s="117"/>
      <c r="H19" s="163"/>
      <c r="I19" s="164" t="s">
        <v>498</v>
      </c>
      <c r="J19" s="143">
        <v>0</v>
      </c>
      <c r="K19" s="141">
        <v>0</v>
      </c>
      <c r="L19" s="141">
        <v>0</v>
      </c>
      <c r="M19" s="141">
        <v>0</v>
      </c>
      <c r="N19" s="141">
        <v>0</v>
      </c>
      <c r="O19" s="141">
        <v>0</v>
      </c>
      <c r="P19" s="141">
        <v>0</v>
      </c>
      <c r="Q19" s="144">
        <v>0</v>
      </c>
      <c r="R19" s="143">
        <v>0</v>
      </c>
      <c r="S19" s="141">
        <v>0</v>
      </c>
      <c r="T19" s="141">
        <v>0</v>
      </c>
      <c r="U19" s="141">
        <v>0</v>
      </c>
      <c r="V19" s="144">
        <v>0</v>
      </c>
      <c r="W19" s="1405"/>
      <c r="X19" s="1457"/>
      <c r="Y19" s="1409"/>
      <c r="Z19" s="1405"/>
      <c r="AA19" s="1405"/>
      <c r="AB19" s="1405"/>
      <c r="AC19" s="1405"/>
      <c r="AD19" s="1405"/>
      <c r="AE19" s="1405"/>
      <c r="AF19" s="1412"/>
      <c r="AG19" s="1409"/>
      <c r="AH19" s="1405"/>
      <c r="AI19" s="1405"/>
      <c r="AJ19" s="1405"/>
      <c r="AK19" s="1412"/>
    </row>
    <row r="20" spans="2:37" ht="14.25">
      <c r="B20" s="181"/>
      <c r="C20" s="1431"/>
      <c r="D20" s="1431" t="s">
        <v>2819</v>
      </c>
      <c r="E20" s="162"/>
      <c r="F20" s="162"/>
      <c r="G20" s="117"/>
      <c r="H20" s="184"/>
      <c r="I20" s="164" t="s">
        <v>498</v>
      </c>
      <c r="J20" s="143">
        <v>0</v>
      </c>
      <c r="K20" s="141">
        <v>0</v>
      </c>
      <c r="L20" s="141">
        <v>0</v>
      </c>
      <c r="M20" s="141">
        <v>0</v>
      </c>
      <c r="N20" s="141">
        <v>0</v>
      </c>
      <c r="O20" s="141">
        <v>0</v>
      </c>
      <c r="P20" s="141">
        <v>0</v>
      </c>
      <c r="Q20" s="144">
        <v>0</v>
      </c>
      <c r="R20" s="143">
        <v>0</v>
      </c>
      <c r="S20" s="141">
        <v>0</v>
      </c>
      <c r="T20" s="141">
        <v>0</v>
      </c>
      <c r="U20" s="141">
        <v>0</v>
      </c>
      <c r="V20" s="144">
        <v>0</v>
      </c>
      <c r="W20" s="1405"/>
      <c r="X20" s="1457"/>
      <c r="Y20" s="1409"/>
      <c r="Z20" s="1405"/>
      <c r="AA20" s="1405"/>
      <c r="AB20" s="1405"/>
      <c r="AC20" s="1405"/>
      <c r="AD20" s="1405"/>
      <c r="AE20" s="1405"/>
      <c r="AF20" s="1412"/>
      <c r="AG20" s="1409"/>
      <c r="AH20" s="1405"/>
      <c r="AI20" s="1405"/>
      <c r="AJ20" s="1405"/>
      <c r="AK20" s="1412"/>
    </row>
    <row r="21" spans="2:37" ht="14.25">
      <c r="B21" s="1409"/>
      <c r="C21" s="185"/>
      <c r="D21" s="185" t="s">
        <v>3232</v>
      </c>
      <c r="E21" s="185"/>
      <c r="F21" s="185"/>
      <c r="G21" s="117"/>
      <c r="H21" s="1405"/>
      <c r="I21" s="164" t="s">
        <v>498</v>
      </c>
      <c r="J21" s="143">
        <v>0</v>
      </c>
      <c r="K21" s="141">
        <v>0</v>
      </c>
      <c r="L21" s="141">
        <v>0</v>
      </c>
      <c r="M21" s="141">
        <v>0</v>
      </c>
      <c r="N21" s="141">
        <v>0</v>
      </c>
      <c r="O21" s="141">
        <v>0</v>
      </c>
      <c r="P21" s="141">
        <v>0</v>
      </c>
      <c r="Q21" s="144">
        <v>0</v>
      </c>
      <c r="R21" s="143">
        <v>0</v>
      </c>
      <c r="S21" s="141">
        <v>0</v>
      </c>
      <c r="T21" s="141">
        <v>0</v>
      </c>
      <c r="U21" s="141">
        <v>0</v>
      </c>
      <c r="V21" s="144">
        <v>0</v>
      </c>
      <c r="W21" s="1405"/>
      <c r="X21" s="1457"/>
      <c r="Y21" s="1409"/>
      <c r="Z21" s="1405"/>
      <c r="AA21" s="1405"/>
      <c r="AB21" s="1405"/>
      <c r="AC21" s="1405"/>
      <c r="AD21" s="1405"/>
      <c r="AE21" s="1405"/>
      <c r="AF21" s="1412"/>
      <c r="AG21" s="1409"/>
      <c r="AH21" s="1405"/>
      <c r="AI21" s="1405"/>
      <c r="AJ21" s="1405"/>
      <c r="AK21" s="1412"/>
    </row>
    <row r="22" spans="2:37" ht="14.25">
      <c r="B22" s="1409"/>
      <c r="C22" s="185"/>
      <c r="D22" s="185" t="s">
        <v>85</v>
      </c>
      <c r="E22" s="1405"/>
      <c r="F22" s="1405"/>
      <c r="G22" s="117"/>
      <c r="H22" s="1405"/>
      <c r="I22" s="164" t="s">
        <v>498</v>
      </c>
      <c r="J22" s="143">
        <v>0</v>
      </c>
      <c r="K22" s="141">
        <v>0</v>
      </c>
      <c r="L22" s="141">
        <v>0</v>
      </c>
      <c r="M22" s="141">
        <v>0</v>
      </c>
      <c r="N22" s="141">
        <v>0</v>
      </c>
      <c r="O22" s="141">
        <v>0</v>
      </c>
      <c r="P22" s="141">
        <v>0</v>
      </c>
      <c r="Q22" s="144">
        <v>0</v>
      </c>
      <c r="R22" s="143">
        <v>0</v>
      </c>
      <c r="S22" s="141">
        <v>0</v>
      </c>
      <c r="T22" s="141">
        <v>0</v>
      </c>
      <c r="U22" s="141">
        <v>0</v>
      </c>
      <c r="V22" s="144">
        <v>0</v>
      </c>
      <c r="W22" s="1405"/>
      <c r="X22" s="1457"/>
      <c r="Y22" s="1409"/>
      <c r="Z22" s="1405"/>
      <c r="AA22" s="1405"/>
      <c r="AB22" s="1405"/>
      <c r="AC22" s="1405"/>
      <c r="AD22" s="1405"/>
      <c r="AE22" s="1405"/>
      <c r="AF22" s="1412"/>
      <c r="AG22" s="1409"/>
      <c r="AH22" s="1405"/>
      <c r="AI22" s="1405"/>
      <c r="AJ22" s="1405"/>
      <c r="AK22" s="1412"/>
    </row>
    <row r="23" spans="2:37" ht="14.25">
      <c r="B23" s="1409"/>
      <c r="C23" s="185" t="s">
        <v>1710</v>
      </c>
      <c r="D23" s="185"/>
      <c r="E23" s="1405"/>
      <c r="F23" s="1405"/>
      <c r="G23" s="117"/>
      <c r="H23" s="1405"/>
      <c r="I23" s="164" t="s">
        <v>498</v>
      </c>
      <c r="J23" s="641">
        <f>SUM(J18:J22)</f>
        <v>0</v>
      </c>
      <c r="K23" s="642">
        <f t="shared" ref="K23:V23" si="1">SUM(K18:K22)</f>
        <v>0</v>
      </c>
      <c r="L23" s="642">
        <f t="shared" si="1"/>
        <v>0</v>
      </c>
      <c r="M23" s="642">
        <f t="shared" si="1"/>
        <v>0</v>
      </c>
      <c r="N23" s="642">
        <f t="shared" si="1"/>
        <v>0</v>
      </c>
      <c r="O23" s="642">
        <f t="shared" si="1"/>
        <v>0</v>
      </c>
      <c r="P23" s="642">
        <f t="shared" si="1"/>
        <v>0</v>
      </c>
      <c r="Q23" s="643">
        <f t="shared" si="1"/>
        <v>0</v>
      </c>
      <c r="R23" s="641">
        <f t="shared" si="1"/>
        <v>0</v>
      </c>
      <c r="S23" s="642">
        <f t="shared" si="1"/>
        <v>0</v>
      </c>
      <c r="T23" s="642">
        <f t="shared" si="1"/>
        <v>0</v>
      </c>
      <c r="U23" s="642">
        <f t="shared" si="1"/>
        <v>0</v>
      </c>
      <c r="V23" s="643">
        <f t="shared" si="1"/>
        <v>0</v>
      </c>
      <c r="W23" s="1405"/>
      <c r="X23" s="1456" t="s">
        <v>3233</v>
      </c>
      <c r="Y23" s="165">
        <v>0</v>
      </c>
      <c r="Z23" s="166">
        <v>0</v>
      </c>
      <c r="AA23" s="166">
        <v>0</v>
      </c>
      <c r="AB23" s="166">
        <v>0</v>
      </c>
      <c r="AC23" s="166">
        <v>0</v>
      </c>
      <c r="AD23" s="166">
        <v>0</v>
      </c>
      <c r="AE23" s="166">
        <v>0</v>
      </c>
      <c r="AF23" s="167">
        <v>0</v>
      </c>
      <c r="AG23" s="165">
        <v>0</v>
      </c>
      <c r="AH23" s="166">
        <v>0</v>
      </c>
      <c r="AI23" s="166">
        <v>0</v>
      </c>
      <c r="AJ23" s="166">
        <v>0</v>
      </c>
      <c r="AK23" s="167">
        <v>0</v>
      </c>
    </row>
    <row r="24" spans="2:37" ht="14.25">
      <c r="B24" s="1409"/>
      <c r="C24" s="1405"/>
      <c r="D24" s="1405"/>
      <c r="E24" s="1405"/>
      <c r="F24" s="1405"/>
      <c r="G24" s="117"/>
      <c r="H24" s="1405"/>
      <c r="I24" s="1405"/>
      <c r="J24" s="1738"/>
      <c r="K24" s="1739"/>
      <c r="L24" s="1739"/>
      <c r="M24" s="1739"/>
      <c r="N24" s="1739"/>
      <c r="O24" s="1739"/>
      <c r="P24" s="1739"/>
      <c r="Q24" s="1740"/>
      <c r="R24" s="1738"/>
      <c r="S24" s="1739"/>
      <c r="T24" s="1739"/>
      <c r="U24" s="1739"/>
      <c r="V24" s="1740"/>
      <c r="W24" s="1405"/>
      <c r="X24" s="1457"/>
      <c r="Y24" s="1409"/>
      <c r="Z24" s="1405"/>
      <c r="AA24" s="1405"/>
      <c r="AB24" s="1405"/>
      <c r="AC24" s="1405"/>
      <c r="AD24" s="1405"/>
      <c r="AE24" s="1405"/>
      <c r="AF24" s="1412"/>
      <c r="AG24" s="1409"/>
      <c r="AH24" s="1405"/>
      <c r="AI24" s="1405"/>
      <c r="AJ24" s="1405"/>
      <c r="AK24" s="1412"/>
    </row>
    <row r="25" spans="2:37" s="1448" customFormat="1" ht="15" thickBot="1">
      <c r="B25" s="1453" t="s">
        <v>1701</v>
      </c>
      <c r="C25" s="1454"/>
      <c r="D25" s="1454"/>
      <c r="E25" s="1454"/>
      <c r="F25" s="1454"/>
      <c r="G25" s="1455"/>
      <c r="H25" s="1454"/>
      <c r="I25" s="581" t="s">
        <v>498</v>
      </c>
      <c r="J25" s="637">
        <f>SUM(J16,J23)</f>
        <v>0</v>
      </c>
      <c r="K25" s="638">
        <f t="shared" ref="K25:R25" si="2">SUM(K16,K23)</f>
        <v>0</v>
      </c>
      <c r="L25" s="638">
        <f t="shared" si="2"/>
        <v>0</v>
      </c>
      <c r="M25" s="638">
        <f t="shared" si="2"/>
        <v>0</v>
      </c>
      <c r="N25" s="638">
        <f t="shared" si="2"/>
        <v>0</v>
      </c>
      <c r="O25" s="638">
        <f t="shared" si="2"/>
        <v>0</v>
      </c>
      <c r="P25" s="638">
        <f t="shared" si="2"/>
        <v>0</v>
      </c>
      <c r="Q25" s="703">
        <f t="shared" si="2"/>
        <v>0</v>
      </c>
      <c r="R25" s="637">
        <f t="shared" si="2"/>
        <v>8.3573946982777397E-2</v>
      </c>
      <c r="S25" s="638">
        <f t="shared" ref="S25:U25" si="3">SUM(S16,S23)</f>
        <v>8.1535558031977956E-2</v>
      </c>
      <c r="T25" s="638">
        <f t="shared" si="3"/>
        <v>7.9546885884856533E-2</v>
      </c>
      <c r="U25" s="638">
        <f t="shared" si="3"/>
        <v>7.7606717936445413E-2</v>
      </c>
      <c r="V25" s="639">
        <f t="shared" ref="V25" si="4">SUM(V16,V23)</f>
        <v>7.5713871157507717E-2</v>
      </c>
      <c r="W25" s="1454"/>
      <c r="X25" s="1573" t="s">
        <v>3233</v>
      </c>
      <c r="Y25" s="1741">
        <f>SUM(Y16,Y23)</f>
        <v>0</v>
      </c>
      <c r="Z25" s="1742">
        <f t="shared" ref="Z25:AK25" si="5">SUM(Z16,Z23)</f>
        <v>0</v>
      </c>
      <c r="AA25" s="1742">
        <f t="shared" si="5"/>
        <v>0</v>
      </c>
      <c r="AB25" s="1742">
        <f t="shared" si="5"/>
        <v>0</v>
      </c>
      <c r="AC25" s="1742">
        <f t="shared" si="5"/>
        <v>0</v>
      </c>
      <c r="AD25" s="1742">
        <f t="shared" si="5"/>
        <v>0</v>
      </c>
      <c r="AE25" s="1742">
        <f t="shared" si="5"/>
        <v>0</v>
      </c>
      <c r="AF25" s="1743">
        <f t="shared" si="5"/>
        <v>0</v>
      </c>
      <c r="AG25" s="1741">
        <f t="shared" si="5"/>
        <v>1</v>
      </c>
      <c r="AH25" s="1742">
        <f t="shared" si="5"/>
        <v>1</v>
      </c>
      <c r="AI25" s="1742">
        <f t="shared" si="5"/>
        <v>1</v>
      </c>
      <c r="AJ25" s="1742">
        <f t="shared" si="5"/>
        <v>1</v>
      </c>
      <c r="AK25" s="1743">
        <f t="shared" si="5"/>
        <v>1</v>
      </c>
    </row>
    <row r="26" spans="2:37" s="1448" customFormat="1" ht="14.25">
      <c r="G26" s="1449"/>
      <c r="I26" s="96"/>
      <c r="J26" s="1450"/>
      <c r="K26" s="1450"/>
      <c r="L26" s="1450"/>
      <c r="M26" s="1450"/>
      <c r="N26" s="1450"/>
      <c r="O26" s="1450"/>
      <c r="P26" s="1450"/>
      <c r="Q26" s="1450"/>
      <c r="R26" s="1450"/>
      <c r="S26" s="1450"/>
      <c r="T26" s="1450"/>
      <c r="U26" s="1450"/>
      <c r="V26" s="1450"/>
      <c r="X26" s="1450"/>
      <c r="Y26" s="1451"/>
      <c r="Z26" s="1451"/>
      <c r="AA26" s="1450"/>
      <c r="AB26" s="1450"/>
    </row>
    <row r="27" spans="2:37" s="1448" customFormat="1" ht="14.25">
      <c r="G27" s="1449"/>
      <c r="I27" s="96"/>
      <c r="J27" s="1450"/>
      <c r="K27" s="1450"/>
      <c r="L27" s="1450"/>
      <c r="M27" s="1450"/>
      <c r="N27" s="1450"/>
      <c r="O27" s="1450"/>
      <c r="P27" s="1450"/>
      <c r="Q27" s="1450"/>
      <c r="R27" s="1450"/>
      <c r="S27" s="1450"/>
      <c r="T27" s="1450"/>
      <c r="U27" s="1450"/>
      <c r="V27" s="1450"/>
      <c r="X27" s="1450"/>
      <c r="Y27" s="1451"/>
      <c r="Z27" s="1451"/>
      <c r="AA27" s="1450"/>
      <c r="AB27" s="1450"/>
    </row>
    <row r="28" spans="2:37" s="1448" customFormat="1" ht="14.25">
      <c r="G28" s="1449"/>
      <c r="I28" s="96"/>
      <c r="J28" s="1450"/>
      <c r="K28" s="1450"/>
      <c r="L28" s="1450"/>
      <c r="M28" s="1450"/>
      <c r="N28" s="1450"/>
      <c r="O28" s="1450"/>
      <c r="P28" s="1450"/>
      <c r="Q28" s="1450"/>
      <c r="R28" s="1450"/>
      <c r="S28" s="1450"/>
      <c r="T28" s="1450"/>
      <c r="U28" s="1450"/>
      <c r="V28" s="1450"/>
      <c r="X28" s="1450"/>
      <c r="Y28" s="1451"/>
      <c r="Z28" s="1451"/>
      <c r="AA28" s="1450"/>
      <c r="AB28" s="1450"/>
    </row>
    <row r="29" spans="2:37" s="1448" customFormat="1" ht="14.25">
      <c r="G29" s="1449"/>
      <c r="I29" s="96"/>
      <c r="J29" s="1450"/>
      <c r="K29" s="1450"/>
      <c r="L29" s="1450"/>
      <c r="M29" s="1450"/>
      <c r="N29" s="1450"/>
      <c r="O29" s="1450"/>
      <c r="P29" s="1450"/>
      <c r="Q29" s="1450"/>
      <c r="R29" s="1450"/>
      <c r="S29" s="1450"/>
      <c r="T29" s="1450"/>
      <c r="U29" s="1450"/>
      <c r="V29" s="1450"/>
      <c r="X29" s="1450"/>
      <c r="Y29" s="1451"/>
      <c r="Z29" s="1451"/>
      <c r="AA29" s="1450"/>
      <c r="AB29" s="1450"/>
    </row>
    <row r="30" spans="2:37" s="1448" customFormat="1" ht="14.25">
      <c r="G30" s="1449"/>
      <c r="I30" s="96"/>
      <c r="J30" s="1450"/>
      <c r="K30" s="1450"/>
      <c r="L30" s="1450"/>
      <c r="M30" s="1450"/>
      <c r="N30" s="1450"/>
      <c r="O30" s="1450"/>
      <c r="P30" s="1450"/>
      <c r="Q30" s="1450"/>
      <c r="R30" s="1450"/>
      <c r="S30" s="1450"/>
      <c r="T30" s="1450"/>
      <c r="U30" s="1450"/>
      <c r="V30" s="1450"/>
      <c r="X30" s="1450"/>
      <c r="Y30" s="1451"/>
      <c r="Z30" s="1451"/>
      <c r="AA30" s="1450"/>
      <c r="AB30" s="1450"/>
    </row>
    <row r="31" spans="2:37" s="1448" customFormat="1" ht="14.25">
      <c r="G31" s="1449"/>
      <c r="I31" s="96"/>
      <c r="J31" s="1450"/>
      <c r="K31" s="1450"/>
      <c r="L31" s="1450"/>
      <c r="M31" s="1450"/>
      <c r="N31" s="1450"/>
      <c r="O31" s="1450"/>
      <c r="P31" s="1450"/>
      <c r="Q31" s="1450"/>
      <c r="R31" s="1450"/>
      <c r="S31" s="1450"/>
      <c r="T31" s="1450"/>
      <c r="U31" s="1450"/>
      <c r="V31" s="1450"/>
      <c r="X31" s="1450"/>
      <c r="Y31" s="1451"/>
      <c r="Z31" s="1451"/>
      <c r="AA31" s="1450"/>
      <c r="AB31" s="1450"/>
    </row>
    <row r="32" spans="2:37" s="1448" customFormat="1" ht="14.25">
      <c r="G32" s="1449"/>
      <c r="I32" s="96"/>
      <c r="J32" s="1450"/>
      <c r="K32" s="1450"/>
      <c r="L32" s="1450"/>
      <c r="M32" s="1450"/>
      <c r="N32" s="1450"/>
      <c r="O32" s="1450"/>
      <c r="P32" s="1450"/>
      <c r="Q32" s="1450"/>
      <c r="R32" s="1450"/>
      <c r="S32" s="1450"/>
      <c r="T32" s="1450"/>
      <c r="U32" s="1450"/>
      <c r="V32" s="1450"/>
      <c r="X32" s="1450"/>
      <c r="Y32" s="1451"/>
      <c r="Z32" s="1451"/>
      <c r="AA32" s="1450"/>
      <c r="AB32" s="1450"/>
    </row>
    <row r="33" spans="7:28" s="1448" customFormat="1" ht="14.25">
      <c r="G33" s="1449"/>
      <c r="I33" s="96"/>
      <c r="J33" s="1450"/>
      <c r="K33" s="1450"/>
      <c r="L33" s="1450"/>
      <c r="M33" s="1450"/>
      <c r="N33" s="1450"/>
      <c r="O33" s="1450"/>
      <c r="P33" s="1450"/>
      <c r="Q33" s="1450"/>
      <c r="R33" s="1450"/>
      <c r="S33" s="1450"/>
      <c r="T33" s="1450"/>
      <c r="U33" s="1450"/>
      <c r="V33" s="1450"/>
      <c r="X33" s="1450"/>
      <c r="Y33" s="1451"/>
      <c r="Z33" s="1451"/>
      <c r="AA33" s="1450"/>
      <c r="AB33" s="1450"/>
    </row>
    <row r="34" spans="7:28" s="1448" customFormat="1" ht="14.25">
      <c r="G34" s="1449"/>
      <c r="I34" s="96"/>
      <c r="J34" s="1450"/>
      <c r="K34" s="1450"/>
      <c r="L34" s="1450"/>
      <c r="M34" s="1450"/>
      <c r="N34" s="1450"/>
      <c r="O34" s="1450"/>
      <c r="P34" s="1450"/>
      <c r="Q34" s="1450"/>
      <c r="R34" s="1450"/>
      <c r="S34" s="1450"/>
      <c r="T34" s="1450"/>
      <c r="U34" s="1450"/>
      <c r="V34" s="1450"/>
      <c r="X34" s="1450"/>
      <c r="Y34" s="1451"/>
      <c r="Z34" s="1451"/>
      <c r="AA34" s="1450"/>
      <c r="AB34" s="1450"/>
    </row>
    <row r="35" spans="7:28" s="1448" customFormat="1" ht="14.25">
      <c r="G35" s="1449"/>
      <c r="I35" s="96"/>
      <c r="J35" s="1450"/>
      <c r="K35" s="1450"/>
      <c r="L35" s="1450"/>
      <c r="M35" s="1450"/>
      <c r="N35" s="1450"/>
      <c r="O35" s="1450"/>
      <c r="P35" s="1450"/>
      <c r="Q35" s="1450"/>
      <c r="R35" s="1450"/>
      <c r="S35" s="1450"/>
      <c r="T35" s="1450"/>
      <c r="U35" s="1450"/>
      <c r="V35" s="1450"/>
      <c r="X35" s="1450"/>
      <c r="Y35" s="1451"/>
      <c r="Z35" s="1451"/>
      <c r="AA35" s="1450"/>
      <c r="AB35" s="1450"/>
    </row>
    <row r="36" spans="7:28" s="1448" customFormat="1" ht="14.25">
      <c r="G36" s="1449"/>
      <c r="I36" s="96"/>
      <c r="J36" s="1450"/>
      <c r="K36" s="1450"/>
      <c r="L36" s="1450"/>
      <c r="M36" s="1450"/>
      <c r="N36" s="1450"/>
      <c r="O36" s="1450"/>
      <c r="P36" s="1450"/>
      <c r="Q36" s="1450"/>
      <c r="R36" s="1450"/>
      <c r="S36" s="1450"/>
      <c r="T36" s="1450"/>
      <c r="U36" s="1450"/>
      <c r="V36" s="1450"/>
      <c r="X36" s="1450"/>
      <c r="Y36" s="1451"/>
      <c r="Z36" s="1451"/>
      <c r="AA36" s="1450"/>
      <c r="AB36" s="1450"/>
    </row>
    <row r="37" spans="7:28" s="1448" customFormat="1" ht="14.25">
      <c r="G37" s="1449"/>
      <c r="I37" s="96"/>
      <c r="J37" s="1450"/>
      <c r="K37" s="1450"/>
      <c r="L37" s="1450"/>
      <c r="M37" s="1450"/>
      <c r="N37" s="1450"/>
      <c r="O37" s="1450"/>
      <c r="P37" s="1450"/>
      <c r="Q37" s="1450"/>
      <c r="R37" s="1450"/>
      <c r="S37" s="1450"/>
      <c r="T37" s="1450"/>
      <c r="U37" s="1450"/>
      <c r="V37" s="1450"/>
      <c r="X37" s="1450"/>
      <c r="Y37" s="1451"/>
      <c r="Z37" s="1451"/>
      <c r="AA37" s="1450"/>
      <c r="AB37" s="1450"/>
    </row>
    <row r="38" spans="7:28" s="1448" customFormat="1" ht="14.25">
      <c r="G38" s="1449"/>
      <c r="I38" s="96"/>
      <c r="J38" s="1450"/>
      <c r="K38" s="1450"/>
      <c r="L38" s="1450"/>
      <c r="M38" s="1450"/>
      <c r="N38" s="1450"/>
      <c r="O38" s="1450"/>
      <c r="P38" s="1450"/>
      <c r="Q38" s="1450"/>
      <c r="R38" s="1450"/>
      <c r="S38" s="1450"/>
      <c r="T38" s="1450"/>
      <c r="U38" s="1450"/>
      <c r="V38" s="1450"/>
      <c r="X38" s="1450"/>
      <c r="Y38" s="1451"/>
      <c r="Z38" s="1451"/>
      <c r="AA38" s="1450"/>
      <c r="AB38" s="1450"/>
    </row>
    <row r="39" spans="7:28" s="1448" customFormat="1" ht="14.25">
      <c r="G39" s="1449"/>
      <c r="I39" s="96"/>
      <c r="J39" s="1450"/>
      <c r="K39" s="1450"/>
      <c r="L39" s="1450"/>
      <c r="M39" s="1450"/>
      <c r="N39" s="1450"/>
      <c r="O39" s="1450"/>
      <c r="P39" s="1450"/>
      <c r="Q39" s="1450"/>
      <c r="R39" s="1450"/>
      <c r="S39" s="1450"/>
      <c r="T39" s="1450"/>
      <c r="U39" s="1450"/>
      <c r="V39" s="1450"/>
      <c r="X39" s="1450"/>
      <c r="Y39" s="1451"/>
      <c r="Z39" s="1451"/>
      <c r="AA39" s="1450"/>
      <c r="AB39" s="1450"/>
    </row>
    <row r="40" spans="7:28" s="1448" customFormat="1" ht="14.25">
      <c r="G40" s="1449"/>
      <c r="I40" s="96"/>
      <c r="J40" s="1450"/>
      <c r="K40" s="1450"/>
      <c r="L40" s="1450"/>
      <c r="M40" s="1450"/>
      <c r="N40" s="1450"/>
      <c r="O40" s="1450"/>
      <c r="P40" s="1450"/>
      <c r="Q40" s="1450"/>
      <c r="R40" s="1450"/>
      <c r="S40" s="1450"/>
      <c r="T40" s="1450"/>
      <c r="U40" s="1450"/>
      <c r="V40" s="1450"/>
      <c r="X40" s="1450"/>
      <c r="Y40" s="1451"/>
      <c r="Z40" s="1451"/>
      <c r="AA40" s="1450"/>
      <c r="AB40" s="1450"/>
    </row>
    <row r="41" spans="7:28" s="1448" customFormat="1" ht="14.25">
      <c r="G41" s="1449"/>
      <c r="I41" s="96"/>
      <c r="J41" s="1450"/>
      <c r="K41" s="1450"/>
      <c r="L41" s="1450"/>
      <c r="M41" s="1450"/>
      <c r="N41" s="1450"/>
      <c r="O41" s="1450"/>
      <c r="P41" s="1450"/>
      <c r="Q41" s="1450"/>
      <c r="R41" s="1450"/>
      <c r="S41" s="1450"/>
      <c r="T41" s="1450"/>
      <c r="U41" s="1450"/>
      <c r="V41" s="1450"/>
      <c r="X41" s="1450"/>
      <c r="Y41" s="1451"/>
      <c r="Z41" s="1451"/>
      <c r="AA41" s="1450"/>
      <c r="AB41" s="1450"/>
    </row>
    <row r="42" spans="7:28" s="1448" customFormat="1" ht="14.25">
      <c r="G42" s="1449"/>
      <c r="I42" s="96"/>
      <c r="J42" s="1450"/>
      <c r="K42" s="1450"/>
      <c r="L42" s="1450"/>
      <c r="M42" s="1450"/>
      <c r="N42" s="1450"/>
      <c r="O42" s="1450"/>
      <c r="P42" s="1450"/>
      <c r="Q42" s="1450"/>
      <c r="R42" s="1450"/>
      <c r="S42" s="1450"/>
      <c r="T42" s="1450"/>
      <c r="U42" s="1450"/>
      <c r="V42" s="1450"/>
      <c r="X42" s="1450"/>
      <c r="Y42" s="1451"/>
      <c r="Z42" s="1451"/>
      <c r="AA42" s="1450"/>
      <c r="AB42" s="1450"/>
    </row>
    <row r="43" spans="7:28" s="1448" customFormat="1" ht="14.25">
      <c r="G43" s="1449"/>
      <c r="I43" s="96"/>
      <c r="J43" s="1450"/>
      <c r="K43" s="1450"/>
      <c r="L43" s="1450"/>
      <c r="M43" s="1450"/>
      <c r="N43" s="1450"/>
      <c r="O43" s="1450"/>
      <c r="P43" s="1450"/>
      <c r="Q43" s="1450"/>
      <c r="R43" s="1450"/>
      <c r="S43" s="1450"/>
      <c r="T43" s="1450"/>
      <c r="U43" s="1450"/>
      <c r="V43" s="1450"/>
      <c r="X43" s="1450"/>
      <c r="Y43" s="1451"/>
      <c r="Z43" s="1451"/>
      <c r="AA43" s="1450"/>
      <c r="AB43" s="1450"/>
    </row>
    <row r="44" spans="7:28" s="1448" customFormat="1" ht="14.25">
      <c r="G44" s="1449"/>
      <c r="I44" s="96"/>
      <c r="J44" s="1450"/>
      <c r="K44" s="1450"/>
      <c r="L44" s="1450"/>
      <c r="M44" s="1450"/>
      <c r="N44" s="1450"/>
      <c r="O44" s="1450"/>
      <c r="P44" s="1450"/>
      <c r="Q44" s="1450"/>
      <c r="R44" s="1450"/>
      <c r="S44" s="1450"/>
      <c r="T44" s="1450"/>
      <c r="U44" s="1450"/>
      <c r="V44" s="1450"/>
      <c r="X44" s="1450"/>
      <c r="Y44" s="1451"/>
      <c r="Z44" s="1451"/>
      <c r="AA44" s="1450"/>
      <c r="AB44" s="1450"/>
    </row>
    <row r="45" spans="7:28" s="1448" customFormat="1" ht="14.25">
      <c r="G45" s="1449"/>
      <c r="I45" s="96"/>
      <c r="J45" s="1450"/>
      <c r="K45" s="1450"/>
      <c r="L45" s="1450"/>
      <c r="M45" s="1450"/>
      <c r="N45" s="1450"/>
      <c r="O45" s="1450"/>
      <c r="P45" s="1450"/>
      <c r="Q45" s="1450"/>
      <c r="R45" s="1450"/>
      <c r="S45" s="1450"/>
      <c r="T45" s="1450"/>
      <c r="U45" s="1450"/>
      <c r="V45" s="1450"/>
      <c r="X45" s="1450"/>
      <c r="Y45" s="1451"/>
      <c r="Z45" s="1451"/>
      <c r="AA45" s="1450"/>
      <c r="AB45" s="1450"/>
    </row>
    <row r="46" spans="7:28" s="1448" customFormat="1" ht="14.25">
      <c r="G46" s="1449"/>
      <c r="I46" s="96"/>
      <c r="J46" s="1450"/>
      <c r="K46" s="1450"/>
      <c r="L46" s="1450"/>
      <c r="M46" s="1450"/>
      <c r="N46" s="1450"/>
      <c r="O46" s="1450"/>
      <c r="P46" s="1450"/>
      <c r="Q46" s="1450"/>
      <c r="R46" s="1450"/>
      <c r="S46" s="1450"/>
      <c r="T46" s="1450"/>
      <c r="U46" s="1450"/>
      <c r="V46" s="1450"/>
      <c r="X46" s="1450"/>
      <c r="Y46" s="1451"/>
      <c r="Z46" s="1451"/>
      <c r="AA46" s="1450"/>
      <c r="AB46" s="1450"/>
    </row>
    <row r="47" spans="7:28" s="1448" customFormat="1" ht="14.25">
      <c r="G47" s="1449"/>
      <c r="I47" s="96"/>
      <c r="J47" s="1450"/>
      <c r="K47" s="1450"/>
      <c r="L47" s="1450"/>
      <c r="M47" s="1450"/>
      <c r="N47" s="1450"/>
      <c r="O47" s="1450"/>
      <c r="P47" s="1450"/>
      <c r="Q47" s="1450"/>
      <c r="R47" s="1450"/>
      <c r="S47" s="1450"/>
      <c r="T47" s="1450"/>
      <c r="U47" s="1450"/>
      <c r="V47" s="1450"/>
      <c r="X47" s="1450"/>
      <c r="Y47" s="1451"/>
      <c r="Z47" s="1451"/>
      <c r="AA47" s="1450"/>
      <c r="AB47" s="1450"/>
    </row>
    <row r="48" spans="7:28" s="1448" customFormat="1" ht="14.25">
      <c r="G48" s="1449"/>
      <c r="I48" s="96"/>
      <c r="J48" s="1450"/>
      <c r="K48" s="1450"/>
      <c r="L48" s="1450"/>
      <c r="M48" s="1450"/>
      <c r="N48" s="1450"/>
      <c r="O48" s="1450"/>
      <c r="P48" s="1450"/>
      <c r="Q48" s="1450"/>
      <c r="R48" s="1450"/>
      <c r="S48" s="1450"/>
      <c r="T48" s="1450"/>
      <c r="U48" s="1450"/>
      <c r="V48" s="1450"/>
      <c r="X48" s="1450"/>
      <c r="Y48" s="1451"/>
      <c r="Z48" s="1451"/>
      <c r="AA48" s="1450"/>
      <c r="AB48" s="1450"/>
    </row>
    <row r="49" spans="7:28" s="1448" customFormat="1" ht="14.25">
      <c r="G49" s="1449"/>
      <c r="I49" s="96"/>
      <c r="J49" s="1450"/>
      <c r="K49" s="1450"/>
      <c r="L49" s="1450"/>
      <c r="M49" s="1450"/>
      <c r="N49" s="1450"/>
      <c r="O49" s="1450"/>
      <c r="P49" s="1450"/>
      <c r="Q49" s="1450"/>
      <c r="R49" s="1450"/>
      <c r="S49" s="1450"/>
      <c r="T49" s="1450"/>
      <c r="U49" s="1450"/>
      <c r="V49" s="1450"/>
      <c r="X49" s="1450"/>
      <c r="Y49" s="1451"/>
      <c r="Z49" s="1451"/>
      <c r="AA49" s="1450"/>
      <c r="AB49" s="1450"/>
    </row>
    <row r="50" spans="7:28" s="1448" customFormat="1" ht="14.25">
      <c r="G50" s="1449"/>
      <c r="I50" s="96"/>
      <c r="J50" s="1450"/>
      <c r="K50" s="1450"/>
      <c r="L50" s="1450"/>
      <c r="M50" s="1450"/>
      <c r="N50" s="1450"/>
      <c r="O50" s="1450"/>
      <c r="P50" s="1450"/>
      <c r="Q50" s="1450"/>
      <c r="R50" s="1450"/>
      <c r="S50" s="1450"/>
      <c r="T50" s="1450"/>
      <c r="U50" s="1450"/>
      <c r="V50" s="1450"/>
      <c r="X50" s="1450"/>
      <c r="Y50" s="1451"/>
      <c r="Z50" s="1451"/>
      <c r="AA50" s="1450"/>
      <c r="AB50" s="1450"/>
    </row>
    <row r="51" spans="7:28" s="1448" customFormat="1" ht="14.25">
      <c r="G51" s="1449"/>
      <c r="I51" s="96"/>
      <c r="J51" s="1450"/>
      <c r="K51" s="1450"/>
      <c r="L51" s="1450"/>
      <c r="M51" s="1450"/>
      <c r="N51" s="1450"/>
      <c r="O51" s="1450"/>
      <c r="P51" s="1450"/>
      <c r="Q51" s="1450"/>
      <c r="R51" s="1450"/>
      <c r="S51" s="1450"/>
      <c r="T51" s="1450"/>
      <c r="U51" s="1450"/>
      <c r="V51" s="1450"/>
      <c r="X51" s="1450"/>
      <c r="Y51" s="1451"/>
      <c r="Z51" s="1451"/>
      <c r="AA51" s="1450"/>
      <c r="AB51" s="1450"/>
    </row>
    <row r="52" spans="7:28" s="1448" customFormat="1" ht="14.25">
      <c r="G52" s="1449"/>
      <c r="I52" s="96"/>
      <c r="J52" s="1450"/>
      <c r="K52" s="1450"/>
      <c r="L52" s="1450"/>
      <c r="M52" s="1450"/>
      <c r="N52" s="1450"/>
      <c r="O52" s="1450"/>
      <c r="P52" s="1450"/>
      <c r="Q52" s="1450"/>
      <c r="R52" s="1450"/>
      <c r="S52" s="1450"/>
      <c r="T52" s="1450"/>
      <c r="U52" s="1450"/>
      <c r="V52" s="1450"/>
      <c r="X52" s="1450"/>
      <c r="Y52" s="1451"/>
      <c r="Z52" s="1451"/>
      <c r="AA52" s="1450"/>
      <c r="AB52" s="1450"/>
    </row>
    <row r="53" spans="7:28" s="1448" customFormat="1" ht="14.25">
      <c r="G53" s="1449"/>
      <c r="I53" s="96"/>
      <c r="J53" s="1450"/>
      <c r="K53" s="1450"/>
      <c r="L53" s="1450"/>
      <c r="M53" s="1450"/>
      <c r="N53" s="1450"/>
      <c r="O53" s="1450"/>
      <c r="P53" s="1450"/>
      <c r="Q53" s="1450"/>
      <c r="R53" s="1450"/>
      <c r="S53" s="1450"/>
      <c r="T53" s="1450"/>
      <c r="U53" s="1450"/>
      <c r="V53" s="1450"/>
      <c r="X53" s="1450"/>
      <c r="Y53" s="1451"/>
      <c r="Z53" s="1451"/>
      <c r="AA53" s="1450"/>
      <c r="AB53" s="1450"/>
    </row>
    <row r="54" spans="7:28" s="1448" customFormat="1" ht="14.25">
      <c r="G54" s="1449"/>
      <c r="I54" s="96"/>
      <c r="J54" s="1450"/>
      <c r="K54" s="1450"/>
      <c r="L54" s="1450"/>
      <c r="M54" s="1450"/>
      <c r="N54" s="1450"/>
      <c r="O54" s="1450"/>
      <c r="P54" s="1450"/>
      <c r="Q54" s="1450"/>
      <c r="R54" s="1450"/>
      <c r="S54" s="1450"/>
      <c r="T54" s="1450"/>
      <c r="U54" s="1450"/>
      <c r="V54" s="1450"/>
      <c r="X54" s="1450"/>
      <c r="Y54" s="1451"/>
      <c r="Z54" s="1451"/>
      <c r="AA54" s="1450"/>
      <c r="AB54" s="1450"/>
    </row>
    <row r="55" spans="7:28" s="1448" customFormat="1" ht="14.25">
      <c r="G55" s="1449"/>
      <c r="I55" s="96"/>
      <c r="J55" s="1450"/>
      <c r="K55" s="1450"/>
      <c r="L55" s="1450"/>
      <c r="M55" s="1450"/>
      <c r="N55" s="1450"/>
      <c r="O55" s="1450"/>
      <c r="P55" s="1450"/>
      <c r="Q55" s="1450"/>
      <c r="R55" s="1450"/>
      <c r="S55" s="1450"/>
      <c r="T55" s="1450"/>
      <c r="U55" s="1450"/>
      <c r="V55" s="1450"/>
      <c r="X55" s="1450"/>
      <c r="Y55" s="1451"/>
      <c r="Z55" s="1451"/>
      <c r="AA55" s="1450"/>
      <c r="AB55" s="1450"/>
    </row>
    <row r="56" spans="7:28" s="1448" customFormat="1" ht="14.25">
      <c r="G56" s="1449"/>
      <c r="I56" s="96"/>
      <c r="J56" s="1450"/>
      <c r="K56" s="1450"/>
      <c r="L56" s="1450"/>
      <c r="M56" s="1450"/>
      <c r="N56" s="1450"/>
      <c r="O56" s="1450"/>
      <c r="P56" s="1450"/>
      <c r="Q56" s="1450"/>
      <c r="R56" s="1450"/>
      <c r="S56" s="1450"/>
      <c r="T56" s="1450"/>
      <c r="U56" s="1450"/>
      <c r="V56" s="1450"/>
      <c r="X56" s="1450"/>
      <c r="Y56" s="1451"/>
      <c r="Z56" s="1451"/>
      <c r="AA56" s="1450"/>
      <c r="AB56" s="1450"/>
    </row>
    <row r="57" spans="7:28" s="1448" customFormat="1" ht="14.25">
      <c r="G57" s="1449"/>
      <c r="I57" s="96"/>
      <c r="J57" s="1450"/>
      <c r="K57" s="1450"/>
      <c r="L57" s="1450"/>
      <c r="M57" s="1450"/>
      <c r="N57" s="1450"/>
      <c r="O57" s="1450"/>
      <c r="P57" s="1450"/>
      <c r="Q57" s="1450"/>
      <c r="R57" s="1450"/>
      <c r="S57" s="1450"/>
      <c r="T57" s="1450"/>
      <c r="U57" s="1450"/>
      <c r="V57" s="1450"/>
      <c r="X57" s="1450"/>
      <c r="Y57" s="1451"/>
      <c r="Z57" s="1451"/>
      <c r="AA57" s="1450"/>
      <c r="AB57" s="1450"/>
    </row>
    <row r="58" spans="7:28" s="1448" customFormat="1" ht="14.25">
      <c r="G58" s="1449"/>
      <c r="I58" s="96"/>
      <c r="J58" s="1450"/>
      <c r="K58" s="1450"/>
      <c r="L58" s="1450"/>
      <c r="M58" s="1450"/>
      <c r="N58" s="1450"/>
      <c r="O58" s="1450"/>
      <c r="P58" s="1450"/>
      <c r="Q58" s="1450"/>
      <c r="R58" s="1450"/>
      <c r="S58" s="1450"/>
      <c r="T58" s="1450"/>
      <c r="U58" s="1450"/>
      <c r="V58" s="1450"/>
      <c r="X58" s="1450"/>
      <c r="Y58" s="1451"/>
      <c r="Z58" s="1451"/>
      <c r="AA58" s="1450"/>
      <c r="AB58" s="1450"/>
    </row>
    <row r="59" spans="7:28" s="1448" customFormat="1" ht="14.25">
      <c r="G59" s="1449"/>
      <c r="I59" s="96"/>
      <c r="J59" s="1450"/>
      <c r="K59" s="1450"/>
      <c r="L59" s="1450"/>
      <c r="M59" s="1450"/>
      <c r="N59" s="1450"/>
      <c r="O59" s="1450"/>
      <c r="P59" s="1450"/>
      <c r="Q59" s="1450"/>
      <c r="R59" s="1450"/>
      <c r="S59" s="1450"/>
      <c r="T59" s="1450"/>
      <c r="U59" s="1450"/>
      <c r="V59" s="1450"/>
      <c r="X59" s="1450"/>
      <c r="Y59" s="1451"/>
      <c r="Z59" s="1451"/>
      <c r="AA59" s="1450"/>
      <c r="AB59" s="1450"/>
    </row>
    <row r="60" spans="7:28" s="1448" customFormat="1" ht="14.25">
      <c r="G60" s="1449"/>
      <c r="I60" s="96"/>
      <c r="J60" s="1450"/>
      <c r="K60" s="1450"/>
      <c r="L60" s="1450"/>
      <c r="M60" s="1450"/>
      <c r="N60" s="1450"/>
      <c r="O60" s="1450"/>
      <c r="P60" s="1450"/>
      <c r="Q60" s="1450"/>
      <c r="R60" s="1450"/>
      <c r="S60" s="1450"/>
      <c r="T60" s="1450"/>
      <c r="U60" s="1450"/>
      <c r="V60" s="1450"/>
      <c r="X60" s="1450"/>
      <c r="Y60" s="1451"/>
      <c r="Z60" s="1451"/>
      <c r="AA60" s="1450"/>
      <c r="AB60" s="1450"/>
    </row>
    <row r="61" spans="7:28" s="1448" customFormat="1" ht="14.25">
      <c r="G61" s="1449"/>
      <c r="I61" s="96"/>
      <c r="J61" s="1450"/>
      <c r="K61" s="1450"/>
      <c r="L61" s="1450"/>
      <c r="M61" s="1450"/>
      <c r="N61" s="1450"/>
      <c r="O61" s="1450"/>
      <c r="P61" s="1450"/>
      <c r="Q61" s="1450"/>
      <c r="R61" s="1450"/>
      <c r="S61" s="1450"/>
      <c r="T61" s="1450"/>
      <c r="U61" s="1450"/>
      <c r="V61" s="1450"/>
      <c r="X61" s="1450"/>
      <c r="Y61" s="1451"/>
      <c r="Z61" s="1451"/>
      <c r="AA61" s="1450"/>
      <c r="AB61" s="1450"/>
    </row>
    <row r="62" spans="7:28" s="1448" customFormat="1" ht="14.25">
      <c r="G62" s="1449"/>
      <c r="I62" s="96"/>
      <c r="J62" s="1450"/>
      <c r="K62" s="1450"/>
      <c r="L62" s="1450"/>
      <c r="M62" s="1450"/>
      <c r="N62" s="1450"/>
      <c r="O62" s="1450"/>
      <c r="P62" s="1450"/>
      <c r="Q62" s="1450"/>
      <c r="R62" s="1450"/>
      <c r="S62" s="1450"/>
      <c r="T62" s="1450"/>
      <c r="U62" s="1450"/>
      <c r="V62" s="1450"/>
      <c r="X62" s="1450"/>
      <c r="Y62" s="1451"/>
      <c r="Z62" s="1451"/>
      <c r="AA62" s="1450"/>
      <c r="AB62" s="1450"/>
    </row>
    <row r="63" spans="7:28" s="1448" customFormat="1" ht="14.25">
      <c r="G63" s="1449"/>
      <c r="I63" s="96"/>
      <c r="J63" s="1450"/>
      <c r="K63" s="1450"/>
      <c r="L63" s="1450"/>
      <c r="M63" s="1450"/>
      <c r="N63" s="1450"/>
      <c r="O63" s="1450"/>
      <c r="P63" s="1450"/>
      <c r="Q63" s="1450"/>
      <c r="R63" s="1450"/>
      <c r="S63" s="1450"/>
      <c r="T63" s="1450"/>
      <c r="U63" s="1450"/>
      <c r="V63" s="1450"/>
      <c r="X63" s="1450"/>
      <c r="Y63" s="1451"/>
      <c r="Z63" s="1451"/>
      <c r="AA63" s="1450"/>
      <c r="AB63" s="1450"/>
    </row>
    <row r="64" spans="7:28" s="1448" customFormat="1" ht="14.25">
      <c r="G64" s="1449"/>
      <c r="I64" s="96"/>
      <c r="J64" s="1450"/>
      <c r="K64" s="1450"/>
      <c r="L64" s="1450"/>
      <c r="M64" s="1450"/>
      <c r="N64" s="1450"/>
      <c r="O64" s="1450"/>
      <c r="P64" s="1450"/>
      <c r="Q64" s="1450"/>
      <c r="R64" s="1450"/>
      <c r="S64" s="1450"/>
      <c r="T64" s="1450"/>
      <c r="U64" s="1450"/>
      <c r="V64" s="1450"/>
      <c r="X64" s="1450"/>
      <c r="Y64" s="1451"/>
      <c r="Z64" s="1451"/>
      <c r="AA64" s="1450"/>
      <c r="AB64" s="1450"/>
    </row>
    <row r="65" spans="7:28" s="1448" customFormat="1" ht="14.25">
      <c r="G65" s="1449"/>
      <c r="I65" s="96"/>
      <c r="J65" s="1450"/>
      <c r="K65" s="1450"/>
      <c r="L65" s="1450"/>
      <c r="M65" s="1450"/>
      <c r="N65" s="1450"/>
      <c r="O65" s="1450"/>
      <c r="P65" s="1450"/>
      <c r="Q65" s="1450"/>
      <c r="R65" s="1450"/>
      <c r="S65" s="1450"/>
      <c r="T65" s="1450"/>
      <c r="U65" s="1450"/>
      <c r="V65" s="1450"/>
      <c r="X65" s="1450"/>
      <c r="Y65" s="1451"/>
      <c r="Z65" s="1451"/>
      <c r="AA65" s="1450"/>
      <c r="AB65" s="1450"/>
    </row>
    <row r="66" spans="7:28" s="1448" customFormat="1" ht="14.25">
      <c r="G66" s="1449"/>
      <c r="I66" s="96"/>
      <c r="J66" s="1450"/>
      <c r="K66" s="1450"/>
      <c r="L66" s="1450"/>
      <c r="M66" s="1450"/>
      <c r="N66" s="1450"/>
      <c r="O66" s="1450"/>
      <c r="P66" s="1450"/>
      <c r="Q66" s="1450"/>
      <c r="R66" s="1450"/>
      <c r="S66" s="1450"/>
      <c r="T66" s="1450"/>
      <c r="U66" s="1450"/>
      <c r="V66" s="1450"/>
      <c r="X66" s="1450"/>
      <c r="Y66" s="1451"/>
      <c r="Z66" s="1451"/>
      <c r="AA66" s="1450"/>
      <c r="AB66" s="1450"/>
    </row>
    <row r="67" spans="7:28" s="1448" customFormat="1" ht="14.25">
      <c r="G67" s="1449"/>
      <c r="I67" s="96"/>
      <c r="J67" s="1450"/>
      <c r="K67" s="1450"/>
      <c r="L67" s="1450"/>
      <c r="M67" s="1450"/>
      <c r="N67" s="1450"/>
      <c r="O67" s="1450"/>
      <c r="P67" s="1450"/>
      <c r="Q67" s="1450"/>
      <c r="R67" s="1450"/>
      <c r="S67" s="1450"/>
      <c r="T67" s="1450"/>
      <c r="U67" s="1450"/>
      <c r="V67" s="1450"/>
      <c r="X67" s="1450"/>
      <c r="Y67" s="1451"/>
      <c r="Z67" s="1451"/>
      <c r="AA67" s="1450"/>
      <c r="AB67" s="1450"/>
    </row>
    <row r="68" spans="7:28" s="1448" customFormat="1" ht="14.25">
      <c r="G68" s="1449"/>
      <c r="I68" s="96"/>
      <c r="J68" s="1450"/>
      <c r="K68" s="1450"/>
      <c r="L68" s="1450"/>
      <c r="M68" s="1450"/>
      <c r="N68" s="1450"/>
      <c r="O68" s="1450"/>
      <c r="P68" s="1450"/>
      <c r="Q68" s="1450"/>
      <c r="R68" s="1450"/>
      <c r="S68" s="1450"/>
      <c r="T68" s="1450"/>
      <c r="U68" s="1450"/>
      <c r="V68" s="1450"/>
      <c r="X68" s="1450"/>
      <c r="Y68" s="1451"/>
      <c r="Z68" s="1451"/>
      <c r="AA68" s="1450"/>
      <c r="AB68" s="1450"/>
    </row>
    <row r="69" spans="7:28" s="1448" customFormat="1" ht="14.25">
      <c r="G69" s="1449"/>
      <c r="I69" s="96"/>
      <c r="J69" s="1450"/>
      <c r="K69" s="1450"/>
      <c r="L69" s="1450"/>
      <c r="M69" s="1450"/>
      <c r="N69" s="1450"/>
      <c r="O69" s="1450"/>
      <c r="P69" s="1450"/>
      <c r="Q69" s="1450"/>
      <c r="R69" s="1450"/>
      <c r="S69" s="1450"/>
      <c r="T69" s="1450"/>
      <c r="U69" s="1450"/>
      <c r="V69" s="1450"/>
      <c r="X69" s="1450"/>
      <c r="Y69" s="1451"/>
      <c r="Z69" s="1451"/>
      <c r="AA69" s="1450"/>
      <c r="AB69" s="1450"/>
    </row>
    <row r="70" spans="7:28" s="1448" customFormat="1" ht="14.25">
      <c r="G70" s="1449"/>
      <c r="I70" s="96"/>
      <c r="J70" s="1450"/>
      <c r="K70" s="1450"/>
      <c r="L70" s="1450"/>
      <c r="M70" s="1450"/>
      <c r="N70" s="1450"/>
      <c r="O70" s="1450"/>
      <c r="P70" s="1450"/>
      <c r="Q70" s="1450"/>
      <c r="R70" s="1450"/>
      <c r="S70" s="1450"/>
      <c r="T70" s="1450"/>
      <c r="U70" s="1450"/>
      <c r="V70" s="1450"/>
      <c r="X70" s="1450"/>
      <c r="Y70" s="1451"/>
      <c r="Z70" s="1451"/>
      <c r="AA70" s="1450"/>
      <c r="AB70" s="1450"/>
    </row>
    <row r="71" spans="7:28" s="1448" customFormat="1" ht="14.25">
      <c r="G71" s="1449"/>
      <c r="I71" s="96"/>
      <c r="J71" s="1450"/>
      <c r="K71" s="1450"/>
      <c r="L71" s="1450"/>
      <c r="M71" s="1450"/>
      <c r="N71" s="1450"/>
      <c r="O71" s="1450"/>
      <c r="P71" s="1450"/>
      <c r="Q71" s="1450"/>
      <c r="R71" s="1450"/>
      <c r="S71" s="1450"/>
      <c r="T71" s="1450"/>
      <c r="U71" s="1450"/>
      <c r="V71" s="1450"/>
      <c r="X71" s="1450"/>
      <c r="Y71" s="1451"/>
      <c r="Z71" s="1451"/>
      <c r="AA71" s="1450"/>
      <c r="AB71" s="1450"/>
    </row>
    <row r="72" spans="7:28" s="1448" customFormat="1" ht="14.25">
      <c r="G72" s="1449"/>
      <c r="I72" s="96"/>
      <c r="J72" s="1450"/>
      <c r="K72" s="1450"/>
      <c r="L72" s="1450"/>
      <c r="M72" s="1450"/>
      <c r="N72" s="1450"/>
      <c r="O72" s="1450"/>
      <c r="P72" s="1450"/>
      <c r="Q72" s="1450"/>
      <c r="R72" s="1450"/>
      <c r="S72" s="1450"/>
      <c r="T72" s="1450"/>
      <c r="U72" s="1450"/>
      <c r="V72" s="1450"/>
      <c r="X72" s="1450"/>
      <c r="Y72" s="1451"/>
      <c r="Z72" s="1451"/>
      <c r="AA72" s="1450"/>
      <c r="AB72" s="1450"/>
    </row>
    <row r="73" spans="7:28" s="1448" customFormat="1" ht="14.25">
      <c r="G73" s="1449"/>
      <c r="I73" s="96"/>
      <c r="J73" s="1450"/>
      <c r="K73" s="1450"/>
      <c r="L73" s="1450"/>
      <c r="M73" s="1450"/>
      <c r="N73" s="1450"/>
      <c r="O73" s="1450"/>
      <c r="P73" s="1450"/>
      <c r="Q73" s="1450"/>
      <c r="R73" s="1450"/>
      <c r="S73" s="1450"/>
      <c r="T73" s="1450"/>
      <c r="U73" s="1450"/>
      <c r="V73" s="1450"/>
      <c r="X73" s="1450"/>
      <c r="Y73" s="1451"/>
      <c r="Z73" s="1451"/>
      <c r="AA73" s="1450"/>
      <c r="AB73" s="1450"/>
    </row>
    <row r="74" spans="7:28" s="1448" customFormat="1" ht="14.25">
      <c r="G74" s="1449"/>
      <c r="I74" s="96"/>
      <c r="J74" s="1450"/>
      <c r="K74" s="1450"/>
      <c r="L74" s="1450"/>
      <c r="M74" s="1450"/>
      <c r="N74" s="1450"/>
      <c r="O74" s="1450"/>
      <c r="P74" s="1450"/>
      <c r="Q74" s="1450"/>
      <c r="R74" s="1450"/>
      <c r="S74" s="1450"/>
      <c r="T74" s="1450"/>
      <c r="U74" s="1450"/>
      <c r="V74" s="1450"/>
      <c r="X74" s="1450"/>
      <c r="Y74" s="1451"/>
      <c r="Z74" s="1451"/>
      <c r="AA74" s="1450"/>
      <c r="AB74" s="1450"/>
    </row>
    <row r="75" spans="7:28" s="1448" customFormat="1" ht="14.25">
      <c r="G75" s="1449"/>
      <c r="I75" s="96"/>
      <c r="J75" s="1450"/>
      <c r="K75" s="1450"/>
      <c r="L75" s="1450"/>
      <c r="M75" s="1450"/>
      <c r="N75" s="1450"/>
      <c r="O75" s="1450"/>
      <c r="P75" s="1450"/>
      <c r="Q75" s="1450"/>
      <c r="R75" s="1450"/>
      <c r="S75" s="1450"/>
      <c r="T75" s="1450"/>
      <c r="U75" s="1450"/>
      <c r="V75" s="1450"/>
      <c r="X75" s="1450"/>
      <c r="Y75" s="1451"/>
      <c r="Z75" s="1451"/>
      <c r="AA75" s="1450"/>
      <c r="AB75" s="1450"/>
    </row>
    <row r="76" spans="7:28" s="1448" customFormat="1" ht="14.25">
      <c r="G76" s="1449"/>
      <c r="I76" s="96"/>
      <c r="J76" s="1450"/>
      <c r="K76" s="1450"/>
      <c r="L76" s="1450"/>
      <c r="M76" s="1450"/>
      <c r="N76" s="1450"/>
      <c r="O76" s="1450"/>
      <c r="P76" s="1450"/>
      <c r="Q76" s="1450"/>
      <c r="R76" s="1450"/>
      <c r="S76" s="1450"/>
      <c r="T76" s="1450"/>
      <c r="U76" s="1450"/>
      <c r="V76" s="1450"/>
      <c r="X76" s="1450"/>
      <c r="Y76" s="1451"/>
      <c r="Z76" s="1451"/>
      <c r="AA76" s="1450"/>
      <c r="AB76" s="1450"/>
    </row>
    <row r="77" spans="7:28" s="1448" customFormat="1" ht="14.25">
      <c r="G77" s="1449"/>
      <c r="I77" s="96"/>
      <c r="J77" s="1450"/>
      <c r="K77" s="1450"/>
      <c r="L77" s="1450"/>
      <c r="M77" s="1450"/>
      <c r="N77" s="1450"/>
      <c r="O77" s="1450"/>
      <c r="P77" s="1450"/>
      <c r="Q77" s="1450"/>
      <c r="R77" s="1450"/>
      <c r="S77" s="1450"/>
      <c r="T77" s="1450"/>
      <c r="U77" s="1450"/>
      <c r="V77" s="1450"/>
      <c r="X77" s="1450"/>
      <c r="Y77" s="1451"/>
      <c r="Z77" s="1451"/>
      <c r="AA77" s="1450"/>
      <c r="AB77" s="1450"/>
    </row>
    <row r="78" spans="7:28" s="1448" customFormat="1" ht="14.25">
      <c r="G78" s="1449"/>
      <c r="I78" s="96"/>
      <c r="J78" s="1450"/>
      <c r="K78" s="1450"/>
      <c r="L78" s="1450"/>
      <c r="M78" s="1450"/>
      <c r="N78" s="1450"/>
      <c r="O78" s="1450"/>
      <c r="P78" s="1450"/>
      <c r="Q78" s="1450"/>
      <c r="R78" s="1450"/>
      <c r="S78" s="1450"/>
      <c r="T78" s="1450"/>
      <c r="U78" s="1450"/>
      <c r="V78" s="1450"/>
      <c r="X78" s="1450"/>
      <c r="Y78" s="1451"/>
      <c r="Z78" s="1451"/>
      <c r="AA78" s="1450"/>
      <c r="AB78" s="1450"/>
    </row>
    <row r="79" spans="7:28" s="1448" customFormat="1" ht="14.25">
      <c r="G79" s="1449"/>
      <c r="I79" s="96"/>
      <c r="J79" s="1450"/>
      <c r="K79" s="1450"/>
      <c r="L79" s="1450"/>
      <c r="M79" s="1450"/>
      <c r="N79" s="1450"/>
      <c r="O79" s="1450"/>
      <c r="P79" s="1450"/>
      <c r="Q79" s="1450"/>
      <c r="R79" s="1450"/>
      <c r="S79" s="1450"/>
      <c r="T79" s="1450"/>
      <c r="U79" s="1450"/>
      <c r="V79" s="1450"/>
      <c r="X79" s="1450"/>
      <c r="Y79" s="1451"/>
      <c r="Z79" s="1451"/>
      <c r="AA79" s="1450"/>
      <c r="AB79" s="1450"/>
    </row>
    <row r="80" spans="7:28" s="1448" customFormat="1" ht="14.25">
      <c r="G80" s="1449"/>
      <c r="I80" s="96"/>
      <c r="J80" s="1450"/>
      <c r="K80" s="1450"/>
      <c r="L80" s="1450"/>
      <c r="M80" s="1450"/>
      <c r="N80" s="1450"/>
      <c r="O80" s="1450"/>
      <c r="P80" s="1450"/>
      <c r="Q80" s="1450"/>
      <c r="R80" s="1450"/>
      <c r="S80" s="1450"/>
      <c r="T80" s="1450"/>
      <c r="U80" s="1450"/>
      <c r="V80" s="1450"/>
      <c r="X80" s="1450"/>
      <c r="Y80" s="1451"/>
      <c r="Z80" s="1451"/>
      <c r="AA80" s="1450"/>
      <c r="AB80" s="1450"/>
    </row>
    <row r="81" spans="7:28" s="1448" customFormat="1" ht="14.25">
      <c r="G81" s="1449"/>
      <c r="I81" s="96"/>
      <c r="J81" s="1450"/>
      <c r="K81" s="1450"/>
      <c r="L81" s="1450"/>
      <c r="M81" s="1450"/>
      <c r="N81" s="1450"/>
      <c r="O81" s="1450"/>
      <c r="P81" s="1450"/>
      <c r="Q81" s="1450"/>
      <c r="R81" s="1450"/>
      <c r="S81" s="1450"/>
      <c r="T81" s="1450"/>
      <c r="U81" s="1450"/>
      <c r="V81" s="1450"/>
      <c r="X81" s="1450"/>
      <c r="Y81" s="1451"/>
      <c r="Z81" s="1451"/>
      <c r="AA81" s="1450"/>
      <c r="AB81" s="1450"/>
    </row>
    <row r="82" spans="7:28" s="1448" customFormat="1" ht="14.25">
      <c r="G82" s="1449"/>
      <c r="I82" s="96"/>
      <c r="J82" s="1450"/>
      <c r="K82" s="1450"/>
      <c r="L82" s="1450"/>
      <c r="M82" s="1450"/>
      <c r="N82" s="1450"/>
      <c r="O82" s="1450"/>
      <c r="P82" s="1450"/>
      <c r="Q82" s="1450"/>
      <c r="R82" s="1450"/>
      <c r="S82" s="1450"/>
      <c r="T82" s="1450"/>
      <c r="U82" s="1450"/>
      <c r="V82" s="1450"/>
      <c r="X82" s="1450"/>
      <c r="Y82" s="1451"/>
      <c r="Z82" s="1451"/>
      <c r="AA82" s="1450"/>
      <c r="AB82" s="1450"/>
    </row>
    <row r="83" spans="7:28" s="1448" customFormat="1" ht="14.25">
      <c r="G83" s="1449"/>
      <c r="I83" s="96"/>
      <c r="J83" s="1450"/>
      <c r="K83" s="1450"/>
      <c r="L83" s="1450"/>
      <c r="M83" s="1450"/>
      <c r="N83" s="1450"/>
      <c r="O83" s="1450"/>
      <c r="P83" s="1450"/>
      <c r="Q83" s="1450"/>
      <c r="R83" s="1450"/>
      <c r="S83" s="1450"/>
      <c r="T83" s="1450"/>
      <c r="U83" s="1450"/>
      <c r="V83" s="1450"/>
      <c r="X83" s="1450"/>
      <c r="Y83" s="1451"/>
      <c r="Z83" s="1451"/>
      <c r="AA83" s="1450"/>
      <c r="AB83" s="1450"/>
    </row>
    <row r="84" spans="7:28" s="1448" customFormat="1" ht="14.25">
      <c r="G84" s="1449"/>
      <c r="I84" s="96"/>
      <c r="J84" s="1450"/>
      <c r="K84" s="1450"/>
      <c r="L84" s="1450"/>
      <c r="M84" s="1450"/>
      <c r="N84" s="1450"/>
      <c r="O84" s="1450"/>
      <c r="P84" s="1450"/>
      <c r="Q84" s="1450"/>
      <c r="R84" s="1450"/>
      <c r="S84" s="1450"/>
      <c r="T84" s="1450"/>
      <c r="U84" s="1450"/>
      <c r="V84" s="1450"/>
      <c r="X84" s="1450"/>
      <c r="Y84" s="1451"/>
      <c r="Z84" s="1451"/>
      <c r="AA84" s="1450"/>
      <c r="AB84" s="1450"/>
    </row>
    <row r="85" spans="7:28" s="1448" customFormat="1" ht="14.25">
      <c r="G85" s="1449"/>
      <c r="I85" s="96"/>
      <c r="J85" s="1450"/>
      <c r="K85" s="1450"/>
      <c r="L85" s="1450"/>
      <c r="M85" s="1450"/>
      <c r="N85" s="1450"/>
      <c r="O85" s="1450"/>
      <c r="P85" s="1450"/>
      <c r="Q85" s="1450"/>
      <c r="R85" s="1450"/>
      <c r="S85" s="1450"/>
      <c r="T85" s="1450"/>
      <c r="U85" s="1450"/>
      <c r="V85" s="1450"/>
      <c r="X85" s="1450"/>
      <c r="Y85" s="1451"/>
      <c r="Z85" s="1451"/>
      <c r="AA85" s="1450"/>
      <c r="AB85" s="1450"/>
    </row>
    <row r="86" spans="7:28" s="1448" customFormat="1" ht="14.25">
      <c r="G86" s="1449"/>
      <c r="I86" s="96"/>
      <c r="J86" s="1450"/>
      <c r="K86" s="1450"/>
      <c r="L86" s="1450"/>
      <c r="M86" s="1450"/>
      <c r="N86" s="1450"/>
      <c r="O86" s="1450"/>
      <c r="P86" s="1450"/>
      <c r="Q86" s="1450"/>
      <c r="R86" s="1450"/>
      <c r="S86" s="1450"/>
      <c r="T86" s="1450"/>
      <c r="U86" s="1450"/>
      <c r="V86" s="1450"/>
      <c r="X86" s="1450"/>
      <c r="Y86" s="1451"/>
      <c r="Z86" s="1451"/>
      <c r="AA86" s="1450"/>
      <c r="AB86" s="1450"/>
    </row>
    <row r="87" spans="7:28" s="1448" customFormat="1" ht="14.25">
      <c r="G87" s="1449"/>
      <c r="I87" s="96"/>
      <c r="J87" s="1450"/>
      <c r="K87" s="1450"/>
      <c r="L87" s="1450"/>
      <c r="M87" s="1450"/>
      <c r="N87" s="1450"/>
      <c r="O87" s="1450"/>
      <c r="P87" s="1450"/>
      <c r="Q87" s="1450"/>
      <c r="R87" s="1450"/>
      <c r="S87" s="1450"/>
      <c r="T87" s="1450"/>
      <c r="U87" s="1450"/>
      <c r="V87" s="1450"/>
      <c r="X87" s="1450"/>
      <c r="Y87" s="1451"/>
      <c r="Z87" s="1451"/>
      <c r="AA87" s="1450"/>
      <c r="AB87" s="1450"/>
    </row>
    <row r="88" spans="7:28" s="1448" customFormat="1" ht="14.25">
      <c r="G88" s="1449"/>
      <c r="I88" s="96"/>
      <c r="J88" s="1450"/>
      <c r="K88" s="1450"/>
      <c r="L88" s="1450"/>
      <c r="M88" s="1450"/>
      <c r="N88" s="1450"/>
      <c r="O88" s="1450"/>
      <c r="P88" s="1450"/>
      <c r="Q88" s="1450"/>
      <c r="R88" s="1450"/>
      <c r="S88" s="1450"/>
      <c r="T88" s="1450"/>
      <c r="U88" s="1450"/>
      <c r="V88" s="1450"/>
      <c r="X88" s="1450"/>
      <c r="Y88" s="1451"/>
      <c r="Z88" s="1451"/>
      <c r="AA88" s="1450"/>
      <c r="AB88" s="1450"/>
    </row>
    <row r="89" spans="7:28" s="1448" customFormat="1" ht="14.25">
      <c r="G89" s="1449"/>
      <c r="I89" s="96"/>
      <c r="J89" s="1450"/>
      <c r="K89" s="1450"/>
      <c r="L89" s="1450"/>
      <c r="M89" s="1450"/>
      <c r="N89" s="1450"/>
      <c r="O89" s="1450"/>
      <c r="P89" s="1450"/>
      <c r="Q89" s="1450"/>
      <c r="R89" s="1450"/>
      <c r="S89" s="1450"/>
      <c r="T89" s="1450"/>
      <c r="U89" s="1450"/>
      <c r="V89" s="1450"/>
      <c r="X89" s="1450"/>
      <c r="Y89" s="1451"/>
      <c r="Z89" s="1451"/>
      <c r="AA89" s="1450"/>
      <c r="AB89" s="1450"/>
    </row>
    <row r="90" spans="7:28" s="1448" customFormat="1" ht="14.25">
      <c r="G90" s="1449"/>
      <c r="I90" s="96"/>
      <c r="J90" s="1450"/>
      <c r="K90" s="1450"/>
      <c r="L90" s="1450"/>
      <c r="M90" s="1450"/>
      <c r="N90" s="1450"/>
      <c r="O90" s="1450"/>
      <c r="P90" s="1450"/>
      <c r="Q90" s="1450"/>
      <c r="R90" s="1450"/>
      <c r="S90" s="1450"/>
      <c r="T90" s="1450"/>
      <c r="U90" s="1450"/>
      <c r="V90" s="1450"/>
      <c r="X90" s="1450"/>
      <c r="Y90" s="1451"/>
      <c r="Z90" s="1451"/>
      <c r="AA90" s="1450"/>
      <c r="AB90" s="1450"/>
    </row>
    <row r="91" spans="7:28" s="1448" customFormat="1" ht="14.25">
      <c r="I91" s="96"/>
      <c r="J91" s="1452"/>
      <c r="K91" s="1452"/>
      <c r="L91" s="1452"/>
      <c r="M91" s="1452"/>
      <c r="N91" s="1452"/>
      <c r="O91" s="1452"/>
      <c r="P91" s="1452"/>
      <c r="Q91" s="1452"/>
      <c r="R91" s="1452"/>
      <c r="S91" s="1452"/>
      <c r="T91" s="1452"/>
      <c r="U91" s="1452"/>
      <c r="V91" s="1452"/>
    </row>
    <row r="92" spans="7:28" s="1448" customFormat="1"/>
  </sheetData>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tabColor rgb="FF00B050"/>
  </sheetPr>
  <dimension ref="A1:BL224"/>
  <sheetViews>
    <sheetView showGridLines="0" topLeftCell="A34" zoomScale="55" zoomScaleNormal="55" workbookViewId="0"/>
  </sheetViews>
  <sheetFormatPr defaultRowHeight="12.75"/>
  <cols>
    <col min="2" max="6" width="34.375" customWidth="1"/>
    <col min="7" max="7" width="42.25" customWidth="1"/>
    <col min="8" max="8" width="17.75" customWidth="1"/>
    <col min="9" max="9" width="52.25" customWidth="1"/>
  </cols>
  <sheetData>
    <row r="1" spans="1:64" s="2" customFormat="1" ht="25.15" customHeight="1">
      <c r="A1" s="1" t="s">
        <v>0</v>
      </c>
      <c r="E1" s="3"/>
      <c r="H1" s="4" t="s">
        <v>1</v>
      </c>
      <c r="J1" s="3"/>
    </row>
    <row r="2" spans="1:64" s="2" customFormat="1" ht="25.15" customHeight="1">
      <c r="A2" s="5" t="str">
        <f>Fixed_Data!I12</f>
        <v>MASTER</v>
      </c>
      <c r="B2" s="6"/>
      <c r="D2" s="7"/>
      <c r="E2" s="3"/>
    </row>
    <row r="3" spans="1:64" s="9" customFormat="1" ht="25.15" customHeight="1" thickBot="1">
      <c r="A3" s="8" t="str">
        <f>Fixed_Data!A3</f>
        <v>RIIO-GD2</v>
      </c>
      <c r="D3" s="10"/>
      <c r="E3" s="11"/>
    </row>
    <row r="4" spans="1:64" s="89" customFormat="1" ht="25.15" customHeight="1">
      <c r="B4" s="1479" t="s">
        <v>3235</v>
      </c>
      <c r="C4" s="90"/>
      <c r="D4" s="90"/>
      <c r="E4" s="90"/>
      <c r="F4" s="90"/>
      <c r="G4" s="90"/>
      <c r="H4" s="92"/>
      <c r="I4" s="93"/>
      <c r="J4" s="94"/>
      <c r="K4" s="94"/>
      <c r="L4" s="94"/>
      <c r="M4" s="94"/>
      <c r="N4" s="94"/>
      <c r="O4" s="94"/>
      <c r="P4" s="94"/>
      <c r="Q4" s="94"/>
      <c r="R4" s="92"/>
      <c r="S4" s="92"/>
      <c r="T4" s="92"/>
      <c r="U4" s="92"/>
      <c r="V4" s="92"/>
      <c r="W4" s="92"/>
      <c r="X4" s="92"/>
      <c r="Y4" s="92"/>
      <c r="Z4" s="92"/>
      <c r="AA4" s="92"/>
      <c r="AB4" s="94"/>
      <c r="AC4" s="94"/>
      <c r="AD4" s="92"/>
      <c r="AE4" s="93"/>
      <c r="AF4" s="94"/>
      <c r="AG4" s="94"/>
      <c r="AH4" s="94"/>
      <c r="AI4" s="92"/>
      <c r="AJ4" s="93"/>
      <c r="AK4" s="94"/>
      <c r="AL4" s="94"/>
      <c r="AM4" s="94"/>
      <c r="AN4" s="94"/>
      <c r="AO4" s="94"/>
      <c r="AP4" s="94"/>
      <c r="AQ4" s="92"/>
      <c r="AR4" s="92"/>
      <c r="AS4" s="92"/>
      <c r="AT4" s="92"/>
      <c r="AU4" s="94"/>
      <c r="AV4" s="92"/>
      <c r="AW4" s="92"/>
      <c r="AX4" s="92"/>
      <c r="AY4" s="92"/>
      <c r="AZ4" s="92"/>
      <c r="BA4" s="92"/>
      <c r="BB4" s="92"/>
      <c r="BC4" s="92"/>
      <c r="BD4" s="92"/>
      <c r="BE4" s="92"/>
      <c r="BF4" s="94"/>
      <c r="BG4" s="92"/>
      <c r="BH4" s="92"/>
      <c r="BI4" s="92"/>
      <c r="BJ4" s="92"/>
      <c r="BK4" s="92"/>
      <c r="BL4" s="92"/>
    </row>
    <row r="5" spans="1:64" s="89" customFormat="1" ht="25.15" customHeight="1">
      <c r="B5" s="95" t="s">
        <v>1663</v>
      </c>
      <c r="C5" s="95"/>
      <c r="D5" s="95" t="s">
        <v>463</v>
      </c>
      <c r="E5" s="95"/>
      <c r="H5" s="95"/>
      <c r="I5" s="93"/>
      <c r="J5" s="94"/>
      <c r="K5" s="94"/>
      <c r="L5" s="94"/>
      <c r="M5" s="94"/>
      <c r="N5" s="94"/>
      <c r="O5" s="94"/>
      <c r="P5" s="94"/>
      <c r="Q5" s="94"/>
      <c r="R5" s="92"/>
      <c r="S5" s="92"/>
      <c r="T5" s="92"/>
      <c r="U5" s="92"/>
      <c r="V5" s="92"/>
      <c r="W5" s="92"/>
      <c r="X5" s="92"/>
      <c r="Y5" s="92"/>
      <c r="Z5" s="92"/>
      <c r="AA5" s="92"/>
      <c r="AB5" s="94"/>
      <c r="AC5" s="94"/>
      <c r="AD5" s="92"/>
      <c r="AE5" s="93"/>
      <c r="AF5" s="94"/>
      <c r="AG5" s="94"/>
      <c r="AH5" s="94"/>
      <c r="AI5" s="92"/>
      <c r="AJ5" s="93"/>
      <c r="AK5" s="94"/>
      <c r="AL5" s="94"/>
      <c r="AM5" s="94"/>
      <c r="AN5" s="94"/>
      <c r="AO5" s="94"/>
      <c r="AP5" s="94"/>
      <c r="AQ5" s="92"/>
      <c r="AR5" s="92"/>
      <c r="AS5" s="92"/>
      <c r="AT5" s="92"/>
      <c r="AU5" s="94"/>
      <c r="AV5" s="92"/>
      <c r="AW5" s="92"/>
      <c r="AX5" s="92"/>
      <c r="AY5" s="92"/>
      <c r="AZ5" s="92"/>
      <c r="BA5" s="92"/>
      <c r="BB5" s="92"/>
      <c r="BC5" s="92"/>
      <c r="BD5" s="92"/>
      <c r="BE5" s="92"/>
      <c r="BF5" s="94"/>
      <c r="BG5" s="92"/>
      <c r="BH5" s="92"/>
      <c r="BI5" s="92"/>
      <c r="BJ5" s="92"/>
      <c r="BK5" s="92"/>
      <c r="BL5" s="92"/>
    </row>
    <row r="6" spans="1:64">
      <c r="B6" s="1419"/>
    </row>
    <row r="7" spans="1:64" ht="13.5" thickBot="1">
      <c r="B7" s="1419"/>
    </row>
    <row r="8" spans="1:64" ht="48" thickBot="1">
      <c r="B8" s="1656" t="s">
        <v>3236</v>
      </c>
      <c r="C8" s="1632" t="s">
        <v>3237</v>
      </c>
      <c r="D8" s="1632" t="s">
        <v>3238</v>
      </c>
      <c r="E8" s="1632" t="s">
        <v>3239</v>
      </c>
      <c r="F8" s="1633" t="s">
        <v>1745</v>
      </c>
      <c r="G8" s="1634" t="s">
        <v>3240</v>
      </c>
    </row>
    <row r="9" spans="1:64" ht="15.75" thickBot="1">
      <c r="B9" s="1574" t="s">
        <v>120</v>
      </c>
      <c r="C9" s="1464"/>
      <c r="D9" s="1464"/>
      <c r="E9" s="1464"/>
      <c r="F9" s="1635"/>
      <c r="G9" s="1463"/>
    </row>
    <row r="10" spans="1:64" ht="26.25">
      <c r="B10" s="1575" t="s">
        <v>3241</v>
      </c>
      <c r="C10" s="2703">
        <v>488195</v>
      </c>
      <c r="D10" s="2704">
        <v>391289</v>
      </c>
      <c r="E10" s="2705">
        <v>439742</v>
      </c>
      <c r="F10" s="1636" t="s">
        <v>2183</v>
      </c>
      <c r="G10" s="2707" t="s">
        <v>3242</v>
      </c>
    </row>
    <row r="11" spans="1:64" ht="26.25">
      <c r="B11" s="1576" t="s">
        <v>3243</v>
      </c>
      <c r="C11" s="2706">
        <v>4001.1969185480266</v>
      </c>
      <c r="D11" s="2706">
        <v>3951</v>
      </c>
      <c r="E11" s="2706">
        <v>3976.0984592740133</v>
      </c>
      <c r="F11" s="1637" t="s">
        <v>2183</v>
      </c>
      <c r="G11" s="2707" t="s">
        <v>3242</v>
      </c>
    </row>
    <row r="12" spans="1:64" ht="26.25">
      <c r="B12" s="1576" t="s">
        <v>3244</v>
      </c>
      <c r="C12" s="2706">
        <v>6090.1205</v>
      </c>
      <c r="D12" s="2706">
        <v>5348.2501689377032</v>
      </c>
      <c r="E12" s="2706">
        <v>5719.1853344688516</v>
      </c>
      <c r="F12" s="1637" t="s">
        <v>2183</v>
      </c>
      <c r="G12" s="2707" t="s">
        <v>3242</v>
      </c>
    </row>
    <row r="13" spans="1:64" ht="26.25">
      <c r="B13" s="1576" t="s">
        <v>3245</v>
      </c>
      <c r="C13" s="2706">
        <v>2828.47</v>
      </c>
      <c r="D13" s="2706">
        <v>1388.5509138899997</v>
      </c>
      <c r="E13" s="2706">
        <v>2108.5104569449995</v>
      </c>
      <c r="F13" s="1637" t="s">
        <v>2183</v>
      </c>
      <c r="G13" s="2707" t="s">
        <v>3242</v>
      </c>
    </row>
    <row r="14" spans="1:64" ht="26.25">
      <c r="B14" s="1576" t="s">
        <v>3246</v>
      </c>
      <c r="C14" s="2706">
        <v>12821.362426</v>
      </c>
      <c r="D14" s="2706">
        <v>15094.784947002401</v>
      </c>
      <c r="E14" s="2706">
        <v>13958.0736865012</v>
      </c>
      <c r="F14" s="1637" t="s">
        <v>2183</v>
      </c>
      <c r="G14" s="2707" t="s">
        <v>3242</v>
      </c>
    </row>
    <row r="15" spans="1:64" ht="15.75" thickBot="1">
      <c r="B15" s="1577" t="s">
        <v>3139</v>
      </c>
      <c r="C15" s="1503">
        <f>SUM(C10:C14)</f>
        <v>513936.14984454802</v>
      </c>
      <c r="D15" s="1503">
        <f>SUM(D10:D14)</f>
        <v>417071.58602983016</v>
      </c>
      <c r="E15" s="1503">
        <f>SUM(E10:E14)</f>
        <v>465503.86793718906</v>
      </c>
      <c r="F15" s="1638" t="s">
        <v>2183</v>
      </c>
      <c r="G15" s="1465"/>
    </row>
    <row r="16" spans="1:64" ht="13.5" thickBot="1">
      <c r="B16" s="1424"/>
      <c r="C16" s="1405"/>
      <c r="D16" s="1405"/>
      <c r="E16" s="1405"/>
      <c r="F16" s="1423"/>
      <c r="G16" s="1412"/>
    </row>
    <row r="17" spans="2:7" ht="30.75" thickBot="1">
      <c r="B17" s="1655" t="s">
        <v>3247</v>
      </c>
      <c r="C17" s="1632" t="s">
        <v>3237</v>
      </c>
      <c r="D17" s="1632" t="s">
        <v>3238</v>
      </c>
      <c r="E17" s="1632" t="s">
        <v>3239</v>
      </c>
      <c r="F17" s="1633" t="s">
        <v>1745</v>
      </c>
      <c r="G17" s="1634" t="s">
        <v>3240</v>
      </c>
    </row>
    <row r="18" spans="2:7" ht="217.5">
      <c r="B18" s="1578" t="s">
        <v>3248</v>
      </c>
      <c r="C18" s="2771">
        <v>1131.58</v>
      </c>
      <c r="D18" s="2772">
        <v>751.15000000000009</v>
      </c>
      <c r="E18" s="2772">
        <v>941.36500000000001</v>
      </c>
      <c r="F18" s="1636" t="s">
        <v>2183</v>
      </c>
      <c r="G18" s="2707" t="s">
        <v>3249</v>
      </c>
    </row>
    <row r="19" spans="2:7" ht="15">
      <c r="B19" s="1579" t="s">
        <v>3250</v>
      </c>
      <c r="C19" s="1500"/>
      <c r="D19" s="1501"/>
      <c r="E19" s="1502"/>
      <c r="F19" s="1637"/>
      <c r="G19" s="2708"/>
    </row>
    <row r="20" spans="2:7" ht="64.5">
      <c r="B20" s="1580" t="s">
        <v>3251</v>
      </c>
      <c r="C20" s="2771">
        <v>1325.4250000000002</v>
      </c>
      <c r="D20" s="2772">
        <v>1393</v>
      </c>
      <c r="E20" s="2772">
        <v>1359.2125000000001</v>
      </c>
      <c r="F20" s="1637" t="s">
        <v>164</v>
      </c>
      <c r="G20" s="2708" t="s">
        <v>3252</v>
      </c>
    </row>
    <row r="21" spans="2:7" ht="51.75">
      <c r="B21" s="1580" t="s">
        <v>3253</v>
      </c>
      <c r="C21" s="2771">
        <v>13879.9</v>
      </c>
      <c r="D21" s="2772">
        <v>13879.9</v>
      </c>
      <c r="E21" s="2772">
        <v>13879.9</v>
      </c>
      <c r="F21" s="1637" t="s">
        <v>3254</v>
      </c>
      <c r="G21" s="2708" t="s">
        <v>3255</v>
      </c>
    </row>
    <row r="22" spans="2:7" ht="15">
      <c r="B22" s="1581" t="s">
        <v>3256</v>
      </c>
      <c r="C22" s="1497"/>
      <c r="D22" s="1498"/>
      <c r="E22" s="1499"/>
      <c r="F22" s="1639" t="s">
        <v>3257</v>
      </c>
      <c r="G22" s="1516"/>
    </row>
    <row r="23" spans="2:7" ht="15">
      <c r="B23" s="1581" t="s">
        <v>3256</v>
      </c>
      <c r="C23" s="1497"/>
      <c r="D23" s="1498"/>
      <c r="E23" s="1499"/>
      <c r="F23" s="1639" t="s">
        <v>3257</v>
      </c>
      <c r="G23" s="1516"/>
    </row>
    <row r="24" spans="2:7" ht="15">
      <c r="B24" s="1582" t="s">
        <v>3258</v>
      </c>
      <c r="C24" s="2852">
        <f>C$18/C20</f>
        <v>0.85374879755550093</v>
      </c>
      <c r="D24" s="2852">
        <f t="shared" ref="D24:E24" si="0">D$18/D20</f>
        <v>0.53923187365398428</v>
      </c>
      <c r="E24" s="2852">
        <f t="shared" si="0"/>
        <v>0.6925811821183222</v>
      </c>
      <c r="F24" s="1640" t="s">
        <v>3259</v>
      </c>
      <c r="G24" s="1466"/>
    </row>
    <row r="25" spans="2:7" ht="15">
      <c r="B25" s="1583" t="s">
        <v>3260</v>
      </c>
      <c r="C25" s="2852">
        <f t="shared" ref="C25:C27" si="1">$C$18/C21</f>
        <v>8.1526523966310993E-2</v>
      </c>
      <c r="D25" s="2852">
        <f t="shared" ref="D25:E25" si="2">D$18/D21</f>
        <v>5.4117825056376495E-2</v>
      </c>
      <c r="E25" s="2852">
        <f t="shared" si="2"/>
        <v>6.7822174511343744E-2</v>
      </c>
      <c r="F25" s="1640" t="s">
        <v>3261</v>
      </c>
      <c r="G25" s="1475"/>
    </row>
    <row r="26" spans="2:7" ht="15">
      <c r="B26" s="1583" t="s">
        <v>3262</v>
      </c>
      <c r="C26" s="2852" t="e">
        <f t="shared" si="1"/>
        <v>#DIV/0!</v>
      </c>
      <c r="D26" s="2852" t="e">
        <f t="shared" ref="D26:E26" si="3">D$18/D22</f>
        <v>#DIV/0!</v>
      </c>
      <c r="E26" s="2852" t="e">
        <f t="shared" si="3"/>
        <v>#DIV/0!</v>
      </c>
      <c r="F26" s="1639" t="s">
        <v>3257</v>
      </c>
      <c r="G26" s="1475"/>
    </row>
    <row r="27" spans="2:7" ht="15.75" thickBot="1">
      <c r="B27" s="1584" t="s">
        <v>3262</v>
      </c>
      <c r="C27" s="2853" t="e">
        <f t="shared" si="1"/>
        <v>#DIV/0!</v>
      </c>
      <c r="D27" s="2852" t="e">
        <f t="shared" ref="D27:E27" si="4">D$18/D23</f>
        <v>#DIV/0!</v>
      </c>
      <c r="E27" s="2852" t="e">
        <f t="shared" si="4"/>
        <v>#DIV/0!</v>
      </c>
      <c r="F27" s="1641" t="s">
        <v>3257</v>
      </c>
      <c r="G27" s="1476"/>
    </row>
    <row r="28" spans="2:7" ht="13.5" thickBot="1">
      <c r="B28" s="1424"/>
      <c r="C28" s="1405"/>
      <c r="D28" s="1405"/>
      <c r="E28" s="1405"/>
      <c r="F28" s="1423"/>
      <c r="G28" s="1412"/>
    </row>
    <row r="29" spans="2:7" ht="30.75" thickBot="1">
      <c r="B29" s="1585" t="s">
        <v>3263</v>
      </c>
      <c r="C29" s="1632" t="s">
        <v>3237</v>
      </c>
      <c r="D29" s="1632" t="s">
        <v>3238</v>
      </c>
      <c r="E29" s="1632" t="s">
        <v>3239</v>
      </c>
      <c r="F29" s="1633" t="s">
        <v>1745</v>
      </c>
      <c r="G29" s="1634" t="s">
        <v>3240</v>
      </c>
    </row>
    <row r="30" spans="2:7" ht="64.5">
      <c r="B30" s="1586" t="s">
        <v>3248</v>
      </c>
      <c r="C30" s="2771">
        <v>4590.3989000000001</v>
      </c>
      <c r="D30" s="2709">
        <v>4023.1631536755299</v>
      </c>
      <c r="E30" s="2709">
        <v>4306.7810268377652</v>
      </c>
      <c r="F30" s="1642" t="s">
        <v>2183</v>
      </c>
      <c r="G30" s="2707" t="s">
        <v>3264</v>
      </c>
    </row>
    <row r="31" spans="2:7" ht="128.25">
      <c r="B31" s="1587" t="s">
        <v>3265</v>
      </c>
      <c r="C31" s="2854">
        <v>17076313.846876491</v>
      </c>
      <c r="D31" s="2710">
        <v>14634473.659290424</v>
      </c>
      <c r="E31" s="2710">
        <v>15855393.753083456</v>
      </c>
      <c r="F31" s="1643" t="s">
        <v>2233</v>
      </c>
      <c r="G31" s="2708" t="s">
        <v>3266</v>
      </c>
    </row>
    <row r="32" spans="2:7" ht="26.25">
      <c r="B32" s="1587" t="s">
        <v>3267</v>
      </c>
      <c r="C32" s="2854">
        <v>36076</v>
      </c>
      <c r="D32" s="2710">
        <v>36227</v>
      </c>
      <c r="E32" s="2710">
        <v>36151.5</v>
      </c>
      <c r="F32" s="1643" t="s">
        <v>2233</v>
      </c>
      <c r="G32" s="2708" t="s">
        <v>3268</v>
      </c>
    </row>
    <row r="33" spans="2:7" ht="26.25">
      <c r="B33" s="1587" t="s">
        <v>3269</v>
      </c>
      <c r="C33" s="2854">
        <v>26838</v>
      </c>
      <c r="D33" s="2710">
        <v>26838</v>
      </c>
      <c r="E33" s="2710">
        <v>26838</v>
      </c>
      <c r="F33" s="1643" t="s">
        <v>3270</v>
      </c>
      <c r="G33" s="2708" t="s">
        <v>3271</v>
      </c>
    </row>
    <row r="34" spans="2:7" ht="15">
      <c r="B34" s="1588" t="s">
        <v>3272</v>
      </c>
      <c r="C34" s="2855">
        <f>C$30/C31</f>
        <v>2.6881673299999995E-4</v>
      </c>
      <c r="D34" s="2855">
        <f t="shared" ref="D34:E34" si="5">D$30/D31</f>
        <v>2.7490999999999995E-4</v>
      </c>
      <c r="E34" s="2855">
        <f t="shared" si="5"/>
        <v>2.7162876519545344E-4</v>
      </c>
      <c r="F34" s="1643" t="s">
        <v>3273</v>
      </c>
      <c r="G34" s="1466"/>
    </row>
    <row r="35" spans="2:7" ht="15">
      <c r="B35" s="1588" t="s">
        <v>3274</v>
      </c>
      <c r="C35" s="2855">
        <f t="shared" ref="C35:C36" si="6">$C$30/C32</f>
        <v>0.1272424575895332</v>
      </c>
      <c r="D35" s="2855">
        <f t="shared" ref="D35:E35" si="7">D$30/D32</f>
        <v>0.11105427315746626</v>
      </c>
      <c r="E35" s="2855">
        <f t="shared" si="7"/>
        <v>0.11913146140098654</v>
      </c>
      <c r="F35" s="1643" t="s">
        <v>3275</v>
      </c>
      <c r="G35" s="1466"/>
    </row>
    <row r="36" spans="2:7" ht="15.75" thickBot="1">
      <c r="B36" s="1589" t="s">
        <v>3276</v>
      </c>
      <c r="C36" s="2856">
        <f t="shared" si="6"/>
        <v>0.17104102019524556</v>
      </c>
      <c r="D36" s="2855">
        <f t="shared" ref="D36:E36" si="8">D$30/D33</f>
        <v>0.14990547558221662</v>
      </c>
      <c r="E36" s="2855">
        <f t="shared" si="8"/>
        <v>0.1604732478887311</v>
      </c>
      <c r="F36" s="1644" t="s">
        <v>3277</v>
      </c>
      <c r="G36" s="1465"/>
    </row>
    <row r="37" spans="2:7" ht="13.5" thickBot="1">
      <c r="B37" s="1424"/>
      <c r="C37" s="1405"/>
      <c r="D37" s="1405"/>
      <c r="E37" s="1405"/>
      <c r="F37" s="1423"/>
      <c r="G37" s="1412"/>
    </row>
    <row r="38" spans="2:7" ht="30.75" thickBot="1">
      <c r="B38" s="1590" t="s">
        <v>3102</v>
      </c>
      <c r="C38" s="1632" t="s">
        <v>3237</v>
      </c>
      <c r="D38" s="1632" t="s">
        <v>3238</v>
      </c>
      <c r="E38" s="1632" t="s">
        <v>3239</v>
      </c>
      <c r="F38" s="1633" t="s">
        <v>1745</v>
      </c>
      <c r="G38" s="1634" t="s">
        <v>3240</v>
      </c>
    </row>
    <row r="39" spans="2:7" ht="64.5">
      <c r="B39" s="1591" t="s">
        <v>3248</v>
      </c>
      <c r="C39" s="2807">
        <v>1261.9933721640621</v>
      </c>
      <c r="D39" s="2709">
        <v>1313.9252449999999</v>
      </c>
      <c r="E39" s="2711">
        <v>1287.9593085820311</v>
      </c>
      <c r="F39" s="1636" t="s">
        <v>2183</v>
      </c>
      <c r="G39" s="2707" t="s">
        <v>3278</v>
      </c>
    </row>
    <row r="40" spans="2:7" ht="141.75" thickBot="1">
      <c r="B40" s="1592" t="s">
        <v>3265</v>
      </c>
      <c r="C40" s="2809">
        <v>7184254.0599055588</v>
      </c>
      <c r="D40" s="2710">
        <v>7540739.4250800861</v>
      </c>
      <c r="E40" s="2712">
        <v>7362496.7424928229</v>
      </c>
      <c r="F40" s="1637" t="s">
        <v>2233</v>
      </c>
      <c r="G40" s="2708" t="s">
        <v>3279</v>
      </c>
    </row>
    <row r="41" spans="2:7" ht="15.75" thickBot="1">
      <c r="B41" s="1593" t="s">
        <v>3280</v>
      </c>
      <c r="C41" s="2857">
        <f>C39/C40</f>
        <v>1.7566101666797844E-4</v>
      </c>
      <c r="D41" s="2857">
        <f>D39/D40</f>
        <v>1.7424355503254185E-4</v>
      </c>
      <c r="E41" s="2857">
        <f>E39/E40</f>
        <v>1.7493512780094607E-4</v>
      </c>
      <c r="F41" s="1645" t="s">
        <v>3281</v>
      </c>
      <c r="G41" s="1469"/>
    </row>
    <row r="42" spans="2:7" ht="13.5" thickBot="1">
      <c r="B42" s="1424"/>
      <c r="C42" s="1405"/>
      <c r="D42" s="1405"/>
      <c r="E42" s="1405"/>
      <c r="F42" s="1423"/>
      <c r="G42" s="1412"/>
    </row>
    <row r="43" spans="2:7" ht="30.75" thickBot="1">
      <c r="B43" s="1590" t="s">
        <v>3282</v>
      </c>
      <c r="C43" s="1632" t="s">
        <v>3237</v>
      </c>
      <c r="D43" s="1632" t="s">
        <v>3238</v>
      </c>
      <c r="E43" s="1632" t="s">
        <v>3239</v>
      </c>
      <c r="F43" s="1633" t="s">
        <v>1745</v>
      </c>
      <c r="G43" s="1634" t="s">
        <v>3240</v>
      </c>
    </row>
    <row r="44" spans="2:7" ht="26.25">
      <c r="B44" s="1594" t="s">
        <v>3114</v>
      </c>
      <c r="C44" s="2858" t="s">
        <v>3283</v>
      </c>
      <c r="D44" s="1504" t="s">
        <v>3283</v>
      </c>
      <c r="E44" s="1505" t="s">
        <v>3283</v>
      </c>
      <c r="F44" s="1636" t="s">
        <v>2183</v>
      </c>
      <c r="G44" s="2707" t="s">
        <v>3284</v>
      </c>
    </row>
    <row r="45" spans="2:7" ht="15">
      <c r="B45" s="1595" t="s">
        <v>3116</v>
      </c>
      <c r="C45" s="2859" t="s">
        <v>974</v>
      </c>
      <c r="D45" s="1506" t="s">
        <v>974</v>
      </c>
      <c r="E45" s="1507" t="s">
        <v>974</v>
      </c>
      <c r="F45" s="1637" t="s">
        <v>2183</v>
      </c>
      <c r="G45" s="2708" t="s">
        <v>3285</v>
      </c>
    </row>
    <row r="46" spans="2:7" ht="39.75" thickBot="1">
      <c r="B46" s="1596" t="s">
        <v>3117</v>
      </c>
      <c r="C46" s="2860" t="s">
        <v>3283</v>
      </c>
      <c r="D46" s="1510" t="s">
        <v>3283</v>
      </c>
      <c r="E46" s="1511" t="s">
        <v>3283</v>
      </c>
      <c r="F46" s="1638" t="s">
        <v>2183</v>
      </c>
      <c r="G46" s="2713" t="s">
        <v>3286</v>
      </c>
    </row>
    <row r="47" spans="2:7" ht="13.5" thickBot="1">
      <c r="B47" s="1424"/>
      <c r="C47" s="1405"/>
      <c r="D47" s="1405"/>
      <c r="E47" s="1405"/>
      <c r="F47" s="1423"/>
      <c r="G47" s="1412"/>
    </row>
    <row r="48" spans="2:7" ht="30.75" thickBot="1">
      <c r="B48" s="1597" t="s">
        <v>3287</v>
      </c>
      <c r="C48" s="1632" t="s">
        <v>3237</v>
      </c>
      <c r="D48" s="1632" t="s">
        <v>3238</v>
      </c>
      <c r="E48" s="1632" t="s">
        <v>3239</v>
      </c>
      <c r="F48" s="1633" t="s">
        <v>1745</v>
      </c>
      <c r="G48" s="1634" t="s">
        <v>3240</v>
      </c>
    </row>
    <row r="49" spans="2:7" ht="15">
      <c r="B49" s="1598" t="s">
        <v>3288</v>
      </c>
      <c r="C49" s="2861" t="s">
        <v>974</v>
      </c>
      <c r="D49" s="2862" t="s">
        <v>974</v>
      </c>
      <c r="E49" s="2862" t="s">
        <v>974</v>
      </c>
      <c r="F49" s="1642" t="s">
        <v>2183</v>
      </c>
      <c r="G49" s="3027" t="s">
        <v>3289</v>
      </c>
    </row>
    <row r="50" spans="2:7" ht="15">
      <c r="B50" s="1599" t="s">
        <v>3290</v>
      </c>
      <c r="C50" s="1468"/>
      <c r="D50" s="1467"/>
      <c r="E50" s="1467"/>
      <c r="F50" s="1646"/>
      <c r="G50" s="3028"/>
    </row>
    <row r="51" spans="2:7" ht="15">
      <c r="B51" s="1600" t="s">
        <v>3291</v>
      </c>
      <c r="C51" s="2863" t="s">
        <v>974</v>
      </c>
      <c r="D51" s="2864" t="s">
        <v>974</v>
      </c>
      <c r="E51" s="2864" t="s">
        <v>974</v>
      </c>
      <c r="F51" s="1646" t="s">
        <v>627</v>
      </c>
      <c r="G51" s="3028"/>
    </row>
    <row r="52" spans="2:7" ht="15">
      <c r="B52" s="1600" t="s">
        <v>1786</v>
      </c>
      <c r="C52" s="2863" t="s">
        <v>974</v>
      </c>
      <c r="D52" s="2864" t="s">
        <v>974</v>
      </c>
      <c r="E52" s="2864" t="s">
        <v>974</v>
      </c>
      <c r="F52" s="1646" t="s">
        <v>627</v>
      </c>
      <c r="G52" s="3028"/>
    </row>
    <row r="53" spans="2:7" ht="15">
      <c r="B53" s="1600" t="s">
        <v>3292</v>
      </c>
      <c r="C53" s="2863" t="s">
        <v>974</v>
      </c>
      <c r="D53" s="2864" t="s">
        <v>974</v>
      </c>
      <c r="E53" s="2864" t="s">
        <v>974</v>
      </c>
      <c r="F53" s="1646" t="s">
        <v>627</v>
      </c>
      <c r="G53" s="3028"/>
    </row>
    <row r="54" spans="2:7" ht="15.75" thickBot="1">
      <c r="B54" s="1601" t="s">
        <v>3293</v>
      </c>
      <c r="C54" s="2865" t="s">
        <v>974</v>
      </c>
      <c r="D54" s="2866" t="s">
        <v>974</v>
      </c>
      <c r="E54" s="2866" t="s">
        <v>974</v>
      </c>
      <c r="F54" s="1647" t="s">
        <v>627</v>
      </c>
      <c r="G54" s="3029"/>
    </row>
    <row r="55" spans="2:7" ht="13.5" thickBot="1">
      <c r="B55" s="1424"/>
      <c r="C55" s="1405"/>
      <c r="D55" s="1405"/>
      <c r="E55" s="1405"/>
      <c r="F55" s="1423"/>
      <c r="G55" s="1412"/>
    </row>
    <row r="56" spans="2:7" ht="30.75" thickBot="1">
      <c r="B56" s="1597" t="s">
        <v>3294</v>
      </c>
      <c r="C56" s="1632" t="s">
        <v>3237</v>
      </c>
      <c r="D56" s="1632" t="s">
        <v>3238</v>
      </c>
      <c r="E56" s="1632" t="s">
        <v>3239</v>
      </c>
      <c r="F56" s="1633" t="s">
        <v>1745</v>
      </c>
      <c r="G56" s="1634" t="s">
        <v>3240</v>
      </c>
    </row>
    <row r="57" spans="2:7" ht="15.75" thickBot="1">
      <c r="B57" s="1602" t="s">
        <v>3295</v>
      </c>
      <c r="C57" s="1472"/>
      <c r="D57" s="1470"/>
      <c r="E57" s="1470"/>
      <c r="F57" s="1648"/>
      <c r="G57" s="1478"/>
    </row>
    <row r="58" spans="2:7" ht="15">
      <c r="B58" s="1603" t="s">
        <v>3256</v>
      </c>
      <c r="C58" s="2867" t="s">
        <v>974</v>
      </c>
      <c r="D58" s="2868" t="s">
        <v>974</v>
      </c>
      <c r="E58" s="2868" t="s">
        <v>974</v>
      </c>
      <c r="F58" s="1649" t="s">
        <v>3257</v>
      </c>
      <c r="G58" s="3027" t="s">
        <v>3296</v>
      </c>
    </row>
    <row r="59" spans="2:7" ht="15">
      <c r="B59" s="1603" t="s">
        <v>3256</v>
      </c>
      <c r="C59" s="2869" t="s">
        <v>974</v>
      </c>
      <c r="D59" s="2870" t="s">
        <v>974</v>
      </c>
      <c r="E59" s="2870" t="s">
        <v>974</v>
      </c>
      <c r="F59" s="1639" t="s">
        <v>3257</v>
      </c>
      <c r="G59" s="3028"/>
    </row>
    <row r="60" spans="2:7" ht="15">
      <c r="B60" s="1603" t="s">
        <v>3256</v>
      </c>
      <c r="C60" s="2869" t="s">
        <v>974</v>
      </c>
      <c r="D60" s="2870" t="s">
        <v>974</v>
      </c>
      <c r="E60" s="2870" t="s">
        <v>974</v>
      </c>
      <c r="F60" s="1639" t="s">
        <v>3257</v>
      </c>
      <c r="G60" s="3028"/>
    </row>
    <row r="61" spans="2:7" ht="15">
      <c r="B61" s="1603" t="s">
        <v>3256</v>
      </c>
      <c r="C61" s="2869" t="s">
        <v>974</v>
      </c>
      <c r="D61" s="2870" t="s">
        <v>974</v>
      </c>
      <c r="E61" s="2870" t="s">
        <v>974</v>
      </c>
      <c r="F61" s="1639" t="s">
        <v>3257</v>
      </c>
      <c r="G61" s="3028"/>
    </row>
    <row r="62" spans="2:7" ht="15">
      <c r="B62" s="1603" t="s">
        <v>3256</v>
      </c>
      <c r="C62" s="2869" t="s">
        <v>974</v>
      </c>
      <c r="D62" s="2870" t="s">
        <v>974</v>
      </c>
      <c r="E62" s="2870" t="s">
        <v>974</v>
      </c>
      <c r="F62" s="1639" t="s">
        <v>3257</v>
      </c>
      <c r="G62" s="3028"/>
    </row>
    <row r="63" spans="2:7" ht="15">
      <c r="B63" s="1603" t="s">
        <v>3256</v>
      </c>
      <c r="C63" s="2869" t="s">
        <v>974</v>
      </c>
      <c r="D63" s="2870" t="s">
        <v>974</v>
      </c>
      <c r="E63" s="2870" t="s">
        <v>974</v>
      </c>
      <c r="F63" s="1639" t="s">
        <v>3257</v>
      </c>
      <c r="G63" s="3028"/>
    </row>
    <row r="64" spans="2:7" ht="15.75" thickBot="1">
      <c r="B64" s="1603" t="s">
        <v>3256</v>
      </c>
      <c r="C64" s="2869" t="s">
        <v>974</v>
      </c>
      <c r="D64" s="2870" t="s">
        <v>974</v>
      </c>
      <c r="E64" s="2870" t="s">
        <v>974</v>
      </c>
      <c r="F64" s="1639" t="s">
        <v>3257</v>
      </c>
      <c r="G64" s="3029"/>
    </row>
    <row r="65" spans="2:7" ht="15.75" thickBot="1">
      <c r="B65" s="1602" t="s">
        <v>3297</v>
      </c>
      <c r="C65" s="1524"/>
      <c r="D65" s="1473"/>
      <c r="E65" s="1473"/>
      <c r="F65" s="1648"/>
      <c r="G65" s="1478"/>
    </row>
    <row r="66" spans="2:7" ht="15">
      <c r="B66" s="2461" t="s">
        <v>3256</v>
      </c>
      <c r="C66" s="2867" t="s">
        <v>974</v>
      </c>
      <c r="D66" s="2868" t="s">
        <v>974</v>
      </c>
      <c r="E66" s="2868" t="s">
        <v>974</v>
      </c>
      <c r="F66" s="1650" t="s">
        <v>3298</v>
      </c>
      <c r="G66" s="3027" t="s">
        <v>3296</v>
      </c>
    </row>
    <row r="67" spans="2:7" ht="15">
      <c r="B67" s="1603" t="s">
        <v>3256</v>
      </c>
      <c r="C67" s="2869" t="s">
        <v>974</v>
      </c>
      <c r="D67" s="2870" t="s">
        <v>974</v>
      </c>
      <c r="E67" s="2870" t="s">
        <v>974</v>
      </c>
      <c r="F67" s="1651" t="s">
        <v>3298</v>
      </c>
      <c r="G67" s="3028"/>
    </row>
    <row r="68" spans="2:7" ht="15">
      <c r="B68" s="1603" t="s">
        <v>3256</v>
      </c>
      <c r="C68" s="2869" t="s">
        <v>974</v>
      </c>
      <c r="D68" s="2870" t="s">
        <v>974</v>
      </c>
      <c r="E68" s="2870" t="s">
        <v>974</v>
      </c>
      <c r="F68" s="1651" t="s">
        <v>3298</v>
      </c>
      <c r="G68" s="3028"/>
    </row>
    <row r="69" spans="2:7" ht="15">
      <c r="B69" s="1603" t="s">
        <v>3256</v>
      </c>
      <c r="C69" s="2869" t="s">
        <v>974</v>
      </c>
      <c r="D69" s="2870" t="s">
        <v>974</v>
      </c>
      <c r="E69" s="2870" t="s">
        <v>974</v>
      </c>
      <c r="F69" s="1651" t="s">
        <v>3298</v>
      </c>
      <c r="G69" s="3028"/>
    </row>
    <row r="70" spans="2:7" ht="15">
      <c r="B70" s="1603" t="s">
        <v>3256</v>
      </c>
      <c r="C70" s="2869" t="s">
        <v>974</v>
      </c>
      <c r="D70" s="2870" t="s">
        <v>974</v>
      </c>
      <c r="E70" s="2870" t="s">
        <v>974</v>
      </c>
      <c r="F70" s="1651" t="s">
        <v>3298</v>
      </c>
      <c r="G70" s="3028"/>
    </row>
    <row r="71" spans="2:7" ht="15">
      <c r="B71" s="1603" t="s">
        <v>3256</v>
      </c>
      <c r="C71" s="2869" t="s">
        <v>974</v>
      </c>
      <c r="D71" s="2870" t="s">
        <v>974</v>
      </c>
      <c r="E71" s="2870" t="s">
        <v>974</v>
      </c>
      <c r="F71" s="1651" t="s">
        <v>3298</v>
      </c>
      <c r="G71" s="3028"/>
    </row>
    <row r="72" spans="2:7" ht="15.75" thickBot="1">
      <c r="B72" s="1604" t="s">
        <v>3256</v>
      </c>
      <c r="C72" s="2865" t="s">
        <v>974</v>
      </c>
      <c r="D72" s="2866" t="s">
        <v>974</v>
      </c>
      <c r="E72" s="2866" t="s">
        <v>974</v>
      </c>
      <c r="F72" s="1647" t="s">
        <v>3298</v>
      </c>
      <c r="G72" s="3029"/>
    </row>
    <row r="73" spans="2:7" ht="13.5" thickBot="1">
      <c r="B73" s="1424"/>
      <c r="C73" s="1405"/>
      <c r="D73" s="1405"/>
      <c r="E73" s="1405"/>
      <c r="F73" s="1423"/>
      <c r="G73" s="1412"/>
    </row>
    <row r="74" spans="2:7" ht="30.75" thickBot="1">
      <c r="B74" s="1597" t="s">
        <v>3299</v>
      </c>
      <c r="C74" s="1632" t="s">
        <v>3237</v>
      </c>
      <c r="D74" s="1632" t="s">
        <v>3238</v>
      </c>
      <c r="E74" s="1632" t="s">
        <v>3239</v>
      </c>
      <c r="F74" s="1633" t="s">
        <v>1745</v>
      </c>
      <c r="G74" s="1634" t="s">
        <v>3240</v>
      </c>
    </row>
    <row r="75" spans="2:7" ht="105">
      <c r="B75" s="1605" t="s">
        <v>3300</v>
      </c>
      <c r="C75" s="2714">
        <v>90620.550405263159</v>
      </c>
      <c r="D75" s="2785">
        <v>107409.17145789474</v>
      </c>
      <c r="E75" s="2785">
        <v>99014.860931578951</v>
      </c>
      <c r="F75" s="1652" t="s">
        <v>3301</v>
      </c>
      <c r="G75" s="1518" t="s">
        <v>3302</v>
      </c>
    </row>
    <row r="76" spans="2:7" ht="60.75" thickBot="1">
      <c r="B76" s="1606" t="s">
        <v>3300</v>
      </c>
      <c r="C76" s="2715">
        <v>172179045.77000001</v>
      </c>
      <c r="D76" s="2786">
        <v>204077425.77000001</v>
      </c>
      <c r="E76" s="2786">
        <v>188128235.77000001</v>
      </c>
      <c r="F76" s="1651" t="s">
        <v>3303</v>
      </c>
      <c r="G76" s="1519" t="s">
        <v>3304</v>
      </c>
    </row>
    <row r="77" spans="2:7" ht="30.75" thickBot="1">
      <c r="B77" s="1607" t="s">
        <v>3305</v>
      </c>
      <c r="C77" s="1522"/>
      <c r="D77" s="1473"/>
      <c r="E77" s="1473"/>
      <c r="F77" s="1648"/>
      <c r="G77" s="1478"/>
    </row>
    <row r="78" spans="2:7" ht="75">
      <c r="B78" s="1608" t="s">
        <v>3306</v>
      </c>
      <c r="C78" s="2787">
        <v>99.334747288859944</v>
      </c>
      <c r="D78" s="2795">
        <v>99.438729802829386</v>
      </c>
      <c r="E78" s="2795">
        <v>99.386738545844665</v>
      </c>
      <c r="F78" s="1650" t="s">
        <v>627</v>
      </c>
      <c r="G78" s="1518" t="s">
        <v>3307</v>
      </c>
    </row>
    <row r="79" spans="2:7" ht="75">
      <c r="B79" s="1605" t="s">
        <v>3308</v>
      </c>
      <c r="C79" s="2789">
        <v>0.66525271114005435</v>
      </c>
      <c r="D79" s="2796">
        <v>0.56127019717061777</v>
      </c>
      <c r="E79" s="2796">
        <v>0.61326145415533606</v>
      </c>
      <c r="F79" s="1651" t="s">
        <v>627</v>
      </c>
      <c r="G79" s="1521" t="s">
        <v>3309</v>
      </c>
    </row>
    <row r="80" spans="2:7" ht="15">
      <c r="B80" s="1603" t="s">
        <v>3256</v>
      </c>
      <c r="C80" s="2791"/>
      <c r="D80" s="2792"/>
      <c r="E80" s="2792"/>
      <c r="F80" s="1651" t="s">
        <v>627</v>
      </c>
      <c r="G80" s="1521"/>
    </row>
    <row r="81" spans="2:9" ht="15">
      <c r="B81" s="1603" t="s">
        <v>3256</v>
      </c>
      <c r="C81" s="2791"/>
      <c r="D81" s="2792"/>
      <c r="E81" s="2792"/>
      <c r="F81" s="1651" t="s">
        <v>627</v>
      </c>
      <c r="G81" s="1521"/>
    </row>
    <row r="82" spans="2:9" ht="15.75" thickBot="1">
      <c r="B82" s="1603" t="s">
        <v>3256</v>
      </c>
      <c r="C82" s="2793"/>
      <c r="D82" s="2794"/>
      <c r="E82" s="2794"/>
      <c r="F82" s="1651" t="s">
        <v>627</v>
      </c>
      <c r="G82" s="1519"/>
    </row>
    <row r="83" spans="2:9" ht="15.75" thickBot="1">
      <c r="B83" s="1607" t="s">
        <v>3310</v>
      </c>
      <c r="C83" s="1522"/>
      <c r="D83" s="1474"/>
      <c r="E83" s="1474"/>
      <c r="F83" s="1648"/>
      <c r="G83" s="1478"/>
    </row>
    <row r="84" spans="2:9" ht="15">
      <c r="B84" s="1609" t="s">
        <v>3311</v>
      </c>
      <c r="C84" s="2871" t="s">
        <v>3312</v>
      </c>
      <c r="D84" s="2872" t="s">
        <v>3312</v>
      </c>
      <c r="E84" s="2872" t="s">
        <v>3312</v>
      </c>
      <c r="F84" s="1650" t="s">
        <v>627</v>
      </c>
      <c r="G84" s="1518" t="s">
        <v>3313</v>
      </c>
    </row>
    <row r="85" spans="2:9" ht="75">
      <c r="B85" s="1609" t="s">
        <v>3314</v>
      </c>
      <c r="C85" s="2797">
        <v>64.009999999999991</v>
      </c>
      <c r="D85" s="2798">
        <v>99.6</v>
      </c>
      <c r="E85" s="2798">
        <v>81.804999999999993</v>
      </c>
      <c r="F85" s="1651" t="s">
        <v>627</v>
      </c>
      <c r="G85" s="1521" t="s">
        <v>3315</v>
      </c>
    </row>
    <row r="86" spans="2:9" ht="75.75" thickBot="1">
      <c r="B86" s="2474" t="s">
        <v>3316</v>
      </c>
      <c r="C86" s="2799">
        <v>35.99</v>
      </c>
      <c r="D86" s="2800">
        <v>0.4</v>
      </c>
      <c r="E86" s="2800">
        <v>18.195</v>
      </c>
      <c r="F86" s="1647" t="s">
        <v>627</v>
      </c>
      <c r="G86" s="1520" t="s">
        <v>3315</v>
      </c>
    </row>
    <row r="87" spans="2:9" ht="13.5" thickBot="1">
      <c r="B87" s="1424"/>
      <c r="C87" s="1405"/>
      <c r="D87" s="1405"/>
      <c r="E87" s="1405"/>
      <c r="F87" s="1423"/>
      <c r="G87" s="1412"/>
    </row>
    <row r="88" spans="2:9" ht="30.75" thickBot="1">
      <c r="B88" s="1597" t="s">
        <v>3317</v>
      </c>
      <c r="C88" s="1632" t="s">
        <v>3237</v>
      </c>
      <c r="D88" s="1632" t="s">
        <v>3238</v>
      </c>
      <c r="E88" s="1632" t="s">
        <v>3239</v>
      </c>
      <c r="F88" s="1633" t="s">
        <v>1745</v>
      </c>
      <c r="G88" s="1634" t="s">
        <v>3240</v>
      </c>
    </row>
    <row r="89" spans="2:9" ht="15">
      <c r="B89" s="1610" t="s">
        <v>3318</v>
      </c>
      <c r="C89" s="2873" t="s">
        <v>974</v>
      </c>
      <c r="D89" s="2874" t="s">
        <v>974</v>
      </c>
      <c r="E89" s="2874" t="s">
        <v>974</v>
      </c>
      <c r="F89" s="1651" t="s">
        <v>627</v>
      </c>
      <c r="G89" s="3027" t="s">
        <v>3319</v>
      </c>
    </row>
    <row r="90" spans="2:9" ht="42.75">
      <c r="B90" s="1611" t="s">
        <v>3320</v>
      </c>
      <c r="C90" s="2875" t="s">
        <v>974</v>
      </c>
      <c r="D90" s="2864" t="s">
        <v>974</v>
      </c>
      <c r="E90" s="2864" t="s">
        <v>974</v>
      </c>
      <c r="F90" s="1653" t="s">
        <v>3257</v>
      </c>
      <c r="G90" s="3028"/>
      <c r="H90" s="1477"/>
    </row>
    <row r="91" spans="2:9" ht="29.25" thickBot="1">
      <c r="B91" s="1612" t="s">
        <v>3321</v>
      </c>
      <c r="C91" s="2876" t="s">
        <v>974</v>
      </c>
      <c r="D91" s="2866" t="s">
        <v>974</v>
      </c>
      <c r="E91" s="2866" t="s">
        <v>974</v>
      </c>
      <c r="F91" s="1654" t="s">
        <v>3257</v>
      </c>
      <c r="G91" s="3029"/>
    </row>
    <row r="92" spans="2:9">
      <c r="B92" s="1419"/>
    </row>
    <row r="93" spans="2:9" ht="13.5" thickBot="1">
      <c r="B93" s="1419"/>
    </row>
    <row r="94" spans="2:9" ht="45.75" thickBot="1">
      <c r="B94" s="1656" t="s">
        <v>3322</v>
      </c>
      <c r="C94" s="1632" t="s">
        <v>3323</v>
      </c>
      <c r="D94" s="1632" t="s">
        <v>3324</v>
      </c>
      <c r="E94" s="1632" t="s">
        <v>3325</v>
      </c>
      <c r="F94" s="1632" t="s">
        <v>3326</v>
      </c>
      <c r="G94" s="1632" t="s">
        <v>3327</v>
      </c>
      <c r="H94" s="1632" t="s">
        <v>1667</v>
      </c>
      <c r="I94" s="1634" t="s">
        <v>3328</v>
      </c>
    </row>
    <row r="95" spans="2:9" ht="15.75" thickBot="1">
      <c r="B95" s="1613" t="s">
        <v>120</v>
      </c>
      <c r="C95" s="1464"/>
      <c r="D95" s="1464"/>
      <c r="E95" s="1464"/>
      <c r="F95" s="1464"/>
      <c r="G95" s="1658"/>
      <c r="H95" s="1658"/>
      <c r="I95" s="1464"/>
    </row>
    <row r="96" spans="2:9" ht="204.75" customHeight="1">
      <c r="B96" s="1575" t="s">
        <v>3241</v>
      </c>
      <c r="C96" s="2716">
        <v>267060.46366451617</v>
      </c>
      <c r="D96" s="2717">
        <v>304417.90509677422</v>
      </c>
      <c r="E96" s="2718">
        <v>264423.46779870969</v>
      </c>
      <c r="F96" s="2718">
        <v>301742.12988000002</v>
      </c>
      <c r="G96" s="1659" t="s">
        <v>3329</v>
      </c>
      <c r="H96" s="1636" t="s">
        <v>2183</v>
      </c>
      <c r="I96" s="3032" t="s">
        <v>3330</v>
      </c>
    </row>
    <row r="97" spans="2:9" ht="42.75">
      <c r="B97" s="1576" t="s">
        <v>3243</v>
      </c>
      <c r="C97" s="2716">
        <v>3779.9559999999997</v>
      </c>
      <c r="D97" s="2717">
        <v>4307.6055000000006</v>
      </c>
      <c r="E97" s="2718">
        <v>3776.279</v>
      </c>
      <c r="F97" s="2718">
        <v>4309.4440000000013</v>
      </c>
      <c r="G97" s="1659" t="s">
        <v>3331</v>
      </c>
      <c r="H97" s="1636" t="s">
        <v>2183</v>
      </c>
      <c r="I97" s="3034"/>
    </row>
    <row r="98" spans="2:9" ht="128.25">
      <c r="B98" s="1576" t="s">
        <v>3244</v>
      </c>
      <c r="C98" s="2716">
        <v>5339</v>
      </c>
      <c r="D98" s="2717">
        <v>6185</v>
      </c>
      <c r="E98" s="2718">
        <v>2940.3</v>
      </c>
      <c r="F98" s="2718">
        <v>3593.7000000000003</v>
      </c>
      <c r="G98" s="1659" t="s">
        <v>3332</v>
      </c>
      <c r="H98" s="1636" t="s">
        <v>2183</v>
      </c>
      <c r="I98" s="2707" t="s">
        <v>3333</v>
      </c>
    </row>
    <row r="99" spans="2:9" ht="141">
      <c r="B99" s="1576" t="s">
        <v>3245</v>
      </c>
      <c r="C99" s="2719">
        <v>1389</v>
      </c>
      <c r="D99" s="2720">
        <v>3059</v>
      </c>
      <c r="E99" s="2721">
        <v>281.7</v>
      </c>
      <c r="F99" s="2721">
        <v>344.3</v>
      </c>
      <c r="G99" s="1659" t="s">
        <v>3334</v>
      </c>
      <c r="H99" s="1637" t="s">
        <v>2183</v>
      </c>
      <c r="I99" s="2708" t="s">
        <v>3335</v>
      </c>
    </row>
    <row r="100" spans="2:9" ht="153.75">
      <c r="B100" s="1576" t="s">
        <v>3246</v>
      </c>
      <c r="C100" s="2719">
        <v>12821</v>
      </c>
      <c r="D100" s="2720">
        <v>16298</v>
      </c>
      <c r="E100" s="2721">
        <v>10702.800000000001</v>
      </c>
      <c r="F100" s="2721">
        <v>13081.2</v>
      </c>
      <c r="G100" s="1659" t="s">
        <v>3336</v>
      </c>
      <c r="H100" s="1637" t="s">
        <v>2183</v>
      </c>
      <c r="I100" s="2708" t="s">
        <v>3337</v>
      </c>
    </row>
    <row r="101" spans="2:9" ht="15.75" thickBot="1">
      <c r="B101" s="1577" t="s">
        <v>3139</v>
      </c>
      <c r="C101" s="1503">
        <f>SUM(C96:C100)</f>
        <v>290389.41966451617</v>
      </c>
      <c r="D101" s="1503">
        <f>SUM(D96:D100)</f>
        <v>334267.51059677423</v>
      </c>
      <c r="E101" s="1503">
        <f>SUM(E96:E100)</f>
        <v>282124.54679870966</v>
      </c>
      <c r="F101" s="1503"/>
      <c r="G101" s="1523"/>
      <c r="H101" s="1638" t="s">
        <v>2183</v>
      </c>
      <c r="I101" s="1465"/>
    </row>
    <row r="102" spans="2:9" ht="13.5" thickBot="1">
      <c r="B102" s="1424"/>
      <c r="C102" s="1405"/>
      <c r="D102" s="1405"/>
      <c r="E102" s="1405"/>
      <c r="F102" s="1405"/>
      <c r="G102" s="1423"/>
      <c r="H102" s="1423"/>
      <c r="I102" s="1412"/>
    </row>
    <row r="103" spans="2:9" ht="45.75" thickBot="1">
      <c r="B103" s="1657" t="s">
        <v>3247</v>
      </c>
      <c r="C103" s="1632" t="s">
        <v>3323</v>
      </c>
      <c r="D103" s="1632" t="s">
        <v>3324</v>
      </c>
      <c r="E103" s="1632" t="s">
        <v>3325</v>
      </c>
      <c r="F103" s="1632" t="s">
        <v>3326</v>
      </c>
      <c r="G103" s="1632" t="s">
        <v>3327</v>
      </c>
      <c r="H103" s="1632" t="s">
        <v>1667</v>
      </c>
      <c r="I103" s="1634" t="s">
        <v>3328</v>
      </c>
    </row>
    <row r="104" spans="2:9" ht="230.25">
      <c r="B104" s="1578" t="s">
        <v>3338</v>
      </c>
      <c r="C104" s="2773">
        <v>675.87</v>
      </c>
      <c r="D104" s="2774">
        <v>1268.4100000000001</v>
      </c>
      <c r="E104" s="2775">
        <v>0.1664145771008976</v>
      </c>
      <c r="F104" s="2775">
        <v>0.20339559423443043</v>
      </c>
      <c r="G104" s="1659" t="s">
        <v>3339</v>
      </c>
      <c r="H104" s="1637" t="s">
        <v>2183</v>
      </c>
      <c r="I104" s="2707" t="s">
        <v>3340</v>
      </c>
    </row>
    <row r="105" spans="2:9" ht="15">
      <c r="B105" s="1579" t="s">
        <v>3250</v>
      </c>
      <c r="C105" s="2776"/>
      <c r="D105" s="2777"/>
      <c r="E105" s="2778"/>
      <c r="F105" s="2778"/>
      <c r="G105" s="1659" t="s">
        <v>3341</v>
      </c>
      <c r="H105" s="1637"/>
      <c r="I105" s="1514"/>
    </row>
    <row r="106" spans="2:9" ht="51.75">
      <c r="B106" s="1580" t="s">
        <v>3251</v>
      </c>
      <c r="C106" s="2773">
        <v>1487.7046915599626</v>
      </c>
      <c r="D106" s="2773">
        <v>1487.7046915599626</v>
      </c>
      <c r="E106" s="2773">
        <v>1487.7046915599626</v>
      </c>
      <c r="F106" s="2773">
        <v>1487.7046915599626</v>
      </c>
      <c r="G106" s="1659" t="s">
        <v>3341</v>
      </c>
      <c r="H106" s="1637" t="s">
        <v>164</v>
      </c>
      <c r="I106" s="2707" t="s">
        <v>3342</v>
      </c>
    </row>
    <row r="107" spans="2:9" ht="15">
      <c r="B107" s="1614" t="s">
        <v>3253</v>
      </c>
      <c r="C107" s="2782">
        <v>13879.9</v>
      </c>
      <c r="D107" s="2783">
        <v>13879.9</v>
      </c>
      <c r="E107" s="2784">
        <v>13879.9</v>
      </c>
      <c r="F107" s="2784">
        <v>13879.9</v>
      </c>
      <c r="G107" s="1659" t="s">
        <v>3341</v>
      </c>
      <c r="H107" s="1637" t="s">
        <v>3254</v>
      </c>
      <c r="I107" s="1514" t="s">
        <v>3343</v>
      </c>
    </row>
    <row r="108" spans="2:9" ht="15">
      <c r="B108" s="1614" t="s">
        <v>3344</v>
      </c>
      <c r="C108" s="2779"/>
      <c r="D108" s="2780"/>
      <c r="E108" s="2781"/>
      <c r="F108" s="2781"/>
      <c r="G108" s="1659" t="s">
        <v>3341</v>
      </c>
      <c r="H108" s="1639" t="s">
        <v>3257</v>
      </c>
      <c r="I108" s="1514"/>
    </row>
    <row r="109" spans="2:9" ht="15">
      <c r="B109" s="1614" t="s">
        <v>3344</v>
      </c>
      <c r="C109" s="2779"/>
      <c r="D109" s="1508"/>
      <c r="E109" s="1509"/>
      <c r="F109" s="1509"/>
      <c r="G109" s="1659" t="s">
        <v>3341</v>
      </c>
      <c r="H109" s="1639" t="s">
        <v>3257</v>
      </c>
      <c r="I109" s="1514"/>
    </row>
    <row r="110" spans="2:9" ht="15">
      <c r="B110" s="1582" t="s">
        <v>3258</v>
      </c>
      <c r="C110" s="2852">
        <f>C$104/C106</f>
        <v>0.45430387081141954</v>
      </c>
      <c r="D110" s="2852">
        <f t="shared" ref="D110:F110" si="9">D$104/D106</f>
        <v>0.85259528130544737</v>
      </c>
      <c r="E110" s="2852">
        <f t="shared" si="9"/>
        <v>1.1185995315132081E-4</v>
      </c>
      <c r="F110" s="2852">
        <f t="shared" si="9"/>
        <v>1.3671772051828101E-4</v>
      </c>
      <c r="G110" s="1660"/>
      <c r="H110" s="1640" t="s">
        <v>3259</v>
      </c>
      <c r="I110" s="1466"/>
    </row>
    <row r="111" spans="2:9" ht="15">
      <c r="B111" s="1583" t="s">
        <v>3260</v>
      </c>
      <c r="C111" s="2852">
        <f t="shared" ref="C111:C113" si="10">$C$104/C107</f>
        <v>4.8694154857023469E-2</v>
      </c>
      <c r="D111" s="2852">
        <f t="shared" ref="D111:F111" si="11">D$104/D107</f>
        <v>9.1384664154640888E-2</v>
      </c>
      <c r="E111" s="2852">
        <f t="shared" si="11"/>
        <v>1.1989609226355926E-5</v>
      </c>
      <c r="F111" s="2852">
        <f t="shared" si="11"/>
        <v>1.4653966832212799E-5</v>
      </c>
      <c r="G111" s="1661"/>
      <c r="H111" s="1640" t="s">
        <v>3261</v>
      </c>
      <c r="I111" s="1475"/>
    </row>
    <row r="112" spans="2:9" ht="15">
      <c r="B112" s="1583" t="s">
        <v>3262</v>
      </c>
      <c r="C112" s="2852" t="e">
        <f t="shared" si="10"/>
        <v>#DIV/0!</v>
      </c>
      <c r="D112" s="2852" t="e">
        <f t="shared" ref="D112:F112" si="12">D$104/D108</f>
        <v>#DIV/0!</v>
      </c>
      <c r="E112" s="2852" t="e">
        <f t="shared" si="12"/>
        <v>#DIV/0!</v>
      </c>
      <c r="F112" s="2852" t="e">
        <f t="shared" si="12"/>
        <v>#DIV/0!</v>
      </c>
      <c r="G112" s="1661"/>
      <c r="H112" s="1639" t="s">
        <v>3257</v>
      </c>
      <c r="I112" s="1475"/>
    </row>
    <row r="113" spans="2:9" ht="15.75" thickBot="1">
      <c r="B113" s="1584" t="s">
        <v>3262</v>
      </c>
      <c r="C113" s="2853" t="e">
        <f t="shared" si="10"/>
        <v>#DIV/0!</v>
      </c>
      <c r="D113" s="2852" t="e">
        <f t="shared" ref="D113:F113" si="13">D$104/D109</f>
        <v>#DIV/0!</v>
      </c>
      <c r="E113" s="2852" t="e">
        <f t="shared" si="13"/>
        <v>#DIV/0!</v>
      </c>
      <c r="F113" s="2852" t="e">
        <f t="shared" si="13"/>
        <v>#DIV/0!</v>
      </c>
      <c r="G113" s="1662"/>
      <c r="H113" s="1641" t="s">
        <v>3257</v>
      </c>
      <c r="I113" s="1476"/>
    </row>
    <row r="114" spans="2:9" ht="13.5" thickBot="1">
      <c r="B114" s="1424"/>
      <c r="C114" s="1405"/>
      <c r="D114" s="1405"/>
      <c r="E114" s="1405"/>
      <c r="F114" s="1405"/>
      <c r="G114" s="1423"/>
      <c r="H114" s="1423"/>
      <c r="I114" s="1412"/>
    </row>
    <row r="115" spans="2:9" ht="45.75" thickBot="1">
      <c r="B115" s="1590" t="s">
        <v>3263</v>
      </c>
      <c r="C115" s="1632" t="s">
        <v>3323</v>
      </c>
      <c r="D115" s="1632" t="s">
        <v>3324</v>
      </c>
      <c r="E115" s="1632" t="s">
        <v>3325</v>
      </c>
      <c r="F115" s="1632" t="s">
        <v>3326</v>
      </c>
      <c r="G115" s="1632" t="s">
        <v>3327</v>
      </c>
      <c r="H115" s="1632" t="s">
        <v>1667</v>
      </c>
      <c r="I115" s="1634" t="s">
        <v>3328</v>
      </c>
    </row>
    <row r="116" spans="2:9" ht="42.75">
      <c r="B116" s="1578" t="s">
        <v>3248</v>
      </c>
      <c r="C116" s="2773">
        <v>3776</v>
      </c>
      <c r="D116" s="2774">
        <v>4590</v>
      </c>
      <c r="E116" s="2810">
        <v>2673.9</v>
      </c>
      <c r="F116" s="2810">
        <v>3268.1000000000004</v>
      </c>
      <c r="G116" s="1659" t="s">
        <v>3345</v>
      </c>
      <c r="H116" s="1643" t="s">
        <v>2183</v>
      </c>
      <c r="I116" s="3030" t="s">
        <v>3346</v>
      </c>
    </row>
    <row r="117" spans="2:9" ht="197.25" customHeight="1">
      <c r="B117" s="1578" t="s">
        <v>3265</v>
      </c>
      <c r="C117" s="2773">
        <v>13270875.112282591</v>
      </c>
      <c r="D117" s="2774">
        <v>17074829.936274838</v>
      </c>
      <c r="E117" s="2810">
        <v>15792661.341337655</v>
      </c>
      <c r="F117" s="2810">
        <v>19302141.63941269</v>
      </c>
      <c r="G117" s="1659" t="s">
        <v>3341</v>
      </c>
      <c r="H117" s="1643" t="s">
        <v>2233</v>
      </c>
      <c r="I117" s="3031"/>
    </row>
    <row r="118" spans="2:9" ht="39">
      <c r="B118" s="1578" t="s">
        <v>3267</v>
      </c>
      <c r="C118" s="2773">
        <v>36409</v>
      </c>
      <c r="D118" s="2774">
        <v>36409</v>
      </c>
      <c r="E118" s="2810">
        <v>36409</v>
      </c>
      <c r="F118" s="2810">
        <v>36409</v>
      </c>
      <c r="G118" s="1659" t="s">
        <v>3341</v>
      </c>
      <c r="H118" s="1637" t="s">
        <v>2233</v>
      </c>
      <c r="I118" s="2708" t="s">
        <v>3347</v>
      </c>
    </row>
    <row r="119" spans="2:9" ht="15">
      <c r="B119" s="1578" t="s">
        <v>3269</v>
      </c>
      <c r="C119" s="2811">
        <v>26838</v>
      </c>
      <c r="D119" s="2812">
        <v>26838</v>
      </c>
      <c r="E119" s="2813">
        <v>26838</v>
      </c>
      <c r="F119" s="2813">
        <v>26838</v>
      </c>
      <c r="G119" s="1659" t="s">
        <v>3341</v>
      </c>
      <c r="H119" s="1670" t="s">
        <v>3270</v>
      </c>
      <c r="I119" s="2708" t="s">
        <v>3348</v>
      </c>
    </row>
    <row r="120" spans="2:9" ht="15">
      <c r="B120" s="1615" t="s">
        <v>3272</v>
      </c>
      <c r="C120" s="2852">
        <f>C$116/C117</f>
        <v>2.8453285620216553E-4</v>
      </c>
      <c r="D120" s="2852">
        <f t="shared" ref="D120:F120" si="14">D$116/D117</f>
        <v>2.6881673300000001E-4</v>
      </c>
      <c r="E120" s="2852">
        <f t="shared" si="14"/>
        <v>1.6931281828991073E-4</v>
      </c>
      <c r="F120" s="2852">
        <f t="shared" si="14"/>
        <v>1.6931281828991073E-4</v>
      </c>
      <c r="G120" s="1663"/>
      <c r="H120" s="1643" t="s">
        <v>3349</v>
      </c>
      <c r="I120" s="1475"/>
    </row>
    <row r="121" spans="2:9" ht="15">
      <c r="B121" s="1615" t="s">
        <v>3274</v>
      </c>
      <c r="C121" s="2852">
        <f t="shared" ref="C121:C122" si="15">$C$116/C118</f>
        <v>0.10371062100030212</v>
      </c>
      <c r="D121" s="2852">
        <f t="shared" ref="D121:F121" si="16">D$116/D118</f>
        <v>0.12606773050619352</v>
      </c>
      <c r="E121" s="2852">
        <f t="shared" si="16"/>
        <v>7.3440632810568812E-2</v>
      </c>
      <c r="F121" s="2852">
        <f t="shared" si="16"/>
        <v>8.9760773435139676E-2</v>
      </c>
      <c r="G121" s="1663"/>
      <c r="H121" s="1643" t="s">
        <v>3350</v>
      </c>
      <c r="I121" s="1466"/>
    </row>
    <row r="122" spans="2:9" ht="15.75" thickBot="1">
      <c r="B122" s="1584" t="s">
        <v>3276</v>
      </c>
      <c r="C122" s="2853">
        <f t="shared" si="15"/>
        <v>0.14069602801997169</v>
      </c>
      <c r="D122" s="2852">
        <f t="shared" ref="D122:F122" si="17">D$116/D119</f>
        <v>0.17102615694164991</v>
      </c>
      <c r="E122" s="2852">
        <f t="shared" si="17"/>
        <v>9.9631120053655264E-2</v>
      </c>
      <c r="F122" s="2852">
        <f t="shared" si="17"/>
        <v>0.12177136895446757</v>
      </c>
      <c r="G122" s="1664"/>
      <c r="H122" s="1644" t="s">
        <v>3351</v>
      </c>
      <c r="I122" s="1447"/>
    </row>
    <row r="123" spans="2:9" ht="13.5" thickBot="1">
      <c r="B123" s="1424"/>
      <c r="C123" s="1405"/>
      <c r="D123" s="1405"/>
      <c r="E123" s="1405"/>
      <c r="F123" s="1405"/>
      <c r="G123" s="1423"/>
      <c r="H123" s="1423"/>
      <c r="I123" s="1412"/>
    </row>
    <row r="124" spans="2:9" ht="45.75" thickBot="1">
      <c r="B124" s="1616" t="s">
        <v>3102</v>
      </c>
      <c r="C124" s="1632" t="s">
        <v>3323</v>
      </c>
      <c r="D124" s="1632" t="s">
        <v>3324</v>
      </c>
      <c r="E124" s="1632" t="s">
        <v>3325</v>
      </c>
      <c r="F124" s="1632" t="s">
        <v>3326</v>
      </c>
      <c r="G124" s="1632" t="s">
        <v>3327</v>
      </c>
      <c r="H124" s="1632" t="s">
        <v>1667</v>
      </c>
      <c r="I124" s="1634" t="s">
        <v>3328</v>
      </c>
    </row>
    <row r="125" spans="2:9" ht="42.75">
      <c r="B125" s="1578" t="s">
        <v>3248</v>
      </c>
      <c r="C125" s="2807">
        <v>1054</v>
      </c>
      <c r="D125" s="2772">
        <v>1713</v>
      </c>
      <c r="E125" s="2808">
        <v>739.22417999999993</v>
      </c>
      <c r="F125" s="2808">
        <v>903.49621999999999</v>
      </c>
      <c r="G125" s="2722" t="s">
        <v>3352</v>
      </c>
      <c r="H125" s="1636" t="s">
        <v>2183</v>
      </c>
      <c r="I125" s="3032" t="s">
        <v>3353</v>
      </c>
    </row>
    <row r="126" spans="2:9" ht="168.75" customHeight="1" thickBot="1">
      <c r="B126" s="1617" t="s">
        <v>3265</v>
      </c>
      <c r="C126" s="2809">
        <v>6730069.1354452539</v>
      </c>
      <c r="D126" s="2774">
        <v>9886546.616325479</v>
      </c>
      <c r="E126" s="2810">
        <v>7107989.6484764386</v>
      </c>
      <c r="F126" s="2810">
        <v>8687542.9036934245</v>
      </c>
      <c r="G126" s="2722" t="s">
        <v>3341</v>
      </c>
      <c r="H126" s="1637" t="s">
        <v>2233</v>
      </c>
      <c r="I126" s="3033"/>
    </row>
    <row r="127" spans="2:9" ht="15.75" thickBot="1">
      <c r="B127" s="1618" t="s">
        <v>3280</v>
      </c>
      <c r="C127" s="2857">
        <f>C125/C126</f>
        <v>1.5661057543211532E-4</v>
      </c>
      <c r="D127" s="2857">
        <f>D125/D126</f>
        <v>1.7326575865948514E-4</v>
      </c>
      <c r="E127" s="2857">
        <f>E125/E126</f>
        <v>1.0399905128708915E-4</v>
      </c>
      <c r="F127" s="2857">
        <f>F125/F126</f>
        <v>1.0399905128708916E-4</v>
      </c>
      <c r="G127" s="1665"/>
      <c r="H127" s="1671" t="s">
        <v>3281</v>
      </c>
      <c r="I127" s="1469"/>
    </row>
    <row r="128" spans="2:9" ht="13.5" thickBot="1">
      <c r="B128" s="1424"/>
      <c r="C128" s="1405"/>
      <c r="D128" s="1405"/>
      <c r="E128" s="1405"/>
      <c r="F128" s="1405"/>
      <c r="G128" s="1423"/>
      <c r="H128" s="1423"/>
      <c r="I128" s="1412"/>
    </row>
    <row r="129" spans="2:9" ht="45.75" thickBot="1">
      <c r="B129" s="1590" t="s">
        <v>3282</v>
      </c>
      <c r="C129" s="1632" t="s">
        <v>3323</v>
      </c>
      <c r="D129" s="1632" t="s">
        <v>3324</v>
      </c>
      <c r="E129" s="1632" t="s">
        <v>3325</v>
      </c>
      <c r="F129" s="1632" t="s">
        <v>3326</v>
      </c>
      <c r="G129" s="1632" t="s">
        <v>3327</v>
      </c>
      <c r="H129" s="1632" t="s">
        <v>1667</v>
      </c>
      <c r="I129" s="1634" t="s">
        <v>3328</v>
      </c>
    </row>
    <row r="130" spans="2:9" ht="26.25">
      <c r="B130" s="1594" t="s">
        <v>3114</v>
      </c>
      <c r="C130" s="2858" t="s">
        <v>3354</v>
      </c>
      <c r="D130" s="1504" t="s">
        <v>3354</v>
      </c>
      <c r="E130" s="1505" t="s">
        <v>3354</v>
      </c>
      <c r="F130" s="1505" t="s">
        <v>3354</v>
      </c>
      <c r="G130" s="1659" t="s">
        <v>974</v>
      </c>
      <c r="H130" s="1636" t="s">
        <v>2183</v>
      </c>
      <c r="I130" s="2707" t="s">
        <v>3355</v>
      </c>
    </row>
    <row r="131" spans="2:9" ht="15">
      <c r="B131" s="1595" t="s">
        <v>3116</v>
      </c>
      <c r="C131" s="2859" t="s">
        <v>974</v>
      </c>
      <c r="D131" s="1506" t="s">
        <v>974</v>
      </c>
      <c r="E131" s="1507" t="s">
        <v>974</v>
      </c>
      <c r="F131" s="1507" t="s">
        <v>974</v>
      </c>
      <c r="G131" s="1659" t="s">
        <v>974</v>
      </c>
      <c r="H131" s="1637" t="s">
        <v>2183</v>
      </c>
      <c r="I131" s="2708" t="s">
        <v>3356</v>
      </c>
    </row>
    <row r="132" spans="2:9" ht="39.75" thickBot="1">
      <c r="B132" s="1596" t="s">
        <v>3117</v>
      </c>
      <c r="C132" s="2860" t="s">
        <v>3354</v>
      </c>
      <c r="D132" s="1510" t="s">
        <v>3354</v>
      </c>
      <c r="E132" s="1511" t="s">
        <v>3354</v>
      </c>
      <c r="F132" s="1511" t="s">
        <v>3354</v>
      </c>
      <c r="G132" s="1666" t="s">
        <v>974</v>
      </c>
      <c r="H132" s="1638" t="s">
        <v>2183</v>
      </c>
      <c r="I132" s="2713" t="s">
        <v>3357</v>
      </c>
    </row>
    <row r="133" spans="2:9" ht="13.5" thickBot="1">
      <c r="B133" s="1424"/>
      <c r="C133" s="1405"/>
      <c r="D133" s="1405"/>
      <c r="E133" s="1405"/>
      <c r="F133" s="1405"/>
      <c r="G133" s="1423"/>
      <c r="H133" s="1423"/>
      <c r="I133" s="1412"/>
    </row>
    <row r="134" spans="2:9" ht="45.75" thickBot="1">
      <c r="B134" s="1619" t="s">
        <v>3287</v>
      </c>
      <c r="C134" s="1632" t="s">
        <v>3323</v>
      </c>
      <c r="D134" s="1632" t="s">
        <v>3324</v>
      </c>
      <c r="E134" s="1632" t="s">
        <v>3325</v>
      </c>
      <c r="F134" s="1632" t="s">
        <v>3326</v>
      </c>
      <c r="G134" s="1632" t="s">
        <v>3327</v>
      </c>
      <c r="H134" s="1632" t="s">
        <v>1667</v>
      </c>
      <c r="I134" s="1634" t="s">
        <v>3328</v>
      </c>
    </row>
    <row r="135" spans="2:9" ht="64.5" thickBot="1">
      <c r="B135" s="1620" t="s">
        <v>3288</v>
      </c>
      <c r="C135" s="2877" t="s">
        <v>974</v>
      </c>
      <c r="D135" s="2878" t="s">
        <v>974</v>
      </c>
      <c r="E135" s="2878" t="s">
        <v>974</v>
      </c>
      <c r="F135" s="2879" t="s">
        <v>974</v>
      </c>
      <c r="G135" s="2880" t="s">
        <v>3358</v>
      </c>
      <c r="H135" s="1672" t="s">
        <v>2183</v>
      </c>
      <c r="I135" s="2723" t="s">
        <v>3359</v>
      </c>
    </row>
    <row r="136" spans="2:9" ht="15.75" thickBot="1">
      <c r="B136" s="1621" t="s">
        <v>3290</v>
      </c>
      <c r="C136" s="1524"/>
      <c r="D136" s="1525"/>
      <c r="E136" s="1525"/>
      <c r="F136" s="1473"/>
      <c r="G136" s="1667"/>
      <c r="H136" s="1673"/>
      <c r="I136" s="1469"/>
    </row>
    <row r="137" spans="2:9" ht="15">
      <c r="B137" s="1600" t="s">
        <v>3291</v>
      </c>
      <c r="C137" s="2881" t="s">
        <v>974</v>
      </c>
      <c r="D137" s="2882" t="s">
        <v>974</v>
      </c>
      <c r="E137" s="2882" t="s">
        <v>974</v>
      </c>
      <c r="F137" s="2883" t="s">
        <v>974</v>
      </c>
      <c r="G137" s="1659" t="s">
        <v>3341</v>
      </c>
      <c r="H137" s="1674" t="s">
        <v>627</v>
      </c>
      <c r="I137" s="1514" t="s">
        <v>3360</v>
      </c>
    </row>
    <row r="138" spans="2:9" ht="15">
      <c r="B138" s="1600" t="s">
        <v>1786</v>
      </c>
      <c r="C138" s="2884" t="s">
        <v>974</v>
      </c>
      <c r="D138" s="2885" t="s">
        <v>974</v>
      </c>
      <c r="E138" s="2885" t="s">
        <v>974</v>
      </c>
      <c r="F138" s="2880" t="s">
        <v>974</v>
      </c>
      <c r="G138" s="1659" t="s">
        <v>3341</v>
      </c>
      <c r="H138" s="1675" t="s">
        <v>627</v>
      </c>
      <c r="I138" s="1515" t="s">
        <v>3360</v>
      </c>
    </row>
    <row r="139" spans="2:9" ht="15">
      <c r="B139" s="1600" t="s">
        <v>3292</v>
      </c>
      <c r="C139" s="2884" t="s">
        <v>974</v>
      </c>
      <c r="D139" s="2885" t="s">
        <v>974</v>
      </c>
      <c r="E139" s="2885" t="s">
        <v>974</v>
      </c>
      <c r="F139" s="2880" t="s">
        <v>974</v>
      </c>
      <c r="G139" s="1659" t="s">
        <v>3341</v>
      </c>
      <c r="H139" s="1675" t="s">
        <v>627</v>
      </c>
      <c r="I139" s="1515" t="s">
        <v>3360</v>
      </c>
    </row>
    <row r="140" spans="2:9" ht="15.75" thickBot="1">
      <c r="B140" s="1601" t="s">
        <v>3293</v>
      </c>
      <c r="C140" s="2886" t="s">
        <v>974</v>
      </c>
      <c r="D140" s="2887" t="s">
        <v>974</v>
      </c>
      <c r="E140" s="2887" t="s">
        <v>974</v>
      </c>
      <c r="F140" s="2888" t="s">
        <v>974</v>
      </c>
      <c r="G140" s="1666" t="s">
        <v>3341</v>
      </c>
      <c r="H140" s="1676" t="s">
        <v>627</v>
      </c>
      <c r="I140" s="1517" t="s">
        <v>3360</v>
      </c>
    </row>
    <row r="141" spans="2:9" ht="13.5" thickBot="1">
      <c r="B141" s="1424"/>
      <c r="C141" s="1405"/>
      <c r="D141" s="1405"/>
      <c r="E141" s="1405"/>
      <c r="F141" s="1405"/>
      <c r="G141" s="1423"/>
      <c r="H141" s="1423"/>
      <c r="I141" s="1412"/>
    </row>
    <row r="142" spans="2:9" ht="45.75" thickBot="1">
      <c r="B142" s="1619" t="s">
        <v>3294</v>
      </c>
      <c r="C142" s="1632" t="s">
        <v>3323</v>
      </c>
      <c r="D142" s="1632" t="s">
        <v>3324</v>
      </c>
      <c r="E142" s="1632" t="s">
        <v>3325</v>
      </c>
      <c r="F142" s="1632" t="s">
        <v>3326</v>
      </c>
      <c r="G142" s="1632" t="s">
        <v>3327</v>
      </c>
      <c r="H142" s="1632" t="s">
        <v>1667</v>
      </c>
      <c r="I142" s="1634" t="s">
        <v>3328</v>
      </c>
    </row>
    <row r="143" spans="2:9" ht="15.75" thickBot="1">
      <c r="B143" s="1602" t="s">
        <v>3295</v>
      </c>
      <c r="C143" s="1472"/>
      <c r="D143" s="1471"/>
      <c r="E143" s="1471"/>
      <c r="F143" s="1470"/>
      <c r="G143" s="1668"/>
      <c r="H143" s="1673"/>
      <c r="I143" s="1469"/>
    </row>
    <row r="144" spans="2:9" ht="15">
      <c r="B144" s="1603" t="s">
        <v>3256</v>
      </c>
      <c r="C144" s="2889" t="s">
        <v>974</v>
      </c>
      <c r="D144" s="2873" t="s">
        <v>974</v>
      </c>
      <c r="E144" s="2873" t="s">
        <v>974</v>
      </c>
      <c r="F144" s="2874" t="s">
        <v>974</v>
      </c>
      <c r="G144" s="1659" t="s">
        <v>3341</v>
      </c>
      <c r="H144" s="1649" t="s">
        <v>3257</v>
      </c>
      <c r="I144" s="1514" t="s">
        <v>3361</v>
      </c>
    </row>
    <row r="145" spans="2:9" ht="15">
      <c r="B145" s="1603" t="s">
        <v>3256</v>
      </c>
      <c r="C145" s="2869" t="s">
        <v>974</v>
      </c>
      <c r="D145" s="2890" t="s">
        <v>974</v>
      </c>
      <c r="E145" s="2890" t="s">
        <v>974</v>
      </c>
      <c r="F145" s="2870" t="s">
        <v>974</v>
      </c>
      <c r="G145" s="1659" t="s">
        <v>3341</v>
      </c>
      <c r="H145" s="1639" t="s">
        <v>3257</v>
      </c>
      <c r="I145" s="1515" t="s">
        <v>3361</v>
      </c>
    </row>
    <row r="146" spans="2:9" ht="15">
      <c r="B146" s="1603" t="s">
        <v>3256</v>
      </c>
      <c r="C146" s="2869" t="s">
        <v>974</v>
      </c>
      <c r="D146" s="2890" t="s">
        <v>974</v>
      </c>
      <c r="E146" s="2890" t="s">
        <v>974</v>
      </c>
      <c r="F146" s="2870" t="s">
        <v>974</v>
      </c>
      <c r="G146" s="1659" t="s">
        <v>3341</v>
      </c>
      <c r="H146" s="1639" t="s">
        <v>3257</v>
      </c>
      <c r="I146" s="1515" t="s">
        <v>3361</v>
      </c>
    </row>
    <row r="147" spans="2:9" ht="15">
      <c r="B147" s="1603" t="s">
        <v>3256</v>
      </c>
      <c r="C147" s="2869" t="s">
        <v>974</v>
      </c>
      <c r="D147" s="2890" t="s">
        <v>974</v>
      </c>
      <c r="E147" s="2890" t="s">
        <v>974</v>
      </c>
      <c r="F147" s="2870" t="s">
        <v>974</v>
      </c>
      <c r="G147" s="1659" t="s">
        <v>3341</v>
      </c>
      <c r="H147" s="1639" t="s">
        <v>3257</v>
      </c>
      <c r="I147" s="1515" t="s">
        <v>3361</v>
      </c>
    </row>
    <row r="148" spans="2:9" ht="15">
      <c r="B148" s="1603" t="s">
        <v>3256</v>
      </c>
      <c r="C148" s="2869" t="s">
        <v>974</v>
      </c>
      <c r="D148" s="2890" t="s">
        <v>974</v>
      </c>
      <c r="E148" s="2890" t="s">
        <v>974</v>
      </c>
      <c r="F148" s="2870" t="s">
        <v>974</v>
      </c>
      <c r="G148" s="1659" t="s">
        <v>3341</v>
      </c>
      <c r="H148" s="1639" t="s">
        <v>3257</v>
      </c>
      <c r="I148" s="1515" t="s">
        <v>3361</v>
      </c>
    </row>
    <row r="149" spans="2:9" ht="15">
      <c r="B149" s="1603" t="s">
        <v>3256</v>
      </c>
      <c r="C149" s="2869" t="s">
        <v>974</v>
      </c>
      <c r="D149" s="2890" t="s">
        <v>974</v>
      </c>
      <c r="E149" s="2890" t="s">
        <v>974</v>
      </c>
      <c r="F149" s="2870" t="s">
        <v>974</v>
      </c>
      <c r="G149" s="1659" t="s">
        <v>3341</v>
      </c>
      <c r="H149" s="1639" t="s">
        <v>3257</v>
      </c>
      <c r="I149" s="1515" t="s">
        <v>3361</v>
      </c>
    </row>
    <row r="150" spans="2:9" ht="15.75" thickBot="1">
      <c r="B150" s="1603" t="s">
        <v>3256</v>
      </c>
      <c r="C150" s="2869" t="s">
        <v>974</v>
      </c>
      <c r="D150" s="2890" t="s">
        <v>974</v>
      </c>
      <c r="E150" s="2890" t="s">
        <v>974</v>
      </c>
      <c r="F150" s="2870" t="s">
        <v>974</v>
      </c>
      <c r="G150" s="1659" t="s">
        <v>3341</v>
      </c>
      <c r="H150" s="1639" t="s">
        <v>3257</v>
      </c>
      <c r="I150" s="1516" t="s">
        <v>3361</v>
      </c>
    </row>
    <row r="151" spans="2:9" ht="15.75" thickBot="1">
      <c r="B151" s="1602" t="s">
        <v>3297</v>
      </c>
      <c r="C151" s="1524"/>
      <c r="D151" s="1525"/>
      <c r="E151" s="1525"/>
      <c r="F151" s="1473"/>
      <c r="G151" s="1667"/>
      <c r="H151" s="1667"/>
      <c r="I151" s="1469"/>
    </row>
    <row r="152" spans="2:9" ht="15">
      <c r="B152" s="1603" t="s">
        <v>3256</v>
      </c>
      <c r="C152" s="2891" t="s">
        <v>974</v>
      </c>
      <c r="D152" s="2892" t="s">
        <v>974</v>
      </c>
      <c r="E152" s="2892" t="s">
        <v>974</v>
      </c>
      <c r="F152" s="2893" t="s">
        <v>974</v>
      </c>
      <c r="G152" s="1659" t="s">
        <v>3341</v>
      </c>
      <c r="H152" s="1650" t="s">
        <v>3298</v>
      </c>
      <c r="I152" s="2707" t="s">
        <v>3361</v>
      </c>
    </row>
    <row r="153" spans="2:9" ht="15">
      <c r="B153" s="1603" t="s">
        <v>3256</v>
      </c>
      <c r="C153" s="2894" t="s">
        <v>974</v>
      </c>
      <c r="D153" s="2895" t="s">
        <v>974</v>
      </c>
      <c r="E153" s="2895" t="s">
        <v>974</v>
      </c>
      <c r="F153" s="2896" t="s">
        <v>974</v>
      </c>
      <c r="G153" s="1659" t="s">
        <v>3341</v>
      </c>
      <c r="H153" s="1651" t="s">
        <v>3298</v>
      </c>
      <c r="I153" s="2707" t="s">
        <v>3361</v>
      </c>
    </row>
    <row r="154" spans="2:9" ht="15">
      <c r="B154" s="1603" t="s">
        <v>3256</v>
      </c>
      <c r="C154" s="2894" t="s">
        <v>974</v>
      </c>
      <c r="D154" s="2895" t="s">
        <v>974</v>
      </c>
      <c r="E154" s="2895" t="s">
        <v>974</v>
      </c>
      <c r="F154" s="2896" t="s">
        <v>974</v>
      </c>
      <c r="G154" s="1659" t="s">
        <v>3341</v>
      </c>
      <c r="H154" s="1651" t="s">
        <v>3298</v>
      </c>
      <c r="I154" s="2707" t="s">
        <v>3361</v>
      </c>
    </row>
    <row r="155" spans="2:9" ht="15">
      <c r="B155" s="1603" t="s">
        <v>3256</v>
      </c>
      <c r="C155" s="2894" t="s">
        <v>974</v>
      </c>
      <c r="D155" s="2895" t="s">
        <v>974</v>
      </c>
      <c r="E155" s="2895" t="s">
        <v>974</v>
      </c>
      <c r="F155" s="2896" t="s">
        <v>974</v>
      </c>
      <c r="G155" s="1659" t="s">
        <v>3341</v>
      </c>
      <c r="H155" s="1651" t="s">
        <v>3298</v>
      </c>
      <c r="I155" s="2707" t="s">
        <v>3361</v>
      </c>
    </row>
    <row r="156" spans="2:9" ht="15">
      <c r="B156" s="1603" t="s">
        <v>3256</v>
      </c>
      <c r="C156" s="2894" t="s">
        <v>974</v>
      </c>
      <c r="D156" s="2895" t="s">
        <v>974</v>
      </c>
      <c r="E156" s="2895" t="s">
        <v>974</v>
      </c>
      <c r="F156" s="2896" t="s">
        <v>974</v>
      </c>
      <c r="G156" s="1659" t="s">
        <v>3341</v>
      </c>
      <c r="H156" s="1651" t="s">
        <v>3298</v>
      </c>
      <c r="I156" s="2707" t="s">
        <v>3361</v>
      </c>
    </row>
    <row r="157" spans="2:9" ht="15">
      <c r="B157" s="1603" t="s">
        <v>3256</v>
      </c>
      <c r="C157" s="2894" t="s">
        <v>974</v>
      </c>
      <c r="D157" s="2895" t="s">
        <v>974</v>
      </c>
      <c r="E157" s="2895" t="s">
        <v>974</v>
      </c>
      <c r="F157" s="2896" t="s">
        <v>974</v>
      </c>
      <c r="G157" s="1659" t="s">
        <v>3341</v>
      </c>
      <c r="H157" s="1651" t="s">
        <v>3298</v>
      </c>
      <c r="I157" s="2707" t="s">
        <v>3361</v>
      </c>
    </row>
    <row r="158" spans="2:9" ht="15.75" thickBot="1">
      <c r="B158" s="1604" t="s">
        <v>3256</v>
      </c>
      <c r="C158" s="2897" t="s">
        <v>974</v>
      </c>
      <c r="D158" s="2898" t="s">
        <v>974</v>
      </c>
      <c r="E158" s="2898" t="s">
        <v>974</v>
      </c>
      <c r="F158" s="2899" t="s">
        <v>974</v>
      </c>
      <c r="G158" s="1666" t="s">
        <v>3341</v>
      </c>
      <c r="H158" s="1647" t="s">
        <v>3298</v>
      </c>
      <c r="I158" s="2707" t="s">
        <v>3361</v>
      </c>
    </row>
    <row r="159" spans="2:9" ht="13.5" thickBot="1">
      <c r="B159" s="1424"/>
      <c r="C159" s="1405"/>
      <c r="D159" s="1405"/>
      <c r="E159" s="1405"/>
      <c r="F159" s="1405"/>
      <c r="G159" s="1423"/>
      <c r="H159" s="1423"/>
      <c r="I159" s="1412"/>
    </row>
    <row r="160" spans="2:9" ht="45.75" thickBot="1">
      <c r="B160" s="1619" t="s">
        <v>3299</v>
      </c>
      <c r="C160" s="1470" t="s">
        <v>3323</v>
      </c>
      <c r="D160" s="1470" t="s">
        <v>3324</v>
      </c>
      <c r="E160" s="1470" t="s">
        <v>3325</v>
      </c>
      <c r="F160" s="1470" t="s">
        <v>3326</v>
      </c>
      <c r="G160" s="1632" t="s">
        <v>3327</v>
      </c>
      <c r="H160" s="1632" t="s">
        <v>1667</v>
      </c>
      <c r="I160" s="1526" t="s">
        <v>3328</v>
      </c>
    </row>
    <row r="161" spans="2:9" ht="112.5" customHeight="1" thickBot="1">
      <c r="B161" s="1606" t="s">
        <v>3300</v>
      </c>
      <c r="C161" s="2814">
        <v>86089.522884999998</v>
      </c>
      <c r="D161" s="2814">
        <v>113376.34765</v>
      </c>
      <c r="E161" s="2814">
        <v>85974.980307999998</v>
      </c>
      <c r="F161" s="2814">
        <v>113249.07811999999</v>
      </c>
      <c r="G161" s="1659" t="s">
        <v>3362</v>
      </c>
      <c r="H161" s="1674" t="s">
        <v>3301</v>
      </c>
      <c r="I161" s="1520" t="s">
        <v>3363</v>
      </c>
    </row>
    <row r="162" spans="2:9" ht="162.75" customHeight="1" thickBot="1">
      <c r="B162" s="1606" t="s">
        <v>3300</v>
      </c>
      <c r="C162" s="2814">
        <v>172179045.77000001</v>
      </c>
      <c r="D162" s="2814">
        <v>204077425.77000001</v>
      </c>
      <c r="E162" s="2814">
        <v>171949960.616</v>
      </c>
      <c r="F162" s="2814">
        <v>203848340.616</v>
      </c>
      <c r="G162" s="1659" t="s">
        <v>3364</v>
      </c>
      <c r="H162" s="1678" t="s">
        <v>3303</v>
      </c>
      <c r="I162" s="1520" t="s">
        <v>3365</v>
      </c>
    </row>
    <row r="163" spans="2:9" ht="30.75" thickBot="1">
      <c r="B163" s="1619" t="s">
        <v>3305</v>
      </c>
      <c r="C163" s="1527"/>
      <c r="D163" s="1522"/>
      <c r="E163" s="1522"/>
      <c r="F163" s="1473"/>
      <c r="G163" s="1667"/>
      <c r="H163" s="1673"/>
      <c r="I163" s="1469"/>
    </row>
    <row r="164" spans="2:9" ht="42.75">
      <c r="B164" s="1622" t="s">
        <v>3306</v>
      </c>
      <c r="C164" s="2815">
        <v>99.334747288859944</v>
      </c>
      <c r="D164" s="2816">
        <v>99.438729802829371</v>
      </c>
      <c r="E164" s="2816">
        <v>99.467088789833241</v>
      </c>
      <c r="F164" s="2788">
        <v>99.550479237048989</v>
      </c>
      <c r="G164" s="1659" t="s">
        <v>3364</v>
      </c>
      <c r="H164" s="1677" t="s">
        <v>627</v>
      </c>
      <c r="I164" s="3032" t="s">
        <v>3366</v>
      </c>
    </row>
    <row r="165" spans="2:9" ht="42.75">
      <c r="B165" s="1606" t="s">
        <v>3308</v>
      </c>
      <c r="C165" s="2817">
        <v>0.66525271114005591</v>
      </c>
      <c r="D165" s="2818">
        <v>0.56127019717062865</v>
      </c>
      <c r="E165" s="2818">
        <v>0.53291121016675902</v>
      </c>
      <c r="F165" s="2790">
        <v>0.44952076295101051</v>
      </c>
      <c r="G165" s="1659" t="s">
        <v>3364</v>
      </c>
      <c r="H165" s="1678" t="s">
        <v>627</v>
      </c>
      <c r="I165" s="3034"/>
    </row>
    <row r="166" spans="2:9" ht="15">
      <c r="B166" s="1603" t="s">
        <v>3256</v>
      </c>
      <c r="C166" s="2819"/>
      <c r="D166" s="2820"/>
      <c r="E166" s="2820"/>
      <c r="F166" s="2792"/>
      <c r="G166" s="1659" t="s">
        <v>3341</v>
      </c>
      <c r="H166" s="1678" t="s">
        <v>627</v>
      </c>
      <c r="I166" s="1515"/>
    </row>
    <row r="167" spans="2:9" ht="15">
      <c r="B167" s="1603" t="s">
        <v>3256</v>
      </c>
      <c r="C167" s="2819"/>
      <c r="D167" s="2820"/>
      <c r="E167" s="2820"/>
      <c r="F167" s="2792"/>
      <c r="G167" s="1659" t="s">
        <v>3341</v>
      </c>
      <c r="H167" s="1678" t="s">
        <v>627</v>
      </c>
      <c r="I167" s="1515"/>
    </row>
    <row r="168" spans="2:9" ht="15.75" thickBot="1">
      <c r="B168" s="1603" t="s">
        <v>3256</v>
      </c>
      <c r="C168" s="2821"/>
      <c r="D168" s="2822"/>
      <c r="E168" s="2822"/>
      <c r="F168" s="2794"/>
      <c r="G168" s="1659" t="s">
        <v>3341</v>
      </c>
      <c r="H168" s="1678" t="s">
        <v>627</v>
      </c>
      <c r="I168" s="1516"/>
    </row>
    <row r="169" spans="2:9" ht="15.75" thickBot="1">
      <c r="B169" s="1619" t="s">
        <v>3310</v>
      </c>
      <c r="C169" s="1527"/>
      <c r="D169" s="1522"/>
      <c r="E169" s="1522"/>
      <c r="F169" s="1474"/>
      <c r="G169" s="1669"/>
      <c r="H169" s="1673"/>
      <c r="I169" s="1469"/>
    </row>
    <row r="170" spans="2:9" ht="26.25">
      <c r="B170" s="1623" t="s">
        <v>3367</v>
      </c>
      <c r="C170" s="2823">
        <v>0</v>
      </c>
      <c r="D170" s="2824">
        <v>0</v>
      </c>
      <c r="E170" s="2824">
        <v>0</v>
      </c>
      <c r="F170" s="2825">
        <v>0</v>
      </c>
      <c r="G170" s="3035" t="s">
        <v>3368</v>
      </c>
      <c r="H170" s="1677" t="s">
        <v>627</v>
      </c>
      <c r="I170" s="2707" t="s">
        <v>3369</v>
      </c>
    </row>
    <row r="171" spans="2:9" ht="128.25">
      <c r="B171" s="1623" t="s">
        <v>3314</v>
      </c>
      <c r="C171" s="2826">
        <v>99.575383591696394</v>
      </c>
      <c r="D171" s="2827">
        <v>99.579231266388192</v>
      </c>
      <c r="E171" s="2827">
        <v>99.89202721376553</v>
      </c>
      <c r="F171" s="2828">
        <v>99.900445025555328</v>
      </c>
      <c r="G171" s="3036"/>
      <c r="H171" s="1678" t="s">
        <v>627</v>
      </c>
      <c r="I171" s="2708" t="s">
        <v>3370</v>
      </c>
    </row>
    <row r="172" spans="2:9" ht="129" thickBot="1">
      <c r="B172" s="1624" t="s">
        <v>3316</v>
      </c>
      <c r="C172" s="2829">
        <v>0.42461640830360836</v>
      </c>
      <c r="D172" s="2830">
        <v>0.42076873361180483</v>
      </c>
      <c r="E172" s="2830">
        <v>0.10797278623446477</v>
      </c>
      <c r="F172" s="2831">
        <v>9.9554974444678507E-2</v>
      </c>
      <c r="G172" s="3037"/>
      <c r="H172" s="1676" t="s">
        <v>627</v>
      </c>
      <c r="I172" s="2713" t="s">
        <v>3370</v>
      </c>
    </row>
    <row r="173" spans="2:9" ht="13.5" thickBot="1">
      <c r="B173" s="1424"/>
      <c r="C173" s="1405"/>
      <c r="D173" s="1405"/>
      <c r="E173" s="1405"/>
      <c r="F173" s="1405"/>
      <c r="G173" s="1423"/>
      <c r="H173" s="1423"/>
      <c r="I173" s="1412"/>
    </row>
    <row r="174" spans="2:9" ht="45.75" thickBot="1">
      <c r="B174" s="1625" t="s">
        <v>3317</v>
      </c>
      <c r="C174" s="1470" t="s">
        <v>3323</v>
      </c>
      <c r="D174" s="1470" t="s">
        <v>3324</v>
      </c>
      <c r="E174" s="1470" t="s">
        <v>3325</v>
      </c>
      <c r="F174" s="1470" t="s">
        <v>3326</v>
      </c>
      <c r="G174" s="1632" t="s">
        <v>3327</v>
      </c>
      <c r="H174" s="1632" t="s">
        <v>1667</v>
      </c>
      <c r="I174" s="1526" t="s">
        <v>3328</v>
      </c>
    </row>
    <row r="175" spans="2:9" ht="102">
      <c r="B175" s="1611" t="s">
        <v>3318</v>
      </c>
      <c r="C175" s="2900">
        <v>0</v>
      </c>
      <c r="D175" s="2900">
        <v>0</v>
      </c>
      <c r="E175" s="2900" t="s">
        <v>3371</v>
      </c>
      <c r="F175" s="2901" t="s">
        <v>3372</v>
      </c>
      <c r="G175" s="2902" t="s">
        <v>3373</v>
      </c>
      <c r="H175" s="1677" t="s">
        <v>627</v>
      </c>
      <c r="I175" s="2707" t="s">
        <v>3374</v>
      </c>
    </row>
    <row r="176" spans="2:9" ht="51">
      <c r="B176" s="1611" t="s">
        <v>3375</v>
      </c>
      <c r="C176" s="2875" t="s">
        <v>974</v>
      </c>
      <c r="D176" s="2875" t="s">
        <v>974</v>
      </c>
      <c r="E176" s="2875" t="s">
        <v>974</v>
      </c>
      <c r="F176" s="2864" t="s">
        <v>974</v>
      </c>
      <c r="G176" s="2903" t="s">
        <v>3376</v>
      </c>
      <c r="H176" s="1639" t="s">
        <v>3257</v>
      </c>
      <c r="I176" s="2708" t="s">
        <v>3377</v>
      </c>
    </row>
    <row r="177" spans="2:14" ht="51.75" thickBot="1">
      <c r="B177" s="1612" t="s">
        <v>3321</v>
      </c>
      <c r="C177" s="2876" t="s">
        <v>974</v>
      </c>
      <c r="D177" s="2876" t="s">
        <v>974</v>
      </c>
      <c r="E177" s="2876" t="s">
        <v>974</v>
      </c>
      <c r="F177" s="2866" t="s">
        <v>974</v>
      </c>
      <c r="G177" s="2904" t="s">
        <v>3376</v>
      </c>
      <c r="H177" s="1641" t="s">
        <v>3257</v>
      </c>
      <c r="I177" s="2713" t="s">
        <v>3377</v>
      </c>
    </row>
    <row r="178" spans="2:14">
      <c r="B178" s="1419"/>
    </row>
    <row r="179" spans="2:14" ht="13.5" thickBot="1">
      <c r="B179" s="1419"/>
    </row>
    <row r="180" spans="2:14" ht="18.75" thickBot="1">
      <c r="B180" s="1626" t="s">
        <v>3378</v>
      </c>
      <c r="C180" s="1679"/>
      <c r="D180" s="1679"/>
      <c r="E180" s="1679"/>
      <c r="F180" s="1679"/>
      <c r="G180" s="1679"/>
      <c r="H180" s="1679"/>
      <c r="I180" s="1679"/>
      <c r="J180" s="1679"/>
      <c r="K180" s="1679"/>
      <c r="L180" s="1679"/>
      <c r="M180" s="1679"/>
      <c r="N180" s="1680"/>
    </row>
    <row r="181" spans="2:14" ht="15.75" thickBot="1">
      <c r="B181" s="1627" t="s">
        <v>3379</v>
      </c>
      <c r="C181" s="1627" t="s">
        <v>951</v>
      </c>
      <c r="D181" s="1627" t="s">
        <v>3380</v>
      </c>
      <c r="E181" s="1627" t="s">
        <v>3381</v>
      </c>
      <c r="F181" s="3022" t="s">
        <v>3382</v>
      </c>
      <c r="G181" s="3023"/>
      <c r="H181" s="3023"/>
      <c r="I181" s="1627" t="s">
        <v>3328</v>
      </c>
      <c r="J181" s="3024" t="s">
        <v>3383</v>
      </c>
      <c r="K181" s="3025"/>
      <c r="L181" s="3025"/>
      <c r="M181" s="3025"/>
      <c r="N181" s="3026"/>
    </row>
    <row r="182" spans="2:14" ht="15" thickBot="1">
      <c r="B182" s="1628"/>
      <c r="C182" s="1628"/>
      <c r="D182" s="1628"/>
      <c r="E182" s="1628"/>
      <c r="F182" s="1681" t="s">
        <v>1667</v>
      </c>
      <c r="G182" s="1681" t="s">
        <v>469</v>
      </c>
      <c r="H182" s="1681" t="s">
        <v>477</v>
      </c>
      <c r="I182" s="1628"/>
      <c r="J182" s="1605" t="s">
        <v>469</v>
      </c>
      <c r="K182" s="1682" t="s">
        <v>471</v>
      </c>
      <c r="L182" s="1683" t="s">
        <v>473</v>
      </c>
      <c r="M182" s="1683" t="s">
        <v>475</v>
      </c>
      <c r="N182" s="1683" t="s">
        <v>477</v>
      </c>
    </row>
    <row r="183" spans="2:14" ht="29.25" thickBot="1">
      <c r="B183" s="1628" t="s">
        <v>3379</v>
      </c>
      <c r="C183" s="1628" t="s">
        <v>3384</v>
      </c>
      <c r="D183" s="1628" t="s">
        <v>3385</v>
      </c>
      <c r="E183" s="1628" t="s">
        <v>3386</v>
      </c>
      <c r="F183" s="1628"/>
      <c r="G183" s="1628" t="s">
        <v>3387</v>
      </c>
      <c r="H183" s="1628" t="s">
        <v>3388</v>
      </c>
      <c r="I183" s="1684"/>
      <c r="J183" s="1685"/>
      <c r="K183" s="1686"/>
      <c r="L183" s="1687"/>
      <c r="M183" s="1687"/>
      <c r="N183" s="1688"/>
    </row>
    <row r="184" spans="2:14" ht="105">
      <c r="B184" s="1629">
        <v>1</v>
      </c>
      <c r="C184" s="1532" t="s">
        <v>3389</v>
      </c>
      <c r="D184" s="1532" t="s">
        <v>3390</v>
      </c>
      <c r="E184" s="1532" t="s">
        <v>3391</v>
      </c>
      <c r="F184" s="3040" t="s">
        <v>3392</v>
      </c>
      <c r="G184" s="3042">
        <v>272.5</v>
      </c>
      <c r="H184" s="3042">
        <v>219</v>
      </c>
      <c r="I184" s="2708" t="s">
        <v>3393</v>
      </c>
      <c r="J184" s="1533">
        <v>110.94681075995865</v>
      </c>
      <c r="K184" s="1534">
        <v>110.27429496613777</v>
      </c>
      <c r="L184" s="1534">
        <v>109.60807451661256</v>
      </c>
      <c r="M184" s="1534">
        <v>108.94804490880485</v>
      </c>
      <c r="N184" s="1518">
        <v>108.29410398099324</v>
      </c>
    </row>
    <row r="185" spans="2:14" ht="15">
      <c r="B185" s="1630">
        <v>2</v>
      </c>
      <c r="C185" s="1530" t="s">
        <v>3394</v>
      </c>
      <c r="D185" s="3038" t="s">
        <v>3395</v>
      </c>
      <c r="E185" s="1530" t="s">
        <v>1654</v>
      </c>
      <c r="F185" s="3041"/>
      <c r="G185" s="3043"/>
      <c r="H185" s="3043"/>
      <c r="I185" s="3038" t="s">
        <v>3396</v>
      </c>
      <c r="J185" s="1529">
        <v>2.6110000000000002</v>
      </c>
      <c r="K185" s="1528">
        <v>2.2789999999999999</v>
      </c>
      <c r="L185" s="1528">
        <v>1.159</v>
      </c>
      <c r="M185" s="1528">
        <v>0.996</v>
      </c>
      <c r="N185" s="1521">
        <v>0.86</v>
      </c>
    </row>
    <row r="186" spans="2:14" ht="141.75" customHeight="1">
      <c r="B186" s="1630">
        <v>3</v>
      </c>
      <c r="C186" s="1530" t="s">
        <v>3397</v>
      </c>
      <c r="D186" s="3039"/>
      <c r="E186" s="1530" t="s">
        <v>1654</v>
      </c>
      <c r="F186" s="3039"/>
      <c r="G186" s="3044"/>
      <c r="H186" s="3044"/>
      <c r="I186" s="3039"/>
      <c r="J186" s="1529">
        <v>0.08</v>
      </c>
      <c r="K186" s="1528">
        <v>0.08</v>
      </c>
      <c r="L186" s="1528">
        <v>0.08</v>
      </c>
      <c r="M186" s="1528">
        <v>0.08</v>
      </c>
      <c r="N186" s="1521">
        <v>0.08</v>
      </c>
    </row>
    <row r="187" spans="2:14" ht="75">
      <c r="B187" s="1630">
        <v>4</v>
      </c>
      <c r="C187" s="1530" t="s">
        <v>3398</v>
      </c>
      <c r="D187" s="1530" t="s">
        <v>3399</v>
      </c>
      <c r="E187" s="1530" t="s">
        <v>1654</v>
      </c>
      <c r="F187" s="1530" t="s">
        <v>3400</v>
      </c>
      <c r="G187" s="1530">
        <v>165</v>
      </c>
      <c r="H187" s="1530">
        <v>0</v>
      </c>
      <c r="I187" s="1530" t="s">
        <v>3401</v>
      </c>
      <c r="J187" s="1529">
        <v>0</v>
      </c>
      <c r="K187" s="1528">
        <v>0</v>
      </c>
      <c r="L187" s="1528">
        <v>0</v>
      </c>
      <c r="M187" s="1528">
        <v>0</v>
      </c>
      <c r="N187" s="1521">
        <v>0</v>
      </c>
    </row>
    <row r="188" spans="2:14" ht="60">
      <c r="B188" s="1630">
        <v>5</v>
      </c>
      <c r="C188" s="1530" t="s">
        <v>3402</v>
      </c>
      <c r="D188" s="1530" t="s">
        <v>3403</v>
      </c>
      <c r="E188" s="1530" t="s">
        <v>1654</v>
      </c>
      <c r="F188" s="1530" t="s">
        <v>3404</v>
      </c>
      <c r="G188" s="1530">
        <v>220</v>
      </c>
      <c r="H188" s="1530">
        <v>0</v>
      </c>
      <c r="I188" s="1530" t="s">
        <v>3405</v>
      </c>
      <c r="J188" s="1529">
        <v>0</v>
      </c>
      <c r="K188" s="1528">
        <v>0</v>
      </c>
      <c r="L188" s="1528">
        <v>0</v>
      </c>
      <c r="M188" s="1528">
        <v>0</v>
      </c>
      <c r="N188" s="1521">
        <v>0</v>
      </c>
    </row>
    <row r="189" spans="2:14" ht="60">
      <c r="B189" s="1630">
        <v>6</v>
      </c>
      <c r="C189" s="1530" t="s">
        <v>3406</v>
      </c>
      <c r="D189" s="1530" t="s">
        <v>3407</v>
      </c>
      <c r="E189" s="1530" t="s">
        <v>1654</v>
      </c>
      <c r="F189" s="1530" t="s">
        <v>3408</v>
      </c>
      <c r="G189" s="1530">
        <v>310</v>
      </c>
      <c r="H189" s="1530">
        <v>680</v>
      </c>
      <c r="I189" s="1530" t="s">
        <v>3409</v>
      </c>
      <c r="J189" s="1529">
        <v>0.11700000000000001</v>
      </c>
      <c r="K189" s="1528">
        <v>0.11700000000000001</v>
      </c>
      <c r="L189" s="1528">
        <v>0.11700000000000001</v>
      </c>
      <c r="M189" s="1528">
        <v>0.11700000000000001</v>
      </c>
      <c r="N189" s="1521">
        <v>0.11700000000000001</v>
      </c>
    </row>
    <row r="190" spans="2:14" ht="60">
      <c r="B190" s="1630">
        <v>7</v>
      </c>
      <c r="C190" s="1530" t="s">
        <v>3410</v>
      </c>
      <c r="D190" s="1530" t="s">
        <v>3411</v>
      </c>
      <c r="E190" s="1530" t="s">
        <v>1654</v>
      </c>
      <c r="F190" s="1530" t="s">
        <v>3412</v>
      </c>
      <c r="G190" s="1530">
        <v>3521</v>
      </c>
      <c r="H190" s="1530">
        <v>2971</v>
      </c>
      <c r="I190" s="1530" t="s">
        <v>3413</v>
      </c>
      <c r="J190" s="1529">
        <v>4.4720000000000004</v>
      </c>
      <c r="K190" s="1528">
        <v>5.5209999999999999</v>
      </c>
      <c r="L190" s="1528">
        <v>4.0659999999999998</v>
      </c>
      <c r="M190" s="1528">
        <v>3.573</v>
      </c>
      <c r="N190" s="1521">
        <v>1.8460000000000001</v>
      </c>
    </row>
    <row r="191" spans="2:14" ht="60">
      <c r="B191" s="1630">
        <v>8</v>
      </c>
      <c r="C191" s="1530" t="s">
        <v>3414</v>
      </c>
      <c r="D191" s="1530" t="s">
        <v>3415</v>
      </c>
      <c r="E191" s="1530" t="s">
        <v>3416</v>
      </c>
      <c r="F191" s="1530" t="s">
        <v>3417</v>
      </c>
      <c r="G191" s="1530">
        <v>979</v>
      </c>
      <c r="H191" s="1530">
        <v>609</v>
      </c>
      <c r="I191" s="1530" t="s">
        <v>3418</v>
      </c>
      <c r="J191" s="1529">
        <v>0</v>
      </c>
      <c r="K191" s="1528">
        <v>0</v>
      </c>
      <c r="L191" s="1528">
        <v>0</v>
      </c>
      <c r="M191" s="1528">
        <v>0</v>
      </c>
      <c r="N191" s="1521">
        <v>0</v>
      </c>
    </row>
    <row r="192" spans="2:14" ht="60">
      <c r="B192" s="1630">
        <v>9</v>
      </c>
      <c r="C192" s="1530" t="s">
        <v>3419</v>
      </c>
      <c r="D192" s="1530" t="s">
        <v>3420</v>
      </c>
      <c r="E192" s="1530" t="s">
        <v>1654</v>
      </c>
      <c r="F192" s="1530" t="s">
        <v>3421</v>
      </c>
      <c r="G192" s="1530">
        <v>5612</v>
      </c>
      <c r="H192" s="1530">
        <v>5494</v>
      </c>
      <c r="I192" s="1530" t="s">
        <v>3422</v>
      </c>
      <c r="J192" s="1529">
        <v>0</v>
      </c>
      <c r="K192" s="1528">
        <v>0</v>
      </c>
      <c r="L192" s="1528">
        <v>0</v>
      </c>
      <c r="M192" s="1528">
        <v>0</v>
      </c>
      <c r="N192" s="1521">
        <v>0</v>
      </c>
    </row>
    <row r="193" spans="2:14" ht="60">
      <c r="B193" s="1630">
        <v>10</v>
      </c>
      <c r="C193" s="1530" t="s">
        <v>3423</v>
      </c>
      <c r="D193" s="1530" t="s">
        <v>3424</v>
      </c>
      <c r="E193" s="1530" t="s">
        <v>1654</v>
      </c>
      <c r="F193" s="1530" t="s">
        <v>3425</v>
      </c>
      <c r="G193" s="1530">
        <v>6932</v>
      </c>
      <c r="H193" s="1530">
        <v>6186</v>
      </c>
      <c r="I193" s="1530" t="s">
        <v>3426</v>
      </c>
      <c r="J193" s="1529">
        <v>0</v>
      </c>
      <c r="K193" s="1528">
        <v>0</v>
      </c>
      <c r="L193" s="1528">
        <v>0</v>
      </c>
      <c r="M193" s="1528">
        <v>0</v>
      </c>
      <c r="N193" s="1521">
        <v>0</v>
      </c>
    </row>
    <row r="194" spans="2:14" ht="45">
      <c r="B194" s="1630">
        <v>11</v>
      </c>
      <c r="C194" s="1530" t="s">
        <v>3427</v>
      </c>
      <c r="D194" s="1530" t="s">
        <v>3428</v>
      </c>
      <c r="E194" s="1530" t="s">
        <v>1654</v>
      </c>
      <c r="F194" s="1530" t="s">
        <v>3429</v>
      </c>
      <c r="G194" s="1530" t="s">
        <v>129</v>
      </c>
      <c r="H194" s="1530" t="s">
        <v>129</v>
      </c>
      <c r="I194" s="1530" t="s">
        <v>3430</v>
      </c>
      <c r="J194" s="1529">
        <v>0</v>
      </c>
      <c r="K194" s="1528">
        <v>0</v>
      </c>
      <c r="L194" s="1528">
        <v>0</v>
      </c>
      <c r="M194" s="1528">
        <v>0</v>
      </c>
      <c r="N194" s="1521">
        <v>0</v>
      </c>
    </row>
    <row r="195" spans="2:14" ht="150">
      <c r="B195" s="1630">
        <v>12</v>
      </c>
      <c r="C195" s="1530" t="s">
        <v>3431</v>
      </c>
      <c r="D195" s="1530" t="s">
        <v>3432</v>
      </c>
      <c r="E195" s="1530" t="s">
        <v>1654</v>
      </c>
      <c r="F195" s="1530" t="s">
        <v>3433</v>
      </c>
      <c r="G195" s="1530">
        <v>0.24</v>
      </c>
      <c r="H195" s="1530">
        <v>0.1</v>
      </c>
      <c r="I195" s="1530" t="s">
        <v>3434</v>
      </c>
      <c r="J195" s="1529">
        <v>0</v>
      </c>
      <c r="K195" s="1528">
        <v>0</v>
      </c>
      <c r="L195" s="1528">
        <v>0</v>
      </c>
      <c r="M195" s="1528">
        <v>0</v>
      </c>
      <c r="N195" s="1521">
        <v>0</v>
      </c>
    </row>
    <row r="196" spans="2:14" ht="90">
      <c r="B196" s="1630">
        <v>13</v>
      </c>
      <c r="C196" s="1530" t="s">
        <v>3435</v>
      </c>
      <c r="D196" s="1530" t="s">
        <v>3436</v>
      </c>
      <c r="E196" s="1530" t="s">
        <v>1654</v>
      </c>
      <c r="F196" s="1530" t="s">
        <v>3437</v>
      </c>
      <c r="G196" s="1530">
        <v>1031</v>
      </c>
      <c r="H196" s="1530">
        <v>916</v>
      </c>
      <c r="I196" s="1530" t="s">
        <v>3438</v>
      </c>
      <c r="J196" s="1529">
        <v>0</v>
      </c>
      <c r="K196" s="1528">
        <v>0</v>
      </c>
      <c r="L196" s="1528">
        <v>0</v>
      </c>
      <c r="M196" s="1528">
        <v>0</v>
      </c>
      <c r="N196" s="1521">
        <v>0</v>
      </c>
    </row>
    <row r="197" spans="2:14" ht="90">
      <c r="B197" s="1630">
        <v>14</v>
      </c>
      <c r="C197" s="1530" t="s">
        <v>3439</v>
      </c>
      <c r="D197" s="1530" t="s">
        <v>3440</v>
      </c>
      <c r="E197" s="1530" t="s">
        <v>1654</v>
      </c>
      <c r="F197" s="1530" t="s">
        <v>3441</v>
      </c>
      <c r="G197" s="1530">
        <v>21</v>
      </c>
      <c r="H197" s="1530">
        <v>0</v>
      </c>
      <c r="I197" s="1530" t="s">
        <v>3438</v>
      </c>
      <c r="J197" s="1529">
        <v>0</v>
      </c>
      <c r="K197" s="1528">
        <v>0</v>
      </c>
      <c r="L197" s="1528">
        <v>0</v>
      </c>
      <c r="M197" s="1528">
        <v>0</v>
      </c>
      <c r="N197" s="1521">
        <v>0</v>
      </c>
    </row>
    <row r="198" spans="2:14" ht="75">
      <c r="B198" s="1630">
        <v>15</v>
      </c>
      <c r="C198" s="1530" t="s">
        <v>3442</v>
      </c>
      <c r="D198" s="1530" t="s">
        <v>3443</v>
      </c>
      <c r="E198" s="1530" t="s">
        <v>1654</v>
      </c>
      <c r="F198" s="1530" t="s">
        <v>3444</v>
      </c>
      <c r="G198" s="1530">
        <v>12</v>
      </c>
      <c r="H198" s="1530">
        <v>8</v>
      </c>
      <c r="I198" s="1530" t="s">
        <v>3445</v>
      </c>
      <c r="J198" s="1529">
        <v>0</v>
      </c>
      <c r="K198" s="1528">
        <v>0</v>
      </c>
      <c r="L198" s="1528">
        <v>0</v>
      </c>
      <c r="M198" s="1528">
        <v>0</v>
      </c>
      <c r="N198" s="1521">
        <v>0</v>
      </c>
    </row>
    <row r="199" spans="2:14" ht="75">
      <c r="B199" s="1630">
        <v>16</v>
      </c>
      <c r="C199" s="1530" t="s">
        <v>3446</v>
      </c>
      <c r="D199" s="1530" t="s">
        <v>3447</v>
      </c>
      <c r="E199" s="1530" t="s">
        <v>1654</v>
      </c>
      <c r="F199" s="1530" t="s">
        <v>3448</v>
      </c>
      <c r="G199" s="1530">
        <v>50</v>
      </c>
      <c r="H199" s="1530">
        <v>250</v>
      </c>
      <c r="I199" s="1530"/>
      <c r="J199" s="1529">
        <v>0</v>
      </c>
      <c r="K199" s="1528">
        <v>0</v>
      </c>
      <c r="L199" s="1528">
        <v>0</v>
      </c>
      <c r="M199" s="1528">
        <v>0</v>
      </c>
      <c r="N199" s="1521">
        <v>0</v>
      </c>
    </row>
    <row r="200" spans="2:14" ht="45">
      <c r="B200" s="1630">
        <v>17</v>
      </c>
      <c r="C200" s="1530" t="s">
        <v>3449</v>
      </c>
      <c r="D200" s="1530" t="s">
        <v>3428</v>
      </c>
      <c r="E200" s="1530" t="s">
        <v>1654</v>
      </c>
      <c r="F200" s="1530" t="s">
        <v>3450</v>
      </c>
      <c r="G200" s="1530">
        <v>50</v>
      </c>
      <c r="H200" s="1530">
        <v>50</v>
      </c>
      <c r="I200" s="1530" t="s">
        <v>3451</v>
      </c>
      <c r="J200" s="1529">
        <v>0</v>
      </c>
      <c r="K200" s="1528">
        <v>0</v>
      </c>
      <c r="L200" s="1528">
        <v>0</v>
      </c>
      <c r="M200" s="1528">
        <v>0</v>
      </c>
      <c r="N200" s="1521">
        <v>0</v>
      </c>
    </row>
    <row r="201" spans="2:14" ht="60">
      <c r="B201" s="1630">
        <v>18</v>
      </c>
      <c r="C201" s="1530" t="s">
        <v>3452</v>
      </c>
      <c r="D201" s="1530" t="s">
        <v>3453</v>
      </c>
      <c r="E201" s="1530" t="s">
        <v>1654</v>
      </c>
      <c r="F201" s="1530" t="s">
        <v>3454</v>
      </c>
      <c r="G201" s="1530">
        <v>198</v>
      </c>
      <c r="H201" s="1530">
        <v>190</v>
      </c>
      <c r="I201" s="1530" t="s">
        <v>3455</v>
      </c>
      <c r="J201" s="1529">
        <v>0</v>
      </c>
      <c r="K201" s="1528">
        <v>0</v>
      </c>
      <c r="L201" s="1528">
        <v>0</v>
      </c>
      <c r="M201" s="1528">
        <v>0</v>
      </c>
      <c r="N201" s="1521">
        <v>0</v>
      </c>
    </row>
    <row r="202" spans="2:14" ht="15">
      <c r="B202" s="1630"/>
      <c r="C202" s="1530"/>
      <c r="D202" s="1530"/>
      <c r="E202" s="1530"/>
      <c r="F202" s="1530"/>
      <c r="G202" s="1530"/>
      <c r="H202" s="1530"/>
      <c r="I202" s="1530"/>
      <c r="J202" s="1529"/>
      <c r="K202" s="1528"/>
      <c r="L202" s="1528"/>
      <c r="M202" s="1528"/>
      <c r="N202" s="1521"/>
    </row>
    <row r="203" spans="2:14" ht="15">
      <c r="B203" s="1630"/>
      <c r="C203" s="1530"/>
      <c r="D203" s="1530"/>
      <c r="E203" s="1530"/>
      <c r="F203" s="1530"/>
      <c r="G203" s="1530"/>
      <c r="H203" s="1530"/>
      <c r="I203" s="1530"/>
      <c r="J203" s="1529"/>
      <c r="K203" s="1528"/>
      <c r="L203" s="1528"/>
      <c r="M203" s="1528"/>
      <c r="N203" s="1521"/>
    </row>
    <row r="204" spans="2:14" ht="15">
      <c r="B204" s="1630"/>
      <c r="C204" s="1530"/>
      <c r="D204" s="1530"/>
      <c r="E204" s="1530"/>
      <c r="F204" s="1530"/>
      <c r="G204" s="1530"/>
      <c r="H204" s="1530"/>
      <c r="I204" s="1530"/>
      <c r="J204" s="1529"/>
      <c r="K204" s="1528"/>
      <c r="L204" s="1528"/>
      <c r="M204" s="1528"/>
      <c r="N204" s="1521"/>
    </row>
    <row r="205" spans="2:14" ht="15">
      <c r="B205" s="1630"/>
      <c r="C205" s="1530"/>
      <c r="D205" s="1530"/>
      <c r="E205" s="1530"/>
      <c r="F205" s="1530"/>
      <c r="G205" s="1530"/>
      <c r="H205" s="1530"/>
      <c r="I205" s="1530"/>
      <c r="J205" s="1529"/>
      <c r="K205" s="1528"/>
      <c r="L205" s="1528"/>
      <c r="M205" s="1528"/>
      <c r="N205" s="1521"/>
    </row>
    <row r="206" spans="2:14" ht="15">
      <c r="B206" s="1630"/>
      <c r="C206" s="1530"/>
      <c r="D206" s="1530"/>
      <c r="E206" s="1530"/>
      <c r="F206" s="1530"/>
      <c r="G206" s="1530"/>
      <c r="H206" s="1530"/>
      <c r="I206" s="1530"/>
      <c r="J206" s="1529"/>
      <c r="K206" s="1528"/>
      <c r="L206" s="1528"/>
      <c r="M206" s="1528"/>
      <c r="N206" s="1521"/>
    </row>
    <row r="207" spans="2:14" ht="15">
      <c r="B207" s="1630"/>
      <c r="C207" s="1530"/>
      <c r="D207" s="1530"/>
      <c r="E207" s="1530"/>
      <c r="F207" s="1530"/>
      <c r="G207" s="1530"/>
      <c r="H207" s="1530"/>
      <c r="I207" s="1530"/>
      <c r="J207" s="1529"/>
      <c r="K207" s="1528"/>
      <c r="L207" s="1528"/>
      <c r="M207" s="1528"/>
      <c r="N207" s="1521"/>
    </row>
    <row r="208" spans="2:14" ht="15">
      <c r="B208" s="1630"/>
      <c r="C208" s="1530"/>
      <c r="D208" s="1530"/>
      <c r="E208" s="1530"/>
      <c r="F208" s="1530"/>
      <c r="G208" s="1530"/>
      <c r="H208" s="1530"/>
      <c r="I208" s="1530"/>
      <c r="J208" s="1529"/>
      <c r="K208" s="1528"/>
      <c r="L208" s="1528"/>
      <c r="M208" s="1528"/>
      <c r="N208" s="1521"/>
    </row>
    <row r="209" spans="2:14" ht="15">
      <c r="B209" s="1630"/>
      <c r="C209" s="1530"/>
      <c r="D209" s="1530"/>
      <c r="E209" s="1530"/>
      <c r="F209" s="1530"/>
      <c r="G209" s="1530"/>
      <c r="H209" s="1530"/>
      <c r="I209" s="1530"/>
      <c r="J209" s="1529"/>
      <c r="K209" s="1528"/>
      <c r="L209" s="1528"/>
      <c r="M209" s="1528"/>
      <c r="N209" s="1521"/>
    </row>
    <row r="210" spans="2:14" ht="15">
      <c r="B210" s="1630"/>
      <c r="C210" s="1530"/>
      <c r="D210" s="1530"/>
      <c r="E210" s="1530"/>
      <c r="F210" s="1530"/>
      <c r="G210" s="1530"/>
      <c r="H210" s="1530"/>
      <c r="I210" s="1530"/>
      <c r="J210" s="1529"/>
      <c r="K210" s="1528"/>
      <c r="L210" s="1528"/>
      <c r="M210" s="1528"/>
      <c r="N210" s="1521"/>
    </row>
    <row r="211" spans="2:14" ht="15">
      <c r="B211" s="1630"/>
      <c r="C211" s="1530"/>
      <c r="D211" s="1530"/>
      <c r="E211" s="1530"/>
      <c r="F211" s="1530"/>
      <c r="G211" s="1530"/>
      <c r="H211" s="1530"/>
      <c r="I211" s="1530"/>
      <c r="J211" s="1529"/>
      <c r="K211" s="1528"/>
      <c r="L211" s="1528"/>
      <c r="M211" s="1528"/>
      <c r="N211" s="1521"/>
    </row>
    <row r="212" spans="2:14" ht="15">
      <c r="B212" s="1630"/>
      <c r="C212" s="1530"/>
      <c r="D212" s="1530"/>
      <c r="E212" s="1530"/>
      <c r="F212" s="1530"/>
      <c r="G212" s="1530"/>
      <c r="H212" s="1530"/>
      <c r="I212" s="1530"/>
      <c r="J212" s="1529"/>
      <c r="K212" s="1528"/>
      <c r="L212" s="1528"/>
      <c r="M212" s="1528"/>
      <c r="N212" s="1521"/>
    </row>
    <row r="213" spans="2:14" ht="15">
      <c r="B213" s="1630"/>
      <c r="C213" s="1530"/>
      <c r="D213" s="1530"/>
      <c r="E213" s="1530"/>
      <c r="F213" s="1530"/>
      <c r="G213" s="1530"/>
      <c r="H213" s="1530"/>
      <c r="I213" s="1530"/>
      <c r="J213" s="1529"/>
      <c r="K213" s="1528"/>
      <c r="L213" s="1528"/>
      <c r="M213" s="1528"/>
      <c r="N213" s="1521"/>
    </row>
    <row r="214" spans="2:14" ht="15">
      <c r="B214" s="1630"/>
      <c r="C214" s="1530"/>
      <c r="D214" s="1530"/>
      <c r="E214" s="1530"/>
      <c r="F214" s="1530"/>
      <c r="G214" s="1530"/>
      <c r="H214" s="1530"/>
      <c r="I214" s="1530"/>
      <c r="J214" s="1529"/>
      <c r="K214" s="1528"/>
      <c r="L214" s="1528"/>
      <c r="M214" s="1528"/>
      <c r="N214" s="1521"/>
    </row>
    <row r="215" spans="2:14" ht="15">
      <c r="B215" s="1630"/>
      <c r="C215" s="1530"/>
      <c r="D215" s="1530"/>
      <c r="E215" s="1530"/>
      <c r="F215" s="1530"/>
      <c r="G215" s="1530"/>
      <c r="H215" s="1530"/>
      <c r="I215" s="1530"/>
      <c r="J215" s="1529"/>
      <c r="K215" s="1528"/>
      <c r="L215" s="1528"/>
      <c r="M215" s="1528"/>
      <c r="N215" s="1521"/>
    </row>
    <row r="216" spans="2:14" ht="15">
      <c r="B216" s="1630"/>
      <c r="C216" s="1530"/>
      <c r="D216" s="1530"/>
      <c r="E216" s="1530"/>
      <c r="F216" s="1530"/>
      <c r="G216" s="1530"/>
      <c r="H216" s="1530"/>
      <c r="I216" s="1530"/>
      <c r="J216" s="1529"/>
      <c r="K216" s="1528"/>
      <c r="L216" s="1528"/>
      <c r="M216" s="1528"/>
      <c r="N216" s="1521"/>
    </row>
    <row r="217" spans="2:14" ht="15">
      <c r="B217" s="1630"/>
      <c r="C217" s="1530"/>
      <c r="D217" s="1530"/>
      <c r="E217" s="1530"/>
      <c r="F217" s="1530"/>
      <c r="G217" s="1530"/>
      <c r="H217" s="1530"/>
      <c r="I217" s="1530"/>
      <c r="J217" s="1529"/>
      <c r="K217" s="1528"/>
      <c r="L217" s="1528"/>
      <c r="M217" s="1528"/>
      <c r="N217" s="1521"/>
    </row>
    <row r="218" spans="2:14" ht="15">
      <c r="B218" s="1630"/>
      <c r="C218" s="1530"/>
      <c r="D218" s="1530"/>
      <c r="E218" s="1530"/>
      <c r="F218" s="1530"/>
      <c r="G218" s="1530"/>
      <c r="H218" s="1530"/>
      <c r="I218" s="1530"/>
      <c r="J218" s="1529"/>
      <c r="K218" s="1528"/>
      <c r="L218" s="1528"/>
      <c r="M218" s="1528"/>
      <c r="N218" s="1521"/>
    </row>
    <row r="219" spans="2:14" ht="15">
      <c r="B219" s="1630"/>
      <c r="C219" s="1530"/>
      <c r="D219" s="1530"/>
      <c r="E219" s="1530"/>
      <c r="F219" s="1530"/>
      <c r="G219" s="1530"/>
      <c r="H219" s="1530"/>
      <c r="I219" s="1530"/>
      <c r="J219" s="1529"/>
      <c r="K219" s="1528"/>
      <c r="L219" s="1528"/>
      <c r="M219" s="1528"/>
      <c r="N219" s="1521"/>
    </row>
    <row r="220" spans="2:14" ht="15">
      <c r="B220" s="1630"/>
      <c r="C220" s="1530"/>
      <c r="D220" s="1530"/>
      <c r="E220" s="1530"/>
      <c r="F220" s="1530"/>
      <c r="G220" s="1530"/>
      <c r="H220" s="1530"/>
      <c r="I220" s="1530"/>
      <c r="J220" s="1529"/>
      <c r="K220" s="1528"/>
      <c r="L220" s="1528"/>
      <c r="M220" s="1528"/>
      <c r="N220" s="1521"/>
    </row>
    <row r="221" spans="2:14" ht="15">
      <c r="B221" s="1630"/>
      <c r="C221" s="1530"/>
      <c r="D221" s="1530"/>
      <c r="E221" s="1530"/>
      <c r="F221" s="1530"/>
      <c r="G221" s="1530"/>
      <c r="H221" s="1530"/>
      <c r="I221" s="1530"/>
      <c r="J221" s="1529"/>
      <c r="K221" s="1528"/>
      <c r="L221" s="1528"/>
      <c r="M221" s="1528"/>
      <c r="N221" s="1521"/>
    </row>
    <row r="222" spans="2:14" ht="15">
      <c r="B222" s="1630"/>
      <c r="C222" s="1530"/>
      <c r="D222" s="1530"/>
      <c r="E222" s="1530"/>
      <c r="F222" s="1530"/>
      <c r="G222" s="1530"/>
      <c r="H222" s="1530"/>
      <c r="I222" s="1530"/>
      <c r="J222" s="1529"/>
      <c r="K222" s="1528"/>
      <c r="L222" s="1528"/>
      <c r="M222" s="1528"/>
      <c r="N222" s="1521"/>
    </row>
    <row r="223" spans="2:14" ht="15">
      <c r="B223" s="1630"/>
      <c r="C223" s="1530"/>
      <c r="D223" s="1530"/>
      <c r="E223" s="1530"/>
      <c r="F223" s="1530"/>
      <c r="G223" s="1530"/>
      <c r="H223" s="1530"/>
      <c r="I223" s="1530"/>
      <c r="J223" s="1529"/>
      <c r="K223" s="1528"/>
      <c r="L223" s="1528"/>
      <c r="M223" s="1528"/>
      <c r="N223" s="1521"/>
    </row>
    <row r="224" spans="2:14" ht="15.75" thickBot="1">
      <c r="B224" s="1631"/>
      <c r="C224" s="1531"/>
      <c r="D224" s="1531"/>
      <c r="E224" s="1531"/>
      <c r="F224" s="1531"/>
      <c r="G224" s="1531"/>
      <c r="H224" s="1531"/>
      <c r="I224" s="1531"/>
      <c r="J224" s="1512"/>
      <c r="K224" s="1513"/>
      <c r="L224" s="1513"/>
      <c r="M224" s="1513"/>
      <c r="N224" s="1520"/>
    </row>
  </sheetData>
  <mergeCells count="16">
    <mergeCell ref="D185:D186"/>
    <mergeCell ref="F184:F186"/>
    <mergeCell ref="H184:H186"/>
    <mergeCell ref="G184:G186"/>
    <mergeCell ref="I185:I186"/>
    <mergeCell ref="F181:H181"/>
    <mergeCell ref="J181:N181"/>
    <mergeCell ref="G49:G54"/>
    <mergeCell ref="G66:G72"/>
    <mergeCell ref="G58:G64"/>
    <mergeCell ref="G89:G91"/>
    <mergeCell ref="I116:I117"/>
    <mergeCell ref="I125:I126"/>
    <mergeCell ref="I164:I165"/>
    <mergeCell ref="G170:G172"/>
    <mergeCell ref="I96:I97"/>
  </mergeCell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tabColor rgb="FF00B050"/>
  </sheetPr>
  <dimension ref="A1:AV56"/>
  <sheetViews>
    <sheetView showGridLines="0" zoomScale="60" zoomScaleNormal="60" workbookViewId="0">
      <selection activeCell="G41" sqref="G41"/>
    </sheetView>
  </sheetViews>
  <sheetFormatPr defaultRowHeight="12.75"/>
  <cols>
    <col min="2" max="6" width="4.375" style="174" customWidth="1"/>
    <col min="7" max="7" width="38.25" style="173" customWidth="1"/>
    <col min="8" max="8" width="9" style="173"/>
    <col min="9" max="26" width="15.625" customWidth="1"/>
    <col min="27" max="27" width="119.5" customWidth="1"/>
    <col min="28" max="28" width="73.875" customWidth="1"/>
    <col min="29" max="52" width="15.625" customWidth="1"/>
  </cols>
  <sheetData>
    <row r="1" spans="1:48" s="2" customFormat="1" ht="25.15" customHeight="1">
      <c r="A1" s="1" t="s">
        <v>0</v>
      </c>
      <c r="E1" s="3"/>
      <c r="H1" s="4" t="s">
        <v>1</v>
      </c>
    </row>
    <row r="2" spans="1:48" s="2" customFormat="1" ht="25.15" customHeight="1">
      <c r="A2" s="5" t="str">
        <f>Fixed_Data!I12</f>
        <v>MASTER</v>
      </c>
      <c r="B2" s="6"/>
      <c r="D2" s="7"/>
      <c r="E2" s="3"/>
    </row>
    <row r="3" spans="1:48" s="9" customFormat="1" ht="25.15" customHeight="1" thickBot="1">
      <c r="A3" s="8" t="str">
        <f>Fixed_Data!A3</f>
        <v>RIIO-GD2</v>
      </c>
      <c r="D3" s="10"/>
      <c r="E3" s="11"/>
    </row>
    <row r="4" spans="1:48" s="89" customFormat="1" ht="25.15" customHeight="1">
      <c r="B4" s="90" t="s">
        <v>3456</v>
      </c>
      <c r="C4" s="90"/>
      <c r="D4" s="90"/>
      <c r="E4" s="90"/>
      <c r="F4" s="90"/>
      <c r="G4" s="91"/>
      <c r="H4" s="92"/>
      <c r="I4" s="93"/>
      <c r="J4" s="92"/>
      <c r="K4" s="92"/>
      <c r="L4" s="92"/>
      <c r="M4" s="92"/>
      <c r="N4" s="92"/>
      <c r="O4" s="92"/>
      <c r="P4" s="92"/>
      <c r="Q4" s="92"/>
      <c r="R4" s="93"/>
      <c r="S4" s="92"/>
      <c r="T4" s="92"/>
      <c r="U4" s="92"/>
      <c r="V4" s="92"/>
      <c r="W4" s="92"/>
      <c r="X4" s="92"/>
      <c r="Y4" s="92"/>
      <c r="Z4" s="92"/>
      <c r="AA4" s="94"/>
      <c r="AB4" s="92"/>
      <c r="AC4" s="92"/>
      <c r="AD4" s="92"/>
      <c r="AE4" s="94"/>
      <c r="AF4" s="92"/>
      <c r="AG4" s="92"/>
      <c r="AH4" s="92"/>
      <c r="AI4" s="92"/>
      <c r="AJ4" s="92"/>
      <c r="AK4" s="92"/>
      <c r="AL4" s="92"/>
      <c r="AM4" s="92"/>
      <c r="AN4" s="92"/>
      <c r="AO4" s="92"/>
      <c r="AP4" s="94"/>
      <c r="AQ4" s="92"/>
      <c r="AR4" s="92"/>
      <c r="AS4" s="92"/>
      <c r="AT4" s="92"/>
      <c r="AU4" s="92"/>
      <c r="AV4" s="92"/>
    </row>
    <row r="5" spans="1:48" s="89" customFormat="1" ht="25.15" customHeight="1">
      <c r="B5" s="95" t="s">
        <v>1663</v>
      </c>
      <c r="C5" s="95"/>
      <c r="D5" s="95"/>
      <c r="E5" s="95"/>
      <c r="F5" s="95" t="s">
        <v>463</v>
      </c>
      <c r="G5" s="95"/>
      <c r="H5" s="95"/>
      <c r="I5" s="93"/>
      <c r="J5" s="92"/>
      <c r="K5" s="92"/>
      <c r="L5" s="92"/>
      <c r="M5" s="92"/>
      <c r="N5" s="92"/>
      <c r="O5" s="92"/>
      <c r="P5" s="92"/>
      <c r="Q5" s="92"/>
      <c r="R5" s="93"/>
      <c r="S5" s="92"/>
      <c r="T5" s="92"/>
      <c r="U5" s="92"/>
      <c r="V5" s="92"/>
      <c r="W5" s="92"/>
      <c r="X5" s="92"/>
      <c r="Y5" s="92"/>
      <c r="Z5" s="92"/>
      <c r="AA5" s="94"/>
      <c r="AB5" s="92"/>
      <c r="AC5" s="92"/>
      <c r="AD5" s="92"/>
      <c r="AE5" s="94"/>
      <c r="AF5" s="92"/>
      <c r="AG5" s="92"/>
      <c r="AH5" s="92"/>
      <c r="AI5" s="92"/>
      <c r="AJ5" s="92"/>
      <c r="AK5" s="92"/>
      <c r="AL5" s="92"/>
      <c r="AM5" s="92"/>
      <c r="AN5" s="92"/>
      <c r="AO5" s="92"/>
      <c r="AP5" s="94"/>
      <c r="AQ5" s="92"/>
      <c r="AR5" s="92"/>
      <c r="AS5" s="92"/>
      <c r="AT5" s="92"/>
      <c r="AU5" s="92"/>
      <c r="AV5" s="92"/>
    </row>
    <row r="6" spans="1:48" ht="14.25">
      <c r="B6" s="95"/>
      <c r="C6" s="95"/>
      <c r="D6" s="95"/>
      <c r="E6" s="95"/>
      <c r="F6" s="95"/>
      <c r="G6" s="95"/>
      <c r="H6" s="95"/>
    </row>
    <row r="7" spans="1:48" ht="15" thickBot="1">
      <c r="B7" s="95"/>
      <c r="C7" s="95"/>
      <c r="D7" s="95"/>
      <c r="E7" s="95"/>
      <c r="F7" s="95"/>
      <c r="G7" s="95"/>
      <c r="H7" s="95"/>
    </row>
    <row r="8" spans="1:48" ht="30" customHeight="1" thickBot="1">
      <c r="B8" s="621" t="s">
        <v>3457</v>
      </c>
      <c r="C8" s="102"/>
      <c r="D8" s="102"/>
      <c r="E8" s="102"/>
      <c r="F8" s="102"/>
      <c r="G8" s="103"/>
      <c r="H8" s="104"/>
      <c r="I8" s="611" t="s">
        <v>1704</v>
      </c>
      <c r="J8" s="106"/>
      <c r="K8" s="106"/>
      <c r="L8" s="106"/>
      <c r="M8" s="106"/>
      <c r="N8" s="106"/>
      <c r="O8" s="106"/>
      <c r="P8" s="107"/>
      <c r="Q8" s="104"/>
      <c r="R8" s="611" t="s">
        <v>2231</v>
      </c>
      <c r="S8" s="106"/>
      <c r="T8" s="106"/>
      <c r="U8" s="106"/>
      <c r="V8" s="106"/>
      <c r="W8" s="106"/>
      <c r="X8" s="106"/>
      <c r="Y8" s="107"/>
      <c r="Z8" s="104"/>
      <c r="AA8" s="1376" t="s">
        <v>1693</v>
      </c>
    </row>
    <row r="9" spans="1:48" ht="30" customHeight="1">
      <c r="B9" s="109"/>
      <c r="C9" s="110"/>
      <c r="D9" s="110"/>
      <c r="E9" s="110"/>
      <c r="F9" s="110"/>
      <c r="G9" s="111"/>
      <c r="H9" s="112"/>
      <c r="I9" s="1755"/>
      <c r="J9" s="1756" t="s">
        <v>1666</v>
      </c>
      <c r="K9" s="1757"/>
      <c r="L9" s="1758" t="s">
        <v>2</v>
      </c>
      <c r="M9" s="1759"/>
      <c r="N9" s="1759"/>
      <c r="O9" s="1759"/>
      <c r="P9" s="1760"/>
      <c r="Q9" s="112"/>
      <c r="R9" s="1755"/>
      <c r="S9" s="1756" t="s">
        <v>1666</v>
      </c>
      <c r="T9" s="1757"/>
      <c r="U9" s="1758" t="s">
        <v>2</v>
      </c>
      <c r="V9" s="1759"/>
      <c r="W9" s="1759"/>
      <c r="X9" s="1759"/>
      <c r="Y9" s="1760"/>
      <c r="Z9" s="112"/>
      <c r="AA9" s="1770"/>
    </row>
    <row r="10" spans="1:48" s="1761" customFormat="1" ht="30" customHeight="1">
      <c r="B10" s="115"/>
      <c r="C10" s="116"/>
      <c r="D10" s="116"/>
      <c r="E10" s="116"/>
      <c r="F10" s="116"/>
      <c r="G10" s="117"/>
      <c r="H10" s="118"/>
      <c r="I10" s="1755" t="s">
        <v>1745</v>
      </c>
      <c r="J10" s="518" t="s">
        <v>465</v>
      </c>
      <c r="K10" s="516" t="s">
        <v>467</v>
      </c>
      <c r="L10" s="158" t="s">
        <v>469</v>
      </c>
      <c r="M10" s="137" t="s">
        <v>471</v>
      </c>
      <c r="N10" s="137" t="s">
        <v>473</v>
      </c>
      <c r="O10" s="137" t="s">
        <v>475</v>
      </c>
      <c r="P10" s="138" t="s">
        <v>477</v>
      </c>
      <c r="Q10" s="118"/>
      <c r="R10" s="1755" t="s">
        <v>1745</v>
      </c>
      <c r="S10" s="518" t="s">
        <v>465</v>
      </c>
      <c r="T10" s="516" t="s">
        <v>467</v>
      </c>
      <c r="U10" s="158" t="s">
        <v>469</v>
      </c>
      <c r="V10" s="137" t="s">
        <v>471</v>
      </c>
      <c r="W10" s="137" t="s">
        <v>473</v>
      </c>
      <c r="X10" s="137" t="s">
        <v>475</v>
      </c>
      <c r="Y10" s="138" t="s">
        <v>477</v>
      </c>
      <c r="Z10" s="118"/>
      <c r="AA10" s="1771" t="s">
        <v>3458</v>
      </c>
    </row>
    <row r="11" spans="1:48" ht="15">
      <c r="B11" s="115"/>
      <c r="C11" s="116" t="s">
        <v>3459</v>
      </c>
      <c r="D11" s="116"/>
      <c r="E11" s="116"/>
      <c r="F11" s="116"/>
      <c r="G11" s="117"/>
      <c r="H11" s="118"/>
      <c r="I11" s="1763"/>
      <c r="J11" s="295"/>
      <c r="K11" s="296"/>
      <c r="L11" s="295"/>
      <c r="M11" s="259"/>
      <c r="N11" s="259"/>
      <c r="O11" s="259"/>
      <c r="P11" s="296"/>
      <c r="Q11" s="118"/>
      <c r="R11" s="1763"/>
      <c r="S11" s="295"/>
      <c r="T11" s="296"/>
      <c r="U11" s="295"/>
      <c r="V11" s="259"/>
      <c r="W11" s="259"/>
      <c r="X11" s="259"/>
      <c r="Y11" s="296"/>
      <c r="Z11" s="118"/>
      <c r="AA11" s="1772"/>
    </row>
    <row r="12" spans="1:48" ht="14.25">
      <c r="B12" s="123"/>
      <c r="C12" s="127"/>
      <c r="D12" s="622" t="s">
        <v>3460</v>
      </c>
      <c r="E12" s="127"/>
      <c r="F12" s="127"/>
      <c r="G12" s="117"/>
      <c r="H12" s="118"/>
      <c r="I12" s="1382" t="s">
        <v>498</v>
      </c>
      <c r="J12" s="297">
        <v>0</v>
      </c>
      <c r="K12" s="299">
        <v>0</v>
      </c>
      <c r="L12" s="297">
        <v>0</v>
      </c>
      <c r="M12" s="298">
        <v>0</v>
      </c>
      <c r="N12" s="298">
        <v>0</v>
      </c>
      <c r="O12" s="298">
        <v>0</v>
      </c>
      <c r="P12" s="299">
        <v>0</v>
      </c>
      <c r="Q12" s="118"/>
      <c r="R12" s="1382" t="s">
        <v>2233</v>
      </c>
      <c r="S12" s="297">
        <v>0</v>
      </c>
      <c r="T12" s="299">
        <v>0</v>
      </c>
      <c r="U12" s="297">
        <v>0</v>
      </c>
      <c r="V12" s="298">
        <v>0</v>
      </c>
      <c r="W12" s="298">
        <v>0</v>
      </c>
      <c r="X12" s="298">
        <v>0</v>
      </c>
      <c r="Y12" s="299">
        <v>0</v>
      </c>
      <c r="Z12" s="118"/>
      <c r="AA12" s="1773">
        <v>0</v>
      </c>
    </row>
    <row r="13" spans="1:48" ht="14.25">
      <c r="B13" s="123"/>
      <c r="C13" s="127"/>
      <c r="D13" s="127" t="s">
        <v>3461</v>
      </c>
      <c r="E13" s="127"/>
      <c r="F13" s="127"/>
      <c r="G13" s="117"/>
      <c r="H13" s="118"/>
      <c r="I13" s="1382" t="s">
        <v>498</v>
      </c>
      <c r="J13" s="297">
        <v>0</v>
      </c>
      <c r="K13" s="299">
        <v>0</v>
      </c>
      <c r="L13" s="297">
        <v>0</v>
      </c>
      <c r="M13" s="298">
        <v>0</v>
      </c>
      <c r="N13" s="298">
        <v>0</v>
      </c>
      <c r="O13" s="298">
        <v>0</v>
      </c>
      <c r="P13" s="299">
        <v>0</v>
      </c>
      <c r="Q13" s="118"/>
      <c r="R13" s="1382" t="s">
        <v>2233</v>
      </c>
      <c r="S13" s="297">
        <v>0</v>
      </c>
      <c r="T13" s="299">
        <v>0</v>
      </c>
      <c r="U13" s="297">
        <v>0</v>
      </c>
      <c r="V13" s="298">
        <v>0</v>
      </c>
      <c r="W13" s="298">
        <v>0</v>
      </c>
      <c r="X13" s="298">
        <v>0</v>
      </c>
      <c r="Y13" s="299">
        <v>0</v>
      </c>
      <c r="Z13" s="118"/>
      <c r="AA13" s="1773">
        <v>0</v>
      </c>
    </row>
    <row r="14" spans="1:48" ht="14.25">
      <c r="B14" s="123"/>
      <c r="C14" s="127"/>
      <c r="D14" s="127" t="s">
        <v>3462</v>
      </c>
      <c r="E14" s="127"/>
      <c r="F14" s="127"/>
      <c r="G14" s="117"/>
      <c r="H14" s="118"/>
      <c r="I14" s="1382" t="s">
        <v>498</v>
      </c>
      <c r="J14" s="297">
        <v>65.504847119916647</v>
      </c>
      <c r="K14" s="299">
        <v>59.88017938970286</v>
      </c>
      <c r="L14" s="297">
        <v>66.358407311683408</v>
      </c>
      <c r="M14" s="298">
        <v>66.026615275124968</v>
      </c>
      <c r="N14" s="298">
        <v>65.696482198749351</v>
      </c>
      <c r="O14" s="298">
        <v>65.367999787755608</v>
      </c>
      <c r="P14" s="299">
        <v>65.041159788816827</v>
      </c>
      <c r="Q14" s="118"/>
      <c r="R14" s="1382" t="s">
        <v>2233</v>
      </c>
      <c r="S14" s="297">
        <v>508.91506399999992</v>
      </c>
      <c r="T14" s="299">
        <v>474.61841499185613</v>
      </c>
      <c r="U14" s="297">
        <v>469.80401828030028</v>
      </c>
      <c r="V14" s="298">
        <v>469.80401828030028</v>
      </c>
      <c r="W14" s="298">
        <v>469.80401828030028</v>
      </c>
      <c r="X14" s="298">
        <v>469.80401828030028</v>
      </c>
      <c r="Y14" s="299">
        <v>469.80401828030028</v>
      </c>
      <c r="Z14" s="118"/>
      <c r="AA14" s="1773">
        <v>0</v>
      </c>
    </row>
    <row r="15" spans="1:48" ht="14.25">
      <c r="B15" s="123"/>
      <c r="C15" s="127"/>
      <c r="D15" s="127" t="s">
        <v>3463</v>
      </c>
      <c r="E15" s="127"/>
      <c r="F15" s="127"/>
      <c r="G15" s="117"/>
      <c r="H15" s="118"/>
      <c r="I15" s="1382" t="s">
        <v>498</v>
      </c>
      <c r="J15" s="297">
        <v>0</v>
      </c>
      <c r="K15" s="299">
        <v>0</v>
      </c>
      <c r="L15" s="297">
        <v>0.57615477903451384</v>
      </c>
      <c r="M15" s="298">
        <v>0.57327400513934124</v>
      </c>
      <c r="N15" s="298">
        <v>0.57040763511364456</v>
      </c>
      <c r="O15" s="298">
        <v>0.56755559693807633</v>
      </c>
      <c r="P15" s="299">
        <v>0.56471781895338591</v>
      </c>
      <c r="Q15" s="118"/>
      <c r="R15" s="1382" t="s">
        <v>2233</v>
      </c>
      <c r="S15" s="297">
        <v>0</v>
      </c>
      <c r="T15" s="299">
        <v>0</v>
      </c>
      <c r="U15" s="297">
        <v>3.3412500000000001</v>
      </c>
      <c r="V15" s="298">
        <v>3.3412500000000001</v>
      </c>
      <c r="W15" s="298">
        <v>3.3412500000000001</v>
      </c>
      <c r="X15" s="298">
        <v>3.3412500000000001</v>
      </c>
      <c r="Y15" s="299">
        <v>3.3412500000000001</v>
      </c>
      <c r="Z15" s="118"/>
      <c r="AA15" s="1773">
        <v>0</v>
      </c>
    </row>
    <row r="16" spans="1:48" ht="14.25">
      <c r="B16" s="123"/>
      <c r="C16" s="127"/>
      <c r="D16" s="127" t="s">
        <v>3464</v>
      </c>
      <c r="E16" s="127"/>
      <c r="F16" s="127"/>
      <c r="G16" s="117"/>
      <c r="H16" s="118"/>
      <c r="I16" s="1382" t="s">
        <v>498</v>
      </c>
      <c r="J16" s="297">
        <v>6.7436770129093171</v>
      </c>
      <c r="K16" s="299">
        <v>6.5358573505125523</v>
      </c>
      <c r="L16" s="297">
        <v>8.1437091706325813</v>
      </c>
      <c r="M16" s="298">
        <v>8.1029906247794177</v>
      </c>
      <c r="N16" s="298">
        <v>8.0624756716555215</v>
      </c>
      <c r="O16" s="298">
        <v>8.0221632932972451</v>
      </c>
      <c r="P16" s="299">
        <v>7.9820524768307575</v>
      </c>
      <c r="Q16" s="118"/>
      <c r="R16" s="1382" t="s">
        <v>2233</v>
      </c>
      <c r="S16" s="297">
        <v>60.281456666666699</v>
      </c>
      <c r="T16" s="299">
        <v>60.281456666666713</v>
      </c>
      <c r="U16" s="297">
        <v>74.372500000000002</v>
      </c>
      <c r="V16" s="298">
        <v>74.372500000000002</v>
      </c>
      <c r="W16" s="298">
        <v>74.372500000000002</v>
      </c>
      <c r="X16" s="298">
        <v>74.372500000000002</v>
      </c>
      <c r="Y16" s="299">
        <v>74.372500000000002</v>
      </c>
      <c r="Z16" s="118"/>
      <c r="AA16" s="1773">
        <v>0</v>
      </c>
    </row>
    <row r="17" spans="2:27" ht="14.25">
      <c r="B17" s="123"/>
      <c r="C17" s="127"/>
      <c r="D17" s="127" t="s">
        <v>2049</v>
      </c>
      <c r="E17" s="127"/>
      <c r="F17" s="127"/>
      <c r="G17" s="117"/>
      <c r="H17" s="118"/>
      <c r="I17" s="1382" t="s">
        <v>498</v>
      </c>
      <c r="J17" s="297">
        <v>0.54483144470714684</v>
      </c>
      <c r="K17" s="299">
        <v>0.45830654810411181</v>
      </c>
      <c r="L17" s="297">
        <v>8.6938160590342797</v>
      </c>
      <c r="M17" s="298">
        <v>8.6503469787391083</v>
      </c>
      <c r="N17" s="298">
        <v>8.6070952438454125</v>
      </c>
      <c r="O17" s="298">
        <v>8.5640597676261834</v>
      </c>
      <c r="P17" s="299">
        <v>8.5212394687880533</v>
      </c>
      <c r="Q17" s="118"/>
      <c r="R17" s="1382" t="s">
        <v>2233</v>
      </c>
      <c r="S17" s="297">
        <v>3.5000000000000009</v>
      </c>
      <c r="T17" s="299">
        <v>3.5000000000000004</v>
      </c>
      <c r="U17" s="297">
        <v>2.2621000000000002</v>
      </c>
      <c r="V17" s="298">
        <v>2.2621000000000002</v>
      </c>
      <c r="W17" s="298">
        <v>2.2621000000000002</v>
      </c>
      <c r="X17" s="298">
        <v>2.2621000000000002</v>
      </c>
      <c r="Y17" s="299">
        <v>2.2621000000000002</v>
      </c>
      <c r="Z17" s="118"/>
      <c r="AA17" s="1773">
        <v>0</v>
      </c>
    </row>
    <row r="18" spans="2:27" ht="14.25">
      <c r="B18" s="123"/>
      <c r="C18" s="127"/>
      <c r="D18" s="127" t="s">
        <v>1843</v>
      </c>
      <c r="E18" s="127"/>
      <c r="F18" s="127"/>
      <c r="G18" s="117"/>
      <c r="H18" s="118"/>
      <c r="I18" s="1382" t="s">
        <v>498</v>
      </c>
      <c r="J18" s="297">
        <v>20.223947239087479</v>
      </c>
      <c r="K18" s="299">
        <v>17.688151070888299</v>
      </c>
      <c r="L18" s="297">
        <v>15.930237729246423</v>
      </c>
      <c r="M18" s="298">
        <v>15.732804800579116</v>
      </c>
      <c r="N18" s="298">
        <v>15.539291801881674</v>
      </c>
      <c r="O18" s="298">
        <v>15.349606107647615</v>
      </c>
      <c r="P18" s="299">
        <v>15.163657373841819</v>
      </c>
      <c r="Q18" s="118"/>
      <c r="R18" s="1382" t="s">
        <v>2233</v>
      </c>
      <c r="S18" s="297">
        <v>30091</v>
      </c>
      <c r="T18" s="299">
        <v>28378</v>
      </c>
      <c r="U18" s="297">
        <v>27609</v>
      </c>
      <c r="V18" s="298">
        <v>27526</v>
      </c>
      <c r="W18" s="298">
        <v>27444</v>
      </c>
      <c r="X18" s="298">
        <v>27365</v>
      </c>
      <c r="Y18" s="299">
        <v>27287</v>
      </c>
      <c r="Z18" s="118"/>
      <c r="AA18" s="1773">
        <v>0</v>
      </c>
    </row>
    <row r="19" spans="2:27" ht="14.25">
      <c r="B19" s="123"/>
      <c r="C19" s="127"/>
      <c r="D19" s="127" t="s">
        <v>2524</v>
      </c>
      <c r="E19" s="127"/>
      <c r="F19" s="127"/>
      <c r="G19" s="117"/>
      <c r="H19" s="118"/>
      <c r="I19" s="1382" t="s">
        <v>498</v>
      </c>
      <c r="J19" s="297">
        <v>0.08</v>
      </c>
      <c r="K19" s="299">
        <v>0.08</v>
      </c>
      <c r="L19" s="297">
        <v>0.50848716952257966</v>
      </c>
      <c r="M19" s="298">
        <v>0.50594473367496684</v>
      </c>
      <c r="N19" s="298">
        <v>0.50341501000659195</v>
      </c>
      <c r="O19" s="298">
        <v>0.50089793495655899</v>
      </c>
      <c r="P19" s="299">
        <v>0.4983934452817762</v>
      </c>
      <c r="Q19" s="118"/>
      <c r="R19" s="1382" t="s">
        <v>3465</v>
      </c>
      <c r="S19" s="297">
        <v>22</v>
      </c>
      <c r="T19" s="299">
        <v>22</v>
      </c>
      <c r="U19" s="297">
        <v>41.4</v>
      </c>
      <c r="V19" s="298">
        <v>41.4</v>
      </c>
      <c r="W19" s="298">
        <v>41.4</v>
      </c>
      <c r="X19" s="298">
        <v>41.4</v>
      </c>
      <c r="Y19" s="299">
        <v>41.4</v>
      </c>
      <c r="Z19" s="118"/>
      <c r="AA19" s="1773">
        <v>0</v>
      </c>
    </row>
    <row r="20" spans="2:27" ht="14.25">
      <c r="B20" s="123"/>
      <c r="C20" s="127"/>
      <c r="D20" s="127" t="s">
        <v>3466</v>
      </c>
      <c r="E20" s="127"/>
      <c r="F20" s="127"/>
      <c r="G20" s="117"/>
      <c r="H20" s="118"/>
      <c r="I20" s="1382" t="s">
        <v>498</v>
      </c>
      <c r="J20" s="297">
        <v>0</v>
      </c>
      <c r="K20" s="299">
        <v>0.05</v>
      </c>
      <c r="L20" s="297">
        <v>0.11030527970164218</v>
      </c>
      <c r="M20" s="298">
        <v>0.24647441087031713</v>
      </c>
      <c r="N20" s="298">
        <v>4.538971038955833E-2</v>
      </c>
      <c r="O20" s="298">
        <v>0.82750165506894491</v>
      </c>
      <c r="P20" s="299">
        <v>0</v>
      </c>
      <c r="Q20" s="118"/>
      <c r="R20" s="1382" t="s">
        <v>3465</v>
      </c>
      <c r="S20" s="297">
        <v>0</v>
      </c>
      <c r="T20" s="299">
        <v>1</v>
      </c>
      <c r="U20" s="297">
        <v>2</v>
      </c>
      <c r="V20" s="298">
        <v>1</v>
      </c>
      <c r="W20" s="298">
        <v>1</v>
      </c>
      <c r="X20" s="298">
        <v>1</v>
      </c>
      <c r="Y20" s="299">
        <v>1</v>
      </c>
      <c r="Z20" s="118"/>
      <c r="AA20" s="1773">
        <v>0</v>
      </c>
    </row>
    <row r="21" spans="2:27" ht="14.25">
      <c r="B21" s="123"/>
      <c r="C21" s="127"/>
      <c r="D21" s="127" t="s">
        <v>3467</v>
      </c>
      <c r="E21" s="127"/>
      <c r="F21" s="127"/>
      <c r="G21" s="117"/>
      <c r="H21" s="118"/>
      <c r="I21" s="1382" t="s">
        <v>498</v>
      </c>
      <c r="J21" s="297">
        <v>0.9</v>
      </c>
      <c r="K21" s="299">
        <v>0.35</v>
      </c>
      <c r="L21" s="297">
        <v>0.13616913116867496</v>
      </c>
      <c r="M21" s="298">
        <v>0</v>
      </c>
      <c r="N21" s="298">
        <v>0.71719637536730263</v>
      </c>
      <c r="O21" s="298">
        <v>0.1556949900912005</v>
      </c>
      <c r="P21" s="299">
        <v>0.37630554949448486</v>
      </c>
      <c r="Q21" s="118"/>
      <c r="R21" s="1382" t="s">
        <v>3465</v>
      </c>
      <c r="S21" s="297">
        <v>5</v>
      </c>
      <c r="T21" s="299">
        <v>2</v>
      </c>
      <c r="U21" s="297">
        <v>2</v>
      </c>
      <c r="V21" s="298">
        <v>2</v>
      </c>
      <c r="W21" s="298">
        <v>1</v>
      </c>
      <c r="X21" s="298">
        <v>1</v>
      </c>
      <c r="Y21" s="299">
        <v>1</v>
      </c>
      <c r="Z21" s="118"/>
      <c r="AA21" s="1773">
        <v>0</v>
      </c>
    </row>
    <row r="22" spans="2:27" ht="14.25">
      <c r="B22" s="123"/>
      <c r="C22" s="127"/>
      <c r="D22" s="127" t="s">
        <v>3468</v>
      </c>
      <c r="E22" s="127"/>
      <c r="F22" s="127"/>
      <c r="G22" s="117"/>
      <c r="H22" s="118"/>
      <c r="I22" s="1382" t="s">
        <v>498</v>
      </c>
      <c r="J22" s="297">
        <v>2</v>
      </c>
      <c r="K22" s="299">
        <v>0.7</v>
      </c>
      <c r="L22" s="297"/>
      <c r="M22" s="298"/>
      <c r="N22" s="298"/>
      <c r="O22" s="298"/>
      <c r="P22" s="299"/>
      <c r="Q22" s="118"/>
      <c r="R22" s="1382" t="s">
        <v>3465</v>
      </c>
      <c r="S22" s="297">
        <v>1</v>
      </c>
      <c r="T22" s="299">
        <v>1</v>
      </c>
      <c r="U22" s="297"/>
      <c r="V22" s="298"/>
      <c r="W22" s="298"/>
      <c r="X22" s="298"/>
      <c r="Y22" s="299"/>
      <c r="Z22" s="118"/>
      <c r="AA22" s="1773">
        <v>0</v>
      </c>
    </row>
    <row r="23" spans="2:27" ht="14.25">
      <c r="B23" s="123"/>
      <c r="C23" s="127"/>
      <c r="D23" s="127" t="s">
        <v>3469</v>
      </c>
      <c r="E23" s="127"/>
      <c r="F23" s="127"/>
      <c r="G23" s="117"/>
      <c r="H23" s="118"/>
      <c r="I23" s="1382" t="s">
        <v>498</v>
      </c>
      <c r="J23" s="297">
        <v>2.5</v>
      </c>
      <c r="K23" s="299">
        <v>0.65</v>
      </c>
      <c r="L23" s="297">
        <v>0</v>
      </c>
      <c r="M23" s="298">
        <v>0</v>
      </c>
      <c r="N23" s="298">
        <v>1.7406108784740602</v>
      </c>
      <c r="O23" s="298">
        <v>0.87030543923703008</v>
      </c>
      <c r="P23" s="299">
        <v>0.87030543923703008</v>
      </c>
      <c r="Q23" s="118"/>
      <c r="R23" s="1382" t="s">
        <v>3465</v>
      </c>
      <c r="S23" s="297">
        <v>3</v>
      </c>
      <c r="T23" s="299">
        <v>1</v>
      </c>
      <c r="U23" s="297">
        <v>1</v>
      </c>
      <c r="V23" s="298">
        <v>1</v>
      </c>
      <c r="W23" s="298">
        <v>1</v>
      </c>
      <c r="X23" s="298">
        <v>0</v>
      </c>
      <c r="Y23" s="299">
        <v>1</v>
      </c>
      <c r="Z23" s="118"/>
      <c r="AA23" s="1773">
        <v>0</v>
      </c>
    </row>
    <row r="24" spans="2:27" ht="14.25">
      <c r="B24" s="123"/>
      <c r="C24" s="127"/>
      <c r="D24" s="127" t="s">
        <v>3470</v>
      </c>
      <c r="E24" s="127"/>
      <c r="F24" s="127"/>
      <c r="G24" s="117"/>
      <c r="H24" s="118"/>
      <c r="I24" s="1382" t="s">
        <v>498</v>
      </c>
      <c r="J24" s="297">
        <v>0</v>
      </c>
      <c r="K24" s="299">
        <v>1</v>
      </c>
      <c r="L24" s="297">
        <v>0</v>
      </c>
      <c r="M24" s="298">
        <v>1.2240293657406391</v>
      </c>
      <c r="N24" s="298">
        <v>0</v>
      </c>
      <c r="O24" s="298">
        <v>0</v>
      </c>
      <c r="P24" s="299">
        <v>0</v>
      </c>
      <c r="Q24" s="118"/>
      <c r="R24" s="1382" t="s">
        <v>3465</v>
      </c>
      <c r="S24" s="297"/>
      <c r="T24" s="299">
        <v>2</v>
      </c>
      <c r="U24" s="297"/>
      <c r="V24" s="298"/>
      <c r="W24" s="298">
        <v>1</v>
      </c>
      <c r="X24" s="298"/>
      <c r="Y24" s="299"/>
      <c r="Z24" s="118"/>
      <c r="AA24" s="1773">
        <v>0</v>
      </c>
    </row>
    <row r="25" spans="2:27" ht="14.25">
      <c r="B25" s="123"/>
      <c r="C25" s="127"/>
      <c r="D25" s="127" t="s">
        <v>3471</v>
      </c>
      <c r="E25" s="127"/>
      <c r="F25" s="127"/>
      <c r="G25" s="117"/>
      <c r="H25" s="118"/>
      <c r="I25" s="1382" t="s">
        <v>498</v>
      </c>
      <c r="J25" s="297">
        <v>0</v>
      </c>
      <c r="K25" s="299">
        <v>0.7</v>
      </c>
      <c r="L25" s="297">
        <v>0</v>
      </c>
      <c r="M25" s="298">
        <v>1.0249084109343933</v>
      </c>
      <c r="N25" s="298">
        <v>1.2240293657406391</v>
      </c>
      <c r="O25" s="298">
        <v>1.0249084109343933</v>
      </c>
      <c r="P25" s="299">
        <v>1.2240293657406391</v>
      </c>
      <c r="Q25" s="118"/>
      <c r="R25" s="1382" t="s">
        <v>3465</v>
      </c>
      <c r="S25" s="297">
        <v>0</v>
      </c>
      <c r="T25" s="299">
        <v>2</v>
      </c>
      <c r="U25" s="297">
        <v>1</v>
      </c>
      <c r="V25" s="298">
        <v>1</v>
      </c>
      <c r="W25" s="298">
        <v>1</v>
      </c>
      <c r="X25" s="298">
        <v>1</v>
      </c>
      <c r="Y25" s="299">
        <v>0</v>
      </c>
      <c r="Z25" s="118"/>
      <c r="AA25" s="1773">
        <v>0</v>
      </c>
    </row>
    <row r="26" spans="2:27" ht="14.25">
      <c r="B26" s="123"/>
      <c r="C26" s="127"/>
      <c r="D26" s="127" t="s">
        <v>3472</v>
      </c>
      <c r="E26" s="127"/>
      <c r="F26" s="127"/>
      <c r="G26" s="117"/>
      <c r="H26" s="118"/>
      <c r="I26" s="1382" t="s">
        <v>498</v>
      </c>
      <c r="J26" s="297">
        <v>1</v>
      </c>
      <c r="K26" s="299">
        <v>2.25</v>
      </c>
      <c r="L26" s="297">
        <v>1.833262117450837</v>
      </c>
      <c r="M26" s="298">
        <v>1.833262117450837</v>
      </c>
      <c r="N26" s="298">
        <v>1.078397474634144</v>
      </c>
      <c r="O26" s="298">
        <v>1.833262117450837</v>
      </c>
      <c r="P26" s="299">
        <v>1.5097292856333859</v>
      </c>
      <c r="Q26" s="118"/>
      <c r="R26" s="1382" t="s">
        <v>3465</v>
      </c>
      <c r="S26" s="297">
        <v>1</v>
      </c>
      <c r="T26" s="299">
        <v>3</v>
      </c>
      <c r="U26" s="297">
        <v>3</v>
      </c>
      <c r="V26" s="298">
        <v>3</v>
      </c>
      <c r="W26" s="298">
        <v>2</v>
      </c>
      <c r="X26" s="298">
        <v>3</v>
      </c>
      <c r="Y26" s="299">
        <v>2</v>
      </c>
      <c r="Z26" s="118"/>
      <c r="AA26" s="1773">
        <v>0</v>
      </c>
    </row>
    <row r="27" spans="2:27" ht="14.25">
      <c r="B27" s="123"/>
      <c r="C27" s="127"/>
      <c r="D27" s="127" t="s">
        <v>1837</v>
      </c>
      <c r="E27" s="127"/>
      <c r="F27" s="127"/>
      <c r="G27" s="117"/>
      <c r="H27" s="118"/>
      <c r="I27" s="1382" t="s">
        <v>498</v>
      </c>
      <c r="J27" s="297">
        <v>1.473179193072105</v>
      </c>
      <c r="K27" s="299">
        <v>1.6570752681734888</v>
      </c>
      <c r="L27" s="297">
        <v>1.1148009793499243</v>
      </c>
      <c r="M27" s="298">
        <v>1.1148009793499243</v>
      </c>
      <c r="N27" s="298">
        <v>1.1148009793499243</v>
      </c>
      <c r="O27" s="298">
        <v>1.1148009793499243</v>
      </c>
      <c r="P27" s="299">
        <v>1.1148009793499243</v>
      </c>
      <c r="Q27" s="118"/>
      <c r="R27" s="1382" t="s">
        <v>3465</v>
      </c>
      <c r="S27" s="297">
        <v>20</v>
      </c>
      <c r="T27" s="299">
        <v>8</v>
      </c>
      <c r="U27" s="297">
        <v>22</v>
      </c>
      <c r="V27" s="298">
        <v>22</v>
      </c>
      <c r="W27" s="298">
        <v>22</v>
      </c>
      <c r="X27" s="298">
        <v>21</v>
      </c>
      <c r="Y27" s="299">
        <v>21</v>
      </c>
      <c r="Z27" s="118"/>
      <c r="AA27" s="1773">
        <v>0</v>
      </c>
    </row>
    <row r="28" spans="2:27" ht="14.25">
      <c r="B28" s="123"/>
      <c r="C28" s="127"/>
      <c r="D28" s="127" t="s">
        <v>1838</v>
      </c>
      <c r="E28" s="127"/>
      <c r="F28" s="127"/>
      <c r="G28" s="117"/>
      <c r="H28" s="118"/>
      <c r="I28" s="1382" t="s">
        <v>498</v>
      </c>
      <c r="J28" s="297">
        <v>0.25</v>
      </c>
      <c r="K28" s="299">
        <v>0.3</v>
      </c>
      <c r="L28" s="297">
        <v>2.867450638427536E-2</v>
      </c>
      <c r="M28" s="298">
        <v>2.867450638427536E-2</v>
      </c>
      <c r="N28" s="298">
        <v>2.867450638427536E-2</v>
      </c>
      <c r="O28" s="298">
        <v>2.867450638427536E-2</v>
      </c>
      <c r="P28" s="299">
        <v>2.867450638427536E-2</v>
      </c>
      <c r="Q28" s="118"/>
      <c r="R28" s="1382" t="s">
        <v>3465</v>
      </c>
      <c r="S28" s="297">
        <v>0</v>
      </c>
      <c r="T28" s="299">
        <v>1</v>
      </c>
      <c r="U28" s="297">
        <v>0</v>
      </c>
      <c r="V28" s="298">
        <v>0</v>
      </c>
      <c r="W28" s="298">
        <v>0</v>
      </c>
      <c r="X28" s="298">
        <v>0</v>
      </c>
      <c r="Y28" s="299">
        <v>5</v>
      </c>
      <c r="Z28" s="118"/>
      <c r="AA28" s="1773">
        <v>0</v>
      </c>
    </row>
    <row r="29" spans="2:27" ht="15" thickBot="1">
      <c r="B29" s="123"/>
      <c r="C29" s="127"/>
      <c r="D29" s="127" t="s">
        <v>1841</v>
      </c>
      <c r="E29" s="127"/>
      <c r="F29" s="127"/>
      <c r="G29" s="117"/>
      <c r="H29" s="118"/>
      <c r="I29" s="1382" t="s">
        <v>498</v>
      </c>
      <c r="J29" s="297">
        <v>0.13500000000000001</v>
      </c>
      <c r="K29" s="299">
        <v>0.155</v>
      </c>
      <c r="L29" s="297">
        <v>0.14929273466322873</v>
      </c>
      <c r="M29" s="298">
        <v>0.14929273466322873</v>
      </c>
      <c r="N29" s="298">
        <v>0.14929273466322873</v>
      </c>
      <c r="O29" s="298">
        <v>0.14929273466322873</v>
      </c>
      <c r="P29" s="299">
        <v>0.14929273466322873</v>
      </c>
      <c r="Q29" s="118"/>
      <c r="R29" s="1382" t="s">
        <v>3465</v>
      </c>
      <c r="S29" s="645">
        <v>1</v>
      </c>
      <c r="T29" s="646">
        <v>0</v>
      </c>
      <c r="U29" s="645">
        <v>84</v>
      </c>
      <c r="V29" s="484">
        <v>84</v>
      </c>
      <c r="W29" s="484">
        <v>84</v>
      </c>
      <c r="X29" s="484">
        <v>84</v>
      </c>
      <c r="Y29" s="646">
        <v>84</v>
      </c>
      <c r="Z29" s="118"/>
      <c r="AA29" s="1773">
        <v>0</v>
      </c>
    </row>
    <row r="30" spans="2:27" ht="14.25">
      <c r="B30" s="123"/>
      <c r="C30" s="127"/>
      <c r="D30" s="127"/>
      <c r="E30" s="127"/>
      <c r="F30" s="127"/>
      <c r="G30" s="117"/>
      <c r="H30" s="118"/>
      <c r="I30" s="139"/>
      <c r="J30" s="139"/>
      <c r="K30" s="140"/>
      <c r="L30" s="139"/>
      <c r="M30" s="118"/>
      <c r="N30" s="118"/>
      <c r="O30" s="118"/>
      <c r="P30" s="140"/>
      <c r="Q30" s="118"/>
      <c r="R30" s="139"/>
      <c r="S30" s="118"/>
      <c r="T30" s="118"/>
      <c r="U30" s="118"/>
      <c r="V30" s="118"/>
      <c r="W30" s="118"/>
      <c r="X30" s="118"/>
      <c r="Y30" s="140"/>
      <c r="Z30" s="118"/>
      <c r="AA30" s="1774"/>
    </row>
    <row r="31" spans="2:27" ht="15" thickBot="1">
      <c r="B31" s="754" t="s">
        <v>1701</v>
      </c>
      <c r="C31" s="132"/>
      <c r="D31" s="132"/>
      <c r="E31" s="132"/>
      <c r="F31" s="132"/>
      <c r="G31" s="145"/>
      <c r="H31" s="133"/>
      <c r="I31" s="1383" t="s">
        <v>498</v>
      </c>
      <c r="J31" s="627">
        <f>SUM(J12:J29)</f>
        <v>101.35548200969269</v>
      </c>
      <c r="K31" s="629">
        <f t="shared" ref="K31:P31" si="0">SUM(K12:K29)</f>
        <v>92.454569627381318</v>
      </c>
      <c r="L31" s="627">
        <f t="shared" si="0"/>
        <v>103.58331696787238</v>
      </c>
      <c r="M31" s="628">
        <f t="shared" si="0"/>
        <v>105.21341894343054</v>
      </c>
      <c r="N31" s="628">
        <f t="shared" si="0"/>
        <v>105.07755958625532</v>
      </c>
      <c r="O31" s="628">
        <f t="shared" si="0"/>
        <v>104.37672332140113</v>
      </c>
      <c r="P31" s="629">
        <f t="shared" si="0"/>
        <v>103.04435823301559</v>
      </c>
      <c r="Q31" s="133"/>
      <c r="R31" s="1768"/>
      <c r="S31" s="133"/>
      <c r="T31" s="133"/>
      <c r="U31" s="133"/>
      <c r="V31" s="133"/>
      <c r="W31" s="133"/>
      <c r="X31" s="133"/>
      <c r="Y31" s="1769"/>
      <c r="Z31" s="133"/>
      <c r="AA31" s="1775"/>
    </row>
    <row r="32" spans="2:27" ht="13.5" thickBot="1">
      <c r="B32"/>
      <c r="C32"/>
      <c r="D32"/>
      <c r="E32"/>
      <c r="F32"/>
      <c r="G32"/>
      <c r="H32"/>
    </row>
    <row r="33" spans="2:27" ht="30" customHeight="1" thickBot="1">
      <c r="B33" s="621" t="s">
        <v>3473</v>
      </c>
      <c r="C33" s="102"/>
      <c r="D33" s="102"/>
      <c r="E33" s="102"/>
      <c r="F33" s="102"/>
      <c r="G33" s="103"/>
      <c r="H33" s="104"/>
      <c r="I33" s="611" t="s">
        <v>1704</v>
      </c>
      <c r="J33" s="106"/>
      <c r="K33" s="106"/>
      <c r="L33" s="106"/>
      <c r="M33" s="106"/>
      <c r="N33" s="106"/>
      <c r="O33" s="106"/>
      <c r="P33" s="107"/>
      <c r="Q33" s="104"/>
      <c r="R33" s="611" t="s">
        <v>2231</v>
      </c>
      <c r="S33" s="106"/>
      <c r="T33" s="106"/>
      <c r="U33" s="106"/>
      <c r="V33" s="106"/>
      <c r="W33" s="106"/>
      <c r="X33" s="106"/>
      <c r="Y33" s="107"/>
      <c r="Z33" s="104"/>
      <c r="AA33" s="1376" t="s">
        <v>1693</v>
      </c>
    </row>
    <row r="34" spans="2:27" ht="30" customHeight="1">
      <c r="B34" s="109"/>
      <c r="C34" s="110"/>
      <c r="D34" s="110"/>
      <c r="E34" s="110"/>
      <c r="F34" s="110"/>
      <c r="G34" s="111"/>
      <c r="H34" s="112"/>
      <c r="I34" s="1755"/>
      <c r="J34" s="1756" t="s">
        <v>1666</v>
      </c>
      <c r="K34" s="1757"/>
      <c r="L34" s="1758" t="s">
        <v>2</v>
      </c>
      <c r="M34" s="1759"/>
      <c r="N34" s="1759"/>
      <c r="O34" s="1759"/>
      <c r="P34" s="1760"/>
      <c r="Q34" s="112"/>
      <c r="R34" s="1755"/>
      <c r="S34" s="1756" t="s">
        <v>1666</v>
      </c>
      <c r="T34" s="1757"/>
      <c r="U34" s="1758" t="s">
        <v>2</v>
      </c>
      <c r="V34" s="1759"/>
      <c r="W34" s="1759"/>
      <c r="X34" s="1759"/>
      <c r="Y34" s="1760"/>
      <c r="Z34" s="112"/>
      <c r="AA34" s="1770"/>
    </row>
    <row r="35" spans="2:27" s="1761" customFormat="1" ht="30" customHeight="1">
      <c r="B35" s="115"/>
      <c r="C35" s="116"/>
      <c r="D35" s="116"/>
      <c r="E35" s="116"/>
      <c r="F35" s="116"/>
      <c r="G35" s="117"/>
      <c r="H35" s="118"/>
      <c r="I35" s="1755" t="s">
        <v>1745</v>
      </c>
      <c r="J35" s="518" t="s">
        <v>465</v>
      </c>
      <c r="K35" s="516" t="s">
        <v>467</v>
      </c>
      <c r="L35" s="158" t="s">
        <v>469</v>
      </c>
      <c r="M35" s="137" t="s">
        <v>471</v>
      </c>
      <c r="N35" s="137" t="s">
        <v>473</v>
      </c>
      <c r="O35" s="137" t="s">
        <v>475</v>
      </c>
      <c r="P35" s="138" t="s">
        <v>477</v>
      </c>
      <c r="Q35" s="118"/>
      <c r="R35" s="1755" t="s">
        <v>1745</v>
      </c>
      <c r="S35" s="518" t="s">
        <v>465</v>
      </c>
      <c r="T35" s="516" t="s">
        <v>467</v>
      </c>
      <c r="U35" s="158" t="s">
        <v>469</v>
      </c>
      <c r="V35" s="137" t="s">
        <v>471</v>
      </c>
      <c r="W35" s="137" t="s">
        <v>473</v>
      </c>
      <c r="X35" s="137" t="s">
        <v>475</v>
      </c>
      <c r="Y35" s="138" t="s">
        <v>477</v>
      </c>
      <c r="Z35" s="118"/>
      <c r="AA35" s="1771" t="s">
        <v>3458</v>
      </c>
    </row>
    <row r="36" spans="2:27" ht="15">
      <c r="B36" s="115"/>
      <c r="C36" s="116" t="s">
        <v>3459</v>
      </c>
      <c r="D36" s="116"/>
      <c r="E36" s="116"/>
      <c r="F36" s="116"/>
      <c r="G36" s="117"/>
      <c r="H36" s="118"/>
      <c r="I36" s="1763"/>
      <c r="J36" s="295"/>
      <c r="K36" s="296"/>
      <c r="L36" s="295"/>
      <c r="M36" s="259"/>
      <c r="N36" s="259"/>
      <c r="O36" s="259"/>
      <c r="P36" s="296"/>
      <c r="Q36" s="118"/>
      <c r="R36" s="1763"/>
      <c r="S36" s="295"/>
      <c r="T36" s="296"/>
      <c r="U36" s="295"/>
      <c r="V36" s="259"/>
      <c r="W36" s="259"/>
      <c r="X36" s="259"/>
      <c r="Y36" s="296"/>
      <c r="Z36" s="118"/>
      <c r="AA36" s="1772"/>
    </row>
    <row r="37" spans="2:27" ht="14.25">
      <c r="B37" s="123"/>
      <c r="C37" s="127"/>
      <c r="D37" s="622" t="s">
        <v>3460</v>
      </c>
      <c r="E37" s="127"/>
      <c r="F37" s="127"/>
      <c r="G37" s="117"/>
      <c r="H37" s="118"/>
      <c r="I37" s="1382" t="s">
        <v>498</v>
      </c>
      <c r="J37" s="297">
        <v>1.1210511804490633E-3</v>
      </c>
      <c r="K37" s="299">
        <v>1.1210511804490633E-3</v>
      </c>
      <c r="L37" s="297">
        <v>0.22421023608981269</v>
      </c>
      <c r="M37" s="298">
        <v>0.14947349072654179</v>
      </c>
      <c r="N37" s="298">
        <v>0.29894698145308357</v>
      </c>
      <c r="O37" s="298">
        <v>0.33631535413471902</v>
      </c>
      <c r="P37" s="299">
        <v>0.33631535413471902</v>
      </c>
      <c r="Q37" s="118"/>
      <c r="R37" s="1382" t="s">
        <v>2233</v>
      </c>
      <c r="S37" s="297">
        <v>0</v>
      </c>
      <c r="T37" s="299">
        <v>0</v>
      </c>
      <c r="U37" s="297">
        <v>0</v>
      </c>
      <c r="V37" s="298">
        <v>0</v>
      </c>
      <c r="W37" s="298">
        <v>0</v>
      </c>
      <c r="X37" s="298">
        <v>0</v>
      </c>
      <c r="Y37" s="299">
        <v>0</v>
      </c>
      <c r="Z37" s="118"/>
      <c r="AA37" s="1773" t="s">
        <v>3474</v>
      </c>
    </row>
    <row r="38" spans="2:27" ht="14.25">
      <c r="B38" s="123"/>
      <c r="C38" s="127"/>
      <c r="D38" s="127" t="s">
        <v>3461</v>
      </c>
      <c r="E38" s="127"/>
      <c r="F38" s="127"/>
      <c r="G38" s="117"/>
      <c r="H38" s="118"/>
      <c r="I38" s="1382" t="s">
        <v>498</v>
      </c>
      <c r="J38" s="297">
        <v>3.7368372681635448E-4</v>
      </c>
      <c r="K38" s="299">
        <v>1.1210511804490633E-3</v>
      </c>
      <c r="L38" s="297">
        <v>0.43911651000174873</v>
      </c>
      <c r="M38" s="298">
        <v>0.51385325536501958</v>
      </c>
      <c r="N38" s="298">
        <v>0.36437976463847782</v>
      </c>
      <c r="O38" s="298">
        <v>0.32701139195684237</v>
      </c>
      <c r="P38" s="299">
        <v>0.32701139195684237</v>
      </c>
      <c r="Q38" s="118"/>
      <c r="R38" s="1382" t="s">
        <v>2233</v>
      </c>
      <c r="S38" s="297">
        <v>0</v>
      </c>
      <c r="T38" s="299">
        <v>0</v>
      </c>
      <c r="U38" s="297">
        <v>0</v>
      </c>
      <c r="V38" s="298">
        <v>0</v>
      </c>
      <c r="W38" s="298">
        <v>0</v>
      </c>
      <c r="X38" s="298">
        <v>0</v>
      </c>
      <c r="Y38" s="299">
        <v>0</v>
      </c>
      <c r="Z38" s="118"/>
      <c r="AA38" s="1773" t="s">
        <v>3475</v>
      </c>
    </row>
    <row r="39" spans="2:27" ht="14.25">
      <c r="B39" s="123"/>
      <c r="C39" s="127"/>
      <c r="D39" s="127" t="s">
        <v>3462</v>
      </c>
      <c r="E39" s="127"/>
      <c r="F39" s="127"/>
      <c r="G39" s="117"/>
      <c r="H39" s="118"/>
      <c r="I39" s="1382" t="s">
        <v>498</v>
      </c>
      <c r="J39" s="297">
        <v>0</v>
      </c>
      <c r="K39" s="299">
        <v>0</v>
      </c>
      <c r="L39" s="297">
        <v>0</v>
      </c>
      <c r="M39" s="298">
        <v>0</v>
      </c>
      <c r="N39" s="298">
        <v>0</v>
      </c>
      <c r="O39" s="298">
        <v>0</v>
      </c>
      <c r="P39" s="299">
        <v>0</v>
      </c>
      <c r="Q39" s="118"/>
      <c r="R39" s="1382" t="s">
        <v>2233</v>
      </c>
      <c r="S39" s="297">
        <v>0</v>
      </c>
      <c r="T39" s="299">
        <v>0</v>
      </c>
      <c r="U39" s="297">
        <v>0</v>
      </c>
      <c r="V39" s="298">
        <v>0</v>
      </c>
      <c r="W39" s="298">
        <v>0</v>
      </c>
      <c r="X39" s="298">
        <v>0</v>
      </c>
      <c r="Y39" s="299">
        <v>0</v>
      </c>
      <c r="Z39" s="118"/>
      <c r="AA39" s="1773">
        <v>0</v>
      </c>
    </row>
    <row r="40" spans="2:27" ht="14.25">
      <c r="B40" s="123"/>
      <c r="C40" s="127"/>
      <c r="D40" s="127" t="s">
        <v>3463</v>
      </c>
      <c r="E40" s="127"/>
      <c r="F40" s="127"/>
      <c r="G40" s="117"/>
      <c r="H40" s="118"/>
      <c r="I40" s="1382" t="s">
        <v>498</v>
      </c>
      <c r="J40" s="297">
        <v>0</v>
      </c>
      <c r="K40" s="299">
        <v>0</v>
      </c>
      <c r="L40" s="297">
        <v>0</v>
      </c>
      <c r="M40" s="298">
        <v>0</v>
      </c>
      <c r="N40" s="298">
        <v>0</v>
      </c>
      <c r="O40" s="298">
        <v>0</v>
      </c>
      <c r="P40" s="299">
        <v>0</v>
      </c>
      <c r="Q40" s="118"/>
      <c r="R40" s="1382" t="s">
        <v>2233</v>
      </c>
      <c r="S40" s="297">
        <v>0</v>
      </c>
      <c r="T40" s="299">
        <v>0</v>
      </c>
      <c r="U40" s="297">
        <v>0</v>
      </c>
      <c r="V40" s="298">
        <v>0</v>
      </c>
      <c r="W40" s="298">
        <v>0</v>
      </c>
      <c r="X40" s="298">
        <v>0</v>
      </c>
      <c r="Y40" s="299">
        <v>0</v>
      </c>
      <c r="Z40" s="118"/>
      <c r="AA40" s="1773">
        <v>0</v>
      </c>
    </row>
    <row r="41" spans="2:27" ht="14.25">
      <c r="B41" s="123"/>
      <c r="C41" s="127"/>
      <c r="D41" s="127" t="s">
        <v>3464</v>
      </c>
      <c r="E41" s="127"/>
      <c r="F41" s="127"/>
      <c r="G41" s="117"/>
      <c r="H41" s="118"/>
      <c r="I41" s="1382" t="s">
        <v>498</v>
      </c>
      <c r="J41" s="297">
        <v>0</v>
      </c>
      <c r="K41" s="299">
        <v>0</v>
      </c>
      <c r="L41" s="297">
        <v>0</v>
      </c>
      <c r="M41" s="298">
        <v>0</v>
      </c>
      <c r="N41" s="298">
        <v>0</v>
      </c>
      <c r="O41" s="298">
        <v>0</v>
      </c>
      <c r="P41" s="299">
        <v>0</v>
      </c>
      <c r="Q41" s="118"/>
      <c r="R41" s="1382" t="s">
        <v>2233</v>
      </c>
      <c r="S41" s="297">
        <v>0</v>
      </c>
      <c r="T41" s="299">
        <v>0</v>
      </c>
      <c r="U41" s="297">
        <v>0</v>
      </c>
      <c r="V41" s="298">
        <v>0</v>
      </c>
      <c r="W41" s="298">
        <v>0</v>
      </c>
      <c r="X41" s="298">
        <v>0</v>
      </c>
      <c r="Y41" s="299">
        <v>0</v>
      </c>
      <c r="Z41" s="118"/>
      <c r="AA41" s="1773">
        <v>0</v>
      </c>
    </row>
    <row r="42" spans="2:27" ht="14.25">
      <c r="B42" s="123"/>
      <c r="C42" s="127"/>
      <c r="D42" s="127" t="s">
        <v>2049</v>
      </c>
      <c r="E42" s="127"/>
      <c r="F42" s="127"/>
      <c r="G42" s="117"/>
      <c r="H42" s="118"/>
      <c r="I42" s="1382" t="s">
        <v>498</v>
      </c>
      <c r="J42" s="297">
        <v>0</v>
      </c>
      <c r="K42" s="299">
        <v>0</v>
      </c>
      <c r="L42" s="297">
        <v>0</v>
      </c>
      <c r="M42" s="298">
        <v>0</v>
      </c>
      <c r="N42" s="298">
        <v>0</v>
      </c>
      <c r="O42" s="298">
        <v>0</v>
      </c>
      <c r="P42" s="299">
        <v>0</v>
      </c>
      <c r="Q42" s="118"/>
      <c r="R42" s="1382" t="s">
        <v>2233</v>
      </c>
      <c r="S42" s="297">
        <v>0</v>
      </c>
      <c r="T42" s="299">
        <v>0</v>
      </c>
      <c r="U42" s="297">
        <v>0</v>
      </c>
      <c r="V42" s="298">
        <v>0</v>
      </c>
      <c r="W42" s="298">
        <v>0</v>
      </c>
      <c r="X42" s="298">
        <v>0</v>
      </c>
      <c r="Y42" s="299">
        <v>0</v>
      </c>
      <c r="Z42" s="118"/>
      <c r="AA42" s="1773">
        <v>0</v>
      </c>
    </row>
    <row r="43" spans="2:27" ht="14.25">
      <c r="B43" s="123"/>
      <c r="C43" s="127"/>
      <c r="D43" s="127" t="s">
        <v>1843</v>
      </c>
      <c r="E43" s="127"/>
      <c r="F43" s="127"/>
      <c r="G43" s="117"/>
      <c r="H43" s="118"/>
      <c r="I43" s="1382" t="s">
        <v>498</v>
      </c>
      <c r="J43" s="297">
        <v>4.1343391826228064</v>
      </c>
      <c r="K43" s="299">
        <v>3.8217970398116994</v>
      </c>
      <c r="L43" s="297">
        <v>3.4482374226008417</v>
      </c>
      <c r="M43" s="298">
        <v>3.4309962354878376</v>
      </c>
      <c r="N43" s="298">
        <v>3.4138412543103991</v>
      </c>
      <c r="O43" s="298">
        <v>3.3967720480388466</v>
      </c>
      <c r="P43" s="299">
        <v>3.3797881877986522</v>
      </c>
      <c r="Q43" s="118"/>
      <c r="R43" s="1382" t="s">
        <v>2233</v>
      </c>
      <c r="S43" s="297">
        <v>15779</v>
      </c>
      <c r="T43" s="299">
        <v>14921</v>
      </c>
      <c r="U43" s="297">
        <v>14076</v>
      </c>
      <c r="V43" s="298">
        <v>14076</v>
      </c>
      <c r="W43" s="298">
        <v>14076</v>
      </c>
      <c r="X43" s="298">
        <v>14076</v>
      </c>
      <c r="Y43" s="299">
        <v>14076</v>
      </c>
      <c r="Z43" s="118"/>
      <c r="AA43" s="1773">
        <v>0</v>
      </c>
    </row>
    <row r="44" spans="2:27" ht="14.25">
      <c r="B44" s="123"/>
      <c r="C44" s="127"/>
      <c r="D44" s="127" t="s">
        <v>2524</v>
      </c>
      <c r="E44" s="127"/>
      <c r="F44" s="127"/>
      <c r="G44" s="117"/>
      <c r="H44" s="118"/>
      <c r="I44" s="1382" t="s">
        <v>498</v>
      </c>
      <c r="J44" s="297">
        <v>0</v>
      </c>
      <c r="K44" s="299">
        <v>0</v>
      </c>
      <c r="L44" s="297">
        <v>5.9671587370629643E-2</v>
      </c>
      <c r="M44" s="298">
        <v>5.9373229433776493E-2</v>
      </c>
      <c r="N44" s="298">
        <v>5.9076363286607612E-2</v>
      </c>
      <c r="O44" s="298">
        <v>5.8780981470174576E-2</v>
      </c>
      <c r="P44" s="299">
        <v>5.8487076562823703E-2</v>
      </c>
      <c r="Q44" s="118"/>
      <c r="R44" s="1382" t="s">
        <v>3465</v>
      </c>
      <c r="S44" s="297">
        <v>0</v>
      </c>
      <c r="T44" s="299">
        <v>0</v>
      </c>
      <c r="U44" s="297">
        <v>4</v>
      </c>
      <c r="V44" s="298">
        <v>4</v>
      </c>
      <c r="W44" s="298">
        <v>4</v>
      </c>
      <c r="X44" s="298">
        <v>4</v>
      </c>
      <c r="Y44" s="299">
        <v>4</v>
      </c>
      <c r="Z44" s="118"/>
      <c r="AA44" s="1773">
        <v>0</v>
      </c>
    </row>
    <row r="45" spans="2:27" ht="14.25">
      <c r="B45" s="123"/>
      <c r="C45" s="127"/>
      <c r="D45" s="127" t="s">
        <v>3466</v>
      </c>
      <c r="E45" s="127"/>
      <c r="F45" s="127"/>
      <c r="G45" s="117"/>
      <c r="H45" s="118"/>
      <c r="I45" s="1382" t="s">
        <v>498</v>
      </c>
      <c r="J45" s="297">
        <v>0.5</v>
      </c>
      <c r="K45" s="299">
        <v>0.5</v>
      </c>
      <c r="L45" s="297">
        <v>0</v>
      </c>
      <c r="M45" s="298">
        <v>0</v>
      </c>
      <c r="N45" s="298">
        <v>0</v>
      </c>
      <c r="O45" s="298">
        <v>0</v>
      </c>
      <c r="P45" s="299">
        <v>0</v>
      </c>
      <c r="Q45" s="118"/>
      <c r="R45" s="1382" t="s">
        <v>3465</v>
      </c>
      <c r="S45" s="297">
        <v>4</v>
      </c>
      <c r="T45" s="299">
        <v>5</v>
      </c>
      <c r="U45" s="297">
        <v>0</v>
      </c>
      <c r="V45" s="298">
        <v>0</v>
      </c>
      <c r="W45" s="298">
        <v>0</v>
      </c>
      <c r="X45" s="298">
        <v>0</v>
      </c>
      <c r="Y45" s="299">
        <v>0</v>
      </c>
      <c r="Z45" s="118"/>
      <c r="AA45" s="1773">
        <v>0</v>
      </c>
    </row>
    <row r="46" spans="2:27" ht="14.25">
      <c r="B46" s="123"/>
      <c r="C46" s="127"/>
      <c r="D46" s="127" t="s">
        <v>3467</v>
      </c>
      <c r="E46" s="127"/>
      <c r="F46" s="127"/>
      <c r="G46" s="117"/>
      <c r="H46" s="118"/>
      <c r="I46" s="1382" t="s">
        <v>498</v>
      </c>
      <c r="J46" s="297">
        <v>0.25</v>
      </c>
      <c r="K46" s="299">
        <v>0.6</v>
      </c>
      <c r="L46" s="297">
        <v>0.34854760090113951</v>
      </c>
      <c r="M46" s="298">
        <v>0.30177171108528983</v>
      </c>
      <c r="N46" s="298">
        <v>0.13177449690566306</v>
      </c>
      <c r="O46" s="298">
        <v>0.26354899381132613</v>
      </c>
      <c r="P46" s="299">
        <v>0.69709520180227902</v>
      </c>
      <c r="Q46" s="118"/>
      <c r="R46" s="1382" t="s">
        <v>3465</v>
      </c>
      <c r="S46" s="297">
        <v>2</v>
      </c>
      <c r="T46" s="299">
        <v>14</v>
      </c>
      <c r="U46" s="297">
        <v>5</v>
      </c>
      <c r="V46" s="298">
        <v>4</v>
      </c>
      <c r="W46" s="298">
        <v>2</v>
      </c>
      <c r="X46" s="298">
        <v>4</v>
      </c>
      <c r="Y46" s="299">
        <v>10</v>
      </c>
      <c r="Z46" s="118"/>
      <c r="AA46" s="1773">
        <v>0</v>
      </c>
    </row>
    <row r="47" spans="2:27" ht="14.25">
      <c r="B47" s="123"/>
      <c r="C47" s="127"/>
      <c r="D47" s="127" t="s">
        <v>3468</v>
      </c>
      <c r="E47" s="127"/>
      <c r="F47" s="127"/>
      <c r="G47" s="117"/>
      <c r="H47" s="118"/>
      <c r="I47" s="1382" t="s">
        <v>498</v>
      </c>
      <c r="J47" s="297">
        <v>0.7</v>
      </c>
      <c r="K47" s="299">
        <v>0.8</v>
      </c>
      <c r="L47" s="297">
        <v>0.51699980905720921</v>
      </c>
      <c r="M47" s="298">
        <v>0.4029169177734746</v>
      </c>
      <c r="N47" s="298">
        <v>0.2995169559620327</v>
      </c>
      <c r="O47" s="298">
        <v>0.2995169559620327</v>
      </c>
      <c r="P47" s="299">
        <v>0.2995169559620327</v>
      </c>
      <c r="Q47" s="118"/>
      <c r="R47" s="1382" t="s">
        <v>3465</v>
      </c>
      <c r="S47" s="297">
        <v>3</v>
      </c>
      <c r="T47" s="299">
        <v>4</v>
      </c>
      <c r="U47" s="297">
        <v>1</v>
      </c>
      <c r="V47" s="298">
        <v>2</v>
      </c>
      <c r="W47" s="298">
        <v>2</v>
      </c>
      <c r="X47" s="298">
        <v>2</v>
      </c>
      <c r="Y47" s="299">
        <v>2</v>
      </c>
      <c r="Z47" s="118"/>
      <c r="AA47" s="1773">
        <v>0</v>
      </c>
    </row>
    <row r="48" spans="2:27" ht="14.25">
      <c r="B48" s="123"/>
      <c r="C48" s="127"/>
      <c r="D48" s="127" t="s">
        <v>3469</v>
      </c>
      <c r="E48" s="127"/>
      <c r="F48" s="127"/>
      <c r="G48" s="117"/>
      <c r="H48" s="118"/>
      <c r="I48" s="1382" t="s">
        <v>498</v>
      </c>
      <c r="J48" s="297">
        <v>0.125</v>
      </c>
      <c r="K48" s="299">
        <v>0.7</v>
      </c>
      <c r="L48" s="297">
        <v>0.15318946362471828</v>
      </c>
      <c r="M48" s="298">
        <v>0.56678931087048556</v>
      </c>
      <c r="N48" s="298">
        <v>0.67018927268192752</v>
      </c>
      <c r="O48" s="298">
        <v>0.67018927268192752</v>
      </c>
      <c r="P48" s="299">
        <v>0.67018927268192752</v>
      </c>
      <c r="Q48" s="118"/>
      <c r="R48" s="1382" t="s">
        <v>3465</v>
      </c>
      <c r="S48" s="297">
        <v>2</v>
      </c>
      <c r="T48" s="299">
        <v>17</v>
      </c>
      <c r="U48" s="297">
        <v>9</v>
      </c>
      <c r="V48" s="298">
        <v>6</v>
      </c>
      <c r="W48" s="298">
        <v>14</v>
      </c>
      <c r="X48" s="298">
        <v>12</v>
      </c>
      <c r="Y48" s="299">
        <v>7</v>
      </c>
      <c r="Z48" s="118"/>
      <c r="AA48" s="1773">
        <v>0</v>
      </c>
    </row>
    <row r="49" spans="2:27" ht="14.25">
      <c r="B49" s="123"/>
      <c r="C49" s="127"/>
      <c r="D49" s="127" t="s">
        <v>3470</v>
      </c>
      <c r="E49" s="127"/>
      <c r="F49" s="127"/>
      <c r="G49" s="117"/>
      <c r="H49" s="118"/>
      <c r="I49" s="1382" t="s">
        <v>498</v>
      </c>
      <c r="J49" s="297">
        <v>2.1</v>
      </c>
      <c r="K49" s="299">
        <v>0.4</v>
      </c>
      <c r="L49" s="297">
        <v>0</v>
      </c>
      <c r="M49" s="298">
        <v>0.13933647922957274</v>
      </c>
      <c r="N49" s="298">
        <v>0.13933647922957274</v>
      </c>
      <c r="O49" s="298">
        <v>0.97155024963233672</v>
      </c>
      <c r="P49" s="299">
        <v>1.1973997381190706</v>
      </c>
      <c r="Q49" s="118"/>
      <c r="R49" s="1382" t="s">
        <v>3465</v>
      </c>
      <c r="S49" s="297">
        <v>2</v>
      </c>
      <c r="T49" s="299">
        <v>1</v>
      </c>
      <c r="U49" s="297">
        <v>1</v>
      </c>
      <c r="V49" s="298">
        <v>3</v>
      </c>
      <c r="W49" s="298">
        <v>1</v>
      </c>
      <c r="X49" s="298">
        <v>2</v>
      </c>
      <c r="Y49" s="299">
        <v>1</v>
      </c>
      <c r="Z49" s="118"/>
      <c r="AA49" s="1773">
        <v>0</v>
      </c>
    </row>
    <row r="50" spans="2:27" ht="14.25">
      <c r="B50" s="123"/>
      <c r="C50" s="127"/>
      <c r="D50" s="127" t="s">
        <v>3471</v>
      </c>
      <c r="E50" s="127"/>
      <c r="F50" s="127"/>
      <c r="G50" s="117"/>
      <c r="H50" s="118"/>
      <c r="I50" s="1382" t="s">
        <v>498</v>
      </c>
      <c r="J50" s="297">
        <v>0.6</v>
      </c>
      <c r="K50" s="299">
        <v>0.9</v>
      </c>
      <c r="L50" s="297">
        <v>2.5242356641357473</v>
      </c>
      <c r="M50" s="298">
        <v>2.5337691586083122</v>
      </c>
      <c r="N50" s="298">
        <v>2.575271387371072</v>
      </c>
      <c r="O50" s="298">
        <v>0.93616704470616363</v>
      </c>
      <c r="P50" s="299">
        <v>0.71659657184302838</v>
      </c>
      <c r="Q50" s="118"/>
      <c r="R50" s="1382" t="s">
        <v>3465</v>
      </c>
      <c r="S50" s="297">
        <v>6</v>
      </c>
      <c r="T50" s="299">
        <v>11</v>
      </c>
      <c r="U50" s="297">
        <v>13</v>
      </c>
      <c r="V50" s="298">
        <v>12</v>
      </c>
      <c r="W50" s="298">
        <v>8</v>
      </c>
      <c r="X50" s="298">
        <v>7</v>
      </c>
      <c r="Y50" s="299">
        <v>6</v>
      </c>
      <c r="Z50" s="118"/>
      <c r="AA50" s="1773">
        <v>0</v>
      </c>
    </row>
    <row r="51" spans="2:27" ht="14.25">
      <c r="B51" s="123"/>
      <c r="C51" s="127"/>
      <c r="D51" s="127" t="s">
        <v>3472</v>
      </c>
      <c r="E51" s="127"/>
      <c r="F51" s="127"/>
      <c r="G51" s="117"/>
      <c r="H51" s="118"/>
      <c r="I51" s="1382" t="s">
        <v>498</v>
      </c>
      <c r="J51" s="297">
        <v>0.6</v>
      </c>
      <c r="K51" s="299">
        <v>0.3</v>
      </c>
      <c r="L51" s="297">
        <v>0.32353283181745113</v>
      </c>
      <c r="M51" s="298">
        <v>0.32353283181745113</v>
      </c>
      <c r="N51" s="298">
        <v>0.32353283181745113</v>
      </c>
      <c r="O51" s="298">
        <v>0.32353283181745113</v>
      </c>
      <c r="P51" s="299">
        <v>0</v>
      </c>
      <c r="Q51" s="118"/>
      <c r="R51" s="1382" t="s">
        <v>3465</v>
      </c>
      <c r="S51" s="297">
        <v>6</v>
      </c>
      <c r="T51" s="299">
        <v>3</v>
      </c>
      <c r="U51" s="297">
        <v>3</v>
      </c>
      <c r="V51" s="298">
        <v>4</v>
      </c>
      <c r="W51" s="298">
        <v>3</v>
      </c>
      <c r="X51" s="298">
        <v>3</v>
      </c>
      <c r="Y51" s="299">
        <v>2</v>
      </c>
      <c r="Z51" s="118"/>
      <c r="AA51" s="1773">
        <v>0</v>
      </c>
    </row>
    <row r="52" spans="2:27" ht="14.25">
      <c r="B52" s="123"/>
      <c r="C52" s="127"/>
      <c r="D52" s="127" t="s">
        <v>1837</v>
      </c>
      <c r="E52" s="127"/>
      <c r="F52" s="127"/>
      <c r="G52" s="117"/>
      <c r="H52" s="118"/>
      <c r="I52" s="1382" t="s">
        <v>498</v>
      </c>
      <c r="J52" s="297">
        <v>1.5191422051692838</v>
      </c>
      <c r="K52" s="299">
        <v>0.69131021881286292</v>
      </c>
      <c r="L52" s="297">
        <v>0.27182538468152023</v>
      </c>
      <c r="M52" s="298">
        <v>0.27182538468152023</v>
      </c>
      <c r="N52" s="298">
        <v>0.27182538468152023</v>
      </c>
      <c r="O52" s="298">
        <v>0.27182538468152023</v>
      </c>
      <c r="P52" s="299">
        <v>0.27182538468152023</v>
      </c>
      <c r="Q52" s="118"/>
      <c r="R52" s="1382" t="s">
        <v>3465</v>
      </c>
      <c r="S52" s="297">
        <v>18</v>
      </c>
      <c r="T52" s="299">
        <v>4</v>
      </c>
      <c r="U52" s="297">
        <v>7</v>
      </c>
      <c r="V52" s="298">
        <v>17</v>
      </c>
      <c r="W52" s="298">
        <v>25</v>
      </c>
      <c r="X52" s="298">
        <v>24</v>
      </c>
      <c r="Y52" s="299">
        <v>25</v>
      </c>
      <c r="Z52" s="118"/>
      <c r="AA52" s="1773">
        <v>0</v>
      </c>
    </row>
    <row r="53" spans="2:27" ht="14.25">
      <c r="B53" s="123"/>
      <c r="C53" s="127"/>
      <c r="D53" s="127" t="s">
        <v>1838</v>
      </c>
      <c r="E53" s="127"/>
      <c r="F53" s="127"/>
      <c r="G53" s="117"/>
      <c r="H53" s="118"/>
      <c r="I53" s="1382" t="s">
        <v>498</v>
      </c>
      <c r="J53" s="297">
        <v>0</v>
      </c>
      <c r="K53" s="299">
        <v>0</v>
      </c>
      <c r="L53" s="297">
        <v>0</v>
      </c>
      <c r="M53" s="298">
        <v>0</v>
      </c>
      <c r="N53" s="298">
        <v>0</v>
      </c>
      <c r="O53" s="298">
        <v>0</v>
      </c>
      <c r="P53" s="299">
        <v>0</v>
      </c>
      <c r="Q53" s="118"/>
      <c r="R53" s="1382" t="s">
        <v>3465</v>
      </c>
      <c r="S53" s="297">
        <v>0</v>
      </c>
      <c r="T53" s="299">
        <v>0</v>
      </c>
      <c r="U53" s="297">
        <v>0</v>
      </c>
      <c r="V53" s="298">
        <v>0</v>
      </c>
      <c r="W53" s="298">
        <v>0</v>
      </c>
      <c r="X53" s="298">
        <v>0</v>
      </c>
      <c r="Y53" s="299">
        <v>0</v>
      </c>
      <c r="Z53" s="118"/>
      <c r="AA53" s="1773">
        <v>0</v>
      </c>
    </row>
    <row r="54" spans="2:27" ht="15" thickBot="1">
      <c r="B54" s="123"/>
      <c r="C54" s="127"/>
      <c r="D54" s="127" t="s">
        <v>1841</v>
      </c>
      <c r="E54" s="127"/>
      <c r="F54" s="127"/>
      <c r="G54" s="117"/>
      <c r="H54" s="118"/>
      <c r="I54" s="1382" t="s">
        <v>498</v>
      </c>
      <c r="J54" s="297">
        <v>0</v>
      </c>
      <c r="K54" s="299">
        <v>0</v>
      </c>
      <c r="L54" s="297">
        <v>0</v>
      </c>
      <c r="M54" s="298">
        <v>0</v>
      </c>
      <c r="N54" s="298">
        <v>0</v>
      </c>
      <c r="O54" s="298">
        <v>0</v>
      </c>
      <c r="P54" s="299">
        <v>0</v>
      </c>
      <c r="Q54" s="118"/>
      <c r="R54" s="1382" t="s">
        <v>3465</v>
      </c>
      <c r="S54" s="645">
        <v>0</v>
      </c>
      <c r="T54" s="646">
        <v>0</v>
      </c>
      <c r="U54" s="645">
        <v>0</v>
      </c>
      <c r="V54" s="484">
        <v>0</v>
      </c>
      <c r="W54" s="484">
        <v>0</v>
      </c>
      <c r="X54" s="484">
        <v>0</v>
      </c>
      <c r="Y54" s="646">
        <v>0</v>
      </c>
      <c r="Z54" s="118"/>
      <c r="AA54" s="1773">
        <v>0</v>
      </c>
    </row>
    <row r="55" spans="2:27" ht="14.25">
      <c r="B55" s="123"/>
      <c r="C55" s="127"/>
      <c r="D55" s="127"/>
      <c r="E55" s="127"/>
      <c r="F55" s="127"/>
      <c r="G55" s="117"/>
      <c r="H55" s="118"/>
      <c r="I55" s="139"/>
      <c r="J55" s="139"/>
      <c r="K55" s="140"/>
      <c r="L55" s="139"/>
      <c r="M55" s="118"/>
      <c r="N55" s="118"/>
      <c r="O55" s="118"/>
      <c r="P55" s="140"/>
      <c r="Q55" s="118"/>
      <c r="R55" s="139"/>
      <c r="S55" s="118"/>
      <c r="T55" s="118"/>
      <c r="U55" s="118"/>
      <c r="V55" s="118"/>
      <c r="W55" s="118"/>
      <c r="X55" s="118"/>
      <c r="Y55" s="140"/>
      <c r="Z55" s="118"/>
      <c r="AA55" s="1774"/>
    </row>
    <row r="56" spans="2:27" ht="15" thickBot="1">
      <c r="B56" s="754" t="s">
        <v>1701</v>
      </c>
      <c r="C56" s="132"/>
      <c r="D56" s="132"/>
      <c r="E56" s="132"/>
      <c r="F56" s="132"/>
      <c r="G56" s="145"/>
      <c r="H56" s="133"/>
      <c r="I56" s="1383" t="s">
        <v>498</v>
      </c>
      <c r="J56" s="627">
        <f>SUM(J37:J54)</f>
        <v>10.529976122699356</v>
      </c>
      <c r="K56" s="629">
        <f t="shared" ref="K56:P56" si="1">SUM(K37:K54)</f>
        <v>8.7153493609854618</v>
      </c>
      <c r="L56" s="627">
        <f t="shared" si="1"/>
        <v>8.3095665102808169</v>
      </c>
      <c r="M56" s="628">
        <f t="shared" si="1"/>
        <v>8.693638005079281</v>
      </c>
      <c r="N56" s="628">
        <f t="shared" si="1"/>
        <v>8.5476911723378084</v>
      </c>
      <c r="O56" s="628">
        <f t="shared" si="1"/>
        <v>7.8552105088933404</v>
      </c>
      <c r="P56" s="629">
        <f t="shared" si="1"/>
        <v>7.9542251355428952</v>
      </c>
      <c r="Q56" s="133"/>
      <c r="R56" s="1768"/>
      <c r="S56" s="133"/>
      <c r="T56" s="133"/>
      <c r="U56" s="133"/>
      <c r="V56" s="133"/>
      <c r="W56" s="133"/>
      <c r="X56" s="133"/>
      <c r="Y56" s="1769"/>
      <c r="Z56" s="133"/>
      <c r="AA56" s="1775"/>
    </row>
  </sheetData>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tabColor rgb="FF00B050"/>
  </sheetPr>
  <dimension ref="A1:BB90"/>
  <sheetViews>
    <sheetView showGridLines="0" zoomScale="68" zoomScaleNormal="68" workbookViewId="0">
      <pane xSplit="7" ySplit="7" topLeftCell="H44" activePane="bottomRight" state="frozen"/>
      <selection pane="topRight" activeCell="H1" sqref="H1"/>
      <selection pane="bottomLeft" activeCell="A8" sqref="A8"/>
      <selection pane="bottomRight" activeCell="AC36" sqref="AC36"/>
    </sheetView>
  </sheetViews>
  <sheetFormatPr defaultRowHeight="12.75"/>
  <cols>
    <col min="2" max="6" width="4.375" style="174" customWidth="1"/>
    <col min="7" max="7" width="63.25" style="536" customWidth="1"/>
    <col min="8" max="8" width="15.625" style="173" customWidth="1"/>
    <col min="9" max="9" width="15.625" style="2767" customWidth="1"/>
    <col min="10" max="22" width="15.625" customWidth="1"/>
    <col min="23" max="24" width="17.125" customWidth="1"/>
    <col min="25" max="25" width="15.625" customWidth="1"/>
    <col min="26" max="26" width="22.625" style="2733" customWidth="1"/>
    <col min="27" max="27" width="34.125" style="2747" customWidth="1"/>
    <col min="28" max="28" width="30.75" style="2747" customWidth="1"/>
    <col min="29" max="29" width="98.375" style="2908" customWidth="1"/>
    <col min="30" max="31" width="36.5" customWidth="1"/>
    <col min="32" max="32" width="107.375" bestFit="1" customWidth="1"/>
    <col min="33" max="33" width="70.5" customWidth="1"/>
    <col min="34" max="34" width="73.875" customWidth="1"/>
    <col min="35" max="58" width="15.625" customWidth="1"/>
  </cols>
  <sheetData>
    <row r="1" spans="1:54" s="2" customFormat="1" ht="25.15" customHeight="1">
      <c r="A1" s="1" t="s">
        <v>0</v>
      </c>
      <c r="E1" s="3"/>
      <c r="G1" s="2609"/>
      <c r="H1" s="4" t="s">
        <v>1</v>
      </c>
      <c r="I1" s="2802"/>
      <c r="Z1" s="2730"/>
      <c r="AA1" s="2744"/>
      <c r="AB1" s="2744"/>
      <c r="AC1" s="2905"/>
    </row>
    <row r="2" spans="1:54" s="2" customFormat="1" ht="25.15" customHeight="1">
      <c r="A2" s="5" t="str">
        <f>Fixed_Data!I12</f>
        <v>MASTER</v>
      </c>
      <c r="B2" s="6"/>
      <c r="D2" s="7"/>
      <c r="E2" s="3"/>
      <c r="G2" s="2609"/>
      <c r="I2" s="2802"/>
      <c r="Z2" s="2730"/>
      <c r="AA2" s="2744"/>
      <c r="AB2" s="2744"/>
      <c r="AC2" s="2905"/>
    </row>
    <row r="3" spans="1:54" s="9" customFormat="1" ht="25.15" customHeight="1" thickBot="1">
      <c r="A3" s="8" t="str">
        <f>Fixed_Data!A3</f>
        <v>RIIO-GD2</v>
      </c>
      <c r="D3" s="10"/>
      <c r="E3" s="11"/>
      <c r="G3" s="2610"/>
      <c r="I3" s="2803"/>
      <c r="Z3" s="2731"/>
      <c r="AA3" s="2745"/>
      <c r="AB3" s="2745"/>
      <c r="AC3" s="2906"/>
    </row>
    <row r="4" spans="1:54" s="89" customFormat="1" ht="25.15" customHeight="1">
      <c r="B4" s="90" t="s">
        <v>3476</v>
      </c>
      <c r="C4" s="90"/>
      <c r="D4" s="90"/>
      <c r="E4" s="90"/>
      <c r="F4" s="90"/>
      <c r="G4" s="2611"/>
      <c r="H4" s="92"/>
      <c r="I4" s="2732"/>
      <c r="J4" s="92"/>
      <c r="K4" s="92"/>
      <c r="L4" s="92"/>
      <c r="M4" s="92"/>
      <c r="N4" s="92"/>
      <c r="O4" s="92"/>
      <c r="P4" s="93"/>
      <c r="Q4" s="94"/>
      <c r="R4" s="94"/>
      <c r="S4" s="94"/>
      <c r="T4" s="92"/>
      <c r="U4" s="93"/>
      <c r="V4" s="92"/>
      <c r="W4" s="93"/>
      <c r="X4" s="94"/>
      <c r="Y4" s="92"/>
      <c r="Z4" s="2732"/>
      <c r="AA4" s="2746"/>
      <c r="AB4" s="2746"/>
      <c r="AC4" s="2907"/>
      <c r="AD4" s="94"/>
      <c r="AE4" s="94"/>
      <c r="AF4" s="94"/>
      <c r="AG4" s="94"/>
      <c r="AH4" s="92"/>
      <c r="AI4" s="92"/>
      <c r="AJ4" s="92"/>
      <c r="AK4" s="94"/>
      <c r="AL4" s="92"/>
      <c r="AM4" s="92"/>
      <c r="AN4" s="92"/>
      <c r="AO4" s="92"/>
      <c r="AP4" s="92"/>
      <c r="AQ4" s="92"/>
      <c r="AR4" s="92"/>
      <c r="AS4" s="92"/>
      <c r="AT4" s="92"/>
      <c r="AU4" s="92"/>
      <c r="AV4" s="94"/>
      <c r="AW4" s="92"/>
      <c r="AX4" s="92"/>
      <c r="AY4" s="92"/>
      <c r="AZ4" s="92"/>
      <c r="BA4" s="92"/>
      <c r="BB4" s="92"/>
    </row>
    <row r="5" spans="1:54" s="89" customFormat="1" ht="25.15" customHeight="1">
      <c r="B5" s="95" t="s">
        <v>1663</v>
      </c>
      <c r="C5" s="95"/>
      <c r="D5" s="95"/>
      <c r="E5" s="95"/>
      <c r="F5" s="95" t="s">
        <v>463</v>
      </c>
      <c r="G5" s="2612"/>
      <c r="H5" s="95"/>
      <c r="I5" s="2732"/>
      <c r="J5" s="92"/>
      <c r="K5" s="92"/>
      <c r="L5" s="92"/>
      <c r="M5" s="92"/>
      <c r="N5" s="92"/>
      <c r="O5" s="92"/>
      <c r="P5" s="93"/>
      <c r="Q5" s="94"/>
      <c r="R5" s="94"/>
      <c r="S5" s="94"/>
      <c r="T5" s="92"/>
      <c r="U5" s="93"/>
      <c r="V5" s="92"/>
      <c r="W5" s="93"/>
      <c r="X5" s="94"/>
      <c r="Y5" s="92"/>
      <c r="Z5" s="2732"/>
      <c r="AA5" s="2746"/>
      <c r="AB5" s="2746"/>
      <c r="AC5" s="2907"/>
      <c r="AD5" s="94"/>
      <c r="AE5" s="94"/>
      <c r="AF5" s="94"/>
      <c r="AG5" s="94"/>
      <c r="AH5" s="92"/>
      <c r="AI5" s="92"/>
      <c r="AJ5" s="92"/>
      <c r="AK5" s="94"/>
      <c r="AL5" s="92"/>
      <c r="AM5" s="92"/>
      <c r="AN5" s="92"/>
      <c r="AO5" s="92"/>
      <c r="AP5" s="92"/>
      <c r="AQ5" s="92"/>
      <c r="AR5" s="92"/>
      <c r="AS5" s="92"/>
      <c r="AT5" s="92"/>
      <c r="AU5" s="92"/>
      <c r="AV5" s="94"/>
      <c r="AW5" s="92"/>
      <c r="AX5" s="92"/>
      <c r="AY5" s="92"/>
      <c r="AZ5" s="92"/>
      <c r="BA5" s="92"/>
      <c r="BB5" s="92"/>
    </row>
    <row r="6" spans="1:54" ht="14.25">
      <c r="B6" s="95"/>
      <c r="C6" s="95"/>
      <c r="D6" s="95"/>
      <c r="E6" s="95"/>
      <c r="F6" s="95"/>
      <c r="G6" s="2612"/>
      <c r="H6" s="95"/>
    </row>
    <row r="7" spans="1:54" ht="15" thickBot="1">
      <c r="B7" s="95"/>
      <c r="C7" s="95"/>
      <c r="D7" s="95"/>
      <c r="E7" s="95"/>
      <c r="F7" s="95"/>
      <c r="G7" s="2612"/>
      <c r="H7" s="95"/>
    </row>
    <row r="8" spans="1:54" ht="30" customHeight="1">
      <c r="B8" s="621" t="s">
        <v>3477</v>
      </c>
      <c r="C8" s="102"/>
      <c r="D8" s="102"/>
      <c r="E8" s="102"/>
      <c r="F8" s="102"/>
      <c r="G8" s="2613"/>
      <c r="H8" s="104"/>
      <c r="I8" s="2734" t="s">
        <v>3478</v>
      </c>
      <c r="J8" s="105"/>
      <c r="K8" s="105"/>
      <c r="L8" s="105"/>
      <c r="M8" s="105"/>
      <c r="N8" s="187"/>
      <c r="O8" s="104"/>
      <c r="P8" s="611" t="s">
        <v>3479</v>
      </c>
      <c r="Q8" s="105"/>
      <c r="R8" s="105"/>
      <c r="S8" s="105"/>
      <c r="T8" s="105"/>
      <c r="U8" s="187"/>
      <c r="V8" s="104"/>
      <c r="W8" s="611" t="s">
        <v>3480</v>
      </c>
      <c r="X8" s="187"/>
      <c r="Y8" s="104"/>
      <c r="Z8" s="2734" t="s">
        <v>1693</v>
      </c>
      <c r="AA8" s="2748"/>
      <c r="AB8" s="2748"/>
      <c r="AC8" s="2909"/>
      <c r="AD8" s="105"/>
      <c r="AE8" s="105"/>
      <c r="AF8" s="187"/>
    </row>
    <row r="9" spans="1:54" ht="30" customHeight="1">
      <c r="B9" s="109"/>
      <c r="C9" s="110"/>
      <c r="D9" s="110"/>
      <c r="E9" s="110"/>
      <c r="F9" s="110"/>
      <c r="G9" s="2614"/>
      <c r="H9" s="112"/>
      <c r="I9" s="2804"/>
      <c r="J9" s="1776" t="s">
        <v>2</v>
      </c>
      <c r="K9" s="1776"/>
      <c r="L9" s="1776"/>
      <c r="M9" s="1776"/>
      <c r="N9" s="1777"/>
      <c r="O9" s="112"/>
      <c r="P9" s="1778"/>
      <c r="Q9" s="1779" t="s">
        <v>2</v>
      </c>
      <c r="R9" s="1779"/>
      <c r="S9" s="1779"/>
      <c r="T9" s="1779"/>
      <c r="U9" s="1780"/>
      <c r="V9" s="112"/>
      <c r="W9" s="1778"/>
      <c r="X9" s="1780" t="s">
        <v>1127</v>
      </c>
      <c r="Y9" s="112"/>
      <c r="Z9" s="2735"/>
      <c r="AA9" s="2749"/>
      <c r="AB9" s="2749"/>
      <c r="AC9" s="2910"/>
      <c r="AD9" s="1405"/>
      <c r="AE9" s="1405"/>
      <c r="AF9" s="1412"/>
    </row>
    <row r="10" spans="1:54" s="1761" customFormat="1" ht="30" customHeight="1">
      <c r="B10" s="115"/>
      <c r="C10" s="116"/>
      <c r="D10" s="116"/>
      <c r="E10" s="116"/>
      <c r="F10" s="116"/>
      <c r="G10" s="2769"/>
      <c r="H10" s="118"/>
      <c r="I10" s="2804" t="s">
        <v>1745</v>
      </c>
      <c r="J10" s="137" t="s">
        <v>469</v>
      </c>
      <c r="K10" s="121" t="s">
        <v>471</v>
      </c>
      <c r="L10" s="121" t="s">
        <v>473</v>
      </c>
      <c r="M10" s="121" t="s">
        <v>475</v>
      </c>
      <c r="N10" s="122" t="s">
        <v>477</v>
      </c>
      <c r="O10" s="118"/>
      <c r="P10" s="1781" t="s">
        <v>1745</v>
      </c>
      <c r="Q10" s="137" t="s">
        <v>469</v>
      </c>
      <c r="R10" s="137" t="s">
        <v>471</v>
      </c>
      <c r="S10" s="137" t="s">
        <v>473</v>
      </c>
      <c r="T10" s="137" t="s">
        <v>475</v>
      </c>
      <c r="U10" s="138" t="s">
        <v>477</v>
      </c>
      <c r="V10" s="118"/>
      <c r="W10" s="1781" t="s">
        <v>1745</v>
      </c>
      <c r="X10" s="138" t="s">
        <v>3481</v>
      </c>
      <c r="Y10" s="118"/>
      <c r="Z10" s="2736" t="s">
        <v>3482</v>
      </c>
      <c r="AA10" s="2750" t="s">
        <v>1694</v>
      </c>
      <c r="AB10" s="2750" t="s">
        <v>3483</v>
      </c>
      <c r="AC10" s="2911" t="s">
        <v>3484</v>
      </c>
      <c r="AD10" s="1782" t="s">
        <v>3485</v>
      </c>
      <c r="AE10" s="1782" t="s">
        <v>3486</v>
      </c>
      <c r="AF10" s="1762" t="s">
        <v>3487</v>
      </c>
    </row>
    <row r="11" spans="1:54" ht="15">
      <c r="B11" s="115"/>
      <c r="C11" s="116" t="s">
        <v>3488</v>
      </c>
      <c r="D11" s="116"/>
      <c r="E11" s="116"/>
      <c r="F11" s="116"/>
      <c r="G11" s="2769"/>
      <c r="H11" s="118"/>
      <c r="I11" s="2805"/>
      <c r="J11" s="259"/>
      <c r="K11" s="259"/>
      <c r="L11" s="259"/>
      <c r="M11" s="259"/>
      <c r="N11" s="296"/>
      <c r="O11" s="118"/>
      <c r="P11" s="1763"/>
      <c r="Q11" s="259"/>
      <c r="R11" s="259"/>
      <c r="S11" s="259"/>
      <c r="T11" s="259"/>
      <c r="U11" s="296"/>
      <c r="V11" s="118"/>
      <c r="W11" s="1763"/>
      <c r="X11" s="296"/>
      <c r="Y11" s="118"/>
      <c r="Z11" s="2737"/>
      <c r="AA11" s="2751"/>
      <c r="AB11" s="2751"/>
      <c r="AC11" s="2912"/>
      <c r="AD11" s="1764"/>
      <c r="AE11" s="1764"/>
      <c r="AF11" s="1765"/>
    </row>
    <row r="12" spans="1:54" s="2621" customFormat="1" ht="69.75" customHeight="1">
      <c r="B12" s="2622"/>
      <c r="C12" s="2608"/>
      <c r="D12" s="2608"/>
      <c r="E12" s="2608"/>
      <c r="F12" s="2608"/>
      <c r="G12" s="2759" t="s">
        <v>3489</v>
      </c>
      <c r="H12" s="2623"/>
      <c r="I12" s="2761" t="s">
        <v>498</v>
      </c>
      <c r="J12" s="2624">
        <v>0</v>
      </c>
      <c r="K12" s="2624">
        <v>0</v>
      </c>
      <c r="L12" s="2624">
        <v>0</v>
      </c>
      <c r="M12" s="2624">
        <v>0</v>
      </c>
      <c r="N12" s="2625">
        <v>0</v>
      </c>
      <c r="O12" s="2623"/>
      <c r="P12" s="2626">
        <v>0</v>
      </c>
      <c r="Q12" s="2627">
        <v>0</v>
      </c>
      <c r="R12" s="2624">
        <v>0</v>
      </c>
      <c r="S12" s="2624">
        <v>0</v>
      </c>
      <c r="T12" s="2624">
        <v>0</v>
      </c>
      <c r="U12" s="2625">
        <v>0</v>
      </c>
      <c r="V12" s="2623"/>
      <c r="W12" s="2679" t="s">
        <v>498</v>
      </c>
      <c r="X12" s="2624">
        <v>0</v>
      </c>
      <c r="Y12" s="2623"/>
      <c r="Z12" s="2738" t="s">
        <v>59</v>
      </c>
      <c r="AA12" s="2752" t="s">
        <v>3628</v>
      </c>
      <c r="AB12" s="2752" t="s">
        <v>3491</v>
      </c>
      <c r="AC12" s="2916" t="s">
        <v>3634</v>
      </c>
      <c r="AD12" s="2620" t="s">
        <v>3492</v>
      </c>
      <c r="AE12" s="2620" t="s">
        <v>3492</v>
      </c>
      <c r="AF12" s="2628">
        <v>0</v>
      </c>
    </row>
    <row r="13" spans="1:54" s="1761" customFormat="1" ht="38.25">
      <c r="B13" s="123"/>
      <c r="C13" s="127"/>
      <c r="D13" s="127"/>
      <c r="E13" s="127"/>
      <c r="F13" s="127"/>
      <c r="G13" s="2759" t="s">
        <v>3493</v>
      </c>
      <c r="H13" s="118"/>
      <c r="I13" s="2761" t="s">
        <v>498</v>
      </c>
      <c r="J13" s="141">
        <v>0</v>
      </c>
      <c r="K13" s="141">
        <v>0</v>
      </c>
      <c r="L13" s="141">
        <v>0</v>
      </c>
      <c r="M13" s="141">
        <v>0</v>
      </c>
      <c r="N13" s="144">
        <v>0</v>
      </c>
      <c r="O13" s="118"/>
      <c r="P13" s="143">
        <v>0</v>
      </c>
      <c r="Q13" s="345">
        <v>0</v>
      </c>
      <c r="R13" s="141">
        <v>0</v>
      </c>
      <c r="S13" s="141">
        <v>0</v>
      </c>
      <c r="T13" s="141">
        <v>0</v>
      </c>
      <c r="U13" s="144">
        <v>0</v>
      </c>
      <c r="V13" s="118"/>
      <c r="W13" s="2679" t="s">
        <v>498</v>
      </c>
      <c r="X13" s="141">
        <v>0</v>
      </c>
      <c r="Y13" s="118"/>
      <c r="Z13" s="2739" t="s">
        <v>36</v>
      </c>
      <c r="AA13" s="2753" t="s">
        <v>3494</v>
      </c>
      <c r="AB13" s="2753" t="s">
        <v>3495</v>
      </c>
      <c r="AC13" s="2916" t="s">
        <v>3633</v>
      </c>
      <c r="AD13" s="2680" t="s">
        <v>3492</v>
      </c>
      <c r="AE13" s="2680" t="s">
        <v>3492</v>
      </c>
      <c r="AF13" s="2681">
        <v>0</v>
      </c>
    </row>
    <row r="14" spans="1:54" s="1761" customFormat="1" ht="38.25">
      <c r="B14" s="123"/>
      <c r="C14" s="127"/>
      <c r="D14" s="127"/>
      <c r="E14" s="127"/>
      <c r="F14" s="127"/>
      <c r="G14" s="2759" t="s">
        <v>3496</v>
      </c>
      <c r="H14" s="118"/>
      <c r="I14" s="2761" t="s">
        <v>498</v>
      </c>
      <c r="J14" s="141">
        <v>0</v>
      </c>
      <c r="K14" s="141">
        <v>0</v>
      </c>
      <c r="L14" s="141">
        <v>0</v>
      </c>
      <c r="M14" s="141">
        <v>0</v>
      </c>
      <c r="N14" s="144">
        <v>0</v>
      </c>
      <c r="O14" s="118"/>
      <c r="P14" s="143">
        <v>0</v>
      </c>
      <c r="Q14" s="345">
        <v>0</v>
      </c>
      <c r="R14" s="141">
        <v>0</v>
      </c>
      <c r="S14" s="141">
        <v>0</v>
      </c>
      <c r="T14" s="141">
        <v>0</v>
      </c>
      <c r="U14" s="144">
        <v>0</v>
      </c>
      <c r="V14" s="118"/>
      <c r="W14" s="2679" t="s">
        <v>498</v>
      </c>
      <c r="X14" s="141">
        <v>0</v>
      </c>
      <c r="Y14" s="118"/>
      <c r="Z14" s="2739" t="s">
        <v>36</v>
      </c>
      <c r="AA14" s="2753" t="s">
        <v>3494</v>
      </c>
      <c r="AB14" s="2753" t="s">
        <v>3497</v>
      </c>
      <c r="AC14" s="2916" t="s">
        <v>3633</v>
      </c>
      <c r="AD14" s="2680" t="s">
        <v>3492</v>
      </c>
      <c r="AE14" s="2680" t="s">
        <v>3492</v>
      </c>
      <c r="AF14" s="2681">
        <v>0</v>
      </c>
    </row>
    <row r="15" spans="1:54" s="1761" customFormat="1" ht="38.25">
      <c r="B15" s="123"/>
      <c r="C15" s="127"/>
      <c r="D15" s="127"/>
      <c r="E15" s="127"/>
      <c r="F15" s="127"/>
      <c r="G15" s="2759" t="s">
        <v>3498</v>
      </c>
      <c r="H15" s="118"/>
      <c r="I15" s="2761" t="s">
        <v>498</v>
      </c>
      <c r="J15" s="141">
        <v>0</v>
      </c>
      <c r="K15" s="141">
        <v>0</v>
      </c>
      <c r="L15" s="141">
        <v>0</v>
      </c>
      <c r="M15" s="141">
        <v>0</v>
      </c>
      <c r="N15" s="144">
        <v>0</v>
      </c>
      <c r="O15" s="118"/>
      <c r="P15" s="143">
        <v>0</v>
      </c>
      <c r="Q15" s="345">
        <v>0</v>
      </c>
      <c r="R15" s="141">
        <v>0</v>
      </c>
      <c r="S15" s="141">
        <v>0</v>
      </c>
      <c r="T15" s="141">
        <v>0</v>
      </c>
      <c r="U15" s="144">
        <v>0</v>
      </c>
      <c r="V15" s="118"/>
      <c r="W15" s="2679" t="s">
        <v>498</v>
      </c>
      <c r="X15" s="141">
        <v>0</v>
      </c>
      <c r="Y15" s="118"/>
      <c r="Z15" s="2739" t="s">
        <v>36</v>
      </c>
      <c r="AA15" s="2753" t="s">
        <v>3494</v>
      </c>
      <c r="AB15" s="2753" t="s">
        <v>3497</v>
      </c>
      <c r="AC15" s="2916" t="s">
        <v>3633</v>
      </c>
      <c r="AD15" s="2680" t="s">
        <v>3492</v>
      </c>
      <c r="AE15" s="2680" t="s">
        <v>3492</v>
      </c>
      <c r="AF15" s="2681">
        <v>0</v>
      </c>
    </row>
    <row r="16" spans="1:54" s="1761" customFormat="1" ht="114">
      <c r="B16" s="123"/>
      <c r="C16" s="127"/>
      <c r="D16" s="127"/>
      <c r="E16" s="127"/>
      <c r="F16" s="127"/>
      <c r="G16" s="2759" t="s">
        <v>3501</v>
      </c>
      <c r="H16" s="118"/>
      <c r="I16" s="2761" t="s">
        <v>498</v>
      </c>
      <c r="J16" s="141">
        <v>0</v>
      </c>
      <c r="K16" s="141">
        <v>0</v>
      </c>
      <c r="L16" s="141">
        <v>0</v>
      </c>
      <c r="M16" s="141">
        <v>0</v>
      </c>
      <c r="N16" s="144">
        <v>0</v>
      </c>
      <c r="O16" s="118"/>
      <c r="P16" s="143">
        <v>0</v>
      </c>
      <c r="Q16" s="345">
        <v>0</v>
      </c>
      <c r="R16" s="141">
        <v>0</v>
      </c>
      <c r="S16" s="141">
        <v>0</v>
      </c>
      <c r="T16" s="141">
        <v>0</v>
      </c>
      <c r="U16" s="144">
        <v>0</v>
      </c>
      <c r="V16" s="118"/>
      <c r="W16" s="2679" t="s">
        <v>498</v>
      </c>
      <c r="X16" s="141">
        <v>0</v>
      </c>
      <c r="Y16" s="118"/>
      <c r="Z16" s="2739" t="s">
        <v>3499</v>
      </c>
      <c r="AA16" s="2753" t="s">
        <v>3623</v>
      </c>
      <c r="AB16" s="2753" t="s">
        <v>3500</v>
      </c>
      <c r="AC16" s="2916" t="s">
        <v>3636</v>
      </c>
      <c r="AD16" s="2680" t="s">
        <v>3492</v>
      </c>
      <c r="AE16" s="2680" t="s">
        <v>3492</v>
      </c>
      <c r="AF16" s="2681">
        <v>0</v>
      </c>
    </row>
    <row r="17" spans="2:32" s="1761" customFormat="1" ht="114">
      <c r="B17" s="123"/>
      <c r="C17" s="127"/>
      <c r="D17" s="127"/>
      <c r="E17" s="127"/>
      <c r="F17" s="127"/>
      <c r="G17" s="2759" t="s">
        <v>3502</v>
      </c>
      <c r="H17" s="118"/>
      <c r="I17" s="2761" t="s">
        <v>498</v>
      </c>
      <c r="J17" s="141">
        <v>0</v>
      </c>
      <c r="K17" s="141">
        <v>0</v>
      </c>
      <c r="L17" s="141">
        <v>0</v>
      </c>
      <c r="M17" s="141">
        <v>0</v>
      </c>
      <c r="N17" s="144">
        <v>0</v>
      </c>
      <c r="O17" s="118"/>
      <c r="P17" s="143">
        <v>0</v>
      </c>
      <c r="Q17" s="345">
        <v>0</v>
      </c>
      <c r="R17" s="141">
        <v>0</v>
      </c>
      <c r="S17" s="141">
        <v>0</v>
      </c>
      <c r="T17" s="141">
        <v>0</v>
      </c>
      <c r="U17" s="144">
        <v>0</v>
      </c>
      <c r="V17" s="118"/>
      <c r="W17" s="2679" t="s">
        <v>498</v>
      </c>
      <c r="X17" s="141">
        <v>0</v>
      </c>
      <c r="Y17" s="118"/>
      <c r="Z17" s="2739" t="s">
        <v>3499</v>
      </c>
      <c r="AA17" s="2753" t="s">
        <v>3623</v>
      </c>
      <c r="AB17" s="2753" t="s">
        <v>3500</v>
      </c>
      <c r="AC17" s="2916" t="s">
        <v>3635</v>
      </c>
      <c r="AD17" s="2680" t="s">
        <v>3492</v>
      </c>
      <c r="AE17" s="2680" t="s">
        <v>3492</v>
      </c>
      <c r="AF17" s="2681">
        <v>0</v>
      </c>
    </row>
    <row r="18" spans="2:32" s="1761" customFormat="1" ht="114">
      <c r="B18" s="123"/>
      <c r="C18" s="127"/>
      <c r="D18" s="127"/>
      <c r="E18" s="127"/>
      <c r="F18" s="127"/>
      <c r="G18" s="2759" t="s">
        <v>3503</v>
      </c>
      <c r="H18" s="118"/>
      <c r="I18" s="2761" t="s">
        <v>498</v>
      </c>
      <c r="J18" s="141">
        <v>0</v>
      </c>
      <c r="K18" s="141">
        <v>0</v>
      </c>
      <c r="L18" s="141">
        <v>0</v>
      </c>
      <c r="M18" s="141">
        <v>0</v>
      </c>
      <c r="N18" s="144">
        <v>0</v>
      </c>
      <c r="O18" s="118"/>
      <c r="P18" s="143">
        <v>0</v>
      </c>
      <c r="Q18" s="345">
        <v>0</v>
      </c>
      <c r="R18" s="141">
        <v>0</v>
      </c>
      <c r="S18" s="141">
        <v>0</v>
      </c>
      <c r="T18" s="141">
        <v>0</v>
      </c>
      <c r="U18" s="144">
        <v>0</v>
      </c>
      <c r="V18" s="118"/>
      <c r="W18" s="2679" t="s">
        <v>498</v>
      </c>
      <c r="X18" s="141">
        <v>0</v>
      </c>
      <c r="Y18" s="118"/>
      <c r="Z18" s="2739" t="s">
        <v>3499</v>
      </c>
      <c r="AA18" s="2753" t="s">
        <v>3623</v>
      </c>
      <c r="AB18" s="2753" t="s">
        <v>3500</v>
      </c>
      <c r="AC18" s="2916" t="s">
        <v>3637</v>
      </c>
      <c r="AD18" s="2680" t="s">
        <v>3492</v>
      </c>
      <c r="AE18" s="2680" t="s">
        <v>3492</v>
      </c>
      <c r="AF18" s="2681">
        <v>0</v>
      </c>
    </row>
    <row r="19" spans="2:32" s="1761" customFormat="1" ht="114">
      <c r="B19" s="123"/>
      <c r="C19" s="127"/>
      <c r="D19" s="127"/>
      <c r="E19" s="127"/>
      <c r="F19" s="127"/>
      <c r="G19" s="2759" t="s">
        <v>3504</v>
      </c>
      <c r="H19" s="118"/>
      <c r="I19" s="2761" t="s">
        <v>498</v>
      </c>
      <c r="J19" s="141">
        <v>0</v>
      </c>
      <c r="K19" s="141">
        <v>0</v>
      </c>
      <c r="L19" s="141">
        <v>0</v>
      </c>
      <c r="M19" s="141">
        <v>0</v>
      </c>
      <c r="N19" s="144">
        <v>0</v>
      </c>
      <c r="O19" s="118"/>
      <c r="P19" s="143">
        <v>0</v>
      </c>
      <c r="Q19" s="345">
        <v>0</v>
      </c>
      <c r="R19" s="141">
        <v>0</v>
      </c>
      <c r="S19" s="141">
        <v>0</v>
      </c>
      <c r="T19" s="141">
        <v>0</v>
      </c>
      <c r="U19" s="144">
        <v>0</v>
      </c>
      <c r="V19" s="118"/>
      <c r="W19" s="2679" t="s">
        <v>498</v>
      </c>
      <c r="X19" s="141">
        <v>0</v>
      </c>
      <c r="Y19" s="118"/>
      <c r="Z19" s="2739" t="s">
        <v>3499</v>
      </c>
      <c r="AA19" s="2753" t="s">
        <v>3623</v>
      </c>
      <c r="AB19" s="2753" t="s">
        <v>3500</v>
      </c>
      <c r="AC19" s="2916" t="s">
        <v>3638</v>
      </c>
      <c r="AD19" s="2680" t="s">
        <v>3492</v>
      </c>
      <c r="AE19" s="2680" t="s">
        <v>3492</v>
      </c>
      <c r="AF19" s="2681">
        <v>0</v>
      </c>
    </row>
    <row r="20" spans="2:32" s="1761" customFormat="1" ht="50.25" customHeight="1">
      <c r="B20" s="123"/>
      <c r="C20" s="127"/>
      <c r="D20" s="127"/>
      <c r="E20" s="127"/>
      <c r="F20" s="127"/>
      <c r="G20" s="2759" t="s">
        <v>3505</v>
      </c>
      <c r="H20" s="118"/>
      <c r="I20" s="2761" t="s">
        <v>498</v>
      </c>
      <c r="J20" s="141">
        <v>0</v>
      </c>
      <c r="K20" s="141">
        <v>0</v>
      </c>
      <c r="L20" s="141">
        <v>0</v>
      </c>
      <c r="M20" s="141">
        <v>0</v>
      </c>
      <c r="N20" s="144">
        <v>0</v>
      </c>
      <c r="O20" s="118"/>
      <c r="P20" s="143">
        <v>0</v>
      </c>
      <c r="Q20" s="345">
        <v>0</v>
      </c>
      <c r="R20" s="141">
        <v>0</v>
      </c>
      <c r="S20" s="141">
        <v>0</v>
      </c>
      <c r="T20" s="141">
        <v>0</v>
      </c>
      <c r="U20" s="144">
        <v>0</v>
      </c>
      <c r="V20" s="118"/>
      <c r="W20" s="2679" t="s">
        <v>498</v>
      </c>
      <c r="X20" s="141">
        <v>0</v>
      </c>
      <c r="Y20" s="118"/>
      <c r="Z20" s="2739" t="s">
        <v>3499</v>
      </c>
      <c r="AA20" s="2753" t="s">
        <v>3624</v>
      </c>
      <c r="AB20" s="2770">
        <v>2.0099999999999998</v>
      </c>
      <c r="AC20" s="2916" t="s">
        <v>3639</v>
      </c>
      <c r="AD20" s="2680" t="s">
        <v>3492</v>
      </c>
      <c r="AE20" s="2680" t="s">
        <v>3492</v>
      </c>
      <c r="AF20" s="2681">
        <v>0</v>
      </c>
    </row>
    <row r="21" spans="2:32" s="1761" customFormat="1" ht="77.25" customHeight="1">
      <c r="B21" s="123"/>
      <c r="C21" s="127"/>
      <c r="D21" s="127"/>
      <c r="E21" s="127"/>
      <c r="F21" s="127"/>
      <c r="G21" s="2759" t="s">
        <v>3506</v>
      </c>
      <c r="H21" s="118"/>
      <c r="I21" s="2761" t="s">
        <v>498</v>
      </c>
      <c r="J21" s="141">
        <v>0</v>
      </c>
      <c r="K21" s="141">
        <v>0</v>
      </c>
      <c r="L21" s="141">
        <v>0</v>
      </c>
      <c r="M21" s="141">
        <v>0</v>
      </c>
      <c r="N21" s="144">
        <v>0</v>
      </c>
      <c r="O21" s="118"/>
      <c r="P21" s="143">
        <v>0</v>
      </c>
      <c r="Q21" s="345">
        <v>0</v>
      </c>
      <c r="R21" s="141">
        <v>0</v>
      </c>
      <c r="S21" s="141">
        <v>0</v>
      </c>
      <c r="T21" s="141">
        <v>0</v>
      </c>
      <c r="U21" s="144">
        <v>0</v>
      </c>
      <c r="V21" s="118"/>
      <c r="W21" s="2679" t="s">
        <v>498</v>
      </c>
      <c r="X21" s="141">
        <v>8.42</v>
      </c>
      <c r="Y21" s="118"/>
      <c r="Z21" s="2739" t="s">
        <v>3499</v>
      </c>
      <c r="AA21" s="2753" t="s">
        <v>3624</v>
      </c>
      <c r="AB21" s="2770">
        <v>2.0099999999999998</v>
      </c>
      <c r="AC21" s="2916" t="s">
        <v>3640</v>
      </c>
      <c r="AD21" s="2680" t="s">
        <v>3492</v>
      </c>
      <c r="AE21" s="2680" t="s">
        <v>3492</v>
      </c>
      <c r="AF21" s="2681">
        <v>0</v>
      </c>
    </row>
    <row r="22" spans="2:32" s="1761" customFormat="1" ht="82.5" customHeight="1">
      <c r="B22" s="123"/>
      <c r="C22" s="127"/>
      <c r="D22" s="127"/>
      <c r="E22" s="127"/>
      <c r="F22" s="127"/>
      <c r="G22" s="2759" t="s">
        <v>3507</v>
      </c>
      <c r="H22" s="118"/>
      <c r="I22" s="2761" t="s">
        <v>498</v>
      </c>
      <c r="J22" s="141">
        <v>0</v>
      </c>
      <c r="K22" s="141">
        <v>0</v>
      </c>
      <c r="L22" s="141">
        <v>0</v>
      </c>
      <c r="M22" s="141">
        <v>0</v>
      </c>
      <c r="N22" s="144">
        <v>0</v>
      </c>
      <c r="O22" s="118"/>
      <c r="P22" s="143">
        <v>0</v>
      </c>
      <c r="Q22" s="345">
        <v>0</v>
      </c>
      <c r="R22" s="141">
        <v>0</v>
      </c>
      <c r="S22" s="141">
        <v>0</v>
      </c>
      <c r="T22" s="141">
        <v>0</v>
      </c>
      <c r="U22" s="144">
        <v>0</v>
      </c>
      <c r="V22" s="118"/>
      <c r="W22" s="2679" t="s">
        <v>498</v>
      </c>
      <c r="X22" s="141">
        <v>8.42</v>
      </c>
      <c r="Y22" s="118"/>
      <c r="Z22" s="2739" t="s">
        <v>3499</v>
      </c>
      <c r="AA22" s="2753" t="s">
        <v>3624</v>
      </c>
      <c r="AB22" s="2770">
        <v>2.0099999999999998</v>
      </c>
      <c r="AC22" s="2916" t="s">
        <v>3640</v>
      </c>
      <c r="AD22" s="2680" t="s">
        <v>3492</v>
      </c>
      <c r="AE22" s="2680" t="s">
        <v>3492</v>
      </c>
      <c r="AF22" s="2681"/>
    </row>
    <row r="23" spans="2:32" s="1761" customFormat="1" ht="85.5">
      <c r="B23" s="123"/>
      <c r="C23" s="127"/>
      <c r="D23" s="127"/>
      <c r="E23" s="127"/>
      <c r="F23" s="127"/>
      <c r="G23" s="2759" t="s">
        <v>3508</v>
      </c>
      <c r="H23" s="118"/>
      <c r="I23" s="2761" t="s">
        <v>498</v>
      </c>
      <c r="J23" s="141">
        <v>0</v>
      </c>
      <c r="K23" s="141">
        <v>0</v>
      </c>
      <c r="L23" s="141">
        <v>0</v>
      </c>
      <c r="M23" s="141">
        <v>0</v>
      </c>
      <c r="N23" s="144">
        <v>0</v>
      </c>
      <c r="O23" s="118"/>
      <c r="P23" s="143">
        <v>0</v>
      </c>
      <c r="Q23" s="345">
        <v>0</v>
      </c>
      <c r="R23" s="141">
        <v>0</v>
      </c>
      <c r="S23" s="141">
        <v>0</v>
      </c>
      <c r="T23" s="141">
        <v>0</v>
      </c>
      <c r="U23" s="144">
        <v>0</v>
      </c>
      <c r="V23" s="118"/>
      <c r="W23" s="2679" t="s">
        <v>498</v>
      </c>
      <c r="X23" s="141">
        <v>0</v>
      </c>
      <c r="Y23" s="118"/>
      <c r="Z23" s="2739" t="s">
        <v>3509</v>
      </c>
      <c r="AA23" s="2753" t="s">
        <v>3625</v>
      </c>
      <c r="AB23" s="2770">
        <v>2.0099999999999998</v>
      </c>
      <c r="AC23" s="2916" t="s">
        <v>3641</v>
      </c>
      <c r="AD23" s="2680" t="s">
        <v>3492</v>
      </c>
      <c r="AE23" s="2680" t="s">
        <v>3492</v>
      </c>
      <c r="AF23" s="2681"/>
    </row>
    <row r="24" spans="2:32" s="1761" customFormat="1" ht="85.5">
      <c r="B24" s="123"/>
      <c r="C24" s="127"/>
      <c r="D24" s="127"/>
      <c r="E24" s="127"/>
      <c r="F24" s="127"/>
      <c r="G24" s="2759" t="s">
        <v>3510</v>
      </c>
      <c r="H24" s="118"/>
      <c r="I24" s="2761" t="s">
        <v>498</v>
      </c>
      <c r="J24" s="141">
        <v>0</v>
      </c>
      <c r="K24" s="141">
        <v>0</v>
      </c>
      <c r="L24" s="141">
        <v>0</v>
      </c>
      <c r="M24" s="141">
        <v>0</v>
      </c>
      <c r="N24" s="144">
        <v>0</v>
      </c>
      <c r="O24" s="118"/>
      <c r="P24" s="143">
        <v>0</v>
      </c>
      <c r="Q24" s="345">
        <v>0</v>
      </c>
      <c r="R24" s="141">
        <v>0</v>
      </c>
      <c r="S24" s="141">
        <v>0</v>
      </c>
      <c r="T24" s="141">
        <v>0</v>
      </c>
      <c r="U24" s="144">
        <v>0</v>
      </c>
      <c r="V24" s="118"/>
      <c r="W24" s="2679" t="s">
        <v>498</v>
      </c>
      <c r="X24" s="141">
        <v>2.6</v>
      </c>
      <c r="Y24" s="118"/>
      <c r="Z24" s="2739" t="s">
        <v>3509</v>
      </c>
      <c r="AA24" s="2753" t="s">
        <v>3625</v>
      </c>
      <c r="AB24" s="2770">
        <v>2.0099999999999998</v>
      </c>
      <c r="AC24" s="2916" t="s">
        <v>3643</v>
      </c>
      <c r="AD24" s="2680" t="s">
        <v>3492</v>
      </c>
      <c r="AE24" s="2680" t="s">
        <v>3492</v>
      </c>
      <c r="AF24" s="2681"/>
    </row>
    <row r="25" spans="2:32" s="1761" customFormat="1" ht="51">
      <c r="B25" s="123"/>
      <c r="C25" s="127"/>
      <c r="D25" s="127"/>
      <c r="E25" s="127"/>
      <c r="F25" s="127"/>
      <c r="G25" s="2759" t="s">
        <v>3511</v>
      </c>
      <c r="H25" s="118"/>
      <c r="I25" s="2761" t="s">
        <v>498</v>
      </c>
      <c r="J25" s="141">
        <v>0</v>
      </c>
      <c r="K25" s="141">
        <v>0</v>
      </c>
      <c r="L25" s="141">
        <v>0</v>
      </c>
      <c r="M25" s="141">
        <v>0</v>
      </c>
      <c r="N25" s="144">
        <v>0</v>
      </c>
      <c r="O25" s="118"/>
      <c r="P25" s="143">
        <v>0</v>
      </c>
      <c r="Q25" s="345">
        <v>0</v>
      </c>
      <c r="R25" s="141">
        <v>0</v>
      </c>
      <c r="S25" s="141">
        <v>0</v>
      </c>
      <c r="T25" s="141">
        <v>0</v>
      </c>
      <c r="U25" s="144">
        <v>0</v>
      </c>
      <c r="V25" s="118"/>
      <c r="W25" s="2679" t="s">
        <v>498</v>
      </c>
      <c r="X25" s="141"/>
      <c r="Y25" s="118"/>
      <c r="Z25" s="2739" t="s">
        <v>36</v>
      </c>
      <c r="AA25" s="2753" t="s">
        <v>3626</v>
      </c>
      <c r="AB25" s="2753" t="s">
        <v>3512</v>
      </c>
      <c r="AC25" s="2916" t="s">
        <v>3642</v>
      </c>
      <c r="AD25" s="2680" t="s">
        <v>3492</v>
      </c>
      <c r="AE25" s="2680" t="s">
        <v>3492</v>
      </c>
      <c r="AF25" s="2681"/>
    </row>
    <row r="26" spans="2:32" s="1761" customFormat="1" ht="51">
      <c r="B26" s="123"/>
      <c r="C26" s="127"/>
      <c r="D26" s="127"/>
      <c r="E26" s="127"/>
      <c r="F26" s="127"/>
      <c r="G26" s="2759" t="s">
        <v>3516</v>
      </c>
      <c r="H26" s="118"/>
      <c r="I26" s="2761" t="s">
        <v>498</v>
      </c>
      <c r="J26" s="141">
        <v>0</v>
      </c>
      <c r="K26" s="141">
        <v>0</v>
      </c>
      <c r="L26" s="141">
        <v>0</v>
      </c>
      <c r="M26" s="141">
        <v>0</v>
      </c>
      <c r="N26" s="144">
        <v>0</v>
      </c>
      <c r="O26" s="118"/>
      <c r="P26" s="143" t="s">
        <v>3517</v>
      </c>
      <c r="Q26" s="238">
        <v>5000</v>
      </c>
      <c r="R26" s="166">
        <v>5000</v>
      </c>
      <c r="S26" s="166">
        <v>5000</v>
      </c>
      <c r="T26" s="166">
        <v>5000</v>
      </c>
      <c r="U26" s="167">
        <v>5000</v>
      </c>
      <c r="V26" s="118"/>
      <c r="W26" s="2679" t="s">
        <v>498</v>
      </c>
      <c r="X26" s="141">
        <v>0</v>
      </c>
      <c r="Y26" s="118"/>
      <c r="Z26" s="2739" t="s">
        <v>3490</v>
      </c>
      <c r="AA26" s="2753" t="s">
        <v>3627</v>
      </c>
      <c r="AB26" s="2753" t="s">
        <v>3518</v>
      </c>
      <c r="AC26" s="2916" t="s">
        <v>3644</v>
      </c>
      <c r="AD26" s="2680" t="s">
        <v>3492</v>
      </c>
      <c r="AE26" s="2680" t="s">
        <v>3492</v>
      </c>
      <c r="AF26" s="2681"/>
    </row>
    <row r="27" spans="2:32" s="1761" customFormat="1" ht="51">
      <c r="B27" s="123"/>
      <c r="C27" s="127"/>
      <c r="D27" s="127"/>
      <c r="E27" s="127"/>
      <c r="F27" s="127"/>
      <c r="G27" s="2759" t="s">
        <v>3519</v>
      </c>
      <c r="H27" s="118"/>
      <c r="I27" s="2761" t="s">
        <v>498</v>
      </c>
      <c r="J27" s="141">
        <v>0</v>
      </c>
      <c r="K27" s="141">
        <v>0</v>
      </c>
      <c r="L27" s="141">
        <v>0</v>
      </c>
      <c r="M27" s="141">
        <v>0</v>
      </c>
      <c r="N27" s="144">
        <v>0</v>
      </c>
      <c r="O27" s="118"/>
      <c r="P27" s="143" t="s">
        <v>3520</v>
      </c>
      <c r="Q27" s="238">
        <v>10000</v>
      </c>
      <c r="R27" s="166">
        <v>10000</v>
      </c>
      <c r="S27" s="166">
        <v>10000</v>
      </c>
      <c r="T27" s="166">
        <v>10000</v>
      </c>
      <c r="U27" s="167">
        <v>10000</v>
      </c>
      <c r="V27" s="118"/>
      <c r="W27" s="2679" t="s">
        <v>498</v>
      </c>
      <c r="X27" s="141">
        <v>0</v>
      </c>
      <c r="Y27" s="118"/>
      <c r="Z27" s="2739" t="s">
        <v>36</v>
      </c>
      <c r="AA27" s="2753" t="s">
        <v>3521</v>
      </c>
      <c r="AB27" s="2770">
        <v>2.1</v>
      </c>
      <c r="AC27" s="2916" t="s">
        <v>3644</v>
      </c>
      <c r="AD27" s="2680" t="s">
        <v>3492</v>
      </c>
      <c r="AE27" s="2680" t="s">
        <v>3492</v>
      </c>
      <c r="AF27" s="2681"/>
    </row>
    <row r="28" spans="2:32" s="1761" customFormat="1" ht="71.25">
      <c r="B28" s="123"/>
      <c r="C28" s="127"/>
      <c r="D28" s="127"/>
      <c r="E28" s="127"/>
      <c r="F28" s="127"/>
      <c r="G28" s="2759" t="s">
        <v>3522</v>
      </c>
      <c r="H28" s="118"/>
      <c r="I28" s="2761" t="s">
        <v>498</v>
      </c>
      <c r="J28" s="141">
        <v>0</v>
      </c>
      <c r="K28" s="141">
        <v>0</v>
      </c>
      <c r="L28" s="141">
        <v>0</v>
      </c>
      <c r="M28" s="141">
        <v>0</v>
      </c>
      <c r="N28" s="144">
        <v>0</v>
      </c>
      <c r="O28" s="118"/>
      <c r="P28" s="143">
        <v>0</v>
      </c>
      <c r="Q28" s="345">
        <v>0</v>
      </c>
      <c r="R28" s="141">
        <v>0</v>
      </c>
      <c r="S28" s="141">
        <v>0</v>
      </c>
      <c r="T28" s="141">
        <v>0</v>
      </c>
      <c r="U28" s="144">
        <v>0</v>
      </c>
      <c r="V28" s="118"/>
      <c r="W28" s="2679" t="s">
        <v>498</v>
      </c>
      <c r="X28" s="141">
        <v>0</v>
      </c>
      <c r="Y28" s="118"/>
      <c r="Z28" s="2739" t="s">
        <v>3490</v>
      </c>
      <c r="AA28" s="2753" t="s">
        <v>3523</v>
      </c>
      <c r="AB28" s="2753" t="s">
        <v>3514</v>
      </c>
      <c r="AC28" s="2916" t="s">
        <v>3644</v>
      </c>
      <c r="AD28" s="2680" t="s">
        <v>3492</v>
      </c>
      <c r="AE28" s="2680" t="s">
        <v>3492</v>
      </c>
      <c r="AF28" s="2681"/>
    </row>
    <row r="29" spans="2:32" s="1761" customFormat="1" ht="63.75">
      <c r="B29" s="123"/>
      <c r="C29" s="127"/>
      <c r="D29" s="127"/>
      <c r="E29" s="127"/>
      <c r="F29" s="127"/>
      <c r="G29" s="2759" t="s">
        <v>3524</v>
      </c>
      <c r="H29" s="118"/>
      <c r="I29" s="2761" t="s">
        <v>498</v>
      </c>
      <c r="J29" s="141">
        <v>0</v>
      </c>
      <c r="K29" s="141">
        <v>0</v>
      </c>
      <c r="L29" s="141">
        <v>0</v>
      </c>
      <c r="M29" s="141">
        <v>0</v>
      </c>
      <c r="N29" s="144">
        <v>0</v>
      </c>
      <c r="O29" s="118"/>
      <c r="P29" s="143">
        <v>0</v>
      </c>
      <c r="Q29" s="345">
        <v>0</v>
      </c>
      <c r="R29" s="141">
        <v>0</v>
      </c>
      <c r="S29" s="141">
        <v>0</v>
      </c>
      <c r="T29" s="141">
        <v>0</v>
      </c>
      <c r="U29" s="144">
        <v>0</v>
      </c>
      <c r="V29" s="118"/>
      <c r="W29" s="2679" t="s">
        <v>498</v>
      </c>
      <c r="X29" s="141">
        <v>13.7</v>
      </c>
      <c r="Y29" s="118"/>
      <c r="Z29" s="2739" t="s">
        <v>3513</v>
      </c>
      <c r="AA29" s="2753" t="s">
        <v>3525</v>
      </c>
      <c r="AB29" s="2753" t="s">
        <v>3526</v>
      </c>
      <c r="AC29" s="2916" t="s">
        <v>3645</v>
      </c>
      <c r="AD29" s="2680" t="s">
        <v>3527</v>
      </c>
      <c r="AE29" s="2680" t="s">
        <v>3527</v>
      </c>
      <c r="AF29" s="2681"/>
    </row>
    <row r="30" spans="2:32" s="1761" customFormat="1" ht="121.5" customHeight="1">
      <c r="B30" s="123"/>
      <c r="C30" s="127"/>
      <c r="D30" s="127"/>
      <c r="E30" s="127"/>
      <c r="F30" s="127"/>
      <c r="G30" s="2759" t="s">
        <v>3528</v>
      </c>
      <c r="H30" s="118"/>
      <c r="I30" s="2761" t="s">
        <v>498</v>
      </c>
      <c r="J30" s="141">
        <v>0</v>
      </c>
      <c r="K30" s="141">
        <v>0</v>
      </c>
      <c r="L30" s="141">
        <v>0</v>
      </c>
      <c r="M30" s="141">
        <v>0</v>
      </c>
      <c r="N30" s="144">
        <v>0</v>
      </c>
      <c r="O30" s="118"/>
      <c r="P30" s="143">
        <v>0</v>
      </c>
      <c r="Q30" s="345">
        <v>0</v>
      </c>
      <c r="R30" s="141">
        <v>0</v>
      </c>
      <c r="S30" s="141">
        <v>0</v>
      </c>
      <c r="T30" s="141">
        <v>0</v>
      </c>
      <c r="U30" s="144">
        <v>0</v>
      </c>
      <c r="V30" s="118"/>
      <c r="W30" s="2679" t="s">
        <v>498</v>
      </c>
      <c r="X30" s="141">
        <v>0.47</v>
      </c>
      <c r="Y30" s="118"/>
      <c r="Z30" s="2739" t="s">
        <v>3513</v>
      </c>
      <c r="AA30" s="2753" t="s">
        <v>3529</v>
      </c>
      <c r="AB30" s="2753" t="s">
        <v>3526</v>
      </c>
      <c r="AC30" s="2916" t="s">
        <v>3646</v>
      </c>
      <c r="AD30" s="2680" t="s">
        <v>3527</v>
      </c>
      <c r="AE30" s="2680" t="s">
        <v>3527</v>
      </c>
      <c r="AF30" s="2681"/>
    </row>
    <row r="31" spans="2:32" s="1761" customFormat="1" ht="76.5">
      <c r="B31" s="123"/>
      <c r="C31" s="127"/>
      <c r="D31" s="127"/>
      <c r="E31" s="127"/>
      <c r="F31" s="127"/>
      <c r="G31" s="2759" t="s">
        <v>3530</v>
      </c>
      <c r="H31" s="118"/>
      <c r="I31" s="2761" t="s">
        <v>498</v>
      </c>
      <c r="J31" s="141">
        <v>0</v>
      </c>
      <c r="K31" s="141">
        <v>0</v>
      </c>
      <c r="L31" s="141">
        <v>0</v>
      </c>
      <c r="M31" s="141">
        <v>0</v>
      </c>
      <c r="N31" s="144">
        <v>0</v>
      </c>
      <c r="O31" s="118"/>
      <c r="P31" s="143">
        <v>0</v>
      </c>
      <c r="Q31" s="345">
        <v>0</v>
      </c>
      <c r="R31" s="141">
        <v>0</v>
      </c>
      <c r="S31" s="141">
        <v>0</v>
      </c>
      <c r="T31" s="141">
        <v>0</v>
      </c>
      <c r="U31" s="144">
        <v>0</v>
      </c>
      <c r="V31" s="118"/>
      <c r="W31" s="2679" t="s">
        <v>498</v>
      </c>
      <c r="X31" s="141">
        <v>0.13</v>
      </c>
      <c r="Y31" s="118"/>
      <c r="Z31" s="2739" t="s">
        <v>3531</v>
      </c>
      <c r="AA31" s="2753" t="s">
        <v>3532</v>
      </c>
      <c r="AB31" s="2770">
        <v>2.1</v>
      </c>
      <c r="AC31" s="2916" t="s">
        <v>3632</v>
      </c>
      <c r="AD31" s="2680" t="s">
        <v>3492</v>
      </c>
      <c r="AE31" s="2680" t="s">
        <v>3492</v>
      </c>
      <c r="AF31" s="2681"/>
    </row>
    <row r="32" spans="2:32" s="1761" customFormat="1" ht="63.75">
      <c r="B32" s="123"/>
      <c r="C32" s="127"/>
      <c r="D32" s="127"/>
      <c r="E32" s="127"/>
      <c r="F32" s="127"/>
      <c r="G32" s="2759" t="s">
        <v>3534</v>
      </c>
      <c r="H32" s="118"/>
      <c r="I32" s="2761" t="s">
        <v>498</v>
      </c>
      <c r="J32" s="141">
        <v>0</v>
      </c>
      <c r="K32" s="141">
        <v>0</v>
      </c>
      <c r="L32" s="141">
        <v>0</v>
      </c>
      <c r="M32" s="141">
        <v>0</v>
      </c>
      <c r="N32" s="144">
        <v>0</v>
      </c>
      <c r="O32" s="118"/>
      <c r="P32" s="143">
        <v>0</v>
      </c>
      <c r="Q32" s="345">
        <v>0</v>
      </c>
      <c r="R32" s="141">
        <v>0</v>
      </c>
      <c r="S32" s="141">
        <v>0</v>
      </c>
      <c r="T32" s="141">
        <v>0</v>
      </c>
      <c r="U32" s="144">
        <v>0</v>
      </c>
      <c r="V32" s="118"/>
      <c r="W32" s="2679" t="s">
        <v>498</v>
      </c>
      <c r="X32" s="141">
        <v>0</v>
      </c>
      <c r="Y32" s="118"/>
      <c r="Z32" s="2739">
        <v>0</v>
      </c>
      <c r="AA32" s="2753" t="s">
        <v>3535</v>
      </c>
      <c r="AB32" s="2753"/>
      <c r="AC32" s="2916" t="s">
        <v>3533</v>
      </c>
      <c r="AD32" s="2680" t="s">
        <v>3492</v>
      </c>
      <c r="AE32" s="2680" t="s">
        <v>3492</v>
      </c>
      <c r="AF32" s="2681"/>
    </row>
    <row r="33" spans="2:32" s="1761" customFormat="1" ht="76.5">
      <c r="B33" s="123"/>
      <c r="C33" s="127"/>
      <c r="D33" s="127"/>
      <c r="E33" s="127"/>
      <c r="F33" s="127"/>
      <c r="G33" s="2759" t="s">
        <v>3536</v>
      </c>
      <c r="H33" s="118"/>
      <c r="I33" s="2761" t="s">
        <v>498</v>
      </c>
      <c r="J33" s="141">
        <v>0</v>
      </c>
      <c r="K33" s="141">
        <v>0</v>
      </c>
      <c r="L33" s="141">
        <v>0</v>
      </c>
      <c r="M33" s="141">
        <v>0</v>
      </c>
      <c r="N33" s="144">
        <v>0</v>
      </c>
      <c r="O33" s="118"/>
      <c r="P33" s="143">
        <v>0</v>
      </c>
      <c r="Q33" s="345">
        <v>0</v>
      </c>
      <c r="R33" s="141">
        <v>0</v>
      </c>
      <c r="S33" s="141">
        <v>0</v>
      </c>
      <c r="T33" s="141">
        <v>0</v>
      </c>
      <c r="U33" s="144">
        <v>0</v>
      </c>
      <c r="V33" s="118"/>
      <c r="W33" s="2679" t="s">
        <v>498</v>
      </c>
      <c r="X33" s="141">
        <v>0</v>
      </c>
      <c r="Y33" s="118"/>
      <c r="Z33" s="2739">
        <v>0</v>
      </c>
      <c r="AA33" s="2753" t="s">
        <v>3537</v>
      </c>
      <c r="AB33" s="2753"/>
      <c r="AC33" s="2916" t="s">
        <v>3515</v>
      </c>
      <c r="AD33" s="2680" t="s">
        <v>3492</v>
      </c>
      <c r="AE33" s="2680" t="s">
        <v>3492</v>
      </c>
      <c r="AF33" s="2681"/>
    </row>
    <row r="34" spans="2:32" s="2767" customFormat="1" ht="76.5">
      <c r="B34" s="2741"/>
      <c r="C34" s="2758"/>
      <c r="D34" s="2758"/>
      <c r="E34" s="2758"/>
      <c r="F34" s="2758"/>
      <c r="G34" s="2759" t="s">
        <v>3539</v>
      </c>
      <c r="H34" s="2760"/>
      <c r="I34" s="2761" t="s">
        <v>498</v>
      </c>
      <c r="J34" s="2765">
        <v>0</v>
      </c>
      <c r="K34" s="2765">
        <v>0</v>
      </c>
      <c r="L34" s="2765">
        <v>0</v>
      </c>
      <c r="M34" s="2765">
        <v>0</v>
      </c>
      <c r="N34" s="2766">
        <v>0</v>
      </c>
      <c r="O34" s="2760"/>
      <c r="P34" s="2739">
        <v>0</v>
      </c>
      <c r="Q34" s="2764">
        <v>0</v>
      </c>
      <c r="R34" s="2765">
        <v>0</v>
      </c>
      <c r="S34" s="2765">
        <v>0</v>
      </c>
      <c r="T34" s="2765">
        <v>0</v>
      </c>
      <c r="U34" s="2766">
        <v>0</v>
      </c>
      <c r="V34" s="2760"/>
      <c r="W34" s="2679" t="s">
        <v>498</v>
      </c>
      <c r="X34" s="2765">
        <v>0</v>
      </c>
      <c r="Y34" s="2760"/>
      <c r="Z34" s="2739" t="s">
        <v>3513</v>
      </c>
      <c r="AA34" s="2753" t="s">
        <v>3540</v>
      </c>
      <c r="AB34" s="2753" t="s">
        <v>3513</v>
      </c>
      <c r="AC34" s="2916" t="s">
        <v>3538</v>
      </c>
      <c r="AD34" s="2764" t="s">
        <v>3492</v>
      </c>
      <c r="AE34" s="2764" t="s">
        <v>3492</v>
      </c>
      <c r="AF34" s="2766"/>
    </row>
    <row r="35" spans="2:32" ht="76.5">
      <c r="B35" s="123"/>
      <c r="C35" s="127"/>
      <c r="D35" s="127"/>
      <c r="E35" s="127"/>
      <c r="F35" s="127"/>
      <c r="G35" s="2759" t="s">
        <v>3541</v>
      </c>
      <c r="H35" s="118"/>
      <c r="I35" s="2761" t="s">
        <v>498</v>
      </c>
      <c r="J35" s="2801">
        <v>0</v>
      </c>
      <c r="K35" s="2801">
        <v>0</v>
      </c>
      <c r="L35" s="765">
        <v>0</v>
      </c>
      <c r="M35" s="765">
        <v>0</v>
      </c>
      <c r="N35" s="766">
        <v>0</v>
      </c>
      <c r="O35" s="118"/>
      <c r="P35" s="297">
        <v>0</v>
      </c>
      <c r="Q35" s="460">
        <v>0</v>
      </c>
      <c r="R35" s="298">
        <v>0</v>
      </c>
      <c r="S35" s="298">
        <v>0</v>
      </c>
      <c r="T35" s="298">
        <v>0</v>
      </c>
      <c r="U35" s="299">
        <v>0</v>
      </c>
      <c r="V35" s="118"/>
      <c r="W35" s="1382" t="s">
        <v>498</v>
      </c>
      <c r="X35" s="298">
        <v>0</v>
      </c>
      <c r="Y35" s="118"/>
      <c r="Z35" s="2739" t="s">
        <v>62</v>
      </c>
      <c r="AA35" s="2753" t="s">
        <v>3542</v>
      </c>
      <c r="AB35" s="2770">
        <v>3.05</v>
      </c>
      <c r="AC35" s="2916" t="s">
        <v>3538</v>
      </c>
      <c r="AD35" s="1766" t="s">
        <v>3492</v>
      </c>
      <c r="AE35" s="1766" t="s">
        <v>3492</v>
      </c>
      <c r="AF35" s="1783"/>
    </row>
    <row r="36" spans="2:32" ht="115.5" customHeight="1">
      <c r="B36" s="123"/>
      <c r="C36" s="127"/>
      <c r="D36" s="127"/>
      <c r="E36" s="127"/>
      <c r="F36" s="127"/>
      <c r="G36" s="2759" t="s">
        <v>3543</v>
      </c>
      <c r="H36" s="118"/>
      <c r="I36" s="2761" t="s">
        <v>498</v>
      </c>
      <c r="J36" s="298">
        <v>0</v>
      </c>
      <c r="K36" s="298">
        <v>0</v>
      </c>
      <c r="L36" s="298">
        <v>0</v>
      </c>
      <c r="M36" s="298">
        <v>0</v>
      </c>
      <c r="N36" s="299">
        <v>0</v>
      </c>
      <c r="O36" s="118"/>
      <c r="P36" s="297">
        <v>0</v>
      </c>
      <c r="Q36" s="460">
        <v>0</v>
      </c>
      <c r="R36" s="298">
        <v>0</v>
      </c>
      <c r="S36" s="298">
        <v>0</v>
      </c>
      <c r="T36" s="298">
        <v>0</v>
      </c>
      <c r="U36" s="299">
        <v>0</v>
      </c>
      <c r="V36" s="118"/>
      <c r="W36" s="1382" t="s">
        <v>498</v>
      </c>
      <c r="X36" s="298">
        <v>2.38</v>
      </c>
      <c r="Y36" s="118"/>
      <c r="Z36" s="2739" t="s">
        <v>62</v>
      </c>
      <c r="AA36" s="2753" t="s">
        <v>3544</v>
      </c>
      <c r="AB36" s="2753" t="s">
        <v>3545</v>
      </c>
      <c r="AC36" s="2916" t="s">
        <v>3631</v>
      </c>
      <c r="AD36" s="1766" t="s">
        <v>3492</v>
      </c>
      <c r="AE36" s="1766" t="s">
        <v>3492</v>
      </c>
      <c r="AF36" s="1783"/>
    </row>
    <row r="37" spans="2:32" ht="125.25" customHeight="1">
      <c r="B37" s="123"/>
      <c r="C37" s="127"/>
      <c r="D37" s="127"/>
      <c r="E37" s="127"/>
      <c r="F37" s="127"/>
      <c r="G37" s="2759" t="s">
        <v>3547</v>
      </c>
      <c r="H37" s="118"/>
      <c r="I37" s="2761" t="s">
        <v>498</v>
      </c>
      <c r="J37" s="298">
        <v>0</v>
      </c>
      <c r="K37" s="298">
        <v>0</v>
      </c>
      <c r="L37" s="298">
        <v>0</v>
      </c>
      <c r="M37" s="298">
        <v>0</v>
      </c>
      <c r="N37" s="299">
        <v>0</v>
      </c>
      <c r="O37" s="118"/>
      <c r="P37" s="297">
        <v>0</v>
      </c>
      <c r="Q37" s="460">
        <v>0</v>
      </c>
      <c r="R37" s="298">
        <v>0</v>
      </c>
      <c r="S37" s="298">
        <v>0</v>
      </c>
      <c r="T37" s="298">
        <v>0</v>
      </c>
      <c r="U37" s="299">
        <v>0</v>
      </c>
      <c r="V37" s="118"/>
      <c r="W37" s="1382" t="s">
        <v>498</v>
      </c>
      <c r="X37" s="298">
        <v>0</v>
      </c>
      <c r="Y37" s="118"/>
      <c r="Z37" s="2739" t="s">
        <v>62</v>
      </c>
      <c r="AA37" s="2753" t="s">
        <v>3548</v>
      </c>
      <c r="AB37" s="2753" t="s">
        <v>3548</v>
      </c>
      <c r="AC37" s="2916" t="s">
        <v>3546</v>
      </c>
      <c r="AD37" s="1766" t="s">
        <v>3492</v>
      </c>
      <c r="AE37" s="1766" t="s">
        <v>3492</v>
      </c>
      <c r="AF37" s="1783"/>
    </row>
    <row r="38" spans="2:32" s="2767" customFormat="1" ht="42.75" customHeight="1">
      <c r="B38" s="2741"/>
      <c r="C38" s="2758"/>
      <c r="D38" s="2758"/>
      <c r="E38" s="2758"/>
      <c r="F38" s="2758"/>
      <c r="G38" s="2768" t="s">
        <v>3549</v>
      </c>
      <c r="H38" s="2760"/>
      <c r="I38" s="2761" t="s">
        <v>498</v>
      </c>
      <c r="J38" s="2762">
        <v>0</v>
      </c>
      <c r="K38" s="2762">
        <v>0</v>
      </c>
      <c r="L38" s="2762">
        <v>0</v>
      </c>
      <c r="M38" s="2762">
        <v>0</v>
      </c>
      <c r="N38" s="2763">
        <v>0</v>
      </c>
      <c r="O38" s="2760"/>
      <c r="P38" s="2739">
        <v>0</v>
      </c>
      <c r="Q38" s="2764">
        <v>0</v>
      </c>
      <c r="R38" s="2765">
        <v>0</v>
      </c>
      <c r="S38" s="2765">
        <v>0</v>
      </c>
      <c r="T38" s="2765">
        <v>0</v>
      </c>
      <c r="U38" s="2766">
        <v>0</v>
      </c>
      <c r="V38" s="2760"/>
      <c r="W38" s="2679" t="s">
        <v>498</v>
      </c>
      <c r="X38" s="2765">
        <v>0</v>
      </c>
      <c r="Y38" s="2760"/>
      <c r="Z38" s="2739" t="s">
        <v>62</v>
      </c>
      <c r="AA38" s="2753" t="s">
        <v>3629</v>
      </c>
      <c r="AB38" s="2753" t="s">
        <v>3630</v>
      </c>
      <c r="AC38" s="2916" t="s">
        <v>3546</v>
      </c>
      <c r="AD38" s="2764" t="s">
        <v>3492</v>
      </c>
      <c r="AE38" s="2764" t="s">
        <v>3492</v>
      </c>
      <c r="AF38" s="2766">
        <v>0</v>
      </c>
    </row>
    <row r="39" spans="2:32" ht="14.25">
      <c r="B39" s="123"/>
      <c r="C39" s="127"/>
      <c r="D39" s="127"/>
      <c r="E39" s="127"/>
      <c r="F39" s="127"/>
      <c r="G39" s="2615"/>
      <c r="H39" s="118"/>
      <c r="I39" s="2761" t="s">
        <v>498</v>
      </c>
      <c r="J39" s="298">
        <v>0</v>
      </c>
      <c r="K39" s="298">
        <v>0</v>
      </c>
      <c r="L39" s="298">
        <v>0</v>
      </c>
      <c r="M39" s="298">
        <v>0</v>
      </c>
      <c r="N39" s="299">
        <v>0</v>
      </c>
      <c r="O39" s="118"/>
      <c r="P39" s="297">
        <v>0</v>
      </c>
      <c r="Q39" s="460">
        <v>0</v>
      </c>
      <c r="R39" s="298">
        <v>0</v>
      </c>
      <c r="S39" s="298">
        <v>0</v>
      </c>
      <c r="T39" s="298">
        <v>0</v>
      </c>
      <c r="U39" s="299">
        <v>0</v>
      </c>
      <c r="V39" s="118"/>
      <c r="W39" s="1382" t="s">
        <v>498</v>
      </c>
      <c r="X39" s="298">
        <v>0</v>
      </c>
      <c r="Y39" s="118"/>
      <c r="Z39" s="2740">
        <v>0</v>
      </c>
      <c r="AA39" s="2754">
        <v>0</v>
      </c>
      <c r="AB39" s="2754">
        <v>0</v>
      </c>
      <c r="AC39" s="2916">
        <v>0</v>
      </c>
      <c r="AD39" s="1766">
        <v>0</v>
      </c>
      <c r="AE39" s="1766">
        <v>0</v>
      </c>
      <c r="AF39" s="1783">
        <v>0</v>
      </c>
    </row>
    <row r="40" spans="2:32" ht="14.25">
      <c r="B40" s="123"/>
      <c r="C40" s="127"/>
      <c r="D40" s="127"/>
      <c r="E40" s="127"/>
      <c r="F40" s="127"/>
      <c r="G40" s="2615"/>
      <c r="H40" s="118"/>
      <c r="I40" s="2761" t="s">
        <v>498</v>
      </c>
      <c r="J40" s="298">
        <v>0</v>
      </c>
      <c r="K40" s="298">
        <v>0</v>
      </c>
      <c r="L40" s="298">
        <v>0</v>
      </c>
      <c r="M40" s="298">
        <v>0</v>
      </c>
      <c r="N40" s="299">
        <v>0</v>
      </c>
      <c r="O40" s="118"/>
      <c r="P40" s="297">
        <v>0</v>
      </c>
      <c r="Q40" s="460">
        <v>0</v>
      </c>
      <c r="R40" s="298">
        <v>0</v>
      </c>
      <c r="S40" s="298">
        <v>0</v>
      </c>
      <c r="T40" s="298">
        <v>0</v>
      </c>
      <c r="U40" s="299">
        <v>0</v>
      </c>
      <c r="V40" s="118"/>
      <c r="W40" s="1382" t="s">
        <v>498</v>
      </c>
      <c r="X40" s="298">
        <v>0</v>
      </c>
      <c r="Y40" s="118"/>
      <c r="Z40" s="2740">
        <v>0</v>
      </c>
      <c r="AA40" s="2754">
        <v>0</v>
      </c>
      <c r="AB40" s="2754">
        <v>0</v>
      </c>
      <c r="AC40" s="2916">
        <v>0</v>
      </c>
      <c r="AD40" s="1766">
        <v>0</v>
      </c>
      <c r="AE40" s="1766">
        <v>0</v>
      </c>
      <c r="AF40" s="1783">
        <v>0</v>
      </c>
    </row>
    <row r="41" spans="2:32" ht="14.25">
      <c r="B41" s="123"/>
      <c r="C41" s="127"/>
      <c r="D41" s="127"/>
      <c r="E41" s="127"/>
      <c r="F41" s="127"/>
      <c r="G41" s="2615"/>
      <c r="H41" s="118"/>
      <c r="I41" s="2761" t="s">
        <v>498</v>
      </c>
      <c r="J41" s="298">
        <v>0</v>
      </c>
      <c r="K41" s="298">
        <v>0</v>
      </c>
      <c r="L41" s="298">
        <v>0</v>
      </c>
      <c r="M41" s="298">
        <v>0</v>
      </c>
      <c r="N41" s="299">
        <v>0</v>
      </c>
      <c r="O41" s="118"/>
      <c r="P41" s="297">
        <v>0</v>
      </c>
      <c r="Q41" s="460">
        <v>0</v>
      </c>
      <c r="R41" s="298">
        <v>0</v>
      </c>
      <c r="S41" s="298">
        <v>0</v>
      </c>
      <c r="T41" s="298">
        <v>0</v>
      </c>
      <c r="U41" s="299">
        <v>0</v>
      </c>
      <c r="V41" s="118"/>
      <c r="W41" s="1382" t="s">
        <v>498</v>
      </c>
      <c r="X41" s="298">
        <v>0</v>
      </c>
      <c r="Y41" s="118"/>
      <c r="Z41" s="2740">
        <v>0</v>
      </c>
      <c r="AA41" s="2754">
        <v>0</v>
      </c>
      <c r="AB41" s="2754">
        <v>0</v>
      </c>
      <c r="AC41" s="2916">
        <v>0</v>
      </c>
      <c r="AD41" s="1766">
        <v>0</v>
      </c>
      <c r="AE41" s="1766">
        <v>0</v>
      </c>
      <c r="AF41" s="1783">
        <v>0</v>
      </c>
    </row>
    <row r="42" spans="2:32" ht="14.25">
      <c r="B42" s="123"/>
      <c r="C42" s="127"/>
      <c r="D42" s="127"/>
      <c r="E42" s="127"/>
      <c r="F42" s="127"/>
      <c r="G42" s="2615"/>
      <c r="H42" s="118"/>
      <c r="I42" s="2761" t="s">
        <v>498</v>
      </c>
      <c r="J42" s="298">
        <v>0</v>
      </c>
      <c r="K42" s="298">
        <v>0</v>
      </c>
      <c r="L42" s="298">
        <v>0</v>
      </c>
      <c r="M42" s="298">
        <v>0</v>
      </c>
      <c r="N42" s="299">
        <v>0</v>
      </c>
      <c r="O42" s="118"/>
      <c r="P42" s="297">
        <v>0</v>
      </c>
      <c r="Q42" s="460">
        <v>0</v>
      </c>
      <c r="R42" s="298">
        <v>0</v>
      </c>
      <c r="S42" s="298">
        <v>0</v>
      </c>
      <c r="T42" s="298">
        <v>0</v>
      </c>
      <c r="U42" s="299">
        <v>0</v>
      </c>
      <c r="V42" s="118"/>
      <c r="W42" s="1382" t="s">
        <v>498</v>
      </c>
      <c r="X42" s="298">
        <v>0</v>
      </c>
      <c r="Y42" s="118"/>
      <c r="Z42" s="2740">
        <v>0</v>
      </c>
      <c r="AA42" s="2754">
        <v>0</v>
      </c>
      <c r="AB42" s="2754">
        <v>0</v>
      </c>
      <c r="AC42" s="2916">
        <v>0</v>
      </c>
      <c r="AD42" s="1766">
        <v>0</v>
      </c>
      <c r="AE42" s="1766">
        <v>0</v>
      </c>
      <c r="AF42" s="1783">
        <v>0</v>
      </c>
    </row>
    <row r="43" spans="2:32" ht="14.25">
      <c r="B43" s="123"/>
      <c r="C43" s="127"/>
      <c r="D43" s="127"/>
      <c r="E43" s="127"/>
      <c r="F43" s="127"/>
      <c r="G43" s="2616"/>
      <c r="H43" s="127"/>
      <c r="I43" s="2741"/>
      <c r="J43" s="127"/>
      <c r="K43" s="127"/>
      <c r="L43" s="127"/>
      <c r="M43" s="127"/>
      <c r="N43" s="1784"/>
      <c r="O43" s="127"/>
      <c r="P43" s="123"/>
      <c r="Q43" s="127"/>
      <c r="R43" s="127"/>
      <c r="S43" s="127"/>
      <c r="T43" s="127"/>
      <c r="U43" s="1784"/>
      <c r="V43" s="127"/>
      <c r="W43" s="123"/>
      <c r="X43" s="1784"/>
      <c r="Y43" s="127"/>
      <c r="Z43" s="2741"/>
      <c r="AA43" s="2755"/>
      <c r="AB43" s="2755"/>
      <c r="AC43" s="2914"/>
      <c r="AD43" s="127"/>
      <c r="AE43" s="127"/>
      <c r="AF43" s="1784"/>
    </row>
    <row r="44" spans="2:32" ht="15" thickBot="1">
      <c r="B44" s="754" t="s">
        <v>1701</v>
      </c>
      <c r="C44" s="132"/>
      <c r="D44" s="132"/>
      <c r="E44" s="132"/>
      <c r="F44" s="132"/>
      <c r="G44" s="2617"/>
      <c r="H44" s="132"/>
      <c r="I44" s="2806" t="s">
        <v>498</v>
      </c>
      <c r="J44" s="627">
        <f>SUM(J12:J42)</f>
        <v>0</v>
      </c>
      <c r="K44" s="628">
        <f>SUM(K12:K42)</f>
        <v>0</v>
      </c>
      <c r="L44" s="628">
        <f>SUM(L12:L42)</f>
        <v>0</v>
      </c>
      <c r="M44" s="628">
        <f>SUM(M12:M42)</f>
        <v>0</v>
      </c>
      <c r="N44" s="629">
        <f>SUM(N12:N42)</f>
        <v>0</v>
      </c>
      <c r="O44" s="133"/>
      <c r="P44" s="1768"/>
      <c r="Q44" s="133"/>
      <c r="R44" s="133"/>
      <c r="S44" s="133"/>
      <c r="T44" s="133"/>
      <c r="U44" s="1769"/>
      <c r="V44" s="133"/>
      <c r="W44" s="1383" t="s">
        <v>498</v>
      </c>
      <c r="X44" s="1785">
        <f>SUM(X12:X42)</f>
        <v>36.120000000000005</v>
      </c>
      <c r="Y44" s="133"/>
      <c r="Z44" s="2742"/>
      <c r="AA44" s="2756"/>
      <c r="AB44" s="2756"/>
      <c r="AC44" s="2915"/>
      <c r="AD44" s="133"/>
      <c r="AE44" s="133"/>
      <c r="AF44" s="1769"/>
    </row>
    <row r="45" spans="2:32" ht="13.5" thickBot="1">
      <c r="B45"/>
      <c r="C45"/>
      <c r="D45"/>
      <c r="E45"/>
      <c r="F45"/>
      <c r="G45" s="2618"/>
      <c r="H45"/>
    </row>
    <row r="46" spans="2:32" ht="30" customHeight="1">
      <c r="B46" s="621" t="s">
        <v>3550</v>
      </c>
      <c r="C46" s="102"/>
      <c r="D46" s="102"/>
      <c r="E46" s="102"/>
      <c r="F46" s="102"/>
      <c r="G46" s="2613"/>
      <c r="H46" s="104"/>
      <c r="I46" s="2734" t="s">
        <v>2252</v>
      </c>
      <c r="J46" s="105"/>
      <c r="K46" s="105"/>
      <c r="L46" s="105"/>
      <c r="M46" s="105"/>
      <c r="N46" s="187"/>
      <c r="O46" s="104"/>
      <c r="P46" s="611" t="s">
        <v>3551</v>
      </c>
      <c r="Q46" s="105"/>
      <c r="R46" s="105"/>
      <c r="S46" s="105"/>
      <c r="T46" s="105"/>
      <c r="U46" s="187"/>
      <c r="V46" s="104"/>
      <c r="W46" s="611" t="s">
        <v>3480</v>
      </c>
      <c r="X46" s="187"/>
      <c r="Y46" s="104"/>
      <c r="Z46" s="2734" t="s">
        <v>1693</v>
      </c>
      <c r="AA46" s="2748"/>
      <c r="AB46" s="2748"/>
      <c r="AC46" s="2909"/>
      <c r="AD46" s="105"/>
      <c r="AE46" s="105"/>
      <c r="AF46" s="187"/>
    </row>
    <row r="47" spans="2:32" ht="30" customHeight="1">
      <c r="B47" s="109"/>
      <c r="C47" s="110"/>
      <c r="D47" s="110"/>
      <c r="E47" s="110"/>
      <c r="F47" s="110"/>
      <c r="G47" s="2614"/>
      <c r="H47" s="112"/>
      <c r="I47" s="2804"/>
      <c r="J47" s="1776" t="s">
        <v>2</v>
      </c>
      <c r="K47" s="1776"/>
      <c r="L47" s="1776"/>
      <c r="M47" s="1776"/>
      <c r="N47" s="1777"/>
      <c r="O47" s="112"/>
      <c r="P47" s="1778"/>
      <c r="Q47" s="1779" t="s">
        <v>2</v>
      </c>
      <c r="R47" s="1779"/>
      <c r="S47" s="1779"/>
      <c r="T47" s="1779"/>
      <c r="U47" s="1780"/>
      <c r="V47" s="112"/>
      <c r="W47" s="1778"/>
      <c r="X47" s="1780" t="s">
        <v>1127</v>
      </c>
      <c r="Y47" s="112"/>
      <c r="Z47" s="2735"/>
      <c r="AA47" s="2749"/>
      <c r="AB47" s="2749"/>
      <c r="AC47" s="2910"/>
      <c r="AD47" s="1405"/>
      <c r="AE47" s="1405"/>
      <c r="AF47" s="1412"/>
    </row>
    <row r="48" spans="2:32" s="1761" customFormat="1" ht="30" customHeight="1">
      <c r="B48" s="115"/>
      <c r="C48" s="116"/>
      <c r="D48" s="116"/>
      <c r="E48" s="116"/>
      <c r="F48" s="116"/>
      <c r="G48" s="2614"/>
      <c r="H48" s="118"/>
      <c r="I48" s="2804" t="s">
        <v>1745</v>
      </c>
      <c r="J48" s="137" t="s">
        <v>469</v>
      </c>
      <c r="K48" s="121" t="s">
        <v>471</v>
      </c>
      <c r="L48" s="121" t="s">
        <v>473</v>
      </c>
      <c r="M48" s="121" t="s">
        <v>475</v>
      </c>
      <c r="N48" s="138" t="s">
        <v>477</v>
      </c>
      <c r="O48" s="118"/>
      <c r="P48" s="1781" t="s">
        <v>1745</v>
      </c>
      <c r="Q48" s="137" t="s">
        <v>469</v>
      </c>
      <c r="R48" s="137" t="s">
        <v>471</v>
      </c>
      <c r="S48" s="137" t="s">
        <v>473</v>
      </c>
      <c r="T48" s="137" t="s">
        <v>475</v>
      </c>
      <c r="U48" s="138" t="s">
        <v>477</v>
      </c>
      <c r="V48" s="118"/>
      <c r="W48" s="1781" t="s">
        <v>1745</v>
      </c>
      <c r="X48" s="138" t="s">
        <v>3481</v>
      </c>
      <c r="Y48" s="118"/>
      <c r="Z48" s="2736" t="s">
        <v>3482</v>
      </c>
      <c r="AA48" s="2750" t="s">
        <v>1694</v>
      </c>
      <c r="AB48" s="2750" t="s">
        <v>3483</v>
      </c>
      <c r="AC48" s="2911" t="s">
        <v>3484</v>
      </c>
      <c r="AD48" s="1782" t="s">
        <v>3552</v>
      </c>
      <c r="AE48" s="1782" t="s">
        <v>3553</v>
      </c>
      <c r="AF48" s="1762" t="s">
        <v>3487</v>
      </c>
    </row>
    <row r="49" spans="2:32" ht="15">
      <c r="B49" s="115"/>
      <c r="C49" s="116" t="s">
        <v>3554</v>
      </c>
      <c r="D49" s="116"/>
      <c r="E49" s="116"/>
      <c r="F49" s="116"/>
      <c r="G49" s="2614"/>
      <c r="H49" s="118"/>
      <c r="I49" s="2805"/>
      <c r="J49" s="259"/>
      <c r="K49" s="259"/>
      <c r="L49" s="259"/>
      <c r="M49" s="259"/>
      <c r="N49" s="296"/>
      <c r="O49" s="118"/>
      <c r="P49" s="1763"/>
      <c r="Q49" s="259"/>
      <c r="R49" s="259"/>
      <c r="S49" s="259"/>
      <c r="T49" s="259"/>
      <c r="U49" s="296"/>
      <c r="V49" s="118"/>
      <c r="W49" s="1763"/>
      <c r="X49" s="296"/>
      <c r="Y49" s="118"/>
      <c r="Z49" s="2737"/>
      <c r="AA49" s="2751"/>
      <c r="AB49" s="2751"/>
      <c r="AC49" s="2912"/>
      <c r="AD49" s="1764"/>
      <c r="AE49" s="1764"/>
      <c r="AF49" s="1765"/>
    </row>
    <row r="50" spans="2:32" ht="14.25">
      <c r="B50" s="123"/>
      <c r="C50" s="127"/>
      <c r="D50" s="162"/>
      <c r="E50" s="127"/>
      <c r="F50" s="127"/>
      <c r="G50" s="2619" t="s">
        <v>3555</v>
      </c>
      <c r="H50" s="118"/>
      <c r="I50" s="2761" t="s">
        <v>498</v>
      </c>
      <c r="J50" s="632">
        <f>'2.18_Street_Works'!R280/1000</f>
        <v>1.0749643310253509E-3</v>
      </c>
      <c r="K50" s="632">
        <f>'2.18_Street_Works'!S280/1000</f>
        <v>1.0749643310253509E-3</v>
      </c>
      <c r="L50" s="632">
        <f>'2.18_Street_Works'!T280/1000</f>
        <v>1.0749643310253509E-3</v>
      </c>
      <c r="M50" s="632">
        <f>'2.18_Street_Works'!U280/1000</f>
        <v>1.0749643310253509E-3</v>
      </c>
      <c r="N50" s="633">
        <f>'2.18_Street_Works'!V280/1000</f>
        <v>1.0749643310253509E-3</v>
      </c>
      <c r="O50" s="118"/>
      <c r="P50" s="297">
        <v>0</v>
      </c>
      <c r="Q50" s="460">
        <v>0</v>
      </c>
      <c r="R50" s="298">
        <v>0</v>
      </c>
      <c r="S50" s="298">
        <v>0</v>
      </c>
      <c r="T50" s="298">
        <v>0</v>
      </c>
      <c r="U50" s="299">
        <v>0</v>
      </c>
      <c r="V50" s="118"/>
      <c r="W50" s="1382" t="s">
        <v>498</v>
      </c>
      <c r="X50" s="298">
        <v>0</v>
      </c>
      <c r="Y50" s="118"/>
      <c r="Z50" s="2743"/>
      <c r="AA50" s="2757"/>
      <c r="AB50" s="2757"/>
      <c r="AC50" s="2913">
        <v>0</v>
      </c>
      <c r="AD50" s="2491"/>
      <c r="AE50" s="2491"/>
      <c r="AF50" s="1767" t="s">
        <v>3556</v>
      </c>
    </row>
    <row r="51" spans="2:32" ht="14.25">
      <c r="B51" s="123"/>
      <c r="C51" s="127"/>
      <c r="D51" s="127"/>
      <c r="E51" s="127"/>
      <c r="F51" s="127"/>
      <c r="G51" s="2619" t="s">
        <v>3557</v>
      </c>
      <c r="H51" s="118"/>
      <c r="I51" s="2761" t="s">
        <v>498</v>
      </c>
      <c r="J51" s="632">
        <f>'2.18_Street_Works'!R309/1000</f>
        <v>0</v>
      </c>
      <c r="K51" s="632">
        <f>'2.18_Street_Works'!S309/1000</f>
        <v>0</v>
      </c>
      <c r="L51" s="632">
        <f>'2.18_Street_Works'!T309/1000</f>
        <v>0</v>
      </c>
      <c r="M51" s="632">
        <f>'2.18_Street_Works'!U309/1000</f>
        <v>0</v>
      </c>
      <c r="N51" s="633">
        <f>'2.18_Street_Works'!V309/1000</f>
        <v>0</v>
      </c>
      <c r="O51" s="118"/>
      <c r="P51" s="297">
        <v>0</v>
      </c>
      <c r="Q51" s="460">
        <v>0</v>
      </c>
      <c r="R51" s="298">
        <v>0</v>
      </c>
      <c r="S51" s="298">
        <v>0</v>
      </c>
      <c r="T51" s="298">
        <v>0</v>
      </c>
      <c r="U51" s="299">
        <v>0</v>
      </c>
      <c r="V51" s="118"/>
      <c r="W51" s="1382" t="s">
        <v>498</v>
      </c>
      <c r="X51" s="298">
        <v>0</v>
      </c>
      <c r="Y51" s="118"/>
      <c r="Z51" s="2743"/>
      <c r="AA51" s="2757"/>
      <c r="AB51" s="2757"/>
      <c r="AC51" s="2913">
        <v>0</v>
      </c>
      <c r="AD51" s="2491"/>
      <c r="AE51" s="2491"/>
      <c r="AF51" s="1767">
        <v>0</v>
      </c>
    </row>
    <row r="52" spans="2:32" ht="14.25">
      <c r="B52" s="123"/>
      <c r="C52" s="127"/>
      <c r="D52" s="127"/>
      <c r="E52" s="127"/>
      <c r="F52" s="127"/>
      <c r="G52" s="2615" t="s">
        <v>3558</v>
      </c>
      <c r="H52" s="118"/>
      <c r="I52" s="2761" t="s">
        <v>498</v>
      </c>
      <c r="J52" s="298">
        <v>0</v>
      </c>
      <c r="K52" s="298">
        <v>0</v>
      </c>
      <c r="L52" s="298">
        <v>0</v>
      </c>
      <c r="M52" s="298">
        <v>0</v>
      </c>
      <c r="N52" s="299">
        <v>0</v>
      </c>
      <c r="O52" s="118"/>
      <c r="P52" s="297">
        <v>0</v>
      </c>
      <c r="Q52" s="460">
        <v>0</v>
      </c>
      <c r="R52" s="298">
        <v>0</v>
      </c>
      <c r="S52" s="298">
        <v>0</v>
      </c>
      <c r="T52" s="298">
        <v>0</v>
      </c>
      <c r="U52" s="299">
        <v>0</v>
      </c>
      <c r="V52" s="118"/>
      <c r="W52" s="1382" t="s">
        <v>498</v>
      </c>
      <c r="X52" s="298">
        <v>0</v>
      </c>
      <c r="Y52" s="118"/>
      <c r="Z52" s="2740">
        <v>0</v>
      </c>
      <c r="AA52" s="2754">
        <v>0</v>
      </c>
      <c r="AB52" s="2754">
        <v>0</v>
      </c>
      <c r="AC52" s="2913">
        <v>0</v>
      </c>
      <c r="AD52" s="1766" t="s">
        <v>3527</v>
      </c>
      <c r="AE52" s="1766" t="s">
        <v>3527</v>
      </c>
      <c r="AF52" s="1767">
        <v>0</v>
      </c>
    </row>
    <row r="53" spans="2:32" ht="14.25">
      <c r="B53" s="123"/>
      <c r="C53" s="127"/>
      <c r="D53" s="127"/>
      <c r="E53" s="127"/>
      <c r="F53" s="127"/>
      <c r="G53" s="2615" t="s">
        <v>60</v>
      </c>
      <c r="H53" s="118"/>
      <c r="I53" s="2761" t="s">
        <v>498</v>
      </c>
      <c r="J53" s="298">
        <v>0</v>
      </c>
      <c r="K53" s="298">
        <v>0</v>
      </c>
      <c r="L53" s="298">
        <v>0</v>
      </c>
      <c r="M53" s="298">
        <v>0</v>
      </c>
      <c r="N53" s="299">
        <v>0</v>
      </c>
      <c r="O53" s="118"/>
      <c r="P53" s="297">
        <v>0</v>
      </c>
      <c r="Q53" s="460">
        <v>0</v>
      </c>
      <c r="R53" s="298">
        <v>0</v>
      </c>
      <c r="S53" s="298">
        <v>0</v>
      </c>
      <c r="T53" s="298">
        <v>0</v>
      </c>
      <c r="U53" s="299">
        <v>0</v>
      </c>
      <c r="V53" s="118"/>
      <c r="W53" s="1382" t="s">
        <v>498</v>
      </c>
      <c r="X53" s="298">
        <v>0</v>
      </c>
      <c r="Y53" s="118"/>
      <c r="Z53" s="2740">
        <v>0</v>
      </c>
      <c r="AA53" s="2754">
        <v>0</v>
      </c>
      <c r="AB53" s="2754">
        <v>0</v>
      </c>
      <c r="AC53" s="2913">
        <v>0</v>
      </c>
      <c r="AD53" s="1766" t="s">
        <v>3527</v>
      </c>
      <c r="AE53" s="1766" t="s">
        <v>3527</v>
      </c>
      <c r="AF53" s="1767">
        <v>0</v>
      </c>
    </row>
    <row r="54" spans="2:32" ht="14.25">
      <c r="B54" s="123"/>
      <c r="C54" s="127"/>
      <c r="D54" s="127"/>
      <c r="E54" s="127"/>
      <c r="F54" s="127"/>
      <c r="G54" s="2615" t="s">
        <v>3559</v>
      </c>
      <c r="H54" s="118"/>
      <c r="I54" s="2761" t="s">
        <v>498</v>
      </c>
      <c r="J54" s="298">
        <v>0</v>
      </c>
      <c r="K54" s="298">
        <v>0</v>
      </c>
      <c r="L54" s="298">
        <v>0</v>
      </c>
      <c r="M54" s="298">
        <v>0</v>
      </c>
      <c r="N54" s="299">
        <v>0</v>
      </c>
      <c r="O54" s="118"/>
      <c r="P54" s="297">
        <v>0</v>
      </c>
      <c r="Q54" s="460">
        <v>0</v>
      </c>
      <c r="R54" s="298">
        <v>0</v>
      </c>
      <c r="S54" s="298">
        <v>0</v>
      </c>
      <c r="T54" s="298">
        <v>0</v>
      </c>
      <c r="U54" s="299">
        <v>0</v>
      </c>
      <c r="V54" s="118"/>
      <c r="W54" s="1382" t="s">
        <v>498</v>
      </c>
      <c r="X54" s="298">
        <v>0</v>
      </c>
      <c r="Y54" s="118"/>
      <c r="Z54" s="2740">
        <v>0</v>
      </c>
      <c r="AA54" s="2754">
        <v>0</v>
      </c>
      <c r="AB54" s="2754">
        <v>0</v>
      </c>
      <c r="AC54" s="2913">
        <v>0</v>
      </c>
      <c r="AD54" s="1766" t="s">
        <v>3527</v>
      </c>
      <c r="AE54" s="1766" t="s">
        <v>3527</v>
      </c>
      <c r="AF54" s="1767">
        <v>0</v>
      </c>
    </row>
    <row r="55" spans="2:32" ht="14.25">
      <c r="B55" s="123"/>
      <c r="C55" s="127"/>
      <c r="D55" s="127"/>
      <c r="E55" s="127"/>
      <c r="F55" s="127"/>
      <c r="G55" s="2615" t="s">
        <v>3560</v>
      </c>
      <c r="H55" s="118"/>
      <c r="I55" s="2761" t="s">
        <v>498</v>
      </c>
      <c r="J55" s="298">
        <v>0.9</v>
      </c>
      <c r="K55" s="298">
        <v>1.2</v>
      </c>
      <c r="L55" s="298">
        <v>1.5</v>
      </c>
      <c r="M55" s="298">
        <v>1.5</v>
      </c>
      <c r="N55" s="299">
        <v>1.8</v>
      </c>
      <c r="O55" s="118">
        <v>27.6</v>
      </c>
      <c r="P55" s="297" t="s">
        <v>2233</v>
      </c>
      <c r="Q55" s="460">
        <f>J55/6.9*$O$55</f>
        <v>3.6</v>
      </c>
      <c r="R55" s="298">
        <f t="shared" ref="R55:U55" si="0">K55/6.9*$O$55</f>
        <v>4.8</v>
      </c>
      <c r="S55" s="298">
        <f t="shared" si="0"/>
        <v>6</v>
      </c>
      <c r="T55" s="298">
        <f t="shared" si="0"/>
        <v>6</v>
      </c>
      <c r="U55" s="299">
        <f t="shared" si="0"/>
        <v>7.2</v>
      </c>
      <c r="V55" s="118"/>
      <c r="W55" s="1382" t="s">
        <v>498</v>
      </c>
      <c r="X55" s="298">
        <v>0</v>
      </c>
      <c r="Y55" s="118"/>
      <c r="Z55" s="2740" t="s">
        <v>62</v>
      </c>
      <c r="AA55" s="2754" t="s">
        <v>172</v>
      </c>
      <c r="AB55" s="2754">
        <v>3.02</v>
      </c>
      <c r="AC55" s="2913" t="s">
        <v>3561</v>
      </c>
      <c r="AD55" s="1766" t="s">
        <v>3492</v>
      </c>
      <c r="AE55" s="1766" t="s">
        <v>3492</v>
      </c>
      <c r="AF55" s="1767">
        <v>0</v>
      </c>
    </row>
    <row r="56" spans="2:32" ht="14.25">
      <c r="B56" s="123"/>
      <c r="C56" s="127"/>
      <c r="D56" s="127"/>
      <c r="E56" s="127"/>
      <c r="F56" s="127"/>
      <c r="G56" s="2615" t="s">
        <v>3562</v>
      </c>
      <c r="H56" s="118"/>
      <c r="I56" s="2761" t="s">
        <v>498</v>
      </c>
      <c r="J56" s="298">
        <v>0</v>
      </c>
      <c r="K56" s="298">
        <v>0</v>
      </c>
      <c r="L56" s="298">
        <v>0</v>
      </c>
      <c r="M56" s="298">
        <v>0</v>
      </c>
      <c r="N56" s="299">
        <v>0</v>
      </c>
      <c r="O56" s="118"/>
      <c r="P56" s="297">
        <v>0</v>
      </c>
      <c r="Q56" s="460">
        <v>0</v>
      </c>
      <c r="R56" s="298">
        <v>0</v>
      </c>
      <c r="S56" s="298">
        <v>0</v>
      </c>
      <c r="T56" s="298">
        <v>0</v>
      </c>
      <c r="U56" s="299">
        <v>0</v>
      </c>
      <c r="V56" s="118"/>
      <c r="W56" s="1382" t="s">
        <v>498</v>
      </c>
      <c r="X56" s="298">
        <v>0</v>
      </c>
      <c r="Y56" s="118"/>
      <c r="Z56" s="2740">
        <v>0</v>
      </c>
      <c r="AA56" s="2754">
        <v>0</v>
      </c>
      <c r="AB56" s="2754">
        <v>0</v>
      </c>
      <c r="AC56" s="2913">
        <v>0</v>
      </c>
      <c r="AD56" s="1766" t="s">
        <v>3527</v>
      </c>
      <c r="AE56" s="1766" t="s">
        <v>3527</v>
      </c>
      <c r="AF56" s="1767">
        <v>0</v>
      </c>
    </row>
    <row r="57" spans="2:32" ht="14.25">
      <c r="B57" s="123"/>
      <c r="C57" s="127"/>
      <c r="D57" s="127"/>
      <c r="E57" s="127"/>
      <c r="F57" s="127"/>
      <c r="G57" s="2615" t="s">
        <v>3563</v>
      </c>
      <c r="H57" s="118"/>
      <c r="I57" s="2761" t="s">
        <v>498</v>
      </c>
      <c r="J57" s="298">
        <v>2.4</v>
      </c>
      <c r="K57" s="298">
        <v>5.5</v>
      </c>
      <c r="L57" s="298">
        <v>6.9</v>
      </c>
      <c r="M57" s="298">
        <v>3.8</v>
      </c>
      <c r="N57" s="299">
        <v>0.9</v>
      </c>
      <c r="O57" s="118">
        <v>1</v>
      </c>
      <c r="P57" s="297" t="s">
        <v>2233</v>
      </c>
      <c r="Q57" s="460">
        <f>J57/19.5*$O$57</f>
        <v>0.12307692307692307</v>
      </c>
      <c r="R57" s="298">
        <f t="shared" ref="R57:U57" si="1">K57/19.5*$O$57</f>
        <v>0.28205128205128205</v>
      </c>
      <c r="S57" s="298">
        <f t="shared" si="1"/>
        <v>0.35384615384615387</v>
      </c>
      <c r="T57" s="298">
        <f t="shared" si="1"/>
        <v>0.19487179487179487</v>
      </c>
      <c r="U57" s="299">
        <f t="shared" si="1"/>
        <v>4.6153846153846156E-2</v>
      </c>
      <c r="V57" s="118"/>
      <c r="W57" s="1382" t="s">
        <v>498</v>
      </c>
      <c r="X57" s="298">
        <v>0</v>
      </c>
      <c r="Y57" s="118"/>
      <c r="Z57" s="2740" t="s">
        <v>62</v>
      </c>
      <c r="AA57" s="2754" t="s">
        <v>3564</v>
      </c>
      <c r="AB57" s="2754">
        <v>3.01</v>
      </c>
      <c r="AC57" s="2913" t="s">
        <v>3565</v>
      </c>
      <c r="AD57" s="1766" t="s">
        <v>3492</v>
      </c>
      <c r="AE57" s="1766" t="s">
        <v>3492</v>
      </c>
      <c r="AF57" s="1767">
        <v>0</v>
      </c>
    </row>
    <row r="58" spans="2:32" ht="14.25">
      <c r="B58" s="123"/>
      <c r="C58" s="127"/>
      <c r="D58" s="127"/>
      <c r="E58" s="127"/>
      <c r="F58" s="127"/>
      <c r="G58" s="2615"/>
      <c r="H58" s="118"/>
      <c r="I58" s="2761" t="s">
        <v>498</v>
      </c>
      <c r="J58" s="298">
        <v>0</v>
      </c>
      <c r="K58" s="298">
        <v>0</v>
      </c>
      <c r="L58" s="298">
        <v>0</v>
      </c>
      <c r="M58" s="298">
        <v>0</v>
      </c>
      <c r="N58" s="299">
        <v>0</v>
      </c>
      <c r="O58" s="118"/>
      <c r="P58" s="297">
        <v>0</v>
      </c>
      <c r="Q58" s="460">
        <v>0</v>
      </c>
      <c r="R58" s="298">
        <v>0</v>
      </c>
      <c r="S58" s="298">
        <v>0</v>
      </c>
      <c r="T58" s="298">
        <v>0</v>
      </c>
      <c r="U58" s="299">
        <v>0</v>
      </c>
      <c r="V58" s="118"/>
      <c r="W58" s="1382" t="s">
        <v>498</v>
      </c>
      <c r="X58" s="298">
        <v>0</v>
      </c>
      <c r="Y58" s="118"/>
      <c r="Z58" s="2740">
        <v>0</v>
      </c>
      <c r="AA58" s="2754">
        <v>0</v>
      </c>
      <c r="AB58" s="2754">
        <v>0</v>
      </c>
      <c r="AC58" s="2913">
        <v>0</v>
      </c>
      <c r="AD58" s="1766">
        <v>0</v>
      </c>
      <c r="AE58" s="1766">
        <v>0</v>
      </c>
      <c r="AF58" s="1767">
        <v>0</v>
      </c>
    </row>
    <row r="59" spans="2:32" ht="14.25">
      <c r="B59" s="123"/>
      <c r="C59" s="127"/>
      <c r="D59" s="127"/>
      <c r="E59" s="127"/>
      <c r="F59" s="127"/>
      <c r="G59" s="2615"/>
      <c r="H59" s="118"/>
      <c r="I59" s="2761" t="s">
        <v>498</v>
      </c>
      <c r="J59" s="298">
        <v>0</v>
      </c>
      <c r="K59" s="298">
        <v>0</v>
      </c>
      <c r="L59" s="298">
        <v>0</v>
      </c>
      <c r="M59" s="298">
        <v>0</v>
      </c>
      <c r="N59" s="299">
        <v>0</v>
      </c>
      <c r="O59" s="118"/>
      <c r="P59" s="297">
        <v>0</v>
      </c>
      <c r="Q59" s="460">
        <v>0</v>
      </c>
      <c r="R59" s="298">
        <v>0</v>
      </c>
      <c r="S59" s="298">
        <v>0</v>
      </c>
      <c r="T59" s="298">
        <v>0</v>
      </c>
      <c r="U59" s="299">
        <v>0</v>
      </c>
      <c r="V59" s="118"/>
      <c r="W59" s="1382" t="s">
        <v>498</v>
      </c>
      <c r="X59" s="298">
        <v>0</v>
      </c>
      <c r="Y59" s="118"/>
      <c r="Z59" s="2740">
        <v>0</v>
      </c>
      <c r="AA59" s="2754">
        <v>0</v>
      </c>
      <c r="AB59" s="2754">
        <v>0</v>
      </c>
      <c r="AC59" s="2913">
        <v>0</v>
      </c>
      <c r="AD59" s="1766">
        <v>0</v>
      </c>
      <c r="AE59" s="1766">
        <v>0</v>
      </c>
      <c r="AF59" s="1767">
        <v>0</v>
      </c>
    </row>
    <row r="60" spans="2:32" ht="14.25">
      <c r="B60" s="123"/>
      <c r="C60" s="127"/>
      <c r="D60" s="127"/>
      <c r="E60" s="127"/>
      <c r="F60" s="127"/>
      <c r="G60" s="2615"/>
      <c r="H60" s="118"/>
      <c r="I60" s="2761" t="s">
        <v>498</v>
      </c>
      <c r="J60" s="298">
        <v>0</v>
      </c>
      <c r="K60" s="298">
        <v>0</v>
      </c>
      <c r="L60" s="298">
        <v>0</v>
      </c>
      <c r="M60" s="298">
        <v>0</v>
      </c>
      <c r="N60" s="299">
        <v>0</v>
      </c>
      <c r="O60" s="118"/>
      <c r="P60" s="297">
        <v>0</v>
      </c>
      <c r="Q60" s="460">
        <v>0</v>
      </c>
      <c r="R60" s="298">
        <v>0</v>
      </c>
      <c r="S60" s="298">
        <v>0</v>
      </c>
      <c r="T60" s="298">
        <v>0</v>
      </c>
      <c r="U60" s="299">
        <v>0</v>
      </c>
      <c r="V60" s="118"/>
      <c r="W60" s="1382" t="s">
        <v>498</v>
      </c>
      <c r="X60" s="298">
        <v>0</v>
      </c>
      <c r="Y60" s="118"/>
      <c r="Z60" s="2740">
        <v>0</v>
      </c>
      <c r="AA60" s="2754">
        <v>0</v>
      </c>
      <c r="AB60" s="2754">
        <v>0</v>
      </c>
      <c r="AC60" s="2913">
        <v>0</v>
      </c>
      <c r="AD60" s="1766">
        <v>0</v>
      </c>
      <c r="AE60" s="1766">
        <v>0</v>
      </c>
      <c r="AF60" s="1767">
        <v>0</v>
      </c>
    </row>
    <row r="61" spans="2:32" ht="14.25">
      <c r="B61" s="123"/>
      <c r="C61" s="127"/>
      <c r="D61" s="127"/>
      <c r="E61" s="127"/>
      <c r="F61" s="127"/>
      <c r="G61" s="2615"/>
      <c r="H61" s="118"/>
      <c r="I61" s="2761" t="s">
        <v>498</v>
      </c>
      <c r="J61" s="298">
        <v>0</v>
      </c>
      <c r="K61" s="298">
        <v>0</v>
      </c>
      <c r="L61" s="298">
        <v>0</v>
      </c>
      <c r="M61" s="298">
        <v>0</v>
      </c>
      <c r="N61" s="299">
        <v>0</v>
      </c>
      <c r="O61" s="118"/>
      <c r="P61" s="297">
        <v>0</v>
      </c>
      <c r="Q61" s="460">
        <v>0</v>
      </c>
      <c r="R61" s="298">
        <v>0</v>
      </c>
      <c r="S61" s="298">
        <v>0</v>
      </c>
      <c r="T61" s="298">
        <v>0</v>
      </c>
      <c r="U61" s="299">
        <v>0</v>
      </c>
      <c r="V61" s="118"/>
      <c r="W61" s="1382" t="s">
        <v>498</v>
      </c>
      <c r="X61" s="298">
        <v>0</v>
      </c>
      <c r="Y61" s="118"/>
      <c r="Z61" s="2740">
        <v>0</v>
      </c>
      <c r="AA61" s="2754">
        <v>0</v>
      </c>
      <c r="AB61" s="2754">
        <v>0</v>
      </c>
      <c r="AC61" s="2913">
        <v>0</v>
      </c>
      <c r="AD61" s="1766">
        <v>0</v>
      </c>
      <c r="AE61" s="1766">
        <v>0</v>
      </c>
      <c r="AF61" s="1767">
        <v>0</v>
      </c>
    </row>
    <row r="62" spans="2:32" ht="14.25">
      <c r="B62" s="123"/>
      <c r="C62" s="127"/>
      <c r="D62" s="127"/>
      <c r="E62" s="127"/>
      <c r="F62" s="127"/>
      <c r="G62" s="2615"/>
      <c r="H62" s="118"/>
      <c r="I62" s="2761" t="s">
        <v>498</v>
      </c>
      <c r="J62" s="298">
        <v>0</v>
      </c>
      <c r="K62" s="298">
        <v>0</v>
      </c>
      <c r="L62" s="298">
        <v>0</v>
      </c>
      <c r="M62" s="298">
        <v>0</v>
      </c>
      <c r="N62" s="299">
        <v>0</v>
      </c>
      <c r="O62" s="118"/>
      <c r="P62" s="297">
        <v>0</v>
      </c>
      <c r="Q62" s="460">
        <v>0</v>
      </c>
      <c r="R62" s="298">
        <v>0</v>
      </c>
      <c r="S62" s="298">
        <v>0</v>
      </c>
      <c r="T62" s="298">
        <v>0</v>
      </c>
      <c r="U62" s="299">
        <v>0</v>
      </c>
      <c r="V62" s="118"/>
      <c r="W62" s="1382" t="s">
        <v>498</v>
      </c>
      <c r="X62" s="298">
        <v>0</v>
      </c>
      <c r="Y62" s="118"/>
      <c r="Z62" s="2740">
        <v>0</v>
      </c>
      <c r="AA62" s="2754">
        <v>0</v>
      </c>
      <c r="AB62" s="2754">
        <v>0</v>
      </c>
      <c r="AC62" s="2913">
        <v>0</v>
      </c>
      <c r="AD62" s="1766">
        <v>0</v>
      </c>
      <c r="AE62" s="1766">
        <v>0</v>
      </c>
      <c r="AF62" s="1767">
        <v>0</v>
      </c>
    </row>
    <row r="63" spans="2:32" ht="14.25">
      <c r="B63" s="123"/>
      <c r="C63" s="127"/>
      <c r="D63" s="127"/>
      <c r="E63" s="127"/>
      <c r="F63" s="127"/>
      <c r="G63" s="2615"/>
      <c r="H63" s="118"/>
      <c r="I63" s="2761" t="s">
        <v>498</v>
      </c>
      <c r="J63" s="298">
        <v>0</v>
      </c>
      <c r="K63" s="298">
        <v>0</v>
      </c>
      <c r="L63" s="298">
        <v>0</v>
      </c>
      <c r="M63" s="298">
        <v>0</v>
      </c>
      <c r="N63" s="299">
        <v>0</v>
      </c>
      <c r="O63" s="118"/>
      <c r="P63" s="297">
        <v>0</v>
      </c>
      <c r="Q63" s="460">
        <v>0</v>
      </c>
      <c r="R63" s="298">
        <v>0</v>
      </c>
      <c r="S63" s="298">
        <v>0</v>
      </c>
      <c r="T63" s="298">
        <v>0</v>
      </c>
      <c r="U63" s="299">
        <v>0</v>
      </c>
      <c r="V63" s="118"/>
      <c r="W63" s="1382" t="s">
        <v>498</v>
      </c>
      <c r="X63" s="298">
        <v>0</v>
      </c>
      <c r="Y63" s="118"/>
      <c r="Z63" s="2740">
        <v>0</v>
      </c>
      <c r="AA63" s="2754">
        <v>0</v>
      </c>
      <c r="AB63" s="2754">
        <v>0</v>
      </c>
      <c r="AC63" s="2913">
        <v>0</v>
      </c>
      <c r="AD63" s="1766">
        <v>0</v>
      </c>
      <c r="AE63" s="1766">
        <v>0</v>
      </c>
      <c r="AF63" s="1767">
        <v>0</v>
      </c>
    </row>
    <row r="64" spans="2:32" ht="14.25">
      <c r="B64" s="123"/>
      <c r="C64" s="127"/>
      <c r="D64" s="127"/>
      <c r="E64" s="127"/>
      <c r="F64" s="127"/>
      <c r="G64" s="2615"/>
      <c r="H64" s="118"/>
      <c r="I64" s="2761" t="s">
        <v>498</v>
      </c>
      <c r="J64" s="298">
        <v>0</v>
      </c>
      <c r="K64" s="298">
        <v>0</v>
      </c>
      <c r="L64" s="298">
        <v>0</v>
      </c>
      <c r="M64" s="298">
        <v>0</v>
      </c>
      <c r="N64" s="299">
        <v>0</v>
      </c>
      <c r="O64" s="118"/>
      <c r="P64" s="297">
        <v>0</v>
      </c>
      <c r="Q64" s="460">
        <v>0</v>
      </c>
      <c r="R64" s="298">
        <v>0</v>
      </c>
      <c r="S64" s="298">
        <v>0</v>
      </c>
      <c r="T64" s="298">
        <v>0</v>
      </c>
      <c r="U64" s="299">
        <v>0</v>
      </c>
      <c r="V64" s="118"/>
      <c r="W64" s="1382" t="s">
        <v>498</v>
      </c>
      <c r="X64" s="298">
        <v>0</v>
      </c>
      <c r="Y64" s="118"/>
      <c r="Z64" s="2740">
        <v>0</v>
      </c>
      <c r="AA64" s="2754">
        <v>0</v>
      </c>
      <c r="AB64" s="2754">
        <v>0</v>
      </c>
      <c r="AC64" s="2913">
        <v>0</v>
      </c>
      <c r="AD64" s="1766">
        <v>0</v>
      </c>
      <c r="AE64" s="1766">
        <v>0</v>
      </c>
      <c r="AF64" s="1767">
        <v>0</v>
      </c>
    </row>
    <row r="65" spans="2:32" ht="14.25">
      <c r="B65" s="123"/>
      <c r="C65" s="127"/>
      <c r="D65" s="127"/>
      <c r="E65" s="127"/>
      <c r="F65" s="127"/>
      <c r="G65" s="2615"/>
      <c r="H65" s="118"/>
      <c r="I65" s="2761" t="s">
        <v>498</v>
      </c>
      <c r="J65" s="298">
        <v>0</v>
      </c>
      <c r="K65" s="298">
        <v>0</v>
      </c>
      <c r="L65" s="298">
        <v>0</v>
      </c>
      <c r="M65" s="298">
        <v>0</v>
      </c>
      <c r="N65" s="299">
        <v>0</v>
      </c>
      <c r="O65" s="118"/>
      <c r="P65" s="297">
        <v>0</v>
      </c>
      <c r="Q65" s="460">
        <v>0</v>
      </c>
      <c r="R65" s="298">
        <v>0</v>
      </c>
      <c r="S65" s="298">
        <v>0</v>
      </c>
      <c r="T65" s="298">
        <v>0</v>
      </c>
      <c r="U65" s="299">
        <v>0</v>
      </c>
      <c r="V65" s="118"/>
      <c r="W65" s="1382" t="s">
        <v>498</v>
      </c>
      <c r="X65" s="298">
        <v>0</v>
      </c>
      <c r="Y65" s="118"/>
      <c r="Z65" s="2740">
        <v>0</v>
      </c>
      <c r="AA65" s="2754">
        <v>0</v>
      </c>
      <c r="AB65" s="2754">
        <v>0</v>
      </c>
      <c r="AC65" s="2913">
        <v>0</v>
      </c>
      <c r="AD65" s="1766">
        <v>0</v>
      </c>
      <c r="AE65" s="1766">
        <v>0</v>
      </c>
      <c r="AF65" s="1767">
        <v>0</v>
      </c>
    </row>
    <row r="66" spans="2:32" ht="14.25">
      <c r="B66" s="123"/>
      <c r="C66" s="127"/>
      <c r="D66" s="127"/>
      <c r="E66" s="127"/>
      <c r="F66" s="127"/>
      <c r="G66" s="2615"/>
      <c r="H66" s="118"/>
      <c r="I66" s="2761" t="s">
        <v>498</v>
      </c>
      <c r="J66" s="298">
        <v>0</v>
      </c>
      <c r="K66" s="298">
        <v>0</v>
      </c>
      <c r="L66" s="298">
        <v>0</v>
      </c>
      <c r="M66" s="298">
        <v>0</v>
      </c>
      <c r="N66" s="299">
        <v>0</v>
      </c>
      <c r="O66" s="118"/>
      <c r="P66" s="297">
        <v>0</v>
      </c>
      <c r="Q66" s="460">
        <v>0</v>
      </c>
      <c r="R66" s="298">
        <v>0</v>
      </c>
      <c r="S66" s="298">
        <v>0</v>
      </c>
      <c r="T66" s="298">
        <v>0</v>
      </c>
      <c r="U66" s="299">
        <v>0</v>
      </c>
      <c r="V66" s="118"/>
      <c r="W66" s="1382" t="s">
        <v>498</v>
      </c>
      <c r="X66" s="298">
        <v>0</v>
      </c>
      <c r="Y66" s="118"/>
      <c r="Z66" s="2740">
        <v>0</v>
      </c>
      <c r="AA66" s="2754">
        <v>0</v>
      </c>
      <c r="AB66" s="2754">
        <v>0</v>
      </c>
      <c r="AC66" s="2913">
        <v>0</v>
      </c>
      <c r="AD66" s="1766">
        <v>0</v>
      </c>
      <c r="AE66" s="1766">
        <v>0</v>
      </c>
      <c r="AF66" s="1767">
        <v>0</v>
      </c>
    </row>
    <row r="67" spans="2:32" ht="14.25">
      <c r="B67" s="123"/>
      <c r="C67" s="127"/>
      <c r="D67" s="127"/>
      <c r="E67" s="127"/>
      <c r="F67" s="127"/>
      <c r="G67" s="2615"/>
      <c r="H67" s="118"/>
      <c r="I67" s="2761" t="s">
        <v>498</v>
      </c>
      <c r="J67" s="298">
        <v>0</v>
      </c>
      <c r="K67" s="298">
        <v>0</v>
      </c>
      <c r="L67" s="298">
        <v>0</v>
      </c>
      <c r="M67" s="298">
        <v>0</v>
      </c>
      <c r="N67" s="299">
        <v>0</v>
      </c>
      <c r="O67" s="118"/>
      <c r="P67" s="297">
        <v>0</v>
      </c>
      <c r="Q67" s="460">
        <v>0</v>
      </c>
      <c r="R67" s="298">
        <v>0</v>
      </c>
      <c r="S67" s="298">
        <v>0</v>
      </c>
      <c r="T67" s="298">
        <v>0</v>
      </c>
      <c r="U67" s="299">
        <v>0</v>
      </c>
      <c r="V67" s="118"/>
      <c r="W67" s="1382" t="s">
        <v>498</v>
      </c>
      <c r="X67" s="298">
        <v>0</v>
      </c>
      <c r="Y67" s="118"/>
      <c r="Z67" s="2740">
        <v>0</v>
      </c>
      <c r="AA67" s="2754">
        <v>0</v>
      </c>
      <c r="AB67" s="2754">
        <v>0</v>
      </c>
      <c r="AC67" s="2913">
        <v>0</v>
      </c>
      <c r="AD67" s="1766">
        <v>0</v>
      </c>
      <c r="AE67" s="1766">
        <v>0</v>
      </c>
      <c r="AF67" s="1767">
        <v>0</v>
      </c>
    </row>
    <row r="68" spans="2:32" ht="14.25">
      <c r="B68" s="123"/>
      <c r="C68" s="127"/>
      <c r="D68" s="127"/>
      <c r="E68" s="127"/>
      <c r="F68" s="127"/>
      <c r="G68" s="2615"/>
      <c r="H68" s="118"/>
      <c r="I68" s="2761" t="s">
        <v>498</v>
      </c>
      <c r="J68" s="298">
        <v>0</v>
      </c>
      <c r="K68" s="298">
        <v>0</v>
      </c>
      <c r="L68" s="298">
        <v>0</v>
      </c>
      <c r="M68" s="298">
        <v>0</v>
      </c>
      <c r="N68" s="299">
        <v>0</v>
      </c>
      <c r="O68" s="118"/>
      <c r="P68" s="297">
        <v>0</v>
      </c>
      <c r="Q68" s="460">
        <v>0</v>
      </c>
      <c r="R68" s="298">
        <v>0</v>
      </c>
      <c r="S68" s="298">
        <v>0</v>
      </c>
      <c r="T68" s="298">
        <v>0</v>
      </c>
      <c r="U68" s="299">
        <v>0</v>
      </c>
      <c r="V68" s="118"/>
      <c r="W68" s="1382" t="s">
        <v>498</v>
      </c>
      <c r="X68" s="298">
        <v>0</v>
      </c>
      <c r="Y68" s="118"/>
      <c r="Z68" s="2740">
        <v>0</v>
      </c>
      <c r="AA68" s="2754">
        <v>0</v>
      </c>
      <c r="AB68" s="2754">
        <v>0</v>
      </c>
      <c r="AC68" s="2913">
        <v>0</v>
      </c>
      <c r="AD68" s="1766">
        <v>0</v>
      </c>
      <c r="AE68" s="1766">
        <v>0</v>
      </c>
      <c r="AF68" s="1767">
        <v>0</v>
      </c>
    </row>
    <row r="69" spans="2:32" ht="14.25">
      <c r="B69" s="123"/>
      <c r="C69" s="127"/>
      <c r="D69" s="127"/>
      <c r="E69" s="127"/>
      <c r="F69" s="127"/>
      <c r="G69" s="2615"/>
      <c r="H69" s="118"/>
      <c r="I69" s="2761" t="s">
        <v>498</v>
      </c>
      <c r="J69" s="298">
        <v>0</v>
      </c>
      <c r="K69" s="298">
        <v>0</v>
      </c>
      <c r="L69" s="298">
        <v>0</v>
      </c>
      <c r="M69" s="298">
        <v>0</v>
      </c>
      <c r="N69" s="299">
        <v>0</v>
      </c>
      <c r="O69" s="118"/>
      <c r="P69" s="297">
        <v>0</v>
      </c>
      <c r="Q69" s="460">
        <v>0</v>
      </c>
      <c r="R69" s="298">
        <v>0</v>
      </c>
      <c r="S69" s="298">
        <v>0</v>
      </c>
      <c r="T69" s="298">
        <v>0</v>
      </c>
      <c r="U69" s="299">
        <v>0</v>
      </c>
      <c r="V69" s="118"/>
      <c r="W69" s="1382" t="s">
        <v>498</v>
      </c>
      <c r="X69" s="298">
        <v>0</v>
      </c>
      <c r="Y69" s="118"/>
      <c r="Z69" s="2740">
        <v>0</v>
      </c>
      <c r="AA69" s="2754">
        <v>0</v>
      </c>
      <c r="AB69" s="2754">
        <v>0</v>
      </c>
      <c r="AC69" s="2913">
        <v>0</v>
      </c>
      <c r="AD69" s="1766">
        <v>0</v>
      </c>
      <c r="AE69" s="1766">
        <v>0</v>
      </c>
      <c r="AF69" s="1767">
        <v>0</v>
      </c>
    </row>
    <row r="70" spans="2:32" ht="14.25">
      <c r="B70" s="123"/>
      <c r="C70" s="127"/>
      <c r="D70" s="127"/>
      <c r="E70" s="127"/>
      <c r="F70" s="127"/>
      <c r="G70" s="2615"/>
      <c r="H70" s="118"/>
      <c r="I70" s="2761" t="s">
        <v>498</v>
      </c>
      <c r="J70" s="298">
        <v>0</v>
      </c>
      <c r="K70" s="298">
        <v>0</v>
      </c>
      <c r="L70" s="298">
        <v>0</v>
      </c>
      <c r="M70" s="298">
        <v>0</v>
      </c>
      <c r="N70" s="299">
        <v>0</v>
      </c>
      <c r="O70" s="118"/>
      <c r="P70" s="297">
        <v>0</v>
      </c>
      <c r="Q70" s="460">
        <v>0</v>
      </c>
      <c r="R70" s="298">
        <v>0</v>
      </c>
      <c r="S70" s="298">
        <v>0</v>
      </c>
      <c r="T70" s="298">
        <v>0</v>
      </c>
      <c r="U70" s="299">
        <v>0</v>
      </c>
      <c r="V70" s="118"/>
      <c r="W70" s="1382" t="s">
        <v>498</v>
      </c>
      <c r="X70" s="298">
        <v>0</v>
      </c>
      <c r="Y70" s="118"/>
      <c r="Z70" s="2740">
        <v>0</v>
      </c>
      <c r="AA70" s="2754">
        <v>0</v>
      </c>
      <c r="AB70" s="2754">
        <v>0</v>
      </c>
      <c r="AC70" s="2913">
        <v>0</v>
      </c>
      <c r="AD70" s="1766">
        <v>0</v>
      </c>
      <c r="AE70" s="1766">
        <v>0</v>
      </c>
      <c r="AF70" s="1767">
        <v>0</v>
      </c>
    </row>
    <row r="71" spans="2:32" ht="14.25">
      <c r="B71" s="123"/>
      <c r="C71" s="127"/>
      <c r="D71" s="127"/>
      <c r="E71" s="127"/>
      <c r="F71" s="127"/>
      <c r="G71" s="2615"/>
      <c r="H71" s="118"/>
      <c r="I71" s="2761" t="s">
        <v>498</v>
      </c>
      <c r="J71" s="298">
        <v>0</v>
      </c>
      <c r="K71" s="298">
        <v>0</v>
      </c>
      <c r="L71" s="298">
        <v>0</v>
      </c>
      <c r="M71" s="298">
        <v>0</v>
      </c>
      <c r="N71" s="299">
        <v>0</v>
      </c>
      <c r="O71" s="118"/>
      <c r="P71" s="297">
        <v>0</v>
      </c>
      <c r="Q71" s="460">
        <v>0</v>
      </c>
      <c r="R71" s="298">
        <v>0</v>
      </c>
      <c r="S71" s="298">
        <v>0</v>
      </c>
      <c r="T71" s="298">
        <v>0</v>
      </c>
      <c r="U71" s="299">
        <v>0</v>
      </c>
      <c r="V71" s="118"/>
      <c r="W71" s="1382" t="s">
        <v>498</v>
      </c>
      <c r="X71" s="298">
        <v>0</v>
      </c>
      <c r="Y71" s="118"/>
      <c r="Z71" s="2740">
        <v>0</v>
      </c>
      <c r="AA71" s="2754">
        <v>0</v>
      </c>
      <c r="AB71" s="2754">
        <v>0</v>
      </c>
      <c r="AC71" s="2913">
        <v>0</v>
      </c>
      <c r="AD71" s="1766">
        <v>0</v>
      </c>
      <c r="AE71" s="1766">
        <v>0</v>
      </c>
      <c r="AF71" s="1767">
        <v>0</v>
      </c>
    </row>
    <row r="72" spans="2:32" ht="14.25">
      <c r="B72" s="123"/>
      <c r="C72" s="127"/>
      <c r="D72" s="127"/>
      <c r="E72" s="127"/>
      <c r="F72" s="127"/>
      <c r="G72" s="2615"/>
      <c r="H72" s="118"/>
      <c r="I72" s="2761" t="s">
        <v>498</v>
      </c>
      <c r="J72" s="298">
        <v>0</v>
      </c>
      <c r="K72" s="298">
        <v>0</v>
      </c>
      <c r="L72" s="298">
        <v>0</v>
      </c>
      <c r="M72" s="298">
        <v>0</v>
      </c>
      <c r="N72" s="299">
        <v>0</v>
      </c>
      <c r="O72" s="118"/>
      <c r="P72" s="297">
        <v>0</v>
      </c>
      <c r="Q72" s="460">
        <v>0</v>
      </c>
      <c r="R72" s="298">
        <v>0</v>
      </c>
      <c r="S72" s="298">
        <v>0</v>
      </c>
      <c r="T72" s="298">
        <v>0</v>
      </c>
      <c r="U72" s="299">
        <v>0</v>
      </c>
      <c r="V72" s="118"/>
      <c r="W72" s="1382" t="s">
        <v>498</v>
      </c>
      <c r="X72" s="298">
        <v>0</v>
      </c>
      <c r="Y72" s="118"/>
      <c r="Z72" s="2740">
        <v>0</v>
      </c>
      <c r="AA72" s="2754">
        <v>0</v>
      </c>
      <c r="AB72" s="2754">
        <v>0</v>
      </c>
      <c r="AC72" s="2913">
        <v>0</v>
      </c>
      <c r="AD72" s="1766">
        <v>0</v>
      </c>
      <c r="AE72" s="1766">
        <v>0</v>
      </c>
      <c r="AF72" s="1767">
        <v>0</v>
      </c>
    </row>
    <row r="73" spans="2:32" ht="14.25">
      <c r="B73" s="123"/>
      <c r="C73" s="127"/>
      <c r="D73" s="127"/>
      <c r="E73" s="127"/>
      <c r="F73" s="127"/>
      <c r="G73" s="2615"/>
      <c r="H73" s="118"/>
      <c r="I73" s="2761" t="s">
        <v>498</v>
      </c>
      <c r="J73" s="298">
        <v>0</v>
      </c>
      <c r="K73" s="298">
        <v>0</v>
      </c>
      <c r="L73" s="298">
        <v>0</v>
      </c>
      <c r="M73" s="298">
        <v>0</v>
      </c>
      <c r="N73" s="299">
        <v>0</v>
      </c>
      <c r="O73" s="118"/>
      <c r="P73" s="297">
        <v>0</v>
      </c>
      <c r="Q73" s="460">
        <v>0</v>
      </c>
      <c r="R73" s="298">
        <v>0</v>
      </c>
      <c r="S73" s="298">
        <v>0</v>
      </c>
      <c r="T73" s="298">
        <v>0</v>
      </c>
      <c r="U73" s="299">
        <v>0</v>
      </c>
      <c r="V73" s="118"/>
      <c r="W73" s="1382" t="s">
        <v>498</v>
      </c>
      <c r="X73" s="298">
        <v>0</v>
      </c>
      <c r="Y73" s="118"/>
      <c r="Z73" s="2740">
        <v>0</v>
      </c>
      <c r="AA73" s="2754">
        <v>0</v>
      </c>
      <c r="AB73" s="2754">
        <v>0</v>
      </c>
      <c r="AC73" s="2913">
        <v>0</v>
      </c>
      <c r="AD73" s="1766">
        <v>0</v>
      </c>
      <c r="AE73" s="1766">
        <v>0</v>
      </c>
      <c r="AF73" s="1767">
        <v>0</v>
      </c>
    </row>
    <row r="74" spans="2:32" ht="14.25">
      <c r="B74" s="123"/>
      <c r="C74" s="127"/>
      <c r="D74" s="127"/>
      <c r="E74" s="127"/>
      <c r="F74" s="127"/>
      <c r="G74" s="2615"/>
      <c r="H74" s="118"/>
      <c r="I74" s="2761" t="s">
        <v>498</v>
      </c>
      <c r="J74" s="298">
        <v>0</v>
      </c>
      <c r="K74" s="298">
        <v>0</v>
      </c>
      <c r="L74" s="298">
        <v>0</v>
      </c>
      <c r="M74" s="298">
        <v>0</v>
      </c>
      <c r="N74" s="299">
        <v>0</v>
      </c>
      <c r="O74" s="118"/>
      <c r="P74" s="297">
        <v>0</v>
      </c>
      <c r="Q74" s="460">
        <v>0</v>
      </c>
      <c r="R74" s="298">
        <v>0</v>
      </c>
      <c r="S74" s="298">
        <v>0</v>
      </c>
      <c r="T74" s="298">
        <v>0</v>
      </c>
      <c r="U74" s="299">
        <v>0</v>
      </c>
      <c r="V74" s="118"/>
      <c r="W74" s="1382" t="s">
        <v>498</v>
      </c>
      <c r="X74" s="298">
        <v>0</v>
      </c>
      <c r="Y74" s="118"/>
      <c r="Z74" s="2740">
        <v>0</v>
      </c>
      <c r="AA74" s="2754">
        <v>0</v>
      </c>
      <c r="AB74" s="2754">
        <v>0</v>
      </c>
      <c r="AC74" s="2913">
        <v>0</v>
      </c>
      <c r="AD74" s="1766">
        <v>0</v>
      </c>
      <c r="AE74" s="1766">
        <v>0</v>
      </c>
      <c r="AF74" s="1767">
        <v>0</v>
      </c>
    </row>
    <row r="75" spans="2:32" ht="14.25">
      <c r="B75" s="123"/>
      <c r="C75" s="127"/>
      <c r="D75" s="127"/>
      <c r="E75" s="127"/>
      <c r="F75" s="127"/>
      <c r="G75" s="2615"/>
      <c r="H75" s="118"/>
      <c r="I75" s="2761" t="s">
        <v>498</v>
      </c>
      <c r="J75" s="298">
        <v>0</v>
      </c>
      <c r="K75" s="298">
        <v>0</v>
      </c>
      <c r="L75" s="298">
        <v>0</v>
      </c>
      <c r="M75" s="298">
        <v>0</v>
      </c>
      <c r="N75" s="299">
        <v>0</v>
      </c>
      <c r="O75" s="118"/>
      <c r="P75" s="297">
        <v>0</v>
      </c>
      <c r="Q75" s="460">
        <v>0</v>
      </c>
      <c r="R75" s="298">
        <v>0</v>
      </c>
      <c r="S75" s="298">
        <v>0</v>
      </c>
      <c r="T75" s="298">
        <v>0</v>
      </c>
      <c r="U75" s="299">
        <v>0</v>
      </c>
      <c r="V75" s="118"/>
      <c r="W75" s="1382" t="s">
        <v>498</v>
      </c>
      <c r="X75" s="298">
        <v>0</v>
      </c>
      <c r="Y75" s="118"/>
      <c r="Z75" s="2740">
        <v>0</v>
      </c>
      <c r="AA75" s="2754">
        <v>0</v>
      </c>
      <c r="AB75" s="2754">
        <v>0</v>
      </c>
      <c r="AC75" s="2913">
        <v>0</v>
      </c>
      <c r="AD75" s="1766">
        <v>0</v>
      </c>
      <c r="AE75" s="1766">
        <v>0</v>
      </c>
      <c r="AF75" s="1767">
        <v>0</v>
      </c>
    </row>
    <row r="76" spans="2:32" ht="14.25">
      <c r="B76" s="123"/>
      <c r="C76" s="127"/>
      <c r="D76" s="127"/>
      <c r="E76" s="127"/>
      <c r="F76" s="127"/>
      <c r="G76" s="2615"/>
      <c r="H76" s="118"/>
      <c r="I76" s="2761" t="s">
        <v>498</v>
      </c>
      <c r="J76" s="298">
        <v>0</v>
      </c>
      <c r="K76" s="298">
        <v>0</v>
      </c>
      <c r="L76" s="298">
        <v>0</v>
      </c>
      <c r="M76" s="298">
        <v>0</v>
      </c>
      <c r="N76" s="299">
        <v>0</v>
      </c>
      <c r="O76" s="118"/>
      <c r="P76" s="297">
        <v>0</v>
      </c>
      <c r="Q76" s="460">
        <v>0</v>
      </c>
      <c r="R76" s="298">
        <v>0</v>
      </c>
      <c r="S76" s="298">
        <v>0</v>
      </c>
      <c r="T76" s="298">
        <v>0</v>
      </c>
      <c r="U76" s="299">
        <v>0</v>
      </c>
      <c r="V76" s="118"/>
      <c r="W76" s="1382" t="s">
        <v>498</v>
      </c>
      <c r="X76" s="298">
        <v>0</v>
      </c>
      <c r="Y76" s="118"/>
      <c r="Z76" s="2740">
        <v>0</v>
      </c>
      <c r="AA76" s="2754">
        <v>0</v>
      </c>
      <c r="AB76" s="2754">
        <v>0</v>
      </c>
      <c r="AC76" s="2913">
        <v>0</v>
      </c>
      <c r="AD76" s="1766">
        <v>0</v>
      </c>
      <c r="AE76" s="1766">
        <v>0</v>
      </c>
      <c r="AF76" s="1767">
        <v>0</v>
      </c>
    </row>
    <row r="77" spans="2:32" ht="14.25">
      <c r="B77" s="123"/>
      <c r="C77" s="127"/>
      <c r="D77" s="127"/>
      <c r="E77" s="127"/>
      <c r="F77" s="127"/>
      <c r="G77" s="2615"/>
      <c r="H77" s="118"/>
      <c r="I77" s="2761" t="s">
        <v>498</v>
      </c>
      <c r="J77" s="298">
        <v>0</v>
      </c>
      <c r="K77" s="298">
        <v>0</v>
      </c>
      <c r="L77" s="298">
        <v>0</v>
      </c>
      <c r="M77" s="298">
        <v>0</v>
      </c>
      <c r="N77" s="299">
        <v>0</v>
      </c>
      <c r="O77" s="118"/>
      <c r="P77" s="297">
        <v>0</v>
      </c>
      <c r="Q77" s="460">
        <v>0</v>
      </c>
      <c r="R77" s="298">
        <v>0</v>
      </c>
      <c r="S77" s="298">
        <v>0</v>
      </c>
      <c r="T77" s="298">
        <v>0</v>
      </c>
      <c r="U77" s="299">
        <v>0</v>
      </c>
      <c r="V77" s="118"/>
      <c r="W77" s="1382" t="s">
        <v>498</v>
      </c>
      <c r="X77" s="298">
        <v>0</v>
      </c>
      <c r="Y77" s="118"/>
      <c r="Z77" s="2740">
        <v>0</v>
      </c>
      <c r="AA77" s="2754">
        <v>0</v>
      </c>
      <c r="AB77" s="2754">
        <v>0</v>
      </c>
      <c r="AC77" s="2913">
        <v>0</v>
      </c>
      <c r="AD77" s="1766">
        <v>0</v>
      </c>
      <c r="AE77" s="1766">
        <v>0</v>
      </c>
      <c r="AF77" s="1767">
        <v>0</v>
      </c>
    </row>
    <row r="78" spans="2:32" ht="14.25">
      <c r="B78" s="123"/>
      <c r="C78" s="127"/>
      <c r="D78" s="127"/>
      <c r="E78" s="127"/>
      <c r="F78" s="127"/>
      <c r="G78" s="2615"/>
      <c r="H78" s="118"/>
      <c r="I78" s="2761" t="s">
        <v>498</v>
      </c>
      <c r="J78" s="298">
        <v>0</v>
      </c>
      <c r="K78" s="298">
        <v>0</v>
      </c>
      <c r="L78" s="298">
        <v>0</v>
      </c>
      <c r="M78" s="298">
        <v>0</v>
      </c>
      <c r="N78" s="299">
        <v>0</v>
      </c>
      <c r="O78" s="118"/>
      <c r="P78" s="297">
        <v>0</v>
      </c>
      <c r="Q78" s="460">
        <v>0</v>
      </c>
      <c r="R78" s="298">
        <v>0</v>
      </c>
      <c r="S78" s="298">
        <v>0</v>
      </c>
      <c r="T78" s="298">
        <v>0</v>
      </c>
      <c r="U78" s="299">
        <v>0</v>
      </c>
      <c r="V78" s="118"/>
      <c r="W78" s="1382" t="s">
        <v>498</v>
      </c>
      <c r="X78" s="298">
        <v>0</v>
      </c>
      <c r="Y78" s="118"/>
      <c r="Z78" s="2740">
        <v>0</v>
      </c>
      <c r="AA78" s="2754">
        <v>0</v>
      </c>
      <c r="AB78" s="2754">
        <v>0</v>
      </c>
      <c r="AC78" s="2913">
        <v>0</v>
      </c>
      <c r="AD78" s="1766">
        <v>0</v>
      </c>
      <c r="AE78" s="1766">
        <v>0</v>
      </c>
      <c r="AF78" s="1767">
        <v>0</v>
      </c>
    </row>
    <row r="79" spans="2:32" ht="14.25">
      <c r="B79" s="123"/>
      <c r="C79" s="127"/>
      <c r="D79" s="127"/>
      <c r="E79" s="127"/>
      <c r="F79" s="127"/>
      <c r="G79" s="2615"/>
      <c r="H79" s="118"/>
      <c r="I79" s="2761" t="s">
        <v>498</v>
      </c>
      <c r="J79" s="298">
        <v>0</v>
      </c>
      <c r="K79" s="298">
        <v>0</v>
      </c>
      <c r="L79" s="298">
        <v>0</v>
      </c>
      <c r="M79" s="298">
        <v>0</v>
      </c>
      <c r="N79" s="299">
        <v>0</v>
      </c>
      <c r="O79" s="118"/>
      <c r="P79" s="297">
        <v>0</v>
      </c>
      <c r="Q79" s="460">
        <v>0</v>
      </c>
      <c r="R79" s="298">
        <v>0</v>
      </c>
      <c r="S79" s="298">
        <v>0</v>
      </c>
      <c r="T79" s="298">
        <v>0</v>
      </c>
      <c r="U79" s="299">
        <v>0</v>
      </c>
      <c r="V79" s="118"/>
      <c r="W79" s="1382" t="s">
        <v>498</v>
      </c>
      <c r="X79" s="298">
        <v>0</v>
      </c>
      <c r="Y79" s="118"/>
      <c r="Z79" s="2740">
        <v>0</v>
      </c>
      <c r="AA79" s="2754">
        <v>0</v>
      </c>
      <c r="AB79" s="2754">
        <v>0</v>
      </c>
      <c r="AC79" s="2913">
        <v>0</v>
      </c>
      <c r="AD79" s="1766">
        <v>0</v>
      </c>
      <c r="AE79" s="1766">
        <v>0</v>
      </c>
      <c r="AF79" s="1767">
        <v>0</v>
      </c>
    </row>
    <row r="80" spans="2:32" ht="14.25">
      <c r="B80" s="123"/>
      <c r="C80" s="127"/>
      <c r="D80" s="127"/>
      <c r="E80" s="127"/>
      <c r="F80" s="127"/>
      <c r="G80" s="2615"/>
      <c r="H80" s="118"/>
      <c r="I80" s="2761" t="s">
        <v>498</v>
      </c>
      <c r="J80" s="298">
        <v>0</v>
      </c>
      <c r="K80" s="298">
        <v>0</v>
      </c>
      <c r="L80" s="298">
        <v>0</v>
      </c>
      <c r="M80" s="298">
        <v>0</v>
      </c>
      <c r="N80" s="299">
        <v>0</v>
      </c>
      <c r="O80" s="118"/>
      <c r="P80" s="297">
        <v>0</v>
      </c>
      <c r="Q80" s="460">
        <v>0</v>
      </c>
      <c r="R80" s="298">
        <v>0</v>
      </c>
      <c r="S80" s="298">
        <v>0</v>
      </c>
      <c r="T80" s="298">
        <v>0</v>
      </c>
      <c r="U80" s="299">
        <v>0</v>
      </c>
      <c r="V80" s="118"/>
      <c r="W80" s="1382" t="s">
        <v>498</v>
      </c>
      <c r="X80" s="298">
        <v>0</v>
      </c>
      <c r="Y80" s="118"/>
      <c r="Z80" s="2740">
        <v>0</v>
      </c>
      <c r="AA80" s="2754">
        <v>0</v>
      </c>
      <c r="AB80" s="2754">
        <v>0</v>
      </c>
      <c r="AC80" s="2913">
        <v>0</v>
      </c>
      <c r="AD80" s="1766">
        <v>0</v>
      </c>
      <c r="AE80" s="1766">
        <v>0</v>
      </c>
      <c r="AF80" s="1767">
        <v>0</v>
      </c>
    </row>
    <row r="81" spans="2:32" ht="14.25">
      <c r="B81" s="123"/>
      <c r="C81" s="127"/>
      <c r="D81" s="127"/>
      <c r="E81" s="127"/>
      <c r="F81" s="127"/>
      <c r="G81" s="2615"/>
      <c r="H81" s="118"/>
      <c r="I81" s="2761" t="s">
        <v>498</v>
      </c>
      <c r="J81" s="298">
        <v>0</v>
      </c>
      <c r="K81" s="298">
        <v>0</v>
      </c>
      <c r="L81" s="298">
        <v>0</v>
      </c>
      <c r="M81" s="298">
        <v>0</v>
      </c>
      <c r="N81" s="299">
        <v>0</v>
      </c>
      <c r="O81" s="118"/>
      <c r="P81" s="297">
        <v>0</v>
      </c>
      <c r="Q81" s="460">
        <v>0</v>
      </c>
      <c r="R81" s="298">
        <v>0</v>
      </c>
      <c r="S81" s="298">
        <v>0</v>
      </c>
      <c r="T81" s="298">
        <v>0</v>
      </c>
      <c r="U81" s="299">
        <v>0</v>
      </c>
      <c r="V81" s="118"/>
      <c r="W81" s="1382" t="s">
        <v>498</v>
      </c>
      <c r="X81" s="298">
        <v>0</v>
      </c>
      <c r="Y81" s="118"/>
      <c r="Z81" s="2740">
        <v>0</v>
      </c>
      <c r="AA81" s="2754">
        <v>0</v>
      </c>
      <c r="AB81" s="2754">
        <v>0</v>
      </c>
      <c r="AC81" s="2913">
        <v>0</v>
      </c>
      <c r="AD81" s="1766">
        <v>0</v>
      </c>
      <c r="AE81" s="1766">
        <v>0</v>
      </c>
      <c r="AF81" s="1767">
        <v>0</v>
      </c>
    </row>
    <row r="82" spans="2:32" ht="14.25">
      <c r="B82" s="123"/>
      <c r="C82" s="127"/>
      <c r="D82" s="127"/>
      <c r="E82" s="127"/>
      <c r="F82" s="127"/>
      <c r="G82" s="2615"/>
      <c r="H82" s="118"/>
      <c r="I82" s="2761" t="s">
        <v>498</v>
      </c>
      <c r="J82" s="298">
        <v>0</v>
      </c>
      <c r="K82" s="298">
        <v>0</v>
      </c>
      <c r="L82" s="298">
        <v>0</v>
      </c>
      <c r="M82" s="298">
        <v>0</v>
      </c>
      <c r="N82" s="299">
        <v>0</v>
      </c>
      <c r="O82" s="118"/>
      <c r="P82" s="297">
        <v>0</v>
      </c>
      <c r="Q82" s="460">
        <v>0</v>
      </c>
      <c r="R82" s="298">
        <v>0</v>
      </c>
      <c r="S82" s="298">
        <v>0</v>
      </c>
      <c r="T82" s="298">
        <v>0</v>
      </c>
      <c r="U82" s="299">
        <v>0</v>
      </c>
      <c r="V82" s="118"/>
      <c r="W82" s="1382" t="s">
        <v>498</v>
      </c>
      <c r="X82" s="298">
        <v>0</v>
      </c>
      <c r="Y82" s="118"/>
      <c r="Z82" s="2740">
        <v>0</v>
      </c>
      <c r="AA82" s="2754">
        <v>0</v>
      </c>
      <c r="AB82" s="2754">
        <v>0</v>
      </c>
      <c r="AC82" s="2913">
        <v>0</v>
      </c>
      <c r="AD82" s="1766">
        <v>0</v>
      </c>
      <c r="AE82" s="1766">
        <v>0</v>
      </c>
      <c r="AF82" s="1767">
        <v>0</v>
      </c>
    </row>
    <row r="83" spans="2:32" ht="14.25">
      <c r="B83" s="123"/>
      <c r="C83" s="127"/>
      <c r="D83" s="127"/>
      <c r="E83" s="127"/>
      <c r="F83" s="127"/>
      <c r="G83" s="2615"/>
      <c r="H83" s="118"/>
      <c r="I83" s="2761" t="s">
        <v>498</v>
      </c>
      <c r="J83" s="298">
        <v>0</v>
      </c>
      <c r="K83" s="298">
        <v>0</v>
      </c>
      <c r="L83" s="298">
        <v>0</v>
      </c>
      <c r="M83" s="298">
        <v>0</v>
      </c>
      <c r="N83" s="299">
        <v>0</v>
      </c>
      <c r="O83" s="118"/>
      <c r="P83" s="297">
        <v>0</v>
      </c>
      <c r="Q83" s="460">
        <v>0</v>
      </c>
      <c r="R83" s="298">
        <v>0</v>
      </c>
      <c r="S83" s="298">
        <v>0</v>
      </c>
      <c r="T83" s="298">
        <v>0</v>
      </c>
      <c r="U83" s="299">
        <v>0</v>
      </c>
      <c r="V83" s="118"/>
      <c r="W83" s="1382" t="s">
        <v>498</v>
      </c>
      <c r="X83" s="298">
        <v>0</v>
      </c>
      <c r="Y83" s="118"/>
      <c r="Z83" s="2740">
        <v>0</v>
      </c>
      <c r="AA83" s="2754">
        <v>0</v>
      </c>
      <c r="AB83" s="2754">
        <v>0</v>
      </c>
      <c r="AC83" s="2913">
        <v>0</v>
      </c>
      <c r="AD83" s="1766">
        <v>0</v>
      </c>
      <c r="AE83" s="1766">
        <v>0</v>
      </c>
      <c r="AF83" s="1767">
        <v>0</v>
      </c>
    </row>
    <row r="84" spans="2:32" ht="14.25">
      <c r="B84" s="123"/>
      <c r="C84" s="127"/>
      <c r="D84" s="127"/>
      <c r="E84" s="127"/>
      <c r="F84" s="127"/>
      <c r="G84" s="2615"/>
      <c r="H84" s="118"/>
      <c r="I84" s="2761" t="s">
        <v>498</v>
      </c>
      <c r="J84" s="298">
        <v>0</v>
      </c>
      <c r="K84" s="298">
        <v>0</v>
      </c>
      <c r="L84" s="298">
        <v>0</v>
      </c>
      <c r="M84" s="298">
        <v>0</v>
      </c>
      <c r="N84" s="299">
        <v>0</v>
      </c>
      <c r="O84" s="118"/>
      <c r="P84" s="297">
        <v>0</v>
      </c>
      <c r="Q84" s="460">
        <v>0</v>
      </c>
      <c r="R84" s="298">
        <v>0</v>
      </c>
      <c r="S84" s="298">
        <v>0</v>
      </c>
      <c r="T84" s="298">
        <v>0</v>
      </c>
      <c r="U84" s="299">
        <v>0</v>
      </c>
      <c r="V84" s="118"/>
      <c r="W84" s="1382" t="s">
        <v>498</v>
      </c>
      <c r="X84" s="298">
        <v>0</v>
      </c>
      <c r="Y84" s="118"/>
      <c r="Z84" s="2740">
        <v>0</v>
      </c>
      <c r="AA84" s="2754">
        <v>0</v>
      </c>
      <c r="AB84" s="2754">
        <v>0</v>
      </c>
      <c r="AC84" s="2913">
        <v>0</v>
      </c>
      <c r="AD84" s="1766">
        <v>0</v>
      </c>
      <c r="AE84" s="1766">
        <v>0</v>
      </c>
      <c r="AF84" s="1767">
        <v>0</v>
      </c>
    </row>
    <row r="85" spans="2:32" ht="14.25">
      <c r="B85" s="123"/>
      <c r="C85" s="127"/>
      <c r="D85" s="127"/>
      <c r="E85" s="127"/>
      <c r="F85" s="127"/>
      <c r="G85" s="2615"/>
      <c r="H85" s="118"/>
      <c r="I85" s="2761" t="s">
        <v>498</v>
      </c>
      <c r="J85" s="298">
        <v>0</v>
      </c>
      <c r="K85" s="298">
        <v>0</v>
      </c>
      <c r="L85" s="298">
        <v>0</v>
      </c>
      <c r="M85" s="298">
        <v>0</v>
      </c>
      <c r="N85" s="299">
        <v>0</v>
      </c>
      <c r="O85" s="118"/>
      <c r="P85" s="297">
        <v>0</v>
      </c>
      <c r="Q85" s="460">
        <v>0</v>
      </c>
      <c r="R85" s="298">
        <v>0</v>
      </c>
      <c r="S85" s="298">
        <v>0</v>
      </c>
      <c r="T85" s="298">
        <v>0</v>
      </c>
      <c r="U85" s="299">
        <v>0</v>
      </c>
      <c r="V85" s="118"/>
      <c r="W85" s="1382" t="s">
        <v>498</v>
      </c>
      <c r="X85" s="298">
        <v>0</v>
      </c>
      <c r="Y85" s="118"/>
      <c r="Z85" s="2740">
        <v>0</v>
      </c>
      <c r="AA85" s="2754">
        <v>0</v>
      </c>
      <c r="AB85" s="2754">
        <v>0</v>
      </c>
      <c r="AC85" s="2913">
        <v>0</v>
      </c>
      <c r="AD85" s="1766">
        <v>0</v>
      </c>
      <c r="AE85" s="1766">
        <v>0</v>
      </c>
      <c r="AF85" s="1767">
        <v>0</v>
      </c>
    </row>
    <row r="86" spans="2:32" ht="14.25">
      <c r="B86" s="123"/>
      <c r="C86" s="127"/>
      <c r="D86" s="127"/>
      <c r="E86" s="127"/>
      <c r="F86" s="127"/>
      <c r="G86" s="2615"/>
      <c r="H86" s="118"/>
      <c r="I86" s="2761" t="s">
        <v>498</v>
      </c>
      <c r="J86" s="298">
        <v>0</v>
      </c>
      <c r="K86" s="298">
        <v>0</v>
      </c>
      <c r="L86" s="298">
        <v>0</v>
      </c>
      <c r="M86" s="298">
        <v>0</v>
      </c>
      <c r="N86" s="299">
        <v>0</v>
      </c>
      <c r="O86" s="118"/>
      <c r="P86" s="297">
        <v>0</v>
      </c>
      <c r="Q86" s="460">
        <v>0</v>
      </c>
      <c r="R86" s="298">
        <v>0</v>
      </c>
      <c r="S86" s="298">
        <v>0</v>
      </c>
      <c r="T86" s="298">
        <v>0</v>
      </c>
      <c r="U86" s="299">
        <v>0</v>
      </c>
      <c r="V86" s="118"/>
      <c r="W86" s="1382" t="s">
        <v>498</v>
      </c>
      <c r="X86" s="298">
        <v>0</v>
      </c>
      <c r="Y86" s="118"/>
      <c r="Z86" s="2740">
        <v>0</v>
      </c>
      <c r="AA86" s="2754">
        <v>0</v>
      </c>
      <c r="AB86" s="2754">
        <v>0</v>
      </c>
      <c r="AC86" s="2913">
        <v>0</v>
      </c>
      <c r="AD86" s="1766">
        <v>0</v>
      </c>
      <c r="AE86" s="1766">
        <v>0</v>
      </c>
      <c r="AF86" s="1767">
        <v>0</v>
      </c>
    </row>
    <row r="87" spans="2:32" ht="14.25">
      <c r="B87" s="123"/>
      <c r="C87" s="127"/>
      <c r="D87" s="127"/>
      <c r="E87" s="127"/>
      <c r="F87" s="127"/>
      <c r="G87" s="2615"/>
      <c r="H87" s="118"/>
      <c r="I87" s="2761" t="s">
        <v>498</v>
      </c>
      <c r="J87" s="298">
        <v>0</v>
      </c>
      <c r="K87" s="298">
        <v>0</v>
      </c>
      <c r="L87" s="298">
        <v>0</v>
      </c>
      <c r="M87" s="298">
        <v>0</v>
      </c>
      <c r="N87" s="299">
        <v>0</v>
      </c>
      <c r="O87" s="118"/>
      <c r="P87" s="297">
        <v>0</v>
      </c>
      <c r="Q87" s="460">
        <v>0</v>
      </c>
      <c r="R87" s="298">
        <v>0</v>
      </c>
      <c r="S87" s="298">
        <v>0</v>
      </c>
      <c r="T87" s="298">
        <v>0</v>
      </c>
      <c r="U87" s="299">
        <v>0</v>
      </c>
      <c r="V87" s="118"/>
      <c r="W87" s="1382" t="s">
        <v>498</v>
      </c>
      <c r="X87" s="298">
        <v>0</v>
      </c>
      <c r="Y87" s="118"/>
      <c r="Z87" s="2740">
        <v>0</v>
      </c>
      <c r="AA87" s="2754">
        <v>0</v>
      </c>
      <c r="AB87" s="2754">
        <v>0</v>
      </c>
      <c r="AC87" s="2913">
        <v>0</v>
      </c>
      <c r="AD87" s="1766">
        <v>0</v>
      </c>
      <c r="AE87" s="1766">
        <v>0</v>
      </c>
      <c r="AF87" s="1767">
        <v>0</v>
      </c>
    </row>
    <row r="88" spans="2:32" ht="14.25">
      <c r="B88" s="123"/>
      <c r="C88" s="127"/>
      <c r="D88" s="127"/>
      <c r="E88" s="127"/>
      <c r="F88" s="127"/>
      <c r="G88" s="2615"/>
      <c r="H88" s="118"/>
      <c r="I88" s="2761" t="s">
        <v>498</v>
      </c>
      <c r="J88" s="298">
        <v>0</v>
      </c>
      <c r="K88" s="298">
        <v>0</v>
      </c>
      <c r="L88" s="298">
        <v>0</v>
      </c>
      <c r="M88" s="298">
        <v>0</v>
      </c>
      <c r="N88" s="299">
        <v>0</v>
      </c>
      <c r="O88" s="118"/>
      <c r="P88" s="297">
        <v>0</v>
      </c>
      <c r="Q88" s="298">
        <v>0</v>
      </c>
      <c r="R88" s="298">
        <v>0</v>
      </c>
      <c r="S88" s="298">
        <v>0</v>
      </c>
      <c r="T88" s="298">
        <v>0</v>
      </c>
      <c r="U88" s="299">
        <v>0</v>
      </c>
      <c r="V88" s="118"/>
      <c r="W88" s="1382" t="s">
        <v>498</v>
      </c>
      <c r="X88" s="298">
        <v>0</v>
      </c>
      <c r="Y88" s="118"/>
      <c r="Z88" s="2740">
        <v>0</v>
      </c>
      <c r="AA88" s="2754">
        <v>0</v>
      </c>
      <c r="AB88" s="2754">
        <v>0</v>
      </c>
      <c r="AC88" s="2913">
        <v>0</v>
      </c>
      <c r="AD88" s="1766">
        <v>0</v>
      </c>
      <c r="AE88" s="1766">
        <v>0</v>
      </c>
      <c r="AF88" s="1767">
        <v>0</v>
      </c>
    </row>
    <row r="89" spans="2:32" ht="14.25">
      <c r="B89" s="123"/>
      <c r="C89" s="127"/>
      <c r="D89" s="127"/>
      <c r="E89" s="127"/>
      <c r="F89" s="127"/>
      <c r="G89" s="2616"/>
      <c r="H89" s="127"/>
      <c r="I89" s="2741"/>
      <c r="J89" s="127"/>
      <c r="K89" s="127"/>
      <c r="L89" s="127"/>
      <c r="M89" s="127"/>
      <c r="N89" s="1784"/>
      <c r="O89" s="127"/>
      <c r="P89" s="123"/>
      <c r="Q89" s="127"/>
      <c r="R89" s="127"/>
      <c r="S89" s="127"/>
      <c r="T89" s="127"/>
      <c r="U89" s="1784"/>
      <c r="V89" s="127"/>
      <c r="W89" s="123"/>
      <c r="X89" s="1784"/>
      <c r="Y89" s="127"/>
      <c r="Z89" s="2741"/>
      <c r="AA89" s="2755"/>
      <c r="AB89" s="2755"/>
      <c r="AC89" s="2914"/>
      <c r="AD89" s="127"/>
      <c r="AE89" s="127"/>
      <c r="AF89" s="1784"/>
    </row>
    <row r="90" spans="2:32" ht="15" thickBot="1">
      <c r="B90" s="754" t="s">
        <v>1701</v>
      </c>
      <c r="C90" s="132"/>
      <c r="D90" s="132"/>
      <c r="E90" s="132"/>
      <c r="F90" s="132"/>
      <c r="G90" s="2617"/>
      <c r="H90" s="132"/>
      <c r="I90" s="2806" t="s">
        <v>498</v>
      </c>
      <c r="J90" s="627">
        <f>SUM(J50:J88)</f>
        <v>3.3010749643310255</v>
      </c>
      <c r="K90" s="628">
        <f t="shared" ref="K90:N90" si="2">SUM(K50:K88)</f>
        <v>6.701074964331025</v>
      </c>
      <c r="L90" s="628">
        <f t="shared" si="2"/>
        <v>8.4010749643310252</v>
      </c>
      <c r="M90" s="628">
        <f t="shared" si="2"/>
        <v>5.3010749643310255</v>
      </c>
      <c r="N90" s="629">
        <f t="shared" si="2"/>
        <v>2.7010749643310255</v>
      </c>
      <c r="O90" s="133"/>
      <c r="P90" s="1768"/>
      <c r="Q90" s="133"/>
      <c r="R90" s="133"/>
      <c r="S90" s="133"/>
      <c r="T90" s="133"/>
      <c r="U90" s="1769"/>
      <c r="V90" s="133"/>
      <c r="W90" s="1383" t="s">
        <v>498</v>
      </c>
      <c r="X90" s="1785">
        <f>SUM(X50:X88)</f>
        <v>0</v>
      </c>
      <c r="Y90" s="133"/>
      <c r="Z90" s="2742"/>
      <c r="AA90" s="2756"/>
      <c r="AB90" s="2756"/>
      <c r="AC90" s="2915"/>
      <c r="AD90" s="133"/>
      <c r="AE90" s="133"/>
      <c r="AF90" s="1769"/>
    </row>
  </sheetData>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E58"/>
  <sheetViews>
    <sheetView workbookViewId="0">
      <selection activeCell="K56" sqref="K56"/>
    </sheetView>
  </sheetViews>
  <sheetFormatPr defaultRowHeight="12.75"/>
  <cols>
    <col min="1" max="1" width="30.125" bestFit="1" customWidth="1"/>
    <col min="2" max="2" width="23.125" customWidth="1"/>
    <col min="3" max="3" width="20" customWidth="1"/>
    <col min="4" max="4" width="13.875" bestFit="1" customWidth="1"/>
    <col min="5" max="5" width="22.75" bestFit="1" customWidth="1"/>
  </cols>
  <sheetData>
    <row r="1" spans="1:3">
      <c r="A1" s="2541" t="s">
        <v>3566</v>
      </c>
    </row>
    <row r="2" spans="1:3">
      <c r="A2" s="2541" t="s">
        <v>2275</v>
      </c>
      <c r="B2" s="2541" t="s">
        <v>3226</v>
      </c>
      <c r="C2" s="2541" t="s">
        <v>3567</v>
      </c>
    </row>
    <row r="3" spans="1:3">
      <c r="A3" s="2542" t="s">
        <v>3568</v>
      </c>
      <c r="B3" t="s">
        <v>3569</v>
      </c>
      <c r="C3" t="s">
        <v>3570</v>
      </c>
    </row>
    <row r="4" spans="1:3">
      <c r="A4" t="s">
        <v>3571</v>
      </c>
      <c r="B4" t="s">
        <v>3572</v>
      </c>
      <c r="C4" t="s">
        <v>3573</v>
      </c>
    </row>
    <row r="5" spans="1:3">
      <c r="A5" t="s">
        <v>3574</v>
      </c>
      <c r="B5" t="s">
        <v>3575</v>
      </c>
      <c r="C5" t="s">
        <v>3576</v>
      </c>
    </row>
    <row r="6" spans="1:3">
      <c r="A6" t="s">
        <v>3577</v>
      </c>
      <c r="B6" t="s">
        <v>3578</v>
      </c>
    </row>
    <row r="7" spans="1:3">
      <c r="A7" t="s">
        <v>3579</v>
      </c>
      <c r="B7" t="s">
        <v>3580</v>
      </c>
    </row>
    <row r="8" spans="1:3">
      <c r="A8" t="s">
        <v>3581</v>
      </c>
      <c r="B8" t="s">
        <v>85</v>
      </c>
    </row>
    <row r="9" spans="1:3">
      <c r="A9" t="s">
        <v>85</v>
      </c>
    </row>
    <row r="11" spans="1:3">
      <c r="A11" s="2541" t="s">
        <v>172</v>
      </c>
    </row>
    <row r="12" spans="1:3">
      <c r="A12" s="2541" t="s">
        <v>3582</v>
      </c>
      <c r="B12" s="2541" t="s">
        <v>3583</v>
      </c>
    </row>
    <row r="13" spans="1:3">
      <c r="A13" t="s">
        <v>3584</v>
      </c>
      <c r="B13" t="s">
        <v>3585</v>
      </c>
    </row>
    <row r="14" spans="1:3">
      <c r="A14" t="s">
        <v>3586</v>
      </c>
      <c r="B14" t="s">
        <v>3587</v>
      </c>
    </row>
    <row r="15" spans="1:3">
      <c r="A15" t="s">
        <v>3588</v>
      </c>
      <c r="B15" t="s">
        <v>3589</v>
      </c>
    </row>
    <row r="18" spans="1:5">
      <c r="A18" s="2541" t="s">
        <v>3590</v>
      </c>
      <c r="B18" s="2541" t="s">
        <v>3591</v>
      </c>
      <c r="C18" s="2541" t="s">
        <v>3592</v>
      </c>
      <c r="E18" s="2541" t="s">
        <v>2439</v>
      </c>
    </row>
    <row r="19" spans="1:5">
      <c r="A19" t="s">
        <v>1567</v>
      </c>
      <c r="B19" t="s">
        <v>3593</v>
      </c>
      <c r="C19" t="s">
        <v>3594</v>
      </c>
      <c r="E19" t="s">
        <v>2448</v>
      </c>
    </row>
    <row r="20" spans="1:5">
      <c r="A20" t="s">
        <v>3595</v>
      </c>
      <c r="B20" t="s">
        <v>3596</v>
      </c>
      <c r="C20" t="s">
        <v>85</v>
      </c>
      <c r="E20" t="s">
        <v>3597</v>
      </c>
    </row>
    <row r="21" spans="1:5">
      <c r="E21" t="s">
        <v>3598</v>
      </c>
    </row>
    <row r="22" spans="1:5">
      <c r="E22" t="s">
        <v>3599</v>
      </c>
    </row>
    <row r="23" spans="1:5">
      <c r="E23" t="s">
        <v>3600</v>
      </c>
    </row>
    <row r="24" spans="1:5">
      <c r="E24" t="s">
        <v>3601</v>
      </c>
    </row>
    <row r="26" spans="1:5">
      <c r="A26" s="2541" t="s">
        <v>3602</v>
      </c>
    </row>
    <row r="27" spans="1:5">
      <c r="A27" t="s">
        <v>3603</v>
      </c>
      <c r="B27" s="2541"/>
    </row>
    <row r="28" spans="1:5">
      <c r="A28" t="s">
        <v>3604</v>
      </c>
    </row>
    <row r="29" spans="1:5">
      <c r="A29" t="s">
        <v>3605</v>
      </c>
    </row>
    <row r="30" spans="1:5">
      <c r="A30" t="s">
        <v>3606</v>
      </c>
    </row>
    <row r="31" spans="1:5">
      <c r="A31" t="s">
        <v>3607</v>
      </c>
    </row>
    <row r="33" spans="1:2">
      <c r="A33" s="2541" t="s">
        <v>3608</v>
      </c>
    </row>
    <row r="34" spans="1:2">
      <c r="A34" t="s">
        <v>3609</v>
      </c>
      <c r="B34" t="s">
        <v>3610</v>
      </c>
    </row>
    <row r="36" spans="1:2">
      <c r="A36" t="s">
        <v>1930</v>
      </c>
      <c r="B36" t="s">
        <v>282</v>
      </c>
    </row>
    <row r="37" spans="1:2">
      <c r="A37" t="s">
        <v>3611</v>
      </c>
      <c r="B37" t="s">
        <v>1931</v>
      </c>
    </row>
    <row r="38" spans="1:2">
      <c r="A38" t="s">
        <v>1933</v>
      </c>
      <c r="B38" t="s">
        <v>3612</v>
      </c>
    </row>
    <row r="39" spans="1:2">
      <c r="A39" t="s">
        <v>3613</v>
      </c>
      <c r="B39" t="s">
        <v>1932</v>
      </c>
    </row>
    <row r="41" spans="1:2">
      <c r="A41" s="2541" t="s">
        <v>68</v>
      </c>
    </row>
    <row r="42" spans="1:2">
      <c r="A42" t="s">
        <v>3614</v>
      </c>
      <c r="B42" t="s">
        <v>3615</v>
      </c>
    </row>
    <row r="44" spans="1:2">
      <c r="A44" t="s">
        <v>2560</v>
      </c>
      <c r="B44" t="s">
        <v>2558</v>
      </c>
    </row>
    <row r="45" spans="1:2">
      <c r="A45" t="s">
        <v>2561</v>
      </c>
      <c r="B45" t="s">
        <v>2559</v>
      </c>
    </row>
    <row r="46" spans="1:2">
      <c r="A46" t="s">
        <v>2562</v>
      </c>
      <c r="B46" t="s">
        <v>85</v>
      </c>
    </row>
    <row r="47" spans="1:2">
      <c r="A47" t="s">
        <v>2563</v>
      </c>
    </row>
    <row r="48" spans="1:2">
      <c r="A48" t="s">
        <v>2564</v>
      </c>
    </row>
    <row r="49" spans="1:1">
      <c r="A49" t="s">
        <v>85</v>
      </c>
    </row>
    <row r="51" spans="1:1">
      <c r="A51" s="2541" t="s">
        <v>3616</v>
      </c>
    </row>
    <row r="53" spans="1:1">
      <c r="A53" t="s">
        <v>3617</v>
      </c>
    </row>
    <row r="54" spans="1:1">
      <c r="A54" t="s">
        <v>3618</v>
      </c>
    </row>
    <row r="55" spans="1:1">
      <c r="A55" t="s">
        <v>3619</v>
      </c>
    </row>
    <row r="56" spans="1:1">
      <c r="A56" t="s">
        <v>3620</v>
      </c>
    </row>
    <row r="57" spans="1:1">
      <c r="A57" t="s">
        <v>3621</v>
      </c>
    </row>
    <row r="58" spans="1:1">
      <c r="A58" t="s">
        <v>3622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XFC518"/>
  <sheetViews>
    <sheetView showGridLines="0" topLeftCell="P1" zoomScale="80" zoomScaleNormal="80" zoomScaleSheetLayoutView="70" zoomScalePageLayoutView="55" workbookViewId="0">
      <pane ySplit="10" topLeftCell="A460" activePane="bottomLeft" state="frozen"/>
      <selection activeCell="I137" sqref="I137"/>
      <selection pane="bottomLeft" activeCell="AA471" sqref="AA471"/>
    </sheetView>
  </sheetViews>
  <sheetFormatPr defaultColWidth="0" defaultRowHeight="12.75" outlineLevelRow="1" outlineLevelCol="1"/>
  <cols>
    <col min="1" max="1" width="8" style="1870" customWidth="1"/>
    <col min="2" max="2" width="6.375" style="1901" customWidth="1"/>
    <col min="3" max="3" width="12.875" style="1901" customWidth="1"/>
    <col min="4" max="5" width="14.125" style="1885" customWidth="1"/>
    <col min="6" max="6" width="20.125" style="1870" customWidth="1"/>
    <col min="7" max="7" width="15.875" style="1870" customWidth="1"/>
    <col min="8" max="8" width="9.375" style="1870" customWidth="1"/>
    <col min="9" max="9" width="18.625" style="1870" customWidth="1"/>
    <col min="10" max="10" width="18.875" style="1870" customWidth="1"/>
    <col min="11" max="11" width="14.375" style="1870" customWidth="1"/>
    <col min="12" max="12" width="15.375" style="1870" customWidth="1"/>
    <col min="13" max="13" width="13.375" style="1870" customWidth="1"/>
    <col min="14" max="14" width="10.125" style="1870" customWidth="1"/>
    <col min="15" max="15" width="13.375" style="1870" customWidth="1"/>
    <col min="16" max="16" width="17.875" style="1870" bestFit="1" customWidth="1"/>
    <col min="17" max="19" width="17" style="1870" customWidth="1"/>
    <col min="20" max="23" width="10.5" style="1870" customWidth="1" outlineLevel="1"/>
    <col min="24" max="26" width="10.5" style="1885" customWidth="1" outlineLevel="1"/>
    <col min="27" max="27" width="10.5" style="2051" customWidth="1" outlineLevel="1"/>
    <col min="28" max="28" width="10.5" style="2051" customWidth="1"/>
    <col min="29" max="31" width="10.5" style="2051" customWidth="1" outlineLevel="1"/>
    <col min="32" max="32" width="10.5" style="1885" customWidth="1" outlineLevel="1"/>
    <col min="33" max="33" width="8.625" style="1870" customWidth="1"/>
    <col min="34" max="16372" width="0" style="1870" hidden="1"/>
    <col min="16373" max="16383" width="9.125" style="1870" hidden="1"/>
    <col min="16384" max="16384" width="2.125" style="1870" customWidth="1"/>
  </cols>
  <sheetData>
    <row r="1" spans="1:16383" s="1849" customFormat="1" ht="26.25">
      <c r="A1" s="1" t="s">
        <v>0</v>
      </c>
      <c r="B1" s="1196"/>
      <c r="C1" s="1197"/>
      <c r="D1" s="1198"/>
      <c r="E1" s="1198"/>
      <c r="F1" s="1198"/>
      <c r="G1" s="1198"/>
      <c r="H1" s="1198"/>
      <c r="I1" s="1198"/>
      <c r="J1" s="1198"/>
      <c r="K1" s="1198"/>
      <c r="L1" s="1198"/>
      <c r="M1" s="1198"/>
      <c r="N1" s="1198"/>
      <c r="O1" s="1198"/>
      <c r="P1" s="1"/>
      <c r="Q1" s="1196"/>
      <c r="R1" s="1197"/>
      <c r="S1" s="1198"/>
      <c r="T1" s="1198"/>
      <c r="U1" s="1198"/>
      <c r="V1" s="1198"/>
      <c r="W1" s="1198"/>
      <c r="X1" s="1198"/>
      <c r="Y1" s="1198"/>
      <c r="Z1" s="1198"/>
    </row>
    <row r="2" spans="1:16383" s="1849" customFormat="1" ht="26.25">
      <c r="A2" s="5" t="s">
        <v>6</v>
      </c>
      <c r="B2" s="1199"/>
      <c r="C2" s="1200"/>
      <c r="D2" s="1198"/>
      <c r="E2" s="1198"/>
      <c r="F2" s="1198"/>
      <c r="G2" s="1198"/>
      <c r="H2" s="1198"/>
      <c r="I2" s="1198"/>
      <c r="J2" s="1198"/>
      <c r="K2" s="1198"/>
      <c r="L2" s="1198"/>
      <c r="M2" s="1198"/>
      <c r="N2" s="1198"/>
      <c r="O2" s="1198"/>
      <c r="P2" s="5"/>
      <c r="Q2" s="1199"/>
      <c r="R2" s="1200"/>
      <c r="S2" s="1198"/>
      <c r="T2" s="1198"/>
      <c r="U2" s="1198"/>
      <c r="V2" s="1198"/>
      <c r="W2" s="1198"/>
      <c r="X2" s="1198"/>
      <c r="Y2" s="1198"/>
      <c r="Z2" s="1198"/>
    </row>
    <row r="3" spans="1:16383" s="1849" customFormat="1" ht="27" thickBot="1">
      <c r="A3" s="1850" t="s">
        <v>2</v>
      </c>
      <c r="B3" s="1851"/>
      <c r="C3" s="1852"/>
      <c r="D3" s="1319"/>
      <c r="E3" s="1319"/>
      <c r="F3" s="1319"/>
      <c r="G3" s="1319"/>
      <c r="H3" s="1319"/>
      <c r="I3" s="1319"/>
      <c r="J3" s="1319"/>
      <c r="K3" s="1319"/>
      <c r="L3" s="1319"/>
      <c r="M3" s="1319"/>
      <c r="N3" s="1319"/>
      <c r="O3" s="1319"/>
      <c r="P3" s="1312"/>
      <c r="Q3" s="1317"/>
      <c r="R3" s="1318"/>
      <c r="S3" s="1319"/>
      <c r="T3" s="1319"/>
      <c r="U3" s="1319"/>
      <c r="V3" s="1319"/>
      <c r="W3" s="1319"/>
      <c r="X3" s="1319"/>
      <c r="Y3" s="1319"/>
      <c r="Z3" s="1319"/>
    </row>
    <row r="4" spans="1:16383" s="1860" customFormat="1" ht="15.75" thickTop="1">
      <c r="A4" s="1853"/>
      <c r="B4" s="1854"/>
      <c r="C4" s="1854"/>
      <c r="D4" s="1855"/>
      <c r="E4" s="1855"/>
      <c r="F4" s="1853"/>
      <c r="G4" s="1853"/>
      <c r="H4" s="1853"/>
      <c r="I4" s="1853"/>
      <c r="J4" s="1856"/>
      <c r="K4" s="1856"/>
      <c r="L4" s="1856"/>
      <c r="M4" s="1856"/>
      <c r="N4" s="1856"/>
      <c r="O4" s="1856"/>
      <c r="P4" s="1856"/>
      <c r="Q4" s="1856"/>
      <c r="R4" s="1857"/>
      <c r="S4" s="1857"/>
      <c r="T4" s="1857"/>
      <c r="U4" s="1857"/>
      <c r="V4" s="1857"/>
      <c r="W4" s="1857"/>
      <c r="X4" s="1858"/>
      <c r="Y4" s="1857"/>
      <c r="Z4" s="1858"/>
      <c r="AA4" s="1859"/>
      <c r="AB4" s="1859"/>
      <c r="AC4" s="1859"/>
      <c r="AD4" s="1859"/>
      <c r="AE4" s="1859"/>
      <c r="AF4" s="1858"/>
    </row>
    <row r="5" spans="1:16383" s="1865" customFormat="1" ht="15">
      <c r="A5" s="1861"/>
      <c r="B5" s="1862" t="s">
        <v>927</v>
      </c>
      <c r="C5" s="1862"/>
      <c r="D5" s="1863"/>
      <c r="E5" s="1863"/>
      <c r="F5" s="1863"/>
      <c r="G5" s="1863"/>
      <c r="H5" s="1863"/>
      <c r="I5" s="1863"/>
      <c r="J5" s="1863"/>
      <c r="K5" s="1863"/>
      <c r="L5" s="1863"/>
      <c r="M5" s="1863"/>
      <c r="N5" s="1863"/>
      <c r="O5" s="1863"/>
      <c r="P5" s="1863"/>
      <c r="Q5" s="1863"/>
      <c r="R5" s="1864"/>
      <c r="S5" s="1864"/>
      <c r="T5" s="1863" t="s">
        <v>928</v>
      </c>
      <c r="U5" s="1863"/>
      <c r="V5" s="1863"/>
      <c r="W5" s="1863"/>
      <c r="X5" s="1863"/>
      <c r="Y5" s="1863"/>
      <c r="Z5" s="1863"/>
      <c r="AA5" s="1863"/>
      <c r="AB5" s="1863"/>
      <c r="AC5" s="1863"/>
      <c r="AD5" s="1863"/>
      <c r="AE5" s="1863"/>
      <c r="AF5" s="1863"/>
      <c r="AG5" s="1863"/>
      <c r="AH5" s="1863"/>
      <c r="AI5" s="1863"/>
      <c r="AJ5" s="1863"/>
      <c r="AK5" s="1863"/>
      <c r="AL5" s="1863"/>
      <c r="AM5" s="1863"/>
      <c r="AN5" s="1863"/>
      <c r="AO5" s="1863"/>
      <c r="AP5" s="1863"/>
      <c r="AQ5" s="1863"/>
      <c r="AR5" s="1863"/>
      <c r="AS5" s="1863"/>
      <c r="AT5" s="1863"/>
      <c r="AU5" s="1863"/>
      <c r="AV5" s="1863"/>
      <c r="AW5" s="1863"/>
      <c r="AX5" s="1863"/>
      <c r="AY5" s="1863"/>
      <c r="AZ5" s="1863"/>
      <c r="BA5" s="1863"/>
      <c r="BB5" s="1863"/>
      <c r="BC5" s="1863"/>
      <c r="BD5" s="1863"/>
      <c r="BE5" s="1863"/>
      <c r="BF5" s="1863"/>
      <c r="BG5" s="1863"/>
      <c r="BH5" s="1863"/>
      <c r="BI5" s="1863"/>
      <c r="BJ5" s="1863"/>
      <c r="BK5" s="1863"/>
      <c r="BL5" s="1863"/>
      <c r="BM5" s="1863"/>
      <c r="BN5" s="1863"/>
      <c r="BO5" s="1863"/>
      <c r="BP5" s="1863"/>
      <c r="BQ5" s="1863"/>
      <c r="BR5" s="1863"/>
      <c r="BS5" s="1863"/>
      <c r="BT5" s="1863"/>
      <c r="BU5" s="1863"/>
      <c r="BV5" s="1863"/>
      <c r="BW5" s="1863"/>
      <c r="BX5" s="1863"/>
      <c r="BY5" s="1863"/>
      <c r="BZ5" s="1863"/>
      <c r="CA5" s="1863"/>
      <c r="CB5" s="1863"/>
      <c r="CC5" s="1863"/>
      <c r="CD5" s="1863"/>
      <c r="CE5" s="1863"/>
      <c r="CF5" s="1863"/>
      <c r="CG5" s="1863"/>
      <c r="CH5" s="1863"/>
      <c r="CI5" s="1863"/>
      <c r="CJ5" s="1863"/>
      <c r="CK5" s="1863"/>
      <c r="CL5" s="1863"/>
      <c r="CM5" s="1863"/>
      <c r="CN5" s="1863"/>
      <c r="CO5" s="1863"/>
      <c r="CP5" s="1863"/>
      <c r="CQ5" s="1863"/>
      <c r="CR5" s="1863"/>
      <c r="CS5" s="1863"/>
      <c r="CT5" s="1863"/>
      <c r="CU5" s="1863"/>
      <c r="CV5" s="1863"/>
      <c r="CW5" s="1863"/>
      <c r="CX5" s="1863"/>
      <c r="CY5" s="1863"/>
      <c r="CZ5" s="1863"/>
      <c r="DA5" s="1863"/>
      <c r="DB5" s="1863"/>
      <c r="DC5" s="1863"/>
      <c r="DD5" s="1863"/>
      <c r="DE5" s="1863"/>
      <c r="DF5" s="1863"/>
      <c r="DG5" s="1863"/>
      <c r="DH5" s="1863"/>
      <c r="DI5" s="1863"/>
      <c r="DJ5" s="1863"/>
      <c r="DK5" s="1863"/>
      <c r="DL5" s="1863"/>
      <c r="DM5" s="1863"/>
      <c r="DN5" s="1863"/>
      <c r="DO5" s="1863"/>
      <c r="DP5" s="1863"/>
      <c r="DQ5" s="1863"/>
      <c r="DR5" s="1863"/>
      <c r="DS5" s="1863"/>
      <c r="DT5" s="1863"/>
      <c r="DU5" s="1863"/>
      <c r="DV5" s="1863"/>
      <c r="DW5" s="1863"/>
      <c r="DX5" s="1863"/>
      <c r="DY5" s="1863"/>
      <c r="DZ5" s="1863"/>
      <c r="EA5" s="1863"/>
      <c r="EB5" s="1863"/>
      <c r="EC5" s="1863"/>
      <c r="ED5" s="1863"/>
      <c r="EE5" s="1863"/>
      <c r="EF5" s="1863"/>
      <c r="EG5" s="1863"/>
      <c r="EH5" s="1863"/>
      <c r="EI5" s="1863"/>
      <c r="EJ5" s="1863"/>
      <c r="EK5" s="1863"/>
      <c r="EL5" s="1863"/>
      <c r="EM5" s="1863"/>
      <c r="EN5" s="1863"/>
      <c r="EO5" s="1863"/>
      <c r="EP5" s="1863"/>
      <c r="EQ5" s="1863"/>
      <c r="ER5" s="1863"/>
      <c r="ES5" s="1863"/>
      <c r="ET5" s="1863"/>
      <c r="EU5" s="1863"/>
      <c r="EV5" s="1863"/>
      <c r="EW5" s="1863"/>
      <c r="EX5" s="1863"/>
      <c r="EY5" s="1863"/>
      <c r="EZ5" s="1863"/>
      <c r="FA5" s="1863"/>
      <c r="FB5" s="1863"/>
      <c r="FC5" s="1863"/>
      <c r="FD5" s="1863"/>
      <c r="FE5" s="1863"/>
      <c r="FF5" s="1863"/>
      <c r="FG5" s="1863"/>
      <c r="FH5" s="1863"/>
      <c r="FI5" s="1863"/>
      <c r="FJ5" s="1863"/>
      <c r="FK5" s="1863"/>
      <c r="FL5" s="1863"/>
      <c r="FM5" s="1863"/>
      <c r="FN5" s="1863"/>
      <c r="FO5" s="1863"/>
      <c r="FP5" s="1863"/>
      <c r="FQ5" s="1863"/>
      <c r="FR5" s="1863"/>
      <c r="FS5" s="1863"/>
      <c r="FT5" s="1863"/>
      <c r="FU5" s="1863"/>
      <c r="FV5" s="1863"/>
      <c r="FW5" s="1863"/>
      <c r="FX5" s="1863"/>
      <c r="FY5" s="1863"/>
      <c r="FZ5" s="1863"/>
      <c r="GA5" s="1863"/>
      <c r="GB5" s="1863"/>
      <c r="GC5" s="1863"/>
      <c r="GD5" s="1863"/>
      <c r="GE5" s="1863"/>
      <c r="GF5" s="1863"/>
      <c r="GG5" s="1863"/>
      <c r="GH5" s="1863"/>
      <c r="GI5" s="1863"/>
      <c r="GJ5" s="1863"/>
      <c r="GK5" s="1863"/>
      <c r="GL5" s="1863"/>
      <c r="GM5" s="1863"/>
      <c r="GN5" s="1863"/>
      <c r="GO5" s="1863"/>
      <c r="GP5" s="1863"/>
      <c r="GQ5" s="1863"/>
      <c r="GR5" s="1863"/>
      <c r="GS5" s="1863"/>
      <c r="GT5" s="1863"/>
      <c r="GU5" s="1863"/>
      <c r="GV5" s="1863"/>
      <c r="GW5" s="1863"/>
      <c r="GX5" s="1863"/>
      <c r="GY5" s="1863"/>
      <c r="GZ5" s="1863"/>
      <c r="HA5" s="1863"/>
      <c r="HB5" s="1863"/>
      <c r="HC5" s="1863"/>
      <c r="HD5" s="1863"/>
      <c r="HE5" s="1863"/>
      <c r="HF5" s="1863"/>
      <c r="HG5" s="1863"/>
      <c r="HH5" s="1863"/>
      <c r="HI5" s="1863"/>
      <c r="HJ5" s="1863"/>
      <c r="HK5" s="1863"/>
      <c r="HL5" s="1863"/>
      <c r="HM5" s="1863"/>
      <c r="HN5" s="1863"/>
      <c r="HO5" s="1863"/>
      <c r="HP5" s="1863"/>
      <c r="HQ5" s="1863"/>
      <c r="HR5" s="1863"/>
      <c r="HS5" s="1863"/>
      <c r="HT5" s="1863"/>
      <c r="HU5" s="1863"/>
      <c r="HV5" s="1863"/>
      <c r="HW5" s="1863"/>
      <c r="HX5" s="1863"/>
      <c r="HY5" s="1863"/>
      <c r="HZ5" s="1863"/>
      <c r="IA5" s="1863"/>
      <c r="IB5" s="1863"/>
      <c r="IC5" s="1863"/>
      <c r="ID5" s="1863"/>
      <c r="IE5" s="1863"/>
      <c r="IF5" s="1863"/>
      <c r="IG5" s="1863"/>
      <c r="IH5" s="1863"/>
      <c r="II5" s="1863"/>
      <c r="IJ5" s="1863"/>
      <c r="IK5" s="1863"/>
      <c r="IL5" s="1863"/>
      <c r="IM5" s="1863"/>
      <c r="IN5" s="1863"/>
      <c r="IO5" s="1863"/>
      <c r="IP5" s="1863"/>
      <c r="IQ5" s="1863"/>
      <c r="IR5" s="1863"/>
      <c r="IS5" s="1863"/>
      <c r="IT5" s="1863"/>
      <c r="IU5" s="1863"/>
      <c r="IV5" s="1863"/>
      <c r="IW5" s="1863"/>
      <c r="IX5" s="1863"/>
      <c r="IY5" s="1863"/>
      <c r="IZ5" s="1863"/>
      <c r="JA5" s="1863"/>
      <c r="JB5" s="1863"/>
      <c r="JC5" s="1863"/>
      <c r="JD5" s="1863"/>
      <c r="JE5" s="1863"/>
      <c r="JF5" s="1863"/>
      <c r="JG5" s="1863"/>
      <c r="JH5" s="1863"/>
      <c r="JI5" s="1863"/>
      <c r="JJ5" s="1863"/>
      <c r="JK5" s="1863"/>
      <c r="JL5" s="1863"/>
      <c r="JM5" s="1863"/>
      <c r="JN5" s="1863"/>
      <c r="JO5" s="1863"/>
      <c r="JP5" s="1863"/>
      <c r="JQ5" s="1863"/>
      <c r="JR5" s="1863"/>
      <c r="JS5" s="1863"/>
      <c r="JT5" s="1863"/>
      <c r="JU5" s="1863"/>
      <c r="JV5" s="1863"/>
      <c r="JW5" s="1863"/>
      <c r="JX5" s="1863"/>
      <c r="JY5" s="1863"/>
      <c r="JZ5" s="1863"/>
      <c r="KA5" s="1863"/>
      <c r="KB5" s="1863"/>
      <c r="KC5" s="1863"/>
      <c r="KD5" s="1863"/>
      <c r="KE5" s="1863"/>
      <c r="KF5" s="1863"/>
      <c r="KG5" s="1863"/>
      <c r="KH5" s="1863"/>
      <c r="KI5" s="1863"/>
      <c r="KJ5" s="1863"/>
      <c r="KK5" s="1863"/>
      <c r="KL5" s="1863"/>
      <c r="KM5" s="1863"/>
      <c r="KN5" s="1863"/>
      <c r="KO5" s="1863"/>
      <c r="KP5" s="1863"/>
      <c r="KQ5" s="1863"/>
      <c r="KR5" s="1863"/>
      <c r="KS5" s="1863"/>
      <c r="KT5" s="1863"/>
      <c r="KU5" s="1863"/>
      <c r="KV5" s="1863"/>
      <c r="KW5" s="1863"/>
      <c r="KX5" s="1863"/>
      <c r="KY5" s="1863"/>
      <c r="KZ5" s="1863"/>
      <c r="LA5" s="1863"/>
      <c r="LB5" s="1863"/>
      <c r="LC5" s="1863"/>
      <c r="LD5" s="1863"/>
      <c r="LE5" s="1863"/>
      <c r="LF5" s="1863"/>
      <c r="LG5" s="1863"/>
      <c r="LH5" s="1863"/>
      <c r="LI5" s="1863"/>
      <c r="LJ5" s="1863"/>
      <c r="LK5" s="1863"/>
      <c r="LL5" s="1863"/>
      <c r="LM5" s="1863"/>
      <c r="LN5" s="1863"/>
      <c r="LO5" s="1863"/>
      <c r="LP5" s="1863"/>
      <c r="LQ5" s="1863"/>
      <c r="LR5" s="1863"/>
      <c r="LS5" s="1863"/>
      <c r="LT5" s="1863"/>
      <c r="LU5" s="1863"/>
      <c r="LV5" s="1863"/>
      <c r="LW5" s="1863"/>
      <c r="LX5" s="1863"/>
      <c r="LY5" s="1863"/>
      <c r="LZ5" s="1863"/>
      <c r="MA5" s="1863"/>
      <c r="MB5" s="1863"/>
      <c r="MC5" s="1863"/>
      <c r="MD5" s="1863"/>
      <c r="ME5" s="1863"/>
      <c r="MF5" s="1863"/>
      <c r="MG5" s="1863"/>
      <c r="MH5" s="1863"/>
      <c r="MI5" s="1863"/>
      <c r="MJ5" s="1863"/>
      <c r="MK5" s="1863"/>
      <c r="ML5" s="1863"/>
      <c r="MM5" s="1863"/>
      <c r="MN5" s="1863"/>
      <c r="MO5" s="1863"/>
      <c r="MP5" s="1863"/>
      <c r="MQ5" s="1863"/>
      <c r="MR5" s="1863"/>
      <c r="MS5" s="1863"/>
      <c r="MT5" s="1863"/>
      <c r="MU5" s="1863"/>
      <c r="MV5" s="1863"/>
      <c r="MW5" s="1863"/>
      <c r="MX5" s="1863"/>
      <c r="MY5" s="1863"/>
      <c r="MZ5" s="1863"/>
      <c r="NA5" s="1863"/>
      <c r="NB5" s="1863"/>
      <c r="NC5" s="1863"/>
      <c r="ND5" s="1863"/>
      <c r="NE5" s="1863"/>
      <c r="NF5" s="1863"/>
      <c r="NG5" s="1863"/>
      <c r="NH5" s="1863"/>
      <c r="NI5" s="1863"/>
      <c r="NJ5" s="1863"/>
      <c r="NK5" s="1863"/>
      <c r="NL5" s="1863"/>
      <c r="NM5" s="1863"/>
      <c r="NN5" s="1863"/>
      <c r="NO5" s="1863"/>
      <c r="NP5" s="1863"/>
      <c r="NQ5" s="1863"/>
      <c r="NR5" s="1863"/>
      <c r="NS5" s="1863"/>
      <c r="NT5" s="1863"/>
      <c r="NU5" s="1863"/>
      <c r="NV5" s="1863"/>
      <c r="NW5" s="1863"/>
      <c r="NX5" s="1863"/>
      <c r="NY5" s="1863"/>
      <c r="NZ5" s="1863"/>
      <c r="OA5" s="1863"/>
      <c r="OB5" s="1863"/>
      <c r="OC5" s="1863"/>
      <c r="OD5" s="1863"/>
      <c r="OE5" s="1863"/>
      <c r="OF5" s="1863"/>
      <c r="OG5" s="1863"/>
      <c r="OH5" s="1863"/>
      <c r="OI5" s="1863"/>
      <c r="OJ5" s="1863"/>
      <c r="OK5" s="1863"/>
      <c r="OL5" s="1863"/>
      <c r="OM5" s="1863"/>
      <c r="ON5" s="1863"/>
      <c r="OO5" s="1863"/>
      <c r="OP5" s="1863"/>
      <c r="OQ5" s="1863"/>
      <c r="OR5" s="1863"/>
      <c r="OS5" s="1863"/>
      <c r="OT5" s="1863"/>
      <c r="OU5" s="1863"/>
      <c r="OV5" s="1863"/>
      <c r="OW5" s="1863"/>
      <c r="OX5" s="1863"/>
      <c r="OY5" s="1863"/>
      <c r="OZ5" s="1863"/>
      <c r="PA5" s="1863"/>
      <c r="PB5" s="1863"/>
      <c r="PC5" s="1863"/>
      <c r="PD5" s="1863"/>
      <c r="PE5" s="1863"/>
      <c r="PF5" s="1863"/>
      <c r="PG5" s="1863"/>
      <c r="PH5" s="1863"/>
      <c r="PI5" s="1863"/>
      <c r="PJ5" s="1863"/>
      <c r="PK5" s="1863"/>
      <c r="PL5" s="1863"/>
      <c r="PM5" s="1863"/>
      <c r="PN5" s="1863"/>
      <c r="PO5" s="1863"/>
      <c r="PP5" s="1863"/>
      <c r="PQ5" s="1863"/>
      <c r="PR5" s="1863"/>
      <c r="PS5" s="1863"/>
      <c r="PT5" s="1863"/>
      <c r="PU5" s="1863"/>
      <c r="PV5" s="1863"/>
      <c r="PW5" s="1863"/>
      <c r="PX5" s="1863"/>
      <c r="PY5" s="1863"/>
      <c r="PZ5" s="1863"/>
      <c r="QA5" s="1863"/>
      <c r="QB5" s="1863"/>
      <c r="QC5" s="1863"/>
      <c r="QD5" s="1863"/>
      <c r="QE5" s="1863"/>
      <c r="QF5" s="1863"/>
      <c r="QG5" s="1863"/>
      <c r="QH5" s="1863"/>
      <c r="QI5" s="1863"/>
      <c r="QJ5" s="1863"/>
      <c r="QK5" s="1863"/>
      <c r="QL5" s="1863"/>
      <c r="QM5" s="1863"/>
      <c r="QN5" s="1863"/>
      <c r="QO5" s="1863"/>
      <c r="QP5" s="1863"/>
      <c r="QQ5" s="1863"/>
      <c r="QR5" s="1863"/>
      <c r="QS5" s="1863"/>
      <c r="QT5" s="1863"/>
      <c r="QU5" s="1863"/>
      <c r="QV5" s="1863"/>
      <c r="QW5" s="1863"/>
      <c r="QX5" s="1863"/>
      <c r="QY5" s="1863"/>
      <c r="QZ5" s="1863"/>
      <c r="RA5" s="1863"/>
      <c r="RB5" s="1863"/>
      <c r="RC5" s="1863"/>
      <c r="RD5" s="1863"/>
      <c r="RE5" s="1863"/>
      <c r="RF5" s="1863"/>
      <c r="RG5" s="1863"/>
      <c r="RH5" s="1863"/>
      <c r="RI5" s="1863"/>
      <c r="RJ5" s="1863"/>
      <c r="RK5" s="1863"/>
      <c r="RL5" s="1863"/>
      <c r="RM5" s="1863"/>
      <c r="RN5" s="1863"/>
      <c r="RO5" s="1863"/>
      <c r="RP5" s="1863"/>
      <c r="RQ5" s="1863"/>
      <c r="RR5" s="1863"/>
      <c r="RS5" s="1863"/>
      <c r="RT5" s="1863"/>
      <c r="RU5" s="1863"/>
      <c r="RV5" s="1863"/>
      <c r="RW5" s="1863"/>
      <c r="RX5" s="1863"/>
      <c r="RY5" s="1863"/>
      <c r="RZ5" s="1863"/>
      <c r="SA5" s="1863"/>
      <c r="SB5" s="1863"/>
      <c r="SC5" s="1863"/>
      <c r="SD5" s="1863"/>
      <c r="SE5" s="1863"/>
      <c r="SF5" s="1863"/>
      <c r="SG5" s="1863"/>
      <c r="SH5" s="1863"/>
      <c r="SI5" s="1863"/>
      <c r="SJ5" s="1863"/>
      <c r="SK5" s="1863"/>
      <c r="SL5" s="1863"/>
      <c r="SM5" s="1863"/>
      <c r="SN5" s="1863"/>
      <c r="SO5" s="1863"/>
      <c r="SP5" s="1863"/>
      <c r="SQ5" s="1863"/>
      <c r="SR5" s="1863"/>
      <c r="SS5" s="1863"/>
      <c r="ST5" s="1863"/>
      <c r="SU5" s="1863"/>
      <c r="SV5" s="1863"/>
      <c r="SW5" s="1863"/>
      <c r="SX5" s="1863"/>
      <c r="SY5" s="1863"/>
      <c r="SZ5" s="1863"/>
      <c r="TA5" s="1863"/>
      <c r="TB5" s="1863"/>
      <c r="TC5" s="1863"/>
      <c r="TD5" s="1863"/>
      <c r="TE5" s="1863"/>
      <c r="TF5" s="1863"/>
      <c r="TG5" s="1863"/>
      <c r="TH5" s="1863"/>
      <c r="TI5" s="1863"/>
      <c r="TJ5" s="1863"/>
      <c r="TK5" s="1863"/>
      <c r="TL5" s="1863"/>
      <c r="TM5" s="1863"/>
      <c r="TN5" s="1863"/>
      <c r="TO5" s="1863"/>
      <c r="TP5" s="1863"/>
      <c r="TQ5" s="1863"/>
      <c r="TR5" s="1863"/>
      <c r="TS5" s="1863"/>
      <c r="TT5" s="1863"/>
      <c r="TU5" s="1863"/>
      <c r="TV5" s="1863"/>
      <c r="TW5" s="1863"/>
      <c r="TX5" s="1863"/>
      <c r="TY5" s="1863"/>
      <c r="TZ5" s="1863"/>
      <c r="UA5" s="1863"/>
      <c r="UB5" s="1863"/>
      <c r="UC5" s="1863"/>
      <c r="UD5" s="1863"/>
      <c r="UE5" s="1863"/>
      <c r="UF5" s="1863"/>
      <c r="UG5" s="1863"/>
      <c r="UH5" s="1863"/>
      <c r="UI5" s="1863"/>
      <c r="UJ5" s="1863"/>
      <c r="UK5" s="1863"/>
      <c r="UL5" s="1863"/>
      <c r="UM5" s="1863"/>
      <c r="UN5" s="1863"/>
      <c r="UO5" s="1863"/>
      <c r="UP5" s="1863"/>
      <c r="UQ5" s="1863"/>
      <c r="UR5" s="1863"/>
      <c r="US5" s="1863"/>
      <c r="UT5" s="1863"/>
      <c r="UU5" s="1863"/>
      <c r="UV5" s="1863"/>
      <c r="UW5" s="1863"/>
      <c r="UX5" s="1863"/>
      <c r="UY5" s="1863"/>
      <c r="UZ5" s="1863"/>
      <c r="VA5" s="1863"/>
      <c r="VB5" s="1863"/>
      <c r="VC5" s="1863"/>
      <c r="VD5" s="1863"/>
      <c r="VE5" s="1863"/>
      <c r="VF5" s="1863"/>
      <c r="VG5" s="1863"/>
      <c r="VH5" s="1863"/>
      <c r="VI5" s="1863"/>
      <c r="VJ5" s="1863"/>
      <c r="VK5" s="1863"/>
      <c r="VL5" s="1863"/>
      <c r="VM5" s="1863"/>
      <c r="VN5" s="1863"/>
      <c r="VO5" s="1863"/>
      <c r="VP5" s="1863"/>
      <c r="VQ5" s="1863"/>
      <c r="VR5" s="1863"/>
      <c r="VS5" s="1863"/>
      <c r="VT5" s="1863"/>
      <c r="VU5" s="1863"/>
      <c r="VV5" s="1863"/>
      <c r="VW5" s="1863"/>
      <c r="VX5" s="1863"/>
      <c r="VY5" s="1863"/>
      <c r="VZ5" s="1863"/>
      <c r="WA5" s="1863"/>
      <c r="WB5" s="1863"/>
      <c r="WC5" s="1863"/>
      <c r="WD5" s="1863"/>
      <c r="WE5" s="1863"/>
      <c r="WF5" s="1863"/>
      <c r="WG5" s="1863"/>
      <c r="WH5" s="1863"/>
      <c r="WI5" s="1863"/>
      <c r="WJ5" s="1863"/>
      <c r="WK5" s="1863"/>
      <c r="WL5" s="1863"/>
      <c r="WM5" s="1863"/>
      <c r="WN5" s="1863"/>
      <c r="WO5" s="1863"/>
      <c r="WP5" s="1863"/>
      <c r="WQ5" s="1863"/>
      <c r="WR5" s="1863"/>
      <c r="WS5" s="1863"/>
      <c r="WT5" s="1863"/>
      <c r="WU5" s="1863"/>
      <c r="WV5" s="1863"/>
      <c r="WW5" s="1863"/>
      <c r="WX5" s="1863"/>
      <c r="WY5" s="1863"/>
      <c r="WZ5" s="1863"/>
      <c r="XA5" s="1863"/>
      <c r="XB5" s="1863"/>
      <c r="XC5" s="1863"/>
      <c r="XD5" s="1863"/>
      <c r="XE5" s="1863"/>
      <c r="XF5" s="1863"/>
      <c r="XG5" s="1863"/>
      <c r="XH5" s="1863"/>
      <c r="XI5" s="1863"/>
      <c r="XJ5" s="1863"/>
      <c r="XK5" s="1863"/>
      <c r="XL5" s="1863"/>
      <c r="XM5" s="1863"/>
      <c r="XN5" s="1863"/>
      <c r="XO5" s="1863"/>
      <c r="XP5" s="1863"/>
      <c r="XQ5" s="1863"/>
      <c r="XR5" s="1863"/>
      <c r="XS5" s="1863"/>
      <c r="XT5" s="1863"/>
      <c r="XU5" s="1863"/>
      <c r="XV5" s="1863"/>
      <c r="XW5" s="1863"/>
      <c r="XX5" s="1863"/>
      <c r="XY5" s="1863"/>
      <c r="XZ5" s="1863"/>
      <c r="YA5" s="1863"/>
      <c r="YB5" s="1863"/>
      <c r="YC5" s="1863"/>
      <c r="YD5" s="1863"/>
      <c r="YE5" s="1863"/>
      <c r="YF5" s="1863"/>
      <c r="YG5" s="1863"/>
      <c r="YH5" s="1863"/>
      <c r="YI5" s="1863"/>
      <c r="YJ5" s="1863"/>
      <c r="YK5" s="1863"/>
      <c r="YL5" s="1863"/>
      <c r="YM5" s="1863"/>
      <c r="YN5" s="1863"/>
      <c r="YO5" s="1863"/>
      <c r="YP5" s="1863"/>
      <c r="YQ5" s="1863"/>
      <c r="YR5" s="1863"/>
      <c r="YS5" s="1863"/>
      <c r="YT5" s="1863"/>
      <c r="YU5" s="1863"/>
      <c r="YV5" s="1863"/>
      <c r="YW5" s="1863"/>
      <c r="YX5" s="1863"/>
      <c r="YY5" s="1863"/>
      <c r="YZ5" s="1863"/>
      <c r="ZA5" s="1863"/>
      <c r="ZB5" s="1863"/>
      <c r="ZC5" s="1863"/>
      <c r="ZD5" s="1863"/>
      <c r="ZE5" s="1863"/>
      <c r="ZF5" s="1863"/>
      <c r="ZG5" s="1863"/>
      <c r="ZH5" s="1863"/>
      <c r="ZI5" s="1863"/>
      <c r="ZJ5" s="1863"/>
      <c r="ZK5" s="1863"/>
      <c r="ZL5" s="1863"/>
      <c r="ZM5" s="1863"/>
      <c r="ZN5" s="1863"/>
      <c r="ZO5" s="1863"/>
      <c r="ZP5" s="1863"/>
      <c r="ZQ5" s="1863"/>
      <c r="ZR5" s="1863"/>
      <c r="ZS5" s="1863"/>
      <c r="ZT5" s="1863"/>
      <c r="ZU5" s="1863"/>
      <c r="ZV5" s="1863"/>
      <c r="ZW5" s="1863"/>
      <c r="ZX5" s="1863"/>
      <c r="ZY5" s="1863"/>
      <c r="ZZ5" s="1863"/>
      <c r="AAA5" s="1863"/>
      <c r="AAB5" s="1863"/>
      <c r="AAC5" s="1863"/>
      <c r="AAD5" s="1863"/>
      <c r="AAE5" s="1863"/>
      <c r="AAF5" s="1863"/>
      <c r="AAG5" s="1863"/>
      <c r="AAH5" s="1863"/>
      <c r="AAI5" s="1863"/>
      <c r="AAJ5" s="1863"/>
      <c r="AAK5" s="1863"/>
      <c r="AAL5" s="1863"/>
      <c r="AAM5" s="1863"/>
      <c r="AAN5" s="1863"/>
      <c r="AAO5" s="1863"/>
      <c r="AAP5" s="1863"/>
      <c r="AAQ5" s="1863"/>
      <c r="AAR5" s="1863"/>
      <c r="AAS5" s="1863"/>
      <c r="AAT5" s="1863"/>
      <c r="AAU5" s="1863"/>
      <c r="AAV5" s="1863"/>
      <c r="AAW5" s="1863"/>
      <c r="AAX5" s="1863"/>
      <c r="AAY5" s="1863"/>
      <c r="AAZ5" s="1863"/>
      <c r="ABA5" s="1863"/>
      <c r="ABB5" s="1863"/>
      <c r="ABC5" s="1863"/>
      <c r="ABD5" s="1863"/>
      <c r="ABE5" s="1863"/>
      <c r="ABF5" s="1863"/>
      <c r="ABG5" s="1863"/>
      <c r="ABH5" s="1863"/>
      <c r="ABI5" s="1863"/>
      <c r="ABJ5" s="1863"/>
      <c r="ABK5" s="1863"/>
      <c r="ABL5" s="1863"/>
      <c r="ABM5" s="1863"/>
      <c r="ABN5" s="1863"/>
      <c r="ABO5" s="1863"/>
      <c r="ABP5" s="1863"/>
      <c r="ABQ5" s="1863"/>
      <c r="ABR5" s="1863"/>
      <c r="ABS5" s="1863"/>
      <c r="ABT5" s="1863"/>
      <c r="ABU5" s="1863"/>
      <c r="ABV5" s="1863"/>
      <c r="ABW5" s="1863"/>
      <c r="ABX5" s="1863"/>
      <c r="ABY5" s="1863"/>
      <c r="ABZ5" s="1863"/>
      <c r="ACA5" s="1863"/>
      <c r="ACB5" s="1863"/>
      <c r="ACC5" s="1863"/>
      <c r="ACD5" s="1863"/>
      <c r="ACE5" s="1863"/>
      <c r="ACF5" s="1863"/>
      <c r="ACG5" s="1863"/>
      <c r="ACH5" s="1863"/>
      <c r="ACI5" s="1863"/>
      <c r="ACJ5" s="1863"/>
      <c r="ACK5" s="1863"/>
      <c r="ACL5" s="1863"/>
      <c r="ACM5" s="1863"/>
      <c r="ACN5" s="1863"/>
      <c r="ACO5" s="1863"/>
      <c r="ACP5" s="1863"/>
      <c r="ACQ5" s="1863"/>
      <c r="ACR5" s="1863"/>
      <c r="ACS5" s="1863"/>
      <c r="ACT5" s="1863"/>
      <c r="ACU5" s="1863"/>
      <c r="ACV5" s="1863"/>
      <c r="ACW5" s="1863"/>
      <c r="ACX5" s="1863"/>
      <c r="ACY5" s="1863"/>
      <c r="ACZ5" s="1863"/>
      <c r="ADA5" s="1863"/>
      <c r="ADB5" s="1863"/>
      <c r="ADC5" s="1863"/>
      <c r="ADD5" s="1863"/>
      <c r="ADE5" s="1863"/>
      <c r="ADF5" s="1863"/>
      <c r="ADG5" s="1863"/>
      <c r="ADH5" s="1863"/>
      <c r="ADI5" s="1863"/>
      <c r="ADJ5" s="1863"/>
      <c r="ADK5" s="1863"/>
      <c r="ADL5" s="1863"/>
      <c r="ADM5" s="1863"/>
      <c r="ADN5" s="1863"/>
      <c r="ADO5" s="1863"/>
      <c r="ADP5" s="1863"/>
      <c r="ADQ5" s="1863"/>
      <c r="ADR5" s="1863"/>
      <c r="ADS5" s="1863"/>
      <c r="ADT5" s="1863"/>
      <c r="ADU5" s="1863"/>
      <c r="ADV5" s="1863"/>
      <c r="ADW5" s="1863"/>
      <c r="ADX5" s="1863"/>
      <c r="ADY5" s="1863"/>
      <c r="ADZ5" s="1863"/>
      <c r="AEA5" s="1863"/>
      <c r="AEB5" s="1863"/>
      <c r="AEC5" s="1863"/>
      <c r="AED5" s="1863"/>
      <c r="AEE5" s="1863"/>
      <c r="AEF5" s="1863"/>
      <c r="AEG5" s="1863"/>
      <c r="AEH5" s="1863"/>
      <c r="AEI5" s="1863"/>
      <c r="AEJ5" s="1863"/>
      <c r="AEK5" s="1863"/>
      <c r="AEL5" s="1863"/>
      <c r="AEM5" s="1863"/>
      <c r="AEN5" s="1863"/>
      <c r="AEO5" s="1863"/>
      <c r="AEP5" s="1863"/>
      <c r="AEQ5" s="1863"/>
      <c r="AER5" s="1863"/>
      <c r="AES5" s="1863"/>
      <c r="AET5" s="1863"/>
      <c r="AEU5" s="1863"/>
      <c r="AEV5" s="1863"/>
      <c r="AEW5" s="1863"/>
      <c r="AEX5" s="1863"/>
      <c r="AEY5" s="1863"/>
      <c r="AEZ5" s="1863"/>
      <c r="AFA5" s="1863"/>
      <c r="AFB5" s="1863"/>
      <c r="AFC5" s="1863"/>
      <c r="AFD5" s="1863"/>
      <c r="AFE5" s="1863"/>
      <c r="AFF5" s="1863"/>
      <c r="AFG5" s="1863"/>
      <c r="AFH5" s="1863"/>
      <c r="AFI5" s="1863"/>
      <c r="AFJ5" s="1863"/>
      <c r="AFK5" s="1863"/>
      <c r="AFL5" s="1863"/>
      <c r="AFM5" s="1863"/>
      <c r="AFN5" s="1863"/>
      <c r="AFO5" s="1863"/>
      <c r="AFP5" s="1863"/>
      <c r="AFQ5" s="1863"/>
      <c r="AFR5" s="1863"/>
      <c r="AFS5" s="1863"/>
      <c r="AFT5" s="1863"/>
      <c r="AFU5" s="1863"/>
      <c r="AFV5" s="1863"/>
      <c r="AFW5" s="1863"/>
      <c r="AFX5" s="1863"/>
      <c r="AFY5" s="1863"/>
      <c r="AFZ5" s="1863"/>
      <c r="AGA5" s="1863"/>
      <c r="AGB5" s="1863"/>
      <c r="AGC5" s="1863"/>
      <c r="AGD5" s="1863"/>
      <c r="AGE5" s="1863"/>
      <c r="AGF5" s="1863"/>
      <c r="AGG5" s="1863"/>
      <c r="AGH5" s="1863"/>
      <c r="AGI5" s="1863"/>
      <c r="AGJ5" s="1863"/>
      <c r="AGK5" s="1863"/>
      <c r="AGL5" s="1863"/>
      <c r="AGM5" s="1863"/>
      <c r="AGN5" s="1863"/>
      <c r="AGO5" s="1863"/>
      <c r="AGP5" s="1863"/>
      <c r="AGQ5" s="1863"/>
      <c r="AGR5" s="1863"/>
      <c r="AGS5" s="1863"/>
      <c r="AGT5" s="1863"/>
      <c r="AGU5" s="1863"/>
      <c r="AGV5" s="1863"/>
      <c r="AGW5" s="1863"/>
      <c r="AGX5" s="1863"/>
      <c r="AGY5" s="1863"/>
      <c r="AGZ5" s="1863"/>
      <c r="AHA5" s="1863"/>
      <c r="AHB5" s="1863"/>
      <c r="AHC5" s="1863"/>
      <c r="AHD5" s="1863"/>
      <c r="AHE5" s="1863"/>
      <c r="AHF5" s="1863"/>
      <c r="AHG5" s="1863"/>
      <c r="AHH5" s="1863"/>
      <c r="AHI5" s="1863"/>
      <c r="AHJ5" s="1863"/>
      <c r="AHK5" s="1863"/>
      <c r="AHL5" s="1863"/>
      <c r="AHM5" s="1863"/>
      <c r="AHN5" s="1863"/>
      <c r="AHO5" s="1863"/>
      <c r="AHP5" s="1863"/>
      <c r="AHQ5" s="1863"/>
      <c r="AHR5" s="1863"/>
      <c r="AHS5" s="1863"/>
      <c r="AHT5" s="1863"/>
      <c r="AHU5" s="1863"/>
      <c r="AHV5" s="1863"/>
      <c r="AHW5" s="1863"/>
      <c r="AHX5" s="1863"/>
      <c r="AHY5" s="1863"/>
      <c r="AHZ5" s="1863"/>
      <c r="AIA5" s="1863"/>
      <c r="AIB5" s="1863"/>
      <c r="AIC5" s="1863"/>
      <c r="AID5" s="1863"/>
      <c r="AIE5" s="1863"/>
      <c r="AIF5" s="1863"/>
      <c r="AIG5" s="1863"/>
      <c r="AIH5" s="1863"/>
      <c r="AII5" s="1863"/>
      <c r="AIJ5" s="1863"/>
      <c r="AIK5" s="1863"/>
      <c r="AIL5" s="1863"/>
      <c r="AIM5" s="1863"/>
      <c r="AIN5" s="1863"/>
      <c r="AIO5" s="1863"/>
      <c r="AIP5" s="1863"/>
      <c r="AIQ5" s="1863"/>
      <c r="AIR5" s="1863"/>
      <c r="AIS5" s="1863"/>
      <c r="AIT5" s="1863"/>
      <c r="AIU5" s="1863"/>
      <c r="AIV5" s="1863"/>
      <c r="AIW5" s="1863"/>
      <c r="AIX5" s="1863"/>
      <c r="AIY5" s="1863"/>
      <c r="AIZ5" s="1863"/>
      <c r="AJA5" s="1863"/>
      <c r="AJB5" s="1863"/>
      <c r="AJC5" s="1863"/>
      <c r="AJD5" s="1863"/>
      <c r="AJE5" s="1863"/>
      <c r="AJF5" s="1863"/>
      <c r="AJG5" s="1863"/>
      <c r="AJH5" s="1863"/>
      <c r="AJI5" s="1863"/>
      <c r="AJJ5" s="1863"/>
      <c r="AJK5" s="1863"/>
      <c r="AJL5" s="1863"/>
      <c r="AJM5" s="1863"/>
      <c r="AJN5" s="1863"/>
      <c r="AJO5" s="1863"/>
      <c r="AJP5" s="1863"/>
      <c r="AJQ5" s="1863"/>
      <c r="AJR5" s="1863"/>
      <c r="AJS5" s="1863"/>
      <c r="AJT5" s="1863"/>
      <c r="AJU5" s="1863"/>
      <c r="AJV5" s="1863"/>
      <c r="AJW5" s="1863"/>
      <c r="AJX5" s="1863"/>
      <c r="AJY5" s="1863"/>
      <c r="AJZ5" s="1863"/>
      <c r="AKA5" s="1863"/>
      <c r="AKB5" s="1863"/>
      <c r="AKC5" s="1863"/>
      <c r="AKD5" s="1863"/>
      <c r="AKE5" s="1863"/>
      <c r="AKF5" s="1863"/>
      <c r="AKG5" s="1863"/>
      <c r="AKH5" s="1863"/>
      <c r="AKI5" s="1863"/>
      <c r="AKJ5" s="1863"/>
      <c r="AKK5" s="1863"/>
      <c r="AKL5" s="1863"/>
      <c r="AKM5" s="1863"/>
      <c r="AKN5" s="1863"/>
      <c r="AKO5" s="1863"/>
      <c r="AKP5" s="1863"/>
      <c r="AKQ5" s="1863"/>
      <c r="AKR5" s="1863"/>
      <c r="AKS5" s="1863"/>
      <c r="AKT5" s="1863"/>
      <c r="AKU5" s="1863"/>
      <c r="AKV5" s="1863"/>
      <c r="AKW5" s="1863"/>
      <c r="AKX5" s="1863"/>
      <c r="AKY5" s="1863"/>
      <c r="AKZ5" s="1863"/>
      <c r="ALA5" s="1863"/>
      <c r="ALB5" s="1863"/>
      <c r="ALC5" s="1863"/>
      <c r="ALD5" s="1863"/>
      <c r="ALE5" s="1863"/>
      <c r="ALF5" s="1863"/>
      <c r="ALG5" s="1863"/>
      <c r="ALH5" s="1863"/>
      <c r="ALI5" s="1863"/>
      <c r="ALJ5" s="1863"/>
      <c r="ALK5" s="1863"/>
      <c r="ALL5" s="1863"/>
      <c r="ALM5" s="1863"/>
      <c r="ALN5" s="1863"/>
      <c r="ALO5" s="1863"/>
      <c r="ALP5" s="1863"/>
      <c r="ALQ5" s="1863"/>
      <c r="ALR5" s="1863"/>
      <c r="ALS5" s="1863"/>
      <c r="ALT5" s="1863"/>
      <c r="ALU5" s="1863"/>
      <c r="ALV5" s="1863"/>
      <c r="ALW5" s="1863"/>
      <c r="ALX5" s="1863"/>
      <c r="ALY5" s="1863"/>
      <c r="ALZ5" s="1863"/>
      <c r="AMA5" s="1863"/>
      <c r="AMB5" s="1863"/>
      <c r="AMC5" s="1863"/>
      <c r="AMD5" s="1863"/>
      <c r="AME5" s="1863"/>
      <c r="AMF5" s="1863"/>
      <c r="AMG5" s="1863"/>
      <c r="AMH5" s="1863"/>
      <c r="AMI5" s="1863"/>
      <c r="AMJ5" s="1863"/>
      <c r="AMK5" s="1863"/>
      <c r="AML5" s="1863"/>
      <c r="AMM5" s="1863"/>
      <c r="AMN5" s="1863"/>
      <c r="AMO5" s="1863"/>
      <c r="AMP5" s="1863"/>
      <c r="AMQ5" s="1863"/>
      <c r="AMR5" s="1863"/>
      <c r="AMS5" s="1863"/>
      <c r="AMT5" s="1863"/>
      <c r="AMU5" s="1863"/>
      <c r="AMV5" s="1863"/>
      <c r="AMW5" s="1863"/>
      <c r="AMX5" s="1863"/>
      <c r="AMY5" s="1863"/>
      <c r="AMZ5" s="1863"/>
      <c r="ANA5" s="1863"/>
      <c r="ANB5" s="1863"/>
      <c r="ANC5" s="1863"/>
      <c r="AND5" s="1863"/>
      <c r="ANE5" s="1863"/>
      <c r="ANF5" s="1863"/>
      <c r="ANG5" s="1863"/>
      <c r="ANH5" s="1863"/>
      <c r="ANI5" s="1863"/>
      <c r="ANJ5" s="1863"/>
      <c r="ANK5" s="1863"/>
      <c r="ANL5" s="1863"/>
      <c r="ANM5" s="1863"/>
      <c r="ANN5" s="1863"/>
      <c r="ANO5" s="1863"/>
      <c r="ANP5" s="1863"/>
      <c r="ANQ5" s="1863"/>
      <c r="ANR5" s="1863"/>
      <c r="ANS5" s="1863"/>
      <c r="ANT5" s="1863"/>
      <c r="ANU5" s="1863"/>
      <c r="ANV5" s="1863"/>
      <c r="ANW5" s="1863"/>
      <c r="ANX5" s="1863"/>
      <c r="ANY5" s="1863"/>
      <c r="ANZ5" s="1863"/>
      <c r="AOA5" s="1863"/>
      <c r="AOB5" s="1863"/>
      <c r="AOC5" s="1863"/>
      <c r="AOD5" s="1863"/>
      <c r="AOE5" s="1863"/>
      <c r="AOF5" s="1863"/>
      <c r="AOG5" s="1863"/>
      <c r="AOH5" s="1863"/>
      <c r="AOI5" s="1863"/>
      <c r="AOJ5" s="1863"/>
      <c r="AOK5" s="1863"/>
      <c r="AOL5" s="1863"/>
      <c r="AOM5" s="1863"/>
      <c r="AON5" s="1863"/>
      <c r="AOO5" s="1863"/>
      <c r="AOP5" s="1863"/>
      <c r="AOQ5" s="1863"/>
      <c r="AOR5" s="1863"/>
      <c r="AOS5" s="1863"/>
      <c r="AOT5" s="1863"/>
      <c r="AOU5" s="1863"/>
      <c r="AOV5" s="1863"/>
      <c r="AOW5" s="1863"/>
      <c r="AOX5" s="1863"/>
      <c r="AOY5" s="1863"/>
      <c r="AOZ5" s="1863"/>
      <c r="APA5" s="1863"/>
      <c r="APB5" s="1863"/>
      <c r="APC5" s="1863"/>
      <c r="APD5" s="1863"/>
      <c r="APE5" s="1863"/>
      <c r="APF5" s="1863"/>
      <c r="APG5" s="1863"/>
      <c r="APH5" s="1863"/>
      <c r="API5" s="1863"/>
      <c r="APJ5" s="1863"/>
      <c r="APK5" s="1863"/>
      <c r="APL5" s="1863"/>
      <c r="APM5" s="1863"/>
      <c r="APN5" s="1863"/>
      <c r="APO5" s="1863"/>
      <c r="APP5" s="1863"/>
      <c r="APQ5" s="1863"/>
      <c r="APR5" s="1863"/>
      <c r="APS5" s="1863"/>
      <c r="APT5" s="1863"/>
      <c r="APU5" s="1863"/>
      <c r="APV5" s="1863"/>
      <c r="APW5" s="1863"/>
      <c r="APX5" s="1863"/>
      <c r="APY5" s="1863"/>
      <c r="APZ5" s="1863"/>
      <c r="AQA5" s="1863"/>
      <c r="AQB5" s="1863"/>
      <c r="AQC5" s="1863"/>
      <c r="AQD5" s="1863"/>
      <c r="AQE5" s="1863"/>
      <c r="AQF5" s="1863"/>
      <c r="AQG5" s="1863"/>
      <c r="AQH5" s="1863"/>
      <c r="AQI5" s="1863"/>
      <c r="AQJ5" s="1863"/>
      <c r="AQK5" s="1863"/>
      <c r="AQL5" s="1863"/>
      <c r="AQM5" s="1863"/>
      <c r="AQN5" s="1863"/>
      <c r="AQO5" s="1863"/>
      <c r="AQP5" s="1863"/>
      <c r="AQQ5" s="1863"/>
      <c r="AQR5" s="1863"/>
      <c r="AQS5" s="1863"/>
      <c r="AQT5" s="1863"/>
      <c r="AQU5" s="1863"/>
      <c r="AQV5" s="1863"/>
      <c r="AQW5" s="1863"/>
      <c r="AQX5" s="1863"/>
      <c r="AQY5" s="1863"/>
      <c r="AQZ5" s="1863"/>
      <c r="ARA5" s="1863"/>
      <c r="ARB5" s="1863"/>
      <c r="ARC5" s="1863"/>
      <c r="ARD5" s="1863"/>
      <c r="ARE5" s="1863"/>
      <c r="ARF5" s="1863"/>
      <c r="ARG5" s="1863"/>
      <c r="ARH5" s="1863"/>
      <c r="ARI5" s="1863"/>
      <c r="ARJ5" s="1863"/>
      <c r="ARK5" s="1863"/>
      <c r="ARL5" s="1863"/>
      <c r="ARM5" s="1863"/>
      <c r="ARN5" s="1863"/>
      <c r="ARO5" s="1863"/>
      <c r="ARP5" s="1863"/>
      <c r="ARQ5" s="1863"/>
      <c r="ARR5" s="1863"/>
      <c r="ARS5" s="1863"/>
      <c r="ART5" s="1863"/>
      <c r="ARU5" s="1863"/>
      <c r="ARV5" s="1863"/>
      <c r="ARW5" s="1863"/>
      <c r="ARX5" s="1863"/>
      <c r="ARY5" s="1863"/>
      <c r="ARZ5" s="1863"/>
      <c r="ASA5" s="1863"/>
      <c r="ASB5" s="1863"/>
      <c r="ASC5" s="1863"/>
      <c r="ASD5" s="1863"/>
      <c r="ASE5" s="1863"/>
      <c r="ASF5" s="1863"/>
      <c r="ASG5" s="1863"/>
      <c r="ASH5" s="1863"/>
      <c r="ASI5" s="1863"/>
      <c r="ASJ5" s="1863"/>
      <c r="ASK5" s="1863"/>
      <c r="ASL5" s="1863"/>
      <c r="ASM5" s="1863"/>
      <c r="ASN5" s="1863"/>
      <c r="ASO5" s="1863"/>
      <c r="ASP5" s="1863"/>
      <c r="ASQ5" s="1863"/>
      <c r="ASR5" s="1863"/>
      <c r="ASS5" s="1863"/>
      <c r="AST5" s="1863"/>
      <c r="ASU5" s="1863"/>
      <c r="ASV5" s="1863"/>
      <c r="ASW5" s="1863"/>
      <c r="ASX5" s="1863"/>
      <c r="ASY5" s="1863"/>
      <c r="ASZ5" s="1863"/>
      <c r="ATA5" s="1863"/>
      <c r="ATB5" s="1863"/>
      <c r="ATC5" s="1863"/>
      <c r="ATD5" s="1863"/>
      <c r="ATE5" s="1863"/>
      <c r="ATF5" s="1863"/>
      <c r="ATG5" s="1863"/>
      <c r="ATH5" s="1863"/>
      <c r="ATI5" s="1863"/>
      <c r="ATJ5" s="1863"/>
      <c r="ATK5" s="1863"/>
      <c r="ATL5" s="1863"/>
      <c r="ATM5" s="1863"/>
      <c r="ATN5" s="1863"/>
      <c r="ATO5" s="1863"/>
      <c r="ATP5" s="1863"/>
      <c r="ATQ5" s="1863"/>
      <c r="ATR5" s="1863"/>
      <c r="ATS5" s="1863"/>
      <c r="ATT5" s="1863"/>
      <c r="ATU5" s="1863"/>
      <c r="ATV5" s="1863"/>
      <c r="ATW5" s="1863"/>
      <c r="ATX5" s="1863"/>
      <c r="ATY5" s="1863"/>
      <c r="ATZ5" s="1863"/>
      <c r="AUA5" s="1863"/>
      <c r="AUB5" s="1863"/>
      <c r="AUC5" s="1863"/>
      <c r="AUD5" s="1863"/>
      <c r="AUE5" s="1863"/>
      <c r="AUF5" s="1863"/>
      <c r="AUG5" s="1863"/>
      <c r="AUH5" s="1863"/>
      <c r="AUI5" s="1863"/>
      <c r="AUJ5" s="1863"/>
      <c r="AUK5" s="1863"/>
      <c r="AUL5" s="1863"/>
      <c r="AUM5" s="1863"/>
      <c r="AUN5" s="1863"/>
      <c r="AUO5" s="1863"/>
      <c r="AUP5" s="1863"/>
      <c r="AUQ5" s="1863"/>
      <c r="AUR5" s="1863"/>
      <c r="AUS5" s="1863"/>
      <c r="AUT5" s="1863"/>
      <c r="AUU5" s="1863"/>
      <c r="AUV5" s="1863"/>
      <c r="AUW5" s="1863"/>
      <c r="AUX5" s="1863"/>
      <c r="AUY5" s="1863"/>
      <c r="AUZ5" s="1863"/>
      <c r="AVA5" s="1863"/>
      <c r="AVB5" s="1863"/>
      <c r="AVC5" s="1863"/>
      <c r="AVD5" s="1863"/>
      <c r="AVE5" s="1863"/>
      <c r="AVF5" s="1863"/>
      <c r="AVG5" s="1863"/>
      <c r="AVH5" s="1863"/>
      <c r="AVI5" s="1863"/>
      <c r="AVJ5" s="1863"/>
      <c r="AVK5" s="1863"/>
      <c r="AVL5" s="1863"/>
      <c r="AVM5" s="1863"/>
      <c r="AVN5" s="1863"/>
      <c r="AVO5" s="1863"/>
      <c r="AVP5" s="1863"/>
      <c r="AVQ5" s="1863"/>
      <c r="AVR5" s="1863"/>
      <c r="AVS5" s="1863"/>
      <c r="AVT5" s="1863"/>
      <c r="AVU5" s="1863"/>
      <c r="AVV5" s="1863"/>
      <c r="AVW5" s="1863"/>
      <c r="AVX5" s="1863"/>
      <c r="AVY5" s="1863"/>
      <c r="AVZ5" s="1863"/>
      <c r="AWA5" s="1863"/>
      <c r="AWB5" s="1863"/>
      <c r="AWC5" s="1863"/>
      <c r="AWD5" s="1863"/>
      <c r="AWE5" s="1863"/>
      <c r="AWF5" s="1863"/>
      <c r="AWG5" s="1863"/>
      <c r="AWH5" s="1863"/>
      <c r="AWI5" s="1863"/>
      <c r="AWJ5" s="1863"/>
      <c r="AWK5" s="1863"/>
      <c r="AWL5" s="1863"/>
      <c r="AWM5" s="1863"/>
      <c r="AWN5" s="1863"/>
      <c r="AWO5" s="1863"/>
      <c r="AWP5" s="1863"/>
      <c r="AWQ5" s="1863"/>
      <c r="AWR5" s="1863"/>
      <c r="AWS5" s="1863"/>
      <c r="AWT5" s="1863"/>
      <c r="AWU5" s="1863"/>
      <c r="AWV5" s="1863"/>
      <c r="AWW5" s="1863"/>
      <c r="AWX5" s="1863"/>
      <c r="AWY5" s="1863"/>
      <c r="AWZ5" s="1863"/>
      <c r="AXA5" s="1863"/>
      <c r="AXB5" s="1863"/>
      <c r="AXC5" s="1863"/>
      <c r="AXD5" s="1863"/>
      <c r="AXE5" s="1863"/>
      <c r="AXF5" s="1863"/>
      <c r="AXG5" s="1863"/>
      <c r="AXH5" s="1863"/>
      <c r="AXI5" s="1863"/>
      <c r="AXJ5" s="1863"/>
      <c r="AXK5" s="1863"/>
      <c r="AXL5" s="1863"/>
      <c r="AXM5" s="1863"/>
      <c r="AXN5" s="1863"/>
      <c r="AXO5" s="1863"/>
      <c r="AXP5" s="1863"/>
      <c r="AXQ5" s="1863"/>
      <c r="AXR5" s="1863"/>
      <c r="AXS5" s="1863"/>
      <c r="AXT5" s="1863"/>
      <c r="AXU5" s="1863"/>
      <c r="AXV5" s="1863"/>
      <c r="AXW5" s="1863"/>
      <c r="AXX5" s="1863"/>
      <c r="AXY5" s="1863"/>
      <c r="AXZ5" s="1863"/>
      <c r="AYA5" s="1863"/>
      <c r="AYB5" s="1863"/>
      <c r="AYC5" s="1863"/>
      <c r="AYD5" s="1863"/>
      <c r="AYE5" s="1863"/>
      <c r="AYF5" s="1863"/>
      <c r="AYG5" s="1863"/>
      <c r="AYH5" s="1863"/>
      <c r="AYI5" s="1863"/>
      <c r="AYJ5" s="1863"/>
      <c r="AYK5" s="1863"/>
      <c r="AYL5" s="1863"/>
      <c r="AYM5" s="1863"/>
      <c r="AYN5" s="1863"/>
      <c r="AYO5" s="1863"/>
      <c r="AYP5" s="1863"/>
      <c r="AYQ5" s="1863"/>
      <c r="AYR5" s="1863"/>
      <c r="AYS5" s="1863"/>
      <c r="AYT5" s="1863"/>
      <c r="AYU5" s="1863"/>
      <c r="AYV5" s="1863"/>
      <c r="AYW5" s="1863"/>
      <c r="AYX5" s="1863"/>
      <c r="AYY5" s="1863"/>
      <c r="AYZ5" s="1863"/>
      <c r="AZA5" s="1863"/>
      <c r="AZB5" s="1863"/>
      <c r="AZC5" s="1863"/>
      <c r="AZD5" s="1863"/>
      <c r="AZE5" s="1863"/>
      <c r="AZF5" s="1863"/>
      <c r="AZG5" s="1863"/>
      <c r="AZH5" s="1863"/>
      <c r="AZI5" s="1863"/>
      <c r="AZJ5" s="1863"/>
      <c r="AZK5" s="1863"/>
      <c r="AZL5" s="1863"/>
      <c r="AZM5" s="1863"/>
      <c r="AZN5" s="1863"/>
      <c r="AZO5" s="1863"/>
      <c r="AZP5" s="1863"/>
      <c r="AZQ5" s="1863"/>
      <c r="AZR5" s="1863"/>
      <c r="AZS5" s="1863"/>
      <c r="AZT5" s="1863"/>
      <c r="AZU5" s="1863"/>
      <c r="AZV5" s="1863"/>
      <c r="AZW5" s="1863"/>
      <c r="AZX5" s="1863"/>
      <c r="AZY5" s="1863"/>
      <c r="AZZ5" s="1863"/>
      <c r="BAA5" s="1863"/>
      <c r="BAB5" s="1863"/>
      <c r="BAC5" s="1863"/>
      <c r="BAD5" s="1863"/>
      <c r="BAE5" s="1863"/>
      <c r="BAF5" s="1863"/>
      <c r="BAG5" s="1863"/>
      <c r="BAH5" s="1863"/>
      <c r="BAI5" s="1863"/>
      <c r="BAJ5" s="1863"/>
      <c r="BAK5" s="1863"/>
      <c r="BAL5" s="1863"/>
      <c r="BAM5" s="1863"/>
      <c r="BAN5" s="1863"/>
      <c r="BAO5" s="1863"/>
      <c r="BAP5" s="1863"/>
      <c r="BAQ5" s="1863"/>
      <c r="BAR5" s="1863"/>
      <c r="BAS5" s="1863"/>
      <c r="BAT5" s="1863"/>
      <c r="BAU5" s="1863"/>
      <c r="BAV5" s="1863"/>
      <c r="BAW5" s="1863"/>
      <c r="BAX5" s="1863"/>
      <c r="BAY5" s="1863"/>
      <c r="BAZ5" s="1863"/>
      <c r="BBA5" s="1863"/>
      <c r="BBB5" s="1863"/>
      <c r="BBC5" s="1863"/>
      <c r="BBD5" s="1863"/>
      <c r="BBE5" s="1863"/>
      <c r="BBF5" s="1863"/>
      <c r="BBG5" s="1863"/>
      <c r="BBH5" s="1863"/>
      <c r="BBI5" s="1863"/>
      <c r="BBJ5" s="1863"/>
      <c r="BBK5" s="1863"/>
      <c r="BBL5" s="1863"/>
      <c r="BBM5" s="1863"/>
      <c r="BBN5" s="1863"/>
      <c r="BBO5" s="1863"/>
      <c r="BBP5" s="1863"/>
      <c r="BBQ5" s="1863"/>
      <c r="BBR5" s="1863"/>
      <c r="BBS5" s="1863"/>
      <c r="BBT5" s="1863"/>
      <c r="BBU5" s="1863"/>
      <c r="BBV5" s="1863"/>
      <c r="BBW5" s="1863"/>
      <c r="BBX5" s="1863"/>
      <c r="BBY5" s="1863"/>
      <c r="BBZ5" s="1863"/>
      <c r="BCA5" s="1863"/>
      <c r="BCB5" s="1863"/>
      <c r="BCC5" s="1863"/>
      <c r="BCD5" s="1863"/>
      <c r="BCE5" s="1863"/>
      <c r="BCF5" s="1863"/>
      <c r="BCG5" s="1863"/>
      <c r="BCH5" s="1863"/>
      <c r="BCI5" s="1863"/>
      <c r="BCJ5" s="1863"/>
      <c r="BCK5" s="1863"/>
      <c r="BCL5" s="1863"/>
      <c r="BCM5" s="1863"/>
      <c r="BCN5" s="1863"/>
      <c r="BCO5" s="1863"/>
      <c r="BCP5" s="1863"/>
      <c r="BCQ5" s="1863"/>
      <c r="BCR5" s="1863"/>
      <c r="BCS5" s="1863"/>
      <c r="BCT5" s="1863"/>
      <c r="BCU5" s="1863"/>
      <c r="BCV5" s="1863"/>
      <c r="BCW5" s="1863"/>
      <c r="BCX5" s="1863"/>
      <c r="BCY5" s="1863"/>
      <c r="BCZ5" s="1863"/>
      <c r="BDA5" s="1863"/>
      <c r="BDB5" s="1863"/>
      <c r="BDC5" s="1863"/>
      <c r="BDD5" s="1863"/>
      <c r="BDE5" s="1863"/>
      <c r="BDF5" s="1863"/>
      <c r="BDG5" s="1863"/>
      <c r="BDH5" s="1863"/>
      <c r="BDI5" s="1863"/>
      <c r="BDJ5" s="1863"/>
      <c r="BDK5" s="1863"/>
      <c r="BDL5" s="1863"/>
      <c r="BDM5" s="1863"/>
      <c r="BDN5" s="1863"/>
      <c r="BDO5" s="1863"/>
      <c r="BDP5" s="1863"/>
      <c r="BDQ5" s="1863"/>
      <c r="BDR5" s="1863"/>
      <c r="BDS5" s="1863"/>
      <c r="BDT5" s="1863"/>
      <c r="BDU5" s="1863"/>
      <c r="BDV5" s="1863"/>
      <c r="BDW5" s="1863"/>
      <c r="BDX5" s="1863"/>
      <c r="BDY5" s="1863"/>
      <c r="BDZ5" s="1863"/>
      <c r="BEA5" s="1863"/>
      <c r="BEB5" s="1863"/>
      <c r="BEC5" s="1863"/>
      <c r="BED5" s="1863"/>
      <c r="BEE5" s="1863"/>
      <c r="BEF5" s="1863"/>
      <c r="BEG5" s="1863"/>
      <c r="BEH5" s="1863"/>
      <c r="BEI5" s="1863"/>
      <c r="BEJ5" s="1863"/>
      <c r="BEK5" s="1863"/>
      <c r="BEL5" s="1863"/>
      <c r="BEM5" s="1863"/>
      <c r="BEN5" s="1863"/>
      <c r="BEO5" s="1863"/>
      <c r="BEP5" s="1863"/>
      <c r="BEQ5" s="1863"/>
      <c r="BER5" s="1863"/>
      <c r="BES5" s="1863"/>
      <c r="BET5" s="1863"/>
      <c r="BEU5" s="1863"/>
      <c r="BEV5" s="1863"/>
      <c r="BEW5" s="1863"/>
      <c r="BEX5" s="1863"/>
      <c r="BEY5" s="1863"/>
      <c r="BEZ5" s="1863"/>
      <c r="BFA5" s="1863"/>
      <c r="BFB5" s="1863"/>
      <c r="BFC5" s="1863"/>
      <c r="BFD5" s="1863"/>
      <c r="BFE5" s="1863"/>
      <c r="BFF5" s="1863"/>
      <c r="BFG5" s="1863"/>
      <c r="BFH5" s="1863"/>
      <c r="BFI5" s="1863"/>
      <c r="BFJ5" s="1863"/>
      <c r="BFK5" s="1863"/>
      <c r="BFL5" s="1863"/>
      <c r="BFM5" s="1863"/>
      <c r="BFN5" s="1863"/>
      <c r="BFO5" s="1863"/>
      <c r="BFP5" s="1863"/>
      <c r="BFQ5" s="1863"/>
      <c r="BFR5" s="1863"/>
      <c r="BFS5" s="1863"/>
      <c r="BFT5" s="1863"/>
      <c r="BFU5" s="1863"/>
      <c r="BFV5" s="1863"/>
      <c r="BFW5" s="1863"/>
      <c r="BFX5" s="1863"/>
      <c r="BFY5" s="1863"/>
      <c r="BFZ5" s="1863"/>
      <c r="BGA5" s="1863"/>
      <c r="BGB5" s="1863"/>
      <c r="BGC5" s="1863"/>
      <c r="BGD5" s="1863"/>
      <c r="BGE5" s="1863"/>
      <c r="BGF5" s="1863"/>
      <c r="BGG5" s="1863"/>
      <c r="BGH5" s="1863"/>
      <c r="BGI5" s="1863"/>
      <c r="BGJ5" s="1863"/>
      <c r="BGK5" s="1863"/>
      <c r="BGL5" s="1863"/>
      <c r="BGM5" s="1863"/>
      <c r="BGN5" s="1863"/>
      <c r="BGO5" s="1863"/>
      <c r="BGP5" s="1863"/>
      <c r="BGQ5" s="1863"/>
      <c r="BGR5" s="1863"/>
      <c r="BGS5" s="1863"/>
      <c r="BGT5" s="1863"/>
      <c r="BGU5" s="1863"/>
      <c r="BGV5" s="1863"/>
      <c r="BGW5" s="1863"/>
      <c r="BGX5" s="1863"/>
      <c r="BGY5" s="1863"/>
      <c r="BGZ5" s="1863"/>
      <c r="BHA5" s="1863"/>
      <c r="BHB5" s="1863"/>
      <c r="BHC5" s="1863"/>
      <c r="BHD5" s="1863"/>
      <c r="BHE5" s="1863"/>
      <c r="BHF5" s="1863"/>
      <c r="BHG5" s="1863"/>
      <c r="BHH5" s="1863"/>
      <c r="BHI5" s="1863"/>
      <c r="BHJ5" s="1863"/>
      <c r="BHK5" s="1863"/>
      <c r="BHL5" s="1863"/>
      <c r="BHM5" s="1863"/>
      <c r="BHN5" s="1863"/>
      <c r="BHO5" s="1863"/>
      <c r="BHP5" s="1863"/>
      <c r="BHQ5" s="1863"/>
      <c r="BHR5" s="1863"/>
      <c r="BHS5" s="1863"/>
      <c r="BHT5" s="1863"/>
      <c r="BHU5" s="1863"/>
      <c r="BHV5" s="1863"/>
      <c r="BHW5" s="1863"/>
      <c r="BHX5" s="1863"/>
      <c r="BHY5" s="1863"/>
      <c r="BHZ5" s="1863"/>
      <c r="BIA5" s="1863"/>
      <c r="BIB5" s="1863"/>
      <c r="BIC5" s="1863"/>
      <c r="BID5" s="1863"/>
      <c r="BIE5" s="1863"/>
      <c r="BIF5" s="1863"/>
      <c r="BIG5" s="1863"/>
      <c r="BIH5" s="1863"/>
      <c r="BII5" s="1863"/>
      <c r="BIJ5" s="1863"/>
      <c r="BIK5" s="1863"/>
      <c r="BIL5" s="1863"/>
      <c r="BIM5" s="1863"/>
      <c r="BIN5" s="1863"/>
      <c r="BIO5" s="1863"/>
      <c r="BIP5" s="1863"/>
      <c r="BIQ5" s="1863"/>
      <c r="BIR5" s="1863"/>
      <c r="BIS5" s="1863"/>
      <c r="BIT5" s="1863"/>
      <c r="BIU5" s="1863"/>
      <c r="BIV5" s="1863"/>
      <c r="BIW5" s="1863"/>
      <c r="BIX5" s="1863"/>
      <c r="BIY5" s="1863"/>
      <c r="BIZ5" s="1863"/>
      <c r="BJA5" s="1863"/>
      <c r="BJB5" s="1863"/>
      <c r="BJC5" s="1863"/>
      <c r="BJD5" s="1863"/>
      <c r="BJE5" s="1863"/>
      <c r="BJF5" s="1863"/>
      <c r="BJG5" s="1863"/>
      <c r="BJH5" s="1863"/>
      <c r="BJI5" s="1863"/>
      <c r="BJJ5" s="1863"/>
      <c r="BJK5" s="1863"/>
      <c r="BJL5" s="1863"/>
      <c r="BJM5" s="1863"/>
      <c r="BJN5" s="1863"/>
      <c r="BJO5" s="1863"/>
      <c r="BJP5" s="1863"/>
      <c r="BJQ5" s="1863"/>
      <c r="BJR5" s="1863"/>
      <c r="BJS5" s="1863"/>
      <c r="BJT5" s="1863"/>
      <c r="BJU5" s="1863"/>
      <c r="BJV5" s="1863"/>
      <c r="BJW5" s="1863"/>
      <c r="BJX5" s="1863"/>
      <c r="BJY5" s="1863"/>
      <c r="BJZ5" s="1863"/>
      <c r="BKA5" s="1863"/>
      <c r="BKB5" s="1863"/>
      <c r="BKC5" s="1863"/>
      <c r="BKD5" s="1863"/>
      <c r="BKE5" s="1863"/>
      <c r="BKF5" s="1863"/>
      <c r="BKG5" s="1863"/>
      <c r="BKH5" s="1863"/>
      <c r="BKI5" s="1863"/>
      <c r="BKJ5" s="1863"/>
      <c r="BKK5" s="1863"/>
      <c r="BKL5" s="1863"/>
      <c r="BKM5" s="1863"/>
      <c r="BKN5" s="1863"/>
      <c r="BKO5" s="1863"/>
      <c r="BKP5" s="1863"/>
      <c r="BKQ5" s="1863"/>
      <c r="BKR5" s="1863"/>
      <c r="BKS5" s="1863"/>
      <c r="BKT5" s="1863"/>
      <c r="BKU5" s="1863"/>
      <c r="BKV5" s="1863"/>
      <c r="BKW5" s="1863"/>
      <c r="BKX5" s="1863"/>
      <c r="BKY5" s="1863"/>
      <c r="BKZ5" s="1863"/>
      <c r="BLA5" s="1863"/>
      <c r="BLB5" s="1863"/>
      <c r="BLC5" s="1863"/>
      <c r="BLD5" s="1863"/>
      <c r="BLE5" s="1863"/>
      <c r="BLF5" s="1863"/>
      <c r="BLG5" s="1863"/>
      <c r="BLH5" s="1863"/>
      <c r="BLI5" s="1863"/>
      <c r="BLJ5" s="1863"/>
      <c r="BLK5" s="1863"/>
      <c r="BLL5" s="1863"/>
      <c r="BLM5" s="1863"/>
      <c r="BLN5" s="1863"/>
      <c r="BLO5" s="1863"/>
      <c r="BLP5" s="1863"/>
      <c r="BLQ5" s="1863"/>
      <c r="BLR5" s="1863"/>
      <c r="BLS5" s="1863"/>
      <c r="BLT5" s="1863"/>
      <c r="BLU5" s="1863"/>
      <c r="BLV5" s="1863"/>
      <c r="BLW5" s="1863"/>
      <c r="BLX5" s="1863"/>
      <c r="BLY5" s="1863"/>
      <c r="BLZ5" s="1863"/>
      <c r="BMA5" s="1863"/>
      <c r="BMB5" s="1863"/>
      <c r="BMC5" s="1863"/>
      <c r="BMD5" s="1863"/>
      <c r="BME5" s="1863"/>
      <c r="BMF5" s="1863"/>
      <c r="BMG5" s="1863"/>
      <c r="BMH5" s="1863"/>
      <c r="BMI5" s="1863"/>
      <c r="BMJ5" s="1863"/>
      <c r="BMK5" s="1863"/>
      <c r="BML5" s="1863"/>
      <c r="BMM5" s="1863"/>
      <c r="BMN5" s="1863"/>
      <c r="BMO5" s="1863"/>
      <c r="BMP5" s="1863"/>
      <c r="BMQ5" s="1863"/>
      <c r="BMR5" s="1863"/>
      <c r="BMS5" s="1863"/>
      <c r="BMT5" s="1863"/>
      <c r="BMU5" s="1863"/>
      <c r="BMV5" s="1863"/>
      <c r="BMW5" s="1863"/>
      <c r="BMX5" s="1863"/>
      <c r="BMY5" s="1863"/>
      <c r="BMZ5" s="1863"/>
      <c r="BNA5" s="1863"/>
      <c r="BNB5" s="1863"/>
      <c r="BNC5" s="1863"/>
      <c r="BND5" s="1863"/>
      <c r="BNE5" s="1863"/>
      <c r="BNF5" s="1863"/>
      <c r="BNG5" s="1863"/>
      <c r="BNH5" s="1863"/>
      <c r="BNI5" s="1863"/>
      <c r="BNJ5" s="1863"/>
      <c r="BNK5" s="1863"/>
      <c r="BNL5" s="1863"/>
      <c r="BNM5" s="1863"/>
      <c r="BNN5" s="1863"/>
      <c r="BNO5" s="1863"/>
      <c r="BNP5" s="1863"/>
      <c r="BNQ5" s="1863"/>
      <c r="BNR5" s="1863"/>
      <c r="BNS5" s="1863"/>
      <c r="BNT5" s="1863"/>
      <c r="BNU5" s="1863"/>
      <c r="BNV5" s="1863"/>
      <c r="BNW5" s="1863"/>
      <c r="BNX5" s="1863"/>
      <c r="BNY5" s="1863"/>
      <c r="BNZ5" s="1863"/>
      <c r="BOA5" s="1863"/>
      <c r="BOB5" s="1863"/>
      <c r="BOC5" s="1863"/>
      <c r="BOD5" s="1863"/>
      <c r="BOE5" s="1863"/>
      <c r="BOF5" s="1863"/>
      <c r="BOG5" s="1863"/>
      <c r="BOH5" s="1863"/>
      <c r="BOI5" s="1863"/>
      <c r="BOJ5" s="1863"/>
      <c r="BOK5" s="1863"/>
      <c r="BOL5" s="1863"/>
      <c r="BOM5" s="1863"/>
      <c r="BON5" s="1863"/>
      <c r="BOO5" s="1863"/>
      <c r="BOP5" s="1863"/>
      <c r="BOQ5" s="1863"/>
      <c r="BOR5" s="1863"/>
      <c r="BOS5" s="1863"/>
      <c r="BOT5" s="1863"/>
      <c r="BOU5" s="1863"/>
      <c r="BOV5" s="1863"/>
      <c r="BOW5" s="1863"/>
      <c r="BOX5" s="1863"/>
      <c r="BOY5" s="1863"/>
      <c r="BOZ5" s="1863"/>
      <c r="BPA5" s="1863"/>
      <c r="BPB5" s="1863"/>
      <c r="BPC5" s="1863"/>
      <c r="BPD5" s="1863"/>
      <c r="BPE5" s="1863"/>
      <c r="BPF5" s="1863"/>
      <c r="BPG5" s="1863"/>
      <c r="BPH5" s="1863"/>
      <c r="BPI5" s="1863"/>
      <c r="BPJ5" s="1863"/>
      <c r="BPK5" s="1863"/>
      <c r="BPL5" s="1863"/>
      <c r="BPM5" s="1863"/>
      <c r="BPN5" s="1863"/>
      <c r="BPO5" s="1863"/>
      <c r="BPP5" s="1863"/>
      <c r="BPQ5" s="1863"/>
      <c r="BPR5" s="1863"/>
      <c r="BPS5" s="1863"/>
      <c r="BPT5" s="1863"/>
      <c r="BPU5" s="1863"/>
      <c r="BPV5" s="1863"/>
      <c r="BPW5" s="1863"/>
      <c r="BPX5" s="1863"/>
      <c r="BPY5" s="1863"/>
      <c r="BPZ5" s="1863"/>
      <c r="BQA5" s="1863"/>
      <c r="BQB5" s="1863"/>
      <c r="BQC5" s="1863"/>
      <c r="BQD5" s="1863"/>
      <c r="BQE5" s="1863"/>
      <c r="BQF5" s="1863"/>
      <c r="BQG5" s="1863"/>
      <c r="BQH5" s="1863"/>
      <c r="BQI5" s="1863"/>
      <c r="BQJ5" s="1863"/>
      <c r="BQK5" s="1863"/>
      <c r="BQL5" s="1863"/>
      <c r="BQM5" s="1863"/>
      <c r="BQN5" s="1863"/>
      <c r="BQO5" s="1863"/>
      <c r="BQP5" s="1863"/>
      <c r="BQQ5" s="1863"/>
      <c r="BQR5" s="1863"/>
      <c r="BQS5" s="1863"/>
      <c r="BQT5" s="1863"/>
      <c r="BQU5" s="1863"/>
      <c r="BQV5" s="1863"/>
      <c r="BQW5" s="1863"/>
      <c r="BQX5" s="1863"/>
      <c r="BQY5" s="1863"/>
      <c r="BQZ5" s="1863"/>
      <c r="BRA5" s="1863"/>
      <c r="BRB5" s="1863"/>
      <c r="BRC5" s="1863"/>
      <c r="BRD5" s="1863"/>
      <c r="BRE5" s="1863"/>
      <c r="BRF5" s="1863"/>
      <c r="BRG5" s="1863"/>
      <c r="BRH5" s="1863"/>
      <c r="BRI5" s="1863"/>
      <c r="BRJ5" s="1863"/>
      <c r="BRK5" s="1863"/>
      <c r="BRL5" s="1863"/>
      <c r="BRM5" s="1863"/>
      <c r="BRN5" s="1863"/>
      <c r="BRO5" s="1863"/>
      <c r="BRP5" s="1863"/>
      <c r="BRQ5" s="1863"/>
      <c r="BRR5" s="1863"/>
      <c r="BRS5" s="1863"/>
      <c r="BRT5" s="1863"/>
      <c r="BRU5" s="1863"/>
      <c r="BRV5" s="1863"/>
      <c r="BRW5" s="1863"/>
      <c r="BRX5" s="1863"/>
      <c r="BRY5" s="1863"/>
      <c r="BRZ5" s="1863"/>
      <c r="BSA5" s="1863"/>
      <c r="BSB5" s="1863"/>
      <c r="BSC5" s="1863"/>
      <c r="BSD5" s="1863"/>
      <c r="BSE5" s="1863"/>
      <c r="BSF5" s="1863"/>
      <c r="BSG5" s="1863"/>
      <c r="BSH5" s="1863"/>
      <c r="BSI5" s="1863"/>
      <c r="BSJ5" s="1863"/>
      <c r="BSK5" s="1863"/>
      <c r="BSL5" s="1863"/>
      <c r="BSM5" s="1863"/>
      <c r="BSN5" s="1863"/>
      <c r="BSO5" s="1863"/>
      <c r="BSP5" s="1863"/>
      <c r="BSQ5" s="1863"/>
      <c r="BSR5" s="1863"/>
      <c r="BSS5" s="1863"/>
      <c r="BST5" s="1863"/>
      <c r="BSU5" s="1863"/>
      <c r="BSV5" s="1863"/>
      <c r="BSW5" s="1863"/>
      <c r="BSX5" s="1863"/>
      <c r="BSY5" s="1863"/>
      <c r="BSZ5" s="1863"/>
      <c r="BTA5" s="1863"/>
      <c r="BTB5" s="1863"/>
      <c r="BTC5" s="1863"/>
      <c r="BTD5" s="1863"/>
      <c r="BTE5" s="1863"/>
      <c r="BTF5" s="1863"/>
      <c r="BTG5" s="1863"/>
      <c r="BTH5" s="1863"/>
      <c r="BTI5" s="1863"/>
      <c r="BTJ5" s="1863"/>
      <c r="BTK5" s="1863"/>
      <c r="BTL5" s="1863"/>
      <c r="BTM5" s="1863"/>
      <c r="BTN5" s="1863"/>
      <c r="BTO5" s="1863"/>
      <c r="BTP5" s="1863"/>
      <c r="BTQ5" s="1863"/>
      <c r="BTR5" s="1863"/>
      <c r="BTS5" s="1863"/>
      <c r="BTT5" s="1863"/>
      <c r="BTU5" s="1863"/>
      <c r="BTV5" s="1863"/>
      <c r="BTW5" s="1863"/>
      <c r="BTX5" s="1863"/>
      <c r="BTY5" s="1863"/>
      <c r="BTZ5" s="1863"/>
      <c r="BUA5" s="1863"/>
      <c r="BUB5" s="1863"/>
      <c r="BUC5" s="1863"/>
      <c r="BUD5" s="1863"/>
      <c r="BUE5" s="1863"/>
      <c r="BUF5" s="1863"/>
      <c r="BUG5" s="1863"/>
      <c r="BUH5" s="1863"/>
      <c r="BUI5" s="1863"/>
      <c r="BUJ5" s="1863"/>
      <c r="BUK5" s="1863"/>
      <c r="BUL5" s="1863"/>
      <c r="BUM5" s="1863"/>
      <c r="BUN5" s="1863"/>
      <c r="BUO5" s="1863"/>
      <c r="BUP5" s="1863"/>
      <c r="BUQ5" s="1863"/>
      <c r="BUR5" s="1863"/>
      <c r="BUS5" s="1863"/>
      <c r="BUT5" s="1863"/>
      <c r="BUU5" s="1863"/>
      <c r="BUV5" s="1863"/>
      <c r="BUW5" s="1863"/>
      <c r="BUX5" s="1863"/>
      <c r="BUY5" s="1863"/>
      <c r="BUZ5" s="1863"/>
      <c r="BVA5" s="1863"/>
      <c r="BVB5" s="1863"/>
      <c r="BVC5" s="1863"/>
      <c r="BVD5" s="1863"/>
      <c r="BVE5" s="1863"/>
      <c r="BVF5" s="1863"/>
      <c r="BVG5" s="1863"/>
      <c r="BVH5" s="1863"/>
      <c r="BVI5" s="1863"/>
      <c r="BVJ5" s="1863"/>
      <c r="BVK5" s="1863"/>
      <c r="BVL5" s="1863"/>
      <c r="BVM5" s="1863"/>
      <c r="BVN5" s="1863"/>
      <c r="BVO5" s="1863"/>
      <c r="BVP5" s="1863"/>
      <c r="BVQ5" s="1863"/>
      <c r="BVR5" s="1863"/>
      <c r="BVS5" s="1863"/>
      <c r="BVT5" s="1863"/>
      <c r="BVU5" s="1863"/>
      <c r="BVV5" s="1863"/>
      <c r="BVW5" s="1863"/>
      <c r="BVX5" s="1863"/>
      <c r="BVY5" s="1863"/>
      <c r="BVZ5" s="1863"/>
      <c r="BWA5" s="1863"/>
      <c r="BWB5" s="1863"/>
      <c r="BWC5" s="1863"/>
      <c r="BWD5" s="1863"/>
      <c r="BWE5" s="1863"/>
      <c r="BWF5" s="1863"/>
      <c r="BWG5" s="1863"/>
      <c r="BWH5" s="1863"/>
      <c r="BWI5" s="1863"/>
      <c r="BWJ5" s="1863"/>
      <c r="BWK5" s="1863"/>
      <c r="BWL5" s="1863"/>
      <c r="BWM5" s="1863"/>
      <c r="BWN5" s="1863"/>
      <c r="BWO5" s="1863"/>
      <c r="BWP5" s="1863"/>
      <c r="BWQ5" s="1863"/>
      <c r="BWR5" s="1863"/>
      <c r="BWS5" s="1863"/>
      <c r="BWT5" s="1863"/>
      <c r="BWU5" s="1863"/>
      <c r="BWV5" s="1863"/>
      <c r="BWW5" s="1863"/>
      <c r="BWX5" s="1863"/>
      <c r="BWY5" s="1863"/>
      <c r="BWZ5" s="1863"/>
      <c r="BXA5" s="1863"/>
      <c r="BXB5" s="1863"/>
      <c r="BXC5" s="1863"/>
      <c r="BXD5" s="1863"/>
      <c r="BXE5" s="1863"/>
      <c r="BXF5" s="1863"/>
      <c r="BXG5" s="1863"/>
      <c r="BXH5" s="1863"/>
      <c r="BXI5" s="1863"/>
      <c r="BXJ5" s="1863"/>
      <c r="BXK5" s="1863"/>
      <c r="BXL5" s="1863"/>
      <c r="BXM5" s="1863"/>
      <c r="BXN5" s="1863"/>
      <c r="BXO5" s="1863"/>
      <c r="BXP5" s="1863"/>
      <c r="BXQ5" s="1863"/>
      <c r="BXR5" s="1863"/>
      <c r="BXS5" s="1863"/>
      <c r="BXT5" s="1863"/>
      <c r="BXU5" s="1863"/>
      <c r="BXV5" s="1863"/>
      <c r="BXW5" s="1863"/>
      <c r="BXX5" s="1863"/>
      <c r="BXY5" s="1863"/>
      <c r="BXZ5" s="1863"/>
      <c r="BYA5" s="1863"/>
      <c r="BYB5" s="1863"/>
      <c r="BYC5" s="1863"/>
      <c r="BYD5" s="1863"/>
      <c r="BYE5" s="1863"/>
      <c r="BYF5" s="1863"/>
      <c r="BYG5" s="1863"/>
      <c r="BYH5" s="1863"/>
      <c r="BYI5" s="1863"/>
      <c r="BYJ5" s="1863"/>
      <c r="BYK5" s="1863"/>
      <c r="BYL5" s="1863"/>
      <c r="BYM5" s="1863"/>
      <c r="BYN5" s="1863"/>
      <c r="BYO5" s="1863"/>
      <c r="BYP5" s="1863"/>
      <c r="BYQ5" s="1863"/>
      <c r="BYR5" s="1863"/>
      <c r="BYS5" s="1863"/>
      <c r="BYT5" s="1863"/>
      <c r="BYU5" s="1863"/>
      <c r="BYV5" s="1863"/>
      <c r="BYW5" s="1863"/>
      <c r="BYX5" s="1863"/>
      <c r="BYY5" s="1863"/>
      <c r="BYZ5" s="1863"/>
      <c r="BZA5" s="1863"/>
      <c r="BZB5" s="1863"/>
      <c r="BZC5" s="1863"/>
      <c r="BZD5" s="1863"/>
      <c r="BZE5" s="1863"/>
      <c r="BZF5" s="1863"/>
      <c r="BZG5" s="1863"/>
      <c r="BZH5" s="1863"/>
      <c r="BZI5" s="1863"/>
      <c r="BZJ5" s="1863"/>
      <c r="BZK5" s="1863"/>
      <c r="BZL5" s="1863"/>
      <c r="BZM5" s="1863"/>
      <c r="BZN5" s="1863"/>
      <c r="BZO5" s="1863"/>
      <c r="BZP5" s="1863"/>
      <c r="BZQ5" s="1863"/>
      <c r="BZR5" s="1863"/>
      <c r="BZS5" s="1863"/>
      <c r="BZT5" s="1863"/>
      <c r="BZU5" s="1863"/>
      <c r="BZV5" s="1863"/>
      <c r="BZW5" s="1863"/>
      <c r="BZX5" s="1863"/>
      <c r="BZY5" s="1863"/>
      <c r="BZZ5" s="1863"/>
      <c r="CAA5" s="1863"/>
      <c r="CAB5" s="1863"/>
      <c r="CAC5" s="1863"/>
      <c r="CAD5" s="1863"/>
      <c r="CAE5" s="1863"/>
      <c r="CAF5" s="1863"/>
      <c r="CAG5" s="1863"/>
      <c r="CAH5" s="1863"/>
      <c r="CAI5" s="1863"/>
      <c r="CAJ5" s="1863"/>
      <c r="CAK5" s="1863"/>
      <c r="CAL5" s="1863"/>
      <c r="CAM5" s="1863"/>
      <c r="CAN5" s="1863"/>
      <c r="CAO5" s="1863"/>
      <c r="CAP5" s="1863"/>
      <c r="CAQ5" s="1863"/>
      <c r="CAR5" s="1863"/>
      <c r="CAS5" s="1863"/>
      <c r="CAT5" s="1863"/>
      <c r="CAU5" s="1863"/>
      <c r="CAV5" s="1863"/>
      <c r="CAW5" s="1863"/>
      <c r="CAX5" s="1863"/>
      <c r="CAY5" s="1863"/>
      <c r="CAZ5" s="1863"/>
      <c r="CBA5" s="1863"/>
      <c r="CBB5" s="1863"/>
      <c r="CBC5" s="1863"/>
      <c r="CBD5" s="1863"/>
      <c r="CBE5" s="1863"/>
      <c r="CBF5" s="1863"/>
      <c r="CBG5" s="1863"/>
      <c r="CBH5" s="1863"/>
      <c r="CBI5" s="1863"/>
      <c r="CBJ5" s="1863"/>
      <c r="CBK5" s="1863"/>
      <c r="CBL5" s="1863"/>
      <c r="CBM5" s="1863"/>
      <c r="CBN5" s="1863"/>
      <c r="CBO5" s="1863"/>
      <c r="CBP5" s="1863"/>
      <c r="CBQ5" s="1863"/>
      <c r="CBR5" s="1863"/>
      <c r="CBS5" s="1863"/>
      <c r="CBT5" s="1863"/>
      <c r="CBU5" s="1863"/>
      <c r="CBV5" s="1863"/>
      <c r="CBW5" s="1863"/>
      <c r="CBX5" s="1863"/>
      <c r="CBY5" s="1863"/>
      <c r="CBZ5" s="1863"/>
      <c r="CCA5" s="1863"/>
      <c r="CCB5" s="1863"/>
      <c r="CCC5" s="1863"/>
      <c r="CCD5" s="1863"/>
      <c r="CCE5" s="1863"/>
      <c r="CCF5" s="1863"/>
      <c r="CCG5" s="1863"/>
      <c r="CCH5" s="1863"/>
      <c r="CCI5" s="1863"/>
      <c r="CCJ5" s="1863"/>
      <c r="CCK5" s="1863"/>
      <c r="CCL5" s="1863"/>
      <c r="CCM5" s="1863"/>
      <c r="CCN5" s="1863"/>
      <c r="CCO5" s="1863"/>
      <c r="CCP5" s="1863"/>
      <c r="CCQ5" s="1863"/>
      <c r="CCR5" s="1863"/>
      <c r="CCS5" s="1863"/>
      <c r="CCT5" s="1863"/>
      <c r="CCU5" s="1863"/>
      <c r="CCV5" s="1863"/>
      <c r="CCW5" s="1863"/>
      <c r="CCX5" s="1863"/>
      <c r="CCY5" s="1863"/>
      <c r="CCZ5" s="1863"/>
      <c r="CDA5" s="1863"/>
      <c r="CDB5" s="1863"/>
      <c r="CDC5" s="1863"/>
      <c r="CDD5" s="1863"/>
      <c r="CDE5" s="1863"/>
      <c r="CDF5" s="1863"/>
      <c r="CDG5" s="1863"/>
      <c r="CDH5" s="1863"/>
      <c r="CDI5" s="1863"/>
      <c r="CDJ5" s="1863"/>
      <c r="CDK5" s="1863"/>
      <c r="CDL5" s="1863"/>
      <c r="CDM5" s="1863"/>
      <c r="CDN5" s="1863"/>
      <c r="CDO5" s="1863"/>
      <c r="CDP5" s="1863"/>
      <c r="CDQ5" s="1863"/>
      <c r="CDR5" s="1863"/>
      <c r="CDS5" s="1863"/>
      <c r="CDT5" s="1863"/>
      <c r="CDU5" s="1863"/>
      <c r="CDV5" s="1863"/>
      <c r="CDW5" s="1863"/>
      <c r="CDX5" s="1863"/>
      <c r="CDY5" s="1863"/>
      <c r="CDZ5" s="1863"/>
      <c r="CEA5" s="1863"/>
      <c r="CEB5" s="1863"/>
      <c r="CEC5" s="1863"/>
      <c r="CED5" s="1863"/>
      <c r="CEE5" s="1863"/>
      <c r="CEF5" s="1863"/>
      <c r="CEG5" s="1863"/>
      <c r="CEH5" s="1863"/>
      <c r="CEI5" s="1863"/>
      <c r="CEJ5" s="1863"/>
      <c r="CEK5" s="1863"/>
      <c r="CEL5" s="1863"/>
      <c r="CEM5" s="1863"/>
      <c r="CEN5" s="1863"/>
      <c r="CEO5" s="1863"/>
      <c r="CEP5" s="1863"/>
      <c r="CEQ5" s="1863"/>
      <c r="CER5" s="1863"/>
      <c r="CES5" s="1863"/>
      <c r="CET5" s="1863"/>
      <c r="CEU5" s="1863"/>
      <c r="CEV5" s="1863"/>
      <c r="CEW5" s="1863"/>
      <c r="CEX5" s="1863"/>
      <c r="CEY5" s="1863"/>
      <c r="CEZ5" s="1863"/>
      <c r="CFA5" s="1863"/>
      <c r="CFB5" s="1863"/>
      <c r="CFC5" s="1863"/>
      <c r="CFD5" s="1863"/>
      <c r="CFE5" s="1863"/>
      <c r="CFF5" s="1863"/>
      <c r="CFG5" s="1863"/>
      <c r="CFH5" s="1863"/>
      <c r="CFI5" s="1863"/>
      <c r="CFJ5" s="1863"/>
      <c r="CFK5" s="1863"/>
      <c r="CFL5" s="1863"/>
      <c r="CFM5" s="1863"/>
      <c r="CFN5" s="1863"/>
      <c r="CFO5" s="1863"/>
      <c r="CFP5" s="1863"/>
      <c r="CFQ5" s="1863"/>
      <c r="CFR5" s="1863"/>
      <c r="CFS5" s="1863"/>
      <c r="CFT5" s="1863"/>
      <c r="CFU5" s="1863"/>
      <c r="CFV5" s="1863"/>
      <c r="CFW5" s="1863"/>
      <c r="CFX5" s="1863"/>
      <c r="CFY5" s="1863"/>
      <c r="CFZ5" s="1863"/>
      <c r="CGA5" s="1863"/>
      <c r="CGB5" s="1863"/>
      <c r="CGC5" s="1863"/>
      <c r="CGD5" s="1863"/>
      <c r="CGE5" s="1863"/>
      <c r="CGF5" s="1863"/>
      <c r="CGG5" s="1863"/>
      <c r="CGH5" s="1863"/>
      <c r="CGI5" s="1863"/>
      <c r="CGJ5" s="1863"/>
      <c r="CGK5" s="1863"/>
      <c r="CGL5" s="1863"/>
      <c r="CGM5" s="1863"/>
      <c r="CGN5" s="1863"/>
      <c r="CGO5" s="1863"/>
      <c r="CGP5" s="1863"/>
      <c r="CGQ5" s="1863"/>
      <c r="CGR5" s="1863"/>
      <c r="CGS5" s="1863"/>
      <c r="CGT5" s="1863"/>
      <c r="CGU5" s="1863"/>
      <c r="CGV5" s="1863"/>
      <c r="CGW5" s="1863"/>
      <c r="CGX5" s="1863"/>
      <c r="CGY5" s="1863"/>
      <c r="CGZ5" s="1863"/>
      <c r="CHA5" s="1863"/>
      <c r="CHB5" s="1863"/>
      <c r="CHC5" s="1863"/>
      <c r="CHD5" s="1863"/>
      <c r="CHE5" s="1863"/>
      <c r="CHF5" s="1863"/>
      <c r="CHG5" s="1863"/>
      <c r="CHH5" s="1863"/>
      <c r="CHI5" s="1863"/>
      <c r="CHJ5" s="1863"/>
      <c r="CHK5" s="1863"/>
      <c r="CHL5" s="1863"/>
      <c r="CHM5" s="1863"/>
      <c r="CHN5" s="1863"/>
      <c r="CHO5" s="1863"/>
      <c r="CHP5" s="1863"/>
      <c r="CHQ5" s="1863"/>
      <c r="CHR5" s="1863"/>
      <c r="CHS5" s="1863"/>
      <c r="CHT5" s="1863"/>
      <c r="CHU5" s="1863"/>
      <c r="CHV5" s="1863"/>
      <c r="CHW5" s="1863"/>
      <c r="CHX5" s="1863"/>
      <c r="CHY5" s="1863"/>
      <c r="CHZ5" s="1863"/>
      <c r="CIA5" s="1863"/>
      <c r="CIB5" s="1863"/>
      <c r="CIC5" s="1863"/>
      <c r="CID5" s="1863"/>
      <c r="CIE5" s="1863"/>
      <c r="CIF5" s="1863"/>
      <c r="CIG5" s="1863"/>
      <c r="CIH5" s="1863"/>
      <c r="CII5" s="1863"/>
      <c r="CIJ5" s="1863"/>
      <c r="CIK5" s="1863"/>
      <c r="CIL5" s="1863"/>
      <c r="CIM5" s="1863"/>
      <c r="CIN5" s="1863"/>
      <c r="CIO5" s="1863"/>
      <c r="CIP5" s="1863"/>
      <c r="CIQ5" s="1863"/>
      <c r="CIR5" s="1863"/>
      <c r="CIS5" s="1863"/>
      <c r="CIT5" s="1863"/>
      <c r="CIU5" s="1863"/>
      <c r="CIV5" s="1863"/>
      <c r="CIW5" s="1863"/>
      <c r="CIX5" s="1863"/>
      <c r="CIY5" s="1863"/>
      <c r="CIZ5" s="1863"/>
      <c r="CJA5" s="1863"/>
      <c r="CJB5" s="1863"/>
      <c r="CJC5" s="1863"/>
      <c r="CJD5" s="1863"/>
      <c r="CJE5" s="1863"/>
      <c r="CJF5" s="1863"/>
      <c r="CJG5" s="1863"/>
      <c r="CJH5" s="1863"/>
      <c r="CJI5" s="1863"/>
      <c r="CJJ5" s="1863"/>
      <c r="CJK5" s="1863"/>
      <c r="CJL5" s="1863"/>
      <c r="CJM5" s="1863"/>
      <c r="CJN5" s="1863"/>
      <c r="CJO5" s="1863"/>
      <c r="CJP5" s="1863"/>
      <c r="CJQ5" s="1863"/>
      <c r="CJR5" s="1863"/>
      <c r="CJS5" s="1863"/>
      <c r="CJT5" s="1863"/>
      <c r="CJU5" s="1863"/>
      <c r="CJV5" s="1863"/>
      <c r="CJW5" s="1863"/>
      <c r="CJX5" s="1863"/>
      <c r="CJY5" s="1863"/>
      <c r="CJZ5" s="1863"/>
      <c r="CKA5" s="1863"/>
      <c r="CKB5" s="1863"/>
      <c r="CKC5" s="1863"/>
      <c r="CKD5" s="1863"/>
      <c r="CKE5" s="1863"/>
      <c r="CKF5" s="1863"/>
      <c r="CKG5" s="1863"/>
      <c r="CKH5" s="1863"/>
      <c r="CKI5" s="1863"/>
      <c r="CKJ5" s="1863"/>
      <c r="CKK5" s="1863"/>
      <c r="CKL5" s="1863"/>
      <c r="CKM5" s="1863"/>
      <c r="CKN5" s="1863"/>
      <c r="CKO5" s="1863"/>
      <c r="CKP5" s="1863"/>
      <c r="CKQ5" s="1863"/>
      <c r="CKR5" s="1863"/>
      <c r="CKS5" s="1863"/>
      <c r="CKT5" s="1863"/>
      <c r="CKU5" s="1863"/>
      <c r="CKV5" s="1863"/>
      <c r="CKW5" s="1863"/>
      <c r="CKX5" s="1863"/>
      <c r="CKY5" s="1863"/>
      <c r="CKZ5" s="1863"/>
      <c r="CLA5" s="1863"/>
      <c r="CLB5" s="1863"/>
      <c r="CLC5" s="1863"/>
      <c r="CLD5" s="1863"/>
      <c r="CLE5" s="1863"/>
      <c r="CLF5" s="1863"/>
      <c r="CLG5" s="1863"/>
      <c r="CLH5" s="1863"/>
      <c r="CLI5" s="1863"/>
      <c r="CLJ5" s="1863"/>
      <c r="CLK5" s="1863"/>
      <c r="CLL5" s="1863"/>
      <c r="CLM5" s="1863"/>
      <c r="CLN5" s="1863"/>
      <c r="CLO5" s="1863"/>
      <c r="CLP5" s="1863"/>
      <c r="CLQ5" s="1863"/>
      <c r="CLR5" s="1863"/>
      <c r="CLS5" s="1863"/>
      <c r="CLT5" s="1863"/>
      <c r="CLU5" s="1863"/>
      <c r="CLV5" s="1863"/>
      <c r="CLW5" s="1863"/>
      <c r="CLX5" s="1863"/>
      <c r="CLY5" s="1863"/>
      <c r="CLZ5" s="1863"/>
      <c r="CMA5" s="1863"/>
      <c r="CMB5" s="1863"/>
      <c r="CMC5" s="1863"/>
      <c r="CMD5" s="1863"/>
      <c r="CME5" s="1863"/>
      <c r="CMF5" s="1863"/>
      <c r="CMG5" s="1863"/>
      <c r="CMH5" s="1863"/>
      <c r="CMI5" s="1863"/>
      <c r="CMJ5" s="1863"/>
      <c r="CMK5" s="1863"/>
      <c r="CML5" s="1863"/>
      <c r="CMM5" s="1863"/>
      <c r="CMN5" s="1863"/>
      <c r="CMO5" s="1863"/>
      <c r="CMP5" s="1863"/>
      <c r="CMQ5" s="1863"/>
      <c r="CMR5" s="1863"/>
      <c r="CMS5" s="1863"/>
      <c r="CMT5" s="1863"/>
      <c r="CMU5" s="1863"/>
      <c r="CMV5" s="1863"/>
      <c r="CMW5" s="1863"/>
      <c r="CMX5" s="1863"/>
      <c r="CMY5" s="1863"/>
      <c r="CMZ5" s="1863"/>
      <c r="CNA5" s="1863"/>
      <c r="CNB5" s="1863"/>
      <c r="CNC5" s="1863"/>
      <c r="CND5" s="1863"/>
      <c r="CNE5" s="1863"/>
      <c r="CNF5" s="1863"/>
      <c r="CNG5" s="1863"/>
      <c r="CNH5" s="1863"/>
      <c r="CNI5" s="1863"/>
      <c r="CNJ5" s="1863"/>
      <c r="CNK5" s="1863"/>
      <c r="CNL5" s="1863"/>
      <c r="CNM5" s="1863"/>
      <c r="CNN5" s="1863"/>
      <c r="CNO5" s="1863"/>
      <c r="CNP5" s="1863"/>
      <c r="CNQ5" s="1863"/>
      <c r="CNR5" s="1863"/>
      <c r="CNS5" s="1863"/>
      <c r="CNT5" s="1863"/>
      <c r="CNU5" s="1863"/>
      <c r="CNV5" s="1863"/>
      <c r="CNW5" s="1863"/>
      <c r="CNX5" s="1863"/>
      <c r="CNY5" s="1863"/>
      <c r="CNZ5" s="1863"/>
      <c r="COA5" s="1863"/>
      <c r="COB5" s="1863"/>
      <c r="COC5" s="1863"/>
      <c r="COD5" s="1863"/>
      <c r="COE5" s="1863"/>
      <c r="COF5" s="1863"/>
      <c r="COG5" s="1863"/>
      <c r="COH5" s="1863"/>
      <c r="COI5" s="1863"/>
      <c r="COJ5" s="1863"/>
      <c r="COK5" s="1863"/>
      <c r="COL5" s="1863"/>
      <c r="COM5" s="1863"/>
      <c r="CON5" s="1863"/>
      <c r="COO5" s="1863"/>
      <c r="COP5" s="1863"/>
      <c r="COQ5" s="1863"/>
      <c r="COR5" s="1863"/>
      <c r="COS5" s="1863"/>
      <c r="COT5" s="1863"/>
      <c r="COU5" s="1863"/>
      <c r="COV5" s="1863"/>
      <c r="COW5" s="1863"/>
      <c r="COX5" s="1863"/>
      <c r="COY5" s="1863"/>
      <c r="COZ5" s="1863"/>
      <c r="CPA5" s="1863"/>
      <c r="CPB5" s="1863"/>
      <c r="CPC5" s="1863"/>
      <c r="CPD5" s="1863"/>
      <c r="CPE5" s="1863"/>
      <c r="CPF5" s="1863"/>
      <c r="CPG5" s="1863"/>
      <c r="CPH5" s="1863"/>
      <c r="CPI5" s="1863"/>
      <c r="CPJ5" s="1863"/>
      <c r="CPK5" s="1863"/>
      <c r="CPL5" s="1863"/>
      <c r="CPM5" s="1863"/>
      <c r="CPN5" s="1863"/>
      <c r="CPO5" s="1863"/>
      <c r="CPP5" s="1863"/>
      <c r="CPQ5" s="1863"/>
      <c r="CPR5" s="1863"/>
      <c r="CPS5" s="1863"/>
      <c r="CPT5" s="1863"/>
      <c r="CPU5" s="1863"/>
      <c r="CPV5" s="1863"/>
      <c r="CPW5" s="1863"/>
      <c r="CPX5" s="1863"/>
      <c r="CPY5" s="1863"/>
      <c r="CPZ5" s="1863"/>
      <c r="CQA5" s="1863"/>
      <c r="CQB5" s="1863"/>
      <c r="CQC5" s="1863"/>
      <c r="CQD5" s="1863"/>
      <c r="CQE5" s="1863"/>
      <c r="CQF5" s="1863"/>
      <c r="CQG5" s="1863"/>
      <c r="CQH5" s="1863"/>
      <c r="CQI5" s="1863"/>
      <c r="CQJ5" s="1863"/>
      <c r="CQK5" s="1863"/>
      <c r="CQL5" s="1863"/>
      <c r="CQM5" s="1863"/>
      <c r="CQN5" s="1863"/>
      <c r="CQO5" s="1863"/>
      <c r="CQP5" s="1863"/>
      <c r="CQQ5" s="1863"/>
      <c r="CQR5" s="1863"/>
      <c r="CQS5" s="1863"/>
      <c r="CQT5" s="1863"/>
      <c r="CQU5" s="1863"/>
      <c r="CQV5" s="1863"/>
      <c r="CQW5" s="1863"/>
      <c r="CQX5" s="1863"/>
      <c r="CQY5" s="1863"/>
      <c r="CQZ5" s="1863"/>
      <c r="CRA5" s="1863"/>
      <c r="CRB5" s="1863"/>
      <c r="CRC5" s="1863"/>
      <c r="CRD5" s="1863"/>
      <c r="CRE5" s="1863"/>
      <c r="CRF5" s="1863"/>
      <c r="CRG5" s="1863"/>
      <c r="CRH5" s="1863"/>
      <c r="CRI5" s="1863"/>
      <c r="CRJ5" s="1863"/>
      <c r="CRK5" s="1863"/>
      <c r="CRL5" s="1863"/>
      <c r="CRM5" s="1863"/>
      <c r="CRN5" s="1863"/>
      <c r="CRO5" s="1863"/>
      <c r="CRP5" s="1863"/>
      <c r="CRQ5" s="1863"/>
      <c r="CRR5" s="1863"/>
      <c r="CRS5" s="1863"/>
      <c r="CRT5" s="1863"/>
      <c r="CRU5" s="1863"/>
      <c r="CRV5" s="1863"/>
      <c r="CRW5" s="1863"/>
      <c r="CRX5" s="1863"/>
      <c r="CRY5" s="1863"/>
      <c r="CRZ5" s="1863"/>
      <c r="CSA5" s="1863"/>
      <c r="CSB5" s="1863"/>
      <c r="CSC5" s="1863"/>
      <c r="CSD5" s="1863"/>
      <c r="CSE5" s="1863"/>
      <c r="CSF5" s="1863"/>
      <c r="CSG5" s="1863"/>
      <c r="CSH5" s="1863"/>
      <c r="CSI5" s="1863"/>
      <c r="CSJ5" s="1863"/>
      <c r="CSK5" s="1863"/>
      <c r="CSL5" s="1863"/>
      <c r="CSM5" s="1863"/>
      <c r="CSN5" s="1863"/>
      <c r="CSO5" s="1863"/>
      <c r="CSP5" s="1863"/>
      <c r="CSQ5" s="1863"/>
      <c r="CSR5" s="1863"/>
      <c r="CSS5" s="1863"/>
      <c r="CST5" s="1863"/>
      <c r="CSU5" s="1863"/>
      <c r="CSV5" s="1863"/>
      <c r="CSW5" s="1863"/>
      <c r="CSX5" s="1863"/>
      <c r="CSY5" s="1863"/>
      <c r="CSZ5" s="1863"/>
      <c r="CTA5" s="1863"/>
      <c r="CTB5" s="1863"/>
      <c r="CTC5" s="1863"/>
      <c r="CTD5" s="1863"/>
      <c r="CTE5" s="1863"/>
      <c r="CTF5" s="1863"/>
      <c r="CTG5" s="1863"/>
      <c r="CTH5" s="1863"/>
      <c r="CTI5" s="1863"/>
      <c r="CTJ5" s="1863"/>
      <c r="CTK5" s="1863"/>
      <c r="CTL5" s="1863"/>
      <c r="CTM5" s="1863"/>
      <c r="CTN5" s="1863"/>
      <c r="CTO5" s="1863"/>
      <c r="CTP5" s="1863"/>
      <c r="CTQ5" s="1863"/>
      <c r="CTR5" s="1863"/>
      <c r="CTS5" s="1863"/>
      <c r="CTT5" s="1863"/>
      <c r="CTU5" s="1863"/>
      <c r="CTV5" s="1863"/>
      <c r="CTW5" s="1863"/>
      <c r="CTX5" s="1863"/>
      <c r="CTY5" s="1863"/>
      <c r="CTZ5" s="1863"/>
      <c r="CUA5" s="1863"/>
      <c r="CUB5" s="1863"/>
      <c r="CUC5" s="1863"/>
      <c r="CUD5" s="1863"/>
      <c r="CUE5" s="1863"/>
      <c r="CUF5" s="1863"/>
      <c r="CUG5" s="1863"/>
      <c r="CUH5" s="1863"/>
      <c r="CUI5" s="1863"/>
      <c r="CUJ5" s="1863"/>
      <c r="CUK5" s="1863"/>
      <c r="CUL5" s="1863"/>
      <c r="CUM5" s="1863"/>
      <c r="CUN5" s="1863"/>
      <c r="CUO5" s="1863"/>
      <c r="CUP5" s="1863"/>
      <c r="CUQ5" s="1863"/>
      <c r="CUR5" s="1863"/>
      <c r="CUS5" s="1863"/>
      <c r="CUT5" s="1863"/>
      <c r="CUU5" s="1863"/>
      <c r="CUV5" s="1863"/>
      <c r="CUW5" s="1863"/>
      <c r="CUX5" s="1863"/>
      <c r="CUY5" s="1863"/>
      <c r="CUZ5" s="1863"/>
      <c r="CVA5" s="1863"/>
      <c r="CVB5" s="1863"/>
      <c r="CVC5" s="1863"/>
      <c r="CVD5" s="1863"/>
      <c r="CVE5" s="1863"/>
      <c r="CVF5" s="1863"/>
      <c r="CVG5" s="1863"/>
      <c r="CVH5" s="1863"/>
      <c r="CVI5" s="1863"/>
      <c r="CVJ5" s="1863"/>
      <c r="CVK5" s="1863"/>
      <c r="CVL5" s="1863"/>
      <c r="CVM5" s="1863"/>
      <c r="CVN5" s="1863"/>
      <c r="CVO5" s="1863"/>
      <c r="CVP5" s="1863"/>
      <c r="CVQ5" s="1863"/>
      <c r="CVR5" s="1863"/>
      <c r="CVS5" s="1863"/>
      <c r="CVT5" s="1863"/>
      <c r="CVU5" s="1863"/>
      <c r="CVV5" s="1863"/>
      <c r="CVW5" s="1863"/>
      <c r="CVX5" s="1863"/>
      <c r="CVY5" s="1863"/>
      <c r="CVZ5" s="1863"/>
      <c r="CWA5" s="1863"/>
      <c r="CWB5" s="1863"/>
      <c r="CWC5" s="1863"/>
      <c r="CWD5" s="1863"/>
      <c r="CWE5" s="1863"/>
      <c r="CWF5" s="1863"/>
      <c r="CWG5" s="1863"/>
      <c r="CWH5" s="1863"/>
      <c r="CWI5" s="1863"/>
      <c r="CWJ5" s="1863"/>
      <c r="CWK5" s="1863"/>
      <c r="CWL5" s="1863"/>
      <c r="CWM5" s="1863"/>
      <c r="CWN5" s="1863"/>
      <c r="CWO5" s="1863"/>
      <c r="CWP5" s="1863"/>
      <c r="CWQ5" s="1863"/>
      <c r="CWR5" s="1863"/>
      <c r="CWS5" s="1863"/>
      <c r="CWT5" s="1863"/>
      <c r="CWU5" s="1863"/>
      <c r="CWV5" s="1863"/>
      <c r="CWW5" s="1863"/>
      <c r="CWX5" s="1863"/>
      <c r="CWY5" s="1863"/>
      <c r="CWZ5" s="1863"/>
      <c r="CXA5" s="1863"/>
      <c r="CXB5" s="1863"/>
      <c r="CXC5" s="1863"/>
      <c r="CXD5" s="1863"/>
      <c r="CXE5" s="1863"/>
      <c r="CXF5" s="1863"/>
      <c r="CXG5" s="1863"/>
      <c r="CXH5" s="1863"/>
      <c r="CXI5" s="1863"/>
      <c r="CXJ5" s="1863"/>
      <c r="CXK5" s="1863"/>
      <c r="CXL5" s="1863"/>
      <c r="CXM5" s="1863"/>
      <c r="CXN5" s="1863"/>
      <c r="CXO5" s="1863"/>
      <c r="CXP5" s="1863"/>
      <c r="CXQ5" s="1863"/>
      <c r="CXR5" s="1863"/>
      <c r="CXS5" s="1863"/>
      <c r="CXT5" s="1863"/>
      <c r="CXU5" s="1863"/>
      <c r="CXV5" s="1863"/>
      <c r="CXW5" s="1863"/>
      <c r="CXX5" s="1863"/>
      <c r="CXY5" s="1863"/>
      <c r="CXZ5" s="1863"/>
      <c r="CYA5" s="1863"/>
      <c r="CYB5" s="1863"/>
      <c r="CYC5" s="1863"/>
      <c r="CYD5" s="1863"/>
      <c r="CYE5" s="1863"/>
      <c r="CYF5" s="1863"/>
      <c r="CYG5" s="1863"/>
      <c r="CYH5" s="1863"/>
      <c r="CYI5" s="1863"/>
      <c r="CYJ5" s="1863"/>
      <c r="CYK5" s="1863"/>
      <c r="CYL5" s="1863"/>
      <c r="CYM5" s="1863"/>
      <c r="CYN5" s="1863"/>
      <c r="CYO5" s="1863"/>
      <c r="CYP5" s="1863"/>
      <c r="CYQ5" s="1863"/>
      <c r="CYR5" s="1863"/>
      <c r="CYS5" s="1863"/>
      <c r="CYT5" s="1863"/>
      <c r="CYU5" s="1863"/>
      <c r="CYV5" s="1863"/>
      <c r="CYW5" s="1863"/>
      <c r="CYX5" s="1863"/>
      <c r="CYY5" s="1863"/>
      <c r="CYZ5" s="1863"/>
      <c r="CZA5" s="1863"/>
      <c r="CZB5" s="1863"/>
      <c r="CZC5" s="1863"/>
      <c r="CZD5" s="1863"/>
      <c r="CZE5" s="1863"/>
      <c r="CZF5" s="1863"/>
      <c r="CZG5" s="1863"/>
      <c r="CZH5" s="1863"/>
      <c r="CZI5" s="1863"/>
      <c r="CZJ5" s="1863"/>
      <c r="CZK5" s="1863"/>
      <c r="CZL5" s="1863"/>
      <c r="CZM5" s="1863"/>
      <c r="CZN5" s="1863"/>
      <c r="CZO5" s="1863"/>
      <c r="CZP5" s="1863"/>
      <c r="CZQ5" s="1863"/>
      <c r="CZR5" s="1863"/>
      <c r="CZS5" s="1863"/>
      <c r="CZT5" s="1863"/>
      <c r="CZU5" s="1863"/>
      <c r="CZV5" s="1863"/>
      <c r="CZW5" s="1863"/>
      <c r="CZX5" s="1863"/>
      <c r="CZY5" s="1863"/>
      <c r="CZZ5" s="1863"/>
      <c r="DAA5" s="1863"/>
      <c r="DAB5" s="1863"/>
      <c r="DAC5" s="1863"/>
      <c r="DAD5" s="1863"/>
      <c r="DAE5" s="1863"/>
      <c r="DAF5" s="1863"/>
      <c r="DAG5" s="1863"/>
      <c r="DAH5" s="1863"/>
      <c r="DAI5" s="1863"/>
      <c r="DAJ5" s="1863"/>
      <c r="DAK5" s="1863"/>
      <c r="DAL5" s="1863"/>
      <c r="DAM5" s="1863"/>
      <c r="DAN5" s="1863"/>
      <c r="DAO5" s="1863"/>
      <c r="DAP5" s="1863"/>
      <c r="DAQ5" s="1863"/>
      <c r="DAR5" s="1863"/>
      <c r="DAS5" s="1863"/>
      <c r="DAT5" s="1863"/>
      <c r="DAU5" s="1863"/>
      <c r="DAV5" s="1863"/>
      <c r="DAW5" s="1863"/>
      <c r="DAX5" s="1863"/>
      <c r="DAY5" s="1863"/>
      <c r="DAZ5" s="1863"/>
      <c r="DBA5" s="1863"/>
      <c r="DBB5" s="1863"/>
      <c r="DBC5" s="1863"/>
      <c r="DBD5" s="1863"/>
      <c r="DBE5" s="1863"/>
      <c r="DBF5" s="1863"/>
      <c r="DBG5" s="1863"/>
      <c r="DBH5" s="1863"/>
      <c r="DBI5" s="1863"/>
      <c r="DBJ5" s="1863"/>
      <c r="DBK5" s="1863"/>
      <c r="DBL5" s="1863"/>
      <c r="DBM5" s="1863"/>
      <c r="DBN5" s="1863"/>
      <c r="DBO5" s="1863"/>
      <c r="DBP5" s="1863"/>
      <c r="DBQ5" s="1863"/>
      <c r="DBR5" s="1863"/>
      <c r="DBS5" s="1863"/>
      <c r="DBT5" s="1863"/>
      <c r="DBU5" s="1863"/>
      <c r="DBV5" s="1863"/>
      <c r="DBW5" s="1863"/>
      <c r="DBX5" s="1863"/>
      <c r="DBY5" s="1863"/>
      <c r="DBZ5" s="1863"/>
      <c r="DCA5" s="1863"/>
      <c r="DCB5" s="1863"/>
      <c r="DCC5" s="1863"/>
      <c r="DCD5" s="1863"/>
      <c r="DCE5" s="1863"/>
      <c r="DCF5" s="1863"/>
      <c r="DCG5" s="1863"/>
      <c r="DCH5" s="1863"/>
      <c r="DCI5" s="1863"/>
      <c r="DCJ5" s="1863"/>
      <c r="DCK5" s="1863"/>
      <c r="DCL5" s="1863"/>
      <c r="DCM5" s="1863"/>
      <c r="DCN5" s="1863"/>
      <c r="DCO5" s="1863"/>
      <c r="DCP5" s="1863"/>
      <c r="DCQ5" s="1863"/>
      <c r="DCR5" s="1863"/>
      <c r="DCS5" s="1863"/>
      <c r="DCT5" s="1863"/>
      <c r="DCU5" s="1863"/>
      <c r="DCV5" s="1863"/>
      <c r="DCW5" s="1863"/>
      <c r="DCX5" s="1863"/>
      <c r="DCY5" s="1863"/>
      <c r="DCZ5" s="1863"/>
      <c r="DDA5" s="1863"/>
      <c r="DDB5" s="1863"/>
      <c r="DDC5" s="1863"/>
      <c r="DDD5" s="1863"/>
      <c r="DDE5" s="1863"/>
      <c r="DDF5" s="1863"/>
      <c r="DDG5" s="1863"/>
      <c r="DDH5" s="1863"/>
      <c r="DDI5" s="1863"/>
      <c r="DDJ5" s="1863"/>
      <c r="DDK5" s="1863"/>
      <c r="DDL5" s="1863"/>
      <c r="DDM5" s="1863"/>
      <c r="DDN5" s="1863"/>
      <c r="DDO5" s="1863"/>
      <c r="DDP5" s="1863"/>
      <c r="DDQ5" s="1863"/>
      <c r="DDR5" s="1863"/>
      <c r="DDS5" s="1863"/>
      <c r="DDT5" s="1863"/>
      <c r="DDU5" s="1863"/>
      <c r="DDV5" s="1863"/>
      <c r="DDW5" s="1863"/>
      <c r="DDX5" s="1863"/>
      <c r="DDY5" s="1863"/>
      <c r="DDZ5" s="1863"/>
      <c r="DEA5" s="1863"/>
      <c r="DEB5" s="1863"/>
      <c r="DEC5" s="1863"/>
      <c r="DED5" s="1863"/>
      <c r="DEE5" s="1863"/>
      <c r="DEF5" s="1863"/>
      <c r="DEG5" s="1863"/>
      <c r="DEH5" s="1863"/>
      <c r="DEI5" s="1863"/>
      <c r="DEJ5" s="1863"/>
      <c r="DEK5" s="1863"/>
      <c r="DEL5" s="1863"/>
      <c r="DEM5" s="1863"/>
      <c r="DEN5" s="1863"/>
      <c r="DEO5" s="1863"/>
      <c r="DEP5" s="1863"/>
      <c r="DEQ5" s="1863"/>
      <c r="DER5" s="1863"/>
      <c r="DES5" s="1863"/>
      <c r="DET5" s="1863"/>
      <c r="DEU5" s="1863"/>
      <c r="DEV5" s="1863"/>
      <c r="DEW5" s="1863"/>
      <c r="DEX5" s="1863"/>
      <c r="DEY5" s="1863"/>
      <c r="DEZ5" s="1863"/>
      <c r="DFA5" s="1863"/>
      <c r="DFB5" s="1863"/>
      <c r="DFC5" s="1863"/>
      <c r="DFD5" s="1863"/>
      <c r="DFE5" s="1863"/>
      <c r="DFF5" s="1863"/>
      <c r="DFG5" s="1863"/>
      <c r="DFH5" s="1863"/>
      <c r="DFI5" s="1863"/>
      <c r="DFJ5" s="1863"/>
      <c r="DFK5" s="1863"/>
      <c r="DFL5" s="1863"/>
      <c r="DFM5" s="1863"/>
      <c r="DFN5" s="1863"/>
      <c r="DFO5" s="1863"/>
      <c r="DFP5" s="1863"/>
      <c r="DFQ5" s="1863"/>
      <c r="DFR5" s="1863"/>
      <c r="DFS5" s="1863"/>
      <c r="DFT5" s="1863"/>
      <c r="DFU5" s="1863"/>
      <c r="DFV5" s="1863"/>
      <c r="DFW5" s="1863"/>
      <c r="DFX5" s="1863"/>
      <c r="DFY5" s="1863"/>
      <c r="DFZ5" s="1863"/>
      <c r="DGA5" s="1863"/>
      <c r="DGB5" s="1863"/>
      <c r="DGC5" s="1863"/>
      <c r="DGD5" s="1863"/>
      <c r="DGE5" s="1863"/>
      <c r="DGF5" s="1863"/>
      <c r="DGG5" s="1863"/>
      <c r="DGH5" s="1863"/>
      <c r="DGI5" s="1863"/>
      <c r="DGJ5" s="1863"/>
      <c r="DGK5" s="1863"/>
      <c r="DGL5" s="1863"/>
      <c r="DGM5" s="1863"/>
      <c r="DGN5" s="1863"/>
      <c r="DGO5" s="1863"/>
      <c r="DGP5" s="1863"/>
      <c r="DGQ5" s="1863"/>
      <c r="DGR5" s="1863"/>
      <c r="DGS5" s="1863"/>
      <c r="DGT5" s="1863"/>
      <c r="DGU5" s="1863"/>
      <c r="DGV5" s="1863"/>
      <c r="DGW5" s="1863"/>
      <c r="DGX5" s="1863"/>
      <c r="DGY5" s="1863"/>
      <c r="DGZ5" s="1863"/>
      <c r="DHA5" s="1863"/>
      <c r="DHB5" s="1863"/>
      <c r="DHC5" s="1863"/>
      <c r="DHD5" s="1863"/>
      <c r="DHE5" s="1863"/>
      <c r="DHF5" s="1863"/>
      <c r="DHG5" s="1863"/>
      <c r="DHH5" s="1863"/>
      <c r="DHI5" s="1863"/>
      <c r="DHJ5" s="1863"/>
      <c r="DHK5" s="1863"/>
      <c r="DHL5" s="1863"/>
      <c r="DHM5" s="1863"/>
      <c r="DHN5" s="1863"/>
      <c r="DHO5" s="1863"/>
      <c r="DHP5" s="1863"/>
      <c r="DHQ5" s="1863"/>
      <c r="DHR5" s="1863"/>
      <c r="DHS5" s="1863"/>
      <c r="DHT5" s="1863"/>
      <c r="DHU5" s="1863"/>
      <c r="DHV5" s="1863"/>
      <c r="DHW5" s="1863"/>
      <c r="DHX5" s="1863"/>
      <c r="DHY5" s="1863"/>
      <c r="DHZ5" s="1863"/>
      <c r="DIA5" s="1863"/>
      <c r="DIB5" s="1863"/>
      <c r="DIC5" s="1863"/>
      <c r="DID5" s="1863"/>
      <c r="DIE5" s="1863"/>
      <c r="DIF5" s="1863"/>
      <c r="DIG5" s="1863"/>
      <c r="DIH5" s="1863"/>
      <c r="DII5" s="1863"/>
      <c r="DIJ5" s="1863"/>
      <c r="DIK5" s="1863"/>
      <c r="DIL5" s="1863"/>
      <c r="DIM5" s="1863"/>
      <c r="DIN5" s="1863"/>
      <c r="DIO5" s="1863"/>
      <c r="DIP5" s="1863"/>
      <c r="DIQ5" s="1863"/>
      <c r="DIR5" s="1863"/>
      <c r="DIS5" s="1863"/>
      <c r="DIT5" s="1863"/>
      <c r="DIU5" s="1863"/>
      <c r="DIV5" s="1863"/>
      <c r="DIW5" s="1863"/>
      <c r="DIX5" s="1863"/>
      <c r="DIY5" s="1863"/>
      <c r="DIZ5" s="1863"/>
      <c r="DJA5" s="1863"/>
      <c r="DJB5" s="1863"/>
      <c r="DJC5" s="1863"/>
      <c r="DJD5" s="1863"/>
      <c r="DJE5" s="1863"/>
      <c r="DJF5" s="1863"/>
      <c r="DJG5" s="1863"/>
      <c r="DJH5" s="1863"/>
      <c r="DJI5" s="1863"/>
      <c r="DJJ5" s="1863"/>
      <c r="DJK5" s="1863"/>
      <c r="DJL5" s="1863"/>
      <c r="DJM5" s="1863"/>
      <c r="DJN5" s="1863"/>
      <c r="DJO5" s="1863"/>
      <c r="DJP5" s="1863"/>
      <c r="DJQ5" s="1863"/>
      <c r="DJR5" s="1863"/>
      <c r="DJS5" s="1863"/>
      <c r="DJT5" s="1863"/>
      <c r="DJU5" s="1863"/>
      <c r="DJV5" s="1863"/>
      <c r="DJW5" s="1863"/>
      <c r="DJX5" s="1863"/>
      <c r="DJY5" s="1863"/>
      <c r="DJZ5" s="1863"/>
      <c r="DKA5" s="1863"/>
      <c r="DKB5" s="1863"/>
      <c r="DKC5" s="1863"/>
      <c r="DKD5" s="1863"/>
      <c r="DKE5" s="1863"/>
      <c r="DKF5" s="1863"/>
      <c r="DKG5" s="1863"/>
      <c r="DKH5" s="1863"/>
      <c r="DKI5" s="1863"/>
      <c r="DKJ5" s="1863"/>
      <c r="DKK5" s="1863"/>
      <c r="DKL5" s="1863"/>
      <c r="DKM5" s="1863"/>
      <c r="DKN5" s="1863"/>
      <c r="DKO5" s="1863"/>
      <c r="DKP5" s="1863"/>
      <c r="DKQ5" s="1863"/>
      <c r="DKR5" s="1863"/>
      <c r="DKS5" s="1863"/>
      <c r="DKT5" s="1863"/>
      <c r="DKU5" s="1863"/>
      <c r="DKV5" s="1863"/>
      <c r="DKW5" s="1863"/>
      <c r="DKX5" s="1863"/>
      <c r="DKY5" s="1863"/>
      <c r="DKZ5" s="1863"/>
      <c r="DLA5" s="1863"/>
      <c r="DLB5" s="1863"/>
      <c r="DLC5" s="1863"/>
      <c r="DLD5" s="1863"/>
      <c r="DLE5" s="1863"/>
      <c r="DLF5" s="1863"/>
      <c r="DLG5" s="1863"/>
      <c r="DLH5" s="1863"/>
      <c r="DLI5" s="1863"/>
      <c r="DLJ5" s="1863"/>
      <c r="DLK5" s="1863"/>
      <c r="DLL5" s="1863"/>
      <c r="DLM5" s="1863"/>
      <c r="DLN5" s="1863"/>
      <c r="DLO5" s="1863"/>
      <c r="DLP5" s="1863"/>
      <c r="DLQ5" s="1863"/>
      <c r="DLR5" s="1863"/>
      <c r="DLS5" s="1863"/>
      <c r="DLT5" s="1863"/>
      <c r="DLU5" s="1863"/>
      <c r="DLV5" s="1863"/>
      <c r="DLW5" s="1863"/>
      <c r="DLX5" s="1863"/>
      <c r="DLY5" s="1863"/>
      <c r="DLZ5" s="1863"/>
      <c r="DMA5" s="1863"/>
      <c r="DMB5" s="1863"/>
      <c r="DMC5" s="1863"/>
      <c r="DMD5" s="1863"/>
      <c r="DME5" s="1863"/>
      <c r="DMF5" s="1863"/>
      <c r="DMG5" s="1863"/>
      <c r="DMH5" s="1863"/>
      <c r="DMI5" s="1863"/>
      <c r="DMJ5" s="1863"/>
      <c r="DMK5" s="1863"/>
      <c r="DML5" s="1863"/>
      <c r="DMM5" s="1863"/>
      <c r="DMN5" s="1863"/>
      <c r="DMO5" s="1863"/>
      <c r="DMP5" s="1863"/>
      <c r="DMQ5" s="1863"/>
      <c r="DMR5" s="1863"/>
      <c r="DMS5" s="1863"/>
      <c r="DMT5" s="1863"/>
      <c r="DMU5" s="1863"/>
      <c r="DMV5" s="1863"/>
      <c r="DMW5" s="1863"/>
      <c r="DMX5" s="1863"/>
      <c r="DMY5" s="1863"/>
      <c r="DMZ5" s="1863"/>
      <c r="DNA5" s="1863"/>
      <c r="DNB5" s="1863"/>
      <c r="DNC5" s="1863"/>
      <c r="DND5" s="1863"/>
      <c r="DNE5" s="1863"/>
      <c r="DNF5" s="1863"/>
      <c r="DNG5" s="1863"/>
      <c r="DNH5" s="1863"/>
      <c r="DNI5" s="1863"/>
      <c r="DNJ5" s="1863"/>
      <c r="DNK5" s="1863"/>
      <c r="DNL5" s="1863"/>
      <c r="DNM5" s="1863"/>
      <c r="DNN5" s="1863"/>
      <c r="DNO5" s="1863"/>
      <c r="DNP5" s="1863"/>
      <c r="DNQ5" s="1863"/>
      <c r="DNR5" s="1863"/>
      <c r="DNS5" s="1863"/>
      <c r="DNT5" s="1863"/>
      <c r="DNU5" s="1863"/>
      <c r="DNV5" s="1863"/>
      <c r="DNW5" s="1863"/>
      <c r="DNX5" s="1863"/>
      <c r="DNY5" s="1863"/>
      <c r="DNZ5" s="1863"/>
      <c r="DOA5" s="1863"/>
      <c r="DOB5" s="1863"/>
      <c r="DOC5" s="1863"/>
      <c r="DOD5" s="1863"/>
      <c r="DOE5" s="1863"/>
      <c r="DOF5" s="1863"/>
      <c r="DOG5" s="1863"/>
      <c r="DOH5" s="1863"/>
      <c r="DOI5" s="1863"/>
      <c r="DOJ5" s="1863"/>
      <c r="DOK5" s="1863"/>
      <c r="DOL5" s="1863"/>
      <c r="DOM5" s="1863"/>
      <c r="DON5" s="1863"/>
      <c r="DOO5" s="1863"/>
      <c r="DOP5" s="1863"/>
      <c r="DOQ5" s="1863"/>
      <c r="DOR5" s="1863"/>
      <c r="DOS5" s="1863"/>
      <c r="DOT5" s="1863"/>
      <c r="DOU5" s="1863"/>
      <c r="DOV5" s="1863"/>
      <c r="DOW5" s="1863"/>
      <c r="DOX5" s="1863"/>
      <c r="DOY5" s="1863"/>
      <c r="DOZ5" s="1863"/>
      <c r="DPA5" s="1863"/>
      <c r="DPB5" s="1863"/>
      <c r="DPC5" s="1863"/>
      <c r="DPD5" s="1863"/>
      <c r="DPE5" s="1863"/>
      <c r="DPF5" s="1863"/>
      <c r="DPG5" s="1863"/>
      <c r="DPH5" s="1863"/>
      <c r="DPI5" s="1863"/>
      <c r="DPJ5" s="1863"/>
      <c r="DPK5" s="1863"/>
      <c r="DPL5" s="1863"/>
      <c r="DPM5" s="1863"/>
      <c r="DPN5" s="1863"/>
      <c r="DPO5" s="1863"/>
      <c r="DPP5" s="1863"/>
      <c r="DPQ5" s="1863"/>
      <c r="DPR5" s="1863"/>
      <c r="DPS5" s="1863"/>
      <c r="DPT5" s="1863"/>
      <c r="DPU5" s="1863"/>
      <c r="DPV5" s="1863"/>
      <c r="DPW5" s="1863"/>
      <c r="DPX5" s="1863"/>
      <c r="DPY5" s="1863"/>
      <c r="DPZ5" s="1863"/>
      <c r="DQA5" s="1863"/>
      <c r="DQB5" s="1863"/>
      <c r="DQC5" s="1863"/>
      <c r="DQD5" s="1863"/>
      <c r="DQE5" s="1863"/>
      <c r="DQF5" s="1863"/>
      <c r="DQG5" s="1863"/>
      <c r="DQH5" s="1863"/>
      <c r="DQI5" s="1863"/>
      <c r="DQJ5" s="1863"/>
      <c r="DQK5" s="1863"/>
      <c r="DQL5" s="1863"/>
      <c r="DQM5" s="1863"/>
      <c r="DQN5" s="1863"/>
      <c r="DQO5" s="1863"/>
      <c r="DQP5" s="1863"/>
      <c r="DQQ5" s="1863"/>
      <c r="DQR5" s="1863"/>
      <c r="DQS5" s="1863"/>
      <c r="DQT5" s="1863"/>
      <c r="DQU5" s="1863"/>
      <c r="DQV5" s="1863"/>
      <c r="DQW5" s="1863"/>
      <c r="DQX5" s="1863"/>
      <c r="DQY5" s="1863"/>
      <c r="DQZ5" s="1863"/>
      <c r="DRA5" s="1863"/>
      <c r="DRB5" s="1863"/>
      <c r="DRC5" s="1863"/>
      <c r="DRD5" s="1863"/>
      <c r="DRE5" s="1863"/>
      <c r="DRF5" s="1863"/>
      <c r="DRG5" s="1863"/>
      <c r="DRH5" s="1863"/>
      <c r="DRI5" s="1863"/>
      <c r="DRJ5" s="1863"/>
      <c r="DRK5" s="1863"/>
      <c r="DRL5" s="1863"/>
      <c r="DRM5" s="1863"/>
      <c r="DRN5" s="1863"/>
      <c r="DRO5" s="1863"/>
      <c r="DRP5" s="1863"/>
      <c r="DRQ5" s="1863"/>
      <c r="DRR5" s="1863"/>
      <c r="DRS5" s="1863"/>
      <c r="DRT5" s="1863"/>
      <c r="DRU5" s="1863"/>
      <c r="DRV5" s="1863"/>
      <c r="DRW5" s="1863"/>
      <c r="DRX5" s="1863"/>
      <c r="DRY5" s="1863"/>
      <c r="DRZ5" s="1863"/>
      <c r="DSA5" s="1863"/>
      <c r="DSB5" s="1863"/>
      <c r="DSC5" s="1863"/>
      <c r="DSD5" s="1863"/>
      <c r="DSE5" s="1863"/>
      <c r="DSF5" s="1863"/>
      <c r="DSG5" s="1863"/>
      <c r="DSH5" s="1863"/>
      <c r="DSI5" s="1863"/>
      <c r="DSJ5" s="1863"/>
      <c r="DSK5" s="1863"/>
      <c r="DSL5" s="1863"/>
      <c r="DSM5" s="1863"/>
      <c r="DSN5" s="1863"/>
      <c r="DSO5" s="1863"/>
      <c r="DSP5" s="1863"/>
      <c r="DSQ5" s="1863"/>
      <c r="DSR5" s="1863"/>
      <c r="DSS5" s="1863"/>
      <c r="DST5" s="1863"/>
      <c r="DSU5" s="1863"/>
      <c r="DSV5" s="1863"/>
      <c r="DSW5" s="1863"/>
      <c r="DSX5" s="1863"/>
      <c r="DSY5" s="1863"/>
      <c r="DSZ5" s="1863"/>
      <c r="DTA5" s="1863"/>
      <c r="DTB5" s="1863"/>
      <c r="DTC5" s="1863"/>
      <c r="DTD5" s="1863"/>
      <c r="DTE5" s="1863"/>
      <c r="DTF5" s="1863"/>
      <c r="DTG5" s="1863"/>
      <c r="DTH5" s="1863"/>
      <c r="DTI5" s="1863"/>
      <c r="DTJ5" s="1863"/>
      <c r="DTK5" s="1863"/>
      <c r="DTL5" s="1863"/>
      <c r="DTM5" s="1863"/>
      <c r="DTN5" s="1863"/>
      <c r="DTO5" s="1863"/>
      <c r="DTP5" s="1863"/>
      <c r="DTQ5" s="1863"/>
      <c r="DTR5" s="1863"/>
      <c r="DTS5" s="1863"/>
      <c r="DTT5" s="1863"/>
      <c r="DTU5" s="1863"/>
      <c r="DTV5" s="1863"/>
      <c r="DTW5" s="1863"/>
      <c r="DTX5" s="1863"/>
      <c r="DTY5" s="1863"/>
      <c r="DTZ5" s="1863"/>
      <c r="DUA5" s="1863"/>
      <c r="DUB5" s="1863"/>
      <c r="DUC5" s="1863"/>
      <c r="DUD5" s="1863"/>
      <c r="DUE5" s="1863"/>
      <c r="DUF5" s="1863"/>
      <c r="DUG5" s="1863"/>
      <c r="DUH5" s="1863"/>
      <c r="DUI5" s="1863"/>
      <c r="DUJ5" s="1863"/>
      <c r="DUK5" s="1863"/>
      <c r="DUL5" s="1863"/>
      <c r="DUM5" s="1863"/>
      <c r="DUN5" s="1863"/>
      <c r="DUO5" s="1863"/>
      <c r="DUP5" s="1863"/>
      <c r="DUQ5" s="1863"/>
      <c r="DUR5" s="1863"/>
      <c r="DUS5" s="1863"/>
      <c r="DUT5" s="1863"/>
      <c r="DUU5" s="1863"/>
      <c r="DUV5" s="1863"/>
      <c r="DUW5" s="1863"/>
      <c r="DUX5" s="1863"/>
      <c r="DUY5" s="1863"/>
      <c r="DUZ5" s="1863"/>
      <c r="DVA5" s="1863"/>
      <c r="DVB5" s="1863"/>
      <c r="DVC5" s="1863"/>
      <c r="DVD5" s="1863"/>
      <c r="DVE5" s="1863"/>
      <c r="DVF5" s="1863"/>
      <c r="DVG5" s="1863"/>
      <c r="DVH5" s="1863"/>
      <c r="DVI5" s="1863"/>
      <c r="DVJ5" s="1863"/>
      <c r="DVK5" s="1863"/>
      <c r="DVL5" s="1863"/>
      <c r="DVM5" s="1863"/>
      <c r="DVN5" s="1863"/>
      <c r="DVO5" s="1863"/>
      <c r="DVP5" s="1863"/>
      <c r="DVQ5" s="1863"/>
      <c r="DVR5" s="1863"/>
      <c r="DVS5" s="1863"/>
      <c r="DVT5" s="1863"/>
      <c r="DVU5" s="1863"/>
      <c r="DVV5" s="1863"/>
      <c r="DVW5" s="1863"/>
      <c r="DVX5" s="1863"/>
      <c r="DVY5" s="1863"/>
      <c r="DVZ5" s="1863"/>
      <c r="DWA5" s="1863"/>
      <c r="DWB5" s="1863"/>
      <c r="DWC5" s="1863"/>
      <c r="DWD5" s="1863"/>
      <c r="DWE5" s="1863"/>
      <c r="DWF5" s="1863"/>
      <c r="DWG5" s="1863"/>
      <c r="DWH5" s="1863"/>
      <c r="DWI5" s="1863"/>
      <c r="DWJ5" s="1863"/>
      <c r="DWK5" s="1863"/>
      <c r="DWL5" s="1863"/>
      <c r="DWM5" s="1863"/>
      <c r="DWN5" s="1863"/>
      <c r="DWO5" s="1863"/>
      <c r="DWP5" s="1863"/>
      <c r="DWQ5" s="1863"/>
      <c r="DWR5" s="1863"/>
      <c r="DWS5" s="1863"/>
      <c r="DWT5" s="1863"/>
      <c r="DWU5" s="1863"/>
      <c r="DWV5" s="1863"/>
      <c r="DWW5" s="1863"/>
      <c r="DWX5" s="1863"/>
      <c r="DWY5" s="1863"/>
      <c r="DWZ5" s="1863"/>
      <c r="DXA5" s="1863"/>
      <c r="DXB5" s="1863"/>
      <c r="DXC5" s="1863"/>
      <c r="DXD5" s="1863"/>
      <c r="DXE5" s="1863"/>
      <c r="DXF5" s="1863"/>
      <c r="DXG5" s="1863"/>
      <c r="DXH5" s="1863"/>
      <c r="DXI5" s="1863"/>
      <c r="DXJ5" s="1863"/>
      <c r="DXK5" s="1863"/>
      <c r="DXL5" s="1863"/>
      <c r="DXM5" s="1863"/>
      <c r="DXN5" s="1863"/>
      <c r="DXO5" s="1863"/>
      <c r="DXP5" s="1863"/>
      <c r="DXQ5" s="1863"/>
      <c r="DXR5" s="1863"/>
      <c r="DXS5" s="1863"/>
      <c r="DXT5" s="1863"/>
      <c r="DXU5" s="1863"/>
      <c r="DXV5" s="1863"/>
      <c r="DXW5" s="1863"/>
      <c r="DXX5" s="1863"/>
      <c r="DXY5" s="1863"/>
      <c r="DXZ5" s="1863"/>
      <c r="DYA5" s="1863"/>
      <c r="DYB5" s="1863"/>
      <c r="DYC5" s="1863"/>
      <c r="DYD5" s="1863"/>
      <c r="DYE5" s="1863"/>
      <c r="DYF5" s="1863"/>
      <c r="DYG5" s="1863"/>
      <c r="DYH5" s="1863"/>
      <c r="DYI5" s="1863"/>
      <c r="DYJ5" s="1863"/>
      <c r="DYK5" s="1863"/>
      <c r="DYL5" s="1863"/>
      <c r="DYM5" s="1863"/>
      <c r="DYN5" s="1863"/>
      <c r="DYO5" s="1863"/>
      <c r="DYP5" s="1863"/>
      <c r="DYQ5" s="1863"/>
      <c r="DYR5" s="1863"/>
      <c r="DYS5" s="1863"/>
      <c r="DYT5" s="1863"/>
      <c r="DYU5" s="1863"/>
      <c r="DYV5" s="1863"/>
      <c r="DYW5" s="1863"/>
      <c r="DYX5" s="1863"/>
      <c r="DYY5" s="1863"/>
      <c r="DYZ5" s="1863"/>
      <c r="DZA5" s="1863"/>
      <c r="DZB5" s="1863"/>
      <c r="DZC5" s="1863"/>
      <c r="DZD5" s="1863"/>
      <c r="DZE5" s="1863"/>
      <c r="DZF5" s="1863"/>
      <c r="DZG5" s="1863"/>
      <c r="DZH5" s="1863"/>
      <c r="DZI5" s="1863"/>
      <c r="DZJ5" s="1863"/>
      <c r="DZK5" s="1863"/>
      <c r="DZL5" s="1863"/>
      <c r="DZM5" s="1863"/>
      <c r="DZN5" s="1863"/>
      <c r="DZO5" s="1863"/>
      <c r="DZP5" s="1863"/>
      <c r="DZQ5" s="1863"/>
      <c r="DZR5" s="1863"/>
      <c r="DZS5" s="1863"/>
      <c r="DZT5" s="1863"/>
      <c r="DZU5" s="1863"/>
      <c r="DZV5" s="1863"/>
      <c r="DZW5" s="1863"/>
      <c r="DZX5" s="1863"/>
      <c r="DZY5" s="1863"/>
      <c r="DZZ5" s="1863"/>
      <c r="EAA5" s="1863"/>
      <c r="EAB5" s="1863"/>
      <c r="EAC5" s="1863"/>
      <c r="EAD5" s="1863"/>
      <c r="EAE5" s="1863"/>
      <c r="EAF5" s="1863"/>
      <c r="EAG5" s="1863"/>
      <c r="EAH5" s="1863"/>
      <c r="EAI5" s="1863"/>
      <c r="EAJ5" s="1863"/>
      <c r="EAK5" s="1863"/>
      <c r="EAL5" s="1863"/>
      <c r="EAM5" s="1863"/>
      <c r="EAN5" s="1863"/>
      <c r="EAO5" s="1863"/>
      <c r="EAP5" s="1863"/>
      <c r="EAQ5" s="1863"/>
      <c r="EAR5" s="1863"/>
      <c r="EAS5" s="1863"/>
      <c r="EAT5" s="1863"/>
      <c r="EAU5" s="1863"/>
      <c r="EAV5" s="1863"/>
      <c r="EAW5" s="1863"/>
      <c r="EAX5" s="1863"/>
      <c r="EAY5" s="1863"/>
      <c r="EAZ5" s="1863"/>
      <c r="EBA5" s="1863"/>
      <c r="EBB5" s="1863"/>
      <c r="EBC5" s="1863"/>
      <c r="EBD5" s="1863"/>
      <c r="EBE5" s="1863"/>
      <c r="EBF5" s="1863"/>
      <c r="EBG5" s="1863"/>
      <c r="EBH5" s="1863"/>
      <c r="EBI5" s="1863"/>
      <c r="EBJ5" s="1863"/>
      <c r="EBK5" s="1863"/>
      <c r="EBL5" s="1863"/>
      <c r="EBM5" s="1863"/>
      <c r="EBN5" s="1863"/>
      <c r="EBO5" s="1863"/>
      <c r="EBP5" s="1863"/>
      <c r="EBQ5" s="1863"/>
      <c r="EBR5" s="1863"/>
      <c r="EBS5" s="1863"/>
      <c r="EBT5" s="1863"/>
      <c r="EBU5" s="1863"/>
      <c r="EBV5" s="1863"/>
      <c r="EBW5" s="1863"/>
      <c r="EBX5" s="1863"/>
      <c r="EBY5" s="1863"/>
      <c r="EBZ5" s="1863"/>
      <c r="ECA5" s="1863"/>
      <c r="ECB5" s="1863"/>
      <c r="ECC5" s="1863"/>
      <c r="ECD5" s="1863"/>
      <c r="ECE5" s="1863"/>
      <c r="ECF5" s="1863"/>
      <c r="ECG5" s="1863"/>
      <c r="ECH5" s="1863"/>
      <c r="ECI5" s="1863"/>
      <c r="ECJ5" s="1863"/>
      <c r="ECK5" s="1863"/>
      <c r="ECL5" s="1863"/>
      <c r="ECM5" s="1863"/>
      <c r="ECN5" s="1863"/>
      <c r="ECO5" s="1863"/>
      <c r="ECP5" s="1863"/>
      <c r="ECQ5" s="1863"/>
      <c r="ECR5" s="1863"/>
      <c r="ECS5" s="1863"/>
      <c r="ECT5" s="1863"/>
      <c r="ECU5" s="1863"/>
      <c r="ECV5" s="1863"/>
      <c r="ECW5" s="1863"/>
      <c r="ECX5" s="1863"/>
      <c r="ECY5" s="1863"/>
      <c r="ECZ5" s="1863"/>
      <c r="EDA5" s="1863"/>
      <c r="EDB5" s="1863"/>
      <c r="EDC5" s="1863"/>
      <c r="EDD5" s="1863"/>
      <c r="EDE5" s="1863"/>
      <c r="EDF5" s="1863"/>
      <c r="EDG5" s="1863"/>
      <c r="EDH5" s="1863"/>
      <c r="EDI5" s="1863"/>
      <c r="EDJ5" s="1863"/>
      <c r="EDK5" s="1863"/>
      <c r="EDL5" s="1863"/>
      <c r="EDM5" s="1863"/>
      <c r="EDN5" s="1863"/>
      <c r="EDO5" s="1863"/>
      <c r="EDP5" s="1863"/>
      <c r="EDQ5" s="1863"/>
      <c r="EDR5" s="1863"/>
      <c r="EDS5" s="1863"/>
      <c r="EDT5" s="1863"/>
      <c r="EDU5" s="1863"/>
      <c r="EDV5" s="1863"/>
      <c r="EDW5" s="1863"/>
      <c r="EDX5" s="1863"/>
      <c r="EDY5" s="1863"/>
      <c r="EDZ5" s="1863"/>
      <c r="EEA5" s="1863"/>
      <c r="EEB5" s="1863"/>
      <c r="EEC5" s="1863"/>
      <c r="EED5" s="1863"/>
      <c r="EEE5" s="1863"/>
      <c r="EEF5" s="1863"/>
      <c r="EEG5" s="1863"/>
      <c r="EEH5" s="1863"/>
      <c r="EEI5" s="1863"/>
      <c r="EEJ5" s="1863"/>
      <c r="EEK5" s="1863"/>
      <c r="EEL5" s="1863"/>
      <c r="EEM5" s="1863"/>
      <c r="EEN5" s="1863"/>
      <c r="EEO5" s="1863"/>
      <c r="EEP5" s="1863"/>
      <c r="EEQ5" s="1863"/>
      <c r="EER5" s="1863"/>
      <c r="EES5" s="1863"/>
      <c r="EET5" s="1863"/>
      <c r="EEU5" s="1863"/>
      <c r="EEV5" s="1863"/>
      <c r="EEW5" s="1863"/>
      <c r="EEX5" s="1863"/>
      <c r="EEY5" s="1863"/>
      <c r="EEZ5" s="1863"/>
      <c r="EFA5" s="1863"/>
      <c r="EFB5" s="1863"/>
      <c r="EFC5" s="1863"/>
      <c r="EFD5" s="1863"/>
      <c r="EFE5" s="1863"/>
      <c r="EFF5" s="1863"/>
      <c r="EFG5" s="1863"/>
      <c r="EFH5" s="1863"/>
      <c r="EFI5" s="1863"/>
      <c r="EFJ5" s="1863"/>
      <c r="EFK5" s="1863"/>
      <c r="EFL5" s="1863"/>
      <c r="EFM5" s="1863"/>
      <c r="EFN5" s="1863"/>
      <c r="EFO5" s="1863"/>
      <c r="EFP5" s="1863"/>
      <c r="EFQ5" s="1863"/>
      <c r="EFR5" s="1863"/>
      <c r="EFS5" s="1863"/>
      <c r="EFT5" s="1863"/>
      <c r="EFU5" s="1863"/>
      <c r="EFV5" s="1863"/>
      <c r="EFW5" s="1863"/>
      <c r="EFX5" s="1863"/>
      <c r="EFY5" s="1863"/>
      <c r="EFZ5" s="1863"/>
      <c r="EGA5" s="1863"/>
      <c r="EGB5" s="1863"/>
      <c r="EGC5" s="1863"/>
      <c r="EGD5" s="1863"/>
      <c r="EGE5" s="1863"/>
      <c r="EGF5" s="1863"/>
      <c r="EGG5" s="1863"/>
      <c r="EGH5" s="1863"/>
      <c r="EGI5" s="1863"/>
      <c r="EGJ5" s="1863"/>
      <c r="EGK5" s="1863"/>
      <c r="EGL5" s="1863"/>
      <c r="EGM5" s="1863"/>
      <c r="EGN5" s="1863"/>
      <c r="EGO5" s="1863"/>
      <c r="EGP5" s="1863"/>
      <c r="EGQ5" s="1863"/>
      <c r="EGR5" s="1863"/>
      <c r="EGS5" s="1863"/>
      <c r="EGT5" s="1863"/>
      <c r="EGU5" s="1863"/>
      <c r="EGV5" s="1863"/>
      <c r="EGW5" s="1863"/>
      <c r="EGX5" s="1863"/>
      <c r="EGY5" s="1863"/>
      <c r="EGZ5" s="1863"/>
      <c r="EHA5" s="1863"/>
      <c r="EHB5" s="1863"/>
      <c r="EHC5" s="1863"/>
      <c r="EHD5" s="1863"/>
      <c r="EHE5" s="1863"/>
      <c r="EHF5" s="1863"/>
      <c r="EHG5" s="1863"/>
      <c r="EHH5" s="1863"/>
      <c r="EHI5" s="1863"/>
      <c r="EHJ5" s="1863"/>
      <c r="EHK5" s="1863"/>
      <c r="EHL5" s="1863"/>
      <c r="EHM5" s="1863"/>
      <c r="EHN5" s="1863"/>
      <c r="EHO5" s="1863"/>
      <c r="EHP5" s="1863"/>
      <c r="EHQ5" s="1863"/>
      <c r="EHR5" s="1863"/>
      <c r="EHS5" s="1863"/>
      <c r="EHT5" s="1863"/>
      <c r="EHU5" s="1863"/>
      <c r="EHV5" s="1863"/>
      <c r="EHW5" s="1863"/>
      <c r="EHX5" s="1863"/>
      <c r="EHY5" s="1863"/>
      <c r="EHZ5" s="1863"/>
      <c r="EIA5" s="1863"/>
      <c r="EIB5" s="1863"/>
      <c r="EIC5" s="1863"/>
      <c r="EID5" s="1863"/>
      <c r="EIE5" s="1863"/>
      <c r="EIF5" s="1863"/>
      <c r="EIG5" s="1863"/>
      <c r="EIH5" s="1863"/>
      <c r="EII5" s="1863"/>
      <c r="EIJ5" s="1863"/>
      <c r="EIK5" s="1863"/>
      <c r="EIL5" s="1863"/>
      <c r="EIM5" s="1863"/>
      <c r="EIN5" s="1863"/>
      <c r="EIO5" s="1863"/>
      <c r="EIP5" s="1863"/>
      <c r="EIQ5" s="1863"/>
      <c r="EIR5" s="1863"/>
      <c r="EIS5" s="1863"/>
      <c r="EIT5" s="1863"/>
      <c r="EIU5" s="1863"/>
      <c r="EIV5" s="1863"/>
      <c r="EIW5" s="1863"/>
      <c r="EIX5" s="1863"/>
      <c r="EIY5" s="1863"/>
      <c r="EIZ5" s="1863"/>
      <c r="EJA5" s="1863"/>
      <c r="EJB5" s="1863"/>
      <c r="EJC5" s="1863"/>
      <c r="EJD5" s="1863"/>
      <c r="EJE5" s="1863"/>
      <c r="EJF5" s="1863"/>
      <c r="EJG5" s="1863"/>
      <c r="EJH5" s="1863"/>
      <c r="EJI5" s="1863"/>
      <c r="EJJ5" s="1863"/>
      <c r="EJK5" s="1863"/>
      <c r="EJL5" s="1863"/>
      <c r="EJM5" s="1863"/>
      <c r="EJN5" s="1863"/>
      <c r="EJO5" s="1863"/>
      <c r="EJP5" s="1863"/>
      <c r="EJQ5" s="1863"/>
      <c r="EJR5" s="1863"/>
      <c r="EJS5" s="1863"/>
      <c r="EJT5" s="1863"/>
      <c r="EJU5" s="1863"/>
      <c r="EJV5" s="1863"/>
      <c r="EJW5" s="1863"/>
      <c r="EJX5" s="1863"/>
      <c r="EJY5" s="1863"/>
      <c r="EJZ5" s="1863"/>
      <c r="EKA5" s="1863"/>
      <c r="EKB5" s="1863"/>
      <c r="EKC5" s="1863"/>
      <c r="EKD5" s="1863"/>
      <c r="EKE5" s="1863"/>
      <c r="EKF5" s="1863"/>
      <c r="EKG5" s="1863"/>
      <c r="EKH5" s="1863"/>
      <c r="EKI5" s="1863"/>
      <c r="EKJ5" s="1863"/>
      <c r="EKK5" s="1863"/>
      <c r="EKL5" s="1863"/>
      <c r="EKM5" s="1863"/>
      <c r="EKN5" s="1863"/>
      <c r="EKO5" s="1863"/>
      <c r="EKP5" s="1863"/>
      <c r="EKQ5" s="1863"/>
      <c r="EKR5" s="1863"/>
      <c r="EKS5" s="1863"/>
      <c r="EKT5" s="1863"/>
      <c r="EKU5" s="1863"/>
      <c r="EKV5" s="1863"/>
      <c r="EKW5" s="1863"/>
      <c r="EKX5" s="1863"/>
      <c r="EKY5" s="1863"/>
      <c r="EKZ5" s="1863"/>
      <c r="ELA5" s="1863"/>
      <c r="ELB5" s="1863"/>
      <c r="ELC5" s="1863"/>
      <c r="ELD5" s="1863"/>
      <c r="ELE5" s="1863"/>
      <c r="ELF5" s="1863"/>
      <c r="ELG5" s="1863"/>
      <c r="ELH5" s="1863"/>
      <c r="ELI5" s="1863"/>
      <c r="ELJ5" s="1863"/>
      <c r="ELK5" s="1863"/>
      <c r="ELL5" s="1863"/>
      <c r="ELM5" s="1863"/>
      <c r="ELN5" s="1863"/>
      <c r="ELO5" s="1863"/>
      <c r="ELP5" s="1863"/>
      <c r="ELQ5" s="1863"/>
      <c r="ELR5" s="1863"/>
      <c r="ELS5" s="1863"/>
      <c r="ELT5" s="1863"/>
      <c r="ELU5" s="1863"/>
      <c r="ELV5" s="1863"/>
      <c r="ELW5" s="1863"/>
      <c r="ELX5" s="1863"/>
      <c r="ELY5" s="1863"/>
      <c r="ELZ5" s="1863"/>
      <c r="EMA5" s="1863"/>
      <c r="EMB5" s="1863"/>
      <c r="EMC5" s="1863"/>
      <c r="EMD5" s="1863"/>
      <c r="EME5" s="1863"/>
      <c r="EMF5" s="1863"/>
      <c r="EMG5" s="1863"/>
      <c r="EMH5" s="1863"/>
      <c r="EMI5" s="1863"/>
      <c r="EMJ5" s="1863"/>
      <c r="EMK5" s="1863"/>
      <c r="EML5" s="1863"/>
      <c r="EMM5" s="1863"/>
      <c r="EMN5" s="1863"/>
      <c r="EMO5" s="1863"/>
      <c r="EMP5" s="1863"/>
      <c r="EMQ5" s="1863"/>
      <c r="EMR5" s="1863"/>
      <c r="EMS5" s="1863"/>
      <c r="EMT5" s="1863"/>
      <c r="EMU5" s="1863"/>
      <c r="EMV5" s="1863"/>
      <c r="EMW5" s="1863"/>
      <c r="EMX5" s="1863"/>
      <c r="EMY5" s="1863"/>
      <c r="EMZ5" s="1863"/>
      <c r="ENA5" s="1863"/>
      <c r="ENB5" s="1863"/>
      <c r="ENC5" s="1863"/>
      <c r="END5" s="1863"/>
      <c r="ENE5" s="1863"/>
      <c r="ENF5" s="1863"/>
      <c r="ENG5" s="1863"/>
      <c r="ENH5" s="1863"/>
      <c r="ENI5" s="1863"/>
      <c r="ENJ5" s="1863"/>
      <c r="ENK5" s="1863"/>
      <c r="ENL5" s="1863"/>
      <c r="ENM5" s="1863"/>
      <c r="ENN5" s="1863"/>
      <c r="ENO5" s="1863"/>
      <c r="ENP5" s="1863"/>
      <c r="ENQ5" s="1863"/>
      <c r="ENR5" s="1863"/>
      <c r="ENS5" s="1863"/>
      <c r="ENT5" s="1863"/>
      <c r="ENU5" s="1863"/>
      <c r="ENV5" s="1863"/>
      <c r="ENW5" s="1863"/>
      <c r="ENX5" s="1863"/>
      <c r="ENY5" s="1863"/>
      <c r="ENZ5" s="1863"/>
      <c r="EOA5" s="1863"/>
      <c r="EOB5" s="1863"/>
      <c r="EOC5" s="1863"/>
      <c r="EOD5" s="1863"/>
      <c r="EOE5" s="1863"/>
      <c r="EOF5" s="1863"/>
      <c r="EOG5" s="1863"/>
      <c r="EOH5" s="1863"/>
      <c r="EOI5" s="1863"/>
      <c r="EOJ5" s="1863"/>
      <c r="EOK5" s="1863"/>
      <c r="EOL5" s="1863"/>
      <c r="EOM5" s="1863"/>
      <c r="EON5" s="1863"/>
      <c r="EOO5" s="1863"/>
      <c r="EOP5" s="1863"/>
      <c r="EOQ5" s="1863"/>
      <c r="EOR5" s="1863"/>
      <c r="EOS5" s="1863"/>
      <c r="EOT5" s="1863"/>
      <c r="EOU5" s="1863"/>
      <c r="EOV5" s="1863"/>
      <c r="EOW5" s="1863"/>
      <c r="EOX5" s="1863"/>
      <c r="EOY5" s="1863"/>
      <c r="EOZ5" s="1863"/>
      <c r="EPA5" s="1863"/>
      <c r="EPB5" s="1863"/>
      <c r="EPC5" s="1863"/>
      <c r="EPD5" s="1863"/>
      <c r="EPE5" s="1863"/>
      <c r="EPF5" s="1863"/>
      <c r="EPG5" s="1863"/>
      <c r="EPH5" s="1863"/>
      <c r="EPI5" s="1863"/>
      <c r="EPJ5" s="1863"/>
      <c r="EPK5" s="1863"/>
      <c r="EPL5" s="1863"/>
      <c r="EPM5" s="1863"/>
      <c r="EPN5" s="1863"/>
      <c r="EPO5" s="1863"/>
      <c r="EPP5" s="1863"/>
      <c r="EPQ5" s="1863"/>
      <c r="EPR5" s="1863"/>
      <c r="EPS5" s="1863"/>
      <c r="EPT5" s="1863"/>
      <c r="EPU5" s="1863"/>
      <c r="EPV5" s="1863"/>
      <c r="EPW5" s="1863"/>
      <c r="EPX5" s="1863"/>
      <c r="EPY5" s="1863"/>
      <c r="EPZ5" s="1863"/>
      <c r="EQA5" s="1863"/>
      <c r="EQB5" s="1863"/>
      <c r="EQC5" s="1863"/>
      <c r="EQD5" s="1863"/>
      <c r="EQE5" s="1863"/>
      <c r="EQF5" s="1863"/>
      <c r="EQG5" s="1863"/>
      <c r="EQH5" s="1863"/>
      <c r="EQI5" s="1863"/>
      <c r="EQJ5" s="1863"/>
      <c r="EQK5" s="1863"/>
      <c r="EQL5" s="1863"/>
      <c r="EQM5" s="1863"/>
      <c r="EQN5" s="1863"/>
      <c r="EQO5" s="1863"/>
      <c r="EQP5" s="1863"/>
      <c r="EQQ5" s="1863"/>
      <c r="EQR5" s="1863"/>
      <c r="EQS5" s="1863"/>
      <c r="EQT5" s="1863"/>
      <c r="EQU5" s="1863"/>
      <c r="EQV5" s="1863"/>
      <c r="EQW5" s="1863"/>
      <c r="EQX5" s="1863"/>
      <c r="EQY5" s="1863"/>
      <c r="EQZ5" s="1863"/>
      <c r="ERA5" s="1863"/>
      <c r="ERB5" s="1863"/>
      <c r="ERC5" s="1863"/>
      <c r="ERD5" s="1863"/>
      <c r="ERE5" s="1863"/>
      <c r="ERF5" s="1863"/>
      <c r="ERG5" s="1863"/>
      <c r="ERH5" s="1863"/>
      <c r="ERI5" s="1863"/>
      <c r="ERJ5" s="1863"/>
      <c r="ERK5" s="1863"/>
      <c r="ERL5" s="1863"/>
      <c r="ERM5" s="1863"/>
      <c r="ERN5" s="1863"/>
      <c r="ERO5" s="1863"/>
      <c r="ERP5" s="1863"/>
      <c r="ERQ5" s="1863"/>
      <c r="ERR5" s="1863"/>
      <c r="ERS5" s="1863"/>
      <c r="ERT5" s="1863"/>
      <c r="ERU5" s="1863"/>
      <c r="ERV5" s="1863"/>
      <c r="ERW5" s="1863"/>
      <c r="ERX5" s="1863"/>
      <c r="ERY5" s="1863"/>
      <c r="ERZ5" s="1863"/>
      <c r="ESA5" s="1863"/>
      <c r="ESB5" s="1863"/>
      <c r="ESC5" s="1863"/>
      <c r="ESD5" s="1863"/>
      <c r="ESE5" s="1863"/>
      <c r="ESF5" s="1863"/>
      <c r="ESG5" s="1863"/>
      <c r="ESH5" s="1863"/>
      <c r="ESI5" s="1863"/>
      <c r="ESJ5" s="1863"/>
      <c r="ESK5" s="1863"/>
      <c r="ESL5" s="1863"/>
      <c r="ESM5" s="1863"/>
      <c r="ESN5" s="1863"/>
      <c r="ESO5" s="1863"/>
      <c r="ESP5" s="1863"/>
      <c r="ESQ5" s="1863"/>
      <c r="ESR5" s="1863"/>
      <c r="ESS5" s="1863"/>
      <c r="EST5" s="1863"/>
      <c r="ESU5" s="1863"/>
      <c r="ESV5" s="1863"/>
      <c r="ESW5" s="1863"/>
      <c r="ESX5" s="1863"/>
      <c r="ESY5" s="1863"/>
      <c r="ESZ5" s="1863"/>
      <c r="ETA5" s="1863"/>
      <c r="ETB5" s="1863"/>
      <c r="ETC5" s="1863"/>
      <c r="ETD5" s="1863"/>
      <c r="ETE5" s="1863"/>
      <c r="ETF5" s="1863"/>
      <c r="ETG5" s="1863"/>
      <c r="ETH5" s="1863"/>
      <c r="ETI5" s="1863"/>
      <c r="ETJ5" s="1863"/>
      <c r="ETK5" s="1863"/>
      <c r="ETL5" s="1863"/>
      <c r="ETM5" s="1863"/>
      <c r="ETN5" s="1863"/>
      <c r="ETO5" s="1863"/>
      <c r="ETP5" s="1863"/>
      <c r="ETQ5" s="1863"/>
      <c r="ETR5" s="1863"/>
      <c r="ETS5" s="1863"/>
      <c r="ETT5" s="1863"/>
      <c r="ETU5" s="1863"/>
      <c r="ETV5" s="1863"/>
      <c r="ETW5" s="1863"/>
      <c r="ETX5" s="1863"/>
      <c r="ETY5" s="1863"/>
      <c r="ETZ5" s="1863"/>
      <c r="EUA5" s="1863"/>
      <c r="EUB5" s="1863"/>
      <c r="EUC5" s="1863"/>
      <c r="EUD5" s="1863"/>
      <c r="EUE5" s="1863"/>
      <c r="EUF5" s="1863"/>
      <c r="EUG5" s="1863"/>
      <c r="EUH5" s="1863"/>
      <c r="EUI5" s="1863"/>
      <c r="EUJ5" s="1863"/>
      <c r="EUK5" s="1863"/>
      <c r="EUL5" s="1863"/>
      <c r="EUM5" s="1863"/>
      <c r="EUN5" s="1863"/>
      <c r="EUO5" s="1863"/>
      <c r="EUP5" s="1863"/>
      <c r="EUQ5" s="1863"/>
      <c r="EUR5" s="1863"/>
      <c r="EUS5" s="1863"/>
      <c r="EUT5" s="1863"/>
      <c r="EUU5" s="1863"/>
      <c r="EUV5" s="1863"/>
      <c r="EUW5" s="1863"/>
      <c r="EUX5" s="1863"/>
      <c r="EUY5" s="1863"/>
      <c r="EUZ5" s="1863"/>
      <c r="EVA5" s="1863"/>
      <c r="EVB5" s="1863"/>
      <c r="EVC5" s="1863"/>
      <c r="EVD5" s="1863"/>
      <c r="EVE5" s="1863"/>
      <c r="EVF5" s="1863"/>
      <c r="EVG5" s="1863"/>
      <c r="EVH5" s="1863"/>
      <c r="EVI5" s="1863"/>
      <c r="EVJ5" s="1863"/>
      <c r="EVK5" s="1863"/>
      <c r="EVL5" s="1863"/>
      <c r="EVM5" s="1863"/>
      <c r="EVN5" s="1863"/>
      <c r="EVO5" s="1863"/>
      <c r="EVP5" s="1863"/>
      <c r="EVQ5" s="1863"/>
      <c r="EVR5" s="1863"/>
      <c r="EVS5" s="1863"/>
      <c r="EVT5" s="1863"/>
      <c r="EVU5" s="1863"/>
      <c r="EVV5" s="1863"/>
      <c r="EVW5" s="1863"/>
      <c r="EVX5" s="1863"/>
      <c r="EVY5" s="1863"/>
      <c r="EVZ5" s="1863"/>
      <c r="EWA5" s="1863"/>
      <c r="EWB5" s="1863"/>
      <c r="EWC5" s="1863"/>
      <c r="EWD5" s="1863"/>
      <c r="EWE5" s="1863"/>
      <c r="EWF5" s="1863"/>
      <c r="EWG5" s="1863"/>
      <c r="EWH5" s="1863"/>
      <c r="EWI5" s="1863"/>
      <c r="EWJ5" s="1863"/>
      <c r="EWK5" s="1863"/>
      <c r="EWL5" s="1863"/>
      <c r="EWM5" s="1863"/>
      <c r="EWN5" s="1863"/>
      <c r="EWO5" s="1863"/>
      <c r="EWP5" s="1863"/>
      <c r="EWQ5" s="1863"/>
      <c r="EWR5" s="1863"/>
      <c r="EWS5" s="1863"/>
      <c r="EWT5" s="1863"/>
      <c r="EWU5" s="1863"/>
      <c r="EWV5" s="1863"/>
      <c r="EWW5" s="1863"/>
      <c r="EWX5" s="1863"/>
      <c r="EWY5" s="1863"/>
      <c r="EWZ5" s="1863"/>
      <c r="EXA5" s="1863"/>
      <c r="EXB5" s="1863"/>
      <c r="EXC5" s="1863"/>
      <c r="EXD5" s="1863"/>
      <c r="EXE5" s="1863"/>
      <c r="EXF5" s="1863"/>
      <c r="EXG5" s="1863"/>
      <c r="EXH5" s="1863"/>
      <c r="EXI5" s="1863"/>
      <c r="EXJ5" s="1863"/>
      <c r="EXK5" s="1863"/>
      <c r="EXL5" s="1863"/>
      <c r="EXM5" s="1863"/>
      <c r="EXN5" s="1863"/>
      <c r="EXO5" s="1863"/>
      <c r="EXP5" s="1863"/>
      <c r="EXQ5" s="1863"/>
      <c r="EXR5" s="1863"/>
      <c r="EXS5" s="1863"/>
      <c r="EXT5" s="1863"/>
      <c r="EXU5" s="1863"/>
      <c r="EXV5" s="1863"/>
      <c r="EXW5" s="1863"/>
      <c r="EXX5" s="1863"/>
      <c r="EXY5" s="1863"/>
      <c r="EXZ5" s="1863"/>
      <c r="EYA5" s="1863"/>
      <c r="EYB5" s="1863"/>
      <c r="EYC5" s="1863"/>
      <c r="EYD5" s="1863"/>
      <c r="EYE5" s="1863"/>
      <c r="EYF5" s="1863"/>
      <c r="EYG5" s="1863"/>
      <c r="EYH5" s="1863"/>
      <c r="EYI5" s="1863"/>
      <c r="EYJ5" s="1863"/>
      <c r="EYK5" s="1863"/>
      <c r="EYL5" s="1863"/>
      <c r="EYM5" s="1863"/>
      <c r="EYN5" s="1863"/>
      <c r="EYO5" s="1863"/>
      <c r="EYP5" s="1863"/>
      <c r="EYQ5" s="1863"/>
      <c r="EYR5" s="1863"/>
      <c r="EYS5" s="1863"/>
      <c r="EYT5" s="1863"/>
      <c r="EYU5" s="1863"/>
      <c r="EYV5" s="1863"/>
      <c r="EYW5" s="1863"/>
      <c r="EYX5" s="1863"/>
      <c r="EYY5" s="1863"/>
      <c r="EYZ5" s="1863"/>
      <c r="EZA5" s="1863"/>
      <c r="EZB5" s="1863"/>
      <c r="EZC5" s="1863"/>
      <c r="EZD5" s="1863"/>
      <c r="EZE5" s="1863"/>
      <c r="EZF5" s="1863"/>
      <c r="EZG5" s="1863"/>
      <c r="EZH5" s="1863"/>
      <c r="EZI5" s="1863"/>
      <c r="EZJ5" s="1863"/>
      <c r="EZK5" s="1863"/>
      <c r="EZL5" s="1863"/>
      <c r="EZM5" s="1863"/>
      <c r="EZN5" s="1863"/>
      <c r="EZO5" s="1863"/>
      <c r="EZP5" s="1863"/>
      <c r="EZQ5" s="1863"/>
      <c r="EZR5" s="1863"/>
      <c r="EZS5" s="1863"/>
      <c r="EZT5" s="1863"/>
      <c r="EZU5" s="1863"/>
      <c r="EZV5" s="1863"/>
      <c r="EZW5" s="1863"/>
      <c r="EZX5" s="1863"/>
      <c r="EZY5" s="1863"/>
      <c r="EZZ5" s="1863"/>
      <c r="FAA5" s="1863"/>
      <c r="FAB5" s="1863"/>
      <c r="FAC5" s="1863"/>
      <c r="FAD5" s="1863"/>
      <c r="FAE5" s="1863"/>
      <c r="FAF5" s="1863"/>
      <c r="FAG5" s="1863"/>
      <c r="FAH5" s="1863"/>
      <c r="FAI5" s="1863"/>
      <c r="FAJ5" s="1863"/>
      <c r="FAK5" s="1863"/>
      <c r="FAL5" s="1863"/>
      <c r="FAM5" s="1863"/>
      <c r="FAN5" s="1863"/>
      <c r="FAO5" s="1863"/>
      <c r="FAP5" s="1863"/>
      <c r="FAQ5" s="1863"/>
      <c r="FAR5" s="1863"/>
      <c r="FAS5" s="1863"/>
      <c r="FAT5" s="1863"/>
      <c r="FAU5" s="1863"/>
      <c r="FAV5" s="1863"/>
      <c r="FAW5" s="1863"/>
      <c r="FAX5" s="1863"/>
      <c r="FAY5" s="1863"/>
      <c r="FAZ5" s="1863"/>
      <c r="FBA5" s="1863"/>
      <c r="FBB5" s="1863"/>
      <c r="FBC5" s="1863"/>
      <c r="FBD5" s="1863"/>
      <c r="FBE5" s="1863"/>
      <c r="FBF5" s="1863"/>
      <c r="FBG5" s="1863"/>
      <c r="FBH5" s="1863"/>
      <c r="FBI5" s="1863"/>
      <c r="FBJ5" s="1863"/>
      <c r="FBK5" s="1863"/>
      <c r="FBL5" s="1863"/>
      <c r="FBM5" s="1863"/>
      <c r="FBN5" s="1863"/>
      <c r="FBO5" s="1863"/>
      <c r="FBP5" s="1863"/>
      <c r="FBQ5" s="1863"/>
      <c r="FBR5" s="1863"/>
      <c r="FBS5" s="1863"/>
      <c r="FBT5" s="1863"/>
      <c r="FBU5" s="1863"/>
      <c r="FBV5" s="1863"/>
      <c r="FBW5" s="1863"/>
      <c r="FBX5" s="1863"/>
      <c r="FBY5" s="1863"/>
      <c r="FBZ5" s="1863"/>
      <c r="FCA5" s="1863"/>
      <c r="FCB5" s="1863"/>
      <c r="FCC5" s="1863"/>
      <c r="FCD5" s="1863"/>
      <c r="FCE5" s="1863"/>
      <c r="FCF5" s="1863"/>
      <c r="FCG5" s="1863"/>
      <c r="FCH5" s="1863"/>
      <c r="FCI5" s="1863"/>
      <c r="FCJ5" s="1863"/>
      <c r="FCK5" s="1863"/>
      <c r="FCL5" s="1863"/>
      <c r="FCM5" s="1863"/>
      <c r="FCN5" s="1863"/>
      <c r="FCO5" s="1863"/>
      <c r="FCP5" s="1863"/>
      <c r="FCQ5" s="1863"/>
      <c r="FCR5" s="1863"/>
      <c r="FCS5" s="1863"/>
      <c r="FCT5" s="1863"/>
      <c r="FCU5" s="1863"/>
      <c r="FCV5" s="1863"/>
      <c r="FCW5" s="1863"/>
      <c r="FCX5" s="1863"/>
      <c r="FCY5" s="1863"/>
      <c r="FCZ5" s="1863"/>
      <c r="FDA5" s="1863"/>
      <c r="FDB5" s="1863"/>
      <c r="FDC5" s="1863"/>
      <c r="FDD5" s="1863"/>
      <c r="FDE5" s="1863"/>
      <c r="FDF5" s="1863"/>
      <c r="FDG5" s="1863"/>
      <c r="FDH5" s="1863"/>
      <c r="FDI5" s="1863"/>
      <c r="FDJ5" s="1863"/>
      <c r="FDK5" s="1863"/>
      <c r="FDL5" s="1863"/>
      <c r="FDM5" s="1863"/>
      <c r="FDN5" s="1863"/>
      <c r="FDO5" s="1863"/>
      <c r="FDP5" s="1863"/>
      <c r="FDQ5" s="1863"/>
      <c r="FDR5" s="1863"/>
      <c r="FDS5" s="1863"/>
      <c r="FDT5" s="1863"/>
      <c r="FDU5" s="1863"/>
      <c r="FDV5" s="1863"/>
      <c r="FDW5" s="1863"/>
      <c r="FDX5" s="1863"/>
      <c r="FDY5" s="1863"/>
      <c r="FDZ5" s="1863"/>
      <c r="FEA5" s="1863"/>
      <c r="FEB5" s="1863"/>
      <c r="FEC5" s="1863"/>
      <c r="FED5" s="1863"/>
      <c r="FEE5" s="1863"/>
      <c r="FEF5" s="1863"/>
      <c r="FEG5" s="1863"/>
      <c r="FEH5" s="1863"/>
      <c r="FEI5" s="1863"/>
      <c r="FEJ5" s="1863"/>
      <c r="FEK5" s="1863"/>
      <c r="FEL5" s="1863"/>
      <c r="FEM5" s="1863"/>
      <c r="FEN5" s="1863"/>
      <c r="FEO5" s="1863"/>
      <c r="FEP5" s="1863"/>
      <c r="FEQ5" s="1863"/>
      <c r="FER5" s="1863"/>
      <c r="FES5" s="1863"/>
      <c r="FET5" s="1863"/>
      <c r="FEU5" s="1863"/>
      <c r="FEV5" s="1863"/>
      <c r="FEW5" s="1863"/>
      <c r="FEX5" s="1863"/>
      <c r="FEY5" s="1863"/>
      <c r="FEZ5" s="1863"/>
      <c r="FFA5" s="1863"/>
      <c r="FFB5" s="1863"/>
      <c r="FFC5" s="1863"/>
      <c r="FFD5" s="1863"/>
      <c r="FFE5" s="1863"/>
      <c r="FFF5" s="1863"/>
      <c r="FFG5" s="1863"/>
      <c r="FFH5" s="1863"/>
      <c r="FFI5" s="1863"/>
      <c r="FFJ5" s="1863"/>
      <c r="FFK5" s="1863"/>
      <c r="FFL5" s="1863"/>
      <c r="FFM5" s="1863"/>
      <c r="FFN5" s="1863"/>
      <c r="FFO5" s="1863"/>
      <c r="FFP5" s="1863"/>
      <c r="FFQ5" s="1863"/>
      <c r="FFR5" s="1863"/>
      <c r="FFS5" s="1863"/>
      <c r="FFT5" s="1863"/>
      <c r="FFU5" s="1863"/>
      <c r="FFV5" s="1863"/>
      <c r="FFW5" s="1863"/>
      <c r="FFX5" s="1863"/>
      <c r="FFY5" s="1863"/>
      <c r="FFZ5" s="1863"/>
      <c r="FGA5" s="1863"/>
      <c r="FGB5" s="1863"/>
      <c r="FGC5" s="1863"/>
      <c r="FGD5" s="1863"/>
      <c r="FGE5" s="1863"/>
      <c r="FGF5" s="1863"/>
      <c r="FGG5" s="1863"/>
      <c r="FGH5" s="1863"/>
      <c r="FGI5" s="1863"/>
      <c r="FGJ5" s="1863"/>
      <c r="FGK5" s="1863"/>
      <c r="FGL5" s="1863"/>
      <c r="FGM5" s="1863"/>
      <c r="FGN5" s="1863"/>
      <c r="FGO5" s="1863"/>
      <c r="FGP5" s="1863"/>
      <c r="FGQ5" s="1863"/>
      <c r="FGR5" s="1863"/>
      <c r="FGS5" s="1863"/>
      <c r="FGT5" s="1863"/>
      <c r="FGU5" s="1863"/>
      <c r="FGV5" s="1863"/>
      <c r="FGW5" s="1863"/>
      <c r="FGX5" s="1863"/>
      <c r="FGY5" s="1863"/>
      <c r="FGZ5" s="1863"/>
      <c r="FHA5" s="1863"/>
      <c r="FHB5" s="1863"/>
      <c r="FHC5" s="1863"/>
      <c r="FHD5" s="1863"/>
      <c r="FHE5" s="1863"/>
      <c r="FHF5" s="1863"/>
      <c r="FHG5" s="1863"/>
      <c r="FHH5" s="1863"/>
      <c r="FHI5" s="1863"/>
      <c r="FHJ5" s="1863"/>
      <c r="FHK5" s="1863"/>
      <c r="FHL5" s="1863"/>
      <c r="FHM5" s="1863"/>
      <c r="FHN5" s="1863"/>
      <c r="FHO5" s="1863"/>
      <c r="FHP5" s="1863"/>
      <c r="FHQ5" s="1863"/>
      <c r="FHR5" s="1863"/>
      <c r="FHS5" s="1863"/>
      <c r="FHT5" s="1863"/>
      <c r="FHU5" s="1863"/>
      <c r="FHV5" s="1863"/>
      <c r="FHW5" s="1863"/>
      <c r="FHX5" s="1863"/>
      <c r="FHY5" s="1863"/>
      <c r="FHZ5" s="1863"/>
      <c r="FIA5" s="1863"/>
      <c r="FIB5" s="1863"/>
      <c r="FIC5" s="1863"/>
      <c r="FID5" s="1863"/>
      <c r="FIE5" s="1863"/>
      <c r="FIF5" s="1863"/>
      <c r="FIG5" s="1863"/>
      <c r="FIH5" s="1863"/>
      <c r="FII5" s="1863"/>
      <c r="FIJ5" s="1863"/>
      <c r="FIK5" s="1863"/>
      <c r="FIL5" s="1863"/>
      <c r="FIM5" s="1863"/>
      <c r="FIN5" s="1863"/>
      <c r="FIO5" s="1863"/>
      <c r="FIP5" s="1863"/>
      <c r="FIQ5" s="1863"/>
      <c r="FIR5" s="1863"/>
      <c r="FIS5" s="1863"/>
      <c r="FIT5" s="1863"/>
      <c r="FIU5" s="1863"/>
      <c r="FIV5" s="1863"/>
      <c r="FIW5" s="1863"/>
      <c r="FIX5" s="1863"/>
      <c r="FIY5" s="1863"/>
      <c r="FIZ5" s="1863"/>
      <c r="FJA5" s="1863"/>
      <c r="FJB5" s="1863"/>
      <c r="FJC5" s="1863"/>
      <c r="FJD5" s="1863"/>
      <c r="FJE5" s="1863"/>
      <c r="FJF5" s="1863"/>
      <c r="FJG5" s="1863"/>
      <c r="FJH5" s="1863"/>
      <c r="FJI5" s="1863"/>
      <c r="FJJ5" s="1863"/>
      <c r="FJK5" s="1863"/>
      <c r="FJL5" s="1863"/>
      <c r="FJM5" s="1863"/>
      <c r="FJN5" s="1863"/>
      <c r="FJO5" s="1863"/>
      <c r="FJP5" s="1863"/>
      <c r="FJQ5" s="1863"/>
      <c r="FJR5" s="1863"/>
      <c r="FJS5" s="1863"/>
      <c r="FJT5" s="1863"/>
      <c r="FJU5" s="1863"/>
      <c r="FJV5" s="1863"/>
      <c r="FJW5" s="1863"/>
      <c r="FJX5" s="1863"/>
      <c r="FJY5" s="1863"/>
      <c r="FJZ5" s="1863"/>
      <c r="FKA5" s="1863"/>
      <c r="FKB5" s="1863"/>
      <c r="FKC5" s="1863"/>
      <c r="FKD5" s="1863"/>
      <c r="FKE5" s="1863"/>
      <c r="FKF5" s="1863"/>
      <c r="FKG5" s="1863"/>
      <c r="FKH5" s="1863"/>
      <c r="FKI5" s="1863"/>
      <c r="FKJ5" s="1863"/>
      <c r="FKK5" s="1863"/>
      <c r="FKL5" s="1863"/>
      <c r="FKM5" s="1863"/>
      <c r="FKN5" s="1863"/>
      <c r="FKO5" s="1863"/>
      <c r="FKP5" s="1863"/>
      <c r="FKQ5" s="1863"/>
      <c r="FKR5" s="1863"/>
      <c r="FKS5" s="1863"/>
      <c r="FKT5" s="1863"/>
      <c r="FKU5" s="1863"/>
      <c r="FKV5" s="1863"/>
      <c r="FKW5" s="1863"/>
      <c r="FKX5" s="1863"/>
      <c r="FKY5" s="1863"/>
      <c r="FKZ5" s="1863"/>
      <c r="FLA5" s="1863"/>
      <c r="FLB5" s="1863"/>
      <c r="FLC5" s="1863"/>
      <c r="FLD5" s="1863"/>
      <c r="FLE5" s="1863"/>
      <c r="FLF5" s="1863"/>
      <c r="FLG5" s="1863"/>
      <c r="FLH5" s="1863"/>
      <c r="FLI5" s="1863"/>
      <c r="FLJ5" s="1863"/>
      <c r="FLK5" s="1863"/>
      <c r="FLL5" s="1863"/>
      <c r="FLM5" s="1863"/>
      <c r="FLN5" s="1863"/>
      <c r="FLO5" s="1863"/>
      <c r="FLP5" s="1863"/>
      <c r="FLQ5" s="1863"/>
      <c r="FLR5" s="1863"/>
      <c r="FLS5" s="1863"/>
      <c r="FLT5" s="1863"/>
      <c r="FLU5" s="1863"/>
      <c r="FLV5" s="1863"/>
      <c r="FLW5" s="1863"/>
      <c r="FLX5" s="1863"/>
      <c r="FLY5" s="1863"/>
      <c r="FLZ5" s="1863"/>
      <c r="FMA5" s="1863"/>
      <c r="FMB5" s="1863"/>
      <c r="FMC5" s="1863"/>
      <c r="FMD5" s="1863"/>
      <c r="FME5" s="1863"/>
      <c r="FMF5" s="1863"/>
      <c r="FMG5" s="1863"/>
      <c r="FMH5" s="1863"/>
      <c r="FMI5" s="1863"/>
      <c r="FMJ5" s="1863"/>
      <c r="FMK5" s="1863"/>
      <c r="FML5" s="1863"/>
      <c r="FMM5" s="1863"/>
      <c r="FMN5" s="1863"/>
      <c r="FMO5" s="1863"/>
      <c r="FMP5" s="1863"/>
      <c r="FMQ5" s="1863"/>
      <c r="FMR5" s="1863"/>
      <c r="FMS5" s="1863"/>
      <c r="FMT5" s="1863"/>
      <c r="FMU5" s="1863"/>
      <c r="FMV5" s="1863"/>
      <c r="FMW5" s="1863"/>
      <c r="FMX5" s="1863"/>
      <c r="FMY5" s="1863"/>
      <c r="FMZ5" s="1863"/>
      <c r="FNA5" s="1863"/>
      <c r="FNB5" s="1863"/>
      <c r="FNC5" s="1863"/>
      <c r="FND5" s="1863"/>
      <c r="FNE5" s="1863"/>
      <c r="FNF5" s="1863"/>
      <c r="FNG5" s="1863"/>
      <c r="FNH5" s="1863"/>
      <c r="FNI5" s="1863"/>
      <c r="FNJ5" s="1863"/>
      <c r="FNK5" s="1863"/>
      <c r="FNL5" s="1863"/>
      <c r="FNM5" s="1863"/>
      <c r="FNN5" s="1863"/>
      <c r="FNO5" s="1863"/>
      <c r="FNP5" s="1863"/>
      <c r="FNQ5" s="1863"/>
      <c r="FNR5" s="1863"/>
      <c r="FNS5" s="1863"/>
      <c r="FNT5" s="1863"/>
      <c r="FNU5" s="1863"/>
      <c r="FNV5" s="1863"/>
      <c r="FNW5" s="1863"/>
      <c r="FNX5" s="1863"/>
      <c r="FNY5" s="1863"/>
      <c r="FNZ5" s="1863"/>
      <c r="FOA5" s="1863"/>
      <c r="FOB5" s="1863"/>
      <c r="FOC5" s="1863"/>
      <c r="FOD5" s="1863"/>
      <c r="FOE5" s="1863"/>
      <c r="FOF5" s="1863"/>
      <c r="FOG5" s="1863"/>
      <c r="FOH5" s="1863"/>
      <c r="FOI5" s="1863"/>
      <c r="FOJ5" s="1863"/>
      <c r="FOK5" s="1863"/>
      <c r="FOL5" s="1863"/>
      <c r="FOM5" s="1863"/>
      <c r="FON5" s="1863"/>
      <c r="FOO5" s="1863"/>
      <c r="FOP5" s="1863"/>
      <c r="FOQ5" s="1863"/>
      <c r="FOR5" s="1863"/>
      <c r="FOS5" s="1863"/>
      <c r="FOT5" s="1863"/>
      <c r="FOU5" s="1863"/>
      <c r="FOV5" s="1863"/>
      <c r="FOW5" s="1863"/>
      <c r="FOX5" s="1863"/>
      <c r="FOY5" s="1863"/>
      <c r="FOZ5" s="1863"/>
      <c r="FPA5" s="1863"/>
      <c r="FPB5" s="1863"/>
      <c r="FPC5" s="1863"/>
      <c r="FPD5" s="1863"/>
      <c r="FPE5" s="1863"/>
      <c r="FPF5" s="1863"/>
      <c r="FPG5" s="1863"/>
      <c r="FPH5" s="1863"/>
      <c r="FPI5" s="1863"/>
      <c r="FPJ5" s="1863"/>
      <c r="FPK5" s="1863"/>
      <c r="FPL5" s="1863"/>
      <c r="FPM5" s="1863"/>
      <c r="FPN5" s="1863"/>
      <c r="FPO5" s="1863"/>
      <c r="FPP5" s="1863"/>
      <c r="FPQ5" s="1863"/>
      <c r="FPR5" s="1863"/>
      <c r="FPS5" s="1863"/>
      <c r="FPT5" s="1863"/>
      <c r="FPU5" s="1863"/>
      <c r="FPV5" s="1863"/>
      <c r="FPW5" s="1863"/>
      <c r="FPX5" s="1863"/>
      <c r="FPY5" s="1863"/>
      <c r="FPZ5" s="1863"/>
      <c r="FQA5" s="1863"/>
      <c r="FQB5" s="1863"/>
      <c r="FQC5" s="1863"/>
      <c r="FQD5" s="1863"/>
      <c r="FQE5" s="1863"/>
      <c r="FQF5" s="1863"/>
      <c r="FQG5" s="1863"/>
      <c r="FQH5" s="1863"/>
      <c r="FQI5" s="1863"/>
      <c r="FQJ5" s="1863"/>
      <c r="FQK5" s="1863"/>
      <c r="FQL5" s="1863"/>
      <c r="FQM5" s="1863"/>
      <c r="FQN5" s="1863"/>
      <c r="FQO5" s="1863"/>
      <c r="FQP5" s="1863"/>
      <c r="FQQ5" s="1863"/>
      <c r="FQR5" s="1863"/>
      <c r="FQS5" s="1863"/>
      <c r="FQT5" s="1863"/>
      <c r="FQU5" s="1863"/>
      <c r="FQV5" s="1863"/>
      <c r="FQW5" s="1863"/>
      <c r="FQX5" s="1863"/>
      <c r="FQY5" s="1863"/>
      <c r="FQZ5" s="1863"/>
      <c r="FRA5" s="1863"/>
      <c r="FRB5" s="1863"/>
      <c r="FRC5" s="1863"/>
      <c r="FRD5" s="1863"/>
      <c r="FRE5" s="1863"/>
      <c r="FRF5" s="1863"/>
      <c r="FRG5" s="1863"/>
      <c r="FRH5" s="1863"/>
      <c r="FRI5" s="1863"/>
      <c r="FRJ5" s="1863"/>
      <c r="FRK5" s="1863"/>
      <c r="FRL5" s="1863"/>
      <c r="FRM5" s="1863"/>
      <c r="FRN5" s="1863"/>
      <c r="FRO5" s="1863"/>
      <c r="FRP5" s="1863"/>
      <c r="FRQ5" s="1863"/>
      <c r="FRR5" s="1863"/>
      <c r="FRS5" s="1863"/>
      <c r="FRT5" s="1863"/>
      <c r="FRU5" s="1863"/>
      <c r="FRV5" s="1863"/>
      <c r="FRW5" s="1863"/>
      <c r="FRX5" s="1863"/>
      <c r="FRY5" s="1863"/>
      <c r="FRZ5" s="1863"/>
      <c r="FSA5" s="1863"/>
      <c r="FSB5" s="1863"/>
      <c r="FSC5" s="1863"/>
      <c r="FSD5" s="1863"/>
      <c r="FSE5" s="1863"/>
      <c r="FSF5" s="1863"/>
      <c r="FSG5" s="1863"/>
      <c r="FSH5" s="1863"/>
      <c r="FSI5" s="1863"/>
      <c r="FSJ5" s="1863"/>
      <c r="FSK5" s="1863"/>
      <c r="FSL5" s="1863"/>
      <c r="FSM5" s="1863"/>
      <c r="FSN5" s="1863"/>
      <c r="FSO5" s="1863"/>
      <c r="FSP5" s="1863"/>
      <c r="FSQ5" s="1863"/>
      <c r="FSR5" s="1863"/>
      <c r="FSS5" s="1863"/>
      <c r="FST5" s="1863"/>
      <c r="FSU5" s="1863"/>
      <c r="FSV5" s="1863"/>
      <c r="FSW5" s="1863"/>
      <c r="FSX5" s="1863"/>
      <c r="FSY5" s="1863"/>
      <c r="FSZ5" s="1863"/>
      <c r="FTA5" s="1863"/>
      <c r="FTB5" s="1863"/>
      <c r="FTC5" s="1863"/>
      <c r="FTD5" s="1863"/>
      <c r="FTE5" s="1863"/>
      <c r="FTF5" s="1863"/>
      <c r="FTG5" s="1863"/>
      <c r="FTH5" s="1863"/>
      <c r="FTI5" s="1863"/>
      <c r="FTJ5" s="1863"/>
      <c r="FTK5" s="1863"/>
      <c r="FTL5" s="1863"/>
      <c r="FTM5" s="1863"/>
      <c r="FTN5" s="1863"/>
      <c r="FTO5" s="1863"/>
      <c r="FTP5" s="1863"/>
      <c r="FTQ5" s="1863"/>
      <c r="FTR5" s="1863"/>
      <c r="FTS5" s="1863"/>
      <c r="FTT5" s="1863"/>
      <c r="FTU5" s="1863"/>
      <c r="FTV5" s="1863"/>
      <c r="FTW5" s="1863"/>
      <c r="FTX5" s="1863"/>
      <c r="FTY5" s="1863"/>
      <c r="FTZ5" s="1863"/>
      <c r="FUA5" s="1863"/>
      <c r="FUB5" s="1863"/>
      <c r="FUC5" s="1863"/>
      <c r="FUD5" s="1863"/>
      <c r="FUE5" s="1863"/>
      <c r="FUF5" s="1863"/>
      <c r="FUG5" s="1863"/>
      <c r="FUH5" s="1863"/>
      <c r="FUI5" s="1863"/>
      <c r="FUJ5" s="1863"/>
      <c r="FUK5" s="1863"/>
      <c r="FUL5" s="1863"/>
      <c r="FUM5" s="1863"/>
      <c r="FUN5" s="1863"/>
      <c r="FUO5" s="1863"/>
      <c r="FUP5" s="1863"/>
      <c r="FUQ5" s="1863"/>
      <c r="FUR5" s="1863"/>
      <c r="FUS5" s="1863"/>
      <c r="FUT5" s="1863"/>
      <c r="FUU5" s="1863"/>
      <c r="FUV5" s="1863"/>
      <c r="FUW5" s="1863"/>
      <c r="FUX5" s="1863"/>
      <c r="FUY5" s="1863"/>
      <c r="FUZ5" s="1863"/>
      <c r="FVA5" s="1863"/>
      <c r="FVB5" s="1863"/>
      <c r="FVC5" s="1863"/>
      <c r="FVD5" s="1863"/>
      <c r="FVE5" s="1863"/>
      <c r="FVF5" s="1863"/>
      <c r="FVG5" s="1863"/>
      <c r="FVH5" s="1863"/>
      <c r="FVI5" s="1863"/>
      <c r="FVJ5" s="1863"/>
      <c r="FVK5" s="1863"/>
      <c r="FVL5" s="1863"/>
      <c r="FVM5" s="1863"/>
      <c r="FVN5" s="1863"/>
      <c r="FVO5" s="1863"/>
      <c r="FVP5" s="1863"/>
      <c r="FVQ5" s="1863"/>
      <c r="FVR5" s="1863"/>
      <c r="FVS5" s="1863"/>
      <c r="FVT5" s="1863"/>
      <c r="FVU5" s="1863"/>
      <c r="FVV5" s="1863"/>
      <c r="FVW5" s="1863"/>
      <c r="FVX5" s="1863"/>
      <c r="FVY5" s="1863"/>
      <c r="FVZ5" s="1863"/>
      <c r="FWA5" s="1863"/>
      <c r="FWB5" s="1863"/>
      <c r="FWC5" s="1863"/>
      <c r="FWD5" s="1863"/>
      <c r="FWE5" s="1863"/>
      <c r="FWF5" s="1863"/>
      <c r="FWG5" s="1863"/>
      <c r="FWH5" s="1863"/>
      <c r="FWI5" s="1863"/>
      <c r="FWJ5" s="1863"/>
      <c r="FWK5" s="1863"/>
      <c r="FWL5" s="1863"/>
      <c r="FWM5" s="1863"/>
      <c r="FWN5" s="1863"/>
      <c r="FWO5" s="1863"/>
      <c r="FWP5" s="1863"/>
      <c r="FWQ5" s="1863"/>
      <c r="FWR5" s="1863"/>
      <c r="FWS5" s="1863"/>
      <c r="FWT5" s="1863"/>
      <c r="FWU5" s="1863"/>
      <c r="FWV5" s="1863"/>
      <c r="FWW5" s="1863"/>
      <c r="FWX5" s="1863"/>
      <c r="FWY5" s="1863"/>
      <c r="FWZ5" s="1863"/>
      <c r="FXA5" s="1863"/>
      <c r="FXB5" s="1863"/>
      <c r="FXC5" s="1863"/>
      <c r="FXD5" s="1863"/>
      <c r="FXE5" s="1863"/>
      <c r="FXF5" s="1863"/>
      <c r="FXG5" s="1863"/>
      <c r="FXH5" s="1863"/>
      <c r="FXI5" s="1863"/>
      <c r="FXJ5" s="1863"/>
      <c r="FXK5" s="1863"/>
      <c r="FXL5" s="1863"/>
      <c r="FXM5" s="1863"/>
      <c r="FXN5" s="1863"/>
      <c r="FXO5" s="1863"/>
      <c r="FXP5" s="1863"/>
      <c r="FXQ5" s="1863"/>
      <c r="FXR5" s="1863"/>
      <c r="FXS5" s="1863"/>
      <c r="FXT5" s="1863"/>
      <c r="FXU5" s="1863"/>
      <c r="FXV5" s="1863"/>
      <c r="FXW5" s="1863"/>
      <c r="FXX5" s="1863"/>
      <c r="FXY5" s="1863"/>
      <c r="FXZ5" s="1863"/>
      <c r="FYA5" s="1863"/>
      <c r="FYB5" s="1863"/>
      <c r="FYC5" s="1863"/>
      <c r="FYD5" s="1863"/>
      <c r="FYE5" s="1863"/>
      <c r="FYF5" s="1863"/>
      <c r="FYG5" s="1863"/>
      <c r="FYH5" s="1863"/>
      <c r="FYI5" s="1863"/>
      <c r="FYJ5" s="1863"/>
      <c r="FYK5" s="1863"/>
      <c r="FYL5" s="1863"/>
      <c r="FYM5" s="1863"/>
      <c r="FYN5" s="1863"/>
      <c r="FYO5" s="1863"/>
      <c r="FYP5" s="1863"/>
      <c r="FYQ5" s="1863"/>
      <c r="FYR5" s="1863"/>
      <c r="FYS5" s="1863"/>
      <c r="FYT5" s="1863"/>
      <c r="FYU5" s="1863"/>
      <c r="FYV5" s="1863"/>
      <c r="FYW5" s="1863"/>
      <c r="FYX5" s="1863"/>
      <c r="FYY5" s="1863"/>
      <c r="FYZ5" s="1863"/>
      <c r="FZA5" s="1863"/>
      <c r="FZB5" s="1863"/>
      <c r="FZC5" s="1863"/>
      <c r="FZD5" s="1863"/>
      <c r="FZE5" s="1863"/>
      <c r="FZF5" s="1863"/>
      <c r="FZG5" s="1863"/>
      <c r="FZH5" s="1863"/>
      <c r="FZI5" s="1863"/>
      <c r="FZJ5" s="1863"/>
      <c r="FZK5" s="1863"/>
      <c r="FZL5" s="1863"/>
      <c r="FZM5" s="1863"/>
      <c r="FZN5" s="1863"/>
      <c r="FZO5" s="1863"/>
      <c r="FZP5" s="1863"/>
      <c r="FZQ5" s="1863"/>
      <c r="FZR5" s="1863"/>
      <c r="FZS5" s="1863"/>
      <c r="FZT5" s="1863"/>
      <c r="FZU5" s="1863"/>
      <c r="FZV5" s="1863"/>
      <c r="FZW5" s="1863"/>
      <c r="FZX5" s="1863"/>
      <c r="FZY5" s="1863"/>
      <c r="FZZ5" s="1863"/>
      <c r="GAA5" s="1863"/>
      <c r="GAB5" s="1863"/>
      <c r="GAC5" s="1863"/>
      <c r="GAD5" s="1863"/>
      <c r="GAE5" s="1863"/>
      <c r="GAF5" s="1863"/>
      <c r="GAG5" s="1863"/>
      <c r="GAH5" s="1863"/>
      <c r="GAI5" s="1863"/>
      <c r="GAJ5" s="1863"/>
      <c r="GAK5" s="1863"/>
      <c r="GAL5" s="1863"/>
      <c r="GAM5" s="1863"/>
      <c r="GAN5" s="1863"/>
      <c r="GAO5" s="1863"/>
      <c r="GAP5" s="1863"/>
      <c r="GAQ5" s="1863"/>
      <c r="GAR5" s="1863"/>
      <c r="GAS5" s="1863"/>
      <c r="GAT5" s="1863"/>
      <c r="GAU5" s="1863"/>
      <c r="GAV5" s="1863"/>
      <c r="GAW5" s="1863"/>
      <c r="GAX5" s="1863"/>
      <c r="GAY5" s="1863"/>
      <c r="GAZ5" s="1863"/>
      <c r="GBA5" s="1863"/>
      <c r="GBB5" s="1863"/>
      <c r="GBC5" s="1863"/>
      <c r="GBD5" s="1863"/>
      <c r="GBE5" s="1863"/>
      <c r="GBF5" s="1863"/>
      <c r="GBG5" s="1863"/>
      <c r="GBH5" s="1863"/>
      <c r="GBI5" s="1863"/>
      <c r="GBJ5" s="1863"/>
      <c r="GBK5" s="1863"/>
      <c r="GBL5" s="1863"/>
      <c r="GBM5" s="1863"/>
      <c r="GBN5" s="1863"/>
      <c r="GBO5" s="1863"/>
      <c r="GBP5" s="1863"/>
      <c r="GBQ5" s="1863"/>
      <c r="GBR5" s="1863"/>
      <c r="GBS5" s="1863"/>
      <c r="GBT5" s="1863"/>
      <c r="GBU5" s="1863"/>
      <c r="GBV5" s="1863"/>
      <c r="GBW5" s="1863"/>
      <c r="GBX5" s="1863"/>
      <c r="GBY5" s="1863"/>
      <c r="GBZ5" s="1863"/>
      <c r="GCA5" s="1863"/>
      <c r="GCB5" s="1863"/>
      <c r="GCC5" s="1863"/>
      <c r="GCD5" s="1863"/>
      <c r="GCE5" s="1863"/>
      <c r="GCF5" s="1863"/>
      <c r="GCG5" s="1863"/>
      <c r="GCH5" s="1863"/>
      <c r="GCI5" s="1863"/>
      <c r="GCJ5" s="1863"/>
      <c r="GCK5" s="1863"/>
      <c r="GCL5" s="1863"/>
      <c r="GCM5" s="1863"/>
      <c r="GCN5" s="1863"/>
      <c r="GCO5" s="1863"/>
      <c r="GCP5" s="1863"/>
      <c r="GCQ5" s="1863"/>
      <c r="GCR5" s="1863"/>
      <c r="GCS5" s="1863"/>
      <c r="GCT5" s="1863"/>
      <c r="GCU5" s="1863"/>
      <c r="GCV5" s="1863"/>
      <c r="GCW5" s="1863"/>
      <c r="GCX5" s="1863"/>
      <c r="GCY5" s="1863"/>
      <c r="GCZ5" s="1863"/>
      <c r="GDA5" s="1863"/>
      <c r="GDB5" s="1863"/>
      <c r="GDC5" s="1863"/>
      <c r="GDD5" s="1863"/>
      <c r="GDE5" s="1863"/>
      <c r="GDF5" s="1863"/>
      <c r="GDG5" s="1863"/>
      <c r="GDH5" s="1863"/>
      <c r="GDI5" s="1863"/>
      <c r="GDJ5" s="1863"/>
      <c r="GDK5" s="1863"/>
      <c r="GDL5" s="1863"/>
      <c r="GDM5" s="1863"/>
      <c r="GDN5" s="1863"/>
      <c r="GDO5" s="1863"/>
      <c r="GDP5" s="1863"/>
      <c r="GDQ5" s="1863"/>
      <c r="GDR5" s="1863"/>
      <c r="GDS5" s="1863"/>
      <c r="GDT5" s="1863"/>
      <c r="GDU5" s="1863"/>
      <c r="GDV5" s="1863"/>
      <c r="GDW5" s="1863"/>
      <c r="GDX5" s="1863"/>
      <c r="GDY5" s="1863"/>
      <c r="GDZ5" s="1863"/>
      <c r="GEA5" s="1863"/>
      <c r="GEB5" s="1863"/>
      <c r="GEC5" s="1863"/>
      <c r="GED5" s="1863"/>
      <c r="GEE5" s="1863"/>
      <c r="GEF5" s="1863"/>
      <c r="GEG5" s="1863"/>
      <c r="GEH5" s="1863"/>
      <c r="GEI5" s="1863"/>
      <c r="GEJ5" s="1863"/>
      <c r="GEK5" s="1863"/>
      <c r="GEL5" s="1863"/>
      <c r="GEM5" s="1863"/>
      <c r="GEN5" s="1863"/>
      <c r="GEO5" s="1863"/>
      <c r="GEP5" s="1863"/>
      <c r="GEQ5" s="1863"/>
      <c r="GER5" s="1863"/>
      <c r="GES5" s="1863"/>
      <c r="GET5" s="1863"/>
      <c r="GEU5" s="1863"/>
      <c r="GEV5" s="1863"/>
      <c r="GEW5" s="1863"/>
      <c r="GEX5" s="1863"/>
      <c r="GEY5" s="1863"/>
      <c r="GEZ5" s="1863"/>
      <c r="GFA5" s="1863"/>
      <c r="GFB5" s="1863"/>
      <c r="GFC5" s="1863"/>
      <c r="GFD5" s="1863"/>
      <c r="GFE5" s="1863"/>
      <c r="GFF5" s="1863"/>
      <c r="GFG5" s="1863"/>
      <c r="GFH5" s="1863"/>
      <c r="GFI5" s="1863"/>
      <c r="GFJ5" s="1863"/>
      <c r="GFK5" s="1863"/>
      <c r="GFL5" s="1863"/>
      <c r="GFM5" s="1863"/>
      <c r="GFN5" s="1863"/>
      <c r="GFO5" s="1863"/>
      <c r="GFP5" s="1863"/>
      <c r="GFQ5" s="1863"/>
      <c r="GFR5" s="1863"/>
      <c r="GFS5" s="1863"/>
      <c r="GFT5" s="1863"/>
      <c r="GFU5" s="1863"/>
      <c r="GFV5" s="1863"/>
      <c r="GFW5" s="1863"/>
      <c r="GFX5" s="1863"/>
      <c r="GFY5" s="1863"/>
      <c r="GFZ5" s="1863"/>
      <c r="GGA5" s="1863"/>
      <c r="GGB5" s="1863"/>
      <c r="GGC5" s="1863"/>
      <c r="GGD5" s="1863"/>
      <c r="GGE5" s="1863"/>
      <c r="GGF5" s="1863"/>
      <c r="GGG5" s="1863"/>
      <c r="GGH5" s="1863"/>
      <c r="GGI5" s="1863"/>
      <c r="GGJ5" s="1863"/>
      <c r="GGK5" s="1863"/>
      <c r="GGL5" s="1863"/>
      <c r="GGM5" s="1863"/>
      <c r="GGN5" s="1863"/>
      <c r="GGO5" s="1863"/>
      <c r="GGP5" s="1863"/>
      <c r="GGQ5" s="1863"/>
      <c r="GGR5" s="1863"/>
      <c r="GGS5" s="1863"/>
      <c r="GGT5" s="1863"/>
      <c r="GGU5" s="1863"/>
      <c r="GGV5" s="1863"/>
      <c r="GGW5" s="1863"/>
      <c r="GGX5" s="1863"/>
      <c r="GGY5" s="1863"/>
      <c r="GGZ5" s="1863"/>
      <c r="GHA5" s="1863"/>
      <c r="GHB5" s="1863"/>
      <c r="GHC5" s="1863"/>
      <c r="GHD5" s="1863"/>
      <c r="GHE5" s="1863"/>
      <c r="GHF5" s="1863"/>
      <c r="GHG5" s="1863"/>
      <c r="GHH5" s="1863"/>
      <c r="GHI5" s="1863"/>
      <c r="GHJ5" s="1863"/>
      <c r="GHK5" s="1863"/>
      <c r="GHL5" s="1863"/>
      <c r="GHM5" s="1863"/>
      <c r="GHN5" s="1863"/>
      <c r="GHO5" s="1863"/>
      <c r="GHP5" s="1863"/>
      <c r="GHQ5" s="1863"/>
      <c r="GHR5" s="1863"/>
      <c r="GHS5" s="1863"/>
      <c r="GHT5" s="1863"/>
      <c r="GHU5" s="1863"/>
      <c r="GHV5" s="1863"/>
      <c r="GHW5" s="1863"/>
      <c r="GHX5" s="1863"/>
      <c r="GHY5" s="1863"/>
      <c r="GHZ5" s="1863"/>
      <c r="GIA5" s="1863"/>
      <c r="GIB5" s="1863"/>
      <c r="GIC5" s="1863"/>
      <c r="GID5" s="1863"/>
      <c r="GIE5" s="1863"/>
      <c r="GIF5" s="1863"/>
      <c r="GIG5" s="1863"/>
      <c r="GIH5" s="1863"/>
      <c r="GII5" s="1863"/>
      <c r="GIJ5" s="1863"/>
      <c r="GIK5" s="1863"/>
      <c r="GIL5" s="1863"/>
      <c r="GIM5" s="1863"/>
      <c r="GIN5" s="1863"/>
      <c r="GIO5" s="1863"/>
      <c r="GIP5" s="1863"/>
      <c r="GIQ5" s="1863"/>
      <c r="GIR5" s="1863"/>
      <c r="GIS5" s="1863"/>
      <c r="GIT5" s="1863"/>
      <c r="GIU5" s="1863"/>
      <c r="GIV5" s="1863"/>
      <c r="GIW5" s="1863"/>
      <c r="GIX5" s="1863"/>
      <c r="GIY5" s="1863"/>
      <c r="GIZ5" s="1863"/>
      <c r="GJA5" s="1863"/>
      <c r="GJB5" s="1863"/>
      <c r="GJC5" s="1863"/>
      <c r="GJD5" s="1863"/>
      <c r="GJE5" s="1863"/>
      <c r="GJF5" s="1863"/>
      <c r="GJG5" s="1863"/>
      <c r="GJH5" s="1863"/>
      <c r="GJI5" s="1863"/>
      <c r="GJJ5" s="1863"/>
      <c r="GJK5" s="1863"/>
      <c r="GJL5" s="1863"/>
      <c r="GJM5" s="1863"/>
      <c r="GJN5" s="1863"/>
      <c r="GJO5" s="1863"/>
      <c r="GJP5" s="1863"/>
      <c r="GJQ5" s="1863"/>
      <c r="GJR5" s="1863"/>
      <c r="GJS5" s="1863"/>
      <c r="GJT5" s="1863"/>
      <c r="GJU5" s="1863"/>
      <c r="GJV5" s="1863"/>
      <c r="GJW5" s="1863"/>
      <c r="GJX5" s="1863"/>
      <c r="GJY5" s="1863"/>
      <c r="GJZ5" s="1863"/>
      <c r="GKA5" s="1863"/>
      <c r="GKB5" s="1863"/>
      <c r="GKC5" s="1863"/>
      <c r="GKD5" s="1863"/>
      <c r="GKE5" s="1863"/>
      <c r="GKF5" s="1863"/>
      <c r="GKG5" s="1863"/>
      <c r="GKH5" s="1863"/>
      <c r="GKI5" s="1863"/>
      <c r="GKJ5" s="1863"/>
      <c r="GKK5" s="1863"/>
      <c r="GKL5" s="1863"/>
      <c r="GKM5" s="1863"/>
      <c r="GKN5" s="1863"/>
      <c r="GKO5" s="1863"/>
      <c r="GKP5" s="1863"/>
      <c r="GKQ5" s="1863"/>
      <c r="GKR5" s="1863"/>
      <c r="GKS5" s="1863"/>
      <c r="GKT5" s="1863"/>
      <c r="GKU5" s="1863"/>
      <c r="GKV5" s="1863"/>
      <c r="GKW5" s="1863"/>
      <c r="GKX5" s="1863"/>
      <c r="GKY5" s="1863"/>
      <c r="GKZ5" s="1863"/>
      <c r="GLA5" s="1863"/>
      <c r="GLB5" s="1863"/>
      <c r="GLC5" s="1863"/>
      <c r="GLD5" s="1863"/>
      <c r="GLE5" s="1863"/>
      <c r="GLF5" s="1863"/>
      <c r="GLG5" s="1863"/>
      <c r="GLH5" s="1863"/>
      <c r="GLI5" s="1863"/>
      <c r="GLJ5" s="1863"/>
      <c r="GLK5" s="1863"/>
      <c r="GLL5" s="1863"/>
      <c r="GLM5" s="1863"/>
      <c r="GLN5" s="1863"/>
      <c r="GLO5" s="1863"/>
      <c r="GLP5" s="1863"/>
      <c r="GLQ5" s="1863"/>
      <c r="GLR5" s="1863"/>
      <c r="GLS5" s="1863"/>
      <c r="GLT5" s="1863"/>
      <c r="GLU5" s="1863"/>
      <c r="GLV5" s="1863"/>
      <c r="GLW5" s="1863"/>
      <c r="GLX5" s="1863"/>
      <c r="GLY5" s="1863"/>
      <c r="GLZ5" s="1863"/>
      <c r="GMA5" s="1863"/>
      <c r="GMB5" s="1863"/>
      <c r="GMC5" s="1863"/>
      <c r="GMD5" s="1863"/>
      <c r="GME5" s="1863"/>
      <c r="GMF5" s="1863"/>
      <c r="GMG5" s="1863"/>
      <c r="GMH5" s="1863"/>
      <c r="GMI5" s="1863"/>
      <c r="GMJ5" s="1863"/>
      <c r="GMK5" s="1863"/>
      <c r="GML5" s="1863"/>
      <c r="GMM5" s="1863"/>
      <c r="GMN5" s="1863"/>
      <c r="GMO5" s="1863"/>
      <c r="GMP5" s="1863"/>
      <c r="GMQ5" s="1863"/>
      <c r="GMR5" s="1863"/>
      <c r="GMS5" s="1863"/>
      <c r="GMT5" s="1863"/>
      <c r="GMU5" s="1863"/>
      <c r="GMV5" s="1863"/>
      <c r="GMW5" s="1863"/>
      <c r="GMX5" s="1863"/>
      <c r="GMY5" s="1863"/>
      <c r="GMZ5" s="1863"/>
      <c r="GNA5" s="1863"/>
      <c r="GNB5" s="1863"/>
      <c r="GNC5" s="1863"/>
      <c r="GND5" s="1863"/>
      <c r="GNE5" s="1863"/>
      <c r="GNF5" s="1863"/>
      <c r="GNG5" s="1863"/>
      <c r="GNH5" s="1863"/>
      <c r="GNI5" s="1863"/>
      <c r="GNJ5" s="1863"/>
      <c r="GNK5" s="1863"/>
      <c r="GNL5" s="1863"/>
      <c r="GNM5" s="1863"/>
      <c r="GNN5" s="1863"/>
      <c r="GNO5" s="1863"/>
      <c r="GNP5" s="1863"/>
      <c r="GNQ5" s="1863"/>
      <c r="GNR5" s="1863"/>
      <c r="GNS5" s="1863"/>
      <c r="GNT5" s="1863"/>
      <c r="GNU5" s="1863"/>
      <c r="GNV5" s="1863"/>
      <c r="GNW5" s="1863"/>
      <c r="GNX5" s="1863"/>
      <c r="GNY5" s="1863"/>
      <c r="GNZ5" s="1863"/>
      <c r="GOA5" s="1863"/>
      <c r="GOB5" s="1863"/>
      <c r="GOC5" s="1863"/>
      <c r="GOD5" s="1863"/>
      <c r="GOE5" s="1863"/>
      <c r="GOF5" s="1863"/>
      <c r="GOG5" s="1863"/>
      <c r="GOH5" s="1863"/>
      <c r="GOI5" s="1863"/>
      <c r="GOJ5" s="1863"/>
      <c r="GOK5" s="1863"/>
      <c r="GOL5" s="1863"/>
      <c r="GOM5" s="1863"/>
      <c r="GON5" s="1863"/>
      <c r="GOO5" s="1863"/>
      <c r="GOP5" s="1863"/>
      <c r="GOQ5" s="1863"/>
      <c r="GOR5" s="1863"/>
      <c r="GOS5" s="1863"/>
      <c r="GOT5" s="1863"/>
      <c r="GOU5" s="1863"/>
      <c r="GOV5" s="1863"/>
      <c r="GOW5" s="1863"/>
      <c r="GOX5" s="1863"/>
      <c r="GOY5" s="1863"/>
      <c r="GOZ5" s="1863"/>
      <c r="GPA5" s="1863"/>
      <c r="GPB5" s="1863"/>
      <c r="GPC5" s="1863"/>
      <c r="GPD5" s="1863"/>
      <c r="GPE5" s="1863"/>
      <c r="GPF5" s="1863"/>
      <c r="GPG5" s="1863"/>
      <c r="GPH5" s="1863"/>
      <c r="GPI5" s="1863"/>
      <c r="GPJ5" s="1863"/>
      <c r="GPK5" s="1863"/>
      <c r="GPL5" s="1863"/>
      <c r="GPM5" s="1863"/>
      <c r="GPN5" s="1863"/>
      <c r="GPO5" s="1863"/>
      <c r="GPP5" s="1863"/>
      <c r="GPQ5" s="1863"/>
      <c r="GPR5" s="1863"/>
      <c r="GPS5" s="1863"/>
      <c r="GPT5" s="1863"/>
      <c r="GPU5" s="1863"/>
      <c r="GPV5" s="1863"/>
      <c r="GPW5" s="1863"/>
      <c r="GPX5" s="1863"/>
      <c r="GPY5" s="1863"/>
      <c r="GPZ5" s="1863"/>
      <c r="GQA5" s="1863"/>
      <c r="GQB5" s="1863"/>
      <c r="GQC5" s="1863"/>
      <c r="GQD5" s="1863"/>
      <c r="GQE5" s="1863"/>
      <c r="GQF5" s="1863"/>
      <c r="GQG5" s="1863"/>
      <c r="GQH5" s="1863"/>
      <c r="GQI5" s="1863"/>
      <c r="GQJ5" s="1863"/>
      <c r="GQK5" s="1863"/>
      <c r="GQL5" s="1863"/>
      <c r="GQM5" s="1863"/>
      <c r="GQN5" s="1863"/>
      <c r="GQO5" s="1863"/>
      <c r="GQP5" s="1863"/>
      <c r="GQQ5" s="1863"/>
      <c r="GQR5" s="1863"/>
      <c r="GQS5" s="1863"/>
      <c r="GQT5" s="1863"/>
      <c r="GQU5" s="1863"/>
      <c r="GQV5" s="1863"/>
      <c r="GQW5" s="1863"/>
      <c r="GQX5" s="1863"/>
      <c r="GQY5" s="1863"/>
      <c r="GQZ5" s="1863"/>
      <c r="GRA5" s="1863"/>
      <c r="GRB5" s="1863"/>
      <c r="GRC5" s="1863"/>
      <c r="GRD5" s="1863"/>
      <c r="GRE5" s="1863"/>
      <c r="GRF5" s="1863"/>
      <c r="GRG5" s="1863"/>
      <c r="GRH5" s="1863"/>
      <c r="GRI5" s="1863"/>
      <c r="GRJ5" s="1863"/>
      <c r="GRK5" s="1863"/>
      <c r="GRL5" s="1863"/>
      <c r="GRM5" s="1863"/>
      <c r="GRN5" s="1863"/>
      <c r="GRO5" s="1863"/>
      <c r="GRP5" s="1863"/>
      <c r="GRQ5" s="1863"/>
      <c r="GRR5" s="1863"/>
      <c r="GRS5" s="1863"/>
      <c r="GRT5" s="1863"/>
      <c r="GRU5" s="1863"/>
      <c r="GRV5" s="1863"/>
      <c r="GRW5" s="1863"/>
      <c r="GRX5" s="1863"/>
      <c r="GRY5" s="1863"/>
      <c r="GRZ5" s="1863"/>
      <c r="GSA5" s="1863"/>
      <c r="GSB5" s="1863"/>
      <c r="GSC5" s="1863"/>
      <c r="GSD5" s="1863"/>
      <c r="GSE5" s="1863"/>
      <c r="GSF5" s="1863"/>
      <c r="GSG5" s="1863"/>
      <c r="GSH5" s="1863"/>
      <c r="GSI5" s="1863"/>
      <c r="GSJ5" s="1863"/>
      <c r="GSK5" s="1863"/>
      <c r="GSL5" s="1863"/>
      <c r="GSM5" s="1863"/>
      <c r="GSN5" s="1863"/>
      <c r="GSO5" s="1863"/>
      <c r="GSP5" s="1863"/>
      <c r="GSQ5" s="1863"/>
      <c r="GSR5" s="1863"/>
      <c r="GSS5" s="1863"/>
      <c r="GST5" s="1863"/>
      <c r="GSU5" s="1863"/>
      <c r="GSV5" s="1863"/>
      <c r="GSW5" s="1863"/>
      <c r="GSX5" s="1863"/>
      <c r="GSY5" s="1863"/>
      <c r="GSZ5" s="1863"/>
      <c r="GTA5" s="1863"/>
      <c r="GTB5" s="1863"/>
      <c r="GTC5" s="1863"/>
      <c r="GTD5" s="1863"/>
      <c r="GTE5" s="1863"/>
      <c r="GTF5" s="1863"/>
      <c r="GTG5" s="1863"/>
      <c r="GTH5" s="1863"/>
      <c r="GTI5" s="1863"/>
      <c r="GTJ5" s="1863"/>
      <c r="GTK5" s="1863"/>
      <c r="GTL5" s="1863"/>
      <c r="GTM5" s="1863"/>
      <c r="GTN5" s="1863"/>
      <c r="GTO5" s="1863"/>
      <c r="GTP5" s="1863"/>
      <c r="GTQ5" s="1863"/>
      <c r="GTR5" s="1863"/>
      <c r="GTS5" s="1863"/>
      <c r="GTT5" s="1863"/>
      <c r="GTU5" s="1863"/>
      <c r="GTV5" s="1863"/>
      <c r="GTW5" s="1863"/>
      <c r="GTX5" s="1863"/>
      <c r="GTY5" s="1863"/>
      <c r="GTZ5" s="1863"/>
      <c r="GUA5" s="1863"/>
      <c r="GUB5" s="1863"/>
      <c r="GUC5" s="1863"/>
      <c r="GUD5" s="1863"/>
      <c r="GUE5" s="1863"/>
      <c r="GUF5" s="1863"/>
      <c r="GUG5" s="1863"/>
      <c r="GUH5" s="1863"/>
      <c r="GUI5" s="1863"/>
      <c r="GUJ5" s="1863"/>
      <c r="GUK5" s="1863"/>
      <c r="GUL5" s="1863"/>
      <c r="GUM5" s="1863"/>
      <c r="GUN5" s="1863"/>
      <c r="GUO5" s="1863"/>
      <c r="GUP5" s="1863"/>
      <c r="GUQ5" s="1863"/>
      <c r="GUR5" s="1863"/>
      <c r="GUS5" s="1863"/>
      <c r="GUT5" s="1863"/>
      <c r="GUU5" s="1863"/>
      <c r="GUV5" s="1863"/>
      <c r="GUW5" s="1863"/>
      <c r="GUX5" s="1863"/>
      <c r="GUY5" s="1863"/>
      <c r="GUZ5" s="1863"/>
      <c r="GVA5" s="1863"/>
      <c r="GVB5" s="1863"/>
      <c r="GVC5" s="1863"/>
      <c r="GVD5" s="1863"/>
      <c r="GVE5" s="1863"/>
      <c r="GVF5" s="1863"/>
      <c r="GVG5" s="1863"/>
      <c r="GVH5" s="1863"/>
      <c r="GVI5" s="1863"/>
      <c r="GVJ5" s="1863"/>
      <c r="GVK5" s="1863"/>
      <c r="GVL5" s="1863"/>
      <c r="GVM5" s="1863"/>
      <c r="GVN5" s="1863"/>
      <c r="GVO5" s="1863"/>
      <c r="GVP5" s="1863"/>
      <c r="GVQ5" s="1863"/>
      <c r="GVR5" s="1863"/>
      <c r="GVS5" s="1863"/>
      <c r="GVT5" s="1863"/>
      <c r="GVU5" s="1863"/>
      <c r="GVV5" s="1863"/>
      <c r="GVW5" s="1863"/>
      <c r="GVX5" s="1863"/>
      <c r="GVY5" s="1863"/>
      <c r="GVZ5" s="1863"/>
      <c r="GWA5" s="1863"/>
      <c r="GWB5" s="1863"/>
      <c r="GWC5" s="1863"/>
      <c r="GWD5" s="1863"/>
      <c r="GWE5" s="1863"/>
      <c r="GWF5" s="1863"/>
      <c r="GWG5" s="1863"/>
      <c r="GWH5" s="1863"/>
      <c r="GWI5" s="1863"/>
      <c r="GWJ5" s="1863"/>
      <c r="GWK5" s="1863"/>
      <c r="GWL5" s="1863"/>
      <c r="GWM5" s="1863"/>
      <c r="GWN5" s="1863"/>
      <c r="GWO5" s="1863"/>
      <c r="GWP5" s="1863"/>
      <c r="GWQ5" s="1863"/>
      <c r="GWR5" s="1863"/>
      <c r="GWS5" s="1863"/>
      <c r="GWT5" s="1863"/>
      <c r="GWU5" s="1863"/>
      <c r="GWV5" s="1863"/>
      <c r="GWW5" s="1863"/>
      <c r="GWX5" s="1863"/>
      <c r="GWY5" s="1863"/>
      <c r="GWZ5" s="1863"/>
      <c r="GXA5" s="1863"/>
      <c r="GXB5" s="1863"/>
      <c r="GXC5" s="1863"/>
      <c r="GXD5" s="1863"/>
      <c r="GXE5" s="1863"/>
      <c r="GXF5" s="1863"/>
      <c r="GXG5" s="1863"/>
      <c r="GXH5" s="1863"/>
      <c r="GXI5" s="1863"/>
      <c r="GXJ5" s="1863"/>
      <c r="GXK5" s="1863"/>
      <c r="GXL5" s="1863"/>
      <c r="GXM5" s="1863"/>
      <c r="GXN5" s="1863"/>
      <c r="GXO5" s="1863"/>
      <c r="GXP5" s="1863"/>
      <c r="GXQ5" s="1863"/>
      <c r="GXR5" s="1863"/>
      <c r="GXS5" s="1863"/>
      <c r="GXT5" s="1863"/>
      <c r="GXU5" s="1863"/>
      <c r="GXV5" s="1863"/>
      <c r="GXW5" s="1863"/>
      <c r="GXX5" s="1863"/>
      <c r="GXY5" s="1863"/>
      <c r="GXZ5" s="1863"/>
      <c r="GYA5" s="1863"/>
      <c r="GYB5" s="1863"/>
      <c r="GYC5" s="1863"/>
      <c r="GYD5" s="1863"/>
      <c r="GYE5" s="1863"/>
      <c r="GYF5" s="1863"/>
      <c r="GYG5" s="1863"/>
      <c r="GYH5" s="1863"/>
      <c r="GYI5" s="1863"/>
      <c r="GYJ5" s="1863"/>
      <c r="GYK5" s="1863"/>
      <c r="GYL5" s="1863"/>
      <c r="GYM5" s="1863"/>
      <c r="GYN5" s="1863"/>
      <c r="GYO5" s="1863"/>
      <c r="GYP5" s="1863"/>
      <c r="GYQ5" s="1863"/>
      <c r="GYR5" s="1863"/>
      <c r="GYS5" s="1863"/>
      <c r="GYT5" s="1863"/>
      <c r="GYU5" s="1863"/>
      <c r="GYV5" s="1863"/>
      <c r="GYW5" s="1863"/>
      <c r="GYX5" s="1863"/>
      <c r="GYY5" s="1863"/>
      <c r="GYZ5" s="1863"/>
      <c r="GZA5" s="1863"/>
      <c r="GZB5" s="1863"/>
      <c r="GZC5" s="1863"/>
      <c r="GZD5" s="1863"/>
      <c r="GZE5" s="1863"/>
      <c r="GZF5" s="1863"/>
      <c r="GZG5" s="1863"/>
      <c r="GZH5" s="1863"/>
      <c r="GZI5" s="1863"/>
      <c r="GZJ5" s="1863"/>
      <c r="GZK5" s="1863"/>
      <c r="GZL5" s="1863"/>
      <c r="GZM5" s="1863"/>
      <c r="GZN5" s="1863"/>
      <c r="GZO5" s="1863"/>
      <c r="GZP5" s="1863"/>
      <c r="GZQ5" s="1863"/>
      <c r="GZR5" s="1863"/>
      <c r="GZS5" s="1863"/>
      <c r="GZT5" s="1863"/>
      <c r="GZU5" s="1863"/>
      <c r="GZV5" s="1863"/>
      <c r="GZW5" s="1863"/>
      <c r="GZX5" s="1863"/>
      <c r="GZY5" s="1863"/>
      <c r="GZZ5" s="1863"/>
      <c r="HAA5" s="1863"/>
      <c r="HAB5" s="1863"/>
      <c r="HAC5" s="1863"/>
      <c r="HAD5" s="1863"/>
      <c r="HAE5" s="1863"/>
      <c r="HAF5" s="1863"/>
      <c r="HAG5" s="1863"/>
      <c r="HAH5" s="1863"/>
      <c r="HAI5" s="1863"/>
      <c r="HAJ5" s="1863"/>
      <c r="HAK5" s="1863"/>
      <c r="HAL5" s="1863"/>
      <c r="HAM5" s="1863"/>
      <c r="HAN5" s="1863"/>
      <c r="HAO5" s="1863"/>
      <c r="HAP5" s="1863"/>
      <c r="HAQ5" s="1863"/>
      <c r="HAR5" s="1863"/>
      <c r="HAS5" s="1863"/>
      <c r="HAT5" s="1863"/>
      <c r="HAU5" s="1863"/>
      <c r="HAV5" s="1863"/>
      <c r="HAW5" s="1863"/>
      <c r="HAX5" s="1863"/>
      <c r="HAY5" s="1863"/>
      <c r="HAZ5" s="1863"/>
      <c r="HBA5" s="1863"/>
      <c r="HBB5" s="1863"/>
      <c r="HBC5" s="1863"/>
      <c r="HBD5" s="1863"/>
      <c r="HBE5" s="1863"/>
      <c r="HBF5" s="1863"/>
      <c r="HBG5" s="1863"/>
      <c r="HBH5" s="1863"/>
      <c r="HBI5" s="1863"/>
      <c r="HBJ5" s="1863"/>
      <c r="HBK5" s="1863"/>
      <c r="HBL5" s="1863"/>
      <c r="HBM5" s="1863"/>
      <c r="HBN5" s="1863"/>
      <c r="HBO5" s="1863"/>
      <c r="HBP5" s="1863"/>
      <c r="HBQ5" s="1863"/>
      <c r="HBR5" s="1863"/>
      <c r="HBS5" s="1863"/>
      <c r="HBT5" s="1863"/>
      <c r="HBU5" s="1863"/>
      <c r="HBV5" s="1863"/>
      <c r="HBW5" s="1863"/>
      <c r="HBX5" s="1863"/>
      <c r="HBY5" s="1863"/>
      <c r="HBZ5" s="1863"/>
      <c r="HCA5" s="1863"/>
      <c r="HCB5" s="1863"/>
      <c r="HCC5" s="1863"/>
      <c r="HCD5" s="1863"/>
      <c r="HCE5" s="1863"/>
      <c r="HCF5" s="1863"/>
      <c r="HCG5" s="1863"/>
      <c r="HCH5" s="1863"/>
      <c r="HCI5" s="1863"/>
      <c r="HCJ5" s="1863"/>
      <c r="HCK5" s="1863"/>
      <c r="HCL5" s="1863"/>
      <c r="HCM5" s="1863"/>
      <c r="HCN5" s="1863"/>
      <c r="HCO5" s="1863"/>
      <c r="HCP5" s="1863"/>
      <c r="HCQ5" s="1863"/>
      <c r="HCR5" s="1863"/>
      <c r="HCS5" s="1863"/>
      <c r="HCT5" s="1863"/>
      <c r="HCU5" s="1863"/>
      <c r="HCV5" s="1863"/>
      <c r="HCW5" s="1863"/>
      <c r="HCX5" s="1863"/>
      <c r="HCY5" s="1863"/>
      <c r="HCZ5" s="1863"/>
      <c r="HDA5" s="1863"/>
      <c r="HDB5" s="1863"/>
      <c r="HDC5" s="1863"/>
      <c r="HDD5" s="1863"/>
      <c r="HDE5" s="1863"/>
      <c r="HDF5" s="1863"/>
      <c r="HDG5" s="1863"/>
      <c r="HDH5" s="1863"/>
      <c r="HDI5" s="1863"/>
      <c r="HDJ5" s="1863"/>
      <c r="HDK5" s="1863"/>
      <c r="HDL5" s="1863"/>
      <c r="HDM5" s="1863"/>
      <c r="HDN5" s="1863"/>
      <c r="HDO5" s="1863"/>
      <c r="HDP5" s="1863"/>
      <c r="HDQ5" s="1863"/>
      <c r="HDR5" s="1863"/>
      <c r="HDS5" s="1863"/>
      <c r="HDT5" s="1863"/>
      <c r="HDU5" s="1863"/>
      <c r="HDV5" s="1863"/>
      <c r="HDW5" s="1863"/>
      <c r="HDX5" s="1863"/>
      <c r="HDY5" s="1863"/>
      <c r="HDZ5" s="1863"/>
      <c r="HEA5" s="1863"/>
      <c r="HEB5" s="1863"/>
      <c r="HEC5" s="1863"/>
      <c r="HED5" s="1863"/>
      <c r="HEE5" s="1863"/>
      <c r="HEF5" s="1863"/>
      <c r="HEG5" s="1863"/>
      <c r="HEH5" s="1863"/>
      <c r="HEI5" s="1863"/>
      <c r="HEJ5" s="1863"/>
      <c r="HEK5" s="1863"/>
      <c r="HEL5" s="1863"/>
      <c r="HEM5" s="1863"/>
      <c r="HEN5" s="1863"/>
      <c r="HEO5" s="1863"/>
      <c r="HEP5" s="1863"/>
      <c r="HEQ5" s="1863"/>
      <c r="HER5" s="1863"/>
      <c r="HES5" s="1863"/>
      <c r="HET5" s="1863"/>
      <c r="HEU5" s="1863"/>
      <c r="HEV5" s="1863"/>
      <c r="HEW5" s="1863"/>
      <c r="HEX5" s="1863"/>
      <c r="HEY5" s="1863"/>
      <c r="HEZ5" s="1863"/>
      <c r="HFA5" s="1863"/>
      <c r="HFB5" s="1863"/>
      <c r="HFC5" s="1863"/>
      <c r="HFD5" s="1863"/>
      <c r="HFE5" s="1863"/>
      <c r="HFF5" s="1863"/>
      <c r="HFG5" s="1863"/>
      <c r="HFH5" s="1863"/>
      <c r="HFI5" s="1863"/>
      <c r="HFJ5" s="1863"/>
      <c r="HFK5" s="1863"/>
      <c r="HFL5" s="1863"/>
      <c r="HFM5" s="1863"/>
      <c r="HFN5" s="1863"/>
      <c r="HFO5" s="1863"/>
      <c r="HFP5" s="1863"/>
      <c r="HFQ5" s="1863"/>
      <c r="HFR5" s="1863"/>
      <c r="HFS5" s="1863"/>
      <c r="HFT5" s="1863"/>
      <c r="HFU5" s="1863"/>
      <c r="HFV5" s="1863"/>
      <c r="HFW5" s="1863"/>
      <c r="HFX5" s="1863"/>
      <c r="HFY5" s="1863"/>
      <c r="HFZ5" s="1863"/>
      <c r="HGA5" s="1863"/>
      <c r="HGB5" s="1863"/>
      <c r="HGC5" s="1863"/>
      <c r="HGD5" s="1863"/>
      <c r="HGE5" s="1863"/>
      <c r="HGF5" s="1863"/>
      <c r="HGG5" s="1863"/>
      <c r="HGH5" s="1863"/>
      <c r="HGI5" s="1863"/>
      <c r="HGJ5" s="1863"/>
      <c r="HGK5" s="1863"/>
      <c r="HGL5" s="1863"/>
      <c r="HGM5" s="1863"/>
      <c r="HGN5" s="1863"/>
      <c r="HGO5" s="1863"/>
      <c r="HGP5" s="1863"/>
      <c r="HGQ5" s="1863"/>
      <c r="HGR5" s="1863"/>
      <c r="HGS5" s="1863"/>
      <c r="HGT5" s="1863"/>
      <c r="HGU5" s="1863"/>
      <c r="HGV5" s="1863"/>
      <c r="HGW5" s="1863"/>
      <c r="HGX5" s="1863"/>
      <c r="HGY5" s="1863"/>
      <c r="HGZ5" s="1863"/>
      <c r="HHA5" s="1863"/>
      <c r="HHB5" s="1863"/>
      <c r="HHC5" s="1863"/>
      <c r="HHD5" s="1863"/>
      <c r="HHE5" s="1863"/>
      <c r="HHF5" s="1863"/>
      <c r="HHG5" s="1863"/>
      <c r="HHH5" s="1863"/>
      <c r="HHI5" s="1863"/>
      <c r="HHJ5" s="1863"/>
      <c r="HHK5" s="1863"/>
      <c r="HHL5" s="1863"/>
      <c r="HHM5" s="1863"/>
      <c r="HHN5" s="1863"/>
      <c r="HHO5" s="1863"/>
      <c r="HHP5" s="1863"/>
      <c r="HHQ5" s="1863"/>
      <c r="HHR5" s="1863"/>
      <c r="HHS5" s="1863"/>
      <c r="HHT5" s="1863"/>
      <c r="HHU5" s="1863"/>
      <c r="HHV5" s="1863"/>
      <c r="HHW5" s="1863"/>
      <c r="HHX5" s="1863"/>
      <c r="HHY5" s="1863"/>
      <c r="HHZ5" s="1863"/>
      <c r="HIA5" s="1863"/>
      <c r="HIB5" s="1863"/>
      <c r="HIC5" s="1863"/>
      <c r="HID5" s="1863"/>
      <c r="HIE5" s="1863"/>
      <c r="HIF5" s="1863"/>
      <c r="HIG5" s="1863"/>
      <c r="HIH5" s="1863"/>
      <c r="HII5" s="1863"/>
      <c r="HIJ5" s="1863"/>
      <c r="HIK5" s="1863"/>
      <c r="HIL5" s="1863"/>
      <c r="HIM5" s="1863"/>
      <c r="HIN5" s="1863"/>
      <c r="HIO5" s="1863"/>
      <c r="HIP5" s="1863"/>
      <c r="HIQ5" s="1863"/>
      <c r="HIR5" s="1863"/>
      <c r="HIS5" s="1863"/>
      <c r="HIT5" s="1863"/>
      <c r="HIU5" s="1863"/>
      <c r="HIV5" s="1863"/>
      <c r="HIW5" s="1863"/>
      <c r="HIX5" s="1863"/>
      <c r="HIY5" s="1863"/>
      <c r="HIZ5" s="1863"/>
      <c r="HJA5" s="1863"/>
      <c r="HJB5" s="1863"/>
      <c r="HJC5" s="1863"/>
      <c r="HJD5" s="1863"/>
      <c r="HJE5" s="1863"/>
      <c r="HJF5" s="1863"/>
      <c r="HJG5" s="1863"/>
      <c r="HJH5" s="1863"/>
      <c r="HJI5" s="1863"/>
      <c r="HJJ5" s="1863"/>
      <c r="HJK5" s="1863"/>
      <c r="HJL5" s="1863"/>
      <c r="HJM5" s="1863"/>
      <c r="HJN5" s="1863"/>
      <c r="HJO5" s="1863"/>
      <c r="HJP5" s="1863"/>
      <c r="HJQ5" s="1863"/>
      <c r="HJR5" s="1863"/>
      <c r="HJS5" s="1863"/>
      <c r="HJT5" s="1863"/>
      <c r="HJU5" s="1863"/>
      <c r="HJV5" s="1863"/>
      <c r="HJW5" s="1863"/>
      <c r="HJX5" s="1863"/>
      <c r="HJY5" s="1863"/>
      <c r="HJZ5" s="1863"/>
      <c r="HKA5" s="1863"/>
      <c r="HKB5" s="1863"/>
      <c r="HKC5" s="1863"/>
      <c r="HKD5" s="1863"/>
      <c r="HKE5" s="1863"/>
      <c r="HKF5" s="1863"/>
      <c r="HKG5" s="1863"/>
      <c r="HKH5" s="1863"/>
      <c r="HKI5" s="1863"/>
      <c r="HKJ5" s="1863"/>
      <c r="HKK5" s="1863"/>
      <c r="HKL5" s="1863"/>
      <c r="HKM5" s="1863"/>
      <c r="HKN5" s="1863"/>
      <c r="HKO5" s="1863"/>
      <c r="HKP5" s="1863"/>
      <c r="HKQ5" s="1863"/>
      <c r="HKR5" s="1863"/>
      <c r="HKS5" s="1863"/>
      <c r="HKT5" s="1863"/>
      <c r="HKU5" s="1863"/>
      <c r="HKV5" s="1863"/>
      <c r="HKW5" s="1863"/>
      <c r="HKX5" s="1863"/>
      <c r="HKY5" s="1863"/>
      <c r="HKZ5" s="1863"/>
      <c r="HLA5" s="1863"/>
      <c r="HLB5" s="1863"/>
      <c r="HLC5" s="1863"/>
      <c r="HLD5" s="1863"/>
      <c r="HLE5" s="1863"/>
      <c r="HLF5" s="1863"/>
      <c r="HLG5" s="1863"/>
      <c r="HLH5" s="1863"/>
      <c r="HLI5" s="1863"/>
      <c r="HLJ5" s="1863"/>
      <c r="HLK5" s="1863"/>
      <c r="HLL5" s="1863"/>
      <c r="HLM5" s="1863"/>
      <c r="HLN5" s="1863"/>
      <c r="HLO5" s="1863"/>
      <c r="HLP5" s="1863"/>
      <c r="HLQ5" s="1863"/>
      <c r="HLR5" s="1863"/>
      <c r="HLS5" s="1863"/>
      <c r="HLT5" s="1863"/>
      <c r="HLU5" s="1863"/>
      <c r="HLV5" s="1863"/>
      <c r="HLW5" s="1863"/>
      <c r="HLX5" s="1863"/>
      <c r="HLY5" s="1863"/>
      <c r="HLZ5" s="1863"/>
      <c r="HMA5" s="1863"/>
      <c r="HMB5" s="1863"/>
      <c r="HMC5" s="1863"/>
      <c r="HMD5" s="1863"/>
      <c r="HME5" s="1863"/>
      <c r="HMF5" s="1863"/>
      <c r="HMG5" s="1863"/>
      <c r="HMH5" s="1863"/>
      <c r="HMI5" s="1863"/>
      <c r="HMJ5" s="1863"/>
      <c r="HMK5" s="1863"/>
      <c r="HML5" s="1863"/>
      <c r="HMM5" s="1863"/>
      <c r="HMN5" s="1863"/>
      <c r="HMO5" s="1863"/>
      <c r="HMP5" s="1863"/>
      <c r="HMQ5" s="1863"/>
      <c r="HMR5" s="1863"/>
      <c r="HMS5" s="1863"/>
      <c r="HMT5" s="1863"/>
      <c r="HMU5" s="1863"/>
      <c r="HMV5" s="1863"/>
      <c r="HMW5" s="1863"/>
      <c r="HMX5" s="1863"/>
      <c r="HMY5" s="1863"/>
      <c r="HMZ5" s="1863"/>
      <c r="HNA5" s="1863"/>
      <c r="HNB5" s="1863"/>
      <c r="HNC5" s="1863"/>
      <c r="HND5" s="1863"/>
      <c r="HNE5" s="1863"/>
      <c r="HNF5" s="1863"/>
      <c r="HNG5" s="1863"/>
      <c r="HNH5" s="1863"/>
      <c r="HNI5" s="1863"/>
      <c r="HNJ5" s="1863"/>
      <c r="HNK5" s="1863"/>
      <c r="HNL5" s="1863"/>
      <c r="HNM5" s="1863"/>
      <c r="HNN5" s="1863"/>
      <c r="HNO5" s="1863"/>
      <c r="HNP5" s="1863"/>
      <c r="HNQ5" s="1863"/>
      <c r="HNR5" s="1863"/>
      <c r="HNS5" s="1863"/>
      <c r="HNT5" s="1863"/>
      <c r="HNU5" s="1863"/>
      <c r="HNV5" s="1863"/>
      <c r="HNW5" s="1863"/>
      <c r="HNX5" s="1863"/>
      <c r="HNY5" s="1863"/>
      <c r="HNZ5" s="1863"/>
      <c r="HOA5" s="1863"/>
      <c r="HOB5" s="1863"/>
      <c r="HOC5" s="1863"/>
      <c r="HOD5" s="1863"/>
      <c r="HOE5" s="1863"/>
      <c r="HOF5" s="1863"/>
      <c r="HOG5" s="1863"/>
      <c r="HOH5" s="1863"/>
      <c r="HOI5" s="1863"/>
      <c r="HOJ5" s="1863"/>
      <c r="HOK5" s="1863"/>
      <c r="HOL5" s="1863"/>
      <c r="HOM5" s="1863"/>
      <c r="HON5" s="1863"/>
      <c r="HOO5" s="1863"/>
      <c r="HOP5" s="1863"/>
      <c r="HOQ5" s="1863"/>
      <c r="HOR5" s="1863"/>
      <c r="HOS5" s="1863"/>
      <c r="HOT5" s="1863"/>
      <c r="HOU5" s="1863"/>
      <c r="HOV5" s="1863"/>
      <c r="HOW5" s="1863"/>
      <c r="HOX5" s="1863"/>
      <c r="HOY5" s="1863"/>
      <c r="HOZ5" s="1863"/>
      <c r="HPA5" s="1863"/>
      <c r="HPB5" s="1863"/>
      <c r="HPC5" s="1863"/>
      <c r="HPD5" s="1863"/>
      <c r="HPE5" s="1863"/>
      <c r="HPF5" s="1863"/>
      <c r="HPG5" s="1863"/>
      <c r="HPH5" s="1863"/>
      <c r="HPI5" s="1863"/>
      <c r="HPJ5" s="1863"/>
      <c r="HPK5" s="1863"/>
      <c r="HPL5" s="1863"/>
      <c r="HPM5" s="1863"/>
      <c r="HPN5" s="1863"/>
      <c r="HPO5" s="1863"/>
      <c r="HPP5" s="1863"/>
      <c r="HPQ5" s="1863"/>
      <c r="HPR5" s="1863"/>
      <c r="HPS5" s="1863"/>
      <c r="HPT5" s="1863"/>
      <c r="HPU5" s="1863"/>
      <c r="HPV5" s="1863"/>
      <c r="HPW5" s="1863"/>
      <c r="HPX5" s="1863"/>
      <c r="HPY5" s="1863"/>
      <c r="HPZ5" s="1863"/>
      <c r="HQA5" s="1863"/>
      <c r="HQB5" s="1863"/>
      <c r="HQC5" s="1863"/>
      <c r="HQD5" s="1863"/>
      <c r="HQE5" s="1863"/>
      <c r="HQF5" s="1863"/>
      <c r="HQG5" s="1863"/>
      <c r="HQH5" s="1863"/>
      <c r="HQI5" s="1863"/>
      <c r="HQJ5" s="1863"/>
      <c r="HQK5" s="1863"/>
      <c r="HQL5" s="1863"/>
      <c r="HQM5" s="1863"/>
      <c r="HQN5" s="1863"/>
      <c r="HQO5" s="1863"/>
      <c r="HQP5" s="1863"/>
      <c r="HQQ5" s="1863"/>
      <c r="HQR5" s="1863"/>
      <c r="HQS5" s="1863"/>
      <c r="HQT5" s="1863"/>
      <c r="HQU5" s="1863"/>
      <c r="HQV5" s="1863"/>
      <c r="HQW5" s="1863"/>
      <c r="HQX5" s="1863"/>
      <c r="HQY5" s="1863"/>
      <c r="HQZ5" s="1863"/>
      <c r="HRA5" s="1863"/>
      <c r="HRB5" s="1863"/>
      <c r="HRC5" s="1863"/>
      <c r="HRD5" s="1863"/>
      <c r="HRE5" s="1863"/>
      <c r="HRF5" s="1863"/>
      <c r="HRG5" s="1863"/>
      <c r="HRH5" s="1863"/>
      <c r="HRI5" s="1863"/>
      <c r="HRJ5" s="1863"/>
      <c r="HRK5" s="1863"/>
      <c r="HRL5" s="1863"/>
      <c r="HRM5" s="1863"/>
      <c r="HRN5" s="1863"/>
      <c r="HRO5" s="1863"/>
      <c r="HRP5" s="1863"/>
      <c r="HRQ5" s="1863"/>
      <c r="HRR5" s="1863"/>
      <c r="HRS5" s="1863"/>
      <c r="HRT5" s="1863"/>
      <c r="HRU5" s="1863"/>
      <c r="HRV5" s="1863"/>
      <c r="HRW5" s="1863"/>
      <c r="HRX5" s="1863"/>
      <c r="HRY5" s="1863"/>
      <c r="HRZ5" s="1863"/>
      <c r="HSA5" s="1863"/>
      <c r="HSB5" s="1863"/>
      <c r="HSC5" s="1863"/>
      <c r="HSD5" s="1863"/>
      <c r="HSE5" s="1863"/>
      <c r="HSF5" s="1863"/>
      <c r="HSG5" s="1863"/>
      <c r="HSH5" s="1863"/>
      <c r="HSI5" s="1863"/>
      <c r="HSJ5" s="1863"/>
      <c r="HSK5" s="1863"/>
      <c r="HSL5" s="1863"/>
      <c r="HSM5" s="1863"/>
      <c r="HSN5" s="1863"/>
      <c r="HSO5" s="1863"/>
      <c r="HSP5" s="1863"/>
      <c r="HSQ5" s="1863"/>
      <c r="HSR5" s="1863"/>
      <c r="HSS5" s="1863"/>
      <c r="HST5" s="1863"/>
      <c r="HSU5" s="1863"/>
      <c r="HSV5" s="1863"/>
      <c r="HSW5" s="1863"/>
      <c r="HSX5" s="1863"/>
      <c r="HSY5" s="1863"/>
      <c r="HSZ5" s="1863"/>
      <c r="HTA5" s="1863"/>
      <c r="HTB5" s="1863"/>
      <c r="HTC5" s="1863"/>
      <c r="HTD5" s="1863"/>
      <c r="HTE5" s="1863"/>
      <c r="HTF5" s="1863"/>
      <c r="HTG5" s="1863"/>
      <c r="HTH5" s="1863"/>
      <c r="HTI5" s="1863"/>
      <c r="HTJ5" s="1863"/>
      <c r="HTK5" s="1863"/>
      <c r="HTL5" s="1863"/>
      <c r="HTM5" s="1863"/>
      <c r="HTN5" s="1863"/>
      <c r="HTO5" s="1863"/>
      <c r="HTP5" s="1863"/>
      <c r="HTQ5" s="1863"/>
      <c r="HTR5" s="1863"/>
      <c r="HTS5" s="1863"/>
      <c r="HTT5" s="1863"/>
      <c r="HTU5" s="1863"/>
      <c r="HTV5" s="1863"/>
      <c r="HTW5" s="1863"/>
      <c r="HTX5" s="1863"/>
      <c r="HTY5" s="1863"/>
      <c r="HTZ5" s="1863"/>
      <c r="HUA5" s="1863"/>
      <c r="HUB5" s="1863"/>
      <c r="HUC5" s="1863"/>
      <c r="HUD5" s="1863"/>
      <c r="HUE5" s="1863"/>
      <c r="HUF5" s="1863"/>
      <c r="HUG5" s="1863"/>
      <c r="HUH5" s="1863"/>
      <c r="HUI5" s="1863"/>
      <c r="HUJ5" s="1863"/>
      <c r="HUK5" s="1863"/>
      <c r="HUL5" s="1863"/>
      <c r="HUM5" s="1863"/>
      <c r="HUN5" s="1863"/>
      <c r="HUO5" s="1863"/>
      <c r="HUP5" s="1863"/>
      <c r="HUQ5" s="1863"/>
      <c r="HUR5" s="1863"/>
      <c r="HUS5" s="1863"/>
      <c r="HUT5" s="1863"/>
      <c r="HUU5" s="1863"/>
      <c r="HUV5" s="1863"/>
      <c r="HUW5" s="1863"/>
      <c r="HUX5" s="1863"/>
      <c r="HUY5" s="1863"/>
      <c r="HUZ5" s="1863"/>
      <c r="HVA5" s="1863"/>
      <c r="HVB5" s="1863"/>
      <c r="HVC5" s="1863"/>
      <c r="HVD5" s="1863"/>
      <c r="HVE5" s="1863"/>
      <c r="HVF5" s="1863"/>
      <c r="HVG5" s="1863"/>
      <c r="HVH5" s="1863"/>
      <c r="HVI5" s="1863"/>
      <c r="HVJ5" s="1863"/>
      <c r="HVK5" s="1863"/>
      <c r="HVL5" s="1863"/>
      <c r="HVM5" s="1863"/>
      <c r="HVN5" s="1863"/>
      <c r="HVO5" s="1863"/>
      <c r="HVP5" s="1863"/>
      <c r="HVQ5" s="1863"/>
      <c r="HVR5" s="1863"/>
      <c r="HVS5" s="1863"/>
      <c r="HVT5" s="1863"/>
      <c r="HVU5" s="1863"/>
      <c r="HVV5" s="1863"/>
      <c r="HVW5" s="1863"/>
      <c r="HVX5" s="1863"/>
      <c r="HVY5" s="1863"/>
      <c r="HVZ5" s="1863"/>
      <c r="HWA5" s="1863"/>
      <c r="HWB5" s="1863"/>
      <c r="HWC5" s="1863"/>
      <c r="HWD5" s="1863"/>
      <c r="HWE5" s="1863"/>
      <c r="HWF5" s="1863"/>
      <c r="HWG5" s="1863"/>
      <c r="HWH5" s="1863"/>
      <c r="HWI5" s="1863"/>
      <c r="HWJ5" s="1863"/>
      <c r="HWK5" s="1863"/>
      <c r="HWL5" s="1863"/>
      <c r="HWM5" s="1863"/>
      <c r="HWN5" s="1863"/>
      <c r="HWO5" s="1863"/>
      <c r="HWP5" s="1863"/>
      <c r="HWQ5" s="1863"/>
      <c r="HWR5" s="1863"/>
      <c r="HWS5" s="1863"/>
      <c r="HWT5" s="1863"/>
      <c r="HWU5" s="1863"/>
      <c r="HWV5" s="1863"/>
      <c r="HWW5" s="1863"/>
      <c r="HWX5" s="1863"/>
      <c r="HWY5" s="1863"/>
      <c r="HWZ5" s="1863"/>
      <c r="HXA5" s="1863"/>
      <c r="HXB5" s="1863"/>
      <c r="HXC5" s="1863"/>
      <c r="HXD5" s="1863"/>
      <c r="HXE5" s="1863"/>
      <c r="HXF5" s="1863"/>
      <c r="HXG5" s="1863"/>
      <c r="HXH5" s="1863"/>
      <c r="HXI5" s="1863"/>
      <c r="HXJ5" s="1863"/>
      <c r="HXK5" s="1863"/>
      <c r="HXL5" s="1863"/>
      <c r="HXM5" s="1863"/>
      <c r="HXN5" s="1863"/>
      <c r="HXO5" s="1863"/>
      <c r="HXP5" s="1863"/>
      <c r="HXQ5" s="1863"/>
      <c r="HXR5" s="1863"/>
      <c r="HXS5" s="1863"/>
      <c r="HXT5" s="1863"/>
      <c r="HXU5" s="1863"/>
      <c r="HXV5" s="1863"/>
      <c r="HXW5" s="1863"/>
      <c r="HXX5" s="1863"/>
      <c r="HXY5" s="1863"/>
      <c r="HXZ5" s="1863"/>
      <c r="HYA5" s="1863"/>
      <c r="HYB5" s="1863"/>
      <c r="HYC5" s="1863"/>
      <c r="HYD5" s="1863"/>
      <c r="HYE5" s="1863"/>
      <c r="HYF5" s="1863"/>
      <c r="HYG5" s="1863"/>
      <c r="HYH5" s="1863"/>
      <c r="HYI5" s="1863"/>
      <c r="HYJ5" s="1863"/>
      <c r="HYK5" s="1863"/>
      <c r="HYL5" s="1863"/>
      <c r="HYM5" s="1863"/>
      <c r="HYN5" s="1863"/>
      <c r="HYO5" s="1863"/>
      <c r="HYP5" s="1863"/>
      <c r="HYQ5" s="1863"/>
      <c r="HYR5" s="1863"/>
      <c r="HYS5" s="1863"/>
      <c r="HYT5" s="1863"/>
      <c r="HYU5" s="1863"/>
      <c r="HYV5" s="1863"/>
      <c r="HYW5" s="1863"/>
      <c r="HYX5" s="1863"/>
      <c r="HYY5" s="1863"/>
      <c r="HYZ5" s="1863"/>
      <c r="HZA5" s="1863"/>
      <c r="HZB5" s="1863"/>
      <c r="HZC5" s="1863"/>
      <c r="HZD5" s="1863"/>
      <c r="HZE5" s="1863"/>
      <c r="HZF5" s="1863"/>
      <c r="HZG5" s="1863"/>
      <c r="HZH5" s="1863"/>
      <c r="HZI5" s="1863"/>
      <c r="HZJ5" s="1863"/>
      <c r="HZK5" s="1863"/>
      <c r="HZL5" s="1863"/>
      <c r="HZM5" s="1863"/>
      <c r="HZN5" s="1863"/>
      <c r="HZO5" s="1863"/>
      <c r="HZP5" s="1863"/>
      <c r="HZQ5" s="1863"/>
      <c r="HZR5" s="1863"/>
      <c r="HZS5" s="1863"/>
      <c r="HZT5" s="1863"/>
      <c r="HZU5" s="1863"/>
      <c r="HZV5" s="1863"/>
      <c r="HZW5" s="1863"/>
      <c r="HZX5" s="1863"/>
      <c r="HZY5" s="1863"/>
      <c r="HZZ5" s="1863"/>
      <c r="IAA5" s="1863"/>
      <c r="IAB5" s="1863"/>
      <c r="IAC5" s="1863"/>
      <c r="IAD5" s="1863"/>
      <c r="IAE5" s="1863"/>
      <c r="IAF5" s="1863"/>
      <c r="IAG5" s="1863"/>
      <c r="IAH5" s="1863"/>
      <c r="IAI5" s="1863"/>
      <c r="IAJ5" s="1863"/>
      <c r="IAK5" s="1863"/>
      <c r="IAL5" s="1863"/>
      <c r="IAM5" s="1863"/>
      <c r="IAN5" s="1863"/>
      <c r="IAO5" s="1863"/>
      <c r="IAP5" s="1863"/>
      <c r="IAQ5" s="1863"/>
      <c r="IAR5" s="1863"/>
      <c r="IAS5" s="1863"/>
      <c r="IAT5" s="1863"/>
      <c r="IAU5" s="1863"/>
      <c r="IAV5" s="1863"/>
      <c r="IAW5" s="1863"/>
      <c r="IAX5" s="1863"/>
      <c r="IAY5" s="1863"/>
      <c r="IAZ5" s="1863"/>
      <c r="IBA5" s="1863"/>
      <c r="IBB5" s="1863"/>
      <c r="IBC5" s="1863"/>
      <c r="IBD5" s="1863"/>
      <c r="IBE5" s="1863"/>
      <c r="IBF5" s="1863"/>
      <c r="IBG5" s="1863"/>
      <c r="IBH5" s="1863"/>
      <c r="IBI5" s="1863"/>
      <c r="IBJ5" s="1863"/>
      <c r="IBK5" s="1863"/>
      <c r="IBL5" s="1863"/>
      <c r="IBM5" s="1863"/>
      <c r="IBN5" s="1863"/>
      <c r="IBO5" s="1863"/>
      <c r="IBP5" s="1863"/>
      <c r="IBQ5" s="1863"/>
      <c r="IBR5" s="1863"/>
      <c r="IBS5" s="1863"/>
      <c r="IBT5" s="1863"/>
      <c r="IBU5" s="1863"/>
      <c r="IBV5" s="1863"/>
      <c r="IBW5" s="1863"/>
      <c r="IBX5" s="1863"/>
      <c r="IBY5" s="1863"/>
      <c r="IBZ5" s="1863"/>
      <c r="ICA5" s="1863"/>
      <c r="ICB5" s="1863"/>
      <c r="ICC5" s="1863"/>
      <c r="ICD5" s="1863"/>
      <c r="ICE5" s="1863"/>
      <c r="ICF5" s="1863"/>
      <c r="ICG5" s="1863"/>
      <c r="ICH5" s="1863"/>
      <c r="ICI5" s="1863"/>
      <c r="ICJ5" s="1863"/>
      <c r="ICK5" s="1863"/>
      <c r="ICL5" s="1863"/>
      <c r="ICM5" s="1863"/>
      <c r="ICN5" s="1863"/>
      <c r="ICO5" s="1863"/>
      <c r="ICP5" s="1863"/>
      <c r="ICQ5" s="1863"/>
      <c r="ICR5" s="1863"/>
      <c r="ICS5" s="1863"/>
      <c r="ICT5" s="1863"/>
      <c r="ICU5" s="1863"/>
      <c r="ICV5" s="1863"/>
      <c r="ICW5" s="1863"/>
      <c r="ICX5" s="1863"/>
      <c r="ICY5" s="1863"/>
      <c r="ICZ5" s="1863"/>
      <c r="IDA5" s="1863"/>
      <c r="IDB5" s="1863"/>
      <c r="IDC5" s="1863"/>
      <c r="IDD5" s="1863"/>
      <c r="IDE5" s="1863"/>
      <c r="IDF5" s="1863"/>
      <c r="IDG5" s="1863"/>
      <c r="IDH5" s="1863"/>
      <c r="IDI5" s="1863"/>
      <c r="IDJ5" s="1863"/>
      <c r="IDK5" s="1863"/>
      <c r="IDL5" s="1863"/>
      <c r="IDM5" s="1863"/>
      <c r="IDN5" s="1863"/>
      <c r="IDO5" s="1863"/>
      <c r="IDP5" s="1863"/>
      <c r="IDQ5" s="1863"/>
      <c r="IDR5" s="1863"/>
      <c r="IDS5" s="1863"/>
      <c r="IDT5" s="1863"/>
      <c r="IDU5" s="1863"/>
      <c r="IDV5" s="1863"/>
      <c r="IDW5" s="1863"/>
      <c r="IDX5" s="1863"/>
      <c r="IDY5" s="1863"/>
      <c r="IDZ5" s="1863"/>
      <c r="IEA5" s="1863"/>
      <c r="IEB5" s="1863"/>
      <c r="IEC5" s="1863"/>
      <c r="IED5" s="1863"/>
      <c r="IEE5" s="1863"/>
      <c r="IEF5" s="1863"/>
      <c r="IEG5" s="1863"/>
      <c r="IEH5" s="1863"/>
      <c r="IEI5" s="1863"/>
      <c r="IEJ5" s="1863"/>
      <c r="IEK5" s="1863"/>
      <c r="IEL5" s="1863"/>
      <c r="IEM5" s="1863"/>
      <c r="IEN5" s="1863"/>
      <c r="IEO5" s="1863"/>
      <c r="IEP5" s="1863"/>
      <c r="IEQ5" s="1863"/>
      <c r="IER5" s="1863"/>
      <c r="IES5" s="1863"/>
      <c r="IET5" s="1863"/>
      <c r="IEU5" s="1863"/>
      <c r="IEV5" s="1863"/>
      <c r="IEW5" s="1863"/>
      <c r="IEX5" s="1863"/>
      <c r="IEY5" s="1863"/>
      <c r="IEZ5" s="1863"/>
      <c r="IFA5" s="1863"/>
      <c r="IFB5" s="1863"/>
      <c r="IFC5" s="1863"/>
      <c r="IFD5" s="1863"/>
      <c r="IFE5" s="1863"/>
      <c r="IFF5" s="1863"/>
      <c r="IFG5" s="1863"/>
      <c r="IFH5" s="1863"/>
      <c r="IFI5" s="1863"/>
      <c r="IFJ5" s="1863"/>
      <c r="IFK5" s="1863"/>
      <c r="IFL5" s="1863"/>
      <c r="IFM5" s="1863"/>
      <c r="IFN5" s="1863"/>
      <c r="IFO5" s="1863"/>
      <c r="IFP5" s="1863"/>
      <c r="IFQ5" s="1863"/>
      <c r="IFR5" s="1863"/>
      <c r="IFS5" s="1863"/>
      <c r="IFT5" s="1863"/>
      <c r="IFU5" s="1863"/>
      <c r="IFV5" s="1863"/>
      <c r="IFW5" s="1863"/>
      <c r="IFX5" s="1863"/>
      <c r="IFY5" s="1863"/>
      <c r="IFZ5" s="1863"/>
      <c r="IGA5" s="1863"/>
      <c r="IGB5" s="1863"/>
      <c r="IGC5" s="1863"/>
      <c r="IGD5" s="1863"/>
      <c r="IGE5" s="1863"/>
      <c r="IGF5" s="1863"/>
      <c r="IGG5" s="1863"/>
      <c r="IGH5" s="1863"/>
      <c r="IGI5" s="1863"/>
      <c r="IGJ5" s="1863"/>
      <c r="IGK5" s="1863"/>
      <c r="IGL5" s="1863"/>
      <c r="IGM5" s="1863"/>
      <c r="IGN5" s="1863"/>
      <c r="IGO5" s="1863"/>
      <c r="IGP5" s="1863"/>
      <c r="IGQ5" s="1863"/>
      <c r="IGR5" s="1863"/>
      <c r="IGS5" s="1863"/>
      <c r="IGT5" s="1863"/>
      <c r="IGU5" s="1863"/>
      <c r="IGV5" s="1863"/>
      <c r="IGW5" s="1863"/>
      <c r="IGX5" s="1863"/>
      <c r="IGY5" s="1863"/>
      <c r="IGZ5" s="1863"/>
      <c r="IHA5" s="1863"/>
      <c r="IHB5" s="1863"/>
      <c r="IHC5" s="1863"/>
      <c r="IHD5" s="1863"/>
      <c r="IHE5" s="1863"/>
      <c r="IHF5" s="1863"/>
      <c r="IHG5" s="1863"/>
      <c r="IHH5" s="1863"/>
      <c r="IHI5" s="1863"/>
      <c r="IHJ5" s="1863"/>
      <c r="IHK5" s="1863"/>
      <c r="IHL5" s="1863"/>
      <c r="IHM5" s="1863"/>
      <c r="IHN5" s="1863"/>
      <c r="IHO5" s="1863"/>
      <c r="IHP5" s="1863"/>
      <c r="IHQ5" s="1863"/>
      <c r="IHR5" s="1863"/>
      <c r="IHS5" s="1863"/>
      <c r="IHT5" s="1863"/>
      <c r="IHU5" s="1863"/>
      <c r="IHV5" s="1863"/>
      <c r="IHW5" s="1863"/>
      <c r="IHX5" s="1863"/>
      <c r="IHY5" s="1863"/>
      <c r="IHZ5" s="1863"/>
      <c r="IIA5" s="1863"/>
      <c r="IIB5" s="1863"/>
      <c r="IIC5" s="1863"/>
      <c r="IID5" s="1863"/>
      <c r="IIE5" s="1863"/>
      <c r="IIF5" s="1863"/>
      <c r="IIG5" s="1863"/>
      <c r="IIH5" s="1863"/>
      <c r="III5" s="1863"/>
      <c r="IIJ5" s="1863"/>
      <c r="IIK5" s="1863"/>
      <c r="IIL5" s="1863"/>
      <c r="IIM5" s="1863"/>
      <c r="IIN5" s="1863"/>
      <c r="IIO5" s="1863"/>
      <c r="IIP5" s="1863"/>
      <c r="IIQ5" s="1863"/>
      <c r="IIR5" s="1863"/>
      <c r="IIS5" s="1863"/>
      <c r="IIT5" s="1863"/>
      <c r="IIU5" s="1863"/>
      <c r="IIV5" s="1863"/>
      <c r="IIW5" s="1863"/>
      <c r="IIX5" s="1863"/>
      <c r="IIY5" s="1863"/>
      <c r="IIZ5" s="1863"/>
      <c r="IJA5" s="1863"/>
      <c r="IJB5" s="1863"/>
      <c r="IJC5" s="1863"/>
      <c r="IJD5" s="1863"/>
      <c r="IJE5" s="1863"/>
      <c r="IJF5" s="1863"/>
      <c r="IJG5" s="1863"/>
      <c r="IJH5" s="1863"/>
      <c r="IJI5" s="1863"/>
      <c r="IJJ5" s="1863"/>
      <c r="IJK5" s="1863"/>
      <c r="IJL5" s="1863"/>
      <c r="IJM5" s="1863"/>
      <c r="IJN5" s="1863"/>
      <c r="IJO5" s="1863"/>
      <c r="IJP5" s="1863"/>
      <c r="IJQ5" s="1863"/>
      <c r="IJR5" s="1863"/>
      <c r="IJS5" s="1863"/>
      <c r="IJT5" s="1863"/>
      <c r="IJU5" s="1863"/>
      <c r="IJV5" s="1863"/>
      <c r="IJW5" s="1863"/>
      <c r="IJX5" s="1863"/>
      <c r="IJY5" s="1863"/>
      <c r="IJZ5" s="1863"/>
      <c r="IKA5" s="1863"/>
      <c r="IKB5" s="1863"/>
      <c r="IKC5" s="1863"/>
      <c r="IKD5" s="1863"/>
      <c r="IKE5" s="1863"/>
      <c r="IKF5" s="1863"/>
      <c r="IKG5" s="1863"/>
      <c r="IKH5" s="1863"/>
      <c r="IKI5" s="1863"/>
      <c r="IKJ5" s="1863"/>
      <c r="IKK5" s="1863"/>
      <c r="IKL5" s="1863"/>
      <c r="IKM5" s="1863"/>
      <c r="IKN5" s="1863"/>
      <c r="IKO5" s="1863"/>
      <c r="IKP5" s="1863"/>
      <c r="IKQ5" s="1863"/>
      <c r="IKR5" s="1863"/>
      <c r="IKS5" s="1863"/>
      <c r="IKT5" s="1863"/>
      <c r="IKU5" s="1863"/>
      <c r="IKV5" s="1863"/>
      <c r="IKW5" s="1863"/>
      <c r="IKX5" s="1863"/>
      <c r="IKY5" s="1863"/>
      <c r="IKZ5" s="1863"/>
      <c r="ILA5" s="1863"/>
      <c r="ILB5" s="1863"/>
      <c r="ILC5" s="1863"/>
      <c r="ILD5" s="1863"/>
      <c r="ILE5" s="1863"/>
      <c r="ILF5" s="1863"/>
      <c r="ILG5" s="1863"/>
      <c r="ILH5" s="1863"/>
      <c r="ILI5" s="1863"/>
      <c r="ILJ5" s="1863"/>
      <c r="ILK5" s="1863"/>
      <c r="ILL5" s="1863"/>
      <c r="ILM5" s="1863"/>
      <c r="ILN5" s="1863"/>
      <c r="ILO5" s="1863"/>
      <c r="ILP5" s="1863"/>
      <c r="ILQ5" s="1863"/>
      <c r="ILR5" s="1863"/>
      <c r="ILS5" s="1863"/>
      <c r="ILT5" s="1863"/>
      <c r="ILU5" s="1863"/>
      <c r="ILV5" s="1863"/>
      <c r="ILW5" s="1863"/>
      <c r="ILX5" s="1863"/>
      <c r="ILY5" s="1863"/>
      <c r="ILZ5" s="1863"/>
      <c r="IMA5" s="1863"/>
      <c r="IMB5" s="1863"/>
      <c r="IMC5" s="1863"/>
      <c r="IMD5" s="1863"/>
      <c r="IME5" s="1863"/>
      <c r="IMF5" s="1863"/>
      <c r="IMG5" s="1863"/>
      <c r="IMH5" s="1863"/>
      <c r="IMI5" s="1863"/>
      <c r="IMJ5" s="1863"/>
      <c r="IMK5" s="1863"/>
      <c r="IML5" s="1863"/>
      <c r="IMM5" s="1863"/>
      <c r="IMN5" s="1863"/>
      <c r="IMO5" s="1863"/>
      <c r="IMP5" s="1863"/>
      <c r="IMQ5" s="1863"/>
      <c r="IMR5" s="1863"/>
      <c r="IMS5" s="1863"/>
      <c r="IMT5" s="1863"/>
      <c r="IMU5" s="1863"/>
      <c r="IMV5" s="1863"/>
      <c r="IMW5" s="1863"/>
      <c r="IMX5" s="1863"/>
      <c r="IMY5" s="1863"/>
      <c r="IMZ5" s="1863"/>
      <c r="INA5" s="1863"/>
      <c r="INB5" s="1863"/>
      <c r="INC5" s="1863"/>
      <c r="IND5" s="1863"/>
      <c r="INE5" s="1863"/>
      <c r="INF5" s="1863"/>
      <c r="ING5" s="1863"/>
      <c r="INH5" s="1863"/>
      <c r="INI5" s="1863"/>
      <c r="INJ5" s="1863"/>
      <c r="INK5" s="1863"/>
      <c r="INL5" s="1863"/>
      <c r="INM5" s="1863"/>
      <c r="INN5" s="1863"/>
      <c r="INO5" s="1863"/>
      <c r="INP5" s="1863"/>
      <c r="INQ5" s="1863"/>
      <c r="INR5" s="1863"/>
      <c r="INS5" s="1863"/>
      <c r="INT5" s="1863"/>
      <c r="INU5" s="1863"/>
      <c r="INV5" s="1863"/>
      <c r="INW5" s="1863"/>
      <c r="INX5" s="1863"/>
      <c r="INY5" s="1863"/>
      <c r="INZ5" s="1863"/>
      <c r="IOA5" s="1863"/>
      <c r="IOB5" s="1863"/>
      <c r="IOC5" s="1863"/>
      <c r="IOD5" s="1863"/>
      <c r="IOE5" s="1863"/>
      <c r="IOF5" s="1863"/>
      <c r="IOG5" s="1863"/>
      <c r="IOH5" s="1863"/>
      <c r="IOI5" s="1863"/>
      <c r="IOJ5" s="1863"/>
      <c r="IOK5" s="1863"/>
      <c r="IOL5" s="1863"/>
      <c r="IOM5" s="1863"/>
      <c r="ION5" s="1863"/>
      <c r="IOO5" s="1863"/>
      <c r="IOP5" s="1863"/>
      <c r="IOQ5" s="1863"/>
      <c r="IOR5" s="1863"/>
      <c r="IOS5" s="1863"/>
      <c r="IOT5" s="1863"/>
      <c r="IOU5" s="1863"/>
      <c r="IOV5" s="1863"/>
      <c r="IOW5" s="1863"/>
      <c r="IOX5" s="1863"/>
      <c r="IOY5" s="1863"/>
      <c r="IOZ5" s="1863"/>
      <c r="IPA5" s="1863"/>
      <c r="IPB5" s="1863"/>
      <c r="IPC5" s="1863"/>
      <c r="IPD5" s="1863"/>
      <c r="IPE5" s="1863"/>
      <c r="IPF5" s="1863"/>
      <c r="IPG5" s="1863"/>
      <c r="IPH5" s="1863"/>
      <c r="IPI5" s="1863"/>
      <c r="IPJ5" s="1863"/>
      <c r="IPK5" s="1863"/>
      <c r="IPL5" s="1863"/>
      <c r="IPM5" s="1863"/>
      <c r="IPN5" s="1863"/>
      <c r="IPO5" s="1863"/>
      <c r="IPP5" s="1863"/>
      <c r="IPQ5" s="1863"/>
      <c r="IPR5" s="1863"/>
      <c r="IPS5" s="1863"/>
      <c r="IPT5" s="1863"/>
      <c r="IPU5" s="1863"/>
      <c r="IPV5" s="1863"/>
      <c r="IPW5" s="1863"/>
      <c r="IPX5" s="1863"/>
      <c r="IPY5" s="1863"/>
      <c r="IPZ5" s="1863"/>
      <c r="IQA5" s="1863"/>
      <c r="IQB5" s="1863"/>
      <c r="IQC5" s="1863"/>
      <c r="IQD5" s="1863"/>
      <c r="IQE5" s="1863"/>
      <c r="IQF5" s="1863"/>
      <c r="IQG5" s="1863"/>
      <c r="IQH5" s="1863"/>
      <c r="IQI5" s="1863"/>
      <c r="IQJ5" s="1863"/>
      <c r="IQK5" s="1863"/>
      <c r="IQL5" s="1863"/>
      <c r="IQM5" s="1863"/>
      <c r="IQN5" s="1863"/>
      <c r="IQO5" s="1863"/>
      <c r="IQP5" s="1863"/>
      <c r="IQQ5" s="1863"/>
      <c r="IQR5" s="1863"/>
      <c r="IQS5" s="1863"/>
      <c r="IQT5" s="1863"/>
      <c r="IQU5" s="1863"/>
      <c r="IQV5" s="1863"/>
      <c r="IQW5" s="1863"/>
      <c r="IQX5" s="1863"/>
      <c r="IQY5" s="1863"/>
      <c r="IQZ5" s="1863"/>
      <c r="IRA5" s="1863"/>
      <c r="IRB5" s="1863"/>
      <c r="IRC5" s="1863"/>
      <c r="IRD5" s="1863"/>
      <c r="IRE5" s="1863"/>
      <c r="IRF5" s="1863"/>
      <c r="IRG5" s="1863"/>
      <c r="IRH5" s="1863"/>
      <c r="IRI5" s="1863"/>
      <c r="IRJ5" s="1863"/>
      <c r="IRK5" s="1863"/>
      <c r="IRL5" s="1863"/>
      <c r="IRM5" s="1863"/>
      <c r="IRN5" s="1863"/>
      <c r="IRO5" s="1863"/>
      <c r="IRP5" s="1863"/>
      <c r="IRQ5" s="1863"/>
      <c r="IRR5" s="1863"/>
      <c r="IRS5" s="1863"/>
      <c r="IRT5" s="1863"/>
      <c r="IRU5" s="1863"/>
      <c r="IRV5" s="1863"/>
      <c r="IRW5" s="1863"/>
      <c r="IRX5" s="1863"/>
      <c r="IRY5" s="1863"/>
      <c r="IRZ5" s="1863"/>
      <c r="ISA5" s="1863"/>
      <c r="ISB5" s="1863"/>
      <c r="ISC5" s="1863"/>
      <c r="ISD5" s="1863"/>
      <c r="ISE5" s="1863"/>
      <c r="ISF5" s="1863"/>
      <c r="ISG5" s="1863"/>
      <c r="ISH5" s="1863"/>
      <c r="ISI5" s="1863"/>
      <c r="ISJ5" s="1863"/>
      <c r="ISK5" s="1863"/>
      <c r="ISL5" s="1863"/>
      <c r="ISM5" s="1863"/>
      <c r="ISN5" s="1863"/>
      <c r="ISO5" s="1863"/>
      <c r="ISP5" s="1863"/>
      <c r="ISQ5" s="1863"/>
      <c r="ISR5" s="1863"/>
      <c r="ISS5" s="1863"/>
      <c r="IST5" s="1863"/>
      <c r="ISU5" s="1863"/>
      <c r="ISV5" s="1863"/>
      <c r="ISW5" s="1863"/>
      <c r="ISX5" s="1863"/>
      <c r="ISY5" s="1863"/>
      <c r="ISZ5" s="1863"/>
      <c r="ITA5" s="1863"/>
      <c r="ITB5" s="1863"/>
      <c r="ITC5" s="1863"/>
      <c r="ITD5" s="1863"/>
      <c r="ITE5" s="1863"/>
      <c r="ITF5" s="1863"/>
      <c r="ITG5" s="1863"/>
      <c r="ITH5" s="1863"/>
      <c r="ITI5" s="1863"/>
      <c r="ITJ5" s="1863"/>
      <c r="ITK5" s="1863"/>
      <c r="ITL5" s="1863"/>
      <c r="ITM5" s="1863"/>
      <c r="ITN5" s="1863"/>
      <c r="ITO5" s="1863"/>
      <c r="ITP5" s="1863"/>
      <c r="ITQ5" s="1863"/>
      <c r="ITR5" s="1863"/>
      <c r="ITS5" s="1863"/>
      <c r="ITT5" s="1863"/>
      <c r="ITU5" s="1863"/>
      <c r="ITV5" s="1863"/>
      <c r="ITW5" s="1863"/>
      <c r="ITX5" s="1863"/>
      <c r="ITY5" s="1863"/>
      <c r="ITZ5" s="1863"/>
      <c r="IUA5" s="1863"/>
      <c r="IUB5" s="1863"/>
      <c r="IUC5" s="1863"/>
      <c r="IUD5" s="1863"/>
      <c r="IUE5" s="1863"/>
      <c r="IUF5" s="1863"/>
      <c r="IUG5" s="1863"/>
      <c r="IUH5" s="1863"/>
      <c r="IUI5" s="1863"/>
      <c r="IUJ5" s="1863"/>
      <c r="IUK5" s="1863"/>
      <c r="IUL5" s="1863"/>
      <c r="IUM5" s="1863"/>
      <c r="IUN5" s="1863"/>
      <c r="IUO5" s="1863"/>
      <c r="IUP5" s="1863"/>
      <c r="IUQ5" s="1863"/>
      <c r="IUR5" s="1863"/>
      <c r="IUS5" s="1863"/>
      <c r="IUT5" s="1863"/>
      <c r="IUU5" s="1863"/>
      <c r="IUV5" s="1863"/>
      <c r="IUW5" s="1863"/>
      <c r="IUX5" s="1863"/>
      <c r="IUY5" s="1863"/>
      <c r="IUZ5" s="1863"/>
      <c r="IVA5" s="1863"/>
      <c r="IVB5" s="1863"/>
      <c r="IVC5" s="1863"/>
      <c r="IVD5" s="1863"/>
      <c r="IVE5" s="1863"/>
      <c r="IVF5" s="1863"/>
      <c r="IVG5" s="1863"/>
      <c r="IVH5" s="1863"/>
      <c r="IVI5" s="1863"/>
      <c r="IVJ5" s="1863"/>
      <c r="IVK5" s="1863"/>
      <c r="IVL5" s="1863"/>
      <c r="IVM5" s="1863"/>
      <c r="IVN5" s="1863"/>
      <c r="IVO5" s="1863"/>
      <c r="IVP5" s="1863"/>
      <c r="IVQ5" s="1863"/>
      <c r="IVR5" s="1863"/>
      <c r="IVS5" s="1863"/>
      <c r="IVT5" s="1863"/>
      <c r="IVU5" s="1863"/>
      <c r="IVV5" s="1863"/>
      <c r="IVW5" s="1863"/>
      <c r="IVX5" s="1863"/>
      <c r="IVY5" s="1863"/>
      <c r="IVZ5" s="1863"/>
      <c r="IWA5" s="1863"/>
      <c r="IWB5" s="1863"/>
      <c r="IWC5" s="1863"/>
      <c r="IWD5" s="1863"/>
      <c r="IWE5" s="1863"/>
      <c r="IWF5" s="1863"/>
      <c r="IWG5" s="1863"/>
      <c r="IWH5" s="1863"/>
      <c r="IWI5" s="1863"/>
      <c r="IWJ5" s="1863"/>
      <c r="IWK5" s="1863"/>
      <c r="IWL5" s="1863"/>
      <c r="IWM5" s="1863"/>
      <c r="IWN5" s="1863"/>
      <c r="IWO5" s="1863"/>
      <c r="IWP5" s="1863"/>
      <c r="IWQ5" s="1863"/>
      <c r="IWR5" s="1863"/>
      <c r="IWS5" s="1863"/>
      <c r="IWT5" s="1863"/>
      <c r="IWU5" s="1863"/>
      <c r="IWV5" s="1863"/>
      <c r="IWW5" s="1863"/>
      <c r="IWX5" s="1863"/>
      <c r="IWY5" s="1863"/>
      <c r="IWZ5" s="1863"/>
      <c r="IXA5" s="1863"/>
      <c r="IXB5" s="1863"/>
      <c r="IXC5" s="1863"/>
      <c r="IXD5" s="1863"/>
      <c r="IXE5" s="1863"/>
      <c r="IXF5" s="1863"/>
      <c r="IXG5" s="1863"/>
      <c r="IXH5" s="1863"/>
      <c r="IXI5" s="1863"/>
      <c r="IXJ5" s="1863"/>
      <c r="IXK5" s="1863"/>
      <c r="IXL5" s="1863"/>
      <c r="IXM5" s="1863"/>
      <c r="IXN5" s="1863"/>
      <c r="IXO5" s="1863"/>
      <c r="IXP5" s="1863"/>
      <c r="IXQ5" s="1863"/>
      <c r="IXR5" s="1863"/>
      <c r="IXS5" s="1863"/>
      <c r="IXT5" s="1863"/>
      <c r="IXU5" s="1863"/>
      <c r="IXV5" s="1863"/>
      <c r="IXW5" s="1863"/>
      <c r="IXX5" s="1863"/>
      <c r="IXY5" s="1863"/>
      <c r="IXZ5" s="1863"/>
      <c r="IYA5" s="1863"/>
      <c r="IYB5" s="1863"/>
      <c r="IYC5" s="1863"/>
      <c r="IYD5" s="1863"/>
      <c r="IYE5" s="1863"/>
      <c r="IYF5" s="1863"/>
      <c r="IYG5" s="1863"/>
      <c r="IYH5" s="1863"/>
      <c r="IYI5" s="1863"/>
      <c r="IYJ5" s="1863"/>
      <c r="IYK5" s="1863"/>
      <c r="IYL5" s="1863"/>
      <c r="IYM5" s="1863"/>
      <c r="IYN5" s="1863"/>
      <c r="IYO5" s="1863"/>
      <c r="IYP5" s="1863"/>
      <c r="IYQ5" s="1863"/>
      <c r="IYR5" s="1863"/>
      <c r="IYS5" s="1863"/>
      <c r="IYT5" s="1863"/>
      <c r="IYU5" s="1863"/>
      <c r="IYV5" s="1863"/>
      <c r="IYW5" s="1863"/>
      <c r="IYX5" s="1863"/>
      <c r="IYY5" s="1863"/>
      <c r="IYZ5" s="1863"/>
      <c r="IZA5" s="1863"/>
      <c r="IZB5" s="1863"/>
      <c r="IZC5" s="1863"/>
      <c r="IZD5" s="1863"/>
      <c r="IZE5" s="1863"/>
      <c r="IZF5" s="1863"/>
      <c r="IZG5" s="1863"/>
      <c r="IZH5" s="1863"/>
      <c r="IZI5" s="1863"/>
      <c r="IZJ5" s="1863"/>
      <c r="IZK5" s="1863"/>
      <c r="IZL5" s="1863"/>
      <c r="IZM5" s="1863"/>
      <c r="IZN5" s="1863"/>
      <c r="IZO5" s="1863"/>
      <c r="IZP5" s="1863"/>
      <c r="IZQ5" s="1863"/>
      <c r="IZR5" s="1863"/>
      <c r="IZS5" s="1863"/>
      <c r="IZT5" s="1863"/>
      <c r="IZU5" s="1863"/>
      <c r="IZV5" s="1863"/>
      <c r="IZW5" s="1863"/>
      <c r="IZX5" s="1863"/>
      <c r="IZY5" s="1863"/>
      <c r="IZZ5" s="1863"/>
      <c r="JAA5" s="1863"/>
      <c r="JAB5" s="1863"/>
      <c r="JAC5" s="1863"/>
      <c r="JAD5" s="1863"/>
      <c r="JAE5" s="1863"/>
      <c r="JAF5" s="1863"/>
      <c r="JAG5" s="1863"/>
      <c r="JAH5" s="1863"/>
      <c r="JAI5" s="1863"/>
      <c r="JAJ5" s="1863"/>
      <c r="JAK5" s="1863"/>
      <c r="JAL5" s="1863"/>
      <c r="JAM5" s="1863"/>
      <c r="JAN5" s="1863"/>
      <c r="JAO5" s="1863"/>
      <c r="JAP5" s="1863"/>
      <c r="JAQ5" s="1863"/>
      <c r="JAR5" s="1863"/>
      <c r="JAS5" s="1863"/>
      <c r="JAT5" s="1863"/>
      <c r="JAU5" s="1863"/>
      <c r="JAV5" s="1863"/>
      <c r="JAW5" s="1863"/>
      <c r="JAX5" s="1863"/>
      <c r="JAY5" s="1863"/>
      <c r="JAZ5" s="1863"/>
      <c r="JBA5" s="1863"/>
      <c r="JBB5" s="1863"/>
      <c r="JBC5" s="1863"/>
      <c r="JBD5" s="1863"/>
      <c r="JBE5" s="1863"/>
      <c r="JBF5" s="1863"/>
      <c r="JBG5" s="1863"/>
      <c r="JBH5" s="1863"/>
      <c r="JBI5" s="1863"/>
      <c r="JBJ5" s="1863"/>
      <c r="JBK5" s="1863"/>
      <c r="JBL5" s="1863"/>
      <c r="JBM5" s="1863"/>
      <c r="JBN5" s="1863"/>
      <c r="JBO5" s="1863"/>
      <c r="JBP5" s="1863"/>
      <c r="JBQ5" s="1863"/>
      <c r="JBR5" s="1863"/>
      <c r="JBS5" s="1863"/>
      <c r="JBT5" s="1863"/>
      <c r="JBU5" s="1863"/>
      <c r="JBV5" s="1863"/>
      <c r="JBW5" s="1863"/>
      <c r="JBX5" s="1863"/>
      <c r="JBY5" s="1863"/>
      <c r="JBZ5" s="1863"/>
      <c r="JCA5" s="1863"/>
      <c r="JCB5" s="1863"/>
      <c r="JCC5" s="1863"/>
      <c r="JCD5" s="1863"/>
      <c r="JCE5" s="1863"/>
      <c r="JCF5" s="1863"/>
      <c r="JCG5" s="1863"/>
      <c r="JCH5" s="1863"/>
      <c r="JCI5" s="1863"/>
      <c r="JCJ5" s="1863"/>
      <c r="JCK5" s="1863"/>
      <c r="JCL5" s="1863"/>
      <c r="JCM5" s="1863"/>
      <c r="JCN5" s="1863"/>
      <c r="JCO5" s="1863"/>
      <c r="JCP5" s="1863"/>
      <c r="JCQ5" s="1863"/>
      <c r="JCR5" s="1863"/>
      <c r="JCS5" s="1863"/>
      <c r="JCT5" s="1863"/>
      <c r="JCU5" s="1863"/>
      <c r="JCV5" s="1863"/>
      <c r="JCW5" s="1863"/>
      <c r="JCX5" s="1863"/>
      <c r="JCY5" s="1863"/>
      <c r="JCZ5" s="1863"/>
      <c r="JDA5" s="1863"/>
      <c r="JDB5" s="1863"/>
      <c r="JDC5" s="1863"/>
      <c r="JDD5" s="1863"/>
      <c r="JDE5" s="1863"/>
      <c r="JDF5" s="1863"/>
      <c r="JDG5" s="1863"/>
      <c r="JDH5" s="1863"/>
      <c r="JDI5" s="1863"/>
      <c r="JDJ5" s="1863"/>
      <c r="JDK5" s="1863"/>
      <c r="JDL5" s="1863"/>
      <c r="JDM5" s="1863"/>
      <c r="JDN5" s="1863"/>
      <c r="JDO5" s="1863"/>
      <c r="JDP5" s="1863"/>
      <c r="JDQ5" s="1863"/>
      <c r="JDR5" s="1863"/>
      <c r="JDS5" s="1863"/>
      <c r="JDT5" s="1863"/>
      <c r="JDU5" s="1863"/>
      <c r="JDV5" s="1863"/>
      <c r="JDW5" s="1863"/>
      <c r="JDX5" s="1863"/>
      <c r="JDY5" s="1863"/>
      <c r="JDZ5" s="1863"/>
      <c r="JEA5" s="1863"/>
      <c r="JEB5" s="1863"/>
      <c r="JEC5" s="1863"/>
      <c r="JED5" s="1863"/>
      <c r="JEE5" s="1863"/>
      <c r="JEF5" s="1863"/>
      <c r="JEG5" s="1863"/>
      <c r="JEH5" s="1863"/>
      <c r="JEI5" s="1863"/>
      <c r="JEJ5" s="1863"/>
      <c r="JEK5" s="1863"/>
      <c r="JEL5" s="1863"/>
      <c r="JEM5" s="1863"/>
      <c r="JEN5" s="1863"/>
      <c r="JEO5" s="1863"/>
      <c r="JEP5" s="1863"/>
      <c r="JEQ5" s="1863"/>
      <c r="JER5" s="1863"/>
      <c r="JES5" s="1863"/>
      <c r="JET5" s="1863"/>
      <c r="JEU5" s="1863"/>
      <c r="JEV5" s="1863"/>
      <c r="JEW5" s="1863"/>
      <c r="JEX5" s="1863"/>
      <c r="JEY5" s="1863"/>
      <c r="JEZ5" s="1863"/>
      <c r="JFA5" s="1863"/>
      <c r="JFB5" s="1863"/>
      <c r="JFC5" s="1863"/>
      <c r="JFD5" s="1863"/>
      <c r="JFE5" s="1863"/>
      <c r="JFF5" s="1863"/>
      <c r="JFG5" s="1863"/>
      <c r="JFH5" s="1863"/>
      <c r="JFI5" s="1863"/>
      <c r="JFJ5" s="1863"/>
      <c r="JFK5" s="1863"/>
      <c r="JFL5" s="1863"/>
      <c r="JFM5" s="1863"/>
      <c r="JFN5" s="1863"/>
      <c r="JFO5" s="1863"/>
      <c r="JFP5" s="1863"/>
      <c r="JFQ5" s="1863"/>
      <c r="JFR5" s="1863"/>
      <c r="JFS5" s="1863"/>
      <c r="JFT5" s="1863"/>
      <c r="JFU5" s="1863"/>
      <c r="JFV5" s="1863"/>
      <c r="JFW5" s="1863"/>
      <c r="JFX5" s="1863"/>
      <c r="JFY5" s="1863"/>
      <c r="JFZ5" s="1863"/>
      <c r="JGA5" s="1863"/>
      <c r="JGB5" s="1863"/>
      <c r="JGC5" s="1863"/>
      <c r="JGD5" s="1863"/>
      <c r="JGE5" s="1863"/>
      <c r="JGF5" s="1863"/>
      <c r="JGG5" s="1863"/>
      <c r="JGH5" s="1863"/>
      <c r="JGI5" s="1863"/>
      <c r="JGJ5" s="1863"/>
      <c r="JGK5" s="1863"/>
      <c r="JGL5" s="1863"/>
      <c r="JGM5" s="1863"/>
      <c r="JGN5" s="1863"/>
      <c r="JGO5" s="1863"/>
      <c r="JGP5" s="1863"/>
      <c r="JGQ5" s="1863"/>
      <c r="JGR5" s="1863"/>
      <c r="JGS5" s="1863"/>
      <c r="JGT5" s="1863"/>
      <c r="JGU5" s="1863"/>
      <c r="JGV5" s="1863"/>
      <c r="JGW5" s="1863"/>
      <c r="JGX5" s="1863"/>
      <c r="JGY5" s="1863"/>
      <c r="JGZ5" s="1863"/>
      <c r="JHA5" s="1863"/>
      <c r="JHB5" s="1863"/>
      <c r="JHC5" s="1863"/>
      <c r="JHD5" s="1863"/>
      <c r="JHE5" s="1863"/>
      <c r="JHF5" s="1863"/>
      <c r="JHG5" s="1863"/>
      <c r="JHH5" s="1863"/>
      <c r="JHI5" s="1863"/>
      <c r="JHJ5" s="1863"/>
      <c r="JHK5" s="1863"/>
      <c r="JHL5" s="1863"/>
      <c r="JHM5" s="1863"/>
      <c r="JHN5" s="1863"/>
      <c r="JHO5" s="1863"/>
      <c r="JHP5" s="1863"/>
      <c r="JHQ5" s="1863"/>
      <c r="JHR5" s="1863"/>
      <c r="JHS5" s="1863"/>
      <c r="JHT5" s="1863"/>
      <c r="JHU5" s="1863"/>
      <c r="JHV5" s="1863"/>
      <c r="JHW5" s="1863"/>
      <c r="JHX5" s="1863"/>
      <c r="JHY5" s="1863"/>
      <c r="JHZ5" s="1863"/>
      <c r="JIA5" s="1863"/>
      <c r="JIB5" s="1863"/>
      <c r="JIC5" s="1863"/>
      <c r="JID5" s="1863"/>
      <c r="JIE5" s="1863"/>
      <c r="JIF5" s="1863"/>
      <c r="JIG5" s="1863"/>
      <c r="JIH5" s="1863"/>
      <c r="JII5" s="1863"/>
      <c r="JIJ5" s="1863"/>
      <c r="JIK5" s="1863"/>
      <c r="JIL5" s="1863"/>
      <c r="JIM5" s="1863"/>
      <c r="JIN5" s="1863"/>
      <c r="JIO5" s="1863"/>
      <c r="JIP5" s="1863"/>
      <c r="JIQ5" s="1863"/>
      <c r="JIR5" s="1863"/>
      <c r="JIS5" s="1863"/>
      <c r="JIT5" s="1863"/>
      <c r="JIU5" s="1863"/>
      <c r="JIV5" s="1863"/>
      <c r="JIW5" s="1863"/>
      <c r="JIX5" s="1863"/>
      <c r="JIY5" s="1863"/>
      <c r="JIZ5" s="1863"/>
      <c r="JJA5" s="1863"/>
      <c r="JJB5" s="1863"/>
      <c r="JJC5" s="1863"/>
      <c r="JJD5" s="1863"/>
      <c r="JJE5" s="1863"/>
      <c r="JJF5" s="1863"/>
      <c r="JJG5" s="1863"/>
      <c r="JJH5" s="1863"/>
      <c r="JJI5" s="1863"/>
      <c r="JJJ5" s="1863"/>
      <c r="JJK5" s="1863"/>
      <c r="JJL5" s="1863"/>
      <c r="JJM5" s="1863"/>
      <c r="JJN5" s="1863"/>
      <c r="JJO5" s="1863"/>
      <c r="JJP5" s="1863"/>
      <c r="JJQ5" s="1863"/>
      <c r="JJR5" s="1863"/>
      <c r="JJS5" s="1863"/>
      <c r="JJT5" s="1863"/>
      <c r="JJU5" s="1863"/>
      <c r="JJV5" s="1863"/>
      <c r="JJW5" s="1863"/>
      <c r="JJX5" s="1863"/>
      <c r="JJY5" s="1863"/>
      <c r="JJZ5" s="1863"/>
      <c r="JKA5" s="1863"/>
      <c r="JKB5" s="1863"/>
      <c r="JKC5" s="1863"/>
      <c r="JKD5" s="1863"/>
      <c r="JKE5" s="1863"/>
      <c r="JKF5" s="1863"/>
      <c r="JKG5" s="1863"/>
      <c r="JKH5" s="1863"/>
      <c r="JKI5" s="1863"/>
      <c r="JKJ5" s="1863"/>
      <c r="JKK5" s="1863"/>
      <c r="JKL5" s="1863"/>
      <c r="JKM5" s="1863"/>
      <c r="JKN5" s="1863"/>
      <c r="JKO5" s="1863"/>
      <c r="JKP5" s="1863"/>
      <c r="JKQ5" s="1863"/>
      <c r="JKR5" s="1863"/>
      <c r="JKS5" s="1863"/>
      <c r="JKT5" s="1863"/>
      <c r="JKU5" s="1863"/>
      <c r="JKV5" s="1863"/>
      <c r="JKW5" s="1863"/>
      <c r="JKX5" s="1863"/>
      <c r="JKY5" s="1863"/>
      <c r="JKZ5" s="1863"/>
      <c r="JLA5" s="1863"/>
      <c r="JLB5" s="1863"/>
      <c r="JLC5" s="1863"/>
      <c r="JLD5" s="1863"/>
      <c r="JLE5" s="1863"/>
      <c r="JLF5" s="1863"/>
      <c r="JLG5" s="1863"/>
      <c r="JLH5" s="1863"/>
      <c r="JLI5" s="1863"/>
      <c r="JLJ5" s="1863"/>
      <c r="JLK5" s="1863"/>
      <c r="JLL5" s="1863"/>
      <c r="JLM5" s="1863"/>
      <c r="JLN5" s="1863"/>
      <c r="JLO5" s="1863"/>
      <c r="JLP5" s="1863"/>
      <c r="JLQ5" s="1863"/>
      <c r="JLR5" s="1863"/>
      <c r="JLS5" s="1863"/>
      <c r="JLT5" s="1863"/>
      <c r="JLU5" s="1863"/>
      <c r="JLV5" s="1863"/>
      <c r="JLW5" s="1863"/>
      <c r="JLX5" s="1863"/>
      <c r="JLY5" s="1863"/>
      <c r="JLZ5" s="1863"/>
      <c r="JMA5" s="1863"/>
      <c r="JMB5" s="1863"/>
      <c r="JMC5" s="1863"/>
      <c r="JMD5" s="1863"/>
      <c r="JME5" s="1863"/>
      <c r="JMF5" s="1863"/>
      <c r="JMG5" s="1863"/>
      <c r="JMH5" s="1863"/>
      <c r="JMI5" s="1863"/>
      <c r="JMJ5" s="1863"/>
      <c r="JMK5" s="1863"/>
      <c r="JML5" s="1863"/>
      <c r="JMM5" s="1863"/>
      <c r="JMN5" s="1863"/>
      <c r="JMO5" s="1863"/>
      <c r="JMP5" s="1863"/>
      <c r="JMQ5" s="1863"/>
      <c r="JMR5" s="1863"/>
      <c r="JMS5" s="1863"/>
      <c r="JMT5" s="1863"/>
      <c r="JMU5" s="1863"/>
      <c r="JMV5" s="1863"/>
      <c r="JMW5" s="1863"/>
      <c r="JMX5" s="1863"/>
      <c r="JMY5" s="1863"/>
      <c r="JMZ5" s="1863"/>
      <c r="JNA5" s="1863"/>
      <c r="JNB5" s="1863"/>
      <c r="JNC5" s="1863"/>
      <c r="JND5" s="1863"/>
      <c r="JNE5" s="1863"/>
      <c r="JNF5" s="1863"/>
      <c r="JNG5" s="1863"/>
      <c r="JNH5" s="1863"/>
      <c r="JNI5" s="1863"/>
      <c r="JNJ5" s="1863"/>
      <c r="JNK5" s="1863"/>
      <c r="JNL5" s="1863"/>
      <c r="JNM5" s="1863"/>
      <c r="JNN5" s="1863"/>
      <c r="JNO5" s="1863"/>
      <c r="JNP5" s="1863"/>
      <c r="JNQ5" s="1863"/>
      <c r="JNR5" s="1863"/>
      <c r="JNS5" s="1863"/>
      <c r="JNT5" s="1863"/>
      <c r="JNU5" s="1863"/>
      <c r="JNV5" s="1863"/>
      <c r="JNW5" s="1863"/>
      <c r="JNX5" s="1863"/>
      <c r="JNY5" s="1863"/>
      <c r="JNZ5" s="1863"/>
      <c r="JOA5" s="1863"/>
      <c r="JOB5" s="1863"/>
      <c r="JOC5" s="1863"/>
      <c r="JOD5" s="1863"/>
      <c r="JOE5" s="1863"/>
      <c r="JOF5" s="1863"/>
      <c r="JOG5" s="1863"/>
      <c r="JOH5" s="1863"/>
      <c r="JOI5" s="1863"/>
      <c r="JOJ5" s="1863"/>
      <c r="JOK5" s="1863"/>
      <c r="JOL5" s="1863"/>
      <c r="JOM5" s="1863"/>
      <c r="JON5" s="1863"/>
      <c r="JOO5" s="1863"/>
      <c r="JOP5" s="1863"/>
      <c r="JOQ5" s="1863"/>
      <c r="JOR5" s="1863"/>
      <c r="JOS5" s="1863"/>
      <c r="JOT5" s="1863"/>
      <c r="JOU5" s="1863"/>
      <c r="JOV5" s="1863"/>
      <c r="JOW5" s="1863"/>
      <c r="JOX5" s="1863"/>
      <c r="JOY5" s="1863"/>
      <c r="JOZ5" s="1863"/>
      <c r="JPA5" s="1863"/>
      <c r="JPB5" s="1863"/>
      <c r="JPC5" s="1863"/>
      <c r="JPD5" s="1863"/>
      <c r="JPE5" s="1863"/>
      <c r="JPF5" s="1863"/>
      <c r="JPG5" s="1863"/>
      <c r="JPH5" s="1863"/>
      <c r="JPI5" s="1863"/>
      <c r="JPJ5" s="1863"/>
      <c r="JPK5" s="1863"/>
      <c r="JPL5" s="1863"/>
      <c r="JPM5" s="1863"/>
      <c r="JPN5" s="1863"/>
      <c r="JPO5" s="1863"/>
      <c r="JPP5" s="1863"/>
      <c r="JPQ5" s="1863"/>
      <c r="JPR5" s="1863"/>
      <c r="JPS5" s="1863"/>
      <c r="JPT5" s="1863"/>
      <c r="JPU5" s="1863"/>
      <c r="JPV5" s="1863"/>
      <c r="JPW5" s="1863"/>
      <c r="JPX5" s="1863"/>
      <c r="JPY5" s="1863"/>
      <c r="JPZ5" s="1863"/>
      <c r="JQA5" s="1863"/>
      <c r="JQB5" s="1863"/>
      <c r="JQC5" s="1863"/>
      <c r="JQD5" s="1863"/>
      <c r="JQE5" s="1863"/>
      <c r="JQF5" s="1863"/>
      <c r="JQG5" s="1863"/>
      <c r="JQH5" s="1863"/>
      <c r="JQI5" s="1863"/>
      <c r="JQJ5" s="1863"/>
      <c r="JQK5" s="1863"/>
      <c r="JQL5" s="1863"/>
      <c r="JQM5" s="1863"/>
      <c r="JQN5" s="1863"/>
      <c r="JQO5" s="1863"/>
      <c r="JQP5" s="1863"/>
      <c r="JQQ5" s="1863"/>
      <c r="JQR5" s="1863"/>
      <c r="JQS5" s="1863"/>
      <c r="JQT5" s="1863"/>
      <c r="JQU5" s="1863"/>
      <c r="JQV5" s="1863"/>
      <c r="JQW5" s="1863"/>
      <c r="JQX5" s="1863"/>
      <c r="JQY5" s="1863"/>
      <c r="JQZ5" s="1863"/>
      <c r="JRA5" s="1863"/>
      <c r="JRB5" s="1863"/>
      <c r="JRC5" s="1863"/>
      <c r="JRD5" s="1863"/>
      <c r="JRE5" s="1863"/>
      <c r="JRF5" s="1863"/>
      <c r="JRG5" s="1863"/>
      <c r="JRH5" s="1863"/>
      <c r="JRI5" s="1863"/>
      <c r="JRJ5" s="1863"/>
      <c r="JRK5" s="1863"/>
      <c r="JRL5" s="1863"/>
      <c r="JRM5" s="1863"/>
      <c r="JRN5" s="1863"/>
      <c r="JRO5" s="1863"/>
      <c r="JRP5" s="1863"/>
      <c r="JRQ5" s="1863"/>
      <c r="JRR5" s="1863"/>
      <c r="JRS5" s="1863"/>
      <c r="JRT5" s="1863"/>
      <c r="JRU5" s="1863"/>
      <c r="JRV5" s="1863"/>
      <c r="JRW5" s="1863"/>
      <c r="JRX5" s="1863"/>
      <c r="JRY5" s="1863"/>
      <c r="JRZ5" s="1863"/>
      <c r="JSA5" s="1863"/>
      <c r="JSB5" s="1863"/>
      <c r="JSC5" s="1863"/>
      <c r="JSD5" s="1863"/>
      <c r="JSE5" s="1863"/>
      <c r="JSF5" s="1863"/>
      <c r="JSG5" s="1863"/>
      <c r="JSH5" s="1863"/>
      <c r="JSI5" s="1863"/>
      <c r="JSJ5" s="1863"/>
      <c r="JSK5" s="1863"/>
      <c r="JSL5" s="1863"/>
      <c r="JSM5" s="1863"/>
      <c r="JSN5" s="1863"/>
      <c r="JSO5" s="1863"/>
      <c r="JSP5" s="1863"/>
      <c r="JSQ5" s="1863"/>
      <c r="JSR5" s="1863"/>
      <c r="JSS5" s="1863"/>
      <c r="JST5" s="1863"/>
      <c r="JSU5" s="1863"/>
      <c r="JSV5" s="1863"/>
      <c r="JSW5" s="1863"/>
      <c r="JSX5" s="1863"/>
      <c r="JSY5" s="1863"/>
      <c r="JSZ5" s="1863"/>
      <c r="JTA5" s="1863"/>
      <c r="JTB5" s="1863"/>
      <c r="JTC5" s="1863"/>
      <c r="JTD5" s="1863"/>
      <c r="JTE5" s="1863"/>
      <c r="JTF5" s="1863"/>
      <c r="JTG5" s="1863"/>
      <c r="JTH5" s="1863"/>
      <c r="JTI5" s="1863"/>
      <c r="JTJ5" s="1863"/>
      <c r="JTK5" s="1863"/>
      <c r="JTL5" s="1863"/>
      <c r="JTM5" s="1863"/>
      <c r="JTN5" s="1863"/>
      <c r="JTO5" s="1863"/>
      <c r="JTP5" s="1863"/>
      <c r="JTQ5" s="1863"/>
      <c r="JTR5" s="1863"/>
      <c r="JTS5" s="1863"/>
      <c r="JTT5" s="1863"/>
      <c r="JTU5" s="1863"/>
      <c r="JTV5" s="1863"/>
      <c r="JTW5" s="1863"/>
      <c r="JTX5" s="1863"/>
      <c r="JTY5" s="1863"/>
      <c r="JTZ5" s="1863"/>
      <c r="JUA5" s="1863"/>
      <c r="JUB5" s="1863"/>
      <c r="JUC5" s="1863"/>
      <c r="JUD5" s="1863"/>
      <c r="JUE5" s="1863"/>
      <c r="JUF5" s="1863"/>
      <c r="JUG5" s="1863"/>
      <c r="JUH5" s="1863"/>
      <c r="JUI5" s="1863"/>
      <c r="JUJ5" s="1863"/>
      <c r="JUK5" s="1863"/>
      <c r="JUL5" s="1863"/>
      <c r="JUM5" s="1863"/>
      <c r="JUN5" s="1863"/>
      <c r="JUO5" s="1863"/>
      <c r="JUP5" s="1863"/>
      <c r="JUQ5" s="1863"/>
      <c r="JUR5" s="1863"/>
      <c r="JUS5" s="1863"/>
      <c r="JUT5" s="1863"/>
      <c r="JUU5" s="1863"/>
      <c r="JUV5" s="1863"/>
      <c r="JUW5" s="1863"/>
      <c r="JUX5" s="1863"/>
      <c r="JUY5" s="1863"/>
      <c r="JUZ5" s="1863"/>
      <c r="JVA5" s="1863"/>
      <c r="JVB5" s="1863"/>
      <c r="JVC5" s="1863"/>
      <c r="JVD5" s="1863"/>
      <c r="JVE5" s="1863"/>
      <c r="JVF5" s="1863"/>
      <c r="JVG5" s="1863"/>
      <c r="JVH5" s="1863"/>
      <c r="JVI5" s="1863"/>
      <c r="JVJ5" s="1863"/>
      <c r="JVK5" s="1863"/>
      <c r="JVL5" s="1863"/>
      <c r="JVM5" s="1863"/>
      <c r="JVN5" s="1863"/>
      <c r="JVO5" s="1863"/>
      <c r="JVP5" s="1863"/>
      <c r="JVQ5" s="1863"/>
      <c r="JVR5" s="1863"/>
      <c r="JVS5" s="1863"/>
      <c r="JVT5" s="1863"/>
      <c r="JVU5" s="1863"/>
      <c r="JVV5" s="1863"/>
      <c r="JVW5" s="1863"/>
      <c r="JVX5" s="1863"/>
      <c r="JVY5" s="1863"/>
      <c r="JVZ5" s="1863"/>
      <c r="JWA5" s="1863"/>
      <c r="JWB5" s="1863"/>
      <c r="JWC5" s="1863"/>
      <c r="JWD5" s="1863"/>
      <c r="JWE5" s="1863"/>
      <c r="JWF5" s="1863"/>
      <c r="JWG5" s="1863"/>
      <c r="JWH5" s="1863"/>
      <c r="JWI5" s="1863"/>
      <c r="JWJ5" s="1863"/>
      <c r="JWK5" s="1863"/>
      <c r="JWL5" s="1863"/>
      <c r="JWM5" s="1863"/>
      <c r="JWN5" s="1863"/>
      <c r="JWO5" s="1863"/>
      <c r="JWP5" s="1863"/>
      <c r="JWQ5" s="1863"/>
      <c r="JWR5" s="1863"/>
      <c r="JWS5" s="1863"/>
      <c r="JWT5" s="1863"/>
      <c r="JWU5" s="1863"/>
      <c r="JWV5" s="1863"/>
      <c r="JWW5" s="1863"/>
      <c r="JWX5" s="1863"/>
      <c r="JWY5" s="1863"/>
      <c r="JWZ5" s="1863"/>
      <c r="JXA5" s="1863"/>
      <c r="JXB5" s="1863"/>
      <c r="JXC5" s="1863"/>
      <c r="JXD5" s="1863"/>
      <c r="JXE5" s="1863"/>
      <c r="JXF5" s="1863"/>
      <c r="JXG5" s="1863"/>
      <c r="JXH5" s="1863"/>
      <c r="JXI5" s="1863"/>
      <c r="JXJ5" s="1863"/>
      <c r="JXK5" s="1863"/>
      <c r="JXL5" s="1863"/>
      <c r="JXM5" s="1863"/>
      <c r="JXN5" s="1863"/>
      <c r="JXO5" s="1863"/>
      <c r="JXP5" s="1863"/>
      <c r="JXQ5" s="1863"/>
      <c r="JXR5" s="1863"/>
      <c r="JXS5" s="1863"/>
      <c r="JXT5" s="1863"/>
      <c r="JXU5" s="1863"/>
      <c r="JXV5" s="1863"/>
      <c r="JXW5" s="1863"/>
      <c r="JXX5" s="1863"/>
      <c r="JXY5" s="1863"/>
      <c r="JXZ5" s="1863"/>
      <c r="JYA5" s="1863"/>
      <c r="JYB5" s="1863"/>
      <c r="JYC5" s="1863"/>
      <c r="JYD5" s="1863"/>
      <c r="JYE5" s="1863"/>
      <c r="JYF5" s="1863"/>
      <c r="JYG5" s="1863"/>
      <c r="JYH5" s="1863"/>
      <c r="JYI5" s="1863"/>
      <c r="JYJ5" s="1863"/>
      <c r="JYK5" s="1863"/>
      <c r="JYL5" s="1863"/>
      <c r="JYM5" s="1863"/>
      <c r="JYN5" s="1863"/>
      <c r="JYO5" s="1863"/>
      <c r="JYP5" s="1863"/>
      <c r="JYQ5" s="1863"/>
      <c r="JYR5" s="1863"/>
      <c r="JYS5" s="1863"/>
      <c r="JYT5" s="1863"/>
      <c r="JYU5" s="1863"/>
      <c r="JYV5" s="1863"/>
      <c r="JYW5" s="1863"/>
      <c r="JYX5" s="1863"/>
      <c r="JYY5" s="1863"/>
      <c r="JYZ5" s="1863"/>
      <c r="JZA5" s="1863"/>
      <c r="JZB5" s="1863"/>
      <c r="JZC5" s="1863"/>
      <c r="JZD5" s="1863"/>
      <c r="JZE5" s="1863"/>
      <c r="JZF5" s="1863"/>
      <c r="JZG5" s="1863"/>
      <c r="JZH5" s="1863"/>
      <c r="JZI5" s="1863"/>
      <c r="JZJ5" s="1863"/>
      <c r="JZK5" s="1863"/>
      <c r="JZL5" s="1863"/>
      <c r="JZM5" s="1863"/>
      <c r="JZN5" s="1863"/>
      <c r="JZO5" s="1863"/>
      <c r="JZP5" s="1863"/>
      <c r="JZQ5" s="1863"/>
      <c r="JZR5" s="1863"/>
      <c r="JZS5" s="1863"/>
      <c r="JZT5" s="1863"/>
      <c r="JZU5" s="1863"/>
      <c r="JZV5" s="1863"/>
      <c r="JZW5" s="1863"/>
      <c r="JZX5" s="1863"/>
      <c r="JZY5" s="1863"/>
      <c r="JZZ5" s="1863"/>
      <c r="KAA5" s="1863"/>
      <c r="KAB5" s="1863"/>
      <c r="KAC5" s="1863"/>
      <c r="KAD5" s="1863"/>
      <c r="KAE5" s="1863"/>
      <c r="KAF5" s="1863"/>
      <c r="KAG5" s="1863"/>
      <c r="KAH5" s="1863"/>
      <c r="KAI5" s="1863"/>
      <c r="KAJ5" s="1863"/>
      <c r="KAK5" s="1863"/>
      <c r="KAL5" s="1863"/>
      <c r="KAM5" s="1863"/>
      <c r="KAN5" s="1863"/>
      <c r="KAO5" s="1863"/>
      <c r="KAP5" s="1863"/>
      <c r="KAQ5" s="1863"/>
      <c r="KAR5" s="1863"/>
      <c r="KAS5" s="1863"/>
      <c r="KAT5" s="1863"/>
      <c r="KAU5" s="1863"/>
      <c r="KAV5" s="1863"/>
      <c r="KAW5" s="1863"/>
      <c r="KAX5" s="1863"/>
      <c r="KAY5" s="1863"/>
      <c r="KAZ5" s="1863"/>
      <c r="KBA5" s="1863"/>
      <c r="KBB5" s="1863"/>
      <c r="KBC5" s="1863"/>
      <c r="KBD5" s="1863"/>
      <c r="KBE5" s="1863"/>
      <c r="KBF5" s="1863"/>
      <c r="KBG5" s="1863"/>
      <c r="KBH5" s="1863"/>
      <c r="KBI5" s="1863"/>
      <c r="KBJ5" s="1863"/>
      <c r="KBK5" s="1863"/>
      <c r="KBL5" s="1863"/>
      <c r="KBM5" s="1863"/>
      <c r="KBN5" s="1863"/>
      <c r="KBO5" s="1863"/>
      <c r="KBP5" s="1863"/>
      <c r="KBQ5" s="1863"/>
      <c r="KBR5" s="1863"/>
      <c r="KBS5" s="1863"/>
      <c r="KBT5" s="1863"/>
      <c r="KBU5" s="1863"/>
      <c r="KBV5" s="1863"/>
      <c r="KBW5" s="1863"/>
      <c r="KBX5" s="1863"/>
      <c r="KBY5" s="1863"/>
      <c r="KBZ5" s="1863"/>
      <c r="KCA5" s="1863"/>
      <c r="KCB5" s="1863"/>
      <c r="KCC5" s="1863"/>
      <c r="KCD5" s="1863"/>
      <c r="KCE5" s="1863"/>
      <c r="KCF5" s="1863"/>
      <c r="KCG5" s="1863"/>
      <c r="KCH5" s="1863"/>
      <c r="KCI5" s="1863"/>
      <c r="KCJ5" s="1863"/>
      <c r="KCK5" s="1863"/>
      <c r="KCL5" s="1863"/>
      <c r="KCM5" s="1863"/>
      <c r="KCN5" s="1863"/>
      <c r="KCO5" s="1863"/>
      <c r="KCP5" s="1863"/>
      <c r="KCQ5" s="1863"/>
      <c r="KCR5" s="1863"/>
      <c r="KCS5" s="1863"/>
      <c r="KCT5" s="1863"/>
      <c r="KCU5" s="1863"/>
      <c r="KCV5" s="1863"/>
      <c r="KCW5" s="1863"/>
      <c r="KCX5" s="1863"/>
      <c r="KCY5" s="1863"/>
      <c r="KCZ5" s="1863"/>
      <c r="KDA5" s="1863"/>
      <c r="KDB5" s="1863"/>
      <c r="KDC5" s="1863"/>
      <c r="KDD5" s="1863"/>
      <c r="KDE5" s="1863"/>
      <c r="KDF5" s="1863"/>
      <c r="KDG5" s="1863"/>
      <c r="KDH5" s="1863"/>
      <c r="KDI5" s="1863"/>
      <c r="KDJ5" s="1863"/>
      <c r="KDK5" s="1863"/>
      <c r="KDL5" s="1863"/>
      <c r="KDM5" s="1863"/>
      <c r="KDN5" s="1863"/>
      <c r="KDO5" s="1863"/>
      <c r="KDP5" s="1863"/>
      <c r="KDQ5" s="1863"/>
      <c r="KDR5" s="1863"/>
      <c r="KDS5" s="1863"/>
      <c r="KDT5" s="1863"/>
      <c r="KDU5" s="1863"/>
      <c r="KDV5" s="1863"/>
      <c r="KDW5" s="1863"/>
      <c r="KDX5" s="1863"/>
      <c r="KDY5" s="1863"/>
      <c r="KDZ5" s="1863"/>
      <c r="KEA5" s="1863"/>
      <c r="KEB5" s="1863"/>
      <c r="KEC5" s="1863"/>
      <c r="KED5" s="1863"/>
      <c r="KEE5" s="1863"/>
      <c r="KEF5" s="1863"/>
      <c r="KEG5" s="1863"/>
      <c r="KEH5" s="1863"/>
      <c r="KEI5" s="1863"/>
      <c r="KEJ5" s="1863"/>
      <c r="KEK5" s="1863"/>
      <c r="KEL5" s="1863"/>
      <c r="KEM5" s="1863"/>
      <c r="KEN5" s="1863"/>
      <c r="KEO5" s="1863"/>
      <c r="KEP5" s="1863"/>
      <c r="KEQ5" s="1863"/>
      <c r="KER5" s="1863"/>
      <c r="KES5" s="1863"/>
      <c r="KET5" s="1863"/>
      <c r="KEU5" s="1863"/>
      <c r="KEV5" s="1863"/>
      <c r="KEW5" s="1863"/>
      <c r="KEX5" s="1863"/>
      <c r="KEY5" s="1863"/>
      <c r="KEZ5" s="1863"/>
      <c r="KFA5" s="1863"/>
      <c r="KFB5" s="1863"/>
      <c r="KFC5" s="1863"/>
      <c r="KFD5" s="1863"/>
      <c r="KFE5" s="1863"/>
      <c r="KFF5" s="1863"/>
      <c r="KFG5" s="1863"/>
      <c r="KFH5" s="1863"/>
      <c r="KFI5" s="1863"/>
      <c r="KFJ5" s="1863"/>
      <c r="KFK5" s="1863"/>
      <c r="KFL5" s="1863"/>
      <c r="KFM5" s="1863"/>
      <c r="KFN5" s="1863"/>
      <c r="KFO5" s="1863"/>
      <c r="KFP5" s="1863"/>
      <c r="KFQ5" s="1863"/>
      <c r="KFR5" s="1863"/>
      <c r="KFS5" s="1863"/>
      <c r="KFT5" s="1863"/>
      <c r="KFU5" s="1863"/>
      <c r="KFV5" s="1863"/>
      <c r="KFW5" s="1863"/>
      <c r="KFX5" s="1863"/>
      <c r="KFY5" s="1863"/>
      <c r="KFZ5" s="1863"/>
      <c r="KGA5" s="1863"/>
      <c r="KGB5" s="1863"/>
      <c r="KGC5" s="1863"/>
      <c r="KGD5" s="1863"/>
      <c r="KGE5" s="1863"/>
      <c r="KGF5" s="1863"/>
      <c r="KGG5" s="1863"/>
      <c r="KGH5" s="1863"/>
      <c r="KGI5" s="1863"/>
      <c r="KGJ5" s="1863"/>
      <c r="KGK5" s="1863"/>
      <c r="KGL5" s="1863"/>
      <c r="KGM5" s="1863"/>
      <c r="KGN5" s="1863"/>
      <c r="KGO5" s="1863"/>
      <c r="KGP5" s="1863"/>
      <c r="KGQ5" s="1863"/>
      <c r="KGR5" s="1863"/>
      <c r="KGS5" s="1863"/>
      <c r="KGT5" s="1863"/>
      <c r="KGU5" s="1863"/>
      <c r="KGV5" s="1863"/>
      <c r="KGW5" s="1863"/>
      <c r="KGX5" s="1863"/>
      <c r="KGY5" s="1863"/>
      <c r="KGZ5" s="1863"/>
      <c r="KHA5" s="1863"/>
      <c r="KHB5" s="1863"/>
      <c r="KHC5" s="1863"/>
      <c r="KHD5" s="1863"/>
      <c r="KHE5" s="1863"/>
      <c r="KHF5" s="1863"/>
      <c r="KHG5" s="1863"/>
      <c r="KHH5" s="1863"/>
      <c r="KHI5" s="1863"/>
      <c r="KHJ5" s="1863"/>
      <c r="KHK5" s="1863"/>
      <c r="KHL5" s="1863"/>
      <c r="KHM5" s="1863"/>
      <c r="KHN5" s="1863"/>
      <c r="KHO5" s="1863"/>
      <c r="KHP5" s="1863"/>
      <c r="KHQ5" s="1863"/>
      <c r="KHR5" s="1863"/>
      <c r="KHS5" s="1863"/>
      <c r="KHT5" s="1863"/>
      <c r="KHU5" s="1863"/>
      <c r="KHV5" s="1863"/>
      <c r="KHW5" s="1863"/>
      <c r="KHX5" s="1863"/>
      <c r="KHY5" s="1863"/>
      <c r="KHZ5" s="1863"/>
      <c r="KIA5" s="1863"/>
      <c r="KIB5" s="1863"/>
      <c r="KIC5" s="1863"/>
      <c r="KID5" s="1863"/>
      <c r="KIE5" s="1863"/>
      <c r="KIF5" s="1863"/>
      <c r="KIG5" s="1863"/>
      <c r="KIH5" s="1863"/>
      <c r="KII5" s="1863"/>
      <c r="KIJ5" s="1863"/>
      <c r="KIK5" s="1863"/>
      <c r="KIL5" s="1863"/>
      <c r="KIM5" s="1863"/>
      <c r="KIN5" s="1863"/>
      <c r="KIO5" s="1863"/>
      <c r="KIP5" s="1863"/>
      <c r="KIQ5" s="1863"/>
      <c r="KIR5" s="1863"/>
      <c r="KIS5" s="1863"/>
      <c r="KIT5" s="1863"/>
      <c r="KIU5" s="1863"/>
      <c r="KIV5" s="1863"/>
      <c r="KIW5" s="1863"/>
      <c r="KIX5" s="1863"/>
      <c r="KIY5" s="1863"/>
      <c r="KIZ5" s="1863"/>
      <c r="KJA5" s="1863"/>
      <c r="KJB5" s="1863"/>
      <c r="KJC5" s="1863"/>
      <c r="KJD5" s="1863"/>
      <c r="KJE5" s="1863"/>
      <c r="KJF5" s="1863"/>
      <c r="KJG5" s="1863"/>
      <c r="KJH5" s="1863"/>
      <c r="KJI5" s="1863"/>
      <c r="KJJ5" s="1863"/>
      <c r="KJK5" s="1863"/>
      <c r="KJL5" s="1863"/>
      <c r="KJM5" s="1863"/>
      <c r="KJN5" s="1863"/>
      <c r="KJO5" s="1863"/>
      <c r="KJP5" s="1863"/>
      <c r="KJQ5" s="1863"/>
      <c r="KJR5" s="1863"/>
      <c r="KJS5" s="1863"/>
      <c r="KJT5" s="1863"/>
      <c r="KJU5" s="1863"/>
      <c r="KJV5" s="1863"/>
      <c r="KJW5" s="1863"/>
      <c r="KJX5" s="1863"/>
      <c r="KJY5" s="1863"/>
      <c r="KJZ5" s="1863"/>
      <c r="KKA5" s="1863"/>
      <c r="KKB5" s="1863"/>
      <c r="KKC5" s="1863"/>
      <c r="KKD5" s="1863"/>
      <c r="KKE5" s="1863"/>
      <c r="KKF5" s="1863"/>
      <c r="KKG5" s="1863"/>
      <c r="KKH5" s="1863"/>
      <c r="KKI5" s="1863"/>
      <c r="KKJ5" s="1863"/>
      <c r="KKK5" s="1863"/>
      <c r="KKL5" s="1863"/>
      <c r="KKM5" s="1863"/>
      <c r="KKN5" s="1863"/>
      <c r="KKO5" s="1863"/>
      <c r="KKP5" s="1863"/>
      <c r="KKQ5" s="1863"/>
      <c r="KKR5" s="1863"/>
      <c r="KKS5" s="1863"/>
      <c r="KKT5" s="1863"/>
      <c r="KKU5" s="1863"/>
      <c r="KKV5" s="1863"/>
      <c r="KKW5" s="1863"/>
      <c r="KKX5" s="1863"/>
      <c r="KKY5" s="1863"/>
      <c r="KKZ5" s="1863"/>
      <c r="KLA5" s="1863"/>
      <c r="KLB5" s="1863"/>
      <c r="KLC5" s="1863"/>
      <c r="KLD5" s="1863"/>
      <c r="KLE5" s="1863"/>
      <c r="KLF5" s="1863"/>
      <c r="KLG5" s="1863"/>
      <c r="KLH5" s="1863"/>
      <c r="KLI5" s="1863"/>
      <c r="KLJ5" s="1863"/>
      <c r="KLK5" s="1863"/>
      <c r="KLL5" s="1863"/>
      <c r="KLM5" s="1863"/>
      <c r="KLN5" s="1863"/>
      <c r="KLO5" s="1863"/>
      <c r="KLP5" s="1863"/>
      <c r="KLQ5" s="1863"/>
      <c r="KLR5" s="1863"/>
      <c r="KLS5" s="1863"/>
      <c r="KLT5" s="1863"/>
      <c r="KLU5" s="1863"/>
      <c r="KLV5" s="1863"/>
      <c r="KLW5" s="1863"/>
      <c r="KLX5" s="1863"/>
      <c r="KLY5" s="1863"/>
      <c r="KLZ5" s="1863"/>
      <c r="KMA5" s="1863"/>
      <c r="KMB5" s="1863"/>
      <c r="KMC5" s="1863"/>
      <c r="KMD5" s="1863"/>
      <c r="KME5" s="1863"/>
      <c r="KMF5" s="1863"/>
      <c r="KMG5" s="1863"/>
      <c r="KMH5" s="1863"/>
      <c r="KMI5" s="1863"/>
      <c r="KMJ5" s="1863"/>
      <c r="KMK5" s="1863"/>
      <c r="KML5" s="1863"/>
      <c r="KMM5" s="1863"/>
      <c r="KMN5" s="1863"/>
      <c r="KMO5" s="1863"/>
      <c r="KMP5" s="1863"/>
      <c r="KMQ5" s="1863"/>
      <c r="KMR5" s="1863"/>
      <c r="KMS5" s="1863"/>
      <c r="KMT5" s="1863"/>
      <c r="KMU5" s="1863"/>
      <c r="KMV5" s="1863"/>
      <c r="KMW5" s="1863"/>
      <c r="KMX5" s="1863"/>
      <c r="KMY5" s="1863"/>
      <c r="KMZ5" s="1863"/>
      <c r="KNA5" s="1863"/>
      <c r="KNB5" s="1863"/>
      <c r="KNC5" s="1863"/>
      <c r="KND5" s="1863"/>
      <c r="KNE5" s="1863"/>
      <c r="KNF5" s="1863"/>
      <c r="KNG5" s="1863"/>
      <c r="KNH5" s="1863"/>
      <c r="KNI5" s="1863"/>
      <c r="KNJ5" s="1863"/>
      <c r="KNK5" s="1863"/>
      <c r="KNL5" s="1863"/>
      <c r="KNM5" s="1863"/>
      <c r="KNN5" s="1863"/>
      <c r="KNO5" s="1863"/>
      <c r="KNP5" s="1863"/>
      <c r="KNQ5" s="1863"/>
      <c r="KNR5" s="1863"/>
      <c r="KNS5" s="1863"/>
      <c r="KNT5" s="1863"/>
      <c r="KNU5" s="1863"/>
      <c r="KNV5" s="1863"/>
      <c r="KNW5" s="1863"/>
      <c r="KNX5" s="1863"/>
      <c r="KNY5" s="1863"/>
      <c r="KNZ5" s="1863"/>
      <c r="KOA5" s="1863"/>
      <c r="KOB5" s="1863"/>
      <c r="KOC5" s="1863"/>
      <c r="KOD5" s="1863"/>
      <c r="KOE5" s="1863"/>
      <c r="KOF5" s="1863"/>
      <c r="KOG5" s="1863"/>
      <c r="KOH5" s="1863"/>
      <c r="KOI5" s="1863"/>
      <c r="KOJ5" s="1863"/>
      <c r="KOK5" s="1863"/>
      <c r="KOL5" s="1863"/>
      <c r="KOM5" s="1863"/>
      <c r="KON5" s="1863"/>
      <c r="KOO5" s="1863"/>
      <c r="KOP5" s="1863"/>
      <c r="KOQ5" s="1863"/>
      <c r="KOR5" s="1863"/>
      <c r="KOS5" s="1863"/>
      <c r="KOT5" s="1863"/>
      <c r="KOU5" s="1863"/>
      <c r="KOV5" s="1863"/>
      <c r="KOW5" s="1863"/>
      <c r="KOX5" s="1863"/>
      <c r="KOY5" s="1863"/>
      <c r="KOZ5" s="1863"/>
      <c r="KPA5" s="1863"/>
      <c r="KPB5" s="1863"/>
      <c r="KPC5" s="1863"/>
      <c r="KPD5" s="1863"/>
      <c r="KPE5" s="1863"/>
      <c r="KPF5" s="1863"/>
      <c r="KPG5" s="1863"/>
      <c r="KPH5" s="1863"/>
      <c r="KPI5" s="1863"/>
      <c r="KPJ5" s="1863"/>
      <c r="KPK5" s="1863"/>
      <c r="KPL5" s="1863"/>
      <c r="KPM5" s="1863"/>
      <c r="KPN5" s="1863"/>
      <c r="KPO5" s="1863"/>
      <c r="KPP5" s="1863"/>
      <c r="KPQ5" s="1863"/>
      <c r="KPR5" s="1863"/>
      <c r="KPS5" s="1863"/>
      <c r="KPT5" s="1863"/>
      <c r="KPU5" s="1863"/>
      <c r="KPV5" s="1863"/>
      <c r="KPW5" s="1863"/>
      <c r="KPX5" s="1863"/>
      <c r="KPY5" s="1863"/>
      <c r="KPZ5" s="1863"/>
      <c r="KQA5" s="1863"/>
      <c r="KQB5" s="1863"/>
      <c r="KQC5" s="1863"/>
      <c r="KQD5" s="1863"/>
      <c r="KQE5" s="1863"/>
      <c r="KQF5" s="1863"/>
      <c r="KQG5" s="1863"/>
      <c r="KQH5" s="1863"/>
      <c r="KQI5" s="1863"/>
      <c r="KQJ5" s="1863"/>
      <c r="KQK5" s="1863"/>
      <c r="KQL5" s="1863"/>
      <c r="KQM5" s="1863"/>
      <c r="KQN5" s="1863"/>
      <c r="KQO5" s="1863"/>
      <c r="KQP5" s="1863"/>
      <c r="KQQ5" s="1863"/>
      <c r="KQR5" s="1863"/>
      <c r="KQS5" s="1863"/>
      <c r="KQT5" s="1863"/>
      <c r="KQU5" s="1863"/>
      <c r="KQV5" s="1863"/>
      <c r="KQW5" s="1863"/>
      <c r="KQX5" s="1863"/>
      <c r="KQY5" s="1863"/>
      <c r="KQZ5" s="1863"/>
      <c r="KRA5" s="1863"/>
      <c r="KRB5" s="1863"/>
      <c r="KRC5" s="1863"/>
      <c r="KRD5" s="1863"/>
      <c r="KRE5" s="1863"/>
      <c r="KRF5" s="1863"/>
      <c r="KRG5" s="1863"/>
      <c r="KRH5" s="1863"/>
      <c r="KRI5" s="1863"/>
      <c r="KRJ5" s="1863"/>
      <c r="KRK5" s="1863"/>
      <c r="KRL5" s="1863"/>
      <c r="KRM5" s="1863"/>
      <c r="KRN5" s="1863"/>
      <c r="KRO5" s="1863"/>
      <c r="KRP5" s="1863"/>
      <c r="KRQ5" s="1863"/>
      <c r="KRR5" s="1863"/>
      <c r="KRS5" s="1863"/>
      <c r="KRT5" s="1863"/>
      <c r="KRU5" s="1863"/>
      <c r="KRV5" s="1863"/>
      <c r="KRW5" s="1863"/>
      <c r="KRX5" s="1863"/>
      <c r="KRY5" s="1863"/>
      <c r="KRZ5" s="1863"/>
      <c r="KSA5" s="1863"/>
      <c r="KSB5" s="1863"/>
      <c r="KSC5" s="1863"/>
      <c r="KSD5" s="1863"/>
      <c r="KSE5" s="1863"/>
      <c r="KSF5" s="1863"/>
      <c r="KSG5" s="1863"/>
      <c r="KSH5" s="1863"/>
      <c r="KSI5" s="1863"/>
      <c r="KSJ5" s="1863"/>
      <c r="KSK5" s="1863"/>
      <c r="KSL5" s="1863"/>
      <c r="KSM5" s="1863"/>
      <c r="KSN5" s="1863"/>
      <c r="KSO5" s="1863"/>
      <c r="KSP5" s="1863"/>
      <c r="KSQ5" s="1863"/>
      <c r="KSR5" s="1863"/>
      <c r="KSS5" s="1863"/>
      <c r="KST5" s="1863"/>
      <c r="KSU5" s="1863"/>
      <c r="KSV5" s="1863"/>
      <c r="KSW5" s="1863"/>
      <c r="KSX5" s="1863"/>
      <c r="KSY5" s="1863"/>
      <c r="KSZ5" s="1863"/>
      <c r="KTA5" s="1863"/>
      <c r="KTB5" s="1863"/>
      <c r="KTC5" s="1863"/>
      <c r="KTD5" s="1863"/>
      <c r="KTE5" s="1863"/>
      <c r="KTF5" s="1863"/>
      <c r="KTG5" s="1863"/>
      <c r="KTH5" s="1863"/>
      <c r="KTI5" s="1863"/>
      <c r="KTJ5" s="1863"/>
      <c r="KTK5" s="1863"/>
      <c r="KTL5" s="1863"/>
      <c r="KTM5" s="1863"/>
      <c r="KTN5" s="1863"/>
      <c r="KTO5" s="1863"/>
      <c r="KTP5" s="1863"/>
      <c r="KTQ5" s="1863"/>
      <c r="KTR5" s="1863"/>
      <c r="KTS5" s="1863"/>
      <c r="KTT5" s="1863"/>
      <c r="KTU5" s="1863"/>
      <c r="KTV5" s="1863"/>
      <c r="KTW5" s="1863"/>
      <c r="KTX5" s="1863"/>
      <c r="KTY5" s="1863"/>
      <c r="KTZ5" s="1863"/>
      <c r="KUA5" s="1863"/>
      <c r="KUB5" s="1863"/>
      <c r="KUC5" s="1863"/>
      <c r="KUD5" s="1863"/>
      <c r="KUE5" s="1863"/>
      <c r="KUF5" s="1863"/>
      <c r="KUG5" s="1863"/>
      <c r="KUH5" s="1863"/>
      <c r="KUI5" s="1863"/>
      <c r="KUJ5" s="1863"/>
      <c r="KUK5" s="1863"/>
      <c r="KUL5" s="1863"/>
      <c r="KUM5" s="1863"/>
      <c r="KUN5" s="1863"/>
      <c r="KUO5" s="1863"/>
      <c r="KUP5" s="1863"/>
      <c r="KUQ5" s="1863"/>
      <c r="KUR5" s="1863"/>
      <c r="KUS5" s="1863"/>
      <c r="KUT5" s="1863"/>
      <c r="KUU5" s="1863"/>
      <c r="KUV5" s="1863"/>
      <c r="KUW5" s="1863"/>
      <c r="KUX5" s="1863"/>
      <c r="KUY5" s="1863"/>
      <c r="KUZ5" s="1863"/>
      <c r="KVA5" s="1863"/>
      <c r="KVB5" s="1863"/>
      <c r="KVC5" s="1863"/>
      <c r="KVD5" s="1863"/>
      <c r="KVE5" s="1863"/>
      <c r="KVF5" s="1863"/>
      <c r="KVG5" s="1863"/>
      <c r="KVH5" s="1863"/>
      <c r="KVI5" s="1863"/>
      <c r="KVJ5" s="1863"/>
      <c r="KVK5" s="1863"/>
      <c r="KVL5" s="1863"/>
      <c r="KVM5" s="1863"/>
      <c r="KVN5" s="1863"/>
      <c r="KVO5" s="1863"/>
      <c r="KVP5" s="1863"/>
      <c r="KVQ5" s="1863"/>
      <c r="KVR5" s="1863"/>
      <c r="KVS5" s="1863"/>
      <c r="KVT5" s="1863"/>
      <c r="KVU5" s="1863"/>
      <c r="KVV5" s="1863"/>
      <c r="KVW5" s="1863"/>
      <c r="KVX5" s="1863"/>
      <c r="KVY5" s="1863"/>
      <c r="KVZ5" s="1863"/>
      <c r="KWA5" s="1863"/>
      <c r="KWB5" s="1863"/>
      <c r="KWC5" s="1863"/>
      <c r="KWD5" s="1863"/>
      <c r="KWE5" s="1863"/>
      <c r="KWF5" s="1863"/>
      <c r="KWG5" s="1863"/>
      <c r="KWH5" s="1863"/>
      <c r="KWI5" s="1863"/>
      <c r="KWJ5" s="1863"/>
      <c r="KWK5" s="1863"/>
      <c r="KWL5" s="1863"/>
      <c r="KWM5" s="1863"/>
      <c r="KWN5" s="1863"/>
      <c r="KWO5" s="1863"/>
      <c r="KWP5" s="1863"/>
      <c r="KWQ5" s="1863"/>
      <c r="KWR5" s="1863"/>
      <c r="KWS5" s="1863"/>
      <c r="KWT5" s="1863"/>
      <c r="KWU5" s="1863"/>
      <c r="KWV5" s="1863"/>
      <c r="KWW5" s="1863"/>
      <c r="KWX5" s="1863"/>
      <c r="KWY5" s="1863"/>
      <c r="KWZ5" s="1863"/>
      <c r="KXA5" s="1863"/>
      <c r="KXB5" s="1863"/>
      <c r="KXC5" s="1863"/>
      <c r="KXD5" s="1863"/>
      <c r="KXE5" s="1863"/>
      <c r="KXF5" s="1863"/>
      <c r="KXG5" s="1863"/>
      <c r="KXH5" s="1863"/>
      <c r="KXI5" s="1863"/>
      <c r="KXJ5" s="1863"/>
      <c r="KXK5" s="1863"/>
      <c r="KXL5" s="1863"/>
      <c r="KXM5" s="1863"/>
      <c r="KXN5" s="1863"/>
      <c r="KXO5" s="1863"/>
      <c r="KXP5" s="1863"/>
      <c r="KXQ5" s="1863"/>
      <c r="KXR5" s="1863"/>
      <c r="KXS5" s="1863"/>
      <c r="KXT5" s="1863"/>
      <c r="KXU5" s="1863"/>
      <c r="KXV5" s="1863"/>
      <c r="KXW5" s="1863"/>
      <c r="KXX5" s="1863"/>
      <c r="KXY5" s="1863"/>
      <c r="KXZ5" s="1863"/>
      <c r="KYA5" s="1863"/>
      <c r="KYB5" s="1863"/>
      <c r="KYC5" s="1863"/>
      <c r="KYD5" s="1863"/>
      <c r="KYE5" s="1863"/>
      <c r="KYF5" s="1863"/>
      <c r="KYG5" s="1863"/>
      <c r="KYH5" s="1863"/>
      <c r="KYI5" s="1863"/>
      <c r="KYJ5" s="1863"/>
      <c r="KYK5" s="1863"/>
      <c r="KYL5" s="1863"/>
      <c r="KYM5" s="1863"/>
      <c r="KYN5" s="1863"/>
      <c r="KYO5" s="1863"/>
      <c r="KYP5" s="1863"/>
      <c r="KYQ5" s="1863"/>
      <c r="KYR5" s="1863"/>
      <c r="KYS5" s="1863"/>
      <c r="KYT5" s="1863"/>
      <c r="KYU5" s="1863"/>
      <c r="KYV5" s="1863"/>
      <c r="KYW5" s="1863"/>
      <c r="KYX5" s="1863"/>
      <c r="KYY5" s="1863"/>
      <c r="KYZ5" s="1863"/>
      <c r="KZA5" s="1863"/>
      <c r="KZB5" s="1863"/>
      <c r="KZC5" s="1863"/>
      <c r="KZD5" s="1863"/>
      <c r="KZE5" s="1863"/>
      <c r="KZF5" s="1863"/>
      <c r="KZG5" s="1863"/>
      <c r="KZH5" s="1863"/>
      <c r="KZI5" s="1863"/>
      <c r="KZJ5" s="1863"/>
      <c r="KZK5" s="1863"/>
      <c r="KZL5" s="1863"/>
      <c r="KZM5" s="1863"/>
      <c r="KZN5" s="1863"/>
      <c r="KZO5" s="1863"/>
      <c r="KZP5" s="1863"/>
      <c r="KZQ5" s="1863"/>
      <c r="KZR5" s="1863"/>
      <c r="KZS5" s="1863"/>
      <c r="KZT5" s="1863"/>
      <c r="KZU5" s="1863"/>
      <c r="KZV5" s="1863"/>
      <c r="KZW5" s="1863"/>
      <c r="KZX5" s="1863"/>
      <c r="KZY5" s="1863"/>
      <c r="KZZ5" s="1863"/>
      <c r="LAA5" s="1863"/>
      <c r="LAB5" s="1863"/>
      <c r="LAC5" s="1863"/>
      <c r="LAD5" s="1863"/>
      <c r="LAE5" s="1863"/>
      <c r="LAF5" s="1863"/>
      <c r="LAG5" s="1863"/>
      <c r="LAH5" s="1863"/>
      <c r="LAI5" s="1863"/>
      <c r="LAJ5" s="1863"/>
      <c r="LAK5" s="1863"/>
      <c r="LAL5" s="1863"/>
      <c r="LAM5" s="1863"/>
      <c r="LAN5" s="1863"/>
      <c r="LAO5" s="1863"/>
      <c r="LAP5" s="1863"/>
      <c r="LAQ5" s="1863"/>
      <c r="LAR5" s="1863"/>
      <c r="LAS5" s="1863"/>
      <c r="LAT5" s="1863"/>
      <c r="LAU5" s="1863"/>
      <c r="LAV5" s="1863"/>
      <c r="LAW5" s="1863"/>
      <c r="LAX5" s="1863"/>
      <c r="LAY5" s="1863"/>
      <c r="LAZ5" s="1863"/>
      <c r="LBA5" s="1863"/>
      <c r="LBB5" s="1863"/>
      <c r="LBC5" s="1863"/>
      <c r="LBD5" s="1863"/>
      <c r="LBE5" s="1863"/>
      <c r="LBF5" s="1863"/>
      <c r="LBG5" s="1863"/>
      <c r="LBH5" s="1863"/>
      <c r="LBI5" s="1863"/>
      <c r="LBJ5" s="1863"/>
      <c r="LBK5" s="1863"/>
      <c r="LBL5" s="1863"/>
      <c r="LBM5" s="1863"/>
      <c r="LBN5" s="1863"/>
      <c r="LBO5" s="1863"/>
      <c r="LBP5" s="1863"/>
      <c r="LBQ5" s="1863"/>
      <c r="LBR5" s="1863"/>
      <c r="LBS5" s="1863"/>
      <c r="LBT5" s="1863"/>
      <c r="LBU5" s="1863"/>
      <c r="LBV5" s="1863"/>
      <c r="LBW5" s="1863"/>
      <c r="LBX5" s="1863"/>
      <c r="LBY5" s="1863"/>
      <c r="LBZ5" s="1863"/>
      <c r="LCA5" s="1863"/>
      <c r="LCB5" s="1863"/>
      <c r="LCC5" s="1863"/>
      <c r="LCD5" s="1863"/>
      <c r="LCE5" s="1863"/>
      <c r="LCF5" s="1863"/>
      <c r="LCG5" s="1863"/>
      <c r="LCH5" s="1863"/>
      <c r="LCI5" s="1863"/>
      <c r="LCJ5" s="1863"/>
      <c r="LCK5" s="1863"/>
      <c r="LCL5" s="1863"/>
      <c r="LCM5" s="1863"/>
      <c r="LCN5" s="1863"/>
      <c r="LCO5" s="1863"/>
      <c r="LCP5" s="1863"/>
      <c r="LCQ5" s="1863"/>
      <c r="LCR5" s="1863"/>
      <c r="LCS5" s="1863"/>
      <c r="LCT5" s="1863"/>
      <c r="LCU5" s="1863"/>
      <c r="LCV5" s="1863"/>
      <c r="LCW5" s="1863"/>
      <c r="LCX5" s="1863"/>
      <c r="LCY5" s="1863"/>
      <c r="LCZ5" s="1863"/>
      <c r="LDA5" s="1863"/>
      <c r="LDB5" s="1863"/>
      <c r="LDC5" s="1863"/>
      <c r="LDD5" s="1863"/>
      <c r="LDE5" s="1863"/>
      <c r="LDF5" s="1863"/>
      <c r="LDG5" s="1863"/>
      <c r="LDH5" s="1863"/>
      <c r="LDI5" s="1863"/>
      <c r="LDJ5" s="1863"/>
      <c r="LDK5" s="1863"/>
      <c r="LDL5" s="1863"/>
      <c r="LDM5" s="1863"/>
      <c r="LDN5" s="1863"/>
      <c r="LDO5" s="1863"/>
      <c r="LDP5" s="1863"/>
      <c r="LDQ5" s="1863"/>
      <c r="LDR5" s="1863"/>
      <c r="LDS5" s="1863"/>
      <c r="LDT5" s="1863"/>
      <c r="LDU5" s="1863"/>
      <c r="LDV5" s="1863"/>
      <c r="LDW5" s="1863"/>
      <c r="LDX5" s="1863"/>
      <c r="LDY5" s="1863"/>
      <c r="LDZ5" s="1863"/>
      <c r="LEA5" s="1863"/>
      <c r="LEB5" s="1863"/>
      <c r="LEC5" s="1863"/>
      <c r="LED5" s="1863"/>
      <c r="LEE5" s="1863"/>
      <c r="LEF5" s="1863"/>
      <c r="LEG5" s="1863"/>
      <c r="LEH5" s="1863"/>
      <c r="LEI5" s="1863"/>
      <c r="LEJ5" s="1863"/>
      <c r="LEK5" s="1863"/>
      <c r="LEL5" s="1863"/>
      <c r="LEM5" s="1863"/>
      <c r="LEN5" s="1863"/>
      <c r="LEO5" s="1863"/>
      <c r="LEP5" s="1863"/>
      <c r="LEQ5" s="1863"/>
      <c r="LER5" s="1863"/>
      <c r="LES5" s="1863"/>
      <c r="LET5" s="1863"/>
      <c r="LEU5" s="1863"/>
      <c r="LEV5" s="1863"/>
      <c r="LEW5" s="1863"/>
      <c r="LEX5" s="1863"/>
      <c r="LEY5" s="1863"/>
      <c r="LEZ5" s="1863"/>
      <c r="LFA5" s="1863"/>
      <c r="LFB5" s="1863"/>
      <c r="LFC5" s="1863"/>
      <c r="LFD5" s="1863"/>
      <c r="LFE5" s="1863"/>
      <c r="LFF5" s="1863"/>
      <c r="LFG5" s="1863"/>
      <c r="LFH5" s="1863"/>
      <c r="LFI5" s="1863"/>
      <c r="LFJ5" s="1863"/>
      <c r="LFK5" s="1863"/>
      <c r="LFL5" s="1863"/>
      <c r="LFM5" s="1863"/>
      <c r="LFN5" s="1863"/>
      <c r="LFO5" s="1863"/>
      <c r="LFP5" s="1863"/>
      <c r="LFQ5" s="1863"/>
      <c r="LFR5" s="1863"/>
      <c r="LFS5" s="1863"/>
      <c r="LFT5" s="1863"/>
      <c r="LFU5" s="1863"/>
      <c r="LFV5" s="1863"/>
      <c r="LFW5" s="1863"/>
      <c r="LFX5" s="1863"/>
      <c r="LFY5" s="1863"/>
      <c r="LFZ5" s="1863"/>
      <c r="LGA5" s="1863"/>
      <c r="LGB5" s="1863"/>
      <c r="LGC5" s="1863"/>
      <c r="LGD5" s="1863"/>
      <c r="LGE5" s="1863"/>
      <c r="LGF5" s="1863"/>
      <c r="LGG5" s="1863"/>
      <c r="LGH5" s="1863"/>
      <c r="LGI5" s="1863"/>
      <c r="LGJ5" s="1863"/>
      <c r="LGK5" s="1863"/>
      <c r="LGL5" s="1863"/>
      <c r="LGM5" s="1863"/>
      <c r="LGN5" s="1863"/>
      <c r="LGO5" s="1863"/>
      <c r="LGP5" s="1863"/>
      <c r="LGQ5" s="1863"/>
      <c r="LGR5" s="1863"/>
      <c r="LGS5" s="1863"/>
      <c r="LGT5" s="1863"/>
      <c r="LGU5" s="1863"/>
      <c r="LGV5" s="1863"/>
      <c r="LGW5" s="1863"/>
      <c r="LGX5" s="1863"/>
      <c r="LGY5" s="1863"/>
      <c r="LGZ5" s="1863"/>
      <c r="LHA5" s="1863"/>
      <c r="LHB5" s="1863"/>
      <c r="LHC5" s="1863"/>
      <c r="LHD5" s="1863"/>
      <c r="LHE5" s="1863"/>
      <c r="LHF5" s="1863"/>
      <c r="LHG5" s="1863"/>
      <c r="LHH5" s="1863"/>
      <c r="LHI5" s="1863"/>
      <c r="LHJ5" s="1863"/>
      <c r="LHK5" s="1863"/>
      <c r="LHL5" s="1863"/>
      <c r="LHM5" s="1863"/>
      <c r="LHN5" s="1863"/>
      <c r="LHO5" s="1863"/>
      <c r="LHP5" s="1863"/>
      <c r="LHQ5" s="1863"/>
      <c r="LHR5" s="1863"/>
      <c r="LHS5" s="1863"/>
      <c r="LHT5" s="1863"/>
      <c r="LHU5" s="1863"/>
      <c r="LHV5" s="1863"/>
      <c r="LHW5" s="1863"/>
      <c r="LHX5" s="1863"/>
      <c r="LHY5" s="1863"/>
      <c r="LHZ5" s="1863"/>
      <c r="LIA5" s="1863"/>
      <c r="LIB5" s="1863"/>
      <c r="LIC5" s="1863"/>
      <c r="LID5" s="1863"/>
      <c r="LIE5" s="1863"/>
      <c r="LIF5" s="1863"/>
      <c r="LIG5" s="1863"/>
      <c r="LIH5" s="1863"/>
      <c r="LII5" s="1863"/>
      <c r="LIJ5" s="1863"/>
      <c r="LIK5" s="1863"/>
      <c r="LIL5" s="1863"/>
      <c r="LIM5" s="1863"/>
      <c r="LIN5" s="1863"/>
      <c r="LIO5" s="1863"/>
      <c r="LIP5" s="1863"/>
      <c r="LIQ5" s="1863"/>
      <c r="LIR5" s="1863"/>
      <c r="LIS5" s="1863"/>
      <c r="LIT5" s="1863"/>
      <c r="LIU5" s="1863"/>
      <c r="LIV5" s="1863"/>
      <c r="LIW5" s="1863"/>
      <c r="LIX5" s="1863"/>
      <c r="LIY5" s="1863"/>
      <c r="LIZ5" s="1863"/>
      <c r="LJA5" s="1863"/>
      <c r="LJB5" s="1863"/>
      <c r="LJC5" s="1863"/>
      <c r="LJD5" s="1863"/>
      <c r="LJE5" s="1863"/>
      <c r="LJF5" s="1863"/>
      <c r="LJG5" s="1863"/>
      <c r="LJH5" s="1863"/>
      <c r="LJI5" s="1863"/>
      <c r="LJJ5" s="1863"/>
      <c r="LJK5" s="1863"/>
      <c r="LJL5" s="1863"/>
      <c r="LJM5" s="1863"/>
      <c r="LJN5" s="1863"/>
      <c r="LJO5" s="1863"/>
      <c r="LJP5" s="1863"/>
      <c r="LJQ5" s="1863"/>
      <c r="LJR5" s="1863"/>
      <c r="LJS5" s="1863"/>
      <c r="LJT5" s="1863"/>
      <c r="LJU5" s="1863"/>
      <c r="LJV5" s="1863"/>
      <c r="LJW5" s="1863"/>
      <c r="LJX5" s="1863"/>
      <c r="LJY5" s="1863"/>
      <c r="LJZ5" s="1863"/>
      <c r="LKA5" s="1863"/>
      <c r="LKB5" s="1863"/>
      <c r="LKC5" s="1863"/>
      <c r="LKD5" s="1863"/>
      <c r="LKE5" s="1863"/>
      <c r="LKF5" s="1863"/>
      <c r="LKG5" s="1863"/>
      <c r="LKH5" s="1863"/>
      <c r="LKI5" s="1863"/>
      <c r="LKJ5" s="1863"/>
      <c r="LKK5" s="1863"/>
      <c r="LKL5" s="1863"/>
      <c r="LKM5" s="1863"/>
      <c r="LKN5" s="1863"/>
      <c r="LKO5" s="1863"/>
      <c r="LKP5" s="1863"/>
      <c r="LKQ5" s="1863"/>
      <c r="LKR5" s="1863"/>
      <c r="LKS5" s="1863"/>
      <c r="LKT5" s="1863"/>
      <c r="LKU5" s="1863"/>
      <c r="LKV5" s="1863"/>
      <c r="LKW5" s="1863"/>
      <c r="LKX5" s="1863"/>
      <c r="LKY5" s="1863"/>
      <c r="LKZ5" s="1863"/>
      <c r="LLA5" s="1863"/>
      <c r="LLB5" s="1863"/>
      <c r="LLC5" s="1863"/>
      <c r="LLD5" s="1863"/>
      <c r="LLE5" s="1863"/>
      <c r="LLF5" s="1863"/>
      <c r="LLG5" s="1863"/>
      <c r="LLH5" s="1863"/>
      <c r="LLI5" s="1863"/>
      <c r="LLJ5" s="1863"/>
      <c r="LLK5" s="1863"/>
      <c r="LLL5" s="1863"/>
      <c r="LLM5" s="1863"/>
      <c r="LLN5" s="1863"/>
      <c r="LLO5" s="1863"/>
      <c r="LLP5" s="1863"/>
      <c r="LLQ5" s="1863"/>
      <c r="LLR5" s="1863"/>
      <c r="LLS5" s="1863"/>
      <c r="LLT5" s="1863"/>
      <c r="LLU5" s="1863"/>
      <c r="LLV5" s="1863"/>
      <c r="LLW5" s="1863"/>
      <c r="LLX5" s="1863"/>
      <c r="LLY5" s="1863"/>
      <c r="LLZ5" s="1863"/>
      <c r="LMA5" s="1863"/>
      <c r="LMB5" s="1863"/>
      <c r="LMC5" s="1863"/>
      <c r="LMD5" s="1863"/>
      <c r="LME5" s="1863"/>
      <c r="LMF5" s="1863"/>
      <c r="LMG5" s="1863"/>
      <c r="LMH5" s="1863"/>
      <c r="LMI5" s="1863"/>
      <c r="LMJ5" s="1863"/>
      <c r="LMK5" s="1863"/>
      <c r="LML5" s="1863"/>
      <c r="LMM5" s="1863"/>
      <c r="LMN5" s="1863"/>
      <c r="LMO5" s="1863"/>
      <c r="LMP5" s="1863"/>
      <c r="LMQ5" s="1863"/>
      <c r="LMR5" s="1863"/>
      <c r="LMS5" s="1863"/>
      <c r="LMT5" s="1863"/>
      <c r="LMU5" s="1863"/>
      <c r="LMV5" s="1863"/>
      <c r="LMW5" s="1863"/>
      <c r="LMX5" s="1863"/>
      <c r="LMY5" s="1863"/>
      <c r="LMZ5" s="1863"/>
      <c r="LNA5" s="1863"/>
      <c r="LNB5" s="1863"/>
      <c r="LNC5" s="1863"/>
      <c r="LND5" s="1863"/>
      <c r="LNE5" s="1863"/>
      <c r="LNF5" s="1863"/>
      <c r="LNG5" s="1863"/>
      <c r="LNH5" s="1863"/>
      <c r="LNI5" s="1863"/>
      <c r="LNJ5" s="1863"/>
      <c r="LNK5" s="1863"/>
      <c r="LNL5" s="1863"/>
      <c r="LNM5" s="1863"/>
      <c r="LNN5" s="1863"/>
      <c r="LNO5" s="1863"/>
      <c r="LNP5" s="1863"/>
      <c r="LNQ5" s="1863"/>
      <c r="LNR5" s="1863"/>
      <c r="LNS5" s="1863"/>
      <c r="LNT5" s="1863"/>
      <c r="LNU5" s="1863"/>
      <c r="LNV5" s="1863"/>
      <c r="LNW5" s="1863"/>
      <c r="LNX5" s="1863"/>
      <c r="LNY5" s="1863"/>
      <c r="LNZ5" s="1863"/>
      <c r="LOA5" s="1863"/>
      <c r="LOB5" s="1863"/>
      <c r="LOC5" s="1863"/>
      <c r="LOD5" s="1863"/>
      <c r="LOE5" s="1863"/>
      <c r="LOF5" s="1863"/>
      <c r="LOG5" s="1863"/>
      <c r="LOH5" s="1863"/>
      <c r="LOI5" s="1863"/>
      <c r="LOJ5" s="1863"/>
      <c r="LOK5" s="1863"/>
      <c r="LOL5" s="1863"/>
      <c r="LOM5" s="1863"/>
      <c r="LON5" s="1863"/>
      <c r="LOO5" s="1863"/>
      <c r="LOP5" s="1863"/>
      <c r="LOQ5" s="1863"/>
      <c r="LOR5" s="1863"/>
      <c r="LOS5" s="1863"/>
      <c r="LOT5" s="1863"/>
      <c r="LOU5" s="1863"/>
      <c r="LOV5" s="1863"/>
      <c r="LOW5" s="1863"/>
      <c r="LOX5" s="1863"/>
      <c r="LOY5" s="1863"/>
      <c r="LOZ5" s="1863"/>
      <c r="LPA5" s="1863"/>
      <c r="LPB5" s="1863"/>
      <c r="LPC5" s="1863"/>
      <c r="LPD5" s="1863"/>
      <c r="LPE5" s="1863"/>
      <c r="LPF5" s="1863"/>
      <c r="LPG5" s="1863"/>
      <c r="LPH5" s="1863"/>
      <c r="LPI5" s="1863"/>
      <c r="LPJ5" s="1863"/>
      <c r="LPK5" s="1863"/>
      <c r="LPL5" s="1863"/>
      <c r="LPM5" s="1863"/>
      <c r="LPN5" s="1863"/>
      <c r="LPO5" s="1863"/>
      <c r="LPP5" s="1863"/>
      <c r="LPQ5" s="1863"/>
      <c r="LPR5" s="1863"/>
      <c r="LPS5" s="1863"/>
      <c r="LPT5" s="1863"/>
      <c r="LPU5" s="1863"/>
      <c r="LPV5" s="1863"/>
      <c r="LPW5" s="1863"/>
      <c r="LPX5" s="1863"/>
      <c r="LPY5" s="1863"/>
      <c r="LPZ5" s="1863"/>
      <c r="LQA5" s="1863"/>
      <c r="LQB5" s="1863"/>
      <c r="LQC5" s="1863"/>
      <c r="LQD5" s="1863"/>
      <c r="LQE5" s="1863"/>
      <c r="LQF5" s="1863"/>
      <c r="LQG5" s="1863"/>
      <c r="LQH5" s="1863"/>
      <c r="LQI5" s="1863"/>
      <c r="LQJ5" s="1863"/>
      <c r="LQK5" s="1863"/>
      <c r="LQL5" s="1863"/>
      <c r="LQM5" s="1863"/>
      <c r="LQN5" s="1863"/>
      <c r="LQO5" s="1863"/>
      <c r="LQP5" s="1863"/>
      <c r="LQQ5" s="1863"/>
      <c r="LQR5" s="1863"/>
      <c r="LQS5" s="1863"/>
      <c r="LQT5" s="1863"/>
      <c r="LQU5" s="1863"/>
      <c r="LQV5" s="1863"/>
      <c r="LQW5" s="1863"/>
      <c r="LQX5" s="1863"/>
      <c r="LQY5" s="1863"/>
      <c r="LQZ5" s="1863"/>
      <c r="LRA5" s="1863"/>
      <c r="LRB5" s="1863"/>
      <c r="LRC5" s="1863"/>
      <c r="LRD5" s="1863"/>
      <c r="LRE5" s="1863"/>
      <c r="LRF5" s="1863"/>
      <c r="LRG5" s="1863"/>
      <c r="LRH5" s="1863"/>
      <c r="LRI5" s="1863"/>
      <c r="LRJ5" s="1863"/>
      <c r="LRK5" s="1863"/>
      <c r="LRL5" s="1863"/>
      <c r="LRM5" s="1863"/>
      <c r="LRN5" s="1863"/>
      <c r="LRO5" s="1863"/>
      <c r="LRP5" s="1863"/>
      <c r="LRQ5" s="1863"/>
      <c r="LRR5" s="1863"/>
      <c r="LRS5" s="1863"/>
      <c r="LRT5" s="1863"/>
      <c r="LRU5" s="1863"/>
      <c r="LRV5" s="1863"/>
      <c r="LRW5" s="1863"/>
      <c r="LRX5" s="1863"/>
      <c r="LRY5" s="1863"/>
      <c r="LRZ5" s="1863"/>
      <c r="LSA5" s="1863"/>
      <c r="LSB5" s="1863"/>
      <c r="LSC5" s="1863"/>
      <c r="LSD5" s="1863"/>
      <c r="LSE5" s="1863"/>
      <c r="LSF5" s="1863"/>
      <c r="LSG5" s="1863"/>
      <c r="LSH5" s="1863"/>
      <c r="LSI5" s="1863"/>
      <c r="LSJ5" s="1863"/>
      <c r="LSK5" s="1863"/>
      <c r="LSL5" s="1863"/>
      <c r="LSM5" s="1863"/>
      <c r="LSN5" s="1863"/>
      <c r="LSO5" s="1863"/>
      <c r="LSP5" s="1863"/>
      <c r="LSQ5" s="1863"/>
      <c r="LSR5" s="1863"/>
      <c r="LSS5" s="1863"/>
      <c r="LST5" s="1863"/>
      <c r="LSU5" s="1863"/>
      <c r="LSV5" s="1863"/>
      <c r="LSW5" s="1863"/>
      <c r="LSX5" s="1863"/>
      <c r="LSY5" s="1863"/>
      <c r="LSZ5" s="1863"/>
      <c r="LTA5" s="1863"/>
      <c r="LTB5" s="1863"/>
      <c r="LTC5" s="1863"/>
      <c r="LTD5" s="1863"/>
      <c r="LTE5" s="1863"/>
      <c r="LTF5" s="1863"/>
      <c r="LTG5" s="1863"/>
      <c r="LTH5" s="1863"/>
      <c r="LTI5" s="1863"/>
      <c r="LTJ5" s="1863"/>
      <c r="LTK5" s="1863"/>
      <c r="LTL5" s="1863"/>
      <c r="LTM5" s="1863"/>
      <c r="LTN5" s="1863"/>
      <c r="LTO5" s="1863"/>
      <c r="LTP5" s="1863"/>
      <c r="LTQ5" s="1863"/>
      <c r="LTR5" s="1863"/>
      <c r="LTS5" s="1863"/>
      <c r="LTT5" s="1863"/>
      <c r="LTU5" s="1863"/>
      <c r="LTV5" s="1863"/>
      <c r="LTW5" s="1863"/>
      <c r="LTX5" s="1863"/>
      <c r="LTY5" s="1863"/>
      <c r="LTZ5" s="1863"/>
      <c r="LUA5" s="1863"/>
      <c r="LUB5" s="1863"/>
      <c r="LUC5" s="1863"/>
      <c r="LUD5" s="1863"/>
      <c r="LUE5" s="1863"/>
      <c r="LUF5" s="1863"/>
      <c r="LUG5" s="1863"/>
      <c r="LUH5" s="1863"/>
      <c r="LUI5" s="1863"/>
      <c r="LUJ5" s="1863"/>
      <c r="LUK5" s="1863"/>
      <c r="LUL5" s="1863"/>
      <c r="LUM5" s="1863"/>
      <c r="LUN5" s="1863"/>
      <c r="LUO5" s="1863"/>
      <c r="LUP5" s="1863"/>
      <c r="LUQ5" s="1863"/>
      <c r="LUR5" s="1863"/>
      <c r="LUS5" s="1863"/>
      <c r="LUT5" s="1863"/>
      <c r="LUU5" s="1863"/>
      <c r="LUV5" s="1863"/>
      <c r="LUW5" s="1863"/>
      <c r="LUX5" s="1863"/>
      <c r="LUY5" s="1863"/>
      <c r="LUZ5" s="1863"/>
      <c r="LVA5" s="1863"/>
      <c r="LVB5" s="1863"/>
      <c r="LVC5" s="1863"/>
      <c r="LVD5" s="1863"/>
      <c r="LVE5" s="1863"/>
      <c r="LVF5" s="1863"/>
      <c r="LVG5" s="1863"/>
      <c r="LVH5" s="1863"/>
      <c r="LVI5" s="1863"/>
      <c r="LVJ5" s="1863"/>
      <c r="LVK5" s="1863"/>
      <c r="LVL5" s="1863"/>
      <c r="LVM5" s="1863"/>
      <c r="LVN5" s="1863"/>
      <c r="LVO5" s="1863"/>
      <c r="LVP5" s="1863"/>
      <c r="LVQ5" s="1863"/>
      <c r="LVR5" s="1863"/>
      <c r="LVS5" s="1863"/>
      <c r="LVT5" s="1863"/>
      <c r="LVU5" s="1863"/>
      <c r="LVV5" s="1863"/>
      <c r="LVW5" s="1863"/>
      <c r="LVX5" s="1863"/>
      <c r="LVY5" s="1863"/>
      <c r="LVZ5" s="1863"/>
      <c r="LWA5" s="1863"/>
      <c r="LWB5" s="1863"/>
      <c r="LWC5" s="1863"/>
      <c r="LWD5" s="1863"/>
      <c r="LWE5" s="1863"/>
      <c r="LWF5" s="1863"/>
      <c r="LWG5" s="1863"/>
      <c r="LWH5" s="1863"/>
      <c r="LWI5" s="1863"/>
      <c r="LWJ5" s="1863"/>
      <c r="LWK5" s="1863"/>
      <c r="LWL5" s="1863"/>
      <c r="LWM5" s="1863"/>
      <c r="LWN5" s="1863"/>
      <c r="LWO5" s="1863"/>
      <c r="LWP5" s="1863"/>
      <c r="LWQ5" s="1863"/>
      <c r="LWR5" s="1863"/>
      <c r="LWS5" s="1863"/>
      <c r="LWT5" s="1863"/>
      <c r="LWU5" s="1863"/>
      <c r="LWV5" s="1863"/>
      <c r="LWW5" s="1863"/>
      <c r="LWX5" s="1863"/>
      <c r="LWY5" s="1863"/>
      <c r="LWZ5" s="1863"/>
      <c r="LXA5" s="1863"/>
      <c r="LXB5" s="1863"/>
      <c r="LXC5" s="1863"/>
      <c r="LXD5" s="1863"/>
      <c r="LXE5" s="1863"/>
      <c r="LXF5" s="1863"/>
      <c r="LXG5" s="1863"/>
      <c r="LXH5" s="1863"/>
      <c r="LXI5" s="1863"/>
      <c r="LXJ5" s="1863"/>
      <c r="LXK5" s="1863"/>
      <c r="LXL5" s="1863"/>
      <c r="LXM5" s="1863"/>
      <c r="LXN5" s="1863"/>
      <c r="LXO5" s="1863"/>
      <c r="LXP5" s="1863"/>
      <c r="LXQ5" s="1863"/>
      <c r="LXR5" s="1863"/>
      <c r="LXS5" s="1863"/>
      <c r="LXT5" s="1863"/>
      <c r="LXU5" s="1863"/>
      <c r="LXV5" s="1863"/>
      <c r="LXW5" s="1863"/>
      <c r="LXX5" s="1863"/>
      <c r="LXY5" s="1863"/>
      <c r="LXZ5" s="1863"/>
      <c r="LYA5" s="1863"/>
      <c r="LYB5" s="1863"/>
      <c r="LYC5" s="1863"/>
      <c r="LYD5" s="1863"/>
      <c r="LYE5" s="1863"/>
      <c r="LYF5" s="1863"/>
      <c r="LYG5" s="1863"/>
      <c r="LYH5" s="1863"/>
      <c r="LYI5" s="1863"/>
      <c r="LYJ5" s="1863"/>
      <c r="LYK5" s="1863"/>
      <c r="LYL5" s="1863"/>
      <c r="LYM5" s="1863"/>
      <c r="LYN5" s="1863"/>
      <c r="LYO5" s="1863"/>
      <c r="LYP5" s="1863"/>
      <c r="LYQ5" s="1863"/>
      <c r="LYR5" s="1863"/>
      <c r="LYS5" s="1863"/>
      <c r="LYT5" s="1863"/>
      <c r="LYU5" s="1863"/>
      <c r="LYV5" s="1863"/>
      <c r="LYW5" s="1863"/>
      <c r="LYX5" s="1863"/>
      <c r="LYY5" s="1863"/>
      <c r="LYZ5" s="1863"/>
      <c r="LZA5" s="1863"/>
      <c r="LZB5" s="1863"/>
      <c r="LZC5" s="1863"/>
      <c r="LZD5" s="1863"/>
      <c r="LZE5" s="1863"/>
      <c r="LZF5" s="1863"/>
      <c r="LZG5" s="1863"/>
      <c r="LZH5" s="1863"/>
      <c r="LZI5" s="1863"/>
      <c r="LZJ5" s="1863"/>
      <c r="LZK5" s="1863"/>
      <c r="LZL5" s="1863"/>
      <c r="LZM5" s="1863"/>
      <c r="LZN5" s="1863"/>
      <c r="LZO5" s="1863"/>
      <c r="LZP5" s="1863"/>
      <c r="LZQ5" s="1863"/>
      <c r="LZR5" s="1863"/>
      <c r="LZS5" s="1863"/>
      <c r="LZT5" s="1863"/>
      <c r="LZU5" s="1863"/>
      <c r="LZV5" s="1863"/>
      <c r="LZW5" s="1863"/>
      <c r="LZX5" s="1863"/>
      <c r="LZY5" s="1863"/>
      <c r="LZZ5" s="1863"/>
      <c r="MAA5" s="1863"/>
      <c r="MAB5" s="1863"/>
      <c r="MAC5" s="1863"/>
      <c r="MAD5" s="1863"/>
      <c r="MAE5" s="1863"/>
      <c r="MAF5" s="1863"/>
      <c r="MAG5" s="1863"/>
      <c r="MAH5" s="1863"/>
      <c r="MAI5" s="1863"/>
      <c r="MAJ5" s="1863"/>
      <c r="MAK5" s="1863"/>
      <c r="MAL5" s="1863"/>
      <c r="MAM5" s="1863"/>
      <c r="MAN5" s="1863"/>
      <c r="MAO5" s="1863"/>
      <c r="MAP5" s="1863"/>
      <c r="MAQ5" s="1863"/>
      <c r="MAR5" s="1863"/>
      <c r="MAS5" s="1863"/>
      <c r="MAT5" s="1863"/>
      <c r="MAU5" s="1863"/>
      <c r="MAV5" s="1863"/>
      <c r="MAW5" s="1863"/>
      <c r="MAX5" s="1863"/>
      <c r="MAY5" s="1863"/>
      <c r="MAZ5" s="1863"/>
      <c r="MBA5" s="1863"/>
      <c r="MBB5" s="1863"/>
      <c r="MBC5" s="1863"/>
      <c r="MBD5" s="1863"/>
      <c r="MBE5" s="1863"/>
      <c r="MBF5" s="1863"/>
      <c r="MBG5" s="1863"/>
      <c r="MBH5" s="1863"/>
      <c r="MBI5" s="1863"/>
      <c r="MBJ5" s="1863"/>
      <c r="MBK5" s="1863"/>
      <c r="MBL5" s="1863"/>
      <c r="MBM5" s="1863"/>
      <c r="MBN5" s="1863"/>
      <c r="MBO5" s="1863"/>
      <c r="MBP5" s="1863"/>
      <c r="MBQ5" s="1863"/>
      <c r="MBR5" s="1863"/>
      <c r="MBS5" s="1863"/>
      <c r="MBT5" s="1863"/>
      <c r="MBU5" s="1863"/>
      <c r="MBV5" s="1863"/>
      <c r="MBW5" s="1863"/>
      <c r="MBX5" s="1863"/>
      <c r="MBY5" s="1863"/>
      <c r="MBZ5" s="1863"/>
      <c r="MCA5" s="1863"/>
      <c r="MCB5" s="1863"/>
      <c r="MCC5" s="1863"/>
      <c r="MCD5" s="1863"/>
      <c r="MCE5" s="1863"/>
      <c r="MCF5" s="1863"/>
      <c r="MCG5" s="1863"/>
      <c r="MCH5" s="1863"/>
      <c r="MCI5" s="1863"/>
      <c r="MCJ5" s="1863"/>
      <c r="MCK5" s="1863"/>
      <c r="MCL5" s="1863"/>
      <c r="MCM5" s="1863"/>
      <c r="MCN5" s="1863"/>
      <c r="MCO5" s="1863"/>
      <c r="MCP5" s="1863"/>
      <c r="MCQ5" s="1863"/>
      <c r="MCR5" s="1863"/>
      <c r="MCS5" s="1863"/>
      <c r="MCT5" s="1863"/>
      <c r="MCU5" s="1863"/>
      <c r="MCV5" s="1863"/>
      <c r="MCW5" s="1863"/>
      <c r="MCX5" s="1863"/>
      <c r="MCY5" s="1863"/>
      <c r="MCZ5" s="1863"/>
      <c r="MDA5" s="1863"/>
      <c r="MDB5" s="1863"/>
      <c r="MDC5" s="1863"/>
      <c r="MDD5" s="1863"/>
      <c r="MDE5" s="1863"/>
      <c r="MDF5" s="1863"/>
      <c r="MDG5" s="1863"/>
      <c r="MDH5" s="1863"/>
      <c r="MDI5" s="1863"/>
      <c r="MDJ5" s="1863"/>
      <c r="MDK5" s="1863"/>
      <c r="MDL5" s="1863"/>
      <c r="MDM5" s="1863"/>
      <c r="MDN5" s="1863"/>
      <c r="MDO5" s="1863"/>
      <c r="MDP5" s="1863"/>
      <c r="MDQ5" s="1863"/>
      <c r="MDR5" s="1863"/>
      <c r="MDS5" s="1863"/>
      <c r="MDT5" s="1863"/>
      <c r="MDU5" s="1863"/>
      <c r="MDV5" s="1863"/>
      <c r="MDW5" s="1863"/>
      <c r="MDX5" s="1863"/>
      <c r="MDY5" s="1863"/>
      <c r="MDZ5" s="1863"/>
      <c r="MEA5" s="1863"/>
      <c r="MEB5" s="1863"/>
      <c r="MEC5" s="1863"/>
      <c r="MED5" s="1863"/>
      <c r="MEE5" s="1863"/>
      <c r="MEF5" s="1863"/>
      <c r="MEG5" s="1863"/>
      <c r="MEH5" s="1863"/>
      <c r="MEI5" s="1863"/>
      <c r="MEJ5" s="1863"/>
      <c r="MEK5" s="1863"/>
      <c r="MEL5" s="1863"/>
      <c r="MEM5" s="1863"/>
      <c r="MEN5" s="1863"/>
      <c r="MEO5" s="1863"/>
      <c r="MEP5" s="1863"/>
      <c r="MEQ5" s="1863"/>
      <c r="MER5" s="1863"/>
      <c r="MES5" s="1863"/>
      <c r="MET5" s="1863"/>
      <c r="MEU5" s="1863"/>
      <c r="MEV5" s="1863"/>
      <c r="MEW5" s="1863"/>
      <c r="MEX5" s="1863"/>
      <c r="MEY5" s="1863"/>
      <c r="MEZ5" s="1863"/>
      <c r="MFA5" s="1863"/>
      <c r="MFB5" s="1863"/>
      <c r="MFC5" s="1863"/>
      <c r="MFD5" s="1863"/>
      <c r="MFE5" s="1863"/>
      <c r="MFF5" s="1863"/>
      <c r="MFG5" s="1863"/>
      <c r="MFH5" s="1863"/>
      <c r="MFI5" s="1863"/>
      <c r="MFJ5" s="1863"/>
      <c r="MFK5" s="1863"/>
      <c r="MFL5" s="1863"/>
      <c r="MFM5" s="1863"/>
      <c r="MFN5" s="1863"/>
      <c r="MFO5" s="1863"/>
      <c r="MFP5" s="1863"/>
      <c r="MFQ5" s="1863"/>
      <c r="MFR5" s="1863"/>
      <c r="MFS5" s="1863"/>
      <c r="MFT5" s="1863"/>
      <c r="MFU5" s="1863"/>
      <c r="MFV5" s="1863"/>
      <c r="MFW5" s="1863"/>
      <c r="MFX5" s="1863"/>
      <c r="MFY5" s="1863"/>
      <c r="MFZ5" s="1863"/>
      <c r="MGA5" s="1863"/>
      <c r="MGB5" s="1863"/>
      <c r="MGC5" s="1863"/>
      <c r="MGD5" s="1863"/>
      <c r="MGE5" s="1863"/>
      <c r="MGF5" s="1863"/>
      <c r="MGG5" s="1863"/>
      <c r="MGH5" s="1863"/>
      <c r="MGI5" s="1863"/>
      <c r="MGJ5" s="1863"/>
      <c r="MGK5" s="1863"/>
      <c r="MGL5" s="1863"/>
      <c r="MGM5" s="1863"/>
      <c r="MGN5" s="1863"/>
      <c r="MGO5" s="1863"/>
      <c r="MGP5" s="1863"/>
      <c r="MGQ5" s="1863"/>
      <c r="MGR5" s="1863"/>
      <c r="MGS5" s="1863"/>
      <c r="MGT5" s="1863"/>
      <c r="MGU5" s="1863"/>
      <c r="MGV5" s="1863"/>
      <c r="MGW5" s="1863"/>
      <c r="MGX5" s="1863"/>
      <c r="MGY5" s="1863"/>
      <c r="MGZ5" s="1863"/>
      <c r="MHA5" s="1863"/>
      <c r="MHB5" s="1863"/>
      <c r="MHC5" s="1863"/>
      <c r="MHD5" s="1863"/>
      <c r="MHE5" s="1863"/>
      <c r="MHF5" s="1863"/>
      <c r="MHG5" s="1863"/>
      <c r="MHH5" s="1863"/>
      <c r="MHI5" s="1863"/>
      <c r="MHJ5" s="1863"/>
      <c r="MHK5" s="1863"/>
      <c r="MHL5" s="1863"/>
      <c r="MHM5" s="1863"/>
      <c r="MHN5" s="1863"/>
      <c r="MHO5" s="1863"/>
      <c r="MHP5" s="1863"/>
      <c r="MHQ5" s="1863"/>
      <c r="MHR5" s="1863"/>
      <c r="MHS5" s="1863"/>
      <c r="MHT5" s="1863"/>
      <c r="MHU5" s="1863"/>
      <c r="MHV5" s="1863"/>
      <c r="MHW5" s="1863"/>
      <c r="MHX5" s="1863"/>
      <c r="MHY5" s="1863"/>
      <c r="MHZ5" s="1863"/>
      <c r="MIA5" s="1863"/>
      <c r="MIB5" s="1863"/>
      <c r="MIC5" s="1863"/>
      <c r="MID5" s="1863"/>
      <c r="MIE5" s="1863"/>
      <c r="MIF5" s="1863"/>
      <c r="MIG5" s="1863"/>
      <c r="MIH5" s="1863"/>
      <c r="MII5" s="1863"/>
      <c r="MIJ5" s="1863"/>
      <c r="MIK5" s="1863"/>
      <c r="MIL5" s="1863"/>
      <c r="MIM5" s="1863"/>
      <c r="MIN5" s="1863"/>
      <c r="MIO5" s="1863"/>
      <c r="MIP5" s="1863"/>
      <c r="MIQ5" s="1863"/>
      <c r="MIR5" s="1863"/>
      <c r="MIS5" s="1863"/>
      <c r="MIT5" s="1863"/>
      <c r="MIU5" s="1863"/>
      <c r="MIV5" s="1863"/>
      <c r="MIW5" s="1863"/>
      <c r="MIX5" s="1863"/>
      <c r="MIY5" s="1863"/>
      <c r="MIZ5" s="1863"/>
      <c r="MJA5" s="1863"/>
      <c r="MJB5" s="1863"/>
      <c r="MJC5" s="1863"/>
      <c r="MJD5" s="1863"/>
      <c r="MJE5" s="1863"/>
      <c r="MJF5" s="1863"/>
      <c r="MJG5" s="1863"/>
      <c r="MJH5" s="1863"/>
      <c r="MJI5" s="1863"/>
      <c r="MJJ5" s="1863"/>
      <c r="MJK5" s="1863"/>
      <c r="MJL5" s="1863"/>
      <c r="MJM5" s="1863"/>
      <c r="MJN5" s="1863"/>
      <c r="MJO5" s="1863"/>
      <c r="MJP5" s="1863"/>
      <c r="MJQ5" s="1863"/>
      <c r="MJR5" s="1863"/>
      <c r="MJS5" s="1863"/>
      <c r="MJT5" s="1863"/>
      <c r="MJU5" s="1863"/>
      <c r="MJV5" s="1863"/>
      <c r="MJW5" s="1863"/>
      <c r="MJX5" s="1863"/>
      <c r="MJY5" s="1863"/>
      <c r="MJZ5" s="1863"/>
      <c r="MKA5" s="1863"/>
      <c r="MKB5" s="1863"/>
      <c r="MKC5" s="1863"/>
      <c r="MKD5" s="1863"/>
      <c r="MKE5" s="1863"/>
      <c r="MKF5" s="1863"/>
      <c r="MKG5" s="1863"/>
      <c r="MKH5" s="1863"/>
      <c r="MKI5" s="1863"/>
      <c r="MKJ5" s="1863"/>
      <c r="MKK5" s="1863"/>
      <c r="MKL5" s="1863"/>
      <c r="MKM5" s="1863"/>
      <c r="MKN5" s="1863"/>
      <c r="MKO5" s="1863"/>
      <c r="MKP5" s="1863"/>
      <c r="MKQ5" s="1863"/>
      <c r="MKR5" s="1863"/>
      <c r="MKS5" s="1863"/>
      <c r="MKT5" s="1863"/>
      <c r="MKU5" s="1863"/>
      <c r="MKV5" s="1863"/>
      <c r="MKW5" s="1863"/>
      <c r="MKX5" s="1863"/>
      <c r="MKY5" s="1863"/>
      <c r="MKZ5" s="1863"/>
      <c r="MLA5" s="1863"/>
      <c r="MLB5" s="1863"/>
      <c r="MLC5" s="1863"/>
      <c r="MLD5" s="1863"/>
      <c r="MLE5" s="1863"/>
      <c r="MLF5" s="1863"/>
      <c r="MLG5" s="1863"/>
      <c r="MLH5" s="1863"/>
      <c r="MLI5" s="1863"/>
      <c r="MLJ5" s="1863"/>
      <c r="MLK5" s="1863"/>
      <c r="MLL5" s="1863"/>
      <c r="MLM5" s="1863"/>
      <c r="MLN5" s="1863"/>
      <c r="MLO5" s="1863"/>
      <c r="MLP5" s="1863"/>
      <c r="MLQ5" s="1863"/>
      <c r="MLR5" s="1863"/>
      <c r="MLS5" s="1863"/>
      <c r="MLT5" s="1863"/>
      <c r="MLU5" s="1863"/>
      <c r="MLV5" s="1863"/>
      <c r="MLW5" s="1863"/>
      <c r="MLX5" s="1863"/>
      <c r="MLY5" s="1863"/>
      <c r="MLZ5" s="1863"/>
      <c r="MMA5" s="1863"/>
      <c r="MMB5" s="1863"/>
      <c r="MMC5" s="1863"/>
      <c r="MMD5" s="1863"/>
      <c r="MME5" s="1863"/>
      <c r="MMF5" s="1863"/>
      <c r="MMG5" s="1863"/>
      <c r="MMH5" s="1863"/>
      <c r="MMI5" s="1863"/>
      <c r="MMJ5" s="1863"/>
      <c r="MMK5" s="1863"/>
      <c r="MML5" s="1863"/>
      <c r="MMM5" s="1863"/>
      <c r="MMN5" s="1863"/>
      <c r="MMO5" s="1863"/>
      <c r="MMP5" s="1863"/>
      <c r="MMQ5" s="1863"/>
      <c r="MMR5" s="1863"/>
      <c r="MMS5" s="1863"/>
      <c r="MMT5" s="1863"/>
      <c r="MMU5" s="1863"/>
      <c r="MMV5" s="1863"/>
      <c r="MMW5" s="1863"/>
      <c r="MMX5" s="1863"/>
      <c r="MMY5" s="1863"/>
      <c r="MMZ5" s="1863"/>
      <c r="MNA5" s="1863"/>
      <c r="MNB5" s="1863"/>
      <c r="MNC5" s="1863"/>
      <c r="MND5" s="1863"/>
      <c r="MNE5" s="1863"/>
      <c r="MNF5" s="1863"/>
      <c r="MNG5" s="1863"/>
      <c r="MNH5" s="1863"/>
      <c r="MNI5" s="1863"/>
      <c r="MNJ5" s="1863"/>
      <c r="MNK5" s="1863"/>
      <c r="MNL5" s="1863"/>
      <c r="MNM5" s="1863"/>
      <c r="MNN5" s="1863"/>
      <c r="MNO5" s="1863"/>
      <c r="MNP5" s="1863"/>
      <c r="MNQ5" s="1863"/>
      <c r="MNR5" s="1863"/>
      <c r="MNS5" s="1863"/>
      <c r="MNT5" s="1863"/>
      <c r="MNU5" s="1863"/>
      <c r="MNV5" s="1863"/>
      <c r="MNW5" s="1863"/>
      <c r="MNX5" s="1863"/>
      <c r="MNY5" s="1863"/>
      <c r="MNZ5" s="1863"/>
      <c r="MOA5" s="1863"/>
      <c r="MOB5" s="1863"/>
      <c r="MOC5" s="1863"/>
      <c r="MOD5" s="1863"/>
      <c r="MOE5" s="1863"/>
      <c r="MOF5" s="1863"/>
      <c r="MOG5" s="1863"/>
      <c r="MOH5" s="1863"/>
      <c r="MOI5" s="1863"/>
      <c r="MOJ5" s="1863"/>
      <c r="MOK5" s="1863"/>
      <c r="MOL5" s="1863"/>
      <c r="MOM5" s="1863"/>
      <c r="MON5" s="1863"/>
      <c r="MOO5" s="1863"/>
      <c r="MOP5" s="1863"/>
      <c r="MOQ5" s="1863"/>
      <c r="MOR5" s="1863"/>
      <c r="MOS5" s="1863"/>
      <c r="MOT5" s="1863"/>
      <c r="MOU5" s="1863"/>
      <c r="MOV5" s="1863"/>
      <c r="MOW5" s="1863"/>
      <c r="MOX5" s="1863"/>
      <c r="MOY5" s="1863"/>
      <c r="MOZ5" s="1863"/>
      <c r="MPA5" s="1863"/>
      <c r="MPB5" s="1863"/>
      <c r="MPC5" s="1863"/>
      <c r="MPD5" s="1863"/>
      <c r="MPE5" s="1863"/>
      <c r="MPF5" s="1863"/>
      <c r="MPG5" s="1863"/>
      <c r="MPH5" s="1863"/>
      <c r="MPI5" s="1863"/>
      <c r="MPJ5" s="1863"/>
      <c r="MPK5" s="1863"/>
      <c r="MPL5" s="1863"/>
      <c r="MPM5" s="1863"/>
      <c r="MPN5" s="1863"/>
      <c r="MPO5" s="1863"/>
      <c r="MPP5" s="1863"/>
      <c r="MPQ5" s="1863"/>
      <c r="MPR5" s="1863"/>
      <c r="MPS5" s="1863"/>
      <c r="MPT5" s="1863"/>
      <c r="MPU5" s="1863"/>
      <c r="MPV5" s="1863"/>
      <c r="MPW5" s="1863"/>
      <c r="MPX5" s="1863"/>
      <c r="MPY5" s="1863"/>
      <c r="MPZ5" s="1863"/>
      <c r="MQA5" s="1863"/>
      <c r="MQB5" s="1863"/>
      <c r="MQC5" s="1863"/>
      <c r="MQD5" s="1863"/>
      <c r="MQE5" s="1863"/>
      <c r="MQF5" s="1863"/>
      <c r="MQG5" s="1863"/>
      <c r="MQH5" s="1863"/>
      <c r="MQI5" s="1863"/>
      <c r="MQJ5" s="1863"/>
      <c r="MQK5" s="1863"/>
      <c r="MQL5" s="1863"/>
      <c r="MQM5" s="1863"/>
      <c r="MQN5" s="1863"/>
      <c r="MQO5" s="1863"/>
      <c r="MQP5" s="1863"/>
      <c r="MQQ5" s="1863"/>
      <c r="MQR5" s="1863"/>
      <c r="MQS5" s="1863"/>
      <c r="MQT5" s="1863"/>
      <c r="MQU5" s="1863"/>
      <c r="MQV5" s="1863"/>
      <c r="MQW5" s="1863"/>
      <c r="MQX5" s="1863"/>
      <c r="MQY5" s="1863"/>
      <c r="MQZ5" s="1863"/>
      <c r="MRA5" s="1863"/>
      <c r="MRB5" s="1863"/>
      <c r="MRC5" s="1863"/>
      <c r="MRD5" s="1863"/>
      <c r="MRE5" s="1863"/>
      <c r="MRF5" s="1863"/>
      <c r="MRG5" s="1863"/>
      <c r="MRH5" s="1863"/>
      <c r="MRI5" s="1863"/>
      <c r="MRJ5" s="1863"/>
      <c r="MRK5" s="1863"/>
      <c r="MRL5" s="1863"/>
      <c r="MRM5" s="1863"/>
      <c r="MRN5" s="1863"/>
      <c r="MRO5" s="1863"/>
      <c r="MRP5" s="1863"/>
      <c r="MRQ5" s="1863"/>
      <c r="MRR5" s="1863"/>
      <c r="MRS5" s="1863"/>
      <c r="MRT5" s="1863"/>
      <c r="MRU5" s="1863"/>
      <c r="MRV5" s="1863"/>
      <c r="MRW5" s="1863"/>
      <c r="MRX5" s="1863"/>
      <c r="MRY5" s="1863"/>
      <c r="MRZ5" s="1863"/>
      <c r="MSA5" s="1863"/>
      <c r="MSB5" s="1863"/>
      <c r="MSC5" s="1863"/>
      <c r="MSD5" s="1863"/>
      <c r="MSE5" s="1863"/>
      <c r="MSF5" s="1863"/>
      <c r="MSG5" s="1863"/>
      <c r="MSH5" s="1863"/>
      <c r="MSI5" s="1863"/>
      <c r="MSJ5" s="1863"/>
      <c r="MSK5" s="1863"/>
      <c r="MSL5" s="1863"/>
      <c r="MSM5" s="1863"/>
      <c r="MSN5" s="1863"/>
      <c r="MSO5" s="1863"/>
      <c r="MSP5" s="1863"/>
      <c r="MSQ5" s="1863"/>
      <c r="MSR5" s="1863"/>
      <c r="MSS5" s="1863"/>
      <c r="MST5" s="1863"/>
      <c r="MSU5" s="1863"/>
      <c r="MSV5" s="1863"/>
      <c r="MSW5" s="1863"/>
      <c r="MSX5" s="1863"/>
      <c r="MSY5" s="1863"/>
      <c r="MSZ5" s="1863"/>
      <c r="MTA5" s="1863"/>
      <c r="MTB5" s="1863"/>
      <c r="MTC5" s="1863"/>
      <c r="MTD5" s="1863"/>
      <c r="MTE5" s="1863"/>
      <c r="MTF5" s="1863"/>
      <c r="MTG5" s="1863"/>
      <c r="MTH5" s="1863"/>
      <c r="MTI5" s="1863"/>
      <c r="MTJ5" s="1863"/>
      <c r="MTK5" s="1863"/>
      <c r="MTL5" s="1863"/>
      <c r="MTM5" s="1863"/>
      <c r="MTN5" s="1863"/>
      <c r="MTO5" s="1863"/>
      <c r="MTP5" s="1863"/>
      <c r="MTQ5" s="1863"/>
      <c r="MTR5" s="1863"/>
      <c r="MTS5" s="1863"/>
      <c r="MTT5" s="1863"/>
      <c r="MTU5" s="1863"/>
      <c r="MTV5" s="1863"/>
      <c r="MTW5" s="1863"/>
      <c r="MTX5" s="1863"/>
      <c r="MTY5" s="1863"/>
      <c r="MTZ5" s="1863"/>
      <c r="MUA5" s="1863"/>
      <c r="MUB5" s="1863"/>
      <c r="MUC5" s="1863"/>
      <c r="MUD5" s="1863"/>
      <c r="MUE5" s="1863"/>
      <c r="MUF5" s="1863"/>
      <c r="MUG5" s="1863"/>
      <c r="MUH5" s="1863"/>
      <c r="MUI5" s="1863"/>
      <c r="MUJ5" s="1863"/>
      <c r="MUK5" s="1863"/>
      <c r="MUL5" s="1863"/>
      <c r="MUM5" s="1863"/>
      <c r="MUN5" s="1863"/>
      <c r="MUO5" s="1863"/>
      <c r="MUP5" s="1863"/>
      <c r="MUQ5" s="1863"/>
      <c r="MUR5" s="1863"/>
      <c r="MUS5" s="1863"/>
      <c r="MUT5" s="1863"/>
      <c r="MUU5" s="1863"/>
      <c r="MUV5" s="1863"/>
      <c r="MUW5" s="1863"/>
      <c r="MUX5" s="1863"/>
      <c r="MUY5" s="1863"/>
      <c r="MUZ5" s="1863"/>
      <c r="MVA5" s="1863"/>
      <c r="MVB5" s="1863"/>
      <c r="MVC5" s="1863"/>
      <c r="MVD5" s="1863"/>
      <c r="MVE5" s="1863"/>
      <c r="MVF5" s="1863"/>
      <c r="MVG5" s="1863"/>
      <c r="MVH5" s="1863"/>
      <c r="MVI5" s="1863"/>
      <c r="MVJ5" s="1863"/>
      <c r="MVK5" s="1863"/>
      <c r="MVL5" s="1863"/>
      <c r="MVM5" s="1863"/>
      <c r="MVN5" s="1863"/>
      <c r="MVO5" s="1863"/>
      <c r="MVP5" s="1863"/>
      <c r="MVQ5" s="1863"/>
      <c r="MVR5" s="1863"/>
      <c r="MVS5" s="1863"/>
      <c r="MVT5" s="1863"/>
      <c r="MVU5" s="1863"/>
      <c r="MVV5" s="1863"/>
      <c r="MVW5" s="1863"/>
      <c r="MVX5" s="1863"/>
      <c r="MVY5" s="1863"/>
      <c r="MVZ5" s="1863"/>
      <c r="MWA5" s="1863"/>
      <c r="MWB5" s="1863"/>
      <c r="MWC5" s="1863"/>
      <c r="MWD5" s="1863"/>
      <c r="MWE5" s="1863"/>
      <c r="MWF5" s="1863"/>
      <c r="MWG5" s="1863"/>
      <c r="MWH5" s="1863"/>
      <c r="MWI5" s="1863"/>
      <c r="MWJ5" s="1863"/>
      <c r="MWK5" s="1863"/>
      <c r="MWL5" s="1863"/>
      <c r="MWM5" s="1863"/>
      <c r="MWN5" s="1863"/>
      <c r="MWO5" s="1863"/>
      <c r="MWP5" s="1863"/>
      <c r="MWQ5" s="1863"/>
      <c r="MWR5" s="1863"/>
      <c r="MWS5" s="1863"/>
      <c r="MWT5" s="1863"/>
      <c r="MWU5" s="1863"/>
      <c r="MWV5" s="1863"/>
      <c r="MWW5" s="1863"/>
      <c r="MWX5" s="1863"/>
      <c r="MWY5" s="1863"/>
      <c r="MWZ5" s="1863"/>
      <c r="MXA5" s="1863"/>
      <c r="MXB5" s="1863"/>
      <c r="MXC5" s="1863"/>
      <c r="MXD5" s="1863"/>
      <c r="MXE5" s="1863"/>
      <c r="MXF5" s="1863"/>
      <c r="MXG5" s="1863"/>
      <c r="MXH5" s="1863"/>
      <c r="MXI5" s="1863"/>
      <c r="MXJ5" s="1863"/>
      <c r="MXK5" s="1863"/>
      <c r="MXL5" s="1863"/>
      <c r="MXM5" s="1863"/>
      <c r="MXN5" s="1863"/>
      <c r="MXO5" s="1863"/>
      <c r="MXP5" s="1863"/>
      <c r="MXQ5" s="1863"/>
      <c r="MXR5" s="1863"/>
      <c r="MXS5" s="1863"/>
      <c r="MXT5" s="1863"/>
      <c r="MXU5" s="1863"/>
      <c r="MXV5" s="1863"/>
      <c r="MXW5" s="1863"/>
      <c r="MXX5" s="1863"/>
      <c r="MXY5" s="1863"/>
      <c r="MXZ5" s="1863"/>
      <c r="MYA5" s="1863"/>
      <c r="MYB5" s="1863"/>
      <c r="MYC5" s="1863"/>
      <c r="MYD5" s="1863"/>
      <c r="MYE5" s="1863"/>
      <c r="MYF5" s="1863"/>
      <c r="MYG5" s="1863"/>
      <c r="MYH5" s="1863"/>
      <c r="MYI5" s="1863"/>
      <c r="MYJ5" s="1863"/>
      <c r="MYK5" s="1863"/>
      <c r="MYL5" s="1863"/>
      <c r="MYM5" s="1863"/>
      <c r="MYN5" s="1863"/>
      <c r="MYO5" s="1863"/>
      <c r="MYP5" s="1863"/>
      <c r="MYQ5" s="1863"/>
      <c r="MYR5" s="1863"/>
      <c r="MYS5" s="1863"/>
      <c r="MYT5" s="1863"/>
      <c r="MYU5" s="1863"/>
      <c r="MYV5" s="1863"/>
      <c r="MYW5" s="1863"/>
      <c r="MYX5" s="1863"/>
      <c r="MYY5" s="1863"/>
      <c r="MYZ5" s="1863"/>
      <c r="MZA5" s="1863"/>
      <c r="MZB5" s="1863"/>
      <c r="MZC5" s="1863"/>
      <c r="MZD5" s="1863"/>
      <c r="MZE5" s="1863"/>
      <c r="MZF5" s="1863"/>
      <c r="MZG5" s="1863"/>
      <c r="MZH5" s="1863"/>
      <c r="MZI5" s="1863"/>
      <c r="MZJ5" s="1863"/>
      <c r="MZK5" s="1863"/>
      <c r="MZL5" s="1863"/>
      <c r="MZM5" s="1863"/>
      <c r="MZN5" s="1863"/>
      <c r="MZO5" s="1863"/>
      <c r="MZP5" s="1863"/>
      <c r="MZQ5" s="1863"/>
      <c r="MZR5" s="1863"/>
      <c r="MZS5" s="1863"/>
      <c r="MZT5" s="1863"/>
      <c r="MZU5" s="1863"/>
      <c r="MZV5" s="1863"/>
      <c r="MZW5" s="1863"/>
      <c r="MZX5" s="1863"/>
      <c r="MZY5" s="1863"/>
      <c r="MZZ5" s="1863"/>
      <c r="NAA5" s="1863"/>
      <c r="NAB5" s="1863"/>
      <c r="NAC5" s="1863"/>
      <c r="NAD5" s="1863"/>
      <c r="NAE5" s="1863"/>
      <c r="NAF5" s="1863"/>
      <c r="NAG5" s="1863"/>
      <c r="NAH5" s="1863"/>
      <c r="NAI5" s="1863"/>
      <c r="NAJ5" s="1863"/>
      <c r="NAK5" s="1863"/>
      <c r="NAL5" s="1863"/>
      <c r="NAM5" s="1863"/>
      <c r="NAN5" s="1863"/>
      <c r="NAO5" s="1863"/>
      <c r="NAP5" s="1863"/>
      <c r="NAQ5" s="1863"/>
      <c r="NAR5" s="1863"/>
      <c r="NAS5" s="1863"/>
      <c r="NAT5" s="1863"/>
      <c r="NAU5" s="1863"/>
      <c r="NAV5" s="1863"/>
      <c r="NAW5" s="1863"/>
      <c r="NAX5" s="1863"/>
      <c r="NAY5" s="1863"/>
      <c r="NAZ5" s="1863"/>
      <c r="NBA5" s="1863"/>
      <c r="NBB5" s="1863"/>
      <c r="NBC5" s="1863"/>
      <c r="NBD5" s="1863"/>
      <c r="NBE5" s="1863"/>
      <c r="NBF5" s="1863"/>
      <c r="NBG5" s="1863"/>
      <c r="NBH5" s="1863"/>
      <c r="NBI5" s="1863"/>
      <c r="NBJ5" s="1863"/>
      <c r="NBK5" s="1863"/>
      <c r="NBL5" s="1863"/>
      <c r="NBM5" s="1863"/>
      <c r="NBN5" s="1863"/>
      <c r="NBO5" s="1863"/>
      <c r="NBP5" s="1863"/>
      <c r="NBQ5" s="1863"/>
      <c r="NBR5" s="1863"/>
      <c r="NBS5" s="1863"/>
      <c r="NBT5" s="1863"/>
      <c r="NBU5" s="1863"/>
      <c r="NBV5" s="1863"/>
      <c r="NBW5" s="1863"/>
      <c r="NBX5" s="1863"/>
      <c r="NBY5" s="1863"/>
      <c r="NBZ5" s="1863"/>
      <c r="NCA5" s="1863"/>
      <c r="NCB5" s="1863"/>
      <c r="NCC5" s="1863"/>
      <c r="NCD5" s="1863"/>
      <c r="NCE5" s="1863"/>
      <c r="NCF5" s="1863"/>
      <c r="NCG5" s="1863"/>
      <c r="NCH5" s="1863"/>
      <c r="NCI5" s="1863"/>
      <c r="NCJ5" s="1863"/>
      <c r="NCK5" s="1863"/>
      <c r="NCL5" s="1863"/>
      <c r="NCM5" s="1863"/>
      <c r="NCN5" s="1863"/>
      <c r="NCO5" s="1863"/>
      <c r="NCP5" s="1863"/>
      <c r="NCQ5" s="1863"/>
      <c r="NCR5" s="1863"/>
      <c r="NCS5" s="1863"/>
      <c r="NCT5" s="1863"/>
      <c r="NCU5" s="1863"/>
      <c r="NCV5" s="1863"/>
      <c r="NCW5" s="1863"/>
      <c r="NCX5" s="1863"/>
      <c r="NCY5" s="1863"/>
      <c r="NCZ5" s="1863"/>
      <c r="NDA5" s="1863"/>
      <c r="NDB5" s="1863"/>
      <c r="NDC5" s="1863"/>
      <c r="NDD5" s="1863"/>
      <c r="NDE5" s="1863"/>
      <c r="NDF5" s="1863"/>
      <c r="NDG5" s="1863"/>
      <c r="NDH5" s="1863"/>
      <c r="NDI5" s="1863"/>
      <c r="NDJ5" s="1863"/>
      <c r="NDK5" s="1863"/>
      <c r="NDL5" s="1863"/>
      <c r="NDM5" s="1863"/>
      <c r="NDN5" s="1863"/>
      <c r="NDO5" s="1863"/>
      <c r="NDP5" s="1863"/>
      <c r="NDQ5" s="1863"/>
      <c r="NDR5" s="1863"/>
      <c r="NDS5" s="1863"/>
      <c r="NDT5" s="1863"/>
      <c r="NDU5" s="1863"/>
      <c r="NDV5" s="1863"/>
      <c r="NDW5" s="1863"/>
      <c r="NDX5" s="1863"/>
      <c r="NDY5" s="1863"/>
      <c r="NDZ5" s="1863"/>
      <c r="NEA5" s="1863"/>
      <c r="NEB5" s="1863"/>
      <c r="NEC5" s="1863"/>
      <c r="NED5" s="1863"/>
      <c r="NEE5" s="1863"/>
      <c r="NEF5" s="1863"/>
      <c r="NEG5" s="1863"/>
      <c r="NEH5" s="1863"/>
      <c r="NEI5" s="1863"/>
      <c r="NEJ5" s="1863"/>
      <c r="NEK5" s="1863"/>
      <c r="NEL5" s="1863"/>
      <c r="NEM5" s="1863"/>
      <c r="NEN5" s="1863"/>
      <c r="NEO5" s="1863"/>
      <c r="NEP5" s="1863"/>
      <c r="NEQ5" s="1863"/>
      <c r="NER5" s="1863"/>
      <c r="NES5" s="1863"/>
      <c r="NET5" s="1863"/>
      <c r="NEU5" s="1863"/>
      <c r="NEV5" s="1863"/>
      <c r="NEW5" s="1863"/>
      <c r="NEX5" s="1863"/>
      <c r="NEY5" s="1863"/>
      <c r="NEZ5" s="1863"/>
      <c r="NFA5" s="1863"/>
      <c r="NFB5" s="1863"/>
      <c r="NFC5" s="1863"/>
      <c r="NFD5" s="1863"/>
      <c r="NFE5" s="1863"/>
      <c r="NFF5" s="1863"/>
      <c r="NFG5" s="1863"/>
      <c r="NFH5" s="1863"/>
      <c r="NFI5" s="1863"/>
      <c r="NFJ5" s="1863"/>
      <c r="NFK5" s="1863"/>
      <c r="NFL5" s="1863"/>
      <c r="NFM5" s="1863"/>
      <c r="NFN5" s="1863"/>
      <c r="NFO5" s="1863"/>
      <c r="NFP5" s="1863"/>
      <c r="NFQ5" s="1863"/>
      <c r="NFR5" s="1863"/>
      <c r="NFS5" s="1863"/>
      <c r="NFT5" s="1863"/>
      <c r="NFU5" s="1863"/>
      <c r="NFV5" s="1863"/>
      <c r="NFW5" s="1863"/>
      <c r="NFX5" s="1863"/>
      <c r="NFY5" s="1863"/>
      <c r="NFZ5" s="1863"/>
      <c r="NGA5" s="1863"/>
      <c r="NGB5" s="1863"/>
      <c r="NGC5" s="1863"/>
      <c r="NGD5" s="1863"/>
      <c r="NGE5" s="1863"/>
      <c r="NGF5" s="1863"/>
      <c r="NGG5" s="1863"/>
      <c r="NGH5" s="1863"/>
      <c r="NGI5" s="1863"/>
      <c r="NGJ5" s="1863"/>
      <c r="NGK5" s="1863"/>
      <c r="NGL5" s="1863"/>
      <c r="NGM5" s="1863"/>
      <c r="NGN5" s="1863"/>
      <c r="NGO5" s="1863"/>
      <c r="NGP5" s="1863"/>
      <c r="NGQ5" s="1863"/>
      <c r="NGR5" s="1863"/>
      <c r="NGS5" s="1863"/>
      <c r="NGT5" s="1863"/>
      <c r="NGU5" s="1863"/>
      <c r="NGV5" s="1863"/>
      <c r="NGW5" s="1863"/>
      <c r="NGX5" s="1863"/>
      <c r="NGY5" s="1863"/>
      <c r="NGZ5" s="1863"/>
      <c r="NHA5" s="1863"/>
      <c r="NHB5" s="1863"/>
      <c r="NHC5" s="1863"/>
      <c r="NHD5" s="1863"/>
      <c r="NHE5" s="1863"/>
      <c r="NHF5" s="1863"/>
      <c r="NHG5" s="1863"/>
      <c r="NHH5" s="1863"/>
      <c r="NHI5" s="1863"/>
      <c r="NHJ5" s="1863"/>
      <c r="NHK5" s="1863"/>
      <c r="NHL5" s="1863"/>
      <c r="NHM5" s="1863"/>
      <c r="NHN5" s="1863"/>
      <c r="NHO5" s="1863"/>
      <c r="NHP5" s="1863"/>
      <c r="NHQ5" s="1863"/>
      <c r="NHR5" s="1863"/>
      <c r="NHS5" s="1863"/>
      <c r="NHT5" s="1863"/>
      <c r="NHU5" s="1863"/>
      <c r="NHV5" s="1863"/>
      <c r="NHW5" s="1863"/>
      <c r="NHX5" s="1863"/>
      <c r="NHY5" s="1863"/>
      <c r="NHZ5" s="1863"/>
      <c r="NIA5" s="1863"/>
      <c r="NIB5" s="1863"/>
      <c r="NIC5" s="1863"/>
      <c r="NID5" s="1863"/>
      <c r="NIE5" s="1863"/>
      <c r="NIF5" s="1863"/>
      <c r="NIG5" s="1863"/>
      <c r="NIH5" s="1863"/>
      <c r="NII5" s="1863"/>
      <c r="NIJ5" s="1863"/>
      <c r="NIK5" s="1863"/>
      <c r="NIL5" s="1863"/>
      <c r="NIM5" s="1863"/>
      <c r="NIN5" s="1863"/>
      <c r="NIO5" s="1863"/>
      <c r="NIP5" s="1863"/>
      <c r="NIQ5" s="1863"/>
      <c r="NIR5" s="1863"/>
      <c r="NIS5" s="1863"/>
      <c r="NIT5" s="1863"/>
      <c r="NIU5" s="1863"/>
      <c r="NIV5" s="1863"/>
      <c r="NIW5" s="1863"/>
      <c r="NIX5" s="1863"/>
      <c r="NIY5" s="1863"/>
      <c r="NIZ5" s="1863"/>
      <c r="NJA5" s="1863"/>
      <c r="NJB5" s="1863"/>
      <c r="NJC5" s="1863"/>
      <c r="NJD5" s="1863"/>
      <c r="NJE5" s="1863"/>
      <c r="NJF5" s="1863"/>
      <c r="NJG5" s="1863"/>
      <c r="NJH5" s="1863"/>
      <c r="NJI5" s="1863"/>
      <c r="NJJ5" s="1863"/>
      <c r="NJK5" s="1863"/>
      <c r="NJL5" s="1863"/>
      <c r="NJM5" s="1863"/>
      <c r="NJN5" s="1863"/>
      <c r="NJO5" s="1863"/>
      <c r="NJP5" s="1863"/>
      <c r="NJQ5" s="1863"/>
      <c r="NJR5" s="1863"/>
      <c r="NJS5" s="1863"/>
      <c r="NJT5" s="1863"/>
      <c r="NJU5" s="1863"/>
      <c r="NJV5" s="1863"/>
      <c r="NJW5" s="1863"/>
      <c r="NJX5" s="1863"/>
      <c r="NJY5" s="1863"/>
      <c r="NJZ5" s="1863"/>
      <c r="NKA5" s="1863"/>
      <c r="NKB5" s="1863"/>
      <c r="NKC5" s="1863"/>
      <c r="NKD5" s="1863"/>
      <c r="NKE5" s="1863"/>
      <c r="NKF5" s="1863"/>
      <c r="NKG5" s="1863"/>
      <c r="NKH5" s="1863"/>
      <c r="NKI5" s="1863"/>
      <c r="NKJ5" s="1863"/>
      <c r="NKK5" s="1863"/>
      <c r="NKL5" s="1863"/>
      <c r="NKM5" s="1863"/>
      <c r="NKN5" s="1863"/>
      <c r="NKO5" s="1863"/>
      <c r="NKP5" s="1863"/>
      <c r="NKQ5" s="1863"/>
      <c r="NKR5" s="1863"/>
      <c r="NKS5" s="1863"/>
      <c r="NKT5" s="1863"/>
      <c r="NKU5" s="1863"/>
      <c r="NKV5" s="1863"/>
      <c r="NKW5" s="1863"/>
      <c r="NKX5" s="1863"/>
      <c r="NKY5" s="1863"/>
      <c r="NKZ5" s="1863"/>
      <c r="NLA5" s="1863"/>
      <c r="NLB5" s="1863"/>
      <c r="NLC5" s="1863"/>
      <c r="NLD5" s="1863"/>
      <c r="NLE5" s="1863"/>
      <c r="NLF5" s="1863"/>
      <c r="NLG5" s="1863"/>
      <c r="NLH5" s="1863"/>
      <c r="NLI5" s="1863"/>
      <c r="NLJ5" s="1863"/>
      <c r="NLK5" s="1863"/>
      <c r="NLL5" s="1863"/>
      <c r="NLM5" s="1863"/>
      <c r="NLN5" s="1863"/>
      <c r="NLO5" s="1863"/>
      <c r="NLP5" s="1863"/>
      <c r="NLQ5" s="1863"/>
      <c r="NLR5" s="1863"/>
      <c r="NLS5" s="1863"/>
      <c r="NLT5" s="1863"/>
      <c r="NLU5" s="1863"/>
      <c r="NLV5" s="1863"/>
      <c r="NLW5" s="1863"/>
      <c r="NLX5" s="1863"/>
      <c r="NLY5" s="1863"/>
      <c r="NLZ5" s="1863"/>
      <c r="NMA5" s="1863"/>
      <c r="NMB5" s="1863"/>
      <c r="NMC5" s="1863"/>
      <c r="NMD5" s="1863"/>
      <c r="NME5" s="1863"/>
      <c r="NMF5" s="1863"/>
      <c r="NMG5" s="1863"/>
      <c r="NMH5" s="1863"/>
      <c r="NMI5" s="1863"/>
      <c r="NMJ5" s="1863"/>
      <c r="NMK5" s="1863"/>
      <c r="NML5" s="1863"/>
      <c r="NMM5" s="1863"/>
      <c r="NMN5" s="1863"/>
      <c r="NMO5" s="1863"/>
      <c r="NMP5" s="1863"/>
      <c r="NMQ5" s="1863"/>
      <c r="NMR5" s="1863"/>
      <c r="NMS5" s="1863"/>
      <c r="NMT5" s="1863"/>
      <c r="NMU5" s="1863"/>
      <c r="NMV5" s="1863"/>
      <c r="NMW5" s="1863"/>
      <c r="NMX5" s="1863"/>
      <c r="NMY5" s="1863"/>
      <c r="NMZ5" s="1863"/>
      <c r="NNA5" s="1863"/>
      <c r="NNB5" s="1863"/>
      <c r="NNC5" s="1863"/>
      <c r="NND5" s="1863"/>
      <c r="NNE5" s="1863"/>
      <c r="NNF5" s="1863"/>
      <c r="NNG5" s="1863"/>
      <c r="NNH5" s="1863"/>
      <c r="NNI5" s="1863"/>
      <c r="NNJ5" s="1863"/>
      <c r="NNK5" s="1863"/>
      <c r="NNL5" s="1863"/>
      <c r="NNM5" s="1863"/>
      <c r="NNN5" s="1863"/>
      <c r="NNO5" s="1863"/>
      <c r="NNP5" s="1863"/>
      <c r="NNQ5" s="1863"/>
      <c r="NNR5" s="1863"/>
      <c r="NNS5" s="1863"/>
      <c r="NNT5" s="1863"/>
      <c r="NNU5" s="1863"/>
      <c r="NNV5" s="1863"/>
      <c r="NNW5" s="1863"/>
      <c r="NNX5" s="1863"/>
      <c r="NNY5" s="1863"/>
      <c r="NNZ5" s="1863"/>
      <c r="NOA5" s="1863"/>
      <c r="NOB5" s="1863"/>
      <c r="NOC5" s="1863"/>
      <c r="NOD5" s="1863"/>
      <c r="NOE5" s="1863"/>
      <c r="NOF5" s="1863"/>
      <c r="NOG5" s="1863"/>
      <c r="NOH5" s="1863"/>
      <c r="NOI5" s="1863"/>
      <c r="NOJ5" s="1863"/>
      <c r="NOK5" s="1863"/>
      <c r="NOL5" s="1863"/>
      <c r="NOM5" s="1863"/>
      <c r="NON5" s="1863"/>
      <c r="NOO5" s="1863"/>
      <c r="NOP5" s="1863"/>
      <c r="NOQ5" s="1863"/>
      <c r="NOR5" s="1863"/>
      <c r="NOS5" s="1863"/>
      <c r="NOT5" s="1863"/>
      <c r="NOU5" s="1863"/>
      <c r="NOV5" s="1863"/>
      <c r="NOW5" s="1863"/>
      <c r="NOX5" s="1863"/>
      <c r="NOY5" s="1863"/>
      <c r="NOZ5" s="1863"/>
      <c r="NPA5" s="1863"/>
      <c r="NPB5" s="1863"/>
      <c r="NPC5" s="1863"/>
      <c r="NPD5" s="1863"/>
      <c r="NPE5" s="1863"/>
      <c r="NPF5" s="1863"/>
      <c r="NPG5" s="1863"/>
      <c r="NPH5" s="1863"/>
      <c r="NPI5" s="1863"/>
      <c r="NPJ5" s="1863"/>
      <c r="NPK5" s="1863"/>
      <c r="NPL5" s="1863"/>
      <c r="NPM5" s="1863"/>
      <c r="NPN5" s="1863"/>
      <c r="NPO5" s="1863"/>
      <c r="NPP5" s="1863"/>
      <c r="NPQ5" s="1863"/>
      <c r="NPR5" s="1863"/>
      <c r="NPS5" s="1863"/>
      <c r="NPT5" s="1863"/>
      <c r="NPU5" s="1863"/>
      <c r="NPV5" s="1863"/>
      <c r="NPW5" s="1863"/>
      <c r="NPX5" s="1863"/>
      <c r="NPY5" s="1863"/>
      <c r="NPZ5" s="1863"/>
      <c r="NQA5" s="1863"/>
      <c r="NQB5" s="1863"/>
      <c r="NQC5" s="1863"/>
      <c r="NQD5" s="1863"/>
      <c r="NQE5" s="1863"/>
      <c r="NQF5" s="1863"/>
      <c r="NQG5" s="1863"/>
      <c r="NQH5" s="1863"/>
      <c r="NQI5" s="1863"/>
      <c r="NQJ5" s="1863"/>
      <c r="NQK5" s="1863"/>
      <c r="NQL5" s="1863"/>
      <c r="NQM5" s="1863"/>
      <c r="NQN5" s="1863"/>
      <c r="NQO5" s="1863"/>
      <c r="NQP5" s="1863"/>
      <c r="NQQ5" s="1863"/>
      <c r="NQR5" s="1863"/>
      <c r="NQS5" s="1863"/>
      <c r="NQT5" s="1863"/>
      <c r="NQU5" s="1863"/>
      <c r="NQV5" s="1863"/>
      <c r="NQW5" s="1863"/>
      <c r="NQX5" s="1863"/>
      <c r="NQY5" s="1863"/>
      <c r="NQZ5" s="1863"/>
      <c r="NRA5" s="1863"/>
      <c r="NRB5" s="1863"/>
      <c r="NRC5" s="1863"/>
      <c r="NRD5" s="1863"/>
      <c r="NRE5" s="1863"/>
      <c r="NRF5" s="1863"/>
      <c r="NRG5" s="1863"/>
      <c r="NRH5" s="1863"/>
      <c r="NRI5" s="1863"/>
      <c r="NRJ5" s="1863"/>
      <c r="NRK5" s="1863"/>
      <c r="NRL5" s="1863"/>
      <c r="NRM5" s="1863"/>
      <c r="NRN5" s="1863"/>
      <c r="NRO5" s="1863"/>
      <c r="NRP5" s="1863"/>
      <c r="NRQ5" s="1863"/>
      <c r="NRR5" s="1863"/>
      <c r="NRS5" s="1863"/>
      <c r="NRT5" s="1863"/>
      <c r="NRU5" s="1863"/>
      <c r="NRV5" s="1863"/>
      <c r="NRW5" s="1863"/>
      <c r="NRX5" s="1863"/>
      <c r="NRY5" s="1863"/>
      <c r="NRZ5" s="1863"/>
      <c r="NSA5" s="1863"/>
      <c r="NSB5" s="1863"/>
      <c r="NSC5" s="1863"/>
      <c r="NSD5" s="1863"/>
      <c r="NSE5" s="1863"/>
      <c r="NSF5" s="1863"/>
      <c r="NSG5" s="1863"/>
      <c r="NSH5" s="1863"/>
      <c r="NSI5" s="1863"/>
      <c r="NSJ5" s="1863"/>
      <c r="NSK5" s="1863"/>
      <c r="NSL5" s="1863"/>
      <c r="NSM5" s="1863"/>
      <c r="NSN5" s="1863"/>
      <c r="NSO5" s="1863"/>
      <c r="NSP5" s="1863"/>
      <c r="NSQ5" s="1863"/>
      <c r="NSR5" s="1863"/>
      <c r="NSS5" s="1863"/>
      <c r="NST5" s="1863"/>
      <c r="NSU5" s="1863"/>
      <c r="NSV5" s="1863"/>
      <c r="NSW5" s="1863"/>
      <c r="NSX5" s="1863"/>
      <c r="NSY5" s="1863"/>
      <c r="NSZ5" s="1863"/>
      <c r="NTA5" s="1863"/>
      <c r="NTB5" s="1863"/>
      <c r="NTC5" s="1863"/>
      <c r="NTD5" s="1863"/>
      <c r="NTE5" s="1863"/>
      <c r="NTF5" s="1863"/>
      <c r="NTG5" s="1863"/>
      <c r="NTH5" s="1863"/>
      <c r="NTI5" s="1863"/>
      <c r="NTJ5" s="1863"/>
      <c r="NTK5" s="1863"/>
      <c r="NTL5" s="1863"/>
      <c r="NTM5" s="1863"/>
      <c r="NTN5" s="1863"/>
      <c r="NTO5" s="1863"/>
      <c r="NTP5" s="1863"/>
      <c r="NTQ5" s="1863"/>
      <c r="NTR5" s="1863"/>
      <c r="NTS5" s="1863"/>
      <c r="NTT5" s="1863"/>
      <c r="NTU5" s="1863"/>
      <c r="NTV5" s="1863"/>
      <c r="NTW5" s="1863"/>
      <c r="NTX5" s="1863"/>
      <c r="NTY5" s="1863"/>
      <c r="NTZ5" s="1863"/>
      <c r="NUA5" s="1863"/>
      <c r="NUB5" s="1863"/>
      <c r="NUC5" s="1863"/>
      <c r="NUD5" s="1863"/>
      <c r="NUE5" s="1863"/>
      <c r="NUF5" s="1863"/>
      <c r="NUG5" s="1863"/>
      <c r="NUH5" s="1863"/>
      <c r="NUI5" s="1863"/>
      <c r="NUJ5" s="1863"/>
      <c r="NUK5" s="1863"/>
      <c r="NUL5" s="1863"/>
      <c r="NUM5" s="1863"/>
      <c r="NUN5" s="1863"/>
      <c r="NUO5" s="1863"/>
      <c r="NUP5" s="1863"/>
      <c r="NUQ5" s="1863"/>
      <c r="NUR5" s="1863"/>
      <c r="NUS5" s="1863"/>
      <c r="NUT5" s="1863"/>
      <c r="NUU5" s="1863"/>
      <c r="NUV5" s="1863"/>
      <c r="NUW5" s="1863"/>
      <c r="NUX5" s="1863"/>
      <c r="NUY5" s="1863"/>
      <c r="NUZ5" s="1863"/>
      <c r="NVA5" s="1863"/>
      <c r="NVB5" s="1863"/>
      <c r="NVC5" s="1863"/>
      <c r="NVD5" s="1863"/>
      <c r="NVE5" s="1863"/>
      <c r="NVF5" s="1863"/>
      <c r="NVG5" s="1863"/>
      <c r="NVH5" s="1863"/>
      <c r="NVI5" s="1863"/>
      <c r="NVJ5" s="1863"/>
      <c r="NVK5" s="1863"/>
      <c r="NVL5" s="1863"/>
      <c r="NVM5" s="1863"/>
      <c r="NVN5" s="1863"/>
      <c r="NVO5" s="1863"/>
      <c r="NVP5" s="1863"/>
      <c r="NVQ5" s="1863"/>
      <c r="NVR5" s="1863"/>
      <c r="NVS5" s="1863"/>
      <c r="NVT5" s="1863"/>
      <c r="NVU5" s="1863"/>
      <c r="NVV5" s="1863"/>
      <c r="NVW5" s="1863"/>
      <c r="NVX5" s="1863"/>
      <c r="NVY5" s="1863"/>
      <c r="NVZ5" s="1863"/>
      <c r="NWA5" s="1863"/>
      <c r="NWB5" s="1863"/>
      <c r="NWC5" s="1863"/>
      <c r="NWD5" s="1863"/>
      <c r="NWE5" s="1863"/>
      <c r="NWF5" s="1863"/>
      <c r="NWG5" s="1863"/>
      <c r="NWH5" s="1863"/>
      <c r="NWI5" s="1863"/>
      <c r="NWJ5" s="1863"/>
      <c r="NWK5" s="1863"/>
      <c r="NWL5" s="1863"/>
      <c r="NWM5" s="1863"/>
      <c r="NWN5" s="1863"/>
      <c r="NWO5" s="1863"/>
      <c r="NWP5" s="1863"/>
      <c r="NWQ5" s="1863"/>
      <c r="NWR5" s="1863"/>
      <c r="NWS5" s="1863"/>
      <c r="NWT5" s="1863"/>
      <c r="NWU5" s="1863"/>
      <c r="NWV5" s="1863"/>
      <c r="NWW5" s="1863"/>
      <c r="NWX5" s="1863"/>
      <c r="NWY5" s="1863"/>
      <c r="NWZ5" s="1863"/>
      <c r="NXA5" s="1863"/>
      <c r="NXB5" s="1863"/>
      <c r="NXC5" s="1863"/>
      <c r="NXD5" s="1863"/>
      <c r="NXE5" s="1863"/>
      <c r="NXF5" s="1863"/>
      <c r="NXG5" s="1863"/>
      <c r="NXH5" s="1863"/>
      <c r="NXI5" s="1863"/>
      <c r="NXJ5" s="1863"/>
      <c r="NXK5" s="1863"/>
      <c r="NXL5" s="1863"/>
      <c r="NXM5" s="1863"/>
      <c r="NXN5" s="1863"/>
      <c r="NXO5" s="1863"/>
      <c r="NXP5" s="1863"/>
      <c r="NXQ5" s="1863"/>
      <c r="NXR5" s="1863"/>
      <c r="NXS5" s="1863"/>
      <c r="NXT5" s="1863"/>
      <c r="NXU5" s="1863"/>
      <c r="NXV5" s="1863"/>
      <c r="NXW5" s="1863"/>
      <c r="NXX5" s="1863"/>
      <c r="NXY5" s="1863"/>
      <c r="NXZ5" s="1863"/>
      <c r="NYA5" s="1863"/>
      <c r="NYB5" s="1863"/>
      <c r="NYC5" s="1863"/>
      <c r="NYD5" s="1863"/>
      <c r="NYE5" s="1863"/>
      <c r="NYF5" s="1863"/>
      <c r="NYG5" s="1863"/>
      <c r="NYH5" s="1863"/>
      <c r="NYI5" s="1863"/>
      <c r="NYJ5" s="1863"/>
      <c r="NYK5" s="1863"/>
      <c r="NYL5" s="1863"/>
      <c r="NYM5" s="1863"/>
      <c r="NYN5" s="1863"/>
      <c r="NYO5" s="1863"/>
      <c r="NYP5" s="1863"/>
      <c r="NYQ5" s="1863"/>
      <c r="NYR5" s="1863"/>
      <c r="NYS5" s="1863"/>
      <c r="NYT5" s="1863"/>
      <c r="NYU5" s="1863"/>
      <c r="NYV5" s="1863"/>
      <c r="NYW5" s="1863"/>
      <c r="NYX5" s="1863"/>
      <c r="NYY5" s="1863"/>
      <c r="NYZ5" s="1863"/>
      <c r="NZA5" s="1863"/>
      <c r="NZB5" s="1863"/>
      <c r="NZC5" s="1863"/>
      <c r="NZD5" s="1863"/>
      <c r="NZE5" s="1863"/>
      <c r="NZF5" s="1863"/>
      <c r="NZG5" s="1863"/>
      <c r="NZH5" s="1863"/>
      <c r="NZI5" s="1863"/>
      <c r="NZJ5" s="1863"/>
      <c r="NZK5" s="1863"/>
      <c r="NZL5" s="1863"/>
      <c r="NZM5" s="1863"/>
      <c r="NZN5" s="1863"/>
      <c r="NZO5" s="1863"/>
      <c r="NZP5" s="1863"/>
      <c r="NZQ5" s="1863"/>
      <c r="NZR5" s="1863"/>
      <c r="NZS5" s="1863"/>
      <c r="NZT5" s="1863"/>
      <c r="NZU5" s="1863"/>
      <c r="NZV5" s="1863"/>
      <c r="NZW5" s="1863"/>
      <c r="NZX5" s="1863"/>
      <c r="NZY5" s="1863"/>
      <c r="NZZ5" s="1863"/>
      <c r="OAA5" s="1863"/>
      <c r="OAB5" s="1863"/>
      <c r="OAC5" s="1863"/>
      <c r="OAD5" s="1863"/>
      <c r="OAE5" s="1863"/>
      <c r="OAF5" s="1863"/>
      <c r="OAG5" s="1863"/>
      <c r="OAH5" s="1863"/>
      <c r="OAI5" s="1863"/>
      <c r="OAJ5" s="1863"/>
      <c r="OAK5" s="1863"/>
      <c r="OAL5" s="1863"/>
      <c r="OAM5" s="1863"/>
      <c r="OAN5" s="1863"/>
      <c r="OAO5" s="1863"/>
      <c r="OAP5" s="1863"/>
      <c r="OAQ5" s="1863"/>
      <c r="OAR5" s="1863"/>
      <c r="OAS5" s="1863"/>
      <c r="OAT5" s="1863"/>
      <c r="OAU5" s="1863"/>
      <c r="OAV5" s="1863"/>
      <c r="OAW5" s="1863"/>
      <c r="OAX5" s="1863"/>
      <c r="OAY5" s="1863"/>
      <c r="OAZ5" s="1863"/>
      <c r="OBA5" s="1863"/>
      <c r="OBB5" s="1863"/>
      <c r="OBC5" s="1863"/>
      <c r="OBD5" s="1863"/>
      <c r="OBE5" s="1863"/>
      <c r="OBF5" s="1863"/>
      <c r="OBG5" s="1863"/>
      <c r="OBH5" s="1863"/>
      <c r="OBI5" s="1863"/>
      <c r="OBJ5" s="1863"/>
      <c r="OBK5" s="1863"/>
      <c r="OBL5" s="1863"/>
      <c r="OBM5" s="1863"/>
      <c r="OBN5" s="1863"/>
      <c r="OBO5" s="1863"/>
      <c r="OBP5" s="1863"/>
      <c r="OBQ5" s="1863"/>
      <c r="OBR5" s="1863"/>
      <c r="OBS5" s="1863"/>
      <c r="OBT5" s="1863"/>
      <c r="OBU5" s="1863"/>
      <c r="OBV5" s="1863"/>
      <c r="OBW5" s="1863"/>
      <c r="OBX5" s="1863"/>
      <c r="OBY5" s="1863"/>
      <c r="OBZ5" s="1863"/>
      <c r="OCA5" s="1863"/>
      <c r="OCB5" s="1863"/>
      <c r="OCC5" s="1863"/>
      <c r="OCD5" s="1863"/>
      <c r="OCE5" s="1863"/>
      <c r="OCF5" s="1863"/>
      <c r="OCG5" s="1863"/>
      <c r="OCH5" s="1863"/>
      <c r="OCI5" s="1863"/>
      <c r="OCJ5" s="1863"/>
      <c r="OCK5" s="1863"/>
      <c r="OCL5" s="1863"/>
      <c r="OCM5" s="1863"/>
      <c r="OCN5" s="1863"/>
      <c r="OCO5" s="1863"/>
      <c r="OCP5" s="1863"/>
      <c r="OCQ5" s="1863"/>
      <c r="OCR5" s="1863"/>
      <c r="OCS5" s="1863"/>
      <c r="OCT5" s="1863"/>
      <c r="OCU5" s="1863"/>
      <c r="OCV5" s="1863"/>
      <c r="OCW5" s="1863"/>
      <c r="OCX5" s="1863"/>
      <c r="OCY5" s="1863"/>
      <c r="OCZ5" s="1863"/>
      <c r="ODA5" s="1863"/>
      <c r="ODB5" s="1863"/>
      <c r="ODC5" s="1863"/>
      <c r="ODD5" s="1863"/>
      <c r="ODE5" s="1863"/>
      <c r="ODF5" s="1863"/>
      <c r="ODG5" s="1863"/>
      <c r="ODH5" s="1863"/>
      <c r="ODI5" s="1863"/>
      <c r="ODJ5" s="1863"/>
      <c r="ODK5" s="1863"/>
      <c r="ODL5" s="1863"/>
      <c r="ODM5" s="1863"/>
      <c r="ODN5" s="1863"/>
      <c r="ODO5" s="1863"/>
      <c r="ODP5" s="1863"/>
      <c r="ODQ5" s="1863"/>
      <c r="ODR5" s="1863"/>
      <c r="ODS5" s="1863"/>
      <c r="ODT5" s="1863"/>
      <c r="ODU5" s="1863"/>
      <c r="ODV5" s="1863"/>
      <c r="ODW5" s="1863"/>
      <c r="ODX5" s="1863"/>
      <c r="ODY5" s="1863"/>
      <c r="ODZ5" s="1863"/>
      <c r="OEA5" s="1863"/>
      <c r="OEB5" s="1863"/>
      <c r="OEC5" s="1863"/>
      <c r="OED5" s="1863"/>
      <c r="OEE5" s="1863"/>
      <c r="OEF5" s="1863"/>
      <c r="OEG5" s="1863"/>
      <c r="OEH5" s="1863"/>
      <c r="OEI5" s="1863"/>
      <c r="OEJ5" s="1863"/>
      <c r="OEK5" s="1863"/>
      <c r="OEL5" s="1863"/>
      <c r="OEM5" s="1863"/>
      <c r="OEN5" s="1863"/>
      <c r="OEO5" s="1863"/>
      <c r="OEP5" s="1863"/>
      <c r="OEQ5" s="1863"/>
      <c r="OER5" s="1863"/>
      <c r="OES5" s="1863"/>
      <c r="OET5" s="1863"/>
      <c r="OEU5" s="1863"/>
      <c r="OEV5" s="1863"/>
      <c r="OEW5" s="1863"/>
      <c r="OEX5" s="1863"/>
      <c r="OEY5" s="1863"/>
      <c r="OEZ5" s="1863"/>
      <c r="OFA5" s="1863"/>
      <c r="OFB5" s="1863"/>
      <c r="OFC5" s="1863"/>
      <c r="OFD5" s="1863"/>
      <c r="OFE5" s="1863"/>
      <c r="OFF5" s="1863"/>
      <c r="OFG5" s="1863"/>
      <c r="OFH5" s="1863"/>
      <c r="OFI5" s="1863"/>
      <c r="OFJ5" s="1863"/>
      <c r="OFK5" s="1863"/>
      <c r="OFL5" s="1863"/>
      <c r="OFM5" s="1863"/>
      <c r="OFN5" s="1863"/>
      <c r="OFO5" s="1863"/>
      <c r="OFP5" s="1863"/>
      <c r="OFQ5" s="1863"/>
      <c r="OFR5" s="1863"/>
      <c r="OFS5" s="1863"/>
      <c r="OFT5" s="1863"/>
      <c r="OFU5" s="1863"/>
      <c r="OFV5" s="1863"/>
      <c r="OFW5" s="1863"/>
      <c r="OFX5" s="1863"/>
      <c r="OFY5" s="1863"/>
      <c r="OFZ5" s="1863"/>
      <c r="OGA5" s="1863"/>
      <c r="OGB5" s="1863"/>
      <c r="OGC5" s="1863"/>
      <c r="OGD5" s="1863"/>
      <c r="OGE5" s="1863"/>
      <c r="OGF5" s="1863"/>
      <c r="OGG5" s="1863"/>
      <c r="OGH5" s="1863"/>
      <c r="OGI5" s="1863"/>
      <c r="OGJ5" s="1863"/>
      <c r="OGK5" s="1863"/>
      <c r="OGL5" s="1863"/>
      <c r="OGM5" s="1863"/>
      <c r="OGN5" s="1863"/>
      <c r="OGO5" s="1863"/>
      <c r="OGP5" s="1863"/>
      <c r="OGQ5" s="1863"/>
      <c r="OGR5" s="1863"/>
      <c r="OGS5" s="1863"/>
      <c r="OGT5" s="1863"/>
      <c r="OGU5" s="1863"/>
      <c r="OGV5" s="1863"/>
      <c r="OGW5" s="1863"/>
      <c r="OGX5" s="1863"/>
      <c r="OGY5" s="1863"/>
      <c r="OGZ5" s="1863"/>
      <c r="OHA5" s="1863"/>
      <c r="OHB5" s="1863"/>
      <c r="OHC5" s="1863"/>
      <c r="OHD5" s="1863"/>
      <c r="OHE5" s="1863"/>
      <c r="OHF5" s="1863"/>
      <c r="OHG5" s="1863"/>
      <c r="OHH5" s="1863"/>
      <c r="OHI5" s="1863"/>
      <c r="OHJ5" s="1863"/>
      <c r="OHK5" s="1863"/>
      <c r="OHL5" s="1863"/>
      <c r="OHM5" s="1863"/>
      <c r="OHN5" s="1863"/>
      <c r="OHO5" s="1863"/>
      <c r="OHP5" s="1863"/>
      <c r="OHQ5" s="1863"/>
      <c r="OHR5" s="1863"/>
      <c r="OHS5" s="1863"/>
      <c r="OHT5" s="1863"/>
      <c r="OHU5" s="1863"/>
      <c r="OHV5" s="1863"/>
      <c r="OHW5" s="1863"/>
      <c r="OHX5" s="1863"/>
      <c r="OHY5" s="1863"/>
      <c r="OHZ5" s="1863"/>
      <c r="OIA5" s="1863"/>
      <c r="OIB5" s="1863"/>
      <c r="OIC5" s="1863"/>
      <c r="OID5" s="1863"/>
      <c r="OIE5" s="1863"/>
      <c r="OIF5" s="1863"/>
      <c r="OIG5" s="1863"/>
      <c r="OIH5" s="1863"/>
      <c r="OII5" s="1863"/>
      <c r="OIJ5" s="1863"/>
      <c r="OIK5" s="1863"/>
      <c r="OIL5" s="1863"/>
      <c r="OIM5" s="1863"/>
      <c r="OIN5" s="1863"/>
      <c r="OIO5" s="1863"/>
      <c r="OIP5" s="1863"/>
      <c r="OIQ5" s="1863"/>
      <c r="OIR5" s="1863"/>
      <c r="OIS5" s="1863"/>
      <c r="OIT5" s="1863"/>
      <c r="OIU5" s="1863"/>
      <c r="OIV5" s="1863"/>
      <c r="OIW5" s="1863"/>
      <c r="OIX5" s="1863"/>
      <c r="OIY5" s="1863"/>
      <c r="OIZ5" s="1863"/>
      <c r="OJA5" s="1863"/>
      <c r="OJB5" s="1863"/>
      <c r="OJC5" s="1863"/>
      <c r="OJD5" s="1863"/>
      <c r="OJE5" s="1863"/>
      <c r="OJF5" s="1863"/>
      <c r="OJG5" s="1863"/>
      <c r="OJH5" s="1863"/>
      <c r="OJI5" s="1863"/>
      <c r="OJJ5" s="1863"/>
      <c r="OJK5" s="1863"/>
      <c r="OJL5" s="1863"/>
      <c r="OJM5" s="1863"/>
      <c r="OJN5" s="1863"/>
      <c r="OJO5" s="1863"/>
      <c r="OJP5" s="1863"/>
      <c r="OJQ5" s="1863"/>
      <c r="OJR5" s="1863"/>
      <c r="OJS5" s="1863"/>
      <c r="OJT5" s="1863"/>
      <c r="OJU5" s="1863"/>
      <c r="OJV5" s="1863"/>
      <c r="OJW5" s="1863"/>
      <c r="OJX5" s="1863"/>
      <c r="OJY5" s="1863"/>
      <c r="OJZ5" s="1863"/>
      <c r="OKA5" s="1863"/>
      <c r="OKB5" s="1863"/>
      <c r="OKC5" s="1863"/>
      <c r="OKD5" s="1863"/>
      <c r="OKE5" s="1863"/>
      <c r="OKF5" s="1863"/>
      <c r="OKG5" s="1863"/>
      <c r="OKH5" s="1863"/>
      <c r="OKI5" s="1863"/>
      <c r="OKJ5" s="1863"/>
      <c r="OKK5" s="1863"/>
      <c r="OKL5" s="1863"/>
      <c r="OKM5" s="1863"/>
      <c r="OKN5" s="1863"/>
      <c r="OKO5" s="1863"/>
      <c r="OKP5" s="1863"/>
      <c r="OKQ5" s="1863"/>
      <c r="OKR5" s="1863"/>
      <c r="OKS5" s="1863"/>
      <c r="OKT5" s="1863"/>
      <c r="OKU5" s="1863"/>
      <c r="OKV5" s="1863"/>
      <c r="OKW5" s="1863"/>
      <c r="OKX5" s="1863"/>
      <c r="OKY5" s="1863"/>
      <c r="OKZ5" s="1863"/>
      <c r="OLA5" s="1863"/>
      <c r="OLB5" s="1863"/>
      <c r="OLC5" s="1863"/>
      <c r="OLD5" s="1863"/>
      <c r="OLE5" s="1863"/>
      <c r="OLF5" s="1863"/>
      <c r="OLG5" s="1863"/>
      <c r="OLH5" s="1863"/>
      <c r="OLI5" s="1863"/>
      <c r="OLJ5" s="1863"/>
      <c r="OLK5" s="1863"/>
      <c r="OLL5" s="1863"/>
      <c r="OLM5" s="1863"/>
      <c r="OLN5" s="1863"/>
      <c r="OLO5" s="1863"/>
      <c r="OLP5" s="1863"/>
      <c r="OLQ5" s="1863"/>
      <c r="OLR5" s="1863"/>
      <c r="OLS5" s="1863"/>
      <c r="OLT5" s="1863"/>
      <c r="OLU5" s="1863"/>
      <c r="OLV5" s="1863"/>
      <c r="OLW5" s="1863"/>
      <c r="OLX5" s="1863"/>
      <c r="OLY5" s="1863"/>
      <c r="OLZ5" s="1863"/>
      <c r="OMA5" s="1863"/>
      <c r="OMB5" s="1863"/>
      <c r="OMC5" s="1863"/>
      <c r="OMD5" s="1863"/>
      <c r="OME5" s="1863"/>
      <c r="OMF5" s="1863"/>
      <c r="OMG5" s="1863"/>
      <c r="OMH5" s="1863"/>
      <c r="OMI5" s="1863"/>
      <c r="OMJ5" s="1863"/>
      <c r="OMK5" s="1863"/>
      <c r="OML5" s="1863"/>
      <c r="OMM5" s="1863"/>
      <c r="OMN5" s="1863"/>
      <c r="OMO5" s="1863"/>
      <c r="OMP5" s="1863"/>
      <c r="OMQ5" s="1863"/>
      <c r="OMR5" s="1863"/>
      <c r="OMS5" s="1863"/>
      <c r="OMT5" s="1863"/>
      <c r="OMU5" s="1863"/>
      <c r="OMV5" s="1863"/>
      <c r="OMW5" s="1863"/>
      <c r="OMX5" s="1863"/>
      <c r="OMY5" s="1863"/>
      <c r="OMZ5" s="1863"/>
      <c r="ONA5" s="1863"/>
      <c r="ONB5" s="1863"/>
      <c r="ONC5" s="1863"/>
      <c r="OND5" s="1863"/>
      <c r="ONE5" s="1863"/>
      <c r="ONF5" s="1863"/>
      <c r="ONG5" s="1863"/>
      <c r="ONH5" s="1863"/>
      <c r="ONI5" s="1863"/>
      <c r="ONJ5" s="1863"/>
      <c r="ONK5" s="1863"/>
      <c r="ONL5" s="1863"/>
      <c r="ONM5" s="1863"/>
      <c r="ONN5" s="1863"/>
      <c r="ONO5" s="1863"/>
      <c r="ONP5" s="1863"/>
      <c r="ONQ5" s="1863"/>
      <c r="ONR5" s="1863"/>
      <c r="ONS5" s="1863"/>
      <c r="ONT5" s="1863"/>
      <c r="ONU5" s="1863"/>
      <c r="ONV5" s="1863"/>
      <c r="ONW5" s="1863"/>
      <c r="ONX5" s="1863"/>
      <c r="ONY5" s="1863"/>
      <c r="ONZ5" s="1863"/>
      <c r="OOA5" s="1863"/>
      <c r="OOB5" s="1863"/>
      <c r="OOC5" s="1863"/>
      <c r="OOD5" s="1863"/>
      <c r="OOE5" s="1863"/>
      <c r="OOF5" s="1863"/>
      <c r="OOG5" s="1863"/>
      <c r="OOH5" s="1863"/>
      <c r="OOI5" s="1863"/>
      <c r="OOJ5" s="1863"/>
      <c r="OOK5" s="1863"/>
      <c r="OOL5" s="1863"/>
      <c r="OOM5" s="1863"/>
      <c r="OON5" s="1863"/>
      <c r="OOO5" s="1863"/>
      <c r="OOP5" s="1863"/>
      <c r="OOQ5" s="1863"/>
      <c r="OOR5" s="1863"/>
      <c r="OOS5" s="1863"/>
      <c r="OOT5" s="1863"/>
      <c r="OOU5" s="1863"/>
      <c r="OOV5" s="1863"/>
      <c r="OOW5" s="1863"/>
      <c r="OOX5" s="1863"/>
      <c r="OOY5" s="1863"/>
      <c r="OOZ5" s="1863"/>
      <c r="OPA5" s="1863"/>
      <c r="OPB5" s="1863"/>
      <c r="OPC5" s="1863"/>
      <c r="OPD5" s="1863"/>
      <c r="OPE5" s="1863"/>
      <c r="OPF5" s="1863"/>
      <c r="OPG5" s="1863"/>
      <c r="OPH5" s="1863"/>
      <c r="OPI5" s="1863"/>
      <c r="OPJ5" s="1863"/>
      <c r="OPK5" s="1863"/>
      <c r="OPL5" s="1863"/>
      <c r="OPM5" s="1863"/>
      <c r="OPN5" s="1863"/>
      <c r="OPO5" s="1863"/>
      <c r="OPP5" s="1863"/>
      <c r="OPQ5" s="1863"/>
      <c r="OPR5" s="1863"/>
      <c r="OPS5" s="1863"/>
      <c r="OPT5" s="1863"/>
      <c r="OPU5" s="1863"/>
      <c r="OPV5" s="1863"/>
      <c r="OPW5" s="1863"/>
      <c r="OPX5" s="1863"/>
      <c r="OPY5" s="1863"/>
      <c r="OPZ5" s="1863"/>
      <c r="OQA5" s="1863"/>
      <c r="OQB5" s="1863"/>
      <c r="OQC5" s="1863"/>
      <c r="OQD5" s="1863"/>
      <c r="OQE5" s="1863"/>
      <c r="OQF5" s="1863"/>
      <c r="OQG5" s="1863"/>
      <c r="OQH5" s="1863"/>
      <c r="OQI5" s="1863"/>
      <c r="OQJ5" s="1863"/>
      <c r="OQK5" s="1863"/>
      <c r="OQL5" s="1863"/>
      <c r="OQM5" s="1863"/>
      <c r="OQN5" s="1863"/>
      <c r="OQO5" s="1863"/>
      <c r="OQP5" s="1863"/>
      <c r="OQQ5" s="1863"/>
      <c r="OQR5" s="1863"/>
      <c r="OQS5" s="1863"/>
      <c r="OQT5" s="1863"/>
      <c r="OQU5" s="1863"/>
      <c r="OQV5" s="1863"/>
      <c r="OQW5" s="1863"/>
      <c r="OQX5" s="1863"/>
      <c r="OQY5" s="1863"/>
      <c r="OQZ5" s="1863"/>
      <c r="ORA5" s="1863"/>
      <c r="ORB5" s="1863"/>
      <c r="ORC5" s="1863"/>
      <c r="ORD5" s="1863"/>
      <c r="ORE5" s="1863"/>
      <c r="ORF5" s="1863"/>
      <c r="ORG5" s="1863"/>
      <c r="ORH5" s="1863"/>
      <c r="ORI5" s="1863"/>
      <c r="ORJ5" s="1863"/>
      <c r="ORK5" s="1863"/>
      <c r="ORL5" s="1863"/>
      <c r="ORM5" s="1863"/>
      <c r="ORN5" s="1863"/>
      <c r="ORO5" s="1863"/>
      <c r="ORP5" s="1863"/>
      <c r="ORQ5" s="1863"/>
      <c r="ORR5" s="1863"/>
      <c r="ORS5" s="1863"/>
      <c r="ORT5" s="1863"/>
      <c r="ORU5" s="1863"/>
      <c r="ORV5" s="1863"/>
      <c r="ORW5" s="1863"/>
      <c r="ORX5" s="1863"/>
      <c r="ORY5" s="1863"/>
      <c r="ORZ5" s="1863"/>
      <c r="OSA5" s="1863"/>
      <c r="OSB5" s="1863"/>
      <c r="OSC5" s="1863"/>
      <c r="OSD5" s="1863"/>
      <c r="OSE5" s="1863"/>
      <c r="OSF5" s="1863"/>
      <c r="OSG5" s="1863"/>
      <c r="OSH5" s="1863"/>
      <c r="OSI5" s="1863"/>
      <c r="OSJ5" s="1863"/>
      <c r="OSK5" s="1863"/>
      <c r="OSL5" s="1863"/>
      <c r="OSM5" s="1863"/>
      <c r="OSN5" s="1863"/>
      <c r="OSO5" s="1863"/>
      <c r="OSP5" s="1863"/>
      <c r="OSQ5" s="1863"/>
      <c r="OSR5" s="1863"/>
      <c r="OSS5" s="1863"/>
      <c r="OST5" s="1863"/>
      <c r="OSU5" s="1863"/>
      <c r="OSV5" s="1863"/>
      <c r="OSW5" s="1863"/>
      <c r="OSX5" s="1863"/>
      <c r="OSY5" s="1863"/>
      <c r="OSZ5" s="1863"/>
      <c r="OTA5" s="1863"/>
      <c r="OTB5" s="1863"/>
      <c r="OTC5" s="1863"/>
      <c r="OTD5" s="1863"/>
      <c r="OTE5" s="1863"/>
      <c r="OTF5" s="1863"/>
      <c r="OTG5" s="1863"/>
      <c r="OTH5" s="1863"/>
      <c r="OTI5" s="1863"/>
      <c r="OTJ5" s="1863"/>
      <c r="OTK5" s="1863"/>
      <c r="OTL5" s="1863"/>
      <c r="OTM5" s="1863"/>
      <c r="OTN5" s="1863"/>
      <c r="OTO5" s="1863"/>
      <c r="OTP5" s="1863"/>
      <c r="OTQ5" s="1863"/>
      <c r="OTR5" s="1863"/>
      <c r="OTS5" s="1863"/>
      <c r="OTT5" s="1863"/>
      <c r="OTU5" s="1863"/>
      <c r="OTV5" s="1863"/>
      <c r="OTW5" s="1863"/>
      <c r="OTX5" s="1863"/>
      <c r="OTY5" s="1863"/>
      <c r="OTZ5" s="1863"/>
      <c r="OUA5" s="1863"/>
      <c r="OUB5" s="1863"/>
      <c r="OUC5" s="1863"/>
      <c r="OUD5" s="1863"/>
      <c r="OUE5" s="1863"/>
      <c r="OUF5" s="1863"/>
      <c r="OUG5" s="1863"/>
      <c r="OUH5" s="1863"/>
      <c r="OUI5" s="1863"/>
      <c r="OUJ5" s="1863"/>
      <c r="OUK5" s="1863"/>
      <c r="OUL5" s="1863"/>
      <c r="OUM5" s="1863"/>
      <c r="OUN5" s="1863"/>
      <c r="OUO5" s="1863"/>
      <c r="OUP5" s="1863"/>
      <c r="OUQ5" s="1863"/>
      <c r="OUR5" s="1863"/>
      <c r="OUS5" s="1863"/>
      <c r="OUT5" s="1863"/>
      <c r="OUU5" s="1863"/>
      <c r="OUV5" s="1863"/>
      <c r="OUW5" s="1863"/>
      <c r="OUX5" s="1863"/>
      <c r="OUY5" s="1863"/>
      <c r="OUZ5" s="1863"/>
      <c r="OVA5" s="1863"/>
      <c r="OVB5" s="1863"/>
      <c r="OVC5" s="1863"/>
      <c r="OVD5" s="1863"/>
      <c r="OVE5" s="1863"/>
      <c r="OVF5" s="1863"/>
      <c r="OVG5" s="1863"/>
      <c r="OVH5" s="1863"/>
      <c r="OVI5" s="1863"/>
      <c r="OVJ5" s="1863"/>
      <c r="OVK5" s="1863"/>
      <c r="OVL5" s="1863"/>
      <c r="OVM5" s="1863"/>
      <c r="OVN5" s="1863"/>
      <c r="OVO5" s="1863"/>
      <c r="OVP5" s="1863"/>
      <c r="OVQ5" s="1863"/>
      <c r="OVR5" s="1863"/>
      <c r="OVS5" s="1863"/>
      <c r="OVT5" s="1863"/>
      <c r="OVU5" s="1863"/>
      <c r="OVV5" s="1863"/>
      <c r="OVW5" s="1863"/>
      <c r="OVX5" s="1863"/>
      <c r="OVY5" s="1863"/>
      <c r="OVZ5" s="1863"/>
      <c r="OWA5" s="1863"/>
      <c r="OWB5" s="1863"/>
      <c r="OWC5" s="1863"/>
      <c r="OWD5" s="1863"/>
      <c r="OWE5" s="1863"/>
      <c r="OWF5" s="1863"/>
      <c r="OWG5" s="1863"/>
      <c r="OWH5" s="1863"/>
      <c r="OWI5" s="1863"/>
      <c r="OWJ5" s="1863"/>
      <c r="OWK5" s="1863"/>
      <c r="OWL5" s="1863"/>
      <c r="OWM5" s="1863"/>
      <c r="OWN5" s="1863"/>
      <c r="OWO5" s="1863"/>
      <c r="OWP5" s="1863"/>
      <c r="OWQ5" s="1863"/>
      <c r="OWR5" s="1863"/>
      <c r="OWS5" s="1863"/>
      <c r="OWT5" s="1863"/>
      <c r="OWU5" s="1863"/>
      <c r="OWV5" s="1863"/>
      <c r="OWW5" s="1863"/>
      <c r="OWX5" s="1863"/>
      <c r="OWY5" s="1863"/>
      <c r="OWZ5" s="1863"/>
      <c r="OXA5" s="1863"/>
      <c r="OXB5" s="1863"/>
      <c r="OXC5" s="1863"/>
      <c r="OXD5" s="1863"/>
      <c r="OXE5" s="1863"/>
      <c r="OXF5" s="1863"/>
      <c r="OXG5" s="1863"/>
      <c r="OXH5" s="1863"/>
      <c r="OXI5" s="1863"/>
      <c r="OXJ5" s="1863"/>
      <c r="OXK5" s="1863"/>
      <c r="OXL5" s="1863"/>
      <c r="OXM5" s="1863"/>
      <c r="OXN5" s="1863"/>
      <c r="OXO5" s="1863"/>
      <c r="OXP5" s="1863"/>
      <c r="OXQ5" s="1863"/>
      <c r="OXR5" s="1863"/>
      <c r="OXS5" s="1863"/>
      <c r="OXT5" s="1863"/>
      <c r="OXU5" s="1863"/>
      <c r="OXV5" s="1863"/>
      <c r="OXW5" s="1863"/>
      <c r="OXX5" s="1863"/>
      <c r="OXY5" s="1863"/>
      <c r="OXZ5" s="1863"/>
      <c r="OYA5" s="1863"/>
      <c r="OYB5" s="1863"/>
      <c r="OYC5" s="1863"/>
      <c r="OYD5" s="1863"/>
      <c r="OYE5" s="1863"/>
      <c r="OYF5" s="1863"/>
      <c r="OYG5" s="1863"/>
      <c r="OYH5" s="1863"/>
      <c r="OYI5" s="1863"/>
      <c r="OYJ5" s="1863"/>
      <c r="OYK5" s="1863"/>
      <c r="OYL5" s="1863"/>
      <c r="OYM5" s="1863"/>
      <c r="OYN5" s="1863"/>
      <c r="OYO5" s="1863"/>
      <c r="OYP5" s="1863"/>
      <c r="OYQ5" s="1863"/>
      <c r="OYR5" s="1863"/>
      <c r="OYS5" s="1863"/>
      <c r="OYT5" s="1863"/>
      <c r="OYU5" s="1863"/>
      <c r="OYV5" s="1863"/>
      <c r="OYW5" s="1863"/>
      <c r="OYX5" s="1863"/>
      <c r="OYY5" s="1863"/>
      <c r="OYZ5" s="1863"/>
      <c r="OZA5" s="1863"/>
      <c r="OZB5" s="1863"/>
      <c r="OZC5" s="1863"/>
      <c r="OZD5" s="1863"/>
      <c r="OZE5" s="1863"/>
      <c r="OZF5" s="1863"/>
      <c r="OZG5" s="1863"/>
      <c r="OZH5" s="1863"/>
      <c r="OZI5" s="1863"/>
      <c r="OZJ5" s="1863"/>
      <c r="OZK5" s="1863"/>
      <c r="OZL5" s="1863"/>
      <c r="OZM5" s="1863"/>
      <c r="OZN5" s="1863"/>
      <c r="OZO5" s="1863"/>
      <c r="OZP5" s="1863"/>
      <c r="OZQ5" s="1863"/>
      <c r="OZR5" s="1863"/>
      <c r="OZS5" s="1863"/>
      <c r="OZT5" s="1863"/>
      <c r="OZU5" s="1863"/>
      <c r="OZV5" s="1863"/>
      <c r="OZW5" s="1863"/>
      <c r="OZX5" s="1863"/>
      <c r="OZY5" s="1863"/>
      <c r="OZZ5" s="1863"/>
      <c r="PAA5" s="1863"/>
      <c r="PAB5" s="1863"/>
      <c r="PAC5" s="1863"/>
      <c r="PAD5" s="1863"/>
      <c r="PAE5" s="1863"/>
      <c r="PAF5" s="1863"/>
      <c r="PAG5" s="1863"/>
      <c r="PAH5" s="1863"/>
      <c r="PAI5" s="1863"/>
      <c r="PAJ5" s="1863"/>
      <c r="PAK5" s="1863"/>
      <c r="PAL5" s="1863"/>
      <c r="PAM5" s="1863"/>
      <c r="PAN5" s="1863"/>
      <c r="PAO5" s="1863"/>
      <c r="PAP5" s="1863"/>
      <c r="PAQ5" s="1863"/>
      <c r="PAR5" s="1863"/>
      <c r="PAS5" s="1863"/>
      <c r="PAT5" s="1863"/>
      <c r="PAU5" s="1863"/>
      <c r="PAV5" s="1863"/>
      <c r="PAW5" s="1863"/>
      <c r="PAX5" s="1863"/>
      <c r="PAY5" s="1863"/>
      <c r="PAZ5" s="1863"/>
      <c r="PBA5" s="1863"/>
      <c r="PBB5" s="1863"/>
      <c r="PBC5" s="1863"/>
      <c r="PBD5" s="1863"/>
      <c r="PBE5" s="1863"/>
      <c r="PBF5" s="1863"/>
      <c r="PBG5" s="1863"/>
      <c r="PBH5" s="1863"/>
      <c r="PBI5" s="1863"/>
      <c r="PBJ5" s="1863"/>
      <c r="PBK5" s="1863"/>
      <c r="PBL5" s="1863"/>
      <c r="PBM5" s="1863"/>
      <c r="PBN5" s="1863"/>
      <c r="PBO5" s="1863"/>
      <c r="PBP5" s="1863"/>
      <c r="PBQ5" s="1863"/>
      <c r="PBR5" s="1863"/>
      <c r="PBS5" s="1863"/>
      <c r="PBT5" s="1863"/>
      <c r="PBU5" s="1863"/>
      <c r="PBV5" s="1863"/>
      <c r="PBW5" s="1863"/>
      <c r="PBX5" s="1863"/>
      <c r="PBY5" s="1863"/>
      <c r="PBZ5" s="1863"/>
      <c r="PCA5" s="1863"/>
      <c r="PCB5" s="1863"/>
      <c r="PCC5" s="1863"/>
      <c r="PCD5" s="1863"/>
      <c r="PCE5" s="1863"/>
      <c r="PCF5" s="1863"/>
      <c r="PCG5" s="1863"/>
      <c r="PCH5" s="1863"/>
      <c r="PCI5" s="1863"/>
      <c r="PCJ5" s="1863"/>
      <c r="PCK5" s="1863"/>
      <c r="PCL5" s="1863"/>
      <c r="PCM5" s="1863"/>
      <c r="PCN5" s="1863"/>
      <c r="PCO5" s="1863"/>
      <c r="PCP5" s="1863"/>
      <c r="PCQ5" s="1863"/>
      <c r="PCR5" s="1863"/>
      <c r="PCS5" s="1863"/>
      <c r="PCT5" s="1863"/>
      <c r="PCU5" s="1863"/>
      <c r="PCV5" s="1863"/>
      <c r="PCW5" s="1863"/>
      <c r="PCX5" s="1863"/>
      <c r="PCY5" s="1863"/>
      <c r="PCZ5" s="1863"/>
      <c r="PDA5" s="1863"/>
      <c r="PDB5" s="1863"/>
      <c r="PDC5" s="1863"/>
      <c r="PDD5" s="1863"/>
      <c r="PDE5" s="1863"/>
      <c r="PDF5" s="1863"/>
      <c r="PDG5" s="1863"/>
      <c r="PDH5" s="1863"/>
      <c r="PDI5" s="1863"/>
      <c r="PDJ5" s="1863"/>
      <c r="PDK5" s="1863"/>
      <c r="PDL5" s="1863"/>
      <c r="PDM5" s="1863"/>
      <c r="PDN5" s="1863"/>
      <c r="PDO5" s="1863"/>
      <c r="PDP5" s="1863"/>
      <c r="PDQ5" s="1863"/>
      <c r="PDR5" s="1863"/>
      <c r="PDS5" s="1863"/>
      <c r="PDT5" s="1863"/>
      <c r="PDU5" s="1863"/>
      <c r="PDV5" s="1863"/>
      <c r="PDW5" s="1863"/>
      <c r="PDX5" s="1863"/>
      <c r="PDY5" s="1863"/>
      <c r="PDZ5" s="1863"/>
      <c r="PEA5" s="1863"/>
      <c r="PEB5" s="1863"/>
      <c r="PEC5" s="1863"/>
      <c r="PED5" s="1863"/>
      <c r="PEE5" s="1863"/>
      <c r="PEF5" s="1863"/>
      <c r="PEG5" s="1863"/>
      <c r="PEH5" s="1863"/>
      <c r="PEI5" s="1863"/>
      <c r="PEJ5" s="1863"/>
      <c r="PEK5" s="1863"/>
      <c r="PEL5" s="1863"/>
      <c r="PEM5" s="1863"/>
      <c r="PEN5" s="1863"/>
      <c r="PEO5" s="1863"/>
      <c r="PEP5" s="1863"/>
      <c r="PEQ5" s="1863"/>
      <c r="PER5" s="1863"/>
      <c r="PES5" s="1863"/>
      <c r="PET5" s="1863"/>
      <c r="PEU5" s="1863"/>
      <c r="PEV5" s="1863"/>
      <c r="PEW5" s="1863"/>
      <c r="PEX5" s="1863"/>
      <c r="PEY5" s="1863"/>
      <c r="PEZ5" s="1863"/>
      <c r="PFA5" s="1863"/>
      <c r="PFB5" s="1863"/>
      <c r="PFC5" s="1863"/>
      <c r="PFD5" s="1863"/>
      <c r="PFE5" s="1863"/>
      <c r="PFF5" s="1863"/>
      <c r="PFG5" s="1863"/>
      <c r="PFH5" s="1863"/>
      <c r="PFI5" s="1863"/>
      <c r="PFJ5" s="1863"/>
      <c r="PFK5" s="1863"/>
      <c r="PFL5" s="1863"/>
      <c r="PFM5" s="1863"/>
      <c r="PFN5" s="1863"/>
      <c r="PFO5" s="1863"/>
      <c r="PFP5" s="1863"/>
      <c r="PFQ5" s="1863"/>
      <c r="PFR5" s="1863"/>
      <c r="PFS5" s="1863"/>
      <c r="PFT5" s="1863"/>
      <c r="PFU5" s="1863"/>
      <c r="PFV5" s="1863"/>
      <c r="PFW5" s="1863"/>
      <c r="PFX5" s="1863"/>
      <c r="PFY5" s="1863"/>
      <c r="PFZ5" s="1863"/>
      <c r="PGA5" s="1863"/>
      <c r="PGB5" s="1863"/>
      <c r="PGC5" s="1863"/>
      <c r="PGD5" s="1863"/>
      <c r="PGE5" s="1863"/>
      <c r="PGF5" s="1863"/>
      <c r="PGG5" s="1863"/>
      <c r="PGH5" s="1863"/>
      <c r="PGI5" s="1863"/>
      <c r="PGJ5" s="1863"/>
      <c r="PGK5" s="1863"/>
      <c r="PGL5" s="1863"/>
      <c r="PGM5" s="1863"/>
      <c r="PGN5" s="1863"/>
      <c r="PGO5" s="1863"/>
      <c r="PGP5" s="1863"/>
      <c r="PGQ5" s="1863"/>
      <c r="PGR5" s="1863"/>
      <c r="PGS5" s="1863"/>
      <c r="PGT5" s="1863"/>
      <c r="PGU5" s="1863"/>
      <c r="PGV5" s="1863"/>
      <c r="PGW5" s="1863"/>
      <c r="PGX5" s="1863"/>
      <c r="PGY5" s="1863"/>
      <c r="PGZ5" s="1863"/>
      <c r="PHA5" s="1863"/>
      <c r="PHB5" s="1863"/>
      <c r="PHC5" s="1863"/>
      <c r="PHD5" s="1863"/>
      <c r="PHE5" s="1863"/>
      <c r="PHF5" s="1863"/>
      <c r="PHG5" s="1863"/>
      <c r="PHH5" s="1863"/>
      <c r="PHI5" s="1863"/>
      <c r="PHJ5" s="1863"/>
      <c r="PHK5" s="1863"/>
      <c r="PHL5" s="1863"/>
      <c r="PHM5" s="1863"/>
      <c r="PHN5" s="1863"/>
      <c r="PHO5" s="1863"/>
      <c r="PHP5" s="1863"/>
      <c r="PHQ5" s="1863"/>
      <c r="PHR5" s="1863"/>
      <c r="PHS5" s="1863"/>
      <c r="PHT5" s="1863"/>
      <c r="PHU5" s="1863"/>
      <c r="PHV5" s="1863"/>
      <c r="PHW5" s="1863"/>
      <c r="PHX5" s="1863"/>
      <c r="PHY5" s="1863"/>
      <c r="PHZ5" s="1863"/>
      <c r="PIA5" s="1863"/>
      <c r="PIB5" s="1863"/>
      <c r="PIC5" s="1863"/>
      <c r="PID5" s="1863"/>
      <c r="PIE5" s="1863"/>
      <c r="PIF5" s="1863"/>
      <c r="PIG5" s="1863"/>
      <c r="PIH5" s="1863"/>
      <c r="PII5" s="1863"/>
      <c r="PIJ5" s="1863"/>
      <c r="PIK5" s="1863"/>
      <c r="PIL5" s="1863"/>
      <c r="PIM5" s="1863"/>
      <c r="PIN5" s="1863"/>
      <c r="PIO5" s="1863"/>
      <c r="PIP5" s="1863"/>
      <c r="PIQ5" s="1863"/>
      <c r="PIR5" s="1863"/>
      <c r="PIS5" s="1863"/>
      <c r="PIT5" s="1863"/>
      <c r="PIU5" s="1863"/>
      <c r="PIV5" s="1863"/>
      <c r="PIW5" s="1863"/>
      <c r="PIX5" s="1863"/>
      <c r="PIY5" s="1863"/>
      <c r="PIZ5" s="1863"/>
      <c r="PJA5" s="1863"/>
      <c r="PJB5" s="1863"/>
      <c r="PJC5" s="1863"/>
      <c r="PJD5" s="1863"/>
      <c r="PJE5" s="1863"/>
      <c r="PJF5" s="1863"/>
      <c r="PJG5" s="1863"/>
      <c r="PJH5" s="1863"/>
      <c r="PJI5" s="1863"/>
      <c r="PJJ5" s="1863"/>
      <c r="PJK5" s="1863"/>
      <c r="PJL5" s="1863"/>
      <c r="PJM5" s="1863"/>
      <c r="PJN5" s="1863"/>
      <c r="PJO5" s="1863"/>
      <c r="PJP5" s="1863"/>
      <c r="PJQ5" s="1863"/>
      <c r="PJR5" s="1863"/>
      <c r="PJS5" s="1863"/>
      <c r="PJT5" s="1863"/>
      <c r="PJU5" s="1863"/>
      <c r="PJV5" s="1863"/>
      <c r="PJW5" s="1863"/>
      <c r="PJX5" s="1863"/>
      <c r="PJY5" s="1863"/>
      <c r="PJZ5" s="1863"/>
      <c r="PKA5" s="1863"/>
      <c r="PKB5" s="1863"/>
      <c r="PKC5" s="1863"/>
      <c r="PKD5" s="1863"/>
      <c r="PKE5" s="1863"/>
      <c r="PKF5" s="1863"/>
      <c r="PKG5" s="1863"/>
      <c r="PKH5" s="1863"/>
      <c r="PKI5" s="1863"/>
      <c r="PKJ5" s="1863"/>
      <c r="PKK5" s="1863"/>
      <c r="PKL5" s="1863"/>
      <c r="PKM5" s="1863"/>
      <c r="PKN5" s="1863"/>
      <c r="PKO5" s="1863"/>
      <c r="PKP5" s="1863"/>
      <c r="PKQ5" s="1863"/>
      <c r="PKR5" s="1863"/>
      <c r="PKS5" s="1863"/>
      <c r="PKT5" s="1863"/>
      <c r="PKU5" s="1863"/>
      <c r="PKV5" s="1863"/>
      <c r="PKW5" s="1863"/>
      <c r="PKX5" s="1863"/>
      <c r="PKY5" s="1863"/>
      <c r="PKZ5" s="1863"/>
      <c r="PLA5" s="1863"/>
      <c r="PLB5" s="1863"/>
      <c r="PLC5" s="1863"/>
      <c r="PLD5" s="1863"/>
      <c r="PLE5" s="1863"/>
      <c r="PLF5" s="1863"/>
      <c r="PLG5" s="1863"/>
      <c r="PLH5" s="1863"/>
      <c r="PLI5" s="1863"/>
      <c r="PLJ5" s="1863"/>
      <c r="PLK5" s="1863"/>
      <c r="PLL5" s="1863"/>
      <c r="PLM5" s="1863"/>
      <c r="PLN5" s="1863"/>
      <c r="PLO5" s="1863"/>
      <c r="PLP5" s="1863"/>
      <c r="PLQ5" s="1863"/>
      <c r="PLR5" s="1863"/>
      <c r="PLS5" s="1863"/>
      <c r="PLT5" s="1863"/>
      <c r="PLU5" s="1863"/>
      <c r="PLV5" s="1863"/>
      <c r="PLW5" s="1863"/>
      <c r="PLX5" s="1863"/>
      <c r="PLY5" s="1863"/>
      <c r="PLZ5" s="1863"/>
      <c r="PMA5" s="1863"/>
      <c r="PMB5" s="1863"/>
      <c r="PMC5" s="1863"/>
      <c r="PMD5" s="1863"/>
      <c r="PME5" s="1863"/>
      <c r="PMF5" s="1863"/>
      <c r="PMG5" s="1863"/>
      <c r="PMH5" s="1863"/>
      <c r="PMI5" s="1863"/>
      <c r="PMJ5" s="1863"/>
      <c r="PMK5" s="1863"/>
      <c r="PML5" s="1863"/>
      <c r="PMM5" s="1863"/>
      <c r="PMN5" s="1863"/>
      <c r="PMO5" s="1863"/>
      <c r="PMP5" s="1863"/>
      <c r="PMQ5" s="1863"/>
      <c r="PMR5" s="1863"/>
      <c r="PMS5" s="1863"/>
      <c r="PMT5" s="1863"/>
      <c r="PMU5" s="1863"/>
      <c r="PMV5" s="1863"/>
      <c r="PMW5" s="1863"/>
      <c r="PMX5" s="1863"/>
      <c r="PMY5" s="1863"/>
      <c r="PMZ5" s="1863"/>
      <c r="PNA5" s="1863"/>
      <c r="PNB5" s="1863"/>
      <c r="PNC5" s="1863"/>
      <c r="PND5" s="1863"/>
      <c r="PNE5" s="1863"/>
      <c r="PNF5" s="1863"/>
      <c r="PNG5" s="1863"/>
      <c r="PNH5" s="1863"/>
      <c r="PNI5" s="1863"/>
      <c r="PNJ5" s="1863"/>
      <c r="PNK5" s="1863"/>
      <c r="PNL5" s="1863"/>
      <c r="PNM5" s="1863"/>
      <c r="PNN5" s="1863"/>
      <c r="PNO5" s="1863"/>
      <c r="PNP5" s="1863"/>
      <c r="PNQ5" s="1863"/>
      <c r="PNR5" s="1863"/>
      <c r="PNS5" s="1863"/>
      <c r="PNT5" s="1863"/>
      <c r="PNU5" s="1863"/>
      <c r="PNV5" s="1863"/>
      <c r="PNW5" s="1863"/>
      <c r="PNX5" s="1863"/>
      <c r="PNY5" s="1863"/>
      <c r="PNZ5" s="1863"/>
      <c r="POA5" s="1863"/>
      <c r="POB5" s="1863"/>
      <c r="POC5" s="1863"/>
      <c r="POD5" s="1863"/>
      <c r="POE5" s="1863"/>
      <c r="POF5" s="1863"/>
      <c r="POG5" s="1863"/>
      <c r="POH5" s="1863"/>
      <c r="POI5" s="1863"/>
      <c r="POJ5" s="1863"/>
      <c r="POK5" s="1863"/>
      <c r="POL5" s="1863"/>
      <c r="POM5" s="1863"/>
      <c r="PON5" s="1863"/>
      <c r="POO5" s="1863"/>
      <c r="POP5" s="1863"/>
      <c r="POQ5" s="1863"/>
      <c r="POR5" s="1863"/>
      <c r="POS5" s="1863"/>
      <c r="POT5" s="1863"/>
      <c r="POU5" s="1863"/>
      <c r="POV5" s="1863"/>
      <c r="POW5" s="1863"/>
      <c r="POX5" s="1863"/>
      <c r="POY5" s="1863"/>
      <c r="POZ5" s="1863"/>
      <c r="PPA5" s="1863"/>
      <c r="PPB5" s="1863"/>
      <c r="PPC5" s="1863"/>
      <c r="PPD5" s="1863"/>
      <c r="PPE5" s="1863"/>
      <c r="PPF5" s="1863"/>
      <c r="PPG5" s="1863"/>
      <c r="PPH5" s="1863"/>
      <c r="PPI5" s="1863"/>
      <c r="PPJ5" s="1863"/>
      <c r="PPK5" s="1863"/>
      <c r="PPL5" s="1863"/>
      <c r="PPM5" s="1863"/>
      <c r="PPN5" s="1863"/>
      <c r="PPO5" s="1863"/>
      <c r="PPP5" s="1863"/>
      <c r="PPQ5" s="1863"/>
      <c r="PPR5" s="1863"/>
      <c r="PPS5" s="1863"/>
      <c r="PPT5" s="1863"/>
      <c r="PPU5" s="1863"/>
      <c r="PPV5" s="1863"/>
      <c r="PPW5" s="1863"/>
      <c r="PPX5" s="1863"/>
      <c r="PPY5" s="1863"/>
      <c r="PPZ5" s="1863"/>
      <c r="PQA5" s="1863"/>
      <c r="PQB5" s="1863"/>
      <c r="PQC5" s="1863"/>
      <c r="PQD5" s="1863"/>
      <c r="PQE5" s="1863"/>
      <c r="PQF5" s="1863"/>
      <c r="PQG5" s="1863"/>
      <c r="PQH5" s="1863"/>
      <c r="PQI5" s="1863"/>
      <c r="PQJ5" s="1863"/>
      <c r="PQK5" s="1863"/>
      <c r="PQL5" s="1863"/>
      <c r="PQM5" s="1863"/>
      <c r="PQN5" s="1863"/>
      <c r="PQO5" s="1863"/>
      <c r="PQP5" s="1863"/>
      <c r="PQQ5" s="1863"/>
      <c r="PQR5" s="1863"/>
      <c r="PQS5" s="1863"/>
      <c r="PQT5" s="1863"/>
      <c r="PQU5" s="1863"/>
      <c r="PQV5" s="1863"/>
      <c r="PQW5" s="1863"/>
      <c r="PQX5" s="1863"/>
      <c r="PQY5" s="1863"/>
      <c r="PQZ5" s="1863"/>
      <c r="PRA5" s="1863"/>
      <c r="PRB5" s="1863"/>
      <c r="PRC5" s="1863"/>
      <c r="PRD5" s="1863"/>
      <c r="PRE5" s="1863"/>
      <c r="PRF5" s="1863"/>
      <c r="PRG5" s="1863"/>
      <c r="PRH5" s="1863"/>
      <c r="PRI5" s="1863"/>
      <c r="PRJ5" s="1863"/>
      <c r="PRK5" s="1863"/>
      <c r="PRL5" s="1863"/>
      <c r="PRM5" s="1863"/>
      <c r="PRN5" s="1863"/>
      <c r="PRO5" s="1863"/>
      <c r="PRP5" s="1863"/>
      <c r="PRQ5" s="1863"/>
      <c r="PRR5" s="1863"/>
      <c r="PRS5" s="1863"/>
      <c r="PRT5" s="1863"/>
      <c r="PRU5" s="1863"/>
      <c r="PRV5" s="1863"/>
      <c r="PRW5" s="1863"/>
      <c r="PRX5" s="1863"/>
      <c r="PRY5" s="1863"/>
      <c r="PRZ5" s="1863"/>
      <c r="PSA5" s="1863"/>
      <c r="PSB5" s="1863"/>
      <c r="PSC5" s="1863"/>
      <c r="PSD5" s="1863"/>
      <c r="PSE5" s="1863"/>
      <c r="PSF5" s="1863"/>
      <c r="PSG5" s="1863"/>
      <c r="PSH5" s="1863"/>
      <c r="PSI5" s="1863"/>
      <c r="PSJ5" s="1863"/>
      <c r="PSK5" s="1863"/>
      <c r="PSL5" s="1863"/>
      <c r="PSM5" s="1863"/>
      <c r="PSN5" s="1863"/>
      <c r="PSO5" s="1863"/>
      <c r="PSP5" s="1863"/>
      <c r="PSQ5" s="1863"/>
      <c r="PSR5" s="1863"/>
      <c r="PSS5" s="1863"/>
      <c r="PST5" s="1863"/>
      <c r="PSU5" s="1863"/>
      <c r="PSV5" s="1863"/>
      <c r="PSW5" s="1863"/>
      <c r="PSX5" s="1863"/>
      <c r="PSY5" s="1863"/>
      <c r="PSZ5" s="1863"/>
      <c r="PTA5" s="1863"/>
      <c r="PTB5" s="1863"/>
      <c r="PTC5" s="1863"/>
      <c r="PTD5" s="1863"/>
      <c r="PTE5" s="1863"/>
      <c r="PTF5" s="1863"/>
      <c r="PTG5" s="1863"/>
      <c r="PTH5" s="1863"/>
      <c r="PTI5" s="1863"/>
      <c r="PTJ5" s="1863"/>
      <c r="PTK5" s="1863"/>
      <c r="PTL5" s="1863"/>
      <c r="PTM5" s="1863"/>
      <c r="PTN5" s="1863"/>
      <c r="PTO5" s="1863"/>
      <c r="PTP5" s="1863"/>
      <c r="PTQ5" s="1863"/>
      <c r="PTR5" s="1863"/>
      <c r="PTS5" s="1863"/>
      <c r="PTT5" s="1863"/>
      <c r="PTU5" s="1863"/>
      <c r="PTV5" s="1863"/>
      <c r="PTW5" s="1863"/>
      <c r="PTX5" s="1863"/>
      <c r="PTY5" s="1863"/>
      <c r="PTZ5" s="1863"/>
      <c r="PUA5" s="1863"/>
      <c r="PUB5" s="1863"/>
      <c r="PUC5" s="1863"/>
      <c r="PUD5" s="1863"/>
      <c r="PUE5" s="1863"/>
      <c r="PUF5" s="1863"/>
      <c r="PUG5" s="1863"/>
      <c r="PUH5" s="1863"/>
      <c r="PUI5" s="1863"/>
      <c r="PUJ5" s="1863"/>
      <c r="PUK5" s="1863"/>
      <c r="PUL5" s="1863"/>
      <c r="PUM5" s="1863"/>
      <c r="PUN5" s="1863"/>
      <c r="PUO5" s="1863"/>
      <c r="PUP5" s="1863"/>
      <c r="PUQ5" s="1863"/>
      <c r="PUR5" s="1863"/>
      <c r="PUS5" s="1863"/>
      <c r="PUT5" s="1863"/>
      <c r="PUU5" s="1863"/>
      <c r="PUV5" s="1863"/>
      <c r="PUW5" s="1863"/>
      <c r="PUX5" s="1863"/>
      <c r="PUY5" s="1863"/>
      <c r="PUZ5" s="1863"/>
      <c r="PVA5" s="1863"/>
      <c r="PVB5" s="1863"/>
      <c r="PVC5" s="1863"/>
      <c r="PVD5" s="1863"/>
      <c r="PVE5" s="1863"/>
      <c r="PVF5" s="1863"/>
      <c r="PVG5" s="1863"/>
      <c r="PVH5" s="1863"/>
      <c r="PVI5" s="1863"/>
      <c r="PVJ5" s="1863"/>
      <c r="PVK5" s="1863"/>
      <c r="PVL5" s="1863"/>
      <c r="PVM5" s="1863"/>
      <c r="PVN5" s="1863"/>
      <c r="PVO5" s="1863"/>
      <c r="PVP5" s="1863"/>
      <c r="PVQ5" s="1863"/>
      <c r="PVR5" s="1863"/>
      <c r="PVS5" s="1863"/>
      <c r="PVT5" s="1863"/>
      <c r="PVU5" s="1863"/>
      <c r="PVV5" s="1863"/>
      <c r="PVW5" s="1863"/>
      <c r="PVX5" s="1863"/>
      <c r="PVY5" s="1863"/>
      <c r="PVZ5" s="1863"/>
      <c r="PWA5" s="1863"/>
      <c r="PWB5" s="1863"/>
      <c r="PWC5" s="1863"/>
      <c r="PWD5" s="1863"/>
      <c r="PWE5" s="1863"/>
      <c r="PWF5" s="1863"/>
      <c r="PWG5" s="1863"/>
      <c r="PWH5" s="1863"/>
      <c r="PWI5" s="1863"/>
      <c r="PWJ5" s="1863"/>
      <c r="PWK5" s="1863"/>
      <c r="PWL5" s="1863"/>
      <c r="PWM5" s="1863"/>
      <c r="PWN5" s="1863"/>
      <c r="PWO5" s="1863"/>
      <c r="PWP5" s="1863"/>
      <c r="PWQ5" s="1863"/>
      <c r="PWR5" s="1863"/>
      <c r="PWS5" s="1863"/>
      <c r="PWT5" s="1863"/>
      <c r="PWU5" s="1863"/>
      <c r="PWV5" s="1863"/>
      <c r="PWW5" s="1863"/>
      <c r="PWX5" s="1863"/>
      <c r="PWY5" s="1863"/>
      <c r="PWZ5" s="1863"/>
      <c r="PXA5" s="1863"/>
      <c r="PXB5" s="1863"/>
      <c r="PXC5" s="1863"/>
      <c r="PXD5" s="1863"/>
      <c r="PXE5" s="1863"/>
      <c r="PXF5" s="1863"/>
      <c r="PXG5" s="1863"/>
      <c r="PXH5" s="1863"/>
      <c r="PXI5" s="1863"/>
      <c r="PXJ5" s="1863"/>
      <c r="PXK5" s="1863"/>
      <c r="PXL5" s="1863"/>
      <c r="PXM5" s="1863"/>
      <c r="PXN5" s="1863"/>
      <c r="PXO5" s="1863"/>
      <c r="PXP5" s="1863"/>
      <c r="PXQ5" s="1863"/>
      <c r="PXR5" s="1863"/>
      <c r="PXS5" s="1863"/>
      <c r="PXT5" s="1863"/>
      <c r="PXU5" s="1863"/>
      <c r="PXV5" s="1863"/>
      <c r="PXW5" s="1863"/>
      <c r="PXX5" s="1863"/>
      <c r="PXY5" s="1863"/>
      <c r="PXZ5" s="1863"/>
      <c r="PYA5" s="1863"/>
      <c r="PYB5" s="1863"/>
      <c r="PYC5" s="1863"/>
      <c r="PYD5" s="1863"/>
      <c r="PYE5" s="1863"/>
      <c r="PYF5" s="1863"/>
      <c r="PYG5" s="1863"/>
      <c r="PYH5" s="1863"/>
      <c r="PYI5" s="1863"/>
      <c r="PYJ5" s="1863"/>
      <c r="PYK5" s="1863"/>
      <c r="PYL5" s="1863"/>
      <c r="PYM5" s="1863"/>
      <c r="PYN5" s="1863"/>
      <c r="PYO5" s="1863"/>
      <c r="PYP5" s="1863"/>
      <c r="PYQ5" s="1863"/>
      <c r="PYR5" s="1863"/>
      <c r="PYS5" s="1863"/>
      <c r="PYT5" s="1863"/>
      <c r="PYU5" s="1863"/>
      <c r="PYV5" s="1863"/>
      <c r="PYW5" s="1863"/>
      <c r="PYX5" s="1863"/>
      <c r="PYY5" s="1863"/>
      <c r="PYZ5" s="1863"/>
      <c r="PZA5" s="1863"/>
      <c r="PZB5" s="1863"/>
      <c r="PZC5" s="1863"/>
      <c r="PZD5" s="1863"/>
      <c r="PZE5" s="1863"/>
      <c r="PZF5" s="1863"/>
      <c r="PZG5" s="1863"/>
      <c r="PZH5" s="1863"/>
      <c r="PZI5" s="1863"/>
      <c r="PZJ5" s="1863"/>
      <c r="PZK5" s="1863"/>
      <c r="PZL5" s="1863"/>
      <c r="PZM5" s="1863"/>
      <c r="PZN5" s="1863"/>
      <c r="PZO5" s="1863"/>
      <c r="PZP5" s="1863"/>
      <c r="PZQ5" s="1863"/>
      <c r="PZR5" s="1863"/>
      <c r="PZS5" s="1863"/>
      <c r="PZT5" s="1863"/>
      <c r="PZU5" s="1863"/>
      <c r="PZV5" s="1863"/>
      <c r="PZW5" s="1863"/>
      <c r="PZX5" s="1863"/>
      <c r="PZY5" s="1863"/>
      <c r="PZZ5" s="1863"/>
      <c r="QAA5" s="1863"/>
      <c r="QAB5" s="1863"/>
      <c r="QAC5" s="1863"/>
      <c r="QAD5" s="1863"/>
      <c r="QAE5" s="1863"/>
      <c r="QAF5" s="1863"/>
      <c r="QAG5" s="1863"/>
      <c r="QAH5" s="1863"/>
      <c r="QAI5" s="1863"/>
      <c r="QAJ5" s="1863"/>
      <c r="QAK5" s="1863"/>
      <c r="QAL5" s="1863"/>
      <c r="QAM5" s="1863"/>
      <c r="QAN5" s="1863"/>
      <c r="QAO5" s="1863"/>
      <c r="QAP5" s="1863"/>
      <c r="QAQ5" s="1863"/>
      <c r="QAR5" s="1863"/>
      <c r="QAS5" s="1863"/>
      <c r="QAT5" s="1863"/>
      <c r="QAU5" s="1863"/>
      <c r="QAV5" s="1863"/>
      <c r="QAW5" s="1863"/>
      <c r="QAX5" s="1863"/>
      <c r="QAY5" s="1863"/>
      <c r="QAZ5" s="1863"/>
      <c r="QBA5" s="1863"/>
      <c r="QBB5" s="1863"/>
      <c r="QBC5" s="1863"/>
      <c r="QBD5" s="1863"/>
      <c r="QBE5" s="1863"/>
      <c r="QBF5" s="1863"/>
      <c r="QBG5" s="1863"/>
      <c r="QBH5" s="1863"/>
      <c r="QBI5" s="1863"/>
      <c r="QBJ5" s="1863"/>
      <c r="QBK5" s="1863"/>
      <c r="QBL5" s="1863"/>
      <c r="QBM5" s="1863"/>
      <c r="QBN5" s="1863"/>
      <c r="QBO5" s="1863"/>
      <c r="QBP5" s="1863"/>
      <c r="QBQ5" s="1863"/>
      <c r="QBR5" s="1863"/>
      <c r="QBS5" s="1863"/>
      <c r="QBT5" s="1863"/>
      <c r="QBU5" s="1863"/>
      <c r="QBV5" s="1863"/>
      <c r="QBW5" s="1863"/>
      <c r="QBX5" s="1863"/>
      <c r="QBY5" s="1863"/>
      <c r="QBZ5" s="1863"/>
      <c r="QCA5" s="1863"/>
      <c r="QCB5" s="1863"/>
      <c r="QCC5" s="1863"/>
      <c r="QCD5" s="1863"/>
      <c r="QCE5" s="1863"/>
      <c r="QCF5" s="1863"/>
      <c r="QCG5" s="1863"/>
      <c r="QCH5" s="1863"/>
      <c r="QCI5" s="1863"/>
      <c r="QCJ5" s="1863"/>
      <c r="QCK5" s="1863"/>
      <c r="QCL5" s="1863"/>
      <c r="QCM5" s="1863"/>
      <c r="QCN5" s="1863"/>
      <c r="QCO5" s="1863"/>
      <c r="QCP5" s="1863"/>
      <c r="QCQ5" s="1863"/>
      <c r="QCR5" s="1863"/>
      <c r="QCS5" s="1863"/>
      <c r="QCT5" s="1863"/>
      <c r="QCU5" s="1863"/>
      <c r="QCV5" s="1863"/>
      <c r="QCW5" s="1863"/>
      <c r="QCX5" s="1863"/>
      <c r="QCY5" s="1863"/>
      <c r="QCZ5" s="1863"/>
      <c r="QDA5" s="1863"/>
      <c r="QDB5" s="1863"/>
      <c r="QDC5" s="1863"/>
      <c r="QDD5" s="1863"/>
      <c r="QDE5" s="1863"/>
      <c r="QDF5" s="1863"/>
      <c r="QDG5" s="1863"/>
      <c r="QDH5" s="1863"/>
      <c r="QDI5" s="1863"/>
      <c r="QDJ5" s="1863"/>
      <c r="QDK5" s="1863"/>
      <c r="QDL5" s="1863"/>
      <c r="QDM5" s="1863"/>
      <c r="QDN5" s="1863"/>
      <c r="QDO5" s="1863"/>
      <c r="QDP5" s="1863"/>
      <c r="QDQ5" s="1863"/>
      <c r="QDR5" s="1863"/>
      <c r="QDS5" s="1863"/>
      <c r="QDT5" s="1863"/>
      <c r="QDU5" s="1863"/>
      <c r="QDV5" s="1863"/>
      <c r="QDW5" s="1863"/>
      <c r="QDX5" s="1863"/>
      <c r="QDY5" s="1863"/>
      <c r="QDZ5" s="1863"/>
      <c r="QEA5" s="1863"/>
      <c r="QEB5" s="1863"/>
      <c r="QEC5" s="1863"/>
      <c r="QED5" s="1863"/>
      <c r="QEE5" s="1863"/>
      <c r="QEF5" s="1863"/>
      <c r="QEG5" s="1863"/>
      <c r="QEH5" s="1863"/>
      <c r="QEI5" s="1863"/>
      <c r="QEJ5" s="1863"/>
      <c r="QEK5" s="1863"/>
      <c r="QEL5" s="1863"/>
      <c r="QEM5" s="1863"/>
      <c r="QEN5" s="1863"/>
      <c r="QEO5" s="1863"/>
      <c r="QEP5" s="1863"/>
      <c r="QEQ5" s="1863"/>
      <c r="QER5" s="1863"/>
      <c r="QES5" s="1863"/>
      <c r="QET5" s="1863"/>
      <c r="QEU5" s="1863"/>
      <c r="QEV5" s="1863"/>
      <c r="QEW5" s="1863"/>
      <c r="QEX5" s="1863"/>
      <c r="QEY5" s="1863"/>
      <c r="QEZ5" s="1863"/>
      <c r="QFA5" s="1863"/>
      <c r="QFB5" s="1863"/>
      <c r="QFC5" s="1863"/>
      <c r="QFD5" s="1863"/>
      <c r="QFE5" s="1863"/>
      <c r="QFF5" s="1863"/>
      <c r="QFG5" s="1863"/>
      <c r="QFH5" s="1863"/>
      <c r="QFI5" s="1863"/>
      <c r="QFJ5" s="1863"/>
      <c r="QFK5" s="1863"/>
      <c r="QFL5" s="1863"/>
      <c r="QFM5" s="1863"/>
      <c r="QFN5" s="1863"/>
      <c r="QFO5" s="1863"/>
      <c r="QFP5" s="1863"/>
      <c r="QFQ5" s="1863"/>
      <c r="QFR5" s="1863"/>
      <c r="QFS5" s="1863"/>
      <c r="QFT5" s="1863"/>
      <c r="QFU5" s="1863"/>
      <c r="QFV5" s="1863"/>
      <c r="QFW5" s="1863"/>
      <c r="QFX5" s="1863"/>
      <c r="QFY5" s="1863"/>
      <c r="QFZ5" s="1863"/>
      <c r="QGA5" s="1863"/>
      <c r="QGB5" s="1863"/>
      <c r="QGC5" s="1863"/>
      <c r="QGD5" s="1863"/>
      <c r="QGE5" s="1863"/>
      <c r="QGF5" s="1863"/>
      <c r="QGG5" s="1863"/>
      <c r="QGH5" s="1863"/>
      <c r="QGI5" s="1863"/>
      <c r="QGJ5" s="1863"/>
      <c r="QGK5" s="1863"/>
      <c r="QGL5" s="1863"/>
      <c r="QGM5" s="1863"/>
      <c r="QGN5" s="1863"/>
      <c r="QGO5" s="1863"/>
      <c r="QGP5" s="1863"/>
      <c r="QGQ5" s="1863"/>
      <c r="QGR5" s="1863"/>
      <c r="QGS5" s="1863"/>
      <c r="QGT5" s="1863"/>
      <c r="QGU5" s="1863"/>
      <c r="QGV5" s="1863"/>
      <c r="QGW5" s="1863"/>
      <c r="QGX5" s="1863"/>
      <c r="QGY5" s="1863"/>
      <c r="QGZ5" s="1863"/>
      <c r="QHA5" s="1863"/>
      <c r="QHB5" s="1863"/>
      <c r="QHC5" s="1863"/>
      <c r="QHD5" s="1863"/>
      <c r="QHE5" s="1863"/>
      <c r="QHF5" s="1863"/>
      <c r="QHG5" s="1863"/>
      <c r="QHH5" s="1863"/>
      <c r="QHI5" s="1863"/>
      <c r="QHJ5" s="1863"/>
      <c r="QHK5" s="1863"/>
      <c r="QHL5" s="1863"/>
      <c r="QHM5" s="1863"/>
      <c r="QHN5" s="1863"/>
      <c r="QHO5" s="1863"/>
      <c r="QHP5" s="1863"/>
      <c r="QHQ5" s="1863"/>
      <c r="QHR5" s="1863"/>
      <c r="QHS5" s="1863"/>
      <c r="QHT5" s="1863"/>
      <c r="QHU5" s="1863"/>
      <c r="QHV5" s="1863"/>
      <c r="QHW5" s="1863"/>
      <c r="QHX5" s="1863"/>
      <c r="QHY5" s="1863"/>
      <c r="QHZ5" s="1863"/>
      <c r="QIA5" s="1863"/>
      <c r="QIB5" s="1863"/>
      <c r="QIC5" s="1863"/>
      <c r="QID5" s="1863"/>
      <c r="QIE5" s="1863"/>
      <c r="QIF5" s="1863"/>
      <c r="QIG5" s="1863"/>
      <c r="QIH5" s="1863"/>
      <c r="QII5" s="1863"/>
      <c r="QIJ5" s="1863"/>
      <c r="QIK5" s="1863"/>
      <c r="QIL5" s="1863"/>
      <c r="QIM5" s="1863"/>
      <c r="QIN5" s="1863"/>
      <c r="QIO5" s="1863"/>
      <c r="QIP5" s="1863"/>
      <c r="QIQ5" s="1863"/>
      <c r="QIR5" s="1863"/>
      <c r="QIS5" s="1863"/>
      <c r="QIT5" s="1863"/>
      <c r="QIU5" s="1863"/>
      <c r="QIV5" s="1863"/>
      <c r="QIW5" s="1863"/>
      <c r="QIX5" s="1863"/>
      <c r="QIY5" s="1863"/>
      <c r="QIZ5" s="1863"/>
      <c r="QJA5" s="1863"/>
      <c r="QJB5" s="1863"/>
      <c r="QJC5" s="1863"/>
      <c r="QJD5" s="1863"/>
      <c r="QJE5" s="1863"/>
      <c r="QJF5" s="1863"/>
      <c r="QJG5" s="1863"/>
      <c r="QJH5" s="1863"/>
      <c r="QJI5" s="1863"/>
      <c r="QJJ5" s="1863"/>
      <c r="QJK5" s="1863"/>
      <c r="QJL5" s="1863"/>
      <c r="QJM5" s="1863"/>
      <c r="QJN5" s="1863"/>
      <c r="QJO5" s="1863"/>
      <c r="QJP5" s="1863"/>
      <c r="QJQ5" s="1863"/>
      <c r="QJR5" s="1863"/>
      <c r="QJS5" s="1863"/>
      <c r="QJT5" s="1863"/>
      <c r="QJU5" s="1863"/>
      <c r="QJV5" s="1863"/>
      <c r="QJW5" s="1863"/>
      <c r="QJX5" s="1863"/>
      <c r="QJY5" s="1863"/>
      <c r="QJZ5" s="1863"/>
      <c r="QKA5" s="1863"/>
      <c r="QKB5" s="1863"/>
      <c r="QKC5" s="1863"/>
      <c r="QKD5" s="1863"/>
      <c r="QKE5" s="1863"/>
      <c r="QKF5" s="1863"/>
      <c r="QKG5" s="1863"/>
      <c r="QKH5" s="1863"/>
      <c r="QKI5" s="1863"/>
      <c r="QKJ5" s="1863"/>
      <c r="QKK5" s="1863"/>
      <c r="QKL5" s="1863"/>
      <c r="QKM5" s="1863"/>
      <c r="QKN5" s="1863"/>
      <c r="QKO5" s="1863"/>
      <c r="QKP5" s="1863"/>
      <c r="QKQ5" s="1863"/>
      <c r="QKR5" s="1863"/>
      <c r="QKS5" s="1863"/>
      <c r="QKT5" s="1863"/>
      <c r="QKU5" s="1863"/>
      <c r="QKV5" s="1863"/>
      <c r="QKW5" s="1863"/>
      <c r="QKX5" s="1863"/>
      <c r="QKY5" s="1863"/>
      <c r="QKZ5" s="1863"/>
      <c r="QLA5" s="1863"/>
      <c r="QLB5" s="1863"/>
      <c r="QLC5" s="1863"/>
      <c r="QLD5" s="1863"/>
      <c r="QLE5" s="1863"/>
      <c r="QLF5" s="1863"/>
      <c r="QLG5" s="1863"/>
      <c r="QLH5" s="1863"/>
      <c r="QLI5" s="1863"/>
      <c r="QLJ5" s="1863"/>
      <c r="QLK5" s="1863"/>
      <c r="QLL5" s="1863"/>
      <c r="QLM5" s="1863"/>
      <c r="QLN5" s="1863"/>
      <c r="QLO5" s="1863"/>
      <c r="QLP5" s="1863"/>
      <c r="QLQ5" s="1863"/>
      <c r="QLR5" s="1863"/>
      <c r="QLS5" s="1863"/>
      <c r="QLT5" s="1863"/>
      <c r="QLU5" s="1863"/>
      <c r="QLV5" s="1863"/>
      <c r="QLW5" s="1863"/>
      <c r="QLX5" s="1863"/>
      <c r="QLY5" s="1863"/>
      <c r="QLZ5" s="1863"/>
      <c r="QMA5" s="1863"/>
      <c r="QMB5" s="1863"/>
      <c r="QMC5" s="1863"/>
      <c r="QMD5" s="1863"/>
      <c r="QME5" s="1863"/>
      <c r="QMF5" s="1863"/>
      <c r="QMG5" s="1863"/>
      <c r="QMH5" s="1863"/>
      <c r="QMI5" s="1863"/>
      <c r="QMJ5" s="1863"/>
      <c r="QMK5" s="1863"/>
      <c r="QML5" s="1863"/>
      <c r="QMM5" s="1863"/>
      <c r="QMN5" s="1863"/>
      <c r="QMO5" s="1863"/>
      <c r="QMP5" s="1863"/>
      <c r="QMQ5" s="1863"/>
      <c r="QMR5" s="1863"/>
      <c r="QMS5" s="1863"/>
      <c r="QMT5" s="1863"/>
      <c r="QMU5" s="1863"/>
      <c r="QMV5" s="1863"/>
      <c r="QMW5" s="1863"/>
      <c r="QMX5" s="1863"/>
      <c r="QMY5" s="1863"/>
      <c r="QMZ5" s="1863"/>
      <c r="QNA5" s="1863"/>
      <c r="QNB5" s="1863"/>
      <c r="QNC5" s="1863"/>
      <c r="QND5" s="1863"/>
      <c r="QNE5" s="1863"/>
      <c r="QNF5" s="1863"/>
      <c r="QNG5" s="1863"/>
      <c r="QNH5" s="1863"/>
      <c r="QNI5" s="1863"/>
      <c r="QNJ5" s="1863"/>
      <c r="QNK5" s="1863"/>
      <c r="QNL5" s="1863"/>
      <c r="QNM5" s="1863"/>
      <c r="QNN5" s="1863"/>
      <c r="QNO5" s="1863"/>
      <c r="QNP5" s="1863"/>
      <c r="QNQ5" s="1863"/>
      <c r="QNR5" s="1863"/>
      <c r="QNS5" s="1863"/>
      <c r="QNT5" s="1863"/>
      <c r="QNU5" s="1863"/>
      <c r="QNV5" s="1863"/>
      <c r="QNW5" s="1863"/>
      <c r="QNX5" s="1863"/>
      <c r="QNY5" s="1863"/>
      <c r="QNZ5" s="1863"/>
      <c r="QOA5" s="1863"/>
      <c r="QOB5" s="1863"/>
      <c r="QOC5" s="1863"/>
      <c r="QOD5" s="1863"/>
      <c r="QOE5" s="1863"/>
      <c r="QOF5" s="1863"/>
      <c r="QOG5" s="1863"/>
      <c r="QOH5" s="1863"/>
      <c r="QOI5" s="1863"/>
      <c r="QOJ5" s="1863"/>
      <c r="QOK5" s="1863"/>
      <c r="QOL5" s="1863"/>
      <c r="QOM5" s="1863"/>
      <c r="QON5" s="1863"/>
      <c r="QOO5" s="1863"/>
      <c r="QOP5" s="1863"/>
      <c r="QOQ5" s="1863"/>
      <c r="QOR5" s="1863"/>
      <c r="QOS5" s="1863"/>
      <c r="QOT5" s="1863"/>
      <c r="QOU5" s="1863"/>
      <c r="QOV5" s="1863"/>
      <c r="QOW5" s="1863"/>
      <c r="QOX5" s="1863"/>
      <c r="QOY5" s="1863"/>
      <c r="QOZ5" s="1863"/>
      <c r="QPA5" s="1863"/>
      <c r="QPB5" s="1863"/>
      <c r="QPC5" s="1863"/>
      <c r="QPD5" s="1863"/>
      <c r="QPE5" s="1863"/>
      <c r="QPF5" s="1863"/>
      <c r="QPG5" s="1863"/>
      <c r="QPH5" s="1863"/>
      <c r="QPI5" s="1863"/>
      <c r="QPJ5" s="1863"/>
      <c r="QPK5" s="1863"/>
      <c r="QPL5" s="1863"/>
      <c r="QPM5" s="1863"/>
      <c r="QPN5" s="1863"/>
      <c r="QPO5" s="1863"/>
      <c r="QPP5" s="1863"/>
      <c r="QPQ5" s="1863"/>
      <c r="QPR5" s="1863"/>
      <c r="QPS5" s="1863"/>
      <c r="QPT5" s="1863"/>
      <c r="QPU5" s="1863"/>
      <c r="QPV5" s="1863"/>
      <c r="QPW5" s="1863"/>
      <c r="QPX5" s="1863"/>
      <c r="QPY5" s="1863"/>
      <c r="QPZ5" s="1863"/>
      <c r="QQA5" s="1863"/>
      <c r="QQB5" s="1863"/>
      <c r="QQC5" s="1863"/>
      <c r="QQD5" s="1863"/>
      <c r="QQE5" s="1863"/>
      <c r="QQF5" s="1863"/>
      <c r="QQG5" s="1863"/>
      <c r="QQH5" s="1863"/>
      <c r="QQI5" s="1863"/>
      <c r="QQJ5" s="1863"/>
      <c r="QQK5" s="1863"/>
      <c r="QQL5" s="1863"/>
      <c r="QQM5" s="1863"/>
      <c r="QQN5" s="1863"/>
      <c r="QQO5" s="1863"/>
      <c r="QQP5" s="1863"/>
      <c r="QQQ5" s="1863"/>
      <c r="QQR5" s="1863"/>
      <c r="QQS5" s="1863"/>
      <c r="QQT5" s="1863"/>
      <c r="QQU5" s="1863"/>
      <c r="QQV5" s="1863"/>
      <c r="QQW5" s="1863"/>
      <c r="QQX5" s="1863"/>
      <c r="QQY5" s="1863"/>
      <c r="QQZ5" s="1863"/>
      <c r="QRA5" s="1863"/>
      <c r="QRB5" s="1863"/>
      <c r="QRC5" s="1863"/>
      <c r="QRD5" s="1863"/>
      <c r="QRE5" s="1863"/>
      <c r="QRF5" s="1863"/>
      <c r="QRG5" s="1863"/>
      <c r="QRH5" s="1863"/>
      <c r="QRI5" s="1863"/>
      <c r="QRJ5" s="1863"/>
      <c r="QRK5" s="1863"/>
      <c r="QRL5" s="1863"/>
      <c r="QRM5" s="1863"/>
      <c r="QRN5" s="1863"/>
      <c r="QRO5" s="1863"/>
      <c r="QRP5" s="1863"/>
      <c r="QRQ5" s="1863"/>
      <c r="QRR5" s="1863"/>
      <c r="QRS5" s="1863"/>
      <c r="QRT5" s="1863"/>
      <c r="QRU5" s="1863"/>
      <c r="QRV5" s="1863"/>
      <c r="QRW5" s="1863"/>
      <c r="QRX5" s="1863"/>
      <c r="QRY5" s="1863"/>
      <c r="QRZ5" s="1863"/>
      <c r="QSA5" s="1863"/>
      <c r="QSB5" s="1863"/>
      <c r="QSC5" s="1863"/>
      <c r="QSD5" s="1863"/>
      <c r="QSE5" s="1863"/>
      <c r="QSF5" s="1863"/>
      <c r="QSG5" s="1863"/>
      <c r="QSH5" s="1863"/>
      <c r="QSI5" s="1863"/>
      <c r="QSJ5" s="1863"/>
      <c r="QSK5" s="1863"/>
      <c r="QSL5" s="1863"/>
      <c r="QSM5" s="1863"/>
      <c r="QSN5" s="1863"/>
      <c r="QSO5" s="1863"/>
      <c r="QSP5" s="1863"/>
      <c r="QSQ5" s="1863"/>
      <c r="QSR5" s="1863"/>
      <c r="QSS5" s="1863"/>
      <c r="QST5" s="1863"/>
      <c r="QSU5" s="1863"/>
      <c r="QSV5" s="1863"/>
      <c r="QSW5" s="1863"/>
      <c r="QSX5" s="1863"/>
      <c r="QSY5" s="1863"/>
      <c r="QSZ5" s="1863"/>
      <c r="QTA5" s="1863"/>
      <c r="QTB5" s="1863"/>
      <c r="QTC5" s="1863"/>
      <c r="QTD5" s="1863"/>
      <c r="QTE5" s="1863"/>
      <c r="QTF5" s="1863"/>
      <c r="QTG5" s="1863"/>
      <c r="QTH5" s="1863"/>
      <c r="QTI5" s="1863"/>
      <c r="QTJ5" s="1863"/>
      <c r="QTK5" s="1863"/>
      <c r="QTL5" s="1863"/>
      <c r="QTM5" s="1863"/>
      <c r="QTN5" s="1863"/>
      <c r="QTO5" s="1863"/>
      <c r="QTP5" s="1863"/>
      <c r="QTQ5" s="1863"/>
      <c r="QTR5" s="1863"/>
      <c r="QTS5" s="1863"/>
      <c r="QTT5" s="1863"/>
      <c r="QTU5" s="1863"/>
      <c r="QTV5" s="1863"/>
      <c r="QTW5" s="1863"/>
      <c r="QTX5" s="1863"/>
      <c r="QTY5" s="1863"/>
      <c r="QTZ5" s="1863"/>
      <c r="QUA5" s="1863"/>
      <c r="QUB5" s="1863"/>
      <c r="QUC5" s="1863"/>
      <c r="QUD5" s="1863"/>
      <c r="QUE5" s="1863"/>
      <c r="QUF5" s="1863"/>
      <c r="QUG5" s="1863"/>
      <c r="QUH5" s="1863"/>
      <c r="QUI5" s="1863"/>
      <c r="QUJ5" s="1863"/>
      <c r="QUK5" s="1863"/>
      <c r="QUL5" s="1863"/>
      <c r="QUM5" s="1863"/>
      <c r="QUN5" s="1863"/>
      <c r="QUO5" s="1863"/>
      <c r="QUP5" s="1863"/>
      <c r="QUQ5" s="1863"/>
      <c r="QUR5" s="1863"/>
      <c r="QUS5" s="1863"/>
      <c r="QUT5" s="1863"/>
      <c r="QUU5" s="1863"/>
      <c r="QUV5" s="1863"/>
      <c r="QUW5" s="1863"/>
      <c r="QUX5" s="1863"/>
      <c r="QUY5" s="1863"/>
      <c r="QUZ5" s="1863"/>
      <c r="QVA5" s="1863"/>
      <c r="QVB5" s="1863"/>
      <c r="QVC5" s="1863"/>
      <c r="QVD5" s="1863"/>
      <c r="QVE5" s="1863"/>
      <c r="QVF5" s="1863"/>
      <c r="QVG5" s="1863"/>
      <c r="QVH5" s="1863"/>
      <c r="QVI5" s="1863"/>
      <c r="QVJ5" s="1863"/>
      <c r="QVK5" s="1863"/>
      <c r="QVL5" s="1863"/>
      <c r="QVM5" s="1863"/>
      <c r="QVN5" s="1863"/>
      <c r="QVO5" s="1863"/>
      <c r="QVP5" s="1863"/>
      <c r="QVQ5" s="1863"/>
      <c r="QVR5" s="1863"/>
      <c r="QVS5" s="1863"/>
      <c r="QVT5" s="1863"/>
      <c r="QVU5" s="1863"/>
      <c r="QVV5" s="1863"/>
      <c r="QVW5" s="1863"/>
      <c r="QVX5" s="1863"/>
      <c r="QVY5" s="1863"/>
      <c r="QVZ5" s="1863"/>
      <c r="QWA5" s="1863"/>
      <c r="QWB5" s="1863"/>
      <c r="QWC5" s="1863"/>
      <c r="QWD5" s="1863"/>
      <c r="QWE5" s="1863"/>
      <c r="QWF5" s="1863"/>
      <c r="QWG5" s="1863"/>
      <c r="QWH5" s="1863"/>
      <c r="QWI5" s="1863"/>
      <c r="QWJ5" s="1863"/>
      <c r="QWK5" s="1863"/>
      <c r="QWL5" s="1863"/>
      <c r="QWM5" s="1863"/>
      <c r="QWN5" s="1863"/>
      <c r="QWO5" s="1863"/>
      <c r="QWP5" s="1863"/>
      <c r="QWQ5" s="1863"/>
      <c r="QWR5" s="1863"/>
      <c r="QWS5" s="1863"/>
      <c r="QWT5" s="1863"/>
      <c r="QWU5" s="1863"/>
      <c r="QWV5" s="1863"/>
      <c r="QWW5" s="1863"/>
      <c r="QWX5" s="1863"/>
      <c r="QWY5" s="1863"/>
      <c r="QWZ5" s="1863"/>
      <c r="QXA5" s="1863"/>
      <c r="QXB5" s="1863"/>
      <c r="QXC5" s="1863"/>
      <c r="QXD5" s="1863"/>
      <c r="QXE5" s="1863"/>
      <c r="QXF5" s="1863"/>
      <c r="QXG5" s="1863"/>
      <c r="QXH5" s="1863"/>
      <c r="QXI5" s="1863"/>
      <c r="QXJ5" s="1863"/>
      <c r="QXK5" s="1863"/>
      <c r="QXL5" s="1863"/>
      <c r="QXM5" s="1863"/>
      <c r="QXN5" s="1863"/>
      <c r="QXO5" s="1863"/>
      <c r="QXP5" s="1863"/>
      <c r="QXQ5" s="1863"/>
      <c r="QXR5" s="1863"/>
      <c r="QXS5" s="1863"/>
      <c r="QXT5" s="1863"/>
      <c r="QXU5" s="1863"/>
      <c r="QXV5" s="1863"/>
      <c r="QXW5" s="1863"/>
      <c r="QXX5" s="1863"/>
      <c r="QXY5" s="1863"/>
      <c r="QXZ5" s="1863"/>
      <c r="QYA5" s="1863"/>
      <c r="QYB5" s="1863"/>
      <c r="QYC5" s="1863"/>
      <c r="QYD5" s="1863"/>
      <c r="QYE5" s="1863"/>
      <c r="QYF5" s="1863"/>
      <c r="QYG5" s="1863"/>
      <c r="QYH5" s="1863"/>
      <c r="QYI5" s="1863"/>
      <c r="QYJ5" s="1863"/>
      <c r="QYK5" s="1863"/>
      <c r="QYL5" s="1863"/>
      <c r="QYM5" s="1863"/>
      <c r="QYN5" s="1863"/>
      <c r="QYO5" s="1863"/>
      <c r="QYP5" s="1863"/>
      <c r="QYQ5" s="1863"/>
      <c r="QYR5" s="1863"/>
      <c r="QYS5" s="1863"/>
      <c r="QYT5" s="1863"/>
      <c r="QYU5" s="1863"/>
      <c r="QYV5" s="1863"/>
      <c r="QYW5" s="1863"/>
      <c r="QYX5" s="1863"/>
      <c r="QYY5" s="1863"/>
      <c r="QYZ5" s="1863"/>
      <c r="QZA5" s="1863"/>
      <c r="QZB5" s="1863"/>
      <c r="QZC5" s="1863"/>
      <c r="QZD5" s="1863"/>
      <c r="QZE5" s="1863"/>
      <c r="QZF5" s="1863"/>
      <c r="QZG5" s="1863"/>
      <c r="QZH5" s="1863"/>
      <c r="QZI5" s="1863"/>
      <c r="QZJ5" s="1863"/>
      <c r="QZK5" s="1863"/>
      <c r="QZL5" s="1863"/>
      <c r="QZM5" s="1863"/>
      <c r="QZN5" s="1863"/>
      <c r="QZO5" s="1863"/>
      <c r="QZP5" s="1863"/>
      <c r="QZQ5" s="1863"/>
      <c r="QZR5" s="1863"/>
      <c r="QZS5" s="1863"/>
      <c r="QZT5" s="1863"/>
      <c r="QZU5" s="1863"/>
      <c r="QZV5" s="1863"/>
      <c r="QZW5" s="1863"/>
      <c r="QZX5" s="1863"/>
      <c r="QZY5" s="1863"/>
      <c r="QZZ5" s="1863"/>
      <c r="RAA5" s="1863"/>
      <c r="RAB5" s="1863"/>
      <c r="RAC5" s="1863"/>
      <c r="RAD5" s="1863"/>
      <c r="RAE5" s="1863"/>
      <c r="RAF5" s="1863"/>
      <c r="RAG5" s="1863"/>
      <c r="RAH5" s="1863"/>
      <c r="RAI5" s="1863"/>
      <c r="RAJ5" s="1863"/>
      <c r="RAK5" s="1863"/>
      <c r="RAL5" s="1863"/>
      <c r="RAM5" s="1863"/>
      <c r="RAN5" s="1863"/>
      <c r="RAO5" s="1863"/>
      <c r="RAP5" s="1863"/>
      <c r="RAQ5" s="1863"/>
      <c r="RAR5" s="1863"/>
      <c r="RAS5" s="1863"/>
      <c r="RAT5" s="1863"/>
      <c r="RAU5" s="1863"/>
      <c r="RAV5" s="1863"/>
      <c r="RAW5" s="1863"/>
      <c r="RAX5" s="1863"/>
      <c r="RAY5" s="1863"/>
      <c r="RAZ5" s="1863"/>
      <c r="RBA5" s="1863"/>
      <c r="RBB5" s="1863"/>
      <c r="RBC5" s="1863"/>
      <c r="RBD5" s="1863"/>
      <c r="RBE5" s="1863"/>
      <c r="RBF5" s="1863"/>
      <c r="RBG5" s="1863"/>
      <c r="RBH5" s="1863"/>
      <c r="RBI5" s="1863"/>
      <c r="RBJ5" s="1863"/>
      <c r="RBK5" s="1863"/>
      <c r="RBL5" s="1863"/>
      <c r="RBM5" s="1863"/>
      <c r="RBN5" s="1863"/>
      <c r="RBO5" s="1863"/>
      <c r="RBP5" s="1863"/>
      <c r="RBQ5" s="1863"/>
      <c r="RBR5" s="1863"/>
      <c r="RBS5" s="1863"/>
      <c r="RBT5" s="1863"/>
      <c r="RBU5" s="1863"/>
      <c r="RBV5" s="1863"/>
      <c r="RBW5" s="1863"/>
      <c r="RBX5" s="1863"/>
      <c r="RBY5" s="1863"/>
      <c r="RBZ5" s="1863"/>
      <c r="RCA5" s="1863"/>
      <c r="RCB5" s="1863"/>
      <c r="RCC5" s="1863"/>
      <c r="RCD5" s="1863"/>
      <c r="RCE5" s="1863"/>
      <c r="RCF5" s="1863"/>
      <c r="RCG5" s="1863"/>
      <c r="RCH5" s="1863"/>
      <c r="RCI5" s="1863"/>
      <c r="RCJ5" s="1863"/>
      <c r="RCK5" s="1863"/>
      <c r="RCL5" s="1863"/>
      <c r="RCM5" s="1863"/>
      <c r="RCN5" s="1863"/>
      <c r="RCO5" s="1863"/>
      <c r="RCP5" s="1863"/>
      <c r="RCQ5" s="1863"/>
      <c r="RCR5" s="1863"/>
      <c r="RCS5" s="1863"/>
      <c r="RCT5" s="1863"/>
      <c r="RCU5" s="1863"/>
      <c r="RCV5" s="1863"/>
      <c r="RCW5" s="1863"/>
      <c r="RCX5" s="1863"/>
      <c r="RCY5" s="1863"/>
      <c r="RCZ5" s="1863"/>
      <c r="RDA5" s="1863"/>
      <c r="RDB5" s="1863"/>
      <c r="RDC5" s="1863"/>
      <c r="RDD5" s="1863"/>
      <c r="RDE5" s="1863"/>
      <c r="RDF5" s="1863"/>
      <c r="RDG5" s="1863"/>
      <c r="RDH5" s="1863"/>
      <c r="RDI5" s="1863"/>
      <c r="RDJ5" s="1863"/>
      <c r="RDK5" s="1863"/>
      <c r="RDL5" s="1863"/>
      <c r="RDM5" s="1863"/>
      <c r="RDN5" s="1863"/>
      <c r="RDO5" s="1863"/>
      <c r="RDP5" s="1863"/>
      <c r="RDQ5" s="1863"/>
      <c r="RDR5" s="1863"/>
      <c r="RDS5" s="1863"/>
      <c r="RDT5" s="1863"/>
      <c r="RDU5" s="1863"/>
      <c r="RDV5" s="1863"/>
      <c r="RDW5" s="1863"/>
      <c r="RDX5" s="1863"/>
      <c r="RDY5" s="1863"/>
      <c r="RDZ5" s="1863"/>
      <c r="REA5" s="1863"/>
      <c r="REB5" s="1863"/>
      <c r="REC5" s="1863"/>
      <c r="RED5" s="1863"/>
      <c r="REE5" s="1863"/>
      <c r="REF5" s="1863"/>
      <c r="REG5" s="1863"/>
      <c r="REH5" s="1863"/>
      <c r="REI5" s="1863"/>
      <c r="REJ5" s="1863"/>
      <c r="REK5" s="1863"/>
      <c r="REL5" s="1863"/>
      <c r="REM5" s="1863"/>
      <c r="REN5" s="1863"/>
      <c r="REO5" s="1863"/>
      <c r="REP5" s="1863"/>
      <c r="REQ5" s="1863"/>
      <c r="RER5" s="1863"/>
      <c r="RES5" s="1863"/>
      <c r="RET5" s="1863"/>
      <c r="REU5" s="1863"/>
      <c r="REV5" s="1863"/>
      <c r="REW5" s="1863"/>
      <c r="REX5" s="1863"/>
      <c r="REY5" s="1863"/>
      <c r="REZ5" s="1863"/>
      <c r="RFA5" s="1863"/>
      <c r="RFB5" s="1863"/>
      <c r="RFC5" s="1863"/>
      <c r="RFD5" s="1863"/>
      <c r="RFE5" s="1863"/>
      <c r="RFF5" s="1863"/>
      <c r="RFG5" s="1863"/>
      <c r="RFH5" s="1863"/>
      <c r="RFI5" s="1863"/>
      <c r="RFJ5" s="1863"/>
      <c r="RFK5" s="1863"/>
      <c r="RFL5" s="1863"/>
      <c r="RFM5" s="1863"/>
      <c r="RFN5" s="1863"/>
      <c r="RFO5" s="1863"/>
      <c r="RFP5" s="1863"/>
      <c r="RFQ5" s="1863"/>
      <c r="RFR5" s="1863"/>
      <c r="RFS5" s="1863"/>
      <c r="RFT5" s="1863"/>
      <c r="RFU5" s="1863"/>
      <c r="RFV5" s="1863"/>
      <c r="RFW5" s="1863"/>
      <c r="RFX5" s="1863"/>
      <c r="RFY5" s="1863"/>
      <c r="RFZ5" s="1863"/>
      <c r="RGA5" s="1863"/>
      <c r="RGB5" s="1863"/>
      <c r="RGC5" s="1863"/>
      <c r="RGD5" s="1863"/>
      <c r="RGE5" s="1863"/>
      <c r="RGF5" s="1863"/>
      <c r="RGG5" s="1863"/>
      <c r="RGH5" s="1863"/>
      <c r="RGI5" s="1863"/>
      <c r="RGJ5" s="1863"/>
      <c r="RGK5" s="1863"/>
      <c r="RGL5" s="1863"/>
      <c r="RGM5" s="1863"/>
      <c r="RGN5" s="1863"/>
      <c r="RGO5" s="1863"/>
      <c r="RGP5" s="1863"/>
      <c r="RGQ5" s="1863"/>
      <c r="RGR5" s="1863"/>
      <c r="RGS5" s="1863"/>
      <c r="RGT5" s="1863"/>
      <c r="RGU5" s="1863"/>
      <c r="RGV5" s="1863"/>
      <c r="RGW5" s="1863"/>
      <c r="RGX5" s="1863"/>
      <c r="RGY5" s="1863"/>
      <c r="RGZ5" s="1863"/>
      <c r="RHA5" s="1863"/>
      <c r="RHB5" s="1863"/>
      <c r="RHC5" s="1863"/>
      <c r="RHD5" s="1863"/>
      <c r="RHE5" s="1863"/>
      <c r="RHF5" s="1863"/>
      <c r="RHG5" s="1863"/>
      <c r="RHH5" s="1863"/>
      <c r="RHI5" s="1863"/>
      <c r="RHJ5" s="1863"/>
      <c r="RHK5" s="1863"/>
      <c r="RHL5" s="1863"/>
      <c r="RHM5" s="1863"/>
      <c r="RHN5" s="1863"/>
      <c r="RHO5" s="1863"/>
      <c r="RHP5" s="1863"/>
      <c r="RHQ5" s="1863"/>
      <c r="RHR5" s="1863"/>
      <c r="RHS5" s="1863"/>
      <c r="RHT5" s="1863"/>
      <c r="RHU5" s="1863"/>
      <c r="RHV5" s="1863"/>
      <c r="RHW5" s="1863"/>
      <c r="RHX5" s="1863"/>
      <c r="RHY5" s="1863"/>
      <c r="RHZ5" s="1863"/>
      <c r="RIA5" s="1863"/>
      <c r="RIB5" s="1863"/>
      <c r="RIC5" s="1863"/>
      <c r="RID5" s="1863"/>
      <c r="RIE5" s="1863"/>
      <c r="RIF5" s="1863"/>
      <c r="RIG5" s="1863"/>
      <c r="RIH5" s="1863"/>
      <c r="RII5" s="1863"/>
      <c r="RIJ5" s="1863"/>
      <c r="RIK5" s="1863"/>
      <c r="RIL5" s="1863"/>
      <c r="RIM5" s="1863"/>
      <c r="RIN5" s="1863"/>
      <c r="RIO5" s="1863"/>
      <c r="RIP5" s="1863"/>
      <c r="RIQ5" s="1863"/>
      <c r="RIR5" s="1863"/>
      <c r="RIS5" s="1863"/>
      <c r="RIT5" s="1863"/>
      <c r="RIU5" s="1863"/>
      <c r="RIV5" s="1863"/>
      <c r="RIW5" s="1863"/>
      <c r="RIX5" s="1863"/>
      <c r="RIY5" s="1863"/>
      <c r="RIZ5" s="1863"/>
      <c r="RJA5" s="1863"/>
      <c r="RJB5" s="1863"/>
      <c r="RJC5" s="1863"/>
      <c r="RJD5" s="1863"/>
      <c r="RJE5" s="1863"/>
      <c r="RJF5" s="1863"/>
      <c r="RJG5" s="1863"/>
      <c r="RJH5" s="1863"/>
      <c r="RJI5" s="1863"/>
      <c r="RJJ5" s="1863"/>
      <c r="RJK5" s="1863"/>
      <c r="RJL5" s="1863"/>
      <c r="RJM5" s="1863"/>
      <c r="RJN5" s="1863"/>
      <c r="RJO5" s="1863"/>
      <c r="RJP5" s="1863"/>
      <c r="RJQ5" s="1863"/>
      <c r="RJR5" s="1863"/>
      <c r="RJS5" s="1863"/>
      <c r="RJT5" s="1863"/>
      <c r="RJU5" s="1863"/>
      <c r="RJV5" s="1863"/>
      <c r="RJW5" s="1863"/>
      <c r="RJX5" s="1863"/>
      <c r="RJY5" s="1863"/>
      <c r="RJZ5" s="1863"/>
      <c r="RKA5" s="1863"/>
      <c r="RKB5" s="1863"/>
      <c r="RKC5" s="1863"/>
      <c r="RKD5" s="1863"/>
      <c r="RKE5" s="1863"/>
      <c r="RKF5" s="1863"/>
      <c r="RKG5" s="1863"/>
      <c r="RKH5" s="1863"/>
      <c r="RKI5" s="1863"/>
      <c r="RKJ5" s="1863"/>
      <c r="RKK5" s="1863"/>
      <c r="RKL5" s="1863"/>
      <c r="RKM5" s="1863"/>
      <c r="RKN5" s="1863"/>
      <c r="RKO5" s="1863"/>
      <c r="RKP5" s="1863"/>
      <c r="RKQ5" s="1863"/>
      <c r="RKR5" s="1863"/>
      <c r="RKS5" s="1863"/>
      <c r="RKT5" s="1863"/>
      <c r="RKU5" s="1863"/>
      <c r="RKV5" s="1863"/>
      <c r="RKW5" s="1863"/>
      <c r="RKX5" s="1863"/>
      <c r="RKY5" s="1863"/>
      <c r="RKZ5" s="1863"/>
      <c r="RLA5" s="1863"/>
      <c r="RLB5" s="1863"/>
      <c r="RLC5" s="1863"/>
      <c r="RLD5" s="1863"/>
      <c r="RLE5" s="1863"/>
      <c r="RLF5" s="1863"/>
      <c r="RLG5" s="1863"/>
      <c r="RLH5" s="1863"/>
      <c r="RLI5" s="1863"/>
      <c r="RLJ5" s="1863"/>
      <c r="RLK5" s="1863"/>
      <c r="RLL5" s="1863"/>
      <c r="RLM5" s="1863"/>
      <c r="RLN5" s="1863"/>
      <c r="RLO5" s="1863"/>
      <c r="RLP5" s="1863"/>
      <c r="RLQ5" s="1863"/>
      <c r="RLR5" s="1863"/>
      <c r="RLS5" s="1863"/>
      <c r="RLT5" s="1863"/>
      <c r="RLU5" s="1863"/>
      <c r="RLV5" s="1863"/>
      <c r="RLW5" s="1863"/>
      <c r="RLX5" s="1863"/>
      <c r="RLY5" s="1863"/>
      <c r="RLZ5" s="1863"/>
      <c r="RMA5" s="1863"/>
      <c r="RMB5" s="1863"/>
      <c r="RMC5" s="1863"/>
      <c r="RMD5" s="1863"/>
      <c r="RME5" s="1863"/>
      <c r="RMF5" s="1863"/>
      <c r="RMG5" s="1863"/>
      <c r="RMH5" s="1863"/>
      <c r="RMI5" s="1863"/>
      <c r="RMJ5" s="1863"/>
      <c r="RMK5" s="1863"/>
      <c r="RML5" s="1863"/>
      <c r="RMM5" s="1863"/>
      <c r="RMN5" s="1863"/>
      <c r="RMO5" s="1863"/>
      <c r="RMP5" s="1863"/>
      <c r="RMQ5" s="1863"/>
      <c r="RMR5" s="1863"/>
      <c r="RMS5" s="1863"/>
      <c r="RMT5" s="1863"/>
      <c r="RMU5" s="1863"/>
      <c r="RMV5" s="1863"/>
      <c r="RMW5" s="1863"/>
      <c r="RMX5" s="1863"/>
      <c r="RMY5" s="1863"/>
      <c r="RMZ5" s="1863"/>
      <c r="RNA5" s="1863"/>
      <c r="RNB5" s="1863"/>
      <c r="RNC5" s="1863"/>
      <c r="RND5" s="1863"/>
      <c r="RNE5" s="1863"/>
      <c r="RNF5" s="1863"/>
      <c r="RNG5" s="1863"/>
      <c r="RNH5" s="1863"/>
      <c r="RNI5" s="1863"/>
      <c r="RNJ5" s="1863"/>
      <c r="RNK5" s="1863"/>
      <c r="RNL5" s="1863"/>
      <c r="RNM5" s="1863"/>
      <c r="RNN5" s="1863"/>
      <c r="RNO5" s="1863"/>
      <c r="RNP5" s="1863"/>
      <c r="RNQ5" s="1863"/>
      <c r="RNR5" s="1863"/>
      <c r="RNS5" s="1863"/>
      <c r="RNT5" s="1863"/>
      <c r="RNU5" s="1863"/>
      <c r="RNV5" s="1863"/>
      <c r="RNW5" s="1863"/>
      <c r="RNX5" s="1863"/>
      <c r="RNY5" s="1863"/>
      <c r="RNZ5" s="1863"/>
      <c r="ROA5" s="1863"/>
      <c r="ROB5" s="1863"/>
      <c r="ROC5" s="1863"/>
      <c r="ROD5" s="1863"/>
      <c r="ROE5" s="1863"/>
      <c r="ROF5" s="1863"/>
      <c r="ROG5" s="1863"/>
      <c r="ROH5" s="1863"/>
      <c r="ROI5" s="1863"/>
      <c r="ROJ5" s="1863"/>
      <c r="ROK5" s="1863"/>
      <c r="ROL5" s="1863"/>
      <c r="ROM5" s="1863"/>
      <c r="RON5" s="1863"/>
      <c r="ROO5" s="1863"/>
      <c r="ROP5" s="1863"/>
      <c r="ROQ5" s="1863"/>
      <c r="ROR5" s="1863"/>
      <c r="ROS5" s="1863"/>
      <c r="ROT5" s="1863"/>
      <c r="ROU5" s="1863"/>
      <c r="ROV5" s="1863"/>
      <c r="ROW5" s="1863"/>
      <c r="ROX5" s="1863"/>
      <c r="ROY5" s="1863"/>
      <c r="ROZ5" s="1863"/>
      <c r="RPA5" s="1863"/>
      <c r="RPB5" s="1863"/>
      <c r="RPC5" s="1863"/>
      <c r="RPD5" s="1863"/>
      <c r="RPE5" s="1863"/>
      <c r="RPF5" s="1863"/>
      <c r="RPG5" s="1863"/>
      <c r="RPH5" s="1863"/>
      <c r="RPI5" s="1863"/>
      <c r="RPJ5" s="1863"/>
      <c r="RPK5" s="1863"/>
      <c r="RPL5" s="1863"/>
      <c r="RPM5" s="1863"/>
      <c r="RPN5" s="1863"/>
      <c r="RPO5" s="1863"/>
      <c r="RPP5" s="1863"/>
      <c r="RPQ5" s="1863"/>
      <c r="RPR5" s="1863"/>
      <c r="RPS5" s="1863"/>
      <c r="RPT5" s="1863"/>
      <c r="RPU5" s="1863"/>
      <c r="RPV5" s="1863"/>
      <c r="RPW5" s="1863"/>
      <c r="RPX5" s="1863"/>
      <c r="RPY5" s="1863"/>
      <c r="RPZ5" s="1863"/>
      <c r="RQA5" s="1863"/>
      <c r="RQB5" s="1863"/>
      <c r="RQC5" s="1863"/>
      <c r="RQD5" s="1863"/>
      <c r="RQE5" s="1863"/>
      <c r="RQF5" s="1863"/>
      <c r="RQG5" s="1863"/>
      <c r="RQH5" s="1863"/>
      <c r="RQI5" s="1863"/>
      <c r="RQJ5" s="1863"/>
      <c r="RQK5" s="1863"/>
      <c r="RQL5" s="1863"/>
      <c r="RQM5" s="1863"/>
      <c r="RQN5" s="1863"/>
      <c r="RQO5" s="1863"/>
      <c r="RQP5" s="1863"/>
      <c r="RQQ5" s="1863"/>
      <c r="RQR5" s="1863"/>
      <c r="RQS5" s="1863"/>
      <c r="RQT5" s="1863"/>
      <c r="RQU5" s="1863"/>
      <c r="RQV5" s="1863"/>
      <c r="RQW5" s="1863"/>
      <c r="RQX5" s="1863"/>
      <c r="RQY5" s="1863"/>
      <c r="RQZ5" s="1863"/>
      <c r="RRA5" s="1863"/>
      <c r="RRB5" s="1863"/>
      <c r="RRC5" s="1863"/>
      <c r="RRD5" s="1863"/>
      <c r="RRE5" s="1863"/>
      <c r="RRF5" s="1863"/>
      <c r="RRG5" s="1863"/>
      <c r="RRH5" s="1863"/>
      <c r="RRI5" s="1863"/>
      <c r="RRJ5" s="1863"/>
      <c r="RRK5" s="1863"/>
      <c r="RRL5" s="1863"/>
      <c r="RRM5" s="1863"/>
      <c r="RRN5" s="1863"/>
      <c r="RRO5" s="1863"/>
      <c r="RRP5" s="1863"/>
      <c r="RRQ5" s="1863"/>
      <c r="RRR5" s="1863"/>
      <c r="RRS5" s="1863"/>
      <c r="RRT5" s="1863"/>
      <c r="RRU5" s="1863"/>
      <c r="RRV5" s="1863"/>
      <c r="RRW5" s="1863"/>
      <c r="RRX5" s="1863"/>
      <c r="RRY5" s="1863"/>
      <c r="RRZ5" s="1863"/>
      <c r="RSA5" s="1863"/>
      <c r="RSB5" s="1863"/>
      <c r="RSC5" s="1863"/>
      <c r="RSD5" s="1863"/>
      <c r="RSE5" s="1863"/>
      <c r="RSF5" s="1863"/>
      <c r="RSG5" s="1863"/>
      <c r="RSH5" s="1863"/>
      <c r="RSI5" s="1863"/>
      <c r="RSJ5" s="1863"/>
      <c r="RSK5" s="1863"/>
      <c r="RSL5" s="1863"/>
      <c r="RSM5" s="1863"/>
      <c r="RSN5" s="1863"/>
      <c r="RSO5" s="1863"/>
      <c r="RSP5" s="1863"/>
      <c r="RSQ5" s="1863"/>
      <c r="RSR5" s="1863"/>
      <c r="RSS5" s="1863"/>
      <c r="RST5" s="1863"/>
      <c r="RSU5" s="1863"/>
      <c r="RSV5" s="1863"/>
      <c r="RSW5" s="1863"/>
      <c r="RSX5" s="1863"/>
      <c r="RSY5" s="1863"/>
      <c r="RSZ5" s="1863"/>
      <c r="RTA5" s="1863"/>
      <c r="RTB5" s="1863"/>
      <c r="RTC5" s="1863"/>
      <c r="RTD5" s="1863"/>
      <c r="RTE5" s="1863"/>
      <c r="RTF5" s="1863"/>
      <c r="RTG5" s="1863"/>
      <c r="RTH5" s="1863"/>
      <c r="RTI5" s="1863"/>
      <c r="RTJ5" s="1863"/>
      <c r="RTK5" s="1863"/>
      <c r="RTL5" s="1863"/>
      <c r="RTM5" s="1863"/>
      <c r="RTN5" s="1863"/>
      <c r="RTO5" s="1863"/>
      <c r="RTP5" s="1863"/>
      <c r="RTQ5" s="1863"/>
      <c r="RTR5" s="1863"/>
      <c r="RTS5" s="1863"/>
      <c r="RTT5" s="1863"/>
      <c r="RTU5" s="1863"/>
      <c r="RTV5" s="1863"/>
      <c r="RTW5" s="1863"/>
      <c r="RTX5" s="1863"/>
      <c r="RTY5" s="1863"/>
      <c r="RTZ5" s="1863"/>
      <c r="RUA5" s="1863"/>
      <c r="RUB5" s="1863"/>
      <c r="RUC5" s="1863"/>
      <c r="RUD5" s="1863"/>
      <c r="RUE5" s="1863"/>
      <c r="RUF5" s="1863"/>
      <c r="RUG5" s="1863"/>
      <c r="RUH5" s="1863"/>
      <c r="RUI5" s="1863"/>
      <c r="RUJ5" s="1863"/>
      <c r="RUK5" s="1863"/>
      <c r="RUL5" s="1863"/>
      <c r="RUM5" s="1863"/>
      <c r="RUN5" s="1863"/>
      <c r="RUO5" s="1863"/>
      <c r="RUP5" s="1863"/>
      <c r="RUQ5" s="1863"/>
      <c r="RUR5" s="1863"/>
      <c r="RUS5" s="1863"/>
      <c r="RUT5" s="1863"/>
      <c r="RUU5" s="1863"/>
      <c r="RUV5" s="1863"/>
      <c r="RUW5" s="1863"/>
      <c r="RUX5" s="1863"/>
      <c r="RUY5" s="1863"/>
      <c r="RUZ5" s="1863"/>
      <c r="RVA5" s="1863"/>
      <c r="RVB5" s="1863"/>
      <c r="RVC5" s="1863"/>
      <c r="RVD5" s="1863"/>
      <c r="RVE5" s="1863"/>
      <c r="RVF5" s="1863"/>
      <c r="RVG5" s="1863"/>
      <c r="RVH5" s="1863"/>
      <c r="RVI5" s="1863"/>
      <c r="RVJ5" s="1863"/>
      <c r="RVK5" s="1863"/>
      <c r="RVL5" s="1863"/>
      <c r="RVM5" s="1863"/>
      <c r="RVN5" s="1863"/>
      <c r="RVO5" s="1863"/>
      <c r="RVP5" s="1863"/>
      <c r="RVQ5" s="1863"/>
      <c r="RVR5" s="1863"/>
      <c r="RVS5" s="1863"/>
      <c r="RVT5" s="1863"/>
      <c r="RVU5" s="1863"/>
      <c r="RVV5" s="1863"/>
      <c r="RVW5" s="1863"/>
      <c r="RVX5" s="1863"/>
      <c r="RVY5" s="1863"/>
      <c r="RVZ5" s="1863"/>
      <c r="RWA5" s="1863"/>
      <c r="RWB5" s="1863"/>
      <c r="RWC5" s="1863"/>
      <c r="RWD5" s="1863"/>
      <c r="RWE5" s="1863"/>
      <c r="RWF5" s="1863"/>
      <c r="RWG5" s="1863"/>
      <c r="RWH5" s="1863"/>
      <c r="RWI5" s="1863"/>
      <c r="RWJ5" s="1863"/>
      <c r="RWK5" s="1863"/>
      <c r="RWL5" s="1863"/>
      <c r="RWM5" s="1863"/>
      <c r="RWN5" s="1863"/>
      <c r="RWO5" s="1863"/>
      <c r="RWP5" s="1863"/>
      <c r="RWQ5" s="1863"/>
      <c r="RWR5" s="1863"/>
      <c r="RWS5" s="1863"/>
      <c r="RWT5" s="1863"/>
      <c r="RWU5" s="1863"/>
      <c r="RWV5" s="1863"/>
      <c r="RWW5" s="1863"/>
      <c r="RWX5" s="1863"/>
      <c r="RWY5" s="1863"/>
      <c r="RWZ5" s="1863"/>
      <c r="RXA5" s="1863"/>
      <c r="RXB5" s="1863"/>
      <c r="RXC5" s="1863"/>
      <c r="RXD5" s="1863"/>
      <c r="RXE5" s="1863"/>
      <c r="RXF5" s="1863"/>
      <c r="RXG5" s="1863"/>
      <c r="RXH5" s="1863"/>
      <c r="RXI5" s="1863"/>
      <c r="RXJ5" s="1863"/>
      <c r="RXK5" s="1863"/>
      <c r="RXL5" s="1863"/>
      <c r="RXM5" s="1863"/>
      <c r="RXN5" s="1863"/>
      <c r="RXO5" s="1863"/>
      <c r="RXP5" s="1863"/>
      <c r="RXQ5" s="1863"/>
      <c r="RXR5" s="1863"/>
      <c r="RXS5" s="1863"/>
      <c r="RXT5" s="1863"/>
      <c r="RXU5" s="1863"/>
      <c r="RXV5" s="1863"/>
      <c r="RXW5" s="1863"/>
      <c r="RXX5" s="1863"/>
      <c r="RXY5" s="1863"/>
      <c r="RXZ5" s="1863"/>
      <c r="RYA5" s="1863"/>
      <c r="RYB5" s="1863"/>
      <c r="RYC5" s="1863"/>
      <c r="RYD5" s="1863"/>
      <c r="RYE5" s="1863"/>
      <c r="RYF5" s="1863"/>
      <c r="RYG5" s="1863"/>
      <c r="RYH5" s="1863"/>
      <c r="RYI5" s="1863"/>
      <c r="RYJ5" s="1863"/>
      <c r="RYK5" s="1863"/>
      <c r="RYL5" s="1863"/>
      <c r="RYM5" s="1863"/>
      <c r="RYN5" s="1863"/>
      <c r="RYO5" s="1863"/>
      <c r="RYP5" s="1863"/>
      <c r="RYQ5" s="1863"/>
      <c r="RYR5" s="1863"/>
      <c r="RYS5" s="1863"/>
      <c r="RYT5" s="1863"/>
      <c r="RYU5" s="1863"/>
      <c r="RYV5" s="1863"/>
      <c r="RYW5" s="1863"/>
      <c r="RYX5" s="1863"/>
      <c r="RYY5" s="1863"/>
      <c r="RYZ5" s="1863"/>
      <c r="RZA5" s="1863"/>
      <c r="RZB5" s="1863"/>
      <c r="RZC5" s="1863"/>
      <c r="RZD5" s="1863"/>
      <c r="RZE5" s="1863"/>
      <c r="RZF5" s="1863"/>
      <c r="RZG5" s="1863"/>
      <c r="RZH5" s="1863"/>
      <c r="RZI5" s="1863"/>
      <c r="RZJ5" s="1863"/>
      <c r="RZK5" s="1863"/>
      <c r="RZL5" s="1863"/>
      <c r="RZM5" s="1863"/>
      <c r="RZN5" s="1863"/>
      <c r="RZO5" s="1863"/>
      <c r="RZP5" s="1863"/>
      <c r="RZQ5" s="1863"/>
      <c r="RZR5" s="1863"/>
      <c r="RZS5" s="1863"/>
      <c r="RZT5" s="1863"/>
      <c r="RZU5" s="1863"/>
      <c r="RZV5" s="1863"/>
      <c r="RZW5" s="1863"/>
      <c r="RZX5" s="1863"/>
      <c r="RZY5" s="1863"/>
      <c r="RZZ5" s="1863"/>
      <c r="SAA5" s="1863"/>
      <c r="SAB5" s="1863"/>
      <c r="SAC5" s="1863"/>
      <c r="SAD5" s="1863"/>
      <c r="SAE5" s="1863"/>
      <c r="SAF5" s="1863"/>
      <c r="SAG5" s="1863"/>
      <c r="SAH5" s="1863"/>
      <c r="SAI5" s="1863"/>
      <c r="SAJ5" s="1863"/>
      <c r="SAK5" s="1863"/>
      <c r="SAL5" s="1863"/>
      <c r="SAM5" s="1863"/>
      <c r="SAN5" s="1863"/>
      <c r="SAO5" s="1863"/>
      <c r="SAP5" s="1863"/>
      <c r="SAQ5" s="1863"/>
      <c r="SAR5" s="1863"/>
      <c r="SAS5" s="1863"/>
      <c r="SAT5" s="1863"/>
      <c r="SAU5" s="1863"/>
      <c r="SAV5" s="1863"/>
      <c r="SAW5" s="1863"/>
      <c r="SAX5" s="1863"/>
      <c r="SAY5" s="1863"/>
      <c r="SAZ5" s="1863"/>
      <c r="SBA5" s="1863"/>
      <c r="SBB5" s="1863"/>
      <c r="SBC5" s="1863"/>
      <c r="SBD5" s="1863"/>
      <c r="SBE5" s="1863"/>
      <c r="SBF5" s="1863"/>
      <c r="SBG5" s="1863"/>
      <c r="SBH5" s="1863"/>
      <c r="SBI5" s="1863"/>
      <c r="SBJ5" s="1863"/>
      <c r="SBK5" s="1863"/>
      <c r="SBL5" s="1863"/>
      <c r="SBM5" s="1863"/>
      <c r="SBN5" s="1863"/>
      <c r="SBO5" s="1863"/>
      <c r="SBP5" s="1863"/>
      <c r="SBQ5" s="1863"/>
      <c r="SBR5" s="1863"/>
      <c r="SBS5" s="1863"/>
      <c r="SBT5" s="1863"/>
      <c r="SBU5" s="1863"/>
      <c r="SBV5" s="1863"/>
      <c r="SBW5" s="1863"/>
      <c r="SBX5" s="1863"/>
      <c r="SBY5" s="1863"/>
      <c r="SBZ5" s="1863"/>
      <c r="SCA5" s="1863"/>
      <c r="SCB5" s="1863"/>
      <c r="SCC5" s="1863"/>
      <c r="SCD5" s="1863"/>
      <c r="SCE5" s="1863"/>
      <c r="SCF5" s="1863"/>
      <c r="SCG5" s="1863"/>
      <c r="SCH5" s="1863"/>
      <c r="SCI5" s="1863"/>
      <c r="SCJ5" s="1863"/>
      <c r="SCK5" s="1863"/>
      <c r="SCL5" s="1863"/>
      <c r="SCM5" s="1863"/>
      <c r="SCN5" s="1863"/>
      <c r="SCO5" s="1863"/>
      <c r="SCP5" s="1863"/>
      <c r="SCQ5" s="1863"/>
      <c r="SCR5" s="1863"/>
      <c r="SCS5" s="1863"/>
      <c r="SCT5" s="1863"/>
      <c r="SCU5" s="1863"/>
      <c r="SCV5" s="1863"/>
      <c r="SCW5" s="1863"/>
      <c r="SCX5" s="1863"/>
      <c r="SCY5" s="1863"/>
      <c r="SCZ5" s="1863"/>
      <c r="SDA5" s="1863"/>
      <c r="SDB5" s="1863"/>
      <c r="SDC5" s="1863"/>
      <c r="SDD5" s="1863"/>
      <c r="SDE5" s="1863"/>
      <c r="SDF5" s="1863"/>
      <c r="SDG5" s="1863"/>
      <c r="SDH5" s="1863"/>
      <c r="SDI5" s="1863"/>
      <c r="SDJ5" s="1863"/>
      <c r="SDK5" s="1863"/>
      <c r="SDL5" s="1863"/>
      <c r="SDM5" s="1863"/>
      <c r="SDN5" s="1863"/>
      <c r="SDO5" s="1863"/>
      <c r="SDP5" s="1863"/>
      <c r="SDQ5" s="1863"/>
      <c r="SDR5" s="1863"/>
      <c r="SDS5" s="1863"/>
      <c r="SDT5" s="1863"/>
      <c r="SDU5" s="1863"/>
      <c r="SDV5" s="1863"/>
      <c r="SDW5" s="1863"/>
      <c r="SDX5" s="1863"/>
      <c r="SDY5" s="1863"/>
      <c r="SDZ5" s="1863"/>
      <c r="SEA5" s="1863"/>
      <c r="SEB5" s="1863"/>
      <c r="SEC5" s="1863"/>
      <c r="SED5" s="1863"/>
      <c r="SEE5" s="1863"/>
      <c r="SEF5" s="1863"/>
      <c r="SEG5" s="1863"/>
      <c r="SEH5" s="1863"/>
      <c r="SEI5" s="1863"/>
      <c r="SEJ5" s="1863"/>
      <c r="SEK5" s="1863"/>
      <c r="SEL5" s="1863"/>
      <c r="SEM5" s="1863"/>
      <c r="SEN5" s="1863"/>
      <c r="SEO5" s="1863"/>
      <c r="SEP5" s="1863"/>
      <c r="SEQ5" s="1863"/>
      <c r="SER5" s="1863"/>
      <c r="SES5" s="1863"/>
      <c r="SET5" s="1863"/>
      <c r="SEU5" s="1863"/>
      <c r="SEV5" s="1863"/>
      <c r="SEW5" s="1863"/>
      <c r="SEX5" s="1863"/>
      <c r="SEY5" s="1863"/>
      <c r="SEZ5" s="1863"/>
      <c r="SFA5" s="1863"/>
      <c r="SFB5" s="1863"/>
      <c r="SFC5" s="1863"/>
      <c r="SFD5" s="1863"/>
      <c r="SFE5" s="1863"/>
      <c r="SFF5" s="1863"/>
      <c r="SFG5" s="1863"/>
      <c r="SFH5" s="1863"/>
      <c r="SFI5" s="1863"/>
      <c r="SFJ5" s="1863"/>
      <c r="SFK5" s="1863"/>
      <c r="SFL5" s="1863"/>
      <c r="SFM5" s="1863"/>
      <c r="SFN5" s="1863"/>
      <c r="SFO5" s="1863"/>
      <c r="SFP5" s="1863"/>
      <c r="SFQ5" s="1863"/>
      <c r="SFR5" s="1863"/>
      <c r="SFS5" s="1863"/>
      <c r="SFT5" s="1863"/>
      <c r="SFU5" s="1863"/>
      <c r="SFV5" s="1863"/>
      <c r="SFW5" s="1863"/>
      <c r="SFX5" s="1863"/>
      <c r="SFY5" s="1863"/>
      <c r="SFZ5" s="1863"/>
      <c r="SGA5" s="1863"/>
      <c r="SGB5" s="1863"/>
      <c r="SGC5" s="1863"/>
      <c r="SGD5" s="1863"/>
      <c r="SGE5" s="1863"/>
      <c r="SGF5" s="1863"/>
      <c r="SGG5" s="1863"/>
      <c r="SGH5" s="1863"/>
      <c r="SGI5" s="1863"/>
      <c r="SGJ5" s="1863"/>
      <c r="SGK5" s="1863"/>
      <c r="SGL5" s="1863"/>
      <c r="SGM5" s="1863"/>
      <c r="SGN5" s="1863"/>
      <c r="SGO5" s="1863"/>
      <c r="SGP5" s="1863"/>
      <c r="SGQ5" s="1863"/>
      <c r="SGR5" s="1863"/>
      <c r="SGS5" s="1863"/>
      <c r="SGT5" s="1863"/>
      <c r="SGU5" s="1863"/>
      <c r="SGV5" s="1863"/>
      <c r="SGW5" s="1863"/>
      <c r="SGX5" s="1863"/>
      <c r="SGY5" s="1863"/>
      <c r="SGZ5" s="1863"/>
      <c r="SHA5" s="1863"/>
      <c r="SHB5" s="1863"/>
      <c r="SHC5" s="1863"/>
      <c r="SHD5" s="1863"/>
      <c r="SHE5" s="1863"/>
      <c r="SHF5" s="1863"/>
      <c r="SHG5" s="1863"/>
      <c r="SHH5" s="1863"/>
      <c r="SHI5" s="1863"/>
      <c r="SHJ5" s="1863"/>
      <c r="SHK5" s="1863"/>
      <c r="SHL5" s="1863"/>
      <c r="SHM5" s="1863"/>
      <c r="SHN5" s="1863"/>
      <c r="SHO5" s="1863"/>
      <c r="SHP5" s="1863"/>
      <c r="SHQ5" s="1863"/>
      <c r="SHR5" s="1863"/>
      <c r="SHS5" s="1863"/>
      <c r="SHT5" s="1863"/>
      <c r="SHU5" s="1863"/>
      <c r="SHV5" s="1863"/>
      <c r="SHW5" s="1863"/>
      <c r="SHX5" s="1863"/>
      <c r="SHY5" s="1863"/>
      <c r="SHZ5" s="1863"/>
      <c r="SIA5" s="1863"/>
      <c r="SIB5" s="1863"/>
      <c r="SIC5" s="1863"/>
      <c r="SID5" s="1863"/>
      <c r="SIE5" s="1863"/>
      <c r="SIF5" s="1863"/>
      <c r="SIG5" s="1863"/>
      <c r="SIH5" s="1863"/>
      <c r="SII5" s="1863"/>
      <c r="SIJ5" s="1863"/>
      <c r="SIK5" s="1863"/>
      <c r="SIL5" s="1863"/>
      <c r="SIM5" s="1863"/>
      <c r="SIN5" s="1863"/>
      <c r="SIO5" s="1863"/>
      <c r="SIP5" s="1863"/>
      <c r="SIQ5" s="1863"/>
      <c r="SIR5" s="1863"/>
      <c r="SIS5" s="1863"/>
      <c r="SIT5" s="1863"/>
      <c r="SIU5" s="1863"/>
      <c r="SIV5" s="1863"/>
      <c r="SIW5" s="1863"/>
      <c r="SIX5" s="1863"/>
      <c r="SIY5" s="1863"/>
      <c r="SIZ5" s="1863"/>
      <c r="SJA5" s="1863"/>
      <c r="SJB5" s="1863"/>
      <c r="SJC5" s="1863"/>
      <c r="SJD5" s="1863"/>
      <c r="SJE5" s="1863"/>
      <c r="SJF5" s="1863"/>
      <c r="SJG5" s="1863"/>
      <c r="SJH5" s="1863"/>
      <c r="SJI5" s="1863"/>
      <c r="SJJ5" s="1863"/>
      <c r="SJK5" s="1863"/>
      <c r="SJL5" s="1863"/>
      <c r="SJM5" s="1863"/>
      <c r="SJN5" s="1863"/>
      <c r="SJO5" s="1863"/>
      <c r="SJP5" s="1863"/>
      <c r="SJQ5" s="1863"/>
      <c r="SJR5" s="1863"/>
      <c r="SJS5" s="1863"/>
      <c r="SJT5" s="1863"/>
      <c r="SJU5" s="1863"/>
      <c r="SJV5" s="1863"/>
      <c r="SJW5" s="1863"/>
      <c r="SJX5" s="1863"/>
      <c r="SJY5" s="1863"/>
      <c r="SJZ5" s="1863"/>
      <c r="SKA5" s="1863"/>
      <c r="SKB5" s="1863"/>
      <c r="SKC5" s="1863"/>
      <c r="SKD5" s="1863"/>
      <c r="SKE5" s="1863"/>
      <c r="SKF5" s="1863"/>
      <c r="SKG5" s="1863"/>
      <c r="SKH5" s="1863"/>
      <c r="SKI5" s="1863"/>
      <c r="SKJ5" s="1863"/>
      <c r="SKK5" s="1863"/>
      <c r="SKL5" s="1863"/>
      <c r="SKM5" s="1863"/>
      <c r="SKN5" s="1863"/>
      <c r="SKO5" s="1863"/>
      <c r="SKP5" s="1863"/>
      <c r="SKQ5" s="1863"/>
      <c r="SKR5" s="1863"/>
      <c r="SKS5" s="1863"/>
      <c r="SKT5" s="1863"/>
      <c r="SKU5" s="1863"/>
      <c r="SKV5" s="1863"/>
      <c r="SKW5" s="1863"/>
      <c r="SKX5" s="1863"/>
      <c r="SKY5" s="1863"/>
      <c r="SKZ5" s="1863"/>
      <c r="SLA5" s="1863"/>
      <c r="SLB5" s="1863"/>
      <c r="SLC5" s="1863"/>
      <c r="SLD5" s="1863"/>
      <c r="SLE5" s="1863"/>
      <c r="SLF5" s="1863"/>
      <c r="SLG5" s="1863"/>
      <c r="SLH5" s="1863"/>
      <c r="SLI5" s="1863"/>
      <c r="SLJ5" s="1863"/>
      <c r="SLK5" s="1863"/>
      <c r="SLL5" s="1863"/>
      <c r="SLM5" s="1863"/>
      <c r="SLN5" s="1863"/>
      <c r="SLO5" s="1863"/>
      <c r="SLP5" s="1863"/>
      <c r="SLQ5" s="1863"/>
      <c r="SLR5" s="1863"/>
      <c r="SLS5" s="1863"/>
      <c r="SLT5" s="1863"/>
      <c r="SLU5" s="1863"/>
      <c r="SLV5" s="1863"/>
      <c r="SLW5" s="1863"/>
      <c r="SLX5" s="1863"/>
      <c r="SLY5" s="1863"/>
      <c r="SLZ5" s="1863"/>
      <c r="SMA5" s="1863"/>
      <c r="SMB5" s="1863"/>
      <c r="SMC5" s="1863"/>
      <c r="SMD5" s="1863"/>
      <c r="SME5" s="1863"/>
      <c r="SMF5" s="1863"/>
      <c r="SMG5" s="1863"/>
      <c r="SMH5" s="1863"/>
      <c r="SMI5" s="1863"/>
      <c r="SMJ5" s="1863"/>
      <c r="SMK5" s="1863"/>
      <c r="SML5" s="1863"/>
      <c r="SMM5" s="1863"/>
      <c r="SMN5" s="1863"/>
      <c r="SMO5" s="1863"/>
      <c r="SMP5" s="1863"/>
      <c r="SMQ5" s="1863"/>
      <c r="SMR5" s="1863"/>
      <c r="SMS5" s="1863"/>
      <c r="SMT5" s="1863"/>
      <c r="SMU5" s="1863"/>
      <c r="SMV5" s="1863"/>
      <c r="SMW5" s="1863"/>
      <c r="SMX5" s="1863"/>
      <c r="SMY5" s="1863"/>
      <c r="SMZ5" s="1863"/>
      <c r="SNA5" s="1863"/>
      <c r="SNB5" s="1863"/>
      <c r="SNC5" s="1863"/>
      <c r="SND5" s="1863"/>
      <c r="SNE5" s="1863"/>
      <c r="SNF5" s="1863"/>
      <c r="SNG5" s="1863"/>
      <c r="SNH5" s="1863"/>
      <c r="SNI5" s="1863"/>
      <c r="SNJ5" s="1863"/>
      <c r="SNK5" s="1863"/>
      <c r="SNL5" s="1863"/>
      <c r="SNM5" s="1863"/>
      <c r="SNN5" s="1863"/>
      <c r="SNO5" s="1863"/>
      <c r="SNP5" s="1863"/>
      <c r="SNQ5" s="1863"/>
      <c r="SNR5" s="1863"/>
      <c r="SNS5" s="1863"/>
      <c r="SNT5" s="1863"/>
      <c r="SNU5" s="1863"/>
      <c r="SNV5" s="1863"/>
      <c r="SNW5" s="1863"/>
      <c r="SNX5" s="1863"/>
      <c r="SNY5" s="1863"/>
      <c r="SNZ5" s="1863"/>
      <c r="SOA5" s="1863"/>
      <c r="SOB5" s="1863"/>
      <c r="SOC5" s="1863"/>
      <c r="SOD5" s="1863"/>
      <c r="SOE5" s="1863"/>
      <c r="SOF5" s="1863"/>
      <c r="SOG5" s="1863"/>
      <c r="SOH5" s="1863"/>
      <c r="SOI5" s="1863"/>
      <c r="SOJ5" s="1863"/>
      <c r="SOK5" s="1863"/>
      <c r="SOL5" s="1863"/>
      <c r="SOM5" s="1863"/>
      <c r="SON5" s="1863"/>
      <c r="SOO5" s="1863"/>
      <c r="SOP5" s="1863"/>
      <c r="SOQ5" s="1863"/>
      <c r="SOR5" s="1863"/>
      <c r="SOS5" s="1863"/>
      <c r="SOT5" s="1863"/>
      <c r="SOU5" s="1863"/>
      <c r="SOV5" s="1863"/>
      <c r="SOW5" s="1863"/>
      <c r="SOX5" s="1863"/>
      <c r="SOY5" s="1863"/>
      <c r="SOZ5" s="1863"/>
      <c r="SPA5" s="1863"/>
      <c r="SPB5" s="1863"/>
      <c r="SPC5" s="1863"/>
      <c r="SPD5" s="1863"/>
      <c r="SPE5" s="1863"/>
      <c r="SPF5" s="1863"/>
      <c r="SPG5" s="1863"/>
      <c r="SPH5" s="1863"/>
      <c r="SPI5" s="1863"/>
      <c r="SPJ5" s="1863"/>
      <c r="SPK5" s="1863"/>
      <c r="SPL5" s="1863"/>
      <c r="SPM5" s="1863"/>
      <c r="SPN5" s="1863"/>
      <c r="SPO5" s="1863"/>
      <c r="SPP5" s="1863"/>
      <c r="SPQ5" s="1863"/>
      <c r="SPR5" s="1863"/>
      <c r="SPS5" s="1863"/>
      <c r="SPT5" s="1863"/>
      <c r="SPU5" s="1863"/>
      <c r="SPV5" s="1863"/>
      <c r="SPW5" s="1863"/>
      <c r="SPX5" s="1863"/>
      <c r="SPY5" s="1863"/>
      <c r="SPZ5" s="1863"/>
      <c r="SQA5" s="1863"/>
      <c r="SQB5" s="1863"/>
      <c r="SQC5" s="1863"/>
      <c r="SQD5" s="1863"/>
      <c r="SQE5" s="1863"/>
      <c r="SQF5" s="1863"/>
      <c r="SQG5" s="1863"/>
      <c r="SQH5" s="1863"/>
      <c r="SQI5" s="1863"/>
      <c r="SQJ5" s="1863"/>
      <c r="SQK5" s="1863"/>
      <c r="SQL5" s="1863"/>
      <c r="SQM5" s="1863"/>
      <c r="SQN5" s="1863"/>
      <c r="SQO5" s="1863"/>
      <c r="SQP5" s="1863"/>
      <c r="SQQ5" s="1863"/>
      <c r="SQR5" s="1863"/>
      <c r="SQS5" s="1863"/>
      <c r="SQT5" s="1863"/>
      <c r="SQU5" s="1863"/>
      <c r="SQV5" s="1863"/>
      <c r="SQW5" s="1863"/>
      <c r="SQX5" s="1863"/>
      <c r="SQY5" s="1863"/>
      <c r="SQZ5" s="1863"/>
      <c r="SRA5" s="1863"/>
      <c r="SRB5" s="1863"/>
      <c r="SRC5" s="1863"/>
      <c r="SRD5" s="1863"/>
      <c r="SRE5" s="1863"/>
      <c r="SRF5" s="1863"/>
      <c r="SRG5" s="1863"/>
      <c r="SRH5" s="1863"/>
      <c r="SRI5" s="1863"/>
      <c r="SRJ5" s="1863"/>
      <c r="SRK5" s="1863"/>
      <c r="SRL5" s="1863"/>
      <c r="SRM5" s="1863"/>
      <c r="SRN5" s="1863"/>
      <c r="SRO5" s="1863"/>
      <c r="SRP5" s="1863"/>
      <c r="SRQ5" s="1863"/>
      <c r="SRR5" s="1863"/>
      <c r="SRS5" s="1863"/>
      <c r="SRT5" s="1863"/>
      <c r="SRU5" s="1863"/>
      <c r="SRV5" s="1863"/>
      <c r="SRW5" s="1863"/>
      <c r="SRX5" s="1863"/>
      <c r="SRY5" s="1863"/>
      <c r="SRZ5" s="1863"/>
      <c r="SSA5" s="1863"/>
      <c r="SSB5" s="1863"/>
      <c r="SSC5" s="1863"/>
      <c r="SSD5" s="1863"/>
      <c r="SSE5" s="1863"/>
      <c r="SSF5" s="1863"/>
      <c r="SSG5" s="1863"/>
      <c r="SSH5" s="1863"/>
      <c r="SSI5" s="1863"/>
      <c r="SSJ5" s="1863"/>
      <c r="SSK5" s="1863"/>
      <c r="SSL5" s="1863"/>
      <c r="SSM5" s="1863"/>
      <c r="SSN5" s="1863"/>
      <c r="SSO5" s="1863"/>
      <c r="SSP5" s="1863"/>
      <c r="SSQ5" s="1863"/>
      <c r="SSR5" s="1863"/>
      <c r="SSS5" s="1863"/>
      <c r="SST5" s="1863"/>
      <c r="SSU5" s="1863"/>
      <c r="SSV5" s="1863"/>
      <c r="SSW5" s="1863"/>
      <c r="SSX5" s="1863"/>
      <c r="SSY5" s="1863"/>
      <c r="SSZ5" s="1863"/>
      <c r="STA5" s="1863"/>
      <c r="STB5" s="1863"/>
      <c r="STC5" s="1863"/>
      <c r="STD5" s="1863"/>
      <c r="STE5" s="1863"/>
      <c r="STF5" s="1863"/>
      <c r="STG5" s="1863"/>
      <c r="STH5" s="1863"/>
      <c r="STI5" s="1863"/>
      <c r="STJ5" s="1863"/>
      <c r="STK5" s="1863"/>
      <c r="STL5" s="1863"/>
      <c r="STM5" s="1863"/>
      <c r="STN5" s="1863"/>
      <c r="STO5" s="1863"/>
      <c r="STP5" s="1863"/>
      <c r="STQ5" s="1863"/>
      <c r="STR5" s="1863"/>
      <c r="STS5" s="1863"/>
      <c r="STT5" s="1863"/>
      <c r="STU5" s="1863"/>
      <c r="STV5" s="1863"/>
      <c r="STW5" s="1863"/>
      <c r="STX5" s="1863"/>
      <c r="STY5" s="1863"/>
      <c r="STZ5" s="1863"/>
      <c r="SUA5" s="1863"/>
      <c r="SUB5" s="1863"/>
      <c r="SUC5" s="1863"/>
      <c r="SUD5" s="1863"/>
      <c r="SUE5" s="1863"/>
      <c r="SUF5" s="1863"/>
      <c r="SUG5" s="1863"/>
      <c r="SUH5" s="1863"/>
      <c r="SUI5" s="1863"/>
      <c r="SUJ5" s="1863"/>
      <c r="SUK5" s="1863"/>
      <c r="SUL5" s="1863"/>
      <c r="SUM5" s="1863"/>
      <c r="SUN5" s="1863"/>
      <c r="SUO5" s="1863"/>
      <c r="SUP5" s="1863"/>
      <c r="SUQ5" s="1863"/>
      <c r="SUR5" s="1863"/>
      <c r="SUS5" s="1863"/>
      <c r="SUT5" s="1863"/>
      <c r="SUU5" s="1863"/>
      <c r="SUV5" s="1863"/>
      <c r="SUW5" s="1863"/>
      <c r="SUX5" s="1863"/>
      <c r="SUY5" s="1863"/>
      <c r="SUZ5" s="1863"/>
      <c r="SVA5" s="1863"/>
      <c r="SVB5" s="1863"/>
      <c r="SVC5" s="1863"/>
      <c r="SVD5" s="1863"/>
      <c r="SVE5" s="1863"/>
      <c r="SVF5" s="1863"/>
      <c r="SVG5" s="1863"/>
      <c r="SVH5" s="1863"/>
      <c r="SVI5" s="1863"/>
      <c r="SVJ5" s="1863"/>
      <c r="SVK5" s="1863"/>
      <c r="SVL5" s="1863"/>
      <c r="SVM5" s="1863"/>
      <c r="SVN5" s="1863"/>
      <c r="SVO5" s="1863"/>
      <c r="SVP5" s="1863"/>
      <c r="SVQ5" s="1863"/>
      <c r="SVR5" s="1863"/>
      <c r="SVS5" s="1863"/>
      <c r="SVT5" s="1863"/>
      <c r="SVU5" s="1863"/>
      <c r="SVV5" s="1863"/>
      <c r="SVW5" s="1863"/>
      <c r="SVX5" s="1863"/>
      <c r="SVY5" s="1863"/>
      <c r="SVZ5" s="1863"/>
      <c r="SWA5" s="1863"/>
      <c r="SWB5" s="1863"/>
      <c r="SWC5" s="1863"/>
      <c r="SWD5" s="1863"/>
      <c r="SWE5" s="1863"/>
      <c r="SWF5" s="1863"/>
      <c r="SWG5" s="1863"/>
      <c r="SWH5" s="1863"/>
      <c r="SWI5" s="1863"/>
      <c r="SWJ5" s="1863"/>
      <c r="SWK5" s="1863"/>
      <c r="SWL5" s="1863"/>
      <c r="SWM5" s="1863"/>
      <c r="SWN5" s="1863"/>
      <c r="SWO5" s="1863"/>
      <c r="SWP5" s="1863"/>
      <c r="SWQ5" s="1863"/>
      <c r="SWR5" s="1863"/>
      <c r="SWS5" s="1863"/>
      <c r="SWT5" s="1863"/>
      <c r="SWU5" s="1863"/>
      <c r="SWV5" s="1863"/>
      <c r="SWW5" s="1863"/>
      <c r="SWX5" s="1863"/>
      <c r="SWY5" s="1863"/>
      <c r="SWZ5" s="1863"/>
      <c r="SXA5" s="1863"/>
      <c r="SXB5" s="1863"/>
      <c r="SXC5" s="1863"/>
      <c r="SXD5" s="1863"/>
      <c r="SXE5" s="1863"/>
      <c r="SXF5" s="1863"/>
      <c r="SXG5" s="1863"/>
      <c r="SXH5" s="1863"/>
      <c r="SXI5" s="1863"/>
      <c r="SXJ5" s="1863"/>
      <c r="SXK5" s="1863"/>
      <c r="SXL5" s="1863"/>
      <c r="SXM5" s="1863"/>
      <c r="SXN5" s="1863"/>
      <c r="SXO5" s="1863"/>
      <c r="SXP5" s="1863"/>
      <c r="SXQ5" s="1863"/>
      <c r="SXR5" s="1863"/>
      <c r="SXS5" s="1863"/>
      <c r="SXT5" s="1863"/>
      <c r="SXU5" s="1863"/>
      <c r="SXV5" s="1863"/>
      <c r="SXW5" s="1863"/>
      <c r="SXX5" s="1863"/>
      <c r="SXY5" s="1863"/>
      <c r="SXZ5" s="1863"/>
      <c r="SYA5" s="1863"/>
      <c r="SYB5" s="1863"/>
      <c r="SYC5" s="1863"/>
      <c r="SYD5" s="1863"/>
      <c r="SYE5" s="1863"/>
      <c r="SYF5" s="1863"/>
      <c r="SYG5" s="1863"/>
      <c r="SYH5" s="1863"/>
      <c r="SYI5" s="1863"/>
      <c r="SYJ5" s="1863"/>
      <c r="SYK5" s="1863"/>
      <c r="SYL5" s="1863"/>
      <c r="SYM5" s="1863"/>
      <c r="SYN5" s="1863"/>
      <c r="SYO5" s="1863"/>
      <c r="SYP5" s="1863"/>
      <c r="SYQ5" s="1863"/>
      <c r="SYR5" s="1863"/>
      <c r="SYS5" s="1863"/>
      <c r="SYT5" s="1863"/>
      <c r="SYU5" s="1863"/>
      <c r="SYV5" s="1863"/>
      <c r="SYW5" s="1863"/>
      <c r="SYX5" s="1863"/>
      <c r="SYY5" s="1863"/>
      <c r="SYZ5" s="1863"/>
      <c r="SZA5" s="1863"/>
      <c r="SZB5" s="1863"/>
      <c r="SZC5" s="1863"/>
      <c r="SZD5" s="1863"/>
      <c r="SZE5" s="1863"/>
      <c r="SZF5" s="1863"/>
      <c r="SZG5" s="1863"/>
      <c r="SZH5" s="1863"/>
      <c r="SZI5" s="1863"/>
      <c r="SZJ5" s="1863"/>
      <c r="SZK5" s="1863"/>
      <c r="SZL5" s="1863"/>
      <c r="SZM5" s="1863"/>
      <c r="SZN5" s="1863"/>
      <c r="SZO5" s="1863"/>
      <c r="SZP5" s="1863"/>
      <c r="SZQ5" s="1863"/>
      <c r="SZR5" s="1863"/>
      <c r="SZS5" s="1863"/>
      <c r="SZT5" s="1863"/>
      <c r="SZU5" s="1863"/>
      <c r="SZV5" s="1863"/>
      <c r="SZW5" s="1863"/>
      <c r="SZX5" s="1863"/>
      <c r="SZY5" s="1863"/>
      <c r="SZZ5" s="1863"/>
      <c r="TAA5" s="1863"/>
      <c r="TAB5" s="1863"/>
      <c r="TAC5" s="1863"/>
      <c r="TAD5" s="1863"/>
      <c r="TAE5" s="1863"/>
      <c r="TAF5" s="1863"/>
      <c r="TAG5" s="1863"/>
      <c r="TAH5" s="1863"/>
      <c r="TAI5" s="1863"/>
      <c r="TAJ5" s="1863"/>
      <c r="TAK5" s="1863"/>
      <c r="TAL5" s="1863"/>
      <c r="TAM5" s="1863"/>
      <c r="TAN5" s="1863"/>
      <c r="TAO5" s="1863"/>
      <c r="TAP5" s="1863"/>
      <c r="TAQ5" s="1863"/>
      <c r="TAR5" s="1863"/>
      <c r="TAS5" s="1863"/>
      <c r="TAT5" s="1863"/>
      <c r="TAU5" s="1863"/>
      <c r="TAV5" s="1863"/>
      <c r="TAW5" s="1863"/>
      <c r="TAX5" s="1863"/>
      <c r="TAY5" s="1863"/>
      <c r="TAZ5" s="1863"/>
      <c r="TBA5" s="1863"/>
      <c r="TBB5" s="1863"/>
      <c r="TBC5" s="1863"/>
      <c r="TBD5" s="1863"/>
      <c r="TBE5" s="1863"/>
      <c r="TBF5" s="1863"/>
      <c r="TBG5" s="1863"/>
      <c r="TBH5" s="1863"/>
      <c r="TBI5" s="1863"/>
      <c r="TBJ5" s="1863"/>
      <c r="TBK5" s="1863"/>
      <c r="TBL5" s="1863"/>
      <c r="TBM5" s="1863"/>
      <c r="TBN5" s="1863"/>
      <c r="TBO5" s="1863"/>
      <c r="TBP5" s="1863"/>
      <c r="TBQ5" s="1863"/>
      <c r="TBR5" s="1863"/>
      <c r="TBS5" s="1863"/>
      <c r="TBT5" s="1863"/>
      <c r="TBU5" s="1863"/>
      <c r="TBV5" s="1863"/>
      <c r="TBW5" s="1863"/>
      <c r="TBX5" s="1863"/>
      <c r="TBY5" s="1863"/>
      <c r="TBZ5" s="1863"/>
      <c r="TCA5" s="1863"/>
      <c r="TCB5" s="1863"/>
      <c r="TCC5" s="1863"/>
      <c r="TCD5" s="1863"/>
      <c r="TCE5" s="1863"/>
      <c r="TCF5" s="1863"/>
      <c r="TCG5" s="1863"/>
      <c r="TCH5" s="1863"/>
      <c r="TCI5" s="1863"/>
      <c r="TCJ5" s="1863"/>
      <c r="TCK5" s="1863"/>
      <c r="TCL5" s="1863"/>
      <c r="TCM5" s="1863"/>
      <c r="TCN5" s="1863"/>
      <c r="TCO5" s="1863"/>
      <c r="TCP5" s="1863"/>
      <c r="TCQ5" s="1863"/>
      <c r="TCR5" s="1863"/>
      <c r="TCS5" s="1863"/>
      <c r="TCT5" s="1863"/>
      <c r="TCU5" s="1863"/>
      <c r="TCV5" s="1863"/>
      <c r="TCW5" s="1863"/>
      <c r="TCX5" s="1863"/>
      <c r="TCY5" s="1863"/>
      <c r="TCZ5" s="1863"/>
      <c r="TDA5" s="1863"/>
      <c r="TDB5" s="1863"/>
      <c r="TDC5" s="1863"/>
      <c r="TDD5" s="1863"/>
      <c r="TDE5" s="1863"/>
      <c r="TDF5" s="1863"/>
      <c r="TDG5" s="1863"/>
      <c r="TDH5" s="1863"/>
      <c r="TDI5" s="1863"/>
      <c r="TDJ5" s="1863"/>
      <c r="TDK5" s="1863"/>
      <c r="TDL5" s="1863"/>
      <c r="TDM5" s="1863"/>
      <c r="TDN5" s="1863"/>
      <c r="TDO5" s="1863"/>
      <c r="TDP5" s="1863"/>
      <c r="TDQ5" s="1863"/>
      <c r="TDR5" s="1863"/>
      <c r="TDS5" s="1863"/>
      <c r="TDT5" s="1863"/>
      <c r="TDU5" s="1863"/>
      <c r="TDV5" s="1863"/>
      <c r="TDW5" s="1863"/>
      <c r="TDX5" s="1863"/>
      <c r="TDY5" s="1863"/>
      <c r="TDZ5" s="1863"/>
      <c r="TEA5" s="1863"/>
      <c r="TEB5" s="1863"/>
      <c r="TEC5" s="1863"/>
      <c r="TED5" s="1863"/>
      <c r="TEE5" s="1863"/>
      <c r="TEF5" s="1863"/>
      <c r="TEG5" s="1863"/>
      <c r="TEH5" s="1863"/>
      <c r="TEI5" s="1863"/>
      <c r="TEJ5" s="1863"/>
      <c r="TEK5" s="1863"/>
      <c r="TEL5" s="1863"/>
      <c r="TEM5" s="1863"/>
      <c r="TEN5" s="1863"/>
      <c r="TEO5" s="1863"/>
      <c r="TEP5" s="1863"/>
      <c r="TEQ5" s="1863"/>
      <c r="TER5" s="1863"/>
      <c r="TES5" s="1863"/>
      <c r="TET5" s="1863"/>
      <c r="TEU5" s="1863"/>
      <c r="TEV5" s="1863"/>
      <c r="TEW5" s="1863"/>
      <c r="TEX5" s="1863"/>
      <c r="TEY5" s="1863"/>
      <c r="TEZ5" s="1863"/>
      <c r="TFA5" s="1863"/>
      <c r="TFB5" s="1863"/>
      <c r="TFC5" s="1863"/>
      <c r="TFD5" s="1863"/>
      <c r="TFE5" s="1863"/>
      <c r="TFF5" s="1863"/>
      <c r="TFG5" s="1863"/>
      <c r="TFH5" s="1863"/>
      <c r="TFI5" s="1863"/>
      <c r="TFJ5" s="1863"/>
      <c r="TFK5" s="1863"/>
      <c r="TFL5" s="1863"/>
      <c r="TFM5" s="1863"/>
      <c r="TFN5" s="1863"/>
      <c r="TFO5" s="1863"/>
      <c r="TFP5" s="1863"/>
      <c r="TFQ5" s="1863"/>
      <c r="TFR5" s="1863"/>
      <c r="TFS5" s="1863"/>
      <c r="TFT5" s="1863"/>
      <c r="TFU5" s="1863"/>
      <c r="TFV5" s="1863"/>
      <c r="TFW5" s="1863"/>
      <c r="TFX5" s="1863"/>
      <c r="TFY5" s="1863"/>
      <c r="TFZ5" s="1863"/>
      <c r="TGA5" s="1863"/>
      <c r="TGB5" s="1863"/>
      <c r="TGC5" s="1863"/>
      <c r="TGD5" s="1863"/>
      <c r="TGE5" s="1863"/>
      <c r="TGF5" s="1863"/>
      <c r="TGG5" s="1863"/>
      <c r="TGH5" s="1863"/>
      <c r="TGI5" s="1863"/>
      <c r="TGJ5" s="1863"/>
      <c r="TGK5" s="1863"/>
      <c r="TGL5" s="1863"/>
      <c r="TGM5" s="1863"/>
      <c r="TGN5" s="1863"/>
      <c r="TGO5" s="1863"/>
      <c r="TGP5" s="1863"/>
      <c r="TGQ5" s="1863"/>
      <c r="TGR5" s="1863"/>
      <c r="TGS5" s="1863"/>
      <c r="TGT5" s="1863"/>
      <c r="TGU5" s="1863"/>
      <c r="TGV5" s="1863"/>
      <c r="TGW5" s="1863"/>
      <c r="TGX5" s="1863"/>
      <c r="TGY5" s="1863"/>
      <c r="TGZ5" s="1863"/>
      <c r="THA5" s="1863"/>
      <c r="THB5" s="1863"/>
      <c r="THC5" s="1863"/>
      <c r="THD5" s="1863"/>
      <c r="THE5" s="1863"/>
      <c r="THF5" s="1863"/>
      <c r="THG5" s="1863"/>
      <c r="THH5" s="1863"/>
      <c r="THI5" s="1863"/>
      <c r="THJ5" s="1863"/>
      <c r="THK5" s="1863"/>
      <c r="THL5" s="1863"/>
      <c r="THM5" s="1863"/>
      <c r="THN5" s="1863"/>
      <c r="THO5" s="1863"/>
      <c r="THP5" s="1863"/>
      <c r="THQ5" s="1863"/>
      <c r="THR5" s="1863"/>
      <c r="THS5" s="1863"/>
      <c r="THT5" s="1863"/>
      <c r="THU5" s="1863"/>
      <c r="THV5" s="1863"/>
      <c r="THW5" s="1863"/>
      <c r="THX5" s="1863"/>
      <c r="THY5" s="1863"/>
      <c r="THZ5" s="1863"/>
      <c r="TIA5" s="1863"/>
      <c r="TIB5" s="1863"/>
      <c r="TIC5" s="1863"/>
      <c r="TID5" s="1863"/>
      <c r="TIE5" s="1863"/>
      <c r="TIF5" s="1863"/>
      <c r="TIG5" s="1863"/>
      <c r="TIH5" s="1863"/>
      <c r="TII5" s="1863"/>
      <c r="TIJ5" s="1863"/>
      <c r="TIK5" s="1863"/>
      <c r="TIL5" s="1863"/>
      <c r="TIM5" s="1863"/>
      <c r="TIN5" s="1863"/>
      <c r="TIO5" s="1863"/>
      <c r="TIP5" s="1863"/>
      <c r="TIQ5" s="1863"/>
      <c r="TIR5" s="1863"/>
      <c r="TIS5" s="1863"/>
      <c r="TIT5" s="1863"/>
      <c r="TIU5" s="1863"/>
      <c r="TIV5" s="1863"/>
      <c r="TIW5" s="1863"/>
      <c r="TIX5" s="1863"/>
      <c r="TIY5" s="1863"/>
      <c r="TIZ5" s="1863"/>
      <c r="TJA5" s="1863"/>
      <c r="TJB5" s="1863"/>
      <c r="TJC5" s="1863"/>
      <c r="TJD5" s="1863"/>
      <c r="TJE5" s="1863"/>
      <c r="TJF5" s="1863"/>
      <c r="TJG5" s="1863"/>
      <c r="TJH5" s="1863"/>
      <c r="TJI5" s="1863"/>
      <c r="TJJ5" s="1863"/>
      <c r="TJK5" s="1863"/>
      <c r="TJL5" s="1863"/>
      <c r="TJM5" s="1863"/>
      <c r="TJN5" s="1863"/>
      <c r="TJO5" s="1863"/>
      <c r="TJP5" s="1863"/>
      <c r="TJQ5" s="1863"/>
      <c r="TJR5" s="1863"/>
      <c r="TJS5" s="1863"/>
      <c r="TJT5" s="1863"/>
      <c r="TJU5" s="1863"/>
      <c r="TJV5" s="1863"/>
      <c r="TJW5" s="1863"/>
      <c r="TJX5" s="1863"/>
      <c r="TJY5" s="1863"/>
      <c r="TJZ5" s="1863"/>
      <c r="TKA5" s="1863"/>
      <c r="TKB5" s="1863"/>
      <c r="TKC5" s="1863"/>
      <c r="TKD5" s="1863"/>
      <c r="TKE5" s="1863"/>
      <c r="TKF5" s="1863"/>
      <c r="TKG5" s="1863"/>
      <c r="TKH5" s="1863"/>
      <c r="TKI5" s="1863"/>
      <c r="TKJ5" s="1863"/>
      <c r="TKK5" s="1863"/>
      <c r="TKL5" s="1863"/>
      <c r="TKM5" s="1863"/>
      <c r="TKN5" s="1863"/>
      <c r="TKO5" s="1863"/>
      <c r="TKP5" s="1863"/>
      <c r="TKQ5" s="1863"/>
      <c r="TKR5" s="1863"/>
      <c r="TKS5" s="1863"/>
      <c r="TKT5" s="1863"/>
      <c r="TKU5" s="1863"/>
      <c r="TKV5" s="1863"/>
      <c r="TKW5" s="1863"/>
      <c r="TKX5" s="1863"/>
      <c r="TKY5" s="1863"/>
      <c r="TKZ5" s="1863"/>
      <c r="TLA5" s="1863"/>
      <c r="TLB5" s="1863"/>
      <c r="TLC5" s="1863"/>
      <c r="TLD5" s="1863"/>
      <c r="TLE5" s="1863"/>
      <c r="TLF5" s="1863"/>
      <c r="TLG5" s="1863"/>
      <c r="TLH5" s="1863"/>
      <c r="TLI5" s="1863"/>
      <c r="TLJ5" s="1863"/>
      <c r="TLK5" s="1863"/>
      <c r="TLL5" s="1863"/>
      <c r="TLM5" s="1863"/>
      <c r="TLN5" s="1863"/>
      <c r="TLO5" s="1863"/>
      <c r="TLP5" s="1863"/>
      <c r="TLQ5" s="1863"/>
      <c r="TLR5" s="1863"/>
      <c r="TLS5" s="1863"/>
      <c r="TLT5" s="1863"/>
      <c r="TLU5" s="1863"/>
      <c r="TLV5" s="1863"/>
      <c r="TLW5" s="1863"/>
      <c r="TLX5" s="1863"/>
      <c r="TLY5" s="1863"/>
      <c r="TLZ5" s="1863"/>
      <c r="TMA5" s="1863"/>
      <c r="TMB5" s="1863"/>
      <c r="TMC5" s="1863"/>
      <c r="TMD5" s="1863"/>
      <c r="TME5" s="1863"/>
      <c r="TMF5" s="1863"/>
      <c r="TMG5" s="1863"/>
      <c r="TMH5" s="1863"/>
      <c r="TMI5" s="1863"/>
      <c r="TMJ5" s="1863"/>
      <c r="TMK5" s="1863"/>
      <c r="TML5" s="1863"/>
      <c r="TMM5" s="1863"/>
      <c r="TMN5" s="1863"/>
      <c r="TMO5" s="1863"/>
      <c r="TMP5" s="1863"/>
      <c r="TMQ5" s="1863"/>
      <c r="TMR5" s="1863"/>
      <c r="TMS5" s="1863"/>
      <c r="TMT5" s="1863"/>
      <c r="TMU5" s="1863"/>
      <c r="TMV5" s="1863"/>
      <c r="TMW5" s="1863"/>
      <c r="TMX5" s="1863"/>
      <c r="TMY5" s="1863"/>
      <c r="TMZ5" s="1863"/>
      <c r="TNA5" s="1863"/>
      <c r="TNB5" s="1863"/>
      <c r="TNC5" s="1863"/>
      <c r="TND5" s="1863"/>
      <c r="TNE5" s="1863"/>
      <c r="TNF5" s="1863"/>
      <c r="TNG5" s="1863"/>
      <c r="TNH5" s="1863"/>
      <c r="TNI5" s="1863"/>
      <c r="TNJ5" s="1863"/>
      <c r="TNK5" s="1863"/>
      <c r="TNL5" s="1863"/>
      <c r="TNM5" s="1863"/>
      <c r="TNN5" s="1863"/>
      <c r="TNO5" s="1863"/>
      <c r="TNP5" s="1863"/>
      <c r="TNQ5" s="1863"/>
      <c r="TNR5" s="1863"/>
      <c r="TNS5" s="1863"/>
      <c r="TNT5" s="1863"/>
      <c r="TNU5" s="1863"/>
      <c r="TNV5" s="1863"/>
      <c r="TNW5" s="1863"/>
      <c r="TNX5" s="1863"/>
      <c r="TNY5" s="1863"/>
      <c r="TNZ5" s="1863"/>
      <c r="TOA5" s="1863"/>
      <c r="TOB5" s="1863"/>
      <c r="TOC5" s="1863"/>
      <c r="TOD5" s="1863"/>
      <c r="TOE5" s="1863"/>
      <c r="TOF5" s="1863"/>
      <c r="TOG5" s="1863"/>
      <c r="TOH5" s="1863"/>
      <c r="TOI5" s="1863"/>
      <c r="TOJ5" s="1863"/>
      <c r="TOK5" s="1863"/>
      <c r="TOL5" s="1863"/>
      <c r="TOM5" s="1863"/>
      <c r="TON5" s="1863"/>
      <c r="TOO5" s="1863"/>
      <c r="TOP5" s="1863"/>
      <c r="TOQ5" s="1863"/>
      <c r="TOR5" s="1863"/>
      <c r="TOS5" s="1863"/>
      <c r="TOT5" s="1863"/>
      <c r="TOU5" s="1863"/>
      <c r="TOV5" s="1863"/>
      <c r="TOW5" s="1863"/>
      <c r="TOX5" s="1863"/>
      <c r="TOY5" s="1863"/>
      <c r="TOZ5" s="1863"/>
      <c r="TPA5" s="1863"/>
      <c r="TPB5" s="1863"/>
      <c r="TPC5" s="1863"/>
      <c r="TPD5" s="1863"/>
      <c r="TPE5" s="1863"/>
      <c r="TPF5" s="1863"/>
      <c r="TPG5" s="1863"/>
      <c r="TPH5" s="1863"/>
      <c r="TPI5" s="1863"/>
      <c r="TPJ5" s="1863"/>
      <c r="TPK5" s="1863"/>
      <c r="TPL5" s="1863"/>
      <c r="TPM5" s="1863"/>
      <c r="TPN5" s="1863"/>
      <c r="TPO5" s="1863"/>
      <c r="TPP5" s="1863"/>
      <c r="TPQ5" s="1863"/>
      <c r="TPR5" s="1863"/>
      <c r="TPS5" s="1863"/>
      <c r="TPT5" s="1863"/>
      <c r="TPU5" s="1863"/>
      <c r="TPV5" s="1863"/>
      <c r="TPW5" s="1863"/>
      <c r="TPX5" s="1863"/>
      <c r="TPY5" s="1863"/>
      <c r="TPZ5" s="1863"/>
      <c r="TQA5" s="1863"/>
      <c r="TQB5" s="1863"/>
      <c r="TQC5" s="1863"/>
      <c r="TQD5" s="1863"/>
      <c r="TQE5" s="1863"/>
      <c r="TQF5" s="1863"/>
      <c r="TQG5" s="1863"/>
      <c r="TQH5" s="1863"/>
      <c r="TQI5" s="1863"/>
      <c r="TQJ5" s="1863"/>
      <c r="TQK5" s="1863"/>
      <c r="TQL5" s="1863"/>
      <c r="TQM5" s="1863"/>
      <c r="TQN5" s="1863"/>
      <c r="TQO5" s="1863"/>
      <c r="TQP5" s="1863"/>
      <c r="TQQ5" s="1863"/>
      <c r="TQR5" s="1863"/>
      <c r="TQS5" s="1863"/>
      <c r="TQT5" s="1863"/>
      <c r="TQU5" s="1863"/>
      <c r="TQV5" s="1863"/>
      <c r="TQW5" s="1863"/>
      <c r="TQX5" s="1863"/>
      <c r="TQY5" s="1863"/>
      <c r="TQZ5" s="1863"/>
      <c r="TRA5" s="1863"/>
      <c r="TRB5" s="1863"/>
      <c r="TRC5" s="1863"/>
      <c r="TRD5" s="1863"/>
      <c r="TRE5" s="1863"/>
      <c r="TRF5" s="1863"/>
      <c r="TRG5" s="1863"/>
      <c r="TRH5" s="1863"/>
      <c r="TRI5" s="1863"/>
      <c r="TRJ5" s="1863"/>
      <c r="TRK5" s="1863"/>
      <c r="TRL5" s="1863"/>
      <c r="TRM5" s="1863"/>
      <c r="TRN5" s="1863"/>
      <c r="TRO5" s="1863"/>
      <c r="TRP5" s="1863"/>
      <c r="TRQ5" s="1863"/>
      <c r="TRR5" s="1863"/>
      <c r="TRS5" s="1863"/>
      <c r="TRT5" s="1863"/>
      <c r="TRU5" s="1863"/>
      <c r="TRV5" s="1863"/>
      <c r="TRW5" s="1863"/>
      <c r="TRX5" s="1863"/>
      <c r="TRY5" s="1863"/>
      <c r="TRZ5" s="1863"/>
      <c r="TSA5" s="1863"/>
      <c r="TSB5" s="1863"/>
      <c r="TSC5" s="1863"/>
      <c r="TSD5" s="1863"/>
      <c r="TSE5" s="1863"/>
      <c r="TSF5" s="1863"/>
      <c r="TSG5" s="1863"/>
      <c r="TSH5" s="1863"/>
      <c r="TSI5" s="1863"/>
      <c r="TSJ5" s="1863"/>
      <c r="TSK5" s="1863"/>
      <c r="TSL5" s="1863"/>
      <c r="TSM5" s="1863"/>
      <c r="TSN5" s="1863"/>
      <c r="TSO5" s="1863"/>
      <c r="TSP5" s="1863"/>
      <c r="TSQ5" s="1863"/>
      <c r="TSR5" s="1863"/>
      <c r="TSS5" s="1863"/>
      <c r="TST5" s="1863"/>
      <c r="TSU5" s="1863"/>
      <c r="TSV5" s="1863"/>
      <c r="TSW5" s="1863"/>
      <c r="TSX5" s="1863"/>
      <c r="TSY5" s="1863"/>
      <c r="TSZ5" s="1863"/>
      <c r="TTA5" s="1863"/>
      <c r="TTB5" s="1863"/>
      <c r="TTC5" s="1863"/>
      <c r="TTD5" s="1863"/>
      <c r="TTE5" s="1863"/>
      <c r="TTF5" s="1863"/>
      <c r="TTG5" s="1863"/>
      <c r="TTH5" s="1863"/>
      <c r="TTI5" s="1863"/>
      <c r="TTJ5" s="1863"/>
      <c r="TTK5" s="1863"/>
      <c r="TTL5" s="1863"/>
      <c r="TTM5" s="1863"/>
      <c r="TTN5" s="1863"/>
      <c r="TTO5" s="1863"/>
      <c r="TTP5" s="1863"/>
      <c r="TTQ5" s="1863"/>
      <c r="TTR5" s="1863"/>
      <c r="TTS5" s="1863"/>
      <c r="TTT5" s="1863"/>
      <c r="TTU5" s="1863"/>
      <c r="TTV5" s="1863"/>
      <c r="TTW5" s="1863"/>
      <c r="TTX5" s="1863"/>
      <c r="TTY5" s="1863"/>
      <c r="TTZ5" s="1863"/>
      <c r="TUA5" s="1863"/>
      <c r="TUB5" s="1863"/>
      <c r="TUC5" s="1863"/>
      <c r="TUD5" s="1863"/>
      <c r="TUE5" s="1863"/>
      <c r="TUF5" s="1863"/>
      <c r="TUG5" s="1863"/>
      <c r="TUH5" s="1863"/>
      <c r="TUI5" s="1863"/>
      <c r="TUJ5" s="1863"/>
      <c r="TUK5" s="1863"/>
      <c r="TUL5" s="1863"/>
      <c r="TUM5" s="1863"/>
      <c r="TUN5" s="1863"/>
      <c r="TUO5" s="1863"/>
      <c r="TUP5" s="1863"/>
      <c r="TUQ5" s="1863"/>
      <c r="TUR5" s="1863"/>
      <c r="TUS5" s="1863"/>
      <c r="TUT5" s="1863"/>
      <c r="TUU5" s="1863"/>
      <c r="TUV5" s="1863"/>
      <c r="TUW5" s="1863"/>
      <c r="TUX5" s="1863"/>
      <c r="TUY5" s="1863"/>
      <c r="TUZ5" s="1863"/>
      <c r="TVA5" s="1863"/>
      <c r="TVB5" s="1863"/>
      <c r="TVC5" s="1863"/>
      <c r="TVD5" s="1863"/>
      <c r="TVE5" s="1863"/>
      <c r="TVF5" s="1863"/>
      <c r="TVG5" s="1863"/>
      <c r="TVH5" s="1863"/>
      <c r="TVI5" s="1863"/>
      <c r="TVJ5" s="1863"/>
      <c r="TVK5" s="1863"/>
      <c r="TVL5" s="1863"/>
      <c r="TVM5" s="1863"/>
      <c r="TVN5" s="1863"/>
      <c r="TVO5" s="1863"/>
      <c r="TVP5" s="1863"/>
      <c r="TVQ5" s="1863"/>
      <c r="TVR5" s="1863"/>
      <c r="TVS5" s="1863"/>
      <c r="TVT5" s="1863"/>
      <c r="TVU5" s="1863"/>
      <c r="TVV5" s="1863"/>
      <c r="TVW5" s="1863"/>
      <c r="TVX5" s="1863"/>
      <c r="TVY5" s="1863"/>
      <c r="TVZ5" s="1863"/>
      <c r="TWA5" s="1863"/>
      <c r="TWB5" s="1863"/>
      <c r="TWC5" s="1863"/>
      <c r="TWD5" s="1863"/>
      <c r="TWE5" s="1863"/>
      <c r="TWF5" s="1863"/>
      <c r="TWG5" s="1863"/>
      <c r="TWH5" s="1863"/>
      <c r="TWI5" s="1863"/>
      <c r="TWJ5" s="1863"/>
      <c r="TWK5" s="1863"/>
      <c r="TWL5" s="1863"/>
      <c r="TWM5" s="1863"/>
      <c r="TWN5" s="1863"/>
      <c r="TWO5" s="1863"/>
      <c r="TWP5" s="1863"/>
      <c r="TWQ5" s="1863"/>
      <c r="TWR5" s="1863"/>
      <c r="TWS5" s="1863"/>
      <c r="TWT5" s="1863"/>
      <c r="TWU5" s="1863"/>
      <c r="TWV5" s="1863"/>
      <c r="TWW5" s="1863"/>
      <c r="TWX5" s="1863"/>
      <c r="TWY5" s="1863"/>
      <c r="TWZ5" s="1863"/>
      <c r="TXA5" s="1863"/>
      <c r="TXB5" s="1863"/>
      <c r="TXC5" s="1863"/>
      <c r="TXD5" s="1863"/>
      <c r="TXE5" s="1863"/>
      <c r="TXF5" s="1863"/>
      <c r="TXG5" s="1863"/>
      <c r="TXH5" s="1863"/>
      <c r="TXI5" s="1863"/>
      <c r="TXJ5" s="1863"/>
      <c r="TXK5" s="1863"/>
      <c r="TXL5" s="1863"/>
      <c r="TXM5" s="1863"/>
      <c r="TXN5" s="1863"/>
      <c r="TXO5" s="1863"/>
      <c r="TXP5" s="1863"/>
      <c r="TXQ5" s="1863"/>
      <c r="TXR5" s="1863"/>
      <c r="TXS5" s="1863"/>
      <c r="TXT5" s="1863"/>
      <c r="TXU5" s="1863"/>
      <c r="TXV5" s="1863"/>
      <c r="TXW5" s="1863"/>
      <c r="TXX5" s="1863"/>
      <c r="TXY5" s="1863"/>
      <c r="TXZ5" s="1863"/>
      <c r="TYA5" s="1863"/>
      <c r="TYB5" s="1863"/>
      <c r="TYC5" s="1863"/>
      <c r="TYD5" s="1863"/>
      <c r="TYE5" s="1863"/>
      <c r="TYF5" s="1863"/>
      <c r="TYG5" s="1863"/>
      <c r="TYH5" s="1863"/>
      <c r="TYI5" s="1863"/>
      <c r="TYJ5" s="1863"/>
      <c r="TYK5" s="1863"/>
      <c r="TYL5" s="1863"/>
      <c r="TYM5" s="1863"/>
      <c r="TYN5" s="1863"/>
      <c r="TYO5" s="1863"/>
      <c r="TYP5" s="1863"/>
      <c r="TYQ5" s="1863"/>
      <c r="TYR5" s="1863"/>
      <c r="TYS5" s="1863"/>
      <c r="TYT5" s="1863"/>
      <c r="TYU5" s="1863"/>
      <c r="TYV5" s="1863"/>
      <c r="TYW5" s="1863"/>
      <c r="TYX5" s="1863"/>
      <c r="TYY5" s="1863"/>
      <c r="TYZ5" s="1863"/>
      <c r="TZA5" s="1863"/>
      <c r="TZB5" s="1863"/>
      <c r="TZC5" s="1863"/>
      <c r="TZD5" s="1863"/>
      <c r="TZE5" s="1863"/>
      <c r="TZF5" s="1863"/>
      <c r="TZG5" s="1863"/>
      <c r="TZH5" s="1863"/>
      <c r="TZI5" s="1863"/>
      <c r="TZJ5" s="1863"/>
      <c r="TZK5" s="1863"/>
      <c r="TZL5" s="1863"/>
      <c r="TZM5" s="1863"/>
      <c r="TZN5" s="1863"/>
      <c r="TZO5" s="1863"/>
      <c r="TZP5" s="1863"/>
      <c r="TZQ5" s="1863"/>
      <c r="TZR5" s="1863"/>
      <c r="TZS5" s="1863"/>
      <c r="TZT5" s="1863"/>
      <c r="TZU5" s="1863"/>
      <c r="TZV5" s="1863"/>
      <c r="TZW5" s="1863"/>
      <c r="TZX5" s="1863"/>
      <c r="TZY5" s="1863"/>
      <c r="TZZ5" s="1863"/>
      <c r="UAA5" s="1863"/>
      <c r="UAB5" s="1863"/>
      <c r="UAC5" s="1863"/>
      <c r="UAD5" s="1863"/>
      <c r="UAE5" s="1863"/>
      <c r="UAF5" s="1863"/>
      <c r="UAG5" s="1863"/>
      <c r="UAH5" s="1863"/>
      <c r="UAI5" s="1863"/>
      <c r="UAJ5" s="1863"/>
      <c r="UAK5" s="1863"/>
      <c r="UAL5" s="1863"/>
      <c r="UAM5" s="1863"/>
      <c r="UAN5" s="1863"/>
      <c r="UAO5" s="1863"/>
      <c r="UAP5" s="1863"/>
      <c r="UAQ5" s="1863"/>
      <c r="UAR5" s="1863"/>
      <c r="UAS5" s="1863"/>
      <c r="UAT5" s="1863"/>
      <c r="UAU5" s="1863"/>
      <c r="UAV5" s="1863"/>
      <c r="UAW5" s="1863"/>
      <c r="UAX5" s="1863"/>
      <c r="UAY5" s="1863"/>
      <c r="UAZ5" s="1863"/>
      <c r="UBA5" s="1863"/>
      <c r="UBB5" s="1863"/>
      <c r="UBC5" s="1863"/>
      <c r="UBD5" s="1863"/>
      <c r="UBE5" s="1863"/>
      <c r="UBF5" s="1863"/>
      <c r="UBG5" s="1863"/>
      <c r="UBH5" s="1863"/>
      <c r="UBI5" s="1863"/>
      <c r="UBJ5" s="1863"/>
      <c r="UBK5" s="1863"/>
      <c r="UBL5" s="1863"/>
      <c r="UBM5" s="1863"/>
      <c r="UBN5" s="1863"/>
      <c r="UBO5" s="1863"/>
      <c r="UBP5" s="1863"/>
      <c r="UBQ5" s="1863"/>
      <c r="UBR5" s="1863"/>
      <c r="UBS5" s="1863"/>
      <c r="UBT5" s="1863"/>
      <c r="UBU5" s="1863"/>
      <c r="UBV5" s="1863"/>
      <c r="UBW5" s="1863"/>
      <c r="UBX5" s="1863"/>
      <c r="UBY5" s="1863"/>
      <c r="UBZ5" s="1863"/>
      <c r="UCA5" s="1863"/>
      <c r="UCB5" s="1863"/>
      <c r="UCC5" s="1863"/>
      <c r="UCD5" s="1863"/>
      <c r="UCE5" s="1863"/>
      <c r="UCF5" s="1863"/>
      <c r="UCG5" s="1863"/>
      <c r="UCH5" s="1863"/>
      <c r="UCI5" s="1863"/>
      <c r="UCJ5" s="1863"/>
      <c r="UCK5" s="1863"/>
      <c r="UCL5" s="1863"/>
      <c r="UCM5" s="1863"/>
      <c r="UCN5" s="1863"/>
      <c r="UCO5" s="1863"/>
      <c r="UCP5" s="1863"/>
      <c r="UCQ5" s="1863"/>
      <c r="UCR5" s="1863"/>
      <c r="UCS5" s="1863"/>
      <c r="UCT5" s="1863"/>
      <c r="UCU5" s="1863"/>
      <c r="UCV5" s="1863"/>
      <c r="UCW5" s="1863"/>
      <c r="UCX5" s="1863"/>
      <c r="UCY5" s="1863"/>
      <c r="UCZ5" s="1863"/>
      <c r="UDA5" s="1863"/>
      <c r="UDB5" s="1863"/>
      <c r="UDC5" s="1863"/>
      <c r="UDD5" s="1863"/>
      <c r="UDE5" s="1863"/>
      <c r="UDF5" s="1863"/>
      <c r="UDG5" s="1863"/>
      <c r="UDH5" s="1863"/>
      <c r="UDI5" s="1863"/>
      <c r="UDJ5" s="1863"/>
      <c r="UDK5" s="1863"/>
      <c r="UDL5" s="1863"/>
      <c r="UDM5" s="1863"/>
      <c r="UDN5" s="1863"/>
      <c r="UDO5" s="1863"/>
      <c r="UDP5" s="1863"/>
      <c r="UDQ5" s="1863"/>
      <c r="UDR5" s="1863"/>
      <c r="UDS5" s="1863"/>
      <c r="UDT5" s="1863"/>
      <c r="UDU5" s="1863"/>
      <c r="UDV5" s="1863"/>
      <c r="UDW5" s="1863"/>
      <c r="UDX5" s="1863"/>
      <c r="UDY5" s="1863"/>
      <c r="UDZ5" s="1863"/>
      <c r="UEA5" s="1863"/>
      <c r="UEB5" s="1863"/>
      <c r="UEC5" s="1863"/>
      <c r="UED5" s="1863"/>
      <c r="UEE5" s="1863"/>
      <c r="UEF5" s="1863"/>
      <c r="UEG5" s="1863"/>
      <c r="UEH5" s="1863"/>
      <c r="UEI5" s="1863"/>
      <c r="UEJ5" s="1863"/>
      <c r="UEK5" s="1863"/>
      <c r="UEL5" s="1863"/>
      <c r="UEM5" s="1863"/>
      <c r="UEN5" s="1863"/>
      <c r="UEO5" s="1863"/>
      <c r="UEP5" s="1863"/>
      <c r="UEQ5" s="1863"/>
      <c r="UER5" s="1863"/>
      <c r="UES5" s="1863"/>
      <c r="UET5" s="1863"/>
      <c r="UEU5" s="1863"/>
      <c r="UEV5" s="1863"/>
      <c r="UEW5" s="1863"/>
      <c r="UEX5" s="1863"/>
      <c r="UEY5" s="1863"/>
      <c r="UEZ5" s="1863"/>
      <c r="UFA5" s="1863"/>
      <c r="UFB5" s="1863"/>
      <c r="UFC5" s="1863"/>
      <c r="UFD5" s="1863"/>
      <c r="UFE5" s="1863"/>
      <c r="UFF5" s="1863"/>
      <c r="UFG5" s="1863"/>
      <c r="UFH5" s="1863"/>
      <c r="UFI5" s="1863"/>
      <c r="UFJ5" s="1863"/>
      <c r="UFK5" s="1863"/>
      <c r="UFL5" s="1863"/>
      <c r="UFM5" s="1863"/>
      <c r="UFN5" s="1863"/>
      <c r="UFO5" s="1863"/>
      <c r="UFP5" s="1863"/>
      <c r="UFQ5" s="1863"/>
      <c r="UFR5" s="1863"/>
      <c r="UFS5" s="1863"/>
      <c r="UFT5" s="1863"/>
      <c r="UFU5" s="1863"/>
      <c r="UFV5" s="1863"/>
      <c r="UFW5" s="1863"/>
      <c r="UFX5" s="1863"/>
      <c r="UFY5" s="1863"/>
      <c r="UFZ5" s="1863"/>
      <c r="UGA5" s="1863"/>
      <c r="UGB5" s="1863"/>
      <c r="UGC5" s="1863"/>
      <c r="UGD5" s="1863"/>
      <c r="UGE5" s="1863"/>
      <c r="UGF5" s="1863"/>
      <c r="UGG5" s="1863"/>
      <c r="UGH5" s="1863"/>
      <c r="UGI5" s="1863"/>
      <c r="UGJ5" s="1863"/>
      <c r="UGK5" s="1863"/>
      <c r="UGL5" s="1863"/>
      <c r="UGM5" s="1863"/>
      <c r="UGN5" s="1863"/>
      <c r="UGO5" s="1863"/>
      <c r="UGP5" s="1863"/>
      <c r="UGQ5" s="1863"/>
      <c r="UGR5" s="1863"/>
      <c r="UGS5" s="1863"/>
      <c r="UGT5" s="1863"/>
      <c r="UGU5" s="1863"/>
      <c r="UGV5" s="1863"/>
      <c r="UGW5" s="1863"/>
      <c r="UGX5" s="1863"/>
      <c r="UGY5" s="1863"/>
      <c r="UGZ5" s="1863"/>
      <c r="UHA5" s="1863"/>
      <c r="UHB5" s="1863"/>
      <c r="UHC5" s="1863"/>
      <c r="UHD5" s="1863"/>
      <c r="UHE5" s="1863"/>
      <c r="UHF5" s="1863"/>
      <c r="UHG5" s="1863"/>
      <c r="UHH5" s="1863"/>
      <c r="UHI5" s="1863"/>
      <c r="UHJ5" s="1863"/>
      <c r="UHK5" s="1863"/>
      <c r="UHL5" s="1863"/>
      <c r="UHM5" s="1863"/>
      <c r="UHN5" s="1863"/>
      <c r="UHO5" s="1863"/>
      <c r="UHP5" s="1863"/>
      <c r="UHQ5" s="1863"/>
      <c r="UHR5" s="1863"/>
      <c r="UHS5" s="1863"/>
      <c r="UHT5" s="1863"/>
      <c r="UHU5" s="1863"/>
      <c r="UHV5" s="1863"/>
      <c r="UHW5" s="1863"/>
      <c r="UHX5" s="1863"/>
      <c r="UHY5" s="1863"/>
      <c r="UHZ5" s="1863"/>
      <c r="UIA5" s="1863"/>
      <c r="UIB5" s="1863"/>
      <c r="UIC5" s="1863"/>
      <c r="UID5" s="1863"/>
      <c r="UIE5" s="1863"/>
      <c r="UIF5" s="1863"/>
      <c r="UIG5" s="1863"/>
      <c r="UIH5" s="1863"/>
      <c r="UII5" s="1863"/>
      <c r="UIJ5" s="1863"/>
      <c r="UIK5" s="1863"/>
      <c r="UIL5" s="1863"/>
      <c r="UIM5" s="1863"/>
      <c r="UIN5" s="1863"/>
      <c r="UIO5" s="1863"/>
      <c r="UIP5" s="1863"/>
      <c r="UIQ5" s="1863"/>
      <c r="UIR5" s="1863"/>
      <c r="UIS5" s="1863"/>
      <c r="UIT5" s="1863"/>
      <c r="UIU5" s="1863"/>
      <c r="UIV5" s="1863"/>
      <c r="UIW5" s="1863"/>
      <c r="UIX5" s="1863"/>
      <c r="UIY5" s="1863"/>
      <c r="UIZ5" s="1863"/>
      <c r="UJA5" s="1863"/>
      <c r="UJB5" s="1863"/>
      <c r="UJC5" s="1863"/>
      <c r="UJD5" s="1863"/>
      <c r="UJE5" s="1863"/>
      <c r="UJF5" s="1863"/>
      <c r="UJG5" s="1863"/>
      <c r="UJH5" s="1863"/>
      <c r="UJI5" s="1863"/>
      <c r="UJJ5" s="1863"/>
      <c r="UJK5" s="1863"/>
      <c r="UJL5" s="1863"/>
      <c r="UJM5" s="1863"/>
      <c r="UJN5" s="1863"/>
      <c r="UJO5" s="1863"/>
      <c r="UJP5" s="1863"/>
      <c r="UJQ5" s="1863"/>
      <c r="UJR5" s="1863"/>
      <c r="UJS5" s="1863"/>
      <c r="UJT5" s="1863"/>
      <c r="UJU5" s="1863"/>
      <c r="UJV5" s="1863"/>
      <c r="UJW5" s="1863"/>
      <c r="UJX5" s="1863"/>
      <c r="UJY5" s="1863"/>
      <c r="UJZ5" s="1863"/>
      <c r="UKA5" s="1863"/>
      <c r="UKB5" s="1863"/>
      <c r="UKC5" s="1863"/>
      <c r="UKD5" s="1863"/>
      <c r="UKE5" s="1863"/>
      <c r="UKF5" s="1863"/>
      <c r="UKG5" s="1863"/>
      <c r="UKH5" s="1863"/>
      <c r="UKI5" s="1863"/>
      <c r="UKJ5" s="1863"/>
      <c r="UKK5" s="1863"/>
      <c r="UKL5" s="1863"/>
      <c r="UKM5" s="1863"/>
      <c r="UKN5" s="1863"/>
      <c r="UKO5" s="1863"/>
      <c r="UKP5" s="1863"/>
      <c r="UKQ5" s="1863"/>
      <c r="UKR5" s="1863"/>
      <c r="UKS5" s="1863"/>
      <c r="UKT5" s="1863"/>
      <c r="UKU5" s="1863"/>
      <c r="UKV5" s="1863"/>
      <c r="UKW5" s="1863"/>
      <c r="UKX5" s="1863"/>
      <c r="UKY5" s="1863"/>
      <c r="UKZ5" s="1863"/>
      <c r="ULA5" s="1863"/>
      <c r="ULB5" s="1863"/>
      <c r="ULC5" s="1863"/>
      <c r="ULD5" s="1863"/>
      <c r="ULE5" s="1863"/>
      <c r="ULF5" s="1863"/>
      <c r="ULG5" s="1863"/>
      <c r="ULH5" s="1863"/>
      <c r="ULI5" s="1863"/>
      <c r="ULJ5" s="1863"/>
      <c r="ULK5" s="1863"/>
      <c r="ULL5" s="1863"/>
      <c r="ULM5" s="1863"/>
      <c r="ULN5" s="1863"/>
      <c r="ULO5" s="1863"/>
      <c r="ULP5" s="1863"/>
      <c r="ULQ5" s="1863"/>
      <c r="ULR5" s="1863"/>
      <c r="ULS5" s="1863"/>
      <c r="ULT5" s="1863"/>
      <c r="ULU5" s="1863"/>
      <c r="ULV5" s="1863"/>
      <c r="ULW5" s="1863"/>
      <c r="ULX5" s="1863"/>
      <c r="ULY5" s="1863"/>
      <c r="ULZ5" s="1863"/>
      <c r="UMA5" s="1863"/>
      <c r="UMB5" s="1863"/>
      <c r="UMC5" s="1863"/>
      <c r="UMD5" s="1863"/>
      <c r="UME5" s="1863"/>
      <c r="UMF5" s="1863"/>
      <c r="UMG5" s="1863"/>
      <c r="UMH5" s="1863"/>
      <c r="UMI5" s="1863"/>
      <c r="UMJ5" s="1863"/>
      <c r="UMK5" s="1863"/>
      <c r="UML5" s="1863"/>
      <c r="UMM5" s="1863"/>
      <c r="UMN5" s="1863"/>
      <c r="UMO5" s="1863"/>
      <c r="UMP5" s="1863"/>
      <c r="UMQ5" s="1863"/>
      <c r="UMR5" s="1863"/>
      <c r="UMS5" s="1863"/>
      <c r="UMT5" s="1863"/>
      <c r="UMU5" s="1863"/>
      <c r="UMV5" s="1863"/>
      <c r="UMW5" s="1863"/>
      <c r="UMX5" s="1863"/>
      <c r="UMY5" s="1863"/>
      <c r="UMZ5" s="1863"/>
      <c r="UNA5" s="1863"/>
      <c r="UNB5" s="1863"/>
      <c r="UNC5" s="1863"/>
      <c r="UND5" s="1863"/>
      <c r="UNE5" s="1863"/>
      <c r="UNF5" s="1863"/>
      <c r="UNG5" s="1863"/>
      <c r="UNH5" s="1863"/>
      <c r="UNI5" s="1863"/>
      <c r="UNJ5" s="1863"/>
      <c r="UNK5" s="1863"/>
      <c r="UNL5" s="1863"/>
      <c r="UNM5" s="1863"/>
      <c r="UNN5" s="1863"/>
      <c r="UNO5" s="1863"/>
      <c r="UNP5" s="1863"/>
      <c r="UNQ5" s="1863"/>
      <c r="UNR5" s="1863"/>
      <c r="UNS5" s="1863"/>
      <c r="UNT5" s="1863"/>
      <c r="UNU5" s="1863"/>
      <c r="UNV5" s="1863"/>
      <c r="UNW5" s="1863"/>
      <c r="UNX5" s="1863"/>
      <c r="UNY5" s="1863"/>
      <c r="UNZ5" s="1863"/>
      <c r="UOA5" s="1863"/>
      <c r="UOB5" s="1863"/>
      <c r="UOC5" s="1863"/>
      <c r="UOD5" s="1863"/>
      <c r="UOE5" s="1863"/>
      <c r="UOF5" s="1863"/>
      <c r="UOG5" s="1863"/>
      <c r="UOH5" s="1863"/>
      <c r="UOI5" s="1863"/>
      <c r="UOJ5" s="1863"/>
      <c r="UOK5" s="1863"/>
      <c r="UOL5" s="1863"/>
      <c r="UOM5" s="1863"/>
      <c r="UON5" s="1863"/>
      <c r="UOO5" s="1863"/>
      <c r="UOP5" s="1863"/>
      <c r="UOQ5" s="1863"/>
      <c r="UOR5" s="1863"/>
      <c r="UOS5" s="1863"/>
      <c r="UOT5" s="1863"/>
      <c r="UOU5" s="1863"/>
      <c r="UOV5" s="1863"/>
      <c r="UOW5" s="1863"/>
      <c r="UOX5" s="1863"/>
      <c r="UOY5" s="1863"/>
      <c r="UOZ5" s="1863"/>
      <c r="UPA5" s="1863"/>
      <c r="UPB5" s="1863"/>
      <c r="UPC5" s="1863"/>
      <c r="UPD5" s="1863"/>
      <c r="UPE5" s="1863"/>
      <c r="UPF5" s="1863"/>
      <c r="UPG5" s="1863"/>
      <c r="UPH5" s="1863"/>
      <c r="UPI5" s="1863"/>
      <c r="UPJ5" s="1863"/>
      <c r="UPK5" s="1863"/>
      <c r="UPL5" s="1863"/>
      <c r="UPM5" s="1863"/>
      <c r="UPN5" s="1863"/>
      <c r="UPO5" s="1863"/>
      <c r="UPP5" s="1863"/>
      <c r="UPQ5" s="1863"/>
      <c r="UPR5" s="1863"/>
      <c r="UPS5" s="1863"/>
      <c r="UPT5" s="1863"/>
      <c r="UPU5" s="1863"/>
      <c r="UPV5" s="1863"/>
      <c r="UPW5" s="1863"/>
      <c r="UPX5" s="1863"/>
      <c r="UPY5" s="1863"/>
      <c r="UPZ5" s="1863"/>
      <c r="UQA5" s="1863"/>
      <c r="UQB5" s="1863"/>
      <c r="UQC5" s="1863"/>
      <c r="UQD5" s="1863"/>
      <c r="UQE5" s="1863"/>
      <c r="UQF5" s="1863"/>
      <c r="UQG5" s="1863"/>
      <c r="UQH5" s="1863"/>
      <c r="UQI5" s="1863"/>
      <c r="UQJ5" s="1863"/>
      <c r="UQK5" s="1863"/>
      <c r="UQL5" s="1863"/>
      <c r="UQM5" s="1863"/>
      <c r="UQN5" s="1863"/>
      <c r="UQO5" s="1863"/>
      <c r="UQP5" s="1863"/>
      <c r="UQQ5" s="1863"/>
      <c r="UQR5" s="1863"/>
      <c r="UQS5" s="1863"/>
      <c r="UQT5" s="1863"/>
      <c r="UQU5" s="1863"/>
      <c r="UQV5" s="1863"/>
      <c r="UQW5" s="1863"/>
      <c r="UQX5" s="1863"/>
      <c r="UQY5" s="1863"/>
      <c r="UQZ5" s="1863"/>
      <c r="URA5" s="1863"/>
      <c r="URB5" s="1863"/>
      <c r="URC5" s="1863"/>
      <c r="URD5" s="1863"/>
      <c r="URE5" s="1863"/>
      <c r="URF5" s="1863"/>
      <c r="URG5" s="1863"/>
      <c r="URH5" s="1863"/>
      <c r="URI5" s="1863"/>
      <c r="URJ5" s="1863"/>
      <c r="URK5" s="1863"/>
      <c r="URL5" s="1863"/>
      <c r="URM5" s="1863"/>
      <c r="URN5" s="1863"/>
      <c r="URO5" s="1863"/>
      <c r="URP5" s="1863"/>
      <c r="URQ5" s="1863"/>
      <c r="URR5" s="1863"/>
      <c r="URS5" s="1863"/>
      <c r="URT5" s="1863"/>
      <c r="URU5" s="1863"/>
      <c r="URV5" s="1863"/>
      <c r="URW5" s="1863"/>
      <c r="URX5" s="1863"/>
      <c r="URY5" s="1863"/>
      <c r="URZ5" s="1863"/>
      <c r="USA5" s="1863"/>
      <c r="USB5" s="1863"/>
      <c r="USC5" s="1863"/>
      <c r="USD5" s="1863"/>
      <c r="USE5" s="1863"/>
      <c r="USF5" s="1863"/>
      <c r="USG5" s="1863"/>
      <c r="USH5" s="1863"/>
      <c r="USI5" s="1863"/>
      <c r="USJ5" s="1863"/>
      <c r="USK5" s="1863"/>
      <c r="USL5" s="1863"/>
      <c r="USM5" s="1863"/>
      <c r="USN5" s="1863"/>
      <c r="USO5" s="1863"/>
      <c r="USP5" s="1863"/>
      <c r="USQ5" s="1863"/>
      <c r="USR5" s="1863"/>
      <c r="USS5" s="1863"/>
      <c r="UST5" s="1863"/>
      <c r="USU5" s="1863"/>
      <c r="USV5" s="1863"/>
      <c r="USW5" s="1863"/>
      <c r="USX5" s="1863"/>
      <c r="USY5" s="1863"/>
      <c r="USZ5" s="1863"/>
      <c r="UTA5" s="1863"/>
      <c r="UTB5" s="1863"/>
      <c r="UTC5" s="1863"/>
      <c r="UTD5" s="1863"/>
      <c r="UTE5" s="1863"/>
      <c r="UTF5" s="1863"/>
      <c r="UTG5" s="1863"/>
      <c r="UTH5" s="1863"/>
      <c r="UTI5" s="1863"/>
      <c r="UTJ5" s="1863"/>
      <c r="UTK5" s="1863"/>
      <c r="UTL5" s="1863"/>
      <c r="UTM5" s="1863"/>
      <c r="UTN5" s="1863"/>
      <c r="UTO5" s="1863"/>
      <c r="UTP5" s="1863"/>
      <c r="UTQ5" s="1863"/>
      <c r="UTR5" s="1863"/>
      <c r="UTS5" s="1863"/>
      <c r="UTT5" s="1863"/>
      <c r="UTU5" s="1863"/>
      <c r="UTV5" s="1863"/>
      <c r="UTW5" s="1863"/>
      <c r="UTX5" s="1863"/>
      <c r="UTY5" s="1863"/>
      <c r="UTZ5" s="1863"/>
      <c r="UUA5" s="1863"/>
      <c r="UUB5" s="1863"/>
      <c r="UUC5" s="1863"/>
      <c r="UUD5" s="1863"/>
      <c r="UUE5" s="1863"/>
      <c r="UUF5" s="1863"/>
      <c r="UUG5" s="1863"/>
      <c r="UUH5" s="1863"/>
      <c r="UUI5" s="1863"/>
      <c r="UUJ5" s="1863"/>
      <c r="UUK5" s="1863"/>
      <c r="UUL5" s="1863"/>
      <c r="UUM5" s="1863"/>
      <c r="UUN5" s="1863"/>
      <c r="UUO5" s="1863"/>
      <c r="UUP5" s="1863"/>
      <c r="UUQ5" s="1863"/>
      <c r="UUR5" s="1863"/>
      <c r="UUS5" s="1863"/>
      <c r="UUT5" s="1863"/>
      <c r="UUU5" s="1863"/>
      <c r="UUV5" s="1863"/>
      <c r="UUW5" s="1863"/>
      <c r="UUX5" s="1863"/>
      <c r="UUY5" s="1863"/>
      <c r="UUZ5" s="1863"/>
      <c r="UVA5" s="1863"/>
      <c r="UVB5" s="1863"/>
      <c r="UVC5" s="1863"/>
      <c r="UVD5" s="1863"/>
      <c r="UVE5" s="1863"/>
      <c r="UVF5" s="1863"/>
      <c r="UVG5" s="1863"/>
      <c r="UVH5" s="1863"/>
      <c r="UVI5" s="1863"/>
      <c r="UVJ5" s="1863"/>
      <c r="UVK5" s="1863"/>
      <c r="UVL5" s="1863"/>
      <c r="UVM5" s="1863"/>
      <c r="UVN5" s="1863"/>
      <c r="UVO5" s="1863"/>
      <c r="UVP5" s="1863"/>
      <c r="UVQ5" s="1863"/>
      <c r="UVR5" s="1863"/>
      <c r="UVS5" s="1863"/>
      <c r="UVT5" s="1863"/>
      <c r="UVU5" s="1863"/>
      <c r="UVV5" s="1863"/>
      <c r="UVW5" s="1863"/>
      <c r="UVX5" s="1863"/>
      <c r="UVY5" s="1863"/>
      <c r="UVZ5" s="1863"/>
      <c r="UWA5" s="1863"/>
      <c r="UWB5" s="1863"/>
      <c r="UWC5" s="1863"/>
      <c r="UWD5" s="1863"/>
      <c r="UWE5" s="1863"/>
      <c r="UWF5" s="1863"/>
      <c r="UWG5" s="1863"/>
      <c r="UWH5" s="1863"/>
      <c r="UWI5" s="1863"/>
      <c r="UWJ5" s="1863"/>
      <c r="UWK5" s="1863"/>
      <c r="UWL5" s="1863"/>
      <c r="UWM5" s="1863"/>
      <c r="UWN5" s="1863"/>
      <c r="UWO5" s="1863"/>
      <c r="UWP5" s="1863"/>
      <c r="UWQ5" s="1863"/>
      <c r="UWR5" s="1863"/>
      <c r="UWS5" s="1863"/>
      <c r="UWT5" s="1863"/>
      <c r="UWU5" s="1863"/>
      <c r="UWV5" s="1863"/>
      <c r="UWW5" s="1863"/>
      <c r="UWX5" s="1863"/>
      <c r="UWY5" s="1863"/>
      <c r="UWZ5" s="1863"/>
      <c r="UXA5" s="1863"/>
      <c r="UXB5" s="1863"/>
      <c r="UXC5" s="1863"/>
      <c r="UXD5" s="1863"/>
      <c r="UXE5" s="1863"/>
      <c r="UXF5" s="1863"/>
      <c r="UXG5" s="1863"/>
      <c r="UXH5" s="1863"/>
      <c r="UXI5" s="1863"/>
      <c r="UXJ5" s="1863"/>
      <c r="UXK5" s="1863"/>
      <c r="UXL5" s="1863"/>
      <c r="UXM5" s="1863"/>
      <c r="UXN5" s="1863"/>
      <c r="UXO5" s="1863"/>
      <c r="UXP5" s="1863"/>
      <c r="UXQ5" s="1863"/>
      <c r="UXR5" s="1863"/>
      <c r="UXS5" s="1863"/>
      <c r="UXT5" s="1863"/>
      <c r="UXU5" s="1863"/>
      <c r="UXV5" s="1863"/>
      <c r="UXW5" s="1863"/>
      <c r="UXX5" s="1863"/>
      <c r="UXY5" s="1863"/>
      <c r="UXZ5" s="1863"/>
      <c r="UYA5" s="1863"/>
      <c r="UYB5" s="1863"/>
      <c r="UYC5" s="1863"/>
      <c r="UYD5" s="1863"/>
      <c r="UYE5" s="1863"/>
      <c r="UYF5" s="1863"/>
      <c r="UYG5" s="1863"/>
      <c r="UYH5" s="1863"/>
      <c r="UYI5" s="1863"/>
      <c r="UYJ5" s="1863"/>
      <c r="UYK5" s="1863"/>
      <c r="UYL5" s="1863"/>
      <c r="UYM5" s="1863"/>
      <c r="UYN5" s="1863"/>
      <c r="UYO5" s="1863"/>
      <c r="UYP5" s="1863"/>
      <c r="UYQ5" s="1863"/>
      <c r="UYR5" s="1863"/>
      <c r="UYS5" s="1863"/>
      <c r="UYT5" s="1863"/>
      <c r="UYU5" s="1863"/>
      <c r="UYV5" s="1863"/>
      <c r="UYW5" s="1863"/>
      <c r="UYX5" s="1863"/>
      <c r="UYY5" s="1863"/>
      <c r="UYZ5" s="1863"/>
      <c r="UZA5" s="1863"/>
      <c r="UZB5" s="1863"/>
      <c r="UZC5" s="1863"/>
      <c r="UZD5" s="1863"/>
      <c r="UZE5" s="1863"/>
      <c r="UZF5" s="1863"/>
      <c r="UZG5" s="1863"/>
      <c r="UZH5" s="1863"/>
      <c r="UZI5" s="1863"/>
      <c r="UZJ5" s="1863"/>
      <c r="UZK5" s="1863"/>
      <c r="UZL5" s="1863"/>
      <c r="UZM5" s="1863"/>
      <c r="UZN5" s="1863"/>
      <c r="UZO5" s="1863"/>
      <c r="UZP5" s="1863"/>
      <c r="UZQ5" s="1863"/>
      <c r="UZR5" s="1863"/>
      <c r="UZS5" s="1863"/>
      <c r="UZT5" s="1863"/>
      <c r="UZU5" s="1863"/>
      <c r="UZV5" s="1863"/>
      <c r="UZW5" s="1863"/>
      <c r="UZX5" s="1863"/>
      <c r="UZY5" s="1863"/>
      <c r="UZZ5" s="1863"/>
      <c r="VAA5" s="1863"/>
      <c r="VAB5" s="1863"/>
      <c r="VAC5" s="1863"/>
      <c r="VAD5" s="1863"/>
      <c r="VAE5" s="1863"/>
      <c r="VAF5" s="1863"/>
      <c r="VAG5" s="1863"/>
      <c r="VAH5" s="1863"/>
      <c r="VAI5" s="1863"/>
      <c r="VAJ5" s="1863"/>
      <c r="VAK5" s="1863"/>
      <c r="VAL5" s="1863"/>
      <c r="VAM5" s="1863"/>
      <c r="VAN5" s="1863"/>
      <c r="VAO5" s="1863"/>
      <c r="VAP5" s="1863"/>
      <c r="VAQ5" s="1863"/>
      <c r="VAR5" s="1863"/>
      <c r="VAS5" s="1863"/>
      <c r="VAT5" s="1863"/>
      <c r="VAU5" s="1863"/>
      <c r="VAV5" s="1863"/>
      <c r="VAW5" s="1863"/>
      <c r="VAX5" s="1863"/>
      <c r="VAY5" s="1863"/>
      <c r="VAZ5" s="1863"/>
      <c r="VBA5" s="1863"/>
      <c r="VBB5" s="1863"/>
      <c r="VBC5" s="1863"/>
      <c r="VBD5" s="1863"/>
      <c r="VBE5" s="1863"/>
      <c r="VBF5" s="1863"/>
      <c r="VBG5" s="1863"/>
      <c r="VBH5" s="1863"/>
      <c r="VBI5" s="1863"/>
      <c r="VBJ5" s="1863"/>
      <c r="VBK5" s="1863"/>
      <c r="VBL5" s="1863"/>
      <c r="VBM5" s="1863"/>
      <c r="VBN5" s="1863"/>
      <c r="VBO5" s="1863"/>
      <c r="VBP5" s="1863"/>
      <c r="VBQ5" s="1863"/>
      <c r="VBR5" s="1863"/>
      <c r="VBS5" s="1863"/>
      <c r="VBT5" s="1863"/>
      <c r="VBU5" s="1863"/>
      <c r="VBV5" s="1863"/>
      <c r="VBW5" s="1863"/>
      <c r="VBX5" s="1863"/>
      <c r="VBY5" s="1863"/>
      <c r="VBZ5" s="1863"/>
      <c r="VCA5" s="1863"/>
      <c r="VCB5" s="1863"/>
      <c r="VCC5" s="1863"/>
      <c r="VCD5" s="1863"/>
      <c r="VCE5" s="1863"/>
      <c r="VCF5" s="1863"/>
      <c r="VCG5" s="1863"/>
      <c r="VCH5" s="1863"/>
      <c r="VCI5" s="1863"/>
      <c r="VCJ5" s="1863"/>
      <c r="VCK5" s="1863"/>
      <c r="VCL5" s="1863"/>
      <c r="VCM5" s="1863"/>
      <c r="VCN5" s="1863"/>
      <c r="VCO5" s="1863"/>
      <c r="VCP5" s="1863"/>
      <c r="VCQ5" s="1863"/>
      <c r="VCR5" s="1863"/>
      <c r="VCS5" s="1863"/>
      <c r="VCT5" s="1863"/>
      <c r="VCU5" s="1863"/>
      <c r="VCV5" s="1863"/>
      <c r="VCW5" s="1863"/>
      <c r="VCX5" s="1863"/>
      <c r="VCY5" s="1863"/>
      <c r="VCZ5" s="1863"/>
      <c r="VDA5" s="1863"/>
      <c r="VDB5" s="1863"/>
      <c r="VDC5" s="1863"/>
      <c r="VDD5" s="1863"/>
      <c r="VDE5" s="1863"/>
      <c r="VDF5" s="1863"/>
      <c r="VDG5" s="1863"/>
      <c r="VDH5" s="1863"/>
      <c r="VDI5" s="1863"/>
      <c r="VDJ5" s="1863"/>
      <c r="VDK5" s="1863"/>
      <c r="VDL5" s="1863"/>
      <c r="VDM5" s="1863"/>
      <c r="VDN5" s="1863"/>
      <c r="VDO5" s="1863"/>
      <c r="VDP5" s="1863"/>
      <c r="VDQ5" s="1863"/>
      <c r="VDR5" s="1863"/>
      <c r="VDS5" s="1863"/>
      <c r="VDT5" s="1863"/>
      <c r="VDU5" s="1863"/>
      <c r="VDV5" s="1863"/>
      <c r="VDW5" s="1863"/>
      <c r="VDX5" s="1863"/>
      <c r="VDY5" s="1863"/>
      <c r="VDZ5" s="1863"/>
      <c r="VEA5" s="1863"/>
      <c r="VEB5" s="1863"/>
      <c r="VEC5" s="1863"/>
      <c r="VED5" s="1863"/>
      <c r="VEE5" s="1863"/>
      <c r="VEF5" s="1863"/>
      <c r="VEG5" s="1863"/>
      <c r="VEH5" s="1863"/>
      <c r="VEI5" s="1863"/>
      <c r="VEJ5" s="1863"/>
      <c r="VEK5" s="1863"/>
      <c r="VEL5" s="1863"/>
      <c r="VEM5" s="1863"/>
      <c r="VEN5" s="1863"/>
      <c r="VEO5" s="1863"/>
      <c r="VEP5" s="1863"/>
      <c r="VEQ5" s="1863"/>
      <c r="VER5" s="1863"/>
      <c r="VES5" s="1863"/>
      <c r="VET5" s="1863"/>
      <c r="VEU5" s="1863"/>
      <c r="VEV5" s="1863"/>
      <c r="VEW5" s="1863"/>
      <c r="VEX5" s="1863"/>
      <c r="VEY5" s="1863"/>
      <c r="VEZ5" s="1863"/>
      <c r="VFA5" s="1863"/>
      <c r="VFB5" s="1863"/>
      <c r="VFC5" s="1863"/>
      <c r="VFD5" s="1863"/>
      <c r="VFE5" s="1863"/>
      <c r="VFF5" s="1863"/>
      <c r="VFG5" s="1863"/>
      <c r="VFH5" s="1863"/>
      <c r="VFI5" s="1863"/>
      <c r="VFJ5" s="1863"/>
      <c r="VFK5" s="1863"/>
      <c r="VFL5" s="1863"/>
      <c r="VFM5" s="1863"/>
      <c r="VFN5" s="1863"/>
      <c r="VFO5" s="1863"/>
      <c r="VFP5" s="1863"/>
      <c r="VFQ5" s="1863"/>
      <c r="VFR5" s="1863"/>
      <c r="VFS5" s="1863"/>
      <c r="VFT5" s="1863"/>
      <c r="VFU5" s="1863"/>
      <c r="VFV5" s="1863"/>
      <c r="VFW5" s="1863"/>
      <c r="VFX5" s="1863"/>
      <c r="VFY5" s="1863"/>
      <c r="VFZ5" s="1863"/>
      <c r="VGA5" s="1863"/>
      <c r="VGB5" s="1863"/>
      <c r="VGC5" s="1863"/>
      <c r="VGD5" s="1863"/>
      <c r="VGE5" s="1863"/>
      <c r="VGF5" s="1863"/>
      <c r="VGG5" s="1863"/>
      <c r="VGH5" s="1863"/>
      <c r="VGI5" s="1863"/>
      <c r="VGJ5" s="1863"/>
      <c r="VGK5" s="1863"/>
      <c r="VGL5" s="1863"/>
      <c r="VGM5" s="1863"/>
      <c r="VGN5" s="1863"/>
      <c r="VGO5" s="1863"/>
      <c r="VGP5" s="1863"/>
      <c r="VGQ5" s="1863"/>
      <c r="VGR5" s="1863"/>
      <c r="VGS5" s="1863"/>
      <c r="VGT5" s="1863"/>
      <c r="VGU5" s="1863"/>
      <c r="VGV5" s="1863"/>
      <c r="VGW5" s="1863"/>
      <c r="VGX5" s="1863"/>
      <c r="VGY5" s="1863"/>
      <c r="VGZ5" s="1863"/>
      <c r="VHA5" s="1863"/>
      <c r="VHB5" s="1863"/>
      <c r="VHC5" s="1863"/>
      <c r="VHD5" s="1863"/>
      <c r="VHE5" s="1863"/>
      <c r="VHF5" s="1863"/>
      <c r="VHG5" s="1863"/>
      <c r="VHH5" s="1863"/>
      <c r="VHI5" s="1863"/>
      <c r="VHJ5" s="1863"/>
      <c r="VHK5" s="1863"/>
      <c r="VHL5" s="1863"/>
      <c r="VHM5" s="1863"/>
      <c r="VHN5" s="1863"/>
      <c r="VHO5" s="1863"/>
      <c r="VHP5" s="1863"/>
      <c r="VHQ5" s="1863"/>
      <c r="VHR5" s="1863"/>
      <c r="VHS5" s="1863"/>
      <c r="VHT5" s="1863"/>
      <c r="VHU5" s="1863"/>
      <c r="VHV5" s="1863"/>
      <c r="VHW5" s="1863"/>
      <c r="VHX5" s="1863"/>
      <c r="VHY5" s="1863"/>
      <c r="VHZ5" s="1863"/>
      <c r="VIA5" s="1863"/>
      <c r="VIB5" s="1863"/>
      <c r="VIC5" s="1863"/>
      <c r="VID5" s="1863"/>
      <c r="VIE5" s="1863"/>
      <c r="VIF5" s="1863"/>
      <c r="VIG5" s="1863"/>
      <c r="VIH5" s="1863"/>
      <c r="VII5" s="1863"/>
      <c r="VIJ5" s="1863"/>
      <c r="VIK5" s="1863"/>
      <c r="VIL5" s="1863"/>
      <c r="VIM5" s="1863"/>
      <c r="VIN5" s="1863"/>
      <c r="VIO5" s="1863"/>
      <c r="VIP5" s="1863"/>
      <c r="VIQ5" s="1863"/>
      <c r="VIR5" s="1863"/>
      <c r="VIS5" s="1863"/>
      <c r="VIT5" s="1863"/>
      <c r="VIU5" s="1863"/>
      <c r="VIV5" s="1863"/>
      <c r="VIW5" s="1863"/>
      <c r="VIX5" s="1863"/>
      <c r="VIY5" s="1863"/>
      <c r="VIZ5" s="1863"/>
      <c r="VJA5" s="1863"/>
      <c r="VJB5" s="1863"/>
      <c r="VJC5" s="1863"/>
      <c r="VJD5" s="1863"/>
      <c r="VJE5" s="1863"/>
      <c r="VJF5" s="1863"/>
      <c r="VJG5" s="1863"/>
      <c r="VJH5" s="1863"/>
      <c r="VJI5" s="1863"/>
      <c r="VJJ5" s="1863"/>
      <c r="VJK5" s="1863"/>
      <c r="VJL5" s="1863"/>
      <c r="VJM5" s="1863"/>
      <c r="VJN5" s="1863"/>
      <c r="VJO5" s="1863"/>
      <c r="VJP5" s="1863"/>
      <c r="VJQ5" s="1863"/>
      <c r="VJR5" s="1863"/>
      <c r="VJS5" s="1863"/>
      <c r="VJT5" s="1863"/>
      <c r="VJU5" s="1863"/>
      <c r="VJV5" s="1863"/>
      <c r="VJW5" s="1863"/>
      <c r="VJX5" s="1863"/>
      <c r="VJY5" s="1863"/>
      <c r="VJZ5" s="1863"/>
      <c r="VKA5" s="1863"/>
      <c r="VKB5" s="1863"/>
      <c r="VKC5" s="1863"/>
      <c r="VKD5" s="1863"/>
      <c r="VKE5" s="1863"/>
      <c r="VKF5" s="1863"/>
      <c r="VKG5" s="1863"/>
      <c r="VKH5" s="1863"/>
      <c r="VKI5" s="1863"/>
      <c r="VKJ5" s="1863"/>
      <c r="VKK5" s="1863"/>
      <c r="VKL5" s="1863"/>
      <c r="VKM5" s="1863"/>
      <c r="VKN5" s="1863"/>
      <c r="VKO5" s="1863"/>
      <c r="VKP5" s="1863"/>
      <c r="VKQ5" s="1863"/>
      <c r="VKR5" s="1863"/>
      <c r="VKS5" s="1863"/>
      <c r="VKT5" s="1863"/>
      <c r="VKU5" s="1863"/>
      <c r="VKV5" s="1863"/>
      <c r="VKW5" s="1863"/>
      <c r="VKX5" s="1863"/>
      <c r="VKY5" s="1863"/>
      <c r="VKZ5" s="1863"/>
      <c r="VLA5" s="1863"/>
      <c r="VLB5" s="1863"/>
      <c r="VLC5" s="1863"/>
      <c r="VLD5" s="1863"/>
      <c r="VLE5" s="1863"/>
      <c r="VLF5" s="1863"/>
      <c r="VLG5" s="1863"/>
      <c r="VLH5" s="1863"/>
      <c r="VLI5" s="1863"/>
      <c r="VLJ5" s="1863"/>
      <c r="VLK5" s="1863"/>
      <c r="VLL5" s="1863"/>
      <c r="VLM5" s="1863"/>
      <c r="VLN5" s="1863"/>
      <c r="VLO5" s="1863"/>
      <c r="VLP5" s="1863"/>
      <c r="VLQ5" s="1863"/>
      <c r="VLR5" s="1863"/>
      <c r="VLS5" s="1863"/>
      <c r="VLT5" s="1863"/>
      <c r="VLU5" s="1863"/>
      <c r="VLV5" s="1863"/>
      <c r="VLW5" s="1863"/>
      <c r="VLX5" s="1863"/>
      <c r="VLY5" s="1863"/>
      <c r="VLZ5" s="1863"/>
      <c r="VMA5" s="1863"/>
      <c r="VMB5" s="1863"/>
      <c r="VMC5" s="1863"/>
      <c r="VMD5" s="1863"/>
      <c r="VME5" s="1863"/>
      <c r="VMF5" s="1863"/>
      <c r="VMG5" s="1863"/>
      <c r="VMH5" s="1863"/>
      <c r="VMI5" s="1863"/>
      <c r="VMJ5" s="1863"/>
      <c r="VMK5" s="1863"/>
      <c r="VML5" s="1863"/>
      <c r="VMM5" s="1863"/>
      <c r="VMN5" s="1863"/>
      <c r="VMO5" s="1863"/>
      <c r="VMP5" s="1863"/>
      <c r="VMQ5" s="1863"/>
      <c r="VMR5" s="1863"/>
      <c r="VMS5" s="1863"/>
      <c r="VMT5" s="1863"/>
      <c r="VMU5" s="1863"/>
      <c r="VMV5" s="1863"/>
      <c r="VMW5" s="1863"/>
      <c r="VMX5" s="1863"/>
      <c r="VMY5" s="1863"/>
      <c r="VMZ5" s="1863"/>
      <c r="VNA5" s="1863"/>
      <c r="VNB5" s="1863"/>
      <c r="VNC5" s="1863"/>
      <c r="VND5" s="1863"/>
      <c r="VNE5" s="1863"/>
      <c r="VNF5" s="1863"/>
      <c r="VNG5" s="1863"/>
      <c r="VNH5" s="1863"/>
      <c r="VNI5" s="1863"/>
      <c r="VNJ5" s="1863"/>
      <c r="VNK5" s="1863"/>
      <c r="VNL5" s="1863"/>
      <c r="VNM5" s="1863"/>
      <c r="VNN5" s="1863"/>
      <c r="VNO5" s="1863"/>
      <c r="VNP5" s="1863"/>
      <c r="VNQ5" s="1863"/>
      <c r="VNR5" s="1863"/>
      <c r="VNS5" s="1863"/>
      <c r="VNT5" s="1863"/>
      <c r="VNU5" s="1863"/>
      <c r="VNV5" s="1863"/>
      <c r="VNW5" s="1863"/>
      <c r="VNX5" s="1863"/>
      <c r="VNY5" s="1863"/>
      <c r="VNZ5" s="1863"/>
      <c r="VOA5" s="1863"/>
      <c r="VOB5" s="1863"/>
      <c r="VOC5" s="1863"/>
      <c r="VOD5" s="1863"/>
      <c r="VOE5" s="1863"/>
      <c r="VOF5" s="1863"/>
      <c r="VOG5" s="1863"/>
      <c r="VOH5" s="1863"/>
      <c r="VOI5" s="1863"/>
      <c r="VOJ5" s="1863"/>
      <c r="VOK5" s="1863"/>
      <c r="VOL5" s="1863"/>
      <c r="VOM5" s="1863"/>
      <c r="VON5" s="1863"/>
      <c r="VOO5" s="1863"/>
      <c r="VOP5" s="1863"/>
      <c r="VOQ5" s="1863"/>
      <c r="VOR5" s="1863"/>
      <c r="VOS5" s="1863"/>
      <c r="VOT5" s="1863"/>
      <c r="VOU5" s="1863"/>
      <c r="VOV5" s="1863"/>
      <c r="VOW5" s="1863"/>
      <c r="VOX5" s="1863"/>
      <c r="VOY5" s="1863"/>
      <c r="VOZ5" s="1863"/>
      <c r="VPA5" s="1863"/>
      <c r="VPB5" s="1863"/>
      <c r="VPC5" s="1863"/>
      <c r="VPD5" s="1863"/>
      <c r="VPE5" s="1863"/>
      <c r="VPF5" s="1863"/>
      <c r="VPG5" s="1863"/>
      <c r="VPH5" s="1863"/>
      <c r="VPI5" s="1863"/>
      <c r="VPJ5" s="1863"/>
      <c r="VPK5" s="1863"/>
      <c r="VPL5" s="1863"/>
      <c r="VPM5" s="1863"/>
      <c r="VPN5" s="1863"/>
      <c r="VPO5" s="1863"/>
      <c r="VPP5" s="1863"/>
      <c r="VPQ5" s="1863"/>
      <c r="VPR5" s="1863"/>
      <c r="VPS5" s="1863"/>
      <c r="VPT5" s="1863"/>
      <c r="VPU5" s="1863"/>
      <c r="VPV5" s="1863"/>
      <c r="VPW5" s="1863"/>
      <c r="VPX5" s="1863"/>
      <c r="VPY5" s="1863"/>
      <c r="VPZ5" s="1863"/>
      <c r="VQA5" s="1863"/>
      <c r="VQB5" s="1863"/>
      <c r="VQC5" s="1863"/>
      <c r="VQD5" s="1863"/>
      <c r="VQE5" s="1863"/>
      <c r="VQF5" s="1863"/>
      <c r="VQG5" s="1863"/>
      <c r="VQH5" s="1863"/>
      <c r="VQI5" s="1863"/>
      <c r="VQJ5" s="1863"/>
      <c r="VQK5" s="1863"/>
      <c r="VQL5" s="1863"/>
      <c r="VQM5" s="1863"/>
      <c r="VQN5" s="1863"/>
      <c r="VQO5" s="1863"/>
      <c r="VQP5" s="1863"/>
      <c r="VQQ5" s="1863"/>
      <c r="VQR5" s="1863"/>
      <c r="VQS5" s="1863"/>
      <c r="VQT5" s="1863"/>
      <c r="VQU5" s="1863"/>
      <c r="VQV5" s="1863"/>
      <c r="VQW5" s="1863"/>
      <c r="VQX5" s="1863"/>
      <c r="VQY5" s="1863"/>
      <c r="VQZ5" s="1863"/>
      <c r="VRA5" s="1863"/>
      <c r="VRB5" s="1863"/>
      <c r="VRC5" s="1863"/>
      <c r="VRD5" s="1863"/>
      <c r="VRE5" s="1863"/>
      <c r="VRF5" s="1863"/>
      <c r="VRG5" s="1863"/>
      <c r="VRH5" s="1863"/>
      <c r="VRI5" s="1863"/>
      <c r="VRJ5" s="1863"/>
      <c r="VRK5" s="1863"/>
      <c r="VRL5" s="1863"/>
      <c r="VRM5" s="1863"/>
      <c r="VRN5" s="1863"/>
      <c r="VRO5" s="1863"/>
      <c r="VRP5" s="1863"/>
      <c r="VRQ5" s="1863"/>
      <c r="VRR5" s="1863"/>
      <c r="VRS5" s="1863"/>
      <c r="VRT5" s="1863"/>
      <c r="VRU5" s="1863"/>
      <c r="VRV5" s="1863"/>
      <c r="VRW5" s="1863"/>
      <c r="VRX5" s="1863"/>
      <c r="VRY5" s="1863"/>
      <c r="VRZ5" s="1863"/>
      <c r="VSA5" s="1863"/>
      <c r="VSB5" s="1863"/>
      <c r="VSC5" s="1863"/>
      <c r="VSD5" s="1863"/>
      <c r="VSE5" s="1863"/>
      <c r="VSF5" s="1863"/>
      <c r="VSG5" s="1863"/>
      <c r="VSH5" s="1863"/>
      <c r="VSI5" s="1863"/>
      <c r="VSJ5" s="1863"/>
      <c r="VSK5" s="1863"/>
      <c r="VSL5" s="1863"/>
      <c r="VSM5" s="1863"/>
      <c r="VSN5" s="1863"/>
      <c r="VSO5" s="1863"/>
      <c r="VSP5" s="1863"/>
      <c r="VSQ5" s="1863"/>
      <c r="VSR5" s="1863"/>
      <c r="VSS5" s="1863"/>
      <c r="VST5" s="1863"/>
      <c r="VSU5" s="1863"/>
      <c r="VSV5" s="1863"/>
      <c r="VSW5" s="1863"/>
      <c r="VSX5" s="1863"/>
      <c r="VSY5" s="1863"/>
      <c r="VSZ5" s="1863"/>
      <c r="VTA5" s="1863"/>
      <c r="VTB5" s="1863"/>
      <c r="VTC5" s="1863"/>
      <c r="VTD5" s="1863"/>
      <c r="VTE5" s="1863"/>
      <c r="VTF5" s="1863"/>
      <c r="VTG5" s="1863"/>
      <c r="VTH5" s="1863"/>
      <c r="VTI5" s="1863"/>
      <c r="VTJ5" s="1863"/>
      <c r="VTK5" s="1863"/>
      <c r="VTL5" s="1863"/>
      <c r="VTM5" s="1863"/>
      <c r="VTN5" s="1863"/>
      <c r="VTO5" s="1863"/>
      <c r="VTP5" s="1863"/>
      <c r="VTQ5" s="1863"/>
      <c r="VTR5" s="1863"/>
      <c r="VTS5" s="1863"/>
      <c r="VTT5" s="1863"/>
      <c r="VTU5" s="1863"/>
      <c r="VTV5" s="1863"/>
      <c r="VTW5" s="1863"/>
      <c r="VTX5" s="1863"/>
      <c r="VTY5" s="1863"/>
      <c r="VTZ5" s="1863"/>
      <c r="VUA5" s="1863"/>
      <c r="VUB5" s="1863"/>
      <c r="VUC5" s="1863"/>
      <c r="VUD5" s="1863"/>
      <c r="VUE5" s="1863"/>
      <c r="VUF5" s="1863"/>
      <c r="VUG5" s="1863"/>
      <c r="VUH5" s="1863"/>
      <c r="VUI5" s="1863"/>
      <c r="VUJ5" s="1863"/>
      <c r="VUK5" s="1863"/>
      <c r="VUL5" s="1863"/>
      <c r="VUM5" s="1863"/>
      <c r="VUN5" s="1863"/>
      <c r="VUO5" s="1863"/>
      <c r="VUP5" s="1863"/>
      <c r="VUQ5" s="1863"/>
      <c r="VUR5" s="1863"/>
      <c r="VUS5" s="1863"/>
      <c r="VUT5" s="1863"/>
      <c r="VUU5" s="1863"/>
      <c r="VUV5" s="1863"/>
      <c r="VUW5" s="1863"/>
      <c r="VUX5" s="1863"/>
      <c r="VUY5" s="1863"/>
      <c r="VUZ5" s="1863"/>
      <c r="VVA5" s="1863"/>
      <c r="VVB5" s="1863"/>
      <c r="VVC5" s="1863"/>
      <c r="VVD5" s="1863"/>
      <c r="VVE5" s="1863"/>
      <c r="VVF5" s="1863"/>
      <c r="VVG5" s="1863"/>
      <c r="VVH5" s="1863"/>
      <c r="VVI5" s="1863"/>
      <c r="VVJ5" s="1863"/>
      <c r="VVK5" s="1863"/>
      <c r="VVL5" s="1863"/>
      <c r="VVM5" s="1863"/>
      <c r="VVN5" s="1863"/>
      <c r="VVO5" s="1863"/>
      <c r="VVP5" s="1863"/>
      <c r="VVQ5" s="1863"/>
      <c r="VVR5" s="1863"/>
      <c r="VVS5" s="1863"/>
      <c r="VVT5" s="1863"/>
      <c r="VVU5" s="1863"/>
      <c r="VVV5" s="1863"/>
      <c r="VVW5" s="1863"/>
      <c r="VVX5" s="1863"/>
      <c r="VVY5" s="1863"/>
      <c r="VVZ5" s="1863"/>
      <c r="VWA5" s="1863"/>
      <c r="VWB5" s="1863"/>
      <c r="VWC5" s="1863"/>
      <c r="VWD5" s="1863"/>
      <c r="VWE5" s="1863"/>
      <c r="VWF5" s="1863"/>
      <c r="VWG5" s="1863"/>
      <c r="VWH5" s="1863"/>
      <c r="VWI5" s="1863"/>
      <c r="VWJ5" s="1863"/>
      <c r="VWK5" s="1863"/>
      <c r="VWL5" s="1863"/>
      <c r="VWM5" s="1863"/>
      <c r="VWN5" s="1863"/>
      <c r="VWO5" s="1863"/>
      <c r="VWP5" s="1863"/>
      <c r="VWQ5" s="1863"/>
      <c r="VWR5" s="1863"/>
      <c r="VWS5" s="1863"/>
      <c r="VWT5" s="1863"/>
      <c r="VWU5" s="1863"/>
      <c r="VWV5" s="1863"/>
      <c r="VWW5" s="1863"/>
      <c r="VWX5" s="1863"/>
      <c r="VWY5" s="1863"/>
      <c r="VWZ5" s="1863"/>
      <c r="VXA5" s="1863"/>
      <c r="VXB5" s="1863"/>
      <c r="VXC5" s="1863"/>
      <c r="VXD5" s="1863"/>
      <c r="VXE5" s="1863"/>
      <c r="VXF5" s="1863"/>
      <c r="VXG5" s="1863"/>
      <c r="VXH5" s="1863"/>
      <c r="VXI5" s="1863"/>
      <c r="VXJ5" s="1863"/>
      <c r="VXK5" s="1863"/>
      <c r="VXL5" s="1863"/>
      <c r="VXM5" s="1863"/>
      <c r="VXN5" s="1863"/>
      <c r="VXO5" s="1863"/>
      <c r="VXP5" s="1863"/>
      <c r="VXQ5" s="1863"/>
      <c r="VXR5" s="1863"/>
      <c r="VXS5" s="1863"/>
      <c r="VXT5" s="1863"/>
      <c r="VXU5" s="1863"/>
      <c r="VXV5" s="1863"/>
      <c r="VXW5" s="1863"/>
      <c r="VXX5" s="1863"/>
      <c r="VXY5" s="1863"/>
      <c r="VXZ5" s="1863"/>
      <c r="VYA5" s="1863"/>
      <c r="VYB5" s="1863"/>
      <c r="VYC5" s="1863"/>
      <c r="VYD5" s="1863"/>
      <c r="VYE5" s="1863"/>
      <c r="VYF5" s="1863"/>
      <c r="VYG5" s="1863"/>
      <c r="VYH5" s="1863"/>
      <c r="VYI5" s="1863"/>
      <c r="VYJ5" s="1863"/>
      <c r="VYK5" s="1863"/>
      <c r="VYL5" s="1863"/>
      <c r="VYM5" s="1863"/>
      <c r="VYN5" s="1863"/>
      <c r="VYO5" s="1863"/>
      <c r="VYP5" s="1863"/>
      <c r="VYQ5" s="1863"/>
      <c r="VYR5" s="1863"/>
      <c r="VYS5" s="1863"/>
      <c r="VYT5" s="1863"/>
      <c r="VYU5" s="1863"/>
      <c r="VYV5" s="1863"/>
      <c r="VYW5" s="1863"/>
      <c r="VYX5" s="1863"/>
      <c r="VYY5" s="1863"/>
      <c r="VYZ5" s="1863"/>
      <c r="VZA5" s="1863"/>
      <c r="VZB5" s="1863"/>
      <c r="VZC5" s="1863"/>
      <c r="VZD5" s="1863"/>
      <c r="VZE5" s="1863"/>
      <c r="VZF5" s="1863"/>
      <c r="VZG5" s="1863"/>
      <c r="VZH5" s="1863"/>
      <c r="VZI5" s="1863"/>
      <c r="VZJ5" s="1863"/>
      <c r="VZK5" s="1863"/>
      <c r="VZL5" s="1863"/>
      <c r="VZM5" s="1863"/>
      <c r="VZN5" s="1863"/>
      <c r="VZO5" s="1863"/>
      <c r="VZP5" s="1863"/>
      <c r="VZQ5" s="1863"/>
      <c r="VZR5" s="1863"/>
      <c r="VZS5" s="1863"/>
      <c r="VZT5" s="1863"/>
      <c r="VZU5" s="1863"/>
      <c r="VZV5" s="1863"/>
      <c r="VZW5" s="1863"/>
      <c r="VZX5" s="1863"/>
      <c r="VZY5" s="1863"/>
      <c r="VZZ5" s="1863"/>
      <c r="WAA5" s="1863"/>
      <c r="WAB5" s="1863"/>
      <c r="WAC5" s="1863"/>
      <c r="WAD5" s="1863"/>
      <c r="WAE5" s="1863"/>
      <c r="WAF5" s="1863"/>
      <c r="WAG5" s="1863"/>
      <c r="WAH5" s="1863"/>
      <c r="WAI5" s="1863"/>
      <c r="WAJ5" s="1863"/>
      <c r="WAK5" s="1863"/>
      <c r="WAL5" s="1863"/>
      <c r="WAM5" s="1863"/>
      <c r="WAN5" s="1863"/>
      <c r="WAO5" s="1863"/>
      <c r="WAP5" s="1863"/>
      <c r="WAQ5" s="1863"/>
      <c r="WAR5" s="1863"/>
      <c r="WAS5" s="1863"/>
      <c r="WAT5" s="1863"/>
      <c r="WAU5" s="1863"/>
      <c r="WAV5" s="1863"/>
      <c r="WAW5" s="1863"/>
      <c r="WAX5" s="1863"/>
      <c r="WAY5" s="1863"/>
      <c r="WAZ5" s="1863"/>
      <c r="WBA5" s="1863"/>
      <c r="WBB5" s="1863"/>
      <c r="WBC5" s="1863"/>
      <c r="WBD5" s="1863"/>
      <c r="WBE5" s="1863"/>
      <c r="WBF5" s="1863"/>
      <c r="WBG5" s="1863"/>
      <c r="WBH5" s="1863"/>
      <c r="WBI5" s="1863"/>
      <c r="WBJ5" s="1863"/>
      <c r="WBK5" s="1863"/>
      <c r="WBL5" s="1863"/>
      <c r="WBM5" s="1863"/>
      <c r="WBN5" s="1863"/>
      <c r="WBO5" s="1863"/>
      <c r="WBP5" s="1863"/>
      <c r="WBQ5" s="1863"/>
      <c r="WBR5" s="1863"/>
      <c r="WBS5" s="1863"/>
      <c r="WBT5" s="1863"/>
      <c r="WBU5" s="1863"/>
      <c r="WBV5" s="1863"/>
      <c r="WBW5" s="1863"/>
      <c r="WBX5" s="1863"/>
      <c r="WBY5" s="1863"/>
      <c r="WBZ5" s="1863"/>
      <c r="WCA5" s="1863"/>
      <c r="WCB5" s="1863"/>
      <c r="WCC5" s="1863"/>
      <c r="WCD5" s="1863"/>
      <c r="WCE5" s="1863"/>
      <c r="WCF5" s="1863"/>
      <c r="WCG5" s="1863"/>
      <c r="WCH5" s="1863"/>
      <c r="WCI5" s="1863"/>
      <c r="WCJ5" s="1863"/>
      <c r="WCK5" s="1863"/>
      <c r="WCL5" s="1863"/>
      <c r="WCM5" s="1863"/>
      <c r="WCN5" s="1863"/>
      <c r="WCO5" s="1863"/>
      <c r="WCP5" s="1863"/>
      <c r="WCQ5" s="1863"/>
      <c r="WCR5" s="1863"/>
      <c r="WCS5" s="1863"/>
      <c r="WCT5" s="1863"/>
      <c r="WCU5" s="1863"/>
      <c r="WCV5" s="1863"/>
      <c r="WCW5" s="1863"/>
      <c r="WCX5" s="1863"/>
      <c r="WCY5" s="1863"/>
      <c r="WCZ5" s="1863"/>
      <c r="WDA5" s="1863"/>
      <c r="WDB5" s="1863"/>
      <c r="WDC5" s="1863"/>
      <c r="WDD5" s="1863"/>
      <c r="WDE5" s="1863"/>
      <c r="WDF5" s="1863"/>
      <c r="WDG5" s="1863"/>
      <c r="WDH5" s="1863"/>
      <c r="WDI5" s="1863"/>
      <c r="WDJ5" s="1863"/>
      <c r="WDK5" s="1863"/>
      <c r="WDL5" s="1863"/>
      <c r="WDM5" s="1863"/>
      <c r="WDN5" s="1863"/>
      <c r="WDO5" s="1863"/>
      <c r="WDP5" s="1863"/>
      <c r="WDQ5" s="1863"/>
      <c r="WDR5" s="1863"/>
      <c r="WDS5" s="1863"/>
      <c r="WDT5" s="1863"/>
      <c r="WDU5" s="1863"/>
      <c r="WDV5" s="1863"/>
      <c r="WDW5" s="1863"/>
      <c r="WDX5" s="1863"/>
      <c r="WDY5" s="1863"/>
      <c r="WDZ5" s="1863"/>
      <c r="WEA5" s="1863"/>
      <c r="WEB5" s="1863"/>
      <c r="WEC5" s="1863"/>
      <c r="WED5" s="1863"/>
      <c r="WEE5" s="1863"/>
      <c r="WEF5" s="1863"/>
      <c r="WEG5" s="1863"/>
      <c r="WEH5" s="1863"/>
      <c r="WEI5" s="1863"/>
      <c r="WEJ5" s="1863"/>
      <c r="WEK5" s="1863"/>
      <c r="WEL5" s="1863"/>
      <c r="WEM5" s="1863"/>
      <c r="WEN5" s="1863"/>
      <c r="WEO5" s="1863"/>
      <c r="WEP5" s="1863"/>
      <c r="WEQ5" s="1863"/>
      <c r="WER5" s="1863"/>
      <c r="WES5" s="1863"/>
      <c r="WET5" s="1863"/>
      <c r="WEU5" s="1863"/>
      <c r="WEV5" s="1863"/>
      <c r="WEW5" s="1863"/>
      <c r="WEX5" s="1863"/>
      <c r="WEY5" s="1863"/>
      <c r="WEZ5" s="1863"/>
      <c r="WFA5" s="1863"/>
      <c r="WFB5" s="1863"/>
      <c r="WFC5" s="1863"/>
      <c r="WFD5" s="1863"/>
      <c r="WFE5" s="1863"/>
      <c r="WFF5" s="1863"/>
      <c r="WFG5" s="1863"/>
      <c r="WFH5" s="1863"/>
      <c r="WFI5" s="1863"/>
      <c r="WFJ5" s="1863"/>
      <c r="WFK5" s="1863"/>
      <c r="WFL5" s="1863"/>
      <c r="WFM5" s="1863"/>
      <c r="WFN5" s="1863"/>
      <c r="WFO5" s="1863"/>
      <c r="WFP5" s="1863"/>
      <c r="WFQ5" s="1863"/>
      <c r="WFR5" s="1863"/>
      <c r="WFS5" s="1863"/>
      <c r="WFT5" s="1863"/>
      <c r="WFU5" s="1863"/>
      <c r="WFV5" s="1863"/>
      <c r="WFW5" s="1863"/>
      <c r="WFX5" s="1863"/>
      <c r="WFY5" s="1863"/>
      <c r="WFZ5" s="1863"/>
      <c r="WGA5" s="1863"/>
      <c r="WGB5" s="1863"/>
      <c r="WGC5" s="1863"/>
      <c r="WGD5" s="1863"/>
      <c r="WGE5" s="1863"/>
      <c r="WGF5" s="1863"/>
      <c r="WGG5" s="1863"/>
      <c r="WGH5" s="1863"/>
      <c r="WGI5" s="1863"/>
      <c r="WGJ5" s="1863"/>
      <c r="WGK5" s="1863"/>
      <c r="WGL5" s="1863"/>
      <c r="WGM5" s="1863"/>
      <c r="WGN5" s="1863"/>
      <c r="WGO5" s="1863"/>
      <c r="WGP5" s="1863"/>
      <c r="WGQ5" s="1863"/>
      <c r="WGR5" s="1863"/>
      <c r="WGS5" s="1863"/>
      <c r="WGT5" s="1863"/>
      <c r="WGU5" s="1863"/>
      <c r="WGV5" s="1863"/>
      <c r="WGW5" s="1863"/>
      <c r="WGX5" s="1863"/>
      <c r="WGY5" s="1863"/>
      <c r="WGZ5" s="1863"/>
      <c r="WHA5" s="1863"/>
      <c r="WHB5" s="1863"/>
      <c r="WHC5" s="1863"/>
      <c r="WHD5" s="1863"/>
      <c r="WHE5" s="1863"/>
      <c r="WHF5" s="1863"/>
      <c r="WHG5" s="1863"/>
      <c r="WHH5" s="1863"/>
      <c r="WHI5" s="1863"/>
      <c r="WHJ5" s="1863"/>
      <c r="WHK5" s="1863"/>
      <c r="WHL5" s="1863"/>
      <c r="WHM5" s="1863"/>
      <c r="WHN5" s="1863"/>
      <c r="WHO5" s="1863"/>
      <c r="WHP5" s="1863"/>
      <c r="WHQ5" s="1863"/>
      <c r="WHR5" s="1863"/>
      <c r="WHS5" s="1863"/>
      <c r="WHT5" s="1863"/>
      <c r="WHU5" s="1863"/>
      <c r="WHV5" s="1863"/>
      <c r="WHW5" s="1863"/>
      <c r="WHX5" s="1863"/>
      <c r="WHY5" s="1863"/>
      <c r="WHZ5" s="1863"/>
      <c r="WIA5" s="1863"/>
      <c r="WIB5" s="1863"/>
      <c r="WIC5" s="1863"/>
      <c r="WID5" s="1863"/>
      <c r="WIE5" s="1863"/>
      <c r="WIF5" s="1863"/>
      <c r="WIG5" s="1863"/>
      <c r="WIH5" s="1863"/>
      <c r="WII5" s="1863"/>
      <c r="WIJ5" s="1863"/>
      <c r="WIK5" s="1863"/>
      <c r="WIL5" s="1863"/>
      <c r="WIM5" s="1863"/>
      <c r="WIN5" s="1863"/>
      <c r="WIO5" s="1863"/>
      <c r="WIP5" s="1863"/>
      <c r="WIQ5" s="1863"/>
      <c r="WIR5" s="1863"/>
      <c r="WIS5" s="1863"/>
      <c r="WIT5" s="1863"/>
      <c r="WIU5" s="1863"/>
      <c r="WIV5" s="1863"/>
      <c r="WIW5" s="1863"/>
      <c r="WIX5" s="1863"/>
      <c r="WIY5" s="1863"/>
      <c r="WIZ5" s="1863"/>
      <c r="WJA5" s="1863"/>
      <c r="WJB5" s="1863"/>
      <c r="WJC5" s="1863"/>
      <c r="WJD5" s="1863"/>
      <c r="WJE5" s="1863"/>
      <c r="WJF5" s="1863"/>
      <c r="WJG5" s="1863"/>
      <c r="WJH5" s="1863"/>
      <c r="WJI5" s="1863"/>
      <c r="WJJ5" s="1863"/>
      <c r="WJK5" s="1863"/>
      <c r="WJL5" s="1863"/>
      <c r="WJM5" s="1863"/>
      <c r="WJN5" s="1863"/>
      <c r="WJO5" s="1863"/>
      <c r="WJP5" s="1863"/>
      <c r="WJQ5" s="1863"/>
      <c r="WJR5" s="1863"/>
      <c r="WJS5" s="1863"/>
      <c r="WJT5" s="1863"/>
      <c r="WJU5" s="1863"/>
      <c r="WJV5" s="1863"/>
      <c r="WJW5" s="1863"/>
      <c r="WJX5" s="1863"/>
      <c r="WJY5" s="1863"/>
      <c r="WJZ5" s="1863"/>
      <c r="WKA5" s="1863"/>
      <c r="WKB5" s="1863"/>
      <c r="WKC5" s="1863"/>
      <c r="WKD5" s="1863"/>
      <c r="WKE5" s="1863"/>
      <c r="WKF5" s="1863"/>
      <c r="WKG5" s="1863"/>
      <c r="WKH5" s="1863"/>
      <c r="WKI5" s="1863"/>
      <c r="WKJ5" s="1863"/>
      <c r="WKK5" s="1863"/>
      <c r="WKL5" s="1863"/>
      <c r="WKM5" s="1863"/>
      <c r="WKN5" s="1863"/>
      <c r="WKO5" s="1863"/>
      <c r="WKP5" s="1863"/>
      <c r="WKQ5" s="1863"/>
      <c r="WKR5" s="1863"/>
      <c r="WKS5" s="1863"/>
      <c r="WKT5" s="1863"/>
      <c r="WKU5" s="1863"/>
      <c r="WKV5" s="1863"/>
      <c r="WKW5" s="1863"/>
      <c r="WKX5" s="1863"/>
      <c r="WKY5" s="1863"/>
      <c r="WKZ5" s="1863"/>
      <c r="WLA5" s="1863"/>
      <c r="WLB5" s="1863"/>
      <c r="WLC5" s="1863"/>
      <c r="WLD5" s="1863"/>
      <c r="WLE5" s="1863"/>
      <c r="WLF5" s="1863"/>
      <c r="WLG5" s="1863"/>
      <c r="WLH5" s="1863"/>
      <c r="WLI5" s="1863"/>
      <c r="WLJ5" s="1863"/>
      <c r="WLK5" s="1863"/>
      <c r="WLL5" s="1863"/>
      <c r="WLM5" s="1863"/>
      <c r="WLN5" s="1863"/>
      <c r="WLO5" s="1863"/>
      <c r="WLP5" s="1863"/>
      <c r="WLQ5" s="1863"/>
      <c r="WLR5" s="1863"/>
      <c r="WLS5" s="1863"/>
      <c r="WLT5" s="1863"/>
      <c r="WLU5" s="1863"/>
      <c r="WLV5" s="1863"/>
      <c r="WLW5" s="1863"/>
      <c r="WLX5" s="1863"/>
      <c r="WLY5" s="1863"/>
      <c r="WLZ5" s="1863"/>
      <c r="WMA5" s="1863"/>
      <c r="WMB5" s="1863"/>
      <c r="WMC5" s="1863"/>
      <c r="WMD5" s="1863"/>
      <c r="WME5" s="1863"/>
      <c r="WMF5" s="1863"/>
      <c r="WMG5" s="1863"/>
      <c r="WMH5" s="1863"/>
      <c r="WMI5" s="1863"/>
      <c r="WMJ5" s="1863"/>
      <c r="WMK5" s="1863"/>
      <c r="WML5" s="1863"/>
      <c r="WMM5" s="1863"/>
      <c r="WMN5" s="1863"/>
      <c r="WMO5" s="1863"/>
      <c r="WMP5" s="1863"/>
      <c r="WMQ5" s="1863"/>
      <c r="WMR5" s="1863"/>
      <c r="WMS5" s="1863"/>
      <c r="WMT5" s="1863"/>
      <c r="WMU5" s="1863"/>
      <c r="WMV5" s="1863"/>
      <c r="WMW5" s="1863"/>
      <c r="WMX5" s="1863"/>
      <c r="WMY5" s="1863"/>
      <c r="WMZ5" s="1863"/>
      <c r="WNA5" s="1863"/>
      <c r="WNB5" s="1863"/>
      <c r="WNC5" s="1863"/>
      <c r="WND5" s="1863"/>
      <c r="WNE5" s="1863"/>
      <c r="WNF5" s="1863"/>
      <c r="WNG5" s="1863"/>
      <c r="WNH5" s="1863"/>
      <c r="WNI5" s="1863"/>
      <c r="WNJ5" s="1863"/>
      <c r="WNK5" s="1863"/>
      <c r="WNL5" s="1863"/>
      <c r="WNM5" s="1863"/>
      <c r="WNN5" s="1863"/>
      <c r="WNO5" s="1863"/>
      <c r="WNP5" s="1863"/>
      <c r="WNQ5" s="1863"/>
      <c r="WNR5" s="1863"/>
      <c r="WNS5" s="1863"/>
      <c r="WNT5" s="1863"/>
      <c r="WNU5" s="1863"/>
      <c r="WNV5" s="1863"/>
      <c r="WNW5" s="1863"/>
      <c r="WNX5" s="1863"/>
      <c r="WNY5" s="1863"/>
      <c r="WNZ5" s="1863"/>
      <c r="WOA5" s="1863"/>
      <c r="WOB5" s="1863"/>
      <c r="WOC5" s="1863"/>
      <c r="WOD5" s="1863"/>
      <c r="WOE5" s="1863"/>
      <c r="WOF5" s="1863"/>
      <c r="WOG5" s="1863"/>
      <c r="WOH5" s="1863"/>
      <c r="WOI5" s="1863"/>
      <c r="WOJ5" s="1863"/>
      <c r="WOK5" s="1863"/>
      <c r="WOL5" s="1863"/>
      <c r="WOM5" s="1863"/>
      <c r="WON5" s="1863"/>
      <c r="WOO5" s="1863"/>
      <c r="WOP5" s="1863"/>
      <c r="WOQ5" s="1863"/>
      <c r="WOR5" s="1863"/>
      <c r="WOS5" s="1863"/>
      <c r="WOT5" s="1863"/>
      <c r="WOU5" s="1863"/>
      <c r="WOV5" s="1863"/>
      <c r="WOW5" s="1863"/>
      <c r="WOX5" s="1863"/>
      <c r="WOY5" s="1863"/>
      <c r="WOZ5" s="1863"/>
      <c r="WPA5" s="1863"/>
      <c r="WPB5" s="1863"/>
      <c r="WPC5" s="1863"/>
      <c r="WPD5" s="1863"/>
      <c r="WPE5" s="1863"/>
      <c r="WPF5" s="1863"/>
      <c r="WPG5" s="1863"/>
      <c r="WPH5" s="1863"/>
      <c r="WPI5" s="1863"/>
      <c r="WPJ5" s="1863"/>
      <c r="WPK5" s="1863"/>
      <c r="WPL5" s="1863"/>
      <c r="WPM5" s="1863"/>
      <c r="WPN5" s="1863"/>
      <c r="WPO5" s="1863"/>
      <c r="WPP5" s="1863"/>
      <c r="WPQ5" s="1863"/>
      <c r="WPR5" s="1863"/>
      <c r="WPS5" s="1863"/>
      <c r="WPT5" s="1863"/>
      <c r="WPU5" s="1863"/>
      <c r="WPV5" s="1863"/>
      <c r="WPW5" s="1863"/>
      <c r="WPX5" s="1863"/>
      <c r="WPY5" s="1863"/>
      <c r="WPZ5" s="1863"/>
      <c r="WQA5" s="1863"/>
      <c r="WQB5" s="1863"/>
      <c r="WQC5" s="1863"/>
      <c r="WQD5" s="1863"/>
      <c r="WQE5" s="1863"/>
      <c r="WQF5" s="1863"/>
      <c r="WQG5" s="1863"/>
      <c r="WQH5" s="1863"/>
      <c r="WQI5" s="1863"/>
      <c r="WQJ5" s="1863"/>
      <c r="WQK5" s="1863"/>
      <c r="WQL5" s="1863"/>
      <c r="WQM5" s="1863"/>
      <c r="WQN5" s="1863"/>
      <c r="WQO5" s="1863"/>
      <c r="WQP5" s="1863"/>
      <c r="WQQ5" s="1863"/>
      <c r="WQR5" s="1863"/>
      <c r="WQS5" s="1863"/>
      <c r="WQT5" s="1863"/>
      <c r="WQU5" s="1863"/>
      <c r="WQV5" s="1863"/>
      <c r="WQW5" s="1863"/>
      <c r="WQX5" s="1863"/>
      <c r="WQY5" s="1863"/>
      <c r="WQZ5" s="1863"/>
      <c r="WRA5" s="1863"/>
      <c r="WRB5" s="1863"/>
      <c r="WRC5" s="1863"/>
      <c r="WRD5" s="1863"/>
      <c r="WRE5" s="1863"/>
      <c r="WRF5" s="1863"/>
      <c r="WRG5" s="1863"/>
      <c r="WRH5" s="1863"/>
      <c r="WRI5" s="1863"/>
      <c r="WRJ5" s="1863"/>
      <c r="WRK5" s="1863"/>
      <c r="WRL5" s="1863"/>
      <c r="WRM5" s="1863"/>
      <c r="WRN5" s="1863"/>
      <c r="WRO5" s="1863"/>
      <c r="WRP5" s="1863"/>
      <c r="WRQ5" s="1863"/>
      <c r="WRR5" s="1863"/>
      <c r="WRS5" s="1863"/>
      <c r="WRT5" s="1863"/>
      <c r="WRU5" s="1863"/>
      <c r="WRV5" s="1863"/>
      <c r="WRW5" s="1863"/>
      <c r="WRX5" s="1863"/>
      <c r="WRY5" s="1863"/>
      <c r="WRZ5" s="1863"/>
      <c r="WSA5" s="1863"/>
      <c r="WSB5" s="1863"/>
      <c r="WSC5" s="1863"/>
      <c r="WSD5" s="1863"/>
      <c r="WSE5" s="1863"/>
      <c r="WSF5" s="1863"/>
      <c r="WSG5" s="1863"/>
      <c r="WSH5" s="1863"/>
      <c r="WSI5" s="1863"/>
      <c r="WSJ5" s="1863"/>
      <c r="WSK5" s="1863"/>
      <c r="WSL5" s="1863"/>
      <c r="WSM5" s="1863"/>
      <c r="WSN5" s="1863"/>
      <c r="WSO5" s="1863"/>
      <c r="WSP5" s="1863"/>
      <c r="WSQ5" s="1863"/>
      <c r="WSR5" s="1863"/>
      <c r="WSS5" s="1863"/>
      <c r="WST5" s="1863"/>
      <c r="WSU5" s="1863"/>
      <c r="WSV5" s="1863"/>
      <c r="WSW5" s="1863"/>
      <c r="WSX5" s="1863"/>
      <c r="WSY5" s="1863"/>
      <c r="WSZ5" s="1863"/>
      <c r="WTA5" s="1863"/>
      <c r="WTB5" s="1863"/>
      <c r="WTC5" s="1863"/>
      <c r="WTD5" s="1863"/>
      <c r="WTE5" s="1863"/>
      <c r="WTF5" s="1863"/>
      <c r="WTG5" s="1863"/>
      <c r="WTH5" s="1863"/>
      <c r="WTI5" s="1863"/>
      <c r="WTJ5" s="1863"/>
      <c r="WTK5" s="1863"/>
      <c r="WTL5" s="1863"/>
      <c r="WTM5" s="1863"/>
      <c r="WTN5" s="1863"/>
      <c r="WTO5" s="1863"/>
      <c r="WTP5" s="1863"/>
      <c r="WTQ5" s="1863"/>
      <c r="WTR5" s="1863"/>
      <c r="WTS5" s="1863"/>
      <c r="WTT5" s="1863"/>
      <c r="WTU5" s="1863"/>
      <c r="WTV5" s="1863"/>
      <c r="WTW5" s="1863"/>
      <c r="WTX5" s="1863"/>
      <c r="WTY5" s="1863"/>
      <c r="WTZ5" s="1863"/>
      <c r="WUA5" s="1863"/>
      <c r="WUB5" s="1863"/>
      <c r="WUC5" s="1863"/>
      <c r="WUD5" s="1863"/>
      <c r="WUE5" s="1863"/>
      <c r="WUF5" s="1863"/>
      <c r="WUG5" s="1863"/>
      <c r="WUH5" s="1863"/>
      <c r="WUI5" s="1863"/>
      <c r="WUJ5" s="1863"/>
      <c r="WUK5" s="1863"/>
      <c r="WUL5" s="1863"/>
      <c r="WUM5" s="1863"/>
      <c r="WUN5" s="1863"/>
      <c r="WUO5" s="1863"/>
      <c r="WUP5" s="1863"/>
      <c r="WUQ5" s="1863"/>
      <c r="WUR5" s="1863"/>
      <c r="WUS5" s="1863"/>
      <c r="WUT5" s="1863"/>
      <c r="WUU5" s="1863"/>
      <c r="WUV5" s="1863"/>
      <c r="WUW5" s="1863"/>
      <c r="WUX5" s="1863"/>
      <c r="WUY5" s="1863"/>
      <c r="WUZ5" s="1863"/>
      <c r="WVA5" s="1863"/>
      <c r="WVB5" s="1863"/>
      <c r="WVC5" s="1863"/>
      <c r="WVD5" s="1863"/>
      <c r="WVE5" s="1863"/>
      <c r="WVF5" s="1863"/>
      <c r="WVG5" s="1863"/>
      <c r="WVH5" s="1863"/>
      <c r="WVI5" s="1863"/>
      <c r="WVJ5" s="1863"/>
      <c r="WVK5" s="1863"/>
      <c r="WVL5" s="1863"/>
      <c r="WVM5" s="1863"/>
      <c r="WVN5" s="1863"/>
      <c r="WVO5" s="1863"/>
      <c r="WVP5" s="1863"/>
      <c r="WVQ5" s="1863"/>
      <c r="WVR5" s="1863"/>
      <c r="WVS5" s="1863"/>
      <c r="WVT5" s="1863"/>
      <c r="WVU5" s="1863"/>
      <c r="WVV5" s="1863"/>
      <c r="WVW5" s="1863"/>
      <c r="WVX5" s="1863"/>
      <c r="WVY5" s="1863"/>
      <c r="WVZ5" s="1863"/>
      <c r="WWA5" s="1863"/>
      <c r="WWB5" s="1863"/>
      <c r="WWC5" s="1863"/>
      <c r="WWD5" s="1863"/>
      <c r="WWE5" s="1863"/>
      <c r="WWF5" s="1863"/>
      <c r="WWG5" s="1863"/>
      <c r="WWH5" s="1863"/>
      <c r="WWI5" s="1863"/>
      <c r="WWJ5" s="1863"/>
      <c r="WWK5" s="1863"/>
      <c r="WWL5" s="1863"/>
      <c r="WWM5" s="1863"/>
      <c r="WWN5" s="1863"/>
      <c r="WWO5" s="1863"/>
      <c r="WWP5" s="1863"/>
      <c r="WWQ5" s="1863"/>
      <c r="WWR5" s="1863"/>
      <c r="WWS5" s="1863"/>
      <c r="WWT5" s="1863"/>
      <c r="WWU5" s="1863"/>
      <c r="WWV5" s="1863"/>
      <c r="WWW5" s="1863"/>
      <c r="WWX5" s="1863"/>
      <c r="WWY5" s="1863"/>
      <c r="WWZ5" s="1863"/>
      <c r="WXA5" s="1863"/>
      <c r="WXB5" s="1863"/>
      <c r="WXC5" s="1863"/>
      <c r="WXD5" s="1863"/>
      <c r="WXE5" s="1863"/>
      <c r="WXF5" s="1863"/>
      <c r="WXG5" s="1863"/>
      <c r="WXH5" s="1863"/>
      <c r="WXI5" s="1863"/>
      <c r="WXJ5" s="1863"/>
      <c r="WXK5" s="1863"/>
      <c r="WXL5" s="1863"/>
      <c r="WXM5" s="1863"/>
      <c r="WXN5" s="1863"/>
      <c r="WXO5" s="1863"/>
      <c r="WXP5" s="1863"/>
      <c r="WXQ5" s="1863"/>
      <c r="WXR5" s="1863"/>
      <c r="WXS5" s="1863"/>
      <c r="WXT5" s="1863"/>
      <c r="WXU5" s="1863"/>
      <c r="WXV5" s="1863"/>
      <c r="WXW5" s="1863"/>
      <c r="WXX5" s="1863"/>
      <c r="WXY5" s="1863"/>
      <c r="WXZ5" s="1863"/>
      <c r="WYA5" s="1863"/>
      <c r="WYB5" s="1863"/>
      <c r="WYC5" s="1863"/>
      <c r="WYD5" s="1863"/>
      <c r="WYE5" s="1863"/>
      <c r="WYF5" s="1863"/>
      <c r="WYG5" s="1863"/>
      <c r="WYH5" s="1863"/>
      <c r="WYI5" s="1863"/>
      <c r="WYJ5" s="1863"/>
      <c r="WYK5" s="1863"/>
      <c r="WYL5" s="1863"/>
      <c r="WYM5" s="1863"/>
      <c r="WYN5" s="1863"/>
      <c r="WYO5" s="1863"/>
      <c r="WYP5" s="1863"/>
      <c r="WYQ5" s="1863"/>
      <c r="WYR5" s="1863"/>
      <c r="WYS5" s="1863"/>
      <c r="WYT5" s="1863"/>
      <c r="WYU5" s="1863"/>
      <c r="WYV5" s="1863"/>
      <c r="WYW5" s="1863"/>
      <c r="WYX5" s="1863"/>
      <c r="WYY5" s="1863"/>
      <c r="WYZ5" s="1863"/>
      <c r="WZA5" s="1863"/>
      <c r="WZB5" s="1863"/>
      <c r="WZC5" s="1863"/>
      <c r="WZD5" s="1863"/>
      <c r="WZE5" s="1863"/>
      <c r="WZF5" s="1863"/>
      <c r="WZG5" s="1863"/>
      <c r="WZH5" s="1863"/>
      <c r="WZI5" s="1863"/>
      <c r="WZJ5" s="1863"/>
      <c r="WZK5" s="1863"/>
      <c r="WZL5" s="1863"/>
      <c r="WZM5" s="1863"/>
      <c r="WZN5" s="1863"/>
      <c r="WZO5" s="1863"/>
      <c r="WZP5" s="1863"/>
      <c r="WZQ5" s="1863"/>
      <c r="WZR5" s="1863"/>
      <c r="WZS5" s="1863"/>
      <c r="WZT5" s="1863"/>
      <c r="WZU5" s="1863"/>
      <c r="WZV5" s="1863"/>
      <c r="WZW5" s="1863"/>
      <c r="WZX5" s="1863"/>
      <c r="WZY5" s="1863"/>
      <c r="WZZ5" s="1863"/>
      <c r="XAA5" s="1863"/>
      <c r="XAB5" s="1863"/>
      <c r="XAC5" s="1863"/>
      <c r="XAD5" s="1863"/>
      <c r="XAE5" s="1863"/>
      <c r="XAF5" s="1863"/>
      <c r="XAG5" s="1863"/>
      <c r="XAH5" s="1863"/>
      <c r="XAI5" s="1863"/>
      <c r="XAJ5" s="1863"/>
      <c r="XAK5" s="1863"/>
      <c r="XAL5" s="1863"/>
      <c r="XAM5" s="1863"/>
      <c r="XAN5" s="1863"/>
      <c r="XAO5" s="1863"/>
      <c r="XAP5" s="1863"/>
      <c r="XAQ5" s="1863"/>
      <c r="XAR5" s="1863"/>
      <c r="XAS5" s="1863"/>
      <c r="XAT5" s="1863"/>
      <c r="XAU5" s="1863"/>
      <c r="XAV5" s="1863"/>
      <c r="XAW5" s="1863"/>
      <c r="XAX5" s="1863"/>
      <c r="XAY5" s="1863"/>
      <c r="XAZ5" s="1863"/>
      <c r="XBA5" s="1863"/>
      <c r="XBB5" s="1863"/>
      <c r="XBC5" s="1863"/>
      <c r="XBD5" s="1863"/>
      <c r="XBE5" s="1863"/>
      <c r="XBF5" s="1863"/>
      <c r="XBG5" s="1863"/>
      <c r="XBH5" s="1863"/>
      <c r="XBI5" s="1863"/>
      <c r="XBJ5" s="1863"/>
      <c r="XBK5" s="1863"/>
      <c r="XBL5" s="1863"/>
      <c r="XBM5" s="1863"/>
      <c r="XBN5" s="1863"/>
      <c r="XBO5" s="1863"/>
      <c r="XBP5" s="1863"/>
      <c r="XBQ5" s="1863"/>
      <c r="XBR5" s="1863"/>
      <c r="XBS5" s="1863"/>
      <c r="XBT5" s="1863"/>
      <c r="XBU5" s="1863"/>
      <c r="XBV5" s="1863"/>
      <c r="XBW5" s="1863"/>
      <c r="XBX5" s="1863"/>
      <c r="XBY5" s="1863"/>
      <c r="XBZ5" s="1863"/>
      <c r="XCA5" s="1863"/>
      <c r="XCB5" s="1863"/>
      <c r="XCC5" s="1863"/>
      <c r="XCD5" s="1863"/>
      <c r="XCE5" s="1863"/>
      <c r="XCF5" s="1863"/>
      <c r="XCG5" s="1863"/>
      <c r="XCH5" s="1863"/>
      <c r="XCI5" s="1863"/>
      <c r="XCJ5" s="1863"/>
      <c r="XCK5" s="1863"/>
      <c r="XCL5" s="1863"/>
      <c r="XCM5" s="1863"/>
      <c r="XCN5" s="1863"/>
      <c r="XCO5" s="1863"/>
      <c r="XCP5" s="1863"/>
      <c r="XCQ5" s="1863"/>
      <c r="XCR5" s="1863"/>
      <c r="XCS5" s="1863"/>
      <c r="XCT5" s="1863"/>
      <c r="XCU5" s="1863"/>
      <c r="XCV5" s="1863"/>
      <c r="XCW5" s="1863"/>
      <c r="XCX5" s="1863"/>
      <c r="XCY5" s="1863"/>
      <c r="XCZ5" s="1863"/>
      <c r="XDA5" s="1863"/>
      <c r="XDB5" s="1863"/>
      <c r="XDC5" s="1863"/>
      <c r="XDD5" s="1863"/>
      <c r="XDE5" s="1863"/>
      <c r="XDF5" s="1863"/>
      <c r="XDG5" s="1863"/>
      <c r="XDH5" s="1863"/>
      <c r="XDI5" s="1863"/>
      <c r="XDJ5" s="1863"/>
      <c r="XDK5" s="1863"/>
      <c r="XDL5" s="1863"/>
      <c r="XDM5" s="1863"/>
      <c r="XDN5" s="1863"/>
      <c r="XDO5" s="1863"/>
      <c r="XDP5" s="1863"/>
      <c r="XDQ5" s="1863"/>
      <c r="XDR5" s="1863"/>
      <c r="XDS5" s="1863"/>
      <c r="XDT5" s="1863"/>
      <c r="XDU5" s="1863"/>
      <c r="XDV5" s="1863"/>
      <c r="XDW5" s="1863"/>
      <c r="XDX5" s="1863"/>
      <c r="XDY5" s="1863"/>
      <c r="XDZ5" s="1863"/>
      <c r="XEA5" s="1863"/>
      <c r="XEB5" s="1863"/>
      <c r="XEC5" s="1863"/>
      <c r="XED5" s="1863"/>
      <c r="XEE5" s="1863"/>
      <c r="XEF5" s="1863"/>
      <c r="XEG5" s="1863"/>
      <c r="XEH5" s="1863"/>
      <c r="XEI5" s="1863"/>
      <c r="XEJ5" s="1863"/>
      <c r="XEK5" s="1863"/>
      <c r="XEL5" s="1863"/>
      <c r="XEM5" s="1863"/>
      <c r="XEN5" s="1863"/>
      <c r="XEO5" s="1863"/>
      <c r="XEP5" s="1863"/>
      <c r="XEQ5" s="1863"/>
      <c r="XER5" s="1863"/>
      <c r="XES5" s="1863"/>
      <c r="XET5" s="1863"/>
      <c r="XEU5" s="1863"/>
      <c r="XEV5" s="1863"/>
      <c r="XEW5" s="1863"/>
      <c r="XEX5" s="1863"/>
      <c r="XEY5" s="1863"/>
      <c r="XEZ5" s="1863"/>
      <c r="XFA5" s="1863"/>
      <c r="XFB5" s="1863"/>
      <c r="XFC5" s="1863"/>
    </row>
    <row r="6" spans="1:16383" s="1866" customFormat="1" ht="15">
      <c r="B6" s="1867"/>
      <c r="C6" s="1867"/>
      <c r="D6" s="1868"/>
      <c r="E6" s="1868"/>
      <c r="F6" s="1868"/>
      <c r="G6" s="1868"/>
      <c r="H6" s="1868"/>
      <c r="I6" s="1868"/>
      <c r="J6" s="1868"/>
      <c r="K6" s="1868"/>
      <c r="L6" s="1868"/>
      <c r="M6" s="1868"/>
      <c r="N6" s="1868"/>
      <c r="O6" s="1868"/>
      <c r="P6" s="1868"/>
      <c r="Q6" s="1868"/>
      <c r="R6" s="1868"/>
      <c r="S6" s="1868"/>
      <c r="T6" s="1868"/>
      <c r="U6" s="1868"/>
      <c r="V6" s="1868"/>
      <c r="W6" s="1868"/>
      <c r="X6" s="1868"/>
      <c r="Y6" s="1868"/>
      <c r="Z6" s="1868"/>
      <c r="AA6" s="1868"/>
      <c r="AB6" s="1868"/>
      <c r="AC6" s="1868"/>
      <c r="AD6" s="1868"/>
      <c r="AE6" s="1868"/>
      <c r="AF6" s="1868"/>
      <c r="AG6" s="1868"/>
      <c r="AH6" s="1868"/>
      <c r="AI6" s="1868"/>
      <c r="AJ6" s="1868"/>
      <c r="AK6" s="1868"/>
      <c r="AL6" s="1868"/>
      <c r="AM6" s="1868"/>
      <c r="AN6" s="1868"/>
      <c r="AO6" s="1868"/>
      <c r="AP6" s="1868"/>
    </row>
    <row r="7" spans="1:16383" s="1865" customFormat="1" ht="15">
      <c r="B7" s="1869" t="s">
        <v>929</v>
      </c>
      <c r="C7" s="1869"/>
      <c r="D7" s="1864"/>
      <c r="E7" s="1864"/>
      <c r="F7" s="1864"/>
      <c r="G7" s="1864"/>
      <c r="H7" s="1864"/>
      <c r="I7" s="1864"/>
      <c r="J7" s="1864"/>
      <c r="K7" s="1864"/>
      <c r="L7" s="1864"/>
      <c r="M7" s="1864"/>
      <c r="N7" s="1864"/>
      <c r="O7" s="1864"/>
      <c r="P7" s="1864"/>
      <c r="Q7" s="1864"/>
      <c r="R7" s="1864"/>
      <c r="S7" s="1857"/>
      <c r="T7" s="2974" t="s">
        <v>930</v>
      </c>
      <c r="U7" s="2975"/>
      <c r="V7" s="2975"/>
      <c r="W7" s="2975"/>
      <c r="X7" s="2975"/>
      <c r="Y7" s="2975"/>
      <c r="Z7" s="2975"/>
      <c r="AA7" s="2975"/>
      <c r="AB7" s="2976" t="s">
        <v>931</v>
      </c>
      <c r="AC7" s="2977"/>
      <c r="AD7" s="2977"/>
      <c r="AE7" s="2977"/>
      <c r="AF7" s="2978"/>
      <c r="AG7" s="1864"/>
      <c r="AH7" s="1864"/>
      <c r="AI7" s="1864"/>
      <c r="AJ7" s="1864"/>
      <c r="AK7" s="1864"/>
      <c r="AL7" s="1864"/>
      <c r="AM7" s="1864"/>
      <c r="AN7" s="1864"/>
      <c r="AO7" s="1864"/>
      <c r="AP7" s="1864"/>
    </row>
    <row r="8" spans="1:16383">
      <c r="B8" s="1871"/>
      <c r="C8" s="1871"/>
      <c r="D8" s="1872"/>
      <c r="E8" s="1872"/>
      <c r="T8" s="1873" t="s">
        <v>932</v>
      </c>
      <c r="U8" s="1874" t="s">
        <v>932</v>
      </c>
      <c r="V8" s="1874" t="s">
        <v>932</v>
      </c>
      <c r="W8" s="1874" t="s">
        <v>932</v>
      </c>
      <c r="X8" s="1874" t="s">
        <v>932</v>
      </c>
      <c r="Y8" s="1874" t="s">
        <v>932</v>
      </c>
      <c r="Z8" s="1874" t="s">
        <v>933</v>
      </c>
      <c r="AA8" s="1874" t="s">
        <v>933</v>
      </c>
      <c r="AB8" s="1875" t="s">
        <v>933</v>
      </c>
      <c r="AC8" s="1876" t="s">
        <v>933</v>
      </c>
      <c r="AD8" s="1876" t="s">
        <v>933</v>
      </c>
      <c r="AE8" s="1876" t="s">
        <v>933</v>
      </c>
      <c r="AF8" s="1876" t="s">
        <v>933</v>
      </c>
    </row>
    <row r="9" spans="1:16383" s="1877" customFormat="1">
      <c r="B9" s="1878"/>
      <c r="C9" s="1878"/>
      <c r="D9" s="1872"/>
      <c r="E9" s="1872"/>
      <c r="S9" s="1879" t="s">
        <v>934</v>
      </c>
      <c r="T9" s="1880">
        <v>2014</v>
      </c>
      <c r="U9" s="1881">
        <v>2015</v>
      </c>
      <c r="V9" s="1881">
        <v>2016</v>
      </c>
      <c r="W9" s="1881">
        <v>2017</v>
      </c>
      <c r="X9" s="1881">
        <v>2018</v>
      </c>
      <c r="Y9" s="1881">
        <v>2019</v>
      </c>
      <c r="Z9" s="1881">
        <v>2020</v>
      </c>
      <c r="AA9" s="1882">
        <v>2021</v>
      </c>
      <c r="AB9" s="1883">
        <v>2022</v>
      </c>
      <c r="AC9" s="1884">
        <v>2023</v>
      </c>
      <c r="AD9" s="1884">
        <v>2024</v>
      </c>
      <c r="AE9" s="1884">
        <v>2025</v>
      </c>
      <c r="AF9" s="1884">
        <v>2026</v>
      </c>
    </row>
    <row r="10" spans="1:16383">
      <c r="B10" s="1878"/>
      <c r="C10" s="1878"/>
      <c r="X10" s="1870"/>
      <c r="Y10" s="1870"/>
      <c r="Z10" s="1870"/>
      <c r="AA10" s="1870"/>
      <c r="AB10" s="1886"/>
      <c r="AC10" s="1870"/>
      <c r="AD10" s="1870"/>
      <c r="AE10" s="1870"/>
      <c r="AF10" s="1870"/>
      <c r="AG10" s="1877"/>
    </row>
    <row r="11" spans="1:16383">
      <c r="B11" s="1887" t="s">
        <v>935</v>
      </c>
      <c r="C11" s="1887"/>
      <c r="D11" s="1888" t="s">
        <v>936</v>
      </c>
      <c r="E11" s="1888"/>
      <c r="F11" s="1889"/>
      <c r="G11" s="1889"/>
      <c r="H11" s="1889"/>
      <c r="I11" s="1889"/>
      <c r="J11" s="1889"/>
      <c r="K11" s="1889"/>
      <c r="L11" s="1889"/>
      <c r="M11" s="1889"/>
      <c r="N11" s="1889"/>
      <c r="O11" s="1889"/>
      <c r="P11" s="1889"/>
      <c r="Q11" s="1889"/>
      <c r="R11" s="1889"/>
      <c r="S11" s="1889"/>
      <c r="T11" s="1890"/>
      <c r="U11" s="1890"/>
      <c r="V11" s="1890"/>
      <c r="W11" s="1890"/>
      <c r="X11" s="1890"/>
      <c r="Y11" s="1890"/>
      <c r="Z11" s="1890"/>
      <c r="AA11" s="1890"/>
      <c r="AB11" s="1891"/>
      <c r="AC11" s="1890"/>
      <c r="AD11" s="1890"/>
      <c r="AE11" s="1890"/>
      <c r="AF11" s="1890"/>
      <c r="AG11" s="1877"/>
    </row>
    <row r="12" spans="1:16383" s="1892" customFormat="1" outlineLevel="1">
      <c r="B12" s="1878"/>
      <c r="C12" s="1878"/>
      <c r="D12" s="1893"/>
      <c r="E12" s="1893"/>
      <c r="F12" s="1894" t="s">
        <v>937</v>
      </c>
      <c r="G12" s="1894"/>
      <c r="H12" s="1894"/>
      <c r="I12" s="1894"/>
      <c r="J12" s="1895"/>
      <c r="K12" s="1895"/>
      <c r="L12" s="1895"/>
      <c r="M12" s="1895"/>
      <c r="N12" s="1895"/>
      <c r="O12" s="1895"/>
      <c r="P12" s="1895"/>
      <c r="Q12" s="1895"/>
      <c r="R12" s="1895"/>
      <c r="S12" s="1895"/>
      <c r="T12" s="1896" t="s">
        <v>498</v>
      </c>
      <c r="U12" s="1897" t="s">
        <v>498</v>
      </c>
      <c r="V12" s="1897" t="s">
        <v>498</v>
      </c>
      <c r="W12" s="1897" t="s">
        <v>498</v>
      </c>
      <c r="X12" s="1897" t="s">
        <v>498</v>
      </c>
      <c r="Y12" s="1897" t="s">
        <v>498</v>
      </c>
      <c r="Z12" s="1897" t="s">
        <v>498</v>
      </c>
      <c r="AA12" s="1898" t="s">
        <v>498</v>
      </c>
      <c r="AB12" s="1899" t="s">
        <v>498</v>
      </c>
      <c r="AC12" s="1897" t="s">
        <v>498</v>
      </c>
      <c r="AD12" s="1897" t="s">
        <v>498</v>
      </c>
      <c r="AE12" s="1897" t="s">
        <v>498</v>
      </c>
      <c r="AF12" s="1900" t="s">
        <v>498</v>
      </c>
      <c r="AG12" s="1870"/>
    </row>
    <row r="13" spans="1:16383" s="1877" customFormat="1" outlineLevel="1">
      <c r="B13" s="1901"/>
      <c r="C13" s="1901"/>
      <c r="D13" s="1895"/>
      <c r="E13" s="1895"/>
      <c r="F13" s="1895" t="s">
        <v>938</v>
      </c>
      <c r="G13" s="1895"/>
      <c r="H13" s="1895"/>
      <c r="I13" s="1895"/>
      <c r="J13" s="1893"/>
      <c r="K13" s="1893"/>
      <c r="L13" s="1893"/>
      <c r="M13" s="1893"/>
      <c r="N13" s="1893"/>
      <c r="O13" s="1893"/>
      <c r="P13" s="1893"/>
      <c r="Q13" s="1893"/>
      <c r="R13" s="1893"/>
      <c r="S13" s="1893"/>
      <c r="T13" s="1902">
        <v>-7.1</v>
      </c>
      <c r="U13" s="1903">
        <v>-8.6</v>
      </c>
      <c r="V13" s="1903">
        <v>-5</v>
      </c>
      <c r="W13" s="1903">
        <v>-8.1999999999999993</v>
      </c>
      <c r="X13" s="1903">
        <v>-8.1199999999999992</v>
      </c>
      <c r="Y13" s="1903">
        <v>-21.2</v>
      </c>
      <c r="Z13" s="1903">
        <v>0</v>
      </c>
      <c r="AA13" s="1904">
        <v>0</v>
      </c>
      <c r="AB13" s="1905">
        <v>0</v>
      </c>
      <c r="AC13" s="1903">
        <v>0</v>
      </c>
      <c r="AD13" s="1903">
        <v>0</v>
      </c>
      <c r="AE13" s="1903">
        <v>0</v>
      </c>
      <c r="AF13" s="1906">
        <v>0</v>
      </c>
      <c r="AG13" s="1870"/>
    </row>
    <row r="14" spans="1:16383" s="1877" customFormat="1" outlineLevel="1">
      <c r="B14" s="1901"/>
      <c r="C14" s="1901"/>
      <c r="D14" s="1895"/>
      <c r="E14" s="1895"/>
      <c r="F14" s="1895" t="s">
        <v>939</v>
      </c>
      <c r="G14" s="1895"/>
      <c r="H14" s="1895"/>
      <c r="I14" s="1895"/>
      <c r="J14" s="1895"/>
      <c r="K14" s="1895"/>
      <c r="L14" s="1895"/>
      <c r="M14" s="1895"/>
      <c r="N14" s="1895"/>
      <c r="O14" s="1895"/>
      <c r="P14" s="1895"/>
      <c r="Q14" s="1895"/>
      <c r="R14" s="1895"/>
      <c r="S14" s="1895"/>
      <c r="T14" s="1902"/>
      <c r="U14" s="1903"/>
      <c r="V14" s="1903"/>
      <c r="W14" s="1903"/>
      <c r="X14" s="1903"/>
      <c r="Y14" s="1903"/>
      <c r="Z14" s="1903"/>
      <c r="AA14" s="1904"/>
      <c r="AB14" s="1905"/>
      <c r="AC14" s="1903"/>
      <c r="AD14" s="1903"/>
      <c r="AE14" s="1903"/>
      <c r="AF14" s="1906"/>
      <c r="AG14" s="1870"/>
    </row>
    <row r="15" spans="1:16383" s="1877" customFormat="1" outlineLevel="1">
      <c r="B15" s="1901"/>
      <c r="C15" s="1901"/>
      <c r="D15" s="1895"/>
      <c r="E15" s="1895"/>
      <c r="F15" s="1895" t="s">
        <v>940</v>
      </c>
      <c r="G15" s="1895"/>
      <c r="H15" s="1895"/>
      <c r="I15" s="1895"/>
      <c r="J15" s="1895"/>
      <c r="K15" s="1895"/>
      <c r="L15" s="1895"/>
      <c r="M15" s="1895"/>
      <c r="N15" s="1895"/>
      <c r="O15" s="1895"/>
      <c r="P15" s="1895"/>
      <c r="Q15" s="1895"/>
      <c r="R15" s="1895"/>
      <c r="S15" s="1895"/>
      <c r="T15" s="1902"/>
      <c r="U15" s="1903"/>
      <c r="V15" s="1903"/>
      <c r="W15" s="1903"/>
      <c r="X15" s="1903"/>
      <c r="Y15" s="1903">
        <v>-90</v>
      </c>
      <c r="Z15" s="1903">
        <v>0</v>
      </c>
      <c r="AA15" s="1904">
        <v>0</v>
      </c>
      <c r="AB15" s="1905">
        <v>0</v>
      </c>
      <c r="AC15" s="1903">
        <v>0</v>
      </c>
      <c r="AD15" s="1903">
        <v>0</v>
      </c>
      <c r="AE15" s="1903">
        <v>0</v>
      </c>
      <c r="AF15" s="1906">
        <v>0</v>
      </c>
      <c r="AG15" s="1870"/>
    </row>
    <row r="16" spans="1:16383" s="1877" customFormat="1" outlineLevel="1">
      <c r="B16" s="1901"/>
      <c r="C16" s="1901"/>
      <c r="D16" s="1895"/>
      <c r="E16" s="1895"/>
      <c r="F16" s="1895" t="s">
        <v>941</v>
      </c>
      <c r="G16" s="1895"/>
      <c r="H16" s="1895"/>
      <c r="I16" s="1895"/>
      <c r="J16" s="1895"/>
      <c r="K16" s="1895"/>
      <c r="L16" s="1895"/>
      <c r="M16" s="1895"/>
      <c r="N16" s="1895"/>
      <c r="O16" s="1895"/>
      <c r="P16" s="1895"/>
      <c r="Q16" s="1895"/>
      <c r="R16" s="1895"/>
      <c r="S16" s="1895"/>
      <c r="T16" s="1902"/>
      <c r="U16" s="1903"/>
      <c r="V16" s="1903"/>
      <c r="W16" s="1903"/>
      <c r="X16" s="1903"/>
      <c r="Y16" s="1903"/>
      <c r="Z16" s="1903"/>
      <c r="AA16" s="1904"/>
      <c r="AB16" s="1905"/>
      <c r="AC16" s="1903"/>
      <c r="AD16" s="1903"/>
      <c r="AE16" s="1903"/>
      <c r="AF16" s="1906"/>
      <c r="AG16" s="1870"/>
    </row>
    <row r="17" spans="2:33" s="1877" customFormat="1" outlineLevel="1">
      <c r="B17" s="1901"/>
      <c r="C17" s="1901"/>
      <c r="D17" s="1895"/>
      <c r="E17" s="1895"/>
      <c r="F17" s="1895" t="s">
        <v>942</v>
      </c>
      <c r="G17" s="1895"/>
      <c r="H17" s="1895"/>
      <c r="I17" s="1895"/>
      <c r="J17" s="1895"/>
      <c r="K17" s="1895"/>
      <c r="L17" s="1895"/>
      <c r="M17" s="1895"/>
      <c r="N17" s="1895"/>
      <c r="O17" s="1895"/>
      <c r="Q17" s="1895"/>
      <c r="R17" s="1895"/>
      <c r="S17" s="1895"/>
      <c r="T17" s="1902"/>
      <c r="U17" s="1903"/>
      <c r="V17" s="1903"/>
      <c r="W17" s="1903"/>
      <c r="X17" s="1903"/>
      <c r="Y17" s="1903"/>
      <c r="Z17" s="1903"/>
      <c r="AA17" s="1904"/>
      <c r="AB17" s="1905"/>
      <c r="AC17" s="1903"/>
      <c r="AD17" s="1903"/>
      <c r="AE17" s="1903"/>
      <c r="AF17" s="1906"/>
      <c r="AG17" s="1870"/>
    </row>
    <row r="18" spans="2:33" s="1877" customFormat="1" ht="12.75" customHeight="1" outlineLevel="1">
      <c r="B18" s="1901"/>
      <c r="C18" s="1901"/>
      <c r="D18" s="1895"/>
      <c r="E18" s="1895"/>
      <c r="F18" s="1907" t="s">
        <v>943</v>
      </c>
      <c r="G18" s="1908"/>
      <c r="H18" s="1909"/>
      <c r="I18" s="1909"/>
      <c r="J18" s="1909"/>
      <c r="K18" s="1909"/>
      <c r="L18" s="1909"/>
      <c r="M18" s="1909"/>
      <c r="N18" s="1909"/>
      <c r="O18" s="1909"/>
      <c r="Q18" s="1909"/>
      <c r="R18" s="1909"/>
      <c r="S18" s="1909"/>
      <c r="T18" s="1902"/>
      <c r="U18" s="1903"/>
      <c r="V18" s="1903"/>
      <c r="W18" s="1903"/>
      <c r="X18" s="1903"/>
      <c r="Y18" s="1903"/>
      <c r="Z18" s="1903"/>
      <c r="AA18" s="1904"/>
      <c r="AB18" s="1905"/>
      <c r="AC18" s="1903"/>
      <c r="AD18" s="1903"/>
      <c r="AE18" s="1903"/>
      <c r="AF18" s="1906"/>
      <c r="AG18" s="1870"/>
    </row>
    <row r="19" spans="2:33" s="1877" customFormat="1">
      <c r="B19" s="1878"/>
      <c r="C19" s="1878"/>
      <c r="F19" s="1895"/>
      <c r="G19" s="1895"/>
      <c r="H19" s="1895"/>
      <c r="I19" s="1895"/>
      <c r="J19" s="1895"/>
      <c r="K19" s="1895"/>
      <c r="L19" s="1895"/>
      <c r="M19" s="1895"/>
      <c r="N19" s="1895"/>
      <c r="O19" s="1895"/>
      <c r="Q19" s="1895"/>
      <c r="R19" s="1895"/>
      <c r="S19" s="1910" t="s">
        <v>944</v>
      </c>
      <c r="T19" s="1911">
        <f>SUM(T13:T18)</f>
        <v>-7.1</v>
      </c>
      <c r="U19" s="1912">
        <f t="shared" ref="U19:AF19" si="0">SUM(U13:U18)</f>
        <v>-8.6</v>
      </c>
      <c r="V19" s="1912">
        <f t="shared" si="0"/>
        <v>-5</v>
      </c>
      <c r="W19" s="1912">
        <f t="shared" si="0"/>
        <v>-8.1999999999999993</v>
      </c>
      <c r="X19" s="1912">
        <f t="shared" si="0"/>
        <v>-8.1199999999999992</v>
      </c>
      <c r="Y19" s="1912">
        <f t="shared" si="0"/>
        <v>-111.2</v>
      </c>
      <c r="Z19" s="1912">
        <f t="shared" si="0"/>
        <v>0</v>
      </c>
      <c r="AA19" s="1913">
        <f t="shared" si="0"/>
        <v>0</v>
      </c>
      <c r="AB19" s="1914">
        <f t="shared" si="0"/>
        <v>0</v>
      </c>
      <c r="AC19" s="1912">
        <f t="shared" si="0"/>
        <v>0</v>
      </c>
      <c r="AD19" s="1912">
        <f t="shared" si="0"/>
        <v>0</v>
      </c>
      <c r="AE19" s="1912">
        <f t="shared" si="0"/>
        <v>0</v>
      </c>
      <c r="AF19" s="1915">
        <f t="shared" si="0"/>
        <v>0</v>
      </c>
    </row>
    <row r="20" spans="2:33" s="1877" customFormat="1">
      <c r="B20" s="1878"/>
      <c r="C20" s="1878"/>
      <c r="D20" s="1895"/>
      <c r="E20" s="1895"/>
      <c r="F20" s="1895"/>
      <c r="G20" s="1895"/>
      <c r="H20" s="1895"/>
      <c r="I20" s="1895"/>
      <c r="J20" s="1895"/>
      <c r="K20" s="1895"/>
      <c r="L20" s="1895"/>
      <c r="M20" s="1895"/>
      <c r="N20" s="1895"/>
      <c r="O20" s="1895"/>
      <c r="P20" s="1895"/>
      <c r="Q20" s="1895"/>
      <c r="R20" s="1895"/>
      <c r="S20" s="1870"/>
      <c r="T20" s="1892"/>
      <c r="U20" s="1892"/>
      <c r="V20" s="1892"/>
      <c r="W20" s="1892"/>
      <c r="X20" s="1892"/>
      <c r="Y20" s="1892"/>
      <c r="Z20" s="1892"/>
      <c r="AA20" s="1892"/>
      <c r="AB20" s="1916"/>
      <c r="AC20" s="1892"/>
      <c r="AD20" s="1892"/>
      <c r="AE20" s="1892"/>
      <c r="AF20" s="1892"/>
    </row>
    <row r="21" spans="2:33" s="1877" customFormat="1">
      <c r="B21" s="1887" t="s">
        <v>945</v>
      </c>
      <c r="C21" s="1887"/>
      <c r="D21" s="1888" t="s">
        <v>946</v>
      </c>
      <c r="E21" s="1888"/>
      <c r="F21" s="1888"/>
      <c r="G21" s="1888"/>
      <c r="H21" s="1888"/>
      <c r="I21" s="1888"/>
      <c r="J21" s="1895"/>
      <c r="K21" s="1895"/>
      <c r="L21" s="1895"/>
      <c r="M21" s="1895"/>
      <c r="N21" s="1895"/>
      <c r="O21" s="1895"/>
      <c r="P21" s="1895"/>
      <c r="Q21" s="1895"/>
      <c r="R21" s="1895"/>
      <c r="S21" s="1870"/>
      <c r="T21" s="1892"/>
      <c r="U21" s="1892"/>
      <c r="V21" s="1892"/>
      <c r="W21" s="1892"/>
      <c r="X21" s="1892"/>
      <c r="Y21" s="1892"/>
      <c r="Z21" s="1892"/>
      <c r="AA21" s="1892"/>
      <c r="AB21" s="1916"/>
      <c r="AC21" s="1892"/>
      <c r="AD21" s="1892"/>
      <c r="AE21" s="1892"/>
      <c r="AF21" s="1892"/>
    </row>
    <row r="22" spans="2:33" s="1877" customFormat="1" outlineLevel="1">
      <c r="B22" s="1887"/>
      <c r="C22" s="1887"/>
      <c r="D22" s="1895"/>
      <c r="E22" s="1895"/>
      <c r="F22" s="1888" t="s">
        <v>947</v>
      </c>
      <c r="G22" s="1888"/>
      <c r="H22" s="1888"/>
      <c r="I22" s="1888"/>
      <c r="J22" s="1895"/>
      <c r="K22" s="1895"/>
      <c r="L22" s="1895"/>
      <c r="M22" s="1895"/>
      <c r="N22" s="1895"/>
      <c r="O22" s="1895"/>
      <c r="P22" s="1895"/>
      <c r="Q22" s="1895"/>
      <c r="R22" s="1895"/>
      <c r="S22" s="1870"/>
      <c r="T22" s="1892"/>
      <c r="U22" s="1892"/>
      <c r="V22" s="1892"/>
      <c r="W22" s="1892"/>
      <c r="X22" s="1892"/>
      <c r="Y22" s="1892"/>
      <c r="Z22" s="1892"/>
      <c r="AA22" s="1892"/>
      <c r="AB22" s="1916"/>
      <c r="AC22" s="1892"/>
      <c r="AD22" s="1892"/>
      <c r="AE22" s="1892"/>
      <c r="AF22" s="1892"/>
    </row>
    <row r="23" spans="2:33" s="1924" customFormat="1" ht="54.75" customHeight="1" outlineLevel="1">
      <c r="B23" s="1917"/>
      <c r="C23" s="1918" t="s">
        <v>948</v>
      </c>
      <c r="D23" s="1919" t="s">
        <v>949</v>
      </c>
      <c r="E23" s="1919" t="s">
        <v>950</v>
      </c>
      <c r="F23" s="1919" t="s">
        <v>951</v>
      </c>
      <c r="G23" s="1919" t="s">
        <v>952</v>
      </c>
      <c r="H23" s="1920" t="s">
        <v>953</v>
      </c>
      <c r="I23" s="1920" t="s">
        <v>954</v>
      </c>
      <c r="J23" s="1920" t="s">
        <v>955</v>
      </c>
      <c r="K23" s="1920" t="s">
        <v>956</v>
      </c>
      <c r="L23" s="1920" t="s">
        <v>957</v>
      </c>
      <c r="M23" s="1920" t="s">
        <v>958</v>
      </c>
      <c r="N23" s="1920" t="s">
        <v>959</v>
      </c>
      <c r="O23" s="1920" t="s">
        <v>960</v>
      </c>
      <c r="P23" s="1921" t="s">
        <v>961</v>
      </c>
      <c r="Q23" s="1920" t="s">
        <v>962</v>
      </c>
      <c r="R23" s="1920" t="s">
        <v>963</v>
      </c>
      <c r="S23" s="1920" t="s">
        <v>964</v>
      </c>
      <c r="T23" s="1922"/>
      <c r="U23" s="1922"/>
      <c r="V23" s="1922"/>
      <c r="W23" s="1922"/>
      <c r="X23" s="1922"/>
      <c r="Y23" s="1922"/>
      <c r="Z23" s="1922"/>
      <c r="AA23" s="1922"/>
      <c r="AB23" s="1923"/>
      <c r="AC23" s="1922"/>
      <c r="AD23" s="1922"/>
      <c r="AE23" s="1922"/>
      <c r="AF23" s="1922"/>
    </row>
    <row r="24" spans="2:33" outlineLevel="1">
      <c r="B24" s="1925" t="s">
        <v>965</v>
      </c>
      <c r="C24" s="1926"/>
      <c r="D24" s="1927" t="s">
        <v>966</v>
      </c>
      <c r="E24" s="1927" t="s">
        <v>966</v>
      </c>
      <c r="F24" s="1928"/>
      <c r="G24" s="1929"/>
      <c r="H24" s="1929"/>
      <c r="I24" s="1930"/>
      <c r="J24" s="1927" t="s">
        <v>627</v>
      </c>
      <c r="K24" s="1931" t="s">
        <v>967</v>
      </c>
      <c r="L24" s="1931" t="s">
        <v>498</v>
      </c>
      <c r="M24" s="1931" t="s">
        <v>498</v>
      </c>
      <c r="N24" s="1931" t="s">
        <v>627</v>
      </c>
      <c r="O24" s="1931" t="s">
        <v>968</v>
      </c>
      <c r="P24" s="1932"/>
      <c r="Q24" s="1931"/>
      <c r="R24" s="1931" t="s">
        <v>498</v>
      </c>
      <c r="S24" s="1931"/>
      <c r="T24" s="1896" t="s">
        <v>498</v>
      </c>
      <c r="U24" s="1897" t="s">
        <v>498</v>
      </c>
      <c r="V24" s="1897" t="s">
        <v>498</v>
      </c>
      <c r="W24" s="1897" t="s">
        <v>498</v>
      </c>
      <c r="X24" s="1897" t="s">
        <v>498</v>
      </c>
      <c r="Y24" s="1897" t="s">
        <v>498</v>
      </c>
      <c r="Z24" s="1897" t="s">
        <v>498</v>
      </c>
      <c r="AA24" s="1898" t="s">
        <v>498</v>
      </c>
      <c r="AB24" s="1899" t="s">
        <v>498</v>
      </c>
      <c r="AC24" s="1897" t="s">
        <v>498</v>
      </c>
      <c r="AD24" s="1897" t="s">
        <v>498</v>
      </c>
      <c r="AE24" s="1897" t="s">
        <v>498</v>
      </c>
      <c r="AF24" s="1900" t="s">
        <v>498</v>
      </c>
    </row>
    <row r="25" spans="2:33" outlineLevel="1">
      <c r="B25" s="1933" t="s">
        <v>969</v>
      </c>
      <c r="C25" s="1934" t="s">
        <v>970</v>
      </c>
      <c r="D25" s="1934">
        <v>43475</v>
      </c>
      <c r="E25" s="1934">
        <v>47128</v>
      </c>
      <c r="F25" s="1935" t="s">
        <v>971</v>
      </c>
      <c r="G25" s="2841" t="s">
        <v>972</v>
      </c>
      <c r="H25" s="2841" t="s">
        <v>973</v>
      </c>
      <c r="I25" s="2841" t="s">
        <v>974</v>
      </c>
      <c r="J25" s="1936">
        <v>2.8400000000000002E-2</v>
      </c>
      <c r="K25" s="1937" t="s">
        <v>975</v>
      </c>
      <c r="L25" s="1938">
        <v>50</v>
      </c>
      <c r="M25" s="1938">
        <v>0.16700000000000001</v>
      </c>
      <c r="N25" s="1936">
        <v>0</v>
      </c>
      <c r="O25" s="1936"/>
      <c r="P25" s="1939"/>
      <c r="Q25" s="1939"/>
      <c r="R25" s="1938">
        <v>50</v>
      </c>
      <c r="S25" s="1939">
        <v>2.8400000000000002E-2</v>
      </c>
      <c r="T25" s="1902"/>
      <c r="U25" s="1903"/>
      <c r="V25" s="1903"/>
      <c r="W25" s="1903"/>
      <c r="X25" s="1903"/>
      <c r="Y25" s="1903">
        <v>50</v>
      </c>
      <c r="Z25" s="1903">
        <v>50</v>
      </c>
      <c r="AA25" s="1904">
        <v>50</v>
      </c>
      <c r="AB25" s="1905">
        <v>50</v>
      </c>
      <c r="AC25" s="1903">
        <v>50</v>
      </c>
      <c r="AD25" s="1903">
        <v>50</v>
      </c>
      <c r="AE25" s="1903">
        <v>50</v>
      </c>
      <c r="AF25" s="1906">
        <v>50</v>
      </c>
    </row>
    <row r="26" spans="2:33" ht="38.25" outlineLevel="1">
      <c r="B26" s="1933" t="s">
        <v>976</v>
      </c>
      <c r="C26" s="1934"/>
      <c r="D26" s="1934"/>
      <c r="E26" s="1934"/>
      <c r="F26" s="2571" t="s">
        <v>977</v>
      </c>
      <c r="G26" s="2841"/>
      <c r="H26" s="2841"/>
      <c r="I26" s="2841"/>
      <c r="J26" s="1936"/>
      <c r="K26" s="1937"/>
      <c r="L26" s="1938"/>
      <c r="M26" s="1938"/>
      <c r="N26" s="1936"/>
      <c r="O26" s="1936"/>
      <c r="P26" s="1939"/>
      <c r="Q26" s="1939"/>
      <c r="R26" s="1938"/>
      <c r="S26" s="1939"/>
      <c r="T26" s="1902"/>
      <c r="U26" s="1903"/>
      <c r="V26" s="1903"/>
      <c r="W26" s="1903"/>
      <c r="X26" s="1903"/>
      <c r="Y26" s="1903">
        <v>1.4</v>
      </c>
      <c r="Z26" s="1903">
        <v>0</v>
      </c>
      <c r="AA26" s="1904">
        <v>0</v>
      </c>
      <c r="AB26" s="1905">
        <v>0</v>
      </c>
      <c r="AC26" s="1903">
        <v>0</v>
      </c>
      <c r="AD26" s="1903">
        <v>0</v>
      </c>
      <c r="AE26" s="1903">
        <v>0</v>
      </c>
      <c r="AF26" s="1906">
        <v>0</v>
      </c>
    </row>
    <row r="27" spans="2:33" ht="25.5" outlineLevel="1">
      <c r="B27" s="1933" t="s">
        <v>978</v>
      </c>
      <c r="C27" s="1934"/>
      <c r="D27" s="1934"/>
      <c r="E27" s="1934"/>
      <c r="F27" s="2571" t="s">
        <v>979</v>
      </c>
      <c r="G27" s="2841"/>
      <c r="H27" s="2841"/>
      <c r="I27" s="2841"/>
      <c r="J27" s="1936"/>
      <c r="K27" s="1937"/>
      <c r="L27" s="1938"/>
      <c r="M27" s="1938"/>
      <c r="N27" s="1936"/>
      <c r="O27" s="1936"/>
      <c r="P27" s="1939"/>
      <c r="Q27" s="1939"/>
      <c r="R27" s="1938"/>
      <c r="S27" s="1939"/>
      <c r="T27" s="1902"/>
      <c r="U27" s="1903"/>
      <c r="V27" s="1903"/>
      <c r="W27" s="1903"/>
      <c r="X27" s="1903"/>
      <c r="Y27" s="1903">
        <v>-0.16338332250000001</v>
      </c>
      <c r="Z27" s="1903">
        <f>(-$Y$27/10)+Y27</f>
        <v>-0.14704499025000001</v>
      </c>
      <c r="AA27" s="1903">
        <f t="shared" ref="AA27:AF27" si="1">(-$Y$27/10)+Z27</f>
        <v>-0.130706658</v>
      </c>
      <c r="AB27" s="1903">
        <f t="shared" si="1"/>
        <v>-0.11436832575</v>
      </c>
      <c r="AC27" s="1903">
        <f t="shared" si="1"/>
        <v>-9.8029993499999996E-2</v>
      </c>
      <c r="AD27" s="1903">
        <f t="shared" si="1"/>
        <v>-8.1691661249999992E-2</v>
      </c>
      <c r="AE27" s="1903">
        <f t="shared" si="1"/>
        <v>-6.5353328999999988E-2</v>
      </c>
      <c r="AF27" s="1903">
        <f t="shared" si="1"/>
        <v>-4.9014996749999984E-2</v>
      </c>
    </row>
    <row r="28" spans="2:33" outlineLevel="1">
      <c r="B28" s="1933" t="s">
        <v>980</v>
      </c>
      <c r="C28" s="1934" t="s">
        <v>981</v>
      </c>
      <c r="D28" s="1934">
        <v>43475</v>
      </c>
      <c r="E28" s="1934">
        <v>47858</v>
      </c>
      <c r="F28" s="1935" t="s">
        <v>971</v>
      </c>
      <c r="G28" s="2841" t="s">
        <v>972</v>
      </c>
      <c r="H28" s="2841" t="s">
        <v>973</v>
      </c>
      <c r="I28" s="2841" t="s">
        <v>974</v>
      </c>
      <c r="J28" s="1936">
        <v>2.9700000000000001E-2</v>
      </c>
      <c r="K28" s="1937" t="s">
        <v>975</v>
      </c>
      <c r="L28" s="1938">
        <v>150</v>
      </c>
      <c r="M28" s="1938">
        <v>0.501</v>
      </c>
      <c r="N28" s="1936">
        <v>0</v>
      </c>
      <c r="O28" s="1936"/>
      <c r="P28" s="1939"/>
      <c r="Q28" s="1939"/>
      <c r="R28" s="1938">
        <v>150</v>
      </c>
      <c r="S28" s="1939">
        <v>2.9700000000000001E-2</v>
      </c>
      <c r="T28" s="1902"/>
      <c r="U28" s="1903"/>
      <c r="V28" s="1903"/>
      <c r="W28" s="1903"/>
      <c r="X28" s="1903"/>
      <c r="Y28" s="1903">
        <v>150</v>
      </c>
      <c r="Z28" s="1903">
        <v>150</v>
      </c>
      <c r="AA28" s="1904">
        <v>150</v>
      </c>
      <c r="AB28" s="1905">
        <v>150</v>
      </c>
      <c r="AC28" s="1903">
        <v>150</v>
      </c>
      <c r="AD28" s="1903">
        <v>150</v>
      </c>
      <c r="AE28" s="1903">
        <v>150</v>
      </c>
      <c r="AF28" s="1906">
        <v>150</v>
      </c>
    </row>
    <row r="29" spans="2:33" ht="38.25" outlineLevel="1">
      <c r="B29" s="1933" t="s">
        <v>982</v>
      </c>
      <c r="C29" s="1934"/>
      <c r="D29" s="1934"/>
      <c r="E29" s="1934"/>
      <c r="F29" s="2571" t="s">
        <v>977</v>
      </c>
      <c r="G29" s="2841"/>
      <c r="H29" s="2841"/>
      <c r="I29" s="2841"/>
      <c r="J29" s="1936"/>
      <c r="K29" s="1937"/>
      <c r="L29" s="1938"/>
      <c r="M29" s="1938"/>
      <c r="N29" s="1936"/>
      <c r="O29" s="1936"/>
      <c r="P29" s="1939"/>
      <c r="Q29" s="1939"/>
      <c r="R29" s="1938"/>
      <c r="S29" s="1939"/>
      <c r="T29" s="1902"/>
      <c r="U29" s="1903"/>
      <c r="V29" s="1903"/>
      <c r="W29" s="1903"/>
      <c r="X29" s="1903"/>
      <c r="Y29" s="1903">
        <v>5.8</v>
      </c>
      <c r="Z29" s="1903">
        <v>0</v>
      </c>
      <c r="AA29" s="1904">
        <v>0</v>
      </c>
      <c r="AB29" s="1905">
        <v>0</v>
      </c>
      <c r="AC29" s="1903">
        <v>0</v>
      </c>
      <c r="AD29" s="1903">
        <v>0</v>
      </c>
      <c r="AE29" s="1903">
        <v>0</v>
      </c>
      <c r="AF29" s="1906">
        <v>0</v>
      </c>
    </row>
    <row r="30" spans="2:33" ht="25.5" outlineLevel="1">
      <c r="B30" s="1933" t="s">
        <v>983</v>
      </c>
      <c r="C30" s="1934"/>
      <c r="D30" s="1934"/>
      <c r="E30" s="1934"/>
      <c r="F30" s="2571" t="s">
        <v>979</v>
      </c>
      <c r="G30" s="2841"/>
      <c r="H30" s="2841"/>
      <c r="I30" s="2841"/>
      <c r="J30" s="1936"/>
      <c r="K30" s="1937"/>
      <c r="L30" s="1938"/>
      <c r="M30" s="1938"/>
      <c r="N30" s="1936"/>
      <c r="O30" s="1936"/>
      <c r="P30" s="1939"/>
      <c r="Q30" s="1939"/>
      <c r="R30" s="1938"/>
      <c r="S30" s="1939"/>
      <c r="T30" s="1902"/>
      <c r="U30" s="1903"/>
      <c r="V30" s="1903"/>
      <c r="W30" s="1903"/>
      <c r="X30" s="1903"/>
      <c r="Y30" s="1903">
        <v>-0.49014996750000001</v>
      </c>
      <c r="Z30" s="1903">
        <f>-($Y$30/12)+Y30</f>
        <v>-0.44930413687499998</v>
      </c>
      <c r="AA30" s="1903">
        <f t="shared" ref="AA30:AF30" si="2">-($Y$30/12)+Z30</f>
        <v>-0.40845830624999996</v>
      </c>
      <c r="AB30" s="1903">
        <f t="shared" si="2"/>
        <v>-0.36761247562499993</v>
      </c>
      <c r="AC30" s="1903">
        <f t="shared" si="2"/>
        <v>-0.32676664499999991</v>
      </c>
      <c r="AD30" s="1903">
        <f t="shared" si="2"/>
        <v>-0.28592081437499989</v>
      </c>
      <c r="AE30" s="1903">
        <f t="shared" si="2"/>
        <v>-0.24507498374999989</v>
      </c>
      <c r="AF30" s="1903">
        <f t="shared" si="2"/>
        <v>-0.2042291531249999</v>
      </c>
    </row>
    <row r="31" spans="2:33" outlineLevel="1">
      <c r="B31" s="1933" t="s">
        <v>984</v>
      </c>
      <c r="C31" s="1934"/>
      <c r="D31" s="1934"/>
      <c r="E31" s="1934"/>
      <c r="F31" s="1935"/>
      <c r="G31" s="2841"/>
      <c r="H31" s="2841"/>
      <c r="I31" s="2841"/>
      <c r="J31" s="1936"/>
      <c r="K31" s="1937"/>
      <c r="L31" s="1938"/>
      <c r="M31" s="1938"/>
      <c r="N31" s="1936"/>
      <c r="O31" s="1936"/>
      <c r="P31" s="1939"/>
      <c r="Q31" s="1939"/>
      <c r="R31" s="1938"/>
      <c r="S31" s="1939"/>
      <c r="T31" s="1902"/>
      <c r="U31" s="1903"/>
      <c r="V31" s="1903"/>
      <c r="W31" s="1903"/>
      <c r="X31" s="1903"/>
      <c r="Y31" s="1903"/>
      <c r="Z31" s="1903"/>
      <c r="AA31" s="1904"/>
      <c r="AB31" s="1905"/>
      <c r="AC31" s="1903"/>
      <c r="AD31" s="1903"/>
      <c r="AE31" s="1903"/>
      <c r="AF31" s="1906"/>
    </row>
    <row r="32" spans="2:33" outlineLevel="1">
      <c r="B32" s="1933" t="s">
        <v>985</v>
      </c>
      <c r="C32" s="1934"/>
      <c r="D32" s="1934"/>
      <c r="E32" s="1934"/>
      <c r="F32" s="1935"/>
      <c r="G32" s="2841"/>
      <c r="H32" s="2841"/>
      <c r="I32" s="2841"/>
      <c r="J32" s="1936"/>
      <c r="K32" s="1937"/>
      <c r="L32" s="1938"/>
      <c r="M32" s="1938"/>
      <c r="N32" s="1936"/>
      <c r="O32" s="1936"/>
      <c r="P32" s="1939"/>
      <c r="Q32" s="1939"/>
      <c r="R32" s="1938"/>
      <c r="S32" s="1939"/>
      <c r="T32" s="1902"/>
      <c r="U32" s="1903"/>
      <c r="V32" s="1903"/>
      <c r="W32" s="1903"/>
      <c r="X32" s="1903"/>
      <c r="Y32" s="1903"/>
      <c r="Z32" s="1903"/>
      <c r="AA32" s="1904"/>
      <c r="AB32" s="1905"/>
      <c r="AC32" s="1903"/>
      <c r="AD32" s="1903"/>
      <c r="AE32" s="1903"/>
      <c r="AF32" s="1906"/>
    </row>
    <row r="33" spans="2:32" outlineLevel="1">
      <c r="B33" s="1933" t="s">
        <v>986</v>
      </c>
      <c r="C33" s="1934"/>
      <c r="D33" s="1934"/>
      <c r="E33" s="1934"/>
      <c r="F33" s="1935"/>
      <c r="G33" s="2841"/>
      <c r="H33" s="2841"/>
      <c r="I33" s="2841"/>
      <c r="J33" s="1936"/>
      <c r="K33" s="1937"/>
      <c r="L33" s="1938"/>
      <c r="M33" s="1938"/>
      <c r="N33" s="1936"/>
      <c r="O33" s="1936"/>
      <c r="P33" s="1939"/>
      <c r="Q33" s="1939"/>
      <c r="R33" s="1938"/>
      <c r="S33" s="1939"/>
      <c r="T33" s="1902"/>
      <c r="U33" s="1903"/>
      <c r="V33" s="1903"/>
      <c r="W33" s="1903"/>
      <c r="X33" s="1903"/>
      <c r="Y33" s="1903"/>
      <c r="Z33" s="1903"/>
      <c r="AA33" s="1904"/>
      <c r="AB33" s="1905"/>
      <c r="AC33" s="1903"/>
      <c r="AD33" s="1903"/>
      <c r="AE33" s="1903"/>
      <c r="AF33" s="1906"/>
    </row>
    <row r="34" spans="2:32" outlineLevel="1">
      <c r="B34" s="1940" t="s">
        <v>987</v>
      </c>
      <c r="C34" s="2979" t="s">
        <v>943</v>
      </c>
      <c r="D34" s="2955"/>
      <c r="E34" s="2955"/>
      <c r="F34" s="2955"/>
      <c r="G34" s="2955"/>
      <c r="H34" s="2955"/>
      <c r="I34" s="2955"/>
      <c r="J34" s="2955"/>
      <c r="K34" s="2955"/>
      <c r="L34" s="2955"/>
      <c r="M34" s="2955"/>
      <c r="N34" s="2955"/>
      <c r="O34" s="2955"/>
      <c r="P34" s="2955"/>
      <c r="Q34" s="2955"/>
      <c r="R34" s="2955"/>
      <c r="S34" s="2956"/>
      <c r="T34" s="1941"/>
      <c r="U34" s="1942"/>
      <c r="V34" s="1942"/>
      <c r="W34" s="1942"/>
      <c r="X34" s="1942"/>
      <c r="Y34" s="1942"/>
      <c r="Z34" s="1942"/>
      <c r="AA34" s="1943"/>
      <c r="AB34" s="1944"/>
      <c r="AC34" s="1942"/>
      <c r="AD34" s="1942"/>
      <c r="AE34" s="1942"/>
      <c r="AF34" s="1945"/>
    </row>
    <row r="35" spans="2:32" s="1877" customFormat="1" outlineLevel="1">
      <c r="B35" s="1878"/>
      <c r="C35" s="1878"/>
      <c r="D35" s="1895"/>
      <c r="E35" s="1895"/>
      <c r="F35" s="1895"/>
      <c r="G35" s="1895"/>
      <c r="H35" s="1895"/>
      <c r="I35" s="1895"/>
      <c r="J35" s="1895"/>
      <c r="K35" s="1895"/>
      <c r="L35" s="1895"/>
      <c r="M35" s="1895"/>
      <c r="N35" s="1895"/>
      <c r="O35" s="1895"/>
      <c r="P35" s="1895"/>
      <c r="S35" s="1870"/>
      <c r="T35" s="1892"/>
      <c r="U35" s="1892"/>
      <c r="V35" s="1892"/>
      <c r="W35" s="1892"/>
      <c r="X35" s="1892"/>
      <c r="Y35" s="1892"/>
      <c r="Z35" s="1892"/>
      <c r="AA35" s="1892"/>
      <c r="AB35" s="1916"/>
      <c r="AC35" s="1892"/>
      <c r="AD35" s="1892"/>
      <c r="AE35" s="1892"/>
      <c r="AF35" s="1892"/>
    </row>
    <row r="36" spans="2:32" s="1877" customFormat="1" outlineLevel="1">
      <c r="B36" s="1878"/>
      <c r="C36" s="1878"/>
      <c r="D36" s="1895"/>
      <c r="E36" s="1895"/>
      <c r="F36" s="1888" t="s">
        <v>988</v>
      </c>
      <c r="G36" s="1888"/>
      <c r="H36" s="1888"/>
      <c r="I36" s="1888"/>
      <c r="J36" s="1895"/>
      <c r="K36" s="1895"/>
      <c r="L36" s="1895"/>
      <c r="M36" s="1895"/>
      <c r="N36" s="1895"/>
      <c r="O36" s="1895"/>
      <c r="P36" s="1946"/>
      <c r="S36" s="1870"/>
      <c r="T36" s="1892"/>
      <c r="U36" s="1892"/>
      <c r="V36" s="1892"/>
      <c r="W36" s="1892"/>
      <c r="X36" s="1892"/>
      <c r="Y36" s="1892"/>
      <c r="Z36" s="1892"/>
      <c r="AA36" s="1892"/>
      <c r="AB36" s="1916"/>
      <c r="AC36" s="1892"/>
      <c r="AD36" s="1892"/>
      <c r="AE36" s="1892"/>
      <c r="AF36" s="1892"/>
    </row>
    <row r="37" spans="2:32" s="1947" customFormat="1" ht="54.75" customHeight="1" outlineLevel="1">
      <c r="B37" s="1917"/>
      <c r="C37" s="1920" t="s">
        <v>989</v>
      </c>
      <c r="D37" s="1919" t="s">
        <v>949</v>
      </c>
      <c r="E37" s="1919" t="s">
        <v>950</v>
      </c>
      <c r="F37" s="1919" t="s">
        <v>951</v>
      </c>
      <c r="G37" s="1919" t="s">
        <v>990</v>
      </c>
      <c r="H37" s="1920" t="s">
        <v>953</v>
      </c>
      <c r="I37" s="1920" t="s">
        <v>954</v>
      </c>
      <c r="J37" s="1920" t="s">
        <v>991</v>
      </c>
      <c r="K37" s="1920" t="s">
        <v>956</v>
      </c>
      <c r="L37" s="1920" t="s">
        <v>992</v>
      </c>
      <c r="M37" s="1920" t="s">
        <v>958</v>
      </c>
      <c r="N37" s="1920" t="s">
        <v>959</v>
      </c>
      <c r="O37" s="1920" t="s">
        <v>960</v>
      </c>
      <c r="P37" s="1920" t="s">
        <v>961</v>
      </c>
      <c r="Q37" s="1920" t="s">
        <v>962</v>
      </c>
      <c r="R37" s="1921" t="s">
        <v>993</v>
      </c>
      <c r="S37" s="1920" t="s">
        <v>994</v>
      </c>
      <c r="T37" s="1922"/>
      <c r="U37" s="1922"/>
      <c r="V37" s="1922"/>
      <c r="W37" s="1922"/>
      <c r="X37" s="1922"/>
      <c r="Y37" s="1922"/>
      <c r="Z37" s="1922"/>
      <c r="AA37" s="1922"/>
      <c r="AB37" s="1923"/>
      <c r="AC37" s="1922"/>
      <c r="AD37" s="1922"/>
      <c r="AE37" s="1922"/>
      <c r="AF37" s="1922"/>
    </row>
    <row r="38" spans="2:32" s="1877" customFormat="1" ht="25.5" outlineLevel="1">
      <c r="B38" s="1925" t="s">
        <v>965</v>
      </c>
      <c r="C38" s="1926"/>
      <c r="D38" s="1927" t="s">
        <v>966</v>
      </c>
      <c r="E38" s="1927" t="s">
        <v>966</v>
      </c>
      <c r="F38" s="1928"/>
      <c r="G38" s="1929"/>
      <c r="H38" s="1929"/>
      <c r="I38" s="1930"/>
      <c r="J38" s="1927" t="s">
        <v>995</v>
      </c>
      <c r="K38" s="1931" t="s">
        <v>996</v>
      </c>
      <c r="L38" s="1931" t="s">
        <v>498</v>
      </c>
      <c r="M38" s="1931" t="s">
        <v>498</v>
      </c>
      <c r="N38" s="1931" t="s">
        <v>627</v>
      </c>
      <c r="O38" s="1931" t="s">
        <v>968</v>
      </c>
      <c r="P38" s="1931"/>
      <c r="Q38" s="1931"/>
      <c r="R38" s="1932"/>
      <c r="S38" s="1931" t="s">
        <v>498</v>
      </c>
      <c r="T38" s="1896" t="s">
        <v>498</v>
      </c>
      <c r="U38" s="1897" t="s">
        <v>498</v>
      </c>
      <c r="V38" s="1897" t="s">
        <v>498</v>
      </c>
      <c r="W38" s="1897" t="s">
        <v>498</v>
      </c>
      <c r="X38" s="1897" t="s">
        <v>498</v>
      </c>
      <c r="Y38" s="1897" t="s">
        <v>498</v>
      </c>
      <c r="Z38" s="1897" t="s">
        <v>498</v>
      </c>
      <c r="AA38" s="1898" t="s">
        <v>498</v>
      </c>
      <c r="AB38" s="1899" t="s">
        <v>498</v>
      </c>
      <c r="AC38" s="1897" t="s">
        <v>498</v>
      </c>
      <c r="AD38" s="1897" t="s">
        <v>498</v>
      </c>
      <c r="AE38" s="1897" t="s">
        <v>498</v>
      </c>
      <c r="AF38" s="1900" t="s">
        <v>498</v>
      </c>
    </row>
    <row r="39" spans="2:32" s="1877" customFormat="1" outlineLevel="1">
      <c r="B39" s="1933" t="s">
        <v>997</v>
      </c>
      <c r="C39" s="1934"/>
      <c r="D39" s="1934">
        <v>39835</v>
      </c>
      <c r="E39" s="1934">
        <v>44949</v>
      </c>
      <c r="F39" s="2572" t="s">
        <v>998</v>
      </c>
      <c r="G39" s="2841" t="s">
        <v>999</v>
      </c>
      <c r="H39" s="2841" t="s">
        <v>973</v>
      </c>
      <c r="I39" s="2841" t="s">
        <v>1000</v>
      </c>
      <c r="J39" s="1936">
        <v>3.5699999999999998E-3</v>
      </c>
      <c r="K39" s="1937" t="s">
        <v>975</v>
      </c>
      <c r="L39" s="1903">
        <v>25</v>
      </c>
      <c r="M39" s="1938">
        <v>0</v>
      </c>
      <c r="N39" s="1936">
        <v>1</v>
      </c>
      <c r="O39" s="1936">
        <v>0.02</v>
      </c>
      <c r="P39" s="1939"/>
      <c r="Q39" s="1939"/>
      <c r="R39" s="1948" t="s">
        <v>1001</v>
      </c>
      <c r="S39" s="2573">
        <v>1E-3</v>
      </c>
      <c r="T39" s="1903">
        <v>25</v>
      </c>
      <c r="U39" s="1903">
        <v>25</v>
      </c>
      <c r="V39" s="1903">
        <v>25</v>
      </c>
      <c r="W39" s="1903">
        <v>25</v>
      </c>
      <c r="X39" s="1903">
        <v>25</v>
      </c>
      <c r="Y39" s="1903">
        <v>25</v>
      </c>
      <c r="Z39" s="1903">
        <v>25</v>
      </c>
      <c r="AA39" s="1903">
        <v>25</v>
      </c>
      <c r="AB39" s="1903">
        <v>25</v>
      </c>
      <c r="AC39" s="1903"/>
      <c r="AD39" s="1903"/>
      <c r="AE39" s="1903"/>
      <c r="AF39" s="1906"/>
    </row>
    <row r="40" spans="2:32" s="1877" customFormat="1" outlineLevel="1">
      <c r="B40" s="1933" t="s">
        <v>1002</v>
      </c>
      <c r="C40" s="1934"/>
      <c r="D40" s="1934">
        <v>40267</v>
      </c>
      <c r="E40" s="1934">
        <v>45381</v>
      </c>
      <c r="F40" s="2572" t="s">
        <v>998</v>
      </c>
      <c r="G40" s="2841" t="s">
        <v>999</v>
      </c>
      <c r="H40" s="2841" t="s">
        <v>973</v>
      </c>
      <c r="I40" s="2841" t="s">
        <v>1000</v>
      </c>
      <c r="J40" s="1936">
        <v>6.2399999999999999E-3</v>
      </c>
      <c r="K40" s="1937" t="s">
        <v>975</v>
      </c>
      <c r="L40" s="1903">
        <v>100</v>
      </c>
      <c r="M40" s="1938">
        <v>0.1</v>
      </c>
      <c r="N40" s="1936">
        <v>1</v>
      </c>
      <c r="O40" s="1936">
        <v>3.9800000000000002E-2</v>
      </c>
      <c r="P40" s="1939"/>
      <c r="Q40" s="1939"/>
      <c r="R40" s="1948" t="s">
        <v>1001</v>
      </c>
      <c r="S40" s="2573">
        <v>1E-3</v>
      </c>
      <c r="T40" s="1903">
        <v>100</v>
      </c>
      <c r="U40" s="1903">
        <v>100</v>
      </c>
      <c r="V40" s="1903">
        <v>100</v>
      </c>
      <c r="W40" s="1903">
        <v>100</v>
      </c>
      <c r="X40" s="1903">
        <v>100</v>
      </c>
      <c r="Y40" s="1903">
        <v>100</v>
      </c>
      <c r="Z40" s="1903">
        <v>100</v>
      </c>
      <c r="AA40" s="1903">
        <v>100</v>
      </c>
      <c r="AB40" s="1903">
        <v>100</v>
      </c>
      <c r="AC40" s="1903">
        <v>100</v>
      </c>
      <c r="AD40" s="1903"/>
      <c r="AE40" s="1903"/>
      <c r="AF40" s="1906"/>
    </row>
    <row r="41" spans="2:32" s="1877" customFormat="1" outlineLevel="1">
      <c r="B41" s="1933" t="s">
        <v>1003</v>
      </c>
      <c r="C41" s="1934"/>
      <c r="D41" s="1934">
        <v>40353</v>
      </c>
      <c r="E41" s="1934">
        <v>45467</v>
      </c>
      <c r="F41" s="2572" t="s">
        <v>998</v>
      </c>
      <c r="G41" s="2841" t="s">
        <v>999</v>
      </c>
      <c r="H41" s="2841" t="s">
        <v>973</v>
      </c>
      <c r="I41" s="2841" t="s">
        <v>1000</v>
      </c>
      <c r="J41" s="1936">
        <v>5.4799999999999996E-3</v>
      </c>
      <c r="K41" s="1937" t="s">
        <v>975</v>
      </c>
      <c r="L41" s="1903">
        <v>25</v>
      </c>
      <c r="M41" s="1938">
        <v>0</v>
      </c>
      <c r="N41" s="1936">
        <v>1</v>
      </c>
      <c r="O41" s="1936">
        <v>2.6100000000000002E-2</v>
      </c>
      <c r="P41" s="1939"/>
      <c r="Q41" s="1939"/>
      <c r="R41" s="1948" t="s">
        <v>1001</v>
      </c>
      <c r="S41" s="2573">
        <v>1E-3</v>
      </c>
      <c r="T41" s="1903">
        <v>25</v>
      </c>
      <c r="U41" s="1903">
        <v>25</v>
      </c>
      <c r="V41" s="1903">
        <v>25</v>
      </c>
      <c r="W41" s="1903">
        <v>25</v>
      </c>
      <c r="X41" s="1903">
        <v>25</v>
      </c>
      <c r="Y41" s="1903">
        <v>25</v>
      </c>
      <c r="Z41" s="1903">
        <v>25</v>
      </c>
      <c r="AA41" s="1903">
        <v>25</v>
      </c>
      <c r="AB41" s="1903">
        <v>25</v>
      </c>
      <c r="AC41" s="1903">
        <v>25</v>
      </c>
      <c r="AD41" s="1903">
        <v>25</v>
      </c>
      <c r="AE41" s="1903"/>
      <c r="AF41" s="1906"/>
    </row>
    <row r="42" spans="2:32" s="1877" customFormat="1" outlineLevel="1">
      <c r="B42" s="1933" t="s">
        <v>1004</v>
      </c>
      <c r="C42" s="1934"/>
      <c r="D42" s="1934">
        <v>41120</v>
      </c>
      <c r="E42" s="1934">
        <v>45503</v>
      </c>
      <c r="F42" s="2572" t="s">
        <v>998</v>
      </c>
      <c r="G42" s="2841" t="s">
        <v>999</v>
      </c>
      <c r="H42" s="2841" t="s">
        <v>973</v>
      </c>
      <c r="I42" s="2841" t="s">
        <v>1000</v>
      </c>
      <c r="J42" s="1936">
        <v>4.5799999999999999E-3</v>
      </c>
      <c r="K42" s="1937" t="s">
        <v>975</v>
      </c>
      <c r="L42" s="1903">
        <v>60</v>
      </c>
      <c r="M42" s="1938">
        <v>0.1</v>
      </c>
      <c r="N42" s="1936">
        <v>1</v>
      </c>
      <c r="O42" s="1936">
        <v>3.0800000000000001E-2</v>
      </c>
      <c r="P42" s="1939"/>
      <c r="Q42" s="1939"/>
      <c r="R42" s="1948" t="s">
        <v>1001</v>
      </c>
      <c r="S42" s="2573">
        <v>1E-3</v>
      </c>
      <c r="T42" s="1903">
        <v>60</v>
      </c>
      <c r="U42" s="1903">
        <v>60</v>
      </c>
      <c r="V42" s="1903">
        <v>60</v>
      </c>
      <c r="W42" s="1903">
        <v>60</v>
      </c>
      <c r="X42" s="1903">
        <v>60</v>
      </c>
      <c r="Y42" s="1903">
        <v>60</v>
      </c>
      <c r="Z42" s="1903">
        <v>60</v>
      </c>
      <c r="AA42" s="1903">
        <v>60</v>
      </c>
      <c r="AB42" s="1903">
        <v>60</v>
      </c>
      <c r="AC42" s="1903">
        <v>60</v>
      </c>
      <c r="AD42" s="1903">
        <v>60</v>
      </c>
      <c r="AE42" s="1903"/>
      <c r="AF42" s="1906"/>
    </row>
    <row r="43" spans="2:32" s="1877" customFormat="1" outlineLevel="1">
      <c r="B43" s="1933" t="s">
        <v>1005</v>
      </c>
      <c r="C43" s="1934"/>
      <c r="D43" s="1934">
        <v>41263</v>
      </c>
      <c r="E43" s="1934">
        <v>45646</v>
      </c>
      <c r="F43" s="2572" t="s">
        <v>998</v>
      </c>
      <c r="G43" s="2841" t="s">
        <v>972</v>
      </c>
      <c r="H43" s="2841" t="s">
        <v>973</v>
      </c>
      <c r="I43" s="2841" t="s">
        <v>974</v>
      </c>
      <c r="J43" s="1936">
        <v>3.4459999999999998E-2</v>
      </c>
      <c r="K43" s="1937" t="s">
        <v>975</v>
      </c>
      <c r="L43" s="1903">
        <v>40</v>
      </c>
      <c r="M43" s="1938">
        <v>0</v>
      </c>
      <c r="N43" s="1936">
        <v>0</v>
      </c>
      <c r="O43" s="1936">
        <v>3.4459999999999998E-2</v>
      </c>
      <c r="P43" s="1939"/>
      <c r="Q43" s="1939"/>
      <c r="R43" s="1948" t="s">
        <v>1001</v>
      </c>
      <c r="S43" s="2573">
        <v>1E-3</v>
      </c>
      <c r="T43" s="1903">
        <v>40</v>
      </c>
      <c r="U43" s="1903">
        <v>40</v>
      </c>
      <c r="V43" s="1903">
        <v>40</v>
      </c>
      <c r="W43" s="1903">
        <v>40</v>
      </c>
      <c r="X43" s="1903">
        <v>40</v>
      </c>
      <c r="Y43" s="1903">
        <v>40</v>
      </c>
      <c r="Z43" s="1903">
        <v>40</v>
      </c>
      <c r="AA43" s="1903">
        <v>40</v>
      </c>
      <c r="AB43" s="1903">
        <v>40</v>
      </c>
      <c r="AC43" s="1903">
        <v>40</v>
      </c>
      <c r="AD43" s="1903">
        <v>40</v>
      </c>
      <c r="AE43" s="1903"/>
      <c r="AF43" s="1906"/>
    </row>
    <row r="44" spans="2:32" s="1877" customFormat="1" outlineLevel="1">
      <c r="B44" s="1933" t="s">
        <v>1006</v>
      </c>
      <c r="C44" s="1934"/>
      <c r="D44" s="1934">
        <v>41358</v>
      </c>
      <c r="E44" s="1934">
        <v>49028</v>
      </c>
      <c r="F44" s="2572" t="s">
        <v>998</v>
      </c>
      <c r="G44" s="2841" t="s">
        <v>999</v>
      </c>
      <c r="H44" s="2841" t="s">
        <v>973</v>
      </c>
      <c r="I44" s="2841" t="s">
        <v>1000</v>
      </c>
      <c r="J44" s="1936">
        <v>8.6E-3</v>
      </c>
      <c r="K44" s="1937" t="s">
        <v>975</v>
      </c>
      <c r="L44" s="1903">
        <v>29.474</v>
      </c>
      <c r="M44" s="1938">
        <v>0</v>
      </c>
      <c r="N44" s="1936">
        <v>1</v>
      </c>
      <c r="O44" s="1936">
        <v>2.6599999999999999E-2</v>
      </c>
      <c r="P44" s="1939"/>
      <c r="Q44" s="1939"/>
      <c r="R44" s="1948" t="s">
        <v>1001</v>
      </c>
      <c r="S44" s="2573">
        <v>1E-3</v>
      </c>
      <c r="T44" s="1902">
        <v>35</v>
      </c>
      <c r="U44" s="1903">
        <v>35</v>
      </c>
      <c r="V44" s="1903">
        <v>33.200000000000003</v>
      </c>
      <c r="W44" s="1903">
        <v>31.4</v>
      </c>
      <c r="X44" s="1903">
        <v>29.474</v>
      </c>
      <c r="Y44" s="1903">
        <v>27.6</v>
      </c>
      <c r="Z44" s="1903">
        <v>25.8</v>
      </c>
      <c r="AA44" s="1904">
        <v>23.9</v>
      </c>
      <c r="AB44" s="1905">
        <v>22.1</v>
      </c>
      <c r="AC44" s="1903">
        <v>20.3</v>
      </c>
      <c r="AD44" s="1903">
        <v>18.399999999999999</v>
      </c>
      <c r="AE44" s="1903">
        <v>16.600000000000001</v>
      </c>
      <c r="AF44" s="1906">
        <v>14.7</v>
      </c>
    </row>
    <row r="45" spans="2:32" s="1877" customFormat="1" outlineLevel="1">
      <c r="B45" s="1933" t="s">
        <v>1007</v>
      </c>
      <c r="C45" s="1934"/>
      <c r="D45" s="1934">
        <v>42094</v>
      </c>
      <c r="E45" s="1934">
        <v>46477</v>
      </c>
      <c r="F45" s="2572" t="s">
        <v>998</v>
      </c>
      <c r="G45" s="2841" t="s">
        <v>999</v>
      </c>
      <c r="H45" s="2841" t="s">
        <v>973</v>
      </c>
      <c r="I45" s="2841" t="s">
        <v>1000</v>
      </c>
      <c r="J45" s="1936">
        <v>5.3400000000000001E-3</v>
      </c>
      <c r="K45" s="1937" t="s">
        <v>975</v>
      </c>
      <c r="L45" s="1903">
        <v>30</v>
      </c>
      <c r="M45" s="1938">
        <v>0</v>
      </c>
      <c r="N45" s="1936">
        <v>1</v>
      </c>
      <c r="O45" s="1936">
        <v>2.1700000000000001E-2</v>
      </c>
      <c r="P45" s="1939"/>
      <c r="Q45" s="1939"/>
      <c r="R45" s="1948" t="s">
        <v>1001</v>
      </c>
      <c r="S45" s="2573">
        <v>1E-3</v>
      </c>
      <c r="T45" s="1902"/>
      <c r="U45" s="1903">
        <v>30</v>
      </c>
      <c r="V45" s="1903">
        <v>30</v>
      </c>
      <c r="W45" s="1903">
        <v>30</v>
      </c>
      <c r="X45" s="1903">
        <v>30</v>
      </c>
      <c r="Y45" s="1903">
        <v>30</v>
      </c>
      <c r="Z45" s="1903">
        <v>30</v>
      </c>
      <c r="AA45" s="1903">
        <v>30</v>
      </c>
      <c r="AB45" s="1903">
        <v>30</v>
      </c>
      <c r="AC45" s="1903">
        <v>30</v>
      </c>
      <c r="AD45" s="1903">
        <v>30</v>
      </c>
      <c r="AE45" s="1903">
        <v>30</v>
      </c>
      <c r="AF45" s="1903">
        <v>30</v>
      </c>
    </row>
    <row r="46" spans="2:32" s="1877" customFormat="1" outlineLevel="1">
      <c r="B46" s="1933" t="s">
        <v>1008</v>
      </c>
      <c r="C46" s="1934"/>
      <c r="D46" s="1934">
        <v>42429</v>
      </c>
      <c r="E46" s="1934">
        <v>46811</v>
      </c>
      <c r="F46" s="2572" t="s">
        <v>998</v>
      </c>
      <c r="G46" s="2841" t="s">
        <v>999</v>
      </c>
      <c r="H46" s="2841" t="s">
        <v>973</v>
      </c>
      <c r="I46" s="2841" t="s">
        <v>1000</v>
      </c>
      <c r="J46" s="1936">
        <v>6.2700000000000004E-3</v>
      </c>
      <c r="K46" s="1937" t="s">
        <v>975</v>
      </c>
      <c r="L46" s="1903">
        <v>30</v>
      </c>
      <c r="M46" s="1938">
        <v>0</v>
      </c>
      <c r="N46" s="1936">
        <v>1</v>
      </c>
      <c r="O46" s="1936">
        <v>1.9599999999999999E-2</v>
      </c>
      <c r="P46" s="1939"/>
      <c r="Q46" s="1939"/>
      <c r="R46" s="1948" t="s">
        <v>1001</v>
      </c>
      <c r="S46" s="2573">
        <v>1E-3</v>
      </c>
      <c r="T46" s="1902"/>
      <c r="U46" s="1903"/>
      <c r="V46" s="1903">
        <v>30</v>
      </c>
      <c r="W46" s="1903">
        <v>30</v>
      </c>
      <c r="X46" s="1903">
        <v>30</v>
      </c>
      <c r="Y46" s="1903">
        <v>30</v>
      </c>
      <c r="Z46" s="1903">
        <v>30</v>
      </c>
      <c r="AA46" s="1903">
        <v>30</v>
      </c>
      <c r="AB46" s="1903">
        <v>30</v>
      </c>
      <c r="AC46" s="1903">
        <v>30</v>
      </c>
      <c r="AD46" s="1903">
        <v>30</v>
      </c>
      <c r="AE46" s="1903">
        <v>30</v>
      </c>
      <c r="AF46" s="1903">
        <v>30</v>
      </c>
    </row>
    <row r="47" spans="2:32" s="1877" customFormat="1" outlineLevel="1">
      <c r="B47" s="1933" t="s">
        <v>1009</v>
      </c>
      <c r="C47" s="1934"/>
      <c r="D47" s="1934">
        <v>42724</v>
      </c>
      <c r="E47" s="1934">
        <v>47107</v>
      </c>
      <c r="F47" s="2572" t="s">
        <v>998</v>
      </c>
      <c r="G47" s="2841" t="s">
        <v>999</v>
      </c>
      <c r="H47" s="2841" t="s">
        <v>973</v>
      </c>
      <c r="I47" s="2841" t="s">
        <v>1000</v>
      </c>
      <c r="J47" s="1936">
        <v>8.3400000000000002E-3</v>
      </c>
      <c r="K47" s="1937" t="s">
        <v>975</v>
      </c>
      <c r="L47" s="1903">
        <v>50</v>
      </c>
      <c r="M47" s="1938">
        <v>0.1</v>
      </c>
      <c r="N47" s="1936">
        <v>1</v>
      </c>
      <c r="O47" s="1936">
        <v>1.95E-2</v>
      </c>
      <c r="P47" s="1939"/>
      <c r="Q47" s="1939"/>
      <c r="R47" s="1948" t="s">
        <v>1001</v>
      </c>
      <c r="S47" s="2573">
        <v>1E-3</v>
      </c>
      <c r="T47" s="1902"/>
      <c r="U47" s="1903"/>
      <c r="V47" s="1903"/>
      <c r="W47" s="1903">
        <v>50</v>
      </c>
      <c r="X47" s="1903">
        <v>50</v>
      </c>
      <c r="Y47" s="1903">
        <v>50</v>
      </c>
      <c r="Z47" s="1903">
        <v>50</v>
      </c>
      <c r="AA47" s="1903">
        <v>50</v>
      </c>
      <c r="AB47" s="1903">
        <v>50</v>
      </c>
      <c r="AC47" s="1903">
        <v>50</v>
      </c>
      <c r="AD47" s="1903">
        <v>50</v>
      </c>
      <c r="AE47" s="1903">
        <v>50</v>
      </c>
      <c r="AF47" s="1903">
        <v>50</v>
      </c>
    </row>
    <row r="48" spans="2:32" s="1877" customFormat="1" outlineLevel="1">
      <c r="B48" s="1933" t="s">
        <v>1010</v>
      </c>
      <c r="C48" s="1934"/>
      <c r="D48" s="1934">
        <v>42825</v>
      </c>
      <c r="E48" s="1934">
        <v>47206</v>
      </c>
      <c r="F48" s="2572" t="s">
        <v>998</v>
      </c>
      <c r="G48" s="2841" t="s">
        <v>999</v>
      </c>
      <c r="H48" s="2841" t="s">
        <v>973</v>
      </c>
      <c r="I48" s="2841" t="s">
        <v>1000</v>
      </c>
      <c r="J48" s="1936">
        <v>9.3399999999999993E-3</v>
      </c>
      <c r="K48" s="1937" t="s">
        <v>975</v>
      </c>
      <c r="L48" s="1903">
        <v>40</v>
      </c>
      <c r="M48" s="1938">
        <v>0</v>
      </c>
      <c r="N48" s="1936">
        <v>1</v>
      </c>
      <c r="O48" s="1936">
        <v>2.9399999999999999E-2</v>
      </c>
      <c r="P48" s="1939"/>
      <c r="Q48" s="1939"/>
      <c r="R48" s="1948" t="s">
        <v>1001</v>
      </c>
      <c r="S48" s="2573">
        <v>1E-3</v>
      </c>
      <c r="T48" s="1902"/>
      <c r="U48" s="1903"/>
      <c r="V48" s="1903"/>
      <c r="W48" s="1903">
        <v>40</v>
      </c>
      <c r="X48" s="1903">
        <v>40</v>
      </c>
      <c r="Y48" s="1903">
        <v>40</v>
      </c>
      <c r="Z48" s="1903">
        <v>40</v>
      </c>
      <c r="AA48" s="1903">
        <v>40</v>
      </c>
      <c r="AB48" s="1903">
        <v>40</v>
      </c>
      <c r="AC48" s="1903">
        <v>40</v>
      </c>
      <c r="AD48" s="1903">
        <v>40</v>
      </c>
      <c r="AE48" s="1903">
        <v>40</v>
      </c>
      <c r="AF48" s="1903">
        <v>40</v>
      </c>
    </row>
    <row r="49" spans="2:32" s="1877" customFormat="1" outlineLevel="1">
      <c r="B49" s="1933" t="s">
        <v>1011</v>
      </c>
      <c r="C49" s="1934"/>
      <c r="D49" s="1934">
        <v>43454</v>
      </c>
      <c r="E49" s="1934">
        <v>43486</v>
      </c>
      <c r="F49" s="2572" t="s">
        <v>1012</v>
      </c>
      <c r="G49" s="2841" t="s">
        <v>999</v>
      </c>
      <c r="H49" s="2841" t="s">
        <v>973</v>
      </c>
      <c r="I49" s="2841" t="s">
        <v>1013</v>
      </c>
      <c r="J49" s="1936">
        <v>4.0000000000000001E-3</v>
      </c>
      <c r="K49" s="1937" t="s">
        <v>975</v>
      </c>
      <c r="L49" s="1938">
        <v>25</v>
      </c>
      <c r="M49" s="1938">
        <v>0</v>
      </c>
      <c r="N49" s="1936">
        <v>0</v>
      </c>
      <c r="O49" s="1936"/>
      <c r="P49" s="1939"/>
      <c r="Q49" s="1939"/>
      <c r="R49" s="1948" t="s">
        <v>1014</v>
      </c>
      <c r="S49" s="2573">
        <v>1.4E-3</v>
      </c>
      <c r="T49" s="1902">
        <v>23</v>
      </c>
      <c r="U49" s="1903">
        <v>5</v>
      </c>
      <c r="V49" s="1903">
        <v>12</v>
      </c>
      <c r="W49" s="1903">
        <v>0</v>
      </c>
      <c r="X49" s="1903">
        <v>25</v>
      </c>
      <c r="Y49" s="1903">
        <v>0</v>
      </c>
      <c r="Z49" s="1903"/>
      <c r="AA49" s="1904"/>
      <c r="AB49" s="1905"/>
      <c r="AC49" s="1903"/>
      <c r="AD49" s="1903"/>
      <c r="AE49" s="1903"/>
      <c r="AF49" s="1906"/>
    </row>
    <row r="50" spans="2:32" s="1877" customFormat="1" outlineLevel="1">
      <c r="B50" s="1933" t="s">
        <v>1015</v>
      </c>
      <c r="C50" s="1934"/>
      <c r="D50" s="1934">
        <v>43465</v>
      </c>
      <c r="E50" s="1934">
        <v>43496</v>
      </c>
      <c r="F50" s="2572" t="s">
        <v>1012</v>
      </c>
      <c r="G50" s="2841" t="s">
        <v>999</v>
      </c>
      <c r="H50" s="2841" t="s">
        <v>973</v>
      </c>
      <c r="I50" s="2841" t="s">
        <v>1013</v>
      </c>
      <c r="J50" s="1936">
        <v>4.0000000000000001E-3</v>
      </c>
      <c r="K50" s="1937" t="s">
        <v>975</v>
      </c>
      <c r="L50" s="1938">
        <v>110</v>
      </c>
      <c r="M50" s="1938">
        <v>0.7</v>
      </c>
      <c r="N50" s="1936">
        <v>0</v>
      </c>
      <c r="O50" s="1936"/>
      <c r="P50" s="1939"/>
      <c r="Q50" s="1939"/>
      <c r="R50" s="1948" t="s">
        <v>1014</v>
      </c>
      <c r="S50" s="2573">
        <v>1.4E-3</v>
      </c>
      <c r="T50" s="1902"/>
      <c r="U50" s="1903">
        <v>0</v>
      </c>
      <c r="V50" s="1903">
        <v>0</v>
      </c>
      <c r="W50" s="1903">
        <v>0</v>
      </c>
      <c r="X50" s="1903">
        <v>20</v>
      </c>
      <c r="Y50" s="1903">
        <v>0</v>
      </c>
      <c r="Z50" s="1903"/>
      <c r="AA50" s="1904"/>
      <c r="AB50" s="1905"/>
      <c r="AC50" s="1903"/>
      <c r="AD50" s="1903"/>
      <c r="AE50" s="1903"/>
      <c r="AF50" s="1906"/>
    </row>
    <row r="51" spans="2:32" outlineLevel="1">
      <c r="B51" s="1940" t="s">
        <v>1016</v>
      </c>
      <c r="C51" s="2979" t="s">
        <v>943</v>
      </c>
      <c r="D51" s="2955"/>
      <c r="E51" s="2955"/>
      <c r="F51" s="2955"/>
      <c r="G51" s="2955"/>
      <c r="H51" s="2955"/>
      <c r="I51" s="2955"/>
      <c r="J51" s="2955"/>
      <c r="K51" s="2955"/>
      <c r="L51" s="2955"/>
      <c r="M51" s="2955"/>
      <c r="N51" s="2955"/>
      <c r="O51" s="2955"/>
      <c r="P51" s="2955"/>
      <c r="Q51" s="2955"/>
      <c r="R51" s="2955"/>
      <c r="S51" s="2956"/>
      <c r="T51" s="1902"/>
      <c r="U51" s="1903"/>
      <c r="V51" s="1903"/>
      <c r="W51" s="1903"/>
      <c r="X51" s="1903"/>
      <c r="Y51" s="1903"/>
      <c r="Z51" s="1903"/>
      <c r="AA51" s="1904"/>
      <c r="AB51" s="1905"/>
      <c r="AC51" s="1903"/>
      <c r="AD51" s="1903"/>
      <c r="AE51" s="1903"/>
      <c r="AF51" s="1906"/>
    </row>
    <row r="52" spans="2:32" s="1877" customFormat="1">
      <c r="B52" s="1878"/>
      <c r="C52" s="1878"/>
      <c r="E52" s="1895"/>
      <c r="F52" s="1950"/>
      <c r="G52" s="1950"/>
      <c r="H52" s="1950"/>
      <c r="I52" s="1895"/>
      <c r="J52" s="1895"/>
      <c r="K52" s="1895"/>
      <c r="L52" s="1895"/>
      <c r="M52" s="1895"/>
      <c r="N52" s="1895"/>
      <c r="O52" s="1895"/>
      <c r="P52" s="1895"/>
      <c r="S52" s="1951" t="s">
        <v>1017</v>
      </c>
      <c r="T52" s="1911">
        <f t="shared" ref="T52:AF52" si="3">SUM(T25:T34)+SUM(T39:T51)</f>
        <v>308</v>
      </c>
      <c r="U52" s="1912">
        <f t="shared" si="3"/>
        <v>320</v>
      </c>
      <c r="V52" s="1912">
        <f t="shared" si="3"/>
        <v>355.2</v>
      </c>
      <c r="W52" s="1912">
        <f t="shared" si="3"/>
        <v>431.4</v>
      </c>
      <c r="X52" s="1912">
        <f t="shared" si="3"/>
        <v>474.47399999999999</v>
      </c>
      <c r="Y52" s="1912">
        <f t="shared" si="3"/>
        <v>634.14646671000003</v>
      </c>
      <c r="Z52" s="1912">
        <f t="shared" si="3"/>
        <v>625.20365087287496</v>
      </c>
      <c r="AA52" s="1913">
        <f t="shared" si="3"/>
        <v>623.36083503574991</v>
      </c>
      <c r="AB52" s="1914">
        <f t="shared" si="3"/>
        <v>621.61801919862501</v>
      </c>
      <c r="AC52" s="1912">
        <f t="shared" si="3"/>
        <v>594.87520336149998</v>
      </c>
      <c r="AD52" s="1912">
        <f t="shared" si="3"/>
        <v>493.03238752437494</v>
      </c>
      <c r="AE52" s="1912">
        <f t="shared" si="3"/>
        <v>366.28957168725003</v>
      </c>
      <c r="AF52" s="1915">
        <f t="shared" si="3"/>
        <v>364.44675585012499</v>
      </c>
    </row>
    <row r="53" spans="2:32" s="1877" customFormat="1">
      <c r="B53" s="1878"/>
      <c r="C53" s="1878"/>
      <c r="D53" s="1895"/>
      <c r="E53" s="1895"/>
      <c r="F53" s="1950"/>
      <c r="G53" s="1950"/>
      <c r="H53" s="1950"/>
      <c r="I53" s="1895"/>
      <c r="J53" s="1895"/>
      <c r="K53" s="1895"/>
      <c r="L53" s="1895"/>
      <c r="M53" s="1895"/>
      <c r="N53" s="1895"/>
      <c r="O53" s="1895"/>
      <c r="P53" s="1895"/>
      <c r="S53" s="1870"/>
      <c r="AB53" s="1886"/>
    </row>
    <row r="54" spans="2:32">
      <c r="B54" s="1887" t="s">
        <v>1018</v>
      </c>
      <c r="C54" s="1887"/>
      <c r="D54" s="1888" t="s">
        <v>1019</v>
      </c>
      <c r="E54" s="1888"/>
      <c r="F54" s="1888"/>
      <c r="G54" s="1888"/>
      <c r="H54" s="1888"/>
      <c r="I54" s="1888"/>
      <c r="J54" s="1888"/>
      <c r="K54" s="1888"/>
      <c r="L54" s="1888"/>
      <c r="M54" s="1888"/>
      <c r="N54" s="1888"/>
      <c r="O54" s="1888"/>
      <c r="P54" s="1888"/>
      <c r="T54" s="1952"/>
      <c r="U54" s="1952"/>
      <c r="V54" s="1952"/>
      <c r="W54" s="1952"/>
      <c r="X54" s="1952"/>
      <c r="Y54" s="1952"/>
      <c r="Z54" s="1952"/>
      <c r="AA54" s="1952"/>
      <c r="AB54" s="1953"/>
      <c r="AC54" s="1952"/>
      <c r="AD54" s="1952"/>
      <c r="AE54" s="1952"/>
      <c r="AF54" s="1952"/>
    </row>
    <row r="55" spans="2:32" s="1924" customFormat="1" ht="54.75" customHeight="1" outlineLevel="1">
      <c r="B55" s="1917"/>
      <c r="C55" s="1920" t="s">
        <v>1020</v>
      </c>
      <c r="D55" s="1919" t="s">
        <v>949</v>
      </c>
      <c r="E55" s="1919" t="s">
        <v>950</v>
      </c>
      <c r="F55" s="1919" t="s">
        <v>951</v>
      </c>
      <c r="G55" s="1919" t="s">
        <v>990</v>
      </c>
      <c r="H55" s="1920" t="s">
        <v>953</v>
      </c>
      <c r="I55" s="1920" t="s">
        <v>954</v>
      </c>
      <c r="J55" s="1920" t="s">
        <v>955</v>
      </c>
      <c r="K55" s="1920" t="s">
        <v>956</v>
      </c>
      <c r="L55" s="1920" t="s">
        <v>1021</v>
      </c>
      <c r="M55" s="1920" t="s">
        <v>958</v>
      </c>
      <c r="N55" s="1920" t="s">
        <v>959</v>
      </c>
      <c r="O55" s="1920" t="s">
        <v>960</v>
      </c>
      <c r="P55" s="1920" t="s">
        <v>961</v>
      </c>
      <c r="Q55" s="1920" t="s">
        <v>962</v>
      </c>
      <c r="R55" s="1921" t="s">
        <v>993</v>
      </c>
      <c r="S55" s="1920" t="s">
        <v>994</v>
      </c>
      <c r="T55" s="1922"/>
      <c r="U55" s="1922"/>
      <c r="V55" s="1922"/>
      <c r="W55" s="1922"/>
      <c r="X55" s="1922"/>
      <c r="Y55" s="1922"/>
      <c r="Z55" s="1922"/>
      <c r="AA55" s="1922"/>
      <c r="AB55" s="1923"/>
      <c r="AC55" s="1922"/>
      <c r="AD55" s="1922"/>
      <c r="AE55" s="1922"/>
      <c r="AF55" s="1922"/>
    </row>
    <row r="56" spans="2:32" ht="25.5" outlineLevel="1">
      <c r="B56" s="1925" t="s">
        <v>965</v>
      </c>
      <c r="C56" s="1926"/>
      <c r="D56" s="1927" t="s">
        <v>966</v>
      </c>
      <c r="E56" s="1927" t="s">
        <v>966</v>
      </c>
      <c r="F56" s="1928"/>
      <c r="G56" s="1929"/>
      <c r="H56" s="1929"/>
      <c r="I56" s="1930"/>
      <c r="J56" s="1927" t="s">
        <v>995</v>
      </c>
      <c r="K56" s="1931" t="s">
        <v>996</v>
      </c>
      <c r="L56" s="1931" t="s">
        <v>498</v>
      </c>
      <c r="M56" s="1931" t="s">
        <v>498</v>
      </c>
      <c r="N56" s="1931" t="s">
        <v>627</v>
      </c>
      <c r="O56" s="1931" t="s">
        <v>968</v>
      </c>
      <c r="P56" s="1931"/>
      <c r="Q56" s="1931"/>
      <c r="R56" s="1932"/>
      <c r="S56" s="1931" t="s">
        <v>498</v>
      </c>
      <c r="T56" s="1896" t="s">
        <v>498</v>
      </c>
      <c r="U56" s="1897" t="s">
        <v>498</v>
      </c>
      <c r="V56" s="1897" t="s">
        <v>498</v>
      </c>
      <c r="W56" s="1897" t="s">
        <v>498</v>
      </c>
      <c r="X56" s="1897" t="s">
        <v>498</v>
      </c>
      <c r="Y56" s="1897" t="s">
        <v>498</v>
      </c>
      <c r="Z56" s="1897" t="s">
        <v>498</v>
      </c>
      <c r="AA56" s="1898" t="s">
        <v>498</v>
      </c>
      <c r="AB56" s="1899" t="s">
        <v>498</v>
      </c>
      <c r="AC56" s="1897" t="s">
        <v>498</v>
      </c>
      <c r="AD56" s="1897" t="s">
        <v>498</v>
      </c>
      <c r="AE56" s="1897" t="s">
        <v>498</v>
      </c>
      <c r="AF56" s="1900" t="s">
        <v>498</v>
      </c>
    </row>
    <row r="57" spans="2:32" outlineLevel="1">
      <c r="B57" s="1933" t="s">
        <v>1022</v>
      </c>
      <c r="C57" s="1934" t="s">
        <v>1023</v>
      </c>
      <c r="D57" s="1934">
        <v>40002</v>
      </c>
      <c r="E57" s="1934">
        <v>43654</v>
      </c>
      <c r="F57" s="2572" t="s">
        <v>1024</v>
      </c>
      <c r="G57" s="2841" t="s">
        <v>972</v>
      </c>
      <c r="H57" s="2841" t="s">
        <v>973</v>
      </c>
      <c r="I57" s="2841" t="s">
        <v>1025</v>
      </c>
      <c r="J57" s="1936">
        <v>5.8749999999999997E-2</v>
      </c>
      <c r="K57" s="1937" t="s">
        <v>975</v>
      </c>
      <c r="L57" s="1938">
        <v>200</v>
      </c>
      <c r="M57" s="1938">
        <v>1</v>
      </c>
      <c r="N57" s="1936">
        <v>1</v>
      </c>
      <c r="O57" s="1936">
        <v>6.7299999999999999E-2</v>
      </c>
      <c r="P57" s="1939"/>
      <c r="Q57" s="1939"/>
      <c r="R57" s="1948" t="s">
        <v>1026</v>
      </c>
      <c r="S57" s="1949"/>
      <c r="T57" s="1902">
        <v>198.244</v>
      </c>
      <c r="U57" s="1902">
        <v>198.244</v>
      </c>
      <c r="V57" s="1902">
        <v>198.244</v>
      </c>
      <c r="W57" s="1902">
        <v>198.244</v>
      </c>
      <c r="X57" s="1902">
        <v>198.244</v>
      </c>
      <c r="Y57" s="1902">
        <v>198.244</v>
      </c>
      <c r="Z57" s="1903">
        <v>0</v>
      </c>
      <c r="AA57" s="1904">
        <v>0</v>
      </c>
      <c r="AB57" s="1905">
        <v>0</v>
      </c>
      <c r="AC57" s="1903">
        <v>0</v>
      </c>
      <c r="AD57" s="1903">
        <v>0</v>
      </c>
      <c r="AE57" s="1903">
        <v>0</v>
      </c>
      <c r="AF57" s="1906">
        <v>0</v>
      </c>
    </row>
    <row r="58" spans="2:32" outlineLevel="1">
      <c r="B58" s="1954" t="s">
        <v>1027</v>
      </c>
      <c r="C58" s="1934" t="s">
        <v>1028</v>
      </c>
      <c r="D58" s="1934">
        <v>38671</v>
      </c>
      <c r="E58" s="1934">
        <v>46568</v>
      </c>
      <c r="F58" s="2572" t="s">
        <v>1024</v>
      </c>
      <c r="G58" s="2841" t="s">
        <v>972</v>
      </c>
      <c r="H58" s="2841" t="s">
        <v>973</v>
      </c>
      <c r="I58" s="2841" t="s">
        <v>1025</v>
      </c>
      <c r="J58" s="1936">
        <v>4.8750000000000002E-2</v>
      </c>
      <c r="K58" s="1937" t="s">
        <v>975</v>
      </c>
      <c r="L58" s="1938">
        <v>250</v>
      </c>
      <c r="M58" s="1938">
        <v>0.74</v>
      </c>
      <c r="N58" s="1936">
        <v>1</v>
      </c>
      <c r="O58" s="1936">
        <v>1.6299999999999999E-2</v>
      </c>
      <c r="P58" s="1939"/>
      <c r="Q58" s="1939"/>
      <c r="R58" s="1948" t="s">
        <v>1026</v>
      </c>
      <c r="S58" s="1949"/>
      <c r="T58" s="1902">
        <v>250</v>
      </c>
      <c r="U58" s="1902">
        <v>250</v>
      </c>
      <c r="V58" s="1902">
        <v>250</v>
      </c>
      <c r="W58" s="1902">
        <v>250</v>
      </c>
      <c r="X58" s="1902">
        <v>250</v>
      </c>
      <c r="Y58" s="1902">
        <v>250</v>
      </c>
      <c r="Z58" s="1902">
        <v>250</v>
      </c>
      <c r="AA58" s="1904">
        <v>250</v>
      </c>
      <c r="AB58" s="1905">
        <v>250</v>
      </c>
      <c r="AC58" s="1902">
        <v>250</v>
      </c>
      <c r="AD58" s="1902">
        <v>250</v>
      </c>
      <c r="AE58" s="1902">
        <v>250</v>
      </c>
      <c r="AF58" s="1902">
        <v>250</v>
      </c>
    </row>
    <row r="59" spans="2:32" ht="51" outlineLevel="1">
      <c r="B59" s="1933" t="s">
        <v>1029</v>
      </c>
      <c r="C59" s="1934"/>
      <c r="D59" s="1934">
        <v>40002</v>
      </c>
      <c r="E59" s="1934">
        <v>43654</v>
      </c>
      <c r="F59" s="2571" t="s">
        <v>1030</v>
      </c>
      <c r="G59" s="2841"/>
      <c r="H59" s="2841"/>
      <c r="I59" s="2841"/>
      <c r="J59" s="1936"/>
      <c r="K59" s="1937"/>
      <c r="L59" s="1938"/>
      <c r="M59" s="1938"/>
      <c r="N59" s="1936"/>
      <c r="O59" s="1936"/>
      <c r="P59" s="1939"/>
      <c r="Q59" s="1939"/>
      <c r="R59" s="1948"/>
      <c r="S59" s="1949"/>
      <c r="T59" s="1902"/>
      <c r="U59" s="1902"/>
      <c r="V59" s="1902">
        <v>57.8</v>
      </c>
      <c r="W59" s="1902">
        <v>55.994999999999997</v>
      </c>
      <c r="X59" s="1902">
        <v>31.693000000000001</v>
      </c>
      <c r="Y59" s="1902">
        <v>64.2</v>
      </c>
      <c r="Z59" s="1902">
        <v>33.158741211711401</v>
      </c>
      <c r="AA59" s="1904">
        <v>28.564570196302935</v>
      </c>
      <c r="AB59" s="1905">
        <v>23.970399180894464</v>
      </c>
      <c r="AC59" s="1902">
        <v>19.376228165485998</v>
      </c>
      <c r="AD59" s="1902">
        <v>14.782057150077527</v>
      </c>
      <c r="AE59" s="1902">
        <v>10.187886134669061</v>
      </c>
      <c r="AF59" s="1902">
        <v>5.5937151192605885</v>
      </c>
    </row>
    <row r="60" spans="2:32" outlineLevel="1">
      <c r="B60" s="1954" t="s">
        <v>1031</v>
      </c>
      <c r="C60" s="1934" t="s">
        <v>1032</v>
      </c>
      <c r="D60" s="1934">
        <v>38671</v>
      </c>
      <c r="E60" s="1934">
        <v>49628</v>
      </c>
      <c r="F60" s="2572" t="s">
        <v>1024</v>
      </c>
      <c r="G60" s="2841" t="s">
        <v>972</v>
      </c>
      <c r="H60" s="2841" t="s">
        <v>973</v>
      </c>
      <c r="I60" s="2841" t="s">
        <v>1025</v>
      </c>
      <c r="J60" s="1936">
        <v>4.8750000000000002E-2</v>
      </c>
      <c r="K60" s="1937" t="s">
        <v>975</v>
      </c>
      <c r="L60" s="1938">
        <v>255</v>
      </c>
      <c r="M60" s="1938">
        <v>0.75</v>
      </c>
      <c r="N60" s="1936">
        <v>1</v>
      </c>
      <c r="O60" s="1936">
        <v>2.0899999999999998E-2</v>
      </c>
      <c r="P60" s="1939"/>
      <c r="Q60" s="1939"/>
      <c r="R60" s="1948" t="s">
        <v>1026</v>
      </c>
      <c r="S60" s="1949"/>
      <c r="T60" s="1902">
        <v>255</v>
      </c>
      <c r="U60" s="1902">
        <v>255</v>
      </c>
      <c r="V60" s="1902">
        <v>255</v>
      </c>
      <c r="W60" s="1902">
        <v>255</v>
      </c>
      <c r="X60" s="1902">
        <v>255</v>
      </c>
      <c r="Y60" s="1902">
        <v>255</v>
      </c>
      <c r="Z60" s="1902">
        <v>255</v>
      </c>
      <c r="AA60" s="1904">
        <v>255</v>
      </c>
      <c r="AB60" s="1905">
        <v>255</v>
      </c>
      <c r="AC60" s="1902">
        <v>255</v>
      </c>
      <c r="AD60" s="1902">
        <v>255</v>
      </c>
      <c r="AE60" s="1902">
        <v>255</v>
      </c>
      <c r="AF60" s="1902">
        <v>255</v>
      </c>
    </row>
    <row r="61" spans="2:32" ht="51" outlineLevel="1">
      <c r="B61" s="1933" t="s">
        <v>1033</v>
      </c>
      <c r="C61" s="1934"/>
      <c r="D61" s="1934">
        <v>40260</v>
      </c>
      <c r="E61" s="1934">
        <v>51218</v>
      </c>
      <c r="F61" s="2571" t="s">
        <v>1030</v>
      </c>
      <c r="G61" s="2841"/>
      <c r="H61" s="2841"/>
      <c r="I61" s="2841"/>
      <c r="J61" s="1936"/>
      <c r="K61" s="1937"/>
      <c r="L61" s="1938"/>
      <c r="M61" s="1938"/>
      <c r="N61" s="1936"/>
      <c r="O61" s="1936"/>
      <c r="P61" s="1939"/>
      <c r="Q61" s="1939"/>
      <c r="R61" s="1948"/>
      <c r="S61" s="1949"/>
      <c r="T61" s="1902"/>
      <c r="U61" s="2574"/>
      <c r="V61" s="2574">
        <v>72.2</v>
      </c>
      <c r="W61" s="2574">
        <v>86.956000000000003</v>
      </c>
      <c r="X61" s="2574">
        <v>87.427999999999997</v>
      </c>
      <c r="Y61" s="2574">
        <v>112.5</v>
      </c>
      <c r="Z61" s="2574">
        <v>6.119144430951688</v>
      </c>
      <c r="AA61" s="1904">
        <v>1.1603935593817527</v>
      </c>
      <c r="AB61" s="1905">
        <v>-1.9072260991497632</v>
      </c>
      <c r="AC61" s="2574">
        <v>-3.0837145446428589</v>
      </c>
      <c r="AD61" s="2574">
        <v>-2.8418545803571442</v>
      </c>
      <c r="AE61" s="2574">
        <v>-2.5999946160714296</v>
      </c>
      <c r="AF61" s="2574">
        <v>-2.3581346517857149</v>
      </c>
    </row>
    <row r="62" spans="2:32" outlineLevel="1">
      <c r="B62" s="1954" t="s">
        <v>1034</v>
      </c>
      <c r="C62" s="1934" t="s">
        <v>1035</v>
      </c>
      <c r="D62" s="1934">
        <v>40260</v>
      </c>
      <c r="E62" s="1934">
        <v>51218</v>
      </c>
      <c r="F62" s="2572" t="s">
        <v>1024</v>
      </c>
      <c r="G62" s="2841" t="s">
        <v>972</v>
      </c>
      <c r="H62" s="2841" t="s">
        <v>973</v>
      </c>
      <c r="I62" s="2841" t="s">
        <v>1025</v>
      </c>
      <c r="J62" s="1936">
        <v>5.6250000000000001E-2</v>
      </c>
      <c r="K62" s="1937" t="s">
        <v>975</v>
      </c>
      <c r="L62" s="1938">
        <v>200</v>
      </c>
      <c r="M62" s="1938">
        <v>1.5</v>
      </c>
      <c r="N62" s="1936">
        <v>1</v>
      </c>
      <c r="O62" s="1936">
        <v>6.3299999999999995E-2</v>
      </c>
      <c r="P62" s="1939"/>
      <c r="Q62" s="1939"/>
      <c r="R62" s="1948" t="s">
        <v>1026</v>
      </c>
      <c r="S62" s="1949"/>
      <c r="T62" s="1902">
        <v>196.886</v>
      </c>
      <c r="U62" s="1902">
        <v>196.886</v>
      </c>
      <c r="V62" s="1902">
        <v>196.886</v>
      </c>
      <c r="W62" s="1902">
        <v>196.886</v>
      </c>
      <c r="X62" s="1902">
        <v>196.886</v>
      </c>
      <c r="Y62" s="1902">
        <v>197.6</v>
      </c>
      <c r="Z62" s="1902">
        <v>197.6</v>
      </c>
      <c r="AA62" s="1902">
        <v>197.6</v>
      </c>
      <c r="AB62" s="1902">
        <v>197.6</v>
      </c>
      <c r="AC62" s="1902">
        <v>197.6</v>
      </c>
      <c r="AD62" s="1902">
        <v>197.6</v>
      </c>
      <c r="AE62" s="1902">
        <v>197.6</v>
      </c>
      <c r="AF62" s="1902">
        <v>197.6</v>
      </c>
    </row>
    <row r="63" spans="2:32" outlineLevel="1">
      <c r="B63" s="1933" t="s">
        <v>1036</v>
      </c>
      <c r="C63" s="1934" t="s">
        <v>129</v>
      </c>
      <c r="D63" s="1934">
        <v>38504</v>
      </c>
      <c r="E63" s="1934" t="s">
        <v>129</v>
      </c>
      <c r="F63" s="1935" t="s">
        <v>1037</v>
      </c>
      <c r="G63" s="2841" t="s">
        <v>1038</v>
      </c>
      <c r="H63" s="2841"/>
      <c r="I63" s="2841"/>
      <c r="J63" s="1936">
        <v>0</v>
      </c>
      <c r="K63" s="1937"/>
      <c r="L63" s="1938">
        <v>24.3</v>
      </c>
      <c r="M63" s="1938">
        <v>0</v>
      </c>
      <c r="N63" s="1936">
        <v>0</v>
      </c>
      <c r="O63" s="1936"/>
      <c r="P63" s="1939"/>
      <c r="Q63" s="1939"/>
      <c r="R63" s="1948" t="s">
        <v>1039</v>
      </c>
      <c r="S63" s="1949"/>
      <c r="T63" s="1902">
        <v>24.3</v>
      </c>
      <c r="U63" s="1903">
        <v>0</v>
      </c>
      <c r="V63" s="1903"/>
      <c r="W63" s="1903"/>
      <c r="X63" s="1903"/>
      <c r="Y63" s="1903"/>
      <c r="Z63" s="1903"/>
      <c r="AA63" s="1904"/>
      <c r="AB63" s="1905"/>
      <c r="AC63" s="1903"/>
      <c r="AD63" s="1903"/>
      <c r="AE63" s="1903"/>
      <c r="AF63" s="1906"/>
    </row>
    <row r="64" spans="2:32" outlineLevel="1">
      <c r="B64" s="1954" t="s">
        <v>1040</v>
      </c>
      <c r="C64" s="1934"/>
      <c r="D64" s="1934"/>
      <c r="E64" s="1934"/>
      <c r="F64" s="1935"/>
      <c r="G64" s="2841"/>
      <c r="H64" s="2841"/>
      <c r="I64" s="2841"/>
      <c r="J64" s="1936"/>
      <c r="K64" s="1937"/>
      <c r="L64" s="1938"/>
      <c r="M64" s="1938"/>
      <c r="N64" s="1936"/>
      <c r="O64" s="1936"/>
      <c r="P64" s="1939"/>
      <c r="Q64" s="1939"/>
      <c r="R64" s="1948"/>
      <c r="S64" s="1949"/>
      <c r="T64" s="1902"/>
      <c r="U64" s="1903"/>
      <c r="V64" s="1903"/>
      <c r="W64" s="1903"/>
      <c r="X64" s="1903"/>
      <c r="Y64" s="1903"/>
      <c r="Z64" s="1903"/>
      <c r="AA64" s="1904"/>
      <c r="AB64" s="1905"/>
      <c r="AC64" s="1903"/>
      <c r="AD64" s="1903"/>
      <c r="AE64" s="1903"/>
      <c r="AF64" s="1906"/>
    </row>
    <row r="65" spans="2:32" outlineLevel="1">
      <c r="B65" s="1933" t="s">
        <v>1041</v>
      </c>
      <c r="C65" s="1934"/>
      <c r="D65" s="1934"/>
      <c r="E65" s="1934"/>
      <c r="F65" s="1935"/>
      <c r="G65" s="2841"/>
      <c r="H65" s="2841"/>
      <c r="I65" s="2841"/>
      <c r="J65" s="1936"/>
      <c r="K65" s="1937"/>
      <c r="L65" s="1938"/>
      <c r="M65" s="1938"/>
      <c r="N65" s="1936"/>
      <c r="O65" s="1936"/>
      <c r="P65" s="1939"/>
      <c r="Q65" s="1939"/>
      <c r="R65" s="1939"/>
      <c r="S65" s="1949"/>
      <c r="T65" s="1902"/>
      <c r="U65" s="1903"/>
      <c r="V65" s="1903"/>
      <c r="W65" s="1903"/>
      <c r="X65" s="1903"/>
      <c r="Y65" s="1903"/>
      <c r="Z65" s="1903"/>
      <c r="AA65" s="1904"/>
      <c r="AB65" s="1905"/>
      <c r="AC65" s="1903"/>
      <c r="AD65" s="1903"/>
      <c r="AE65" s="1903"/>
      <c r="AF65" s="1906"/>
    </row>
    <row r="66" spans="2:32" outlineLevel="1">
      <c r="B66" s="1940" t="s">
        <v>1042</v>
      </c>
      <c r="C66" s="2979" t="s">
        <v>943</v>
      </c>
      <c r="D66" s="2955"/>
      <c r="E66" s="2955"/>
      <c r="F66" s="2955"/>
      <c r="G66" s="2955"/>
      <c r="H66" s="2955"/>
      <c r="I66" s="2955"/>
      <c r="J66" s="2955"/>
      <c r="K66" s="2955"/>
      <c r="L66" s="2955"/>
      <c r="M66" s="2955"/>
      <c r="N66" s="2955"/>
      <c r="O66" s="2955"/>
      <c r="P66" s="2955"/>
      <c r="Q66" s="2955"/>
      <c r="R66" s="2955"/>
      <c r="S66" s="2956"/>
      <c r="T66" s="1902"/>
      <c r="U66" s="1903"/>
      <c r="V66" s="1903"/>
      <c r="W66" s="1903"/>
      <c r="X66" s="1903"/>
      <c r="Y66" s="1903"/>
      <c r="Z66" s="1903"/>
      <c r="AA66" s="1904"/>
      <c r="AB66" s="1905"/>
      <c r="AC66" s="1903"/>
      <c r="AD66" s="1903"/>
      <c r="AE66" s="1903"/>
      <c r="AF66" s="1906"/>
    </row>
    <row r="67" spans="2:32" s="1877" customFormat="1">
      <c r="B67" s="1878"/>
      <c r="C67" s="1878"/>
      <c r="E67" s="1895"/>
      <c r="F67" s="1950"/>
      <c r="G67" s="1950"/>
      <c r="H67" s="1950"/>
      <c r="I67" s="1895"/>
      <c r="J67" s="1895"/>
      <c r="K67" s="1895"/>
      <c r="L67" s="1895"/>
      <c r="M67" s="1895"/>
      <c r="N67" s="1895"/>
      <c r="O67" s="1895"/>
      <c r="P67" s="1895"/>
      <c r="Q67" s="1895"/>
      <c r="S67" s="1951" t="s">
        <v>1043</v>
      </c>
      <c r="T67" s="1911">
        <f>SUM(T57:T66)</f>
        <v>924.43</v>
      </c>
      <c r="U67" s="1912">
        <f t="shared" ref="U67:AF67" si="4">SUM(U57:U66)</f>
        <v>900.13</v>
      </c>
      <c r="V67" s="1912">
        <f t="shared" si="4"/>
        <v>1030.1300000000001</v>
      </c>
      <c r="W67" s="1912">
        <f t="shared" si="4"/>
        <v>1043.0810000000001</v>
      </c>
      <c r="X67" s="1912">
        <f t="shared" si="4"/>
        <v>1019.251</v>
      </c>
      <c r="Y67" s="1912">
        <f t="shared" si="4"/>
        <v>1077.5440000000001</v>
      </c>
      <c r="Z67" s="1912">
        <f t="shared" si="4"/>
        <v>741.87788564266316</v>
      </c>
      <c r="AA67" s="1913">
        <f t="shared" si="4"/>
        <v>732.32496375568473</v>
      </c>
      <c r="AB67" s="1914">
        <f t="shared" si="4"/>
        <v>724.66317308174473</v>
      </c>
      <c r="AC67" s="1912">
        <f t="shared" si="4"/>
        <v>718.89251362084326</v>
      </c>
      <c r="AD67" s="1912">
        <f t="shared" si="4"/>
        <v>714.54020256972046</v>
      </c>
      <c r="AE67" s="1912">
        <f t="shared" si="4"/>
        <v>710.18789151859767</v>
      </c>
      <c r="AF67" s="1915">
        <f t="shared" si="4"/>
        <v>705.83558046747487</v>
      </c>
    </row>
    <row r="68" spans="2:32" s="1877" customFormat="1">
      <c r="B68" s="1878"/>
      <c r="C68" s="1878"/>
      <c r="D68" s="1895"/>
      <c r="E68" s="1895"/>
      <c r="F68" s="1950"/>
      <c r="G68" s="1950"/>
      <c r="H68" s="1950"/>
      <c r="I68" s="1895"/>
      <c r="J68" s="1895"/>
      <c r="K68" s="1895"/>
      <c r="L68" s="1895"/>
      <c r="M68" s="1895"/>
      <c r="N68" s="1895"/>
      <c r="O68" s="1895"/>
      <c r="P68" s="1895"/>
      <c r="Q68" s="1895"/>
      <c r="S68" s="1870"/>
      <c r="AB68" s="1886"/>
    </row>
    <row r="69" spans="2:32">
      <c r="B69" s="1887" t="s">
        <v>1044</v>
      </c>
      <c r="C69" s="1887"/>
      <c r="D69" s="1888" t="s">
        <v>1045</v>
      </c>
      <c r="E69" s="1888"/>
      <c r="F69" s="1888"/>
      <c r="G69" s="1888"/>
      <c r="H69" s="1888"/>
      <c r="I69" s="1888"/>
      <c r="J69" s="1888"/>
      <c r="K69" s="1888"/>
      <c r="L69" s="1888"/>
      <c r="M69" s="1888"/>
      <c r="N69" s="1888"/>
      <c r="O69" s="1888"/>
      <c r="P69" s="1888"/>
      <c r="Q69" s="1888"/>
      <c r="T69" s="1952"/>
      <c r="U69" s="1952"/>
      <c r="V69" s="1952"/>
      <c r="W69" s="1952"/>
      <c r="X69" s="1952"/>
      <c r="Y69" s="1952"/>
      <c r="Z69" s="1952"/>
      <c r="AA69" s="1952"/>
      <c r="AB69" s="1953"/>
      <c r="AC69" s="1952"/>
      <c r="AD69" s="1952"/>
      <c r="AE69" s="1952"/>
      <c r="AF69" s="1952"/>
    </row>
    <row r="70" spans="2:32" ht="56.25" customHeight="1" outlineLevel="1">
      <c r="B70" s="1955"/>
      <c r="C70" s="1920" t="s">
        <v>1020</v>
      </c>
      <c r="D70" s="1919" t="s">
        <v>949</v>
      </c>
      <c r="E70" s="1919" t="s">
        <v>950</v>
      </c>
      <c r="F70" s="1919" t="s">
        <v>951</v>
      </c>
      <c r="G70" s="1919" t="s">
        <v>990</v>
      </c>
      <c r="H70" s="1920" t="s">
        <v>953</v>
      </c>
      <c r="I70" s="1920" t="s">
        <v>954</v>
      </c>
      <c r="J70" s="1920" t="s">
        <v>955</v>
      </c>
      <c r="K70" s="1920" t="s">
        <v>956</v>
      </c>
      <c r="L70" s="1920" t="s">
        <v>1021</v>
      </c>
      <c r="M70" s="1921" t="s">
        <v>958</v>
      </c>
      <c r="N70" s="1888"/>
      <c r="O70" s="1888"/>
      <c r="P70" s="1888"/>
      <c r="Q70" s="1888"/>
      <c r="T70" s="1892"/>
      <c r="U70" s="1892"/>
      <c r="V70" s="1892"/>
      <c r="W70" s="1892"/>
      <c r="X70" s="1956"/>
      <c r="Y70" s="1892"/>
      <c r="Z70" s="1892"/>
      <c r="AA70" s="1892"/>
      <c r="AB70" s="1916"/>
      <c r="AC70" s="1892"/>
      <c r="AD70" s="1892"/>
      <c r="AE70" s="1892"/>
      <c r="AF70" s="1892"/>
    </row>
    <row r="71" spans="2:32" ht="25.5" outlineLevel="1">
      <c r="B71" s="1925" t="s">
        <v>965</v>
      </c>
      <c r="C71" s="1926"/>
      <c r="D71" s="1927" t="s">
        <v>966</v>
      </c>
      <c r="E71" s="1927" t="s">
        <v>966</v>
      </c>
      <c r="F71" s="1927"/>
      <c r="G71" s="1929"/>
      <c r="H71" s="1929"/>
      <c r="I71" s="1931"/>
      <c r="J71" s="1927" t="s">
        <v>995</v>
      </c>
      <c r="K71" s="1931" t="s">
        <v>996</v>
      </c>
      <c r="L71" s="1931" t="s">
        <v>498</v>
      </c>
      <c r="M71" s="1932" t="s">
        <v>498</v>
      </c>
      <c r="N71" s="1888"/>
      <c r="O71" s="1888"/>
      <c r="P71" s="1888"/>
      <c r="Q71" s="1888"/>
      <c r="T71" s="1896" t="s">
        <v>498</v>
      </c>
      <c r="U71" s="1897" t="s">
        <v>498</v>
      </c>
      <c r="V71" s="1897" t="s">
        <v>498</v>
      </c>
      <c r="W71" s="1897" t="s">
        <v>498</v>
      </c>
      <c r="X71" s="1897" t="s">
        <v>498</v>
      </c>
      <c r="Y71" s="1897" t="s">
        <v>498</v>
      </c>
      <c r="Z71" s="1897" t="s">
        <v>498</v>
      </c>
      <c r="AA71" s="1898" t="s">
        <v>498</v>
      </c>
      <c r="AB71" s="1899" t="s">
        <v>498</v>
      </c>
      <c r="AC71" s="1897" t="s">
        <v>498</v>
      </c>
      <c r="AD71" s="1897" t="s">
        <v>498</v>
      </c>
      <c r="AE71" s="1897" t="s">
        <v>498</v>
      </c>
      <c r="AF71" s="1900" t="s">
        <v>498</v>
      </c>
    </row>
    <row r="72" spans="2:32" outlineLevel="1">
      <c r="B72" s="1933" t="s">
        <v>1046</v>
      </c>
      <c r="C72" s="1934"/>
      <c r="D72" s="1934"/>
      <c r="E72" s="1934"/>
      <c r="F72" s="1935"/>
      <c r="G72" s="2841"/>
      <c r="H72" s="2841"/>
      <c r="I72" s="2841"/>
      <c r="J72" s="1936"/>
      <c r="K72" s="1937"/>
      <c r="L72" s="1938"/>
      <c r="M72" s="1957"/>
      <c r="N72" s="1888"/>
      <c r="O72" s="1888"/>
      <c r="P72" s="1888"/>
      <c r="Q72" s="1888"/>
      <c r="T72" s="1902"/>
      <c r="U72" s="1903"/>
      <c r="V72" s="1903"/>
      <c r="W72" s="1903"/>
      <c r="X72" s="1903"/>
      <c r="Y72" s="1903"/>
      <c r="Z72" s="1903"/>
      <c r="AA72" s="1904"/>
      <c r="AB72" s="1905"/>
      <c r="AC72" s="1903"/>
      <c r="AD72" s="1903"/>
      <c r="AE72" s="1903"/>
      <c r="AF72" s="1906"/>
    </row>
    <row r="73" spans="2:32" outlineLevel="1">
      <c r="B73" s="1954" t="s">
        <v>1047</v>
      </c>
      <c r="C73" s="1934"/>
      <c r="D73" s="1934"/>
      <c r="E73" s="1934"/>
      <c r="F73" s="1935"/>
      <c r="G73" s="2841"/>
      <c r="H73" s="2841"/>
      <c r="I73" s="2841"/>
      <c r="J73" s="1936"/>
      <c r="K73" s="1937"/>
      <c r="L73" s="1938"/>
      <c r="M73" s="1957"/>
      <c r="N73" s="1888"/>
      <c r="O73" s="1888"/>
      <c r="P73" s="1888"/>
      <c r="Q73" s="1888"/>
      <c r="T73" s="1902"/>
      <c r="U73" s="1903"/>
      <c r="V73" s="1903"/>
      <c r="W73" s="1903"/>
      <c r="X73" s="1903"/>
      <c r="Y73" s="1903"/>
      <c r="Z73" s="1903"/>
      <c r="AA73" s="1904"/>
      <c r="AB73" s="1905"/>
      <c r="AC73" s="1903"/>
      <c r="AD73" s="1903"/>
      <c r="AE73" s="1903"/>
      <c r="AF73" s="1906"/>
    </row>
    <row r="74" spans="2:32" outlineLevel="1">
      <c r="B74" s="1933" t="s">
        <v>1048</v>
      </c>
      <c r="C74" s="1934"/>
      <c r="D74" s="1934"/>
      <c r="E74" s="1934"/>
      <c r="F74" s="1935"/>
      <c r="G74" s="2841"/>
      <c r="H74" s="2841"/>
      <c r="I74" s="2841"/>
      <c r="J74" s="1936"/>
      <c r="K74" s="1937"/>
      <c r="L74" s="1938"/>
      <c r="M74" s="1957"/>
      <c r="N74" s="1888"/>
      <c r="O74" s="1888"/>
      <c r="P74" s="1888"/>
      <c r="Q74" s="1888"/>
      <c r="T74" s="1902"/>
      <c r="U74" s="1903"/>
      <c r="V74" s="1903"/>
      <c r="W74" s="1903"/>
      <c r="X74" s="1903"/>
      <c r="Y74" s="1903"/>
      <c r="Z74" s="1903"/>
      <c r="AA74" s="1904"/>
      <c r="AB74" s="1905"/>
      <c r="AC74" s="1903"/>
      <c r="AD74" s="1903"/>
      <c r="AE74" s="1903"/>
      <c r="AF74" s="1906"/>
    </row>
    <row r="75" spans="2:32" outlineLevel="1">
      <c r="B75" s="1954" t="s">
        <v>1049</v>
      </c>
      <c r="C75" s="1934"/>
      <c r="D75" s="1934"/>
      <c r="E75" s="1934"/>
      <c r="F75" s="1935"/>
      <c r="G75" s="2841"/>
      <c r="H75" s="2841"/>
      <c r="I75" s="2841"/>
      <c r="J75" s="1936"/>
      <c r="K75" s="1937"/>
      <c r="L75" s="1938"/>
      <c r="M75" s="1957"/>
      <c r="N75" s="1888"/>
      <c r="O75" s="1888"/>
      <c r="P75" s="1888"/>
      <c r="Q75" s="1888"/>
      <c r="T75" s="1902"/>
      <c r="U75" s="1903"/>
      <c r="V75" s="1903"/>
      <c r="W75" s="1903"/>
      <c r="X75" s="1903"/>
      <c r="Y75" s="1903"/>
      <c r="Z75" s="1903"/>
      <c r="AA75" s="1904"/>
      <c r="AB75" s="1905"/>
      <c r="AC75" s="1903"/>
      <c r="AD75" s="1903"/>
      <c r="AE75" s="1903"/>
      <c r="AF75" s="1906"/>
    </row>
    <row r="76" spans="2:32" outlineLevel="1">
      <c r="B76" s="1933" t="s">
        <v>1050</v>
      </c>
      <c r="C76" s="1934"/>
      <c r="D76" s="1934"/>
      <c r="E76" s="1934"/>
      <c r="F76" s="1935"/>
      <c r="G76" s="2841"/>
      <c r="H76" s="2841"/>
      <c r="I76" s="2841"/>
      <c r="J76" s="1936"/>
      <c r="K76" s="1937"/>
      <c r="L76" s="1938"/>
      <c r="M76" s="1957"/>
      <c r="N76" s="1888"/>
      <c r="O76" s="1888"/>
      <c r="P76" s="1888"/>
      <c r="Q76" s="1888"/>
      <c r="T76" s="1902"/>
      <c r="U76" s="1903"/>
      <c r="V76" s="1903"/>
      <c r="W76" s="1903"/>
      <c r="X76" s="1903"/>
      <c r="Y76" s="1903"/>
      <c r="Z76" s="1903"/>
      <c r="AA76" s="1904"/>
      <c r="AB76" s="1905"/>
      <c r="AC76" s="1903"/>
      <c r="AD76" s="1903"/>
      <c r="AE76" s="1903"/>
      <c r="AF76" s="1906"/>
    </row>
    <row r="77" spans="2:32" outlineLevel="1">
      <c r="B77" s="1954" t="s">
        <v>1051</v>
      </c>
      <c r="C77" s="1934"/>
      <c r="D77" s="1934"/>
      <c r="E77" s="1934"/>
      <c r="F77" s="1935"/>
      <c r="G77" s="2841"/>
      <c r="H77" s="2841"/>
      <c r="I77" s="2841"/>
      <c r="J77" s="1936"/>
      <c r="K77" s="1937"/>
      <c r="L77" s="1938"/>
      <c r="M77" s="1957"/>
      <c r="N77" s="1888"/>
      <c r="O77" s="1888"/>
      <c r="P77" s="1888"/>
      <c r="Q77" s="1888"/>
      <c r="T77" s="1902"/>
      <c r="U77" s="1903"/>
      <c r="V77" s="1903"/>
      <c r="W77" s="1903"/>
      <c r="X77" s="1903"/>
      <c r="Y77" s="1903"/>
      <c r="Z77" s="1903"/>
      <c r="AA77" s="1904"/>
      <c r="AB77" s="1905"/>
      <c r="AC77" s="1903"/>
      <c r="AD77" s="1903"/>
      <c r="AE77" s="1903"/>
      <c r="AF77" s="1906"/>
    </row>
    <row r="78" spans="2:32" outlineLevel="1">
      <c r="B78" s="1933" t="s">
        <v>1052</v>
      </c>
      <c r="C78" s="1934"/>
      <c r="D78" s="1934"/>
      <c r="E78" s="1934"/>
      <c r="F78" s="1935"/>
      <c r="G78" s="2841"/>
      <c r="H78" s="2841"/>
      <c r="I78" s="2841"/>
      <c r="J78" s="1936"/>
      <c r="K78" s="1937"/>
      <c r="L78" s="1938"/>
      <c r="M78" s="1957"/>
      <c r="N78" s="1888"/>
      <c r="O78" s="1888"/>
      <c r="P78" s="1888"/>
      <c r="Q78" s="1888"/>
      <c r="T78" s="1902"/>
      <c r="U78" s="1903"/>
      <c r="V78" s="1903"/>
      <c r="W78" s="1903"/>
      <c r="X78" s="1903"/>
      <c r="Y78" s="1903"/>
      <c r="Z78" s="1903"/>
      <c r="AA78" s="1904"/>
      <c r="AB78" s="1905"/>
      <c r="AC78" s="1903"/>
      <c r="AD78" s="1903"/>
      <c r="AE78" s="1903"/>
      <c r="AF78" s="1906"/>
    </row>
    <row r="79" spans="2:32" outlineLevel="1">
      <c r="B79" s="1954" t="s">
        <v>1053</v>
      </c>
      <c r="C79" s="1934"/>
      <c r="D79" s="1934"/>
      <c r="E79" s="1934"/>
      <c r="F79" s="1935"/>
      <c r="G79" s="2841"/>
      <c r="H79" s="2841"/>
      <c r="I79" s="2841"/>
      <c r="J79" s="1936"/>
      <c r="K79" s="1937"/>
      <c r="L79" s="1938"/>
      <c r="M79" s="1957"/>
      <c r="N79" s="1888"/>
      <c r="O79" s="1888"/>
      <c r="P79" s="1888"/>
      <c r="Q79" s="1888"/>
      <c r="T79" s="1902"/>
      <c r="U79" s="1903"/>
      <c r="V79" s="1903"/>
      <c r="W79" s="1903"/>
      <c r="X79" s="1903"/>
      <c r="Y79" s="1903"/>
      <c r="Z79" s="1903"/>
      <c r="AA79" s="1904"/>
      <c r="AB79" s="1905"/>
      <c r="AC79" s="1903"/>
      <c r="AD79" s="1903"/>
      <c r="AE79" s="1903"/>
      <c r="AF79" s="1906"/>
    </row>
    <row r="80" spans="2:32" outlineLevel="1">
      <c r="B80" s="1933" t="s">
        <v>1054</v>
      </c>
      <c r="C80" s="1934"/>
      <c r="D80" s="1934"/>
      <c r="E80" s="1934"/>
      <c r="F80" s="1935"/>
      <c r="G80" s="2841"/>
      <c r="H80" s="2841"/>
      <c r="I80" s="2841"/>
      <c r="J80" s="1936"/>
      <c r="K80" s="1937"/>
      <c r="L80" s="1938"/>
      <c r="M80" s="1957"/>
      <c r="N80" s="1888"/>
      <c r="O80" s="1888"/>
      <c r="P80" s="1888"/>
      <c r="Q80" s="1888"/>
      <c r="T80" s="1902"/>
      <c r="U80" s="1903"/>
      <c r="V80" s="1903"/>
      <c r="W80" s="1903"/>
      <c r="X80" s="1903"/>
      <c r="Y80" s="1903"/>
      <c r="Z80" s="1903"/>
      <c r="AA80" s="1904"/>
      <c r="AB80" s="1905"/>
      <c r="AC80" s="1903"/>
      <c r="AD80" s="1903"/>
      <c r="AE80" s="1903"/>
      <c r="AF80" s="1906"/>
    </row>
    <row r="81" spans="2:32" outlineLevel="1">
      <c r="B81" s="1958" t="s">
        <v>1055</v>
      </c>
      <c r="C81" s="2954" t="s">
        <v>943</v>
      </c>
      <c r="D81" s="2955"/>
      <c r="E81" s="2955"/>
      <c r="F81" s="2955"/>
      <c r="G81" s="2955"/>
      <c r="H81" s="2955"/>
      <c r="I81" s="2955"/>
      <c r="J81" s="2955"/>
      <c r="K81" s="2955"/>
      <c r="L81" s="2955"/>
      <c r="M81" s="2956"/>
      <c r="N81" s="1888"/>
      <c r="O81" s="1888"/>
      <c r="P81" s="1888"/>
      <c r="Q81" s="1888"/>
      <c r="T81" s="1902"/>
      <c r="U81" s="1903"/>
      <c r="V81" s="1903"/>
      <c r="W81" s="1903"/>
      <c r="X81" s="1903"/>
      <c r="Y81" s="1903"/>
      <c r="Z81" s="1903"/>
      <c r="AA81" s="1904"/>
      <c r="AB81" s="1905"/>
      <c r="AC81" s="1903"/>
      <c r="AD81" s="1903"/>
      <c r="AE81" s="1903"/>
      <c r="AF81" s="1906"/>
    </row>
    <row r="82" spans="2:32" s="1877" customFormat="1">
      <c r="B82" s="1878"/>
      <c r="C82" s="1878"/>
      <c r="E82" s="1895"/>
      <c r="F82" s="1950"/>
      <c r="G82" s="1950"/>
      <c r="H82" s="1950"/>
      <c r="I82" s="1950"/>
      <c r="J82" s="1895"/>
      <c r="K82" s="1895"/>
      <c r="L82" s="1895"/>
      <c r="M82" s="1895"/>
      <c r="N82" s="1895"/>
      <c r="O82" s="1895"/>
      <c r="P82" s="1895"/>
      <c r="Q82" s="1895"/>
      <c r="S82" s="1910" t="s">
        <v>1056</v>
      </c>
      <c r="T82" s="1911">
        <f>SUM(T72:T81)</f>
        <v>0</v>
      </c>
      <c r="U82" s="1912">
        <f t="shared" ref="U82:AF82" si="5">SUM(U72:U81)</f>
        <v>0</v>
      </c>
      <c r="V82" s="1912">
        <f t="shared" si="5"/>
        <v>0</v>
      </c>
      <c r="W82" s="1912">
        <f t="shared" si="5"/>
        <v>0</v>
      </c>
      <c r="X82" s="1912">
        <f t="shared" si="5"/>
        <v>0</v>
      </c>
      <c r="Y82" s="1912">
        <f t="shared" si="5"/>
        <v>0</v>
      </c>
      <c r="Z82" s="1912">
        <f t="shared" si="5"/>
        <v>0</v>
      </c>
      <c r="AA82" s="1913">
        <f t="shared" si="5"/>
        <v>0</v>
      </c>
      <c r="AB82" s="1914">
        <f t="shared" si="5"/>
        <v>0</v>
      </c>
      <c r="AC82" s="1912">
        <f t="shared" si="5"/>
        <v>0</v>
      </c>
      <c r="AD82" s="1912">
        <f t="shared" si="5"/>
        <v>0</v>
      </c>
      <c r="AE82" s="1912">
        <f t="shared" si="5"/>
        <v>0</v>
      </c>
      <c r="AF82" s="1915">
        <f t="shared" si="5"/>
        <v>0</v>
      </c>
    </row>
    <row r="83" spans="2:32" s="1877" customFormat="1">
      <c r="B83" s="1878"/>
      <c r="C83" s="1878"/>
      <c r="D83" s="1895"/>
      <c r="E83" s="1895"/>
      <c r="F83" s="1950"/>
      <c r="G83" s="1950"/>
      <c r="H83" s="1950"/>
      <c r="I83" s="1950"/>
      <c r="J83" s="1895"/>
      <c r="K83" s="1895"/>
      <c r="L83" s="1895"/>
      <c r="M83" s="1895"/>
      <c r="N83" s="1895"/>
      <c r="O83" s="1895"/>
      <c r="P83" s="1895"/>
      <c r="Q83" s="1895"/>
      <c r="R83" s="1895"/>
      <c r="S83" s="1895"/>
      <c r="AB83" s="1886"/>
    </row>
    <row r="84" spans="2:32">
      <c r="B84" s="1887" t="s">
        <v>1057</v>
      </c>
      <c r="C84" s="1887"/>
      <c r="D84" s="1888" t="s">
        <v>1058</v>
      </c>
      <c r="E84" s="1888"/>
      <c r="F84" s="1888"/>
      <c r="G84" s="1888"/>
      <c r="H84" s="1888"/>
      <c r="I84" s="1888"/>
      <c r="J84" s="1888"/>
      <c r="K84" s="1888"/>
      <c r="L84" s="1888"/>
      <c r="M84" s="1888"/>
      <c r="N84" s="1888"/>
      <c r="O84" s="1888"/>
      <c r="P84" s="1888"/>
      <c r="Q84" s="1888"/>
      <c r="R84" s="1888"/>
      <c r="S84" s="1888"/>
      <c r="T84" s="1952"/>
      <c r="U84" s="1952"/>
      <c r="V84" s="1952"/>
      <c r="W84" s="1952"/>
      <c r="X84" s="1952"/>
      <c r="Y84" s="1952"/>
      <c r="Z84" s="1952"/>
      <c r="AA84" s="1952"/>
      <c r="AB84" s="1953"/>
      <c r="AC84" s="1952"/>
      <c r="AD84" s="1952"/>
      <c r="AE84" s="1952"/>
      <c r="AF84" s="1952"/>
    </row>
    <row r="85" spans="2:32" ht="25.5" outlineLevel="1">
      <c r="B85" s="1955"/>
      <c r="C85" s="1920" t="s">
        <v>1020</v>
      </c>
      <c r="D85" s="1959"/>
      <c r="E85" s="1960"/>
      <c r="F85" s="1961"/>
      <c r="G85" s="1961"/>
      <c r="H85" s="1961"/>
      <c r="I85" s="1961"/>
      <c r="J85" s="1961"/>
      <c r="K85" s="1961"/>
      <c r="L85" s="1961"/>
      <c r="M85" s="1961"/>
      <c r="N85" s="1962"/>
      <c r="O85" s="1963" t="s">
        <v>1059</v>
      </c>
      <c r="P85" s="1963" t="s">
        <v>1060</v>
      </c>
      <c r="Q85" s="1921" t="s">
        <v>1061</v>
      </c>
      <c r="R85" s="1888"/>
      <c r="S85" s="1888"/>
      <c r="T85" s="1964" t="s">
        <v>1062</v>
      </c>
      <c r="U85" s="1965" t="s">
        <v>1062</v>
      </c>
      <c r="V85" s="1965" t="s">
        <v>1062</v>
      </c>
      <c r="W85" s="1965" t="s">
        <v>1062</v>
      </c>
      <c r="X85" s="1965" t="s">
        <v>1062</v>
      </c>
      <c r="Y85" s="1965" t="s">
        <v>1062</v>
      </c>
      <c r="Z85" s="1965" t="s">
        <v>1062</v>
      </c>
      <c r="AA85" s="1966" t="s">
        <v>1062</v>
      </c>
      <c r="AB85" s="1967" t="s">
        <v>1062</v>
      </c>
      <c r="AC85" s="1965" t="s">
        <v>1062</v>
      </c>
      <c r="AD85" s="1965" t="s">
        <v>1062</v>
      </c>
      <c r="AE85" s="1965" t="s">
        <v>1062</v>
      </c>
      <c r="AF85" s="1968" t="s">
        <v>1062</v>
      </c>
    </row>
    <row r="86" spans="2:32" outlineLevel="1">
      <c r="B86" s="1969" t="s">
        <v>965</v>
      </c>
      <c r="C86" s="1970"/>
      <c r="D86" s="1971" t="s">
        <v>951</v>
      </c>
      <c r="E86" s="1972"/>
      <c r="F86" s="1973"/>
      <c r="G86" s="1973"/>
      <c r="H86" s="1973"/>
      <c r="I86" s="1973"/>
      <c r="J86" s="1973"/>
      <c r="K86" s="1973"/>
      <c r="L86" s="1973"/>
      <c r="M86" s="1973"/>
      <c r="N86" s="1974"/>
      <c r="O86" s="1975" t="s">
        <v>966</v>
      </c>
      <c r="P86" s="1975" t="s">
        <v>966</v>
      </c>
      <c r="Q86" s="1976"/>
      <c r="R86" s="1888"/>
      <c r="S86" s="1888"/>
      <c r="T86" s="1977" t="s">
        <v>498</v>
      </c>
      <c r="U86" s="1978" t="s">
        <v>498</v>
      </c>
      <c r="V86" s="1978" t="s">
        <v>498</v>
      </c>
      <c r="W86" s="1978" t="s">
        <v>498</v>
      </c>
      <c r="X86" s="1978" t="s">
        <v>498</v>
      </c>
      <c r="Y86" s="1978" t="s">
        <v>498</v>
      </c>
      <c r="Z86" s="1978" t="s">
        <v>498</v>
      </c>
      <c r="AA86" s="1979" t="s">
        <v>498</v>
      </c>
      <c r="AB86" s="1980" t="s">
        <v>498</v>
      </c>
      <c r="AC86" s="1978" t="s">
        <v>498</v>
      </c>
      <c r="AD86" s="1978" t="s">
        <v>498</v>
      </c>
      <c r="AE86" s="1978" t="s">
        <v>498</v>
      </c>
      <c r="AF86" s="1981" t="s">
        <v>498</v>
      </c>
    </row>
    <row r="87" spans="2:32" outlineLevel="1">
      <c r="B87" s="1982" t="s">
        <v>1063</v>
      </c>
      <c r="C87" s="1934"/>
      <c r="D87" s="2980" t="s">
        <v>1064</v>
      </c>
      <c r="E87" s="2980"/>
      <c r="F87" s="2980"/>
      <c r="G87" s="2980"/>
      <c r="H87" s="2980"/>
      <c r="I87" s="2980"/>
      <c r="J87" s="2980"/>
      <c r="K87" s="2980"/>
      <c r="L87" s="2980"/>
      <c r="M87" s="2980"/>
      <c r="N87" s="2980"/>
      <c r="O87" s="1983"/>
      <c r="P87" s="1983"/>
      <c r="Q87" s="1948"/>
      <c r="R87" s="1888"/>
      <c r="S87" s="1888"/>
      <c r="T87" s="1902">
        <v>0</v>
      </c>
      <c r="U87" s="1903">
        <v>-2.4</v>
      </c>
      <c r="V87" s="1903">
        <v>-2.3410000000000002</v>
      </c>
      <c r="W87" s="1903">
        <v>-2.2999999999999998</v>
      </c>
      <c r="X87" s="1903">
        <v>9.6999999999999993</v>
      </c>
      <c r="Y87" s="1903">
        <v>9.6999999999999993</v>
      </c>
      <c r="Z87" s="1903">
        <v>0</v>
      </c>
      <c r="AA87" s="1904">
        <v>0</v>
      </c>
      <c r="AB87" s="1905">
        <v>0</v>
      </c>
      <c r="AC87" s="1903">
        <v>0</v>
      </c>
      <c r="AD87" s="1903">
        <v>0</v>
      </c>
      <c r="AE87" s="1903">
        <v>0</v>
      </c>
      <c r="AF87" s="1906">
        <v>0</v>
      </c>
    </row>
    <row r="88" spans="2:32" outlineLevel="1">
      <c r="B88" s="1954" t="s">
        <v>1065</v>
      </c>
      <c r="C88" s="1934"/>
      <c r="D88" s="2980" t="s">
        <v>1066</v>
      </c>
      <c r="E88" s="2980"/>
      <c r="F88" s="2980"/>
      <c r="G88" s="2980"/>
      <c r="H88" s="2980"/>
      <c r="I88" s="2980"/>
      <c r="J88" s="2980"/>
      <c r="K88" s="2980"/>
      <c r="L88" s="2980"/>
      <c r="M88" s="2980"/>
      <c r="N88" s="2980"/>
      <c r="O88" s="1934"/>
      <c r="P88" s="1934"/>
      <c r="Q88" s="1948"/>
      <c r="R88" s="1888"/>
      <c r="S88" s="1888"/>
      <c r="T88" s="1902">
        <v>26.4</v>
      </c>
      <c r="U88" s="1903">
        <v>33.200000000000003</v>
      </c>
      <c r="V88" s="1903">
        <v>19.905000000000001</v>
      </c>
      <c r="W88" s="1903">
        <v>28.8</v>
      </c>
      <c r="X88" s="1903">
        <v>31.9</v>
      </c>
      <c r="Y88" s="1903">
        <v>26.7</v>
      </c>
      <c r="Z88" s="1903">
        <v>25</v>
      </c>
      <c r="AA88" s="1903">
        <v>25</v>
      </c>
      <c r="AB88" s="1903">
        <v>25</v>
      </c>
      <c r="AC88" s="1903">
        <v>25</v>
      </c>
      <c r="AD88" s="1903">
        <v>25</v>
      </c>
      <c r="AE88" s="1903">
        <v>25</v>
      </c>
      <c r="AF88" s="1903">
        <v>25</v>
      </c>
    </row>
    <row r="89" spans="2:32" outlineLevel="1">
      <c r="B89" s="1954" t="s">
        <v>1067</v>
      </c>
      <c r="C89" s="1934"/>
      <c r="D89" s="2980" t="s">
        <v>1068</v>
      </c>
      <c r="E89" s="2980"/>
      <c r="F89" s="2980"/>
      <c r="G89" s="2980"/>
      <c r="H89" s="2980"/>
      <c r="I89" s="2980"/>
      <c r="J89" s="2980"/>
      <c r="K89" s="2980"/>
      <c r="L89" s="2980"/>
      <c r="M89" s="2980"/>
      <c r="N89" s="2980"/>
      <c r="O89" s="1934"/>
      <c r="P89" s="1934"/>
      <c r="Q89" s="1948"/>
      <c r="R89" s="1888"/>
      <c r="S89" s="1888"/>
      <c r="T89" s="1902">
        <v>25.2</v>
      </c>
      <c r="U89" s="1903">
        <v>22.3</v>
      </c>
      <c r="V89" s="1903">
        <v>22.765000000000001</v>
      </c>
      <c r="W89" s="1903">
        <v>23.2</v>
      </c>
      <c r="X89" s="1903">
        <v>22</v>
      </c>
      <c r="Y89" s="1903">
        <f>221.6-198.2</f>
        <v>23.400000000000006</v>
      </c>
      <c r="Z89" s="1903">
        <v>20</v>
      </c>
      <c r="AA89" s="1903">
        <v>20</v>
      </c>
      <c r="AB89" s="1903">
        <v>20</v>
      </c>
      <c r="AC89" s="1903">
        <v>20</v>
      </c>
      <c r="AD89" s="1903">
        <v>20</v>
      </c>
      <c r="AE89" s="1903">
        <v>20</v>
      </c>
      <c r="AF89" s="1903">
        <v>20</v>
      </c>
    </row>
    <row r="90" spans="2:32" outlineLevel="1">
      <c r="B90" s="1954" t="s">
        <v>1069</v>
      </c>
      <c r="C90" s="1934"/>
      <c r="D90" s="2973"/>
      <c r="E90" s="2973"/>
      <c r="F90" s="2973"/>
      <c r="G90" s="2973"/>
      <c r="H90" s="2973"/>
      <c r="I90" s="2973"/>
      <c r="J90" s="2973"/>
      <c r="K90" s="2973"/>
      <c r="L90" s="2973"/>
      <c r="M90" s="2973"/>
      <c r="N90" s="2973"/>
      <c r="O90" s="1934"/>
      <c r="P90" s="1934"/>
      <c r="Q90" s="1948"/>
      <c r="R90" s="1888"/>
      <c r="S90" s="1888"/>
      <c r="T90" s="1902"/>
      <c r="U90" s="1903"/>
      <c r="V90" s="1903"/>
      <c r="W90" s="1903"/>
      <c r="X90" s="1903"/>
      <c r="Y90" s="1903"/>
      <c r="Z90" s="1903"/>
      <c r="AA90" s="1904"/>
      <c r="AB90" s="1905"/>
      <c r="AC90" s="1903"/>
      <c r="AD90" s="1903"/>
      <c r="AE90" s="1903"/>
      <c r="AF90" s="1906"/>
    </row>
    <row r="91" spans="2:32" outlineLevel="1">
      <c r="B91" s="1954" t="s">
        <v>1070</v>
      </c>
      <c r="C91" s="1934"/>
      <c r="D91" s="2973"/>
      <c r="E91" s="2973"/>
      <c r="F91" s="2973"/>
      <c r="G91" s="2973"/>
      <c r="H91" s="2973"/>
      <c r="I91" s="2973"/>
      <c r="J91" s="2973"/>
      <c r="K91" s="2973"/>
      <c r="L91" s="2973"/>
      <c r="M91" s="2973"/>
      <c r="N91" s="2973"/>
      <c r="O91" s="1934"/>
      <c r="P91" s="1934"/>
      <c r="Q91" s="1948"/>
      <c r="R91" s="1888"/>
      <c r="S91" s="1888"/>
      <c r="T91" s="1902"/>
      <c r="U91" s="1903"/>
      <c r="V91" s="1903"/>
      <c r="W91" s="1903"/>
      <c r="X91" s="1903"/>
      <c r="Y91" s="1903"/>
      <c r="Z91" s="1903"/>
      <c r="AA91" s="1904"/>
      <c r="AB91" s="1905"/>
      <c r="AC91" s="1903"/>
      <c r="AD91" s="1903"/>
      <c r="AE91" s="1903"/>
      <c r="AF91" s="1906"/>
    </row>
    <row r="92" spans="2:32" outlineLevel="1">
      <c r="B92" s="1954" t="s">
        <v>1071</v>
      </c>
      <c r="C92" s="1934"/>
      <c r="D92" s="2973"/>
      <c r="E92" s="2973"/>
      <c r="F92" s="2973"/>
      <c r="G92" s="2973"/>
      <c r="H92" s="2973"/>
      <c r="I92" s="2973"/>
      <c r="J92" s="2973"/>
      <c r="K92" s="2973"/>
      <c r="L92" s="2973"/>
      <c r="M92" s="2973"/>
      <c r="N92" s="2973"/>
      <c r="O92" s="1934"/>
      <c r="P92" s="1934"/>
      <c r="Q92" s="1948"/>
      <c r="R92" s="1888"/>
      <c r="S92" s="1888"/>
      <c r="T92" s="1902"/>
      <c r="U92" s="1903"/>
      <c r="V92" s="1903"/>
      <c r="W92" s="1903"/>
      <c r="X92" s="1903"/>
      <c r="Y92" s="1903"/>
      <c r="Z92" s="1903"/>
      <c r="AA92" s="1904"/>
      <c r="AB92" s="1905"/>
      <c r="AC92" s="1903"/>
      <c r="AD92" s="1903"/>
      <c r="AE92" s="1903"/>
      <c r="AF92" s="1906"/>
    </row>
    <row r="93" spans="2:32" outlineLevel="1">
      <c r="B93" s="1954" t="s">
        <v>1072</v>
      </c>
      <c r="C93" s="1934"/>
      <c r="D93" s="2973"/>
      <c r="E93" s="2973"/>
      <c r="F93" s="2973"/>
      <c r="G93" s="2973"/>
      <c r="H93" s="2973"/>
      <c r="I93" s="2973"/>
      <c r="J93" s="2973"/>
      <c r="K93" s="2973"/>
      <c r="L93" s="2973"/>
      <c r="M93" s="2973"/>
      <c r="N93" s="2973"/>
      <c r="O93" s="1934"/>
      <c r="P93" s="1934"/>
      <c r="Q93" s="1948"/>
      <c r="R93" s="1888"/>
      <c r="S93" s="1888"/>
      <c r="T93" s="1902"/>
      <c r="U93" s="1903"/>
      <c r="V93" s="1903"/>
      <c r="W93" s="1903"/>
      <c r="X93" s="1903"/>
      <c r="Y93" s="1903"/>
      <c r="Z93" s="1903"/>
      <c r="AA93" s="1904"/>
      <c r="AB93" s="1905"/>
      <c r="AC93" s="1903"/>
      <c r="AD93" s="1903"/>
      <c r="AE93" s="1903"/>
      <c r="AF93" s="1906"/>
    </row>
    <row r="94" spans="2:32" outlineLevel="1">
      <c r="B94" s="1954" t="s">
        <v>1073</v>
      </c>
      <c r="C94" s="1934"/>
      <c r="D94" s="2973"/>
      <c r="E94" s="2973"/>
      <c r="F94" s="2973"/>
      <c r="G94" s="2973"/>
      <c r="H94" s="2973"/>
      <c r="I94" s="2973"/>
      <c r="J94" s="2973"/>
      <c r="K94" s="2973"/>
      <c r="L94" s="2973"/>
      <c r="M94" s="2973"/>
      <c r="N94" s="2973"/>
      <c r="O94" s="1934"/>
      <c r="P94" s="1934"/>
      <c r="Q94" s="1948"/>
      <c r="R94" s="1888"/>
      <c r="S94" s="1888"/>
      <c r="T94" s="1902"/>
      <c r="U94" s="1903"/>
      <c r="V94" s="1903"/>
      <c r="W94" s="1903"/>
      <c r="X94" s="1903"/>
      <c r="Y94" s="1903"/>
      <c r="Z94" s="1903"/>
      <c r="AA94" s="1904"/>
      <c r="AB94" s="1905"/>
      <c r="AC94" s="1903"/>
      <c r="AD94" s="1903"/>
      <c r="AE94" s="1903"/>
      <c r="AF94" s="1906"/>
    </row>
    <row r="95" spans="2:32" outlineLevel="1">
      <c r="B95" s="1954" t="s">
        <v>1074</v>
      </c>
      <c r="C95" s="1934"/>
      <c r="D95" s="2973"/>
      <c r="E95" s="2973"/>
      <c r="F95" s="2973"/>
      <c r="G95" s="2973"/>
      <c r="H95" s="2973"/>
      <c r="I95" s="2973"/>
      <c r="J95" s="2973"/>
      <c r="K95" s="2973"/>
      <c r="L95" s="2973"/>
      <c r="M95" s="2973"/>
      <c r="N95" s="2973"/>
      <c r="O95" s="1934"/>
      <c r="P95" s="1934"/>
      <c r="Q95" s="1939"/>
      <c r="R95" s="1888"/>
      <c r="S95" s="1888"/>
      <c r="T95" s="1902"/>
      <c r="U95" s="1903"/>
      <c r="V95" s="1903"/>
      <c r="W95" s="1903"/>
      <c r="X95" s="1903"/>
      <c r="Y95" s="1903"/>
      <c r="Z95" s="1903"/>
      <c r="AA95" s="1904"/>
      <c r="AB95" s="1905"/>
      <c r="AC95" s="1903"/>
      <c r="AD95" s="1903"/>
      <c r="AE95" s="1903"/>
      <c r="AF95" s="1906"/>
    </row>
    <row r="96" spans="2:32" outlineLevel="1">
      <c r="B96" s="1958" t="s">
        <v>1075</v>
      </c>
      <c r="C96" s="2954" t="s">
        <v>943</v>
      </c>
      <c r="D96" s="2955"/>
      <c r="E96" s="2955"/>
      <c r="F96" s="2955"/>
      <c r="G96" s="2955"/>
      <c r="H96" s="2955"/>
      <c r="I96" s="2955"/>
      <c r="J96" s="2955"/>
      <c r="K96" s="2955"/>
      <c r="L96" s="2955"/>
      <c r="M96" s="2955"/>
      <c r="N96" s="2955"/>
      <c r="O96" s="2955"/>
      <c r="P96" s="2955"/>
      <c r="Q96" s="2956"/>
      <c r="R96" s="1888"/>
      <c r="T96" s="1902"/>
      <c r="U96" s="1903"/>
      <c r="V96" s="1903"/>
      <c r="W96" s="1903"/>
      <c r="X96" s="1903"/>
      <c r="Y96" s="1903"/>
      <c r="Z96" s="1903"/>
      <c r="AA96" s="1904"/>
      <c r="AB96" s="1905"/>
      <c r="AC96" s="1903"/>
      <c r="AD96" s="1903"/>
      <c r="AE96" s="1903"/>
      <c r="AF96" s="1906"/>
    </row>
    <row r="97" spans="2:32" s="1877" customFormat="1">
      <c r="B97" s="1878"/>
      <c r="C97" s="1878"/>
      <c r="F97" s="1950"/>
      <c r="G97" s="1950"/>
      <c r="H97" s="1950"/>
      <c r="I97" s="1950"/>
      <c r="J97" s="1895"/>
      <c r="K97" s="1895"/>
      <c r="L97" s="1895"/>
      <c r="M97" s="1895"/>
      <c r="N97" s="1895"/>
      <c r="O97" s="1895"/>
      <c r="P97" s="1895"/>
      <c r="Q97" s="1895"/>
      <c r="R97" s="1895"/>
      <c r="S97" s="1984" t="s">
        <v>1076</v>
      </c>
      <c r="T97" s="1911">
        <f t="shared" ref="T97:AF97" si="6">SUM(T87:T96)</f>
        <v>51.599999999999994</v>
      </c>
      <c r="U97" s="1912">
        <f t="shared" si="6"/>
        <v>53.100000000000009</v>
      </c>
      <c r="V97" s="1912">
        <f t="shared" si="6"/>
        <v>40.329000000000001</v>
      </c>
      <c r="W97" s="1912">
        <f t="shared" si="6"/>
        <v>49.7</v>
      </c>
      <c r="X97" s="1912">
        <f t="shared" si="6"/>
        <v>63.599999999999994</v>
      </c>
      <c r="Y97" s="1912">
        <f t="shared" si="6"/>
        <v>59.800000000000004</v>
      </c>
      <c r="Z97" s="1912">
        <f t="shared" si="6"/>
        <v>45</v>
      </c>
      <c r="AA97" s="1913">
        <f t="shared" si="6"/>
        <v>45</v>
      </c>
      <c r="AB97" s="1914">
        <f t="shared" si="6"/>
        <v>45</v>
      </c>
      <c r="AC97" s="1912">
        <f t="shared" si="6"/>
        <v>45</v>
      </c>
      <c r="AD97" s="1912">
        <f t="shared" si="6"/>
        <v>45</v>
      </c>
      <c r="AE97" s="1912">
        <f t="shared" si="6"/>
        <v>45</v>
      </c>
      <c r="AF97" s="1915">
        <f t="shared" si="6"/>
        <v>45</v>
      </c>
    </row>
    <row r="98" spans="2:32" s="1877" customFormat="1">
      <c r="B98" s="1878"/>
      <c r="C98" s="1878"/>
      <c r="D98" s="1895"/>
      <c r="E98" s="1895"/>
      <c r="F98" s="1950"/>
      <c r="G98" s="1950"/>
      <c r="H98" s="1950"/>
      <c r="I98" s="1950"/>
      <c r="J98" s="1895"/>
      <c r="K98" s="1895"/>
      <c r="L98" s="1895"/>
      <c r="M98" s="1895"/>
      <c r="N98" s="1895"/>
      <c r="O98" s="1895"/>
      <c r="P98" s="1895"/>
      <c r="Q98" s="1895"/>
      <c r="R98" s="1895"/>
      <c r="AB98" s="1886"/>
    </row>
    <row r="99" spans="2:32">
      <c r="B99" s="1887" t="s">
        <v>1077</v>
      </c>
      <c r="C99" s="1887"/>
      <c r="D99" s="1888" t="s">
        <v>1078</v>
      </c>
      <c r="E99" s="1888"/>
      <c r="F99" s="1888"/>
      <c r="G99" s="1888"/>
      <c r="H99" s="1888"/>
      <c r="I99" s="1888"/>
      <c r="J99" s="1888"/>
      <c r="K99" s="1888"/>
      <c r="L99" s="1888"/>
      <c r="M99" s="1888"/>
      <c r="N99" s="1888"/>
      <c r="O99" s="1888"/>
      <c r="P99" s="1888"/>
      <c r="Q99" s="1888"/>
      <c r="R99" s="1888"/>
      <c r="S99" s="1888"/>
      <c r="T99" s="1952"/>
      <c r="U99" s="1952"/>
      <c r="V99" s="1952"/>
      <c r="W99" s="1952"/>
      <c r="X99" s="1952"/>
      <c r="Y99" s="1952"/>
      <c r="Z99" s="1952"/>
      <c r="AA99" s="1952"/>
      <c r="AB99" s="1953"/>
      <c r="AC99" s="1952"/>
      <c r="AD99" s="1952"/>
      <c r="AE99" s="1952"/>
      <c r="AF99" s="1952"/>
    </row>
    <row r="100" spans="2:32" ht="25.5" outlineLevel="1">
      <c r="B100" s="1985"/>
      <c r="C100" s="1920" t="s">
        <v>1020</v>
      </c>
      <c r="D100" s="1986"/>
      <c r="E100" s="1987"/>
      <c r="F100" s="1987"/>
      <c r="G100" s="1987"/>
      <c r="H100" s="1987"/>
      <c r="I100" s="1987"/>
      <c r="J100" s="1987"/>
      <c r="K100" s="1987"/>
      <c r="L100" s="1987"/>
      <c r="M100" s="1987"/>
      <c r="N100" s="1987"/>
      <c r="O100" s="1919" t="s">
        <v>1079</v>
      </c>
      <c r="P100" s="1919" t="s">
        <v>1080</v>
      </c>
      <c r="Q100" s="1988" t="s">
        <v>1081</v>
      </c>
      <c r="R100" s="1888"/>
      <c r="S100" s="1888"/>
      <c r="T100" s="1989" t="s">
        <v>1082</v>
      </c>
      <c r="U100" s="1990" t="s">
        <v>1082</v>
      </c>
      <c r="V100" s="1990" t="s">
        <v>1082</v>
      </c>
      <c r="W100" s="1990" t="s">
        <v>1082</v>
      </c>
      <c r="X100" s="1990" t="s">
        <v>1082</v>
      </c>
      <c r="Y100" s="1990" t="s">
        <v>1082</v>
      </c>
      <c r="Z100" s="1990" t="s">
        <v>1082</v>
      </c>
      <c r="AA100" s="1991" t="s">
        <v>1082</v>
      </c>
      <c r="AB100" s="1992" t="s">
        <v>1082</v>
      </c>
      <c r="AC100" s="1990" t="s">
        <v>1082</v>
      </c>
      <c r="AD100" s="1990" t="s">
        <v>1082</v>
      </c>
      <c r="AE100" s="1990" t="s">
        <v>1082</v>
      </c>
      <c r="AF100" s="1993" t="s">
        <v>1082</v>
      </c>
    </row>
    <row r="101" spans="2:32" outlineLevel="1">
      <c r="B101" s="1994"/>
      <c r="C101" s="1995"/>
      <c r="D101" s="1996"/>
      <c r="E101" s="2837"/>
      <c r="F101" s="1895"/>
      <c r="G101" s="1895"/>
      <c r="H101" s="1895"/>
      <c r="I101" s="1895"/>
      <c r="J101" s="1895"/>
      <c r="K101" s="1895"/>
      <c r="L101" s="1895"/>
      <c r="M101" s="1895"/>
      <c r="N101" s="1895"/>
      <c r="O101" s="1995" t="s">
        <v>1083</v>
      </c>
      <c r="P101" s="1995" t="s">
        <v>1083</v>
      </c>
      <c r="Q101" s="1997" t="s">
        <v>993</v>
      </c>
      <c r="R101" s="1888"/>
      <c r="S101" s="1888"/>
      <c r="T101" s="1998" t="s">
        <v>1084</v>
      </c>
      <c r="U101" s="1999" t="s">
        <v>1084</v>
      </c>
      <c r="V101" s="1999" t="s">
        <v>1084</v>
      </c>
      <c r="W101" s="1999" t="s">
        <v>1084</v>
      </c>
      <c r="X101" s="1999" t="s">
        <v>1084</v>
      </c>
      <c r="Y101" s="1999" t="s">
        <v>1084</v>
      </c>
      <c r="Z101" s="1999" t="s">
        <v>1084</v>
      </c>
      <c r="AA101" s="2000" t="s">
        <v>1084</v>
      </c>
      <c r="AB101" s="2001" t="s">
        <v>1084</v>
      </c>
      <c r="AC101" s="1999" t="s">
        <v>1084</v>
      </c>
      <c r="AD101" s="1999" t="s">
        <v>1084</v>
      </c>
      <c r="AE101" s="1999" t="s">
        <v>1084</v>
      </c>
      <c r="AF101" s="2002" t="s">
        <v>1084</v>
      </c>
    </row>
    <row r="102" spans="2:32" outlineLevel="1">
      <c r="B102" s="2003" t="s">
        <v>965</v>
      </c>
      <c r="C102" s="2004"/>
      <c r="D102" s="2005" t="s">
        <v>951</v>
      </c>
      <c r="E102" s="1972"/>
      <c r="F102" s="1973"/>
      <c r="G102" s="1973"/>
      <c r="H102" s="1973"/>
      <c r="I102" s="1973"/>
      <c r="J102" s="1973"/>
      <c r="K102" s="1973"/>
      <c r="L102" s="1973"/>
      <c r="M102" s="1973"/>
      <c r="N102" s="1974"/>
      <c r="O102" s="1975" t="s">
        <v>966</v>
      </c>
      <c r="P102" s="1975" t="s">
        <v>966</v>
      </c>
      <c r="Q102" s="1976"/>
      <c r="R102" s="1888"/>
      <c r="S102" s="1888"/>
      <c r="T102" s="2006" t="s">
        <v>498</v>
      </c>
      <c r="U102" s="2007" t="s">
        <v>498</v>
      </c>
      <c r="V102" s="2007" t="s">
        <v>498</v>
      </c>
      <c r="W102" s="2007" t="s">
        <v>498</v>
      </c>
      <c r="X102" s="2007" t="s">
        <v>498</v>
      </c>
      <c r="Y102" s="2007" t="s">
        <v>498</v>
      </c>
      <c r="Z102" s="2007" t="s">
        <v>498</v>
      </c>
      <c r="AA102" s="2008" t="s">
        <v>498</v>
      </c>
      <c r="AB102" s="2009" t="s">
        <v>498</v>
      </c>
      <c r="AC102" s="2007" t="s">
        <v>498</v>
      </c>
      <c r="AD102" s="2007" t="s">
        <v>498</v>
      </c>
      <c r="AE102" s="2007" t="s">
        <v>498</v>
      </c>
      <c r="AF102" s="2010" t="s">
        <v>498</v>
      </c>
    </row>
    <row r="103" spans="2:32" outlineLevel="1">
      <c r="B103" s="2011" t="s">
        <v>1085</v>
      </c>
      <c r="C103" s="1934"/>
      <c r="D103" s="2980"/>
      <c r="E103" s="2980"/>
      <c r="F103" s="2980"/>
      <c r="G103" s="2980"/>
      <c r="H103" s="2980"/>
      <c r="I103" s="2980"/>
      <c r="J103" s="2980"/>
      <c r="K103" s="2980"/>
      <c r="L103" s="2980"/>
      <c r="M103" s="2980"/>
      <c r="N103" s="2980"/>
      <c r="O103" s="1983"/>
      <c r="P103" s="1983"/>
      <c r="Q103" s="1948"/>
      <c r="R103" s="1888"/>
      <c r="S103" s="1888"/>
      <c r="T103" s="1902"/>
      <c r="U103" s="1903"/>
      <c r="V103" s="1903"/>
      <c r="W103" s="1903"/>
      <c r="X103" s="1903"/>
      <c r="Y103" s="1903"/>
      <c r="Z103" s="1903"/>
      <c r="AA103" s="1904"/>
      <c r="AB103" s="1905"/>
      <c r="AC103" s="1903"/>
      <c r="AD103" s="1903"/>
      <c r="AE103" s="1903"/>
      <c r="AF103" s="1906"/>
    </row>
    <row r="104" spans="2:32" outlineLevel="1">
      <c r="B104" s="2011" t="s">
        <v>1086</v>
      </c>
      <c r="C104" s="1934"/>
      <c r="D104" s="2973"/>
      <c r="E104" s="2973"/>
      <c r="F104" s="2973"/>
      <c r="G104" s="2973"/>
      <c r="H104" s="2973"/>
      <c r="I104" s="2973"/>
      <c r="J104" s="2973"/>
      <c r="K104" s="2973"/>
      <c r="L104" s="2973"/>
      <c r="M104" s="2973"/>
      <c r="N104" s="2973"/>
      <c r="O104" s="1934"/>
      <c r="P104" s="1934"/>
      <c r="Q104" s="1948"/>
      <c r="R104" s="1888"/>
      <c r="S104" s="1888"/>
      <c r="T104" s="1902"/>
      <c r="U104" s="1903"/>
      <c r="V104" s="1903"/>
      <c r="W104" s="1903"/>
      <c r="X104" s="1903"/>
      <c r="Y104" s="1903"/>
      <c r="Z104" s="1903"/>
      <c r="AA104" s="1904"/>
      <c r="AB104" s="1905"/>
      <c r="AC104" s="1903"/>
      <c r="AD104" s="1903"/>
      <c r="AE104" s="1903"/>
      <c r="AF104" s="1906"/>
    </row>
    <row r="105" spans="2:32" outlineLevel="1">
      <c r="B105" s="2011" t="s">
        <v>1087</v>
      </c>
      <c r="C105" s="1934"/>
      <c r="D105" s="2973"/>
      <c r="E105" s="2973"/>
      <c r="F105" s="2973"/>
      <c r="G105" s="2973"/>
      <c r="H105" s="2973"/>
      <c r="I105" s="2973"/>
      <c r="J105" s="2973"/>
      <c r="K105" s="2973"/>
      <c r="L105" s="2973"/>
      <c r="M105" s="2973"/>
      <c r="N105" s="2973"/>
      <c r="O105" s="1934"/>
      <c r="P105" s="1934"/>
      <c r="Q105" s="1948"/>
      <c r="R105" s="1888"/>
      <c r="S105" s="1888"/>
      <c r="T105" s="1902"/>
      <c r="U105" s="1903"/>
      <c r="V105" s="1903"/>
      <c r="W105" s="1903"/>
      <c r="X105" s="1903"/>
      <c r="Y105" s="1903"/>
      <c r="Z105" s="1903"/>
      <c r="AA105" s="1904"/>
      <c r="AB105" s="1905"/>
      <c r="AC105" s="1903"/>
      <c r="AD105" s="1903"/>
      <c r="AE105" s="1903"/>
      <c r="AF105" s="1906"/>
    </row>
    <row r="106" spans="2:32" outlineLevel="1">
      <c r="B106" s="2011" t="s">
        <v>1088</v>
      </c>
      <c r="C106" s="1934"/>
      <c r="D106" s="2973"/>
      <c r="E106" s="2973"/>
      <c r="F106" s="2973"/>
      <c r="G106" s="2973"/>
      <c r="H106" s="2973"/>
      <c r="I106" s="2973"/>
      <c r="J106" s="2973"/>
      <c r="K106" s="2973"/>
      <c r="L106" s="2973"/>
      <c r="M106" s="2973"/>
      <c r="N106" s="2973"/>
      <c r="O106" s="1934"/>
      <c r="P106" s="1934"/>
      <c r="Q106" s="1948"/>
      <c r="R106" s="1888"/>
      <c r="S106" s="1888"/>
      <c r="T106" s="1902"/>
      <c r="U106" s="1903"/>
      <c r="V106" s="1903"/>
      <c r="W106" s="1903"/>
      <c r="X106" s="1903"/>
      <c r="Y106" s="1903"/>
      <c r="Z106" s="1903"/>
      <c r="AA106" s="1904"/>
      <c r="AB106" s="1905"/>
      <c r="AC106" s="1903"/>
      <c r="AD106" s="1903"/>
      <c r="AE106" s="1903"/>
      <c r="AF106" s="1906"/>
    </row>
    <row r="107" spans="2:32" outlineLevel="1">
      <c r="B107" s="2011" t="s">
        <v>1089</v>
      </c>
      <c r="C107" s="1934"/>
      <c r="D107" s="2973"/>
      <c r="E107" s="2973"/>
      <c r="F107" s="2973"/>
      <c r="G107" s="2973"/>
      <c r="H107" s="2973"/>
      <c r="I107" s="2973"/>
      <c r="J107" s="2973"/>
      <c r="K107" s="2973"/>
      <c r="L107" s="2973"/>
      <c r="M107" s="2973"/>
      <c r="N107" s="2973"/>
      <c r="O107" s="1934"/>
      <c r="P107" s="1934"/>
      <c r="Q107" s="1948"/>
      <c r="R107" s="1888"/>
      <c r="S107" s="1888"/>
      <c r="T107" s="1902"/>
      <c r="U107" s="1903"/>
      <c r="V107" s="1903"/>
      <c r="W107" s="1903"/>
      <c r="X107" s="1903"/>
      <c r="Y107" s="1903"/>
      <c r="Z107" s="1903"/>
      <c r="AA107" s="1904"/>
      <c r="AB107" s="1905"/>
      <c r="AC107" s="1903"/>
      <c r="AD107" s="1903"/>
      <c r="AE107" s="1903"/>
      <c r="AF107" s="1906"/>
    </row>
    <row r="108" spans="2:32" outlineLevel="1">
      <c r="B108" s="2011" t="s">
        <v>1090</v>
      </c>
      <c r="C108" s="1934"/>
      <c r="D108" s="2973"/>
      <c r="E108" s="2973"/>
      <c r="F108" s="2973"/>
      <c r="G108" s="2973"/>
      <c r="H108" s="2973"/>
      <c r="I108" s="2973"/>
      <c r="J108" s="2973"/>
      <c r="K108" s="2973"/>
      <c r="L108" s="2973"/>
      <c r="M108" s="2973"/>
      <c r="N108" s="2973"/>
      <c r="O108" s="1934"/>
      <c r="P108" s="1934"/>
      <c r="Q108" s="1948"/>
      <c r="R108" s="1888"/>
      <c r="S108" s="1888"/>
      <c r="T108" s="1902"/>
      <c r="U108" s="1903"/>
      <c r="V108" s="1903"/>
      <c r="W108" s="1903"/>
      <c r="X108" s="1903"/>
      <c r="Y108" s="1903"/>
      <c r="Z108" s="1903"/>
      <c r="AA108" s="1904"/>
      <c r="AB108" s="1905"/>
      <c r="AC108" s="1903"/>
      <c r="AD108" s="1903"/>
      <c r="AE108" s="1903"/>
      <c r="AF108" s="1906"/>
    </row>
    <row r="109" spans="2:32" outlineLevel="1">
      <c r="B109" s="2011" t="s">
        <v>1091</v>
      </c>
      <c r="C109" s="1934"/>
      <c r="D109" s="2973"/>
      <c r="E109" s="2973"/>
      <c r="F109" s="2973"/>
      <c r="G109" s="2973"/>
      <c r="H109" s="2973"/>
      <c r="I109" s="2973"/>
      <c r="J109" s="2973"/>
      <c r="K109" s="2973"/>
      <c r="L109" s="2973"/>
      <c r="M109" s="2973"/>
      <c r="N109" s="2973"/>
      <c r="O109" s="1934"/>
      <c r="P109" s="1934"/>
      <c r="Q109" s="1948"/>
      <c r="R109" s="1888"/>
      <c r="S109" s="1888"/>
      <c r="T109" s="1902"/>
      <c r="U109" s="1903"/>
      <c r="V109" s="1903"/>
      <c r="W109" s="1903"/>
      <c r="X109" s="1903"/>
      <c r="Y109" s="1903"/>
      <c r="Z109" s="1903"/>
      <c r="AA109" s="1904"/>
      <c r="AB109" s="1905"/>
      <c r="AC109" s="1903"/>
      <c r="AD109" s="1903"/>
      <c r="AE109" s="1903"/>
      <c r="AF109" s="1906"/>
    </row>
    <row r="110" spans="2:32" outlineLevel="1">
      <c r="B110" s="2011" t="s">
        <v>1092</v>
      </c>
      <c r="C110" s="1934"/>
      <c r="D110" s="2973"/>
      <c r="E110" s="2973"/>
      <c r="F110" s="2973"/>
      <c r="G110" s="2973"/>
      <c r="H110" s="2973"/>
      <c r="I110" s="2973"/>
      <c r="J110" s="2973"/>
      <c r="K110" s="2973"/>
      <c r="L110" s="2973"/>
      <c r="M110" s="2973"/>
      <c r="N110" s="2973"/>
      <c r="O110" s="1934"/>
      <c r="P110" s="1934"/>
      <c r="Q110" s="1948"/>
      <c r="R110" s="1888"/>
      <c r="S110" s="1888"/>
      <c r="T110" s="1902"/>
      <c r="U110" s="1903"/>
      <c r="V110" s="1903"/>
      <c r="W110" s="1903"/>
      <c r="X110" s="1903"/>
      <c r="Y110" s="1903"/>
      <c r="Z110" s="1903"/>
      <c r="AA110" s="1904"/>
      <c r="AB110" s="1905"/>
      <c r="AC110" s="1903"/>
      <c r="AD110" s="1903"/>
      <c r="AE110" s="1903"/>
      <c r="AF110" s="1906"/>
    </row>
    <row r="111" spans="2:32" outlineLevel="1">
      <c r="B111" s="2011" t="s">
        <v>1093</v>
      </c>
      <c r="C111" s="1934"/>
      <c r="D111" s="2973"/>
      <c r="E111" s="2973"/>
      <c r="F111" s="2973"/>
      <c r="G111" s="2973"/>
      <c r="H111" s="2973"/>
      <c r="I111" s="2973"/>
      <c r="J111" s="2973"/>
      <c r="K111" s="2973"/>
      <c r="L111" s="2973"/>
      <c r="M111" s="2973"/>
      <c r="N111" s="2973"/>
      <c r="O111" s="1934"/>
      <c r="P111" s="1934"/>
      <c r="Q111" s="1939"/>
      <c r="R111" s="1888"/>
      <c r="S111" s="1888"/>
      <c r="T111" s="1902"/>
      <c r="U111" s="1903"/>
      <c r="V111" s="1903"/>
      <c r="W111" s="1903"/>
      <c r="X111" s="1903"/>
      <c r="Y111" s="1903"/>
      <c r="Z111" s="1903"/>
      <c r="AA111" s="1904"/>
      <c r="AB111" s="1905"/>
      <c r="AC111" s="1903"/>
      <c r="AD111" s="1903"/>
      <c r="AE111" s="1903"/>
      <c r="AF111" s="1906"/>
    </row>
    <row r="112" spans="2:32" outlineLevel="1">
      <c r="B112" s="1958" t="s">
        <v>1094</v>
      </c>
      <c r="C112" s="2954" t="s">
        <v>943</v>
      </c>
      <c r="D112" s="2955"/>
      <c r="E112" s="2955"/>
      <c r="F112" s="2955"/>
      <c r="G112" s="2955"/>
      <c r="H112" s="2955"/>
      <c r="I112" s="2955"/>
      <c r="J112" s="2955"/>
      <c r="K112" s="2955"/>
      <c r="L112" s="2955"/>
      <c r="M112" s="2955"/>
      <c r="N112" s="2955"/>
      <c r="O112" s="2955"/>
      <c r="P112" s="2955"/>
      <c r="Q112" s="2956"/>
      <c r="R112" s="1888"/>
      <c r="T112" s="1902"/>
      <c r="U112" s="1903"/>
      <c r="V112" s="1903"/>
      <c r="W112" s="1903"/>
      <c r="X112" s="1903"/>
      <c r="Y112" s="1903"/>
      <c r="Z112" s="1903"/>
      <c r="AA112" s="1904"/>
      <c r="AB112" s="1905"/>
      <c r="AC112" s="1903"/>
      <c r="AD112" s="1903"/>
      <c r="AE112" s="1903"/>
      <c r="AF112" s="1906"/>
    </row>
    <row r="113" spans="2:32" s="1877" customFormat="1">
      <c r="B113" s="1878"/>
      <c r="C113" s="1878"/>
      <c r="F113" s="1950"/>
      <c r="G113" s="1950"/>
      <c r="H113" s="1950"/>
      <c r="I113" s="1950"/>
      <c r="J113" s="1895"/>
      <c r="K113" s="1895"/>
      <c r="L113" s="1895"/>
      <c r="M113" s="1895"/>
      <c r="N113" s="1895"/>
      <c r="O113" s="1895"/>
      <c r="P113" s="1895"/>
      <c r="Q113" s="1895"/>
      <c r="R113" s="1888"/>
      <c r="S113" s="1910" t="s">
        <v>1095</v>
      </c>
      <c r="T113" s="1911">
        <f t="shared" ref="T113:AF113" si="7">SUM(T103:T112)</f>
        <v>0</v>
      </c>
      <c r="U113" s="1912">
        <f t="shared" si="7"/>
        <v>0</v>
      </c>
      <c r="V113" s="1912">
        <f t="shared" si="7"/>
        <v>0</v>
      </c>
      <c r="W113" s="1912">
        <f t="shared" si="7"/>
        <v>0</v>
      </c>
      <c r="X113" s="1912">
        <f t="shared" si="7"/>
        <v>0</v>
      </c>
      <c r="Y113" s="1912">
        <f t="shared" si="7"/>
        <v>0</v>
      </c>
      <c r="Z113" s="1912">
        <f t="shared" si="7"/>
        <v>0</v>
      </c>
      <c r="AA113" s="1913">
        <f t="shared" si="7"/>
        <v>0</v>
      </c>
      <c r="AB113" s="1914">
        <f t="shared" si="7"/>
        <v>0</v>
      </c>
      <c r="AC113" s="1912">
        <f t="shared" si="7"/>
        <v>0</v>
      </c>
      <c r="AD113" s="1912">
        <f t="shared" si="7"/>
        <v>0</v>
      </c>
      <c r="AE113" s="1912">
        <f t="shared" si="7"/>
        <v>0</v>
      </c>
      <c r="AF113" s="1915">
        <f t="shared" si="7"/>
        <v>0</v>
      </c>
    </row>
    <row r="114" spans="2:32" s="1877" customFormat="1">
      <c r="B114" s="1878"/>
      <c r="C114" s="1878"/>
      <c r="D114" s="1895"/>
      <c r="E114" s="1895"/>
      <c r="F114" s="1950"/>
      <c r="G114" s="1950"/>
      <c r="H114" s="1950"/>
      <c r="I114" s="1950"/>
      <c r="J114" s="1895"/>
      <c r="K114" s="1895"/>
      <c r="L114" s="1895"/>
      <c r="M114" s="1895"/>
      <c r="N114" s="1895"/>
      <c r="O114" s="1895"/>
      <c r="P114" s="1895"/>
      <c r="Q114" s="1895"/>
      <c r="R114" s="1895"/>
      <c r="S114" s="1895"/>
      <c r="AB114" s="1886"/>
    </row>
    <row r="115" spans="2:32">
      <c r="B115" s="1887" t="s">
        <v>1096</v>
      </c>
      <c r="C115" s="1887"/>
      <c r="D115" s="2012" t="s">
        <v>1097</v>
      </c>
      <c r="E115" s="1888"/>
      <c r="F115" s="1889"/>
      <c r="G115" s="1889"/>
      <c r="H115" s="1889"/>
      <c r="I115" s="1889"/>
      <c r="J115" s="1889"/>
      <c r="K115" s="1889"/>
      <c r="L115" s="1889"/>
      <c r="M115" s="1889"/>
      <c r="N115" s="1889"/>
      <c r="O115" s="1889"/>
      <c r="P115" s="1889"/>
      <c r="Q115" s="1889"/>
      <c r="R115" s="1889"/>
      <c r="S115" s="1889"/>
      <c r="X115" s="1870"/>
      <c r="Y115" s="1870"/>
      <c r="Z115" s="1870"/>
      <c r="AA115" s="1870"/>
      <c r="AB115" s="1886"/>
      <c r="AC115" s="1870"/>
      <c r="AD115" s="1870"/>
      <c r="AE115" s="1870"/>
      <c r="AF115" s="1870"/>
    </row>
    <row r="116" spans="2:32" outlineLevel="1">
      <c r="D116" s="1889"/>
      <c r="E116" s="1889"/>
      <c r="F116" s="1889"/>
      <c r="G116" s="1889"/>
      <c r="H116" s="1889"/>
      <c r="I116" s="1889"/>
      <c r="J116" s="1889"/>
      <c r="K116" s="1889"/>
      <c r="L116" s="1889"/>
      <c r="M116" s="1889"/>
      <c r="N116" s="1889"/>
      <c r="O116" s="1889"/>
      <c r="P116" s="1889"/>
      <c r="Q116" s="1889"/>
      <c r="R116" s="1889"/>
      <c r="S116" s="1889"/>
      <c r="T116" s="1885"/>
      <c r="U116" s="1885"/>
      <c r="V116" s="1885"/>
      <c r="W116" s="1885"/>
      <c r="AA116" s="1885"/>
      <c r="AB116" s="1916"/>
      <c r="AC116" s="1885"/>
      <c r="AD116" s="1885"/>
      <c r="AE116" s="1885"/>
    </row>
    <row r="117" spans="2:32" s="2016" customFormat="1" ht="31.5" customHeight="1" outlineLevel="1">
      <c r="B117" s="2013"/>
      <c r="C117" s="1920" t="s">
        <v>1020</v>
      </c>
      <c r="D117" s="1919" t="s">
        <v>949</v>
      </c>
      <c r="E117" s="1960" t="s">
        <v>950</v>
      </c>
      <c r="F117" s="2969" t="s">
        <v>1098</v>
      </c>
      <c r="G117" s="1960" t="s">
        <v>1099</v>
      </c>
      <c r="H117" s="1919" t="s">
        <v>1100</v>
      </c>
      <c r="I117" s="1960" t="s">
        <v>1101</v>
      </c>
      <c r="J117" s="1920" t="s">
        <v>1102</v>
      </c>
      <c r="K117" s="1960" t="s">
        <v>1099</v>
      </c>
      <c r="L117" s="1919" t="s">
        <v>1099</v>
      </c>
      <c r="M117" s="1960" t="s">
        <v>1099</v>
      </c>
      <c r="N117" s="1919" t="s">
        <v>1103</v>
      </c>
      <c r="O117" s="1960" t="s">
        <v>1103</v>
      </c>
      <c r="P117" s="1919" t="s">
        <v>1103</v>
      </c>
      <c r="Q117" s="2014" t="s">
        <v>1081</v>
      </c>
      <c r="R117" s="2015"/>
      <c r="S117" s="2015"/>
      <c r="AB117" s="2017"/>
    </row>
    <row r="118" spans="2:32" s="2033" customFormat="1" ht="45.75" customHeight="1" outlineLevel="1">
      <c r="B118" s="2018" t="s">
        <v>965</v>
      </c>
      <c r="C118" s="2019"/>
      <c r="D118" s="2019" t="s">
        <v>966</v>
      </c>
      <c r="E118" s="2020" t="s">
        <v>966</v>
      </c>
      <c r="F118" s="2970"/>
      <c r="G118" s="2021" t="s">
        <v>1104</v>
      </c>
      <c r="H118" s="2022" t="s">
        <v>1104</v>
      </c>
      <c r="I118" s="2023" t="s">
        <v>498</v>
      </c>
      <c r="J118" s="2022" t="s">
        <v>1105</v>
      </c>
      <c r="K118" s="2021" t="s">
        <v>1106</v>
      </c>
      <c r="L118" s="2024" t="s">
        <v>1107</v>
      </c>
      <c r="M118" s="2025" t="s">
        <v>1108</v>
      </c>
      <c r="N118" s="2022" t="s">
        <v>1106</v>
      </c>
      <c r="O118" s="2025" t="s">
        <v>1109</v>
      </c>
      <c r="P118" s="2024" t="s">
        <v>1108</v>
      </c>
      <c r="Q118" s="2026" t="s">
        <v>993</v>
      </c>
      <c r="R118" s="2027"/>
      <c r="S118" s="2027"/>
      <c r="T118" s="2028" t="s">
        <v>498</v>
      </c>
      <c r="U118" s="2029" t="s">
        <v>498</v>
      </c>
      <c r="V118" s="2029" t="s">
        <v>498</v>
      </c>
      <c r="W118" s="2029" t="s">
        <v>498</v>
      </c>
      <c r="X118" s="2029" t="s">
        <v>498</v>
      </c>
      <c r="Y118" s="2029" t="s">
        <v>498</v>
      </c>
      <c r="Z118" s="2029" t="s">
        <v>498</v>
      </c>
      <c r="AA118" s="2030" t="s">
        <v>498</v>
      </c>
      <c r="AB118" s="2031" t="s">
        <v>498</v>
      </c>
      <c r="AC118" s="2029" t="s">
        <v>498</v>
      </c>
      <c r="AD118" s="2029" t="s">
        <v>498</v>
      </c>
      <c r="AE118" s="2029" t="s">
        <v>498</v>
      </c>
      <c r="AF118" s="2032" t="s">
        <v>498</v>
      </c>
    </row>
    <row r="119" spans="2:32" outlineLevel="1">
      <c r="B119" s="2034" t="s">
        <v>1110</v>
      </c>
      <c r="C119" s="1983"/>
      <c r="D119" s="1983"/>
      <c r="E119" s="1983"/>
      <c r="F119" s="2035"/>
      <c r="G119" s="1937"/>
      <c r="H119" s="1937"/>
      <c r="I119" s="2036"/>
      <c r="J119" s="2037"/>
      <c r="K119" s="2038"/>
      <c r="L119" s="2039"/>
      <c r="M119" s="2039"/>
      <c r="N119" s="2040"/>
      <c r="O119" s="2041"/>
      <c r="P119" s="2042"/>
      <c r="Q119" s="1948"/>
      <c r="R119" s="1889"/>
      <c r="S119" s="1889"/>
      <c r="T119" s="1902"/>
      <c r="U119" s="1903"/>
      <c r="V119" s="1903"/>
      <c r="W119" s="1903"/>
      <c r="X119" s="1903"/>
      <c r="Y119" s="1903"/>
      <c r="Z119" s="1903"/>
      <c r="AA119" s="1904"/>
      <c r="AB119" s="1905"/>
      <c r="AC119" s="1903"/>
      <c r="AD119" s="1903"/>
      <c r="AE119" s="1903"/>
      <c r="AF119" s="1906"/>
    </row>
    <row r="120" spans="2:32" outlineLevel="1">
      <c r="B120" s="2011" t="s">
        <v>1111</v>
      </c>
      <c r="C120" s="1934"/>
      <c r="D120" s="1934"/>
      <c r="E120" s="1934"/>
      <c r="F120" s="1935"/>
      <c r="G120" s="1937"/>
      <c r="H120" s="1937"/>
      <c r="I120" s="2043"/>
      <c r="J120" s="2044"/>
      <c r="K120" s="2045"/>
      <c r="L120" s="1938"/>
      <c r="M120" s="1938"/>
      <c r="N120" s="1936"/>
      <c r="O120" s="2046"/>
      <c r="P120" s="2047"/>
      <c r="Q120" s="1948"/>
      <c r="R120" s="1889"/>
      <c r="S120" s="1889"/>
      <c r="T120" s="1902"/>
      <c r="U120" s="1903"/>
      <c r="V120" s="1903"/>
      <c r="W120" s="1903"/>
      <c r="X120" s="1903"/>
      <c r="Y120" s="1903"/>
      <c r="Z120" s="1903"/>
      <c r="AA120" s="1904"/>
      <c r="AB120" s="1905"/>
      <c r="AC120" s="1903"/>
      <c r="AD120" s="1903"/>
      <c r="AE120" s="1903"/>
      <c r="AF120" s="1906"/>
    </row>
    <row r="121" spans="2:32" outlineLevel="1">
      <c r="B121" s="2011" t="s">
        <v>1112</v>
      </c>
      <c r="C121" s="1934"/>
      <c r="D121" s="1934"/>
      <c r="E121" s="1934"/>
      <c r="F121" s="1935"/>
      <c r="G121" s="1937"/>
      <c r="H121" s="1937"/>
      <c r="I121" s="2043"/>
      <c r="J121" s="2044"/>
      <c r="K121" s="2045"/>
      <c r="L121" s="1938"/>
      <c r="M121" s="1938"/>
      <c r="N121" s="1936"/>
      <c r="O121" s="2046"/>
      <c r="P121" s="2047"/>
      <c r="Q121" s="1948"/>
      <c r="R121" s="1889"/>
      <c r="S121" s="1889"/>
      <c r="T121" s="1902"/>
      <c r="U121" s="1903"/>
      <c r="V121" s="1903"/>
      <c r="W121" s="1903"/>
      <c r="X121" s="1903"/>
      <c r="Y121" s="1903"/>
      <c r="Z121" s="1903"/>
      <c r="AA121" s="1904"/>
      <c r="AB121" s="1905"/>
      <c r="AC121" s="1903"/>
      <c r="AD121" s="1903"/>
      <c r="AE121" s="1903"/>
      <c r="AF121" s="1906"/>
    </row>
    <row r="122" spans="2:32" outlineLevel="1">
      <c r="B122" s="2011" t="s">
        <v>1113</v>
      </c>
      <c r="C122" s="1934"/>
      <c r="D122" s="1934"/>
      <c r="E122" s="1934"/>
      <c r="F122" s="1935"/>
      <c r="G122" s="1937"/>
      <c r="H122" s="1937"/>
      <c r="I122" s="2043"/>
      <c r="J122" s="2044"/>
      <c r="K122" s="2045"/>
      <c r="L122" s="1938"/>
      <c r="M122" s="1938"/>
      <c r="N122" s="1936"/>
      <c r="O122" s="2046"/>
      <c r="P122" s="2047"/>
      <c r="Q122" s="1948"/>
      <c r="R122" s="1889"/>
      <c r="S122" s="1889"/>
      <c r="T122" s="1902"/>
      <c r="U122" s="1903"/>
      <c r="V122" s="1903"/>
      <c r="W122" s="1903"/>
      <c r="X122" s="1903"/>
      <c r="Y122" s="1903"/>
      <c r="Z122" s="1903"/>
      <c r="AA122" s="1904"/>
      <c r="AB122" s="1905"/>
      <c r="AC122" s="1903"/>
      <c r="AD122" s="1903"/>
      <c r="AE122" s="1903"/>
      <c r="AF122" s="1906"/>
    </row>
    <row r="123" spans="2:32" outlineLevel="1">
      <c r="B123" s="2011" t="s">
        <v>1114</v>
      </c>
      <c r="C123" s="1934"/>
      <c r="D123" s="1934"/>
      <c r="E123" s="1934"/>
      <c r="F123" s="1935"/>
      <c r="G123" s="1937"/>
      <c r="H123" s="1937"/>
      <c r="I123" s="2043"/>
      <c r="J123" s="2044"/>
      <c r="K123" s="2045"/>
      <c r="L123" s="1938"/>
      <c r="M123" s="1938"/>
      <c r="N123" s="1936"/>
      <c r="O123" s="2046"/>
      <c r="P123" s="2047"/>
      <c r="Q123" s="1948"/>
      <c r="R123" s="1889"/>
      <c r="S123" s="1889"/>
      <c r="T123" s="1902"/>
      <c r="U123" s="1903"/>
      <c r="V123" s="1903"/>
      <c r="W123" s="1903"/>
      <c r="X123" s="1903"/>
      <c r="Y123" s="1903"/>
      <c r="Z123" s="1903"/>
      <c r="AA123" s="1904"/>
      <c r="AB123" s="1905"/>
      <c r="AC123" s="1903"/>
      <c r="AD123" s="1903"/>
      <c r="AE123" s="1903"/>
      <c r="AF123" s="1906"/>
    </row>
    <row r="124" spans="2:32" outlineLevel="1">
      <c r="B124" s="2011" t="s">
        <v>1115</v>
      </c>
      <c r="C124" s="1934"/>
      <c r="D124" s="1934"/>
      <c r="E124" s="1934"/>
      <c r="F124" s="1935"/>
      <c r="G124" s="1937"/>
      <c r="H124" s="1937"/>
      <c r="I124" s="2043"/>
      <c r="J124" s="2044"/>
      <c r="K124" s="2045"/>
      <c r="L124" s="1938"/>
      <c r="M124" s="1938"/>
      <c r="N124" s="1936"/>
      <c r="O124" s="2046"/>
      <c r="P124" s="2047"/>
      <c r="Q124" s="1948"/>
      <c r="R124" s="1889"/>
      <c r="S124" s="1889"/>
      <c r="T124" s="1902"/>
      <c r="U124" s="1903"/>
      <c r="V124" s="1903"/>
      <c r="W124" s="1903"/>
      <c r="X124" s="1903"/>
      <c r="Y124" s="1903"/>
      <c r="Z124" s="1903"/>
      <c r="AA124" s="1904"/>
      <c r="AB124" s="1905"/>
      <c r="AC124" s="1903"/>
      <c r="AD124" s="1903"/>
      <c r="AE124" s="1903"/>
      <c r="AF124" s="1906"/>
    </row>
    <row r="125" spans="2:32" outlineLevel="1">
      <c r="B125" s="2011" t="s">
        <v>1116</v>
      </c>
      <c r="C125" s="1934"/>
      <c r="D125" s="1934"/>
      <c r="E125" s="1934"/>
      <c r="F125" s="1935"/>
      <c r="G125" s="1937"/>
      <c r="H125" s="1937"/>
      <c r="I125" s="2043"/>
      <c r="J125" s="2044"/>
      <c r="K125" s="2045"/>
      <c r="L125" s="1938"/>
      <c r="M125" s="1938"/>
      <c r="N125" s="1936"/>
      <c r="O125" s="2046"/>
      <c r="P125" s="2047"/>
      <c r="Q125" s="1948"/>
      <c r="R125" s="1889"/>
      <c r="S125" s="1889"/>
      <c r="T125" s="1902"/>
      <c r="U125" s="1903"/>
      <c r="V125" s="1903"/>
      <c r="W125" s="1903"/>
      <c r="X125" s="1903"/>
      <c r="Y125" s="1903"/>
      <c r="Z125" s="1903"/>
      <c r="AA125" s="1904"/>
      <c r="AB125" s="1905"/>
      <c r="AC125" s="1903"/>
      <c r="AD125" s="1903"/>
      <c r="AE125" s="1903"/>
      <c r="AF125" s="1906"/>
    </row>
    <row r="126" spans="2:32" outlineLevel="1">
      <c r="B126" s="2011" t="s">
        <v>1117</v>
      </c>
      <c r="C126" s="1934"/>
      <c r="D126" s="1934"/>
      <c r="E126" s="1934"/>
      <c r="F126" s="1935"/>
      <c r="G126" s="1937"/>
      <c r="H126" s="1937"/>
      <c r="I126" s="2043"/>
      <c r="J126" s="2044"/>
      <c r="K126" s="2045"/>
      <c r="L126" s="1938"/>
      <c r="M126" s="1938"/>
      <c r="N126" s="1936"/>
      <c r="O126" s="2046"/>
      <c r="P126" s="2047"/>
      <c r="Q126" s="1948"/>
      <c r="R126" s="1889"/>
      <c r="S126" s="1889"/>
      <c r="T126" s="1902"/>
      <c r="U126" s="1903"/>
      <c r="V126" s="1903"/>
      <c r="W126" s="1903"/>
      <c r="X126" s="1903"/>
      <c r="Y126" s="1903"/>
      <c r="Z126" s="1903"/>
      <c r="AA126" s="1904"/>
      <c r="AB126" s="1905"/>
      <c r="AC126" s="1903"/>
      <c r="AD126" s="1903"/>
      <c r="AE126" s="1903"/>
      <c r="AF126" s="1906"/>
    </row>
    <row r="127" spans="2:32" outlineLevel="1">
      <c r="B127" s="2011" t="s">
        <v>1118</v>
      </c>
      <c r="C127" s="1934"/>
      <c r="D127" s="1934"/>
      <c r="E127" s="1934"/>
      <c r="F127" s="1935"/>
      <c r="G127" s="1937"/>
      <c r="H127" s="1937"/>
      <c r="I127" s="2043"/>
      <c r="J127" s="2044"/>
      <c r="K127" s="2045"/>
      <c r="L127" s="1938"/>
      <c r="M127" s="1938"/>
      <c r="N127" s="1936"/>
      <c r="O127" s="2046"/>
      <c r="P127" s="2047"/>
      <c r="Q127" s="1939"/>
      <c r="R127" s="1889"/>
      <c r="S127" s="1889"/>
      <c r="T127" s="1902"/>
      <c r="U127" s="1903"/>
      <c r="V127" s="1903"/>
      <c r="W127" s="1903"/>
      <c r="X127" s="1903"/>
      <c r="Y127" s="1903"/>
      <c r="Z127" s="1903"/>
      <c r="AA127" s="1904"/>
      <c r="AB127" s="1905"/>
      <c r="AC127" s="1903"/>
      <c r="AD127" s="1903"/>
      <c r="AE127" s="1903"/>
      <c r="AF127" s="1906"/>
    </row>
    <row r="128" spans="2:32" outlineLevel="1">
      <c r="B128" s="1958" t="s">
        <v>1119</v>
      </c>
      <c r="C128" s="2954" t="s">
        <v>943</v>
      </c>
      <c r="D128" s="2955"/>
      <c r="E128" s="2955"/>
      <c r="F128" s="2955"/>
      <c r="G128" s="2955"/>
      <c r="H128" s="2955"/>
      <c r="I128" s="2955"/>
      <c r="J128" s="2955"/>
      <c r="K128" s="2955"/>
      <c r="L128" s="2955"/>
      <c r="M128" s="2955"/>
      <c r="N128" s="2955"/>
      <c r="O128" s="2955"/>
      <c r="P128" s="2955"/>
      <c r="Q128" s="2956"/>
      <c r="R128" s="1889"/>
      <c r="T128" s="1902"/>
      <c r="U128" s="1903"/>
      <c r="V128" s="1903"/>
      <c r="W128" s="1903"/>
      <c r="X128" s="1903"/>
      <c r="Y128" s="1903"/>
      <c r="Z128" s="1903"/>
      <c r="AA128" s="1904"/>
      <c r="AB128" s="1905"/>
      <c r="AC128" s="1903"/>
      <c r="AD128" s="1903"/>
      <c r="AE128" s="1903"/>
      <c r="AF128" s="1906"/>
    </row>
    <row r="129" spans="2:32" s="1877" customFormat="1">
      <c r="B129" s="1878"/>
      <c r="C129" s="1878"/>
      <c r="D129" s="1895"/>
      <c r="E129" s="1895"/>
      <c r="F129" s="1950"/>
      <c r="G129" s="1950"/>
      <c r="H129" s="1950"/>
      <c r="I129" s="1950"/>
      <c r="J129" s="1895"/>
      <c r="K129" s="1895"/>
      <c r="L129" s="1895"/>
      <c r="M129" s="1895"/>
      <c r="N129" s="1895"/>
      <c r="O129" s="1895"/>
      <c r="P129" s="1895"/>
      <c r="Q129" s="1895"/>
      <c r="R129" s="1895"/>
      <c r="S129" s="1910" t="s">
        <v>1120</v>
      </c>
      <c r="T129" s="1911">
        <f t="shared" ref="T129:AF129" si="8">SUM(T119:T128)</f>
        <v>0</v>
      </c>
      <c r="U129" s="1912">
        <f t="shared" si="8"/>
        <v>0</v>
      </c>
      <c r="V129" s="1912">
        <f t="shared" si="8"/>
        <v>0</v>
      </c>
      <c r="W129" s="1912">
        <f t="shared" si="8"/>
        <v>0</v>
      </c>
      <c r="X129" s="1912">
        <f t="shared" si="8"/>
        <v>0</v>
      </c>
      <c r="Y129" s="1912">
        <f t="shared" si="8"/>
        <v>0</v>
      </c>
      <c r="Z129" s="1912">
        <f t="shared" si="8"/>
        <v>0</v>
      </c>
      <c r="AA129" s="1913">
        <f t="shared" si="8"/>
        <v>0</v>
      </c>
      <c r="AB129" s="1914">
        <f t="shared" si="8"/>
        <v>0</v>
      </c>
      <c r="AC129" s="1912">
        <f t="shared" si="8"/>
        <v>0</v>
      </c>
      <c r="AD129" s="1912">
        <f t="shared" si="8"/>
        <v>0</v>
      </c>
      <c r="AE129" s="1912">
        <f t="shared" si="8"/>
        <v>0</v>
      </c>
      <c r="AF129" s="1915">
        <f t="shared" si="8"/>
        <v>0</v>
      </c>
    </row>
    <row r="130" spans="2:32" outlineLevel="1">
      <c r="B130" s="2048" t="s">
        <v>965</v>
      </c>
      <c r="C130" s="2943" t="s">
        <v>1121</v>
      </c>
      <c r="D130" s="2944"/>
      <c r="E130" s="2944"/>
      <c r="F130" s="2944"/>
      <c r="G130" s="2944"/>
      <c r="H130" s="2944"/>
      <c r="I130" s="2944"/>
      <c r="J130" s="2944"/>
      <c r="K130" s="2944"/>
      <c r="L130" s="2944"/>
      <c r="M130" s="2944"/>
      <c r="N130" s="2944"/>
      <c r="O130" s="2944"/>
      <c r="P130" s="2944"/>
      <c r="Q130" s="2945"/>
      <c r="R130" s="1889"/>
      <c r="S130" s="2049"/>
      <c r="X130" s="1870"/>
      <c r="Y130" s="1870"/>
      <c r="Z130" s="1870"/>
      <c r="AA130" s="1870"/>
      <c r="AB130" s="1886"/>
      <c r="AC130" s="1870"/>
      <c r="AD130" s="1870"/>
      <c r="AE130" s="1870"/>
      <c r="AF130" s="1870"/>
    </row>
    <row r="131" spans="2:32" outlineLevel="1">
      <c r="B131" s="2011" t="s">
        <v>1110</v>
      </c>
      <c r="C131" s="2946"/>
      <c r="D131" s="2947"/>
      <c r="E131" s="2947"/>
      <c r="F131" s="2947"/>
      <c r="G131" s="2947"/>
      <c r="H131" s="2947"/>
      <c r="I131" s="2947"/>
      <c r="J131" s="2947"/>
      <c r="K131" s="2947"/>
      <c r="L131" s="2947"/>
      <c r="M131" s="2947"/>
      <c r="N131" s="2947"/>
      <c r="O131" s="2947"/>
      <c r="P131" s="2947"/>
      <c r="Q131" s="2948"/>
      <c r="R131" s="1889"/>
      <c r="S131" s="2050"/>
      <c r="X131" s="1870"/>
      <c r="Y131" s="1870"/>
      <c r="Z131" s="1870"/>
      <c r="AA131" s="1870"/>
      <c r="AB131" s="1886"/>
      <c r="AC131" s="1870"/>
      <c r="AD131" s="1870"/>
      <c r="AE131" s="1870"/>
      <c r="AF131" s="1870"/>
    </row>
    <row r="132" spans="2:32" outlineLevel="1">
      <c r="B132" s="2011" t="s">
        <v>1111</v>
      </c>
      <c r="C132" s="2946"/>
      <c r="D132" s="2947"/>
      <c r="E132" s="2947"/>
      <c r="F132" s="2947"/>
      <c r="G132" s="2947"/>
      <c r="H132" s="2947"/>
      <c r="I132" s="2947"/>
      <c r="J132" s="2947"/>
      <c r="K132" s="2947"/>
      <c r="L132" s="2947"/>
      <c r="M132" s="2947"/>
      <c r="N132" s="2947"/>
      <c r="O132" s="2947"/>
      <c r="P132" s="2947"/>
      <c r="Q132" s="2948"/>
      <c r="R132" s="1889"/>
      <c r="S132" s="2050"/>
      <c r="X132" s="1870"/>
      <c r="Y132" s="1870"/>
      <c r="Z132" s="1870"/>
      <c r="AA132" s="1870"/>
      <c r="AB132" s="1886"/>
      <c r="AC132" s="1870"/>
      <c r="AD132" s="1870"/>
      <c r="AE132" s="1870"/>
      <c r="AF132" s="1870"/>
    </row>
    <row r="133" spans="2:32" outlineLevel="1">
      <c r="B133" s="2011" t="s">
        <v>1112</v>
      </c>
      <c r="C133" s="2946"/>
      <c r="D133" s="2947"/>
      <c r="E133" s="2947"/>
      <c r="F133" s="2947"/>
      <c r="G133" s="2947"/>
      <c r="H133" s="2947"/>
      <c r="I133" s="2947"/>
      <c r="J133" s="2947"/>
      <c r="K133" s="2947"/>
      <c r="L133" s="2947"/>
      <c r="M133" s="2947"/>
      <c r="N133" s="2947"/>
      <c r="O133" s="2947"/>
      <c r="P133" s="2947"/>
      <c r="Q133" s="2948"/>
      <c r="R133" s="1889"/>
      <c r="S133" s="2050"/>
      <c r="X133" s="1870"/>
      <c r="Y133" s="1870"/>
      <c r="Z133" s="1870"/>
      <c r="AA133" s="1870"/>
      <c r="AB133" s="1886"/>
      <c r="AC133" s="1870"/>
      <c r="AD133" s="1870"/>
      <c r="AE133" s="1870"/>
      <c r="AF133" s="1870"/>
    </row>
    <row r="134" spans="2:32" outlineLevel="1">
      <c r="B134" s="2011" t="s">
        <v>1113</v>
      </c>
      <c r="C134" s="2946"/>
      <c r="D134" s="2947"/>
      <c r="E134" s="2947"/>
      <c r="F134" s="2947"/>
      <c r="G134" s="2947"/>
      <c r="H134" s="2947"/>
      <c r="I134" s="2947"/>
      <c r="J134" s="2947"/>
      <c r="K134" s="2947"/>
      <c r="L134" s="2947"/>
      <c r="M134" s="2947"/>
      <c r="N134" s="2947"/>
      <c r="O134" s="2947"/>
      <c r="P134" s="2947"/>
      <c r="Q134" s="2948"/>
      <c r="R134" s="1889"/>
      <c r="S134" s="2050"/>
      <c r="X134" s="1870"/>
      <c r="Y134" s="1870"/>
      <c r="Z134" s="1870"/>
      <c r="AA134" s="1870"/>
      <c r="AB134" s="1886"/>
      <c r="AC134" s="1870"/>
      <c r="AD134" s="1870"/>
      <c r="AE134" s="1870"/>
      <c r="AF134" s="1870"/>
    </row>
    <row r="135" spans="2:32" outlineLevel="1">
      <c r="B135" s="2011" t="s">
        <v>1114</v>
      </c>
      <c r="C135" s="2946"/>
      <c r="D135" s="2947"/>
      <c r="E135" s="2947"/>
      <c r="F135" s="2947"/>
      <c r="G135" s="2947"/>
      <c r="H135" s="2947"/>
      <c r="I135" s="2947"/>
      <c r="J135" s="2947"/>
      <c r="K135" s="2947"/>
      <c r="L135" s="2947"/>
      <c r="M135" s="2947"/>
      <c r="N135" s="2947"/>
      <c r="O135" s="2947"/>
      <c r="P135" s="2947"/>
      <c r="Q135" s="2948"/>
      <c r="R135" s="1889"/>
      <c r="S135" s="2050"/>
      <c r="X135" s="1870"/>
      <c r="Y135" s="1870"/>
      <c r="Z135" s="1870"/>
      <c r="AA135" s="1870"/>
      <c r="AB135" s="1886"/>
      <c r="AC135" s="1870"/>
      <c r="AD135" s="1870"/>
      <c r="AE135" s="1870"/>
      <c r="AF135" s="1870"/>
    </row>
    <row r="136" spans="2:32" outlineLevel="1">
      <c r="B136" s="2011" t="s">
        <v>1115</v>
      </c>
      <c r="C136" s="2946"/>
      <c r="D136" s="2947"/>
      <c r="E136" s="2947"/>
      <c r="F136" s="2947"/>
      <c r="G136" s="2947"/>
      <c r="H136" s="2947"/>
      <c r="I136" s="2947"/>
      <c r="J136" s="2947"/>
      <c r="K136" s="2947"/>
      <c r="L136" s="2947"/>
      <c r="M136" s="2947"/>
      <c r="N136" s="2947"/>
      <c r="O136" s="2947"/>
      <c r="P136" s="2947"/>
      <c r="Q136" s="2948"/>
      <c r="R136" s="1889"/>
      <c r="S136" s="2050"/>
      <c r="X136" s="1870"/>
      <c r="Y136" s="1870"/>
      <c r="Z136" s="1870"/>
      <c r="AA136" s="1870"/>
      <c r="AB136" s="1886"/>
      <c r="AC136" s="1870"/>
      <c r="AD136" s="1870"/>
      <c r="AE136" s="1870"/>
      <c r="AF136" s="1870"/>
    </row>
    <row r="137" spans="2:32" outlineLevel="1">
      <c r="B137" s="2011" t="s">
        <v>1116</v>
      </c>
      <c r="C137" s="2946"/>
      <c r="D137" s="2947"/>
      <c r="E137" s="2947"/>
      <c r="F137" s="2947"/>
      <c r="G137" s="2947"/>
      <c r="H137" s="2947"/>
      <c r="I137" s="2947"/>
      <c r="J137" s="2947"/>
      <c r="K137" s="2947"/>
      <c r="L137" s="2947"/>
      <c r="M137" s="2947"/>
      <c r="N137" s="2947"/>
      <c r="O137" s="2947"/>
      <c r="P137" s="2947"/>
      <c r="Q137" s="2948"/>
      <c r="R137" s="1889"/>
      <c r="S137" s="2050"/>
      <c r="X137" s="1870"/>
      <c r="Y137" s="1870"/>
      <c r="Z137" s="1870"/>
      <c r="AA137" s="1870"/>
      <c r="AB137" s="1886"/>
      <c r="AC137" s="1870"/>
      <c r="AD137" s="1870"/>
      <c r="AE137" s="1870"/>
      <c r="AF137" s="1870"/>
    </row>
    <row r="138" spans="2:32" outlineLevel="1">
      <c r="B138" s="2011" t="s">
        <v>1117</v>
      </c>
      <c r="C138" s="2946"/>
      <c r="D138" s="2947"/>
      <c r="E138" s="2947"/>
      <c r="F138" s="2947"/>
      <c r="G138" s="2947"/>
      <c r="H138" s="2947"/>
      <c r="I138" s="2947"/>
      <c r="J138" s="2947"/>
      <c r="K138" s="2947"/>
      <c r="L138" s="2947"/>
      <c r="M138" s="2947"/>
      <c r="N138" s="2947"/>
      <c r="O138" s="2947"/>
      <c r="P138" s="2947"/>
      <c r="Q138" s="2948"/>
      <c r="R138" s="1889"/>
      <c r="S138" s="2050"/>
      <c r="X138" s="1870"/>
      <c r="Y138" s="1870"/>
      <c r="Z138" s="1870"/>
      <c r="AA138" s="1870"/>
      <c r="AB138" s="1886"/>
      <c r="AC138" s="1870"/>
      <c r="AD138" s="1870"/>
      <c r="AE138" s="1870"/>
      <c r="AF138" s="1870"/>
    </row>
    <row r="139" spans="2:32" outlineLevel="1">
      <c r="B139" s="2011" t="s">
        <v>1118</v>
      </c>
      <c r="C139" s="2946"/>
      <c r="D139" s="2947"/>
      <c r="E139" s="2947"/>
      <c r="F139" s="2947"/>
      <c r="G139" s="2947"/>
      <c r="H139" s="2947"/>
      <c r="I139" s="2947"/>
      <c r="J139" s="2947"/>
      <c r="K139" s="2947"/>
      <c r="L139" s="2947"/>
      <c r="M139" s="2947"/>
      <c r="N139" s="2947"/>
      <c r="O139" s="2947"/>
      <c r="P139" s="2947"/>
      <c r="Q139" s="2948"/>
      <c r="R139" s="1889"/>
      <c r="S139" s="2050"/>
      <c r="X139" s="1870"/>
      <c r="Y139" s="1870"/>
      <c r="Z139" s="1870"/>
      <c r="AA139" s="1870"/>
      <c r="AB139" s="1886"/>
      <c r="AC139" s="1870"/>
      <c r="AD139" s="1870"/>
      <c r="AE139" s="1870"/>
      <c r="AF139" s="1870"/>
    </row>
    <row r="140" spans="2:32" outlineLevel="1">
      <c r="B140" s="1958" t="s">
        <v>1119</v>
      </c>
      <c r="C140" s="2954" t="s">
        <v>943</v>
      </c>
      <c r="D140" s="2955"/>
      <c r="E140" s="2955"/>
      <c r="F140" s="2955"/>
      <c r="G140" s="2955"/>
      <c r="H140" s="2955"/>
      <c r="I140" s="2955"/>
      <c r="J140" s="2955"/>
      <c r="K140" s="2955"/>
      <c r="L140" s="2955"/>
      <c r="M140" s="2955"/>
      <c r="N140" s="2955"/>
      <c r="O140" s="2955"/>
      <c r="P140" s="2955"/>
      <c r="Q140" s="2956"/>
      <c r="R140" s="1889"/>
      <c r="S140" s="2050"/>
      <c r="X140" s="1870"/>
      <c r="Y140" s="1870"/>
      <c r="Z140" s="1870"/>
      <c r="AA140" s="1870"/>
      <c r="AB140" s="1886"/>
      <c r="AC140" s="1870"/>
      <c r="AD140" s="1870"/>
      <c r="AE140" s="1870"/>
      <c r="AF140" s="1870"/>
    </row>
    <row r="141" spans="2:32">
      <c r="AB141" s="2052"/>
    </row>
    <row r="142" spans="2:32" s="1877" customFormat="1">
      <c r="B142" s="1878"/>
      <c r="C142" s="1878"/>
      <c r="D142" s="1895"/>
      <c r="E142" s="1895"/>
      <c r="F142" s="1950"/>
      <c r="G142" s="1950"/>
      <c r="H142" s="1950"/>
      <c r="I142" s="1950"/>
      <c r="J142" s="1895"/>
      <c r="K142" s="1895"/>
      <c r="L142" s="1895"/>
      <c r="M142" s="1895"/>
      <c r="N142" s="1895"/>
      <c r="O142" s="1895"/>
      <c r="P142" s="1895"/>
      <c r="Q142" s="1895"/>
      <c r="R142" s="1895"/>
      <c r="S142" s="1895"/>
      <c r="AB142" s="1886"/>
    </row>
    <row r="143" spans="2:32">
      <c r="B143" s="1887" t="s">
        <v>1122</v>
      </c>
      <c r="C143" s="1887"/>
      <c r="D143" s="2012" t="s">
        <v>1123</v>
      </c>
      <c r="E143" s="1888"/>
      <c r="F143" s="1889"/>
      <c r="G143" s="1889"/>
      <c r="H143" s="1889"/>
      <c r="I143" s="1889"/>
      <c r="J143" s="2051"/>
      <c r="K143" s="2051"/>
      <c r="L143" s="2051"/>
      <c r="M143" s="2051"/>
      <c r="N143" s="2051"/>
      <c r="O143" s="2051"/>
      <c r="P143" s="2051"/>
      <c r="Q143" s="2051"/>
      <c r="R143" s="2051"/>
      <c r="S143" s="2051"/>
      <c r="T143" s="1885"/>
      <c r="U143" s="1885"/>
      <c r="V143" s="1885"/>
      <c r="W143" s="1885"/>
      <c r="AA143" s="1885"/>
      <c r="AB143" s="1916"/>
      <c r="AC143" s="1885"/>
      <c r="AD143" s="1885"/>
      <c r="AE143" s="1885"/>
    </row>
    <row r="144" spans="2:32" outlineLevel="1">
      <c r="B144" s="2053"/>
      <c r="C144" s="2053"/>
      <c r="D144" s="1893"/>
      <c r="E144" s="1893"/>
      <c r="F144" s="1893"/>
      <c r="G144" s="1893"/>
      <c r="H144" s="1893"/>
      <c r="I144" s="1893"/>
      <c r="J144" s="2971"/>
      <c r="K144" s="2971"/>
      <c r="L144" s="2971"/>
      <c r="M144" s="2971"/>
      <c r="N144" s="2971"/>
      <c r="O144" s="2971"/>
      <c r="P144" s="2971"/>
      <c r="Q144" s="2971"/>
      <c r="R144" s="2972"/>
      <c r="S144" s="2838"/>
      <c r="X144" s="1870"/>
      <c r="Y144" s="1870"/>
      <c r="Z144" s="1870"/>
      <c r="AA144" s="1870"/>
      <c r="AB144" s="1886"/>
      <c r="AC144" s="1870"/>
      <c r="AD144" s="1870"/>
      <c r="AE144" s="1870"/>
      <c r="AF144" s="1870"/>
    </row>
    <row r="145" spans="2:32" s="2016" customFormat="1" ht="32.25" customHeight="1" outlineLevel="1">
      <c r="B145" s="2054"/>
      <c r="C145" s="1920" t="s">
        <v>1020</v>
      </c>
      <c r="D145" s="1919" t="s">
        <v>949</v>
      </c>
      <c r="E145" s="1960" t="s">
        <v>950</v>
      </c>
      <c r="F145" s="2969" t="s">
        <v>1098</v>
      </c>
      <c r="G145" s="1960" t="s">
        <v>1099</v>
      </c>
      <c r="H145" s="1919" t="s">
        <v>1100</v>
      </c>
      <c r="I145" s="1960" t="s">
        <v>1101</v>
      </c>
      <c r="J145" s="1920" t="s">
        <v>1102</v>
      </c>
      <c r="K145" s="1960" t="s">
        <v>1099</v>
      </c>
      <c r="L145" s="1919" t="s">
        <v>1099</v>
      </c>
      <c r="M145" s="1960" t="s">
        <v>1099</v>
      </c>
      <c r="N145" s="1919" t="s">
        <v>1103</v>
      </c>
      <c r="O145" s="1960" t="s">
        <v>1103</v>
      </c>
      <c r="P145" s="1919" t="s">
        <v>1103</v>
      </c>
      <c r="Q145" s="2014" t="s">
        <v>1081</v>
      </c>
      <c r="R145" s="2838"/>
      <c r="S145" s="2838"/>
      <c r="AB145" s="2017"/>
    </row>
    <row r="146" spans="2:32" s="2062" customFormat="1" ht="53.25" customHeight="1" outlineLevel="1">
      <c r="B146" s="2055" t="s">
        <v>965</v>
      </c>
      <c r="C146" s="2019"/>
      <c r="D146" s="2019" t="s">
        <v>966</v>
      </c>
      <c r="E146" s="2020" t="s">
        <v>966</v>
      </c>
      <c r="F146" s="2970"/>
      <c r="G146" s="2021" t="s">
        <v>1104</v>
      </c>
      <c r="H146" s="2022" t="s">
        <v>1104</v>
      </c>
      <c r="I146" s="2023" t="s">
        <v>498</v>
      </c>
      <c r="J146" s="2022" t="s">
        <v>1105</v>
      </c>
      <c r="K146" s="2021" t="s">
        <v>1106</v>
      </c>
      <c r="L146" s="2024" t="s">
        <v>1107</v>
      </c>
      <c r="M146" s="2025" t="s">
        <v>1108</v>
      </c>
      <c r="N146" s="2022" t="s">
        <v>1106</v>
      </c>
      <c r="O146" s="2025" t="s">
        <v>1109</v>
      </c>
      <c r="P146" s="2024" t="s">
        <v>1108</v>
      </c>
      <c r="Q146" s="2026" t="s">
        <v>993</v>
      </c>
      <c r="R146" s="2056"/>
      <c r="S146" s="2056"/>
      <c r="T146" s="2057" t="s">
        <v>498</v>
      </c>
      <c r="U146" s="2058" t="s">
        <v>498</v>
      </c>
      <c r="V146" s="2058" t="s">
        <v>498</v>
      </c>
      <c r="W146" s="2058" t="s">
        <v>498</v>
      </c>
      <c r="X146" s="2058" t="s">
        <v>498</v>
      </c>
      <c r="Y146" s="2058" t="s">
        <v>498</v>
      </c>
      <c r="Z146" s="2058" t="s">
        <v>498</v>
      </c>
      <c r="AA146" s="2059" t="s">
        <v>498</v>
      </c>
      <c r="AB146" s="2060" t="s">
        <v>498</v>
      </c>
      <c r="AC146" s="2058" t="s">
        <v>498</v>
      </c>
      <c r="AD146" s="2058" t="s">
        <v>498</v>
      </c>
      <c r="AE146" s="2058" t="s">
        <v>498</v>
      </c>
      <c r="AF146" s="2061" t="s">
        <v>498</v>
      </c>
    </row>
    <row r="147" spans="2:32" ht="25.5" outlineLevel="1">
      <c r="B147" s="2011" t="s">
        <v>1124</v>
      </c>
      <c r="C147" s="1983"/>
      <c r="D147" s="1983">
        <v>41364</v>
      </c>
      <c r="E147" s="1983">
        <v>46568</v>
      </c>
      <c r="F147" s="2580" t="s">
        <v>1125</v>
      </c>
      <c r="G147" s="1937" t="s">
        <v>975</v>
      </c>
      <c r="H147" s="1937" t="s">
        <v>975</v>
      </c>
      <c r="I147" s="2036">
        <v>250</v>
      </c>
      <c r="J147" s="2581" t="s">
        <v>1126</v>
      </c>
      <c r="K147" s="2038" t="s">
        <v>972</v>
      </c>
      <c r="L147" s="2041">
        <v>4.8750000000000002E-2</v>
      </c>
      <c r="M147" s="2582" t="s">
        <v>1127</v>
      </c>
      <c r="N147" s="2040" t="s">
        <v>999</v>
      </c>
      <c r="O147" s="2041">
        <v>3.1419999999999998E-3</v>
      </c>
      <c r="P147" s="2042" t="s">
        <v>1128</v>
      </c>
      <c r="Q147" s="1948" t="s">
        <v>1129</v>
      </c>
      <c r="R147" s="2838"/>
      <c r="S147" s="2838"/>
      <c r="T147" s="2063"/>
      <c r="U147" s="2064"/>
      <c r="V147" s="2064">
        <v>-57.860180973755178</v>
      </c>
      <c r="W147" s="2064">
        <v>-55.252176346345095</v>
      </c>
      <c r="X147" s="2064">
        <v>36.083545478378973</v>
      </c>
      <c r="Y147" s="2064">
        <v>0</v>
      </c>
      <c r="Z147" s="2064">
        <v>0</v>
      </c>
      <c r="AA147" s="2064">
        <v>0</v>
      </c>
      <c r="AB147" s="2064">
        <v>0</v>
      </c>
      <c r="AC147" s="2064">
        <v>0</v>
      </c>
      <c r="AD147" s="2064">
        <v>0</v>
      </c>
      <c r="AE147" s="2064">
        <v>0</v>
      </c>
      <c r="AF147" s="2064">
        <v>0</v>
      </c>
    </row>
    <row r="148" spans="2:32" ht="25.5" outlineLevel="1">
      <c r="B148" s="2011" t="s">
        <v>1130</v>
      </c>
      <c r="C148" s="1934"/>
      <c r="D148" s="1983">
        <v>41364</v>
      </c>
      <c r="E148" s="1934">
        <v>49628</v>
      </c>
      <c r="F148" s="2580" t="s">
        <v>1131</v>
      </c>
      <c r="G148" s="1937" t="s">
        <v>975</v>
      </c>
      <c r="H148" s="1937" t="s">
        <v>975</v>
      </c>
      <c r="I148" s="2043">
        <v>255</v>
      </c>
      <c r="J148" s="2581" t="s">
        <v>1126</v>
      </c>
      <c r="K148" s="2038" t="s">
        <v>972</v>
      </c>
      <c r="L148" s="2041">
        <v>4.8750000000000002E-2</v>
      </c>
      <c r="M148" s="2583" t="s">
        <v>1127</v>
      </c>
      <c r="N148" s="2040" t="s">
        <v>999</v>
      </c>
      <c r="O148" s="2046">
        <v>4.0737500000000001E-3</v>
      </c>
      <c r="P148" s="2042" t="s">
        <v>1128</v>
      </c>
      <c r="Q148" s="1948" t="s">
        <v>1129</v>
      </c>
      <c r="R148" s="2838"/>
      <c r="S148" s="2838"/>
      <c r="T148" s="2063"/>
      <c r="U148" s="2064"/>
      <c r="V148" s="2064">
        <v>-75.263211507134145</v>
      </c>
      <c r="W148" s="2064">
        <v>-91.6945390003455</v>
      </c>
      <c r="X148" s="2064">
        <v>19.27858539644312</v>
      </c>
      <c r="Y148" s="2064">
        <v>0</v>
      </c>
      <c r="Z148" s="2064">
        <v>0</v>
      </c>
      <c r="AA148" s="2064">
        <v>0</v>
      </c>
      <c r="AB148" s="2064">
        <v>0</v>
      </c>
      <c r="AC148" s="2064">
        <v>0</v>
      </c>
      <c r="AD148" s="2064">
        <v>0</v>
      </c>
      <c r="AE148" s="2064">
        <v>0</v>
      </c>
      <c r="AF148" s="2064">
        <v>0</v>
      </c>
    </row>
    <row r="149" spans="2:32" ht="38.25" outlineLevel="1">
      <c r="B149" s="2011" t="s">
        <v>1132</v>
      </c>
      <c r="C149" s="1934"/>
      <c r="D149" s="1934" t="s">
        <v>1133</v>
      </c>
      <c r="E149" s="1934" t="s">
        <v>1134</v>
      </c>
      <c r="F149" s="2571" t="s">
        <v>1135</v>
      </c>
      <c r="G149" s="1937" t="s">
        <v>975</v>
      </c>
      <c r="H149" s="1937" t="s">
        <v>975</v>
      </c>
      <c r="I149" s="2036">
        <v>250</v>
      </c>
      <c r="J149" s="2044" t="s">
        <v>1136</v>
      </c>
      <c r="K149" s="2045" t="s">
        <v>999</v>
      </c>
      <c r="L149" s="2041">
        <v>0</v>
      </c>
      <c r="M149" s="1938" t="s">
        <v>1128</v>
      </c>
      <c r="N149" s="1936" t="s">
        <v>972</v>
      </c>
      <c r="O149" s="2046">
        <v>1.1962850000000001E-2</v>
      </c>
      <c r="P149" s="2047" t="s">
        <v>1127</v>
      </c>
      <c r="Q149" s="1948" t="s">
        <v>1129</v>
      </c>
      <c r="R149" s="2838"/>
      <c r="S149" s="2838"/>
      <c r="T149" s="2063"/>
      <c r="U149" s="2064"/>
      <c r="V149" s="2064">
        <v>0.93023484000000012</v>
      </c>
      <c r="W149" s="2064">
        <v>1.6914499199999999</v>
      </c>
      <c r="X149" s="2064">
        <v>0</v>
      </c>
      <c r="Y149" s="2064">
        <v>0</v>
      </c>
      <c r="Z149" s="2064">
        <v>0</v>
      </c>
      <c r="AA149" s="2064">
        <v>0</v>
      </c>
      <c r="AB149" s="2064">
        <v>0</v>
      </c>
      <c r="AC149" s="2064">
        <v>0</v>
      </c>
      <c r="AD149" s="2064">
        <v>0</v>
      </c>
      <c r="AE149" s="2064">
        <v>0</v>
      </c>
      <c r="AF149" s="2064">
        <v>0</v>
      </c>
    </row>
    <row r="150" spans="2:32" ht="38.25" outlineLevel="1">
      <c r="B150" s="2011" t="s">
        <v>1137</v>
      </c>
      <c r="C150" s="1934"/>
      <c r="D150" s="1934" t="s">
        <v>1133</v>
      </c>
      <c r="E150" s="1934" t="s">
        <v>1134</v>
      </c>
      <c r="F150" s="2571" t="s">
        <v>1138</v>
      </c>
      <c r="G150" s="1937" t="s">
        <v>975</v>
      </c>
      <c r="H150" s="1937" t="s">
        <v>975</v>
      </c>
      <c r="I150" s="2043">
        <v>255</v>
      </c>
      <c r="J150" s="2044" t="s">
        <v>1136</v>
      </c>
      <c r="K150" s="2045" t="s">
        <v>999</v>
      </c>
      <c r="L150" s="2041">
        <v>0</v>
      </c>
      <c r="M150" s="1938" t="s">
        <v>1128</v>
      </c>
      <c r="N150" s="1936" t="s">
        <v>972</v>
      </c>
      <c r="O150" s="2046">
        <v>1.6799999999999999E-2</v>
      </c>
      <c r="P150" s="2047" t="s">
        <v>1127</v>
      </c>
      <c r="Q150" s="1948" t="s">
        <v>1129</v>
      </c>
      <c r="R150" s="2838"/>
      <c r="S150" s="2838"/>
      <c r="T150" s="2063"/>
      <c r="U150" s="2064"/>
      <c r="V150" s="2064">
        <v>8.2079419800000011</v>
      </c>
      <c r="W150" s="2064">
        <v>9.3491126799999975</v>
      </c>
      <c r="X150" s="2064">
        <v>0</v>
      </c>
      <c r="Y150" s="2064">
        <v>0</v>
      </c>
      <c r="Z150" s="2064">
        <v>0</v>
      </c>
      <c r="AA150" s="2064">
        <v>0</v>
      </c>
      <c r="AB150" s="2064">
        <v>0</v>
      </c>
      <c r="AC150" s="2064">
        <v>0</v>
      </c>
      <c r="AD150" s="2064">
        <v>0</v>
      </c>
      <c r="AE150" s="2064">
        <v>0</v>
      </c>
      <c r="AF150" s="2064">
        <v>0</v>
      </c>
    </row>
    <row r="151" spans="2:32" ht="25.5" outlineLevel="1">
      <c r="B151" s="2011" t="s">
        <v>1139</v>
      </c>
      <c r="C151" s="1934"/>
      <c r="D151" s="1934">
        <v>40268</v>
      </c>
      <c r="E151" s="1934">
        <v>43921</v>
      </c>
      <c r="F151" s="2571" t="s">
        <v>1140</v>
      </c>
      <c r="G151" s="1937" t="s">
        <v>975</v>
      </c>
      <c r="H151" s="1937" t="s">
        <v>975</v>
      </c>
      <c r="I151" s="2043">
        <v>200</v>
      </c>
      <c r="J151" s="2044" t="s">
        <v>1136</v>
      </c>
      <c r="K151" s="2045" t="s">
        <v>999</v>
      </c>
      <c r="L151" s="2041">
        <v>0</v>
      </c>
      <c r="M151" s="1938" t="s">
        <v>1128</v>
      </c>
      <c r="N151" s="1936" t="s">
        <v>972</v>
      </c>
      <c r="O151" s="2046">
        <v>5.1331250000000002E-2</v>
      </c>
      <c r="P151" s="2047" t="s">
        <v>1127</v>
      </c>
      <c r="Q151" s="1948" t="s">
        <v>1129</v>
      </c>
      <c r="R151" s="2838"/>
      <c r="S151" s="2838"/>
      <c r="T151" s="2063"/>
      <c r="U151" s="2064"/>
      <c r="V151" s="2064">
        <v>32.794563500000002</v>
      </c>
      <c r="W151" s="2064">
        <v>26.172124960000001</v>
      </c>
      <c r="X151" s="2064">
        <v>0</v>
      </c>
      <c r="Y151" s="2064">
        <v>0</v>
      </c>
      <c r="Z151" s="2064">
        <v>0</v>
      </c>
      <c r="AA151" s="2064">
        <v>0</v>
      </c>
      <c r="AB151" s="2064">
        <v>0</v>
      </c>
      <c r="AC151" s="2064">
        <v>0</v>
      </c>
      <c r="AD151" s="2064">
        <v>0</v>
      </c>
      <c r="AE151" s="2064">
        <v>0</v>
      </c>
      <c r="AF151" s="2064">
        <v>0</v>
      </c>
    </row>
    <row r="152" spans="2:32" ht="25.5" outlineLevel="1">
      <c r="B152" s="2011" t="s">
        <v>1141</v>
      </c>
      <c r="C152" s="1934"/>
      <c r="D152" s="1934">
        <v>40268</v>
      </c>
      <c r="E152" s="1934">
        <v>43921</v>
      </c>
      <c r="F152" s="2571" t="s">
        <v>1142</v>
      </c>
      <c r="G152" s="1937" t="s">
        <v>975</v>
      </c>
      <c r="H152" s="1937" t="s">
        <v>975</v>
      </c>
      <c r="I152" s="2043">
        <v>200</v>
      </c>
      <c r="J152" s="2044" t="s">
        <v>1136</v>
      </c>
      <c r="K152" s="2038" t="s">
        <v>972</v>
      </c>
      <c r="L152" s="2041">
        <v>4.2778499999999997E-2</v>
      </c>
      <c r="M152" s="1938" t="s">
        <v>1127</v>
      </c>
      <c r="N152" s="1936" t="s">
        <v>999</v>
      </c>
      <c r="O152" s="2046">
        <v>0</v>
      </c>
      <c r="P152" s="2047" t="s">
        <v>1128</v>
      </c>
      <c r="Q152" s="1948" t="s">
        <v>1129</v>
      </c>
      <c r="R152" s="2838"/>
      <c r="S152" s="2838"/>
      <c r="T152" s="2063"/>
      <c r="U152" s="2064"/>
      <c r="V152" s="2064">
        <v>-27.048467872</v>
      </c>
      <c r="W152" s="2064">
        <v>-22.012495629</v>
      </c>
      <c r="X152" s="2064">
        <v>0</v>
      </c>
      <c r="Y152" s="2064">
        <v>0</v>
      </c>
      <c r="Z152" s="2064">
        <v>0</v>
      </c>
      <c r="AA152" s="2064">
        <v>0</v>
      </c>
      <c r="AB152" s="2064">
        <v>0</v>
      </c>
      <c r="AC152" s="2064">
        <v>0</v>
      </c>
      <c r="AD152" s="2064">
        <v>0</v>
      </c>
      <c r="AE152" s="2064">
        <v>0</v>
      </c>
      <c r="AF152" s="2064">
        <v>0</v>
      </c>
    </row>
    <row r="153" spans="2:32" ht="25.5" outlineLevel="1">
      <c r="B153" s="2011" t="s">
        <v>1143</v>
      </c>
      <c r="C153" s="1934"/>
      <c r="D153" s="1934">
        <v>40268</v>
      </c>
      <c r="E153" s="1934">
        <v>51226</v>
      </c>
      <c r="F153" s="2571" t="s">
        <v>1144</v>
      </c>
      <c r="G153" s="1937" t="s">
        <v>975</v>
      </c>
      <c r="H153" s="1937" t="s">
        <v>975</v>
      </c>
      <c r="I153" s="2043">
        <v>250</v>
      </c>
      <c r="J153" s="2044" t="s">
        <v>1136</v>
      </c>
      <c r="K153" s="2045" t="s">
        <v>999</v>
      </c>
      <c r="L153" s="2041">
        <v>0</v>
      </c>
      <c r="M153" s="1938" t="s">
        <v>1128</v>
      </c>
      <c r="N153" s="1936" t="s">
        <v>972</v>
      </c>
      <c r="O153" s="2046">
        <v>4.6399999999999997E-2</v>
      </c>
      <c r="P153" s="2047" t="s">
        <v>1127</v>
      </c>
      <c r="Q153" s="1948" t="s">
        <v>1129</v>
      </c>
      <c r="R153" s="2838"/>
      <c r="S153" s="2838"/>
      <c r="T153" s="2063"/>
      <c r="U153" s="2064"/>
      <c r="V153" s="2064">
        <v>135.60439291</v>
      </c>
      <c r="W153" s="2064">
        <v>145.17719119999998</v>
      </c>
      <c r="X153" s="2064">
        <v>0</v>
      </c>
      <c r="Y153" s="2064">
        <v>0</v>
      </c>
      <c r="Z153" s="2064">
        <v>0</v>
      </c>
      <c r="AA153" s="2064">
        <v>0</v>
      </c>
      <c r="AB153" s="2064">
        <v>0</v>
      </c>
      <c r="AC153" s="2064">
        <v>0</v>
      </c>
      <c r="AD153" s="2064">
        <v>0</v>
      </c>
      <c r="AE153" s="2064">
        <v>0</v>
      </c>
      <c r="AF153" s="2064">
        <v>0</v>
      </c>
    </row>
    <row r="154" spans="2:32" ht="25.5" outlineLevel="1">
      <c r="B154" s="2011" t="s">
        <v>1145</v>
      </c>
      <c r="C154" s="1934"/>
      <c r="D154" s="1934">
        <v>40268</v>
      </c>
      <c r="E154" s="1934">
        <v>51226</v>
      </c>
      <c r="F154" s="2571" t="s">
        <v>1142</v>
      </c>
      <c r="G154" s="1937" t="s">
        <v>975</v>
      </c>
      <c r="H154" s="1937" t="s">
        <v>975</v>
      </c>
      <c r="I154" s="2043">
        <v>250</v>
      </c>
      <c r="J154" s="2044" t="s">
        <v>1136</v>
      </c>
      <c r="K154" s="2038" t="s">
        <v>972</v>
      </c>
      <c r="L154" s="2041">
        <v>4.0752499999999997E-2</v>
      </c>
      <c r="M154" s="1938" t="s">
        <v>1127</v>
      </c>
      <c r="N154" s="1936" t="s">
        <v>999</v>
      </c>
      <c r="O154" s="2046">
        <v>0</v>
      </c>
      <c r="P154" s="2047" t="s">
        <v>1128</v>
      </c>
      <c r="Q154" s="1948" t="s">
        <v>1129</v>
      </c>
      <c r="R154" s="2838"/>
      <c r="S154" s="2838"/>
      <c r="T154" s="2063"/>
      <c r="U154" s="2064"/>
      <c r="V154" s="2064">
        <v>-109.44556660599999</v>
      </c>
      <c r="W154" s="2064">
        <v>-122.97624790366667</v>
      </c>
      <c r="X154" s="2064">
        <v>0</v>
      </c>
      <c r="Y154" s="2064">
        <v>0</v>
      </c>
      <c r="Z154" s="2064">
        <v>0</v>
      </c>
      <c r="AA154" s="2064">
        <v>0</v>
      </c>
      <c r="AB154" s="2064">
        <v>0</v>
      </c>
      <c r="AC154" s="2064">
        <v>0</v>
      </c>
      <c r="AD154" s="2064">
        <v>0</v>
      </c>
      <c r="AE154" s="2064">
        <v>0</v>
      </c>
      <c r="AF154" s="2064">
        <v>0</v>
      </c>
    </row>
    <row r="155" spans="2:32" ht="38.25" outlineLevel="1">
      <c r="B155" s="2011" t="s">
        <v>1146</v>
      </c>
      <c r="C155" s="1934"/>
      <c r="D155" s="1934" t="s">
        <v>1133</v>
      </c>
      <c r="E155" s="1934" t="s">
        <v>1134</v>
      </c>
      <c r="F155" s="2571" t="s">
        <v>1147</v>
      </c>
      <c r="G155" s="1937" t="s">
        <v>975</v>
      </c>
      <c r="H155" s="1937" t="s">
        <v>975</v>
      </c>
      <c r="I155" s="2043"/>
      <c r="J155" s="2044" t="s">
        <v>1148</v>
      </c>
      <c r="K155" s="2045" t="s">
        <v>999</v>
      </c>
      <c r="L155" s="2041">
        <v>0</v>
      </c>
      <c r="M155" s="1938" t="s">
        <v>1149</v>
      </c>
      <c r="N155" s="1936" t="s">
        <v>972</v>
      </c>
      <c r="O155" s="2046">
        <v>2.1872890878051637E-2</v>
      </c>
      <c r="P155" s="2047" t="s">
        <v>1127</v>
      </c>
      <c r="Q155" s="1948" t="s">
        <v>1129</v>
      </c>
      <c r="R155" s="2838"/>
      <c r="S155" s="2838"/>
      <c r="T155" s="2063"/>
      <c r="U155" s="2064"/>
      <c r="V155" s="2064">
        <v>24.048465440000001</v>
      </c>
      <c r="W155" s="2064">
        <v>26.118729809999998</v>
      </c>
      <c r="X155" s="2064">
        <v>0</v>
      </c>
      <c r="Y155" s="2064">
        <v>0</v>
      </c>
      <c r="Z155" s="2064">
        <v>0</v>
      </c>
      <c r="AA155" s="2064">
        <v>0</v>
      </c>
      <c r="AB155" s="2064">
        <v>0</v>
      </c>
      <c r="AC155" s="2064">
        <v>0</v>
      </c>
      <c r="AD155" s="2064">
        <v>0</v>
      </c>
      <c r="AE155" s="2064">
        <v>0</v>
      </c>
      <c r="AF155" s="2064">
        <v>0</v>
      </c>
    </row>
    <row r="156" spans="2:32" ht="25.5" outlineLevel="1">
      <c r="B156" s="2011" t="s">
        <v>1150</v>
      </c>
      <c r="C156" s="2584">
        <v>145</v>
      </c>
      <c r="D156" s="1934">
        <v>41361</v>
      </c>
      <c r="E156" s="1934">
        <v>43007</v>
      </c>
      <c r="F156" s="2571" t="s">
        <v>1125</v>
      </c>
      <c r="G156" s="1937" t="s">
        <v>975</v>
      </c>
      <c r="H156" s="1937" t="s">
        <v>975</v>
      </c>
      <c r="I156" s="2043">
        <v>35</v>
      </c>
      <c r="J156" s="2044" t="s">
        <v>1151</v>
      </c>
      <c r="K156" s="2045" t="s">
        <v>972</v>
      </c>
      <c r="L156" s="2041">
        <v>4.8750000000000002E-2</v>
      </c>
      <c r="M156" s="1938"/>
      <c r="N156" s="1936" t="s">
        <v>999</v>
      </c>
      <c r="O156" s="2046">
        <v>3.14E-3</v>
      </c>
      <c r="P156" s="2047" t="s">
        <v>1152</v>
      </c>
      <c r="Q156" s="1948" t="s">
        <v>1153</v>
      </c>
      <c r="R156" s="2838"/>
      <c r="S156" s="2838"/>
      <c r="T156" s="2575"/>
      <c r="U156" s="2576"/>
      <c r="V156" s="2576"/>
      <c r="W156" s="2576"/>
      <c r="X156" s="2576">
        <v>1.0281999999999999E-3</v>
      </c>
      <c r="Y156" s="2576">
        <v>0</v>
      </c>
      <c r="Z156" s="2064">
        <v>0</v>
      </c>
      <c r="AA156" s="2064">
        <v>0</v>
      </c>
      <c r="AB156" s="2064">
        <v>0</v>
      </c>
      <c r="AC156" s="2064">
        <v>0</v>
      </c>
      <c r="AD156" s="2064">
        <v>0</v>
      </c>
      <c r="AE156" s="2064">
        <v>0</v>
      </c>
      <c r="AF156" s="2064">
        <v>0</v>
      </c>
    </row>
    <row r="157" spans="2:32" ht="25.5" outlineLevel="1">
      <c r="B157" s="2011" t="s">
        <v>1154</v>
      </c>
      <c r="C157" s="2584">
        <v>157</v>
      </c>
      <c r="D157" s="1934">
        <v>41361</v>
      </c>
      <c r="E157" s="1934">
        <v>43188</v>
      </c>
      <c r="F157" s="2571" t="s">
        <v>1125</v>
      </c>
      <c r="G157" s="1937" t="s">
        <v>975</v>
      </c>
      <c r="H157" s="1937" t="s">
        <v>975</v>
      </c>
      <c r="I157" s="2043">
        <v>5</v>
      </c>
      <c r="J157" s="2044" t="s">
        <v>1151</v>
      </c>
      <c r="K157" s="2045" t="s">
        <v>972</v>
      </c>
      <c r="L157" s="2041">
        <v>4.8750000000000002E-2</v>
      </c>
      <c r="M157" s="1938"/>
      <c r="N157" s="1936" t="s">
        <v>999</v>
      </c>
      <c r="O157" s="2046">
        <v>3.14E-3</v>
      </c>
      <c r="P157" s="2047" t="s">
        <v>1152</v>
      </c>
      <c r="Q157" s="1948" t="s">
        <v>1153</v>
      </c>
      <c r="R157" s="2838"/>
      <c r="S157" s="2838"/>
      <c r="T157" s="2575"/>
      <c r="U157" s="2576"/>
      <c r="V157" s="2576"/>
      <c r="W157" s="2576"/>
      <c r="X157" s="2576">
        <v>4.3904000000000002E-4</v>
      </c>
      <c r="Y157" s="2576">
        <v>0</v>
      </c>
      <c r="Z157" s="2064">
        <v>0</v>
      </c>
      <c r="AA157" s="2064">
        <v>0</v>
      </c>
      <c r="AB157" s="2064">
        <v>0</v>
      </c>
      <c r="AC157" s="2064">
        <v>0</v>
      </c>
      <c r="AD157" s="2064">
        <v>0</v>
      </c>
      <c r="AE157" s="2064">
        <v>0</v>
      </c>
      <c r="AF157" s="2064">
        <v>0</v>
      </c>
    </row>
    <row r="158" spans="2:32" ht="25.5" outlineLevel="1">
      <c r="B158" s="2011" t="s">
        <v>1155</v>
      </c>
      <c r="C158" s="2584">
        <v>234</v>
      </c>
      <c r="D158" s="1934">
        <v>41361</v>
      </c>
      <c r="E158" s="1934">
        <v>42825</v>
      </c>
      <c r="F158" s="2571" t="s">
        <v>1125</v>
      </c>
      <c r="G158" s="1937" t="s">
        <v>975</v>
      </c>
      <c r="H158" s="1937" t="s">
        <v>975</v>
      </c>
      <c r="I158" s="2043">
        <v>22.5</v>
      </c>
      <c r="J158" s="2044" t="s">
        <v>1151</v>
      </c>
      <c r="K158" s="2045" t="s">
        <v>972</v>
      </c>
      <c r="L158" s="2041">
        <v>4.8750000000000002E-2</v>
      </c>
      <c r="M158" s="1938"/>
      <c r="N158" s="1936" t="s">
        <v>999</v>
      </c>
      <c r="O158" s="2046">
        <v>3.14E-3</v>
      </c>
      <c r="P158" s="2047" t="s">
        <v>1152</v>
      </c>
      <c r="Q158" s="1948" t="s">
        <v>1153</v>
      </c>
      <c r="R158" s="2838"/>
      <c r="S158" s="2838"/>
      <c r="T158" s="2575"/>
      <c r="U158" s="2576"/>
      <c r="V158" s="2576"/>
      <c r="W158" s="2576"/>
      <c r="X158" s="2576">
        <v>0</v>
      </c>
      <c r="Y158" s="2576">
        <v>0</v>
      </c>
      <c r="Z158" s="2064">
        <v>0</v>
      </c>
      <c r="AA158" s="2064">
        <v>0</v>
      </c>
      <c r="AB158" s="2064">
        <v>0</v>
      </c>
      <c r="AC158" s="2064">
        <v>0</v>
      </c>
      <c r="AD158" s="2064">
        <v>0</v>
      </c>
      <c r="AE158" s="2064">
        <v>0</v>
      </c>
      <c r="AF158" s="2064">
        <v>0</v>
      </c>
    </row>
    <row r="159" spans="2:32" ht="25.5" outlineLevel="1">
      <c r="B159" s="2011" t="s">
        <v>1156</v>
      </c>
      <c r="C159" s="2584">
        <v>237</v>
      </c>
      <c r="D159" s="1934">
        <v>41361</v>
      </c>
      <c r="E159" s="1934">
        <v>43553</v>
      </c>
      <c r="F159" s="2571" t="s">
        <v>1125</v>
      </c>
      <c r="G159" s="1937" t="s">
        <v>975</v>
      </c>
      <c r="H159" s="1937" t="s">
        <v>975</v>
      </c>
      <c r="I159" s="2043" t="s">
        <v>1157</v>
      </c>
      <c r="J159" s="2044" t="s">
        <v>1151</v>
      </c>
      <c r="K159" s="2045" t="s">
        <v>972</v>
      </c>
      <c r="L159" s="2041">
        <v>4.8750000000000002E-2</v>
      </c>
      <c r="M159" s="1938"/>
      <c r="N159" s="1936" t="s">
        <v>999</v>
      </c>
      <c r="O159" s="2046">
        <v>3.1449999999999998E-3</v>
      </c>
      <c r="P159" s="2047" t="s">
        <v>1152</v>
      </c>
      <c r="Q159" s="1948" t="s">
        <v>1158</v>
      </c>
      <c r="R159" s="2838"/>
      <c r="S159" s="2838"/>
      <c r="T159" s="2575"/>
      <c r="U159" s="2576"/>
      <c r="V159" s="2576"/>
      <c r="W159" s="2576"/>
      <c r="X159" s="2576">
        <v>-0.61882844999999997</v>
      </c>
      <c r="Y159" s="2576">
        <v>-0.63880169999999992</v>
      </c>
      <c r="Z159" s="2064">
        <v>0</v>
      </c>
      <c r="AA159" s="2064">
        <v>0</v>
      </c>
      <c r="AB159" s="2064">
        <v>0</v>
      </c>
      <c r="AC159" s="2064">
        <v>0</v>
      </c>
      <c r="AD159" s="2064">
        <v>0</v>
      </c>
      <c r="AE159" s="2064">
        <v>0</v>
      </c>
      <c r="AF159" s="2064">
        <v>0</v>
      </c>
    </row>
    <row r="160" spans="2:32" ht="25.5" outlineLevel="1">
      <c r="B160" s="2011" t="s">
        <v>1159</v>
      </c>
      <c r="C160" s="2584">
        <v>238</v>
      </c>
      <c r="D160" s="1934">
        <v>41361</v>
      </c>
      <c r="E160" s="1934">
        <v>43371</v>
      </c>
      <c r="F160" s="2571" t="s">
        <v>1125</v>
      </c>
      <c r="G160" s="1937" t="s">
        <v>975</v>
      </c>
      <c r="H160" s="1937" t="s">
        <v>975</v>
      </c>
      <c r="I160" s="2043" t="s">
        <v>1160</v>
      </c>
      <c r="J160" s="2044" t="s">
        <v>1151</v>
      </c>
      <c r="K160" s="2045" t="s">
        <v>972</v>
      </c>
      <c r="L160" s="2041">
        <v>4.8750000000000002E-2</v>
      </c>
      <c r="M160" s="1938"/>
      <c r="N160" s="1936" t="s">
        <v>999</v>
      </c>
      <c r="O160" s="2046">
        <v>3.1449999999999998E-3</v>
      </c>
      <c r="P160" s="2047" t="s">
        <v>1152</v>
      </c>
      <c r="Q160" s="1948" t="s">
        <v>1158</v>
      </c>
      <c r="R160" s="2838"/>
      <c r="S160" s="2838"/>
      <c r="T160" s="2575"/>
      <c r="U160" s="2576"/>
      <c r="V160" s="2576"/>
      <c r="W160" s="2576"/>
      <c r="X160" s="2576">
        <v>-2.1782099999999999E-2</v>
      </c>
      <c r="Y160" s="2576">
        <v>-1.5154049999999999E-2</v>
      </c>
      <c r="Z160" s="2064">
        <v>0</v>
      </c>
      <c r="AA160" s="2064">
        <v>0</v>
      </c>
      <c r="AB160" s="2064">
        <v>0</v>
      </c>
      <c r="AC160" s="2064">
        <v>0</v>
      </c>
      <c r="AD160" s="2064">
        <v>0</v>
      </c>
      <c r="AE160" s="2064">
        <v>0</v>
      </c>
      <c r="AF160" s="2064">
        <v>0</v>
      </c>
    </row>
    <row r="161" spans="2:32" ht="25.5" outlineLevel="1">
      <c r="B161" s="2011" t="s">
        <v>1161</v>
      </c>
      <c r="C161" s="2584">
        <v>241</v>
      </c>
      <c r="D161" s="1934">
        <v>41361</v>
      </c>
      <c r="E161" s="1934">
        <v>43738</v>
      </c>
      <c r="F161" s="2571" t="s">
        <v>1125</v>
      </c>
      <c r="G161" s="1937" t="s">
        <v>975</v>
      </c>
      <c r="H161" s="1937" t="s">
        <v>975</v>
      </c>
      <c r="I161" s="2043" t="s">
        <v>1162</v>
      </c>
      <c r="J161" s="2044" t="s">
        <v>1151</v>
      </c>
      <c r="K161" s="2045" t="s">
        <v>972</v>
      </c>
      <c r="L161" s="2041">
        <v>4.8750000000000002E-2</v>
      </c>
      <c r="M161" s="1938"/>
      <c r="N161" s="1936" t="s">
        <v>999</v>
      </c>
      <c r="O161" s="2046">
        <v>3.1449999999999998E-3</v>
      </c>
      <c r="P161" s="2047" t="s">
        <v>1152</v>
      </c>
      <c r="Q161" s="1948" t="s">
        <v>1158</v>
      </c>
      <c r="R161" s="2838"/>
      <c r="S161" s="2838"/>
      <c r="T161" s="2575"/>
      <c r="U161" s="2576"/>
      <c r="V161" s="2576"/>
      <c r="W161" s="2576"/>
      <c r="X161" s="2576">
        <v>-0.64204147</v>
      </c>
      <c r="Y161" s="2576">
        <v>-0.67090346999999995</v>
      </c>
      <c r="Z161" s="2064">
        <v>0</v>
      </c>
      <c r="AA161" s="2064">
        <v>0</v>
      </c>
      <c r="AB161" s="2064">
        <v>0</v>
      </c>
      <c r="AC161" s="2064">
        <v>0</v>
      </c>
      <c r="AD161" s="2064">
        <v>0</v>
      </c>
      <c r="AE161" s="2064">
        <v>0</v>
      </c>
      <c r="AF161" s="2064">
        <v>0</v>
      </c>
    </row>
    <row r="162" spans="2:32" ht="25.5" outlineLevel="1">
      <c r="B162" s="2011" t="s">
        <v>1163</v>
      </c>
      <c r="C162" s="2584">
        <v>235</v>
      </c>
      <c r="D162" s="1934">
        <v>41361</v>
      </c>
      <c r="E162" s="1934">
        <v>43371</v>
      </c>
      <c r="F162" s="2571" t="s">
        <v>1125</v>
      </c>
      <c r="G162" s="1937" t="s">
        <v>975</v>
      </c>
      <c r="H162" s="1937" t="s">
        <v>975</v>
      </c>
      <c r="I162" s="2043">
        <v>32.5</v>
      </c>
      <c r="J162" s="2044" t="s">
        <v>1151</v>
      </c>
      <c r="K162" s="2045" t="s">
        <v>972</v>
      </c>
      <c r="L162" s="2041">
        <v>4.8750000000000002E-2</v>
      </c>
      <c r="M162" s="1938"/>
      <c r="N162" s="1936" t="s">
        <v>999</v>
      </c>
      <c r="O162" s="2046">
        <v>3.1449999999999998E-3</v>
      </c>
      <c r="P162" s="2047" t="s">
        <v>1152</v>
      </c>
      <c r="Q162" s="1948" t="s">
        <v>1164</v>
      </c>
      <c r="R162" s="2838"/>
      <c r="S162" s="2838"/>
      <c r="T162" s="2575"/>
      <c r="U162" s="2576"/>
      <c r="V162" s="2576"/>
      <c r="W162" s="2576"/>
      <c r="X162" s="2576">
        <v>-0.5626139</v>
      </c>
      <c r="Y162" s="2576">
        <v>-0.38973075000000001</v>
      </c>
      <c r="Z162" s="2064">
        <v>0</v>
      </c>
      <c r="AA162" s="2064">
        <v>0</v>
      </c>
      <c r="AB162" s="2064">
        <v>0</v>
      </c>
      <c r="AC162" s="2064">
        <v>0</v>
      </c>
      <c r="AD162" s="2064">
        <v>0</v>
      </c>
      <c r="AE162" s="2064">
        <v>0</v>
      </c>
      <c r="AF162" s="2064">
        <v>0</v>
      </c>
    </row>
    <row r="163" spans="2:32" ht="25.5" outlineLevel="1">
      <c r="B163" s="2011" t="s">
        <v>1165</v>
      </c>
      <c r="C163" s="2584">
        <v>236</v>
      </c>
      <c r="D163" s="1934">
        <v>41361</v>
      </c>
      <c r="E163" s="1934">
        <v>43188</v>
      </c>
      <c r="F163" s="2571" t="s">
        <v>1125</v>
      </c>
      <c r="G163" s="1937" t="s">
        <v>975</v>
      </c>
      <c r="H163" s="1937" t="s">
        <v>975</v>
      </c>
      <c r="I163" s="2043">
        <v>30</v>
      </c>
      <c r="J163" s="2044" t="s">
        <v>1151</v>
      </c>
      <c r="K163" s="2045" t="s">
        <v>972</v>
      </c>
      <c r="L163" s="2041">
        <v>4.8750000000000002E-2</v>
      </c>
      <c r="M163" s="1938"/>
      <c r="N163" s="1936" t="s">
        <v>999</v>
      </c>
      <c r="O163" s="2046">
        <v>3.1449999999999998E-3</v>
      </c>
      <c r="P163" s="2047" t="s">
        <v>1152</v>
      </c>
      <c r="Q163" s="1948" t="s">
        <v>1164</v>
      </c>
      <c r="R163" s="2838"/>
      <c r="S163" s="2838"/>
      <c r="T163" s="2575"/>
      <c r="U163" s="2576"/>
      <c r="V163" s="2576"/>
      <c r="W163" s="2576"/>
      <c r="X163" s="2576">
        <v>2.1987299999999999E-3</v>
      </c>
      <c r="Y163" s="2576">
        <v>0</v>
      </c>
      <c r="Z163" s="2064">
        <v>0</v>
      </c>
      <c r="AA163" s="2064">
        <v>0</v>
      </c>
      <c r="AB163" s="2064">
        <v>0</v>
      </c>
      <c r="AC163" s="2064">
        <v>0</v>
      </c>
      <c r="AD163" s="2064">
        <v>0</v>
      </c>
      <c r="AE163" s="2064">
        <v>0</v>
      </c>
      <c r="AF163" s="2064">
        <v>0</v>
      </c>
    </row>
    <row r="164" spans="2:32" ht="25.5" outlineLevel="1">
      <c r="B164" s="2011" t="s">
        <v>1166</v>
      </c>
      <c r="C164" s="2584">
        <v>204</v>
      </c>
      <c r="D164" s="1934">
        <v>42460</v>
      </c>
      <c r="E164" s="1934">
        <v>46568</v>
      </c>
      <c r="F164" s="2571" t="s">
        <v>1125</v>
      </c>
      <c r="G164" s="1937" t="s">
        <v>975</v>
      </c>
      <c r="H164" s="1937" t="s">
        <v>975</v>
      </c>
      <c r="I164" s="2043">
        <v>15</v>
      </c>
      <c r="J164" s="2044" t="s">
        <v>1151</v>
      </c>
      <c r="K164" s="2045" t="s">
        <v>972</v>
      </c>
      <c r="L164" s="2041">
        <v>4.8750000000000002E-2</v>
      </c>
      <c r="M164" s="1938"/>
      <c r="N164" s="1936" t="s">
        <v>999</v>
      </c>
      <c r="O164" s="2046">
        <v>3.1380000000000002E-3</v>
      </c>
      <c r="P164" s="2047" t="s">
        <v>1152</v>
      </c>
      <c r="Q164" s="1948" t="s">
        <v>1167</v>
      </c>
      <c r="R164" s="2838"/>
      <c r="S164" s="2838"/>
      <c r="T164" s="2575"/>
      <c r="U164" s="2576"/>
      <c r="V164" s="2576"/>
      <c r="W164" s="2576"/>
      <c r="X164" s="2576">
        <v>-3.8843987799999997</v>
      </c>
      <c r="Y164" s="2576">
        <v>-4.5082873997840318</v>
      </c>
      <c r="Z164" s="2064">
        <v>0</v>
      </c>
      <c r="AA164" s="2064">
        <v>0</v>
      </c>
      <c r="AB164" s="2064">
        <v>0</v>
      </c>
      <c r="AC164" s="2064">
        <v>0</v>
      </c>
      <c r="AD164" s="2064">
        <v>0</v>
      </c>
      <c r="AE164" s="2064">
        <v>0</v>
      </c>
      <c r="AF164" s="2064">
        <v>0</v>
      </c>
    </row>
    <row r="165" spans="2:32" ht="25.5" outlineLevel="1">
      <c r="B165" s="2011" t="s">
        <v>1168</v>
      </c>
      <c r="C165" s="2584">
        <v>205</v>
      </c>
      <c r="D165" s="1934">
        <v>42643</v>
      </c>
      <c r="E165" s="1934">
        <v>46568</v>
      </c>
      <c r="F165" s="2571" t="s">
        <v>1125</v>
      </c>
      <c r="G165" s="1937" t="s">
        <v>975</v>
      </c>
      <c r="H165" s="1937" t="s">
        <v>975</v>
      </c>
      <c r="I165" s="2043">
        <v>35</v>
      </c>
      <c r="J165" s="2044" t="s">
        <v>1151</v>
      </c>
      <c r="K165" s="2045" t="s">
        <v>972</v>
      </c>
      <c r="L165" s="2041">
        <v>4.8750000000000002E-2</v>
      </c>
      <c r="M165" s="1938"/>
      <c r="N165" s="1936" t="s">
        <v>999</v>
      </c>
      <c r="O165" s="2046">
        <v>3.1380000000000002E-3</v>
      </c>
      <c r="P165" s="2047" t="s">
        <v>1152</v>
      </c>
      <c r="Q165" s="1948" t="s">
        <v>1167</v>
      </c>
      <c r="R165" s="2838"/>
      <c r="S165" s="2838"/>
      <c r="T165" s="2575"/>
      <c r="U165" s="2576"/>
      <c r="V165" s="2576"/>
      <c r="W165" s="2576"/>
      <c r="X165" s="2576">
        <v>-9.0639101499999999</v>
      </c>
      <c r="Y165" s="2576">
        <v>-10.519502865050928</v>
      </c>
      <c r="Z165" s="2064">
        <v>0</v>
      </c>
      <c r="AA165" s="2064">
        <v>0</v>
      </c>
      <c r="AB165" s="2064">
        <v>0</v>
      </c>
      <c r="AC165" s="2064">
        <v>0</v>
      </c>
      <c r="AD165" s="2064">
        <v>0</v>
      </c>
      <c r="AE165" s="2064">
        <v>0</v>
      </c>
      <c r="AF165" s="2064">
        <v>0</v>
      </c>
    </row>
    <row r="166" spans="2:32" ht="25.5" outlineLevel="1">
      <c r="B166" s="2011" t="s">
        <v>1169</v>
      </c>
      <c r="C166" s="2584">
        <v>206</v>
      </c>
      <c r="D166" s="1934">
        <v>42825</v>
      </c>
      <c r="E166" s="1934">
        <v>46568</v>
      </c>
      <c r="F166" s="2571" t="s">
        <v>1125</v>
      </c>
      <c r="G166" s="1937" t="s">
        <v>975</v>
      </c>
      <c r="H166" s="1937" t="s">
        <v>975</v>
      </c>
      <c r="I166" s="2043">
        <v>12.5</v>
      </c>
      <c r="J166" s="2044" t="s">
        <v>1151</v>
      </c>
      <c r="K166" s="2045" t="s">
        <v>972</v>
      </c>
      <c r="L166" s="2041">
        <v>4.8750000000000002E-2</v>
      </c>
      <c r="M166" s="1938"/>
      <c r="N166" s="1936" t="s">
        <v>999</v>
      </c>
      <c r="O166" s="2046">
        <v>3.1380000000000002E-3</v>
      </c>
      <c r="P166" s="2047" t="s">
        <v>1152</v>
      </c>
      <c r="Q166" s="1948" t="s">
        <v>1167</v>
      </c>
      <c r="R166" s="2838"/>
      <c r="S166" s="2838"/>
      <c r="T166" s="2575"/>
      <c r="U166" s="2576"/>
      <c r="V166" s="2576"/>
      <c r="W166" s="2576"/>
      <c r="X166" s="2576">
        <v>-3.2371107599999998</v>
      </c>
      <c r="Y166" s="2576">
        <v>-3.7569653089372363</v>
      </c>
      <c r="Z166" s="2064">
        <v>0</v>
      </c>
      <c r="AA166" s="2064">
        <v>0</v>
      </c>
      <c r="AB166" s="2064">
        <v>0</v>
      </c>
      <c r="AC166" s="2064">
        <v>0</v>
      </c>
      <c r="AD166" s="2064">
        <v>0</v>
      </c>
      <c r="AE166" s="2064">
        <v>0</v>
      </c>
      <c r="AF166" s="2064">
        <v>0</v>
      </c>
    </row>
    <row r="167" spans="2:32" ht="25.5" outlineLevel="1">
      <c r="B167" s="2011" t="s">
        <v>1170</v>
      </c>
      <c r="C167" s="2584">
        <v>161</v>
      </c>
      <c r="D167" s="1934">
        <v>42825</v>
      </c>
      <c r="E167" s="1934">
        <v>46568</v>
      </c>
      <c r="F167" s="2571" t="s">
        <v>1125</v>
      </c>
      <c r="G167" s="1937" t="s">
        <v>975</v>
      </c>
      <c r="H167" s="1937" t="s">
        <v>975</v>
      </c>
      <c r="I167" s="2043">
        <v>22.5</v>
      </c>
      <c r="J167" s="2044" t="s">
        <v>1151</v>
      </c>
      <c r="K167" s="2045" t="s">
        <v>972</v>
      </c>
      <c r="L167" s="2041">
        <v>4.8750000000000002E-2</v>
      </c>
      <c r="M167" s="1938"/>
      <c r="N167" s="1936" t="s">
        <v>999</v>
      </c>
      <c r="O167" s="2046">
        <v>3.14E-3</v>
      </c>
      <c r="P167" s="2047" t="s">
        <v>1152</v>
      </c>
      <c r="Q167" s="1948" t="s">
        <v>1153</v>
      </c>
      <c r="R167" s="2838"/>
      <c r="S167" s="2838"/>
      <c r="T167" s="2575"/>
      <c r="U167" s="2576"/>
      <c r="V167" s="2576"/>
      <c r="W167" s="2576"/>
      <c r="X167" s="2576">
        <v>-5.78990501</v>
      </c>
      <c r="Y167" s="2576">
        <v>-6.7214868599129449</v>
      </c>
      <c r="Z167" s="2064">
        <v>0</v>
      </c>
      <c r="AA167" s="2064">
        <v>0</v>
      </c>
      <c r="AB167" s="2064">
        <v>0</v>
      </c>
      <c r="AC167" s="2064">
        <v>0</v>
      </c>
      <c r="AD167" s="2064">
        <v>0</v>
      </c>
      <c r="AE167" s="2064">
        <v>0</v>
      </c>
      <c r="AF167" s="2064">
        <v>0</v>
      </c>
    </row>
    <row r="168" spans="2:32" ht="25.5" outlineLevel="1">
      <c r="B168" s="2011" t="s">
        <v>1171</v>
      </c>
      <c r="C168" s="2584">
        <v>328</v>
      </c>
      <c r="D168" s="1934">
        <v>43007</v>
      </c>
      <c r="E168" s="1934">
        <v>43553</v>
      </c>
      <c r="F168" s="2571" t="s">
        <v>1125</v>
      </c>
      <c r="G168" s="1937" t="s">
        <v>975</v>
      </c>
      <c r="H168" s="1937" t="s">
        <v>975</v>
      </c>
      <c r="I168" s="2043">
        <v>17.5</v>
      </c>
      <c r="J168" s="2044" t="s">
        <v>1151</v>
      </c>
      <c r="K168" s="2045" t="s">
        <v>972</v>
      </c>
      <c r="L168" s="2041">
        <v>4.8750000000000002E-2</v>
      </c>
      <c r="M168" s="1938"/>
      <c r="N168" s="1936" t="s">
        <v>999</v>
      </c>
      <c r="O168" s="2046">
        <v>3.1449999999999998E-3</v>
      </c>
      <c r="P168" s="2047" t="s">
        <v>1152</v>
      </c>
      <c r="Q168" s="1948" t="s">
        <v>1172</v>
      </c>
      <c r="R168" s="2838"/>
      <c r="S168" s="2838"/>
      <c r="T168" s="2575"/>
      <c r="U168" s="2576"/>
      <c r="V168" s="2576"/>
      <c r="W168" s="2576"/>
      <c r="X168" s="2576">
        <v>-0.61878720999999992</v>
      </c>
      <c r="Y168" s="2576">
        <v>-0.63891082999999993</v>
      </c>
      <c r="Z168" s="2064">
        <v>0</v>
      </c>
      <c r="AA168" s="2064">
        <v>0</v>
      </c>
      <c r="AB168" s="2064">
        <v>0</v>
      </c>
      <c r="AC168" s="2064">
        <v>0</v>
      </c>
      <c r="AD168" s="2064">
        <v>0</v>
      </c>
      <c r="AE168" s="2064">
        <v>0</v>
      </c>
      <c r="AF168" s="2064">
        <v>0</v>
      </c>
    </row>
    <row r="169" spans="2:32" ht="25.5" outlineLevel="1">
      <c r="B169" s="2011" t="s">
        <v>1173</v>
      </c>
      <c r="C169" s="2584">
        <v>330</v>
      </c>
      <c r="D169" s="1934">
        <v>43007</v>
      </c>
      <c r="E169" s="1934">
        <v>43371</v>
      </c>
      <c r="F169" s="2571" t="s">
        <v>1125</v>
      </c>
      <c r="G169" s="1937" t="s">
        <v>975</v>
      </c>
      <c r="H169" s="1937" t="s">
        <v>975</v>
      </c>
      <c r="I169" s="2043">
        <v>1.25</v>
      </c>
      <c r="J169" s="2044" t="s">
        <v>1151</v>
      </c>
      <c r="K169" s="2045" t="s">
        <v>972</v>
      </c>
      <c r="L169" s="2041">
        <v>4.8750000000000002E-2</v>
      </c>
      <c r="M169" s="1938"/>
      <c r="N169" s="1936" t="s">
        <v>999</v>
      </c>
      <c r="O169" s="2046">
        <v>3.1449999999999998E-3</v>
      </c>
      <c r="P169" s="2047" t="s">
        <v>1152</v>
      </c>
      <c r="Q169" s="1948" t="s">
        <v>1172</v>
      </c>
      <c r="R169" s="2838"/>
      <c r="S169" s="2838"/>
      <c r="T169" s="2575"/>
      <c r="U169" s="2576"/>
      <c r="V169" s="2576"/>
      <c r="W169" s="2576"/>
      <c r="X169" s="2576">
        <v>-2.1801250000000001E-2</v>
      </c>
      <c r="Y169" s="2576">
        <v>-1.5156639999999999E-2</v>
      </c>
      <c r="Z169" s="2064">
        <v>0</v>
      </c>
      <c r="AA169" s="2064">
        <v>0</v>
      </c>
      <c r="AB169" s="2064">
        <v>0</v>
      </c>
      <c r="AC169" s="2064">
        <v>0</v>
      </c>
      <c r="AD169" s="2064">
        <v>0</v>
      </c>
      <c r="AE169" s="2064">
        <v>0</v>
      </c>
      <c r="AF169" s="2064">
        <v>0</v>
      </c>
    </row>
    <row r="170" spans="2:32" ht="25.5" outlineLevel="1">
      <c r="B170" s="2011" t="s">
        <v>1174</v>
      </c>
      <c r="C170" s="2584">
        <v>331</v>
      </c>
      <c r="D170" s="1934">
        <v>43007</v>
      </c>
      <c r="E170" s="1934">
        <v>43738</v>
      </c>
      <c r="F170" s="2571" t="s">
        <v>1125</v>
      </c>
      <c r="G170" s="1937" t="s">
        <v>975</v>
      </c>
      <c r="H170" s="1937" t="s">
        <v>975</v>
      </c>
      <c r="I170" s="2043">
        <v>12.5</v>
      </c>
      <c r="J170" s="2044" t="s">
        <v>1151</v>
      </c>
      <c r="K170" s="2045" t="s">
        <v>972</v>
      </c>
      <c r="L170" s="2041">
        <v>4.8750000000000002E-2</v>
      </c>
      <c r="M170" s="1938"/>
      <c r="N170" s="1936" t="s">
        <v>999</v>
      </c>
      <c r="O170" s="2046">
        <v>3.1449999999999998E-3</v>
      </c>
      <c r="P170" s="2047" t="s">
        <v>1152</v>
      </c>
      <c r="Q170" s="1948" t="s">
        <v>1172</v>
      </c>
      <c r="R170" s="2838"/>
      <c r="S170" s="2838"/>
      <c r="T170" s="2575"/>
      <c r="U170" s="2576"/>
      <c r="V170" s="2576"/>
      <c r="W170" s="2576"/>
      <c r="X170" s="2576">
        <v>-0.64263263999999998</v>
      </c>
      <c r="Y170" s="2576">
        <v>-0.67110668999999989</v>
      </c>
      <c r="Z170" s="2064">
        <v>0</v>
      </c>
      <c r="AA170" s="2064">
        <v>0</v>
      </c>
      <c r="AB170" s="2064">
        <v>0</v>
      </c>
      <c r="AC170" s="2064">
        <v>0</v>
      </c>
      <c r="AD170" s="2064">
        <v>0</v>
      </c>
      <c r="AE170" s="2064">
        <v>0</v>
      </c>
      <c r="AF170" s="2064">
        <v>0</v>
      </c>
    </row>
    <row r="171" spans="2:32" ht="25.5" outlineLevel="1">
      <c r="B171" s="2011" t="s">
        <v>1175</v>
      </c>
      <c r="C171" s="2584">
        <v>162</v>
      </c>
      <c r="D171" s="1934">
        <v>43007</v>
      </c>
      <c r="E171" s="1934">
        <v>46568</v>
      </c>
      <c r="F171" s="2571" t="s">
        <v>1125</v>
      </c>
      <c r="G171" s="1937" t="s">
        <v>975</v>
      </c>
      <c r="H171" s="1937" t="s">
        <v>975</v>
      </c>
      <c r="I171" s="2043">
        <v>35</v>
      </c>
      <c r="J171" s="2044" t="s">
        <v>1151</v>
      </c>
      <c r="K171" s="2045" t="s">
        <v>972</v>
      </c>
      <c r="L171" s="2041">
        <v>4.8750000000000002E-2</v>
      </c>
      <c r="M171" s="1938"/>
      <c r="N171" s="1936" t="s">
        <v>999</v>
      </c>
      <c r="O171" s="2046">
        <v>3.14E-3</v>
      </c>
      <c r="P171" s="2047" t="s">
        <v>1152</v>
      </c>
      <c r="Q171" s="1948" t="s">
        <v>1153</v>
      </c>
      <c r="R171" s="2838"/>
      <c r="S171" s="2838"/>
      <c r="T171" s="2575"/>
      <c r="U171" s="2576"/>
      <c r="V171" s="2576"/>
      <c r="W171" s="2576"/>
      <c r="X171" s="2576">
        <v>-9.0104825399999999</v>
      </c>
      <c r="Y171" s="2576">
        <v>-10.455225493722619</v>
      </c>
      <c r="Z171" s="2064">
        <v>0</v>
      </c>
      <c r="AA171" s="2064">
        <v>0</v>
      </c>
      <c r="AB171" s="2064">
        <v>0</v>
      </c>
      <c r="AC171" s="2064">
        <v>0</v>
      </c>
      <c r="AD171" s="2064">
        <v>0</v>
      </c>
      <c r="AE171" s="2064">
        <v>0</v>
      </c>
      <c r="AF171" s="2064">
        <v>0</v>
      </c>
    </row>
    <row r="172" spans="2:32" ht="25.5" outlineLevel="1">
      <c r="B172" s="2011" t="s">
        <v>1176</v>
      </c>
      <c r="C172" s="2584">
        <v>163</v>
      </c>
      <c r="D172" s="1934">
        <v>43188</v>
      </c>
      <c r="E172" s="1934">
        <v>46568</v>
      </c>
      <c r="F172" s="2571" t="s">
        <v>1125</v>
      </c>
      <c r="G172" s="1937" t="s">
        <v>975</v>
      </c>
      <c r="H172" s="1937" t="s">
        <v>975</v>
      </c>
      <c r="I172" s="2043">
        <v>5</v>
      </c>
      <c r="J172" s="2044" t="s">
        <v>1151</v>
      </c>
      <c r="K172" s="2045" t="s">
        <v>972</v>
      </c>
      <c r="L172" s="2041">
        <v>4.8750000000000002E-2</v>
      </c>
      <c r="M172" s="1938"/>
      <c r="N172" s="1936" t="s">
        <v>999</v>
      </c>
      <c r="O172" s="2046">
        <v>3.14E-3</v>
      </c>
      <c r="P172" s="2047" t="s">
        <v>1152</v>
      </c>
      <c r="Q172" s="1948" t="s">
        <v>1153</v>
      </c>
      <c r="R172" s="2838"/>
      <c r="S172" s="2838"/>
      <c r="T172" s="2575"/>
      <c r="U172" s="2576"/>
      <c r="V172" s="2576"/>
      <c r="W172" s="2576"/>
      <c r="X172" s="2576">
        <v>-1.2868361499999998</v>
      </c>
      <c r="Y172" s="2576">
        <v>-1.4936036377989108</v>
      </c>
      <c r="Z172" s="2064">
        <v>0</v>
      </c>
      <c r="AA172" s="2064">
        <v>0</v>
      </c>
      <c r="AB172" s="2064">
        <v>0</v>
      </c>
      <c r="AC172" s="2064">
        <v>0</v>
      </c>
      <c r="AD172" s="2064">
        <v>0</v>
      </c>
      <c r="AE172" s="2064">
        <v>0</v>
      </c>
      <c r="AF172" s="2064">
        <v>0</v>
      </c>
    </row>
    <row r="173" spans="2:32" ht="25.5" outlineLevel="1">
      <c r="B173" s="2011" t="s">
        <v>1177</v>
      </c>
      <c r="C173" s="2584">
        <v>198</v>
      </c>
      <c r="D173" s="1934">
        <v>43188</v>
      </c>
      <c r="E173" s="1934">
        <v>46568</v>
      </c>
      <c r="F173" s="2571" t="s">
        <v>1125</v>
      </c>
      <c r="G173" s="1937" t="s">
        <v>975</v>
      </c>
      <c r="H173" s="1937" t="s">
        <v>975</v>
      </c>
      <c r="I173" s="2043">
        <v>30</v>
      </c>
      <c r="J173" s="2044" t="s">
        <v>1151</v>
      </c>
      <c r="K173" s="2045" t="s">
        <v>972</v>
      </c>
      <c r="L173" s="2041">
        <v>4.8750000000000002E-2</v>
      </c>
      <c r="M173" s="1938"/>
      <c r="N173" s="1936" t="s">
        <v>999</v>
      </c>
      <c r="O173" s="2046">
        <v>3.1449999999999998E-3</v>
      </c>
      <c r="P173" s="2047" t="s">
        <v>1152</v>
      </c>
      <c r="Q173" s="1948" t="s">
        <v>1164</v>
      </c>
      <c r="R173" s="2838"/>
      <c r="S173" s="2838"/>
      <c r="T173" s="2575"/>
      <c r="U173" s="2576"/>
      <c r="V173" s="2576"/>
      <c r="W173" s="2576"/>
      <c r="X173" s="2576">
        <v>-7.7955023499999996</v>
      </c>
      <c r="Y173" s="2576">
        <v>-9.0071013139823783</v>
      </c>
      <c r="Z173" s="2064">
        <v>0</v>
      </c>
      <c r="AA173" s="2064">
        <v>0</v>
      </c>
      <c r="AB173" s="2064">
        <v>0</v>
      </c>
      <c r="AC173" s="2064">
        <v>0</v>
      </c>
      <c r="AD173" s="2064">
        <v>0</v>
      </c>
      <c r="AE173" s="2064">
        <v>0</v>
      </c>
      <c r="AF173" s="2064">
        <v>0</v>
      </c>
    </row>
    <row r="174" spans="2:32" ht="25.5" outlineLevel="1">
      <c r="B174" s="2011" t="s">
        <v>1178</v>
      </c>
      <c r="C174" s="2584">
        <v>160</v>
      </c>
      <c r="D174" s="1934">
        <v>41361</v>
      </c>
      <c r="E174" s="1934">
        <v>44286</v>
      </c>
      <c r="F174" s="2571" t="s">
        <v>1131</v>
      </c>
      <c r="G174" s="1937" t="s">
        <v>975</v>
      </c>
      <c r="H174" s="1937" t="s">
        <v>975</v>
      </c>
      <c r="I174" s="2043">
        <v>35</v>
      </c>
      <c r="J174" s="2044" t="s">
        <v>1151</v>
      </c>
      <c r="K174" s="2045" t="s">
        <v>972</v>
      </c>
      <c r="L174" s="2041">
        <v>4.8750000000000002E-2</v>
      </c>
      <c r="M174" s="1938"/>
      <c r="N174" s="1936" t="s">
        <v>999</v>
      </c>
      <c r="O174" s="2046">
        <v>4.0749999999999996E-3</v>
      </c>
      <c r="P174" s="2047" t="s">
        <v>1152</v>
      </c>
      <c r="Q174" s="1948" t="s">
        <v>1153</v>
      </c>
      <c r="R174" s="2838"/>
      <c r="S174" s="2838"/>
      <c r="T174" s="2575"/>
      <c r="U174" s="2576"/>
      <c r="V174" s="2576"/>
      <c r="W174" s="2576"/>
      <c r="X174" s="2576">
        <v>-3.28860185</v>
      </c>
      <c r="Y174" s="2576">
        <v>-3.0329812299999999</v>
      </c>
      <c r="Z174" s="2064">
        <v>0</v>
      </c>
      <c r="AA174" s="2064">
        <v>0</v>
      </c>
      <c r="AB174" s="2064">
        <v>0</v>
      </c>
      <c r="AC174" s="2064">
        <v>0</v>
      </c>
      <c r="AD174" s="2064">
        <v>0</v>
      </c>
      <c r="AE174" s="2064">
        <v>0</v>
      </c>
      <c r="AF174" s="2064">
        <v>0</v>
      </c>
    </row>
    <row r="175" spans="2:32" ht="25.5" outlineLevel="1">
      <c r="B175" s="2011" t="s">
        <v>1179</v>
      </c>
      <c r="C175" s="2584">
        <v>146</v>
      </c>
      <c r="D175" s="1934">
        <v>41361</v>
      </c>
      <c r="E175" s="1934">
        <v>44104</v>
      </c>
      <c r="F175" s="2571" t="s">
        <v>1131</v>
      </c>
      <c r="G175" s="1937" t="s">
        <v>975</v>
      </c>
      <c r="H175" s="1937" t="s">
        <v>975</v>
      </c>
      <c r="I175" s="2043">
        <v>16.25</v>
      </c>
      <c r="J175" s="2044" t="s">
        <v>1151</v>
      </c>
      <c r="K175" s="2045" t="s">
        <v>972</v>
      </c>
      <c r="L175" s="2041">
        <v>4.8750000000000002E-2</v>
      </c>
      <c r="M175" s="1938"/>
      <c r="N175" s="1936" t="s">
        <v>999</v>
      </c>
      <c r="O175" s="2046">
        <v>4.0749999999999996E-3</v>
      </c>
      <c r="P175" s="2047" t="s">
        <v>1152</v>
      </c>
      <c r="Q175" s="1948" t="s">
        <v>1153</v>
      </c>
      <c r="R175" s="2838"/>
      <c r="S175" s="2838"/>
      <c r="T175" s="2575"/>
      <c r="U175" s="2576"/>
      <c r="V175" s="2576"/>
      <c r="W175" s="2576"/>
      <c r="X175" s="2576">
        <v>-1.2997652099999999</v>
      </c>
      <c r="Y175" s="2576">
        <v>-1.1381528300000001</v>
      </c>
      <c r="Z175" s="2064">
        <v>0</v>
      </c>
      <c r="AA175" s="2064">
        <v>0</v>
      </c>
      <c r="AB175" s="2064">
        <v>0</v>
      </c>
      <c r="AC175" s="2064">
        <v>0</v>
      </c>
      <c r="AD175" s="2064">
        <v>0</v>
      </c>
      <c r="AE175" s="2064">
        <v>0</v>
      </c>
      <c r="AF175" s="2064">
        <v>0</v>
      </c>
    </row>
    <row r="176" spans="2:32" ht="25.5" outlineLevel="1">
      <c r="B176" s="2011" t="s">
        <v>1180</v>
      </c>
      <c r="C176" s="2584">
        <v>147</v>
      </c>
      <c r="D176" s="1934">
        <v>41361</v>
      </c>
      <c r="E176" s="1934">
        <v>44469</v>
      </c>
      <c r="F176" s="2571" t="s">
        <v>1131</v>
      </c>
      <c r="G176" s="1937" t="s">
        <v>975</v>
      </c>
      <c r="H176" s="1937" t="s">
        <v>975</v>
      </c>
      <c r="I176" s="2043">
        <v>12.5</v>
      </c>
      <c r="J176" s="2044" t="s">
        <v>1151</v>
      </c>
      <c r="K176" s="2045" t="s">
        <v>972</v>
      </c>
      <c r="L176" s="2041">
        <v>4.8750000000000002E-2</v>
      </c>
      <c r="M176" s="1938"/>
      <c r="N176" s="1936" t="s">
        <v>999</v>
      </c>
      <c r="O176" s="2046">
        <v>4.0749999999999996E-3</v>
      </c>
      <c r="P176" s="2047" t="s">
        <v>1152</v>
      </c>
      <c r="Q176" s="1948" t="s">
        <v>1153</v>
      </c>
      <c r="R176" s="2838"/>
      <c r="S176" s="2838"/>
      <c r="T176" s="2575"/>
      <c r="U176" s="2576"/>
      <c r="V176" s="2576"/>
      <c r="W176" s="2576"/>
      <c r="X176" s="2576">
        <v>-1.34996239</v>
      </c>
      <c r="Y176" s="2576">
        <v>-1.29138409</v>
      </c>
      <c r="Z176" s="2064">
        <v>0</v>
      </c>
      <c r="AA176" s="2064">
        <v>0</v>
      </c>
      <c r="AB176" s="2064">
        <v>0</v>
      </c>
      <c r="AC176" s="2064">
        <v>0</v>
      </c>
      <c r="AD176" s="2064">
        <v>0</v>
      </c>
      <c r="AE176" s="2064">
        <v>0</v>
      </c>
      <c r="AF176" s="2064">
        <v>0</v>
      </c>
    </row>
    <row r="177" spans="2:32" ht="25.5" outlineLevel="1">
      <c r="B177" s="2011" t="s">
        <v>1181</v>
      </c>
      <c r="C177" s="2584">
        <v>187</v>
      </c>
      <c r="D177" s="1934">
        <v>41361</v>
      </c>
      <c r="E177" s="1934">
        <v>44834</v>
      </c>
      <c r="F177" s="2571" t="s">
        <v>1131</v>
      </c>
      <c r="G177" s="1937" t="s">
        <v>975</v>
      </c>
      <c r="H177" s="1937" t="s">
        <v>975</v>
      </c>
      <c r="I177" s="2043" t="s">
        <v>1182</v>
      </c>
      <c r="J177" s="2044" t="s">
        <v>1151</v>
      </c>
      <c r="K177" s="2045" t="s">
        <v>972</v>
      </c>
      <c r="L177" s="2041">
        <v>4.8750000000000002E-2</v>
      </c>
      <c r="M177" s="1938"/>
      <c r="N177" s="1936" t="s">
        <v>999</v>
      </c>
      <c r="O177" s="2046">
        <v>4.0800000000000003E-3</v>
      </c>
      <c r="P177" s="2047" t="s">
        <v>1152</v>
      </c>
      <c r="Q177" s="1948" t="s">
        <v>1158</v>
      </c>
      <c r="R177" s="2838"/>
      <c r="S177" s="2838"/>
      <c r="T177" s="2575"/>
      <c r="U177" s="2576"/>
      <c r="V177" s="2576"/>
      <c r="W177" s="2576"/>
      <c r="X177" s="2576">
        <v>-1.9446936000000001</v>
      </c>
      <c r="Y177" s="2576">
        <v>-1.94880444</v>
      </c>
      <c r="Z177" s="2064">
        <v>0</v>
      </c>
      <c r="AA177" s="2064">
        <v>0</v>
      </c>
      <c r="AB177" s="2064">
        <v>0</v>
      </c>
      <c r="AC177" s="2064">
        <v>0</v>
      </c>
      <c r="AD177" s="2064">
        <v>0</v>
      </c>
      <c r="AE177" s="2064">
        <v>0</v>
      </c>
      <c r="AF177" s="2064">
        <v>0</v>
      </c>
    </row>
    <row r="178" spans="2:32" ht="25.5" outlineLevel="1">
      <c r="B178" s="2011" t="s">
        <v>1183</v>
      </c>
      <c r="C178" s="2584">
        <v>196</v>
      </c>
      <c r="D178" s="1934">
        <v>41361</v>
      </c>
      <c r="E178" s="1934">
        <v>45016</v>
      </c>
      <c r="F178" s="2571" t="s">
        <v>1131</v>
      </c>
      <c r="G178" s="1937" t="s">
        <v>975</v>
      </c>
      <c r="H178" s="1937" t="s">
        <v>975</v>
      </c>
      <c r="I178" s="2043" t="s">
        <v>1184</v>
      </c>
      <c r="J178" s="2044" t="s">
        <v>1151</v>
      </c>
      <c r="K178" s="2045" t="s">
        <v>972</v>
      </c>
      <c r="L178" s="2041">
        <v>4.8750000000000002E-2</v>
      </c>
      <c r="M178" s="1938"/>
      <c r="N178" s="1936" t="s">
        <v>999</v>
      </c>
      <c r="O178" s="2046">
        <v>4.0800000000000003E-3</v>
      </c>
      <c r="P178" s="2047" t="s">
        <v>1152</v>
      </c>
      <c r="Q178" s="1948" t="s">
        <v>1158</v>
      </c>
      <c r="R178" s="2838"/>
      <c r="S178" s="2838"/>
      <c r="T178" s="2575"/>
      <c r="U178" s="2576"/>
      <c r="V178" s="2576"/>
      <c r="W178" s="2576"/>
      <c r="X178" s="2576">
        <v>-2.5921396899999998</v>
      </c>
      <c r="Y178" s="2576">
        <v>-2.6385114600000001</v>
      </c>
      <c r="Z178" s="2064">
        <v>0</v>
      </c>
      <c r="AA178" s="2064">
        <v>0</v>
      </c>
      <c r="AB178" s="2064">
        <v>0</v>
      </c>
      <c r="AC178" s="2064">
        <v>0</v>
      </c>
      <c r="AD178" s="2064">
        <v>0</v>
      </c>
      <c r="AE178" s="2064">
        <v>0</v>
      </c>
      <c r="AF178" s="2064">
        <v>0</v>
      </c>
    </row>
    <row r="179" spans="2:32" ht="25.5" outlineLevel="1">
      <c r="B179" s="2011" t="s">
        <v>1185</v>
      </c>
      <c r="C179" s="2584">
        <v>172</v>
      </c>
      <c r="D179" s="1934">
        <v>41361</v>
      </c>
      <c r="E179" s="1934">
        <v>43738</v>
      </c>
      <c r="F179" s="2571" t="s">
        <v>1131</v>
      </c>
      <c r="G179" s="1937" t="s">
        <v>975</v>
      </c>
      <c r="H179" s="1937" t="s">
        <v>975</v>
      </c>
      <c r="I179" s="2043">
        <v>10</v>
      </c>
      <c r="J179" s="2044" t="s">
        <v>1151</v>
      </c>
      <c r="K179" s="2045" t="s">
        <v>972</v>
      </c>
      <c r="L179" s="2041">
        <v>4.8750000000000002E-2</v>
      </c>
      <c r="M179" s="1938"/>
      <c r="N179" s="1936" t="s">
        <v>999</v>
      </c>
      <c r="O179" s="2046">
        <v>4.0699999999999998E-3</v>
      </c>
      <c r="P179" s="2047" t="s">
        <v>1152</v>
      </c>
      <c r="Q179" s="1948" t="s">
        <v>1167</v>
      </c>
      <c r="R179" s="2838"/>
      <c r="S179" s="2838"/>
      <c r="T179" s="2575"/>
      <c r="U179" s="2576"/>
      <c r="V179" s="2576"/>
      <c r="W179" s="2576"/>
      <c r="X179" s="2576">
        <v>-0.50479987000000004</v>
      </c>
      <c r="Y179" s="2576">
        <v>-0.35470958000000002</v>
      </c>
      <c r="Z179" s="2064">
        <v>0</v>
      </c>
      <c r="AA179" s="2064">
        <v>0</v>
      </c>
      <c r="AB179" s="2064">
        <v>0</v>
      </c>
      <c r="AC179" s="2064">
        <v>0</v>
      </c>
      <c r="AD179" s="2064">
        <v>0</v>
      </c>
      <c r="AE179" s="2064">
        <v>0</v>
      </c>
      <c r="AF179" s="2064">
        <v>0</v>
      </c>
    </row>
    <row r="180" spans="2:32" ht="25.5" outlineLevel="1">
      <c r="B180" s="2011" t="s">
        <v>1186</v>
      </c>
      <c r="C180" s="2584">
        <v>184</v>
      </c>
      <c r="D180" s="1934">
        <v>41361</v>
      </c>
      <c r="E180" s="1934">
        <v>44104</v>
      </c>
      <c r="F180" s="2571" t="s">
        <v>1131</v>
      </c>
      <c r="G180" s="1937" t="s">
        <v>975</v>
      </c>
      <c r="H180" s="1937" t="s">
        <v>975</v>
      </c>
      <c r="I180" s="2043">
        <v>18.75</v>
      </c>
      <c r="J180" s="2044" t="s">
        <v>1151</v>
      </c>
      <c r="K180" s="2045" t="s">
        <v>972</v>
      </c>
      <c r="L180" s="2041">
        <v>4.8750000000000002E-2</v>
      </c>
      <c r="M180" s="1938"/>
      <c r="N180" s="1936" t="s">
        <v>999</v>
      </c>
      <c r="O180" s="2046">
        <v>4.0699999999999998E-3</v>
      </c>
      <c r="P180" s="2047" t="s">
        <v>1152</v>
      </c>
      <c r="Q180" s="1948" t="s">
        <v>1167</v>
      </c>
      <c r="R180" s="2838"/>
      <c r="S180" s="2838"/>
      <c r="T180" s="2575"/>
      <c r="U180" s="2576"/>
      <c r="V180" s="2576"/>
      <c r="W180" s="2576"/>
      <c r="X180" s="2576">
        <v>-1.50514886</v>
      </c>
      <c r="Y180" s="2576">
        <v>-1.3160222399999999</v>
      </c>
      <c r="Z180" s="2064">
        <v>0</v>
      </c>
      <c r="AA180" s="2064">
        <v>0</v>
      </c>
      <c r="AB180" s="2064">
        <v>0</v>
      </c>
      <c r="AC180" s="2064">
        <v>0</v>
      </c>
      <c r="AD180" s="2064">
        <v>0</v>
      </c>
      <c r="AE180" s="2064">
        <v>0</v>
      </c>
      <c r="AF180" s="2064">
        <v>0</v>
      </c>
    </row>
    <row r="181" spans="2:32" ht="25.5" outlineLevel="1">
      <c r="B181" s="2011" t="s">
        <v>1187</v>
      </c>
      <c r="C181" s="2584">
        <v>185</v>
      </c>
      <c r="D181" s="1934">
        <v>41361</v>
      </c>
      <c r="E181" s="1934">
        <v>43921</v>
      </c>
      <c r="F181" s="2571" t="s">
        <v>1131</v>
      </c>
      <c r="G181" s="1937" t="s">
        <v>975</v>
      </c>
      <c r="H181" s="1937" t="s">
        <v>975</v>
      </c>
      <c r="I181" s="2043">
        <v>35</v>
      </c>
      <c r="J181" s="2044" t="s">
        <v>1151</v>
      </c>
      <c r="K181" s="2045" t="s">
        <v>972</v>
      </c>
      <c r="L181" s="2041">
        <v>4.8750000000000002E-2</v>
      </c>
      <c r="M181" s="1938"/>
      <c r="N181" s="1936" t="s">
        <v>999</v>
      </c>
      <c r="O181" s="2046">
        <v>4.0699999999999998E-3</v>
      </c>
      <c r="P181" s="2047" t="s">
        <v>1152</v>
      </c>
      <c r="Q181" s="1948" t="s">
        <v>1167</v>
      </c>
      <c r="R181" s="2838"/>
      <c r="S181" s="2838"/>
      <c r="T181" s="2575"/>
      <c r="U181" s="2576"/>
      <c r="V181" s="2576"/>
      <c r="W181" s="2576"/>
      <c r="X181" s="2576">
        <v>-2.28933067</v>
      </c>
      <c r="Y181" s="2576">
        <v>-1.85002226</v>
      </c>
      <c r="Z181" s="2064">
        <v>0</v>
      </c>
      <c r="AA181" s="2064">
        <v>0</v>
      </c>
      <c r="AB181" s="2064">
        <v>0</v>
      </c>
      <c r="AC181" s="2064">
        <v>0</v>
      </c>
      <c r="AD181" s="2064">
        <v>0</v>
      </c>
      <c r="AE181" s="2064">
        <v>0</v>
      </c>
      <c r="AF181" s="2064">
        <v>0</v>
      </c>
    </row>
    <row r="182" spans="2:32" ht="25.5" outlineLevel="1">
      <c r="B182" s="2011" t="s">
        <v>1188</v>
      </c>
      <c r="C182" s="2584">
        <v>169</v>
      </c>
      <c r="D182" s="1934">
        <v>41361</v>
      </c>
      <c r="E182" s="1934">
        <v>44469</v>
      </c>
      <c r="F182" s="2571" t="s">
        <v>1131</v>
      </c>
      <c r="G182" s="1937" t="s">
        <v>975</v>
      </c>
      <c r="H182" s="1937" t="s">
        <v>975</v>
      </c>
      <c r="I182" s="2043">
        <v>22.5</v>
      </c>
      <c r="J182" s="2044" t="s">
        <v>1151</v>
      </c>
      <c r="K182" s="2045" t="s">
        <v>972</v>
      </c>
      <c r="L182" s="2041">
        <v>4.8750000000000002E-2</v>
      </c>
      <c r="M182" s="1938"/>
      <c r="N182" s="1936" t="s">
        <v>999</v>
      </c>
      <c r="O182" s="2046">
        <v>4.0699999999999998E-3</v>
      </c>
      <c r="P182" s="2047" t="s">
        <v>1152</v>
      </c>
      <c r="Q182" s="1948" t="s">
        <v>1164</v>
      </c>
      <c r="R182" s="2838"/>
      <c r="S182" s="2838"/>
      <c r="T182" s="2575"/>
      <c r="U182" s="2576"/>
      <c r="V182" s="2576"/>
      <c r="W182" s="2576"/>
      <c r="X182" s="2576">
        <v>-2.4408292599999997</v>
      </c>
      <c r="Y182" s="2576">
        <v>-2.33071378</v>
      </c>
      <c r="Z182" s="2064">
        <v>0</v>
      </c>
      <c r="AA182" s="2064">
        <v>0</v>
      </c>
      <c r="AB182" s="2064">
        <v>0</v>
      </c>
      <c r="AC182" s="2064">
        <v>0</v>
      </c>
      <c r="AD182" s="2064">
        <v>0</v>
      </c>
      <c r="AE182" s="2064">
        <v>0</v>
      </c>
      <c r="AF182" s="2064">
        <v>0</v>
      </c>
    </row>
    <row r="183" spans="2:32" ht="25.5" outlineLevel="1">
      <c r="B183" s="2011" t="s">
        <v>1189</v>
      </c>
      <c r="C183" s="2584">
        <v>170</v>
      </c>
      <c r="D183" s="1934">
        <v>41361</v>
      </c>
      <c r="E183" s="1934">
        <v>44834</v>
      </c>
      <c r="F183" s="2571" t="s">
        <v>1131</v>
      </c>
      <c r="G183" s="1937" t="s">
        <v>975</v>
      </c>
      <c r="H183" s="1937" t="s">
        <v>975</v>
      </c>
      <c r="I183" s="2043">
        <v>6.25</v>
      </c>
      <c r="J183" s="2044" t="s">
        <v>1151</v>
      </c>
      <c r="K183" s="2045" t="s">
        <v>972</v>
      </c>
      <c r="L183" s="2041">
        <v>4.8750000000000002E-2</v>
      </c>
      <c r="M183" s="1938"/>
      <c r="N183" s="1936" t="s">
        <v>999</v>
      </c>
      <c r="O183" s="2046">
        <v>4.0699999999999998E-3</v>
      </c>
      <c r="P183" s="2047" t="s">
        <v>1152</v>
      </c>
      <c r="Q183" s="1948" t="s">
        <v>1164</v>
      </c>
      <c r="R183" s="2838"/>
      <c r="S183" s="2838"/>
      <c r="T183" s="2575"/>
      <c r="U183" s="2576"/>
      <c r="V183" s="2576"/>
      <c r="W183" s="2576"/>
      <c r="X183" s="2576">
        <v>-0.84743813000000001</v>
      </c>
      <c r="Y183" s="2576">
        <v>-0.84750897999999997</v>
      </c>
      <c r="Z183" s="2064">
        <v>0</v>
      </c>
      <c r="AA183" s="2064">
        <v>0</v>
      </c>
      <c r="AB183" s="2064">
        <v>0</v>
      </c>
      <c r="AC183" s="2064">
        <v>0</v>
      </c>
      <c r="AD183" s="2064">
        <v>0</v>
      </c>
      <c r="AE183" s="2064">
        <v>0</v>
      </c>
      <c r="AF183" s="2064">
        <v>0</v>
      </c>
    </row>
    <row r="184" spans="2:32" ht="25.5" outlineLevel="1">
      <c r="B184" s="2011" t="s">
        <v>1190</v>
      </c>
      <c r="C184" s="2584">
        <v>182</v>
      </c>
      <c r="D184" s="1934">
        <v>41361</v>
      </c>
      <c r="E184" s="1934">
        <v>44651</v>
      </c>
      <c r="F184" s="2571" t="s">
        <v>1131</v>
      </c>
      <c r="G184" s="1937" t="s">
        <v>975</v>
      </c>
      <c r="H184" s="1937" t="s">
        <v>975</v>
      </c>
      <c r="I184" s="2043">
        <v>35</v>
      </c>
      <c r="J184" s="2044" t="s">
        <v>1151</v>
      </c>
      <c r="K184" s="2045" t="s">
        <v>972</v>
      </c>
      <c r="L184" s="2041">
        <v>4.8750000000000002E-2</v>
      </c>
      <c r="M184" s="1938"/>
      <c r="N184" s="1936" t="s">
        <v>999</v>
      </c>
      <c r="O184" s="2046">
        <v>4.0699999999999998E-3</v>
      </c>
      <c r="P184" s="2047" t="s">
        <v>1152</v>
      </c>
      <c r="Q184" s="1948" t="s">
        <v>1164</v>
      </c>
      <c r="R184" s="2838"/>
      <c r="S184" s="2838"/>
      <c r="T184" s="2575"/>
      <c r="U184" s="2576"/>
      <c r="V184" s="2576"/>
      <c r="W184" s="2576"/>
      <c r="X184" s="2576">
        <v>-4.2702558399999999</v>
      </c>
      <c r="Y184" s="2576">
        <v>-4.18507096</v>
      </c>
      <c r="Z184" s="2064">
        <v>0</v>
      </c>
      <c r="AA184" s="2064">
        <v>0</v>
      </c>
      <c r="AB184" s="2064">
        <v>0</v>
      </c>
      <c r="AC184" s="2064">
        <v>0</v>
      </c>
      <c r="AD184" s="2064">
        <v>0</v>
      </c>
      <c r="AE184" s="2064">
        <v>0</v>
      </c>
      <c r="AF184" s="2064">
        <v>0</v>
      </c>
    </row>
    <row r="185" spans="2:32" ht="25.5" outlineLevel="1">
      <c r="B185" s="2011" t="s">
        <v>1191</v>
      </c>
      <c r="C185" s="2584">
        <v>329</v>
      </c>
      <c r="D185" s="1934">
        <v>43007</v>
      </c>
      <c r="E185" s="1934">
        <v>45016</v>
      </c>
      <c r="F185" s="2571" t="s">
        <v>1131</v>
      </c>
      <c r="G185" s="1937" t="s">
        <v>975</v>
      </c>
      <c r="H185" s="1937" t="s">
        <v>975</v>
      </c>
      <c r="I185" s="2043">
        <v>17.5</v>
      </c>
      <c r="J185" s="2044" t="s">
        <v>1151</v>
      </c>
      <c r="K185" s="2045" t="s">
        <v>972</v>
      </c>
      <c r="L185" s="2041">
        <v>4.8750000000000002E-2</v>
      </c>
      <c r="M185" s="1938"/>
      <c r="N185" s="1936" t="s">
        <v>999</v>
      </c>
      <c r="O185" s="2046">
        <v>4.0800000000000003E-3</v>
      </c>
      <c r="P185" s="2047" t="s">
        <v>1152</v>
      </c>
      <c r="Q185" s="1948" t="s">
        <v>1172</v>
      </c>
      <c r="R185" s="2838"/>
      <c r="S185" s="2838"/>
      <c r="T185" s="2575"/>
      <c r="U185" s="2576"/>
      <c r="V185" s="2576"/>
      <c r="W185" s="2576"/>
      <c r="X185" s="2576">
        <v>-2.5948848500000001</v>
      </c>
      <c r="Y185" s="2576">
        <v>-2.6386287899999998</v>
      </c>
      <c r="Z185" s="2064">
        <v>0</v>
      </c>
      <c r="AA185" s="2064">
        <v>0</v>
      </c>
      <c r="AB185" s="2064">
        <v>0</v>
      </c>
      <c r="AC185" s="2064">
        <v>0</v>
      </c>
      <c r="AD185" s="2064">
        <v>0</v>
      </c>
      <c r="AE185" s="2064">
        <v>0</v>
      </c>
      <c r="AF185" s="2064">
        <v>0</v>
      </c>
    </row>
    <row r="186" spans="2:32" ht="25.5" outlineLevel="1">
      <c r="B186" s="2011" t="s">
        <v>1192</v>
      </c>
      <c r="C186" s="2584">
        <v>332</v>
      </c>
      <c r="D186" s="1934">
        <v>43007</v>
      </c>
      <c r="E186" s="1934">
        <v>44834</v>
      </c>
      <c r="F186" s="2571" t="s">
        <v>1131</v>
      </c>
      <c r="G186" s="1937" t="s">
        <v>975</v>
      </c>
      <c r="H186" s="1937" t="s">
        <v>975</v>
      </c>
      <c r="I186" s="2043">
        <v>14.375</v>
      </c>
      <c r="J186" s="2044" t="s">
        <v>1151</v>
      </c>
      <c r="K186" s="2045" t="s">
        <v>972</v>
      </c>
      <c r="L186" s="2041">
        <v>4.8750000000000002E-2</v>
      </c>
      <c r="M186" s="1938"/>
      <c r="N186" s="1936" t="s">
        <v>999</v>
      </c>
      <c r="O186" s="2046">
        <v>4.0800000000000003E-3</v>
      </c>
      <c r="P186" s="2047" t="s">
        <v>1152</v>
      </c>
      <c r="Q186" s="1948" t="s">
        <v>1172</v>
      </c>
      <c r="R186" s="2838"/>
      <c r="S186" s="2838"/>
      <c r="T186" s="2575"/>
      <c r="U186" s="2576"/>
      <c r="V186" s="2576"/>
      <c r="W186" s="2576"/>
      <c r="X186" s="2576">
        <v>-1.9464453799999999</v>
      </c>
      <c r="Y186" s="2576">
        <v>-1.9493296499999999</v>
      </c>
      <c r="Z186" s="2064">
        <v>0</v>
      </c>
      <c r="AA186" s="2064">
        <v>0</v>
      </c>
      <c r="AB186" s="2064">
        <v>0</v>
      </c>
      <c r="AC186" s="2064">
        <v>0</v>
      </c>
      <c r="AD186" s="2064">
        <v>0</v>
      </c>
      <c r="AE186" s="2064">
        <v>0</v>
      </c>
      <c r="AF186" s="2064">
        <v>0</v>
      </c>
    </row>
    <row r="187" spans="2:32" ht="38.25" outlineLevel="1">
      <c r="B187" s="2011" t="s">
        <v>1193</v>
      </c>
      <c r="C187" s="2584">
        <v>40</v>
      </c>
      <c r="D187" s="1934">
        <v>41361</v>
      </c>
      <c r="E187" s="1934">
        <v>43007</v>
      </c>
      <c r="F187" s="2571" t="s">
        <v>1135</v>
      </c>
      <c r="G187" s="1937" t="s">
        <v>975</v>
      </c>
      <c r="H187" s="1937" t="s">
        <v>975</v>
      </c>
      <c r="I187" s="2043">
        <v>8.75</v>
      </c>
      <c r="J187" s="2044" t="s">
        <v>1136</v>
      </c>
      <c r="K187" s="2045" t="s">
        <v>999</v>
      </c>
      <c r="L187" s="2041">
        <v>0</v>
      </c>
      <c r="M187" s="1938" t="s">
        <v>1152</v>
      </c>
      <c r="N187" s="1936" t="s">
        <v>972</v>
      </c>
      <c r="O187" s="2046">
        <v>1.0200000000000001E-2</v>
      </c>
      <c r="P187" s="2047"/>
      <c r="Q187" s="1948" t="s">
        <v>1153</v>
      </c>
      <c r="R187" s="2838"/>
      <c r="S187" s="2838"/>
      <c r="T187" s="2575"/>
      <c r="U187" s="2576"/>
      <c r="V187" s="2576"/>
      <c r="W187" s="2576"/>
      <c r="X187" s="2576">
        <v>0</v>
      </c>
      <c r="Y187" s="2576">
        <v>0</v>
      </c>
      <c r="Z187" s="2064">
        <v>0</v>
      </c>
      <c r="AA187" s="2064">
        <v>0</v>
      </c>
      <c r="AB187" s="2064">
        <v>0</v>
      </c>
      <c r="AC187" s="2064">
        <v>0</v>
      </c>
      <c r="AD187" s="2064">
        <v>0</v>
      </c>
      <c r="AE187" s="2064">
        <v>0</v>
      </c>
      <c r="AF187" s="2064">
        <v>0</v>
      </c>
    </row>
    <row r="188" spans="2:32" ht="38.25" outlineLevel="1">
      <c r="B188" s="2011" t="s">
        <v>1194</v>
      </c>
      <c r="C188" s="2584">
        <v>41</v>
      </c>
      <c r="D188" s="1934">
        <v>41361</v>
      </c>
      <c r="E188" s="1934">
        <v>43188</v>
      </c>
      <c r="F188" s="2571" t="s">
        <v>1135</v>
      </c>
      <c r="G188" s="1937" t="s">
        <v>975</v>
      </c>
      <c r="H188" s="1937" t="s">
        <v>975</v>
      </c>
      <c r="I188" s="2043">
        <v>8.75</v>
      </c>
      <c r="J188" s="2044" t="s">
        <v>1136</v>
      </c>
      <c r="K188" s="2045" t="s">
        <v>999</v>
      </c>
      <c r="L188" s="2041">
        <v>0</v>
      </c>
      <c r="M188" s="1938" t="s">
        <v>1152</v>
      </c>
      <c r="N188" s="1936" t="s">
        <v>972</v>
      </c>
      <c r="O188" s="2046">
        <v>1.0200000000000001E-2</v>
      </c>
      <c r="P188" s="2047"/>
      <c r="Q188" s="1948" t="s">
        <v>1153</v>
      </c>
      <c r="R188" s="2838"/>
      <c r="S188" s="2838"/>
      <c r="T188" s="2575"/>
      <c r="U188" s="2576"/>
      <c r="V188" s="2576"/>
      <c r="W188" s="2576"/>
      <c r="X188" s="2576">
        <v>0</v>
      </c>
      <c r="Y188" s="2576">
        <v>0</v>
      </c>
      <c r="Z188" s="2064">
        <v>0</v>
      </c>
      <c r="AA188" s="2064">
        <v>0</v>
      </c>
      <c r="AB188" s="2064">
        <v>0</v>
      </c>
      <c r="AC188" s="2064">
        <v>0</v>
      </c>
      <c r="AD188" s="2064">
        <v>0</v>
      </c>
      <c r="AE188" s="2064">
        <v>0</v>
      </c>
      <c r="AF188" s="2064">
        <v>0</v>
      </c>
    </row>
    <row r="189" spans="2:32" ht="38.25" outlineLevel="1">
      <c r="B189" s="2011" t="s">
        <v>1195</v>
      </c>
      <c r="C189" s="2584">
        <v>42</v>
      </c>
      <c r="D189" s="1934">
        <v>41361</v>
      </c>
      <c r="E189" s="1934">
        <v>43371</v>
      </c>
      <c r="F189" s="2571" t="s">
        <v>1135</v>
      </c>
      <c r="G189" s="1937" t="s">
        <v>975</v>
      </c>
      <c r="H189" s="1937" t="s">
        <v>975</v>
      </c>
      <c r="I189" s="2043">
        <v>8.75</v>
      </c>
      <c r="J189" s="2044" t="s">
        <v>1136</v>
      </c>
      <c r="K189" s="2045" t="s">
        <v>999</v>
      </c>
      <c r="L189" s="2041">
        <v>0</v>
      </c>
      <c r="M189" s="1938" t="s">
        <v>1152</v>
      </c>
      <c r="N189" s="1936" t="s">
        <v>972</v>
      </c>
      <c r="O189" s="2046">
        <v>1.0200000000000001E-2</v>
      </c>
      <c r="P189" s="2047"/>
      <c r="Q189" s="1948" t="s">
        <v>1153</v>
      </c>
      <c r="R189" s="2838"/>
      <c r="S189" s="2838"/>
      <c r="T189" s="2575"/>
      <c r="U189" s="2576"/>
      <c r="V189" s="2576"/>
      <c r="W189" s="2576"/>
      <c r="X189" s="2576">
        <v>8.1849399999999999E-3</v>
      </c>
      <c r="Y189" s="2576">
        <v>0</v>
      </c>
      <c r="Z189" s="2064">
        <v>0</v>
      </c>
      <c r="AA189" s="2064">
        <v>0</v>
      </c>
      <c r="AB189" s="2064">
        <v>0</v>
      </c>
      <c r="AC189" s="2064">
        <v>0</v>
      </c>
      <c r="AD189" s="2064">
        <v>0</v>
      </c>
      <c r="AE189" s="2064">
        <v>0</v>
      </c>
      <c r="AF189" s="2064">
        <v>0</v>
      </c>
    </row>
    <row r="190" spans="2:32" ht="38.25" outlineLevel="1">
      <c r="B190" s="2011" t="s">
        <v>1196</v>
      </c>
      <c r="C190" s="2584">
        <v>43</v>
      </c>
      <c r="D190" s="1934">
        <v>41361</v>
      </c>
      <c r="E190" s="1934">
        <v>43553</v>
      </c>
      <c r="F190" s="2571" t="s">
        <v>1135</v>
      </c>
      <c r="G190" s="1937" t="s">
        <v>975</v>
      </c>
      <c r="H190" s="1937" t="s">
        <v>975</v>
      </c>
      <c r="I190" s="2043">
        <v>8.75</v>
      </c>
      <c r="J190" s="2044" t="s">
        <v>1136</v>
      </c>
      <c r="K190" s="2045" t="s">
        <v>999</v>
      </c>
      <c r="L190" s="2041">
        <v>0</v>
      </c>
      <c r="M190" s="1938" t="s">
        <v>1152</v>
      </c>
      <c r="N190" s="1936" t="s">
        <v>972</v>
      </c>
      <c r="O190" s="2046">
        <v>1.0200000000000001E-2</v>
      </c>
      <c r="P190" s="2047"/>
      <c r="Q190" s="1948" t="s">
        <v>1153</v>
      </c>
      <c r="R190" s="2838"/>
      <c r="S190" s="2838"/>
      <c r="T190" s="2575"/>
      <c r="U190" s="2576"/>
      <c r="V190" s="2576"/>
      <c r="W190" s="2576"/>
      <c r="X190" s="2576">
        <v>6.4063500000000008E-3</v>
      </c>
      <c r="Y190" s="2576">
        <v>0</v>
      </c>
      <c r="Z190" s="2064">
        <v>0</v>
      </c>
      <c r="AA190" s="2064">
        <v>0</v>
      </c>
      <c r="AB190" s="2064">
        <v>0</v>
      </c>
      <c r="AC190" s="2064">
        <v>0</v>
      </c>
      <c r="AD190" s="2064">
        <v>0</v>
      </c>
      <c r="AE190" s="2064">
        <v>0</v>
      </c>
      <c r="AF190" s="2064">
        <v>0</v>
      </c>
    </row>
    <row r="191" spans="2:32" ht="38.25" outlineLevel="1">
      <c r="B191" s="2011" t="s">
        <v>1197</v>
      </c>
      <c r="C191" s="2584">
        <v>44</v>
      </c>
      <c r="D191" s="1934">
        <v>41361</v>
      </c>
      <c r="E191" s="1934">
        <v>43738</v>
      </c>
      <c r="F191" s="2571" t="s">
        <v>1135</v>
      </c>
      <c r="G191" s="1937" t="s">
        <v>975</v>
      </c>
      <c r="H191" s="1937" t="s">
        <v>975</v>
      </c>
      <c r="I191" s="2043">
        <v>6.25</v>
      </c>
      <c r="J191" s="2044" t="s">
        <v>1136</v>
      </c>
      <c r="K191" s="2045" t="s">
        <v>999</v>
      </c>
      <c r="L191" s="2041">
        <v>0</v>
      </c>
      <c r="M191" s="1938" t="s">
        <v>1152</v>
      </c>
      <c r="N191" s="1936" t="s">
        <v>972</v>
      </c>
      <c r="O191" s="2046">
        <v>1.0200000000000001E-2</v>
      </c>
      <c r="P191" s="2047"/>
      <c r="Q191" s="1948" t="s">
        <v>1153</v>
      </c>
      <c r="R191" s="2838"/>
      <c r="S191" s="2838"/>
      <c r="T191" s="2575"/>
      <c r="U191" s="2576"/>
      <c r="V191" s="2576"/>
      <c r="W191" s="2576"/>
      <c r="X191" s="2576">
        <v>-1.6420300000000001E-3</v>
      </c>
      <c r="Y191" s="2576">
        <v>2.05485E-3</v>
      </c>
      <c r="Z191" s="2064">
        <v>0</v>
      </c>
      <c r="AA191" s="2064">
        <v>0</v>
      </c>
      <c r="AB191" s="2064">
        <v>0</v>
      </c>
      <c r="AC191" s="2064">
        <v>0</v>
      </c>
      <c r="AD191" s="2064">
        <v>0</v>
      </c>
      <c r="AE191" s="2064">
        <v>0</v>
      </c>
      <c r="AF191" s="2064">
        <v>0</v>
      </c>
    </row>
    <row r="192" spans="2:32" ht="38.25" outlineLevel="1">
      <c r="B192" s="2011" t="s">
        <v>1198</v>
      </c>
      <c r="C192" s="2584">
        <v>48</v>
      </c>
      <c r="D192" s="1934">
        <v>41361</v>
      </c>
      <c r="E192" s="1934">
        <v>43007</v>
      </c>
      <c r="F192" s="2571" t="s">
        <v>1135</v>
      </c>
      <c r="G192" s="1937" t="s">
        <v>975</v>
      </c>
      <c r="H192" s="1937" t="s">
        <v>975</v>
      </c>
      <c r="I192" s="2043">
        <v>8.75</v>
      </c>
      <c r="J192" s="2044" t="s">
        <v>1136</v>
      </c>
      <c r="K192" s="2045" t="s">
        <v>999</v>
      </c>
      <c r="L192" s="2041">
        <v>0</v>
      </c>
      <c r="M192" s="1938" t="s">
        <v>1152</v>
      </c>
      <c r="N192" s="1936" t="s">
        <v>972</v>
      </c>
      <c r="O192" s="2046">
        <v>1.03E-2</v>
      </c>
      <c r="P192" s="2047"/>
      <c r="Q192" s="1948" t="s">
        <v>1199</v>
      </c>
      <c r="R192" s="2838"/>
      <c r="S192" s="2838"/>
      <c r="T192" s="2575"/>
      <c r="U192" s="2576"/>
      <c r="V192" s="2576"/>
      <c r="W192" s="2576"/>
      <c r="X192" s="2576">
        <v>0</v>
      </c>
      <c r="Y192" s="2576">
        <v>0</v>
      </c>
      <c r="Z192" s="2064">
        <v>0</v>
      </c>
      <c r="AA192" s="2064">
        <v>0</v>
      </c>
      <c r="AB192" s="2064">
        <v>0</v>
      </c>
      <c r="AC192" s="2064">
        <v>0</v>
      </c>
      <c r="AD192" s="2064">
        <v>0</v>
      </c>
      <c r="AE192" s="2064">
        <v>0</v>
      </c>
      <c r="AF192" s="2064">
        <v>0</v>
      </c>
    </row>
    <row r="193" spans="2:32" ht="38.25" outlineLevel="1">
      <c r="B193" s="2011" t="s">
        <v>1200</v>
      </c>
      <c r="C193" s="2584">
        <v>49</v>
      </c>
      <c r="D193" s="1934">
        <v>41361</v>
      </c>
      <c r="E193" s="1934">
        <v>43188</v>
      </c>
      <c r="F193" s="2571" t="s">
        <v>1135</v>
      </c>
      <c r="G193" s="1937" t="s">
        <v>975</v>
      </c>
      <c r="H193" s="1937" t="s">
        <v>975</v>
      </c>
      <c r="I193" s="2043">
        <v>8.75</v>
      </c>
      <c r="J193" s="2044" t="s">
        <v>1136</v>
      </c>
      <c r="K193" s="2045" t="s">
        <v>999</v>
      </c>
      <c r="L193" s="2041">
        <v>0</v>
      </c>
      <c r="M193" s="1938" t="s">
        <v>1152</v>
      </c>
      <c r="N193" s="1936" t="s">
        <v>972</v>
      </c>
      <c r="O193" s="2046">
        <v>1.03E-2</v>
      </c>
      <c r="P193" s="2047"/>
      <c r="Q193" s="1948" t="s">
        <v>1199</v>
      </c>
      <c r="R193" s="2838"/>
      <c r="S193" s="2838"/>
      <c r="T193" s="2575"/>
      <c r="U193" s="2576"/>
      <c r="V193" s="2576"/>
      <c r="W193" s="2576"/>
      <c r="X193" s="2576">
        <v>0</v>
      </c>
      <c r="Y193" s="2576">
        <v>0</v>
      </c>
      <c r="Z193" s="2064">
        <v>0</v>
      </c>
      <c r="AA193" s="2064">
        <v>0</v>
      </c>
      <c r="AB193" s="2064">
        <v>0</v>
      </c>
      <c r="AC193" s="2064">
        <v>0</v>
      </c>
      <c r="AD193" s="2064">
        <v>0</v>
      </c>
      <c r="AE193" s="2064">
        <v>0</v>
      </c>
      <c r="AF193" s="2064">
        <v>0</v>
      </c>
    </row>
    <row r="194" spans="2:32" ht="38.25" outlineLevel="1">
      <c r="B194" s="2011" t="s">
        <v>1201</v>
      </c>
      <c r="C194" s="2584">
        <v>50</v>
      </c>
      <c r="D194" s="1934">
        <v>41361</v>
      </c>
      <c r="E194" s="1934">
        <v>43371</v>
      </c>
      <c r="F194" s="2571" t="s">
        <v>1135</v>
      </c>
      <c r="G194" s="1937" t="s">
        <v>975</v>
      </c>
      <c r="H194" s="1937" t="s">
        <v>975</v>
      </c>
      <c r="I194" s="2043">
        <v>8.75</v>
      </c>
      <c r="J194" s="2044" t="s">
        <v>1136</v>
      </c>
      <c r="K194" s="2045" t="s">
        <v>999</v>
      </c>
      <c r="L194" s="2041">
        <v>0</v>
      </c>
      <c r="M194" s="1938" t="s">
        <v>1152</v>
      </c>
      <c r="N194" s="1936" t="s">
        <v>972</v>
      </c>
      <c r="O194" s="2046">
        <v>1.03E-2</v>
      </c>
      <c r="P194" s="2047"/>
      <c r="Q194" s="1948" t="s">
        <v>1199</v>
      </c>
      <c r="R194" s="2838"/>
      <c r="S194" s="2838"/>
      <c r="T194" s="2575"/>
      <c r="U194" s="2576"/>
      <c r="V194" s="2576"/>
      <c r="W194" s="2576"/>
      <c r="X194" s="2576">
        <v>8.6224800000000001E-3</v>
      </c>
      <c r="Y194" s="2576">
        <v>0</v>
      </c>
      <c r="Z194" s="2064">
        <v>0</v>
      </c>
      <c r="AA194" s="2064">
        <v>0</v>
      </c>
      <c r="AB194" s="2064">
        <v>0</v>
      </c>
      <c r="AC194" s="2064">
        <v>0</v>
      </c>
      <c r="AD194" s="2064">
        <v>0</v>
      </c>
      <c r="AE194" s="2064">
        <v>0</v>
      </c>
      <c r="AF194" s="2064">
        <v>0</v>
      </c>
    </row>
    <row r="195" spans="2:32" ht="38.25" outlineLevel="1">
      <c r="B195" s="2011" t="s">
        <v>1202</v>
      </c>
      <c r="C195" s="2584">
        <v>51</v>
      </c>
      <c r="D195" s="1934">
        <v>41361</v>
      </c>
      <c r="E195" s="1934">
        <v>43553</v>
      </c>
      <c r="F195" s="2571" t="s">
        <v>1135</v>
      </c>
      <c r="G195" s="1937" t="s">
        <v>975</v>
      </c>
      <c r="H195" s="1937" t="s">
        <v>975</v>
      </c>
      <c r="I195" s="2043">
        <v>8.75</v>
      </c>
      <c r="J195" s="2044" t="s">
        <v>1136</v>
      </c>
      <c r="K195" s="2045" t="s">
        <v>999</v>
      </c>
      <c r="L195" s="2041">
        <v>0</v>
      </c>
      <c r="M195" s="1938" t="s">
        <v>1152</v>
      </c>
      <c r="N195" s="1936" t="s">
        <v>972</v>
      </c>
      <c r="O195" s="2046">
        <v>1.03E-2</v>
      </c>
      <c r="P195" s="2047"/>
      <c r="Q195" s="1948" t="s">
        <v>1199</v>
      </c>
      <c r="R195" s="2838"/>
      <c r="S195" s="2838"/>
      <c r="T195" s="2575"/>
      <c r="U195" s="2576"/>
      <c r="V195" s="2576"/>
      <c r="W195" s="2576"/>
      <c r="X195" s="2576">
        <v>7.2722500000000001E-3</v>
      </c>
      <c r="Y195" s="2576">
        <v>0</v>
      </c>
      <c r="Z195" s="2064">
        <v>0</v>
      </c>
      <c r="AA195" s="2064">
        <v>0</v>
      </c>
      <c r="AB195" s="2064">
        <v>0</v>
      </c>
      <c r="AC195" s="2064">
        <v>0</v>
      </c>
      <c r="AD195" s="2064">
        <v>0</v>
      </c>
      <c r="AE195" s="2064">
        <v>0</v>
      </c>
      <c r="AF195" s="2064">
        <v>0</v>
      </c>
    </row>
    <row r="196" spans="2:32" ht="38.25" outlineLevel="1">
      <c r="B196" s="2011" t="s">
        <v>1203</v>
      </c>
      <c r="C196" s="2584">
        <v>52</v>
      </c>
      <c r="D196" s="1934">
        <v>41361</v>
      </c>
      <c r="E196" s="1934">
        <v>43738</v>
      </c>
      <c r="F196" s="2571" t="s">
        <v>1135</v>
      </c>
      <c r="G196" s="1937" t="s">
        <v>975</v>
      </c>
      <c r="H196" s="1937" t="s">
        <v>975</v>
      </c>
      <c r="I196" s="2043">
        <v>6.25</v>
      </c>
      <c r="J196" s="2044" t="s">
        <v>1136</v>
      </c>
      <c r="K196" s="2045" t="s">
        <v>999</v>
      </c>
      <c r="L196" s="2041">
        <v>0</v>
      </c>
      <c r="M196" s="1938" t="s">
        <v>1152</v>
      </c>
      <c r="N196" s="1936" t="s">
        <v>972</v>
      </c>
      <c r="O196" s="2046">
        <v>1.03E-2</v>
      </c>
      <c r="P196" s="2047"/>
      <c r="Q196" s="1948" t="s">
        <v>1199</v>
      </c>
      <c r="R196" s="2838"/>
      <c r="S196" s="2838"/>
      <c r="T196" s="2575"/>
      <c r="U196" s="2576"/>
      <c r="V196" s="2576"/>
      <c r="W196" s="2576"/>
      <c r="X196" s="2576">
        <v>-7.3001999999999995E-4</v>
      </c>
      <c r="Y196" s="2576">
        <v>2.3716399999999999E-3</v>
      </c>
      <c r="Z196" s="2064">
        <v>0</v>
      </c>
      <c r="AA196" s="2064">
        <v>0</v>
      </c>
      <c r="AB196" s="2064">
        <v>0</v>
      </c>
      <c r="AC196" s="2064">
        <v>0</v>
      </c>
      <c r="AD196" s="2064">
        <v>0</v>
      </c>
      <c r="AE196" s="2064">
        <v>0</v>
      </c>
      <c r="AF196" s="2064">
        <v>0</v>
      </c>
    </row>
    <row r="197" spans="2:32" ht="38.25" outlineLevel="1">
      <c r="B197" s="2011" t="s">
        <v>1204</v>
      </c>
      <c r="C197" s="2584">
        <v>56</v>
      </c>
      <c r="D197" s="1934">
        <v>41361</v>
      </c>
      <c r="E197" s="1934">
        <v>43007</v>
      </c>
      <c r="F197" s="2571" t="s">
        <v>1135</v>
      </c>
      <c r="G197" s="1937" t="s">
        <v>975</v>
      </c>
      <c r="H197" s="1937" t="s">
        <v>975</v>
      </c>
      <c r="I197" s="2043">
        <v>8.75</v>
      </c>
      <c r="J197" s="2044" t="s">
        <v>1136</v>
      </c>
      <c r="K197" s="2045" t="s">
        <v>999</v>
      </c>
      <c r="L197" s="2041">
        <v>0</v>
      </c>
      <c r="M197" s="1938" t="s">
        <v>1152</v>
      </c>
      <c r="N197" s="1936" t="s">
        <v>972</v>
      </c>
      <c r="O197" s="2046">
        <v>1.0200000000000001E-2</v>
      </c>
      <c r="P197" s="2047"/>
      <c r="Q197" s="1948" t="s">
        <v>1167</v>
      </c>
      <c r="R197" s="2838"/>
      <c r="S197" s="2838"/>
      <c r="T197" s="2575"/>
      <c r="U197" s="2576"/>
      <c r="V197" s="2576"/>
      <c r="W197" s="2576"/>
      <c r="X197" s="2576">
        <v>0</v>
      </c>
      <c r="Y197" s="2576">
        <v>0</v>
      </c>
      <c r="Z197" s="2064">
        <v>0</v>
      </c>
      <c r="AA197" s="2064">
        <v>0</v>
      </c>
      <c r="AB197" s="2064">
        <v>0</v>
      </c>
      <c r="AC197" s="2064">
        <v>0</v>
      </c>
      <c r="AD197" s="2064">
        <v>0</v>
      </c>
      <c r="AE197" s="2064">
        <v>0</v>
      </c>
      <c r="AF197" s="2064">
        <v>0</v>
      </c>
    </row>
    <row r="198" spans="2:32" ht="38.25" outlineLevel="1">
      <c r="B198" s="2011" t="s">
        <v>1205</v>
      </c>
      <c r="C198" s="2584">
        <v>57</v>
      </c>
      <c r="D198" s="1934">
        <v>41361</v>
      </c>
      <c r="E198" s="1934">
        <v>43188</v>
      </c>
      <c r="F198" s="2571" t="s">
        <v>1135</v>
      </c>
      <c r="G198" s="1937" t="s">
        <v>975</v>
      </c>
      <c r="H198" s="1937" t="s">
        <v>975</v>
      </c>
      <c r="I198" s="2043">
        <v>8.75</v>
      </c>
      <c r="J198" s="2044" t="s">
        <v>1136</v>
      </c>
      <c r="K198" s="2045" t="s">
        <v>999</v>
      </c>
      <c r="L198" s="2041">
        <v>0</v>
      </c>
      <c r="M198" s="1938" t="s">
        <v>1152</v>
      </c>
      <c r="N198" s="1936" t="s">
        <v>972</v>
      </c>
      <c r="O198" s="2046">
        <v>1.0200000000000001E-2</v>
      </c>
      <c r="P198" s="2047"/>
      <c r="Q198" s="1948" t="s">
        <v>1167</v>
      </c>
      <c r="R198" s="2838"/>
      <c r="S198" s="2838"/>
      <c r="T198" s="2575"/>
      <c r="U198" s="2576"/>
      <c r="V198" s="2576"/>
      <c r="W198" s="2576"/>
      <c r="X198" s="2576">
        <v>0</v>
      </c>
      <c r="Y198" s="2576">
        <v>0</v>
      </c>
      <c r="Z198" s="2064">
        <v>0</v>
      </c>
      <c r="AA198" s="2064">
        <v>0</v>
      </c>
      <c r="AB198" s="2064">
        <v>0</v>
      </c>
      <c r="AC198" s="2064">
        <v>0</v>
      </c>
      <c r="AD198" s="2064">
        <v>0</v>
      </c>
      <c r="AE198" s="2064">
        <v>0</v>
      </c>
      <c r="AF198" s="2064">
        <v>0</v>
      </c>
    </row>
    <row r="199" spans="2:32" ht="38.25" outlineLevel="1">
      <c r="B199" s="2011" t="s">
        <v>1206</v>
      </c>
      <c r="C199" s="2584">
        <v>58</v>
      </c>
      <c r="D199" s="1934">
        <v>41361</v>
      </c>
      <c r="E199" s="1934">
        <v>43371</v>
      </c>
      <c r="F199" s="2571" t="s">
        <v>1135</v>
      </c>
      <c r="G199" s="1937" t="s">
        <v>975</v>
      </c>
      <c r="H199" s="1937" t="s">
        <v>975</v>
      </c>
      <c r="I199" s="2043">
        <v>8.75</v>
      </c>
      <c r="J199" s="2044" t="s">
        <v>1136</v>
      </c>
      <c r="K199" s="2045" t="s">
        <v>999</v>
      </c>
      <c r="L199" s="2041">
        <v>0</v>
      </c>
      <c r="M199" s="1938" t="s">
        <v>1152</v>
      </c>
      <c r="N199" s="1936" t="s">
        <v>972</v>
      </c>
      <c r="O199" s="2046">
        <v>1.0200000000000001E-2</v>
      </c>
      <c r="P199" s="2047"/>
      <c r="Q199" s="1948" t="s">
        <v>1167</v>
      </c>
      <c r="R199" s="2838"/>
      <c r="S199" s="2838"/>
      <c r="T199" s="2575"/>
      <c r="U199" s="2576"/>
      <c r="V199" s="2576"/>
      <c r="W199" s="2576"/>
      <c r="X199" s="2576">
        <v>8.1926499999999992E-3</v>
      </c>
      <c r="Y199" s="2576">
        <v>0</v>
      </c>
      <c r="Z199" s="2064">
        <v>0</v>
      </c>
      <c r="AA199" s="2064">
        <v>0</v>
      </c>
      <c r="AB199" s="2064">
        <v>0</v>
      </c>
      <c r="AC199" s="2064">
        <v>0</v>
      </c>
      <c r="AD199" s="2064">
        <v>0</v>
      </c>
      <c r="AE199" s="2064">
        <v>0</v>
      </c>
      <c r="AF199" s="2064">
        <v>0</v>
      </c>
    </row>
    <row r="200" spans="2:32" ht="38.25" outlineLevel="1">
      <c r="B200" s="2011" t="s">
        <v>1207</v>
      </c>
      <c r="C200" s="2584">
        <v>59</v>
      </c>
      <c r="D200" s="1934">
        <v>41361</v>
      </c>
      <c r="E200" s="1934">
        <v>43553</v>
      </c>
      <c r="F200" s="2571" t="s">
        <v>1135</v>
      </c>
      <c r="G200" s="1937" t="s">
        <v>975</v>
      </c>
      <c r="H200" s="1937" t="s">
        <v>975</v>
      </c>
      <c r="I200" s="2043">
        <v>8.75</v>
      </c>
      <c r="J200" s="2044" t="s">
        <v>1136</v>
      </c>
      <c r="K200" s="2045" t="s">
        <v>999</v>
      </c>
      <c r="L200" s="2041">
        <v>0</v>
      </c>
      <c r="M200" s="1938" t="s">
        <v>1152</v>
      </c>
      <c r="N200" s="1936" t="s">
        <v>972</v>
      </c>
      <c r="O200" s="2046">
        <v>1.0200000000000001E-2</v>
      </c>
      <c r="P200" s="2047"/>
      <c r="Q200" s="1948" t="s">
        <v>1167</v>
      </c>
      <c r="R200" s="2838"/>
      <c r="S200" s="2838"/>
      <c r="T200" s="2575"/>
      <c r="U200" s="2576"/>
      <c r="V200" s="2576"/>
      <c r="W200" s="2576"/>
      <c r="X200" s="2576">
        <v>6.4107499999999998E-3</v>
      </c>
      <c r="Y200" s="2576">
        <v>0</v>
      </c>
      <c r="Z200" s="2064">
        <v>0</v>
      </c>
      <c r="AA200" s="2064">
        <v>0</v>
      </c>
      <c r="AB200" s="2064">
        <v>0</v>
      </c>
      <c r="AC200" s="2064">
        <v>0</v>
      </c>
      <c r="AD200" s="2064">
        <v>0</v>
      </c>
      <c r="AE200" s="2064">
        <v>0</v>
      </c>
      <c r="AF200" s="2064">
        <v>0</v>
      </c>
    </row>
    <row r="201" spans="2:32" ht="38.25" outlineLevel="1">
      <c r="B201" s="2011" t="s">
        <v>1208</v>
      </c>
      <c r="C201" s="2584">
        <v>60</v>
      </c>
      <c r="D201" s="1934">
        <v>41361</v>
      </c>
      <c r="E201" s="1934">
        <v>43738</v>
      </c>
      <c r="F201" s="2571" t="s">
        <v>1135</v>
      </c>
      <c r="G201" s="1937" t="s">
        <v>975</v>
      </c>
      <c r="H201" s="1937" t="s">
        <v>975</v>
      </c>
      <c r="I201" s="2043">
        <v>6.25</v>
      </c>
      <c r="J201" s="2044" t="s">
        <v>1136</v>
      </c>
      <c r="K201" s="2045" t="s">
        <v>999</v>
      </c>
      <c r="L201" s="2041">
        <v>0</v>
      </c>
      <c r="M201" s="1938" t="s">
        <v>1152</v>
      </c>
      <c r="N201" s="1936" t="s">
        <v>972</v>
      </c>
      <c r="O201" s="2046">
        <v>1.0200000000000001E-2</v>
      </c>
      <c r="P201" s="2047"/>
      <c r="Q201" s="1948" t="s">
        <v>1167</v>
      </c>
      <c r="R201" s="2838"/>
      <c r="S201" s="2838"/>
      <c r="T201" s="2575"/>
      <c r="U201" s="2576"/>
      <c r="V201" s="2576"/>
      <c r="W201" s="2576"/>
      <c r="X201" s="2576">
        <v>-1.6561900000000001E-3</v>
      </c>
      <c r="Y201" s="2576">
        <v>2.0566399999999998E-3</v>
      </c>
      <c r="Z201" s="2064">
        <v>0</v>
      </c>
      <c r="AA201" s="2064">
        <v>0</v>
      </c>
      <c r="AB201" s="2064">
        <v>0</v>
      </c>
      <c r="AC201" s="2064">
        <v>0</v>
      </c>
      <c r="AD201" s="2064">
        <v>0</v>
      </c>
      <c r="AE201" s="2064">
        <v>0</v>
      </c>
      <c r="AF201" s="2064">
        <v>0</v>
      </c>
    </row>
    <row r="202" spans="2:32" ht="38.25" outlineLevel="1">
      <c r="B202" s="2011" t="s">
        <v>1209</v>
      </c>
      <c r="C202" s="2584">
        <v>64</v>
      </c>
      <c r="D202" s="1934">
        <v>41361</v>
      </c>
      <c r="E202" s="1934">
        <v>43007</v>
      </c>
      <c r="F202" s="2571" t="s">
        <v>1135</v>
      </c>
      <c r="G202" s="1937" t="s">
        <v>975</v>
      </c>
      <c r="H202" s="1937" t="s">
        <v>975</v>
      </c>
      <c r="I202" s="2043">
        <v>8.75</v>
      </c>
      <c r="J202" s="2044" t="s">
        <v>1136</v>
      </c>
      <c r="K202" s="2045" t="s">
        <v>999</v>
      </c>
      <c r="L202" s="2041">
        <v>0</v>
      </c>
      <c r="M202" s="1938" t="s">
        <v>1152</v>
      </c>
      <c r="N202" s="1936" t="s">
        <v>972</v>
      </c>
      <c r="O202" s="2046">
        <v>1.0320000000000001E-2</v>
      </c>
      <c r="P202" s="2047"/>
      <c r="Q202" s="1948" t="s">
        <v>1167</v>
      </c>
      <c r="R202" s="2838"/>
      <c r="S202" s="2838"/>
      <c r="T202" s="2575"/>
      <c r="U202" s="2576"/>
      <c r="V202" s="2576"/>
      <c r="W202" s="2576"/>
      <c r="X202" s="2576">
        <v>0</v>
      </c>
      <c r="Y202" s="2576">
        <v>0</v>
      </c>
      <c r="Z202" s="2064">
        <v>0</v>
      </c>
      <c r="AA202" s="2064">
        <v>0</v>
      </c>
      <c r="AB202" s="2064">
        <v>0</v>
      </c>
      <c r="AC202" s="2064">
        <v>0</v>
      </c>
      <c r="AD202" s="2064">
        <v>0</v>
      </c>
      <c r="AE202" s="2064">
        <v>0</v>
      </c>
      <c r="AF202" s="2064">
        <v>0</v>
      </c>
    </row>
    <row r="203" spans="2:32" ht="38.25" outlineLevel="1">
      <c r="B203" s="2011" t="s">
        <v>1210</v>
      </c>
      <c r="C203" s="2584">
        <v>65</v>
      </c>
      <c r="D203" s="1934">
        <v>41361</v>
      </c>
      <c r="E203" s="1934">
        <v>43188</v>
      </c>
      <c r="F203" s="2571" t="s">
        <v>1135</v>
      </c>
      <c r="G203" s="1937" t="s">
        <v>975</v>
      </c>
      <c r="H203" s="1937" t="s">
        <v>975</v>
      </c>
      <c r="I203" s="2043">
        <v>8.75</v>
      </c>
      <c r="J203" s="2044" t="s">
        <v>1136</v>
      </c>
      <c r="K203" s="2045" t="s">
        <v>999</v>
      </c>
      <c r="L203" s="2041">
        <v>0</v>
      </c>
      <c r="M203" s="1938" t="s">
        <v>1152</v>
      </c>
      <c r="N203" s="1936" t="s">
        <v>972</v>
      </c>
      <c r="O203" s="2046">
        <v>1.0320000000000001E-2</v>
      </c>
      <c r="P203" s="2047"/>
      <c r="Q203" s="1948" t="s">
        <v>1167</v>
      </c>
      <c r="R203" s="2838"/>
      <c r="S203" s="2838"/>
      <c r="T203" s="2575"/>
      <c r="U203" s="2576"/>
      <c r="V203" s="2576"/>
      <c r="W203" s="2576"/>
      <c r="X203" s="2576">
        <v>0</v>
      </c>
      <c r="Y203" s="2576">
        <v>0</v>
      </c>
      <c r="Z203" s="2064">
        <v>0</v>
      </c>
      <c r="AA203" s="2064">
        <v>0</v>
      </c>
      <c r="AB203" s="2064">
        <v>0</v>
      </c>
      <c r="AC203" s="2064">
        <v>0</v>
      </c>
      <c r="AD203" s="2064">
        <v>0</v>
      </c>
      <c r="AE203" s="2064">
        <v>0</v>
      </c>
      <c r="AF203" s="2064">
        <v>0</v>
      </c>
    </row>
    <row r="204" spans="2:32" ht="38.25" outlineLevel="1">
      <c r="B204" s="2011" t="s">
        <v>1211</v>
      </c>
      <c r="C204" s="2584">
        <v>66</v>
      </c>
      <c r="D204" s="1934">
        <v>41361</v>
      </c>
      <c r="E204" s="1934">
        <v>43371</v>
      </c>
      <c r="F204" s="2571" t="s">
        <v>1135</v>
      </c>
      <c r="G204" s="1937" t="s">
        <v>975</v>
      </c>
      <c r="H204" s="1937" t="s">
        <v>975</v>
      </c>
      <c r="I204" s="2043">
        <v>8.75</v>
      </c>
      <c r="J204" s="2044" t="s">
        <v>1136</v>
      </c>
      <c r="K204" s="2045" t="s">
        <v>999</v>
      </c>
      <c r="L204" s="2041">
        <v>0</v>
      </c>
      <c r="M204" s="1938" t="s">
        <v>1152</v>
      </c>
      <c r="N204" s="1936" t="s">
        <v>972</v>
      </c>
      <c r="O204" s="2046">
        <v>1.0320000000000001E-2</v>
      </c>
      <c r="P204" s="2047"/>
      <c r="Q204" s="1948" t="s">
        <v>1167</v>
      </c>
      <c r="R204" s="2838"/>
      <c r="S204" s="2838"/>
      <c r="T204" s="2575"/>
      <c r="U204" s="2576"/>
      <c r="V204" s="2576"/>
      <c r="W204" s="2576"/>
      <c r="X204" s="2576">
        <v>8.7080499999999984E-3</v>
      </c>
      <c r="Y204" s="2576">
        <v>0</v>
      </c>
      <c r="Z204" s="2064">
        <v>0</v>
      </c>
      <c r="AA204" s="2064">
        <v>0</v>
      </c>
      <c r="AB204" s="2064">
        <v>0</v>
      </c>
      <c r="AC204" s="2064">
        <v>0</v>
      </c>
      <c r="AD204" s="2064">
        <v>0</v>
      </c>
      <c r="AE204" s="2064">
        <v>0</v>
      </c>
      <c r="AF204" s="2064">
        <v>0</v>
      </c>
    </row>
    <row r="205" spans="2:32" ht="38.25" outlineLevel="1">
      <c r="B205" s="2011" t="s">
        <v>1212</v>
      </c>
      <c r="C205" s="2584">
        <v>67</v>
      </c>
      <c r="D205" s="1934">
        <v>41361</v>
      </c>
      <c r="E205" s="1934">
        <v>43553</v>
      </c>
      <c r="F205" s="2571" t="s">
        <v>1135</v>
      </c>
      <c r="G205" s="1937" t="s">
        <v>975</v>
      </c>
      <c r="H205" s="1937" t="s">
        <v>975</v>
      </c>
      <c r="I205" s="2043">
        <v>8.75</v>
      </c>
      <c r="J205" s="2044" t="s">
        <v>1136</v>
      </c>
      <c r="K205" s="2045" t="s">
        <v>999</v>
      </c>
      <c r="L205" s="2041">
        <v>0</v>
      </c>
      <c r="M205" s="1938" t="s">
        <v>1152</v>
      </c>
      <c r="N205" s="1936" t="s">
        <v>972</v>
      </c>
      <c r="O205" s="2046">
        <v>1.0320000000000001E-2</v>
      </c>
      <c r="P205" s="2047"/>
      <c r="Q205" s="1948" t="s">
        <v>1167</v>
      </c>
      <c r="R205" s="2838"/>
      <c r="S205" s="2838"/>
      <c r="T205" s="2575"/>
      <c r="U205" s="2576"/>
      <c r="V205" s="2576"/>
      <c r="W205" s="2576"/>
      <c r="X205" s="2576">
        <v>7.4442700000000002E-3</v>
      </c>
      <c r="Y205" s="2576">
        <v>0</v>
      </c>
      <c r="Z205" s="2064">
        <v>0</v>
      </c>
      <c r="AA205" s="2064">
        <v>0</v>
      </c>
      <c r="AB205" s="2064">
        <v>0</v>
      </c>
      <c r="AC205" s="2064">
        <v>0</v>
      </c>
      <c r="AD205" s="2064">
        <v>0</v>
      </c>
      <c r="AE205" s="2064">
        <v>0</v>
      </c>
      <c r="AF205" s="2064">
        <v>0</v>
      </c>
    </row>
    <row r="206" spans="2:32" ht="38.25" outlineLevel="1">
      <c r="B206" s="2011" t="s">
        <v>1213</v>
      </c>
      <c r="C206" s="2584">
        <v>68</v>
      </c>
      <c r="D206" s="1934">
        <v>41361</v>
      </c>
      <c r="E206" s="1934">
        <v>43738</v>
      </c>
      <c r="F206" s="2571" t="s">
        <v>1135</v>
      </c>
      <c r="G206" s="1937" t="s">
        <v>975</v>
      </c>
      <c r="H206" s="1937" t="s">
        <v>975</v>
      </c>
      <c r="I206" s="2043">
        <v>6.25</v>
      </c>
      <c r="J206" s="2044" t="s">
        <v>1136</v>
      </c>
      <c r="K206" s="2045" t="s">
        <v>999</v>
      </c>
      <c r="L206" s="2041">
        <v>0</v>
      </c>
      <c r="M206" s="1938" t="s">
        <v>1152</v>
      </c>
      <c r="N206" s="1936" t="s">
        <v>972</v>
      </c>
      <c r="O206" s="2046">
        <v>1.0320000000000001E-2</v>
      </c>
      <c r="P206" s="2047"/>
      <c r="Q206" s="1948" t="s">
        <v>1167</v>
      </c>
      <c r="R206" s="2838"/>
      <c r="S206" s="2838"/>
      <c r="T206" s="2575"/>
      <c r="U206" s="2576"/>
      <c r="V206" s="2576"/>
      <c r="W206" s="2576"/>
      <c r="X206" s="2576">
        <v>-5.4444000000000009E-4</v>
      </c>
      <c r="Y206" s="2576">
        <v>2.43487E-3</v>
      </c>
      <c r="Z206" s="2064">
        <v>0</v>
      </c>
      <c r="AA206" s="2064">
        <v>0</v>
      </c>
      <c r="AB206" s="2064">
        <v>0</v>
      </c>
      <c r="AC206" s="2064">
        <v>0</v>
      </c>
      <c r="AD206" s="2064">
        <v>0</v>
      </c>
      <c r="AE206" s="2064">
        <v>0</v>
      </c>
      <c r="AF206" s="2064">
        <v>0</v>
      </c>
    </row>
    <row r="207" spans="2:32" ht="38.25" outlineLevel="1">
      <c r="B207" s="2011" t="s">
        <v>1214</v>
      </c>
      <c r="C207" s="2584">
        <v>296</v>
      </c>
      <c r="D207" s="1934">
        <v>42460</v>
      </c>
      <c r="E207" s="1934">
        <v>46112</v>
      </c>
      <c r="F207" s="2571" t="s">
        <v>1135</v>
      </c>
      <c r="G207" s="1937" t="s">
        <v>975</v>
      </c>
      <c r="H207" s="1937" t="s">
        <v>975</v>
      </c>
      <c r="I207" s="2043">
        <v>15</v>
      </c>
      <c r="J207" s="2044" t="s">
        <v>1136</v>
      </c>
      <c r="K207" s="2045" t="s">
        <v>999</v>
      </c>
      <c r="L207" s="2041">
        <v>0</v>
      </c>
      <c r="M207" s="1938" t="s">
        <v>1152</v>
      </c>
      <c r="N207" s="1936" t="s">
        <v>972</v>
      </c>
      <c r="O207" s="2046">
        <v>1.4505000000000001E-2</v>
      </c>
      <c r="P207" s="2047"/>
      <c r="Q207" s="1948" t="s">
        <v>1167</v>
      </c>
      <c r="R207" s="2838"/>
      <c r="S207" s="2838"/>
      <c r="T207" s="2575"/>
      <c r="U207" s="2576"/>
      <c r="V207" s="2576"/>
      <c r="W207" s="2576"/>
      <c r="X207" s="2576">
        <v>1.287175E-2</v>
      </c>
      <c r="Y207" s="2576">
        <v>0.32757190000000003</v>
      </c>
      <c r="Z207" s="2064">
        <v>0</v>
      </c>
      <c r="AA207" s="2064">
        <v>0</v>
      </c>
      <c r="AB207" s="2064">
        <v>0</v>
      </c>
      <c r="AC207" s="2064">
        <v>0</v>
      </c>
      <c r="AD207" s="2064">
        <v>0</v>
      </c>
      <c r="AE207" s="2064">
        <v>0</v>
      </c>
      <c r="AF207" s="2064">
        <v>0</v>
      </c>
    </row>
    <row r="208" spans="2:32" ht="38.25" outlineLevel="1">
      <c r="B208" s="2011" t="s">
        <v>1215</v>
      </c>
      <c r="C208" s="2584">
        <v>298</v>
      </c>
      <c r="D208" s="1934">
        <v>42643</v>
      </c>
      <c r="E208" s="1934">
        <v>46295</v>
      </c>
      <c r="F208" s="2571" t="s">
        <v>1135</v>
      </c>
      <c r="G208" s="1937" t="s">
        <v>975</v>
      </c>
      <c r="H208" s="1937" t="s">
        <v>975</v>
      </c>
      <c r="I208" s="2043">
        <v>17.5</v>
      </c>
      <c r="J208" s="2044" t="s">
        <v>1136</v>
      </c>
      <c r="K208" s="2045" t="s">
        <v>999</v>
      </c>
      <c r="L208" s="2041">
        <v>0</v>
      </c>
      <c r="M208" s="1938" t="s">
        <v>1152</v>
      </c>
      <c r="N208" s="1936" t="s">
        <v>972</v>
      </c>
      <c r="O208" s="2046">
        <v>1.24E-2</v>
      </c>
      <c r="P208" s="2047"/>
      <c r="Q208" s="1948" t="s">
        <v>1153</v>
      </c>
      <c r="R208" s="2838"/>
      <c r="S208" s="2838"/>
      <c r="T208" s="2575"/>
      <c r="U208" s="2576"/>
      <c r="V208" s="2576"/>
      <c r="W208" s="2576"/>
      <c r="X208" s="2576">
        <v>-0.28858368000000001</v>
      </c>
      <c r="Y208" s="2576">
        <v>0.12906860000000001</v>
      </c>
      <c r="Z208" s="2064">
        <v>0</v>
      </c>
      <c r="AA208" s="2064">
        <v>0</v>
      </c>
      <c r="AB208" s="2064">
        <v>0</v>
      </c>
      <c r="AC208" s="2064">
        <v>0</v>
      </c>
      <c r="AD208" s="2064">
        <v>0</v>
      </c>
      <c r="AE208" s="2064">
        <v>0</v>
      </c>
      <c r="AF208" s="2064">
        <v>0</v>
      </c>
    </row>
    <row r="209" spans="2:32" ht="38.25" outlineLevel="1">
      <c r="B209" s="2011" t="s">
        <v>1216</v>
      </c>
      <c r="C209" s="2584">
        <v>299</v>
      </c>
      <c r="D209" s="1934">
        <v>42643</v>
      </c>
      <c r="E209" s="1934">
        <v>46295</v>
      </c>
      <c r="F209" s="2571" t="s">
        <v>1135</v>
      </c>
      <c r="G209" s="1937" t="s">
        <v>975</v>
      </c>
      <c r="H209" s="1937" t="s">
        <v>975</v>
      </c>
      <c r="I209" s="2043">
        <v>17.5</v>
      </c>
      <c r="J209" s="2044" t="s">
        <v>1136</v>
      </c>
      <c r="K209" s="2045" t="s">
        <v>999</v>
      </c>
      <c r="L209" s="2041">
        <v>0</v>
      </c>
      <c r="M209" s="1938" t="s">
        <v>1152</v>
      </c>
      <c r="N209" s="1936" t="s">
        <v>972</v>
      </c>
      <c r="O209" s="2046">
        <v>8.9849999999999999E-3</v>
      </c>
      <c r="P209" s="2047"/>
      <c r="Q209" s="1948" t="s">
        <v>1172</v>
      </c>
      <c r="R209" s="2838"/>
      <c r="S209" s="2838"/>
      <c r="T209" s="2575"/>
      <c r="U209" s="2576"/>
      <c r="V209" s="2576"/>
      <c r="W209" s="2576"/>
      <c r="X209" s="2576">
        <v>-0.75778650999999997</v>
      </c>
      <c r="Y209" s="2576">
        <v>-0.29195198</v>
      </c>
      <c r="Z209" s="2064">
        <v>0</v>
      </c>
      <c r="AA209" s="2064">
        <v>0</v>
      </c>
      <c r="AB209" s="2064">
        <v>0</v>
      </c>
      <c r="AC209" s="2064">
        <v>0</v>
      </c>
      <c r="AD209" s="2064">
        <v>0</v>
      </c>
      <c r="AE209" s="2064">
        <v>0</v>
      </c>
      <c r="AF209" s="2064">
        <v>0</v>
      </c>
    </row>
    <row r="210" spans="2:32" ht="38.25" outlineLevel="1">
      <c r="B210" s="2011" t="s">
        <v>1217</v>
      </c>
      <c r="C210" s="2584">
        <v>305</v>
      </c>
      <c r="D210" s="1934">
        <v>42825</v>
      </c>
      <c r="E210" s="1934">
        <v>46477</v>
      </c>
      <c r="F210" s="2571" t="s">
        <v>1135</v>
      </c>
      <c r="G210" s="1937" t="s">
        <v>975</v>
      </c>
      <c r="H210" s="1937" t="s">
        <v>975</v>
      </c>
      <c r="I210" s="2043">
        <v>17.5</v>
      </c>
      <c r="J210" s="2044" t="s">
        <v>1136</v>
      </c>
      <c r="K210" s="2045" t="s">
        <v>999</v>
      </c>
      <c r="L210" s="2041">
        <v>0</v>
      </c>
      <c r="M210" s="1938" t="s">
        <v>1152</v>
      </c>
      <c r="N210" s="1936" t="s">
        <v>972</v>
      </c>
      <c r="O210" s="2046">
        <v>1.417E-2</v>
      </c>
      <c r="P210" s="2047"/>
      <c r="Q210" s="1948" t="s">
        <v>1167</v>
      </c>
      <c r="R210" s="2838"/>
      <c r="S210" s="2838"/>
      <c r="T210" s="2575"/>
      <c r="U210" s="2576"/>
      <c r="V210" s="2576"/>
      <c r="W210" s="2576"/>
      <c r="X210" s="2576">
        <v>-6.8543610000000005E-2</v>
      </c>
      <c r="Y210" s="2576">
        <v>0.35174105999999999</v>
      </c>
      <c r="Z210" s="2064">
        <v>0</v>
      </c>
      <c r="AA210" s="2064">
        <v>0</v>
      </c>
      <c r="AB210" s="2064">
        <v>0</v>
      </c>
      <c r="AC210" s="2064">
        <v>0</v>
      </c>
      <c r="AD210" s="2064">
        <v>0</v>
      </c>
      <c r="AE210" s="2064">
        <v>0</v>
      </c>
      <c r="AF210" s="2064">
        <v>0</v>
      </c>
    </row>
    <row r="211" spans="2:32" ht="38.25" outlineLevel="1">
      <c r="B211" s="2011" t="s">
        <v>1218</v>
      </c>
      <c r="C211" s="2584">
        <v>318</v>
      </c>
      <c r="D211" s="1934">
        <v>42825</v>
      </c>
      <c r="E211" s="1934">
        <v>46477</v>
      </c>
      <c r="F211" s="2571" t="s">
        <v>1135</v>
      </c>
      <c r="G211" s="1937" t="s">
        <v>975</v>
      </c>
      <c r="H211" s="1937" t="s">
        <v>975</v>
      </c>
      <c r="I211" s="2043">
        <v>17.5</v>
      </c>
      <c r="J211" s="2044" t="s">
        <v>1136</v>
      </c>
      <c r="K211" s="2045" t="s">
        <v>999</v>
      </c>
      <c r="L211" s="2041">
        <v>0</v>
      </c>
      <c r="M211" s="1938" t="s">
        <v>1152</v>
      </c>
      <c r="N211" s="1936" t="s">
        <v>972</v>
      </c>
      <c r="O211" s="2046">
        <v>1.26E-2</v>
      </c>
      <c r="P211" s="2047"/>
      <c r="Q211" s="1948" t="s">
        <v>1167</v>
      </c>
      <c r="R211" s="2838"/>
      <c r="S211" s="2838"/>
      <c r="T211" s="2575"/>
      <c r="U211" s="2576"/>
      <c r="V211" s="2576"/>
      <c r="W211" s="2576"/>
      <c r="X211" s="2576">
        <v>-0.29535264</v>
      </c>
      <c r="Y211" s="2576">
        <v>0.14523712</v>
      </c>
      <c r="Z211" s="2064">
        <v>0</v>
      </c>
      <c r="AA211" s="2064">
        <v>0</v>
      </c>
      <c r="AB211" s="2064">
        <v>0</v>
      </c>
      <c r="AC211" s="2064">
        <v>0</v>
      </c>
      <c r="AD211" s="2064">
        <v>0</v>
      </c>
      <c r="AE211" s="2064">
        <v>0</v>
      </c>
      <c r="AF211" s="2064">
        <v>0</v>
      </c>
    </row>
    <row r="212" spans="2:32" ht="38.25" outlineLevel="1">
      <c r="B212" s="2011" t="s">
        <v>1219</v>
      </c>
      <c r="C212" s="2584">
        <v>324</v>
      </c>
      <c r="D212" s="1934">
        <v>43007</v>
      </c>
      <c r="E212" s="1934">
        <v>46660</v>
      </c>
      <c r="F212" s="2571" t="s">
        <v>1135</v>
      </c>
      <c r="G212" s="1937" t="s">
        <v>975</v>
      </c>
      <c r="H212" s="1937" t="s">
        <v>975</v>
      </c>
      <c r="I212" s="2043">
        <v>17.5</v>
      </c>
      <c r="J212" s="2044" t="s">
        <v>1136</v>
      </c>
      <c r="K212" s="2045" t="s">
        <v>999</v>
      </c>
      <c r="L212" s="2041">
        <v>0</v>
      </c>
      <c r="M212" s="1938" t="s">
        <v>1152</v>
      </c>
      <c r="N212" s="1936" t="s">
        <v>972</v>
      </c>
      <c r="O212" s="2046">
        <v>1.325E-2</v>
      </c>
      <c r="P212" s="2047"/>
      <c r="Q212" s="1948" t="s">
        <v>1167</v>
      </c>
      <c r="R212" s="2838"/>
      <c r="S212" s="2838"/>
      <c r="T212" s="2575"/>
      <c r="U212" s="2576"/>
      <c r="V212" s="2576"/>
      <c r="W212" s="2576"/>
      <c r="X212" s="2576">
        <v>-0.22854869</v>
      </c>
      <c r="Y212" s="2576">
        <v>0.22466388000000001</v>
      </c>
      <c r="Z212" s="2064">
        <v>0</v>
      </c>
      <c r="AA212" s="2064">
        <v>0</v>
      </c>
      <c r="AB212" s="2064">
        <v>0</v>
      </c>
      <c r="AC212" s="2064">
        <v>0</v>
      </c>
      <c r="AD212" s="2064">
        <v>0</v>
      </c>
      <c r="AE212" s="2064">
        <v>0</v>
      </c>
      <c r="AF212" s="2064">
        <v>0</v>
      </c>
    </row>
    <row r="213" spans="2:32" ht="38.25" outlineLevel="1">
      <c r="B213" s="2011" t="s">
        <v>1220</v>
      </c>
      <c r="C213" s="2584">
        <v>325</v>
      </c>
      <c r="D213" s="1934">
        <v>43188</v>
      </c>
      <c r="E213" s="1934">
        <v>46843</v>
      </c>
      <c r="F213" s="2571" t="s">
        <v>1135</v>
      </c>
      <c r="G213" s="1937" t="s">
        <v>975</v>
      </c>
      <c r="H213" s="1937" t="s">
        <v>975</v>
      </c>
      <c r="I213" s="2043">
        <v>17.5</v>
      </c>
      <c r="J213" s="2044" t="s">
        <v>1136</v>
      </c>
      <c r="K213" s="2045" t="s">
        <v>999</v>
      </c>
      <c r="L213" s="2041">
        <v>0</v>
      </c>
      <c r="M213" s="1938" t="s">
        <v>1152</v>
      </c>
      <c r="N213" s="1936" t="s">
        <v>972</v>
      </c>
      <c r="O213" s="2046">
        <v>1.2749999999999999E-2</v>
      </c>
      <c r="P213" s="2047"/>
      <c r="Q213" s="1948" t="s">
        <v>1153</v>
      </c>
      <c r="R213" s="2838"/>
      <c r="S213" s="2838"/>
      <c r="T213" s="2575"/>
      <c r="U213" s="2576"/>
      <c r="V213" s="2576"/>
      <c r="W213" s="2576"/>
      <c r="X213" s="2576">
        <v>-0.33340434999999996</v>
      </c>
      <c r="Y213" s="2576">
        <v>0.14332345000000002</v>
      </c>
      <c r="Z213" s="2064">
        <v>0</v>
      </c>
      <c r="AA213" s="2064">
        <v>0</v>
      </c>
      <c r="AB213" s="2064">
        <v>0</v>
      </c>
      <c r="AC213" s="2064">
        <v>0</v>
      </c>
      <c r="AD213" s="2064">
        <v>0</v>
      </c>
      <c r="AE213" s="2064">
        <v>0</v>
      </c>
      <c r="AF213" s="2064">
        <v>0</v>
      </c>
    </row>
    <row r="214" spans="2:32" ht="38.25" outlineLevel="1">
      <c r="B214" s="2011" t="s">
        <v>1221</v>
      </c>
      <c r="C214" s="2584">
        <v>321</v>
      </c>
      <c r="D214" s="1934">
        <v>43007</v>
      </c>
      <c r="E214" s="1934">
        <v>46660</v>
      </c>
      <c r="F214" s="2571" t="s">
        <v>1135</v>
      </c>
      <c r="G214" s="1937" t="s">
        <v>975</v>
      </c>
      <c r="H214" s="1937" t="s">
        <v>975</v>
      </c>
      <c r="I214" s="2043">
        <v>17.5</v>
      </c>
      <c r="J214" s="2044" t="s">
        <v>1136</v>
      </c>
      <c r="K214" s="2045" t="s">
        <v>999</v>
      </c>
      <c r="L214" s="2041">
        <v>0</v>
      </c>
      <c r="M214" s="1938" t="s">
        <v>1152</v>
      </c>
      <c r="N214" s="1936" t="s">
        <v>972</v>
      </c>
      <c r="O214" s="2046">
        <v>1.257E-2</v>
      </c>
      <c r="P214" s="2047"/>
      <c r="Q214" s="1948" t="s">
        <v>1153</v>
      </c>
      <c r="R214" s="2838"/>
      <c r="S214" s="2838"/>
      <c r="T214" s="2575"/>
      <c r="U214" s="2576"/>
      <c r="V214" s="2576"/>
      <c r="W214" s="2576"/>
      <c r="X214" s="2576">
        <v>-0.32898646000000004</v>
      </c>
      <c r="Y214" s="2576">
        <v>0.13019126</v>
      </c>
      <c r="Z214" s="2064">
        <v>0</v>
      </c>
      <c r="AA214" s="2064">
        <v>0</v>
      </c>
      <c r="AB214" s="2064">
        <v>0</v>
      </c>
      <c r="AC214" s="2064">
        <v>0</v>
      </c>
      <c r="AD214" s="2064">
        <v>0</v>
      </c>
      <c r="AE214" s="2064">
        <v>0</v>
      </c>
      <c r="AF214" s="2064">
        <v>0</v>
      </c>
    </row>
    <row r="215" spans="2:32" ht="38.25" outlineLevel="1">
      <c r="B215" s="2011" t="s">
        <v>1222</v>
      </c>
      <c r="C215" s="2584">
        <v>337</v>
      </c>
      <c r="D215" s="1934">
        <v>43188</v>
      </c>
      <c r="E215" s="1934">
        <v>46843</v>
      </c>
      <c r="F215" s="2571" t="s">
        <v>1135</v>
      </c>
      <c r="G215" s="1937" t="s">
        <v>975</v>
      </c>
      <c r="H215" s="1937" t="s">
        <v>975</v>
      </c>
      <c r="I215" s="2043">
        <v>17.5</v>
      </c>
      <c r="J215" s="2044" t="s">
        <v>1136</v>
      </c>
      <c r="K215" s="2045" t="s">
        <v>999</v>
      </c>
      <c r="L215" s="2041">
        <v>0</v>
      </c>
      <c r="M215" s="1938" t="s">
        <v>1152</v>
      </c>
      <c r="N215" s="1936" t="s">
        <v>972</v>
      </c>
      <c r="O215" s="2046">
        <v>1.6070000000000001E-2</v>
      </c>
      <c r="P215" s="2047"/>
      <c r="Q215" s="1948" t="s">
        <v>1172</v>
      </c>
      <c r="R215" s="2838"/>
      <c r="S215" s="2838"/>
      <c r="T215" s="2575"/>
      <c r="U215" s="2576"/>
      <c r="V215" s="2576"/>
      <c r="W215" s="2576"/>
      <c r="X215" s="2576">
        <v>0.19051842000000002</v>
      </c>
      <c r="Y215" s="2576">
        <v>0.62663188000000003</v>
      </c>
      <c r="Z215" s="2064">
        <v>0</v>
      </c>
      <c r="AA215" s="2064">
        <v>0</v>
      </c>
      <c r="AB215" s="2064">
        <v>0</v>
      </c>
      <c r="AC215" s="2064">
        <v>0</v>
      </c>
      <c r="AD215" s="2064">
        <v>0</v>
      </c>
      <c r="AE215" s="2064">
        <v>0</v>
      </c>
      <c r="AF215" s="2064">
        <v>0</v>
      </c>
    </row>
    <row r="216" spans="2:32" ht="38.25" outlineLevel="1">
      <c r="B216" s="2011" t="s">
        <v>1223</v>
      </c>
      <c r="C216" s="2584">
        <v>21</v>
      </c>
      <c r="D216" s="1934">
        <v>41361</v>
      </c>
      <c r="E216" s="1934">
        <v>43738</v>
      </c>
      <c r="F216" s="2571" t="s">
        <v>1138</v>
      </c>
      <c r="G216" s="1937" t="s">
        <v>975</v>
      </c>
      <c r="H216" s="1937" t="s">
        <v>975</v>
      </c>
      <c r="I216" s="2043">
        <v>5</v>
      </c>
      <c r="J216" s="2044" t="s">
        <v>1136</v>
      </c>
      <c r="K216" s="2045" t="s">
        <v>999</v>
      </c>
      <c r="L216" s="2041">
        <v>0</v>
      </c>
      <c r="M216" s="1938" t="s">
        <v>1152</v>
      </c>
      <c r="N216" s="1936" t="s">
        <v>972</v>
      </c>
      <c r="O216" s="2046">
        <v>1.6799999999999999E-2</v>
      </c>
      <c r="P216" s="2047"/>
      <c r="Q216" s="1948" t="s">
        <v>1153</v>
      </c>
      <c r="R216" s="2838"/>
      <c r="S216" s="2838"/>
      <c r="T216" s="2575"/>
      <c r="U216" s="2576"/>
      <c r="V216" s="2576"/>
      <c r="W216" s="2576"/>
      <c r="X216" s="2576">
        <v>4.7513079999999999E-2</v>
      </c>
      <c r="Y216" s="2576">
        <v>1.8271639999999999E-2</v>
      </c>
      <c r="Z216" s="2064">
        <v>0</v>
      </c>
      <c r="AA216" s="2064">
        <v>0</v>
      </c>
      <c r="AB216" s="2064">
        <v>0</v>
      </c>
      <c r="AC216" s="2064">
        <v>0</v>
      </c>
      <c r="AD216" s="2064">
        <v>0</v>
      </c>
      <c r="AE216" s="2064">
        <v>0</v>
      </c>
      <c r="AF216" s="2064">
        <v>0</v>
      </c>
    </row>
    <row r="217" spans="2:32" ht="38.25" outlineLevel="1">
      <c r="B217" s="2011" t="s">
        <v>1224</v>
      </c>
      <c r="C217" s="2584">
        <v>22</v>
      </c>
      <c r="D217" s="1934">
        <v>41361</v>
      </c>
      <c r="E217" s="1934">
        <v>43921</v>
      </c>
      <c r="F217" s="2571" t="s">
        <v>1138</v>
      </c>
      <c r="G217" s="1937" t="s">
        <v>975</v>
      </c>
      <c r="H217" s="1937" t="s">
        <v>975</v>
      </c>
      <c r="I217" s="2043">
        <v>17.5</v>
      </c>
      <c r="J217" s="2044" t="s">
        <v>1136</v>
      </c>
      <c r="K217" s="2045" t="s">
        <v>999</v>
      </c>
      <c r="L217" s="2041">
        <v>0</v>
      </c>
      <c r="M217" s="1938" t="s">
        <v>1152</v>
      </c>
      <c r="N217" s="1936" t="s">
        <v>972</v>
      </c>
      <c r="O217" s="2046">
        <v>1.6799999999999999E-2</v>
      </c>
      <c r="P217" s="2047"/>
      <c r="Q217" s="1948" t="s">
        <v>1153</v>
      </c>
      <c r="R217" s="2838"/>
      <c r="S217" s="2838"/>
      <c r="T217" s="2575"/>
      <c r="U217" s="2576"/>
      <c r="V217" s="2576"/>
      <c r="W217" s="2576"/>
      <c r="X217" s="2576">
        <v>0.19496485999999999</v>
      </c>
      <c r="Y217" s="2576">
        <v>0.12843413000000001</v>
      </c>
      <c r="Z217" s="2064">
        <v>0</v>
      </c>
      <c r="AA217" s="2064">
        <v>0</v>
      </c>
      <c r="AB217" s="2064">
        <v>0</v>
      </c>
      <c r="AC217" s="2064">
        <v>0</v>
      </c>
      <c r="AD217" s="2064">
        <v>0</v>
      </c>
      <c r="AE217" s="2064">
        <v>0</v>
      </c>
      <c r="AF217" s="2064">
        <v>0</v>
      </c>
    </row>
    <row r="218" spans="2:32" ht="38.25" outlineLevel="1">
      <c r="B218" s="2011" t="s">
        <v>1225</v>
      </c>
      <c r="C218" s="2584">
        <v>23</v>
      </c>
      <c r="D218" s="1934">
        <v>41361</v>
      </c>
      <c r="E218" s="1934">
        <v>44104</v>
      </c>
      <c r="F218" s="2571" t="s">
        <v>1138</v>
      </c>
      <c r="G218" s="1937" t="s">
        <v>975</v>
      </c>
      <c r="H218" s="1937" t="s">
        <v>975</v>
      </c>
      <c r="I218" s="2043">
        <v>17.5</v>
      </c>
      <c r="J218" s="2044" t="s">
        <v>1136</v>
      </c>
      <c r="K218" s="2045" t="s">
        <v>999</v>
      </c>
      <c r="L218" s="2041">
        <v>0</v>
      </c>
      <c r="M218" s="1938" t="s">
        <v>1152</v>
      </c>
      <c r="N218" s="1936" t="s">
        <v>972</v>
      </c>
      <c r="O218" s="2046">
        <v>1.6799999999999999E-2</v>
      </c>
      <c r="P218" s="2047"/>
      <c r="Q218" s="1948" t="s">
        <v>1153</v>
      </c>
      <c r="R218" s="2838"/>
      <c r="S218" s="2838"/>
      <c r="T218" s="2575"/>
      <c r="U218" s="2576"/>
      <c r="V218" s="2576"/>
      <c r="W218" s="2576"/>
      <c r="X218" s="2576">
        <v>0.21786454</v>
      </c>
      <c r="Y218" s="2576">
        <v>0.19325665</v>
      </c>
      <c r="Z218" s="2064">
        <v>0</v>
      </c>
      <c r="AA218" s="2064">
        <v>0</v>
      </c>
      <c r="AB218" s="2064">
        <v>0</v>
      </c>
      <c r="AC218" s="2064">
        <v>0</v>
      </c>
      <c r="AD218" s="2064">
        <v>0</v>
      </c>
      <c r="AE218" s="2064">
        <v>0</v>
      </c>
      <c r="AF218" s="2064">
        <v>0</v>
      </c>
    </row>
    <row r="219" spans="2:32" ht="38.25" outlineLevel="1">
      <c r="B219" s="2011" t="s">
        <v>1226</v>
      </c>
      <c r="C219" s="2584">
        <v>24</v>
      </c>
      <c r="D219" s="1934">
        <v>41361</v>
      </c>
      <c r="E219" s="1934">
        <v>44286</v>
      </c>
      <c r="F219" s="2571" t="s">
        <v>1138</v>
      </c>
      <c r="G219" s="1937" t="s">
        <v>975</v>
      </c>
      <c r="H219" s="1937" t="s">
        <v>975</v>
      </c>
      <c r="I219" s="2043">
        <v>17.5</v>
      </c>
      <c r="J219" s="2044" t="s">
        <v>1136</v>
      </c>
      <c r="K219" s="2045" t="s">
        <v>999</v>
      </c>
      <c r="L219" s="2041">
        <v>0</v>
      </c>
      <c r="M219" s="1938" t="s">
        <v>1152</v>
      </c>
      <c r="N219" s="1936" t="s">
        <v>972</v>
      </c>
      <c r="O219" s="2046">
        <v>1.6799999999999999E-2</v>
      </c>
      <c r="P219" s="2047"/>
      <c r="Q219" s="1948" t="s">
        <v>1153</v>
      </c>
      <c r="R219" s="2838"/>
      <c r="S219" s="2838"/>
      <c r="T219" s="2575"/>
      <c r="U219" s="2576"/>
      <c r="V219" s="2576"/>
      <c r="W219" s="2576"/>
      <c r="X219" s="2576">
        <v>0.23443329999999998</v>
      </c>
      <c r="Y219" s="2576">
        <v>0.25163267</v>
      </c>
      <c r="Z219" s="2064">
        <v>0</v>
      </c>
      <c r="AA219" s="2064">
        <v>0</v>
      </c>
      <c r="AB219" s="2064">
        <v>0</v>
      </c>
      <c r="AC219" s="2064">
        <v>0</v>
      </c>
      <c r="AD219" s="2064">
        <v>0</v>
      </c>
      <c r="AE219" s="2064">
        <v>0</v>
      </c>
      <c r="AF219" s="2064">
        <v>0</v>
      </c>
    </row>
    <row r="220" spans="2:32" ht="38.25" outlineLevel="1">
      <c r="B220" s="2011" t="s">
        <v>1227</v>
      </c>
      <c r="C220" s="2584">
        <v>25</v>
      </c>
      <c r="D220" s="1934">
        <v>41361</v>
      </c>
      <c r="E220" s="1934">
        <v>44469</v>
      </c>
      <c r="F220" s="2571" t="s">
        <v>1138</v>
      </c>
      <c r="G220" s="1937" t="s">
        <v>975</v>
      </c>
      <c r="H220" s="1937" t="s">
        <v>975</v>
      </c>
      <c r="I220" s="2043">
        <v>17.5</v>
      </c>
      <c r="J220" s="2044" t="s">
        <v>1136</v>
      </c>
      <c r="K220" s="2045" t="s">
        <v>999</v>
      </c>
      <c r="L220" s="2041">
        <v>0</v>
      </c>
      <c r="M220" s="1938" t="s">
        <v>1152</v>
      </c>
      <c r="N220" s="1936" t="s">
        <v>972</v>
      </c>
      <c r="O220" s="2046">
        <v>1.6799999999999999E-2</v>
      </c>
      <c r="P220" s="2047"/>
      <c r="Q220" s="1948" t="s">
        <v>1153</v>
      </c>
      <c r="R220" s="2838"/>
      <c r="S220" s="2838"/>
      <c r="T220" s="2575"/>
      <c r="U220" s="2576"/>
      <c r="V220" s="2576"/>
      <c r="W220" s="2576"/>
      <c r="X220" s="2576">
        <v>0.25069153</v>
      </c>
      <c r="Y220" s="2576">
        <v>0.30567183000000003</v>
      </c>
      <c r="Z220" s="2064">
        <v>0</v>
      </c>
      <c r="AA220" s="2064">
        <v>0</v>
      </c>
      <c r="AB220" s="2064">
        <v>0</v>
      </c>
      <c r="AC220" s="2064">
        <v>0</v>
      </c>
      <c r="AD220" s="2064">
        <v>0</v>
      </c>
      <c r="AE220" s="2064">
        <v>0</v>
      </c>
      <c r="AF220" s="2064">
        <v>0</v>
      </c>
    </row>
    <row r="221" spans="2:32" ht="38.25" outlineLevel="1">
      <c r="B221" s="2011" t="s">
        <v>1228</v>
      </c>
      <c r="C221" s="2584">
        <v>26</v>
      </c>
      <c r="D221" s="1934">
        <v>41361</v>
      </c>
      <c r="E221" s="1934">
        <v>44651</v>
      </c>
      <c r="F221" s="2571" t="s">
        <v>1138</v>
      </c>
      <c r="G221" s="1937" t="s">
        <v>975</v>
      </c>
      <c r="H221" s="1937" t="s">
        <v>975</v>
      </c>
      <c r="I221" s="2043">
        <v>17.5</v>
      </c>
      <c r="J221" s="2044" t="s">
        <v>1136</v>
      </c>
      <c r="K221" s="2045" t="s">
        <v>999</v>
      </c>
      <c r="L221" s="2041">
        <v>0</v>
      </c>
      <c r="M221" s="1938" t="s">
        <v>1152</v>
      </c>
      <c r="N221" s="1936" t="s">
        <v>972</v>
      </c>
      <c r="O221" s="2046">
        <v>1.6799999999999999E-2</v>
      </c>
      <c r="P221" s="2047"/>
      <c r="Q221" s="1948" t="s">
        <v>1153</v>
      </c>
      <c r="R221" s="2838"/>
      <c r="S221" s="2838"/>
      <c r="T221" s="2575"/>
      <c r="U221" s="2576"/>
      <c r="V221" s="2576"/>
      <c r="W221" s="2576"/>
      <c r="X221" s="2576">
        <v>0.26094188000000001</v>
      </c>
      <c r="Y221" s="2576">
        <v>0.35481277</v>
      </c>
      <c r="Z221" s="2064">
        <v>0</v>
      </c>
      <c r="AA221" s="2064">
        <v>0</v>
      </c>
      <c r="AB221" s="2064">
        <v>0</v>
      </c>
      <c r="AC221" s="2064">
        <v>0</v>
      </c>
      <c r="AD221" s="2064">
        <v>0</v>
      </c>
      <c r="AE221" s="2064">
        <v>0</v>
      </c>
      <c r="AF221" s="2064">
        <v>0</v>
      </c>
    </row>
    <row r="222" spans="2:32" ht="38.25" outlineLevel="1">
      <c r="B222" s="2011" t="s">
        <v>1229</v>
      </c>
      <c r="C222" s="2584">
        <v>27</v>
      </c>
      <c r="D222" s="1934">
        <v>41361</v>
      </c>
      <c r="E222" s="1934">
        <v>44834</v>
      </c>
      <c r="F222" s="2571" t="s">
        <v>1138</v>
      </c>
      <c r="G222" s="1937" t="s">
        <v>975</v>
      </c>
      <c r="H222" s="1937" t="s">
        <v>975</v>
      </c>
      <c r="I222" s="2043">
        <v>17.5</v>
      </c>
      <c r="J222" s="2044" t="s">
        <v>1136</v>
      </c>
      <c r="K222" s="2045" t="s">
        <v>999</v>
      </c>
      <c r="L222" s="2041">
        <v>0</v>
      </c>
      <c r="M222" s="1938" t="s">
        <v>1152</v>
      </c>
      <c r="N222" s="1936" t="s">
        <v>972</v>
      </c>
      <c r="O222" s="2046">
        <v>1.6799999999999999E-2</v>
      </c>
      <c r="P222" s="2047"/>
      <c r="Q222" s="1948" t="s">
        <v>1153</v>
      </c>
      <c r="R222" s="2838"/>
      <c r="S222" s="2838"/>
      <c r="T222" s="2575"/>
      <c r="U222" s="2576"/>
      <c r="V222" s="2576"/>
      <c r="W222" s="2576"/>
      <c r="X222" s="2576">
        <v>0.27352992999999998</v>
      </c>
      <c r="Y222" s="2576">
        <v>0.40100977000000004</v>
      </c>
      <c r="Z222" s="2064">
        <v>0</v>
      </c>
      <c r="AA222" s="2064">
        <v>0</v>
      </c>
      <c r="AB222" s="2064">
        <v>0</v>
      </c>
      <c r="AC222" s="2064">
        <v>0</v>
      </c>
      <c r="AD222" s="2064">
        <v>0</v>
      </c>
      <c r="AE222" s="2064">
        <v>0</v>
      </c>
      <c r="AF222" s="2064">
        <v>0</v>
      </c>
    </row>
    <row r="223" spans="2:32" ht="38.25" outlineLevel="1">
      <c r="B223" s="2011" t="s">
        <v>1230</v>
      </c>
      <c r="C223" s="2584">
        <v>28</v>
      </c>
      <c r="D223" s="1934">
        <v>41361</v>
      </c>
      <c r="E223" s="1934">
        <v>45016</v>
      </c>
      <c r="F223" s="2571" t="s">
        <v>1138</v>
      </c>
      <c r="G223" s="1937" t="s">
        <v>975</v>
      </c>
      <c r="H223" s="1937" t="s">
        <v>975</v>
      </c>
      <c r="I223" s="2043">
        <v>17.5</v>
      </c>
      <c r="J223" s="2044" t="s">
        <v>1136</v>
      </c>
      <c r="K223" s="2045" t="s">
        <v>999</v>
      </c>
      <c r="L223" s="2041">
        <v>0</v>
      </c>
      <c r="M223" s="1938" t="s">
        <v>1152</v>
      </c>
      <c r="N223" s="1936" t="s">
        <v>972</v>
      </c>
      <c r="O223" s="2046">
        <v>1.6799999999999999E-2</v>
      </c>
      <c r="P223" s="2047"/>
      <c r="Q223" s="1948" t="s">
        <v>1153</v>
      </c>
      <c r="R223" s="2838"/>
      <c r="S223" s="2838"/>
      <c r="T223" s="2575"/>
      <c r="U223" s="2576"/>
      <c r="V223" s="2576"/>
      <c r="W223" s="2576"/>
      <c r="X223" s="2576">
        <v>0.2820898</v>
      </c>
      <c r="Y223" s="2576">
        <v>0.44311079999999997</v>
      </c>
      <c r="Z223" s="2064">
        <v>0</v>
      </c>
      <c r="AA223" s="2064">
        <v>0</v>
      </c>
      <c r="AB223" s="2064">
        <v>0</v>
      </c>
      <c r="AC223" s="2064">
        <v>0</v>
      </c>
      <c r="AD223" s="2064">
        <v>0</v>
      </c>
      <c r="AE223" s="2064">
        <v>0</v>
      </c>
      <c r="AF223" s="2064">
        <v>0</v>
      </c>
    </row>
    <row r="224" spans="2:32" ht="38.25" outlineLevel="1">
      <c r="B224" s="2011" t="s">
        <v>1231</v>
      </c>
      <c r="C224" s="2584">
        <v>29</v>
      </c>
      <c r="D224" s="1934">
        <v>41361</v>
      </c>
      <c r="E224" s="1934">
        <v>43738</v>
      </c>
      <c r="F224" s="2571" t="s">
        <v>1138</v>
      </c>
      <c r="G224" s="1937" t="s">
        <v>975</v>
      </c>
      <c r="H224" s="1937" t="s">
        <v>975</v>
      </c>
      <c r="I224" s="2043">
        <v>5</v>
      </c>
      <c r="J224" s="2044" t="s">
        <v>1136</v>
      </c>
      <c r="K224" s="2045" t="s">
        <v>999</v>
      </c>
      <c r="L224" s="2041">
        <v>0</v>
      </c>
      <c r="M224" s="1938" t="s">
        <v>1152</v>
      </c>
      <c r="N224" s="1936" t="s">
        <v>972</v>
      </c>
      <c r="O224" s="2046">
        <v>1.6799999999999999E-2</v>
      </c>
      <c r="P224" s="2047"/>
      <c r="Q224" s="1948" t="s">
        <v>1167</v>
      </c>
      <c r="R224" s="2838"/>
      <c r="S224" s="2838"/>
      <c r="T224" s="2575"/>
      <c r="U224" s="2576"/>
      <c r="V224" s="2576"/>
      <c r="W224" s="2576"/>
      <c r="X224" s="2576">
        <v>4.7592780000000001E-2</v>
      </c>
      <c r="Y224" s="2576">
        <v>1.828753E-2</v>
      </c>
      <c r="Z224" s="2064">
        <v>0</v>
      </c>
      <c r="AA224" s="2064">
        <v>0</v>
      </c>
      <c r="AB224" s="2064">
        <v>0</v>
      </c>
      <c r="AC224" s="2064">
        <v>0</v>
      </c>
      <c r="AD224" s="2064">
        <v>0</v>
      </c>
      <c r="AE224" s="2064">
        <v>0</v>
      </c>
      <c r="AF224" s="2064">
        <v>0</v>
      </c>
    </row>
    <row r="225" spans="2:32" ht="38.25" outlineLevel="1">
      <c r="B225" s="2011" t="s">
        <v>1232</v>
      </c>
      <c r="C225" s="2584">
        <v>30</v>
      </c>
      <c r="D225" s="1934">
        <v>41361</v>
      </c>
      <c r="E225" s="1934">
        <v>43921</v>
      </c>
      <c r="F225" s="2571" t="s">
        <v>1138</v>
      </c>
      <c r="G225" s="1937" t="s">
        <v>975</v>
      </c>
      <c r="H225" s="1937" t="s">
        <v>975</v>
      </c>
      <c r="I225" s="2043">
        <v>17.5</v>
      </c>
      <c r="J225" s="2044" t="s">
        <v>1136</v>
      </c>
      <c r="K225" s="2045" t="s">
        <v>999</v>
      </c>
      <c r="L225" s="2041">
        <v>0</v>
      </c>
      <c r="M225" s="1938" t="s">
        <v>1152</v>
      </c>
      <c r="N225" s="1936" t="s">
        <v>972</v>
      </c>
      <c r="O225" s="2046">
        <v>1.6799999999999999E-2</v>
      </c>
      <c r="P225" s="2047"/>
      <c r="Q225" s="1948" t="s">
        <v>1167</v>
      </c>
      <c r="R225" s="2838"/>
      <c r="S225" s="2838"/>
      <c r="T225" s="2575"/>
      <c r="U225" s="2576"/>
      <c r="V225" s="2576"/>
      <c r="W225" s="2576"/>
      <c r="X225" s="2576">
        <v>0.19534895000000002</v>
      </c>
      <c r="Y225" s="2576">
        <v>0.12860194</v>
      </c>
      <c r="Z225" s="2064">
        <v>0</v>
      </c>
      <c r="AA225" s="2064">
        <v>0</v>
      </c>
      <c r="AB225" s="2064">
        <v>0</v>
      </c>
      <c r="AC225" s="2064">
        <v>0</v>
      </c>
      <c r="AD225" s="2064">
        <v>0</v>
      </c>
      <c r="AE225" s="2064">
        <v>0</v>
      </c>
      <c r="AF225" s="2064">
        <v>0</v>
      </c>
    </row>
    <row r="226" spans="2:32" ht="38.25" outlineLevel="1">
      <c r="B226" s="2011" t="s">
        <v>1233</v>
      </c>
      <c r="C226" s="2584">
        <v>31</v>
      </c>
      <c r="D226" s="1934">
        <v>41361</v>
      </c>
      <c r="E226" s="1934">
        <v>44104</v>
      </c>
      <c r="F226" s="2571" t="s">
        <v>1138</v>
      </c>
      <c r="G226" s="1937" t="s">
        <v>975</v>
      </c>
      <c r="H226" s="1937" t="s">
        <v>975</v>
      </c>
      <c r="I226" s="2043">
        <v>17.5</v>
      </c>
      <c r="J226" s="2044" t="s">
        <v>1136</v>
      </c>
      <c r="K226" s="2045" t="s">
        <v>999</v>
      </c>
      <c r="L226" s="2041">
        <v>0</v>
      </c>
      <c r="M226" s="1938" t="s">
        <v>1152</v>
      </c>
      <c r="N226" s="1936" t="s">
        <v>972</v>
      </c>
      <c r="O226" s="2046">
        <v>1.6799999999999999E-2</v>
      </c>
      <c r="P226" s="2047"/>
      <c r="Q226" s="1948" t="s">
        <v>1167</v>
      </c>
      <c r="R226" s="2838"/>
      <c r="S226" s="2838"/>
      <c r="T226" s="2575"/>
      <c r="U226" s="2576"/>
      <c r="V226" s="2576"/>
      <c r="W226" s="2576"/>
      <c r="X226" s="2576">
        <v>0.21835070000000001</v>
      </c>
      <c r="Y226" s="2576">
        <v>0.19359898</v>
      </c>
      <c r="Z226" s="2064">
        <v>0</v>
      </c>
      <c r="AA226" s="2064">
        <v>0</v>
      </c>
      <c r="AB226" s="2064">
        <v>0</v>
      </c>
      <c r="AC226" s="2064">
        <v>0</v>
      </c>
      <c r="AD226" s="2064">
        <v>0</v>
      </c>
      <c r="AE226" s="2064">
        <v>0</v>
      </c>
      <c r="AF226" s="2064">
        <v>0</v>
      </c>
    </row>
    <row r="227" spans="2:32" ht="38.25" outlineLevel="1">
      <c r="B227" s="2011" t="s">
        <v>1234</v>
      </c>
      <c r="C227" s="2584">
        <v>32</v>
      </c>
      <c r="D227" s="1934">
        <v>41361</v>
      </c>
      <c r="E227" s="1934">
        <v>44286</v>
      </c>
      <c r="F227" s="2571" t="s">
        <v>1138</v>
      </c>
      <c r="G227" s="1937" t="s">
        <v>975</v>
      </c>
      <c r="H227" s="1937" t="s">
        <v>975</v>
      </c>
      <c r="I227" s="2043">
        <v>17.5</v>
      </c>
      <c r="J227" s="2044" t="s">
        <v>1136</v>
      </c>
      <c r="K227" s="2045" t="s">
        <v>999</v>
      </c>
      <c r="L227" s="2041">
        <v>0</v>
      </c>
      <c r="M227" s="1938" t="s">
        <v>1152</v>
      </c>
      <c r="N227" s="1936" t="s">
        <v>972</v>
      </c>
      <c r="O227" s="2046">
        <v>1.6799999999999999E-2</v>
      </c>
      <c r="P227" s="2047"/>
      <c r="Q227" s="1948" t="s">
        <v>1167</v>
      </c>
      <c r="R227" s="2838"/>
      <c r="S227" s="2838"/>
      <c r="T227" s="2575"/>
      <c r="U227" s="2576"/>
      <c r="V227" s="2576"/>
      <c r="W227" s="2576"/>
      <c r="X227" s="2576">
        <v>0.23500442999999999</v>
      </c>
      <c r="Y227" s="2576">
        <v>0.25219585</v>
      </c>
      <c r="Z227" s="2064">
        <v>0</v>
      </c>
      <c r="AA227" s="2064">
        <v>0</v>
      </c>
      <c r="AB227" s="2064">
        <v>0</v>
      </c>
      <c r="AC227" s="2064">
        <v>0</v>
      </c>
      <c r="AD227" s="2064">
        <v>0</v>
      </c>
      <c r="AE227" s="2064">
        <v>0</v>
      </c>
      <c r="AF227" s="2064">
        <v>0</v>
      </c>
    </row>
    <row r="228" spans="2:32" ht="38.25" outlineLevel="1">
      <c r="B228" s="2011" t="s">
        <v>1235</v>
      </c>
      <c r="C228" s="2584">
        <v>33</v>
      </c>
      <c r="D228" s="1934">
        <v>41361</v>
      </c>
      <c r="E228" s="1934">
        <v>44469</v>
      </c>
      <c r="F228" s="2571" t="s">
        <v>1138</v>
      </c>
      <c r="G228" s="1937" t="s">
        <v>975</v>
      </c>
      <c r="H228" s="1937" t="s">
        <v>975</v>
      </c>
      <c r="I228" s="2043">
        <v>17.5</v>
      </c>
      <c r="J228" s="2044" t="s">
        <v>1136</v>
      </c>
      <c r="K228" s="2045" t="s">
        <v>999</v>
      </c>
      <c r="L228" s="2041">
        <v>0</v>
      </c>
      <c r="M228" s="1938" t="s">
        <v>1152</v>
      </c>
      <c r="N228" s="1936" t="s">
        <v>972</v>
      </c>
      <c r="O228" s="2046">
        <v>1.6799999999999999E-2</v>
      </c>
      <c r="P228" s="2047"/>
      <c r="Q228" s="1948" t="s">
        <v>1167</v>
      </c>
      <c r="R228" s="2838"/>
      <c r="S228" s="2838"/>
      <c r="T228" s="2575"/>
      <c r="U228" s="2576"/>
      <c r="V228" s="2576"/>
      <c r="W228" s="2576"/>
      <c r="X228" s="2576">
        <v>0.25135244000000001</v>
      </c>
      <c r="Y228" s="2576">
        <v>0.30650191999999998</v>
      </c>
      <c r="Z228" s="2064">
        <v>0</v>
      </c>
      <c r="AA228" s="2064">
        <v>0</v>
      </c>
      <c r="AB228" s="2064">
        <v>0</v>
      </c>
      <c r="AC228" s="2064">
        <v>0</v>
      </c>
      <c r="AD228" s="2064">
        <v>0</v>
      </c>
      <c r="AE228" s="2064">
        <v>0</v>
      </c>
      <c r="AF228" s="2064">
        <v>0</v>
      </c>
    </row>
    <row r="229" spans="2:32" ht="38.25" outlineLevel="1">
      <c r="B229" s="2011" t="s">
        <v>1236</v>
      </c>
      <c r="C229" s="2584">
        <v>34</v>
      </c>
      <c r="D229" s="1934">
        <v>41361</v>
      </c>
      <c r="E229" s="1934">
        <v>44651</v>
      </c>
      <c r="F229" s="2571" t="s">
        <v>1138</v>
      </c>
      <c r="G229" s="1937" t="s">
        <v>975</v>
      </c>
      <c r="H229" s="1937" t="s">
        <v>975</v>
      </c>
      <c r="I229" s="2043">
        <v>17.5</v>
      </c>
      <c r="J229" s="2044" t="s">
        <v>1136</v>
      </c>
      <c r="K229" s="2045" t="s">
        <v>999</v>
      </c>
      <c r="L229" s="2041">
        <v>0</v>
      </c>
      <c r="M229" s="1938" t="s">
        <v>1152</v>
      </c>
      <c r="N229" s="1936" t="s">
        <v>972</v>
      </c>
      <c r="O229" s="2046">
        <v>1.6799999999999999E-2</v>
      </c>
      <c r="P229" s="2047"/>
      <c r="Q229" s="1948" t="s">
        <v>1167</v>
      </c>
      <c r="R229" s="2838"/>
      <c r="S229" s="2838"/>
      <c r="T229" s="2575"/>
      <c r="U229" s="2576"/>
      <c r="V229" s="2576"/>
      <c r="W229" s="2576"/>
      <c r="X229" s="2576">
        <v>0.26166011</v>
      </c>
      <c r="Y229" s="2576">
        <v>0.35594418</v>
      </c>
      <c r="Z229" s="2064">
        <v>0</v>
      </c>
      <c r="AA229" s="2064">
        <v>0</v>
      </c>
      <c r="AB229" s="2064">
        <v>0</v>
      </c>
      <c r="AC229" s="2064">
        <v>0</v>
      </c>
      <c r="AD229" s="2064">
        <v>0</v>
      </c>
      <c r="AE229" s="2064">
        <v>0</v>
      </c>
      <c r="AF229" s="2064">
        <v>0</v>
      </c>
    </row>
    <row r="230" spans="2:32" ht="38.25" outlineLevel="1">
      <c r="B230" s="2011" t="s">
        <v>1237</v>
      </c>
      <c r="C230" s="2584">
        <v>35</v>
      </c>
      <c r="D230" s="1934">
        <v>41361</v>
      </c>
      <c r="E230" s="1934">
        <v>44834</v>
      </c>
      <c r="F230" s="2571" t="s">
        <v>1138</v>
      </c>
      <c r="G230" s="1937" t="s">
        <v>975</v>
      </c>
      <c r="H230" s="1937" t="s">
        <v>975</v>
      </c>
      <c r="I230" s="2043">
        <v>17.5</v>
      </c>
      <c r="J230" s="2044" t="s">
        <v>1136</v>
      </c>
      <c r="K230" s="2045" t="s">
        <v>999</v>
      </c>
      <c r="L230" s="2041">
        <v>0</v>
      </c>
      <c r="M230" s="1938" t="s">
        <v>1152</v>
      </c>
      <c r="N230" s="1936" t="s">
        <v>972</v>
      </c>
      <c r="O230" s="2046">
        <v>1.6799999999999999E-2</v>
      </c>
      <c r="P230" s="2047"/>
      <c r="Q230" s="1948" t="s">
        <v>1167</v>
      </c>
      <c r="R230" s="2838"/>
      <c r="S230" s="2838"/>
      <c r="T230" s="2575"/>
      <c r="U230" s="2576"/>
      <c r="V230" s="2576"/>
      <c r="W230" s="2576"/>
      <c r="X230" s="2576">
        <v>0.27431802</v>
      </c>
      <c r="Y230" s="2576">
        <v>0.40248090000000003</v>
      </c>
      <c r="Z230" s="2064">
        <v>0</v>
      </c>
      <c r="AA230" s="2064">
        <v>0</v>
      </c>
      <c r="AB230" s="2064">
        <v>0</v>
      </c>
      <c r="AC230" s="2064">
        <v>0</v>
      </c>
      <c r="AD230" s="2064">
        <v>0</v>
      </c>
      <c r="AE230" s="2064">
        <v>0</v>
      </c>
      <c r="AF230" s="2064">
        <v>0</v>
      </c>
    </row>
    <row r="231" spans="2:32" ht="38.25" outlineLevel="1">
      <c r="B231" s="2011" t="s">
        <v>1238</v>
      </c>
      <c r="C231" s="2584">
        <v>36</v>
      </c>
      <c r="D231" s="1934">
        <v>41361</v>
      </c>
      <c r="E231" s="1934">
        <v>45016</v>
      </c>
      <c r="F231" s="2571" t="s">
        <v>1138</v>
      </c>
      <c r="G231" s="1937" t="s">
        <v>975</v>
      </c>
      <c r="H231" s="1937" t="s">
        <v>975</v>
      </c>
      <c r="I231" s="2043">
        <v>17.5</v>
      </c>
      <c r="J231" s="2044" t="s">
        <v>1136</v>
      </c>
      <c r="K231" s="2045" t="s">
        <v>999</v>
      </c>
      <c r="L231" s="2041">
        <v>0</v>
      </c>
      <c r="M231" s="1938" t="s">
        <v>1152</v>
      </c>
      <c r="N231" s="1936" t="s">
        <v>972</v>
      </c>
      <c r="O231" s="2046">
        <v>1.6799999999999999E-2</v>
      </c>
      <c r="P231" s="2047"/>
      <c r="Q231" s="1948" t="s">
        <v>1167</v>
      </c>
      <c r="R231" s="2838"/>
      <c r="S231" s="2838"/>
      <c r="T231" s="2575"/>
      <c r="U231" s="2576"/>
      <c r="V231" s="2576"/>
      <c r="W231" s="2576"/>
      <c r="X231" s="2576">
        <v>0.28292417999999997</v>
      </c>
      <c r="Y231" s="2576">
        <v>0.44494328000000005</v>
      </c>
      <c r="Z231" s="2064">
        <v>0</v>
      </c>
      <c r="AA231" s="2064">
        <v>0</v>
      </c>
      <c r="AB231" s="2064">
        <v>0</v>
      </c>
      <c r="AC231" s="2064">
        <v>0</v>
      </c>
      <c r="AD231" s="2064">
        <v>0</v>
      </c>
      <c r="AE231" s="2064">
        <v>0</v>
      </c>
      <c r="AF231" s="2064">
        <v>0</v>
      </c>
    </row>
    <row r="232" spans="2:32" ht="25.5" outlineLevel="1">
      <c r="B232" s="2011" t="s">
        <v>1239</v>
      </c>
      <c r="C232" s="2584">
        <v>6</v>
      </c>
      <c r="D232" s="1934">
        <v>40268</v>
      </c>
      <c r="E232" s="1934">
        <v>43921</v>
      </c>
      <c r="F232" s="2571" t="s">
        <v>1140</v>
      </c>
      <c r="G232" s="1937" t="s">
        <v>975</v>
      </c>
      <c r="H232" s="1937" t="s">
        <v>975</v>
      </c>
      <c r="I232" s="2043">
        <v>30</v>
      </c>
      <c r="J232" s="2044" t="s">
        <v>1136</v>
      </c>
      <c r="K232" s="2045" t="s">
        <v>999</v>
      </c>
      <c r="L232" s="2041">
        <v>0</v>
      </c>
      <c r="M232" s="1938" t="s">
        <v>1152</v>
      </c>
      <c r="N232" s="1936" t="s">
        <v>972</v>
      </c>
      <c r="O232" s="2046">
        <v>5.0950000000000002E-2</v>
      </c>
      <c r="P232" s="2047"/>
      <c r="Q232" s="1948" t="s">
        <v>1153</v>
      </c>
      <c r="R232" s="2838"/>
      <c r="S232" s="2838"/>
      <c r="T232" s="2575"/>
      <c r="U232" s="2576"/>
      <c r="V232" s="2576"/>
      <c r="W232" s="2576"/>
      <c r="X232" s="2576">
        <v>2.3489397000000003</v>
      </c>
      <c r="Y232" s="2576">
        <v>1.2439068200000001</v>
      </c>
      <c r="Z232" s="2064">
        <v>0</v>
      </c>
      <c r="AA232" s="2064">
        <v>0</v>
      </c>
      <c r="AB232" s="2064">
        <v>0</v>
      </c>
      <c r="AC232" s="2064">
        <v>0</v>
      </c>
      <c r="AD232" s="2064">
        <v>0</v>
      </c>
      <c r="AE232" s="2064">
        <v>0</v>
      </c>
      <c r="AF232" s="2064">
        <v>0</v>
      </c>
    </row>
    <row r="233" spans="2:32" ht="25.5" outlineLevel="1">
      <c r="B233" s="2011" t="s">
        <v>1240</v>
      </c>
      <c r="C233" s="2584">
        <v>7</v>
      </c>
      <c r="D233" s="1934">
        <v>40268</v>
      </c>
      <c r="E233" s="1934">
        <v>43921</v>
      </c>
      <c r="F233" s="2571" t="s">
        <v>1140</v>
      </c>
      <c r="G233" s="1937" t="s">
        <v>975</v>
      </c>
      <c r="H233" s="1937" t="s">
        <v>975</v>
      </c>
      <c r="I233" s="2043">
        <v>30</v>
      </c>
      <c r="J233" s="2044" t="s">
        <v>1136</v>
      </c>
      <c r="K233" s="2045" t="s">
        <v>999</v>
      </c>
      <c r="L233" s="2041">
        <v>0</v>
      </c>
      <c r="M233" s="1938" t="s">
        <v>1152</v>
      </c>
      <c r="N233" s="1936" t="s">
        <v>972</v>
      </c>
      <c r="O233" s="2046">
        <v>5.0924999999999998E-2</v>
      </c>
      <c r="P233" s="2047"/>
      <c r="Q233" s="1948" t="s">
        <v>1153</v>
      </c>
      <c r="R233" s="2838"/>
      <c r="S233" s="2838"/>
      <c r="T233" s="2575"/>
      <c r="U233" s="2576"/>
      <c r="V233" s="2576"/>
      <c r="W233" s="2576"/>
      <c r="X233" s="2576">
        <v>2.3474647900000001</v>
      </c>
      <c r="Y233" s="2576">
        <v>1.2431573899999999</v>
      </c>
      <c r="Z233" s="2064">
        <v>0</v>
      </c>
      <c r="AA233" s="2064">
        <v>0</v>
      </c>
      <c r="AB233" s="2064">
        <v>0</v>
      </c>
      <c r="AC233" s="2064">
        <v>0</v>
      </c>
      <c r="AD233" s="2064">
        <v>0</v>
      </c>
      <c r="AE233" s="2064">
        <v>0</v>
      </c>
      <c r="AF233" s="2064">
        <v>0</v>
      </c>
    </row>
    <row r="234" spans="2:32" ht="25.5" outlineLevel="1">
      <c r="B234" s="2011" t="s">
        <v>1241</v>
      </c>
      <c r="C234" s="2584">
        <v>9</v>
      </c>
      <c r="D234" s="1934">
        <v>40268</v>
      </c>
      <c r="E234" s="1934">
        <v>43921</v>
      </c>
      <c r="F234" s="2571" t="s">
        <v>1140</v>
      </c>
      <c r="G234" s="1937" t="s">
        <v>975</v>
      </c>
      <c r="H234" s="1937" t="s">
        <v>975</v>
      </c>
      <c r="I234" s="2043">
        <v>20</v>
      </c>
      <c r="J234" s="2044" t="s">
        <v>1136</v>
      </c>
      <c r="K234" s="2045" t="s">
        <v>999</v>
      </c>
      <c r="L234" s="2041">
        <v>0</v>
      </c>
      <c r="M234" s="1938" t="s">
        <v>1152</v>
      </c>
      <c r="N234" s="1936" t="s">
        <v>972</v>
      </c>
      <c r="O234" s="2046">
        <v>5.0700000000000002E-2</v>
      </c>
      <c r="P234" s="2047"/>
      <c r="Q234" s="1948" t="s">
        <v>1153</v>
      </c>
      <c r="R234" s="2838"/>
      <c r="S234" s="2838"/>
      <c r="T234" s="2575"/>
      <c r="U234" s="2576"/>
      <c r="V234" s="2576"/>
      <c r="W234" s="2576"/>
      <c r="X234" s="2576">
        <v>1.5561271200000002</v>
      </c>
      <c r="Y234" s="2576">
        <v>0.8242749399999999</v>
      </c>
      <c r="Z234" s="2064">
        <v>0</v>
      </c>
      <c r="AA234" s="2064">
        <v>0</v>
      </c>
      <c r="AB234" s="2064">
        <v>0</v>
      </c>
      <c r="AC234" s="2064">
        <v>0</v>
      </c>
      <c r="AD234" s="2064">
        <v>0</v>
      </c>
      <c r="AE234" s="2064">
        <v>0</v>
      </c>
      <c r="AF234" s="2064">
        <v>0</v>
      </c>
    </row>
    <row r="235" spans="2:32" ht="25.5" outlineLevel="1">
      <c r="B235" s="2011" t="s">
        <v>1242</v>
      </c>
      <c r="C235" s="2584">
        <v>4</v>
      </c>
      <c r="D235" s="1934">
        <v>40268</v>
      </c>
      <c r="E235" s="1934">
        <v>43921</v>
      </c>
      <c r="F235" s="2571" t="s">
        <v>1140</v>
      </c>
      <c r="G235" s="1937" t="s">
        <v>975</v>
      </c>
      <c r="H235" s="1937" t="s">
        <v>975</v>
      </c>
      <c r="I235" s="2043">
        <v>50</v>
      </c>
      <c r="J235" s="2044" t="s">
        <v>1136</v>
      </c>
      <c r="K235" s="2045" t="s">
        <v>999</v>
      </c>
      <c r="L235" s="2041">
        <v>0</v>
      </c>
      <c r="M235" s="1938" t="s">
        <v>1152</v>
      </c>
      <c r="N235" s="1936" t="s">
        <v>972</v>
      </c>
      <c r="O235" s="2046">
        <v>5.1549999999999999E-2</v>
      </c>
      <c r="P235" s="2047"/>
      <c r="Q235" s="1948" t="s">
        <v>1199</v>
      </c>
      <c r="R235" s="2838"/>
      <c r="S235" s="2838"/>
      <c r="T235" s="2575"/>
      <c r="U235" s="2576"/>
      <c r="V235" s="2576"/>
      <c r="W235" s="2576"/>
      <c r="X235" s="2576">
        <v>3.9830974399999999</v>
      </c>
      <c r="Y235" s="2576">
        <v>2.1056428700000001</v>
      </c>
      <c r="Z235" s="2064">
        <v>0</v>
      </c>
      <c r="AA235" s="2064">
        <v>0</v>
      </c>
      <c r="AB235" s="2064">
        <v>0</v>
      </c>
      <c r="AC235" s="2064">
        <v>0</v>
      </c>
      <c r="AD235" s="2064">
        <v>0</v>
      </c>
      <c r="AE235" s="2064">
        <v>0</v>
      </c>
      <c r="AF235" s="2064">
        <v>0</v>
      </c>
    </row>
    <row r="236" spans="2:32" ht="25.5" outlineLevel="1">
      <c r="B236" s="2011" t="s">
        <v>1243</v>
      </c>
      <c r="C236" s="2584">
        <v>5</v>
      </c>
      <c r="D236" s="1934">
        <v>40268</v>
      </c>
      <c r="E236" s="1934">
        <v>43921</v>
      </c>
      <c r="F236" s="2571" t="s">
        <v>1140</v>
      </c>
      <c r="G236" s="1937" t="s">
        <v>975</v>
      </c>
      <c r="H236" s="1937" t="s">
        <v>975</v>
      </c>
      <c r="I236" s="2043">
        <v>40</v>
      </c>
      <c r="J236" s="2044" t="s">
        <v>1136</v>
      </c>
      <c r="K236" s="2045" t="s">
        <v>999</v>
      </c>
      <c r="L236" s="2041">
        <v>0</v>
      </c>
      <c r="M236" s="1938" t="s">
        <v>1152</v>
      </c>
      <c r="N236" s="1936" t="s">
        <v>972</v>
      </c>
      <c r="O236" s="2046">
        <v>5.1499999999999997E-2</v>
      </c>
      <c r="P236" s="2047"/>
      <c r="Q236" s="1948" t="s">
        <v>1244</v>
      </c>
      <c r="R236" s="2838"/>
      <c r="S236" s="2838"/>
      <c r="T236" s="2575"/>
      <c r="U236" s="2576"/>
      <c r="V236" s="2576"/>
      <c r="W236" s="2576"/>
      <c r="X236" s="2576">
        <v>3.18236857</v>
      </c>
      <c r="Y236" s="2576">
        <v>1.6827141399999999</v>
      </c>
      <c r="Z236" s="2064">
        <v>0</v>
      </c>
      <c r="AA236" s="2064">
        <v>0</v>
      </c>
      <c r="AB236" s="2064">
        <v>0</v>
      </c>
      <c r="AC236" s="2064">
        <v>0</v>
      </c>
      <c r="AD236" s="2064">
        <v>0</v>
      </c>
      <c r="AE236" s="2064">
        <v>0</v>
      </c>
      <c r="AF236" s="2064">
        <v>0</v>
      </c>
    </row>
    <row r="237" spans="2:32" ht="25.5" outlineLevel="1">
      <c r="B237" s="2011" t="s">
        <v>1245</v>
      </c>
      <c r="C237" s="2584">
        <v>8</v>
      </c>
      <c r="D237" s="1934">
        <v>40268</v>
      </c>
      <c r="E237" s="1934">
        <v>43921</v>
      </c>
      <c r="F237" s="2571" t="s">
        <v>1140</v>
      </c>
      <c r="G237" s="1937" t="s">
        <v>975</v>
      </c>
      <c r="H237" s="1937" t="s">
        <v>975</v>
      </c>
      <c r="I237" s="2043">
        <v>30</v>
      </c>
      <c r="J237" s="2044" t="s">
        <v>1136</v>
      </c>
      <c r="K237" s="2045" t="s">
        <v>999</v>
      </c>
      <c r="L237" s="2041">
        <v>0</v>
      </c>
      <c r="M237" s="1938" t="s">
        <v>1152</v>
      </c>
      <c r="N237" s="1936" t="s">
        <v>972</v>
      </c>
      <c r="O237" s="2046">
        <v>5.1950000000000003E-2</v>
      </c>
      <c r="P237" s="2047"/>
      <c r="Q237" s="1948" t="s">
        <v>1244</v>
      </c>
      <c r="R237" s="2838"/>
      <c r="S237" s="2838"/>
      <c r="T237" s="2575"/>
      <c r="U237" s="2576"/>
      <c r="V237" s="2576"/>
      <c r="W237" s="2576"/>
      <c r="X237" s="2576">
        <v>2.4133859900000001</v>
      </c>
      <c r="Y237" s="2576">
        <v>1.27554305</v>
      </c>
      <c r="Z237" s="2064">
        <v>0</v>
      </c>
      <c r="AA237" s="2064">
        <v>0</v>
      </c>
      <c r="AB237" s="2064">
        <v>0</v>
      </c>
      <c r="AC237" s="2064">
        <v>0</v>
      </c>
      <c r="AD237" s="2064">
        <v>0</v>
      </c>
      <c r="AE237" s="2064">
        <v>0</v>
      </c>
      <c r="AF237" s="2064">
        <v>0</v>
      </c>
    </row>
    <row r="238" spans="2:32" ht="25.5" outlineLevel="1">
      <c r="B238" s="2011" t="s">
        <v>1246</v>
      </c>
      <c r="C238" s="2584">
        <v>97</v>
      </c>
      <c r="D238" s="1934">
        <v>40268</v>
      </c>
      <c r="E238" s="1934">
        <v>43921</v>
      </c>
      <c r="F238" s="2571" t="s">
        <v>1142</v>
      </c>
      <c r="G238" s="1937" t="s">
        <v>975</v>
      </c>
      <c r="H238" s="1937" t="s">
        <v>975</v>
      </c>
      <c r="I238" s="2043">
        <v>80</v>
      </c>
      <c r="J238" s="2044" t="s">
        <v>1136</v>
      </c>
      <c r="K238" s="2045" t="s">
        <v>972</v>
      </c>
      <c r="L238" s="2041">
        <v>4.1930000000000002E-2</v>
      </c>
      <c r="M238" s="1938"/>
      <c r="N238" s="1936" t="s">
        <v>999</v>
      </c>
      <c r="O238" s="2046">
        <v>0</v>
      </c>
      <c r="P238" s="2047" t="s">
        <v>1152</v>
      </c>
      <c r="Q238" s="1948" t="s">
        <v>1153</v>
      </c>
      <c r="R238" s="2838"/>
      <c r="S238" s="2838"/>
      <c r="T238" s="2575"/>
      <c r="U238" s="2576"/>
      <c r="V238" s="2576"/>
      <c r="W238" s="2576"/>
      <c r="X238" s="2576">
        <v>-5.1851527840000005</v>
      </c>
      <c r="Y238" s="2576">
        <v>-2.7662066870000004</v>
      </c>
      <c r="Z238" s="2064">
        <v>0</v>
      </c>
      <c r="AA238" s="2064">
        <v>0</v>
      </c>
      <c r="AB238" s="2064">
        <v>0</v>
      </c>
      <c r="AC238" s="2064">
        <v>0</v>
      </c>
      <c r="AD238" s="2064">
        <v>0</v>
      </c>
      <c r="AE238" s="2064">
        <v>0</v>
      </c>
      <c r="AF238" s="2064">
        <v>0</v>
      </c>
    </row>
    <row r="239" spans="2:32" ht="25.5" outlineLevel="1">
      <c r="B239" s="2011" t="s">
        <v>1247</v>
      </c>
      <c r="C239" s="2584">
        <v>10</v>
      </c>
      <c r="D239" s="1934">
        <v>40268</v>
      </c>
      <c r="E239" s="1934">
        <v>43921</v>
      </c>
      <c r="F239" s="2571" t="s">
        <v>1142</v>
      </c>
      <c r="G239" s="1937" t="s">
        <v>975</v>
      </c>
      <c r="H239" s="1937" t="s">
        <v>975</v>
      </c>
      <c r="I239" s="2043">
        <v>50</v>
      </c>
      <c r="J239" s="2044" t="s">
        <v>1136</v>
      </c>
      <c r="K239" s="2045" t="s">
        <v>972</v>
      </c>
      <c r="L239" s="2041">
        <v>4.258E-2</v>
      </c>
      <c r="M239" s="1938"/>
      <c r="N239" s="1936" t="s">
        <v>999</v>
      </c>
      <c r="O239" s="2046">
        <v>0</v>
      </c>
      <c r="P239" s="2047" t="s">
        <v>1152</v>
      </c>
      <c r="Q239" s="1948" t="s">
        <v>1199</v>
      </c>
      <c r="R239" s="2838"/>
      <c r="S239" s="2838"/>
      <c r="T239" s="2575"/>
      <c r="U239" s="2576"/>
      <c r="V239" s="2576"/>
      <c r="W239" s="2576"/>
      <c r="X239" s="2576">
        <v>-3.2837600839999999</v>
      </c>
      <c r="Y239" s="2576">
        <v>-1.7493173070000001</v>
      </c>
      <c r="Z239" s="2064">
        <v>0</v>
      </c>
      <c r="AA239" s="2064">
        <v>0</v>
      </c>
      <c r="AB239" s="2064">
        <v>0</v>
      </c>
      <c r="AC239" s="2064">
        <v>0</v>
      </c>
      <c r="AD239" s="2064">
        <v>0</v>
      </c>
      <c r="AE239" s="2064">
        <v>0</v>
      </c>
      <c r="AF239" s="2064">
        <v>0</v>
      </c>
    </row>
    <row r="240" spans="2:32" ht="25.5" outlineLevel="1">
      <c r="B240" s="2011" t="s">
        <v>1248</v>
      </c>
      <c r="C240" s="2584">
        <v>11</v>
      </c>
      <c r="D240" s="1934">
        <v>40268</v>
      </c>
      <c r="E240" s="1934">
        <v>43921</v>
      </c>
      <c r="F240" s="2571" t="s">
        <v>1142</v>
      </c>
      <c r="G240" s="1937" t="s">
        <v>975</v>
      </c>
      <c r="H240" s="1937" t="s">
        <v>975</v>
      </c>
      <c r="I240" s="2043">
        <v>70</v>
      </c>
      <c r="J240" s="2044" t="s">
        <v>1136</v>
      </c>
      <c r="K240" s="2045" t="s">
        <v>972</v>
      </c>
      <c r="L240" s="2041">
        <v>4.3889999999999998E-2</v>
      </c>
      <c r="M240" s="1938"/>
      <c r="N240" s="1936" t="s">
        <v>999</v>
      </c>
      <c r="O240" s="2046">
        <v>0</v>
      </c>
      <c r="P240" s="2047" t="s">
        <v>1152</v>
      </c>
      <c r="Q240" s="1948" t="s">
        <v>1167</v>
      </c>
      <c r="R240" s="2838"/>
      <c r="S240" s="2838"/>
      <c r="T240" s="2575"/>
      <c r="U240" s="2576"/>
      <c r="V240" s="2576"/>
      <c r="W240" s="2576"/>
      <c r="X240" s="2576">
        <v>-4.5874492080000007</v>
      </c>
      <c r="Y240" s="2576">
        <v>-2.4459042389999999</v>
      </c>
      <c r="Z240" s="2064">
        <v>0</v>
      </c>
      <c r="AA240" s="2064">
        <v>0</v>
      </c>
      <c r="AB240" s="2064">
        <v>0</v>
      </c>
      <c r="AC240" s="2064">
        <v>0</v>
      </c>
      <c r="AD240" s="2064">
        <v>0</v>
      </c>
      <c r="AE240" s="2064">
        <v>0</v>
      </c>
      <c r="AF240" s="2064">
        <v>0</v>
      </c>
    </row>
    <row r="241" spans="2:32" ht="25.5" outlineLevel="1">
      <c r="B241" s="2011" t="s">
        <v>1249</v>
      </c>
      <c r="C241" s="2584">
        <v>16</v>
      </c>
      <c r="D241" s="1934">
        <v>40268</v>
      </c>
      <c r="E241" s="1934">
        <v>51226</v>
      </c>
      <c r="F241" s="2571" t="s">
        <v>1144</v>
      </c>
      <c r="G241" s="1937" t="s">
        <v>975</v>
      </c>
      <c r="H241" s="1937" t="s">
        <v>975</v>
      </c>
      <c r="I241" s="2043">
        <v>25</v>
      </c>
      <c r="J241" s="2044" t="s">
        <v>1136</v>
      </c>
      <c r="K241" s="2045" t="s">
        <v>999</v>
      </c>
      <c r="L241" s="2041">
        <v>0</v>
      </c>
      <c r="M241" s="1938" t="s">
        <v>1152</v>
      </c>
      <c r="N241" s="1936" t="s">
        <v>972</v>
      </c>
      <c r="O241" s="2046">
        <v>4.58E-2</v>
      </c>
      <c r="P241" s="2047"/>
      <c r="Q241" s="1948" t="s">
        <v>1153</v>
      </c>
      <c r="R241" s="2838"/>
      <c r="S241" s="2838"/>
      <c r="T241" s="2575"/>
      <c r="U241" s="2576"/>
      <c r="V241" s="2576"/>
      <c r="W241" s="2576"/>
      <c r="X241" s="2576">
        <v>13.063535</v>
      </c>
      <c r="Y241" s="2576">
        <v>14.797844133096916</v>
      </c>
      <c r="Z241" s="2064">
        <v>0</v>
      </c>
      <c r="AA241" s="2064">
        <v>0</v>
      </c>
      <c r="AB241" s="2064">
        <v>0</v>
      </c>
      <c r="AC241" s="2064">
        <v>0</v>
      </c>
      <c r="AD241" s="2064">
        <v>0</v>
      </c>
      <c r="AE241" s="2064">
        <v>0</v>
      </c>
      <c r="AF241" s="2064">
        <v>0</v>
      </c>
    </row>
    <row r="242" spans="2:32" ht="25.5" outlineLevel="1">
      <c r="B242" s="2011" t="s">
        <v>1250</v>
      </c>
      <c r="C242" s="2584">
        <v>17</v>
      </c>
      <c r="D242" s="1934">
        <v>40268</v>
      </c>
      <c r="E242" s="1934">
        <v>51226</v>
      </c>
      <c r="F242" s="2571" t="s">
        <v>1144</v>
      </c>
      <c r="G242" s="1937" t="s">
        <v>975</v>
      </c>
      <c r="H242" s="1937" t="s">
        <v>975</v>
      </c>
      <c r="I242" s="2043">
        <v>50</v>
      </c>
      <c r="J242" s="2044" t="s">
        <v>1136</v>
      </c>
      <c r="K242" s="2045" t="s">
        <v>999</v>
      </c>
      <c r="L242" s="2041">
        <v>0</v>
      </c>
      <c r="M242" s="1938" t="s">
        <v>1152</v>
      </c>
      <c r="N242" s="1936" t="s">
        <v>972</v>
      </c>
      <c r="O242" s="2046">
        <v>4.58E-2</v>
      </c>
      <c r="P242" s="2047"/>
      <c r="Q242" s="1948" t="s">
        <v>1153</v>
      </c>
      <c r="R242" s="2838"/>
      <c r="S242" s="2838"/>
      <c r="T242" s="2575"/>
      <c r="U242" s="2576"/>
      <c r="V242" s="2576"/>
      <c r="W242" s="2576"/>
      <c r="X242" s="2576">
        <v>26.127069969999997</v>
      </c>
      <c r="Y242" s="2576">
        <v>29.595688286101023</v>
      </c>
      <c r="Z242" s="2064">
        <v>0</v>
      </c>
      <c r="AA242" s="2064">
        <v>0</v>
      </c>
      <c r="AB242" s="2064">
        <v>0</v>
      </c>
      <c r="AC242" s="2064">
        <v>0</v>
      </c>
      <c r="AD242" s="2064">
        <v>0</v>
      </c>
      <c r="AE242" s="2064">
        <v>0</v>
      </c>
      <c r="AF242" s="2064">
        <v>0</v>
      </c>
    </row>
    <row r="243" spans="2:32" ht="25.5" outlineLevel="1">
      <c r="B243" s="2011" t="s">
        <v>1251</v>
      </c>
      <c r="C243" s="2584">
        <v>13</v>
      </c>
      <c r="D243" s="1934">
        <v>40268</v>
      </c>
      <c r="E243" s="1934">
        <v>51226</v>
      </c>
      <c r="F243" s="2571" t="s">
        <v>1144</v>
      </c>
      <c r="G243" s="1937" t="s">
        <v>975</v>
      </c>
      <c r="H243" s="1937" t="s">
        <v>975</v>
      </c>
      <c r="I243" s="2043">
        <v>50</v>
      </c>
      <c r="J243" s="2044" t="s">
        <v>1136</v>
      </c>
      <c r="K243" s="2045" t="s">
        <v>999</v>
      </c>
      <c r="L243" s="2041">
        <v>0</v>
      </c>
      <c r="M243" s="1938" t="s">
        <v>1152</v>
      </c>
      <c r="N243" s="1936" t="s">
        <v>972</v>
      </c>
      <c r="O243" s="2046">
        <v>4.6800000000000001E-2</v>
      </c>
      <c r="P243" s="2047"/>
      <c r="Q243" s="1948" t="s">
        <v>1252</v>
      </c>
      <c r="R243" s="2838"/>
      <c r="S243" s="2838"/>
      <c r="T243" s="2575"/>
      <c r="U243" s="2576"/>
      <c r="V243" s="2576"/>
      <c r="W243" s="2576"/>
      <c r="X243" s="2576">
        <v>27.136451820000001</v>
      </c>
      <c r="Y243" s="2576">
        <v>30.141567796397172</v>
      </c>
      <c r="Z243" s="2064">
        <v>0</v>
      </c>
      <c r="AA243" s="2064">
        <v>0</v>
      </c>
      <c r="AB243" s="2064">
        <v>0</v>
      </c>
      <c r="AC243" s="2064">
        <v>0</v>
      </c>
      <c r="AD243" s="2064">
        <v>0</v>
      </c>
      <c r="AE243" s="2064">
        <v>0</v>
      </c>
      <c r="AF243" s="2064">
        <v>0</v>
      </c>
    </row>
    <row r="244" spans="2:32" ht="25.5" outlineLevel="1">
      <c r="B244" s="2011" t="s">
        <v>1253</v>
      </c>
      <c r="C244" s="2584">
        <v>96</v>
      </c>
      <c r="D244" s="1934">
        <v>40268</v>
      </c>
      <c r="E244" s="1934">
        <v>51224</v>
      </c>
      <c r="F244" s="2571" t="s">
        <v>1144</v>
      </c>
      <c r="G244" s="1937" t="s">
        <v>975</v>
      </c>
      <c r="H244" s="1937" t="s">
        <v>975</v>
      </c>
      <c r="I244" s="2043">
        <v>50</v>
      </c>
      <c r="J244" s="2044" t="s">
        <v>1136</v>
      </c>
      <c r="K244" s="2045" t="s">
        <v>999</v>
      </c>
      <c r="L244" s="2041">
        <v>0</v>
      </c>
      <c r="M244" s="1938" t="s">
        <v>1152</v>
      </c>
      <c r="N244" s="1936" t="s">
        <v>972</v>
      </c>
      <c r="O244" s="2046">
        <v>4.65E-2</v>
      </c>
      <c r="P244" s="2047"/>
      <c r="Q244" s="1948" t="s">
        <v>1167</v>
      </c>
      <c r="R244" s="2838"/>
      <c r="S244" s="2838"/>
      <c r="T244" s="2575"/>
      <c r="U244" s="2576"/>
      <c r="V244" s="2576"/>
      <c r="W244" s="2576"/>
      <c r="X244" s="2576">
        <v>27.038694489999997</v>
      </c>
      <c r="Y244" s="2576">
        <v>30.289865464473539</v>
      </c>
      <c r="Z244" s="2064">
        <v>0</v>
      </c>
      <c r="AA244" s="2064">
        <v>0</v>
      </c>
      <c r="AB244" s="2064">
        <v>0</v>
      </c>
      <c r="AC244" s="2064">
        <v>0</v>
      </c>
      <c r="AD244" s="2064">
        <v>0</v>
      </c>
      <c r="AE244" s="2064">
        <v>0</v>
      </c>
      <c r="AF244" s="2064">
        <v>0</v>
      </c>
    </row>
    <row r="245" spans="2:32" ht="25.5" outlineLevel="1">
      <c r="B245" s="2011" t="s">
        <v>1254</v>
      </c>
      <c r="C245" s="2584">
        <v>14</v>
      </c>
      <c r="D245" s="1934">
        <v>40268</v>
      </c>
      <c r="E245" s="1934">
        <v>51226</v>
      </c>
      <c r="F245" s="2571" t="s">
        <v>1144</v>
      </c>
      <c r="G245" s="1937" t="s">
        <v>975</v>
      </c>
      <c r="H245" s="1937" t="s">
        <v>975</v>
      </c>
      <c r="I245" s="2043">
        <v>50</v>
      </c>
      <c r="J245" s="2044" t="s">
        <v>1136</v>
      </c>
      <c r="K245" s="2045" t="s">
        <v>999</v>
      </c>
      <c r="L245" s="2041">
        <v>0</v>
      </c>
      <c r="M245" s="1938" t="s">
        <v>1152</v>
      </c>
      <c r="N245" s="1936" t="s">
        <v>972</v>
      </c>
      <c r="O245" s="2046">
        <v>4.6649999999999997E-2</v>
      </c>
      <c r="P245" s="2047"/>
      <c r="Q245" s="1948" t="s">
        <v>1252</v>
      </c>
      <c r="R245" s="2838"/>
      <c r="S245" s="2838"/>
      <c r="T245" s="2575"/>
      <c r="U245" s="2576"/>
      <c r="V245" s="2576"/>
      <c r="W245" s="2576"/>
      <c r="X245" s="2576">
        <v>27.16928184</v>
      </c>
      <c r="Y245" s="2576">
        <v>30.427704291092397</v>
      </c>
      <c r="Z245" s="2064">
        <v>0</v>
      </c>
      <c r="AA245" s="2064">
        <v>0</v>
      </c>
      <c r="AB245" s="2064">
        <v>0</v>
      </c>
      <c r="AC245" s="2064">
        <v>0</v>
      </c>
      <c r="AD245" s="2064">
        <v>0</v>
      </c>
      <c r="AE245" s="2064">
        <v>0</v>
      </c>
      <c r="AF245" s="2064">
        <v>0</v>
      </c>
    </row>
    <row r="246" spans="2:32" ht="25.5" outlineLevel="1">
      <c r="B246" s="2011" t="s">
        <v>1255</v>
      </c>
      <c r="C246" s="2584">
        <v>15</v>
      </c>
      <c r="D246" s="1934">
        <v>40268</v>
      </c>
      <c r="E246" s="1934">
        <v>51226</v>
      </c>
      <c r="F246" s="2571" t="s">
        <v>1144</v>
      </c>
      <c r="G246" s="1937" t="s">
        <v>975</v>
      </c>
      <c r="H246" s="1937" t="s">
        <v>975</v>
      </c>
      <c r="I246" s="2043">
        <v>25</v>
      </c>
      <c r="J246" s="2044" t="s">
        <v>1136</v>
      </c>
      <c r="K246" s="2045" t="s">
        <v>999</v>
      </c>
      <c r="L246" s="2041">
        <v>0</v>
      </c>
      <c r="M246" s="1938" t="s">
        <v>1152</v>
      </c>
      <c r="N246" s="1936" t="s">
        <v>972</v>
      </c>
      <c r="O246" s="2046">
        <v>4.6699999999999998E-2</v>
      </c>
      <c r="P246" s="2047"/>
      <c r="Q246" s="1948" t="s">
        <v>1167</v>
      </c>
      <c r="R246" s="2838"/>
      <c r="S246" s="2838"/>
      <c r="T246" s="2575"/>
      <c r="U246" s="2576"/>
      <c r="V246" s="2576"/>
      <c r="W246" s="2576"/>
      <c r="X246" s="2576">
        <v>13.60640551</v>
      </c>
      <c r="Y246" s="2576">
        <v>15.236825258356532</v>
      </c>
      <c r="Z246" s="2064">
        <v>0</v>
      </c>
      <c r="AA246" s="2064">
        <v>0</v>
      </c>
      <c r="AB246" s="2064">
        <v>0</v>
      </c>
      <c r="AC246" s="2064">
        <v>0</v>
      </c>
      <c r="AD246" s="2064">
        <v>0</v>
      </c>
      <c r="AE246" s="2064">
        <v>0</v>
      </c>
      <c r="AF246" s="2064">
        <v>0</v>
      </c>
    </row>
    <row r="247" spans="2:32" ht="25.5" outlineLevel="1">
      <c r="B247" s="2011" t="s">
        <v>1256</v>
      </c>
      <c r="C247" s="2584">
        <v>20</v>
      </c>
      <c r="D247" s="1934">
        <v>40268</v>
      </c>
      <c r="E247" s="1934">
        <v>51226</v>
      </c>
      <c r="F247" s="2571" t="s">
        <v>1142</v>
      </c>
      <c r="G247" s="1937" t="s">
        <v>975</v>
      </c>
      <c r="H247" s="1937" t="s">
        <v>975</v>
      </c>
      <c r="I247" s="2043">
        <v>75</v>
      </c>
      <c r="J247" s="2044" t="s">
        <v>1136</v>
      </c>
      <c r="K247" s="2045" t="s">
        <v>972</v>
      </c>
      <c r="L247" s="2041">
        <v>4.0329999999999998E-2</v>
      </c>
      <c r="M247" s="1938"/>
      <c r="N247" s="1936" t="s">
        <v>999</v>
      </c>
      <c r="O247" s="2046">
        <v>0</v>
      </c>
      <c r="P247" s="2047" t="s">
        <v>1152</v>
      </c>
      <c r="Q247" s="1948" t="s">
        <v>1153</v>
      </c>
      <c r="R247" s="2838"/>
      <c r="S247" s="2838"/>
      <c r="T247" s="2575"/>
      <c r="U247" s="2576"/>
      <c r="V247" s="2576"/>
      <c r="W247" s="2576"/>
      <c r="X247" s="2576">
        <v>-33.435164989333337</v>
      </c>
      <c r="Y247" s="2576">
        <v>-38.112269945347961</v>
      </c>
      <c r="Z247" s="2064">
        <v>0</v>
      </c>
      <c r="AA247" s="2064">
        <v>0</v>
      </c>
      <c r="AB247" s="2064">
        <v>0</v>
      </c>
      <c r="AC247" s="2064">
        <v>0</v>
      </c>
      <c r="AD247" s="2064">
        <v>0</v>
      </c>
      <c r="AE247" s="2064">
        <v>0</v>
      </c>
      <c r="AF247" s="2064">
        <v>0</v>
      </c>
    </row>
    <row r="248" spans="2:32" ht="25.5" outlineLevel="1">
      <c r="B248" s="2011" t="s">
        <v>1257</v>
      </c>
      <c r="C248" s="2584">
        <v>18</v>
      </c>
      <c r="D248" s="1934">
        <v>40268</v>
      </c>
      <c r="E248" s="1934">
        <v>51226</v>
      </c>
      <c r="F248" s="2571" t="s">
        <v>1142</v>
      </c>
      <c r="G248" s="1937" t="s">
        <v>975</v>
      </c>
      <c r="H248" s="1937" t="s">
        <v>975</v>
      </c>
      <c r="I248" s="2043">
        <v>50</v>
      </c>
      <c r="J248" s="2044" t="s">
        <v>1136</v>
      </c>
      <c r="K248" s="2045" t="s">
        <v>972</v>
      </c>
      <c r="L248" s="2041">
        <v>4.0855000000000002E-2</v>
      </c>
      <c r="M248" s="1938"/>
      <c r="N248" s="1936" t="s">
        <v>999</v>
      </c>
      <c r="O248" s="2046">
        <v>0</v>
      </c>
      <c r="P248" s="2047" t="s">
        <v>1152</v>
      </c>
      <c r="Q248" s="1948" t="s">
        <v>1252</v>
      </c>
      <c r="R248" s="2838"/>
      <c r="S248" s="2838"/>
      <c r="T248" s="2575"/>
      <c r="U248" s="2576"/>
      <c r="V248" s="2576"/>
      <c r="W248" s="2576"/>
      <c r="X248" s="2576">
        <v>-22.753088048000002</v>
      </c>
      <c r="Y248" s="2576">
        <v>-25.481971948454927</v>
      </c>
      <c r="Z248" s="2064">
        <v>0</v>
      </c>
      <c r="AA248" s="2064">
        <v>0</v>
      </c>
      <c r="AB248" s="2064">
        <v>0</v>
      </c>
      <c r="AC248" s="2064">
        <v>0</v>
      </c>
      <c r="AD248" s="2064">
        <v>0</v>
      </c>
      <c r="AE248" s="2064">
        <v>0</v>
      </c>
      <c r="AF248" s="2064">
        <v>0</v>
      </c>
    </row>
    <row r="249" spans="2:32" ht="25.5" outlineLevel="1">
      <c r="B249" s="2011" t="s">
        <v>1258</v>
      </c>
      <c r="C249" s="2584">
        <v>100</v>
      </c>
      <c r="D249" s="1934">
        <v>40268</v>
      </c>
      <c r="E249" s="1934">
        <v>51226</v>
      </c>
      <c r="F249" s="2571" t="s">
        <v>1142</v>
      </c>
      <c r="G249" s="1937" t="s">
        <v>975</v>
      </c>
      <c r="H249" s="1937" t="s">
        <v>975</v>
      </c>
      <c r="I249" s="2043">
        <v>50</v>
      </c>
      <c r="J249" s="2044" t="s">
        <v>1136</v>
      </c>
      <c r="K249" s="2045" t="s">
        <v>972</v>
      </c>
      <c r="L249" s="2041">
        <v>4.1130000000000007E-2</v>
      </c>
      <c r="M249" s="1938"/>
      <c r="N249" s="1936" t="s">
        <v>999</v>
      </c>
      <c r="O249" s="2046">
        <v>0</v>
      </c>
      <c r="P249" s="2047" t="s">
        <v>1152</v>
      </c>
      <c r="Q249" s="1948" t="s">
        <v>1167</v>
      </c>
      <c r="R249" s="2838"/>
      <c r="S249" s="2838"/>
      <c r="T249" s="2575"/>
      <c r="U249" s="2576"/>
      <c r="V249" s="2576"/>
      <c r="W249" s="2576"/>
      <c r="X249" s="2576">
        <v>-22.952736664000003</v>
      </c>
      <c r="Y249" s="2576">
        <v>-25.917532123661999</v>
      </c>
      <c r="Z249" s="2064">
        <v>0</v>
      </c>
      <c r="AA249" s="2064">
        <v>0</v>
      </c>
      <c r="AB249" s="2064">
        <v>0</v>
      </c>
      <c r="AC249" s="2064">
        <v>0</v>
      </c>
      <c r="AD249" s="2064">
        <v>0</v>
      </c>
      <c r="AE249" s="2064">
        <v>0</v>
      </c>
      <c r="AF249" s="2064">
        <v>0</v>
      </c>
    </row>
    <row r="250" spans="2:32" ht="25.5" outlineLevel="1">
      <c r="B250" s="2011" t="s">
        <v>1259</v>
      </c>
      <c r="C250" s="2584">
        <v>19</v>
      </c>
      <c r="D250" s="1934">
        <v>40268</v>
      </c>
      <c r="E250" s="1934">
        <v>51226</v>
      </c>
      <c r="F250" s="2571" t="s">
        <v>1142</v>
      </c>
      <c r="G250" s="1937" t="s">
        <v>975</v>
      </c>
      <c r="H250" s="1937" t="s">
        <v>975</v>
      </c>
      <c r="I250" s="2043">
        <v>75</v>
      </c>
      <c r="J250" s="2044" t="s">
        <v>1136</v>
      </c>
      <c r="K250" s="2045" t="s">
        <v>972</v>
      </c>
      <c r="L250" s="2041">
        <v>4.0855000000000002E-2</v>
      </c>
      <c r="M250" s="1938"/>
      <c r="N250" s="1936" t="s">
        <v>999</v>
      </c>
      <c r="O250" s="2046">
        <v>0</v>
      </c>
      <c r="P250" s="2047" t="s">
        <v>1152</v>
      </c>
      <c r="Q250" s="1948" t="s">
        <v>1167</v>
      </c>
      <c r="R250" s="2838"/>
      <c r="S250" s="2838"/>
      <c r="T250" s="2575"/>
      <c r="U250" s="2576"/>
      <c r="V250" s="2576"/>
      <c r="W250" s="2576"/>
      <c r="X250" s="2576">
        <v>-33.648740619999998</v>
      </c>
      <c r="Y250" s="2576">
        <v>-38.095140111804639</v>
      </c>
      <c r="Z250" s="2064">
        <v>0</v>
      </c>
      <c r="AA250" s="2064">
        <v>0</v>
      </c>
      <c r="AB250" s="2064">
        <v>0</v>
      </c>
      <c r="AC250" s="2064">
        <v>0</v>
      </c>
      <c r="AD250" s="2064">
        <v>0</v>
      </c>
      <c r="AE250" s="2064">
        <v>0</v>
      </c>
      <c r="AF250" s="2064">
        <v>0</v>
      </c>
    </row>
    <row r="251" spans="2:32" ht="25.5" outlineLevel="1">
      <c r="B251" s="2011" t="s">
        <v>1260</v>
      </c>
      <c r="C251" s="2584">
        <v>278</v>
      </c>
      <c r="D251" s="1934">
        <v>42116</v>
      </c>
      <c r="E251" s="1934">
        <v>45769</v>
      </c>
      <c r="F251" s="2571" t="s">
        <v>1261</v>
      </c>
      <c r="G251" s="1937" t="s">
        <v>975</v>
      </c>
      <c r="H251" s="1937" t="s">
        <v>975</v>
      </c>
      <c r="I251" s="2043">
        <v>17.5</v>
      </c>
      <c r="J251" s="2044" t="s">
        <v>1148</v>
      </c>
      <c r="K251" s="2045" t="s">
        <v>999</v>
      </c>
      <c r="L251" s="2041">
        <v>0</v>
      </c>
      <c r="M251" s="1938" t="s">
        <v>1262</v>
      </c>
      <c r="N251" s="1936" t="s">
        <v>972</v>
      </c>
      <c r="O251" s="2046">
        <v>1.524E-2</v>
      </c>
      <c r="P251" s="2047"/>
      <c r="Q251" s="1948" t="s">
        <v>1153</v>
      </c>
      <c r="R251" s="2838"/>
      <c r="S251" s="2838"/>
      <c r="T251" s="2575"/>
      <c r="U251" s="2576"/>
      <c r="V251" s="2576"/>
      <c r="W251" s="2576"/>
      <c r="X251" s="2576">
        <v>0.20607429999999999</v>
      </c>
      <c r="Y251" s="2576">
        <v>0.53645176000000006</v>
      </c>
      <c r="Z251" s="2064">
        <v>0</v>
      </c>
      <c r="AA251" s="2064">
        <v>0</v>
      </c>
      <c r="AB251" s="2064">
        <v>0</v>
      </c>
      <c r="AC251" s="2064">
        <v>0</v>
      </c>
      <c r="AD251" s="2064">
        <v>0</v>
      </c>
      <c r="AE251" s="2064">
        <v>0</v>
      </c>
      <c r="AF251" s="2064">
        <v>0</v>
      </c>
    </row>
    <row r="252" spans="2:32" ht="25.5" outlineLevel="1">
      <c r="B252" s="2011" t="s">
        <v>1263</v>
      </c>
      <c r="C252" s="2584">
        <v>268</v>
      </c>
      <c r="D252" s="1934">
        <v>42026</v>
      </c>
      <c r="E252" s="1934">
        <v>45679</v>
      </c>
      <c r="F252" s="2571" t="s">
        <v>1261</v>
      </c>
      <c r="G252" s="1937" t="s">
        <v>975</v>
      </c>
      <c r="H252" s="1937" t="s">
        <v>975</v>
      </c>
      <c r="I252" s="2043">
        <v>2.5</v>
      </c>
      <c r="J252" s="2044" t="s">
        <v>1148</v>
      </c>
      <c r="K252" s="2045" t="s">
        <v>999</v>
      </c>
      <c r="L252" s="2041">
        <v>0</v>
      </c>
      <c r="M252" s="1938" t="s">
        <v>1262</v>
      </c>
      <c r="N252" s="1936" t="s">
        <v>972</v>
      </c>
      <c r="O252" s="2046">
        <v>1.8525E-2</v>
      </c>
      <c r="P252" s="2047"/>
      <c r="Q252" s="1948" t="s">
        <v>1167</v>
      </c>
      <c r="R252" s="2838"/>
      <c r="S252" s="2838"/>
      <c r="T252" s="2575"/>
      <c r="U252" s="2576"/>
      <c r="V252" s="2576"/>
      <c r="W252" s="2576"/>
      <c r="X252" s="2576">
        <v>8.2461889999999996E-2</v>
      </c>
      <c r="Y252" s="2576">
        <v>0.12267486</v>
      </c>
      <c r="Z252" s="2064">
        <v>0</v>
      </c>
      <c r="AA252" s="2064">
        <v>0</v>
      </c>
      <c r="AB252" s="2064">
        <v>0</v>
      </c>
      <c r="AC252" s="2064">
        <v>0</v>
      </c>
      <c r="AD252" s="2064">
        <v>0</v>
      </c>
      <c r="AE252" s="2064">
        <v>0</v>
      </c>
      <c r="AF252" s="2064">
        <v>0</v>
      </c>
    </row>
    <row r="253" spans="2:32" ht="25.5" outlineLevel="1">
      <c r="B253" s="2011" t="s">
        <v>1264</v>
      </c>
      <c r="C253" s="2584">
        <v>281</v>
      </c>
      <c r="D253" s="1934">
        <v>42207</v>
      </c>
      <c r="E253" s="1934">
        <v>45860</v>
      </c>
      <c r="F253" s="2571" t="s">
        <v>1261</v>
      </c>
      <c r="G253" s="1937" t="s">
        <v>975</v>
      </c>
      <c r="H253" s="1937" t="s">
        <v>975</v>
      </c>
      <c r="I253" s="2043">
        <v>5</v>
      </c>
      <c r="J253" s="2044" t="s">
        <v>1148</v>
      </c>
      <c r="K253" s="2045" t="s">
        <v>999</v>
      </c>
      <c r="L253" s="2041">
        <v>0</v>
      </c>
      <c r="M253" s="1938" t="s">
        <v>1262</v>
      </c>
      <c r="N253" s="1936" t="s">
        <v>972</v>
      </c>
      <c r="O253" s="2046">
        <v>1.9699999999999999E-2</v>
      </c>
      <c r="P253" s="2047"/>
      <c r="Q253" s="1948" t="s">
        <v>1167</v>
      </c>
      <c r="R253" s="2838"/>
      <c r="S253" s="2838"/>
      <c r="T253" s="2575"/>
      <c r="U253" s="2576"/>
      <c r="V253" s="2576"/>
      <c r="W253" s="2576"/>
      <c r="X253" s="2576">
        <v>0.21150957000000001</v>
      </c>
      <c r="Y253" s="2576">
        <v>0.29656007000000001</v>
      </c>
      <c r="Z253" s="2064">
        <v>0</v>
      </c>
      <c r="AA253" s="2064">
        <v>0</v>
      </c>
      <c r="AB253" s="2064">
        <v>0</v>
      </c>
      <c r="AC253" s="2064">
        <v>0</v>
      </c>
      <c r="AD253" s="2064">
        <v>0</v>
      </c>
      <c r="AE253" s="2064">
        <v>0</v>
      </c>
      <c r="AF253" s="2064">
        <v>0</v>
      </c>
    </row>
    <row r="254" spans="2:32" ht="25.5" outlineLevel="1">
      <c r="B254" s="2011" t="s">
        <v>1265</v>
      </c>
      <c r="C254" s="2584">
        <v>286</v>
      </c>
      <c r="D254" s="1934">
        <v>42368</v>
      </c>
      <c r="E254" s="1934">
        <v>46021</v>
      </c>
      <c r="F254" s="2571" t="s">
        <v>1266</v>
      </c>
      <c r="G254" s="1937" t="s">
        <v>975</v>
      </c>
      <c r="H254" s="1937" t="s">
        <v>975</v>
      </c>
      <c r="I254" s="2043">
        <v>17.5</v>
      </c>
      <c r="J254" s="2044" t="s">
        <v>1148</v>
      </c>
      <c r="K254" s="2045" t="s">
        <v>999</v>
      </c>
      <c r="L254" s="2041">
        <v>0</v>
      </c>
      <c r="M254" s="1938" t="s">
        <v>1262</v>
      </c>
      <c r="N254" s="1936" t="s">
        <v>972</v>
      </c>
      <c r="O254" s="2046">
        <v>1.7819999999999999E-2</v>
      </c>
      <c r="P254" s="2047"/>
      <c r="Q254" s="1948" t="s">
        <v>1153</v>
      </c>
      <c r="R254" s="2838"/>
      <c r="S254" s="2838"/>
      <c r="T254" s="2575"/>
      <c r="U254" s="2576"/>
      <c r="V254" s="2576"/>
      <c r="W254" s="2576"/>
      <c r="X254" s="2576">
        <v>0.52541977000000006</v>
      </c>
      <c r="Y254" s="2576">
        <v>0.84166406000000005</v>
      </c>
      <c r="Z254" s="2064">
        <v>0</v>
      </c>
      <c r="AA254" s="2064">
        <v>0</v>
      </c>
      <c r="AB254" s="2064">
        <v>0</v>
      </c>
      <c r="AC254" s="2064">
        <v>0</v>
      </c>
      <c r="AD254" s="2064">
        <v>0</v>
      </c>
      <c r="AE254" s="2064">
        <v>0</v>
      </c>
      <c r="AF254" s="2064">
        <v>0</v>
      </c>
    </row>
    <row r="255" spans="2:32" ht="25.5" outlineLevel="1">
      <c r="B255" s="2011" t="s">
        <v>1267</v>
      </c>
      <c r="C255" s="2584">
        <v>284</v>
      </c>
      <c r="D255" s="1934">
        <v>42277</v>
      </c>
      <c r="E255" s="1934">
        <v>45930</v>
      </c>
      <c r="F255" s="2571" t="s">
        <v>1266</v>
      </c>
      <c r="G255" s="1937" t="s">
        <v>975</v>
      </c>
      <c r="H255" s="1937" t="s">
        <v>975</v>
      </c>
      <c r="I255" s="2043">
        <v>17.5</v>
      </c>
      <c r="J255" s="2044" t="s">
        <v>1148</v>
      </c>
      <c r="K255" s="2045" t="s">
        <v>999</v>
      </c>
      <c r="L255" s="2041">
        <v>0</v>
      </c>
      <c r="M255" s="1938" t="s">
        <v>1262</v>
      </c>
      <c r="N255" s="1936" t="s">
        <v>972</v>
      </c>
      <c r="O255" s="2046">
        <v>1.7520000000000001E-2</v>
      </c>
      <c r="P255" s="2047"/>
      <c r="Q255" s="1948" t="s">
        <v>1252</v>
      </c>
      <c r="R255" s="2838"/>
      <c r="S255" s="2838"/>
      <c r="T255" s="2575"/>
      <c r="U255" s="2576"/>
      <c r="V255" s="2576"/>
      <c r="W255" s="2576"/>
      <c r="X255" s="2576">
        <v>0.48309597999999998</v>
      </c>
      <c r="Y255" s="2576">
        <v>0.79229018000000007</v>
      </c>
      <c r="Z255" s="2064">
        <v>0</v>
      </c>
      <c r="AA255" s="2064">
        <v>0</v>
      </c>
      <c r="AB255" s="2064">
        <v>0</v>
      </c>
      <c r="AC255" s="2064">
        <v>0</v>
      </c>
      <c r="AD255" s="2064">
        <v>0</v>
      </c>
      <c r="AE255" s="2064">
        <v>0</v>
      </c>
      <c r="AF255" s="2064">
        <v>0</v>
      </c>
    </row>
    <row r="256" spans="2:32" ht="25.5" outlineLevel="1">
      <c r="B256" s="2011" t="s">
        <v>1268</v>
      </c>
      <c r="C256" s="2584">
        <v>3</v>
      </c>
      <c r="D256" s="1934">
        <v>40267</v>
      </c>
      <c r="E256" s="1934">
        <v>43920</v>
      </c>
      <c r="F256" s="2571" t="s">
        <v>1266</v>
      </c>
      <c r="G256" s="1937" t="s">
        <v>975</v>
      </c>
      <c r="H256" s="1937" t="s">
        <v>975</v>
      </c>
      <c r="I256" s="2043">
        <v>50</v>
      </c>
      <c r="J256" s="2044" t="s">
        <v>1148</v>
      </c>
      <c r="K256" s="2045" t="s">
        <v>999</v>
      </c>
      <c r="L256" s="2041">
        <v>0</v>
      </c>
      <c r="M256" s="1938" t="s">
        <v>1262</v>
      </c>
      <c r="N256" s="1936" t="s">
        <v>972</v>
      </c>
      <c r="O256" s="2046">
        <v>4.9125000000000002E-2</v>
      </c>
      <c r="P256" s="2047"/>
      <c r="Q256" s="1948" t="s">
        <v>1167</v>
      </c>
      <c r="R256" s="2838"/>
      <c r="S256" s="2838"/>
      <c r="T256" s="2575"/>
      <c r="U256" s="2576"/>
      <c r="V256" s="2576"/>
      <c r="W256" s="2576"/>
      <c r="X256" s="2576">
        <v>3.7774140899999997</v>
      </c>
      <c r="Y256" s="2576">
        <v>2.0483826399999998</v>
      </c>
      <c r="Z256" s="2064">
        <v>0</v>
      </c>
      <c r="AA256" s="2064">
        <v>0</v>
      </c>
      <c r="AB256" s="2064">
        <v>0</v>
      </c>
      <c r="AC256" s="2064">
        <v>0</v>
      </c>
      <c r="AD256" s="2064">
        <v>0</v>
      </c>
      <c r="AE256" s="2064">
        <v>0</v>
      </c>
      <c r="AF256" s="2064">
        <v>0</v>
      </c>
    </row>
    <row r="257" spans="2:32" ht="25.5" outlineLevel="1">
      <c r="B257" s="2011" t="s">
        <v>1269</v>
      </c>
      <c r="C257" s="2584">
        <v>280</v>
      </c>
      <c r="D257" s="1934">
        <v>42185</v>
      </c>
      <c r="E257" s="1934">
        <v>45838</v>
      </c>
      <c r="F257" s="2571" t="s">
        <v>1266</v>
      </c>
      <c r="G257" s="1937" t="s">
        <v>975</v>
      </c>
      <c r="H257" s="1937" t="s">
        <v>975</v>
      </c>
      <c r="I257" s="2043">
        <v>12.5</v>
      </c>
      <c r="J257" s="2044" t="s">
        <v>1148</v>
      </c>
      <c r="K257" s="2045" t="s">
        <v>999</v>
      </c>
      <c r="L257" s="2041">
        <v>0</v>
      </c>
      <c r="M257" s="1938" t="s">
        <v>1262</v>
      </c>
      <c r="N257" s="1936" t="s">
        <v>972</v>
      </c>
      <c r="O257" s="2046">
        <v>1.9525000000000001E-2</v>
      </c>
      <c r="P257" s="2047"/>
      <c r="Q257" s="1948" t="s">
        <v>1167</v>
      </c>
      <c r="R257" s="2838"/>
      <c r="S257" s="2838"/>
      <c r="T257" s="2575"/>
      <c r="U257" s="2576"/>
      <c r="V257" s="2576"/>
      <c r="W257" s="2576"/>
      <c r="X257" s="2576">
        <v>0.51096226</v>
      </c>
      <c r="Y257" s="2576">
        <v>0.70090536999999997</v>
      </c>
      <c r="Z257" s="2064">
        <v>0</v>
      </c>
      <c r="AA257" s="2064">
        <v>0</v>
      </c>
      <c r="AB257" s="2064">
        <v>0</v>
      </c>
      <c r="AC257" s="2064">
        <v>0</v>
      </c>
      <c r="AD257" s="2064">
        <v>0</v>
      </c>
      <c r="AE257" s="2064">
        <v>0</v>
      </c>
      <c r="AF257" s="2064">
        <v>0</v>
      </c>
    </row>
    <row r="258" spans="2:32" ht="25.5" outlineLevel="1">
      <c r="B258" s="2011" t="s">
        <v>1270</v>
      </c>
      <c r="C258" s="2584">
        <v>295</v>
      </c>
      <c r="D258" s="1934">
        <v>42459</v>
      </c>
      <c r="E258" s="1934">
        <v>46111</v>
      </c>
      <c r="F258" s="2571" t="s">
        <v>1266</v>
      </c>
      <c r="G258" s="1937" t="s">
        <v>975</v>
      </c>
      <c r="H258" s="1937" t="s">
        <v>975</v>
      </c>
      <c r="I258" s="2043">
        <v>2.5</v>
      </c>
      <c r="J258" s="2044" t="s">
        <v>1148</v>
      </c>
      <c r="K258" s="2045" t="s">
        <v>999</v>
      </c>
      <c r="L258" s="2041">
        <v>0</v>
      </c>
      <c r="M258" s="1938" t="s">
        <v>1262</v>
      </c>
      <c r="N258" s="1936" t="s">
        <v>972</v>
      </c>
      <c r="O258" s="2046">
        <v>1.3514999999999999E-2</v>
      </c>
      <c r="P258" s="2047"/>
      <c r="Q258" s="1948" t="s">
        <v>1167</v>
      </c>
      <c r="R258" s="2838"/>
      <c r="S258" s="2838"/>
      <c r="T258" s="2575"/>
      <c r="U258" s="2576"/>
      <c r="V258" s="2576"/>
      <c r="W258" s="2576"/>
      <c r="X258" s="2576">
        <v>-3.8041500000000001E-3</v>
      </c>
      <c r="Y258" s="2576">
        <v>5.2415999999999997E-2</v>
      </c>
      <c r="Z258" s="2064">
        <v>0</v>
      </c>
      <c r="AA258" s="2064">
        <v>0</v>
      </c>
      <c r="AB258" s="2064">
        <v>0</v>
      </c>
      <c r="AC258" s="2064">
        <v>0</v>
      </c>
      <c r="AD258" s="2064">
        <v>0</v>
      </c>
      <c r="AE258" s="2064">
        <v>0</v>
      </c>
      <c r="AF258" s="2064">
        <v>0</v>
      </c>
    </row>
    <row r="259" spans="2:32" ht="25.5" outlineLevel="1">
      <c r="B259" s="2011" t="s">
        <v>1271</v>
      </c>
      <c r="C259" s="2584">
        <v>264</v>
      </c>
      <c r="D259" s="1934">
        <v>41906</v>
      </c>
      <c r="E259" s="1934">
        <v>45559</v>
      </c>
      <c r="F259" s="2571" t="s">
        <v>1272</v>
      </c>
      <c r="G259" s="1937" t="s">
        <v>975</v>
      </c>
      <c r="H259" s="1937" t="s">
        <v>975</v>
      </c>
      <c r="I259" s="2043">
        <v>10</v>
      </c>
      <c r="J259" s="2044" t="s">
        <v>1148</v>
      </c>
      <c r="K259" s="2045" t="s">
        <v>999</v>
      </c>
      <c r="L259" s="2041">
        <v>0</v>
      </c>
      <c r="M259" s="1938" t="s">
        <v>1262</v>
      </c>
      <c r="N259" s="1936" t="s">
        <v>972</v>
      </c>
      <c r="O259" s="2046">
        <v>2.3949999999999999E-2</v>
      </c>
      <c r="P259" s="2047"/>
      <c r="Q259" s="1948" t="s">
        <v>1252</v>
      </c>
      <c r="R259" s="2838"/>
      <c r="S259" s="2838"/>
      <c r="T259" s="2575"/>
      <c r="U259" s="2576"/>
      <c r="V259" s="2576"/>
      <c r="W259" s="2576"/>
      <c r="X259" s="2576">
        <v>0.65410802000000001</v>
      </c>
      <c r="Y259" s="2576">
        <v>0.74397113000000004</v>
      </c>
      <c r="Z259" s="2064">
        <v>0</v>
      </c>
      <c r="AA259" s="2064">
        <v>0</v>
      </c>
      <c r="AB259" s="2064">
        <v>0</v>
      </c>
      <c r="AC259" s="2064">
        <v>0</v>
      </c>
      <c r="AD259" s="2064">
        <v>0</v>
      </c>
      <c r="AE259" s="2064">
        <v>0</v>
      </c>
      <c r="AF259" s="2064">
        <v>0</v>
      </c>
    </row>
    <row r="260" spans="2:32" ht="25.5" outlineLevel="1">
      <c r="B260" s="2011" t="s">
        <v>1273</v>
      </c>
      <c r="C260" s="2584">
        <v>267</v>
      </c>
      <c r="D260" s="1934">
        <v>41997</v>
      </c>
      <c r="E260" s="1934">
        <v>45650</v>
      </c>
      <c r="F260" s="2571" t="s">
        <v>1272</v>
      </c>
      <c r="G260" s="1937" t="s">
        <v>975</v>
      </c>
      <c r="H260" s="1937" t="s">
        <v>975</v>
      </c>
      <c r="I260" s="2043">
        <v>15</v>
      </c>
      <c r="J260" s="2044" t="s">
        <v>1148</v>
      </c>
      <c r="K260" s="2045" t="s">
        <v>999</v>
      </c>
      <c r="L260" s="2041">
        <v>0</v>
      </c>
      <c r="M260" s="1938" t="s">
        <v>1262</v>
      </c>
      <c r="N260" s="1936" t="s">
        <v>972</v>
      </c>
      <c r="O260" s="2046">
        <v>1.8364999999999999E-2</v>
      </c>
      <c r="P260" s="2047"/>
      <c r="Q260" s="1948" t="s">
        <v>1167</v>
      </c>
      <c r="R260" s="2838"/>
      <c r="S260" s="2838"/>
      <c r="T260" s="2575"/>
      <c r="U260" s="2576"/>
      <c r="V260" s="2576"/>
      <c r="W260" s="2576"/>
      <c r="X260" s="2576">
        <v>0.47722211999999997</v>
      </c>
      <c r="Y260" s="2576">
        <v>0.69439882999999991</v>
      </c>
      <c r="Z260" s="2064">
        <v>0</v>
      </c>
      <c r="AA260" s="2064">
        <v>0</v>
      </c>
      <c r="AB260" s="2064">
        <v>0</v>
      </c>
      <c r="AC260" s="2064">
        <v>0</v>
      </c>
      <c r="AD260" s="2064">
        <v>0</v>
      </c>
      <c r="AE260" s="2064">
        <v>0</v>
      </c>
      <c r="AF260" s="2064">
        <v>0</v>
      </c>
    </row>
    <row r="261" spans="2:32" ht="25.5" outlineLevel="1">
      <c r="B261" s="2011" t="s">
        <v>1274</v>
      </c>
      <c r="C261" s="2584">
        <v>261</v>
      </c>
      <c r="D261" s="1934">
        <v>41850</v>
      </c>
      <c r="E261" s="1934">
        <v>45503</v>
      </c>
      <c r="F261" s="2571" t="s">
        <v>1275</v>
      </c>
      <c r="G261" s="1937" t="s">
        <v>975</v>
      </c>
      <c r="H261" s="1937" t="s">
        <v>975</v>
      </c>
      <c r="I261" s="2043">
        <v>17.5</v>
      </c>
      <c r="J261" s="2044" t="s">
        <v>1148</v>
      </c>
      <c r="K261" s="2045" t="s">
        <v>999</v>
      </c>
      <c r="L261" s="2041">
        <v>0</v>
      </c>
      <c r="M261" s="1938" t="s">
        <v>1262</v>
      </c>
      <c r="N261" s="1936" t="s">
        <v>972</v>
      </c>
      <c r="O261" s="2046">
        <v>2.5739999999999999E-2</v>
      </c>
      <c r="P261" s="2047"/>
      <c r="Q261" s="1948" t="s">
        <v>1153</v>
      </c>
      <c r="R261" s="2838"/>
      <c r="S261" s="2838"/>
      <c r="T261" s="2575"/>
      <c r="U261" s="2576"/>
      <c r="V261" s="2576"/>
      <c r="W261" s="2576"/>
      <c r="X261" s="2576">
        <v>1.30654311</v>
      </c>
      <c r="Y261" s="2576">
        <v>1.4660568</v>
      </c>
      <c r="Z261" s="2064">
        <v>0</v>
      </c>
      <c r="AA261" s="2064">
        <v>0</v>
      </c>
      <c r="AB261" s="2064">
        <v>0</v>
      </c>
      <c r="AC261" s="2064">
        <v>0</v>
      </c>
      <c r="AD261" s="2064">
        <v>0</v>
      </c>
      <c r="AE261" s="2064">
        <v>0</v>
      </c>
      <c r="AF261" s="2064">
        <v>0</v>
      </c>
    </row>
    <row r="262" spans="2:32" ht="25.5" outlineLevel="1">
      <c r="B262" s="2011" t="s">
        <v>1276</v>
      </c>
      <c r="C262" s="2584">
        <v>239</v>
      </c>
      <c r="D262" s="1934">
        <v>41669</v>
      </c>
      <c r="E262" s="1934">
        <v>45321</v>
      </c>
      <c r="F262" s="2571" t="s">
        <v>1275</v>
      </c>
      <c r="G262" s="1937" t="s">
        <v>975</v>
      </c>
      <c r="H262" s="1937" t="s">
        <v>975</v>
      </c>
      <c r="I262" s="2043">
        <v>17.5</v>
      </c>
      <c r="J262" s="2044" t="s">
        <v>1148</v>
      </c>
      <c r="K262" s="2045" t="s">
        <v>999</v>
      </c>
      <c r="L262" s="2041">
        <v>0</v>
      </c>
      <c r="M262" s="1938" t="s">
        <v>1262</v>
      </c>
      <c r="N262" s="1936" t="s">
        <v>972</v>
      </c>
      <c r="O262" s="2046">
        <v>2.801E-2</v>
      </c>
      <c r="P262" s="2047"/>
      <c r="Q262" s="1948" t="s">
        <v>1252</v>
      </c>
      <c r="R262" s="2838"/>
      <c r="S262" s="2838"/>
      <c r="T262" s="2575"/>
      <c r="U262" s="2576"/>
      <c r="V262" s="2576"/>
      <c r="W262" s="2576"/>
      <c r="X262" s="2576">
        <v>1.44984709</v>
      </c>
      <c r="Y262" s="2576">
        <v>1.5516894699999999</v>
      </c>
      <c r="Z262" s="2064">
        <v>0</v>
      </c>
      <c r="AA262" s="2064">
        <v>0</v>
      </c>
      <c r="AB262" s="2064">
        <v>0</v>
      </c>
      <c r="AC262" s="2064">
        <v>0</v>
      </c>
      <c r="AD262" s="2064">
        <v>0</v>
      </c>
      <c r="AE262" s="2064">
        <v>0</v>
      </c>
      <c r="AF262" s="2064">
        <v>0</v>
      </c>
    </row>
    <row r="263" spans="2:32" ht="25.5" outlineLevel="1">
      <c r="B263" s="2011" t="s">
        <v>1277</v>
      </c>
      <c r="C263" s="2584">
        <v>259</v>
      </c>
      <c r="D263" s="1934">
        <v>41759</v>
      </c>
      <c r="E263" s="1934">
        <v>45412</v>
      </c>
      <c r="F263" s="2571" t="s">
        <v>1275</v>
      </c>
      <c r="G263" s="1937" t="s">
        <v>975</v>
      </c>
      <c r="H263" s="1937" t="s">
        <v>975</v>
      </c>
      <c r="I263" s="2043">
        <v>17.5</v>
      </c>
      <c r="J263" s="2044" t="s">
        <v>1148</v>
      </c>
      <c r="K263" s="2045" t="s">
        <v>999</v>
      </c>
      <c r="L263" s="2041">
        <v>0</v>
      </c>
      <c r="M263" s="1938" t="s">
        <v>1262</v>
      </c>
      <c r="N263" s="1936" t="s">
        <v>972</v>
      </c>
      <c r="O263" s="2046">
        <v>2.5749999999999999E-2</v>
      </c>
      <c r="P263" s="2047"/>
      <c r="Q263" s="1948" t="s">
        <v>1167</v>
      </c>
      <c r="R263" s="2838"/>
      <c r="S263" s="2838"/>
      <c r="T263" s="2575"/>
      <c r="U263" s="2576"/>
      <c r="V263" s="2576"/>
      <c r="W263" s="2576"/>
      <c r="X263" s="2576">
        <v>1.2718058700000001</v>
      </c>
      <c r="Y263" s="2576">
        <v>1.4179214899999999</v>
      </c>
      <c r="Z263" s="2064">
        <v>0</v>
      </c>
      <c r="AA263" s="2064">
        <v>0</v>
      </c>
      <c r="AB263" s="2064">
        <v>0</v>
      </c>
      <c r="AC263" s="2064">
        <v>0</v>
      </c>
      <c r="AD263" s="2064">
        <v>0</v>
      </c>
      <c r="AE263" s="2064">
        <v>0</v>
      </c>
      <c r="AF263" s="2064">
        <v>0</v>
      </c>
    </row>
    <row r="264" spans="2:32" ht="25.5" outlineLevel="1">
      <c r="B264" s="2011" t="s">
        <v>1278</v>
      </c>
      <c r="C264" s="2584">
        <v>263</v>
      </c>
      <c r="D264" s="1934">
        <v>41942</v>
      </c>
      <c r="E264" s="1934">
        <v>45595</v>
      </c>
      <c r="F264" s="2571" t="s">
        <v>1275</v>
      </c>
      <c r="G264" s="1937" t="s">
        <v>975</v>
      </c>
      <c r="H264" s="1937" t="s">
        <v>975</v>
      </c>
      <c r="I264" s="2043">
        <v>7.5</v>
      </c>
      <c r="J264" s="2044" t="s">
        <v>1148</v>
      </c>
      <c r="K264" s="2045" t="s">
        <v>999</v>
      </c>
      <c r="L264" s="2041">
        <v>0</v>
      </c>
      <c r="M264" s="1938" t="s">
        <v>1262</v>
      </c>
      <c r="N264" s="1936" t="s">
        <v>972</v>
      </c>
      <c r="O264" s="2046">
        <v>2.4199999999999999E-2</v>
      </c>
      <c r="P264" s="2047"/>
      <c r="Q264" s="1948" t="s">
        <v>1252</v>
      </c>
      <c r="R264" s="2838"/>
      <c r="S264" s="2838"/>
      <c r="T264" s="2575"/>
      <c r="U264" s="2576"/>
      <c r="V264" s="2576"/>
      <c r="W264" s="2576"/>
      <c r="X264" s="2576">
        <v>0.50738715000000001</v>
      </c>
      <c r="Y264" s="2576">
        <v>0.59148857999999993</v>
      </c>
      <c r="Z264" s="2064">
        <v>0</v>
      </c>
      <c r="AA264" s="2064">
        <v>0</v>
      </c>
      <c r="AB264" s="2064">
        <v>0</v>
      </c>
      <c r="AC264" s="2064">
        <v>0</v>
      </c>
      <c r="AD264" s="2064">
        <v>0</v>
      </c>
      <c r="AE264" s="2064">
        <v>0</v>
      </c>
      <c r="AF264" s="2064">
        <v>0</v>
      </c>
    </row>
    <row r="265" spans="2:32" ht="25.5" outlineLevel="1">
      <c r="B265" s="2011" t="s">
        <v>1279</v>
      </c>
      <c r="C265" s="2584">
        <v>94</v>
      </c>
      <c r="D265" s="1934">
        <v>41450</v>
      </c>
      <c r="E265" s="1934">
        <v>45102</v>
      </c>
      <c r="F265" s="2571" t="s">
        <v>1280</v>
      </c>
      <c r="G265" s="1937" t="s">
        <v>975</v>
      </c>
      <c r="H265" s="1937" t="s">
        <v>975</v>
      </c>
      <c r="I265" s="2043">
        <v>17.5</v>
      </c>
      <c r="J265" s="2044" t="s">
        <v>1148</v>
      </c>
      <c r="K265" s="2045" t="s">
        <v>999</v>
      </c>
      <c r="L265" s="2041">
        <v>0</v>
      </c>
      <c r="M265" s="1938" t="s">
        <v>1262</v>
      </c>
      <c r="N265" s="1936" t="s">
        <v>972</v>
      </c>
      <c r="O265" s="2046">
        <v>2.4570000000000002E-2</v>
      </c>
      <c r="P265" s="2047"/>
      <c r="Q265" s="1948" t="s">
        <v>1153</v>
      </c>
      <c r="R265" s="2838"/>
      <c r="S265" s="2838"/>
      <c r="T265" s="2575"/>
      <c r="U265" s="2576"/>
      <c r="V265" s="2576"/>
      <c r="W265" s="2576"/>
      <c r="X265" s="2576">
        <v>1.0215802300000001</v>
      </c>
      <c r="Y265" s="2576">
        <v>1.0898770099999999</v>
      </c>
      <c r="Z265" s="2064">
        <v>0</v>
      </c>
      <c r="AA265" s="2064">
        <v>0</v>
      </c>
      <c r="AB265" s="2064">
        <v>0</v>
      </c>
      <c r="AC265" s="2064">
        <v>0</v>
      </c>
      <c r="AD265" s="2064">
        <v>0</v>
      </c>
      <c r="AE265" s="2064">
        <v>0</v>
      </c>
      <c r="AF265" s="2064">
        <v>0</v>
      </c>
    </row>
    <row r="266" spans="2:32" ht="25.5" outlineLevel="1">
      <c r="B266" s="2011" t="s">
        <v>1281</v>
      </c>
      <c r="C266" s="2584">
        <v>95</v>
      </c>
      <c r="D266" s="1934">
        <v>41542</v>
      </c>
      <c r="E266" s="1934">
        <v>45194</v>
      </c>
      <c r="F266" s="2571" t="s">
        <v>1280</v>
      </c>
      <c r="G266" s="1937" t="s">
        <v>975</v>
      </c>
      <c r="H266" s="1937" t="s">
        <v>975</v>
      </c>
      <c r="I266" s="2043">
        <v>17.5</v>
      </c>
      <c r="J266" s="2044" t="s">
        <v>1148</v>
      </c>
      <c r="K266" s="2045" t="s">
        <v>999</v>
      </c>
      <c r="L266" s="2041">
        <v>0</v>
      </c>
      <c r="M266" s="1938" t="s">
        <v>1262</v>
      </c>
      <c r="N266" s="1936" t="s">
        <v>972</v>
      </c>
      <c r="O266" s="2046">
        <v>2.7193999999999999E-2</v>
      </c>
      <c r="P266" s="2047"/>
      <c r="Q266" s="1948" t="s">
        <v>1167</v>
      </c>
      <c r="R266" s="2838"/>
      <c r="S266" s="2838"/>
      <c r="T266" s="2575"/>
      <c r="U266" s="2576"/>
      <c r="V266" s="2576"/>
      <c r="W266" s="2576"/>
      <c r="X266" s="2576">
        <v>1.3059878500000002</v>
      </c>
      <c r="Y266" s="2576">
        <v>1.3489908700000002</v>
      </c>
      <c r="Z266" s="2064">
        <v>0</v>
      </c>
      <c r="AA266" s="2064">
        <v>0</v>
      </c>
      <c r="AB266" s="2064">
        <v>0</v>
      </c>
      <c r="AC266" s="2064">
        <v>0</v>
      </c>
      <c r="AD266" s="2064">
        <v>0</v>
      </c>
      <c r="AE266" s="2064">
        <v>0</v>
      </c>
      <c r="AF266" s="2064">
        <v>0</v>
      </c>
    </row>
    <row r="267" spans="2:32" ht="25.5" outlineLevel="1">
      <c r="B267" s="2011" t="s">
        <v>1282</v>
      </c>
      <c r="C267" s="2584">
        <v>315</v>
      </c>
      <c r="D267" s="1934">
        <v>42821</v>
      </c>
      <c r="E267" s="1934">
        <v>45741</v>
      </c>
      <c r="F267" s="2571" t="s">
        <v>1280</v>
      </c>
      <c r="G267" s="1937" t="s">
        <v>975</v>
      </c>
      <c r="H267" s="1937" t="s">
        <v>975</v>
      </c>
      <c r="I267" s="2043" t="s">
        <v>1283</v>
      </c>
      <c r="J267" s="2044" t="s">
        <v>1148</v>
      </c>
      <c r="K267" s="2045" t="s">
        <v>999</v>
      </c>
      <c r="L267" s="2041">
        <v>0</v>
      </c>
      <c r="M267" s="1938" t="s">
        <v>1262</v>
      </c>
      <c r="N267" s="1936" t="s">
        <v>972</v>
      </c>
      <c r="O267" s="2046">
        <v>8.4399999999999996E-3</v>
      </c>
      <c r="P267" s="2047"/>
      <c r="Q267" s="1948" t="s">
        <v>1252</v>
      </c>
      <c r="R267" s="2838"/>
      <c r="S267" s="2838"/>
      <c r="T267" s="2575"/>
      <c r="U267" s="2576"/>
      <c r="V267" s="2576"/>
      <c r="W267" s="2576"/>
      <c r="X267" s="2576">
        <v>-0.17404070000000002</v>
      </c>
      <c r="Y267" s="2576">
        <v>-2.9282369999999999E-2</v>
      </c>
      <c r="Z267" s="2064">
        <v>0</v>
      </c>
      <c r="AA267" s="2064">
        <v>0</v>
      </c>
      <c r="AB267" s="2064">
        <v>0</v>
      </c>
      <c r="AC267" s="2064">
        <v>0</v>
      </c>
      <c r="AD267" s="2064">
        <v>0</v>
      </c>
      <c r="AE267" s="2064">
        <v>0</v>
      </c>
      <c r="AF267" s="2064">
        <v>0</v>
      </c>
    </row>
    <row r="268" spans="2:32" ht="25.5" outlineLevel="1">
      <c r="B268" s="2011" t="s">
        <v>1284</v>
      </c>
      <c r="C268" s="2584">
        <v>272</v>
      </c>
      <c r="D268" s="1934">
        <v>42094</v>
      </c>
      <c r="E268" s="1934">
        <v>45747</v>
      </c>
      <c r="F268" s="2571" t="s">
        <v>1285</v>
      </c>
      <c r="G268" s="1937" t="s">
        <v>975</v>
      </c>
      <c r="H268" s="1937" t="s">
        <v>975</v>
      </c>
      <c r="I268" s="2043">
        <v>10</v>
      </c>
      <c r="J268" s="2044" t="s">
        <v>1148</v>
      </c>
      <c r="K268" s="2045" t="s">
        <v>999</v>
      </c>
      <c r="L268" s="2041">
        <v>0</v>
      </c>
      <c r="M268" s="1938" t="s">
        <v>1262</v>
      </c>
      <c r="N268" s="1936" t="s">
        <v>972</v>
      </c>
      <c r="O268" s="2046">
        <v>1.6369999999999999E-2</v>
      </c>
      <c r="P268" s="2047"/>
      <c r="Q268" s="1948" t="s">
        <v>1153</v>
      </c>
      <c r="R268" s="2838"/>
      <c r="S268" s="2838"/>
      <c r="T268" s="2575"/>
      <c r="U268" s="2576"/>
      <c r="V268" s="2576"/>
      <c r="W268" s="2576"/>
      <c r="X268" s="2576">
        <v>0.19180190999999999</v>
      </c>
      <c r="Y268" s="2576">
        <v>0.35975428000000004</v>
      </c>
      <c r="Z268" s="2064">
        <v>0</v>
      </c>
      <c r="AA268" s="2064">
        <v>0</v>
      </c>
      <c r="AB268" s="2064">
        <v>0</v>
      </c>
      <c r="AC268" s="2064">
        <v>0</v>
      </c>
      <c r="AD268" s="2064">
        <v>0</v>
      </c>
      <c r="AE268" s="2064">
        <v>0</v>
      </c>
      <c r="AF268" s="2064">
        <v>0</v>
      </c>
    </row>
    <row r="269" spans="2:32" ht="25.5" outlineLevel="1">
      <c r="B269" s="2011" t="s">
        <v>1286</v>
      </c>
      <c r="C269" s="2584">
        <v>273</v>
      </c>
      <c r="D269" s="1934">
        <v>42094</v>
      </c>
      <c r="E269" s="1934">
        <v>45747</v>
      </c>
      <c r="F269" s="2571" t="s">
        <v>1285</v>
      </c>
      <c r="G269" s="1937" t="s">
        <v>975</v>
      </c>
      <c r="H269" s="1937" t="s">
        <v>975</v>
      </c>
      <c r="I269" s="2043">
        <v>10</v>
      </c>
      <c r="J269" s="2044" t="s">
        <v>1148</v>
      </c>
      <c r="K269" s="2045" t="s">
        <v>999</v>
      </c>
      <c r="L269" s="2041">
        <v>0</v>
      </c>
      <c r="M269" s="1938" t="s">
        <v>1262</v>
      </c>
      <c r="N269" s="1936" t="s">
        <v>972</v>
      </c>
      <c r="O269" s="2046">
        <v>1.644E-2</v>
      </c>
      <c r="P269" s="2047"/>
      <c r="Q269" s="1948" t="s">
        <v>1252</v>
      </c>
      <c r="R269" s="2838"/>
      <c r="S269" s="2838"/>
      <c r="T269" s="2575"/>
      <c r="U269" s="2576"/>
      <c r="V269" s="2576"/>
      <c r="W269" s="2576"/>
      <c r="X269" s="2576">
        <v>0.19697108999999999</v>
      </c>
      <c r="Y269" s="2576">
        <v>0.36563072999999996</v>
      </c>
      <c r="Z269" s="2064">
        <v>0</v>
      </c>
      <c r="AA269" s="2064">
        <v>0</v>
      </c>
      <c r="AB269" s="2064">
        <v>0</v>
      </c>
      <c r="AC269" s="2064">
        <v>0</v>
      </c>
      <c r="AD269" s="2064">
        <v>0</v>
      </c>
      <c r="AE269" s="2064">
        <v>0</v>
      </c>
      <c r="AF269" s="2064">
        <v>0</v>
      </c>
    </row>
    <row r="270" spans="2:32" ht="25.5" outlineLevel="1">
      <c r="B270" s="2011" t="s">
        <v>1287</v>
      </c>
      <c r="C270" s="2584">
        <v>274</v>
      </c>
      <c r="D270" s="1934">
        <v>42094</v>
      </c>
      <c r="E270" s="1934">
        <v>45747</v>
      </c>
      <c r="F270" s="2571" t="s">
        <v>1285</v>
      </c>
      <c r="G270" s="1937" t="s">
        <v>975</v>
      </c>
      <c r="H270" s="1937" t="s">
        <v>975</v>
      </c>
      <c r="I270" s="2043">
        <v>10</v>
      </c>
      <c r="J270" s="2044" t="s">
        <v>1148</v>
      </c>
      <c r="K270" s="2045" t="s">
        <v>999</v>
      </c>
      <c r="L270" s="2041">
        <v>0</v>
      </c>
      <c r="M270" s="1938" t="s">
        <v>1262</v>
      </c>
      <c r="N270" s="1936" t="s">
        <v>972</v>
      </c>
      <c r="O270" s="2046">
        <v>1.635E-2</v>
      </c>
      <c r="P270" s="2047"/>
      <c r="Q270" s="1948" t="s">
        <v>1167</v>
      </c>
      <c r="R270" s="2838"/>
      <c r="S270" s="2838"/>
      <c r="T270" s="2575"/>
      <c r="U270" s="2576"/>
      <c r="V270" s="2576"/>
      <c r="W270" s="2576"/>
      <c r="X270" s="2576">
        <v>0.19111741000000002</v>
      </c>
      <c r="Y270" s="2576">
        <v>0.36066133</v>
      </c>
      <c r="Z270" s="2064">
        <v>0</v>
      </c>
      <c r="AA270" s="2064">
        <v>0</v>
      </c>
      <c r="AB270" s="2064">
        <v>0</v>
      </c>
      <c r="AC270" s="2064">
        <v>0</v>
      </c>
      <c r="AD270" s="2064">
        <v>0</v>
      </c>
      <c r="AE270" s="2064">
        <v>0</v>
      </c>
      <c r="AF270" s="2064">
        <v>0</v>
      </c>
    </row>
    <row r="271" spans="2:32" ht="25.5" outlineLevel="1">
      <c r="B271" s="2011" t="s">
        <v>1288</v>
      </c>
      <c r="C271" s="2584">
        <v>289</v>
      </c>
      <c r="D271" s="1934">
        <v>42429</v>
      </c>
      <c r="E271" s="1934">
        <v>46080</v>
      </c>
      <c r="F271" s="2571" t="s">
        <v>1289</v>
      </c>
      <c r="G271" s="1937" t="s">
        <v>975</v>
      </c>
      <c r="H271" s="1937" t="s">
        <v>975</v>
      </c>
      <c r="I271" s="2043">
        <v>15</v>
      </c>
      <c r="J271" s="2044" t="s">
        <v>1148</v>
      </c>
      <c r="K271" s="2045" t="s">
        <v>999</v>
      </c>
      <c r="L271" s="2041">
        <v>0</v>
      </c>
      <c r="M271" s="1938" t="s">
        <v>1262</v>
      </c>
      <c r="N271" s="1936" t="s">
        <v>972</v>
      </c>
      <c r="O271" s="2046">
        <v>1.3405E-2</v>
      </c>
      <c r="P271" s="2047"/>
      <c r="Q271" s="1948" t="s">
        <v>1167</v>
      </c>
      <c r="R271" s="2838"/>
      <c r="S271" s="2838"/>
      <c r="T271" s="2575"/>
      <c r="U271" s="2576"/>
      <c r="V271" s="2576"/>
      <c r="W271" s="2576"/>
      <c r="X271" s="2576">
        <v>-3.0853040000000002E-2</v>
      </c>
      <c r="Y271" s="2576">
        <v>0.30708446</v>
      </c>
      <c r="Z271" s="2064">
        <v>0</v>
      </c>
      <c r="AA271" s="2064">
        <v>0</v>
      </c>
      <c r="AB271" s="2064">
        <v>0</v>
      </c>
      <c r="AC271" s="2064">
        <v>0</v>
      </c>
      <c r="AD271" s="2064">
        <v>0</v>
      </c>
      <c r="AE271" s="2064">
        <v>0</v>
      </c>
      <c r="AF271" s="2064">
        <v>0</v>
      </c>
    </row>
    <row r="272" spans="2:32" ht="25.5" outlineLevel="1">
      <c r="B272" s="2011" t="s">
        <v>1290</v>
      </c>
      <c r="C272" s="2584">
        <v>290</v>
      </c>
      <c r="D272" s="1934">
        <v>42429</v>
      </c>
      <c r="E272" s="1934">
        <v>46080</v>
      </c>
      <c r="F272" s="2571" t="s">
        <v>1289</v>
      </c>
      <c r="G272" s="1937" t="s">
        <v>975</v>
      </c>
      <c r="H272" s="1937" t="s">
        <v>975</v>
      </c>
      <c r="I272" s="2043">
        <v>5</v>
      </c>
      <c r="J272" s="2044" t="s">
        <v>1148</v>
      </c>
      <c r="K272" s="2045" t="s">
        <v>999</v>
      </c>
      <c r="L272" s="2041">
        <v>0</v>
      </c>
      <c r="M272" s="1938" t="s">
        <v>1262</v>
      </c>
      <c r="N272" s="1936" t="s">
        <v>972</v>
      </c>
      <c r="O272" s="2046">
        <v>1.3424999999999999E-2</v>
      </c>
      <c r="P272" s="2047"/>
      <c r="Q272" s="1948" t="s">
        <v>1252</v>
      </c>
      <c r="R272" s="2838"/>
      <c r="S272" s="2838"/>
      <c r="T272" s="2575"/>
      <c r="U272" s="2576"/>
      <c r="V272" s="2576"/>
      <c r="W272" s="2576"/>
      <c r="X272" s="2576">
        <v>-9.4669899999999998E-3</v>
      </c>
      <c r="Y272" s="2576">
        <v>0.10296699000000001</v>
      </c>
      <c r="Z272" s="2064">
        <v>0</v>
      </c>
      <c r="AA272" s="2064">
        <v>0</v>
      </c>
      <c r="AB272" s="2064">
        <v>0</v>
      </c>
      <c r="AC272" s="2064">
        <v>0</v>
      </c>
      <c r="AD272" s="2064">
        <v>0</v>
      </c>
      <c r="AE272" s="2064">
        <v>0</v>
      </c>
      <c r="AF272" s="2064">
        <v>0</v>
      </c>
    </row>
    <row r="273" spans="2:32" ht="25.5" outlineLevel="1">
      <c r="B273" s="2011" t="s">
        <v>1291</v>
      </c>
      <c r="C273" s="2584">
        <v>291</v>
      </c>
      <c r="D273" s="1934">
        <v>42429</v>
      </c>
      <c r="E273" s="1934">
        <v>46080</v>
      </c>
      <c r="F273" s="2571" t="s">
        <v>1289</v>
      </c>
      <c r="G273" s="1937" t="s">
        <v>975</v>
      </c>
      <c r="H273" s="1937" t="s">
        <v>975</v>
      </c>
      <c r="I273" s="2043">
        <v>10</v>
      </c>
      <c r="J273" s="2044" t="s">
        <v>1148</v>
      </c>
      <c r="K273" s="2045" t="s">
        <v>999</v>
      </c>
      <c r="L273" s="2041">
        <v>0</v>
      </c>
      <c r="M273" s="1938" t="s">
        <v>1262</v>
      </c>
      <c r="N273" s="1936" t="s">
        <v>972</v>
      </c>
      <c r="O273" s="2046">
        <v>1.325E-2</v>
      </c>
      <c r="P273" s="2047"/>
      <c r="Q273" s="1948" t="s">
        <v>1153</v>
      </c>
      <c r="R273" s="2838"/>
      <c r="S273" s="2838"/>
      <c r="T273" s="2575"/>
      <c r="U273" s="2576"/>
      <c r="V273" s="2576"/>
      <c r="W273" s="2576"/>
      <c r="X273" s="2576">
        <v>-3.1541150000000004E-2</v>
      </c>
      <c r="Y273" s="2576">
        <v>0.19336523</v>
      </c>
      <c r="Z273" s="2064">
        <v>0</v>
      </c>
      <c r="AA273" s="2064">
        <v>0</v>
      </c>
      <c r="AB273" s="2064">
        <v>0</v>
      </c>
      <c r="AC273" s="2064">
        <v>0</v>
      </c>
      <c r="AD273" s="2064">
        <v>0</v>
      </c>
      <c r="AE273" s="2064">
        <v>0</v>
      </c>
      <c r="AF273" s="2064">
        <v>0</v>
      </c>
    </row>
    <row r="274" spans="2:32" ht="25.5" outlineLevel="1">
      <c r="B274" s="2011" t="s">
        <v>1292</v>
      </c>
      <c r="C274" s="2584">
        <v>303</v>
      </c>
      <c r="D274" s="1934">
        <v>42724</v>
      </c>
      <c r="E274" s="1934">
        <v>42906</v>
      </c>
      <c r="F274" s="2571" t="s">
        <v>1293</v>
      </c>
      <c r="G274" s="1937" t="s">
        <v>975</v>
      </c>
      <c r="H274" s="1937" t="s">
        <v>975</v>
      </c>
      <c r="I274" s="2043">
        <v>10</v>
      </c>
      <c r="J274" s="2044" t="s">
        <v>1148</v>
      </c>
      <c r="K274" s="2045" t="s">
        <v>999</v>
      </c>
      <c r="L274" s="2041">
        <v>0</v>
      </c>
      <c r="M274" s="1938" t="s">
        <v>1262</v>
      </c>
      <c r="N274" s="1936" t="s">
        <v>972</v>
      </c>
      <c r="O274" s="2046">
        <v>4.0150000000000003E-3</v>
      </c>
      <c r="P274" s="2047"/>
      <c r="Q274" s="1948" t="s">
        <v>1167</v>
      </c>
      <c r="R274" s="2838"/>
      <c r="S274" s="2838"/>
      <c r="T274" s="2575"/>
      <c r="U274" s="2576"/>
      <c r="V274" s="2576"/>
      <c r="W274" s="2576"/>
      <c r="X274" s="2576">
        <v>0</v>
      </c>
      <c r="Y274" s="2576">
        <v>0</v>
      </c>
      <c r="Z274" s="2064">
        <v>0</v>
      </c>
      <c r="AA274" s="2064">
        <v>0</v>
      </c>
      <c r="AB274" s="2064">
        <v>0</v>
      </c>
      <c r="AC274" s="2064">
        <v>0</v>
      </c>
      <c r="AD274" s="2064">
        <v>0</v>
      </c>
      <c r="AE274" s="2064">
        <v>0</v>
      </c>
      <c r="AF274" s="2064">
        <v>0</v>
      </c>
    </row>
    <row r="275" spans="2:32" ht="25.5" outlineLevel="1">
      <c r="B275" s="2011" t="s">
        <v>1294</v>
      </c>
      <c r="C275" s="2584">
        <v>300</v>
      </c>
      <c r="D275" s="1934">
        <v>42724</v>
      </c>
      <c r="E275" s="1934">
        <v>42998</v>
      </c>
      <c r="F275" s="2571" t="s">
        <v>1293</v>
      </c>
      <c r="G275" s="1937" t="s">
        <v>975</v>
      </c>
      <c r="H275" s="1937" t="s">
        <v>975</v>
      </c>
      <c r="I275" s="2043">
        <v>10</v>
      </c>
      <c r="J275" s="2044" t="s">
        <v>1148</v>
      </c>
      <c r="K275" s="2045" t="s">
        <v>999</v>
      </c>
      <c r="L275" s="2041">
        <v>0</v>
      </c>
      <c r="M275" s="1938" t="s">
        <v>1262</v>
      </c>
      <c r="N275" s="1936" t="s">
        <v>972</v>
      </c>
      <c r="O275" s="2046">
        <v>4.1700000000000001E-3</v>
      </c>
      <c r="P275" s="2047"/>
      <c r="Q275" s="1948" t="s">
        <v>1167</v>
      </c>
      <c r="R275" s="2838"/>
      <c r="S275" s="2838"/>
      <c r="T275" s="2575"/>
      <c r="U275" s="2576"/>
      <c r="V275" s="2576"/>
      <c r="W275" s="2576"/>
      <c r="X275" s="2576">
        <v>0</v>
      </c>
      <c r="Y275" s="2576">
        <v>0</v>
      </c>
      <c r="Z275" s="2064">
        <v>0</v>
      </c>
      <c r="AA275" s="2064">
        <v>0</v>
      </c>
      <c r="AB275" s="2064">
        <v>0</v>
      </c>
      <c r="AC275" s="2064">
        <v>0</v>
      </c>
      <c r="AD275" s="2064">
        <v>0</v>
      </c>
      <c r="AE275" s="2064">
        <v>0</v>
      </c>
      <c r="AF275" s="2064">
        <v>0</v>
      </c>
    </row>
    <row r="276" spans="2:32" ht="25.5" outlineLevel="1">
      <c r="B276" s="2011" t="s">
        <v>1295</v>
      </c>
      <c r="C276" s="2584">
        <v>306</v>
      </c>
      <c r="D276" s="1934">
        <v>42814</v>
      </c>
      <c r="E276" s="1934">
        <v>46466</v>
      </c>
      <c r="F276" s="2571" t="s">
        <v>1293</v>
      </c>
      <c r="G276" s="1937" t="s">
        <v>975</v>
      </c>
      <c r="H276" s="1937" t="s">
        <v>975</v>
      </c>
      <c r="I276" s="2043">
        <v>15</v>
      </c>
      <c r="J276" s="2044" t="s">
        <v>1148</v>
      </c>
      <c r="K276" s="2045" t="s">
        <v>999</v>
      </c>
      <c r="L276" s="2041">
        <v>0</v>
      </c>
      <c r="M276" s="1938" t="s">
        <v>1262</v>
      </c>
      <c r="N276" s="1936" t="s">
        <v>972</v>
      </c>
      <c r="O276" s="2046">
        <v>1.1335E-2</v>
      </c>
      <c r="P276" s="2047"/>
      <c r="Q276" s="1948" t="s">
        <v>1172</v>
      </c>
      <c r="R276" s="2838"/>
      <c r="S276" s="2838"/>
      <c r="T276" s="2575"/>
      <c r="U276" s="2576"/>
      <c r="V276" s="2576"/>
      <c r="W276" s="2576"/>
      <c r="X276" s="2576">
        <v>-0.32175904</v>
      </c>
      <c r="Y276" s="2576">
        <v>7.8758670000000003E-2</v>
      </c>
      <c r="Z276" s="2064">
        <v>0</v>
      </c>
      <c r="AA276" s="2064">
        <v>0</v>
      </c>
      <c r="AB276" s="2064">
        <v>0</v>
      </c>
      <c r="AC276" s="2064">
        <v>0</v>
      </c>
      <c r="AD276" s="2064">
        <v>0</v>
      </c>
      <c r="AE276" s="2064">
        <v>0</v>
      </c>
      <c r="AF276" s="2064">
        <v>0</v>
      </c>
    </row>
    <row r="277" spans="2:32" ht="25.5" outlineLevel="1">
      <c r="B277" s="2011" t="s">
        <v>1296</v>
      </c>
      <c r="C277" s="2584">
        <v>308</v>
      </c>
      <c r="D277" s="1934">
        <v>42814</v>
      </c>
      <c r="E277" s="1934">
        <v>46466</v>
      </c>
      <c r="F277" s="2571" t="s">
        <v>1293</v>
      </c>
      <c r="G277" s="1937" t="s">
        <v>975</v>
      </c>
      <c r="H277" s="1937" t="s">
        <v>975</v>
      </c>
      <c r="I277" s="2043">
        <v>15</v>
      </c>
      <c r="J277" s="2044" t="s">
        <v>1148</v>
      </c>
      <c r="K277" s="2045" t="s">
        <v>999</v>
      </c>
      <c r="L277" s="2041">
        <v>0</v>
      </c>
      <c r="M277" s="1938" t="s">
        <v>1262</v>
      </c>
      <c r="N277" s="1936" t="s">
        <v>972</v>
      </c>
      <c r="O277" s="2046">
        <v>1.1310000000000001E-2</v>
      </c>
      <c r="P277" s="2047"/>
      <c r="Q277" s="1948" t="s">
        <v>1153</v>
      </c>
      <c r="R277" s="2838"/>
      <c r="S277" s="2838"/>
      <c r="T277" s="2575"/>
      <c r="U277" s="2576"/>
      <c r="V277" s="2576"/>
      <c r="W277" s="2576"/>
      <c r="X277" s="2576">
        <v>-0.32346879000000001</v>
      </c>
      <c r="Y277" s="2576">
        <v>7.5932199999999991E-2</v>
      </c>
      <c r="Z277" s="2064">
        <v>0</v>
      </c>
      <c r="AA277" s="2064">
        <v>0</v>
      </c>
      <c r="AB277" s="2064">
        <v>0</v>
      </c>
      <c r="AC277" s="2064">
        <v>0</v>
      </c>
      <c r="AD277" s="2064">
        <v>0</v>
      </c>
      <c r="AE277" s="2064">
        <v>0</v>
      </c>
      <c r="AF277" s="2064">
        <v>0</v>
      </c>
    </row>
    <row r="278" spans="2:32" ht="25.5" outlineLevel="1">
      <c r="B278" s="2011" t="s">
        <v>1297</v>
      </c>
      <c r="C278" s="2584">
        <v>311</v>
      </c>
      <c r="D278" s="1934">
        <v>42825</v>
      </c>
      <c r="E278" s="1934">
        <v>43188</v>
      </c>
      <c r="F278" s="2571" t="s">
        <v>1298</v>
      </c>
      <c r="G278" s="1937" t="s">
        <v>975</v>
      </c>
      <c r="H278" s="1937" t="s">
        <v>975</v>
      </c>
      <c r="I278" s="2043">
        <v>10</v>
      </c>
      <c r="J278" s="2044" t="s">
        <v>1148</v>
      </c>
      <c r="K278" s="2045" t="s">
        <v>999</v>
      </c>
      <c r="L278" s="2041">
        <v>0</v>
      </c>
      <c r="M278" s="1938" t="s">
        <v>1262</v>
      </c>
      <c r="N278" s="1936" t="s">
        <v>972</v>
      </c>
      <c r="O278" s="2046">
        <v>4.4299999999999999E-3</v>
      </c>
      <c r="P278" s="2047"/>
      <c r="Q278" s="1948" t="s">
        <v>1299</v>
      </c>
      <c r="R278" s="2838"/>
      <c r="S278" s="2838"/>
      <c r="T278" s="2575"/>
      <c r="U278" s="2576"/>
      <c r="V278" s="2576"/>
      <c r="W278" s="2576"/>
      <c r="X278" s="2576">
        <v>0</v>
      </c>
      <c r="Y278" s="2576">
        <v>0</v>
      </c>
      <c r="Z278" s="2064">
        <v>0</v>
      </c>
      <c r="AA278" s="2064">
        <v>0</v>
      </c>
      <c r="AB278" s="2064">
        <v>0</v>
      </c>
      <c r="AC278" s="2064">
        <v>0</v>
      </c>
      <c r="AD278" s="2064">
        <v>0</v>
      </c>
      <c r="AE278" s="2064">
        <v>0</v>
      </c>
      <c r="AF278" s="2064">
        <v>0</v>
      </c>
    </row>
    <row r="279" spans="2:32" ht="25.5" outlineLevel="1">
      <c r="B279" s="2011" t="s">
        <v>1300</v>
      </c>
      <c r="C279" s="2584">
        <v>313</v>
      </c>
      <c r="D279" s="1934">
        <v>42825</v>
      </c>
      <c r="E279" s="1934">
        <v>43280</v>
      </c>
      <c r="F279" s="2571" t="s">
        <v>1298</v>
      </c>
      <c r="G279" s="1937" t="s">
        <v>975</v>
      </c>
      <c r="H279" s="1937" t="s">
        <v>975</v>
      </c>
      <c r="I279" s="2043">
        <v>12.5</v>
      </c>
      <c r="J279" s="2044" t="s">
        <v>1148</v>
      </c>
      <c r="K279" s="2045" t="s">
        <v>999</v>
      </c>
      <c r="L279" s="2041">
        <v>0</v>
      </c>
      <c r="M279" s="1938" t="s">
        <v>1262</v>
      </c>
      <c r="N279" s="1936" t="s">
        <v>972</v>
      </c>
      <c r="O279" s="2046">
        <v>4.7099999999999998E-3</v>
      </c>
      <c r="P279" s="2047"/>
      <c r="Q279" s="1948" t="s">
        <v>1299</v>
      </c>
      <c r="R279" s="2838"/>
      <c r="S279" s="2838"/>
      <c r="T279" s="2575"/>
      <c r="U279" s="2576"/>
      <c r="V279" s="2576"/>
      <c r="W279" s="2576"/>
      <c r="X279" s="2576">
        <v>-7.3247399999999997E-3</v>
      </c>
      <c r="Y279" s="2576">
        <v>0</v>
      </c>
      <c r="Z279" s="2064">
        <v>0</v>
      </c>
      <c r="AA279" s="2064">
        <v>0</v>
      </c>
      <c r="AB279" s="2064">
        <v>0</v>
      </c>
      <c r="AC279" s="2064">
        <v>0</v>
      </c>
      <c r="AD279" s="2064">
        <v>0</v>
      </c>
      <c r="AE279" s="2064">
        <v>0</v>
      </c>
      <c r="AF279" s="2064">
        <v>0</v>
      </c>
    </row>
    <row r="280" spans="2:32" ht="25.5" outlineLevel="1">
      <c r="B280" s="2011" t="s">
        <v>1301</v>
      </c>
      <c r="C280" s="2584">
        <v>319</v>
      </c>
      <c r="D280" s="1934">
        <v>42906</v>
      </c>
      <c r="E280" s="1934">
        <v>46559</v>
      </c>
      <c r="F280" s="2571" t="s">
        <v>1293</v>
      </c>
      <c r="G280" s="1937" t="s">
        <v>975</v>
      </c>
      <c r="H280" s="1937" t="s">
        <v>975</v>
      </c>
      <c r="I280" s="2043">
        <v>10</v>
      </c>
      <c r="J280" s="2044" t="s">
        <v>1148</v>
      </c>
      <c r="K280" s="2045" t="s">
        <v>999</v>
      </c>
      <c r="L280" s="2041">
        <v>0</v>
      </c>
      <c r="M280" s="1938" t="s">
        <v>1262</v>
      </c>
      <c r="N280" s="1936" t="s">
        <v>972</v>
      </c>
      <c r="O280" s="2046">
        <v>1.0869999999999999E-2</v>
      </c>
      <c r="P280" s="2047"/>
      <c r="Q280" s="1948" t="s">
        <v>1172</v>
      </c>
      <c r="R280" s="2838"/>
      <c r="S280" s="2838"/>
      <c r="T280" s="2575"/>
      <c r="U280" s="2576"/>
      <c r="V280" s="2576"/>
      <c r="W280" s="2576"/>
      <c r="X280" s="2576">
        <v>-0.26369150000000002</v>
      </c>
      <c r="Y280" s="2576">
        <v>1.277008E-2</v>
      </c>
      <c r="Z280" s="2064">
        <v>0</v>
      </c>
      <c r="AA280" s="2064">
        <v>0</v>
      </c>
      <c r="AB280" s="2064">
        <v>0</v>
      </c>
      <c r="AC280" s="2064">
        <v>0</v>
      </c>
      <c r="AD280" s="2064">
        <v>0</v>
      </c>
      <c r="AE280" s="2064">
        <v>0</v>
      </c>
      <c r="AF280" s="2064">
        <v>0</v>
      </c>
    </row>
    <row r="281" spans="2:32" ht="25.5" outlineLevel="1">
      <c r="B281" s="2011" t="s">
        <v>1302</v>
      </c>
      <c r="C281" s="2584">
        <v>322</v>
      </c>
      <c r="D281" s="1934">
        <v>42998</v>
      </c>
      <c r="E281" s="1934">
        <v>46650</v>
      </c>
      <c r="F281" s="2571" t="s">
        <v>1293</v>
      </c>
      <c r="G281" s="1937" t="s">
        <v>975</v>
      </c>
      <c r="H281" s="1937" t="s">
        <v>975</v>
      </c>
      <c r="I281" s="2043">
        <v>10</v>
      </c>
      <c r="J281" s="2044" t="s">
        <v>1148</v>
      </c>
      <c r="K281" s="2045" t="s">
        <v>999</v>
      </c>
      <c r="L281" s="2041">
        <v>0</v>
      </c>
      <c r="M281" s="1938" t="s">
        <v>1262</v>
      </c>
      <c r="N281" s="1936" t="s">
        <v>972</v>
      </c>
      <c r="O281" s="2046">
        <v>1.1105E-2</v>
      </c>
      <c r="P281" s="2047"/>
      <c r="Q281" s="1948" t="s">
        <v>1172</v>
      </c>
      <c r="R281" s="2838"/>
      <c r="S281" s="2838"/>
      <c r="T281" s="2575"/>
      <c r="U281" s="2576"/>
      <c r="V281" s="2576"/>
      <c r="W281" s="2576"/>
      <c r="X281" s="2576">
        <v>-0.25431285999999997</v>
      </c>
      <c r="Y281" s="2576">
        <v>2.625164E-2</v>
      </c>
      <c r="Z281" s="2064">
        <v>0</v>
      </c>
      <c r="AA281" s="2064">
        <v>0</v>
      </c>
      <c r="AB281" s="2064">
        <v>0</v>
      </c>
      <c r="AC281" s="2064">
        <v>0</v>
      </c>
      <c r="AD281" s="2064">
        <v>0</v>
      </c>
      <c r="AE281" s="2064">
        <v>0</v>
      </c>
      <c r="AF281" s="2064">
        <v>0</v>
      </c>
    </row>
    <row r="282" spans="2:32" ht="25.5" outlineLevel="1">
      <c r="B282" s="2011" t="s">
        <v>1303</v>
      </c>
      <c r="C282" s="2584">
        <v>339</v>
      </c>
      <c r="D282" s="1934">
        <v>43188</v>
      </c>
      <c r="E282" s="1934">
        <v>46843</v>
      </c>
      <c r="F282" s="2571" t="s">
        <v>1298</v>
      </c>
      <c r="G282" s="1937" t="s">
        <v>975</v>
      </c>
      <c r="H282" s="1937" t="s">
        <v>975</v>
      </c>
      <c r="I282" s="2043">
        <v>10</v>
      </c>
      <c r="J282" s="2044" t="s">
        <v>1148</v>
      </c>
      <c r="K282" s="2045" t="s">
        <v>999</v>
      </c>
      <c r="L282" s="2041">
        <v>0</v>
      </c>
      <c r="M282" s="1938" t="s">
        <v>1262</v>
      </c>
      <c r="N282" s="1936" t="s">
        <v>972</v>
      </c>
      <c r="O282" s="2046">
        <v>1.4959999999999999E-2</v>
      </c>
      <c r="P282" s="2047"/>
      <c r="Q282" s="1948" t="s">
        <v>1172</v>
      </c>
      <c r="R282" s="2838"/>
      <c r="S282" s="2838"/>
      <c r="T282" s="2575"/>
      <c r="U282" s="2576"/>
      <c r="V282" s="2576"/>
      <c r="W282" s="2576"/>
      <c r="X282" s="2576">
        <v>7.1041229999999997E-2</v>
      </c>
      <c r="Y282" s="2576">
        <v>0.33606150000000001</v>
      </c>
      <c r="Z282" s="2064">
        <v>0</v>
      </c>
      <c r="AA282" s="2064">
        <v>0</v>
      </c>
      <c r="AB282" s="2064">
        <v>0</v>
      </c>
      <c r="AC282" s="2064">
        <v>0</v>
      </c>
      <c r="AD282" s="2064">
        <v>0</v>
      </c>
      <c r="AE282" s="2064">
        <v>0</v>
      </c>
      <c r="AF282" s="2064">
        <v>0</v>
      </c>
    </row>
    <row r="283" spans="2:32" ht="25.5" outlineLevel="1">
      <c r="B283" s="2011" t="s">
        <v>1304</v>
      </c>
      <c r="C283" s="2584">
        <v>200</v>
      </c>
      <c r="D283" s="1934">
        <v>43371</v>
      </c>
      <c r="E283" s="1934">
        <v>46568</v>
      </c>
      <c r="F283" s="2571" t="s">
        <v>1125</v>
      </c>
      <c r="G283" s="1937" t="s">
        <v>975</v>
      </c>
      <c r="H283" s="1937" t="s">
        <v>975</v>
      </c>
      <c r="I283" s="2043">
        <v>1.25</v>
      </c>
      <c r="J283" s="2044" t="s">
        <v>1151</v>
      </c>
      <c r="K283" s="2045" t="s">
        <v>972</v>
      </c>
      <c r="L283" s="2041">
        <v>4.8750000000000002E-2</v>
      </c>
      <c r="M283" s="1938"/>
      <c r="N283" s="1936" t="s">
        <v>999</v>
      </c>
      <c r="O283" s="2046">
        <v>3.1449999999999998E-3</v>
      </c>
      <c r="P283" s="2047" t="s">
        <v>1152</v>
      </c>
      <c r="Q283" s="1948" t="s">
        <v>1158</v>
      </c>
      <c r="R283" s="2838"/>
      <c r="S283" s="2838"/>
      <c r="T283" s="2575"/>
      <c r="U283" s="2576"/>
      <c r="V283" s="2576"/>
      <c r="W283" s="2576"/>
      <c r="X283" s="2576">
        <v>-0.29884901000000003</v>
      </c>
      <c r="Y283" s="2576">
        <v>-0.35977521666421497</v>
      </c>
      <c r="Z283" s="2064">
        <v>0</v>
      </c>
      <c r="AA283" s="2064">
        <v>0</v>
      </c>
      <c r="AB283" s="2064">
        <v>0</v>
      </c>
      <c r="AC283" s="2064">
        <v>0</v>
      </c>
      <c r="AD283" s="2064">
        <v>0</v>
      </c>
      <c r="AE283" s="2064">
        <v>0</v>
      </c>
      <c r="AF283" s="2064">
        <v>0</v>
      </c>
    </row>
    <row r="284" spans="2:32" ht="25.5" outlineLevel="1">
      <c r="B284" s="2011" t="s">
        <v>1305</v>
      </c>
      <c r="C284" s="2584">
        <v>202</v>
      </c>
      <c r="D284" s="1934">
        <v>43553</v>
      </c>
      <c r="E284" s="1934">
        <v>46568</v>
      </c>
      <c r="F284" s="2571" t="s">
        <v>1125</v>
      </c>
      <c r="G284" s="1937" t="s">
        <v>975</v>
      </c>
      <c r="H284" s="1937" t="s">
        <v>975</v>
      </c>
      <c r="I284" s="2043">
        <v>17.5</v>
      </c>
      <c r="J284" s="2044" t="s">
        <v>1151</v>
      </c>
      <c r="K284" s="2045" t="s">
        <v>972</v>
      </c>
      <c r="L284" s="2041">
        <v>4.8750000000000002E-2</v>
      </c>
      <c r="M284" s="1938"/>
      <c r="N284" s="1936" t="s">
        <v>999</v>
      </c>
      <c r="O284" s="2046">
        <v>3.1449999999999998E-3</v>
      </c>
      <c r="P284" s="2047" t="s">
        <v>1152</v>
      </c>
      <c r="Q284" s="1948" t="s">
        <v>1158</v>
      </c>
      <c r="R284" s="2838"/>
      <c r="S284" s="2838"/>
      <c r="T284" s="2575"/>
      <c r="U284" s="2576"/>
      <c r="V284" s="2576"/>
      <c r="W284" s="2576"/>
      <c r="X284" s="2576">
        <v>-3.88142619</v>
      </c>
      <c r="Y284" s="2576">
        <v>-4.6104018473787072</v>
      </c>
      <c r="Z284" s="2064">
        <v>0</v>
      </c>
      <c r="AA284" s="2064">
        <v>0</v>
      </c>
      <c r="AB284" s="2064">
        <v>0</v>
      </c>
      <c r="AC284" s="2064">
        <v>0</v>
      </c>
      <c r="AD284" s="2064">
        <v>0</v>
      </c>
      <c r="AE284" s="2064">
        <v>0</v>
      </c>
      <c r="AF284" s="2064">
        <v>0</v>
      </c>
    </row>
    <row r="285" spans="2:32" ht="25.5" outlineLevel="1">
      <c r="B285" s="2011" t="s">
        <v>1306</v>
      </c>
      <c r="C285" s="2584">
        <v>199</v>
      </c>
      <c r="D285" s="1934">
        <v>43738</v>
      </c>
      <c r="E285" s="1934">
        <v>46568</v>
      </c>
      <c r="F285" s="2571" t="s">
        <v>1125</v>
      </c>
      <c r="G285" s="1937" t="s">
        <v>975</v>
      </c>
      <c r="H285" s="1937" t="s">
        <v>975</v>
      </c>
      <c r="I285" s="2043">
        <v>12.5</v>
      </c>
      <c r="J285" s="2044" t="s">
        <v>1151</v>
      </c>
      <c r="K285" s="2045" t="s">
        <v>972</v>
      </c>
      <c r="L285" s="2041">
        <v>4.8750000000000002E-2</v>
      </c>
      <c r="M285" s="1938"/>
      <c r="N285" s="1936" t="s">
        <v>999</v>
      </c>
      <c r="O285" s="2046">
        <v>3.1449999999999998E-3</v>
      </c>
      <c r="P285" s="2047" t="s">
        <v>1152</v>
      </c>
      <c r="Q285" s="1948" t="s">
        <v>1158</v>
      </c>
      <c r="R285" s="2838"/>
      <c r="S285" s="2838"/>
      <c r="T285" s="2575"/>
      <c r="U285" s="2576"/>
      <c r="V285" s="2576"/>
      <c r="W285" s="2576"/>
      <c r="X285" s="2576">
        <v>-2.5704924099999999</v>
      </c>
      <c r="Y285" s="2576">
        <v>-3.0718720794008347</v>
      </c>
      <c r="Z285" s="2064">
        <v>0</v>
      </c>
      <c r="AA285" s="2064">
        <v>0</v>
      </c>
      <c r="AB285" s="2064">
        <v>0</v>
      </c>
      <c r="AC285" s="2064">
        <v>0</v>
      </c>
      <c r="AD285" s="2064">
        <v>0</v>
      </c>
      <c r="AE285" s="2064">
        <v>0</v>
      </c>
      <c r="AF285" s="2064">
        <v>0</v>
      </c>
    </row>
    <row r="286" spans="2:32" ht="25.5" outlineLevel="1">
      <c r="B286" s="2011" t="s">
        <v>1307</v>
      </c>
      <c r="C286" s="2584">
        <v>201</v>
      </c>
      <c r="D286" s="1934">
        <v>43371</v>
      </c>
      <c r="E286" s="1934">
        <v>46568</v>
      </c>
      <c r="F286" s="2571" t="s">
        <v>1125</v>
      </c>
      <c r="G286" s="1937" t="s">
        <v>975</v>
      </c>
      <c r="H286" s="1937" t="s">
        <v>975</v>
      </c>
      <c r="I286" s="2043">
        <v>32.5</v>
      </c>
      <c r="J286" s="2044" t="s">
        <v>1151</v>
      </c>
      <c r="K286" s="2045" t="s">
        <v>972</v>
      </c>
      <c r="L286" s="2041">
        <v>4.8750000000000002E-2</v>
      </c>
      <c r="M286" s="1938"/>
      <c r="N286" s="1936" t="s">
        <v>999</v>
      </c>
      <c r="O286" s="2046">
        <v>3.1449999999999998E-3</v>
      </c>
      <c r="P286" s="2047" t="s">
        <v>1152</v>
      </c>
      <c r="Q286" s="1948" t="s">
        <v>1164</v>
      </c>
      <c r="R286" s="2838"/>
      <c r="S286" s="2838"/>
      <c r="T286" s="2575"/>
      <c r="U286" s="2576"/>
      <c r="V286" s="2576"/>
      <c r="W286" s="2576"/>
      <c r="X286" s="2576">
        <v>-7.8597507200000001</v>
      </c>
      <c r="Y286" s="2576">
        <v>-9.3757764488803357</v>
      </c>
      <c r="Z286" s="2064">
        <v>0</v>
      </c>
      <c r="AA286" s="2064">
        <v>0</v>
      </c>
      <c r="AB286" s="2064">
        <v>0</v>
      </c>
      <c r="AC286" s="2064">
        <v>0</v>
      </c>
      <c r="AD286" s="2064">
        <v>0</v>
      </c>
      <c r="AE286" s="2064">
        <v>0</v>
      </c>
      <c r="AF286" s="2064">
        <v>0</v>
      </c>
    </row>
    <row r="287" spans="2:32" ht="25.5" outlineLevel="1">
      <c r="B287" s="2011" t="s">
        <v>1308</v>
      </c>
      <c r="C287" s="2584">
        <v>155</v>
      </c>
      <c r="D287" s="1934">
        <v>44104</v>
      </c>
      <c r="E287" s="1934">
        <v>49628</v>
      </c>
      <c r="F287" s="2571" t="s">
        <v>1131</v>
      </c>
      <c r="G287" s="1937" t="s">
        <v>975</v>
      </c>
      <c r="H287" s="1937" t="s">
        <v>975</v>
      </c>
      <c r="I287" s="2043">
        <v>16.25</v>
      </c>
      <c r="J287" s="2044" t="s">
        <v>1151</v>
      </c>
      <c r="K287" s="2045" t="s">
        <v>972</v>
      </c>
      <c r="L287" s="2041">
        <v>4.8750000000000002E-2</v>
      </c>
      <c r="M287" s="1938"/>
      <c r="N287" s="1936" t="s">
        <v>999</v>
      </c>
      <c r="O287" s="2046">
        <v>4.0749999999999996E-3</v>
      </c>
      <c r="P287" s="2047" t="s">
        <v>1152</v>
      </c>
      <c r="Q287" s="1948" t="s">
        <v>1153</v>
      </c>
      <c r="R287" s="2838"/>
      <c r="S287" s="2838"/>
      <c r="T287" s="2575"/>
      <c r="U287" s="2576"/>
      <c r="V287" s="2576"/>
      <c r="W287" s="2576"/>
      <c r="X287" s="2576">
        <v>-5.4986453099999997</v>
      </c>
      <c r="Y287" s="2576">
        <v>-6.6371896155596621</v>
      </c>
      <c r="Z287" s="2064">
        <v>0</v>
      </c>
      <c r="AA287" s="2064">
        <v>0</v>
      </c>
      <c r="AB287" s="2064">
        <v>0</v>
      </c>
      <c r="AC287" s="2064">
        <v>0</v>
      </c>
      <c r="AD287" s="2064">
        <v>0</v>
      </c>
      <c r="AE287" s="2064">
        <v>0</v>
      </c>
      <c r="AF287" s="2064">
        <v>0</v>
      </c>
    </row>
    <row r="288" spans="2:32" ht="25.5" outlineLevel="1">
      <c r="B288" s="2011" t="s">
        <v>1309</v>
      </c>
      <c r="C288" s="2584">
        <v>164</v>
      </c>
      <c r="D288" s="1934">
        <v>44286</v>
      </c>
      <c r="E288" s="1934">
        <v>49628</v>
      </c>
      <c r="F288" s="2571" t="s">
        <v>1131</v>
      </c>
      <c r="G288" s="1937" t="s">
        <v>975</v>
      </c>
      <c r="H288" s="1937" t="s">
        <v>975</v>
      </c>
      <c r="I288" s="2043">
        <v>35</v>
      </c>
      <c r="J288" s="2044" t="s">
        <v>1151</v>
      </c>
      <c r="K288" s="2045" t="s">
        <v>972</v>
      </c>
      <c r="L288" s="2041">
        <v>4.8750000000000002E-2</v>
      </c>
      <c r="M288" s="1938"/>
      <c r="N288" s="1936" t="s">
        <v>999</v>
      </c>
      <c r="O288" s="2046">
        <v>4.0749999999999996E-3</v>
      </c>
      <c r="P288" s="2047" t="s">
        <v>1152</v>
      </c>
      <c r="Q288" s="1948" t="s">
        <v>1153</v>
      </c>
      <c r="R288" s="2838"/>
      <c r="S288" s="2838"/>
      <c r="T288" s="2575"/>
      <c r="U288" s="2576"/>
      <c r="V288" s="2576"/>
      <c r="W288" s="2576"/>
      <c r="X288" s="2576">
        <v>-11.351225359999999</v>
      </c>
      <c r="Y288" s="2576">
        <v>-13.709537745428555</v>
      </c>
      <c r="Z288" s="2064">
        <v>0</v>
      </c>
      <c r="AA288" s="2064">
        <v>0</v>
      </c>
      <c r="AB288" s="2064">
        <v>0</v>
      </c>
      <c r="AC288" s="2064">
        <v>0</v>
      </c>
      <c r="AD288" s="2064">
        <v>0</v>
      </c>
      <c r="AE288" s="2064">
        <v>0</v>
      </c>
      <c r="AF288" s="2064">
        <v>0</v>
      </c>
    </row>
    <row r="289" spans="2:32" ht="25.5" outlineLevel="1">
      <c r="B289" s="2011" t="s">
        <v>1310</v>
      </c>
      <c r="C289" s="2584">
        <v>166</v>
      </c>
      <c r="D289" s="1934">
        <v>44469</v>
      </c>
      <c r="E289" s="1934">
        <v>49628</v>
      </c>
      <c r="F289" s="2571" t="s">
        <v>1131</v>
      </c>
      <c r="G289" s="1937" t="s">
        <v>975</v>
      </c>
      <c r="H289" s="1937" t="s">
        <v>975</v>
      </c>
      <c r="I289" s="2043">
        <v>12.5</v>
      </c>
      <c r="J289" s="2044" t="s">
        <v>1151</v>
      </c>
      <c r="K289" s="2045" t="s">
        <v>972</v>
      </c>
      <c r="L289" s="2041">
        <v>4.8750000000000002E-2</v>
      </c>
      <c r="M289" s="1938"/>
      <c r="N289" s="1936" t="s">
        <v>999</v>
      </c>
      <c r="O289" s="2046">
        <v>4.0749999999999996E-3</v>
      </c>
      <c r="P289" s="2047" t="s">
        <v>1152</v>
      </c>
      <c r="Q289" s="1948" t="s">
        <v>1153</v>
      </c>
      <c r="R289" s="2838"/>
      <c r="S289" s="2838"/>
      <c r="T289" s="2575"/>
      <c r="U289" s="2576"/>
      <c r="V289" s="2576"/>
      <c r="W289" s="2576"/>
      <c r="X289" s="2576">
        <v>-3.8795111200000001</v>
      </c>
      <c r="Y289" s="2576">
        <v>-4.6897715830392706</v>
      </c>
      <c r="Z289" s="2064">
        <v>0</v>
      </c>
      <c r="AA289" s="2064">
        <v>0</v>
      </c>
      <c r="AB289" s="2064">
        <v>0</v>
      </c>
      <c r="AC289" s="2064">
        <v>0</v>
      </c>
      <c r="AD289" s="2064">
        <v>0</v>
      </c>
      <c r="AE289" s="2064">
        <v>0</v>
      </c>
      <c r="AF289" s="2064">
        <v>0</v>
      </c>
    </row>
    <row r="290" spans="2:32" ht="25.5" outlineLevel="1">
      <c r="B290" s="2011" t="s">
        <v>1311</v>
      </c>
      <c r="C290" s="2584">
        <v>195</v>
      </c>
      <c r="D290" s="1934">
        <v>44834</v>
      </c>
      <c r="E290" s="1934">
        <v>49628</v>
      </c>
      <c r="F290" s="2571" t="s">
        <v>1131</v>
      </c>
      <c r="G290" s="1937" t="s">
        <v>975</v>
      </c>
      <c r="H290" s="1937" t="s">
        <v>975</v>
      </c>
      <c r="I290" s="2043">
        <v>14.375</v>
      </c>
      <c r="J290" s="2044" t="s">
        <v>1151</v>
      </c>
      <c r="K290" s="2045" t="s">
        <v>972</v>
      </c>
      <c r="L290" s="2041">
        <v>4.8750000000000002E-2</v>
      </c>
      <c r="M290" s="1938"/>
      <c r="N290" s="1936" t="s">
        <v>999</v>
      </c>
      <c r="O290" s="2046">
        <v>4.0800000000000003E-3</v>
      </c>
      <c r="P290" s="2047" t="s">
        <v>1152</v>
      </c>
      <c r="Q290" s="1948" t="s">
        <v>1158</v>
      </c>
      <c r="R290" s="2838"/>
      <c r="S290" s="2838"/>
      <c r="T290" s="2575"/>
      <c r="U290" s="2576"/>
      <c r="V290" s="2576"/>
      <c r="W290" s="2576"/>
      <c r="X290" s="2576">
        <v>-4.0362599499999998</v>
      </c>
      <c r="Y290" s="2576">
        <v>-4.9646857183770638</v>
      </c>
      <c r="Z290" s="2064">
        <v>0</v>
      </c>
      <c r="AA290" s="2064">
        <v>0</v>
      </c>
      <c r="AB290" s="2064">
        <v>0</v>
      </c>
      <c r="AC290" s="2064">
        <v>0</v>
      </c>
      <c r="AD290" s="2064">
        <v>0</v>
      </c>
      <c r="AE290" s="2064">
        <v>0</v>
      </c>
      <c r="AF290" s="2064">
        <v>0</v>
      </c>
    </row>
    <row r="291" spans="2:32" ht="25.5" outlineLevel="1">
      <c r="B291" s="2011" t="s">
        <v>1312</v>
      </c>
      <c r="C291" s="2584">
        <v>194</v>
      </c>
      <c r="D291" s="1934">
        <v>45016</v>
      </c>
      <c r="E291" s="1934">
        <v>49628</v>
      </c>
      <c r="F291" s="2571" t="s">
        <v>1131</v>
      </c>
      <c r="G291" s="1937" t="s">
        <v>975</v>
      </c>
      <c r="H291" s="1937" t="s">
        <v>975</v>
      </c>
      <c r="I291" s="2043">
        <v>17.5</v>
      </c>
      <c r="J291" s="2044" t="s">
        <v>1151</v>
      </c>
      <c r="K291" s="2045" t="s">
        <v>972</v>
      </c>
      <c r="L291" s="2041">
        <v>4.8750000000000002E-2</v>
      </c>
      <c r="M291" s="1938"/>
      <c r="N291" s="1936" t="s">
        <v>999</v>
      </c>
      <c r="O291" s="2046">
        <v>4.0800000000000003E-3</v>
      </c>
      <c r="P291" s="2047" t="s">
        <v>1152</v>
      </c>
      <c r="Q291" s="1948" t="s">
        <v>1158</v>
      </c>
      <c r="R291" s="2838"/>
      <c r="S291" s="2838"/>
      <c r="T291" s="2575"/>
      <c r="U291" s="2576"/>
      <c r="V291" s="2576"/>
      <c r="W291" s="2576"/>
      <c r="X291" s="2576">
        <v>-4.6893122300000005</v>
      </c>
      <c r="Y291" s="2576">
        <v>-5.7770955163122037</v>
      </c>
      <c r="Z291" s="2064">
        <v>0</v>
      </c>
      <c r="AA291" s="2064">
        <v>0</v>
      </c>
      <c r="AB291" s="2064">
        <v>0</v>
      </c>
      <c r="AC291" s="2064">
        <v>0</v>
      </c>
      <c r="AD291" s="2064">
        <v>0</v>
      </c>
      <c r="AE291" s="2064">
        <v>0</v>
      </c>
      <c r="AF291" s="2064">
        <v>0</v>
      </c>
    </row>
    <row r="292" spans="2:32" ht="25.5" outlineLevel="1">
      <c r="B292" s="2011" t="s">
        <v>1313</v>
      </c>
      <c r="C292" s="2584">
        <v>193</v>
      </c>
      <c r="D292" s="1934">
        <v>43738</v>
      </c>
      <c r="E292" s="1934">
        <v>49628</v>
      </c>
      <c r="F292" s="2571" t="s">
        <v>1131</v>
      </c>
      <c r="G292" s="1937" t="s">
        <v>975</v>
      </c>
      <c r="H292" s="1937" t="s">
        <v>975</v>
      </c>
      <c r="I292" s="2043">
        <v>10</v>
      </c>
      <c r="J292" s="2044" t="s">
        <v>1151</v>
      </c>
      <c r="K292" s="2045" t="s">
        <v>972</v>
      </c>
      <c r="L292" s="2041">
        <v>4.8750000000000002E-2</v>
      </c>
      <c r="M292" s="1938"/>
      <c r="N292" s="1936" t="s">
        <v>999</v>
      </c>
      <c r="O292" s="2046">
        <v>4.0699999999999998E-3</v>
      </c>
      <c r="P292" s="2047" t="s">
        <v>1152</v>
      </c>
      <c r="Q292" s="1948" t="s">
        <v>1167</v>
      </c>
      <c r="R292" s="2838"/>
      <c r="S292" s="2838"/>
      <c r="T292" s="2575"/>
      <c r="U292" s="2576"/>
      <c r="V292" s="2576"/>
      <c r="W292" s="2576"/>
      <c r="X292" s="2576">
        <v>-3.7207268399999998</v>
      </c>
      <c r="Y292" s="2576">
        <v>-4.4663549349718235</v>
      </c>
      <c r="Z292" s="2064">
        <v>0</v>
      </c>
      <c r="AA292" s="2064">
        <v>0</v>
      </c>
      <c r="AB292" s="2064">
        <v>0</v>
      </c>
      <c r="AC292" s="2064">
        <v>0</v>
      </c>
      <c r="AD292" s="2064">
        <v>0</v>
      </c>
      <c r="AE292" s="2064">
        <v>0</v>
      </c>
      <c r="AF292" s="2064">
        <v>0</v>
      </c>
    </row>
    <row r="293" spans="2:32" ht="25.5" outlineLevel="1">
      <c r="B293" s="2011" t="s">
        <v>1314</v>
      </c>
      <c r="C293" s="2584">
        <v>192</v>
      </c>
      <c r="D293" s="1934">
        <v>43921</v>
      </c>
      <c r="E293" s="1934">
        <v>49628</v>
      </c>
      <c r="F293" s="2571" t="s">
        <v>1131</v>
      </c>
      <c r="G293" s="1937" t="s">
        <v>975</v>
      </c>
      <c r="H293" s="1937" t="s">
        <v>975</v>
      </c>
      <c r="I293" s="2043">
        <v>35</v>
      </c>
      <c r="J293" s="2044" t="s">
        <v>1151</v>
      </c>
      <c r="K293" s="2045" t="s">
        <v>972</v>
      </c>
      <c r="L293" s="2041">
        <v>4.8750000000000002E-2</v>
      </c>
      <c r="M293" s="1938"/>
      <c r="N293" s="1936" t="s">
        <v>999</v>
      </c>
      <c r="O293" s="2046">
        <v>4.0699999999999998E-3</v>
      </c>
      <c r="P293" s="2047" t="s">
        <v>1152</v>
      </c>
      <c r="Q293" s="1948" t="s">
        <v>1167</v>
      </c>
      <c r="R293" s="2838"/>
      <c r="S293" s="2838"/>
      <c r="T293" s="2575"/>
      <c r="U293" s="2576"/>
      <c r="V293" s="2576"/>
      <c r="W293" s="2576"/>
      <c r="X293" s="2576">
        <v>-12.495306359999999</v>
      </c>
      <c r="Y293" s="2576">
        <v>-15.024092332001377</v>
      </c>
      <c r="Z293" s="2064">
        <v>0</v>
      </c>
      <c r="AA293" s="2064">
        <v>0</v>
      </c>
      <c r="AB293" s="2064">
        <v>0</v>
      </c>
      <c r="AC293" s="2064">
        <v>0</v>
      </c>
      <c r="AD293" s="2064">
        <v>0</v>
      </c>
      <c r="AE293" s="2064">
        <v>0</v>
      </c>
      <c r="AF293" s="2064">
        <v>0</v>
      </c>
    </row>
    <row r="294" spans="2:32" ht="25.5" outlineLevel="1">
      <c r="B294" s="2011" t="s">
        <v>1315</v>
      </c>
      <c r="C294" s="2584">
        <v>173</v>
      </c>
      <c r="D294" s="1934">
        <v>44104</v>
      </c>
      <c r="E294" s="1934">
        <v>49628</v>
      </c>
      <c r="F294" s="2571" t="s">
        <v>1131</v>
      </c>
      <c r="G294" s="1937" t="s">
        <v>975</v>
      </c>
      <c r="H294" s="1937" t="s">
        <v>975</v>
      </c>
      <c r="I294" s="2043">
        <v>18.75</v>
      </c>
      <c r="J294" s="2044" t="s">
        <v>1151</v>
      </c>
      <c r="K294" s="2045" t="s">
        <v>972</v>
      </c>
      <c r="L294" s="2041">
        <v>4.8750000000000002E-2</v>
      </c>
      <c r="M294" s="1938"/>
      <c r="N294" s="1936" t="s">
        <v>999</v>
      </c>
      <c r="O294" s="2046">
        <v>4.0699999999999998E-3</v>
      </c>
      <c r="P294" s="2047" t="s">
        <v>1152</v>
      </c>
      <c r="Q294" s="1948" t="s">
        <v>1167</v>
      </c>
      <c r="R294" s="2838"/>
      <c r="S294" s="2838"/>
      <c r="T294" s="2575"/>
      <c r="U294" s="2576"/>
      <c r="V294" s="2576"/>
      <c r="W294" s="2576"/>
      <c r="X294" s="2576">
        <v>-6.4190719400000003</v>
      </c>
      <c r="Y294" s="2576">
        <v>-7.7234799268890733</v>
      </c>
      <c r="Z294" s="2064">
        <v>0</v>
      </c>
      <c r="AA294" s="2064">
        <v>0</v>
      </c>
      <c r="AB294" s="2064">
        <v>0</v>
      </c>
      <c r="AC294" s="2064">
        <v>0</v>
      </c>
      <c r="AD294" s="2064">
        <v>0</v>
      </c>
      <c r="AE294" s="2064">
        <v>0</v>
      </c>
      <c r="AF294" s="2064">
        <v>0</v>
      </c>
    </row>
    <row r="295" spans="2:32" ht="25.5" outlineLevel="1">
      <c r="B295" s="2011" t="s">
        <v>1316</v>
      </c>
      <c r="C295" s="2584">
        <v>190</v>
      </c>
      <c r="D295" s="1934">
        <v>44469</v>
      </c>
      <c r="E295" s="1934">
        <v>49628</v>
      </c>
      <c r="F295" s="2571" t="s">
        <v>1131</v>
      </c>
      <c r="G295" s="1937" t="s">
        <v>975</v>
      </c>
      <c r="H295" s="1937" t="s">
        <v>975</v>
      </c>
      <c r="I295" s="2043">
        <v>22.5</v>
      </c>
      <c r="J295" s="2044" t="s">
        <v>1151</v>
      </c>
      <c r="K295" s="2045" t="s">
        <v>972</v>
      </c>
      <c r="L295" s="2041">
        <v>4.8750000000000002E-2</v>
      </c>
      <c r="M295" s="1938"/>
      <c r="N295" s="1936" t="s">
        <v>999</v>
      </c>
      <c r="O295" s="2046">
        <v>4.0699999999999998E-3</v>
      </c>
      <c r="P295" s="2047" t="s">
        <v>1152</v>
      </c>
      <c r="Q295" s="1948" t="s">
        <v>1164</v>
      </c>
      <c r="R295" s="2838"/>
      <c r="S295" s="2838"/>
      <c r="T295" s="2575"/>
      <c r="U295" s="2576"/>
      <c r="V295" s="2576"/>
      <c r="W295" s="2576"/>
      <c r="X295" s="2576">
        <v>-7.1204786900000006</v>
      </c>
      <c r="Y295" s="2576">
        <v>-8.5050038156477861</v>
      </c>
      <c r="Z295" s="2064">
        <v>0</v>
      </c>
      <c r="AA295" s="2064">
        <v>0</v>
      </c>
      <c r="AB295" s="2064">
        <v>0</v>
      </c>
      <c r="AC295" s="2064">
        <v>0</v>
      </c>
      <c r="AD295" s="2064">
        <v>0</v>
      </c>
      <c r="AE295" s="2064">
        <v>0</v>
      </c>
      <c r="AF295" s="2064">
        <v>0</v>
      </c>
    </row>
    <row r="296" spans="2:32" ht="25.5" outlineLevel="1">
      <c r="B296" s="2011" t="s">
        <v>1317</v>
      </c>
      <c r="C296" s="2584">
        <v>189</v>
      </c>
      <c r="D296" s="1934">
        <v>44651</v>
      </c>
      <c r="E296" s="1934">
        <v>49628</v>
      </c>
      <c r="F296" s="2571" t="s">
        <v>1131</v>
      </c>
      <c r="G296" s="1937" t="s">
        <v>975</v>
      </c>
      <c r="H296" s="1937" t="s">
        <v>975</v>
      </c>
      <c r="I296" s="2043">
        <v>35</v>
      </c>
      <c r="J296" s="2044" t="s">
        <v>1151</v>
      </c>
      <c r="K296" s="2045" t="s">
        <v>972</v>
      </c>
      <c r="L296" s="2041">
        <v>4.8750000000000002E-2</v>
      </c>
      <c r="M296" s="1938"/>
      <c r="N296" s="1936" t="s">
        <v>999</v>
      </c>
      <c r="O296" s="2046">
        <v>4.0699999999999998E-3</v>
      </c>
      <c r="P296" s="2047" t="s">
        <v>1152</v>
      </c>
      <c r="Q296" s="1948" t="s">
        <v>1164</v>
      </c>
      <c r="R296" s="2838"/>
      <c r="S296" s="2838"/>
      <c r="T296" s="2575"/>
      <c r="U296" s="2576"/>
      <c r="V296" s="2576"/>
      <c r="W296" s="2576"/>
      <c r="X296" s="2576">
        <v>-10.606534740000001</v>
      </c>
      <c r="Y296" s="2576">
        <v>-12.668786334635675</v>
      </c>
      <c r="Z296" s="2064">
        <v>0</v>
      </c>
      <c r="AA296" s="2064">
        <v>0</v>
      </c>
      <c r="AB296" s="2064">
        <v>0</v>
      </c>
      <c r="AC296" s="2064">
        <v>0</v>
      </c>
      <c r="AD296" s="2064">
        <v>0</v>
      </c>
      <c r="AE296" s="2064">
        <v>0</v>
      </c>
      <c r="AF296" s="2064">
        <v>0</v>
      </c>
    </row>
    <row r="297" spans="2:32" ht="25.5" outlineLevel="1">
      <c r="B297" s="2011" t="s">
        <v>1318</v>
      </c>
      <c r="C297" s="2584">
        <v>188</v>
      </c>
      <c r="D297" s="1934">
        <v>44834</v>
      </c>
      <c r="E297" s="1934">
        <v>49628</v>
      </c>
      <c r="F297" s="2571" t="s">
        <v>1131</v>
      </c>
      <c r="G297" s="1937" t="s">
        <v>975</v>
      </c>
      <c r="H297" s="1937" t="s">
        <v>975</v>
      </c>
      <c r="I297" s="2043">
        <v>6.25</v>
      </c>
      <c r="J297" s="2044" t="s">
        <v>1151</v>
      </c>
      <c r="K297" s="2045" t="s">
        <v>972</v>
      </c>
      <c r="L297" s="2041">
        <v>4.8750000000000002E-2</v>
      </c>
      <c r="M297" s="1938"/>
      <c r="N297" s="1936" t="s">
        <v>999</v>
      </c>
      <c r="O297" s="2046">
        <v>4.0699999999999998E-3</v>
      </c>
      <c r="P297" s="2047" t="s">
        <v>1152</v>
      </c>
      <c r="Q297" s="1948" t="s">
        <v>1164</v>
      </c>
      <c r="R297" s="2838"/>
      <c r="S297" s="2838"/>
      <c r="T297" s="2575"/>
      <c r="U297" s="2576"/>
      <c r="V297" s="2576"/>
      <c r="W297" s="2576"/>
      <c r="X297" s="2576">
        <v>-1.80712509</v>
      </c>
      <c r="Y297" s="2576">
        <v>-2.161885840298996</v>
      </c>
      <c r="Z297" s="2064">
        <v>0</v>
      </c>
      <c r="AA297" s="2064">
        <v>0</v>
      </c>
      <c r="AB297" s="2064">
        <v>0</v>
      </c>
      <c r="AC297" s="2064">
        <v>0</v>
      </c>
      <c r="AD297" s="2064">
        <v>0</v>
      </c>
      <c r="AE297" s="2064">
        <v>0</v>
      </c>
      <c r="AF297" s="2064">
        <v>0</v>
      </c>
    </row>
    <row r="298" spans="2:32" ht="25.5" outlineLevel="1">
      <c r="B298" s="2011" t="s">
        <v>1319</v>
      </c>
      <c r="C298" s="2584">
        <v>326</v>
      </c>
      <c r="D298" s="1934">
        <v>43553</v>
      </c>
      <c r="E298" s="1934">
        <v>46567</v>
      </c>
      <c r="F298" s="2571" t="s">
        <v>1125</v>
      </c>
      <c r="G298" s="1937" t="s">
        <v>975</v>
      </c>
      <c r="H298" s="1937" t="s">
        <v>975</v>
      </c>
      <c r="I298" s="2043">
        <v>17.5</v>
      </c>
      <c r="J298" s="2044" t="s">
        <v>1151</v>
      </c>
      <c r="K298" s="2045" t="s">
        <v>972</v>
      </c>
      <c r="L298" s="2041">
        <v>4.8750000000000002E-2</v>
      </c>
      <c r="M298" s="1938"/>
      <c r="N298" s="1936" t="s">
        <v>999</v>
      </c>
      <c r="O298" s="2046">
        <v>3.1449999999999998E-3</v>
      </c>
      <c r="P298" s="2047" t="s">
        <v>1152</v>
      </c>
      <c r="Q298" s="1948" t="s">
        <v>1172</v>
      </c>
      <c r="R298" s="2838"/>
      <c r="S298" s="2838"/>
      <c r="T298" s="2575"/>
      <c r="U298" s="2576"/>
      <c r="V298" s="2576"/>
      <c r="W298" s="2576"/>
      <c r="X298" s="2576">
        <v>-3.8972884300000001</v>
      </c>
      <c r="Y298" s="2576">
        <v>-4.6069529596234595</v>
      </c>
      <c r="Z298" s="2064">
        <v>0</v>
      </c>
      <c r="AA298" s="2064">
        <v>0</v>
      </c>
      <c r="AB298" s="2064">
        <v>0</v>
      </c>
      <c r="AC298" s="2064">
        <v>0</v>
      </c>
      <c r="AD298" s="2064">
        <v>0</v>
      </c>
      <c r="AE298" s="2064">
        <v>0</v>
      </c>
      <c r="AF298" s="2064">
        <v>0</v>
      </c>
    </row>
    <row r="299" spans="2:32" ht="25.5" outlineLevel="1">
      <c r="B299" s="2011" t="s">
        <v>1320</v>
      </c>
      <c r="C299" s="2584">
        <v>327</v>
      </c>
      <c r="D299" s="1934">
        <v>45016</v>
      </c>
      <c r="E299" s="1934">
        <v>49628</v>
      </c>
      <c r="F299" s="2571" t="s">
        <v>1131</v>
      </c>
      <c r="G299" s="1937" t="s">
        <v>975</v>
      </c>
      <c r="H299" s="1937" t="s">
        <v>975</v>
      </c>
      <c r="I299" s="2043">
        <v>17.5</v>
      </c>
      <c r="J299" s="2044" t="s">
        <v>1151</v>
      </c>
      <c r="K299" s="2045" t="s">
        <v>972</v>
      </c>
      <c r="L299" s="2041">
        <v>4.8750000000000002E-2</v>
      </c>
      <c r="M299" s="1938"/>
      <c r="N299" s="1936" t="s">
        <v>999</v>
      </c>
      <c r="O299" s="2046">
        <v>4.0800000000000003E-3</v>
      </c>
      <c r="P299" s="2047" t="s">
        <v>1152</v>
      </c>
      <c r="Q299" s="1948" t="s">
        <v>1172</v>
      </c>
      <c r="R299" s="2838"/>
      <c r="S299" s="2838"/>
      <c r="T299" s="2575"/>
      <c r="U299" s="2576"/>
      <c r="V299" s="2576"/>
      <c r="W299" s="2576"/>
      <c r="X299" s="2576">
        <v>-4.7561356400000001</v>
      </c>
      <c r="Y299" s="2576">
        <v>-5.7683908676965201</v>
      </c>
      <c r="Z299" s="2064">
        <v>0</v>
      </c>
      <c r="AA299" s="2064">
        <v>0</v>
      </c>
      <c r="AB299" s="2064">
        <v>0</v>
      </c>
      <c r="AC299" s="2064">
        <v>0</v>
      </c>
      <c r="AD299" s="2064">
        <v>0</v>
      </c>
      <c r="AE299" s="2064">
        <v>0</v>
      </c>
      <c r="AF299" s="2064">
        <v>0</v>
      </c>
    </row>
    <row r="300" spans="2:32" ht="25.5" outlineLevel="1">
      <c r="B300" s="2011" t="s">
        <v>1321</v>
      </c>
      <c r="C300" s="2584">
        <v>333</v>
      </c>
      <c r="D300" s="1934">
        <v>43371</v>
      </c>
      <c r="E300" s="1934">
        <v>46568</v>
      </c>
      <c r="F300" s="2571" t="s">
        <v>1125</v>
      </c>
      <c r="G300" s="1937" t="s">
        <v>975</v>
      </c>
      <c r="H300" s="1937" t="s">
        <v>975</v>
      </c>
      <c r="I300" s="2043">
        <v>1.25</v>
      </c>
      <c r="J300" s="2044" t="s">
        <v>1151</v>
      </c>
      <c r="K300" s="2045" t="s">
        <v>972</v>
      </c>
      <c r="L300" s="2041">
        <v>4.8750000000000002E-2</v>
      </c>
      <c r="M300" s="1938"/>
      <c r="N300" s="1936" t="s">
        <v>999</v>
      </c>
      <c r="O300" s="2046">
        <v>3.1449999999999998E-3</v>
      </c>
      <c r="P300" s="2047" t="s">
        <v>1152</v>
      </c>
      <c r="Q300" s="1948" t="s">
        <v>1172</v>
      </c>
      <c r="R300" s="2838"/>
      <c r="S300" s="2838"/>
      <c r="T300" s="2575"/>
      <c r="U300" s="2576"/>
      <c r="V300" s="2576"/>
      <c r="W300" s="2576"/>
      <c r="X300" s="2576">
        <v>-0.29999767999999999</v>
      </c>
      <c r="Y300" s="2576">
        <v>-0.35953381668373546</v>
      </c>
      <c r="Z300" s="2064">
        <v>0</v>
      </c>
      <c r="AA300" s="2064">
        <v>0</v>
      </c>
      <c r="AB300" s="2064">
        <v>0</v>
      </c>
      <c r="AC300" s="2064">
        <v>0</v>
      </c>
      <c r="AD300" s="2064">
        <v>0</v>
      </c>
      <c r="AE300" s="2064">
        <v>0</v>
      </c>
      <c r="AF300" s="2064">
        <v>0</v>
      </c>
    </row>
    <row r="301" spans="2:32" ht="25.5" outlineLevel="1">
      <c r="B301" s="2011" t="s">
        <v>1322</v>
      </c>
      <c r="C301" s="2584">
        <v>334</v>
      </c>
      <c r="D301" s="1934">
        <v>43738</v>
      </c>
      <c r="E301" s="1934">
        <v>46568</v>
      </c>
      <c r="F301" s="2571" t="s">
        <v>1125</v>
      </c>
      <c r="G301" s="1937" t="s">
        <v>975</v>
      </c>
      <c r="H301" s="1937" t="s">
        <v>975</v>
      </c>
      <c r="I301" s="2043">
        <v>12.5</v>
      </c>
      <c r="J301" s="2044" t="s">
        <v>1151</v>
      </c>
      <c r="K301" s="2045" t="s">
        <v>972</v>
      </c>
      <c r="L301" s="2041">
        <v>4.8750000000000002E-2</v>
      </c>
      <c r="M301" s="1938"/>
      <c r="N301" s="1936" t="s">
        <v>999</v>
      </c>
      <c r="O301" s="2046">
        <v>3.1449999999999998E-3</v>
      </c>
      <c r="P301" s="2047" t="s">
        <v>1152</v>
      </c>
      <c r="Q301" s="1948" t="s">
        <v>1172</v>
      </c>
      <c r="R301" s="2838"/>
      <c r="S301" s="2838"/>
      <c r="T301" s="2575"/>
      <c r="U301" s="2576"/>
      <c r="V301" s="2576"/>
      <c r="W301" s="2576"/>
      <c r="X301" s="2576">
        <v>-2.5815693</v>
      </c>
      <c r="Y301" s="2576">
        <v>-3.0692806335007572</v>
      </c>
      <c r="Z301" s="2064">
        <v>0</v>
      </c>
      <c r="AA301" s="2064">
        <v>0</v>
      </c>
      <c r="AB301" s="2064">
        <v>0</v>
      </c>
      <c r="AC301" s="2064">
        <v>0</v>
      </c>
      <c r="AD301" s="2064">
        <v>0</v>
      </c>
      <c r="AE301" s="2064">
        <v>0</v>
      </c>
      <c r="AF301" s="2064">
        <v>0</v>
      </c>
    </row>
    <row r="302" spans="2:32" ht="25.5" outlineLevel="1">
      <c r="B302" s="2011" t="s">
        <v>1323</v>
      </c>
      <c r="C302" s="2584">
        <v>335</v>
      </c>
      <c r="D302" s="1934">
        <v>44834</v>
      </c>
      <c r="E302" s="1934">
        <v>49628</v>
      </c>
      <c r="F302" s="2571" t="s">
        <v>1131</v>
      </c>
      <c r="G302" s="1937" t="s">
        <v>975</v>
      </c>
      <c r="H302" s="1937" t="s">
        <v>975</v>
      </c>
      <c r="I302" s="2043">
        <v>14.375</v>
      </c>
      <c r="J302" s="2044" t="s">
        <v>1151</v>
      </c>
      <c r="K302" s="2045" t="s">
        <v>972</v>
      </c>
      <c r="L302" s="2041">
        <v>4.8750000000000002E-2</v>
      </c>
      <c r="M302" s="1938"/>
      <c r="N302" s="1936" t="s">
        <v>999</v>
      </c>
      <c r="O302" s="2046">
        <v>4.0800000000000003E-3</v>
      </c>
      <c r="P302" s="2047" t="s">
        <v>1152</v>
      </c>
      <c r="Q302" s="1948" t="s">
        <v>1172</v>
      </c>
      <c r="R302" s="2838"/>
      <c r="S302" s="2838"/>
      <c r="T302" s="2575"/>
      <c r="U302" s="2576"/>
      <c r="V302" s="2576"/>
      <c r="W302" s="2576"/>
      <c r="X302" s="2576">
        <v>-4.0916547400000001</v>
      </c>
      <c r="Y302" s="2576">
        <v>-4.9571046312977769</v>
      </c>
      <c r="Z302" s="2064">
        <v>0</v>
      </c>
      <c r="AA302" s="2064">
        <v>0</v>
      </c>
      <c r="AB302" s="2064">
        <v>0</v>
      </c>
      <c r="AC302" s="2064">
        <v>0</v>
      </c>
      <c r="AD302" s="2064">
        <v>0</v>
      </c>
      <c r="AE302" s="2064">
        <v>0</v>
      </c>
      <c r="AF302" s="2064">
        <v>0</v>
      </c>
    </row>
    <row r="303" spans="2:32" ht="25.5" outlineLevel="1">
      <c r="B303" s="2011" t="s">
        <v>1324</v>
      </c>
      <c r="C303" s="2584">
        <v>167</v>
      </c>
      <c r="D303" s="1934">
        <v>41361</v>
      </c>
      <c r="E303" s="1934">
        <v>42643</v>
      </c>
      <c r="F303" s="2571" t="s">
        <v>1125</v>
      </c>
      <c r="G303" s="1937" t="s">
        <v>975</v>
      </c>
      <c r="H303" s="1937" t="s">
        <v>975</v>
      </c>
      <c r="I303" s="2043">
        <v>35</v>
      </c>
      <c r="J303" s="2044" t="s">
        <v>1151</v>
      </c>
      <c r="K303" s="2045" t="s">
        <v>972</v>
      </c>
      <c r="L303" s="2041">
        <v>4.8750000000000002E-2</v>
      </c>
      <c r="M303" s="1938"/>
      <c r="N303" s="1936" t="s">
        <v>999</v>
      </c>
      <c r="O303" s="2046">
        <v>3.1380000000000002E-3</v>
      </c>
      <c r="P303" s="2047" t="s">
        <v>1152</v>
      </c>
      <c r="Q303" s="1948" t="s">
        <v>1167</v>
      </c>
      <c r="R303" s="2838"/>
      <c r="S303" s="2838"/>
      <c r="T303" s="2575"/>
      <c r="U303" s="2576"/>
      <c r="V303" s="2576"/>
      <c r="W303" s="2576"/>
      <c r="X303" s="2576"/>
      <c r="Y303" s="2576">
        <v>0</v>
      </c>
      <c r="Z303" s="2064">
        <v>0</v>
      </c>
      <c r="AA303" s="2064">
        <v>0</v>
      </c>
      <c r="AB303" s="2064">
        <v>0</v>
      </c>
      <c r="AC303" s="2064">
        <v>0</v>
      </c>
      <c r="AD303" s="2064">
        <v>0</v>
      </c>
      <c r="AE303" s="2064">
        <v>0</v>
      </c>
      <c r="AF303" s="2064">
        <v>0</v>
      </c>
    </row>
    <row r="304" spans="2:32" ht="25.5" outlineLevel="1">
      <c r="B304" s="2011" t="s">
        <v>1325</v>
      </c>
      <c r="C304" s="2584">
        <v>171</v>
      </c>
      <c r="D304" s="1934">
        <v>41361</v>
      </c>
      <c r="E304" s="1934">
        <v>42825</v>
      </c>
      <c r="F304" s="2571" t="s">
        <v>1125</v>
      </c>
      <c r="G304" s="1937" t="s">
        <v>975</v>
      </c>
      <c r="H304" s="1937" t="s">
        <v>975</v>
      </c>
      <c r="I304" s="2043">
        <v>12.5</v>
      </c>
      <c r="J304" s="2044" t="s">
        <v>1151</v>
      </c>
      <c r="K304" s="2045" t="s">
        <v>972</v>
      </c>
      <c r="L304" s="2041">
        <v>4.8750000000000002E-2</v>
      </c>
      <c r="M304" s="1938"/>
      <c r="N304" s="1936" t="s">
        <v>999</v>
      </c>
      <c r="O304" s="2046">
        <v>3.1380000000000002E-3</v>
      </c>
      <c r="P304" s="2047" t="s">
        <v>1152</v>
      </c>
      <c r="Q304" s="1948" t="s">
        <v>1167</v>
      </c>
      <c r="R304" s="2838"/>
      <c r="S304" s="2838"/>
      <c r="T304" s="2575"/>
      <c r="U304" s="2576"/>
      <c r="V304" s="2576"/>
      <c r="W304" s="2576"/>
      <c r="X304" s="2576"/>
      <c r="Y304" s="2576">
        <v>0</v>
      </c>
      <c r="Z304" s="2064">
        <v>0</v>
      </c>
      <c r="AA304" s="2064">
        <v>0</v>
      </c>
      <c r="AB304" s="2064">
        <v>0</v>
      </c>
      <c r="AC304" s="2064">
        <v>0</v>
      </c>
      <c r="AD304" s="2064">
        <v>0</v>
      </c>
      <c r="AE304" s="2064">
        <v>0</v>
      </c>
      <c r="AF304" s="2064">
        <v>0</v>
      </c>
    </row>
    <row r="305" spans="2:32" ht="25.5" outlineLevel="1">
      <c r="B305" s="2011" t="s">
        <v>1326</v>
      </c>
      <c r="C305" s="2584">
        <v>341</v>
      </c>
      <c r="D305" s="1934">
        <v>43280</v>
      </c>
      <c r="E305" s="1934">
        <v>46934</v>
      </c>
      <c r="F305" s="2571" t="s">
        <v>1298</v>
      </c>
      <c r="G305" s="1937" t="s">
        <v>975</v>
      </c>
      <c r="H305" s="1937" t="s">
        <v>975</v>
      </c>
      <c r="I305" s="2043">
        <v>12.5</v>
      </c>
      <c r="J305" s="2044" t="s">
        <v>1148</v>
      </c>
      <c r="K305" s="2045" t="s">
        <v>999</v>
      </c>
      <c r="L305" s="2041">
        <v>0</v>
      </c>
      <c r="M305" s="1938" t="s">
        <v>1262</v>
      </c>
      <c r="N305" s="1936" t="s">
        <v>972</v>
      </c>
      <c r="O305" s="2046">
        <v>1.43E-2</v>
      </c>
      <c r="P305" s="2047"/>
      <c r="Q305" s="1948" t="s">
        <v>1167</v>
      </c>
      <c r="R305" s="2838"/>
      <c r="S305" s="2838"/>
      <c r="T305" s="2575"/>
      <c r="U305" s="2576"/>
      <c r="V305" s="2576"/>
      <c r="W305" s="2576"/>
      <c r="X305" s="2576"/>
      <c r="Y305" s="2576">
        <v>0.35440804999999997</v>
      </c>
      <c r="Z305" s="2064">
        <v>0</v>
      </c>
      <c r="AA305" s="2064">
        <v>0</v>
      </c>
      <c r="AB305" s="2064">
        <v>0</v>
      </c>
      <c r="AC305" s="2064">
        <v>0</v>
      </c>
      <c r="AD305" s="2064">
        <v>0</v>
      </c>
      <c r="AE305" s="2064">
        <v>0</v>
      </c>
      <c r="AF305" s="2064">
        <v>0</v>
      </c>
    </row>
    <row r="306" spans="2:32" ht="38.25" outlineLevel="1">
      <c r="B306" s="2011" t="s">
        <v>1327</v>
      </c>
      <c r="C306" s="2584">
        <v>343</v>
      </c>
      <c r="D306" s="1934">
        <v>43371</v>
      </c>
      <c r="E306" s="1934">
        <v>47025</v>
      </c>
      <c r="F306" s="2571" t="s">
        <v>1135</v>
      </c>
      <c r="G306" s="1937" t="s">
        <v>975</v>
      </c>
      <c r="H306" s="1937" t="s">
        <v>975</v>
      </c>
      <c r="I306" s="2043">
        <v>17.5</v>
      </c>
      <c r="J306" s="2044" t="s">
        <v>1136</v>
      </c>
      <c r="K306" s="2045" t="s">
        <v>999</v>
      </c>
      <c r="L306" s="2041">
        <v>0</v>
      </c>
      <c r="M306" s="1938" t="s">
        <v>1152</v>
      </c>
      <c r="N306" s="1936" t="s">
        <v>972</v>
      </c>
      <c r="O306" s="2046">
        <v>1.5689999999999999E-2</v>
      </c>
      <c r="P306" s="2047"/>
      <c r="Q306" s="1948" t="s">
        <v>1153</v>
      </c>
      <c r="R306" s="2838"/>
      <c r="S306" s="2838"/>
      <c r="T306" s="2575"/>
      <c r="U306" s="2576"/>
      <c r="V306" s="2576"/>
      <c r="W306" s="2576"/>
      <c r="X306" s="2576"/>
      <c r="Y306" s="2576">
        <v>0.57769378000000005</v>
      </c>
      <c r="Z306" s="2064">
        <v>0</v>
      </c>
      <c r="AA306" s="2064">
        <v>0</v>
      </c>
      <c r="AB306" s="2064">
        <v>0</v>
      </c>
      <c r="AC306" s="2064">
        <v>0</v>
      </c>
      <c r="AD306" s="2064">
        <v>0</v>
      </c>
      <c r="AE306" s="2064">
        <v>0</v>
      </c>
      <c r="AF306" s="2064">
        <v>0</v>
      </c>
    </row>
    <row r="307" spans="2:32" ht="51" outlineLevel="1">
      <c r="B307" s="2011" t="s">
        <v>1328</v>
      </c>
      <c r="C307" s="2584">
        <v>350</v>
      </c>
      <c r="D307" s="1934">
        <v>43656</v>
      </c>
      <c r="E307" s="1934">
        <v>47128</v>
      </c>
      <c r="F307" s="2571" t="s">
        <v>1329</v>
      </c>
      <c r="G307" s="1937" t="s">
        <v>975</v>
      </c>
      <c r="H307" s="1937" t="s">
        <v>975</v>
      </c>
      <c r="I307" s="2043">
        <v>1.25</v>
      </c>
      <c r="J307" s="2044" t="s">
        <v>1136</v>
      </c>
      <c r="K307" s="2045" t="s">
        <v>972</v>
      </c>
      <c r="L307" s="2041">
        <v>2.8400000000000002E-2</v>
      </c>
      <c r="M307" s="1938"/>
      <c r="N307" s="1936" t="s">
        <v>999</v>
      </c>
      <c r="O307" s="2046">
        <v>9.0749999999999997E-3</v>
      </c>
      <c r="P307" s="2047" t="s">
        <v>1152</v>
      </c>
      <c r="Q307" s="1948" t="s">
        <v>1252</v>
      </c>
      <c r="R307" s="2838"/>
      <c r="S307" s="2838"/>
      <c r="T307" s="2575"/>
      <c r="U307" s="2576"/>
      <c r="V307" s="2576"/>
      <c r="W307" s="2576"/>
      <c r="X307" s="2576"/>
      <c r="Y307" s="2576">
        <v>-0.66628555</v>
      </c>
      <c r="Z307" s="2064">
        <v>0</v>
      </c>
      <c r="AA307" s="2064">
        <v>0</v>
      </c>
      <c r="AB307" s="2064">
        <v>0</v>
      </c>
      <c r="AC307" s="2064">
        <v>0</v>
      </c>
      <c r="AD307" s="2064">
        <v>0</v>
      </c>
      <c r="AE307" s="2064">
        <v>0</v>
      </c>
      <c r="AF307" s="2064">
        <v>0</v>
      </c>
    </row>
    <row r="308" spans="2:32" ht="51" outlineLevel="1">
      <c r="B308" s="2011" t="s">
        <v>1330</v>
      </c>
      <c r="C308" s="2584">
        <v>349</v>
      </c>
      <c r="D308" s="1934">
        <v>43656</v>
      </c>
      <c r="E308" s="1934">
        <v>47128</v>
      </c>
      <c r="F308" s="2571" t="s">
        <v>1329</v>
      </c>
      <c r="G308" s="1937" t="s">
        <v>975</v>
      </c>
      <c r="H308" s="1937" t="s">
        <v>975</v>
      </c>
      <c r="I308" s="2043">
        <v>1.25</v>
      </c>
      <c r="J308" s="2044" t="s">
        <v>1136</v>
      </c>
      <c r="K308" s="2045" t="s">
        <v>972</v>
      </c>
      <c r="L308" s="2041">
        <v>2.8400000000000002E-2</v>
      </c>
      <c r="M308" s="1938"/>
      <c r="N308" s="1936" t="s">
        <v>999</v>
      </c>
      <c r="O308" s="2046">
        <v>8.8649999999999996E-3</v>
      </c>
      <c r="P308" s="2047" t="s">
        <v>1152</v>
      </c>
      <c r="Q308" s="1948" t="s">
        <v>1172</v>
      </c>
      <c r="R308" s="2838"/>
      <c r="S308" s="2838"/>
      <c r="T308" s="2575"/>
      <c r="U308" s="2576"/>
      <c r="V308" s="2576"/>
      <c r="W308" s="2576"/>
      <c r="X308" s="2576"/>
      <c r="Y308" s="2576">
        <v>-0.68250535999999995</v>
      </c>
      <c r="Z308" s="2064">
        <v>0</v>
      </c>
      <c r="AA308" s="2064">
        <v>0</v>
      </c>
      <c r="AB308" s="2064">
        <v>0</v>
      </c>
      <c r="AC308" s="2064">
        <v>0</v>
      </c>
      <c r="AD308" s="2064">
        <v>0</v>
      </c>
      <c r="AE308" s="2064">
        <v>0</v>
      </c>
      <c r="AF308" s="2064">
        <v>0</v>
      </c>
    </row>
    <row r="309" spans="2:32" ht="51" outlineLevel="1">
      <c r="B309" s="2011" t="s">
        <v>1331</v>
      </c>
      <c r="C309" s="2584">
        <v>348</v>
      </c>
      <c r="D309" s="1934">
        <v>43656</v>
      </c>
      <c r="E309" s="1934">
        <v>47858</v>
      </c>
      <c r="F309" s="2571" t="s">
        <v>1332</v>
      </c>
      <c r="G309" s="1937" t="s">
        <v>975</v>
      </c>
      <c r="H309" s="1937" t="s">
        <v>975</v>
      </c>
      <c r="I309" s="2043">
        <v>3.75</v>
      </c>
      <c r="J309" s="2044" t="s">
        <v>1136</v>
      </c>
      <c r="K309" s="2045" t="s">
        <v>972</v>
      </c>
      <c r="L309" s="2041">
        <v>2.9700000000000001E-2</v>
      </c>
      <c r="M309" s="1938"/>
      <c r="N309" s="1936" t="s">
        <v>999</v>
      </c>
      <c r="O309" s="2046">
        <v>9.7450000000000002E-3</v>
      </c>
      <c r="P309" s="2047" t="s">
        <v>1152</v>
      </c>
      <c r="Q309" s="1948" t="s">
        <v>1153</v>
      </c>
      <c r="R309" s="2838"/>
      <c r="S309" s="2838"/>
      <c r="T309" s="2575"/>
      <c r="U309" s="2576"/>
      <c r="V309" s="2576"/>
      <c r="W309" s="2576"/>
      <c r="X309" s="2576"/>
      <c r="Y309" s="2576">
        <v>-2.7312752000000002</v>
      </c>
      <c r="Z309" s="2064">
        <v>0</v>
      </c>
      <c r="AA309" s="2064">
        <v>0</v>
      </c>
      <c r="AB309" s="2064">
        <v>0</v>
      </c>
      <c r="AC309" s="2064">
        <v>0</v>
      </c>
      <c r="AD309" s="2064">
        <v>0</v>
      </c>
      <c r="AE309" s="2064">
        <v>0</v>
      </c>
      <c r="AF309" s="2064">
        <v>0</v>
      </c>
    </row>
    <row r="310" spans="2:32" ht="51" outlineLevel="1">
      <c r="B310" s="2011" t="s">
        <v>1333</v>
      </c>
      <c r="C310" s="2584">
        <v>347</v>
      </c>
      <c r="D310" s="1934">
        <v>43656</v>
      </c>
      <c r="E310" s="1934">
        <v>47858</v>
      </c>
      <c r="F310" s="2571" t="s">
        <v>1332</v>
      </c>
      <c r="G310" s="1937" t="s">
        <v>975</v>
      </c>
      <c r="H310" s="1937" t="s">
        <v>975</v>
      </c>
      <c r="I310" s="2043">
        <v>3.75</v>
      </c>
      <c r="J310" s="2044" t="s">
        <v>1136</v>
      </c>
      <c r="K310" s="2045" t="s">
        <v>972</v>
      </c>
      <c r="L310" s="2041">
        <v>2.9700000000000001E-2</v>
      </c>
      <c r="M310" s="1938"/>
      <c r="N310" s="1936" t="s">
        <v>999</v>
      </c>
      <c r="O310" s="2046">
        <v>9.7649999999999994E-3</v>
      </c>
      <c r="P310" s="2047" t="s">
        <v>1152</v>
      </c>
      <c r="Q310" s="1948" t="s">
        <v>1167</v>
      </c>
      <c r="R310" s="2838"/>
      <c r="S310" s="2838"/>
      <c r="T310" s="2575"/>
      <c r="U310" s="2576"/>
      <c r="V310" s="2576"/>
      <c r="W310" s="2576"/>
      <c r="X310" s="2576"/>
      <c r="Y310" s="2576">
        <v>-2.7755510800000001</v>
      </c>
      <c r="Z310" s="2064">
        <v>0</v>
      </c>
      <c r="AA310" s="2064">
        <v>0</v>
      </c>
      <c r="AB310" s="2064">
        <v>0</v>
      </c>
      <c r="AC310" s="2064">
        <v>0</v>
      </c>
      <c r="AD310" s="2064">
        <v>0</v>
      </c>
      <c r="AE310" s="2064">
        <v>0</v>
      </c>
      <c r="AF310" s="2064">
        <v>0</v>
      </c>
    </row>
    <row r="311" spans="2:32" ht="38.25" outlineLevel="1">
      <c r="B311" s="2011" t="s">
        <v>1334</v>
      </c>
      <c r="C311" s="2584">
        <v>345</v>
      </c>
      <c r="D311" s="1934">
        <v>43371</v>
      </c>
      <c r="E311" s="1934">
        <v>47025</v>
      </c>
      <c r="F311" s="2571" t="s">
        <v>1135</v>
      </c>
      <c r="G311" s="1937" t="s">
        <v>975</v>
      </c>
      <c r="H311" s="1937" t="s">
        <v>975</v>
      </c>
      <c r="I311" s="2043">
        <v>17.5</v>
      </c>
      <c r="J311" s="2044" t="s">
        <v>1136</v>
      </c>
      <c r="K311" s="2045" t="s">
        <v>999</v>
      </c>
      <c r="L311" s="2041">
        <v>0</v>
      </c>
      <c r="M311" s="1938" t="s">
        <v>1152</v>
      </c>
      <c r="N311" s="1936" t="s">
        <v>972</v>
      </c>
      <c r="O311" s="2046">
        <v>1.583E-2</v>
      </c>
      <c r="P311" s="2047"/>
      <c r="Q311" s="1948" t="s">
        <v>1252</v>
      </c>
      <c r="R311" s="2838"/>
      <c r="S311" s="2838"/>
      <c r="T311" s="2575"/>
      <c r="U311" s="2576"/>
      <c r="V311" s="2576"/>
      <c r="W311" s="2576"/>
      <c r="X311" s="2576"/>
      <c r="Y311" s="2576">
        <v>0.60350886999999998</v>
      </c>
      <c r="Z311" s="2064">
        <v>0</v>
      </c>
      <c r="AA311" s="2064">
        <v>0</v>
      </c>
      <c r="AB311" s="2064">
        <v>0</v>
      </c>
      <c r="AC311" s="2064">
        <v>0</v>
      </c>
      <c r="AD311" s="2064">
        <v>0</v>
      </c>
      <c r="AE311" s="2064">
        <v>0</v>
      </c>
      <c r="AF311" s="2064">
        <v>0</v>
      </c>
    </row>
    <row r="312" spans="2:32" ht="38.25" outlineLevel="1">
      <c r="B312" s="2011" t="s">
        <v>1335</v>
      </c>
      <c r="C312" s="2584">
        <v>355</v>
      </c>
      <c r="D312" s="1934">
        <v>43553</v>
      </c>
      <c r="E312" s="1934">
        <v>47206</v>
      </c>
      <c r="F312" s="2571" t="s">
        <v>1135</v>
      </c>
      <c r="G312" s="1937" t="s">
        <v>975</v>
      </c>
      <c r="H312" s="1937" t="s">
        <v>975</v>
      </c>
      <c r="I312" s="2043">
        <v>17.5</v>
      </c>
      <c r="J312" s="2044" t="s">
        <v>1136</v>
      </c>
      <c r="K312" s="2045" t="s">
        <v>999</v>
      </c>
      <c r="L312" s="2041">
        <v>0</v>
      </c>
      <c r="M312" s="1938" t="s">
        <v>1152</v>
      </c>
      <c r="N312" s="1936" t="s">
        <v>972</v>
      </c>
      <c r="O312" s="2046">
        <v>1.4885000000000001E-2</v>
      </c>
      <c r="P312" s="2047"/>
      <c r="Q312" s="1948" t="s">
        <v>1167</v>
      </c>
      <c r="R312" s="2838"/>
      <c r="S312" s="2838"/>
      <c r="T312" s="2575"/>
      <c r="U312" s="2576"/>
      <c r="V312" s="2576"/>
      <c r="W312" s="2576"/>
      <c r="X312" s="2576"/>
      <c r="Y312" s="2576">
        <v>0.45961157000000002</v>
      </c>
      <c r="Z312" s="2064">
        <v>0</v>
      </c>
      <c r="AA312" s="2064">
        <v>0</v>
      </c>
      <c r="AB312" s="2064">
        <v>0</v>
      </c>
      <c r="AC312" s="2064">
        <v>0</v>
      </c>
      <c r="AD312" s="2064">
        <v>0</v>
      </c>
      <c r="AE312" s="2064">
        <v>0</v>
      </c>
      <c r="AF312" s="2064">
        <v>0</v>
      </c>
    </row>
    <row r="313" spans="2:32" ht="38.25" outlineLevel="1">
      <c r="B313" s="2011" t="s">
        <v>1336</v>
      </c>
      <c r="C313" s="2584">
        <v>429</v>
      </c>
      <c r="D313" s="1934">
        <v>43553</v>
      </c>
      <c r="E313" s="1934">
        <v>47206</v>
      </c>
      <c r="F313" s="2571" t="s">
        <v>1135</v>
      </c>
      <c r="G313" s="1937" t="s">
        <v>975</v>
      </c>
      <c r="H313" s="1937" t="s">
        <v>975</v>
      </c>
      <c r="I313" s="2043">
        <v>17.5</v>
      </c>
      <c r="J313" s="2044" t="s">
        <v>1136</v>
      </c>
      <c r="K313" s="2045" t="s">
        <v>999</v>
      </c>
      <c r="L313" s="2041">
        <v>0</v>
      </c>
      <c r="M313" s="1938" t="s">
        <v>1152</v>
      </c>
      <c r="N313" s="1936" t="s">
        <v>972</v>
      </c>
      <c r="O313" s="2046">
        <v>1.201E-2</v>
      </c>
      <c r="P313" s="2047"/>
      <c r="Q313" s="1948" t="s">
        <v>1172</v>
      </c>
      <c r="R313" s="2838"/>
      <c r="S313" s="2838"/>
      <c r="T313" s="2575"/>
      <c r="U313" s="2576"/>
      <c r="V313" s="2576"/>
      <c r="W313" s="2576"/>
      <c r="X313" s="2576"/>
      <c r="Y313" s="2576">
        <v>-1.1569E-3</v>
      </c>
      <c r="Z313" s="2064">
        <v>0</v>
      </c>
      <c r="AA313" s="2064">
        <v>0</v>
      </c>
      <c r="AB313" s="2064">
        <v>0</v>
      </c>
      <c r="AC313" s="2064">
        <v>0</v>
      </c>
      <c r="AD313" s="2064">
        <v>0</v>
      </c>
      <c r="AE313" s="2064">
        <v>0</v>
      </c>
      <c r="AF313" s="2064">
        <v>0</v>
      </c>
    </row>
    <row r="314" spans="2:32" outlineLevel="1">
      <c r="B314" s="2068" t="s">
        <v>1337</v>
      </c>
      <c r="C314" s="2954" t="s">
        <v>943</v>
      </c>
      <c r="D314" s="2955"/>
      <c r="E314" s="2955"/>
      <c r="F314" s="2955"/>
      <c r="G314" s="2955"/>
      <c r="H314" s="2955"/>
      <c r="I314" s="2955"/>
      <c r="J314" s="2955"/>
      <c r="K314" s="2955"/>
      <c r="L314" s="2955"/>
      <c r="M314" s="2955"/>
      <c r="N314" s="2955"/>
      <c r="O314" s="2955"/>
      <c r="P314" s="2955"/>
      <c r="Q314" s="2956"/>
      <c r="R314" s="2838"/>
      <c r="S314" s="2838"/>
      <c r="T314" s="2069"/>
      <c r="U314" s="2070"/>
      <c r="V314" s="2070"/>
      <c r="W314" s="2070"/>
      <c r="X314" s="2070"/>
      <c r="Y314" s="2070"/>
      <c r="Z314" s="2070"/>
      <c r="AA314" s="2071"/>
      <c r="AB314" s="2072"/>
      <c r="AC314" s="2070"/>
      <c r="AD314" s="2070"/>
      <c r="AE314" s="2070"/>
      <c r="AF314" s="2073"/>
    </row>
    <row r="315" spans="2:32" s="1877" customFormat="1">
      <c r="B315" s="1878"/>
      <c r="C315" s="1878"/>
      <c r="F315" s="1950"/>
      <c r="G315" s="1950"/>
      <c r="H315" s="1950"/>
      <c r="I315" s="1950"/>
      <c r="J315" s="1895"/>
      <c r="K315" s="1895"/>
      <c r="L315" s="1895"/>
      <c r="M315" s="1895"/>
      <c r="N315" s="1895"/>
      <c r="O315" s="1895"/>
      <c r="P315" s="1895"/>
      <c r="Q315" s="1895"/>
      <c r="R315" s="1895"/>
      <c r="S315" s="1910" t="s">
        <v>1338</v>
      </c>
      <c r="T315" s="2074">
        <f>SUM(T147:T314)</f>
        <v>0</v>
      </c>
      <c r="U315" s="2075">
        <f t="shared" ref="U315:AF315" si="9">SUM(U147:U314)</f>
        <v>0</v>
      </c>
      <c r="V315" s="2075">
        <f t="shared" si="9"/>
        <v>-68.031828288889315</v>
      </c>
      <c r="W315" s="2075">
        <f t="shared" si="9"/>
        <v>-83.426850309357292</v>
      </c>
      <c r="X315" s="2075">
        <f t="shared" si="9"/>
        <v>-77.930241622511218</v>
      </c>
      <c r="Y315" s="2075">
        <f t="shared" si="9"/>
        <v>-155.61606503622886</v>
      </c>
      <c r="Z315" s="2075">
        <f t="shared" si="9"/>
        <v>0</v>
      </c>
      <c r="AA315" s="2076">
        <f t="shared" si="9"/>
        <v>0</v>
      </c>
      <c r="AB315" s="2077">
        <f t="shared" si="9"/>
        <v>0</v>
      </c>
      <c r="AC315" s="2075">
        <f t="shared" si="9"/>
        <v>0</v>
      </c>
      <c r="AD315" s="2075">
        <f t="shared" si="9"/>
        <v>0</v>
      </c>
      <c r="AE315" s="2075">
        <f t="shared" si="9"/>
        <v>0</v>
      </c>
      <c r="AF315" s="2078">
        <f t="shared" si="9"/>
        <v>0</v>
      </c>
    </row>
    <row r="316" spans="2:32" outlineLevel="1">
      <c r="B316" s="2048" t="s">
        <v>965</v>
      </c>
      <c r="C316" s="2943" t="s">
        <v>1121</v>
      </c>
      <c r="D316" s="2944"/>
      <c r="E316" s="2944"/>
      <c r="F316" s="2944"/>
      <c r="G316" s="2944"/>
      <c r="H316" s="2944"/>
      <c r="I316" s="2944"/>
      <c r="J316" s="2944"/>
      <c r="K316" s="2944"/>
      <c r="L316" s="2944"/>
      <c r="M316" s="2944"/>
      <c r="N316" s="2944"/>
      <c r="O316" s="2944"/>
      <c r="P316" s="2944"/>
      <c r="Q316" s="2945"/>
      <c r="R316" s="1889"/>
      <c r="S316" s="2049"/>
      <c r="X316" s="1870"/>
      <c r="Y316" s="1870"/>
      <c r="Z316" s="1870"/>
      <c r="AA316" s="1870"/>
      <c r="AB316" s="1886"/>
      <c r="AC316" s="1870"/>
      <c r="AD316" s="1870"/>
      <c r="AE316" s="1870"/>
      <c r="AF316" s="1870"/>
    </row>
    <row r="317" spans="2:32" outlineLevel="1">
      <c r="B317" s="2011" t="s">
        <v>1124</v>
      </c>
      <c r="C317" s="2946" t="s">
        <v>1339</v>
      </c>
      <c r="D317" s="2947"/>
      <c r="E317" s="2947"/>
      <c r="F317" s="2947"/>
      <c r="G317" s="2947"/>
      <c r="H317" s="2947"/>
      <c r="I317" s="2947"/>
      <c r="J317" s="2947"/>
      <c r="K317" s="2947"/>
      <c r="L317" s="2947"/>
      <c r="M317" s="2947"/>
      <c r="N317" s="2947"/>
      <c r="O317" s="2947"/>
      <c r="P317" s="2947"/>
      <c r="Q317" s="2948"/>
      <c r="R317" s="1889"/>
      <c r="S317" s="2050"/>
      <c r="X317" s="1870"/>
      <c r="Y317" s="1870"/>
      <c r="Z317" s="1870"/>
      <c r="AA317" s="1870"/>
      <c r="AB317" s="1886"/>
      <c r="AC317" s="1870"/>
      <c r="AD317" s="1870"/>
      <c r="AE317" s="1870"/>
      <c r="AF317" s="1870"/>
    </row>
    <row r="318" spans="2:32" outlineLevel="1">
      <c r="B318" s="2011" t="s">
        <v>1130</v>
      </c>
      <c r="C318" s="2946" t="s">
        <v>1340</v>
      </c>
      <c r="D318" s="2947"/>
      <c r="E318" s="2947"/>
      <c r="F318" s="2947"/>
      <c r="G318" s="2947"/>
      <c r="H318" s="2947"/>
      <c r="I318" s="2947"/>
      <c r="J318" s="2947"/>
      <c r="K318" s="2947"/>
      <c r="L318" s="2947"/>
      <c r="M318" s="2947"/>
      <c r="N318" s="2947"/>
      <c r="O318" s="2947"/>
      <c r="P318" s="2947"/>
      <c r="Q318" s="2948"/>
      <c r="R318" s="1889"/>
      <c r="S318" s="2050"/>
      <c r="X318" s="1870"/>
      <c r="Y318" s="1870"/>
      <c r="Z318" s="1870"/>
      <c r="AA318" s="1870"/>
      <c r="AB318" s="1886"/>
      <c r="AC318" s="1870"/>
      <c r="AD318" s="1870"/>
      <c r="AE318" s="1870"/>
      <c r="AF318" s="1870"/>
    </row>
    <row r="319" spans="2:32" outlineLevel="1">
      <c r="B319" s="2011" t="s">
        <v>1132</v>
      </c>
      <c r="C319" s="2946"/>
      <c r="D319" s="2947"/>
      <c r="E319" s="2947"/>
      <c r="F319" s="2947"/>
      <c r="G319" s="2947"/>
      <c r="H319" s="2947"/>
      <c r="I319" s="2947"/>
      <c r="J319" s="2947"/>
      <c r="K319" s="2947"/>
      <c r="L319" s="2947"/>
      <c r="M319" s="2947"/>
      <c r="N319" s="2947"/>
      <c r="O319" s="2947"/>
      <c r="P319" s="2947"/>
      <c r="Q319" s="2948"/>
      <c r="R319" s="1889"/>
      <c r="S319" s="2050"/>
      <c r="X319" s="1870"/>
      <c r="Y319" s="1870"/>
      <c r="Z319" s="1870"/>
      <c r="AA319" s="1870"/>
      <c r="AB319" s="1886"/>
      <c r="AC319" s="1870"/>
      <c r="AD319" s="1870"/>
      <c r="AE319" s="1870"/>
      <c r="AF319" s="1870"/>
    </row>
    <row r="320" spans="2:32" outlineLevel="1">
      <c r="B320" s="2011" t="s">
        <v>1137</v>
      </c>
      <c r="C320" s="2946"/>
      <c r="D320" s="2947"/>
      <c r="E320" s="2947"/>
      <c r="F320" s="2947"/>
      <c r="G320" s="2947"/>
      <c r="H320" s="2947"/>
      <c r="I320" s="2947"/>
      <c r="J320" s="2947"/>
      <c r="K320" s="2947"/>
      <c r="L320" s="2947"/>
      <c r="M320" s="2947"/>
      <c r="N320" s="2947"/>
      <c r="O320" s="2947"/>
      <c r="P320" s="2947"/>
      <c r="Q320" s="2948"/>
      <c r="R320" s="1889"/>
      <c r="S320" s="2050"/>
      <c r="X320" s="1870"/>
      <c r="Y320" s="1870"/>
      <c r="Z320" s="1870"/>
      <c r="AA320" s="1870"/>
      <c r="AB320" s="1886"/>
      <c r="AC320" s="1870"/>
      <c r="AD320" s="1870"/>
      <c r="AE320" s="1870"/>
      <c r="AF320" s="1870"/>
    </row>
    <row r="321" spans="2:32" outlineLevel="1">
      <c r="B321" s="2011" t="s">
        <v>1139</v>
      </c>
      <c r="C321" s="2946"/>
      <c r="D321" s="2947"/>
      <c r="E321" s="2947"/>
      <c r="F321" s="2947"/>
      <c r="G321" s="2947"/>
      <c r="H321" s="2947"/>
      <c r="I321" s="2947"/>
      <c r="J321" s="2947"/>
      <c r="K321" s="2947"/>
      <c r="L321" s="2947"/>
      <c r="M321" s="2947"/>
      <c r="N321" s="2947"/>
      <c r="O321" s="2947"/>
      <c r="P321" s="2947"/>
      <c r="Q321" s="2948"/>
      <c r="R321" s="1889"/>
      <c r="S321" s="2050"/>
      <c r="X321" s="1870"/>
      <c r="Y321" s="1870"/>
      <c r="Z321" s="1870"/>
      <c r="AA321" s="1870"/>
      <c r="AB321" s="1886"/>
      <c r="AC321" s="1870"/>
      <c r="AD321" s="1870"/>
      <c r="AE321" s="1870"/>
      <c r="AF321" s="1870"/>
    </row>
    <row r="322" spans="2:32" outlineLevel="1">
      <c r="B322" s="2011" t="s">
        <v>1141</v>
      </c>
      <c r="C322" s="2946"/>
      <c r="D322" s="2947"/>
      <c r="E322" s="2947"/>
      <c r="F322" s="2947"/>
      <c r="G322" s="2947"/>
      <c r="H322" s="2947"/>
      <c r="I322" s="2947"/>
      <c r="J322" s="2947"/>
      <c r="K322" s="2947"/>
      <c r="L322" s="2947"/>
      <c r="M322" s="2947"/>
      <c r="N322" s="2947"/>
      <c r="O322" s="2947"/>
      <c r="P322" s="2947"/>
      <c r="Q322" s="2948"/>
      <c r="R322" s="1889"/>
      <c r="S322" s="2050"/>
      <c r="X322" s="1870"/>
      <c r="Y322" s="1870"/>
      <c r="Z322" s="1870"/>
      <c r="AA322" s="1870"/>
      <c r="AB322" s="1886"/>
      <c r="AC322" s="1870"/>
      <c r="AD322" s="1870"/>
      <c r="AE322" s="1870"/>
      <c r="AF322" s="1870"/>
    </row>
    <row r="323" spans="2:32" outlineLevel="1">
      <c r="B323" s="2011" t="s">
        <v>1143</v>
      </c>
      <c r="C323" s="2946"/>
      <c r="D323" s="2947"/>
      <c r="E323" s="2947"/>
      <c r="F323" s="2947"/>
      <c r="G323" s="2947"/>
      <c r="H323" s="2947"/>
      <c r="I323" s="2947"/>
      <c r="J323" s="2947"/>
      <c r="K323" s="2947"/>
      <c r="L323" s="2947"/>
      <c r="M323" s="2947"/>
      <c r="N323" s="2947"/>
      <c r="O323" s="2947"/>
      <c r="P323" s="2947"/>
      <c r="Q323" s="2948"/>
      <c r="R323" s="1889"/>
      <c r="S323" s="2050"/>
      <c r="X323" s="1870"/>
      <c r="Y323" s="1870"/>
      <c r="Z323" s="1870"/>
      <c r="AA323" s="1870"/>
      <c r="AB323" s="1886"/>
      <c r="AC323" s="1870"/>
      <c r="AD323" s="1870"/>
      <c r="AE323" s="1870"/>
      <c r="AF323" s="1870"/>
    </row>
    <row r="324" spans="2:32" outlineLevel="1">
      <c r="B324" s="2011" t="s">
        <v>1145</v>
      </c>
      <c r="C324" s="2946"/>
      <c r="D324" s="2947"/>
      <c r="E324" s="2947"/>
      <c r="F324" s="2947"/>
      <c r="G324" s="2947"/>
      <c r="H324" s="2947"/>
      <c r="I324" s="2947"/>
      <c r="J324" s="2947"/>
      <c r="K324" s="2947"/>
      <c r="L324" s="2947"/>
      <c r="M324" s="2947"/>
      <c r="N324" s="2947"/>
      <c r="O324" s="2947"/>
      <c r="P324" s="2947"/>
      <c r="Q324" s="2948"/>
      <c r="R324" s="1889"/>
      <c r="S324" s="2050"/>
      <c r="X324" s="1870"/>
      <c r="Y324" s="1870"/>
      <c r="Z324" s="1870"/>
      <c r="AA324" s="1870"/>
      <c r="AB324" s="1886"/>
      <c r="AC324" s="1870"/>
      <c r="AD324" s="1870"/>
      <c r="AE324" s="1870"/>
      <c r="AF324" s="1870"/>
    </row>
    <row r="325" spans="2:32" outlineLevel="1">
      <c r="B325" s="2011" t="s">
        <v>1146</v>
      </c>
      <c r="C325" s="2946"/>
      <c r="D325" s="2947"/>
      <c r="E325" s="2947"/>
      <c r="F325" s="2947"/>
      <c r="G325" s="2947"/>
      <c r="H325" s="2947"/>
      <c r="I325" s="2947"/>
      <c r="J325" s="2947"/>
      <c r="K325" s="2947"/>
      <c r="L325" s="2947"/>
      <c r="M325" s="2947"/>
      <c r="N325" s="2947"/>
      <c r="O325" s="2947"/>
      <c r="P325" s="2947"/>
      <c r="Q325" s="2948"/>
      <c r="R325" s="1889"/>
      <c r="S325" s="2050"/>
      <c r="X325" s="1870"/>
      <c r="Y325" s="1870"/>
      <c r="Z325" s="1870"/>
      <c r="AA325" s="1870"/>
      <c r="AB325" s="1886"/>
      <c r="AC325" s="1870"/>
      <c r="AD325" s="1870"/>
      <c r="AE325" s="1870"/>
      <c r="AF325" s="1870"/>
    </row>
    <row r="326" spans="2:32" outlineLevel="1">
      <c r="B326" s="2068" t="s">
        <v>1337</v>
      </c>
      <c r="C326" s="2946" t="s">
        <v>943</v>
      </c>
      <c r="D326" s="2947"/>
      <c r="E326" s="2947"/>
      <c r="F326" s="2947"/>
      <c r="G326" s="2947"/>
      <c r="H326" s="2947"/>
      <c r="I326" s="2947"/>
      <c r="J326" s="2947"/>
      <c r="K326" s="2947"/>
      <c r="L326" s="2947"/>
      <c r="M326" s="2947"/>
      <c r="N326" s="2947"/>
      <c r="O326" s="2947"/>
      <c r="P326" s="2947"/>
      <c r="Q326" s="2948"/>
      <c r="R326" s="1889"/>
      <c r="S326" s="2050"/>
      <c r="X326" s="1870"/>
      <c r="Y326" s="1870"/>
      <c r="Z326" s="1870"/>
      <c r="AA326" s="1870"/>
      <c r="AB326" s="1886"/>
      <c r="AC326" s="1870"/>
      <c r="AD326" s="1870"/>
      <c r="AE326" s="1870"/>
      <c r="AF326" s="1870"/>
    </row>
    <row r="327" spans="2:32" s="1877" customFormat="1">
      <c r="B327" s="1878"/>
      <c r="C327" s="1878"/>
      <c r="D327" s="1895"/>
      <c r="E327" s="1895"/>
      <c r="F327" s="1950"/>
      <c r="G327" s="1950"/>
      <c r="H327" s="1950"/>
      <c r="I327" s="1950"/>
      <c r="J327" s="1895"/>
      <c r="K327" s="1895"/>
      <c r="L327" s="1895"/>
      <c r="M327" s="1895"/>
      <c r="N327" s="1895"/>
      <c r="O327" s="1895"/>
      <c r="P327" s="1895"/>
      <c r="Q327" s="1895"/>
      <c r="R327" s="1895"/>
      <c r="S327" s="1895"/>
      <c r="AB327" s="1886"/>
    </row>
    <row r="328" spans="2:32">
      <c r="B328" s="1887" t="s">
        <v>1341</v>
      </c>
      <c r="C328" s="1887"/>
      <c r="D328" s="2079" t="s">
        <v>1342</v>
      </c>
      <c r="E328" s="1888"/>
      <c r="F328" s="1889"/>
      <c r="G328" s="1889"/>
      <c r="H328" s="1889"/>
      <c r="I328" s="1889"/>
      <c r="J328" s="1889"/>
      <c r="K328" s="1889"/>
      <c r="L328" s="1889"/>
      <c r="M328" s="1889"/>
      <c r="N328" s="1889"/>
      <c r="O328" s="1889"/>
      <c r="P328" s="1889"/>
      <c r="Q328" s="1889"/>
      <c r="R328" s="1889"/>
      <c r="S328" s="1889"/>
      <c r="X328" s="1870"/>
      <c r="Y328" s="1870"/>
      <c r="Z328" s="1870"/>
      <c r="AA328" s="1870"/>
      <c r="AB328" s="1886"/>
      <c r="AC328" s="1870"/>
      <c r="AD328" s="1870"/>
      <c r="AE328" s="1870"/>
      <c r="AF328" s="1870"/>
    </row>
    <row r="329" spans="2:32" outlineLevel="1">
      <c r="D329" s="2080"/>
      <c r="E329" s="2080"/>
      <c r="F329" s="1889"/>
      <c r="G329" s="1889"/>
      <c r="H329" s="1889"/>
      <c r="I329" s="1889"/>
      <c r="J329" s="1889"/>
      <c r="K329" s="1889"/>
      <c r="L329" s="1889"/>
      <c r="M329" s="1889"/>
      <c r="N329" s="1889"/>
      <c r="O329" s="1889"/>
      <c r="P329" s="1889"/>
      <c r="Q329" s="1889"/>
      <c r="R329" s="1889"/>
      <c r="S329" s="1889"/>
      <c r="T329" s="1885"/>
      <c r="U329" s="1885"/>
      <c r="V329" s="1885"/>
      <c r="W329" s="1885"/>
      <c r="AA329" s="1885"/>
      <c r="AB329" s="1916"/>
      <c r="AC329" s="1885"/>
      <c r="AD329" s="1885"/>
      <c r="AE329" s="1885"/>
    </row>
    <row r="330" spans="2:32" s="2016" customFormat="1" ht="32.25" customHeight="1" outlineLevel="1">
      <c r="B330" s="2081"/>
      <c r="C330" s="1920" t="s">
        <v>1020</v>
      </c>
      <c r="D330" s="1919" t="s">
        <v>949</v>
      </c>
      <c r="E330" s="1960" t="s">
        <v>950</v>
      </c>
      <c r="F330" s="2969" t="s">
        <v>1098</v>
      </c>
      <c r="G330" s="1960" t="s">
        <v>1099</v>
      </c>
      <c r="H330" s="1919" t="s">
        <v>1100</v>
      </c>
      <c r="I330" s="1960" t="s">
        <v>1101</v>
      </c>
      <c r="J330" s="1920" t="s">
        <v>1102</v>
      </c>
      <c r="K330" s="1960" t="s">
        <v>1099</v>
      </c>
      <c r="L330" s="1919" t="s">
        <v>1099</v>
      </c>
      <c r="M330" s="1960" t="s">
        <v>1099</v>
      </c>
      <c r="N330" s="1919" t="s">
        <v>1103</v>
      </c>
      <c r="O330" s="1960" t="s">
        <v>1103</v>
      </c>
      <c r="P330" s="1919" t="s">
        <v>1103</v>
      </c>
      <c r="Q330" s="2014" t="s">
        <v>1081</v>
      </c>
      <c r="R330" s="2015"/>
      <c r="S330" s="2015"/>
      <c r="AB330" s="2017"/>
    </row>
    <row r="331" spans="2:32" s="2062" customFormat="1" ht="52.5" customHeight="1" outlineLevel="1">
      <c r="B331" s="2055" t="s">
        <v>965</v>
      </c>
      <c r="C331" s="2019"/>
      <c r="D331" s="2019" t="s">
        <v>966</v>
      </c>
      <c r="E331" s="2020" t="s">
        <v>966</v>
      </c>
      <c r="F331" s="2970"/>
      <c r="G331" s="2021" t="s">
        <v>1104</v>
      </c>
      <c r="H331" s="2022" t="s">
        <v>1104</v>
      </c>
      <c r="I331" s="2023" t="s">
        <v>498</v>
      </c>
      <c r="J331" s="2022" t="s">
        <v>1105</v>
      </c>
      <c r="K331" s="2021" t="s">
        <v>1106</v>
      </c>
      <c r="L331" s="2024" t="s">
        <v>1107</v>
      </c>
      <c r="M331" s="2025" t="s">
        <v>1108</v>
      </c>
      <c r="N331" s="2022" t="s">
        <v>1106</v>
      </c>
      <c r="O331" s="2025" t="s">
        <v>1109</v>
      </c>
      <c r="P331" s="2024" t="s">
        <v>1108</v>
      </c>
      <c r="Q331" s="2026" t="s">
        <v>993</v>
      </c>
      <c r="R331" s="2082"/>
      <c r="S331" s="2082"/>
      <c r="T331" s="2057" t="s">
        <v>498</v>
      </c>
      <c r="U331" s="2058" t="s">
        <v>498</v>
      </c>
      <c r="V331" s="2058" t="s">
        <v>498</v>
      </c>
      <c r="W331" s="2058" t="s">
        <v>498</v>
      </c>
      <c r="X331" s="2058" t="s">
        <v>498</v>
      </c>
      <c r="Y331" s="2058" t="s">
        <v>498</v>
      </c>
      <c r="Z331" s="2058" t="s">
        <v>498</v>
      </c>
      <c r="AA331" s="2059" t="s">
        <v>498</v>
      </c>
      <c r="AB331" s="2060" t="s">
        <v>498</v>
      </c>
      <c r="AC331" s="2058" t="s">
        <v>498</v>
      </c>
      <c r="AD331" s="2058" t="s">
        <v>498</v>
      </c>
      <c r="AE331" s="2058" t="s">
        <v>498</v>
      </c>
      <c r="AF331" s="2061" t="s">
        <v>498</v>
      </c>
    </row>
    <row r="332" spans="2:32" outlineLevel="1">
      <c r="B332" s="2011" t="s">
        <v>1343</v>
      </c>
      <c r="C332" s="1983"/>
      <c r="D332" s="1983"/>
      <c r="E332" s="1983"/>
      <c r="F332" s="2035"/>
      <c r="G332" s="1937"/>
      <c r="H332" s="1937"/>
      <c r="I332" s="2036"/>
      <c r="J332" s="2037"/>
      <c r="K332" s="2038"/>
      <c r="L332" s="2039"/>
      <c r="M332" s="2039"/>
      <c r="N332" s="2040"/>
      <c r="O332" s="2041"/>
      <c r="P332" s="2042"/>
      <c r="Q332" s="1948"/>
      <c r="R332" s="1889"/>
      <c r="S332" s="1889"/>
      <c r="T332" s="2063"/>
      <c r="U332" s="2064"/>
      <c r="V332" s="2064"/>
      <c r="W332" s="2064"/>
      <c r="X332" s="2064"/>
      <c r="Y332" s="2064"/>
      <c r="Z332" s="2064"/>
      <c r="AA332" s="2065"/>
      <c r="AB332" s="2066"/>
      <c r="AC332" s="2064"/>
      <c r="AD332" s="2064"/>
      <c r="AE332" s="2064"/>
      <c r="AF332" s="2067"/>
    </row>
    <row r="333" spans="2:32" outlineLevel="1">
      <c r="B333" s="2011" t="s">
        <v>1344</v>
      </c>
      <c r="C333" s="1934"/>
      <c r="D333" s="1934"/>
      <c r="E333" s="1934"/>
      <c r="F333" s="1935"/>
      <c r="G333" s="1937"/>
      <c r="H333" s="1937"/>
      <c r="I333" s="2043"/>
      <c r="J333" s="2044"/>
      <c r="K333" s="2045"/>
      <c r="L333" s="1938"/>
      <c r="M333" s="1938"/>
      <c r="N333" s="1936"/>
      <c r="O333" s="2046"/>
      <c r="P333" s="2047"/>
      <c r="Q333" s="1948"/>
      <c r="R333" s="1889"/>
      <c r="S333" s="1889"/>
      <c r="T333" s="2063"/>
      <c r="U333" s="2064"/>
      <c r="V333" s="2064"/>
      <c r="W333" s="2064"/>
      <c r="X333" s="2064"/>
      <c r="Y333" s="2064"/>
      <c r="Z333" s="2064"/>
      <c r="AA333" s="2065"/>
      <c r="AB333" s="2066"/>
      <c r="AC333" s="2064"/>
      <c r="AD333" s="2064"/>
      <c r="AE333" s="2064"/>
      <c r="AF333" s="2067"/>
    </row>
    <row r="334" spans="2:32" outlineLevel="1">
      <c r="B334" s="2011" t="s">
        <v>1345</v>
      </c>
      <c r="C334" s="1934"/>
      <c r="D334" s="1934"/>
      <c r="E334" s="1934"/>
      <c r="F334" s="1935"/>
      <c r="G334" s="1937"/>
      <c r="H334" s="1937"/>
      <c r="I334" s="2043"/>
      <c r="J334" s="2044"/>
      <c r="K334" s="2045"/>
      <c r="L334" s="1938"/>
      <c r="M334" s="1938"/>
      <c r="N334" s="1936"/>
      <c r="O334" s="2046"/>
      <c r="P334" s="2047"/>
      <c r="Q334" s="1948"/>
      <c r="R334" s="1889"/>
      <c r="S334" s="1889"/>
      <c r="T334" s="2063"/>
      <c r="U334" s="2064"/>
      <c r="V334" s="2064"/>
      <c r="W334" s="2064"/>
      <c r="X334" s="2064"/>
      <c r="Y334" s="2064"/>
      <c r="Z334" s="2064"/>
      <c r="AA334" s="2065"/>
      <c r="AB334" s="2066"/>
      <c r="AC334" s="2064"/>
      <c r="AD334" s="2064"/>
      <c r="AE334" s="2064"/>
      <c r="AF334" s="2067"/>
    </row>
    <row r="335" spans="2:32" outlineLevel="1">
      <c r="B335" s="2011" t="s">
        <v>1346</v>
      </c>
      <c r="C335" s="1934"/>
      <c r="D335" s="1934"/>
      <c r="E335" s="1934"/>
      <c r="F335" s="1935"/>
      <c r="G335" s="1937"/>
      <c r="H335" s="1937"/>
      <c r="I335" s="2043"/>
      <c r="J335" s="2044"/>
      <c r="K335" s="2045"/>
      <c r="L335" s="1938"/>
      <c r="M335" s="1938"/>
      <c r="N335" s="1936"/>
      <c r="O335" s="2046"/>
      <c r="P335" s="2047"/>
      <c r="Q335" s="1948"/>
      <c r="R335" s="1889"/>
      <c r="S335" s="1889"/>
      <c r="T335" s="2063"/>
      <c r="U335" s="2064"/>
      <c r="V335" s="2064"/>
      <c r="W335" s="2064"/>
      <c r="X335" s="2064"/>
      <c r="Y335" s="2064"/>
      <c r="Z335" s="2064"/>
      <c r="AA335" s="2065"/>
      <c r="AB335" s="2066"/>
      <c r="AC335" s="2064"/>
      <c r="AD335" s="2064"/>
      <c r="AE335" s="2064"/>
      <c r="AF335" s="2067"/>
    </row>
    <row r="336" spans="2:32" outlineLevel="1">
      <c r="B336" s="2011" t="s">
        <v>1347</v>
      </c>
      <c r="C336" s="1934"/>
      <c r="D336" s="1934"/>
      <c r="E336" s="1934"/>
      <c r="F336" s="1935"/>
      <c r="G336" s="1937"/>
      <c r="H336" s="1937"/>
      <c r="I336" s="2043"/>
      <c r="J336" s="2044"/>
      <c r="K336" s="2045"/>
      <c r="L336" s="1938"/>
      <c r="M336" s="1938"/>
      <c r="N336" s="1936"/>
      <c r="O336" s="2046"/>
      <c r="P336" s="2047"/>
      <c r="Q336" s="1948"/>
      <c r="R336" s="1889"/>
      <c r="S336" s="1889"/>
      <c r="T336" s="2063"/>
      <c r="U336" s="2064"/>
      <c r="V336" s="2064"/>
      <c r="W336" s="2064"/>
      <c r="X336" s="2064"/>
      <c r="Y336" s="2064"/>
      <c r="Z336" s="2064"/>
      <c r="AA336" s="2065"/>
      <c r="AB336" s="2066"/>
      <c r="AC336" s="2064"/>
      <c r="AD336" s="2064"/>
      <c r="AE336" s="2064"/>
      <c r="AF336" s="2067"/>
    </row>
    <row r="337" spans="2:32" outlineLevel="1">
      <c r="B337" s="2011" t="s">
        <v>1348</v>
      </c>
      <c r="C337" s="1934"/>
      <c r="D337" s="1934"/>
      <c r="E337" s="1934"/>
      <c r="F337" s="1935"/>
      <c r="G337" s="1937"/>
      <c r="H337" s="1937"/>
      <c r="I337" s="2043"/>
      <c r="J337" s="2044"/>
      <c r="K337" s="2045"/>
      <c r="L337" s="1938"/>
      <c r="M337" s="1938"/>
      <c r="N337" s="1936"/>
      <c r="O337" s="2046"/>
      <c r="P337" s="2047"/>
      <c r="Q337" s="1948"/>
      <c r="R337" s="1889"/>
      <c r="S337" s="1889"/>
      <c r="T337" s="2063"/>
      <c r="U337" s="2064"/>
      <c r="V337" s="2064"/>
      <c r="W337" s="2064"/>
      <c r="X337" s="2064"/>
      <c r="Y337" s="2064"/>
      <c r="Z337" s="2064"/>
      <c r="AA337" s="2065"/>
      <c r="AB337" s="2066"/>
      <c r="AC337" s="2064"/>
      <c r="AD337" s="2064"/>
      <c r="AE337" s="2064"/>
      <c r="AF337" s="2067"/>
    </row>
    <row r="338" spans="2:32" outlineLevel="1">
      <c r="B338" s="2011" t="s">
        <v>1349</v>
      </c>
      <c r="C338" s="1934"/>
      <c r="D338" s="1934"/>
      <c r="E338" s="1934"/>
      <c r="F338" s="1935"/>
      <c r="G338" s="1937"/>
      <c r="H338" s="1937"/>
      <c r="I338" s="2043"/>
      <c r="J338" s="2044"/>
      <c r="K338" s="2045"/>
      <c r="L338" s="1938"/>
      <c r="M338" s="1938"/>
      <c r="N338" s="1936"/>
      <c r="O338" s="2046"/>
      <c r="P338" s="2047"/>
      <c r="Q338" s="1948"/>
      <c r="R338" s="1889"/>
      <c r="S338" s="1889"/>
      <c r="T338" s="2063"/>
      <c r="U338" s="2064"/>
      <c r="V338" s="2064"/>
      <c r="W338" s="2064"/>
      <c r="X338" s="2064"/>
      <c r="Y338" s="2064"/>
      <c r="Z338" s="2064"/>
      <c r="AA338" s="2065"/>
      <c r="AB338" s="2066"/>
      <c r="AC338" s="2064"/>
      <c r="AD338" s="2064"/>
      <c r="AE338" s="2064"/>
      <c r="AF338" s="2067"/>
    </row>
    <row r="339" spans="2:32" outlineLevel="1">
      <c r="B339" s="2011" t="s">
        <v>1350</v>
      </c>
      <c r="C339" s="1934"/>
      <c r="D339" s="1934"/>
      <c r="E339" s="1934"/>
      <c r="F339" s="1935"/>
      <c r="G339" s="1937"/>
      <c r="H339" s="1937"/>
      <c r="I339" s="2043"/>
      <c r="J339" s="2044"/>
      <c r="K339" s="2045"/>
      <c r="L339" s="1938"/>
      <c r="M339" s="1938"/>
      <c r="N339" s="1936"/>
      <c r="O339" s="2046"/>
      <c r="P339" s="2047"/>
      <c r="Q339" s="1948"/>
      <c r="R339" s="1889"/>
      <c r="S339" s="1889"/>
      <c r="T339" s="2063"/>
      <c r="U339" s="2064"/>
      <c r="V339" s="2064"/>
      <c r="W339" s="2064"/>
      <c r="X339" s="2064"/>
      <c r="Y339" s="2064"/>
      <c r="Z339" s="2064"/>
      <c r="AA339" s="2065"/>
      <c r="AB339" s="2066"/>
      <c r="AC339" s="2064"/>
      <c r="AD339" s="2064"/>
      <c r="AE339" s="2064"/>
      <c r="AF339" s="2067"/>
    </row>
    <row r="340" spans="2:32" outlineLevel="1">
      <c r="B340" s="2011" t="s">
        <v>1351</v>
      </c>
      <c r="C340" s="1934"/>
      <c r="D340" s="1934"/>
      <c r="E340" s="1934"/>
      <c r="F340" s="1935"/>
      <c r="G340" s="1937"/>
      <c r="H340" s="1937"/>
      <c r="I340" s="2043"/>
      <c r="J340" s="2044"/>
      <c r="K340" s="2045"/>
      <c r="L340" s="1938"/>
      <c r="M340" s="1938"/>
      <c r="N340" s="1936"/>
      <c r="O340" s="2046"/>
      <c r="P340" s="2047"/>
      <c r="Q340" s="1939"/>
      <c r="R340" s="1889"/>
      <c r="S340" s="1889"/>
      <c r="T340" s="2063"/>
      <c r="U340" s="2064"/>
      <c r="V340" s="2064"/>
      <c r="W340" s="2064"/>
      <c r="X340" s="2064"/>
      <c r="Y340" s="2064"/>
      <c r="Z340" s="2064"/>
      <c r="AA340" s="2065"/>
      <c r="AB340" s="2066"/>
      <c r="AC340" s="2064"/>
      <c r="AD340" s="2064"/>
      <c r="AE340" s="2064"/>
      <c r="AF340" s="2067"/>
    </row>
    <row r="341" spans="2:32" outlineLevel="1">
      <c r="B341" s="2068" t="s">
        <v>1352</v>
      </c>
      <c r="C341" s="2954" t="s">
        <v>943</v>
      </c>
      <c r="D341" s="2955"/>
      <c r="E341" s="2955"/>
      <c r="F341" s="2955"/>
      <c r="G341" s="2955"/>
      <c r="H341" s="2955"/>
      <c r="I341" s="2955"/>
      <c r="J341" s="2955"/>
      <c r="K341" s="2955"/>
      <c r="L341" s="2955"/>
      <c r="M341" s="2955"/>
      <c r="N341" s="2955"/>
      <c r="O341" s="2955"/>
      <c r="P341" s="2955"/>
      <c r="Q341" s="2956"/>
      <c r="R341" s="1889"/>
      <c r="S341" s="1889"/>
      <c r="T341" s="2069"/>
      <c r="U341" s="2070"/>
      <c r="V341" s="2070"/>
      <c r="W341" s="2070"/>
      <c r="X341" s="2070"/>
      <c r="Y341" s="2070"/>
      <c r="Z341" s="2070"/>
      <c r="AA341" s="2071"/>
      <c r="AB341" s="2072"/>
      <c r="AC341" s="2070"/>
      <c r="AD341" s="2070"/>
      <c r="AE341" s="2070"/>
      <c r="AF341" s="2073"/>
    </row>
    <row r="342" spans="2:32" s="1877" customFormat="1">
      <c r="B342" s="1878"/>
      <c r="C342" s="1878"/>
      <c r="F342" s="1950"/>
      <c r="G342" s="1950"/>
      <c r="H342" s="1950"/>
      <c r="I342" s="1950"/>
      <c r="J342" s="1895"/>
      <c r="K342" s="1895"/>
      <c r="L342" s="1895"/>
      <c r="M342" s="1895"/>
      <c r="N342" s="1895"/>
      <c r="O342" s="1895"/>
      <c r="P342" s="1895"/>
      <c r="Q342" s="1895"/>
      <c r="R342" s="1889"/>
      <c r="S342" s="1910" t="s">
        <v>1353</v>
      </c>
      <c r="T342" s="2074">
        <f>SUM(T332:T341)</f>
        <v>0</v>
      </c>
      <c r="U342" s="2075">
        <f t="shared" ref="U342:AF342" si="10">SUM(U332:U341)</f>
        <v>0</v>
      </c>
      <c r="V342" s="2075">
        <f t="shared" si="10"/>
        <v>0</v>
      </c>
      <c r="W342" s="2075">
        <f t="shared" si="10"/>
        <v>0</v>
      </c>
      <c r="X342" s="2075">
        <f t="shared" si="10"/>
        <v>0</v>
      </c>
      <c r="Y342" s="2075">
        <f t="shared" si="10"/>
        <v>0</v>
      </c>
      <c r="Z342" s="2075">
        <f t="shared" si="10"/>
        <v>0</v>
      </c>
      <c r="AA342" s="2076">
        <f t="shared" si="10"/>
        <v>0</v>
      </c>
      <c r="AB342" s="2077">
        <f t="shared" si="10"/>
        <v>0</v>
      </c>
      <c r="AC342" s="2075">
        <f t="shared" si="10"/>
        <v>0</v>
      </c>
      <c r="AD342" s="2075">
        <f t="shared" si="10"/>
        <v>0</v>
      </c>
      <c r="AE342" s="2075">
        <f t="shared" si="10"/>
        <v>0</v>
      </c>
      <c r="AF342" s="2078">
        <f t="shared" si="10"/>
        <v>0</v>
      </c>
    </row>
    <row r="343" spans="2:32" outlineLevel="1">
      <c r="B343" s="2048" t="s">
        <v>965</v>
      </c>
      <c r="C343" s="2943" t="s">
        <v>1121</v>
      </c>
      <c r="D343" s="2944"/>
      <c r="E343" s="2944"/>
      <c r="F343" s="2944"/>
      <c r="G343" s="2944"/>
      <c r="H343" s="2944"/>
      <c r="I343" s="2944"/>
      <c r="J343" s="2944"/>
      <c r="K343" s="2944"/>
      <c r="L343" s="2944"/>
      <c r="M343" s="2944"/>
      <c r="N343" s="2944"/>
      <c r="O343" s="2944"/>
      <c r="P343" s="2944"/>
      <c r="Q343" s="2945"/>
      <c r="R343" s="1889"/>
      <c r="S343" s="2049"/>
      <c r="X343" s="1870"/>
      <c r="Y343" s="1870"/>
      <c r="Z343" s="1870"/>
      <c r="AA343" s="1870"/>
      <c r="AB343" s="1886"/>
      <c r="AC343" s="1870"/>
      <c r="AD343" s="1870"/>
      <c r="AE343" s="1870"/>
      <c r="AF343" s="1870"/>
    </row>
    <row r="344" spans="2:32" outlineLevel="1">
      <c r="B344" s="2011" t="s">
        <v>1343</v>
      </c>
      <c r="C344" s="2946"/>
      <c r="D344" s="2947"/>
      <c r="E344" s="2947"/>
      <c r="F344" s="2947"/>
      <c r="G344" s="2947"/>
      <c r="H344" s="2947"/>
      <c r="I344" s="2947"/>
      <c r="J344" s="2947"/>
      <c r="K344" s="2947"/>
      <c r="L344" s="2947"/>
      <c r="M344" s="2947"/>
      <c r="N344" s="2947"/>
      <c r="O344" s="2947"/>
      <c r="P344" s="2947"/>
      <c r="Q344" s="2948"/>
      <c r="R344" s="1889"/>
      <c r="S344" s="2050"/>
      <c r="X344" s="1870"/>
      <c r="Y344" s="1870"/>
      <c r="Z344" s="1870"/>
      <c r="AA344" s="1870"/>
      <c r="AB344" s="1886"/>
      <c r="AC344" s="1870"/>
      <c r="AD344" s="1870"/>
      <c r="AE344" s="1870"/>
      <c r="AF344" s="1870"/>
    </row>
    <row r="345" spans="2:32" outlineLevel="1">
      <c r="B345" s="2011" t="s">
        <v>1344</v>
      </c>
      <c r="C345" s="2946"/>
      <c r="D345" s="2947"/>
      <c r="E345" s="2947"/>
      <c r="F345" s="2947"/>
      <c r="G345" s="2947"/>
      <c r="H345" s="2947"/>
      <c r="I345" s="2947"/>
      <c r="J345" s="2947"/>
      <c r="K345" s="2947"/>
      <c r="L345" s="2947"/>
      <c r="M345" s="2947"/>
      <c r="N345" s="2947"/>
      <c r="O345" s="2947"/>
      <c r="P345" s="2947"/>
      <c r="Q345" s="2948"/>
      <c r="R345" s="1889"/>
      <c r="S345" s="2050"/>
      <c r="X345" s="1870"/>
      <c r="Y345" s="1870"/>
      <c r="Z345" s="1870"/>
      <c r="AA345" s="1870"/>
      <c r="AB345" s="1886"/>
      <c r="AC345" s="1870"/>
      <c r="AD345" s="1870"/>
      <c r="AE345" s="1870"/>
      <c r="AF345" s="1870"/>
    </row>
    <row r="346" spans="2:32" outlineLevel="1">
      <c r="B346" s="2011" t="s">
        <v>1345</v>
      </c>
      <c r="C346" s="2946"/>
      <c r="D346" s="2947"/>
      <c r="E346" s="2947"/>
      <c r="F346" s="2947"/>
      <c r="G346" s="2947"/>
      <c r="H346" s="2947"/>
      <c r="I346" s="2947"/>
      <c r="J346" s="2947"/>
      <c r="K346" s="2947"/>
      <c r="L346" s="2947"/>
      <c r="M346" s="2947"/>
      <c r="N346" s="2947"/>
      <c r="O346" s="2947"/>
      <c r="P346" s="2947"/>
      <c r="Q346" s="2948"/>
      <c r="R346" s="1889"/>
      <c r="S346" s="2050"/>
      <c r="X346" s="1870"/>
      <c r="Y346" s="1870"/>
      <c r="Z346" s="1870"/>
      <c r="AA346" s="1870"/>
      <c r="AB346" s="1886"/>
      <c r="AC346" s="1870"/>
      <c r="AD346" s="1870"/>
      <c r="AE346" s="1870"/>
      <c r="AF346" s="1870"/>
    </row>
    <row r="347" spans="2:32" outlineLevel="1">
      <c r="B347" s="2011" t="s">
        <v>1346</v>
      </c>
      <c r="C347" s="2946"/>
      <c r="D347" s="2947"/>
      <c r="E347" s="2947"/>
      <c r="F347" s="2947"/>
      <c r="G347" s="2947"/>
      <c r="H347" s="2947"/>
      <c r="I347" s="2947"/>
      <c r="J347" s="2947"/>
      <c r="K347" s="2947"/>
      <c r="L347" s="2947"/>
      <c r="M347" s="2947"/>
      <c r="N347" s="2947"/>
      <c r="O347" s="2947"/>
      <c r="P347" s="2947"/>
      <c r="Q347" s="2948"/>
      <c r="R347" s="1889"/>
      <c r="S347" s="2050"/>
      <c r="X347" s="1870"/>
      <c r="Y347" s="1870"/>
      <c r="Z347" s="1870"/>
      <c r="AA347" s="1870"/>
      <c r="AB347" s="1886"/>
      <c r="AC347" s="1870"/>
      <c r="AD347" s="1870"/>
      <c r="AE347" s="1870"/>
      <c r="AF347" s="1870"/>
    </row>
    <row r="348" spans="2:32" outlineLevel="1">
      <c r="B348" s="2011" t="s">
        <v>1347</v>
      </c>
      <c r="C348" s="2946"/>
      <c r="D348" s="2947"/>
      <c r="E348" s="2947"/>
      <c r="F348" s="2947"/>
      <c r="G348" s="2947"/>
      <c r="H348" s="2947"/>
      <c r="I348" s="2947"/>
      <c r="J348" s="2947"/>
      <c r="K348" s="2947"/>
      <c r="L348" s="2947"/>
      <c r="M348" s="2947"/>
      <c r="N348" s="2947"/>
      <c r="O348" s="2947"/>
      <c r="P348" s="2947"/>
      <c r="Q348" s="2948"/>
      <c r="R348" s="1889"/>
      <c r="S348" s="2050"/>
      <c r="X348" s="1870"/>
      <c r="Y348" s="1870"/>
      <c r="Z348" s="1870"/>
      <c r="AA348" s="1870"/>
      <c r="AB348" s="1886"/>
      <c r="AC348" s="1870"/>
      <c r="AD348" s="1870"/>
      <c r="AE348" s="1870"/>
      <c r="AF348" s="1870"/>
    </row>
    <row r="349" spans="2:32" outlineLevel="1">
      <c r="B349" s="2011" t="s">
        <v>1348</v>
      </c>
      <c r="C349" s="2946"/>
      <c r="D349" s="2947"/>
      <c r="E349" s="2947"/>
      <c r="F349" s="2947"/>
      <c r="G349" s="2947"/>
      <c r="H349" s="2947"/>
      <c r="I349" s="2947"/>
      <c r="J349" s="2947"/>
      <c r="K349" s="2947"/>
      <c r="L349" s="2947"/>
      <c r="M349" s="2947"/>
      <c r="N349" s="2947"/>
      <c r="O349" s="2947"/>
      <c r="P349" s="2947"/>
      <c r="Q349" s="2948"/>
      <c r="R349" s="1889"/>
      <c r="S349" s="2050"/>
      <c r="X349" s="1870"/>
      <c r="Y349" s="1870"/>
      <c r="Z349" s="1870"/>
      <c r="AA349" s="1870"/>
      <c r="AB349" s="1886"/>
      <c r="AC349" s="1870"/>
      <c r="AD349" s="1870"/>
      <c r="AE349" s="1870"/>
      <c r="AF349" s="1870"/>
    </row>
    <row r="350" spans="2:32" outlineLevel="1">
      <c r="B350" s="2011" t="s">
        <v>1349</v>
      </c>
      <c r="C350" s="2946"/>
      <c r="D350" s="2947"/>
      <c r="E350" s="2947"/>
      <c r="F350" s="2947"/>
      <c r="G350" s="2947"/>
      <c r="H350" s="2947"/>
      <c r="I350" s="2947"/>
      <c r="J350" s="2947"/>
      <c r="K350" s="2947"/>
      <c r="L350" s="2947"/>
      <c r="M350" s="2947"/>
      <c r="N350" s="2947"/>
      <c r="O350" s="2947"/>
      <c r="P350" s="2947"/>
      <c r="Q350" s="2948"/>
      <c r="R350" s="1889"/>
      <c r="S350" s="2050"/>
      <c r="X350" s="1870"/>
      <c r="Y350" s="1870"/>
      <c r="Z350" s="1870"/>
      <c r="AA350" s="1870"/>
      <c r="AB350" s="1886"/>
      <c r="AC350" s="1870"/>
      <c r="AD350" s="1870"/>
      <c r="AE350" s="1870"/>
      <c r="AF350" s="1870"/>
    </row>
    <row r="351" spans="2:32" outlineLevel="1">
      <c r="B351" s="2011" t="s">
        <v>1350</v>
      </c>
      <c r="C351" s="2946"/>
      <c r="D351" s="2947"/>
      <c r="E351" s="2947"/>
      <c r="F351" s="2947"/>
      <c r="G351" s="2947"/>
      <c r="H351" s="2947"/>
      <c r="I351" s="2947"/>
      <c r="J351" s="2947"/>
      <c r="K351" s="2947"/>
      <c r="L351" s="2947"/>
      <c r="M351" s="2947"/>
      <c r="N351" s="2947"/>
      <c r="O351" s="2947"/>
      <c r="P351" s="2947"/>
      <c r="Q351" s="2948"/>
      <c r="R351" s="1889"/>
      <c r="S351" s="2050"/>
      <c r="X351" s="1870"/>
      <c r="Y351" s="1870"/>
      <c r="Z351" s="1870"/>
      <c r="AA351" s="1870"/>
      <c r="AB351" s="1886"/>
      <c r="AC351" s="1870"/>
      <c r="AD351" s="1870"/>
      <c r="AE351" s="1870"/>
      <c r="AF351" s="1870"/>
    </row>
    <row r="352" spans="2:32" outlineLevel="1">
      <c r="B352" s="2011" t="s">
        <v>1351</v>
      </c>
      <c r="C352" s="2946"/>
      <c r="D352" s="2947"/>
      <c r="E352" s="2947"/>
      <c r="F352" s="2947"/>
      <c r="G352" s="2947"/>
      <c r="H352" s="2947"/>
      <c r="I352" s="2947"/>
      <c r="J352" s="2947"/>
      <c r="K352" s="2947"/>
      <c r="L352" s="2947"/>
      <c r="M352" s="2947"/>
      <c r="N352" s="2947"/>
      <c r="O352" s="2947"/>
      <c r="P352" s="2947"/>
      <c r="Q352" s="2948"/>
      <c r="R352" s="1889"/>
      <c r="S352" s="2050"/>
      <c r="X352" s="1870"/>
      <c r="Y352" s="1870"/>
      <c r="Z352" s="1870"/>
      <c r="AA352" s="1870"/>
      <c r="AB352" s="1886"/>
      <c r="AC352" s="1870"/>
      <c r="AD352" s="1870"/>
      <c r="AE352" s="1870"/>
      <c r="AF352" s="1870"/>
    </row>
    <row r="353" spans="2:32" outlineLevel="1">
      <c r="B353" s="2068" t="s">
        <v>1352</v>
      </c>
      <c r="C353" s="2954" t="s">
        <v>943</v>
      </c>
      <c r="D353" s="2955"/>
      <c r="E353" s="2955"/>
      <c r="F353" s="2955"/>
      <c r="G353" s="2955"/>
      <c r="H353" s="2955"/>
      <c r="I353" s="2955"/>
      <c r="J353" s="2955"/>
      <c r="K353" s="2955"/>
      <c r="L353" s="2955"/>
      <c r="M353" s="2955"/>
      <c r="N353" s="2955"/>
      <c r="O353" s="2955"/>
      <c r="P353" s="2955"/>
      <c r="Q353" s="2956"/>
      <c r="R353" s="1889"/>
      <c r="S353" s="2050"/>
      <c r="X353" s="1870"/>
      <c r="Y353" s="1870"/>
      <c r="Z353" s="1870"/>
      <c r="AA353" s="1870"/>
      <c r="AB353" s="1886"/>
      <c r="AC353" s="1870"/>
      <c r="AD353" s="1870"/>
      <c r="AE353" s="1870"/>
      <c r="AF353" s="1870"/>
    </row>
    <row r="354" spans="2:32">
      <c r="AB354" s="2052"/>
    </row>
    <row r="355" spans="2:32" s="1877" customFormat="1">
      <c r="B355" s="1878"/>
      <c r="C355" s="1878"/>
      <c r="D355" s="1895"/>
      <c r="E355" s="1895"/>
      <c r="F355" s="1950"/>
      <c r="G355" s="1950"/>
      <c r="H355" s="1950"/>
      <c r="I355" s="1950"/>
      <c r="J355" s="1895"/>
      <c r="K355" s="1895"/>
      <c r="L355" s="1895"/>
      <c r="M355" s="1895"/>
      <c r="N355" s="1895"/>
      <c r="O355" s="1895"/>
      <c r="P355" s="1895"/>
      <c r="Q355" s="1895"/>
      <c r="R355" s="1895"/>
      <c r="S355" s="1895"/>
      <c r="AB355" s="1886"/>
    </row>
    <row r="356" spans="2:32">
      <c r="B356" s="1887" t="s">
        <v>1354</v>
      </c>
      <c r="C356" s="1887"/>
      <c r="D356" s="2012" t="s">
        <v>1355</v>
      </c>
      <c r="E356" s="1888"/>
      <c r="F356" s="1889"/>
      <c r="G356" s="1889"/>
      <c r="H356" s="1889"/>
      <c r="I356" s="1889"/>
      <c r="J356" s="1889"/>
      <c r="K356" s="1889"/>
      <c r="L356" s="1889"/>
      <c r="M356" s="1889"/>
      <c r="N356" s="1889"/>
      <c r="O356" s="1889"/>
      <c r="P356" s="1889"/>
      <c r="Q356" s="1889"/>
      <c r="R356" s="1889"/>
      <c r="S356" s="1889"/>
      <c r="X356" s="1870"/>
      <c r="Y356" s="1870"/>
      <c r="Z356" s="1870"/>
      <c r="AA356" s="1870"/>
      <c r="AB356" s="1886"/>
      <c r="AC356" s="1870"/>
      <c r="AD356" s="1870"/>
      <c r="AE356" s="1870"/>
      <c r="AF356" s="1870"/>
    </row>
    <row r="357" spans="2:32" outlineLevel="1">
      <c r="D357" s="1870"/>
      <c r="E357" s="1870"/>
      <c r="T357" s="1885"/>
      <c r="U357" s="1885"/>
      <c r="V357" s="1885"/>
      <c r="W357" s="1885"/>
      <c r="AA357" s="1885"/>
      <c r="AB357" s="1916"/>
      <c r="AC357" s="1885"/>
      <c r="AD357" s="1885"/>
      <c r="AE357" s="1885"/>
    </row>
    <row r="358" spans="2:32" ht="25.5" customHeight="1" outlineLevel="1">
      <c r="B358" s="2083"/>
      <c r="C358" s="1920" t="s">
        <v>1020</v>
      </c>
      <c r="D358" s="1919" t="s">
        <v>949</v>
      </c>
      <c r="E358" s="1919" t="s">
        <v>950</v>
      </c>
      <c r="F358" s="2957" t="s">
        <v>1098</v>
      </c>
      <c r="G358" s="2958"/>
      <c r="H358" s="2958"/>
      <c r="I358" s="2958"/>
      <c r="J358" s="2958"/>
      <c r="K358" s="2958"/>
      <c r="L358" s="2958"/>
      <c r="M358" s="2958"/>
      <c r="N358" s="2959"/>
      <c r="O358" s="1920" t="s">
        <v>1101</v>
      </c>
      <c r="P358" s="1919" t="s">
        <v>1356</v>
      </c>
      <c r="Q358" s="1988" t="s">
        <v>1081</v>
      </c>
      <c r="X358" s="1870"/>
      <c r="Y358" s="1870"/>
      <c r="Z358" s="1870"/>
      <c r="AA358" s="1870"/>
      <c r="AB358" s="1886"/>
      <c r="AC358" s="1870"/>
      <c r="AD358" s="1870"/>
      <c r="AE358" s="1870"/>
      <c r="AF358" s="1870"/>
    </row>
    <row r="359" spans="2:32" ht="25.5" customHeight="1" outlineLevel="1">
      <c r="B359" s="2003" t="s">
        <v>965</v>
      </c>
      <c r="C359" s="2084"/>
      <c r="D359" s="1975" t="s">
        <v>966</v>
      </c>
      <c r="E359" s="1975" t="s">
        <v>966</v>
      </c>
      <c r="F359" s="2960"/>
      <c r="G359" s="2961"/>
      <c r="H359" s="2961"/>
      <c r="I359" s="2961"/>
      <c r="J359" s="2961"/>
      <c r="K359" s="2961"/>
      <c r="L359" s="2961"/>
      <c r="M359" s="2961"/>
      <c r="N359" s="2962"/>
      <c r="O359" s="2085" t="s">
        <v>498</v>
      </c>
      <c r="P359" s="2086" t="s">
        <v>627</v>
      </c>
      <c r="Q359" s="2087" t="s">
        <v>993</v>
      </c>
      <c r="T359" s="2088" t="s">
        <v>498</v>
      </c>
      <c r="U359" s="2089" t="s">
        <v>498</v>
      </c>
      <c r="V359" s="2089" t="s">
        <v>498</v>
      </c>
      <c r="W359" s="2089" t="s">
        <v>498</v>
      </c>
      <c r="X359" s="2089" t="s">
        <v>498</v>
      </c>
      <c r="Y359" s="2089" t="s">
        <v>498</v>
      </c>
      <c r="Z359" s="2089" t="s">
        <v>498</v>
      </c>
      <c r="AA359" s="2090" t="s">
        <v>498</v>
      </c>
      <c r="AB359" s="2091" t="s">
        <v>498</v>
      </c>
      <c r="AC359" s="2089" t="s">
        <v>498</v>
      </c>
      <c r="AD359" s="2089" t="s">
        <v>498</v>
      </c>
      <c r="AE359" s="2089" t="s">
        <v>498</v>
      </c>
      <c r="AF359" s="2092" t="s">
        <v>498</v>
      </c>
    </row>
    <row r="360" spans="2:32" outlineLevel="1">
      <c r="B360" s="2034" t="s">
        <v>1357</v>
      </c>
      <c r="C360" s="1983"/>
      <c r="D360" s="1983"/>
      <c r="E360" s="1983"/>
      <c r="F360" s="2963"/>
      <c r="G360" s="2964"/>
      <c r="H360" s="2964"/>
      <c r="I360" s="2964"/>
      <c r="J360" s="2964"/>
      <c r="K360" s="2964"/>
      <c r="L360" s="2964"/>
      <c r="M360" s="2964"/>
      <c r="N360" s="2965"/>
      <c r="O360" s="2093"/>
      <c r="P360" s="2040"/>
      <c r="Q360" s="1948"/>
      <c r="T360" s="2063"/>
      <c r="U360" s="2064"/>
      <c r="V360" s="2064"/>
      <c r="W360" s="2064"/>
      <c r="X360" s="2064"/>
      <c r="Y360" s="2064"/>
      <c r="Z360" s="2064"/>
      <c r="AA360" s="2065"/>
      <c r="AB360" s="2066"/>
      <c r="AC360" s="2064"/>
      <c r="AD360" s="2064"/>
      <c r="AE360" s="2064"/>
      <c r="AF360" s="2067"/>
    </row>
    <row r="361" spans="2:32" outlineLevel="1">
      <c r="B361" s="2011" t="s">
        <v>1358</v>
      </c>
      <c r="C361" s="1983"/>
      <c r="D361" s="1983"/>
      <c r="E361" s="1983"/>
      <c r="F361" s="2966"/>
      <c r="G361" s="2967"/>
      <c r="H361" s="2967"/>
      <c r="I361" s="2967"/>
      <c r="J361" s="2967"/>
      <c r="K361" s="2967"/>
      <c r="L361" s="2967"/>
      <c r="M361" s="2967"/>
      <c r="N361" s="2968"/>
      <c r="O361" s="2093"/>
      <c r="P361" s="2042"/>
      <c r="Q361" s="1948"/>
      <c r="T361" s="2063"/>
      <c r="U361" s="2064"/>
      <c r="V361" s="2064"/>
      <c r="W361" s="2064"/>
      <c r="X361" s="2064"/>
      <c r="Y361" s="2064"/>
      <c r="Z361" s="2064"/>
      <c r="AA361" s="2065"/>
      <c r="AB361" s="2066"/>
      <c r="AC361" s="2064"/>
      <c r="AD361" s="2064"/>
      <c r="AE361" s="2064"/>
      <c r="AF361" s="2067"/>
    </row>
    <row r="362" spans="2:32" outlineLevel="1">
      <c r="B362" s="2011" t="s">
        <v>1359</v>
      </c>
      <c r="C362" s="1983"/>
      <c r="D362" s="1983"/>
      <c r="E362" s="1983"/>
      <c r="F362" s="2966"/>
      <c r="G362" s="2967"/>
      <c r="H362" s="2967"/>
      <c r="I362" s="2967"/>
      <c r="J362" s="2967"/>
      <c r="K362" s="2967"/>
      <c r="L362" s="2967"/>
      <c r="M362" s="2967"/>
      <c r="N362" s="2968"/>
      <c r="O362" s="2093"/>
      <c r="P362" s="2042"/>
      <c r="Q362" s="1948"/>
      <c r="T362" s="2063"/>
      <c r="U362" s="2064"/>
      <c r="V362" s="2064"/>
      <c r="W362" s="2064"/>
      <c r="X362" s="2064"/>
      <c r="Y362" s="2064"/>
      <c r="Z362" s="2064"/>
      <c r="AA362" s="2065"/>
      <c r="AB362" s="2066"/>
      <c r="AC362" s="2064"/>
      <c r="AD362" s="2064"/>
      <c r="AE362" s="2064"/>
      <c r="AF362" s="2067"/>
    </row>
    <row r="363" spans="2:32" outlineLevel="1">
      <c r="B363" s="2011" t="s">
        <v>1360</v>
      </c>
      <c r="C363" s="1983"/>
      <c r="D363" s="1983"/>
      <c r="E363" s="1983"/>
      <c r="F363" s="2966"/>
      <c r="G363" s="2967"/>
      <c r="H363" s="2967"/>
      <c r="I363" s="2967"/>
      <c r="J363" s="2967"/>
      <c r="K363" s="2967"/>
      <c r="L363" s="2967"/>
      <c r="M363" s="2967"/>
      <c r="N363" s="2968"/>
      <c r="O363" s="2093"/>
      <c r="P363" s="2042"/>
      <c r="Q363" s="1948"/>
      <c r="T363" s="2063"/>
      <c r="U363" s="2064"/>
      <c r="V363" s="2064"/>
      <c r="W363" s="2064"/>
      <c r="X363" s="2064"/>
      <c r="Y363" s="2064"/>
      <c r="Z363" s="2064"/>
      <c r="AA363" s="2065"/>
      <c r="AB363" s="2066"/>
      <c r="AC363" s="2064"/>
      <c r="AD363" s="2064"/>
      <c r="AE363" s="2064"/>
      <c r="AF363" s="2067"/>
    </row>
    <row r="364" spans="2:32" outlineLevel="1">
      <c r="B364" s="2068" t="s">
        <v>1361</v>
      </c>
      <c r="C364" s="2954" t="s">
        <v>943</v>
      </c>
      <c r="D364" s="2955"/>
      <c r="E364" s="2955"/>
      <c r="F364" s="2955"/>
      <c r="G364" s="2955"/>
      <c r="H364" s="2955"/>
      <c r="I364" s="2955"/>
      <c r="J364" s="2955"/>
      <c r="K364" s="2955"/>
      <c r="L364" s="2955"/>
      <c r="M364" s="2955"/>
      <c r="N364" s="2955"/>
      <c r="O364" s="2955"/>
      <c r="P364" s="2955"/>
      <c r="Q364" s="2956"/>
      <c r="T364" s="2069"/>
      <c r="U364" s="2070"/>
      <c r="V364" s="2070"/>
      <c r="W364" s="2070"/>
      <c r="X364" s="2070"/>
      <c r="Y364" s="2070"/>
      <c r="Z364" s="2070"/>
      <c r="AA364" s="2071"/>
      <c r="AB364" s="2072"/>
      <c r="AC364" s="2070"/>
      <c r="AD364" s="2070"/>
      <c r="AE364" s="2070"/>
      <c r="AF364" s="2073"/>
    </row>
    <row r="365" spans="2:32" s="1877" customFormat="1">
      <c r="B365" s="1878"/>
      <c r="C365" s="1878"/>
      <c r="F365" s="1878"/>
      <c r="G365" s="1878"/>
      <c r="H365" s="1878"/>
      <c r="I365" s="1878"/>
      <c r="S365" s="2094" t="s">
        <v>1362</v>
      </c>
      <c r="T365" s="2074">
        <f t="shared" ref="T365:AF365" si="11">SUM(T360:T364)</f>
        <v>0</v>
      </c>
      <c r="U365" s="2075">
        <f t="shared" si="11"/>
        <v>0</v>
      </c>
      <c r="V365" s="2075">
        <f t="shared" si="11"/>
        <v>0</v>
      </c>
      <c r="W365" s="2075">
        <f t="shared" si="11"/>
        <v>0</v>
      </c>
      <c r="X365" s="2075">
        <f t="shared" si="11"/>
        <v>0</v>
      </c>
      <c r="Y365" s="2075">
        <f t="shared" si="11"/>
        <v>0</v>
      </c>
      <c r="Z365" s="2075">
        <f t="shared" si="11"/>
        <v>0</v>
      </c>
      <c r="AA365" s="2076">
        <f t="shared" si="11"/>
        <v>0</v>
      </c>
      <c r="AB365" s="2077">
        <f t="shared" si="11"/>
        <v>0</v>
      </c>
      <c r="AC365" s="2075">
        <f t="shared" si="11"/>
        <v>0</v>
      </c>
      <c r="AD365" s="2075">
        <f t="shared" si="11"/>
        <v>0</v>
      </c>
      <c r="AE365" s="2075">
        <f t="shared" si="11"/>
        <v>0</v>
      </c>
      <c r="AF365" s="2078">
        <f t="shared" si="11"/>
        <v>0</v>
      </c>
    </row>
    <row r="366" spans="2:32" outlineLevel="1">
      <c r="B366" s="2048" t="s">
        <v>965</v>
      </c>
      <c r="C366" s="2943" t="s">
        <v>1121</v>
      </c>
      <c r="D366" s="2944"/>
      <c r="E366" s="2944"/>
      <c r="F366" s="2944"/>
      <c r="G366" s="2944"/>
      <c r="H366" s="2944"/>
      <c r="I366" s="2944"/>
      <c r="J366" s="2944"/>
      <c r="K366" s="2944"/>
      <c r="L366" s="2944"/>
      <c r="M366" s="2944"/>
      <c r="N366" s="2944"/>
      <c r="O366" s="2944"/>
      <c r="P366" s="2944"/>
      <c r="Q366" s="2945"/>
      <c r="X366" s="1870"/>
      <c r="Y366" s="1870"/>
      <c r="Z366" s="1870"/>
      <c r="AA366" s="1870"/>
      <c r="AB366" s="1886"/>
      <c r="AC366" s="1870"/>
      <c r="AD366" s="1870"/>
      <c r="AE366" s="1870"/>
      <c r="AF366" s="1870"/>
    </row>
    <row r="367" spans="2:32" outlineLevel="1">
      <c r="B367" s="2011" t="s">
        <v>1357</v>
      </c>
      <c r="C367" s="2946"/>
      <c r="D367" s="2947"/>
      <c r="E367" s="2947"/>
      <c r="F367" s="2947"/>
      <c r="G367" s="2947"/>
      <c r="H367" s="2947"/>
      <c r="I367" s="2947"/>
      <c r="J367" s="2947"/>
      <c r="K367" s="2947"/>
      <c r="L367" s="2947"/>
      <c r="M367" s="2947"/>
      <c r="N367" s="2947"/>
      <c r="O367" s="2947"/>
      <c r="P367" s="2947"/>
      <c r="Q367" s="2948"/>
      <c r="X367" s="1870"/>
      <c r="Y367" s="1870"/>
      <c r="Z367" s="1870"/>
      <c r="AA367" s="1870"/>
      <c r="AB367" s="1886"/>
      <c r="AC367" s="1870"/>
      <c r="AD367" s="1870"/>
      <c r="AE367" s="1870"/>
      <c r="AF367" s="1870"/>
    </row>
    <row r="368" spans="2:32" outlineLevel="1">
      <c r="B368" s="2011" t="s">
        <v>1358</v>
      </c>
      <c r="C368" s="2946"/>
      <c r="D368" s="2947"/>
      <c r="E368" s="2947"/>
      <c r="F368" s="2947"/>
      <c r="G368" s="2947"/>
      <c r="H368" s="2947"/>
      <c r="I368" s="2947"/>
      <c r="J368" s="2947"/>
      <c r="K368" s="2947"/>
      <c r="L368" s="2947"/>
      <c r="M368" s="2947"/>
      <c r="N368" s="2947"/>
      <c r="O368" s="2947"/>
      <c r="P368" s="2947"/>
      <c r="Q368" s="2948"/>
      <c r="X368" s="1870"/>
      <c r="Y368" s="1870"/>
      <c r="Z368" s="1870"/>
      <c r="AA368" s="1870"/>
      <c r="AB368" s="1886"/>
      <c r="AC368" s="1870"/>
      <c r="AD368" s="1870"/>
      <c r="AE368" s="1870"/>
      <c r="AF368" s="1870"/>
    </row>
    <row r="369" spans="2:32" outlineLevel="1">
      <c r="B369" s="2011" t="s">
        <v>1359</v>
      </c>
      <c r="C369" s="2946"/>
      <c r="D369" s="2947"/>
      <c r="E369" s="2947"/>
      <c r="F369" s="2947"/>
      <c r="G369" s="2947"/>
      <c r="H369" s="2947"/>
      <c r="I369" s="2947"/>
      <c r="J369" s="2947"/>
      <c r="K369" s="2947"/>
      <c r="L369" s="2947"/>
      <c r="M369" s="2947"/>
      <c r="N369" s="2947"/>
      <c r="O369" s="2947"/>
      <c r="P369" s="2947"/>
      <c r="Q369" s="2948"/>
      <c r="X369" s="1870"/>
      <c r="Y369" s="1870"/>
      <c r="Z369" s="1870"/>
      <c r="AA369" s="1870"/>
      <c r="AB369" s="1886"/>
      <c r="AC369" s="1870"/>
      <c r="AD369" s="1870"/>
      <c r="AE369" s="1870"/>
      <c r="AF369" s="1870"/>
    </row>
    <row r="370" spans="2:32" outlineLevel="1">
      <c r="B370" s="2011" t="s">
        <v>1360</v>
      </c>
      <c r="C370" s="2946"/>
      <c r="D370" s="2947"/>
      <c r="E370" s="2947"/>
      <c r="F370" s="2947"/>
      <c r="G370" s="2947"/>
      <c r="H370" s="2947"/>
      <c r="I370" s="2947"/>
      <c r="J370" s="2947"/>
      <c r="K370" s="2947"/>
      <c r="L370" s="2947"/>
      <c r="M370" s="2947"/>
      <c r="N370" s="2947"/>
      <c r="O370" s="2947"/>
      <c r="P370" s="2947"/>
      <c r="Q370" s="2948"/>
      <c r="X370" s="1870"/>
      <c r="Y370" s="1870"/>
      <c r="Z370" s="1870"/>
      <c r="AA370" s="1870"/>
      <c r="AB370" s="1886"/>
      <c r="AC370" s="1870"/>
      <c r="AD370" s="1870"/>
      <c r="AE370" s="1870"/>
      <c r="AF370" s="1870"/>
    </row>
    <row r="371" spans="2:32" outlineLevel="1">
      <c r="B371" s="2068" t="s">
        <v>1361</v>
      </c>
      <c r="C371" s="2954" t="s">
        <v>943</v>
      </c>
      <c r="D371" s="2955"/>
      <c r="E371" s="2955"/>
      <c r="F371" s="2955"/>
      <c r="G371" s="2955"/>
      <c r="H371" s="2955"/>
      <c r="I371" s="2955"/>
      <c r="J371" s="2955"/>
      <c r="K371" s="2955"/>
      <c r="L371" s="2955"/>
      <c r="M371" s="2955"/>
      <c r="N371" s="2955"/>
      <c r="O371" s="2955"/>
      <c r="P371" s="2955"/>
      <c r="Q371" s="2956"/>
      <c r="X371" s="1870"/>
      <c r="Y371" s="1870"/>
      <c r="Z371" s="1870"/>
      <c r="AA371" s="1870"/>
      <c r="AB371" s="1886"/>
      <c r="AC371" s="1870"/>
      <c r="AD371" s="1870"/>
      <c r="AE371" s="1870"/>
      <c r="AF371" s="1870"/>
    </row>
    <row r="372" spans="2:32">
      <c r="AB372" s="2052"/>
    </row>
    <row r="373" spans="2:32" s="1877" customFormat="1">
      <c r="B373" s="1878"/>
      <c r="C373" s="1878"/>
      <c r="F373" s="1878"/>
      <c r="G373" s="1878"/>
      <c r="H373" s="1878"/>
      <c r="I373" s="1878"/>
      <c r="S373" s="1870"/>
      <c r="AB373" s="1886"/>
    </row>
    <row r="374" spans="2:32">
      <c r="B374" s="1887" t="s">
        <v>1363</v>
      </c>
      <c r="C374" s="1887"/>
      <c r="D374" s="2095" t="s">
        <v>1364</v>
      </c>
      <c r="E374" s="1952"/>
      <c r="X374" s="1870"/>
      <c r="Y374" s="1870"/>
      <c r="Z374" s="1870"/>
      <c r="AA374" s="1870"/>
      <c r="AB374" s="1886"/>
      <c r="AC374" s="1870"/>
      <c r="AD374" s="1870"/>
      <c r="AE374" s="1870"/>
      <c r="AF374" s="1870"/>
    </row>
    <row r="375" spans="2:32">
      <c r="B375" s="1887"/>
      <c r="C375" s="1887"/>
      <c r="D375" s="1952"/>
      <c r="E375" s="1952"/>
      <c r="X375" s="1870"/>
      <c r="Y375" s="1870"/>
      <c r="Z375" s="1870"/>
      <c r="AA375" s="1870"/>
      <c r="AB375" s="1886"/>
      <c r="AC375" s="1870"/>
      <c r="AD375" s="1870"/>
      <c r="AE375" s="1870"/>
      <c r="AF375" s="1870"/>
    </row>
    <row r="376" spans="2:32" ht="25.5" outlineLevel="1">
      <c r="B376" s="2083"/>
      <c r="C376" s="1920" t="s">
        <v>1020</v>
      </c>
      <c r="D376" s="1919" t="s">
        <v>949</v>
      </c>
      <c r="E376" s="1919" t="s">
        <v>950</v>
      </c>
      <c r="F376" s="2957" t="s">
        <v>1098</v>
      </c>
      <c r="G376" s="2958"/>
      <c r="H376" s="2958"/>
      <c r="I376" s="2958"/>
      <c r="J376" s="2958"/>
      <c r="K376" s="2958"/>
      <c r="L376" s="2958"/>
      <c r="M376" s="2958"/>
      <c r="N376" s="2959"/>
      <c r="O376" s="1920" t="s">
        <v>1101</v>
      </c>
      <c r="P376" s="1919" t="s">
        <v>1365</v>
      </c>
      <c r="Q376" s="1988" t="s">
        <v>1081</v>
      </c>
      <c r="X376" s="1870"/>
      <c r="Y376" s="1870"/>
      <c r="Z376" s="1870"/>
      <c r="AA376" s="1870"/>
      <c r="AB376" s="1886"/>
      <c r="AC376" s="1870"/>
      <c r="AD376" s="1870"/>
      <c r="AE376" s="1870"/>
      <c r="AF376" s="1870"/>
    </row>
    <row r="377" spans="2:32" outlineLevel="1">
      <c r="B377" s="2003" t="s">
        <v>965</v>
      </c>
      <c r="C377" s="2084"/>
      <c r="D377" s="1975" t="s">
        <v>966</v>
      </c>
      <c r="E377" s="1975" t="s">
        <v>966</v>
      </c>
      <c r="F377" s="2960"/>
      <c r="G377" s="2961"/>
      <c r="H377" s="2961"/>
      <c r="I377" s="2961"/>
      <c r="J377" s="2961"/>
      <c r="K377" s="2961"/>
      <c r="L377" s="2961"/>
      <c r="M377" s="2961"/>
      <c r="N377" s="2962"/>
      <c r="O377" s="2085" t="s">
        <v>498</v>
      </c>
      <c r="P377" s="2086" t="s">
        <v>1366</v>
      </c>
      <c r="Q377" s="2087" t="s">
        <v>993</v>
      </c>
      <c r="T377" s="2088" t="s">
        <v>498</v>
      </c>
      <c r="U377" s="2089" t="s">
        <v>498</v>
      </c>
      <c r="V377" s="2089" t="s">
        <v>498</v>
      </c>
      <c r="W377" s="2089" t="s">
        <v>498</v>
      </c>
      <c r="X377" s="2089" t="s">
        <v>498</v>
      </c>
      <c r="Y377" s="2089" t="s">
        <v>498</v>
      </c>
      <c r="Z377" s="2089" t="s">
        <v>498</v>
      </c>
      <c r="AA377" s="2090" t="s">
        <v>498</v>
      </c>
      <c r="AB377" s="2091" t="s">
        <v>498</v>
      </c>
      <c r="AC377" s="2089" t="s">
        <v>498</v>
      </c>
      <c r="AD377" s="2089" t="s">
        <v>498</v>
      </c>
      <c r="AE377" s="2089" t="s">
        <v>498</v>
      </c>
      <c r="AF377" s="2092" t="s">
        <v>498</v>
      </c>
    </row>
    <row r="378" spans="2:32" outlineLevel="1">
      <c r="B378" s="2034" t="s">
        <v>1367</v>
      </c>
      <c r="C378" s="1983"/>
      <c r="D378" s="1983"/>
      <c r="E378" s="1983"/>
      <c r="F378" s="2963"/>
      <c r="G378" s="2964"/>
      <c r="H378" s="2964"/>
      <c r="I378" s="2964"/>
      <c r="J378" s="2964"/>
      <c r="K378" s="2964"/>
      <c r="L378" s="2964"/>
      <c r="M378" s="2964"/>
      <c r="N378" s="2965"/>
      <c r="O378" s="2093"/>
      <c r="P378" s="2040"/>
      <c r="Q378" s="1948"/>
      <c r="T378" s="2063"/>
      <c r="U378" s="2064"/>
      <c r="V378" s="2064"/>
      <c r="W378" s="2064"/>
      <c r="X378" s="2064"/>
      <c r="Y378" s="2064"/>
      <c r="Z378" s="2064"/>
      <c r="AA378" s="2065"/>
      <c r="AB378" s="2066"/>
      <c r="AC378" s="2064"/>
      <c r="AD378" s="2064"/>
      <c r="AE378" s="2064"/>
      <c r="AF378" s="2067"/>
    </row>
    <row r="379" spans="2:32" outlineLevel="1">
      <c r="B379" s="2011" t="s">
        <v>1368</v>
      </c>
      <c r="C379" s="1983"/>
      <c r="D379" s="1983"/>
      <c r="E379" s="1983"/>
      <c r="F379" s="2966"/>
      <c r="G379" s="2967"/>
      <c r="H379" s="2967"/>
      <c r="I379" s="2967"/>
      <c r="J379" s="2967"/>
      <c r="K379" s="2967"/>
      <c r="L379" s="2967"/>
      <c r="M379" s="2967"/>
      <c r="N379" s="2968"/>
      <c r="O379" s="2093"/>
      <c r="P379" s="2042"/>
      <c r="Q379" s="1948"/>
      <c r="T379" s="2063"/>
      <c r="U379" s="2064"/>
      <c r="V379" s="2064"/>
      <c r="W379" s="2064"/>
      <c r="X379" s="2064"/>
      <c r="Y379" s="2064"/>
      <c r="Z379" s="2064"/>
      <c r="AA379" s="2065"/>
      <c r="AB379" s="2066"/>
      <c r="AC379" s="2064"/>
      <c r="AD379" s="2064"/>
      <c r="AE379" s="2064"/>
      <c r="AF379" s="2067"/>
    </row>
    <row r="380" spans="2:32" outlineLevel="1">
      <c r="B380" s="2011" t="s">
        <v>1369</v>
      </c>
      <c r="C380" s="1983"/>
      <c r="D380" s="1983"/>
      <c r="E380" s="1983"/>
      <c r="F380" s="2966"/>
      <c r="G380" s="2967"/>
      <c r="H380" s="2967"/>
      <c r="I380" s="2967"/>
      <c r="J380" s="2967"/>
      <c r="K380" s="2967"/>
      <c r="L380" s="2967"/>
      <c r="M380" s="2967"/>
      <c r="N380" s="2968"/>
      <c r="O380" s="2093"/>
      <c r="P380" s="2042"/>
      <c r="Q380" s="1948"/>
      <c r="T380" s="2063"/>
      <c r="U380" s="2064"/>
      <c r="V380" s="2064"/>
      <c r="W380" s="2064"/>
      <c r="X380" s="2064"/>
      <c r="Y380" s="2064"/>
      <c r="Z380" s="2064"/>
      <c r="AA380" s="2065"/>
      <c r="AB380" s="2066"/>
      <c r="AC380" s="2064"/>
      <c r="AD380" s="2064"/>
      <c r="AE380" s="2064"/>
      <c r="AF380" s="2067"/>
    </row>
    <row r="381" spans="2:32" outlineLevel="1">
      <c r="B381" s="2011" t="s">
        <v>1370</v>
      </c>
      <c r="C381" s="1983"/>
      <c r="D381" s="1983"/>
      <c r="E381" s="1983"/>
      <c r="F381" s="2966"/>
      <c r="G381" s="2967"/>
      <c r="H381" s="2967"/>
      <c r="I381" s="2967"/>
      <c r="J381" s="2967"/>
      <c r="K381" s="2967"/>
      <c r="L381" s="2967"/>
      <c r="M381" s="2967"/>
      <c r="N381" s="2968"/>
      <c r="O381" s="2093"/>
      <c r="P381" s="2042"/>
      <c r="Q381" s="1948"/>
      <c r="T381" s="2063"/>
      <c r="U381" s="2064"/>
      <c r="V381" s="2064"/>
      <c r="W381" s="2064"/>
      <c r="X381" s="2064"/>
      <c r="Y381" s="2064"/>
      <c r="Z381" s="2064"/>
      <c r="AA381" s="2065"/>
      <c r="AB381" s="2066"/>
      <c r="AC381" s="2064"/>
      <c r="AD381" s="2064"/>
      <c r="AE381" s="2064"/>
      <c r="AF381" s="2067"/>
    </row>
    <row r="382" spans="2:32" outlineLevel="1">
      <c r="B382" s="2068" t="s">
        <v>1371</v>
      </c>
      <c r="C382" s="2954" t="s">
        <v>943</v>
      </c>
      <c r="D382" s="2955"/>
      <c r="E382" s="2955"/>
      <c r="F382" s="2955"/>
      <c r="G382" s="2955"/>
      <c r="H382" s="2955"/>
      <c r="I382" s="2955"/>
      <c r="J382" s="2955"/>
      <c r="K382" s="2955"/>
      <c r="L382" s="2955"/>
      <c r="M382" s="2955"/>
      <c r="N382" s="2955"/>
      <c r="O382" s="2955"/>
      <c r="P382" s="2955"/>
      <c r="Q382" s="2956"/>
      <c r="T382" s="2069"/>
      <c r="U382" s="2070"/>
      <c r="V382" s="2070"/>
      <c r="W382" s="2070"/>
      <c r="X382" s="2070"/>
      <c r="Y382" s="2070"/>
      <c r="Z382" s="2070"/>
      <c r="AA382" s="2071"/>
      <c r="AB382" s="2072"/>
      <c r="AC382" s="2070"/>
      <c r="AD382" s="2070"/>
      <c r="AE382" s="2070"/>
      <c r="AF382" s="2073"/>
    </row>
    <row r="383" spans="2:32" s="1877" customFormat="1">
      <c r="B383" s="1878"/>
      <c r="C383" s="1878"/>
      <c r="F383" s="1878"/>
      <c r="G383" s="1878"/>
      <c r="H383" s="1878"/>
      <c r="I383" s="1878"/>
      <c r="R383" s="1877" t="s">
        <v>1372</v>
      </c>
      <c r="S383" s="2094" t="s">
        <v>1373</v>
      </c>
      <c r="T383" s="2074">
        <f t="shared" ref="T383:AF383" si="12">SUM(T378:T382)</f>
        <v>0</v>
      </c>
      <c r="U383" s="2075">
        <f t="shared" si="12"/>
        <v>0</v>
      </c>
      <c r="V383" s="2075">
        <f t="shared" si="12"/>
        <v>0</v>
      </c>
      <c r="W383" s="2075">
        <f t="shared" si="12"/>
        <v>0</v>
      </c>
      <c r="X383" s="2075">
        <f t="shared" si="12"/>
        <v>0</v>
      </c>
      <c r="Y383" s="2075">
        <f t="shared" si="12"/>
        <v>0</v>
      </c>
      <c r="Z383" s="2075">
        <f t="shared" si="12"/>
        <v>0</v>
      </c>
      <c r="AA383" s="2076">
        <f t="shared" si="12"/>
        <v>0</v>
      </c>
      <c r="AB383" s="2077">
        <f t="shared" si="12"/>
        <v>0</v>
      </c>
      <c r="AC383" s="2075">
        <f t="shared" si="12"/>
        <v>0</v>
      </c>
      <c r="AD383" s="2075">
        <f t="shared" si="12"/>
        <v>0</v>
      </c>
      <c r="AE383" s="2075">
        <f t="shared" si="12"/>
        <v>0</v>
      </c>
      <c r="AF383" s="2078">
        <f t="shared" si="12"/>
        <v>0</v>
      </c>
    </row>
    <row r="384" spans="2:32" outlineLevel="1">
      <c r="B384" s="2048" t="s">
        <v>965</v>
      </c>
      <c r="C384" s="2943" t="s">
        <v>1121</v>
      </c>
      <c r="D384" s="2944"/>
      <c r="E384" s="2944"/>
      <c r="F384" s="2944"/>
      <c r="G384" s="2944"/>
      <c r="H384" s="2944"/>
      <c r="I384" s="2944"/>
      <c r="J384" s="2944"/>
      <c r="K384" s="2944"/>
      <c r="L384" s="2944"/>
      <c r="M384" s="2944"/>
      <c r="N384" s="2944"/>
      <c r="O384" s="2944"/>
      <c r="P384" s="2944"/>
      <c r="Q384" s="2945"/>
      <c r="X384" s="1870"/>
      <c r="Y384" s="1870"/>
      <c r="Z384" s="1870"/>
      <c r="AA384" s="1870"/>
      <c r="AB384" s="1886"/>
      <c r="AC384" s="1870"/>
      <c r="AD384" s="1870"/>
      <c r="AE384" s="1870"/>
      <c r="AF384" s="1870"/>
    </row>
    <row r="385" spans="2:32" outlineLevel="1">
      <c r="B385" s="2011" t="s">
        <v>1367</v>
      </c>
      <c r="C385" s="2946"/>
      <c r="D385" s="2947"/>
      <c r="E385" s="2947"/>
      <c r="F385" s="2947"/>
      <c r="G385" s="2947"/>
      <c r="H385" s="2947"/>
      <c r="I385" s="2947"/>
      <c r="J385" s="2947"/>
      <c r="K385" s="2947"/>
      <c r="L385" s="2947"/>
      <c r="M385" s="2947"/>
      <c r="N385" s="2947"/>
      <c r="O385" s="2947"/>
      <c r="P385" s="2947"/>
      <c r="Q385" s="2948"/>
      <c r="X385" s="1870"/>
      <c r="Y385" s="1870"/>
      <c r="Z385" s="1870"/>
      <c r="AA385" s="1870"/>
      <c r="AB385" s="1886"/>
      <c r="AC385" s="1870"/>
      <c r="AD385" s="1870"/>
      <c r="AE385" s="1870"/>
      <c r="AF385" s="1870"/>
    </row>
    <row r="386" spans="2:32" outlineLevel="1">
      <c r="B386" s="2011" t="s">
        <v>1368</v>
      </c>
      <c r="C386" s="2946"/>
      <c r="D386" s="2947"/>
      <c r="E386" s="2947"/>
      <c r="F386" s="2947"/>
      <c r="G386" s="2947"/>
      <c r="H386" s="2947"/>
      <c r="I386" s="2947"/>
      <c r="J386" s="2947"/>
      <c r="K386" s="2947"/>
      <c r="L386" s="2947"/>
      <c r="M386" s="2947"/>
      <c r="N386" s="2947"/>
      <c r="O386" s="2947"/>
      <c r="P386" s="2947"/>
      <c r="Q386" s="2948"/>
      <c r="X386" s="1870"/>
      <c r="Y386" s="1870"/>
      <c r="Z386" s="1870"/>
      <c r="AA386" s="1870"/>
      <c r="AB386" s="1886"/>
      <c r="AC386" s="1870"/>
      <c r="AD386" s="1870"/>
      <c r="AE386" s="1870"/>
      <c r="AF386" s="1870"/>
    </row>
    <row r="387" spans="2:32" outlineLevel="1">
      <c r="B387" s="2011" t="s">
        <v>1369</v>
      </c>
      <c r="C387" s="2946"/>
      <c r="D387" s="2947"/>
      <c r="E387" s="2947"/>
      <c r="F387" s="2947"/>
      <c r="G387" s="2947"/>
      <c r="H387" s="2947"/>
      <c r="I387" s="2947"/>
      <c r="J387" s="2947"/>
      <c r="K387" s="2947"/>
      <c r="L387" s="2947"/>
      <c r="M387" s="2947"/>
      <c r="N387" s="2947"/>
      <c r="O387" s="2947"/>
      <c r="P387" s="2947"/>
      <c r="Q387" s="2948"/>
      <c r="X387" s="1870"/>
      <c r="Y387" s="1870"/>
      <c r="Z387" s="1870"/>
      <c r="AA387" s="1870"/>
      <c r="AB387" s="1886"/>
      <c r="AC387" s="1870"/>
      <c r="AD387" s="1870"/>
      <c r="AE387" s="1870"/>
      <c r="AF387" s="1870"/>
    </row>
    <row r="388" spans="2:32" outlineLevel="1">
      <c r="B388" s="2011" t="s">
        <v>1370</v>
      </c>
      <c r="C388" s="2946"/>
      <c r="D388" s="2947"/>
      <c r="E388" s="2947"/>
      <c r="F388" s="2947"/>
      <c r="G388" s="2947"/>
      <c r="H388" s="2947"/>
      <c r="I388" s="2947"/>
      <c r="J388" s="2947"/>
      <c r="K388" s="2947"/>
      <c r="L388" s="2947"/>
      <c r="M388" s="2947"/>
      <c r="N388" s="2947"/>
      <c r="O388" s="2947"/>
      <c r="P388" s="2947"/>
      <c r="Q388" s="2948"/>
      <c r="X388" s="1870"/>
      <c r="Y388" s="1870"/>
      <c r="Z388" s="1870"/>
      <c r="AA388" s="1870"/>
      <c r="AB388" s="1886"/>
      <c r="AC388" s="1870"/>
      <c r="AD388" s="1870"/>
      <c r="AE388" s="1870"/>
      <c r="AF388" s="1870"/>
    </row>
    <row r="389" spans="2:32" outlineLevel="1">
      <c r="B389" s="2068" t="s">
        <v>1371</v>
      </c>
      <c r="C389" s="2954" t="s">
        <v>943</v>
      </c>
      <c r="D389" s="2955"/>
      <c r="E389" s="2955"/>
      <c r="F389" s="2955"/>
      <c r="G389" s="2955"/>
      <c r="H389" s="2955"/>
      <c r="I389" s="2955"/>
      <c r="J389" s="2955"/>
      <c r="K389" s="2955"/>
      <c r="L389" s="2955"/>
      <c r="M389" s="2955"/>
      <c r="N389" s="2955"/>
      <c r="O389" s="2955"/>
      <c r="P389" s="2955"/>
      <c r="Q389" s="2956"/>
      <c r="X389" s="1870"/>
      <c r="Y389" s="1870"/>
      <c r="Z389" s="1870"/>
      <c r="AA389" s="1870"/>
      <c r="AB389" s="1886"/>
      <c r="AC389" s="1870"/>
      <c r="AD389" s="1870"/>
      <c r="AE389" s="1870"/>
      <c r="AF389" s="1870"/>
    </row>
    <row r="390" spans="2:32">
      <c r="AB390" s="2052"/>
    </row>
    <row r="391" spans="2:32" s="1877" customFormat="1">
      <c r="B391" s="1878"/>
      <c r="C391" s="1878"/>
      <c r="S391" s="1870"/>
      <c r="AB391" s="1886"/>
    </row>
    <row r="392" spans="2:32">
      <c r="B392" s="1887" t="s">
        <v>1374</v>
      </c>
      <c r="C392" s="1887"/>
      <c r="D392" s="2095" t="s">
        <v>1375</v>
      </c>
      <c r="E392" s="1952"/>
      <c r="R392" s="1877"/>
      <c r="X392" s="1870"/>
      <c r="Y392" s="1870"/>
      <c r="Z392" s="1870"/>
      <c r="AA392" s="1870"/>
      <c r="AB392" s="1886"/>
      <c r="AC392" s="1870"/>
      <c r="AD392" s="1870"/>
      <c r="AE392" s="1870"/>
      <c r="AF392" s="1870"/>
    </row>
    <row r="393" spans="2:32" ht="25.5" outlineLevel="1">
      <c r="B393" s="2048" t="s">
        <v>965</v>
      </c>
      <c r="C393" s="1920" t="s">
        <v>1020</v>
      </c>
      <c r="D393" s="2949" t="s">
        <v>951</v>
      </c>
      <c r="E393" s="2950"/>
      <c r="F393" s="2950"/>
      <c r="G393" s="2950"/>
      <c r="H393" s="2950"/>
      <c r="I393" s="2950"/>
      <c r="J393" s="2950"/>
      <c r="K393" s="2950"/>
      <c r="L393" s="2950"/>
      <c r="M393" s="2950"/>
      <c r="N393" s="2950"/>
      <c r="O393" s="2950"/>
      <c r="P393" s="2950"/>
      <c r="Q393" s="2951"/>
      <c r="R393" s="1877"/>
      <c r="T393" s="2088" t="s">
        <v>498</v>
      </c>
      <c r="U393" s="2089" t="s">
        <v>498</v>
      </c>
      <c r="V393" s="2089" t="s">
        <v>498</v>
      </c>
      <c r="W393" s="2089" t="s">
        <v>498</v>
      </c>
      <c r="X393" s="2089" t="s">
        <v>498</v>
      </c>
      <c r="Y393" s="2089" t="s">
        <v>498</v>
      </c>
      <c r="Z393" s="2089" t="s">
        <v>498</v>
      </c>
      <c r="AA393" s="2090" t="s">
        <v>498</v>
      </c>
      <c r="AB393" s="2091" t="s">
        <v>498</v>
      </c>
      <c r="AC393" s="2089" t="s">
        <v>498</v>
      </c>
      <c r="AD393" s="2089" t="s">
        <v>498</v>
      </c>
      <c r="AE393" s="2089" t="s">
        <v>498</v>
      </c>
      <c r="AF393" s="2092" t="s">
        <v>498</v>
      </c>
    </row>
    <row r="394" spans="2:32" outlineLevel="1">
      <c r="B394" s="2011" t="s">
        <v>1376</v>
      </c>
      <c r="C394" s="1983"/>
      <c r="D394" s="2952"/>
      <c r="E394" s="2952"/>
      <c r="F394" s="2952"/>
      <c r="G394" s="2952"/>
      <c r="H394" s="2952"/>
      <c r="I394" s="2952"/>
      <c r="J394" s="2952"/>
      <c r="K394" s="2952"/>
      <c r="L394" s="2952"/>
      <c r="M394" s="2952"/>
      <c r="N394" s="2952"/>
      <c r="O394" s="2952"/>
      <c r="P394" s="2952"/>
      <c r="Q394" s="2953"/>
      <c r="R394" s="1877"/>
      <c r="T394" s="2063"/>
      <c r="U394" s="2064"/>
      <c r="V394" s="2064"/>
      <c r="W394" s="2064"/>
      <c r="X394" s="2064"/>
      <c r="Y394" s="2064"/>
      <c r="Z394" s="2064"/>
      <c r="AA394" s="2065"/>
      <c r="AB394" s="2066"/>
      <c r="AC394" s="2064"/>
      <c r="AD394" s="2064"/>
      <c r="AE394" s="2064"/>
      <c r="AF394" s="2067"/>
    </row>
    <row r="395" spans="2:32" outlineLevel="1">
      <c r="B395" s="2011" t="s">
        <v>1377</v>
      </c>
      <c r="C395" s="1983"/>
      <c r="D395" s="2952"/>
      <c r="E395" s="2952"/>
      <c r="F395" s="2952"/>
      <c r="G395" s="2952"/>
      <c r="H395" s="2952"/>
      <c r="I395" s="2952"/>
      <c r="J395" s="2952"/>
      <c r="K395" s="2952"/>
      <c r="L395" s="2952"/>
      <c r="M395" s="2952"/>
      <c r="N395" s="2952"/>
      <c r="O395" s="2952"/>
      <c r="P395" s="2952"/>
      <c r="Q395" s="2953"/>
      <c r="R395" s="1877"/>
      <c r="T395" s="2063"/>
      <c r="U395" s="2064"/>
      <c r="V395" s="2064"/>
      <c r="W395" s="2064"/>
      <c r="X395" s="2064"/>
      <c r="Y395" s="2064"/>
      <c r="Z395" s="2064"/>
      <c r="AA395" s="2065"/>
      <c r="AB395" s="2066"/>
      <c r="AC395" s="2064"/>
      <c r="AD395" s="2064"/>
      <c r="AE395" s="2064"/>
      <c r="AF395" s="2067"/>
    </row>
    <row r="396" spans="2:32" outlineLevel="1">
      <c r="B396" s="2011" t="s">
        <v>1378</v>
      </c>
      <c r="C396" s="1983"/>
      <c r="D396" s="2952"/>
      <c r="E396" s="2952"/>
      <c r="F396" s="2952"/>
      <c r="G396" s="2952"/>
      <c r="H396" s="2952"/>
      <c r="I396" s="2952"/>
      <c r="J396" s="2952"/>
      <c r="K396" s="2952"/>
      <c r="L396" s="2952"/>
      <c r="M396" s="2952"/>
      <c r="N396" s="2952"/>
      <c r="O396" s="2952"/>
      <c r="P396" s="2952"/>
      <c r="Q396" s="2953"/>
      <c r="R396" s="1877"/>
      <c r="T396" s="2063"/>
      <c r="U396" s="2064"/>
      <c r="V396" s="2064"/>
      <c r="W396" s="2064"/>
      <c r="X396" s="2064"/>
      <c r="Y396" s="2064"/>
      <c r="Z396" s="2064"/>
      <c r="AA396" s="2065"/>
      <c r="AB396" s="2066"/>
      <c r="AC396" s="2064"/>
      <c r="AD396" s="2064"/>
      <c r="AE396" s="2064"/>
      <c r="AF396" s="2067"/>
    </row>
    <row r="397" spans="2:32" outlineLevel="1">
      <c r="B397" s="2011" t="s">
        <v>1379</v>
      </c>
      <c r="C397" s="1983"/>
      <c r="D397" s="2952"/>
      <c r="E397" s="2952"/>
      <c r="F397" s="2952"/>
      <c r="G397" s="2952"/>
      <c r="H397" s="2952"/>
      <c r="I397" s="2952"/>
      <c r="J397" s="2952"/>
      <c r="K397" s="2952"/>
      <c r="L397" s="2952"/>
      <c r="M397" s="2952"/>
      <c r="N397" s="2952"/>
      <c r="O397" s="2952"/>
      <c r="P397" s="2952"/>
      <c r="Q397" s="2953"/>
      <c r="R397" s="1877"/>
      <c r="T397" s="2063"/>
      <c r="U397" s="2064"/>
      <c r="V397" s="2064"/>
      <c r="W397" s="2064"/>
      <c r="X397" s="2064"/>
      <c r="Y397" s="2064"/>
      <c r="Z397" s="2064"/>
      <c r="AA397" s="2065"/>
      <c r="AB397" s="2066"/>
      <c r="AC397" s="2064"/>
      <c r="AD397" s="2064"/>
      <c r="AE397" s="2064"/>
      <c r="AF397" s="2067"/>
    </row>
    <row r="398" spans="2:32" outlineLevel="1">
      <c r="B398" s="2068" t="s">
        <v>1380</v>
      </c>
      <c r="C398" s="2954" t="s">
        <v>943</v>
      </c>
      <c r="D398" s="2955"/>
      <c r="E398" s="2955"/>
      <c r="F398" s="2955"/>
      <c r="G398" s="2955"/>
      <c r="H398" s="2955"/>
      <c r="I398" s="2955"/>
      <c r="J398" s="2955"/>
      <c r="K398" s="2955"/>
      <c r="L398" s="2955"/>
      <c r="M398" s="2955"/>
      <c r="N398" s="2955"/>
      <c r="O398" s="2955"/>
      <c r="P398" s="2955"/>
      <c r="Q398" s="2956"/>
      <c r="R398" s="1877"/>
      <c r="T398" s="2069"/>
      <c r="U398" s="2070"/>
      <c r="V398" s="2070"/>
      <c r="W398" s="2070"/>
      <c r="X398" s="2070"/>
      <c r="Y398" s="2070"/>
      <c r="Z398" s="2070"/>
      <c r="AA398" s="2071"/>
      <c r="AB398" s="2072"/>
      <c r="AC398" s="2070"/>
      <c r="AD398" s="2070"/>
      <c r="AE398" s="2070"/>
      <c r="AF398" s="2073"/>
    </row>
    <row r="399" spans="2:32" s="1877" customFormat="1">
      <c r="B399" s="1878"/>
      <c r="C399" s="1878"/>
      <c r="F399" s="1878"/>
      <c r="G399" s="1878"/>
      <c r="H399" s="1878"/>
      <c r="I399" s="1878"/>
      <c r="S399" s="2094" t="s">
        <v>1381</v>
      </c>
      <c r="T399" s="2074">
        <f t="shared" ref="T399:AF399" si="13">SUM(T394:T398)</f>
        <v>0</v>
      </c>
      <c r="U399" s="2075">
        <f t="shared" si="13"/>
        <v>0</v>
      </c>
      <c r="V399" s="2075">
        <f t="shared" si="13"/>
        <v>0</v>
      </c>
      <c r="W399" s="2075">
        <f t="shared" si="13"/>
        <v>0</v>
      </c>
      <c r="X399" s="2075">
        <f t="shared" si="13"/>
        <v>0</v>
      </c>
      <c r="Y399" s="2075">
        <f t="shared" si="13"/>
        <v>0</v>
      </c>
      <c r="Z399" s="2075">
        <f t="shared" si="13"/>
        <v>0</v>
      </c>
      <c r="AA399" s="2076">
        <f t="shared" si="13"/>
        <v>0</v>
      </c>
      <c r="AB399" s="2077">
        <f t="shared" si="13"/>
        <v>0</v>
      </c>
      <c r="AC399" s="2075">
        <f t="shared" si="13"/>
        <v>0</v>
      </c>
      <c r="AD399" s="2075">
        <f t="shared" si="13"/>
        <v>0</v>
      </c>
      <c r="AE399" s="2075">
        <f t="shared" si="13"/>
        <v>0</v>
      </c>
      <c r="AF399" s="2078">
        <f t="shared" si="13"/>
        <v>0</v>
      </c>
    </row>
    <row r="400" spans="2:32" outlineLevel="1">
      <c r="B400" s="2048" t="s">
        <v>965</v>
      </c>
      <c r="C400" s="2943" t="s">
        <v>1121</v>
      </c>
      <c r="D400" s="2944"/>
      <c r="E400" s="2944"/>
      <c r="F400" s="2944"/>
      <c r="G400" s="2944"/>
      <c r="H400" s="2944"/>
      <c r="I400" s="2944"/>
      <c r="J400" s="2944"/>
      <c r="K400" s="2944"/>
      <c r="L400" s="2944"/>
      <c r="M400" s="2944"/>
      <c r="N400" s="2944"/>
      <c r="O400" s="2944"/>
      <c r="P400" s="2944"/>
      <c r="Q400" s="2945"/>
      <c r="R400" s="1877"/>
      <c r="X400" s="1870"/>
      <c r="Y400" s="1870"/>
      <c r="Z400" s="1870"/>
      <c r="AA400" s="1870"/>
      <c r="AB400" s="1886"/>
      <c r="AC400" s="1870"/>
      <c r="AD400" s="1870"/>
      <c r="AE400" s="1870"/>
      <c r="AF400" s="1870"/>
    </row>
    <row r="401" spans="2:32" outlineLevel="1">
      <c r="B401" s="2011" t="s">
        <v>1376</v>
      </c>
      <c r="C401" s="2946"/>
      <c r="D401" s="2947"/>
      <c r="E401" s="2947"/>
      <c r="F401" s="2947"/>
      <c r="G401" s="2947"/>
      <c r="H401" s="2947"/>
      <c r="I401" s="2947"/>
      <c r="J401" s="2947"/>
      <c r="K401" s="2947"/>
      <c r="L401" s="2947"/>
      <c r="M401" s="2947"/>
      <c r="N401" s="2947"/>
      <c r="O401" s="2947"/>
      <c r="P401" s="2947"/>
      <c r="Q401" s="2948"/>
      <c r="R401" s="1877"/>
      <c r="X401" s="1870"/>
      <c r="Y401" s="1870"/>
      <c r="Z401" s="1870"/>
      <c r="AA401" s="1870"/>
      <c r="AB401" s="1886"/>
      <c r="AC401" s="1870"/>
      <c r="AD401" s="1870"/>
      <c r="AE401" s="1870"/>
      <c r="AF401" s="1870"/>
    </row>
    <row r="402" spans="2:32" outlineLevel="1">
      <c r="B402" s="2011" t="s">
        <v>1377</v>
      </c>
      <c r="C402" s="2946"/>
      <c r="D402" s="2947"/>
      <c r="E402" s="2947"/>
      <c r="F402" s="2947"/>
      <c r="G402" s="2947"/>
      <c r="H402" s="2947"/>
      <c r="I402" s="2947"/>
      <c r="J402" s="2947"/>
      <c r="K402" s="2947"/>
      <c r="L402" s="2947"/>
      <c r="M402" s="2947"/>
      <c r="N402" s="2947"/>
      <c r="O402" s="2947"/>
      <c r="P402" s="2947"/>
      <c r="Q402" s="2948"/>
      <c r="R402" s="1877"/>
      <c r="X402" s="1870"/>
      <c r="Y402" s="1870"/>
      <c r="Z402" s="1870"/>
      <c r="AA402" s="1870"/>
      <c r="AB402" s="1886"/>
      <c r="AC402" s="1870"/>
      <c r="AD402" s="1870"/>
      <c r="AE402" s="1870"/>
      <c r="AF402" s="1870"/>
    </row>
    <row r="403" spans="2:32" outlineLevel="1">
      <c r="B403" s="2011" t="s">
        <v>1378</v>
      </c>
      <c r="C403" s="2946"/>
      <c r="D403" s="2947"/>
      <c r="E403" s="2947"/>
      <c r="F403" s="2947"/>
      <c r="G403" s="2947"/>
      <c r="H403" s="2947"/>
      <c r="I403" s="2947"/>
      <c r="J403" s="2947"/>
      <c r="K403" s="2947"/>
      <c r="L403" s="2947"/>
      <c r="M403" s="2947"/>
      <c r="N403" s="2947"/>
      <c r="O403" s="2947"/>
      <c r="P403" s="2947"/>
      <c r="Q403" s="2948"/>
      <c r="R403" s="1877"/>
      <c r="X403" s="1870"/>
      <c r="Y403" s="1870"/>
      <c r="Z403" s="1870"/>
      <c r="AA403" s="1870"/>
      <c r="AB403" s="1886"/>
      <c r="AC403" s="1870"/>
      <c r="AD403" s="1870"/>
      <c r="AE403" s="1870"/>
      <c r="AF403" s="1870"/>
    </row>
    <row r="404" spans="2:32" outlineLevel="1">
      <c r="B404" s="2011" t="s">
        <v>1379</v>
      </c>
      <c r="C404" s="2946"/>
      <c r="D404" s="2947"/>
      <c r="E404" s="2947"/>
      <c r="F404" s="2947"/>
      <c r="G404" s="2947"/>
      <c r="H404" s="2947"/>
      <c r="I404" s="2947"/>
      <c r="J404" s="2947"/>
      <c r="K404" s="2947"/>
      <c r="L404" s="2947"/>
      <c r="M404" s="2947"/>
      <c r="N404" s="2947"/>
      <c r="O404" s="2947"/>
      <c r="P404" s="2947"/>
      <c r="Q404" s="2948"/>
      <c r="R404" s="1877"/>
      <c r="X404" s="1870"/>
      <c r="Y404" s="1870"/>
      <c r="Z404" s="1870"/>
      <c r="AA404" s="1870"/>
      <c r="AB404" s="1886"/>
      <c r="AC404" s="1870"/>
      <c r="AD404" s="1870"/>
      <c r="AE404" s="1870"/>
      <c r="AF404" s="1870"/>
    </row>
    <row r="405" spans="2:32" outlineLevel="1">
      <c r="B405" s="2068" t="s">
        <v>1380</v>
      </c>
      <c r="C405" s="2954" t="s">
        <v>943</v>
      </c>
      <c r="D405" s="2955"/>
      <c r="E405" s="2955"/>
      <c r="F405" s="2955"/>
      <c r="G405" s="2955"/>
      <c r="H405" s="2955"/>
      <c r="I405" s="2955"/>
      <c r="J405" s="2955"/>
      <c r="K405" s="2955"/>
      <c r="L405" s="2955"/>
      <c r="M405" s="2955"/>
      <c r="N405" s="2955"/>
      <c r="O405" s="2955"/>
      <c r="P405" s="2955"/>
      <c r="Q405" s="2956"/>
      <c r="R405" s="1877"/>
      <c r="X405" s="1870"/>
      <c r="Y405" s="1870"/>
      <c r="Z405" s="1870"/>
      <c r="AA405" s="1870"/>
      <c r="AB405" s="1886"/>
      <c r="AC405" s="1870"/>
      <c r="AD405" s="1870"/>
      <c r="AE405" s="1870"/>
      <c r="AF405" s="1870"/>
    </row>
    <row r="406" spans="2:32">
      <c r="AB406" s="2052"/>
    </row>
    <row r="407" spans="2:32" s="1877" customFormat="1">
      <c r="B407" s="1878"/>
      <c r="C407" s="1878"/>
      <c r="S407" s="1870"/>
      <c r="AB407" s="1886"/>
    </row>
    <row r="408" spans="2:32">
      <c r="B408" s="1887" t="s">
        <v>1382</v>
      </c>
      <c r="C408" s="1887"/>
      <c r="D408" s="2095" t="s">
        <v>1383</v>
      </c>
      <c r="E408" s="1952"/>
      <c r="R408" s="1877"/>
      <c r="X408" s="1870"/>
      <c r="Y408" s="1870"/>
      <c r="Z408" s="1870"/>
      <c r="AA408" s="1870"/>
      <c r="AB408" s="1886"/>
      <c r="AC408" s="1870"/>
      <c r="AD408" s="1870"/>
      <c r="AE408" s="1870"/>
      <c r="AF408" s="1870"/>
    </row>
    <row r="409" spans="2:32" ht="25.5" outlineLevel="1">
      <c r="B409" s="2048" t="s">
        <v>965</v>
      </c>
      <c r="C409" s="1920" t="s">
        <v>1020</v>
      </c>
      <c r="D409" s="2949" t="s">
        <v>951</v>
      </c>
      <c r="E409" s="2950"/>
      <c r="F409" s="2950"/>
      <c r="G409" s="2950"/>
      <c r="H409" s="2950"/>
      <c r="I409" s="2950"/>
      <c r="J409" s="2950"/>
      <c r="K409" s="2950"/>
      <c r="L409" s="2950"/>
      <c r="M409" s="2950"/>
      <c r="N409" s="2950"/>
      <c r="O409" s="2950"/>
      <c r="P409" s="2950"/>
      <c r="Q409" s="2951"/>
      <c r="R409" s="1877"/>
      <c r="T409" s="2088" t="s">
        <v>498</v>
      </c>
      <c r="U409" s="2089" t="s">
        <v>498</v>
      </c>
      <c r="V409" s="2089" t="s">
        <v>498</v>
      </c>
      <c r="W409" s="2089" t="s">
        <v>498</v>
      </c>
      <c r="X409" s="2089" t="s">
        <v>498</v>
      </c>
      <c r="Y409" s="2089" t="s">
        <v>498</v>
      </c>
      <c r="Z409" s="2089" t="s">
        <v>498</v>
      </c>
      <c r="AA409" s="2090" t="s">
        <v>498</v>
      </c>
      <c r="AB409" s="2091" t="s">
        <v>498</v>
      </c>
      <c r="AC409" s="2089" t="s">
        <v>498</v>
      </c>
      <c r="AD409" s="2089" t="s">
        <v>498</v>
      </c>
      <c r="AE409" s="2089" t="s">
        <v>498</v>
      </c>
      <c r="AF409" s="2092" t="s">
        <v>498</v>
      </c>
    </row>
    <row r="410" spans="2:32" outlineLevel="1">
      <c r="B410" s="2011" t="s">
        <v>1384</v>
      </c>
      <c r="C410" s="1983"/>
      <c r="D410" s="2952"/>
      <c r="E410" s="2952"/>
      <c r="F410" s="2952"/>
      <c r="G410" s="2952"/>
      <c r="H410" s="2952"/>
      <c r="I410" s="2952"/>
      <c r="J410" s="2952"/>
      <c r="K410" s="2952"/>
      <c r="L410" s="2952"/>
      <c r="M410" s="2952"/>
      <c r="N410" s="2952"/>
      <c r="O410" s="2952"/>
      <c r="P410" s="2952"/>
      <c r="Q410" s="2953"/>
      <c r="R410" s="1877"/>
      <c r="T410" s="2063"/>
      <c r="U410" s="2064"/>
      <c r="V410" s="2064"/>
      <c r="W410" s="2064"/>
      <c r="X410" s="2064"/>
      <c r="Y410" s="2064"/>
      <c r="Z410" s="2064"/>
      <c r="AA410" s="2065"/>
      <c r="AB410" s="2066"/>
      <c r="AC410" s="2064"/>
      <c r="AD410" s="2064"/>
      <c r="AE410" s="2064"/>
      <c r="AF410" s="2067"/>
    </row>
    <row r="411" spans="2:32" outlineLevel="1">
      <c r="B411" s="2011" t="s">
        <v>1385</v>
      </c>
      <c r="C411" s="1983"/>
      <c r="D411" s="2952"/>
      <c r="E411" s="2952"/>
      <c r="F411" s="2952"/>
      <c r="G411" s="2952"/>
      <c r="H411" s="2952"/>
      <c r="I411" s="2952"/>
      <c r="J411" s="2952"/>
      <c r="K411" s="2952"/>
      <c r="L411" s="2952"/>
      <c r="M411" s="2952"/>
      <c r="N411" s="2952"/>
      <c r="O411" s="2952"/>
      <c r="P411" s="2952"/>
      <c r="Q411" s="2953"/>
      <c r="R411" s="1877"/>
      <c r="T411" s="2063"/>
      <c r="U411" s="2064"/>
      <c r="V411" s="2064"/>
      <c r="W411" s="2064"/>
      <c r="X411" s="2064"/>
      <c r="Y411" s="2064"/>
      <c r="Z411" s="2064"/>
      <c r="AA411" s="2065"/>
      <c r="AB411" s="2066"/>
      <c r="AC411" s="2064"/>
      <c r="AD411" s="2064"/>
      <c r="AE411" s="2064"/>
      <c r="AF411" s="2067"/>
    </row>
    <row r="412" spans="2:32" outlineLevel="1">
      <c r="B412" s="2011" t="s">
        <v>1386</v>
      </c>
      <c r="C412" s="1983"/>
      <c r="D412" s="2952"/>
      <c r="E412" s="2952"/>
      <c r="F412" s="2952"/>
      <c r="G412" s="2952"/>
      <c r="H412" s="2952"/>
      <c r="I412" s="2952"/>
      <c r="J412" s="2952"/>
      <c r="K412" s="2952"/>
      <c r="L412" s="2952"/>
      <c r="M412" s="2952"/>
      <c r="N412" s="2952"/>
      <c r="O412" s="2952"/>
      <c r="P412" s="2952"/>
      <c r="Q412" s="2953"/>
      <c r="R412" s="1877"/>
      <c r="T412" s="2063"/>
      <c r="U412" s="2064"/>
      <c r="V412" s="2064"/>
      <c r="W412" s="2064"/>
      <c r="X412" s="2064"/>
      <c r="Y412" s="2064"/>
      <c r="Z412" s="2064"/>
      <c r="AA412" s="2065"/>
      <c r="AB412" s="2066"/>
      <c r="AC412" s="2064"/>
      <c r="AD412" s="2064"/>
      <c r="AE412" s="2064"/>
      <c r="AF412" s="2067"/>
    </row>
    <row r="413" spans="2:32" outlineLevel="1">
      <c r="B413" s="2011" t="s">
        <v>1387</v>
      </c>
      <c r="C413" s="1983"/>
      <c r="D413" s="2952"/>
      <c r="E413" s="2952"/>
      <c r="F413" s="2952"/>
      <c r="G413" s="2952"/>
      <c r="H413" s="2952"/>
      <c r="I413" s="2952"/>
      <c r="J413" s="2952"/>
      <c r="K413" s="2952"/>
      <c r="L413" s="2952"/>
      <c r="M413" s="2952"/>
      <c r="N413" s="2952"/>
      <c r="O413" s="2952"/>
      <c r="P413" s="2952"/>
      <c r="Q413" s="2953"/>
      <c r="R413" s="1877"/>
      <c r="T413" s="2063"/>
      <c r="U413" s="2064"/>
      <c r="V413" s="2064"/>
      <c r="W413" s="2064"/>
      <c r="X413" s="2064"/>
      <c r="Y413" s="2064"/>
      <c r="Z413" s="2064"/>
      <c r="AA413" s="2065"/>
      <c r="AB413" s="2066"/>
      <c r="AC413" s="2064"/>
      <c r="AD413" s="2064"/>
      <c r="AE413" s="2064"/>
      <c r="AF413" s="2067"/>
    </row>
    <row r="414" spans="2:32" outlineLevel="1">
      <c r="B414" s="2068" t="s">
        <v>1388</v>
      </c>
      <c r="C414" s="2954" t="s">
        <v>943</v>
      </c>
      <c r="D414" s="2955"/>
      <c r="E414" s="2955"/>
      <c r="F414" s="2955"/>
      <c r="G414" s="2955"/>
      <c r="H414" s="2955"/>
      <c r="I414" s="2955"/>
      <c r="J414" s="2955"/>
      <c r="K414" s="2955"/>
      <c r="L414" s="2955"/>
      <c r="M414" s="2955"/>
      <c r="N414" s="2955"/>
      <c r="O414" s="2955"/>
      <c r="P414" s="2955"/>
      <c r="Q414" s="2956"/>
      <c r="R414" s="1877"/>
      <c r="T414" s="2069"/>
      <c r="U414" s="2070"/>
      <c r="V414" s="2070"/>
      <c r="W414" s="2070"/>
      <c r="X414" s="2070"/>
      <c r="Y414" s="2070"/>
      <c r="Z414" s="2070"/>
      <c r="AA414" s="2071"/>
      <c r="AB414" s="2072"/>
      <c r="AC414" s="2070"/>
      <c r="AD414" s="2070"/>
      <c r="AE414" s="2070"/>
      <c r="AF414" s="2073"/>
    </row>
    <row r="415" spans="2:32" s="1877" customFormat="1">
      <c r="B415" s="1878"/>
      <c r="C415" s="2940"/>
      <c r="D415" s="2941"/>
      <c r="E415" s="2941"/>
      <c r="F415" s="2941"/>
      <c r="G415" s="2941"/>
      <c r="H415" s="2941"/>
      <c r="I415" s="2941"/>
      <c r="J415" s="2941"/>
      <c r="K415" s="2941"/>
      <c r="L415" s="2941"/>
      <c r="M415" s="2941"/>
      <c r="N415" s="2941"/>
      <c r="O415" s="2941"/>
      <c r="P415" s="2941"/>
      <c r="Q415" s="2942"/>
      <c r="R415" s="1877" t="s">
        <v>1372</v>
      </c>
      <c r="S415" s="2094" t="s">
        <v>1389</v>
      </c>
      <c r="T415" s="2074">
        <f t="shared" ref="T415:AF415" si="14">SUM(T410:T414)</f>
        <v>0</v>
      </c>
      <c r="U415" s="2075">
        <f t="shared" si="14"/>
        <v>0</v>
      </c>
      <c r="V415" s="2075">
        <f t="shared" si="14"/>
        <v>0</v>
      </c>
      <c r="W415" s="2075">
        <f t="shared" si="14"/>
        <v>0</v>
      </c>
      <c r="X415" s="2075">
        <f t="shared" si="14"/>
        <v>0</v>
      </c>
      <c r="Y415" s="2075">
        <f t="shared" si="14"/>
        <v>0</v>
      </c>
      <c r="Z415" s="2075">
        <f t="shared" si="14"/>
        <v>0</v>
      </c>
      <c r="AA415" s="2076">
        <f t="shared" si="14"/>
        <v>0</v>
      </c>
      <c r="AB415" s="2077">
        <f t="shared" si="14"/>
        <v>0</v>
      </c>
      <c r="AC415" s="2075">
        <f t="shared" si="14"/>
        <v>0</v>
      </c>
      <c r="AD415" s="2075">
        <f t="shared" si="14"/>
        <v>0</v>
      </c>
      <c r="AE415" s="2075">
        <f t="shared" si="14"/>
        <v>0</v>
      </c>
      <c r="AF415" s="2078">
        <f t="shared" si="14"/>
        <v>0</v>
      </c>
    </row>
    <row r="416" spans="2:32" outlineLevel="1">
      <c r="B416" s="2048" t="s">
        <v>965</v>
      </c>
      <c r="C416" s="2943" t="s">
        <v>1121</v>
      </c>
      <c r="D416" s="2944"/>
      <c r="E416" s="2944"/>
      <c r="F416" s="2944"/>
      <c r="G416" s="2944"/>
      <c r="H416" s="2944"/>
      <c r="I416" s="2944"/>
      <c r="J416" s="2944"/>
      <c r="K416" s="2944"/>
      <c r="L416" s="2944"/>
      <c r="M416" s="2944"/>
      <c r="N416" s="2944"/>
      <c r="O416" s="2944"/>
      <c r="P416" s="2944"/>
      <c r="Q416" s="2945"/>
      <c r="R416" s="1877"/>
      <c r="X416" s="1870"/>
      <c r="Y416" s="1870"/>
      <c r="Z416" s="1870"/>
      <c r="AA416" s="1870"/>
      <c r="AB416" s="1886"/>
      <c r="AC416" s="1870"/>
      <c r="AD416" s="1870"/>
      <c r="AE416" s="1870"/>
      <c r="AF416" s="1870"/>
    </row>
    <row r="417" spans="2:32" outlineLevel="1">
      <c r="B417" s="2011" t="s">
        <v>1384</v>
      </c>
      <c r="C417" s="2946"/>
      <c r="D417" s="2947"/>
      <c r="E417" s="2947"/>
      <c r="F417" s="2947"/>
      <c r="G417" s="2947"/>
      <c r="H417" s="2947"/>
      <c r="I417" s="2947"/>
      <c r="J417" s="2947"/>
      <c r="K417" s="2947"/>
      <c r="L417" s="2947"/>
      <c r="M417" s="2947"/>
      <c r="N417" s="2947"/>
      <c r="O417" s="2947"/>
      <c r="P417" s="2947"/>
      <c r="Q417" s="2948"/>
      <c r="R417" s="1877"/>
      <c r="X417" s="1870"/>
      <c r="Y417" s="1870"/>
      <c r="Z417" s="1870"/>
      <c r="AA417" s="1870"/>
      <c r="AB417" s="1886"/>
      <c r="AC417" s="1870"/>
      <c r="AD417" s="1870"/>
      <c r="AE417" s="1870"/>
      <c r="AF417" s="1870"/>
    </row>
    <row r="418" spans="2:32" outlineLevel="1">
      <c r="B418" s="2011" t="s">
        <v>1385</v>
      </c>
      <c r="C418" s="2946"/>
      <c r="D418" s="2947"/>
      <c r="E418" s="2947"/>
      <c r="F418" s="2947"/>
      <c r="G418" s="2947"/>
      <c r="H418" s="2947"/>
      <c r="I418" s="2947"/>
      <c r="J418" s="2947"/>
      <c r="K418" s="2947"/>
      <c r="L418" s="2947"/>
      <c r="M418" s="2947"/>
      <c r="N418" s="2947"/>
      <c r="O418" s="2947"/>
      <c r="P418" s="2947"/>
      <c r="Q418" s="2948"/>
      <c r="R418" s="1877"/>
      <c r="X418" s="1870"/>
      <c r="Y418" s="1870"/>
      <c r="Z418" s="1870"/>
      <c r="AA418" s="1870"/>
      <c r="AB418" s="1886"/>
      <c r="AC418" s="1870"/>
      <c r="AD418" s="1870"/>
      <c r="AE418" s="1870"/>
      <c r="AF418" s="1870"/>
    </row>
    <row r="419" spans="2:32" outlineLevel="1">
      <c r="B419" s="2011" t="s">
        <v>1386</v>
      </c>
      <c r="C419" s="2946"/>
      <c r="D419" s="2947"/>
      <c r="E419" s="2947"/>
      <c r="F419" s="2947"/>
      <c r="G419" s="2947"/>
      <c r="H419" s="2947"/>
      <c r="I419" s="2947"/>
      <c r="J419" s="2947"/>
      <c r="K419" s="2947"/>
      <c r="L419" s="2947"/>
      <c r="M419" s="2947"/>
      <c r="N419" s="2947"/>
      <c r="O419" s="2947"/>
      <c r="P419" s="2947"/>
      <c r="Q419" s="2948"/>
      <c r="R419" s="1877"/>
      <c r="X419" s="1870"/>
      <c r="Y419" s="1870"/>
      <c r="Z419" s="1870"/>
      <c r="AA419" s="1870"/>
      <c r="AB419" s="1886"/>
      <c r="AC419" s="1870"/>
      <c r="AD419" s="1870"/>
      <c r="AE419" s="1870"/>
      <c r="AF419" s="1870"/>
    </row>
    <row r="420" spans="2:32" outlineLevel="1">
      <c r="B420" s="2011" t="s">
        <v>1387</v>
      </c>
      <c r="C420" s="2946"/>
      <c r="D420" s="2947"/>
      <c r="E420" s="2947"/>
      <c r="F420" s="2947"/>
      <c r="G420" s="2947"/>
      <c r="H420" s="2947"/>
      <c r="I420" s="2947"/>
      <c r="J420" s="2947"/>
      <c r="K420" s="2947"/>
      <c r="L420" s="2947"/>
      <c r="M420" s="2947"/>
      <c r="N420" s="2947"/>
      <c r="O420" s="2947"/>
      <c r="P420" s="2947"/>
      <c r="Q420" s="2948"/>
      <c r="R420" s="1877"/>
      <c r="X420" s="1870"/>
      <c r="Y420" s="1870"/>
      <c r="Z420" s="1870"/>
      <c r="AA420" s="1870"/>
      <c r="AB420" s="1886"/>
      <c r="AC420" s="1870"/>
      <c r="AD420" s="1870"/>
      <c r="AE420" s="1870"/>
      <c r="AF420" s="1870"/>
    </row>
    <row r="421" spans="2:32" outlineLevel="1">
      <c r="B421" s="2068" t="s">
        <v>1388</v>
      </c>
      <c r="C421" s="2954" t="s">
        <v>943</v>
      </c>
      <c r="D421" s="2955"/>
      <c r="E421" s="2955"/>
      <c r="F421" s="2955"/>
      <c r="G421" s="2955"/>
      <c r="H421" s="2955"/>
      <c r="I421" s="2955"/>
      <c r="J421" s="2955"/>
      <c r="K421" s="2955"/>
      <c r="L421" s="2955"/>
      <c r="M421" s="2955"/>
      <c r="N421" s="2955"/>
      <c r="O421" s="2955"/>
      <c r="P421" s="2955"/>
      <c r="Q421" s="2956"/>
      <c r="R421" s="1877"/>
      <c r="X421" s="1870"/>
      <c r="Y421" s="1870"/>
      <c r="Z421" s="1870"/>
      <c r="AA421" s="1870"/>
      <c r="AB421" s="1886"/>
      <c r="AC421" s="1870"/>
      <c r="AD421" s="1870"/>
      <c r="AE421" s="1870"/>
      <c r="AF421" s="1870"/>
    </row>
    <row r="422" spans="2:32">
      <c r="AB422" s="2052"/>
    </row>
    <row r="423" spans="2:32" s="1877" customFormat="1">
      <c r="B423" s="1878"/>
      <c r="C423" s="1878"/>
      <c r="F423" s="1878"/>
      <c r="G423" s="1878"/>
      <c r="H423" s="1878"/>
      <c r="I423" s="1878"/>
      <c r="S423" s="1870"/>
      <c r="AB423" s="1886"/>
    </row>
    <row r="424" spans="2:32" s="1877" customFormat="1">
      <c r="B424" s="1878"/>
      <c r="C424" s="1878"/>
      <c r="S424" s="2096" t="s">
        <v>1390</v>
      </c>
      <c r="T424" s="2074">
        <f t="shared" ref="T424:AF424" si="15">T19 + T52 + T67 + T82 + T97 + T113 + T129 + T315 + T342 + T365 +T383 + T399 + T415</f>
        <v>1276.9299999999998</v>
      </c>
      <c r="U424" s="2075">
        <f t="shared" si="15"/>
        <v>1264.6299999999999</v>
      </c>
      <c r="V424" s="2075">
        <f t="shared" si="15"/>
        <v>1352.6271717111108</v>
      </c>
      <c r="W424" s="2075">
        <f t="shared" si="15"/>
        <v>1432.554149690643</v>
      </c>
      <c r="X424" s="2075">
        <f t="shared" si="15"/>
        <v>1471.2747583774888</v>
      </c>
      <c r="Y424" s="2075">
        <f t="shared" si="15"/>
        <v>1504.6744016737712</v>
      </c>
      <c r="Z424" s="2075">
        <f t="shared" si="15"/>
        <v>1412.0815365155381</v>
      </c>
      <c r="AA424" s="2076">
        <f t="shared" si="15"/>
        <v>1400.6857987914345</v>
      </c>
      <c r="AB424" s="2077">
        <f t="shared" si="15"/>
        <v>1391.2811922803699</v>
      </c>
      <c r="AC424" s="2075">
        <f t="shared" si="15"/>
        <v>1358.7677169823432</v>
      </c>
      <c r="AD424" s="2075">
        <f t="shared" si="15"/>
        <v>1252.5725900940954</v>
      </c>
      <c r="AE424" s="2075">
        <f t="shared" si="15"/>
        <v>1121.4774632058477</v>
      </c>
      <c r="AF424" s="2078">
        <f t="shared" si="15"/>
        <v>1115.2823363175999</v>
      </c>
    </row>
    <row r="425" spans="2:32" s="1877" customFormat="1">
      <c r="B425" s="1878"/>
      <c r="C425" s="1878"/>
      <c r="AB425" s="1886"/>
    </row>
    <row r="426" spans="2:32" s="1892" customFormat="1" ht="15">
      <c r="B426" s="1862" t="s">
        <v>1391</v>
      </c>
      <c r="C426" s="1862"/>
      <c r="D426" s="1863"/>
      <c r="E426" s="1863"/>
      <c r="F426" s="1863"/>
      <c r="G426" s="1863"/>
      <c r="H426" s="1863"/>
      <c r="I426" s="1863"/>
      <c r="J426" s="1863"/>
      <c r="K426" s="1863"/>
      <c r="L426" s="1863"/>
      <c r="M426" s="1863"/>
      <c r="N426" s="1863"/>
      <c r="O426" s="1863"/>
      <c r="P426" s="1863"/>
      <c r="Q426" s="1863"/>
      <c r="S426" s="1870"/>
      <c r="AB426" s="1916"/>
    </row>
    <row r="427" spans="2:32">
      <c r="AB427" s="2052"/>
    </row>
    <row r="428" spans="2:32">
      <c r="D428" s="1833" t="s">
        <v>1392</v>
      </c>
      <c r="E428" s="1833"/>
      <c r="F428" s="2097"/>
      <c r="G428" s="2097"/>
      <c r="H428" s="2097"/>
      <c r="I428" s="2097"/>
      <c r="J428" s="2097"/>
      <c r="K428" s="2097"/>
      <c r="L428" s="2097"/>
      <c r="M428" s="2097"/>
      <c r="N428" s="2097"/>
      <c r="O428" s="2097"/>
      <c r="P428" s="2097"/>
      <c r="Q428" s="2097"/>
      <c r="R428" s="2097"/>
      <c r="T428" s="2097"/>
      <c r="AB428" s="2052"/>
    </row>
    <row r="429" spans="2:32">
      <c r="B429" s="1887" t="s">
        <v>935</v>
      </c>
      <c r="C429" s="1887"/>
      <c r="D429" s="2937" t="s">
        <v>1393</v>
      </c>
      <c r="E429" s="2938"/>
      <c r="F429" s="2938"/>
      <c r="G429" s="2938"/>
      <c r="H429" s="2938"/>
      <c r="I429" s="2938"/>
      <c r="J429" s="2938"/>
      <c r="K429" s="2938"/>
      <c r="L429" s="2938"/>
      <c r="M429" s="2938"/>
      <c r="N429" s="2938"/>
      <c r="O429" s="2938"/>
      <c r="P429" s="2938"/>
      <c r="Q429" s="2939"/>
      <c r="R429" s="2097"/>
      <c r="T429" s="2097"/>
      <c r="AB429" s="2052"/>
    </row>
    <row r="430" spans="2:32">
      <c r="B430" s="1887" t="s">
        <v>945</v>
      </c>
      <c r="C430" s="1887"/>
      <c r="D430" s="2937" t="s">
        <v>1394</v>
      </c>
      <c r="E430" s="2938"/>
      <c r="F430" s="2938"/>
      <c r="G430" s="2938"/>
      <c r="H430" s="2938"/>
      <c r="I430" s="2938"/>
      <c r="J430" s="2938"/>
      <c r="K430" s="2938"/>
      <c r="L430" s="2938"/>
      <c r="M430" s="2938"/>
      <c r="N430" s="2938"/>
      <c r="O430" s="2938"/>
      <c r="P430" s="2938"/>
      <c r="Q430" s="2939"/>
      <c r="R430" s="2097"/>
      <c r="T430" s="2097"/>
      <c r="AB430" s="2052"/>
    </row>
    <row r="431" spans="2:32">
      <c r="B431" s="1887" t="s">
        <v>1018</v>
      </c>
      <c r="C431" s="1887"/>
      <c r="D431" s="2937"/>
      <c r="E431" s="2938"/>
      <c r="F431" s="2938"/>
      <c r="G431" s="2938"/>
      <c r="H431" s="2938"/>
      <c r="I431" s="2938"/>
      <c r="J431" s="2938"/>
      <c r="K431" s="2938"/>
      <c r="L431" s="2938"/>
      <c r="M431" s="2938"/>
      <c r="N431" s="2938"/>
      <c r="O431" s="2938"/>
      <c r="P431" s="2938"/>
      <c r="Q431" s="2939"/>
      <c r="R431" s="2097"/>
      <c r="T431" s="2097"/>
      <c r="AB431" s="2052"/>
    </row>
    <row r="432" spans="2:32">
      <c r="B432" s="1887" t="s">
        <v>1044</v>
      </c>
      <c r="C432" s="1887"/>
      <c r="D432" s="2937"/>
      <c r="E432" s="2938"/>
      <c r="F432" s="2938"/>
      <c r="G432" s="2938"/>
      <c r="H432" s="2938"/>
      <c r="I432" s="2938"/>
      <c r="J432" s="2938"/>
      <c r="K432" s="2938"/>
      <c r="L432" s="2938"/>
      <c r="M432" s="2938"/>
      <c r="N432" s="2938"/>
      <c r="O432" s="2938"/>
      <c r="P432" s="2938"/>
      <c r="Q432" s="2939"/>
      <c r="R432" s="2097"/>
      <c r="T432" s="2097"/>
      <c r="AB432" s="2052"/>
    </row>
    <row r="433" spans="2:32">
      <c r="B433" s="1887" t="s">
        <v>1057</v>
      </c>
      <c r="C433" s="1887"/>
      <c r="D433" s="2937"/>
      <c r="E433" s="2938"/>
      <c r="F433" s="2938"/>
      <c r="G433" s="2938"/>
      <c r="H433" s="2938"/>
      <c r="I433" s="2938"/>
      <c r="J433" s="2938"/>
      <c r="K433" s="2938"/>
      <c r="L433" s="2938"/>
      <c r="M433" s="2938"/>
      <c r="N433" s="2938"/>
      <c r="O433" s="2938"/>
      <c r="P433" s="2938"/>
      <c r="Q433" s="2939"/>
      <c r="R433" s="2097"/>
      <c r="T433" s="2097"/>
      <c r="AB433" s="2052"/>
    </row>
    <row r="434" spans="2:32">
      <c r="B434" s="1887" t="s">
        <v>1077</v>
      </c>
      <c r="C434" s="1887"/>
      <c r="D434" s="2937"/>
      <c r="E434" s="2938"/>
      <c r="F434" s="2938"/>
      <c r="G434" s="2938"/>
      <c r="H434" s="2938"/>
      <c r="I434" s="2938"/>
      <c r="J434" s="2938"/>
      <c r="K434" s="2938"/>
      <c r="L434" s="2938"/>
      <c r="M434" s="2938"/>
      <c r="N434" s="2938"/>
      <c r="O434" s="2938"/>
      <c r="P434" s="2938"/>
      <c r="Q434" s="2939"/>
      <c r="R434" s="2097"/>
      <c r="T434" s="2097"/>
      <c r="AB434" s="2052"/>
    </row>
    <row r="435" spans="2:32">
      <c r="B435" s="1887" t="s">
        <v>1096</v>
      </c>
      <c r="C435" s="1887"/>
      <c r="D435" s="2937"/>
      <c r="E435" s="2938"/>
      <c r="F435" s="2938"/>
      <c r="G435" s="2938"/>
      <c r="H435" s="2938"/>
      <c r="I435" s="2938"/>
      <c r="J435" s="2938"/>
      <c r="K435" s="2938"/>
      <c r="L435" s="2938"/>
      <c r="M435" s="2938"/>
      <c r="N435" s="2938"/>
      <c r="O435" s="2938"/>
      <c r="P435" s="2938"/>
      <c r="Q435" s="2939"/>
      <c r="R435" s="2097"/>
      <c r="T435" s="2097"/>
      <c r="AB435" s="2052"/>
    </row>
    <row r="436" spans="2:32">
      <c r="B436" s="1887" t="s">
        <v>1122</v>
      </c>
      <c r="C436" s="1887"/>
      <c r="D436" s="2937"/>
      <c r="E436" s="2938"/>
      <c r="F436" s="2938"/>
      <c r="G436" s="2938"/>
      <c r="H436" s="2938"/>
      <c r="I436" s="2938"/>
      <c r="J436" s="2938"/>
      <c r="K436" s="2938"/>
      <c r="L436" s="2938"/>
      <c r="M436" s="2938"/>
      <c r="N436" s="2938"/>
      <c r="O436" s="2938"/>
      <c r="P436" s="2938"/>
      <c r="Q436" s="2939"/>
      <c r="R436" s="2097"/>
      <c r="T436" s="2097"/>
      <c r="AB436" s="2052"/>
    </row>
    <row r="437" spans="2:32">
      <c r="B437" s="1887" t="s">
        <v>1341</v>
      </c>
      <c r="C437" s="1887"/>
      <c r="D437" s="2937"/>
      <c r="E437" s="2938"/>
      <c r="F437" s="2938"/>
      <c r="G437" s="2938"/>
      <c r="H437" s="2938"/>
      <c r="I437" s="2938"/>
      <c r="J437" s="2938"/>
      <c r="K437" s="2938"/>
      <c r="L437" s="2938"/>
      <c r="M437" s="2938"/>
      <c r="N437" s="2938"/>
      <c r="O437" s="2938"/>
      <c r="P437" s="2938"/>
      <c r="Q437" s="2939"/>
      <c r="R437" s="2097"/>
      <c r="T437" s="2097"/>
      <c r="AB437" s="2052"/>
    </row>
    <row r="438" spans="2:32">
      <c r="B438" s="1887" t="s">
        <v>1354</v>
      </c>
      <c r="C438" s="1887"/>
      <c r="D438" s="2937"/>
      <c r="E438" s="2938"/>
      <c r="F438" s="2938"/>
      <c r="G438" s="2938"/>
      <c r="H438" s="2938"/>
      <c r="I438" s="2938"/>
      <c r="J438" s="2938"/>
      <c r="K438" s="2938"/>
      <c r="L438" s="2938"/>
      <c r="M438" s="2938"/>
      <c r="N438" s="2938"/>
      <c r="O438" s="2938"/>
      <c r="P438" s="2938"/>
      <c r="Q438" s="2939"/>
      <c r="R438" s="2097"/>
      <c r="T438" s="2097"/>
      <c r="AB438" s="2052"/>
    </row>
    <row r="439" spans="2:32">
      <c r="B439" s="1887" t="s">
        <v>1363</v>
      </c>
      <c r="C439" s="1887"/>
      <c r="D439" s="2937"/>
      <c r="E439" s="2938"/>
      <c r="F439" s="2938"/>
      <c r="G439" s="2938"/>
      <c r="H439" s="2938"/>
      <c r="I439" s="2938"/>
      <c r="J439" s="2938"/>
      <c r="K439" s="2938"/>
      <c r="L439" s="2938"/>
      <c r="M439" s="2938"/>
      <c r="N439" s="2938"/>
      <c r="O439" s="2938"/>
      <c r="P439" s="2938"/>
      <c r="Q439" s="2939"/>
      <c r="R439" s="2097"/>
      <c r="T439" s="2097"/>
      <c r="AB439" s="2052"/>
    </row>
    <row r="440" spans="2:32">
      <c r="B440" s="1887" t="s">
        <v>1374</v>
      </c>
      <c r="C440" s="1887"/>
      <c r="D440" s="2937"/>
      <c r="E440" s="2938"/>
      <c r="F440" s="2938"/>
      <c r="G440" s="2938"/>
      <c r="H440" s="2938"/>
      <c r="I440" s="2938"/>
      <c r="J440" s="2938"/>
      <c r="K440" s="2938"/>
      <c r="L440" s="2938"/>
      <c r="M440" s="2938"/>
      <c r="N440" s="2938"/>
      <c r="O440" s="2938"/>
      <c r="P440" s="2938"/>
      <c r="Q440" s="2939"/>
      <c r="R440" s="2097"/>
      <c r="T440" s="2097"/>
      <c r="AB440" s="2052"/>
    </row>
    <row r="441" spans="2:32">
      <c r="B441" s="1887" t="s">
        <v>1382</v>
      </c>
      <c r="C441" s="1887"/>
      <c r="D441" s="2937"/>
      <c r="E441" s="2938"/>
      <c r="F441" s="2938"/>
      <c r="G441" s="2938"/>
      <c r="H441" s="2938"/>
      <c r="I441" s="2938"/>
      <c r="J441" s="2938"/>
      <c r="K441" s="2938"/>
      <c r="L441" s="2938"/>
      <c r="M441" s="2938"/>
      <c r="N441" s="2938"/>
      <c r="O441" s="2938"/>
      <c r="P441" s="2938"/>
      <c r="Q441" s="2939"/>
      <c r="R441" s="2097"/>
      <c r="T441" s="2097"/>
      <c r="AB441" s="2052"/>
    </row>
    <row r="442" spans="2:32">
      <c r="AB442" s="2052"/>
    </row>
    <row r="443" spans="2:32" s="1892" customFormat="1">
      <c r="B443" s="2053"/>
      <c r="C443" s="2053"/>
      <c r="D443" s="1833" t="s">
        <v>858</v>
      </c>
      <c r="E443" s="1833"/>
      <c r="F443"/>
      <c r="G443"/>
      <c r="H443"/>
      <c r="I443"/>
      <c r="J443"/>
      <c r="K443"/>
      <c r="L443"/>
      <c r="M443"/>
      <c r="N443"/>
      <c r="O443"/>
      <c r="P443"/>
      <c r="Q443"/>
      <c r="R443"/>
      <c r="S443" s="1870"/>
      <c r="T443" s="2088" t="s">
        <v>498</v>
      </c>
      <c r="U443" s="2089" t="s">
        <v>498</v>
      </c>
      <c r="V443" s="2089" t="s">
        <v>498</v>
      </c>
      <c r="W443" s="2089" t="s">
        <v>498</v>
      </c>
      <c r="X443" s="2089" t="s">
        <v>498</v>
      </c>
      <c r="Y443" s="2089" t="s">
        <v>498</v>
      </c>
      <c r="Z443" s="2089" t="s">
        <v>498</v>
      </c>
      <c r="AA443" s="2090" t="s">
        <v>498</v>
      </c>
      <c r="AB443" s="2091" t="s">
        <v>498</v>
      </c>
      <c r="AC443" s="2089" t="s">
        <v>498</v>
      </c>
      <c r="AD443" s="2089" t="s">
        <v>498</v>
      </c>
      <c r="AE443" s="2089" t="s">
        <v>498</v>
      </c>
      <c r="AF443" s="2092" t="s">
        <v>498</v>
      </c>
    </row>
    <row r="444" spans="2:32" s="1892" customFormat="1">
      <c r="B444" s="2053"/>
      <c r="C444" s="2053"/>
      <c r="D444" s="2922" t="s">
        <v>1390</v>
      </c>
      <c r="E444" s="2922"/>
      <c r="F444" s="2922"/>
      <c r="G444" s="2922"/>
      <c r="H444" s="2922"/>
      <c r="I444" s="2922"/>
      <c r="J444" s="2922"/>
      <c r="K444" s="2922"/>
      <c r="L444" s="2922"/>
      <c r="M444" s="2922"/>
      <c r="N444" s="2922"/>
      <c r="O444" s="2922"/>
      <c r="P444" s="2922"/>
      <c r="Q444" s="2922"/>
      <c r="R444" s="2922"/>
      <c r="S444" s="1870"/>
      <c r="T444" s="2098">
        <f t="shared" ref="T444:AF444" si="16">T424</f>
        <v>1276.9299999999998</v>
      </c>
      <c r="U444" s="2099">
        <f t="shared" si="16"/>
        <v>1264.6299999999999</v>
      </c>
      <c r="V444" s="2099">
        <f t="shared" si="16"/>
        <v>1352.6271717111108</v>
      </c>
      <c r="W444" s="2099">
        <f t="shared" si="16"/>
        <v>1432.554149690643</v>
      </c>
      <c r="X444" s="2099">
        <f t="shared" si="16"/>
        <v>1471.2747583774888</v>
      </c>
      <c r="Y444" s="2099">
        <f t="shared" si="16"/>
        <v>1504.6744016737712</v>
      </c>
      <c r="Z444" s="2099">
        <f t="shared" si="16"/>
        <v>1412.0815365155381</v>
      </c>
      <c r="AA444" s="2100">
        <f t="shared" si="16"/>
        <v>1400.6857987914345</v>
      </c>
      <c r="AB444" s="2101">
        <f t="shared" si="16"/>
        <v>1391.2811922803699</v>
      </c>
      <c r="AC444" s="2099">
        <f t="shared" si="16"/>
        <v>1358.7677169823432</v>
      </c>
      <c r="AD444" s="2099">
        <f t="shared" si="16"/>
        <v>1252.5725900940954</v>
      </c>
      <c r="AE444" s="2099">
        <f t="shared" si="16"/>
        <v>1121.4774632058477</v>
      </c>
      <c r="AF444" s="2102">
        <f t="shared" si="16"/>
        <v>1115.2823363175999</v>
      </c>
    </row>
    <row r="445" spans="2:32" s="1892" customFormat="1">
      <c r="B445" s="2053"/>
      <c r="C445" s="2053"/>
      <c r="D445" s="2922" t="s">
        <v>1395</v>
      </c>
      <c r="E445" s="2922"/>
      <c r="F445" s="2922"/>
      <c r="G445" s="2922"/>
      <c r="H445" s="2922"/>
      <c r="I445" s="2922"/>
      <c r="J445" s="2922"/>
      <c r="K445" s="2922"/>
      <c r="L445" s="2922"/>
      <c r="M445" s="2922"/>
      <c r="N445" s="2922"/>
      <c r="O445" s="2922"/>
      <c r="P445" s="2922"/>
      <c r="Q445" s="2922"/>
      <c r="R445" s="2922"/>
      <c r="S445" s="1870"/>
      <c r="T445" s="1902">
        <f>-T27-T30</f>
        <v>0</v>
      </c>
      <c r="U445" s="1902">
        <f t="shared" ref="U445:AF445" si="17">-U27-U30</f>
        <v>0</v>
      </c>
      <c r="V445" s="1902">
        <f t="shared" si="17"/>
        <v>0</v>
      </c>
      <c r="W445" s="1902">
        <f t="shared" si="17"/>
        <v>0</v>
      </c>
      <c r="X445" s="1902">
        <f t="shared" si="17"/>
        <v>0</v>
      </c>
      <c r="Y445" s="1902">
        <f t="shared" si="17"/>
        <v>0.65353329000000004</v>
      </c>
      <c r="Z445" s="1902">
        <f t="shared" si="17"/>
        <v>0.59634912712499999</v>
      </c>
      <c r="AA445" s="1902">
        <f t="shared" si="17"/>
        <v>0.53916496424999993</v>
      </c>
      <c r="AB445" s="1902">
        <f t="shared" si="17"/>
        <v>0.48198080137499993</v>
      </c>
      <c r="AC445" s="1902">
        <f t="shared" si="17"/>
        <v>0.42479663849999993</v>
      </c>
      <c r="AD445" s="1902">
        <f t="shared" si="17"/>
        <v>0.36761247562499988</v>
      </c>
      <c r="AE445" s="1902">
        <f t="shared" si="17"/>
        <v>0.31042831274999988</v>
      </c>
      <c r="AF445" s="1902">
        <f t="shared" si="17"/>
        <v>0.25324414987499988</v>
      </c>
    </row>
    <row r="446" spans="2:32" s="1892" customFormat="1" ht="12.75" customHeight="1">
      <c r="B446" s="2053"/>
      <c r="C446" s="2053"/>
      <c r="D446" s="2922" t="s">
        <v>1396</v>
      </c>
      <c r="E446" s="2922"/>
      <c r="F446" s="2922"/>
      <c r="G446" s="2922"/>
      <c r="H446" s="2922"/>
      <c r="I446" s="2922"/>
      <c r="J446" s="2922"/>
      <c r="K446" s="2922"/>
      <c r="L446" s="2922"/>
      <c r="M446" s="2922"/>
      <c r="N446" s="2922"/>
      <c r="O446" s="2922"/>
      <c r="P446" s="2922"/>
      <c r="Q446" s="2922"/>
      <c r="R446" s="2922"/>
      <c r="S446" s="1870"/>
      <c r="T446" s="1902"/>
      <c r="U446" s="1903"/>
      <c r="V446" s="1903"/>
      <c r="W446" s="1903"/>
      <c r="X446" s="1903"/>
      <c r="Y446" s="1903"/>
      <c r="Z446" s="1903"/>
      <c r="AA446" s="1904"/>
      <c r="AB446" s="1905"/>
      <c r="AC446" s="1903"/>
      <c r="AD446" s="1903"/>
      <c r="AE446" s="1903"/>
      <c r="AF446" s="1906"/>
    </row>
    <row r="447" spans="2:32" s="1892" customFormat="1" ht="12.75" customHeight="1">
      <c r="B447" s="2053"/>
      <c r="C447" s="2053"/>
      <c r="D447" s="2922" t="s">
        <v>1397</v>
      </c>
      <c r="E447" s="2922"/>
      <c r="F447" s="2922"/>
      <c r="G447" s="2922"/>
      <c r="H447" s="2922"/>
      <c r="I447" s="2922"/>
      <c r="J447" s="2922"/>
      <c r="K447" s="2922"/>
      <c r="L447" s="2922"/>
      <c r="M447" s="2922"/>
      <c r="N447" s="2922"/>
      <c r="O447" s="2922"/>
      <c r="P447" s="2922"/>
      <c r="Q447" s="2922"/>
      <c r="R447" s="2922"/>
      <c r="S447" s="1870"/>
      <c r="T447" s="1902"/>
      <c r="U447" s="1903"/>
      <c r="V447" s="1903"/>
      <c r="W447" s="1903"/>
      <c r="X447" s="1903"/>
      <c r="Y447" s="1903"/>
      <c r="Z447" s="1903"/>
      <c r="AA447" s="1904"/>
      <c r="AB447" s="1905"/>
      <c r="AC447" s="1903"/>
      <c r="AD447" s="1903"/>
      <c r="AE447" s="1903"/>
      <c r="AF447" s="1906"/>
    </row>
    <row r="448" spans="2:32" s="1892" customFormat="1" ht="12.75" customHeight="1">
      <c r="B448" s="2053"/>
      <c r="C448" s="2053"/>
      <c r="D448" s="2933" t="s">
        <v>1398</v>
      </c>
      <c r="E448" s="2933"/>
      <c r="F448" s="2933"/>
      <c r="G448" s="2933"/>
      <c r="H448" s="2933"/>
      <c r="I448" s="2933"/>
      <c r="J448" s="2933"/>
      <c r="K448" s="2933"/>
      <c r="L448" s="2933"/>
      <c r="M448" s="2933"/>
      <c r="N448" s="2933"/>
      <c r="O448" s="2933"/>
      <c r="P448" s="2933"/>
      <c r="Q448" s="2933"/>
      <c r="R448" s="2933"/>
      <c r="S448" s="1870"/>
      <c r="T448" s="1902"/>
      <c r="U448" s="1903"/>
      <c r="V448" s="1903"/>
      <c r="W448" s="1903"/>
      <c r="X448" s="1903"/>
      <c r="Y448" s="1903"/>
      <c r="Z448" s="1903"/>
      <c r="AA448" s="1904"/>
      <c r="AB448" s="1905"/>
      <c r="AC448" s="1903"/>
      <c r="AD448" s="1903"/>
      <c r="AE448" s="1903"/>
      <c r="AF448" s="1906"/>
    </row>
    <row r="449" spans="2:32" s="1892" customFormat="1" ht="12.75" customHeight="1">
      <c r="B449" s="2053"/>
      <c r="C449" s="2053"/>
      <c r="D449" s="2934" t="s">
        <v>1399</v>
      </c>
      <c r="E449" s="2935"/>
      <c r="F449" s="2935"/>
      <c r="G449" s="2935"/>
      <c r="H449" s="2935"/>
      <c r="I449" s="2935"/>
      <c r="J449" s="2935"/>
      <c r="K449" s="2935"/>
      <c r="L449" s="2935"/>
      <c r="M449" s="2935"/>
      <c r="N449" s="2935"/>
      <c r="O449" s="2935"/>
      <c r="P449" s="2935"/>
      <c r="Q449" s="2935"/>
      <c r="R449" s="2936"/>
      <c r="S449" s="1870"/>
      <c r="T449" s="1903">
        <f>-T59-T61</f>
        <v>0</v>
      </c>
      <c r="U449" s="1903">
        <f t="shared" ref="U449:AF449" si="18">-U59-U61</f>
        <v>0</v>
      </c>
      <c r="V449" s="1903">
        <f t="shared" si="18"/>
        <v>-130</v>
      </c>
      <c r="W449" s="1903">
        <f t="shared" si="18"/>
        <v>-142.95099999999999</v>
      </c>
      <c r="X449" s="1903">
        <f t="shared" si="18"/>
        <v>-119.121</v>
      </c>
      <c r="Y449" s="1903">
        <f t="shared" si="18"/>
        <v>-176.7</v>
      </c>
      <c r="Z449" s="1903">
        <f t="shared" si="18"/>
        <v>-39.277885642663087</v>
      </c>
      <c r="AA449" s="1903">
        <f t="shared" si="18"/>
        <v>-29.724963755684687</v>
      </c>
      <c r="AB449" s="1903">
        <f t="shared" si="18"/>
        <v>-22.063173081744701</v>
      </c>
      <c r="AC449" s="1903">
        <f t="shared" si="18"/>
        <v>-16.292513620843138</v>
      </c>
      <c r="AD449" s="1903">
        <f t="shared" si="18"/>
        <v>-11.940202569720384</v>
      </c>
      <c r="AE449" s="1903">
        <f t="shared" si="18"/>
        <v>-7.5878915185976314</v>
      </c>
      <c r="AF449" s="1903">
        <f t="shared" si="18"/>
        <v>-3.2355804674748736</v>
      </c>
    </row>
    <row r="450" spans="2:32" s="1892" customFormat="1" ht="12.75" customHeight="1">
      <c r="B450" s="2053"/>
      <c r="C450" s="2053"/>
      <c r="D450" s="2927" t="s">
        <v>1400</v>
      </c>
      <c r="E450" s="2928"/>
      <c r="F450" s="2928"/>
      <c r="G450" s="2928"/>
      <c r="H450" s="2928"/>
      <c r="I450" s="2928"/>
      <c r="J450" s="2928"/>
      <c r="K450" s="2928"/>
      <c r="L450" s="2928"/>
      <c r="M450" s="2928"/>
      <c r="N450" s="2928"/>
      <c r="O450" s="2928"/>
      <c r="P450" s="2928"/>
      <c r="Q450" s="2928"/>
      <c r="R450" s="2929"/>
      <c r="S450" s="1870"/>
      <c r="T450" s="1903">
        <f>-T97</f>
        <v>-51.599999999999994</v>
      </c>
      <c r="U450" s="1903">
        <f t="shared" ref="U450:AF450" si="19">-U97</f>
        <v>-53.100000000000009</v>
      </c>
      <c r="V450" s="1903">
        <f t="shared" si="19"/>
        <v>-40.329000000000001</v>
      </c>
      <c r="W450" s="1903">
        <f t="shared" si="19"/>
        <v>-49.7</v>
      </c>
      <c r="X450" s="1903">
        <f t="shared" si="19"/>
        <v>-63.599999999999994</v>
      </c>
      <c r="Y450" s="1903">
        <f t="shared" si="19"/>
        <v>-59.800000000000004</v>
      </c>
      <c r="Z450" s="1903">
        <f t="shared" si="19"/>
        <v>-45</v>
      </c>
      <c r="AA450" s="1903">
        <f t="shared" si="19"/>
        <v>-45</v>
      </c>
      <c r="AB450" s="1903">
        <f t="shared" si="19"/>
        <v>-45</v>
      </c>
      <c r="AC450" s="1903">
        <f t="shared" si="19"/>
        <v>-45</v>
      </c>
      <c r="AD450" s="1903">
        <f t="shared" si="19"/>
        <v>-45</v>
      </c>
      <c r="AE450" s="1903">
        <f t="shared" si="19"/>
        <v>-45</v>
      </c>
      <c r="AF450" s="1903">
        <f t="shared" si="19"/>
        <v>-45</v>
      </c>
    </row>
    <row r="451" spans="2:32" s="1892" customFormat="1" ht="12.75" customHeight="1">
      <c r="B451" s="2053"/>
      <c r="C451" s="2053"/>
      <c r="D451" s="2927" t="s">
        <v>1401</v>
      </c>
      <c r="E451" s="2928"/>
      <c r="F451" s="2928"/>
      <c r="G451" s="2928"/>
      <c r="H451" s="2928"/>
      <c r="I451" s="2928"/>
      <c r="J451" s="2928"/>
      <c r="K451" s="2928"/>
      <c r="L451" s="2928"/>
      <c r="M451" s="2928"/>
      <c r="N451" s="2928"/>
      <c r="O451" s="2928"/>
      <c r="P451" s="2928"/>
      <c r="Q451" s="2928"/>
      <c r="R451" s="2929"/>
      <c r="S451" s="1870"/>
      <c r="T451" s="1903">
        <f>-T315</f>
        <v>0</v>
      </c>
      <c r="U451" s="1903">
        <f t="shared" ref="U451:AF451" si="20">-U315</f>
        <v>0</v>
      </c>
      <c r="V451" s="1903">
        <f t="shared" si="20"/>
        <v>68.031828288889315</v>
      </c>
      <c r="W451" s="1903">
        <f t="shared" si="20"/>
        <v>83.426850309357292</v>
      </c>
      <c r="X451" s="1903">
        <f t="shared" si="20"/>
        <v>77.930241622511218</v>
      </c>
      <c r="Y451" s="1903">
        <f t="shared" si="20"/>
        <v>155.61606503622886</v>
      </c>
      <c r="Z451" s="1903">
        <f t="shared" si="20"/>
        <v>0</v>
      </c>
      <c r="AA451" s="1903">
        <f t="shared" si="20"/>
        <v>0</v>
      </c>
      <c r="AB451" s="1903">
        <f t="shared" si="20"/>
        <v>0</v>
      </c>
      <c r="AC451" s="1903">
        <f t="shared" si="20"/>
        <v>0</v>
      </c>
      <c r="AD451" s="1903">
        <f t="shared" si="20"/>
        <v>0</v>
      </c>
      <c r="AE451" s="1903">
        <f t="shared" si="20"/>
        <v>0</v>
      </c>
      <c r="AF451" s="1903">
        <f t="shared" si="20"/>
        <v>0</v>
      </c>
    </row>
    <row r="452" spans="2:32" s="1892" customFormat="1" ht="12.75" customHeight="1">
      <c r="B452" s="2053"/>
      <c r="C452" s="2053"/>
      <c r="D452" s="2927" t="s">
        <v>1402</v>
      </c>
      <c r="E452" s="2928"/>
      <c r="F452" s="2928"/>
      <c r="G452" s="2928"/>
      <c r="H452" s="2928"/>
      <c r="I452" s="2928"/>
      <c r="J452" s="2928"/>
      <c r="K452" s="2928"/>
      <c r="L452" s="2928"/>
      <c r="M452" s="2928"/>
      <c r="N452" s="2928"/>
      <c r="O452" s="2928"/>
      <c r="P452" s="2928"/>
      <c r="Q452" s="2928"/>
      <c r="R452" s="2929"/>
      <c r="S452" s="1870"/>
      <c r="T452" s="1902">
        <f>-T26-T29</f>
        <v>0</v>
      </c>
      <c r="U452" s="1902">
        <f t="shared" ref="U452:AF452" si="21">-U26-U29</f>
        <v>0</v>
      </c>
      <c r="V452" s="1902">
        <f t="shared" si="21"/>
        <v>0</v>
      </c>
      <c r="W452" s="1902">
        <f t="shared" si="21"/>
        <v>0</v>
      </c>
      <c r="X452" s="1902">
        <f t="shared" si="21"/>
        <v>0</v>
      </c>
      <c r="Y452" s="1902">
        <f t="shared" si="21"/>
        <v>-7.1999999999999993</v>
      </c>
      <c r="Z452" s="1902">
        <f t="shared" si="21"/>
        <v>0</v>
      </c>
      <c r="AA452" s="1902">
        <f t="shared" si="21"/>
        <v>0</v>
      </c>
      <c r="AB452" s="1902">
        <f t="shared" si="21"/>
        <v>0</v>
      </c>
      <c r="AC452" s="1902">
        <f t="shared" si="21"/>
        <v>0</v>
      </c>
      <c r="AD452" s="1902">
        <f t="shared" si="21"/>
        <v>0</v>
      </c>
      <c r="AE452" s="1902">
        <f t="shared" si="21"/>
        <v>0</v>
      </c>
      <c r="AF452" s="1902">
        <f t="shared" si="21"/>
        <v>0</v>
      </c>
    </row>
    <row r="453" spans="2:32" s="1892" customFormat="1" ht="12.75" customHeight="1">
      <c r="B453" s="2053"/>
      <c r="C453" s="2053"/>
      <c r="D453" s="2927" t="s">
        <v>1403</v>
      </c>
      <c r="E453" s="2928"/>
      <c r="F453" s="2928"/>
      <c r="G453" s="2928"/>
      <c r="H453" s="2928"/>
      <c r="I453" s="2928"/>
      <c r="J453" s="2928"/>
      <c r="K453" s="2928"/>
      <c r="L453" s="2928"/>
      <c r="M453" s="2928"/>
      <c r="N453" s="2928"/>
      <c r="O453" s="2928"/>
      <c r="P453" s="2928"/>
      <c r="Q453" s="2928"/>
      <c r="R453" s="2929"/>
      <c r="S453" s="1870"/>
      <c r="T453" s="1902"/>
      <c r="U453" s="1903"/>
      <c r="V453" s="1903"/>
      <c r="W453" s="1903"/>
      <c r="X453" s="1903"/>
      <c r="Y453" s="1903"/>
      <c r="Z453" s="1903"/>
      <c r="AA453" s="1904"/>
      <c r="AB453" s="1905"/>
      <c r="AC453" s="1903"/>
      <c r="AD453" s="1903"/>
      <c r="AE453" s="1903"/>
      <c r="AF453" s="1906"/>
    </row>
    <row r="454" spans="2:32" s="1892" customFormat="1" ht="12.75" customHeight="1">
      <c r="B454" s="2053"/>
      <c r="C454" s="2053"/>
      <c r="D454" s="2927" t="s">
        <v>1404</v>
      </c>
      <c r="E454" s="2928"/>
      <c r="F454" s="2928"/>
      <c r="G454" s="2928"/>
      <c r="H454" s="2928"/>
      <c r="I454" s="2928"/>
      <c r="J454" s="2928"/>
      <c r="K454" s="2928"/>
      <c r="L454" s="2928"/>
      <c r="M454" s="2928"/>
      <c r="N454" s="2928"/>
      <c r="O454" s="2928"/>
      <c r="P454" s="2928"/>
      <c r="Q454" s="2928"/>
      <c r="R454" s="2929"/>
      <c r="S454" s="1870"/>
      <c r="T454" s="1902"/>
      <c r="U454" s="1903"/>
      <c r="V454" s="1903"/>
      <c r="W454" s="1903"/>
      <c r="X454" s="1903"/>
      <c r="Y454" s="1903"/>
      <c r="Z454" s="1903"/>
      <c r="AA454" s="1904"/>
      <c r="AB454" s="1905"/>
      <c r="AC454" s="1903"/>
      <c r="AD454" s="1903"/>
      <c r="AE454" s="1903"/>
      <c r="AF454" s="1906"/>
    </row>
    <row r="455" spans="2:32" s="1892" customFormat="1" ht="12.75" customHeight="1">
      <c r="B455" s="2053"/>
      <c r="C455" s="2053"/>
      <c r="D455" s="2927" t="s">
        <v>1405</v>
      </c>
      <c r="E455" s="2928"/>
      <c r="F455" s="2928"/>
      <c r="G455" s="2928"/>
      <c r="H455" s="2928"/>
      <c r="I455" s="2928"/>
      <c r="J455" s="2928"/>
      <c r="K455" s="2928"/>
      <c r="L455" s="2928"/>
      <c r="M455" s="2928"/>
      <c r="N455" s="2928"/>
      <c r="O455" s="2928"/>
      <c r="P455" s="2928"/>
      <c r="Q455" s="2928"/>
      <c r="R455" s="2929"/>
      <c r="S455" s="1870"/>
      <c r="T455" s="1902"/>
      <c r="U455" s="1903"/>
      <c r="V455" s="1903"/>
      <c r="W455" s="1903"/>
      <c r="X455" s="1903"/>
      <c r="Y455" s="1903"/>
      <c r="Z455" s="1903"/>
      <c r="AA455" s="1904"/>
      <c r="AB455" s="1905"/>
      <c r="AC455" s="1903"/>
      <c r="AD455" s="1903"/>
      <c r="AE455" s="1903"/>
      <c r="AF455" s="1906"/>
    </row>
    <row r="456" spans="2:32" s="1892" customFormat="1" ht="12.75" customHeight="1">
      <c r="B456" s="2053"/>
      <c r="C456" s="2053"/>
      <c r="D456" s="2927" t="s">
        <v>1406</v>
      </c>
      <c r="E456" s="2928"/>
      <c r="F456" s="2928"/>
      <c r="G456" s="2928"/>
      <c r="H456" s="2928"/>
      <c r="I456" s="2928"/>
      <c r="J456" s="2928"/>
      <c r="K456" s="2928"/>
      <c r="L456" s="2928"/>
      <c r="M456" s="2928"/>
      <c r="N456" s="2928"/>
      <c r="O456" s="2928"/>
      <c r="P456" s="2928"/>
      <c r="Q456" s="2928"/>
      <c r="R456" s="2929"/>
      <c r="S456" s="1870"/>
      <c r="T456" s="1902"/>
      <c r="U456" s="1903"/>
      <c r="V456" s="1903"/>
      <c r="W456" s="1903"/>
      <c r="X456" s="1903"/>
      <c r="Y456" s="1903"/>
      <c r="Z456" s="1903"/>
      <c r="AA456" s="1904"/>
      <c r="AB456" s="1905"/>
      <c r="AC456" s="1903"/>
      <c r="AD456" s="1903"/>
      <c r="AE456" s="1903"/>
      <c r="AF456" s="1906"/>
    </row>
    <row r="457" spans="2:32" s="1892" customFormat="1" ht="12.75" customHeight="1">
      <c r="B457" s="2053"/>
      <c r="C457" s="2053"/>
      <c r="D457" s="2927" t="s">
        <v>1407</v>
      </c>
      <c r="E457" s="2928"/>
      <c r="F457" s="2928"/>
      <c r="G457" s="2928"/>
      <c r="H457" s="2928"/>
      <c r="I457" s="2928"/>
      <c r="J457" s="2928"/>
      <c r="K457" s="2928"/>
      <c r="L457" s="2928"/>
      <c r="M457" s="2928"/>
      <c r="N457" s="2928"/>
      <c r="O457" s="2928"/>
      <c r="P457" s="2928"/>
      <c r="Q457" s="2928"/>
      <c r="R457" s="2929"/>
      <c r="S457" s="1870"/>
      <c r="T457" s="1902"/>
      <c r="U457" s="1903"/>
      <c r="V457" s="1903"/>
      <c r="W457" s="1903"/>
      <c r="X457" s="1903"/>
      <c r="Y457" s="1903"/>
      <c r="Z457" s="1903"/>
      <c r="AA457" s="1904"/>
      <c r="AB457" s="1905"/>
      <c r="AC457" s="1903"/>
      <c r="AD457" s="1903"/>
      <c r="AE457" s="1903"/>
      <c r="AF457" s="1906"/>
    </row>
    <row r="458" spans="2:32" s="1892" customFormat="1" ht="12.75" customHeight="1">
      <c r="B458" s="2053"/>
      <c r="C458" s="2053"/>
      <c r="D458" s="2930" t="s">
        <v>1408</v>
      </c>
      <c r="E458" s="2931"/>
      <c r="F458" s="2931"/>
      <c r="G458" s="2931"/>
      <c r="H458" s="2931"/>
      <c r="I458" s="2931"/>
      <c r="J458" s="2931"/>
      <c r="K458" s="2931"/>
      <c r="L458" s="2931"/>
      <c r="M458" s="2931"/>
      <c r="N458" s="2931"/>
      <c r="O458" s="2931"/>
      <c r="P458" s="2931"/>
      <c r="Q458" s="2931"/>
      <c r="R458" s="2932"/>
      <c r="S458" s="1870"/>
      <c r="T458" s="1902"/>
      <c r="U458" s="1903"/>
      <c r="V458" s="1903"/>
      <c r="W458" s="1903"/>
      <c r="X458" s="1903"/>
      <c r="Y458" s="1903"/>
      <c r="Z458" s="1903"/>
      <c r="AA458" s="1904"/>
      <c r="AB458" s="1905"/>
      <c r="AC458" s="1903"/>
      <c r="AD458" s="1903"/>
      <c r="AE458" s="1903"/>
      <c r="AF458" s="1906"/>
    </row>
    <row r="459" spans="2:32" s="1892" customFormat="1" ht="12.75" customHeight="1">
      <c r="B459" s="2053"/>
      <c r="C459" s="2053"/>
      <c r="D459" s="2930" t="s">
        <v>1409</v>
      </c>
      <c r="E459" s="2931"/>
      <c r="F459" s="2931"/>
      <c r="G459" s="2931"/>
      <c r="H459" s="2931"/>
      <c r="I459" s="2931"/>
      <c r="J459" s="2931"/>
      <c r="K459" s="2931"/>
      <c r="L459" s="2931"/>
      <c r="M459" s="2931"/>
      <c r="N459" s="2931"/>
      <c r="O459" s="2931"/>
      <c r="P459" s="2931"/>
      <c r="Q459" s="2931"/>
      <c r="R459" s="2932"/>
      <c r="S459" s="1870"/>
      <c r="T459" s="1902"/>
      <c r="U459" s="1903"/>
      <c r="V459" s="1903"/>
      <c r="W459" s="1903"/>
      <c r="X459" s="1903"/>
      <c r="Y459" s="1903"/>
      <c r="Z459" s="1903"/>
      <c r="AA459" s="1904"/>
      <c r="AB459" s="1905"/>
      <c r="AC459" s="1903"/>
      <c r="AD459" s="1903"/>
      <c r="AE459" s="1903"/>
      <c r="AF459" s="1906"/>
    </row>
    <row r="460" spans="2:32" s="1892" customFormat="1" ht="12.75" customHeight="1">
      <c r="B460" s="2053"/>
      <c r="C460" s="2053"/>
      <c r="D460" s="2924" t="s">
        <v>1410</v>
      </c>
      <c r="E460" s="2925"/>
      <c r="F460" s="2925"/>
      <c r="G460" s="2925"/>
      <c r="H460" s="2925"/>
      <c r="I460" s="2925"/>
      <c r="J460" s="2925"/>
      <c r="K460" s="2925"/>
      <c r="L460" s="2925"/>
      <c r="M460" s="2925"/>
      <c r="N460" s="2925"/>
      <c r="O460" s="2925"/>
      <c r="P460" s="2925"/>
      <c r="Q460" s="2925"/>
      <c r="R460" s="2926"/>
      <c r="S460" s="1870"/>
      <c r="T460" s="1941"/>
      <c r="U460" s="1942"/>
      <c r="V460" s="1942"/>
      <c r="W460" s="1942"/>
      <c r="X460" s="1942"/>
      <c r="Y460" s="1942"/>
      <c r="Z460" s="1942"/>
      <c r="AA460" s="1943"/>
      <c r="AB460" s="1944"/>
      <c r="AC460" s="1942"/>
      <c r="AD460" s="1942"/>
      <c r="AE460" s="1942"/>
      <c r="AF460" s="1945"/>
    </row>
    <row r="461" spans="2:32" s="1892" customFormat="1">
      <c r="B461" s="2053"/>
      <c r="C461" s="2053"/>
      <c r="D461" s="2923" t="s">
        <v>1411</v>
      </c>
      <c r="E461" s="2923"/>
      <c r="F461" s="2923"/>
      <c r="G461" s="2923"/>
      <c r="H461" s="2923"/>
      <c r="I461" s="2923"/>
      <c r="J461" s="2923"/>
      <c r="K461" s="2923"/>
      <c r="L461" s="2923"/>
      <c r="M461" s="2923"/>
      <c r="N461" s="2923"/>
      <c r="O461" s="2923"/>
      <c r="P461" s="2923"/>
      <c r="Q461" s="2923"/>
      <c r="R461" s="2923"/>
      <c r="S461" s="1870"/>
      <c r="T461" s="2074">
        <f t="shared" ref="T461:AF461" si="22">SUM(T444:T460)</f>
        <v>1225.33</v>
      </c>
      <c r="U461" s="2075">
        <f t="shared" si="22"/>
        <v>1211.53</v>
      </c>
      <c r="V461" s="2075">
        <f t="shared" si="22"/>
        <v>1250.3300000000002</v>
      </c>
      <c r="W461" s="2075">
        <f t="shared" si="22"/>
        <v>1323.3300000000004</v>
      </c>
      <c r="X461" s="2075">
        <f t="shared" si="22"/>
        <v>1366.4839999999999</v>
      </c>
      <c r="Y461" s="2075">
        <f t="shared" si="22"/>
        <v>1417.2439999999999</v>
      </c>
      <c r="Z461" s="2075">
        <f t="shared" si="22"/>
        <v>1328.4</v>
      </c>
      <c r="AA461" s="2076">
        <f t="shared" si="22"/>
        <v>1326.4999999999998</v>
      </c>
      <c r="AB461" s="2077">
        <f t="shared" si="22"/>
        <v>1324.7</v>
      </c>
      <c r="AC461" s="2075">
        <f t="shared" si="22"/>
        <v>1297.9000000000001</v>
      </c>
      <c r="AD461" s="2075">
        <f t="shared" si="22"/>
        <v>1196</v>
      </c>
      <c r="AE461" s="2075">
        <f t="shared" si="22"/>
        <v>1069.2</v>
      </c>
      <c r="AF461" s="2078">
        <f t="shared" si="22"/>
        <v>1067.3</v>
      </c>
    </row>
    <row r="462" spans="2:32" s="1892" customFormat="1">
      <c r="B462" s="2053"/>
      <c r="C462" s="2053"/>
      <c r="S462" s="1870"/>
      <c r="AB462" s="1916"/>
    </row>
    <row r="463" spans="2:32" s="1892" customFormat="1">
      <c r="B463" s="2053"/>
      <c r="C463" s="2053"/>
      <c r="D463" s="1952" t="s">
        <v>1412</v>
      </c>
      <c r="E463" s="1952"/>
      <c r="S463" s="1870"/>
      <c r="AB463" s="1916"/>
    </row>
    <row r="464" spans="2:32" s="1892" customFormat="1">
      <c r="B464" s="2053"/>
      <c r="C464" s="2053"/>
      <c r="D464" s="1892" t="s">
        <v>1413</v>
      </c>
      <c r="S464" s="1870"/>
      <c r="T464" s="2103"/>
      <c r="U464" s="2104"/>
      <c r="V464" s="2104"/>
      <c r="W464" s="2104"/>
      <c r="X464" s="2104"/>
      <c r="Y464" s="2104"/>
      <c r="Z464" s="2104"/>
      <c r="AA464" s="2105"/>
      <c r="AB464" s="2106"/>
      <c r="AC464" s="2104"/>
      <c r="AD464" s="2104"/>
      <c r="AE464" s="2104"/>
      <c r="AF464" s="2107"/>
    </row>
    <row r="465" spans="2:33" s="1892" customFormat="1">
      <c r="B465" s="2053"/>
      <c r="C465" s="2053"/>
      <c r="D465" s="1892" t="s">
        <v>1414</v>
      </c>
      <c r="S465" s="1870"/>
      <c r="T465" s="2108">
        <f>1-T464</f>
        <v>1</v>
      </c>
      <c r="U465" s="2109">
        <f t="shared" ref="U465:AF465" si="23">1-U464</f>
        <v>1</v>
      </c>
      <c r="V465" s="2109">
        <f t="shared" si="23"/>
        <v>1</v>
      </c>
      <c r="W465" s="2109">
        <f t="shared" si="23"/>
        <v>1</v>
      </c>
      <c r="X465" s="2109">
        <f t="shared" si="23"/>
        <v>1</v>
      </c>
      <c r="Y465" s="2109">
        <f t="shared" si="23"/>
        <v>1</v>
      </c>
      <c r="Z465" s="2109">
        <f t="shared" si="23"/>
        <v>1</v>
      </c>
      <c r="AA465" s="2110">
        <f t="shared" si="23"/>
        <v>1</v>
      </c>
      <c r="AB465" s="2111">
        <f t="shared" si="23"/>
        <v>1</v>
      </c>
      <c r="AC465" s="2109">
        <f t="shared" si="23"/>
        <v>1</v>
      </c>
      <c r="AD465" s="2109">
        <f t="shared" si="23"/>
        <v>1</v>
      </c>
      <c r="AE465" s="2109">
        <f t="shared" si="23"/>
        <v>1</v>
      </c>
      <c r="AF465" s="2112">
        <f t="shared" si="23"/>
        <v>1</v>
      </c>
    </row>
    <row r="466" spans="2:33">
      <c r="AB466" s="2052"/>
    </row>
    <row r="467" spans="2:33">
      <c r="AB467" s="2052"/>
    </row>
    <row r="468" spans="2:33" ht="15">
      <c r="B468" s="1862" t="s">
        <v>1415</v>
      </c>
      <c r="C468" s="1862"/>
      <c r="D468" s="1863"/>
      <c r="E468" s="1863"/>
      <c r="F468" s="1863"/>
      <c r="G468" s="1863"/>
      <c r="H468" s="1863"/>
      <c r="I468" s="1863"/>
      <c r="J468" s="1863"/>
      <c r="K468" s="1863"/>
      <c r="L468" s="1863"/>
      <c r="M468" s="1863"/>
      <c r="N468" s="1863"/>
      <c r="O468" s="1863"/>
      <c r="P468" s="1863"/>
      <c r="Q468" s="1863"/>
      <c r="X468" s="1870"/>
      <c r="Y468" s="1870"/>
      <c r="Z468" s="1870"/>
      <c r="AA468" s="1870"/>
      <c r="AB468" s="1886"/>
      <c r="AC468" s="1870"/>
      <c r="AD468" s="1870"/>
      <c r="AE468" s="1870"/>
      <c r="AF468" s="1870"/>
    </row>
    <row r="469" spans="2:33">
      <c r="X469" s="1870"/>
      <c r="Y469" s="1870"/>
      <c r="Z469" s="1870"/>
      <c r="AA469" s="1870"/>
      <c r="AB469" s="1886"/>
      <c r="AC469" s="1870"/>
      <c r="AD469" s="1870"/>
      <c r="AE469" s="1870"/>
      <c r="AF469" s="1870"/>
    </row>
    <row r="470" spans="2:33">
      <c r="D470" s="1833" t="s">
        <v>1416</v>
      </c>
      <c r="E470" s="1833"/>
      <c r="F470"/>
      <c r="G470"/>
      <c r="H470"/>
      <c r="I470"/>
      <c r="J470"/>
      <c r="K470"/>
      <c r="L470"/>
      <c r="M470"/>
      <c r="N470"/>
      <c r="O470"/>
      <c r="P470"/>
      <c r="Q470"/>
      <c r="R470"/>
      <c r="T470" s="2088" t="s">
        <v>627</v>
      </c>
      <c r="U470" s="2089" t="s">
        <v>627</v>
      </c>
      <c r="V470" s="2089" t="s">
        <v>627</v>
      </c>
      <c r="W470" s="2089" t="s">
        <v>627</v>
      </c>
      <c r="X470" s="2089" t="s">
        <v>627</v>
      </c>
      <c r="Y470" s="2089" t="s">
        <v>627</v>
      </c>
      <c r="Z470" s="2089" t="s">
        <v>627</v>
      </c>
      <c r="AA470" s="2090" t="s">
        <v>627</v>
      </c>
      <c r="AB470" s="2091" t="s">
        <v>627</v>
      </c>
      <c r="AC470" s="2089" t="s">
        <v>627</v>
      </c>
      <c r="AD470" s="2089" t="s">
        <v>627</v>
      </c>
      <c r="AE470" s="2089" t="s">
        <v>627</v>
      </c>
      <c r="AF470" s="2092" t="s">
        <v>627</v>
      </c>
    </row>
    <row r="471" spans="2:33">
      <c r="D471" s="2922" t="s">
        <v>1417</v>
      </c>
      <c r="E471" s="2922"/>
      <c r="F471" s="2922"/>
      <c r="G471" s="2922"/>
      <c r="H471" s="2922"/>
      <c r="I471" s="2922"/>
      <c r="J471" s="2922"/>
      <c r="K471" s="2922"/>
      <c r="L471" s="2922"/>
      <c r="M471" s="2922"/>
      <c r="N471" s="2922"/>
      <c r="O471" s="2922"/>
      <c r="P471" s="2922"/>
      <c r="Q471" s="2922"/>
      <c r="R471" s="2922"/>
      <c r="T471" s="2585">
        <f>(+T43+T57+T58+T60+T62+T63)/T461</f>
        <v>0.78707776680567687</v>
      </c>
      <c r="U471" s="2585">
        <f t="shared" ref="U471:X471" si="24">(+U43+U57+U58+U60+U62)/U461</f>
        <v>0.77598573704324281</v>
      </c>
      <c r="V471" s="2585">
        <f t="shared" si="24"/>
        <v>0.75190549694880537</v>
      </c>
      <c r="W471" s="2585">
        <f t="shared" si="24"/>
        <v>0.71042748218509344</v>
      </c>
      <c r="X471" s="2585">
        <f t="shared" si="24"/>
        <v>0.68799195599802121</v>
      </c>
      <c r="Y471" s="2114">
        <f>(+Y25+Y28+Y43+Y57+Y58+Y60+Y62)/Y461</f>
        <v>0.80497359664249779</v>
      </c>
      <c r="Z471" s="2114">
        <f t="shared" ref="Z471:AF471" si="25">(+Z25+Z28+Z43+Z57+Z58+Z60+Z62)/Z461</f>
        <v>0.70957542908762417</v>
      </c>
      <c r="AA471" s="2114">
        <f t="shared" si="25"/>
        <v>0.71059178288729752</v>
      </c>
      <c r="AB471" s="2114">
        <f t="shared" si="25"/>
        <v>0.71155733373594021</v>
      </c>
      <c r="AC471" s="2114">
        <f t="shared" si="25"/>
        <v>0.72625009630942283</v>
      </c>
      <c r="AD471" s="2114">
        <f t="shared" si="25"/>
        <v>0.78812709030100336</v>
      </c>
      <c r="AE471" s="2114">
        <f t="shared" si="25"/>
        <v>0.84418256640478861</v>
      </c>
      <c r="AF471" s="2114">
        <f t="shared" si="25"/>
        <v>0.84568537430900403</v>
      </c>
    </row>
    <row r="472" spans="2:33">
      <c r="D472" s="2922" t="s">
        <v>1418</v>
      </c>
      <c r="E472" s="2922"/>
      <c r="F472" s="2922"/>
      <c r="G472" s="2922"/>
      <c r="H472" s="2922"/>
      <c r="I472" s="2922"/>
      <c r="J472" s="2922"/>
      <c r="K472" s="2922"/>
      <c r="L472" s="2922"/>
      <c r="M472" s="2922"/>
      <c r="N472" s="2922"/>
      <c r="O472" s="2922"/>
      <c r="P472" s="2922"/>
      <c r="Q472" s="2922"/>
      <c r="R472" s="2922"/>
      <c r="T472" s="2585">
        <f>(T13+T52-T43)/T461</f>
        <v>0.21292223319432316</v>
      </c>
      <c r="U472" s="2585">
        <f t="shared" ref="U472:X472" si="26">(U13+U52-U43)/U461</f>
        <v>0.22401426295675714</v>
      </c>
      <c r="V472" s="2585">
        <f t="shared" si="26"/>
        <v>0.24809450305119443</v>
      </c>
      <c r="W472" s="2585">
        <f t="shared" si="26"/>
        <v>0.28957251781490623</v>
      </c>
      <c r="X472" s="2585">
        <f t="shared" si="26"/>
        <v>0.31200804400197879</v>
      </c>
      <c r="Y472" s="2114">
        <f>(Y19+SUM(Y39:Y42)+SUM(Y44:Y48))/Y461</f>
        <v>0.19502640335750229</v>
      </c>
      <c r="Z472" s="2114">
        <f t="shared" ref="Z472:AF472" si="27">(Z19+SUM(Z39:Z42)+SUM(Z44:Z48))/Z461</f>
        <v>0.29042457091237578</v>
      </c>
      <c r="AA472" s="2114">
        <f t="shared" si="27"/>
        <v>0.28940821711270265</v>
      </c>
      <c r="AB472" s="2114">
        <f t="shared" si="27"/>
        <v>0.28844266626405979</v>
      </c>
      <c r="AC472" s="2114">
        <f t="shared" si="27"/>
        <v>0.27374990369057706</v>
      </c>
      <c r="AD472" s="2114">
        <f t="shared" si="27"/>
        <v>0.21187290969899666</v>
      </c>
      <c r="AE472" s="2114">
        <f t="shared" si="27"/>
        <v>0.15581743359521136</v>
      </c>
      <c r="AF472" s="2114">
        <f t="shared" si="27"/>
        <v>0.15431462569099597</v>
      </c>
    </row>
    <row r="473" spans="2:33">
      <c r="D473" s="2922" t="s">
        <v>1419</v>
      </c>
      <c r="E473" s="2922"/>
      <c r="F473" s="2922"/>
      <c r="G473" s="2922"/>
      <c r="H473" s="2922"/>
      <c r="I473" s="2922"/>
      <c r="J473" s="2922"/>
      <c r="K473" s="2922"/>
      <c r="L473" s="2922"/>
      <c r="M473" s="2922"/>
      <c r="N473" s="2922"/>
      <c r="O473" s="2922"/>
      <c r="P473" s="2922"/>
      <c r="Q473" s="2922"/>
      <c r="R473" s="2922"/>
      <c r="T473" s="2113"/>
      <c r="U473" s="2114"/>
      <c r="V473" s="2114"/>
      <c r="W473" s="2114"/>
      <c r="X473" s="2114"/>
      <c r="Y473" s="2114"/>
      <c r="Z473" s="2114"/>
      <c r="AA473" s="2115"/>
      <c r="AB473" s="2116"/>
      <c r="AC473" s="2114"/>
      <c r="AD473" s="2114"/>
      <c r="AE473" s="2114"/>
      <c r="AF473" s="2117"/>
    </row>
    <row r="474" spans="2:33">
      <c r="D474" s="2922" t="s">
        <v>1420</v>
      </c>
      <c r="E474" s="2922"/>
      <c r="F474" s="2922"/>
      <c r="G474" s="2922"/>
      <c r="H474" s="2922"/>
      <c r="I474" s="2922"/>
      <c r="J474" s="2922"/>
      <c r="K474" s="2922"/>
      <c r="L474" s="2922"/>
      <c r="M474" s="2922"/>
      <c r="N474" s="2922"/>
      <c r="O474" s="2922"/>
      <c r="P474" s="2922"/>
      <c r="Q474" s="2922"/>
      <c r="R474" s="2922"/>
      <c r="T474" s="2113"/>
      <c r="U474" s="2114"/>
      <c r="V474" s="2114"/>
      <c r="W474" s="2114"/>
      <c r="X474" s="2114"/>
      <c r="Y474" s="2114"/>
      <c r="Z474" s="2114"/>
      <c r="AA474" s="2115"/>
      <c r="AB474" s="2116"/>
      <c r="AC474" s="2114"/>
      <c r="AD474" s="2114"/>
      <c r="AE474" s="2114"/>
      <c r="AF474" s="2117"/>
    </row>
    <row r="475" spans="2:33">
      <c r="D475" s="2923" t="s">
        <v>1421</v>
      </c>
      <c r="E475" s="2923"/>
      <c r="F475" s="2923"/>
      <c r="G475" s="2923"/>
      <c r="H475" s="2923"/>
      <c r="I475" s="2923"/>
      <c r="J475" s="2923"/>
      <c r="K475" s="2923"/>
      <c r="L475" s="2923"/>
      <c r="M475" s="2923"/>
      <c r="N475" s="2923"/>
      <c r="O475" s="2923"/>
      <c r="P475" s="2923"/>
      <c r="Q475" s="2923"/>
      <c r="R475" s="2923"/>
      <c r="T475" s="2118">
        <f t="shared" ref="T475:AF475" si="28">SUM(T471:T474)</f>
        <v>1</v>
      </c>
      <c r="U475" s="2119">
        <f t="shared" si="28"/>
        <v>1</v>
      </c>
      <c r="V475" s="2119">
        <f t="shared" si="28"/>
        <v>0.99999999999999978</v>
      </c>
      <c r="W475" s="2119">
        <f t="shared" si="28"/>
        <v>0.99999999999999967</v>
      </c>
      <c r="X475" s="2119">
        <f t="shared" si="28"/>
        <v>1</v>
      </c>
      <c r="Y475" s="2119">
        <f t="shared" si="28"/>
        <v>1</v>
      </c>
      <c r="Z475" s="2119">
        <f t="shared" si="28"/>
        <v>1</v>
      </c>
      <c r="AA475" s="2120">
        <f t="shared" si="28"/>
        <v>1.0000000000000002</v>
      </c>
      <c r="AB475" s="2121">
        <f t="shared" si="28"/>
        <v>1</v>
      </c>
      <c r="AC475" s="2119">
        <f t="shared" si="28"/>
        <v>0.99999999999999989</v>
      </c>
      <c r="AD475" s="2119">
        <f t="shared" si="28"/>
        <v>1</v>
      </c>
      <c r="AE475" s="2119">
        <f t="shared" si="28"/>
        <v>1</v>
      </c>
      <c r="AF475" s="2122">
        <f t="shared" si="28"/>
        <v>1</v>
      </c>
    </row>
    <row r="476" spans="2:33">
      <c r="D476" s="2123" t="s">
        <v>715</v>
      </c>
      <c r="T476" s="1870" t="str">
        <f>IF(T475 = 1, "OK", "Error: should = 100%")</f>
        <v>OK</v>
      </c>
      <c r="U476" s="1870" t="str">
        <f t="shared" ref="U476:AF476" si="29">IF(U475 = 1, "OK", "Error: should = 100%")</f>
        <v>OK</v>
      </c>
      <c r="V476" s="1870" t="str">
        <f t="shared" si="29"/>
        <v>OK</v>
      </c>
      <c r="W476" s="1870" t="str">
        <f t="shared" si="29"/>
        <v>OK</v>
      </c>
      <c r="X476" s="1870" t="str">
        <f t="shared" si="29"/>
        <v>OK</v>
      </c>
      <c r="Y476" s="1870" t="str">
        <f t="shared" si="29"/>
        <v>OK</v>
      </c>
      <c r="Z476" s="1870" t="str">
        <f t="shared" si="29"/>
        <v>OK</v>
      </c>
      <c r="AA476" s="1870" t="str">
        <f t="shared" si="29"/>
        <v>OK</v>
      </c>
      <c r="AB476" s="1886" t="str">
        <f t="shared" si="29"/>
        <v>OK</v>
      </c>
      <c r="AC476" s="1870" t="str">
        <f t="shared" si="29"/>
        <v>OK</v>
      </c>
      <c r="AD476" s="1870" t="str">
        <f t="shared" si="29"/>
        <v>OK</v>
      </c>
      <c r="AE476" s="1870" t="str">
        <f t="shared" si="29"/>
        <v>OK</v>
      </c>
      <c r="AF476" s="1870" t="str">
        <f t="shared" si="29"/>
        <v>OK</v>
      </c>
    </row>
    <row r="477" spans="2:33">
      <c r="F477" s="1885"/>
      <c r="G477" s="1885"/>
      <c r="H477" s="1885"/>
      <c r="I477" s="1885"/>
      <c r="J477" s="1885"/>
      <c r="K477" s="1885"/>
      <c r="L477" s="1885"/>
      <c r="M477" s="1885"/>
      <c r="N477" s="1885"/>
      <c r="O477" s="1885"/>
      <c r="P477" s="1885"/>
      <c r="Q477" s="1885"/>
      <c r="R477" s="1885"/>
      <c r="S477" s="1885"/>
      <c r="T477" s="1885"/>
      <c r="U477" s="1885"/>
      <c r="V477" s="1885"/>
      <c r="W477" s="1885"/>
      <c r="AA477" s="1885"/>
      <c r="AB477" s="1916"/>
      <c r="AC477" s="1885"/>
      <c r="AD477" s="1885"/>
      <c r="AE477" s="1885"/>
      <c r="AG477" s="1885"/>
    </row>
    <row r="478" spans="2:33">
      <c r="D478" s="1833" t="s">
        <v>1422</v>
      </c>
      <c r="E478" s="1833"/>
      <c r="F478"/>
      <c r="G478"/>
      <c r="H478"/>
      <c r="I478"/>
      <c r="J478"/>
      <c r="K478"/>
      <c r="L478"/>
      <c r="M478"/>
      <c r="N478"/>
      <c r="O478"/>
      <c r="P478"/>
      <c r="Q478"/>
      <c r="R478"/>
      <c r="X478" s="1870"/>
      <c r="Y478" s="1870"/>
      <c r="Z478" s="1870"/>
      <c r="AA478" s="1870"/>
      <c r="AB478" s="1886"/>
      <c r="AC478" s="1870"/>
      <c r="AD478" s="1870"/>
      <c r="AE478" s="1870"/>
      <c r="AF478" s="1870"/>
    </row>
    <row r="479" spans="2:33">
      <c r="D479" s="2922" t="s">
        <v>1417</v>
      </c>
      <c r="E479" s="2922"/>
      <c r="F479" s="2922"/>
      <c r="G479" s="2922"/>
      <c r="H479" s="2922"/>
      <c r="I479" s="2922"/>
      <c r="J479" s="2922"/>
      <c r="K479" s="2922"/>
      <c r="L479" s="2922"/>
      <c r="M479" s="2922"/>
      <c r="N479" s="2922"/>
      <c r="O479" s="2922"/>
      <c r="P479" s="2922"/>
      <c r="Q479" s="2922"/>
      <c r="R479" s="2922"/>
      <c r="T479" s="2443">
        <f>(SUM(T39:T48)+T57+T58+T60+T62+T63)/T461</f>
        <v>0.98702390376470028</v>
      </c>
      <c r="U479" s="2443">
        <f t="shared" ref="U479:X479" si="30">(SUM(U39:U48)+U57+U58+U60+U62+U63)/U461</f>
        <v>1.0029714493244082</v>
      </c>
      <c r="V479" s="2443">
        <f t="shared" si="30"/>
        <v>0.99440147800980527</v>
      </c>
      <c r="W479" s="2443">
        <f t="shared" si="30"/>
        <v>1.006196489159922</v>
      </c>
      <c r="X479" s="2443">
        <f t="shared" si="30"/>
        <v>0.97301102683968488</v>
      </c>
      <c r="Y479" s="2443">
        <f>(Y25+Y28+SUM(Y39:Y48)+Y57+Y58+Y60+Y62)/Y461</f>
        <v>1.0784621420164771</v>
      </c>
      <c r="Z479" s="2443">
        <f t="shared" ref="Z479:AF479" si="31">(Z25+Z28+SUM(Z39:Z48)+Z57+Z58+Z60+Z62)/Z461</f>
        <v>0.99999999999999978</v>
      </c>
      <c r="AA479" s="2443">
        <f t="shared" si="31"/>
        <v>1.0000000000000002</v>
      </c>
      <c r="AB479" s="2443">
        <f t="shared" si="31"/>
        <v>0.99999999999999978</v>
      </c>
      <c r="AC479" s="2443">
        <f t="shared" si="31"/>
        <v>0.99999999999999978</v>
      </c>
      <c r="AD479" s="2443">
        <f t="shared" si="31"/>
        <v>1</v>
      </c>
      <c r="AE479" s="2443">
        <f t="shared" si="31"/>
        <v>1</v>
      </c>
      <c r="AF479" s="2443">
        <f t="shared" si="31"/>
        <v>1</v>
      </c>
    </row>
    <row r="480" spans="2:33">
      <c r="D480" s="2922" t="s">
        <v>1418</v>
      </c>
      <c r="E480" s="2922"/>
      <c r="F480" s="2922"/>
      <c r="G480" s="2922"/>
      <c r="H480" s="2922"/>
      <c r="I480" s="2922"/>
      <c r="J480" s="2922"/>
      <c r="K480" s="2922"/>
      <c r="L480" s="2922"/>
      <c r="M480" s="2922"/>
      <c r="N480" s="2922"/>
      <c r="O480" s="2922"/>
      <c r="P480" s="2922"/>
      <c r="Q480" s="2922"/>
      <c r="R480" s="2922"/>
      <c r="T480" s="2585">
        <f>(T13+T49+T50)/T461</f>
        <v>1.297609623529988E-2</v>
      </c>
      <c r="U480" s="2585">
        <f t="shared" ref="U480:X480" si="32">(U13+U49+U50)/U461</f>
        <v>-2.9714493244079798E-3</v>
      </c>
      <c r="V480" s="2585">
        <f t="shared" si="32"/>
        <v>5.5985219901945882E-3</v>
      </c>
      <c r="W480" s="2585">
        <f t="shared" si="32"/>
        <v>-6.1964891599223144E-3</v>
      </c>
      <c r="X480" s="2585">
        <f t="shared" si="32"/>
        <v>2.698897316031509E-2</v>
      </c>
      <c r="Y480" s="2585">
        <f>(Y19+Y49+Y50)/Y461</f>
        <v>-7.8462142016477054E-2</v>
      </c>
      <c r="Z480" s="2585">
        <f t="shared" ref="Z480:AF480" si="33">(Z19+Z49+Z50)/Z461</f>
        <v>0</v>
      </c>
      <c r="AA480" s="2585">
        <f t="shared" si="33"/>
        <v>0</v>
      </c>
      <c r="AB480" s="2585">
        <f t="shared" si="33"/>
        <v>0</v>
      </c>
      <c r="AC480" s="2585">
        <f t="shared" si="33"/>
        <v>0</v>
      </c>
      <c r="AD480" s="2585">
        <f t="shared" si="33"/>
        <v>0</v>
      </c>
      <c r="AE480" s="2585">
        <f t="shared" si="33"/>
        <v>0</v>
      </c>
      <c r="AF480" s="2585">
        <f t="shared" si="33"/>
        <v>0</v>
      </c>
    </row>
    <row r="481" spans="4:33">
      <c r="D481" s="2922" t="s">
        <v>1419</v>
      </c>
      <c r="E481" s="2922"/>
      <c r="F481" s="2922"/>
      <c r="G481" s="2922"/>
      <c r="H481" s="2922"/>
      <c r="I481" s="2922"/>
      <c r="J481" s="2922"/>
      <c r="K481" s="2922"/>
      <c r="L481" s="2922"/>
      <c r="M481" s="2922"/>
      <c r="N481" s="2922"/>
      <c r="O481" s="2922"/>
      <c r="P481" s="2922"/>
      <c r="Q481" s="2922"/>
      <c r="R481" s="2922"/>
      <c r="T481" s="2113"/>
      <c r="U481" s="2114"/>
      <c r="V481" s="2114"/>
      <c r="W481" s="2114"/>
      <c r="X481" s="2114"/>
      <c r="Y481" s="2114"/>
      <c r="Z481" s="2114"/>
      <c r="AA481" s="2115"/>
      <c r="AB481" s="2116"/>
      <c r="AC481" s="2114"/>
      <c r="AD481" s="2114"/>
      <c r="AE481" s="2114"/>
      <c r="AF481" s="2117"/>
    </row>
    <row r="482" spans="4:33">
      <c r="D482" s="2922" t="s">
        <v>1420</v>
      </c>
      <c r="E482" s="2922"/>
      <c r="F482" s="2922"/>
      <c r="G482" s="2922"/>
      <c r="H482" s="2922"/>
      <c r="I482" s="2922"/>
      <c r="J482" s="2922"/>
      <c r="K482" s="2922"/>
      <c r="L482" s="2922"/>
      <c r="M482" s="2922"/>
      <c r="N482" s="2922"/>
      <c r="O482" s="2922"/>
      <c r="P482" s="2922"/>
      <c r="Q482" s="2922"/>
      <c r="R482" s="2922"/>
      <c r="T482" s="2113"/>
      <c r="U482" s="2114"/>
      <c r="V482" s="2114"/>
      <c r="W482" s="2114"/>
      <c r="X482" s="2114"/>
      <c r="Y482" s="2114"/>
      <c r="Z482" s="2114"/>
      <c r="AA482" s="2115"/>
      <c r="AB482" s="2116"/>
      <c r="AC482" s="2114"/>
      <c r="AD482" s="2114"/>
      <c r="AE482" s="2114"/>
      <c r="AF482" s="2117"/>
    </row>
    <row r="483" spans="4:33">
      <c r="D483" s="2923" t="s">
        <v>1421</v>
      </c>
      <c r="E483" s="2923"/>
      <c r="F483" s="2923"/>
      <c r="G483" s="2923"/>
      <c r="H483" s="2923"/>
      <c r="I483" s="2923"/>
      <c r="J483" s="2923"/>
      <c r="K483" s="2923"/>
      <c r="L483" s="2923"/>
      <c r="M483" s="2923"/>
      <c r="N483" s="2923"/>
      <c r="O483" s="2923"/>
      <c r="P483" s="2923"/>
      <c r="Q483" s="2923"/>
      <c r="R483" s="2923"/>
      <c r="T483" s="2118">
        <f>SUM(T479:T482)</f>
        <v>1.0000000000000002</v>
      </c>
      <c r="U483" s="2119">
        <f t="shared" ref="U483:AF483" si="34">SUM(U479:U482)</f>
        <v>1.0000000000000002</v>
      </c>
      <c r="V483" s="2119">
        <f t="shared" si="34"/>
        <v>0.99999999999999989</v>
      </c>
      <c r="W483" s="2119">
        <f t="shared" si="34"/>
        <v>0.99999999999999967</v>
      </c>
      <c r="X483" s="2119">
        <f t="shared" si="34"/>
        <v>1</v>
      </c>
      <c r="Y483" s="2119">
        <f t="shared" si="34"/>
        <v>1</v>
      </c>
      <c r="Z483" s="2119">
        <f t="shared" si="34"/>
        <v>0.99999999999999978</v>
      </c>
      <c r="AA483" s="2120">
        <f t="shared" si="34"/>
        <v>1.0000000000000002</v>
      </c>
      <c r="AB483" s="2121">
        <f t="shared" si="34"/>
        <v>0.99999999999999978</v>
      </c>
      <c r="AC483" s="2119">
        <f t="shared" si="34"/>
        <v>0.99999999999999978</v>
      </c>
      <c r="AD483" s="2119">
        <f t="shared" si="34"/>
        <v>1</v>
      </c>
      <c r="AE483" s="2119">
        <f t="shared" si="34"/>
        <v>1</v>
      </c>
      <c r="AF483" s="2122">
        <f t="shared" si="34"/>
        <v>1</v>
      </c>
    </row>
    <row r="484" spans="4:33">
      <c r="D484" s="2123" t="s">
        <v>715</v>
      </c>
      <c r="T484" s="1870" t="str">
        <f>IF(T483 = 1, "OK", "Error: should = 100%")</f>
        <v>OK</v>
      </c>
      <c r="U484" s="1870" t="str">
        <f t="shared" ref="U484:AF484" si="35">IF(U483 = 1, "OK", "Error: should = 100%")</f>
        <v>OK</v>
      </c>
      <c r="V484" s="1870" t="str">
        <f t="shared" si="35"/>
        <v>OK</v>
      </c>
      <c r="W484" s="1870" t="str">
        <f t="shared" si="35"/>
        <v>OK</v>
      </c>
      <c r="X484" s="1870" t="str">
        <f t="shared" si="35"/>
        <v>OK</v>
      </c>
      <c r="Y484" s="1870" t="str">
        <f t="shared" si="35"/>
        <v>OK</v>
      </c>
      <c r="Z484" s="1870" t="str">
        <f t="shared" si="35"/>
        <v>OK</v>
      </c>
      <c r="AA484" s="1870" t="str">
        <f t="shared" si="35"/>
        <v>OK</v>
      </c>
      <c r="AB484" s="1886" t="str">
        <f t="shared" si="35"/>
        <v>OK</v>
      </c>
      <c r="AC484" s="1870" t="str">
        <f t="shared" si="35"/>
        <v>OK</v>
      </c>
      <c r="AD484" s="1870" t="str">
        <f t="shared" si="35"/>
        <v>OK</v>
      </c>
      <c r="AE484" s="1870" t="str">
        <f t="shared" si="35"/>
        <v>OK</v>
      </c>
      <c r="AF484" s="1870" t="str">
        <f t="shared" si="35"/>
        <v>OK</v>
      </c>
    </row>
    <row r="485" spans="4:33">
      <c r="AB485" s="2052"/>
    </row>
    <row r="486" spans="4:33">
      <c r="D486" s="1833" t="s">
        <v>1423</v>
      </c>
      <c r="E486" s="1833"/>
      <c r="F486"/>
      <c r="G486"/>
      <c r="H486"/>
      <c r="I486"/>
      <c r="J486"/>
      <c r="K486"/>
      <c r="L486"/>
      <c r="M486"/>
      <c r="N486"/>
      <c r="O486"/>
      <c r="P486"/>
      <c r="Q486"/>
      <c r="R486"/>
      <c r="T486" s="2088" t="s">
        <v>627</v>
      </c>
      <c r="U486" s="2089" t="s">
        <v>627</v>
      </c>
      <c r="V486" s="2089" t="s">
        <v>627</v>
      </c>
      <c r="W486" s="2089" t="s">
        <v>627</v>
      </c>
      <c r="X486" s="2089" t="s">
        <v>627</v>
      </c>
      <c r="Y486" s="2089" t="s">
        <v>627</v>
      </c>
      <c r="Z486" s="2089" t="s">
        <v>627</v>
      </c>
      <c r="AA486" s="2090" t="s">
        <v>627</v>
      </c>
      <c r="AB486" s="2091" t="s">
        <v>627</v>
      </c>
      <c r="AC486" s="2089" t="s">
        <v>627</v>
      </c>
      <c r="AD486" s="2089" t="s">
        <v>627</v>
      </c>
      <c r="AE486" s="2089" t="s">
        <v>627</v>
      </c>
      <c r="AF486" s="2092" t="s">
        <v>627</v>
      </c>
    </row>
    <row r="487" spans="4:33">
      <c r="D487" s="2922" t="s">
        <v>1424</v>
      </c>
      <c r="E487" s="2922"/>
      <c r="F487" s="2922"/>
      <c r="G487" s="2922"/>
      <c r="H487" s="2922"/>
      <c r="I487" s="2922"/>
      <c r="J487" s="2922"/>
      <c r="K487" s="2922"/>
      <c r="L487" s="2922"/>
      <c r="M487" s="2922"/>
      <c r="N487" s="2922"/>
      <c r="O487" s="2922"/>
      <c r="P487" s="2922"/>
      <c r="Q487" s="2922"/>
      <c r="R487" s="2922"/>
      <c r="T487" s="2113">
        <v>1</v>
      </c>
      <c r="U487" s="2113">
        <v>1</v>
      </c>
      <c r="V487" s="2113">
        <v>1</v>
      </c>
      <c r="W487" s="2113">
        <v>1</v>
      </c>
      <c r="X487" s="2113">
        <v>1</v>
      </c>
      <c r="Y487" s="2113">
        <v>1</v>
      </c>
      <c r="Z487" s="2113">
        <v>1</v>
      </c>
      <c r="AA487" s="2113">
        <v>1</v>
      </c>
      <c r="AB487" s="2113">
        <v>1</v>
      </c>
      <c r="AC487" s="2113">
        <v>1</v>
      </c>
      <c r="AD487" s="2113">
        <v>1</v>
      </c>
      <c r="AE487" s="2113">
        <v>1</v>
      </c>
      <c r="AF487" s="2113">
        <v>1</v>
      </c>
    </row>
    <row r="488" spans="4:33">
      <c r="D488" s="2922" t="s">
        <v>1425</v>
      </c>
      <c r="E488" s="2922"/>
      <c r="F488" s="2922"/>
      <c r="G488" s="2922"/>
      <c r="H488" s="2922"/>
      <c r="I488" s="2922"/>
      <c r="J488" s="2922"/>
      <c r="K488" s="2922"/>
      <c r="L488" s="2922"/>
      <c r="M488" s="2922"/>
      <c r="N488" s="2922"/>
      <c r="O488" s="2922"/>
      <c r="P488" s="2922"/>
      <c r="Q488" s="2922"/>
      <c r="R488" s="2922"/>
      <c r="T488" s="2113"/>
      <c r="U488" s="2114"/>
      <c r="V488" s="2114"/>
      <c r="W488" s="2114"/>
      <c r="X488" s="2114"/>
      <c r="Y488" s="2114"/>
      <c r="Z488" s="2114"/>
      <c r="AA488" s="2115"/>
      <c r="AB488" s="2116"/>
      <c r="AC488" s="2114"/>
      <c r="AD488" s="2114"/>
      <c r="AE488" s="2114"/>
      <c r="AF488" s="2117"/>
    </row>
    <row r="489" spans="4:33">
      <c r="D489" s="2923" t="s">
        <v>1421</v>
      </c>
      <c r="E489" s="2923"/>
      <c r="F489" s="2923"/>
      <c r="G489" s="2923"/>
      <c r="H489" s="2923"/>
      <c r="I489" s="2923"/>
      <c r="J489" s="2923"/>
      <c r="K489" s="2923"/>
      <c r="L489" s="2923"/>
      <c r="M489" s="2923"/>
      <c r="N489" s="2923"/>
      <c r="O489" s="2923"/>
      <c r="P489" s="2923"/>
      <c r="Q489" s="2923"/>
      <c r="R489" s="2923"/>
      <c r="T489" s="2118">
        <f t="shared" ref="T489:AF489" si="36">SUM(T487:T488)</f>
        <v>1</v>
      </c>
      <c r="U489" s="2119">
        <f t="shared" si="36"/>
        <v>1</v>
      </c>
      <c r="V489" s="2119">
        <f t="shared" si="36"/>
        <v>1</v>
      </c>
      <c r="W489" s="2119">
        <f t="shared" si="36"/>
        <v>1</v>
      </c>
      <c r="X489" s="2119">
        <f t="shared" si="36"/>
        <v>1</v>
      </c>
      <c r="Y489" s="2119">
        <f t="shared" si="36"/>
        <v>1</v>
      </c>
      <c r="Z489" s="2119">
        <f t="shared" si="36"/>
        <v>1</v>
      </c>
      <c r="AA489" s="2120">
        <f t="shared" si="36"/>
        <v>1</v>
      </c>
      <c r="AB489" s="2121">
        <f t="shared" si="36"/>
        <v>1</v>
      </c>
      <c r="AC489" s="2119">
        <f t="shared" si="36"/>
        <v>1</v>
      </c>
      <c r="AD489" s="2119">
        <f t="shared" si="36"/>
        <v>1</v>
      </c>
      <c r="AE489" s="2119">
        <f t="shared" si="36"/>
        <v>1</v>
      </c>
      <c r="AF489" s="2122">
        <f t="shared" si="36"/>
        <v>1</v>
      </c>
    </row>
    <row r="490" spans="4:33">
      <c r="D490" s="2123" t="s">
        <v>715</v>
      </c>
      <c r="T490" s="1870" t="str">
        <f>IF(T489 = 1, "OK", "Error: should = 100%")</f>
        <v>OK</v>
      </c>
      <c r="U490" s="1870" t="str">
        <f t="shared" ref="U490:AF490" si="37">IF(U489 = 1, "OK", "Error: should = 100%")</f>
        <v>OK</v>
      </c>
      <c r="V490" s="1870" t="str">
        <f t="shared" si="37"/>
        <v>OK</v>
      </c>
      <c r="W490" s="1870" t="str">
        <f t="shared" si="37"/>
        <v>OK</v>
      </c>
      <c r="X490" s="1870" t="str">
        <f t="shared" si="37"/>
        <v>OK</v>
      </c>
      <c r="Y490" s="1870" t="str">
        <f t="shared" si="37"/>
        <v>OK</v>
      </c>
      <c r="Z490" s="1870" t="str">
        <f t="shared" si="37"/>
        <v>OK</v>
      </c>
      <c r="AA490" s="1870" t="str">
        <f t="shared" si="37"/>
        <v>OK</v>
      </c>
      <c r="AB490" s="1886" t="str">
        <f t="shared" si="37"/>
        <v>OK</v>
      </c>
      <c r="AC490" s="1870" t="str">
        <f t="shared" si="37"/>
        <v>OK</v>
      </c>
      <c r="AD490" s="1870" t="str">
        <f t="shared" si="37"/>
        <v>OK</v>
      </c>
      <c r="AE490" s="1870" t="str">
        <f t="shared" si="37"/>
        <v>OK</v>
      </c>
      <c r="AF490" s="1870" t="str">
        <f t="shared" si="37"/>
        <v>OK</v>
      </c>
    </row>
    <row r="491" spans="4:33">
      <c r="F491" s="1885"/>
      <c r="G491" s="1885"/>
      <c r="H491" s="1885"/>
      <c r="I491" s="1885"/>
      <c r="J491" s="1885"/>
      <c r="K491" s="1885"/>
      <c r="L491" s="1885"/>
      <c r="M491" s="1885"/>
      <c r="N491" s="1885"/>
      <c r="O491" s="1885"/>
      <c r="P491" s="1885"/>
      <c r="Q491" s="1885"/>
      <c r="R491" s="1885"/>
      <c r="S491" s="1885"/>
      <c r="T491" s="1885"/>
      <c r="U491" s="1885"/>
      <c r="V491" s="1885"/>
      <c r="W491" s="1885"/>
      <c r="AA491" s="1885"/>
      <c r="AB491" s="1916"/>
      <c r="AC491" s="1885"/>
      <c r="AD491" s="1885"/>
      <c r="AE491" s="1885"/>
      <c r="AG491" s="1885"/>
    </row>
    <row r="492" spans="4:33">
      <c r="D492" s="1833" t="s">
        <v>1426</v>
      </c>
      <c r="E492" s="1833"/>
      <c r="F492"/>
      <c r="G492"/>
      <c r="H492"/>
      <c r="I492"/>
      <c r="J492"/>
      <c r="K492"/>
      <c r="L492"/>
      <c r="M492"/>
      <c r="N492"/>
      <c r="O492"/>
      <c r="P492"/>
      <c r="Q492"/>
      <c r="R492"/>
      <c r="X492" s="1870"/>
      <c r="Y492" s="1870"/>
      <c r="Z492" s="1870"/>
      <c r="AA492" s="1870"/>
      <c r="AB492" s="1886"/>
      <c r="AC492" s="1870"/>
      <c r="AD492" s="1870"/>
      <c r="AE492" s="1870"/>
      <c r="AF492" s="1870"/>
    </row>
    <row r="493" spans="4:33" ht="12.75" customHeight="1">
      <c r="D493" s="2922" t="s">
        <v>1424</v>
      </c>
      <c r="E493" s="2922"/>
      <c r="F493" s="2922"/>
      <c r="G493" s="2922"/>
      <c r="H493" s="2922"/>
      <c r="I493" s="2922"/>
      <c r="J493" s="2922"/>
      <c r="K493" s="2922"/>
      <c r="L493" s="2922"/>
      <c r="M493" s="2922"/>
      <c r="N493" s="2922"/>
      <c r="O493" s="2922"/>
      <c r="P493" s="2922"/>
      <c r="Q493" s="2922"/>
      <c r="R493" s="2922"/>
      <c r="T493" s="2124">
        <v>1</v>
      </c>
      <c r="U493" s="2124">
        <v>1</v>
      </c>
      <c r="V493" s="2124">
        <v>1</v>
      </c>
      <c r="W493" s="2124">
        <v>1</v>
      </c>
      <c r="X493" s="2124">
        <v>1</v>
      </c>
      <c r="Y493" s="2124">
        <v>1</v>
      </c>
      <c r="Z493" s="2124">
        <v>1</v>
      </c>
      <c r="AA493" s="2124">
        <v>1</v>
      </c>
      <c r="AB493" s="2124">
        <v>1</v>
      </c>
      <c r="AC493" s="2124">
        <v>1</v>
      </c>
      <c r="AD493" s="2124">
        <v>1</v>
      </c>
      <c r="AE493" s="2124">
        <v>1</v>
      </c>
      <c r="AF493" s="2124">
        <v>1</v>
      </c>
    </row>
    <row r="494" spans="4:33" ht="12.75" customHeight="1">
      <c r="D494" s="2922" t="s">
        <v>1425</v>
      </c>
      <c r="E494" s="2922"/>
      <c r="F494" s="2922"/>
      <c r="G494" s="2922"/>
      <c r="H494" s="2922"/>
      <c r="I494" s="2922"/>
      <c r="J494" s="2922"/>
      <c r="K494" s="2922"/>
      <c r="L494" s="2922"/>
      <c r="M494" s="2922"/>
      <c r="N494" s="2922"/>
      <c r="O494" s="2922"/>
      <c r="P494" s="2922"/>
      <c r="Q494" s="2922"/>
      <c r="R494" s="2922"/>
      <c r="T494" s="2113"/>
      <c r="U494" s="2114"/>
      <c r="V494" s="2114"/>
      <c r="W494" s="2114"/>
      <c r="X494" s="2114"/>
      <c r="Y494" s="2114"/>
      <c r="Z494" s="2114"/>
      <c r="AA494" s="2115"/>
      <c r="AB494" s="2116"/>
      <c r="AC494" s="2114"/>
      <c r="AD494" s="2114"/>
      <c r="AE494" s="2114"/>
      <c r="AF494" s="2117"/>
    </row>
    <row r="495" spans="4:33">
      <c r="D495" s="2923" t="s">
        <v>1421</v>
      </c>
      <c r="E495" s="2923"/>
      <c r="F495" s="2923"/>
      <c r="G495" s="2923"/>
      <c r="H495" s="2923"/>
      <c r="I495" s="2923"/>
      <c r="J495" s="2923"/>
      <c r="K495" s="2923"/>
      <c r="L495" s="2923"/>
      <c r="M495" s="2923"/>
      <c r="N495" s="2923"/>
      <c r="O495" s="2923"/>
      <c r="P495" s="2923"/>
      <c r="Q495" s="2923"/>
      <c r="R495" s="2923"/>
      <c r="T495" s="2118">
        <f t="shared" ref="T495:AF495" si="38">SUM(T493:T494)</f>
        <v>1</v>
      </c>
      <c r="U495" s="2119">
        <f t="shared" si="38"/>
        <v>1</v>
      </c>
      <c r="V495" s="2119">
        <f t="shared" si="38"/>
        <v>1</v>
      </c>
      <c r="W495" s="2119">
        <f t="shared" si="38"/>
        <v>1</v>
      </c>
      <c r="X495" s="2119">
        <f t="shared" si="38"/>
        <v>1</v>
      </c>
      <c r="Y495" s="2119">
        <f t="shared" si="38"/>
        <v>1</v>
      </c>
      <c r="Z495" s="2119">
        <f t="shared" si="38"/>
        <v>1</v>
      </c>
      <c r="AA495" s="2120">
        <f t="shared" si="38"/>
        <v>1</v>
      </c>
      <c r="AB495" s="2121">
        <f t="shared" si="38"/>
        <v>1</v>
      </c>
      <c r="AC495" s="2119">
        <f t="shared" si="38"/>
        <v>1</v>
      </c>
      <c r="AD495" s="2119">
        <f t="shared" si="38"/>
        <v>1</v>
      </c>
      <c r="AE495" s="2119">
        <f t="shared" si="38"/>
        <v>1</v>
      </c>
      <c r="AF495" s="2122">
        <f t="shared" si="38"/>
        <v>1</v>
      </c>
    </row>
    <row r="496" spans="4:33">
      <c r="D496" s="2123" t="s">
        <v>715</v>
      </c>
      <c r="T496" s="2126" t="str">
        <f>IF(T495 = 1, "OK", "Error: should = 100%")</f>
        <v>OK</v>
      </c>
      <c r="U496" s="2126" t="str">
        <f t="shared" ref="U496:AF496" si="39">IF(U495 = 1, "OK", "Error: should = 100%")</f>
        <v>OK</v>
      </c>
      <c r="V496" s="2126" t="str">
        <f t="shared" si="39"/>
        <v>OK</v>
      </c>
      <c r="W496" s="2126" t="str">
        <f t="shared" si="39"/>
        <v>OK</v>
      </c>
      <c r="X496" s="2126" t="str">
        <f t="shared" si="39"/>
        <v>OK</v>
      </c>
      <c r="Y496" s="2126" t="str">
        <f t="shared" si="39"/>
        <v>OK</v>
      </c>
      <c r="Z496" s="2126" t="str">
        <f t="shared" si="39"/>
        <v>OK</v>
      </c>
      <c r="AA496" s="2126" t="str">
        <f t="shared" si="39"/>
        <v>OK</v>
      </c>
      <c r="AB496" s="2126" t="str">
        <f t="shared" si="39"/>
        <v>OK</v>
      </c>
      <c r="AC496" s="2126" t="str">
        <f t="shared" si="39"/>
        <v>OK</v>
      </c>
      <c r="AD496" s="2126" t="str">
        <f t="shared" si="39"/>
        <v>OK</v>
      </c>
      <c r="AE496" s="2126" t="str">
        <f t="shared" si="39"/>
        <v>OK</v>
      </c>
      <c r="AF496" s="2126" t="str">
        <f t="shared" si="39"/>
        <v>OK</v>
      </c>
    </row>
    <row r="497" spans="2:41">
      <c r="D497" s="2123"/>
      <c r="X497" s="1870"/>
      <c r="Y497" s="1870"/>
      <c r="Z497" s="1870"/>
      <c r="AA497" s="1870"/>
      <c r="AB497" s="1870"/>
      <c r="AC497" s="1870"/>
      <c r="AD497" s="1870"/>
      <c r="AE497" s="1870"/>
      <c r="AF497" s="1870"/>
    </row>
    <row r="499" spans="2:41" s="2130" customFormat="1" ht="15" customHeight="1">
      <c r="B499" s="2127" t="s">
        <v>1427</v>
      </c>
      <c r="C499" s="2127"/>
      <c r="D499" s="2128"/>
      <c r="E499" s="2128"/>
      <c r="F499" s="2128"/>
      <c r="G499" s="2128"/>
      <c r="H499" s="2128"/>
      <c r="I499" s="2128"/>
      <c r="J499" s="2128"/>
      <c r="K499" s="2128"/>
      <c r="L499" s="2128"/>
      <c r="M499" s="2128"/>
      <c r="N499" s="2128"/>
      <c r="O499" s="2128"/>
      <c r="P499" s="2128"/>
      <c r="Q499" s="2128"/>
      <c r="R499" s="2128"/>
      <c r="S499" s="2128"/>
      <c r="T499" s="2128"/>
      <c r="U499" s="2128"/>
      <c r="V499" s="2128"/>
      <c r="W499" s="2128"/>
      <c r="X499" s="2128"/>
      <c r="Y499" s="2128"/>
      <c r="Z499" s="2128"/>
      <c r="AA499" s="2128"/>
      <c r="AB499" s="2128"/>
      <c r="AC499" s="2128"/>
      <c r="AD499" s="2128"/>
      <c r="AE499" s="2128"/>
      <c r="AF499" s="2128"/>
      <c r="AG499" s="2129"/>
      <c r="AH499" s="2129"/>
      <c r="AI499" s="2129"/>
      <c r="AJ499" s="2129"/>
      <c r="AK499" s="2129"/>
      <c r="AL499" s="2129"/>
      <c r="AM499" s="2129"/>
      <c r="AN499" s="2129"/>
      <c r="AO499" s="2129"/>
    </row>
    <row r="518" spans="4:32">
      <c r="D518" s="1870"/>
      <c r="E518" s="1870"/>
      <c r="X518" s="1870"/>
      <c r="Y518" s="1870"/>
      <c r="Z518" s="1870"/>
      <c r="AA518" s="1870"/>
      <c r="AB518" s="1870"/>
      <c r="AC518" s="1870"/>
      <c r="AD518" s="1870"/>
      <c r="AE518" s="1870"/>
      <c r="AF518" s="1870"/>
    </row>
  </sheetData>
  <dataConsolidate/>
  <mergeCells count="162">
    <mergeCell ref="C421:Q421"/>
    <mergeCell ref="C131:Q131"/>
    <mergeCell ref="C130:Q130"/>
    <mergeCell ref="C128:Q128"/>
    <mergeCell ref="T7:AA7"/>
    <mergeCell ref="AB7:AF7"/>
    <mergeCell ref="C34:S34"/>
    <mergeCell ref="C51:S51"/>
    <mergeCell ref="C66:S66"/>
    <mergeCell ref="C81:M81"/>
    <mergeCell ref="D93:N93"/>
    <mergeCell ref="D94:N94"/>
    <mergeCell ref="D95:N95"/>
    <mergeCell ref="C96:Q96"/>
    <mergeCell ref="D103:N103"/>
    <mergeCell ref="D104:N104"/>
    <mergeCell ref="D87:N87"/>
    <mergeCell ref="D88:N88"/>
    <mergeCell ref="D89:N89"/>
    <mergeCell ref="D90:N90"/>
    <mergeCell ref="D91:N91"/>
    <mergeCell ref="D92:N92"/>
    <mergeCell ref="D111:N111"/>
    <mergeCell ref="C112:Q112"/>
    <mergeCell ref="F117:F118"/>
    <mergeCell ref="D105:N105"/>
    <mergeCell ref="D106:N106"/>
    <mergeCell ref="D107:N107"/>
    <mergeCell ref="D108:N108"/>
    <mergeCell ref="D109:N109"/>
    <mergeCell ref="D110:N110"/>
    <mergeCell ref="C138:Q138"/>
    <mergeCell ref="C139:Q139"/>
    <mergeCell ref="C140:Q140"/>
    <mergeCell ref="J144:R144"/>
    <mergeCell ref="F145:F146"/>
    <mergeCell ref="C314:Q314"/>
    <mergeCell ref="C132:Q132"/>
    <mergeCell ref="C133:Q133"/>
    <mergeCell ref="C134:Q134"/>
    <mergeCell ref="C135:Q135"/>
    <mergeCell ref="C136:Q136"/>
    <mergeCell ref="C137:Q137"/>
    <mergeCell ref="C322:Q322"/>
    <mergeCell ref="C323:Q323"/>
    <mergeCell ref="C324:Q324"/>
    <mergeCell ref="C325:Q325"/>
    <mergeCell ref="C326:Q326"/>
    <mergeCell ref="F330:F331"/>
    <mergeCell ref="C316:Q316"/>
    <mergeCell ref="C317:Q317"/>
    <mergeCell ref="C318:Q318"/>
    <mergeCell ref="C319:Q319"/>
    <mergeCell ref="C320:Q320"/>
    <mergeCell ref="C321:Q321"/>
    <mergeCell ref="C348:Q348"/>
    <mergeCell ref="C349:Q349"/>
    <mergeCell ref="C350:Q350"/>
    <mergeCell ref="C351:Q351"/>
    <mergeCell ref="C352:Q352"/>
    <mergeCell ref="C353:Q353"/>
    <mergeCell ref="C341:Q341"/>
    <mergeCell ref="C343:Q343"/>
    <mergeCell ref="C344:Q344"/>
    <mergeCell ref="C345:Q345"/>
    <mergeCell ref="C346:Q346"/>
    <mergeCell ref="C347:Q347"/>
    <mergeCell ref="C366:Q366"/>
    <mergeCell ref="C367:Q367"/>
    <mergeCell ref="C368:Q368"/>
    <mergeCell ref="C369:Q369"/>
    <mergeCell ref="C370:Q370"/>
    <mergeCell ref="C371:Q371"/>
    <mergeCell ref="F358:N359"/>
    <mergeCell ref="F360:N360"/>
    <mergeCell ref="F361:N361"/>
    <mergeCell ref="F362:N362"/>
    <mergeCell ref="F363:N363"/>
    <mergeCell ref="C364:Q364"/>
    <mergeCell ref="C384:Q384"/>
    <mergeCell ref="C385:Q385"/>
    <mergeCell ref="C386:Q386"/>
    <mergeCell ref="C387:Q387"/>
    <mergeCell ref="C388:Q388"/>
    <mergeCell ref="C389:Q389"/>
    <mergeCell ref="F376:N377"/>
    <mergeCell ref="F378:N378"/>
    <mergeCell ref="F379:N379"/>
    <mergeCell ref="F380:N380"/>
    <mergeCell ref="F381:N381"/>
    <mergeCell ref="C382:Q382"/>
    <mergeCell ref="C400:Q400"/>
    <mergeCell ref="C401:Q401"/>
    <mergeCell ref="C402:Q402"/>
    <mergeCell ref="C403:Q403"/>
    <mergeCell ref="C404:Q404"/>
    <mergeCell ref="C405:Q405"/>
    <mergeCell ref="D393:Q393"/>
    <mergeCell ref="D394:Q394"/>
    <mergeCell ref="D395:Q395"/>
    <mergeCell ref="D396:Q396"/>
    <mergeCell ref="D397:Q397"/>
    <mergeCell ref="C398:Q398"/>
    <mergeCell ref="C415:Q415"/>
    <mergeCell ref="C416:Q416"/>
    <mergeCell ref="C417:Q417"/>
    <mergeCell ref="C418:Q418"/>
    <mergeCell ref="C419:Q419"/>
    <mergeCell ref="C420:Q420"/>
    <mergeCell ref="D409:Q409"/>
    <mergeCell ref="D410:Q410"/>
    <mergeCell ref="D411:Q411"/>
    <mergeCell ref="D412:Q412"/>
    <mergeCell ref="D413:Q413"/>
    <mergeCell ref="C414:Q414"/>
    <mergeCell ref="D434:Q434"/>
    <mergeCell ref="D435:Q435"/>
    <mergeCell ref="D436:Q436"/>
    <mergeCell ref="D437:Q437"/>
    <mergeCell ref="D438:Q438"/>
    <mergeCell ref="D439:Q439"/>
    <mergeCell ref="D429:Q429"/>
    <mergeCell ref="D430:Q430"/>
    <mergeCell ref="D431:Q431"/>
    <mergeCell ref="D432:Q432"/>
    <mergeCell ref="D433:Q433"/>
    <mergeCell ref="D448:R448"/>
    <mergeCell ref="D449:R449"/>
    <mergeCell ref="D450:R450"/>
    <mergeCell ref="D451:R451"/>
    <mergeCell ref="D452:R452"/>
    <mergeCell ref="D453:R453"/>
    <mergeCell ref="D440:Q440"/>
    <mergeCell ref="D441:Q441"/>
    <mergeCell ref="D444:R444"/>
    <mergeCell ref="D445:R445"/>
    <mergeCell ref="D446:R446"/>
    <mergeCell ref="D447:R447"/>
    <mergeCell ref="D460:R460"/>
    <mergeCell ref="D461:R461"/>
    <mergeCell ref="D471:R471"/>
    <mergeCell ref="D472:R472"/>
    <mergeCell ref="D473:R473"/>
    <mergeCell ref="D474:R474"/>
    <mergeCell ref="D454:R454"/>
    <mergeCell ref="D455:R455"/>
    <mergeCell ref="D456:R456"/>
    <mergeCell ref="D457:R457"/>
    <mergeCell ref="D458:R458"/>
    <mergeCell ref="D459:R459"/>
    <mergeCell ref="D487:R487"/>
    <mergeCell ref="D488:R488"/>
    <mergeCell ref="D489:R489"/>
    <mergeCell ref="D493:R493"/>
    <mergeCell ref="D494:R494"/>
    <mergeCell ref="D495:R495"/>
    <mergeCell ref="D475:R475"/>
    <mergeCell ref="D479:R479"/>
    <mergeCell ref="D480:R480"/>
    <mergeCell ref="D481:R481"/>
    <mergeCell ref="D482:R482"/>
    <mergeCell ref="D483:R483"/>
  </mergeCells>
  <conditionalFormatting sqref="B25:B32 B57:B65 T317:AF326 T31:AF33 T13:AF17 U18:AF18 T360:AF364 T394:AF398 T477:AF477 T481:AF482 T391:AF391 T378:AF383 T410:AF415 B87:B95 T314:AF314 T332:AF341 B72:B81 T453:AF460 T147:U313">
    <cfRule type="cellIs" priority="126" stopIfTrue="1" operator="greaterThanOrEqual">
      <formula>0</formula>
    </cfRule>
  </conditionalFormatting>
  <conditionalFormatting sqref="T464:AF464">
    <cfRule type="cellIs" priority="125" stopIfTrue="1" operator="greaterThanOrEqual">
      <formula>0</formula>
    </cfRule>
  </conditionalFormatting>
  <conditionalFormatting sqref="T18">
    <cfRule type="cellIs" priority="124" stopIfTrue="1" operator="greaterThanOrEqual">
      <formula>0</formula>
    </cfRule>
  </conditionalFormatting>
  <conditionalFormatting sqref="B39:B50">
    <cfRule type="cellIs" priority="123" stopIfTrue="1" operator="greaterThanOrEqual">
      <formula>0</formula>
    </cfRule>
  </conditionalFormatting>
  <conditionalFormatting sqref="T407:AF407">
    <cfRule type="cellIs" priority="122" stopIfTrue="1" operator="greaterThanOrEqual">
      <formula>0</formula>
    </cfRule>
  </conditionalFormatting>
  <conditionalFormatting sqref="T399:AF399">
    <cfRule type="cellIs" priority="121" stopIfTrue="1" operator="greaterThanOrEqual">
      <formula>0</formula>
    </cfRule>
  </conditionalFormatting>
  <conditionalFormatting sqref="B66">
    <cfRule type="cellIs" priority="120" stopIfTrue="1" operator="greaterThanOrEqual">
      <formula>0</formula>
    </cfRule>
  </conditionalFormatting>
  <conditionalFormatting sqref="B96">
    <cfRule type="cellIs" priority="117" stopIfTrue="1" operator="greaterThanOrEqual">
      <formula>0</formula>
    </cfRule>
  </conditionalFormatting>
  <conditionalFormatting sqref="B51 T51:AF51">
    <cfRule type="cellIs" priority="119" stopIfTrue="1" operator="greaterThanOrEqual">
      <formula>0</formula>
    </cfRule>
  </conditionalFormatting>
  <conditionalFormatting sqref="B34 T34:AF34">
    <cfRule type="cellIs" priority="118" stopIfTrue="1" operator="greaterThanOrEqual">
      <formula>0</formula>
    </cfRule>
  </conditionalFormatting>
  <conditionalFormatting sqref="B112">
    <cfRule type="cellIs" priority="116" stopIfTrue="1" operator="greaterThanOrEqual">
      <formula>0</formula>
    </cfRule>
  </conditionalFormatting>
  <conditionalFormatting sqref="B128">
    <cfRule type="cellIs" priority="115" stopIfTrue="1" operator="greaterThanOrEqual">
      <formula>0</formula>
    </cfRule>
  </conditionalFormatting>
  <conditionalFormatting sqref="C81">
    <cfRule type="cellIs" priority="111" stopIfTrue="1" operator="greaterThanOrEqual">
      <formula>0</formula>
    </cfRule>
  </conditionalFormatting>
  <conditionalFormatting sqref="C140">
    <cfRule type="cellIs" priority="113" stopIfTrue="1" operator="greaterThanOrEqual">
      <formula>0</formula>
    </cfRule>
  </conditionalFormatting>
  <conditionalFormatting sqref="B140">
    <cfRule type="cellIs" priority="114" stopIfTrue="1" operator="greaterThanOrEqual">
      <formula>0</formula>
    </cfRule>
  </conditionalFormatting>
  <conditionalFormatting sqref="C66">
    <cfRule type="cellIs" priority="112" stopIfTrue="1" operator="greaterThanOrEqual">
      <formula>0</formula>
    </cfRule>
  </conditionalFormatting>
  <conditionalFormatting sqref="I25:I30">
    <cfRule type="expression" dxfId="48" priority="53">
      <formula>G25="Inflation-linked"</formula>
    </cfRule>
  </conditionalFormatting>
  <conditionalFormatting sqref="I25:I30">
    <cfRule type="expression" dxfId="47" priority="52">
      <formula>G25="Floating"</formula>
    </cfRule>
  </conditionalFormatting>
  <conditionalFormatting sqref="C96">
    <cfRule type="cellIs" priority="108" stopIfTrue="1" operator="greaterThanOrEqual">
      <formula>0</formula>
    </cfRule>
  </conditionalFormatting>
  <conditionalFormatting sqref="C314">
    <cfRule type="cellIs" priority="107" stopIfTrue="1" operator="greaterThanOrEqual">
      <formula>0</formula>
    </cfRule>
  </conditionalFormatting>
  <conditionalFormatting sqref="C128">
    <cfRule type="cellIs" priority="106" stopIfTrue="1" operator="greaterThanOrEqual">
      <formula>0</formula>
    </cfRule>
  </conditionalFormatting>
  <conditionalFormatting sqref="C364">
    <cfRule type="cellIs" priority="105" stopIfTrue="1" operator="greaterThanOrEqual">
      <formula>0</formula>
    </cfRule>
  </conditionalFormatting>
  <conditionalFormatting sqref="C398">
    <cfRule type="cellIs" priority="103" stopIfTrue="1" operator="greaterThanOrEqual">
      <formula>0</formula>
    </cfRule>
  </conditionalFormatting>
  <conditionalFormatting sqref="C414">
    <cfRule type="cellIs" priority="102" stopIfTrue="1" operator="greaterThanOrEqual">
      <formula>0</formula>
    </cfRule>
  </conditionalFormatting>
  <conditionalFormatting sqref="C382">
    <cfRule type="cellIs" priority="104" stopIfTrue="1" operator="greaterThanOrEqual">
      <formula>0</formula>
    </cfRule>
  </conditionalFormatting>
  <conditionalFormatting sqref="T484:AF484 T476:AF476 T490:AF490 T496:AF496">
    <cfRule type="expression" dxfId="46" priority="101">
      <formula>T475&lt;&gt;1</formula>
    </cfRule>
  </conditionalFormatting>
  <conditionalFormatting sqref="T473:AF474">
    <cfRule type="cellIs" priority="100" stopIfTrue="1" operator="greaterThanOrEqual">
      <formula>0</formula>
    </cfRule>
  </conditionalFormatting>
  <conditionalFormatting sqref="T491:AF491 T494:AF494">
    <cfRule type="cellIs" priority="99" stopIfTrue="1" operator="greaterThanOrEqual">
      <formula>0</formula>
    </cfRule>
  </conditionalFormatting>
  <conditionalFormatting sqref="T488:AF488">
    <cfRule type="cellIs" priority="98" stopIfTrue="1" operator="greaterThanOrEqual">
      <formula>0</formula>
    </cfRule>
  </conditionalFormatting>
  <conditionalFormatting sqref="T8:AE9">
    <cfRule type="expression" dxfId="45" priority="96">
      <formula>AND(T$5="Actuals",U$5="Forecast")</formula>
    </cfRule>
  </conditionalFormatting>
  <conditionalFormatting sqref="AF8:AF9">
    <cfRule type="expression" dxfId="44" priority="97">
      <formula>AND(AF$5="Actuals",#REF!="Forecast")</formula>
    </cfRule>
  </conditionalFormatting>
  <conditionalFormatting sqref="I119:I127">
    <cfRule type="expression" dxfId="43" priority="95">
      <formula>G119="Inflation-linked"</formula>
    </cfRule>
  </conditionalFormatting>
  <conditionalFormatting sqref="I119:I127">
    <cfRule type="expression" dxfId="42" priority="94">
      <formula>G119="Floating"</formula>
    </cfRule>
  </conditionalFormatting>
  <conditionalFormatting sqref="T81:AF81">
    <cfRule type="cellIs" priority="90" stopIfTrue="1" operator="greaterThanOrEqual">
      <formula>0</formula>
    </cfRule>
  </conditionalFormatting>
  <conditionalFormatting sqref="T90:AF96">
    <cfRule type="cellIs" priority="89" stopIfTrue="1" operator="greaterThanOrEqual">
      <formula>0</formula>
    </cfRule>
  </conditionalFormatting>
  <conditionalFormatting sqref="T64:AF65">
    <cfRule type="cellIs" priority="93" stopIfTrue="1" operator="greaterThanOrEqual">
      <formula>0</formula>
    </cfRule>
  </conditionalFormatting>
  <conditionalFormatting sqref="T66:AF66">
    <cfRule type="cellIs" priority="92" stopIfTrue="1" operator="greaterThanOrEqual">
      <formula>0</formula>
    </cfRule>
  </conditionalFormatting>
  <conditionalFormatting sqref="T72:AF80">
    <cfRule type="cellIs" priority="91" stopIfTrue="1" operator="greaterThanOrEqual">
      <formula>0</formula>
    </cfRule>
  </conditionalFormatting>
  <conditionalFormatting sqref="C112">
    <cfRule type="cellIs" priority="88" stopIfTrue="1" operator="greaterThanOrEqual">
      <formula>0</formula>
    </cfRule>
  </conditionalFormatting>
  <conditionalFormatting sqref="T103:AF112">
    <cfRule type="cellIs" priority="87" stopIfTrue="1" operator="greaterThanOrEqual">
      <formula>0</formula>
    </cfRule>
  </conditionalFormatting>
  <conditionalFormatting sqref="T119:AF128">
    <cfRule type="cellIs" priority="86" stopIfTrue="1" operator="greaterThanOrEqual">
      <formula>0</formula>
    </cfRule>
  </conditionalFormatting>
  <conditionalFormatting sqref="C341">
    <cfRule type="cellIs" priority="83" stopIfTrue="1" operator="greaterThanOrEqual">
      <formula>0</formula>
    </cfRule>
  </conditionalFormatting>
  <conditionalFormatting sqref="I332:I340">
    <cfRule type="expression" dxfId="41" priority="82">
      <formula>G332="Inflation-linked"</formula>
    </cfRule>
  </conditionalFormatting>
  <conditionalFormatting sqref="I332:I340">
    <cfRule type="expression" dxfId="40" priority="81">
      <formula>G332="Floating"</formula>
    </cfRule>
  </conditionalFormatting>
  <conditionalFormatting sqref="C353">
    <cfRule type="cellIs" priority="80" stopIfTrue="1" operator="greaterThanOrEqual">
      <formula>0</formula>
    </cfRule>
  </conditionalFormatting>
  <conditionalFormatting sqref="C34">
    <cfRule type="cellIs" priority="79" stopIfTrue="1" operator="greaterThanOrEqual">
      <formula>0</formula>
    </cfRule>
  </conditionalFormatting>
  <conditionalFormatting sqref="C51">
    <cfRule type="cellIs" priority="76" stopIfTrue="1" operator="greaterThanOrEqual">
      <formula>0</formula>
    </cfRule>
  </conditionalFormatting>
  <conditionalFormatting sqref="C371">
    <cfRule type="cellIs" priority="75" stopIfTrue="1" operator="greaterThanOrEqual">
      <formula>0</formula>
    </cfRule>
  </conditionalFormatting>
  <conditionalFormatting sqref="C389">
    <cfRule type="cellIs" priority="74" stopIfTrue="1" operator="greaterThanOrEqual">
      <formula>0</formula>
    </cfRule>
  </conditionalFormatting>
  <conditionalFormatting sqref="C405">
    <cfRule type="cellIs" priority="73" stopIfTrue="1" operator="greaterThanOrEqual">
      <formula>0</formula>
    </cfRule>
  </conditionalFormatting>
  <conditionalFormatting sqref="C421">
    <cfRule type="cellIs" priority="72" stopIfTrue="1" operator="greaterThanOrEqual">
      <formula>0</formula>
    </cfRule>
  </conditionalFormatting>
  <conditionalFormatting sqref="I64">
    <cfRule type="expression" dxfId="39" priority="67">
      <formula>G64="Inflation-linked"</formula>
    </cfRule>
  </conditionalFormatting>
  <conditionalFormatting sqref="I64">
    <cfRule type="expression" dxfId="38" priority="66">
      <formula>G64="Floating"</formula>
    </cfRule>
  </conditionalFormatting>
  <conditionalFormatting sqref="I65">
    <cfRule type="expression" dxfId="37" priority="65">
      <formula>G65="Inflation-linked"</formula>
    </cfRule>
  </conditionalFormatting>
  <conditionalFormatting sqref="I65">
    <cfRule type="expression" dxfId="36" priority="64">
      <formula>G65="Floating"</formula>
    </cfRule>
  </conditionalFormatting>
  <conditionalFormatting sqref="I63">
    <cfRule type="expression" dxfId="35" priority="43">
      <formula>G63="Inflation-linked"</formula>
    </cfRule>
  </conditionalFormatting>
  <conditionalFormatting sqref="I63">
    <cfRule type="expression" dxfId="34" priority="42">
      <formula>G63="Floating"</formula>
    </cfRule>
  </conditionalFormatting>
  <conditionalFormatting sqref="I72:I79">
    <cfRule type="expression" dxfId="33" priority="63">
      <formula>G72="Inflation-linked"</formula>
    </cfRule>
  </conditionalFormatting>
  <conditionalFormatting sqref="I72:I79">
    <cfRule type="expression" dxfId="32" priority="62">
      <formula>G72="Floating"</formula>
    </cfRule>
  </conditionalFormatting>
  <conditionalFormatting sqref="I80">
    <cfRule type="expression" dxfId="31" priority="61">
      <formula>G80="Inflation-linked"</formula>
    </cfRule>
  </conditionalFormatting>
  <conditionalFormatting sqref="I80">
    <cfRule type="expression" dxfId="30" priority="60">
      <formula>G80="Floating"</formula>
    </cfRule>
  </conditionalFormatting>
  <conditionalFormatting sqref="Y25:AF30">
    <cfRule type="cellIs" priority="50" stopIfTrue="1" operator="greaterThanOrEqual">
      <formula>0</formula>
    </cfRule>
  </conditionalFormatting>
  <conditionalFormatting sqref="B33">
    <cfRule type="cellIs" priority="58" stopIfTrue="1" operator="greaterThanOrEqual">
      <formula>0</formula>
    </cfRule>
  </conditionalFormatting>
  <conditionalFormatting sqref="I31:I32">
    <cfRule type="expression" dxfId="29" priority="57">
      <formula>G31="Inflation-linked"</formula>
    </cfRule>
  </conditionalFormatting>
  <conditionalFormatting sqref="I31:I32">
    <cfRule type="expression" dxfId="28" priority="56">
      <formula>G31="Floating"</formula>
    </cfRule>
  </conditionalFormatting>
  <conditionalFormatting sqref="I33">
    <cfRule type="expression" dxfId="27" priority="55">
      <formula>G33="Inflation-linked"</formula>
    </cfRule>
  </conditionalFormatting>
  <conditionalFormatting sqref="I33">
    <cfRule type="expression" dxfId="26" priority="54">
      <formula>G33="Floating"</formula>
    </cfRule>
  </conditionalFormatting>
  <conditionalFormatting sqref="T25:X30">
    <cfRule type="cellIs" priority="51" stopIfTrue="1" operator="greaterThanOrEqual">
      <formula>0</formula>
    </cfRule>
  </conditionalFormatting>
  <conditionalFormatting sqref="I39:I50">
    <cfRule type="expression" dxfId="25" priority="47">
      <formula>G39="Inflation-linked"</formula>
    </cfRule>
  </conditionalFormatting>
  <conditionalFormatting sqref="I39:I50">
    <cfRule type="expression" dxfId="24" priority="46">
      <formula>G39="Floating"</formula>
    </cfRule>
  </conditionalFormatting>
  <conditionalFormatting sqref="L39:L48">
    <cfRule type="cellIs" priority="45" stopIfTrue="1" operator="greaterThanOrEqual">
      <formula>0</formula>
    </cfRule>
  </conditionalFormatting>
  <conditionalFormatting sqref="T39:AF50">
    <cfRule type="cellIs" priority="44" stopIfTrue="1" operator="greaterThanOrEqual">
      <formula>0</formula>
    </cfRule>
  </conditionalFormatting>
  <conditionalFormatting sqref="I57 I60">
    <cfRule type="expression" dxfId="23" priority="41">
      <formula>G57="Inflation-linked"</formula>
    </cfRule>
  </conditionalFormatting>
  <conditionalFormatting sqref="I57 I60">
    <cfRule type="expression" dxfId="22" priority="40">
      <formula>G57="Floating"</formula>
    </cfRule>
  </conditionalFormatting>
  <conditionalFormatting sqref="I62">
    <cfRule type="expression" dxfId="21" priority="39">
      <formula>G62="Inflation-linked"</formula>
    </cfRule>
  </conditionalFormatting>
  <conditionalFormatting sqref="I62">
    <cfRule type="expression" dxfId="20" priority="38">
      <formula>G62="Floating"</formula>
    </cfRule>
  </conditionalFormatting>
  <conditionalFormatting sqref="I61">
    <cfRule type="expression" dxfId="19" priority="37">
      <formula>G61="Inflation-linked"</formula>
    </cfRule>
  </conditionalFormatting>
  <conditionalFormatting sqref="I61">
    <cfRule type="expression" dxfId="18" priority="36">
      <formula>G61="Floating"</formula>
    </cfRule>
  </conditionalFormatting>
  <conditionalFormatting sqref="I58">
    <cfRule type="expression" dxfId="17" priority="35">
      <formula>G58="Inflation-linked"</formula>
    </cfRule>
  </conditionalFormatting>
  <conditionalFormatting sqref="I58">
    <cfRule type="expression" dxfId="16" priority="34">
      <formula>G58="Floating"</formula>
    </cfRule>
  </conditionalFormatting>
  <conditionalFormatting sqref="I59">
    <cfRule type="expression" dxfId="15" priority="33">
      <formula>G59="Inflation-linked"</formula>
    </cfRule>
  </conditionalFormatting>
  <conditionalFormatting sqref="I59">
    <cfRule type="expression" dxfId="14" priority="32">
      <formula>G59="Floating"</formula>
    </cfRule>
  </conditionalFormatting>
  <conditionalFormatting sqref="T63:AF63">
    <cfRule type="cellIs" priority="31" stopIfTrue="1" operator="greaterThanOrEqual">
      <formula>0</formula>
    </cfRule>
  </conditionalFormatting>
  <conditionalFormatting sqref="T57:AF57 T60:Z60 AC60:AF60">
    <cfRule type="cellIs" priority="30" stopIfTrue="1" operator="greaterThanOrEqual">
      <formula>0</formula>
    </cfRule>
  </conditionalFormatting>
  <conditionalFormatting sqref="T62:AF62">
    <cfRule type="cellIs" priority="29" stopIfTrue="1" operator="greaterThanOrEqual">
      <formula>0</formula>
    </cfRule>
  </conditionalFormatting>
  <conditionalFormatting sqref="T61:Z61 AC61:AF61">
    <cfRule type="cellIs" priority="28" stopIfTrue="1" operator="greaterThanOrEqual">
      <formula>0</formula>
    </cfRule>
  </conditionalFormatting>
  <conditionalFormatting sqref="T58:Z58 AC58:AF58">
    <cfRule type="cellIs" priority="27" stopIfTrue="1" operator="greaterThanOrEqual">
      <formula>0</formula>
    </cfRule>
  </conditionalFormatting>
  <conditionalFormatting sqref="T59:Z59 AC59:AF59">
    <cfRule type="cellIs" priority="26" stopIfTrue="1" operator="greaterThanOrEqual">
      <formula>0</formula>
    </cfRule>
  </conditionalFormatting>
  <conditionalFormatting sqref="AA58:AB61">
    <cfRule type="cellIs" priority="25" stopIfTrue="1" operator="greaterThanOrEqual">
      <formula>0</formula>
    </cfRule>
  </conditionalFormatting>
  <conditionalFormatting sqref="T87:X89">
    <cfRule type="cellIs" priority="23" stopIfTrue="1" operator="greaterThanOrEqual">
      <formula>0</formula>
    </cfRule>
  </conditionalFormatting>
  <conditionalFormatting sqref="Y87:AF87 Y88:Y89">
    <cfRule type="cellIs" priority="24" stopIfTrue="1" operator="greaterThanOrEqual">
      <formula>0</formula>
    </cfRule>
  </conditionalFormatting>
  <conditionalFormatting sqref="Z88:AF89">
    <cfRule type="cellIs" priority="22" stopIfTrue="1" operator="greaterThanOrEqual">
      <formula>0</formula>
    </cfRule>
  </conditionalFormatting>
  <conditionalFormatting sqref="I147:I155">
    <cfRule type="expression" dxfId="13" priority="21">
      <formula>G147="Inflation-linked"</formula>
    </cfRule>
  </conditionalFormatting>
  <conditionalFormatting sqref="I147:I155">
    <cfRule type="expression" dxfId="12" priority="20">
      <formula>G147="Floating"</formula>
    </cfRule>
  </conditionalFormatting>
  <conditionalFormatting sqref="I156:I282">
    <cfRule type="expression" dxfId="11" priority="19">
      <formula>G156="Inflation-linked"</formula>
    </cfRule>
  </conditionalFormatting>
  <conditionalFormatting sqref="I156:I282">
    <cfRule type="expression" dxfId="10" priority="18">
      <formula>G156="Floating"</formula>
    </cfRule>
  </conditionalFormatting>
  <conditionalFormatting sqref="I283:I302">
    <cfRule type="expression" dxfId="9" priority="17">
      <formula>G283="Inflation-linked"</formula>
    </cfRule>
  </conditionalFormatting>
  <conditionalFormatting sqref="I283:I302">
    <cfRule type="expression" dxfId="8" priority="16">
      <formula>G283="Floating"</formula>
    </cfRule>
  </conditionalFormatting>
  <conditionalFormatting sqref="I303:I304">
    <cfRule type="expression" dxfId="7" priority="15">
      <formula>G303="Inflation-linked"</formula>
    </cfRule>
  </conditionalFormatting>
  <conditionalFormatting sqref="I303:I304">
    <cfRule type="expression" dxfId="6" priority="14">
      <formula>G303="Floating"</formula>
    </cfRule>
  </conditionalFormatting>
  <conditionalFormatting sqref="I305:I313">
    <cfRule type="expression" dxfId="5" priority="13">
      <formula>G305="Inflation-linked"</formula>
    </cfRule>
  </conditionalFormatting>
  <conditionalFormatting sqref="I305:I313">
    <cfRule type="expression" dxfId="4" priority="12">
      <formula>G305="Floating"</formula>
    </cfRule>
  </conditionalFormatting>
  <conditionalFormatting sqref="Y156:Y313 Y147:AF148">
    <cfRule type="cellIs" priority="11" stopIfTrue="1" operator="greaterThanOrEqual">
      <formula>0</formula>
    </cfRule>
  </conditionalFormatting>
  <conditionalFormatting sqref="V147:X313 Y149:AF155 Z156:AF313">
    <cfRule type="cellIs" priority="10" stopIfTrue="1" operator="greaterThanOrEqual">
      <formula>0</formula>
    </cfRule>
  </conditionalFormatting>
  <conditionalFormatting sqref="T446:AF448 T452:AF452">
    <cfRule type="cellIs" priority="9" stopIfTrue="1" operator="greaterThanOrEqual">
      <formula>0</formula>
    </cfRule>
  </conditionalFormatting>
  <conditionalFormatting sqref="T445:AF445">
    <cfRule type="cellIs" priority="8" stopIfTrue="1" operator="greaterThanOrEqual">
      <formula>0</formula>
    </cfRule>
  </conditionalFormatting>
  <conditionalFormatting sqref="T449:AF451">
    <cfRule type="cellIs" priority="7" stopIfTrue="1" operator="greaterThanOrEqual">
      <formula>0</formula>
    </cfRule>
  </conditionalFormatting>
  <conditionalFormatting sqref="T471:X472">
    <cfRule type="cellIs" priority="6" stopIfTrue="1" operator="greaterThanOrEqual">
      <formula>0</formula>
    </cfRule>
  </conditionalFormatting>
  <conditionalFormatting sqref="Y471:AF472">
    <cfRule type="cellIs" priority="5" stopIfTrue="1" operator="greaterThanOrEqual">
      <formula>0</formula>
    </cfRule>
  </conditionalFormatting>
  <conditionalFormatting sqref="Y479:AF480">
    <cfRule type="cellIs" priority="3" stopIfTrue="1" operator="greaterThanOrEqual">
      <formula>0</formula>
    </cfRule>
  </conditionalFormatting>
  <conditionalFormatting sqref="T479:X480">
    <cfRule type="cellIs" priority="4" stopIfTrue="1" operator="greaterThanOrEqual">
      <formula>0</formula>
    </cfRule>
  </conditionalFormatting>
  <conditionalFormatting sqref="T487:AF487">
    <cfRule type="cellIs" priority="2" stopIfTrue="1" operator="greaterThanOrEqual">
      <formula>0</formula>
    </cfRule>
  </conditionalFormatting>
  <conditionalFormatting sqref="T493:AF493">
    <cfRule type="cellIs" priority="1" stopIfTrue="1" operator="greaterThanOrEqual">
      <formula>0</formula>
    </cfRule>
  </conditionalFormatting>
  <dataValidations count="4">
    <dataValidation type="list" allowBlank="1" showInputMessage="1" showErrorMessage="1" promptTitle="Rank" prompt="Select payment rank from available options" sqref="H63" xr:uid="{00000000-0002-0000-0700-000000000000}">
      <formula1>$B$711:$B$713</formula1>
    </dataValidation>
    <dataValidation type="list" allowBlank="1" showInputMessage="1" showErrorMessage="1" promptTitle="Reference Rate" prompt="Select reference rate from available options" sqref="I63" xr:uid="{00000000-0002-0000-0700-000001000000}">
      <formula1>$B$692:$B$700</formula1>
    </dataValidation>
    <dataValidation type="list" allowBlank="1" showInputMessage="1" showErrorMessage="1" errorTitle="Original Currency" error="Select from available options._x000a__x000a_Alternatively, new currencies can be added in to the Data tab" promptTitle="Original Currency" prompt="Select from available options" sqref="K63" xr:uid="{00000000-0002-0000-0700-000002000000}">
      <formula1>$B$703:$B$708</formula1>
    </dataValidation>
    <dataValidation type="list" allowBlank="1" showInputMessage="1" showErrorMessage="1" promptTitle="Special Features" prompt="Choose from available options" sqref="P63" xr:uid="{00000000-0002-0000-0700-000003000000}">
      <formula1>$B$721:$B$724</formula1>
    </dataValidation>
  </dataValidations>
  <printOptions headings="1"/>
  <pageMargins left="0.35433070866141736" right="0.31496062992125984" top="1.5354330708661419" bottom="0.62992125984251968" header="0" footer="0.27559055118110237"/>
  <pageSetup paperSize="9" scale="26" fitToHeight="0" orientation="portrait" r:id="rId1"/>
  <headerFooter alignWithMargins="0">
    <oddHeader>&amp;R&amp;G</oddHeader>
    <oddFooter xml:space="preserve">&amp;L&amp;T
&amp;D&amp;R&amp;P
</oddFooter>
  </headerFooter>
  <rowBreaks count="1" manualBreakCount="1">
    <brk id="355" max="38" man="1"/>
  </rowBreaks>
  <legacyDrawingHF r:id="rId2"/>
  <extLst>
    <ext xmlns:x14="http://schemas.microsoft.com/office/spreadsheetml/2009/9/main" uri="{CCE6A557-97BC-4b89-ADB6-D9C93CAAB3DF}">
      <x14:dataValidations xmlns:xm="http://schemas.microsoft.com/office/excel/2006/main" count="12">
        <x14:dataValidation type="list" allowBlank="1" showInputMessage="1" showErrorMessage="1" errorTitle="Bond Type" error="Please select from available options._x000a__x000a_Alternatively, new inputs can be added from the data tab" promptTitle="Bond Type" prompt="Select bond type from drop down options" xr:uid="{00000000-0002-0000-0700-000004000000}">
          <x14:formula1>
            <xm:f>'C:\fin\RFPR trial\[RFPR 2018_19 submission document.xlsx]Data'!#REF!</xm:f>
          </x14:formula1>
          <xm:sqref>G25:G30 G39:G50 G57:G63</xm:sqref>
        </x14:dataValidation>
        <x14:dataValidation type="list" allowBlank="1" showInputMessage="1" showErrorMessage="1" promptTitle="Rank" prompt="Select payment rank from available options" xr:uid="{00000000-0002-0000-0700-000005000000}">
          <x14:formula1>
            <xm:f>'C:\fin\RFPR trial\[RFPR 2018_19 submission document.xlsx]Data'!#REF!</xm:f>
          </x14:formula1>
          <xm:sqref>H25:H30 H39:H50 H57:H62</xm:sqref>
        </x14:dataValidation>
        <x14:dataValidation type="list" allowBlank="1" showInputMessage="1" showErrorMessage="1" promptTitle="Reference Rate" prompt="Select reference rate from available options" xr:uid="{00000000-0002-0000-0700-000006000000}">
          <x14:formula1>
            <xm:f>'C:\fin\RFPR trial\[RFPR 2018_19 submission document.xlsx]Data'!#REF!</xm:f>
          </x14:formula1>
          <xm:sqref>I25:I30 I39:I50 I57:I62</xm:sqref>
        </x14:dataValidation>
        <x14:dataValidation type="list" allowBlank="1" showInputMessage="1" showErrorMessage="1" errorTitle="Original Currency" error="Select from available options._x000a__x000a_Alternatively, new currencies can be added in to the Data tab" promptTitle="Original Currency" prompt="Select from available options" xr:uid="{00000000-0002-0000-0700-000007000000}">
          <x14:formula1>
            <xm:f>'C:\fin\RFPR trial\[RFPR 2018_19 submission document.xlsx]Data'!#REF!</xm:f>
          </x14:formula1>
          <xm:sqref>K25:K30 K39:K50 K57:K62 G147:H313</xm:sqref>
        </x14:dataValidation>
        <x14:dataValidation type="list" allowBlank="1" showInputMessage="1" showErrorMessage="1" promptTitle="Special Features" prompt="Choose from available options" xr:uid="{00000000-0002-0000-0700-000008000000}">
          <x14:formula1>
            <xm:f>'C:\fin\RFPR trial\[RFPR 2018_19 submission document.xlsx]Data'!#REF!</xm:f>
          </x14:formula1>
          <xm:sqref>P25:P30 P39:P50 P57:P62</xm:sqref>
        </x14:dataValidation>
        <x14:dataValidation type="list" allowBlank="1" showInputMessage="1" showErrorMessage="1" errorTitle="Bond Type" error="Please select from available options._x000a__x000a_Alternatively, new inputs can be added from the data tab" promptTitle="Bond Type" prompt="Select bond type from drop down options" xr:uid="{00000000-0002-0000-0700-000009000000}">
          <x14:formula1>
            <xm:f>'http://sharepoint2013/sgg/FIHWG/Networks_Fin_Issues_Lib/RIIO Accounts/RFPR/RIGs MOD 2019/Decision/[RFPR Template-Decision.xlsx]Data'!#REF!</xm:f>
          </x14:formula1>
          <xm:sqref>G31:G33</xm:sqref>
        </x14:dataValidation>
        <x14:dataValidation type="list" allowBlank="1" showInputMessage="1" showErrorMessage="1" promptTitle="Rank" prompt="Select payment rank from available options" xr:uid="{00000000-0002-0000-0700-00000A000000}">
          <x14:formula1>
            <xm:f>'http://sharepoint2013/sgg/FIHWG/Networks_Fin_Issues_Lib/RIIO Accounts/RFPR/RIGs MOD 2019/Decision/[RFPR Template-Decision.xlsx]Data'!#REF!</xm:f>
          </x14:formula1>
          <xm:sqref>H31:H33</xm:sqref>
        </x14:dataValidation>
        <x14:dataValidation type="list" allowBlank="1" showInputMessage="1" showErrorMessage="1" promptTitle="Reference Rate" prompt="Select reference rate from available options" xr:uid="{00000000-0002-0000-0700-00000B000000}">
          <x14:formula1>
            <xm:f>'http://sharepoint2013/sgg/FIHWG/Networks_Fin_Issues_Lib/RIIO Accounts/RFPR/RIGs MOD 2019/Decision/[RFPR Template-Decision.xlsx]Data'!#REF!</xm:f>
          </x14:formula1>
          <xm:sqref>I31:I33</xm:sqref>
        </x14:dataValidation>
        <x14:dataValidation type="list" allowBlank="1" showInputMessage="1" showErrorMessage="1" errorTitle="Original Currency" error="Select from available options._x000a__x000a_Alternatively, new currencies can be added in to the Data tab" promptTitle="Original Currency" prompt="Select from available options" xr:uid="{00000000-0002-0000-0700-00000C000000}">
          <x14:formula1>
            <xm:f>'http://sharepoint2013/sgg/FIHWG/Networks_Fin_Issues_Lib/RIIO Accounts/RFPR/RIGs MOD 2019/Decision/[RFPR Template-Decision.xlsx]Data'!#REF!</xm:f>
          </x14:formula1>
          <xm:sqref>K31:K33</xm:sqref>
        </x14:dataValidation>
        <x14:dataValidation type="list" allowBlank="1" showInputMessage="1" showErrorMessage="1" promptTitle="Special Features" prompt="Choose from available options" xr:uid="{00000000-0002-0000-0700-00000D000000}">
          <x14:formula1>
            <xm:f>'http://sharepoint2013/sgg/FIHWG/Networks_Fin_Issues_Lib/RIIO Accounts/RFPR/RIGs MOD 2019/Decision/[RFPR Template-Decision.xlsx]Data'!#REF!</xm:f>
          </x14:formula1>
          <xm:sqref>P31:P33</xm:sqref>
        </x14:dataValidation>
        <x14:dataValidation type="list" allowBlank="1" showInputMessage="1" showErrorMessage="1" promptTitle="Counterparty" prompt="Select counterparty from available options._x000a__x000a_Alternatively, additional options can be included in the Data tab" xr:uid="{00000000-0002-0000-0700-00000E000000}">
          <x14:formula1>
            <xm:f>'C:\fin\RFPR trial\[Copy of RFPR RFI Post Issuance version 17102018 IC.xlsx]Data'!#REF!</xm:f>
          </x14:formula1>
          <xm:sqref>R39:R50 Q147:Q313 R57:R63</xm:sqref>
        </x14:dataValidation>
        <x14:dataValidation type="list" allowBlank="1" showInputMessage="1" showErrorMessage="1" promptTitle="Pay leg type" prompt="Select from available options" xr:uid="{00000000-0002-0000-0700-00000F000000}">
          <x14:formula1>
            <xm:f>'C:\fin\RFPR trial\[Copy of RFPR RFI Post Issuance version 17102018 IC.xlsx]Data'!#REF!</xm:f>
          </x14:formula1>
          <xm:sqref>N147:N313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XES860"/>
  <sheetViews>
    <sheetView showGridLines="0" zoomScale="80" zoomScaleNormal="80" zoomScaleSheetLayoutView="70" workbookViewId="0">
      <pane ySplit="9" topLeftCell="A800" activePane="bottomLeft" state="frozen"/>
      <selection activeCell="I137" sqref="I137"/>
      <selection pane="bottomLeft" activeCell="L859" sqref="L859"/>
    </sheetView>
  </sheetViews>
  <sheetFormatPr defaultColWidth="0" defaultRowHeight="12.75" outlineLevelRow="1" outlineLevelCol="1"/>
  <cols>
    <col min="1" max="1" width="9.375" style="1870" customWidth="1"/>
    <col min="2" max="2" width="5.375" style="1870" customWidth="1"/>
    <col min="3" max="3" width="13.125" style="1885" customWidth="1"/>
    <col min="4" max="4" width="16.375" style="1870" customWidth="1"/>
    <col min="5" max="5" width="17.125" style="1870" customWidth="1"/>
    <col min="6" max="6" width="16.625" style="1870" customWidth="1"/>
    <col min="7" max="7" width="16.5" style="1870" customWidth="1"/>
    <col min="8" max="8" width="15.75" style="1870" customWidth="1"/>
    <col min="9" max="9" width="14.75" style="1870" customWidth="1"/>
    <col min="10" max="11" width="2.875" style="1870" customWidth="1"/>
    <col min="12" max="12" width="9.125" style="1870" customWidth="1"/>
    <col min="13" max="16" width="10.875" style="1870" customWidth="1" outlineLevel="1"/>
    <col min="17" max="19" width="10.875" style="1885" customWidth="1" outlineLevel="1"/>
    <col min="20" max="20" width="10.875" style="2051" customWidth="1" outlineLevel="1"/>
    <col min="21" max="21" width="10.875" style="2051" customWidth="1"/>
    <col min="22" max="24" width="10.875" style="2051" customWidth="1" outlineLevel="1"/>
    <col min="25" max="25" width="10.875" style="1885" customWidth="1" outlineLevel="1"/>
    <col min="26" max="26" width="5" style="1870" customWidth="1"/>
    <col min="27" max="16373" width="0" style="1870" hidden="1"/>
    <col min="16374" max="16384" width="9.125" style="1870" hidden="1"/>
  </cols>
  <sheetData>
    <row r="1" spans="1:37" s="1849" customFormat="1" ht="26.25">
      <c r="A1" s="1" t="s">
        <v>0</v>
      </c>
      <c r="B1" s="1196"/>
      <c r="C1" s="1197"/>
      <c r="D1" s="1198"/>
      <c r="E1" s="1198"/>
      <c r="F1" s="1198"/>
      <c r="G1" s="1198"/>
      <c r="H1" s="1198"/>
      <c r="I1" s="1198"/>
      <c r="J1" s="1198"/>
      <c r="K1" s="1198"/>
      <c r="L1" s="1198"/>
      <c r="M1" s="1198"/>
      <c r="N1" s="1198"/>
      <c r="O1" s="1198"/>
      <c r="P1" s="1"/>
      <c r="Q1" s="1196"/>
      <c r="R1" s="1197"/>
      <c r="S1" s="1198"/>
      <c r="T1" s="1198"/>
      <c r="U1" s="1198"/>
      <c r="V1" s="1198"/>
      <c r="W1" s="1198"/>
      <c r="X1" s="1198"/>
      <c r="Y1" s="1198"/>
      <c r="Z1" s="1198"/>
    </row>
    <row r="2" spans="1:37" s="1849" customFormat="1" ht="26.25">
      <c r="A2" s="5" t="s">
        <v>6</v>
      </c>
      <c r="B2" s="1199"/>
      <c r="C2" s="1200"/>
      <c r="D2" s="1198"/>
      <c r="E2" s="1198"/>
      <c r="F2" s="1198"/>
      <c r="G2" s="1198"/>
      <c r="H2" s="1198"/>
      <c r="I2" s="1198"/>
      <c r="J2" s="1198"/>
      <c r="K2" s="1198"/>
      <c r="L2" s="1198"/>
      <c r="M2" s="1198"/>
      <c r="N2" s="1198"/>
      <c r="O2" s="1198"/>
      <c r="P2" s="5"/>
      <c r="Q2" s="1199"/>
      <c r="R2" s="1200"/>
      <c r="S2" s="1198"/>
      <c r="T2" s="1198"/>
      <c r="U2" s="1198"/>
      <c r="V2" s="1198"/>
      <c r="W2" s="1198"/>
      <c r="X2" s="1198"/>
      <c r="Y2" s="1198"/>
      <c r="Z2" s="1198"/>
    </row>
    <row r="3" spans="1:37" s="1849" customFormat="1" ht="27" thickBot="1">
      <c r="A3" s="1850" t="s">
        <v>2</v>
      </c>
      <c r="B3" s="1851"/>
      <c r="C3" s="1852"/>
      <c r="D3" s="1319"/>
      <c r="E3" s="1319"/>
      <c r="F3" s="1319"/>
      <c r="G3" s="1319"/>
      <c r="H3" s="1319"/>
      <c r="I3" s="1319"/>
      <c r="J3" s="1319"/>
      <c r="K3" s="1319"/>
      <c r="L3" s="1319"/>
      <c r="M3" s="1319"/>
      <c r="N3" s="1319"/>
      <c r="O3" s="1319"/>
      <c r="P3" s="1312"/>
      <c r="Q3" s="1317"/>
      <c r="R3" s="1318"/>
      <c r="S3" s="1319"/>
      <c r="T3" s="1319"/>
      <c r="U3" s="1319"/>
      <c r="V3" s="1319"/>
      <c r="W3" s="1319"/>
      <c r="X3" s="1319"/>
      <c r="Y3" s="1319"/>
      <c r="Z3" s="1319"/>
    </row>
    <row r="4" spans="1:37" s="1860" customFormat="1" ht="15.75" thickTop="1">
      <c r="A4" s="1853"/>
      <c r="B4" s="1869"/>
      <c r="C4" s="1855"/>
      <c r="D4" s="1853"/>
      <c r="E4" s="1856"/>
      <c r="F4" s="1856"/>
      <c r="G4" s="1856"/>
      <c r="H4" s="1856"/>
      <c r="I4" s="1856"/>
      <c r="J4" s="1856"/>
      <c r="K4" s="1856"/>
      <c r="L4" s="1857"/>
      <c r="M4" s="1857"/>
      <c r="N4" s="1857"/>
      <c r="O4" s="1857"/>
      <c r="P4" s="1857"/>
      <c r="Q4" s="1858"/>
      <c r="R4" s="1857"/>
      <c r="S4" s="1858"/>
      <c r="T4" s="1859"/>
      <c r="U4" s="1859"/>
      <c r="V4" s="1859"/>
      <c r="W4" s="1859"/>
      <c r="X4" s="1859"/>
      <c r="Y4" s="1858"/>
    </row>
    <row r="5" spans="1:37" s="1865" customFormat="1" ht="15">
      <c r="A5" s="1861"/>
      <c r="B5" s="1863" t="s">
        <v>1428</v>
      </c>
      <c r="C5" s="1863"/>
      <c r="D5" s="1863"/>
      <c r="E5" s="1863"/>
      <c r="F5" s="1863"/>
      <c r="G5" s="1863"/>
      <c r="H5" s="1863"/>
      <c r="I5" s="1863"/>
      <c r="J5" s="1863"/>
      <c r="K5" s="1863"/>
      <c r="L5" s="1863"/>
      <c r="M5" s="1863"/>
      <c r="N5" s="1863"/>
      <c r="O5" s="1863"/>
      <c r="P5" s="1863"/>
      <c r="Q5" s="1863"/>
      <c r="R5" s="1863"/>
      <c r="S5" s="1863"/>
      <c r="T5" s="1863"/>
      <c r="U5" s="1863"/>
      <c r="V5" s="1863"/>
      <c r="W5" s="1863"/>
      <c r="X5" s="1863"/>
      <c r="Y5" s="1863"/>
      <c r="Z5" s="1863"/>
      <c r="AA5" s="1863"/>
      <c r="AB5" s="1864"/>
      <c r="AC5" s="1864"/>
      <c r="AD5" s="1864"/>
      <c r="AE5" s="1864"/>
      <c r="AF5" s="1864"/>
      <c r="AG5" s="1864"/>
      <c r="AH5" s="1864"/>
      <c r="AI5" s="1864"/>
      <c r="AJ5" s="1864"/>
      <c r="AK5" s="1864"/>
    </row>
    <row r="6" spans="1:37" s="1866" customFormat="1" ht="15">
      <c r="B6" s="1868"/>
      <c r="C6" s="1868"/>
      <c r="D6" s="1868"/>
      <c r="E6" s="1868"/>
      <c r="F6" s="1868"/>
      <c r="G6" s="1868"/>
      <c r="H6" s="1868"/>
      <c r="I6" s="1868"/>
      <c r="J6" s="1868"/>
      <c r="K6" s="1868"/>
      <c r="L6" s="1868"/>
      <c r="M6" s="1868"/>
      <c r="N6" s="1868"/>
      <c r="O6" s="1868"/>
      <c r="P6" s="1868"/>
      <c r="Q6" s="1868"/>
      <c r="R6" s="1868"/>
      <c r="S6" s="1868"/>
      <c r="T6" s="1868"/>
      <c r="U6" s="1868"/>
      <c r="V6" s="1868"/>
      <c r="W6" s="1868"/>
      <c r="X6" s="1868"/>
      <c r="Y6" s="1868"/>
      <c r="Z6" s="1868"/>
      <c r="AA6" s="1868"/>
      <c r="AB6" s="1868"/>
      <c r="AC6" s="1868"/>
      <c r="AD6" s="1868"/>
      <c r="AE6" s="1868"/>
      <c r="AF6" s="1868"/>
      <c r="AG6" s="1868"/>
      <c r="AH6" s="1868"/>
      <c r="AI6" s="1868"/>
      <c r="AJ6" s="1868"/>
      <c r="AK6" s="1868"/>
    </row>
    <row r="7" spans="1:37" s="1860" customFormat="1" ht="15">
      <c r="A7" s="1853"/>
      <c r="B7" s="1869" t="s">
        <v>929</v>
      </c>
      <c r="C7" s="1855"/>
      <c r="D7" s="1853"/>
      <c r="E7" s="1856"/>
      <c r="F7" s="1856"/>
      <c r="G7" s="1856"/>
      <c r="H7" s="1856"/>
      <c r="I7" s="1856"/>
      <c r="J7" s="1856"/>
      <c r="K7" s="1856"/>
      <c r="L7" s="1857"/>
      <c r="M7" s="2974" t="s">
        <v>930</v>
      </c>
      <c r="N7" s="2975"/>
      <c r="O7" s="2975"/>
      <c r="P7" s="2975"/>
      <c r="Q7" s="2975"/>
      <c r="R7" s="2975"/>
      <c r="S7" s="2975"/>
      <c r="T7" s="2975"/>
      <c r="U7" s="2976" t="s">
        <v>931</v>
      </c>
      <c r="V7" s="2977"/>
      <c r="W7" s="2977"/>
      <c r="X7" s="2977"/>
      <c r="Y7" s="2978"/>
    </row>
    <row r="8" spans="1:37" s="2131" customFormat="1" ht="15">
      <c r="B8" s="2132"/>
      <c r="C8" s="1872"/>
      <c r="D8" s="1870"/>
      <c r="E8" s="1870"/>
      <c r="F8" s="1870"/>
      <c r="G8" s="1870"/>
      <c r="H8" s="1870"/>
      <c r="I8" s="1870"/>
      <c r="J8" s="1870"/>
      <c r="K8" s="1870"/>
      <c r="L8" s="1870"/>
      <c r="M8" s="2133" t="s">
        <v>932</v>
      </c>
      <c r="N8" s="2134" t="s">
        <v>932</v>
      </c>
      <c r="O8" s="2134" t="s">
        <v>932</v>
      </c>
      <c r="P8" s="2134" t="s">
        <v>932</v>
      </c>
      <c r="Q8" s="2134" t="s">
        <v>932</v>
      </c>
      <c r="R8" s="2134" t="s">
        <v>932</v>
      </c>
      <c r="S8" s="2134" t="s">
        <v>933</v>
      </c>
      <c r="T8" s="2135" t="s">
        <v>933</v>
      </c>
      <c r="U8" s="2136" t="s">
        <v>933</v>
      </c>
      <c r="V8" s="2134" t="s">
        <v>933</v>
      </c>
      <c r="W8" s="2134" t="s">
        <v>933</v>
      </c>
      <c r="X8" s="2134" t="s">
        <v>933</v>
      </c>
      <c r="Y8" s="2137" t="s">
        <v>933</v>
      </c>
    </row>
    <row r="9" spans="1:37" s="2131" customFormat="1" ht="15">
      <c r="A9" s="1877"/>
      <c r="B9" s="1877"/>
      <c r="C9" s="1872"/>
      <c r="D9" s="1877"/>
      <c r="E9" s="1877"/>
      <c r="F9" s="1877"/>
      <c r="G9" s="1877"/>
      <c r="H9" s="1877"/>
      <c r="I9" s="1877"/>
      <c r="J9" s="1877"/>
      <c r="K9" s="1877"/>
      <c r="L9" s="1879" t="s">
        <v>934</v>
      </c>
      <c r="M9" s="2138">
        <v>2014</v>
      </c>
      <c r="N9" s="2139">
        <v>2015</v>
      </c>
      <c r="O9" s="2139">
        <v>2016</v>
      </c>
      <c r="P9" s="2139">
        <v>2017</v>
      </c>
      <c r="Q9" s="2139">
        <v>2018</v>
      </c>
      <c r="R9" s="2139">
        <v>2019</v>
      </c>
      <c r="S9" s="2139">
        <v>2020</v>
      </c>
      <c r="T9" s="2140">
        <v>2021</v>
      </c>
      <c r="U9" s="2141">
        <v>2022</v>
      </c>
      <c r="V9" s="2139">
        <v>2023</v>
      </c>
      <c r="W9" s="2139">
        <v>2024</v>
      </c>
      <c r="X9" s="2139">
        <v>2025</v>
      </c>
      <c r="Y9" s="2142">
        <v>2026</v>
      </c>
    </row>
    <row r="10" spans="1:37">
      <c r="M10" s="1877"/>
      <c r="N10" s="1877"/>
      <c r="O10" s="2143"/>
      <c r="P10" s="2143"/>
      <c r="Q10" s="2143"/>
      <c r="R10" s="2143"/>
      <c r="S10" s="2143"/>
      <c r="T10" s="2143"/>
      <c r="U10" s="2144"/>
      <c r="V10" s="2143"/>
      <c r="W10" s="1893"/>
      <c r="X10" s="1893"/>
      <c r="Y10" s="1892"/>
    </row>
    <row r="11" spans="1:37" ht="14.25">
      <c r="B11" s="2145" t="s">
        <v>945</v>
      </c>
      <c r="C11" s="2146" t="s">
        <v>1429</v>
      </c>
      <c r="D11" s="2147"/>
      <c r="E11" s="2147"/>
      <c r="F11" s="2147"/>
      <c r="G11" s="2147"/>
      <c r="H11" s="2147"/>
      <c r="I11" s="2147"/>
      <c r="J11" s="2147"/>
      <c r="K11" s="2147"/>
      <c r="L11" s="2147"/>
      <c r="M11" s="2147"/>
      <c r="N11" s="2147"/>
      <c r="O11" s="2147"/>
      <c r="P11" s="2147"/>
      <c r="Q11" s="2148"/>
      <c r="R11" s="2148"/>
      <c r="S11" s="2149"/>
      <c r="T11" s="2149"/>
      <c r="U11" s="2150"/>
      <c r="V11" s="2149"/>
      <c r="W11" s="2149"/>
      <c r="X11" s="2149"/>
      <c r="Y11" s="2151"/>
    </row>
    <row r="12" spans="1:37" s="1889" customFormat="1" ht="14.25">
      <c r="B12" s="2152"/>
      <c r="C12" s="2153"/>
      <c r="D12" s="2154"/>
      <c r="E12" s="2154"/>
      <c r="F12" s="2154"/>
      <c r="G12" s="2154"/>
      <c r="H12" s="2154"/>
      <c r="I12" s="2154"/>
      <c r="J12" s="2154"/>
      <c r="K12" s="2154"/>
      <c r="L12" s="2154"/>
      <c r="M12" s="2154"/>
      <c r="N12" s="2154"/>
      <c r="O12" s="2154"/>
      <c r="P12" s="2154"/>
      <c r="Q12" s="2155"/>
      <c r="R12" s="2155"/>
      <c r="S12" s="2156"/>
      <c r="T12" s="2156"/>
      <c r="U12" s="2157"/>
      <c r="V12" s="2156"/>
      <c r="W12" s="2156"/>
      <c r="X12" s="2156"/>
      <c r="Y12" s="2158"/>
    </row>
    <row r="13" spans="1:37" ht="18" outlineLevel="1">
      <c r="B13" s="2159"/>
      <c r="C13" s="2160" t="s">
        <v>947</v>
      </c>
      <c r="D13" s="2161"/>
      <c r="E13" s="2161"/>
      <c r="F13" s="2161"/>
      <c r="G13" s="2161"/>
      <c r="H13" s="2161"/>
      <c r="I13" s="2161"/>
      <c r="J13" s="2161"/>
      <c r="K13" s="2161"/>
      <c r="L13" s="2161"/>
      <c r="M13" s="2161"/>
      <c r="N13" s="2161"/>
      <c r="O13" s="2161"/>
      <c r="P13" s="2161"/>
      <c r="Q13" s="2162"/>
      <c r="R13" s="2162"/>
      <c r="S13" s="2163"/>
      <c r="T13" s="2163"/>
      <c r="U13" s="2164"/>
      <c r="V13" s="2163"/>
      <c r="W13" s="2163"/>
      <c r="X13" s="2163"/>
      <c r="Y13" s="2165"/>
    </row>
    <row r="14" spans="1:37" s="1889" customFormat="1" ht="18" outlineLevel="1">
      <c r="B14" s="2049"/>
      <c r="C14" s="2166"/>
      <c r="Q14" s="1893"/>
      <c r="R14" s="1893"/>
      <c r="S14" s="2051"/>
      <c r="T14" s="2051"/>
      <c r="U14" s="2052"/>
      <c r="V14" s="2051"/>
      <c r="W14" s="2051"/>
      <c r="X14" s="2051"/>
      <c r="Y14" s="1895"/>
    </row>
    <row r="15" spans="1:37" ht="18" outlineLevel="1">
      <c r="C15" s="1870"/>
      <c r="D15" s="2167" t="s">
        <v>1430</v>
      </c>
      <c r="E15" s="2168"/>
      <c r="F15" s="2168"/>
      <c r="G15" s="2168"/>
      <c r="H15" s="2168"/>
      <c r="I15" s="2168"/>
      <c r="J15" s="2168"/>
      <c r="K15" s="2168"/>
      <c r="L15" s="2168"/>
      <c r="M15" s="2168"/>
      <c r="N15" s="2168"/>
      <c r="O15" s="2168"/>
      <c r="P15" s="2168"/>
      <c r="Q15" s="2169"/>
      <c r="R15" s="2169"/>
      <c r="S15" s="2170"/>
      <c r="T15" s="2170"/>
      <c r="U15" s="2171"/>
      <c r="V15" s="2170"/>
      <c r="W15" s="2170"/>
      <c r="X15" s="2170"/>
      <c r="Y15" s="2172"/>
    </row>
    <row r="16" spans="1:37" s="1889" customFormat="1" ht="18" outlineLevel="1">
      <c r="D16" s="2173"/>
      <c r="Q16" s="1893"/>
      <c r="R16" s="1893"/>
      <c r="S16" s="2051"/>
      <c r="T16" s="2051"/>
      <c r="U16" s="2052"/>
      <c r="V16" s="2051"/>
      <c r="W16" s="2051"/>
      <c r="X16" s="2051"/>
      <c r="Y16" s="1895"/>
    </row>
    <row r="17" spans="2:32" ht="51" outlineLevel="1">
      <c r="B17" s="2845" t="s">
        <v>965</v>
      </c>
      <c r="C17" s="2174" t="str">
        <f>'1.02b_Debt'!D23</f>
        <v>Issue date</v>
      </c>
      <c r="D17" s="2175" t="str">
        <f>'1.02b_Debt'!E23</f>
        <v>Maturity date</v>
      </c>
      <c r="E17" s="2175" t="str">
        <f>'1.02b_Debt'!F23</f>
        <v>Description</v>
      </c>
      <c r="F17" s="2175" t="str">
        <f>'1.02b_Debt'!G23</f>
        <v>Bond type</v>
      </c>
      <c r="G17" s="2175" t="str">
        <f>'1.02b_Debt'!H23</f>
        <v>Payment rank</v>
      </c>
      <c r="H17" s="2176" t="str">
        <f>'1.02b_Debt'!I23</f>
        <v>Reference rate</v>
      </c>
      <c r="I17" s="2177" t="str">
        <f>'1.02b_Debt'!J23</f>
        <v>Coupon rate / margin spread on reference rate</v>
      </c>
      <c r="Q17" s="1892"/>
      <c r="R17" s="1892"/>
      <c r="U17" s="2052"/>
      <c r="Y17" s="1877"/>
    </row>
    <row r="18" spans="2:32" outlineLevel="1">
      <c r="B18" s="2178"/>
      <c r="C18" s="2179" t="str">
        <f>IF('1.02b_Debt'!D24 = "","",'1.02b_Debt'!D24)</f>
        <v>dd/mm/yyyy</v>
      </c>
      <c r="D18" s="2180" t="str">
        <f>IF('1.02b_Debt'!E24 = "","",'1.02b_Debt'!E24)</f>
        <v>dd/mm/yyyy</v>
      </c>
      <c r="E18" s="2180" t="str">
        <f>IF('1.02b_Debt'!F24 = "","",'1.02b_Debt'!F24)</f>
        <v/>
      </c>
      <c r="F18" s="2180" t="str">
        <f>IF('1.02b_Debt'!G24 = "","",'1.02b_Debt'!G24)</f>
        <v/>
      </c>
      <c r="G18" s="2180" t="str">
        <f>IF('1.02b_Debt'!H24 = "","",'1.02b_Debt'!H24)</f>
        <v/>
      </c>
      <c r="H18" s="2180" t="str">
        <f>IF('1.02b_Debt'!I24 = "","",'1.02b_Debt'!I24)</f>
        <v/>
      </c>
      <c r="I18" s="2181" t="str">
        <f>IF('1.02b_Debt'!J24 = "","",'1.02b_Debt'!J24)</f>
        <v>%</v>
      </c>
      <c r="M18" s="2182" t="s">
        <v>498</v>
      </c>
      <c r="N18" s="2183" t="s">
        <v>498</v>
      </c>
      <c r="O18" s="2183" t="s">
        <v>498</v>
      </c>
      <c r="P18" s="2183" t="s">
        <v>498</v>
      </c>
      <c r="Q18" s="2183" t="s">
        <v>498</v>
      </c>
      <c r="R18" s="2183" t="s">
        <v>498</v>
      </c>
      <c r="S18" s="2183" t="s">
        <v>498</v>
      </c>
      <c r="T18" s="2184" t="s">
        <v>498</v>
      </c>
      <c r="U18" s="2185" t="s">
        <v>498</v>
      </c>
      <c r="V18" s="2183" t="s">
        <v>498</v>
      </c>
      <c r="W18" s="2183" t="s">
        <v>498</v>
      </c>
      <c r="X18" s="2183" t="s">
        <v>498</v>
      </c>
      <c r="Y18" s="2186" t="s">
        <v>498</v>
      </c>
    </row>
    <row r="19" spans="2:32" outlineLevel="1">
      <c r="B19" s="2187" t="s">
        <v>969</v>
      </c>
      <c r="C19" s="2188">
        <f>IF('1.02b_Debt'!D25 = "","",'1.02b_Debt'!D25)</f>
        <v>43475</v>
      </c>
      <c r="D19" s="2188">
        <f>IF('1.02b_Debt'!E25 = "","",'1.02b_Debt'!E25)</f>
        <v>47128</v>
      </c>
      <c r="E19" s="2189" t="str">
        <f>IF('1.02b_Debt'!F25 = "","",'1.02b_Debt'!F25)</f>
        <v>US Private Placement Senior Notes</v>
      </c>
      <c r="F19" s="2190" t="str">
        <f>IF('1.02b_Debt'!G25 = "","",'1.02b_Debt'!G25)</f>
        <v>Fixed rate</v>
      </c>
      <c r="G19" s="2191" t="str">
        <f>IF('1.02b_Debt'!H25 = "","",'1.02b_Debt'!H25)</f>
        <v>Senior</v>
      </c>
      <c r="H19" s="2190" t="str">
        <f>IF('1.02b_Debt'!I25 = "","",'1.02b_Debt'!I25)</f>
        <v>Not applicable</v>
      </c>
      <c r="I19" s="2192">
        <f>IF('1.02b_Debt'!J25 = "","",'1.02b_Debt'!J25)</f>
        <v>2.8400000000000002E-2</v>
      </c>
      <c r="J19" s="2193"/>
      <c r="K19" s="2194"/>
      <c r="L19" s="2195"/>
      <c r="M19" s="2196"/>
      <c r="N19" s="2197"/>
      <c r="O19" s="2197"/>
      <c r="P19" s="2197"/>
      <c r="Q19" s="2197"/>
      <c r="R19" s="2197">
        <v>0.31950000000000001</v>
      </c>
      <c r="S19" s="2197">
        <v>1.42</v>
      </c>
      <c r="T19" s="2198">
        <v>1.42</v>
      </c>
      <c r="U19" s="2199">
        <v>1.42</v>
      </c>
      <c r="V19" s="2197">
        <v>1.42</v>
      </c>
      <c r="W19" s="2197">
        <v>1.42</v>
      </c>
      <c r="X19" s="2197">
        <v>1.42</v>
      </c>
      <c r="Y19" s="2200">
        <v>1.42</v>
      </c>
    </row>
    <row r="20" spans="2:32" outlineLevel="1">
      <c r="B20" s="2201" t="s">
        <v>976</v>
      </c>
      <c r="C20" s="2202" t="str">
        <f>IF('1.02b_Debt'!D26 = "","",'1.02b_Debt'!D26)</f>
        <v/>
      </c>
      <c r="D20" s="2202" t="str">
        <f>IF('1.02b_Debt'!E26 = "","",'1.02b_Debt'!E26)</f>
        <v/>
      </c>
      <c r="E20" s="2203" t="str">
        <f>IF('1.02b_Debt'!F26 = "","",'1.02b_Debt'!F26)</f>
        <v>Fair value of portion of above note in a FV hedge relationship</v>
      </c>
      <c r="F20" s="2204" t="str">
        <f>IF('1.02b_Debt'!G26 = "","",'1.02b_Debt'!G26)</f>
        <v/>
      </c>
      <c r="G20" s="2205" t="str">
        <f>IF('1.02b_Debt'!H26 = "","",'1.02b_Debt'!H26)</f>
        <v/>
      </c>
      <c r="H20" s="2204" t="str">
        <f>IF('1.02b_Debt'!I26 = "","",'1.02b_Debt'!I26)</f>
        <v/>
      </c>
      <c r="I20" s="2206" t="str">
        <f>IF('1.02b_Debt'!J26 = "","",'1.02b_Debt'!J26)</f>
        <v/>
      </c>
      <c r="J20" s="2193"/>
      <c r="K20" s="2194"/>
      <c r="L20" s="2195"/>
      <c r="M20" s="2207"/>
      <c r="N20" s="2208"/>
      <c r="O20" s="2208"/>
      <c r="P20" s="2208"/>
      <c r="Q20" s="2208"/>
      <c r="R20" s="2208"/>
      <c r="S20" s="2208"/>
      <c r="T20" s="2209"/>
      <c r="U20" s="2210"/>
      <c r="V20" s="2208"/>
      <c r="W20" s="2208"/>
      <c r="X20" s="2208"/>
      <c r="Y20" s="2211"/>
    </row>
    <row r="21" spans="2:32" outlineLevel="1">
      <c r="B21" s="2201" t="s">
        <v>978</v>
      </c>
      <c r="C21" s="2202" t="str">
        <f>IF('1.02b_Debt'!D27 = "","",'1.02b_Debt'!D27)</f>
        <v/>
      </c>
      <c r="D21" s="2202" t="str">
        <f>IF('1.02b_Debt'!E27 = "","",'1.02b_Debt'!E27)</f>
        <v/>
      </c>
      <c r="E21" s="2203" t="str">
        <f>IF('1.02b_Debt'!F27 = "","",'1.02b_Debt'!F27)</f>
        <v>Capitalised finance charges on above</v>
      </c>
      <c r="F21" s="2204" t="str">
        <f>IF('1.02b_Debt'!G27 = "","",'1.02b_Debt'!G27)</f>
        <v/>
      </c>
      <c r="G21" s="2205" t="str">
        <f>IF('1.02b_Debt'!H27 = "","",'1.02b_Debt'!H27)</f>
        <v/>
      </c>
      <c r="H21" s="2204" t="str">
        <f>IF('1.02b_Debt'!I27 = "","",'1.02b_Debt'!I27)</f>
        <v/>
      </c>
      <c r="I21" s="2206" t="str">
        <f>IF('1.02b_Debt'!J27 = "","",'1.02b_Debt'!J27)</f>
        <v/>
      </c>
      <c r="J21" s="2193"/>
      <c r="K21" s="2194"/>
      <c r="L21" s="2195"/>
      <c r="M21" s="2207"/>
      <c r="N21" s="2208"/>
      <c r="O21" s="2208"/>
      <c r="P21" s="2208"/>
      <c r="Q21" s="2208"/>
      <c r="R21" s="2208"/>
      <c r="S21" s="2208"/>
      <c r="T21" s="2209"/>
      <c r="U21" s="2210"/>
      <c r="V21" s="2208"/>
      <c r="W21" s="2208"/>
      <c r="X21" s="2208"/>
      <c r="Y21" s="2211"/>
    </row>
    <row r="22" spans="2:32" outlineLevel="1">
      <c r="B22" s="2201" t="s">
        <v>980</v>
      </c>
      <c r="C22" s="2202">
        <f>IF('1.02b_Debt'!D28 = "","",'1.02b_Debt'!D28)</f>
        <v>43475</v>
      </c>
      <c r="D22" s="2202">
        <f>IF('1.02b_Debt'!E28 = "","",'1.02b_Debt'!E28)</f>
        <v>47858</v>
      </c>
      <c r="E22" s="2203" t="str">
        <f>IF('1.02b_Debt'!F28 = "","",'1.02b_Debt'!F28)</f>
        <v>US Private Placement Senior Notes</v>
      </c>
      <c r="F22" s="2204" t="str">
        <f>IF('1.02b_Debt'!G28 = "","",'1.02b_Debt'!G28)</f>
        <v>Fixed rate</v>
      </c>
      <c r="G22" s="2205" t="str">
        <f>IF('1.02b_Debt'!H28 = "","",'1.02b_Debt'!H28)</f>
        <v>Senior</v>
      </c>
      <c r="H22" s="2204" t="str">
        <f>IF('1.02b_Debt'!I28 = "","",'1.02b_Debt'!I28)</f>
        <v>Not applicable</v>
      </c>
      <c r="I22" s="2206">
        <f>IF('1.02b_Debt'!J28 = "","",'1.02b_Debt'!J28)</f>
        <v>2.9700000000000001E-2</v>
      </c>
      <c r="J22" s="2193"/>
      <c r="K22" s="2194"/>
      <c r="L22" s="2195"/>
      <c r="M22" s="2207"/>
      <c r="N22" s="2208"/>
      <c r="O22" s="2208"/>
      <c r="P22" s="2208"/>
      <c r="Q22" s="2208"/>
      <c r="R22" s="2208">
        <v>1.002375</v>
      </c>
      <c r="S22" s="2208">
        <v>4.4550000000000001</v>
      </c>
      <c r="T22" s="2209">
        <v>4.4550000000000001</v>
      </c>
      <c r="U22" s="2210">
        <v>4.4550000000000001</v>
      </c>
      <c r="V22" s="2208">
        <v>4.4550000000000001</v>
      </c>
      <c r="W22" s="2208">
        <v>4.4550000000000001</v>
      </c>
      <c r="X22" s="2208">
        <v>4.4550000000000001</v>
      </c>
      <c r="Y22" s="2211">
        <v>4.4550000000000001</v>
      </c>
    </row>
    <row r="23" spans="2:32" outlineLevel="1">
      <c r="B23" s="2201" t="s">
        <v>982</v>
      </c>
      <c r="C23" s="2202" t="str">
        <f>IF('1.02b_Debt'!D29 = "","",'1.02b_Debt'!D29)</f>
        <v/>
      </c>
      <c r="D23" s="2202" t="str">
        <f>IF('1.02b_Debt'!E29 = "","",'1.02b_Debt'!E29)</f>
        <v/>
      </c>
      <c r="E23" s="2203" t="str">
        <f>IF('1.02b_Debt'!F29 = "","",'1.02b_Debt'!F29)</f>
        <v>Fair value of portion of above note in a FV hedge relationship</v>
      </c>
      <c r="F23" s="2204" t="str">
        <f>IF('1.02b_Debt'!G29 = "","",'1.02b_Debt'!G29)</f>
        <v/>
      </c>
      <c r="G23" s="2205" t="str">
        <f>IF('1.02b_Debt'!H29 = "","",'1.02b_Debt'!H29)</f>
        <v/>
      </c>
      <c r="H23" s="2204" t="str">
        <f>IF('1.02b_Debt'!I29 = "","",'1.02b_Debt'!I29)</f>
        <v/>
      </c>
      <c r="I23" s="2206" t="str">
        <f>IF('1.02b_Debt'!J29 = "","",'1.02b_Debt'!J29)</f>
        <v/>
      </c>
      <c r="J23" s="2193"/>
      <c r="K23" s="2194"/>
      <c r="L23" s="2195"/>
      <c r="M23" s="2207"/>
      <c r="N23" s="2208"/>
      <c r="O23" s="2208"/>
      <c r="P23" s="2208"/>
      <c r="Q23" s="2208"/>
      <c r="R23" s="2208"/>
      <c r="S23" s="2208"/>
      <c r="T23" s="2209"/>
      <c r="U23" s="2210"/>
      <c r="V23" s="2208"/>
      <c r="W23" s="2208"/>
      <c r="X23" s="2208"/>
      <c r="Y23" s="2211"/>
    </row>
    <row r="24" spans="2:32" outlineLevel="1">
      <c r="B24" s="2201" t="s">
        <v>983</v>
      </c>
      <c r="C24" s="2202" t="str">
        <f>IF('1.02b_Debt'!D30 = "","",'1.02b_Debt'!D30)</f>
        <v/>
      </c>
      <c r="D24" s="2202" t="str">
        <f>IF('1.02b_Debt'!E30 = "","",'1.02b_Debt'!E30)</f>
        <v/>
      </c>
      <c r="E24" s="2203" t="str">
        <f>IF('1.02b_Debt'!F30 = "","",'1.02b_Debt'!F30)</f>
        <v>Capitalised finance charges on above</v>
      </c>
      <c r="F24" s="2204" t="str">
        <f>IF('1.02b_Debt'!G30 = "","",'1.02b_Debt'!G30)</f>
        <v/>
      </c>
      <c r="G24" s="2205" t="str">
        <f>IF('1.02b_Debt'!H30 = "","",'1.02b_Debt'!H30)</f>
        <v/>
      </c>
      <c r="H24" s="2204" t="str">
        <f>IF('1.02b_Debt'!I30 = "","",'1.02b_Debt'!I30)</f>
        <v/>
      </c>
      <c r="I24" s="2206" t="str">
        <f>IF('1.02b_Debt'!J30 = "","",'1.02b_Debt'!J30)</f>
        <v/>
      </c>
      <c r="J24" s="2193"/>
      <c r="K24" s="2194"/>
      <c r="L24" s="2195"/>
      <c r="M24" s="2207"/>
      <c r="N24" s="2208"/>
      <c r="O24" s="2208"/>
      <c r="P24" s="2208"/>
      <c r="Q24" s="2208"/>
      <c r="R24" s="2208"/>
      <c r="S24" s="2208"/>
      <c r="T24" s="2209"/>
      <c r="U24" s="2210"/>
      <c r="V24" s="2208"/>
      <c r="W24" s="2208"/>
      <c r="X24" s="2208"/>
      <c r="Y24" s="2211"/>
    </row>
    <row r="25" spans="2:32" outlineLevel="1">
      <c r="B25" s="2201" t="s">
        <v>984</v>
      </c>
      <c r="C25" s="2202" t="str">
        <f>IF('1.02b_Debt'!D31 = "","",'1.02b_Debt'!D31)</f>
        <v/>
      </c>
      <c r="D25" s="2202" t="str">
        <f>IF('1.02b_Debt'!E31 = "","",'1.02b_Debt'!E31)</f>
        <v/>
      </c>
      <c r="E25" s="2203" t="str">
        <f>IF('1.02b_Debt'!F31 = "","",'1.02b_Debt'!F31)</f>
        <v/>
      </c>
      <c r="F25" s="2204" t="str">
        <f>IF('1.02b_Debt'!G31 = "","",'1.02b_Debt'!G31)</f>
        <v/>
      </c>
      <c r="G25" s="2205" t="str">
        <f>IF('1.02b_Debt'!H31 = "","",'1.02b_Debt'!H31)</f>
        <v/>
      </c>
      <c r="H25" s="2204" t="str">
        <f>IF('1.02b_Debt'!I31 = "","",'1.02b_Debt'!I31)</f>
        <v/>
      </c>
      <c r="I25" s="2206" t="str">
        <f>IF('1.02b_Debt'!J31 = "","",'1.02b_Debt'!J31)</f>
        <v/>
      </c>
      <c r="J25" s="2193"/>
      <c r="K25" s="2194"/>
      <c r="L25" s="2195"/>
      <c r="M25" s="2207"/>
      <c r="N25" s="2208"/>
      <c r="O25" s="2208"/>
      <c r="P25" s="2208"/>
      <c r="Q25" s="2208"/>
      <c r="R25" s="2208"/>
      <c r="S25" s="2208"/>
      <c r="T25" s="2209"/>
      <c r="U25" s="2210"/>
      <c r="V25" s="2208"/>
      <c r="W25" s="2208"/>
      <c r="X25" s="2208"/>
      <c r="Y25" s="2211"/>
    </row>
    <row r="26" spans="2:32" outlineLevel="1">
      <c r="B26" s="2201" t="s">
        <v>985</v>
      </c>
      <c r="C26" s="2202" t="str">
        <f>IF('1.02b_Debt'!D32 = "","",'1.02b_Debt'!D32)</f>
        <v/>
      </c>
      <c r="D26" s="2202" t="str">
        <f>IF('1.02b_Debt'!E32 = "","",'1.02b_Debt'!E32)</f>
        <v/>
      </c>
      <c r="E26" s="2203" t="str">
        <f>IF('1.02b_Debt'!F32 = "","",'1.02b_Debt'!F32)</f>
        <v/>
      </c>
      <c r="F26" s="2204" t="str">
        <f>IF('1.02b_Debt'!G32 = "","",'1.02b_Debt'!G32)</f>
        <v/>
      </c>
      <c r="G26" s="2205" t="str">
        <f>IF('1.02b_Debt'!H32 = "","",'1.02b_Debt'!H32)</f>
        <v/>
      </c>
      <c r="H26" s="2204" t="str">
        <f>IF('1.02b_Debt'!I32 = "","",'1.02b_Debt'!I32)</f>
        <v/>
      </c>
      <c r="I26" s="2206" t="str">
        <f>IF('1.02b_Debt'!J32 = "","",'1.02b_Debt'!J32)</f>
        <v/>
      </c>
      <c r="J26" s="2193"/>
      <c r="K26" s="2194"/>
      <c r="L26" s="2195"/>
      <c r="M26" s="2207"/>
      <c r="N26" s="2208"/>
      <c r="O26" s="2208"/>
      <c r="P26" s="2208"/>
      <c r="Q26" s="2208"/>
      <c r="R26" s="2208"/>
      <c r="S26" s="2208"/>
      <c r="T26" s="2209"/>
      <c r="U26" s="2210"/>
      <c r="V26" s="2208"/>
      <c r="W26" s="2208"/>
      <c r="X26" s="2208"/>
      <c r="Y26" s="2211"/>
    </row>
    <row r="27" spans="2:32" outlineLevel="1">
      <c r="B27" s="2212" t="s">
        <v>986</v>
      </c>
      <c r="C27" s="2202" t="str">
        <f>IF('1.02b_Debt'!D33 = "","",'1.02b_Debt'!D33)</f>
        <v/>
      </c>
      <c r="D27" s="2202" t="str">
        <f>IF('1.02b_Debt'!E33 = "","",'1.02b_Debt'!E33)</f>
        <v/>
      </c>
      <c r="E27" s="2203" t="str">
        <f>IF('1.02b_Debt'!F33 = "","",'1.02b_Debt'!F33)</f>
        <v/>
      </c>
      <c r="F27" s="2204" t="str">
        <f>IF('1.02b_Debt'!G33 = "","",'1.02b_Debt'!G33)</f>
        <v/>
      </c>
      <c r="G27" s="2205" t="str">
        <f>IF('1.02b_Debt'!H33 = "","",'1.02b_Debt'!H33)</f>
        <v/>
      </c>
      <c r="H27" s="2204" t="str">
        <f>IF('1.02b_Debt'!I33 = "","",'1.02b_Debt'!I33)</f>
        <v/>
      </c>
      <c r="I27" s="2206" t="str">
        <f>IF('1.02b_Debt'!J33 = "","",'1.02b_Debt'!J33)</f>
        <v/>
      </c>
      <c r="J27" s="2193"/>
      <c r="K27" s="2194"/>
      <c r="L27" s="2195"/>
      <c r="M27" s="2215"/>
      <c r="N27" s="2216"/>
      <c r="O27" s="2216"/>
      <c r="P27" s="2216"/>
      <c r="Q27" s="2216"/>
      <c r="R27" s="2216"/>
      <c r="S27" s="2216"/>
      <c r="T27" s="2217"/>
      <c r="U27" s="2218"/>
      <c r="V27" s="2216"/>
      <c r="W27" s="2216"/>
      <c r="X27" s="2216"/>
      <c r="Y27" s="2219"/>
    </row>
    <row r="28" spans="2:32" outlineLevel="1">
      <c r="B28" s="1885"/>
      <c r="C28" s="1952"/>
      <c r="E28" s="1952"/>
      <c r="F28" s="1952"/>
      <c r="L28" s="2220" t="s">
        <v>1421</v>
      </c>
      <c r="M28" s="2221">
        <f t="shared" ref="M28:Y28" si="0">SUM(M19:M27)</f>
        <v>0</v>
      </c>
      <c r="N28" s="2222">
        <f t="shared" si="0"/>
        <v>0</v>
      </c>
      <c r="O28" s="2222">
        <f t="shared" si="0"/>
        <v>0</v>
      </c>
      <c r="P28" s="2222">
        <f t="shared" si="0"/>
        <v>0</v>
      </c>
      <c r="Q28" s="2222">
        <f t="shared" si="0"/>
        <v>0</v>
      </c>
      <c r="R28" s="2222">
        <f t="shared" si="0"/>
        <v>1.3218749999999999</v>
      </c>
      <c r="S28" s="2222">
        <f t="shared" si="0"/>
        <v>5.875</v>
      </c>
      <c r="T28" s="2223">
        <f t="shared" si="0"/>
        <v>5.875</v>
      </c>
      <c r="U28" s="2224">
        <f t="shared" si="0"/>
        <v>5.875</v>
      </c>
      <c r="V28" s="2222">
        <f t="shared" si="0"/>
        <v>5.875</v>
      </c>
      <c r="W28" s="2222">
        <f t="shared" si="0"/>
        <v>5.875</v>
      </c>
      <c r="X28" s="2222">
        <f t="shared" si="0"/>
        <v>5.875</v>
      </c>
      <c r="Y28" s="2225">
        <f t="shared" si="0"/>
        <v>5.875</v>
      </c>
    </row>
    <row r="29" spans="2:32" outlineLevel="1">
      <c r="B29" s="1885"/>
      <c r="C29" s="1952"/>
      <c r="E29" s="2226"/>
      <c r="F29" s="2226"/>
      <c r="L29" s="2227"/>
      <c r="M29" s="2226"/>
      <c r="N29" s="2226"/>
      <c r="O29" s="2226"/>
      <c r="P29" s="2226"/>
      <c r="Q29" s="2226"/>
      <c r="R29" s="2226"/>
      <c r="S29" s="2226"/>
      <c r="T29" s="2226"/>
      <c r="U29" s="2228"/>
      <c r="V29" s="2226"/>
      <c r="W29" s="2226"/>
      <c r="X29" s="2226"/>
      <c r="Y29" s="2226"/>
      <c r="Z29" s="2226"/>
      <c r="AA29" s="2226"/>
      <c r="AB29" s="2226"/>
      <c r="AC29" s="2226"/>
      <c r="AD29" s="2226"/>
      <c r="AE29" s="2226"/>
      <c r="AF29" s="2226"/>
    </row>
    <row r="30" spans="2:32" ht="18" outlineLevel="1">
      <c r="C30" s="1870"/>
      <c r="D30" s="2167" t="s">
        <v>1431</v>
      </c>
      <c r="E30" s="2168"/>
      <c r="F30" s="2168"/>
      <c r="G30" s="2168"/>
      <c r="H30" s="2168"/>
      <c r="I30" s="2168"/>
      <c r="J30" s="2168"/>
      <c r="K30" s="2168"/>
      <c r="L30" s="2229"/>
      <c r="M30" s="2168"/>
      <c r="N30" s="2168"/>
      <c r="O30" s="2168"/>
      <c r="P30" s="2168"/>
      <c r="Q30" s="2168"/>
      <c r="R30" s="2168"/>
      <c r="S30" s="2168"/>
      <c r="T30" s="2168"/>
      <c r="U30" s="2230"/>
      <c r="V30" s="2168"/>
      <c r="W30" s="2168"/>
      <c r="X30" s="2168"/>
      <c r="Y30" s="2168"/>
    </row>
    <row r="31" spans="2:32" s="1889" customFormat="1" ht="18" outlineLevel="1">
      <c r="D31" s="2173"/>
      <c r="L31" s="2231"/>
      <c r="U31" s="2232"/>
    </row>
    <row r="32" spans="2:32" ht="51" outlineLevel="1">
      <c r="B32" s="2845" t="s">
        <v>1432</v>
      </c>
      <c r="C32" s="2174" t="str">
        <f t="shared" ref="C32:I42" si="1">C17</f>
        <v>Issue date</v>
      </c>
      <c r="D32" s="2175" t="str">
        <f t="shared" si="1"/>
        <v>Maturity date</v>
      </c>
      <c r="E32" s="2175" t="str">
        <f t="shared" si="1"/>
        <v>Description</v>
      </c>
      <c r="F32" s="2175" t="str">
        <f t="shared" si="1"/>
        <v>Bond type</v>
      </c>
      <c r="G32" s="2175" t="str">
        <f t="shared" si="1"/>
        <v>Payment rank</v>
      </c>
      <c r="H32" s="2176" t="str">
        <f t="shared" si="1"/>
        <v>Reference rate</v>
      </c>
      <c r="I32" s="2177" t="str">
        <f t="shared" si="1"/>
        <v>Coupon rate / margin spread on reference rate</v>
      </c>
      <c r="L32" s="2233"/>
      <c r="Q32" s="1892"/>
      <c r="R32" s="1892"/>
      <c r="U32" s="2052"/>
      <c r="Y32" s="1877"/>
    </row>
    <row r="33" spans="2:25" outlineLevel="1">
      <c r="B33" s="2234"/>
      <c r="C33" s="2235" t="str">
        <f t="shared" si="1"/>
        <v>dd/mm/yyyy</v>
      </c>
      <c r="D33" s="2236" t="str">
        <f t="shared" si="1"/>
        <v>dd/mm/yyyy</v>
      </c>
      <c r="E33" s="2237" t="str">
        <f t="shared" si="1"/>
        <v/>
      </c>
      <c r="F33" s="2237" t="str">
        <f t="shared" si="1"/>
        <v/>
      </c>
      <c r="G33" s="2237" t="str">
        <f t="shared" si="1"/>
        <v/>
      </c>
      <c r="H33" s="2237" t="str">
        <f t="shared" si="1"/>
        <v/>
      </c>
      <c r="I33" s="2181" t="str">
        <f t="shared" si="1"/>
        <v>%</v>
      </c>
      <c r="L33" s="2233"/>
      <c r="M33" s="2238" t="s">
        <v>498</v>
      </c>
      <c r="N33" s="2239" t="s">
        <v>498</v>
      </c>
      <c r="O33" s="2239" t="s">
        <v>498</v>
      </c>
      <c r="P33" s="2239" t="s">
        <v>498</v>
      </c>
      <c r="Q33" s="2239" t="s">
        <v>498</v>
      </c>
      <c r="R33" s="2239" t="s">
        <v>498</v>
      </c>
      <c r="S33" s="2239" t="s">
        <v>498</v>
      </c>
      <c r="T33" s="2240" t="s">
        <v>498</v>
      </c>
      <c r="U33" s="2241" t="s">
        <v>498</v>
      </c>
      <c r="V33" s="2239" t="s">
        <v>498</v>
      </c>
      <c r="W33" s="2239" t="s">
        <v>498</v>
      </c>
      <c r="X33" s="2239" t="s">
        <v>498</v>
      </c>
      <c r="Y33" s="2242" t="s">
        <v>498</v>
      </c>
    </row>
    <row r="34" spans="2:25" outlineLevel="1">
      <c r="B34" s="2187" t="s">
        <v>969</v>
      </c>
      <c r="C34" s="2243">
        <f t="shared" si="1"/>
        <v>43475</v>
      </c>
      <c r="D34" s="2243">
        <f t="shared" si="1"/>
        <v>47128</v>
      </c>
      <c r="E34" s="2244" t="str">
        <f t="shared" si="1"/>
        <v>US Private Placement Senior Notes</v>
      </c>
      <c r="F34" s="2245" t="str">
        <f t="shared" si="1"/>
        <v>Fixed rate</v>
      </c>
      <c r="G34" s="2246" t="str">
        <f t="shared" si="1"/>
        <v>Senior</v>
      </c>
      <c r="H34" s="2245" t="str">
        <f t="shared" si="1"/>
        <v>Not applicable</v>
      </c>
      <c r="I34" s="2247">
        <f t="shared" si="1"/>
        <v>2.8400000000000002E-2</v>
      </c>
      <c r="J34" s="2193"/>
      <c r="K34" s="2194"/>
      <c r="L34" s="2195"/>
      <c r="M34" s="2196"/>
      <c r="N34" s="2197"/>
      <c r="O34" s="2197"/>
      <c r="P34" s="2197"/>
      <c r="Q34" s="2197"/>
      <c r="R34" s="2197"/>
      <c r="S34" s="2197">
        <v>1.42</v>
      </c>
      <c r="T34" s="2198">
        <v>1.42</v>
      </c>
      <c r="U34" s="2199">
        <v>1.42</v>
      </c>
      <c r="V34" s="2197">
        <v>1.42</v>
      </c>
      <c r="W34" s="2197">
        <v>1.42</v>
      </c>
      <c r="X34" s="2197">
        <v>1.42</v>
      </c>
      <c r="Y34" s="2200">
        <v>1.42</v>
      </c>
    </row>
    <row r="35" spans="2:25" outlineLevel="1">
      <c r="B35" s="2201" t="s">
        <v>976</v>
      </c>
      <c r="C35" s="2248" t="str">
        <f t="shared" si="1"/>
        <v/>
      </c>
      <c r="D35" s="2248" t="str">
        <f t="shared" si="1"/>
        <v/>
      </c>
      <c r="E35" s="2249" t="str">
        <f t="shared" si="1"/>
        <v>Fair value of portion of above note in a FV hedge relationship</v>
      </c>
      <c r="F35" s="2250" t="str">
        <f t="shared" si="1"/>
        <v/>
      </c>
      <c r="G35" s="2251" t="str">
        <f t="shared" si="1"/>
        <v/>
      </c>
      <c r="H35" s="2250" t="str">
        <f t="shared" si="1"/>
        <v/>
      </c>
      <c r="I35" s="2252" t="str">
        <f t="shared" si="1"/>
        <v/>
      </c>
      <c r="J35" s="2193"/>
      <c r="K35" s="2194"/>
      <c r="L35" s="2195"/>
      <c r="M35" s="2207"/>
      <c r="N35" s="2208"/>
      <c r="O35" s="2208"/>
      <c r="P35" s="2208"/>
      <c r="Q35" s="2208"/>
      <c r="R35" s="2208"/>
      <c r="S35" s="2208"/>
      <c r="T35" s="2209"/>
      <c r="U35" s="2210"/>
      <c r="V35" s="2208"/>
      <c r="W35" s="2208"/>
      <c r="X35" s="2208"/>
      <c r="Y35" s="2211"/>
    </row>
    <row r="36" spans="2:25" outlineLevel="1">
      <c r="B36" s="2201" t="s">
        <v>978</v>
      </c>
      <c r="C36" s="2248" t="str">
        <f t="shared" si="1"/>
        <v/>
      </c>
      <c r="D36" s="2248" t="str">
        <f t="shared" si="1"/>
        <v/>
      </c>
      <c r="E36" s="2249" t="str">
        <f t="shared" si="1"/>
        <v>Capitalised finance charges on above</v>
      </c>
      <c r="F36" s="2250" t="str">
        <f t="shared" si="1"/>
        <v/>
      </c>
      <c r="G36" s="2251" t="str">
        <f t="shared" si="1"/>
        <v/>
      </c>
      <c r="H36" s="2250" t="str">
        <f t="shared" si="1"/>
        <v/>
      </c>
      <c r="I36" s="2252" t="str">
        <f t="shared" si="1"/>
        <v/>
      </c>
      <c r="J36" s="2193"/>
      <c r="K36" s="2194"/>
      <c r="L36" s="2195"/>
      <c r="M36" s="2207"/>
      <c r="N36" s="2208"/>
      <c r="O36" s="2208"/>
      <c r="P36" s="2208"/>
      <c r="Q36" s="2208"/>
      <c r="R36" s="2208"/>
      <c r="S36" s="2208"/>
      <c r="T36" s="2209"/>
      <c r="U36" s="2210"/>
      <c r="V36" s="2208"/>
      <c r="W36" s="2208"/>
      <c r="X36" s="2208"/>
      <c r="Y36" s="2211"/>
    </row>
    <row r="37" spans="2:25" outlineLevel="1">
      <c r="B37" s="2201" t="s">
        <v>980</v>
      </c>
      <c r="C37" s="2248">
        <f t="shared" si="1"/>
        <v>43475</v>
      </c>
      <c r="D37" s="2248">
        <f t="shared" si="1"/>
        <v>47858</v>
      </c>
      <c r="E37" s="2249" t="str">
        <f t="shared" si="1"/>
        <v>US Private Placement Senior Notes</v>
      </c>
      <c r="F37" s="2250" t="str">
        <f t="shared" si="1"/>
        <v>Fixed rate</v>
      </c>
      <c r="G37" s="2251" t="str">
        <f t="shared" si="1"/>
        <v>Senior</v>
      </c>
      <c r="H37" s="2250" t="str">
        <f t="shared" si="1"/>
        <v>Not applicable</v>
      </c>
      <c r="I37" s="2252">
        <f t="shared" si="1"/>
        <v>2.9700000000000001E-2</v>
      </c>
      <c r="J37" s="2193"/>
      <c r="K37" s="2194"/>
      <c r="L37" s="2195"/>
      <c r="M37" s="2207"/>
      <c r="N37" s="2208"/>
      <c r="O37" s="2208"/>
      <c r="P37" s="2208"/>
      <c r="Q37" s="2208"/>
      <c r="R37" s="2208"/>
      <c r="S37" s="2208">
        <v>4.4550000000000001</v>
      </c>
      <c r="T37" s="2209">
        <v>4.4550000000000001</v>
      </c>
      <c r="U37" s="2210">
        <v>4.4550000000000001</v>
      </c>
      <c r="V37" s="2208">
        <v>4.4550000000000001</v>
      </c>
      <c r="W37" s="2208">
        <v>4.4550000000000001</v>
      </c>
      <c r="X37" s="2208">
        <v>4.4550000000000001</v>
      </c>
      <c r="Y37" s="2211">
        <v>4.4550000000000001</v>
      </c>
    </row>
    <row r="38" spans="2:25" outlineLevel="1">
      <c r="B38" s="2201" t="s">
        <v>982</v>
      </c>
      <c r="C38" s="2248" t="str">
        <f t="shared" si="1"/>
        <v/>
      </c>
      <c r="D38" s="2248" t="str">
        <f t="shared" si="1"/>
        <v/>
      </c>
      <c r="E38" s="2249" t="str">
        <f t="shared" si="1"/>
        <v>Fair value of portion of above note in a FV hedge relationship</v>
      </c>
      <c r="F38" s="2250" t="str">
        <f t="shared" si="1"/>
        <v/>
      </c>
      <c r="G38" s="2251" t="str">
        <f t="shared" si="1"/>
        <v/>
      </c>
      <c r="H38" s="2250" t="str">
        <f t="shared" si="1"/>
        <v/>
      </c>
      <c r="I38" s="2252" t="str">
        <f t="shared" si="1"/>
        <v/>
      </c>
      <c r="J38" s="2193"/>
      <c r="K38" s="2194"/>
      <c r="L38" s="2195"/>
      <c r="M38" s="2207"/>
      <c r="N38" s="2208"/>
      <c r="O38" s="2208"/>
      <c r="P38" s="2208"/>
      <c r="Q38" s="2208"/>
      <c r="R38" s="2208"/>
      <c r="S38" s="2208"/>
      <c r="T38" s="2209"/>
      <c r="U38" s="2210"/>
      <c r="V38" s="2208"/>
      <c r="W38" s="2208"/>
      <c r="X38" s="2208"/>
      <c r="Y38" s="2211"/>
    </row>
    <row r="39" spans="2:25" outlineLevel="1">
      <c r="B39" s="2201" t="s">
        <v>983</v>
      </c>
      <c r="C39" s="2248" t="str">
        <f t="shared" si="1"/>
        <v/>
      </c>
      <c r="D39" s="2248" t="str">
        <f t="shared" si="1"/>
        <v/>
      </c>
      <c r="E39" s="2249" t="str">
        <f t="shared" si="1"/>
        <v>Capitalised finance charges on above</v>
      </c>
      <c r="F39" s="2250" t="str">
        <f t="shared" si="1"/>
        <v/>
      </c>
      <c r="G39" s="2251" t="str">
        <f t="shared" si="1"/>
        <v/>
      </c>
      <c r="H39" s="2250" t="str">
        <f t="shared" si="1"/>
        <v/>
      </c>
      <c r="I39" s="2252" t="str">
        <f t="shared" si="1"/>
        <v/>
      </c>
      <c r="J39" s="2193"/>
      <c r="K39" s="2194"/>
      <c r="L39" s="2195"/>
      <c r="M39" s="2207"/>
      <c r="N39" s="2208"/>
      <c r="O39" s="2208"/>
      <c r="P39" s="2208"/>
      <c r="Q39" s="2208"/>
      <c r="R39" s="2208"/>
      <c r="S39" s="2208"/>
      <c r="T39" s="2209"/>
      <c r="U39" s="2210"/>
      <c r="V39" s="2208"/>
      <c r="W39" s="2208"/>
      <c r="X39" s="2208"/>
      <c r="Y39" s="2211"/>
    </row>
    <row r="40" spans="2:25" outlineLevel="1">
      <c r="B40" s="2201" t="s">
        <v>984</v>
      </c>
      <c r="C40" s="2248" t="str">
        <f t="shared" si="1"/>
        <v/>
      </c>
      <c r="D40" s="2248" t="str">
        <f t="shared" si="1"/>
        <v/>
      </c>
      <c r="E40" s="2249" t="str">
        <f t="shared" si="1"/>
        <v/>
      </c>
      <c r="F40" s="2250" t="str">
        <f t="shared" si="1"/>
        <v/>
      </c>
      <c r="G40" s="2251" t="str">
        <f t="shared" si="1"/>
        <v/>
      </c>
      <c r="H40" s="2250" t="str">
        <f t="shared" si="1"/>
        <v/>
      </c>
      <c r="I40" s="2252" t="str">
        <f t="shared" si="1"/>
        <v/>
      </c>
      <c r="J40" s="2193"/>
      <c r="K40" s="2194"/>
      <c r="L40" s="2195"/>
      <c r="M40" s="2207"/>
      <c r="N40" s="2208"/>
      <c r="O40" s="2208"/>
      <c r="P40" s="2208"/>
      <c r="Q40" s="2208"/>
      <c r="R40" s="2208"/>
      <c r="S40" s="2208"/>
      <c r="T40" s="2209"/>
      <c r="U40" s="2210"/>
      <c r="V40" s="2208"/>
      <c r="W40" s="2208"/>
      <c r="X40" s="2208"/>
      <c r="Y40" s="2211"/>
    </row>
    <row r="41" spans="2:25" outlineLevel="1">
      <c r="B41" s="2201" t="s">
        <v>985</v>
      </c>
      <c r="C41" s="2248" t="str">
        <f t="shared" si="1"/>
        <v/>
      </c>
      <c r="D41" s="2248" t="str">
        <f t="shared" si="1"/>
        <v/>
      </c>
      <c r="E41" s="2249" t="str">
        <f t="shared" si="1"/>
        <v/>
      </c>
      <c r="F41" s="2250" t="str">
        <f t="shared" si="1"/>
        <v/>
      </c>
      <c r="G41" s="2251" t="str">
        <f t="shared" si="1"/>
        <v/>
      </c>
      <c r="H41" s="2250" t="str">
        <f t="shared" si="1"/>
        <v/>
      </c>
      <c r="I41" s="2252" t="str">
        <f t="shared" si="1"/>
        <v/>
      </c>
      <c r="J41" s="2193"/>
      <c r="K41" s="2194"/>
      <c r="L41" s="2195"/>
      <c r="M41" s="2207"/>
      <c r="N41" s="2208"/>
      <c r="O41" s="2208"/>
      <c r="P41" s="2208"/>
      <c r="Q41" s="2208"/>
      <c r="R41" s="2208"/>
      <c r="S41" s="2208"/>
      <c r="T41" s="2209"/>
      <c r="U41" s="2210"/>
      <c r="V41" s="2208"/>
      <c r="W41" s="2208"/>
      <c r="X41" s="2208"/>
      <c r="Y41" s="2211"/>
    </row>
    <row r="42" spans="2:25" outlineLevel="1">
      <c r="B42" s="2212" t="s">
        <v>986</v>
      </c>
      <c r="C42" s="2253" t="str">
        <f t="shared" si="1"/>
        <v/>
      </c>
      <c r="D42" s="2253" t="str">
        <f t="shared" si="1"/>
        <v/>
      </c>
      <c r="E42" s="2254" t="str">
        <f t="shared" si="1"/>
        <v/>
      </c>
      <c r="F42" s="2255" t="str">
        <f t="shared" si="1"/>
        <v/>
      </c>
      <c r="G42" s="2256" t="str">
        <f t="shared" si="1"/>
        <v/>
      </c>
      <c r="H42" s="2255" t="str">
        <f t="shared" si="1"/>
        <v/>
      </c>
      <c r="I42" s="2257" t="str">
        <f t="shared" si="1"/>
        <v/>
      </c>
      <c r="J42" s="2193"/>
      <c r="K42" s="2194"/>
      <c r="L42" s="2195"/>
      <c r="M42" s="2215"/>
      <c r="N42" s="2216"/>
      <c r="O42" s="2216"/>
      <c r="P42" s="2216"/>
      <c r="Q42" s="2216"/>
      <c r="R42" s="2216"/>
      <c r="S42" s="2216"/>
      <c r="T42" s="2217"/>
      <c r="U42" s="2218"/>
      <c r="V42" s="2216"/>
      <c r="W42" s="2216"/>
      <c r="X42" s="2216"/>
      <c r="Y42" s="2219"/>
    </row>
    <row r="43" spans="2:25" outlineLevel="1">
      <c r="B43" s="1885"/>
      <c r="C43" s="1952"/>
      <c r="D43" s="1952"/>
      <c r="E43" s="1952"/>
      <c r="F43" s="1952"/>
      <c r="L43" s="2220" t="s">
        <v>1421</v>
      </c>
      <c r="M43" s="2074">
        <f>SUM(M34:M42)</f>
        <v>0</v>
      </c>
      <c r="N43" s="2075">
        <f t="shared" ref="N43:Y43" si="2">SUM(N34:N42)</f>
        <v>0</v>
      </c>
      <c r="O43" s="2075">
        <f t="shared" si="2"/>
        <v>0</v>
      </c>
      <c r="P43" s="2075">
        <f t="shared" si="2"/>
        <v>0</v>
      </c>
      <c r="Q43" s="2075">
        <f t="shared" si="2"/>
        <v>0</v>
      </c>
      <c r="R43" s="2075">
        <f t="shared" si="2"/>
        <v>0</v>
      </c>
      <c r="S43" s="2075">
        <f t="shared" si="2"/>
        <v>5.875</v>
      </c>
      <c r="T43" s="2076">
        <f t="shared" si="2"/>
        <v>5.875</v>
      </c>
      <c r="U43" s="2077">
        <f t="shared" si="2"/>
        <v>5.875</v>
      </c>
      <c r="V43" s="2075">
        <f t="shared" si="2"/>
        <v>5.875</v>
      </c>
      <c r="W43" s="2075">
        <f t="shared" si="2"/>
        <v>5.875</v>
      </c>
      <c r="X43" s="2075">
        <f t="shared" si="2"/>
        <v>5.875</v>
      </c>
      <c r="Y43" s="2078">
        <f t="shared" si="2"/>
        <v>5.875</v>
      </c>
    </row>
    <row r="44" spans="2:25" outlineLevel="1">
      <c r="B44" s="2159"/>
      <c r="C44" s="1952"/>
      <c r="L44" s="2233"/>
      <c r="Q44" s="1892"/>
      <c r="R44" s="1892"/>
      <c r="U44" s="2052"/>
      <c r="Y44" s="1877"/>
    </row>
    <row r="45" spans="2:25" ht="18" outlineLevel="1">
      <c r="B45" s="2159"/>
      <c r="C45" s="2258" t="s">
        <v>1433</v>
      </c>
      <c r="D45" s="2161"/>
      <c r="E45" s="2161"/>
      <c r="F45" s="2161"/>
      <c r="G45" s="2161"/>
      <c r="H45" s="2161"/>
      <c r="I45" s="2161"/>
      <c r="J45" s="2161"/>
      <c r="K45" s="2161"/>
      <c r="L45" s="2259"/>
      <c r="M45" s="2161"/>
      <c r="N45" s="2161"/>
      <c r="O45" s="2161"/>
      <c r="P45" s="2161"/>
      <c r="Q45" s="2162"/>
      <c r="R45" s="2162"/>
      <c r="S45" s="2163"/>
      <c r="T45" s="2163"/>
      <c r="U45" s="2164"/>
      <c r="V45" s="2163"/>
      <c r="W45" s="2163"/>
      <c r="X45" s="2163"/>
      <c r="Y45" s="2165"/>
    </row>
    <row r="46" spans="2:25" ht="18" outlineLevel="1">
      <c r="B46" s="2159"/>
      <c r="C46" s="2260"/>
      <c r="L46" s="2233"/>
      <c r="Q46" s="1892"/>
      <c r="R46" s="1892"/>
      <c r="U46" s="2052"/>
      <c r="Y46" s="1877"/>
    </row>
    <row r="47" spans="2:25" ht="18" outlineLevel="1">
      <c r="B47" s="2159"/>
      <c r="C47" s="1952"/>
      <c r="D47" s="2167" t="s">
        <v>1430</v>
      </c>
      <c r="E47" s="2168"/>
      <c r="F47" s="2168"/>
      <c r="G47" s="2168"/>
      <c r="H47" s="2168"/>
      <c r="I47" s="2168"/>
      <c r="J47" s="2168"/>
      <c r="K47" s="2168"/>
      <c r="L47" s="2229"/>
      <c r="M47" s="2168"/>
      <c r="N47" s="2168"/>
      <c r="O47" s="2168"/>
      <c r="P47" s="2168"/>
      <c r="Q47" s="2169"/>
      <c r="R47" s="2169"/>
      <c r="S47" s="2170"/>
      <c r="T47" s="2170"/>
      <c r="U47" s="2171"/>
      <c r="V47" s="2170"/>
      <c r="W47" s="2170"/>
      <c r="X47" s="2170"/>
      <c r="Y47" s="2172"/>
    </row>
    <row r="48" spans="2:25" s="1889" customFormat="1" ht="18" outlineLevel="1">
      <c r="B48" s="2049"/>
      <c r="C48" s="1888"/>
      <c r="D48" s="2173"/>
      <c r="L48" s="2231"/>
      <c r="Q48" s="1893"/>
      <c r="R48" s="1893"/>
      <c r="S48" s="2051"/>
      <c r="T48" s="2051"/>
      <c r="U48" s="2052"/>
      <c r="V48" s="2051"/>
      <c r="W48" s="2051"/>
      <c r="X48" s="2051"/>
      <c r="Y48" s="1895"/>
    </row>
    <row r="49" spans="2:25" ht="51" outlineLevel="1">
      <c r="B49" s="2845" t="s">
        <v>965</v>
      </c>
      <c r="C49" s="2261" t="str">
        <f>IF('1.02b_Debt'!D37 = "","",'1.02b_Debt'!D37)</f>
        <v>Issue date</v>
      </c>
      <c r="D49" s="2262" t="str">
        <f>IF('1.02b_Debt'!E37 = "","",'1.02b_Debt'!E37)</f>
        <v>Maturity date</v>
      </c>
      <c r="E49" s="2262" t="str">
        <f>IF('1.02b_Debt'!F37 = "","",'1.02b_Debt'!F37)</f>
        <v>Description</v>
      </c>
      <c r="F49" s="2262" t="str">
        <f>IF('1.02b_Debt'!G37 = "","",'1.02b_Debt'!G37)</f>
        <v>Loan type</v>
      </c>
      <c r="G49" s="2262" t="str">
        <f>IF('1.02b_Debt'!H37 = "","",'1.02b_Debt'!H37)</f>
        <v>Payment rank</v>
      </c>
      <c r="H49" s="2263" t="str">
        <f>IF('1.02b_Debt'!I37 = "","",'1.02b_Debt'!I37)</f>
        <v>Reference rate</v>
      </c>
      <c r="I49" s="2264" t="str">
        <f>IF('1.02b_Debt'!J37 = "","",'1.02b_Debt'!J37)</f>
        <v>Interest rate / margin spread on reference rate</v>
      </c>
      <c r="L49" s="2233"/>
      <c r="Q49" s="1892"/>
      <c r="R49" s="1892"/>
      <c r="U49" s="2052"/>
      <c r="Y49" s="1877"/>
    </row>
    <row r="50" spans="2:25" outlineLevel="1">
      <c r="B50" s="2234"/>
      <c r="C50" s="2179" t="str">
        <f>IF('1.02b_Debt'!D38 = "","",'1.02b_Debt'!D38)</f>
        <v>dd/mm/yyyy</v>
      </c>
      <c r="D50" s="2180" t="str">
        <f>IF('1.02b_Debt'!E38 = "","",'1.02b_Debt'!E38)</f>
        <v>dd/mm/yyyy</v>
      </c>
      <c r="E50" s="2180" t="str">
        <f>IF('1.02b_Debt'!F38 = "","",'1.02b_Debt'!F38)</f>
        <v/>
      </c>
      <c r="F50" s="2180" t="str">
        <f>IF('1.02b_Debt'!G38 = "","",'1.02b_Debt'!G38)</f>
        <v/>
      </c>
      <c r="G50" s="2180" t="str">
        <f>IF('1.02b_Debt'!H38 = "","",'1.02b_Debt'!H38)</f>
        <v/>
      </c>
      <c r="H50" s="2180" t="str">
        <f>IF('1.02b_Debt'!I38 = "","",'1.02b_Debt'!I38)</f>
        <v/>
      </c>
      <c r="I50" s="2265" t="str">
        <f>IF('1.02b_Debt'!J38 = "","",'1.02b_Debt'!J38)</f>
        <v xml:space="preserve">% </v>
      </c>
      <c r="L50" s="2233"/>
      <c r="M50" s="2238" t="s">
        <v>498</v>
      </c>
      <c r="N50" s="2239" t="s">
        <v>498</v>
      </c>
      <c r="O50" s="2239" t="s">
        <v>498</v>
      </c>
      <c r="P50" s="2239" t="s">
        <v>498</v>
      </c>
      <c r="Q50" s="2239" t="s">
        <v>498</v>
      </c>
      <c r="R50" s="2239" t="s">
        <v>498</v>
      </c>
      <c r="S50" s="2239" t="s">
        <v>498</v>
      </c>
      <c r="T50" s="2240" t="s">
        <v>498</v>
      </c>
      <c r="U50" s="2241" t="s">
        <v>498</v>
      </c>
      <c r="V50" s="2239" t="s">
        <v>498</v>
      </c>
      <c r="W50" s="2239" t="s">
        <v>498</v>
      </c>
      <c r="X50" s="2239" t="s">
        <v>498</v>
      </c>
      <c r="Y50" s="2242" t="s">
        <v>498</v>
      </c>
    </row>
    <row r="51" spans="2:25" outlineLevel="1">
      <c r="B51" s="2187" t="s">
        <v>997</v>
      </c>
      <c r="C51" s="2188">
        <f>IF('1.02b_Debt'!D39 = "","",'1.02b_Debt'!D39)</f>
        <v>39835</v>
      </c>
      <c r="D51" s="2188">
        <f>IF('1.02b_Debt'!E39 = "","",'1.02b_Debt'!E39)</f>
        <v>44949</v>
      </c>
      <c r="E51" s="2266" t="str">
        <f>IF('1.02b_Debt'!F39 = "","",'1.02b_Debt'!F39)</f>
        <v>EIB loan</v>
      </c>
      <c r="F51" s="2267" t="str">
        <f>IF('1.02b_Debt'!G39 = "","",'1.02b_Debt'!G39)</f>
        <v>Floating</v>
      </c>
      <c r="G51" s="2268" t="str">
        <f>IF('1.02b_Debt'!H39 = "","",'1.02b_Debt'!H39)</f>
        <v>Senior</v>
      </c>
      <c r="H51" s="2267" t="str">
        <f>IF('1.02b_Debt'!I39 = "","",'1.02b_Debt'!I39)</f>
        <v>LIBOR 3 month</v>
      </c>
      <c r="I51" s="2192">
        <f>IF('1.02b_Debt'!J39 = "","",'1.02b_Debt'!J39)</f>
        <v>3.5699999999999998E-3</v>
      </c>
      <c r="J51" s="2193"/>
      <c r="K51" s="2194"/>
      <c r="L51" s="2195"/>
      <c r="M51" s="2586">
        <v>4.4630000000000001</v>
      </c>
      <c r="N51" s="2587">
        <v>4.5449999999999999</v>
      </c>
      <c r="O51" s="2587">
        <v>4.7380000000000004</v>
      </c>
      <c r="P51" s="2587">
        <v>0.21005475000000001</v>
      </c>
      <c r="Q51" s="2587">
        <v>0.18342096000000002</v>
      </c>
      <c r="R51" s="2197">
        <v>0.28662098000000003</v>
      </c>
      <c r="S51" s="2197">
        <v>0.30006986301369865</v>
      </c>
      <c r="T51" s="2198">
        <v>0.29675000000000001</v>
      </c>
      <c r="U51" s="2199">
        <v>0.30175000000000002</v>
      </c>
      <c r="V51" s="2197">
        <v>0.25367054794520549</v>
      </c>
      <c r="W51" s="2197">
        <v>0</v>
      </c>
      <c r="X51" s="2197">
        <v>0</v>
      </c>
      <c r="Y51" s="2200">
        <v>0</v>
      </c>
    </row>
    <row r="52" spans="2:25" outlineLevel="1">
      <c r="B52" s="2201" t="s">
        <v>1002</v>
      </c>
      <c r="C52" s="2202">
        <f>IF('1.02b_Debt'!D40 = "","",'1.02b_Debt'!D40)</f>
        <v>40267</v>
      </c>
      <c r="D52" s="2202">
        <f>IF('1.02b_Debt'!E40 = "","",'1.02b_Debt'!E40)</f>
        <v>45381</v>
      </c>
      <c r="E52" s="2269" t="str">
        <f>IF('1.02b_Debt'!F40 = "","",'1.02b_Debt'!F40)</f>
        <v>EIB loan</v>
      </c>
      <c r="F52" s="2270" t="str">
        <f>IF('1.02b_Debt'!G40 = "","",'1.02b_Debt'!G40)</f>
        <v>Floating</v>
      </c>
      <c r="G52" s="2271" t="str">
        <f>IF('1.02b_Debt'!H40 = "","",'1.02b_Debt'!H40)</f>
        <v>Senior</v>
      </c>
      <c r="H52" s="2270" t="str">
        <f>IF('1.02b_Debt'!I40 = "","",'1.02b_Debt'!I40)</f>
        <v>LIBOR 3 month</v>
      </c>
      <c r="I52" s="2206">
        <f>IF('1.02b_Debt'!J40 = "","",'1.02b_Debt'!J40)</f>
        <v>6.2399999999999999E-3</v>
      </c>
      <c r="J52" s="2193"/>
      <c r="K52" s="2194"/>
      <c r="L52" s="2195"/>
      <c r="M52" s="2588"/>
      <c r="N52" s="2589"/>
      <c r="O52" s="2589"/>
      <c r="P52" s="2589">
        <v>1.09712874</v>
      </c>
      <c r="Q52" s="2589">
        <v>1.0015183300000001</v>
      </c>
      <c r="R52" s="2208">
        <v>1.3986832499999997</v>
      </c>
      <c r="S52" s="2208">
        <v>1.4680109589041097</v>
      </c>
      <c r="T52" s="2209">
        <v>1.454</v>
      </c>
      <c r="U52" s="2210">
        <v>1.4739999999999998</v>
      </c>
      <c r="V52" s="2208">
        <v>1.514</v>
      </c>
      <c r="W52" s="2208">
        <v>1.5497424657534244</v>
      </c>
      <c r="X52" s="2208">
        <v>0</v>
      </c>
      <c r="Y52" s="2211">
        <v>0</v>
      </c>
    </row>
    <row r="53" spans="2:25" outlineLevel="1">
      <c r="B53" s="2201" t="s">
        <v>1003</v>
      </c>
      <c r="C53" s="2202">
        <f>IF('1.02b_Debt'!D41 = "","",'1.02b_Debt'!D41)</f>
        <v>40353</v>
      </c>
      <c r="D53" s="2202">
        <f>IF('1.02b_Debt'!E41 = "","",'1.02b_Debt'!E41)</f>
        <v>45467</v>
      </c>
      <c r="E53" s="2269" t="str">
        <f>IF('1.02b_Debt'!F41 = "","",'1.02b_Debt'!F41)</f>
        <v>EIB loan</v>
      </c>
      <c r="F53" s="2270" t="str">
        <f>IF('1.02b_Debt'!G41 = "","",'1.02b_Debt'!G41)</f>
        <v>Floating</v>
      </c>
      <c r="G53" s="2271" t="str">
        <f>IF('1.02b_Debt'!H41 = "","",'1.02b_Debt'!H41)</f>
        <v>Senior</v>
      </c>
      <c r="H53" s="2270" t="str">
        <f>IF('1.02b_Debt'!I41 = "","",'1.02b_Debt'!I41)</f>
        <v>LIBOR 3 month</v>
      </c>
      <c r="I53" s="2206">
        <f>IF('1.02b_Debt'!J41 = "","",'1.02b_Debt'!J41)</f>
        <v>5.4799999999999996E-3</v>
      </c>
      <c r="J53" s="2193"/>
      <c r="K53" s="2194"/>
      <c r="L53" s="2195"/>
      <c r="M53" s="2588"/>
      <c r="N53" s="2589"/>
      <c r="O53" s="2589"/>
      <c r="P53" s="2589">
        <v>0.25433493000000007</v>
      </c>
      <c r="Q53" s="2589">
        <v>0.23087438000000002</v>
      </c>
      <c r="R53" s="2208">
        <v>0.32773089999999999</v>
      </c>
      <c r="S53" s="2208">
        <v>0.34795068493150683</v>
      </c>
      <c r="T53" s="2209">
        <v>0.34449999999999997</v>
      </c>
      <c r="U53" s="2210">
        <v>0.34949999999999998</v>
      </c>
      <c r="V53" s="2208">
        <v>0.35949999999999999</v>
      </c>
      <c r="W53" s="2208">
        <v>0.3705123287671232</v>
      </c>
      <c r="X53" s="2208">
        <v>8.6761643835616437E-2</v>
      </c>
      <c r="Y53" s="2211">
        <v>0</v>
      </c>
    </row>
    <row r="54" spans="2:25" outlineLevel="1">
      <c r="B54" s="2201" t="s">
        <v>1004</v>
      </c>
      <c r="C54" s="2202">
        <f>IF('1.02b_Debt'!D42 = "","",'1.02b_Debt'!D42)</f>
        <v>41120</v>
      </c>
      <c r="D54" s="2202">
        <f>IF('1.02b_Debt'!E42 = "","",'1.02b_Debt'!E42)</f>
        <v>45503</v>
      </c>
      <c r="E54" s="2269" t="str">
        <f>IF('1.02b_Debt'!F42 = "","",'1.02b_Debt'!F42)</f>
        <v>EIB loan</v>
      </c>
      <c r="F54" s="2270" t="str">
        <f>IF('1.02b_Debt'!G42 = "","",'1.02b_Debt'!G42)</f>
        <v>Floating</v>
      </c>
      <c r="G54" s="2271" t="str">
        <f>IF('1.02b_Debt'!H42 = "","",'1.02b_Debt'!H42)</f>
        <v>Senior</v>
      </c>
      <c r="H54" s="2270" t="str">
        <f>IF('1.02b_Debt'!I42 = "","",'1.02b_Debt'!I42)</f>
        <v>LIBOR 3 month</v>
      </c>
      <c r="I54" s="2206">
        <f>IF('1.02b_Debt'!J42 = "","",'1.02b_Debt'!J42)</f>
        <v>4.5799999999999999E-3</v>
      </c>
      <c r="J54" s="2193"/>
      <c r="K54" s="2194"/>
      <c r="L54" s="2195"/>
      <c r="M54" s="2588"/>
      <c r="N54" s="2589"/>
      <c r="O54" s="2589"/>
      <c r="P54" s="2589">
        <v>0.5627909499999999</v>
      </c>
      <c r="Q54" s="2589">
        <v>0.50179704000000003</v>
      </c>
      <c r="R54" s="2208">
        <v>0.74140163999999997</v>
      </c>
      <c r="S54" s="2208">
        <v>0.78093369863013684</v>
      </c>
      <c r="T54" s="2209">
        <v>0.77279999999999993</v>
      </c>
      <c r="U54" s="2210">
        <v>0.78480000000000005</v>
      </c>
      <c r="V54" s="2208">
        <v>0.80880000000000007</v>
      </c>
      <c r="W54" s="2208">
        <v>0.83508164383561634</v>
      </c>
      <c r="X54" s="2208">
        <v>0.27971506849315064</v>
      </c>
      <c r="Y54" s="2211">
        <v>0</v>
      </c>
    </row>
    <row r="55" spans="2:25" outlineLevel="1">
      <c r="B55" s="2201" t="s">
        <v>1005</v>
      </c>
      <c r="C55" s="2202">
        <f>IF('1.02b_Debt'!D43 = "","",'1.02b_Debt'!D43)</f>
        <v>41263</v>
      </c>
      <c r="D55" s="2202">
        <f>IF('1.02b_Debt'!E43 = "","",'1.02b_Debt'!E43)</f>
        <v>45646</v>
      </c>
      <c r="E55" s="2269" t="str">
        <f>IF('1.02b_Debt'!F43 = "","",'1.02b_Debt'!F43)</f>
        <v>EIB loan</v>
      </c>
      <c r="F55" s="2270" t="str">
        <f>IF('1.02b_Debt'!G43 = "","",'1.02b_Debt'!G43)</f>
        <v>Fixed rate</v>
      </c>
      <c r="G55" s="2271" t="str">
        <f>IF('1.02b_Debt'!H43 = "","",'1.02b_Debt'!H43)</f>
        <v>Senior</v>
      </c>
      <c r="H55" s="2270" t="str">
        <f>IF('1.02b_Debt'!I43 = "","",'1.02b_Debt'!I43)</f>
        <v>Not applicable</v>
      </c>
      <c r="I55" s="2206">
        <f>IF('1.02b_Debt'!J43 = "","",'1.02b_Debt'!J43)</f>
        <v>3.4459999999999998E-2</v>
      </c>
      <c r="J55" s="2193"/>
      <c r="K55" s="2194"/>
      <c r="L55" s="2195"/>
      <c r="M55" s="2588"/>
      <c r="N55" s="2589"/>
      <c r="O55" s="2589"/>
      <c r="P55" s="2589">
        <v>1.3784000000000001</v>
      </c>
      <c r="Q55" s="2589">
        <v>1.3784000000000001</v>
      </c>
      <c r="R55" s="2208">
        <v>1.3784000000000001</v>
      </c>
      <c r="S55" s="2208">
        <v>1.3821764383561643</v>
      </c>
      <c r="T55" s="2209">
        <v>1.3783999999999998</v>
      </c>
      <c r="U55" s="2210">
        <v>1.3783999999999998</v>
      </c>
      <c r="V55" s="2208">
        <v>1.3783999999999998</v>
      </c>
      <c r="W55" s="2208">
        <v>1.3821764383561643</v>
      </c>
      <c r="X55" s="2208">
        <v>0.99320328767123267</v>
      </c>
      <c r="Y55" s="2211">
        <v>0</v>
      </c>
    </row>
    <row r="56" spans="2:25" outlineLevel="1">
      <c r="B56" s="2201" t="s">
        <v>1006</v>
      </c>
      <c r="C56" s="2202">
        <f>IF('1.02b_Debt'!D44 = "","",'1.02b_Debt'!D44)</f>
        <v>41358</v>
      </c>
      <c r="D56" s="2202">
        <f>IF('1.02b_Debt'!E44 = "","",'1.02b_Debt'!E44)</f>
        <v>49028</v>
      </c>
      <c r="E56" s="2269" t="str">
        <f>IF('1.02b_Debt'!F44 = "","",'1.02b_Debt'!F44)</f>
        <v>EIB loan</v>
      </c>
      <c r="F56" s="2270" t="str">
        <f>IF('1.02b_Debt'!G44 = "","",'1.02b_Debt'!G44)</f>
        <v>Floating</v>
      </c>
      <c r="G56" s="2271" t="str">
        <f>IF('1.02b_Debt'!H44 = "","",'1.02b_Debt'!H44)</f>
        <v>Senior</v>
      </c>
      <c r="H56" s="2270" t="str">
        <f>IF('1.02b_Debt'!I44 = "","",'1.02b_Debt'!I44)</f>
        <v>LIBOR 3 month</v>
      </c>
      <c r="I56" s="2206">
        <f>IF('1.02b_Debt'!J44 = "","",'1.02b_Debt'!J44)</f>
        <v>8.6E-3</v>
      </c>
      <c r="J56" s="2193"/>
      <c r="K56" s="2194"/>
      <c r="L56" s="2195"/>
      <c r="M56" s="2588"/>
      <c r="N56" s="2589"/>
      <c r="O56" s="2589"/>
      <c r="P56" s="2589">
        <v>0.43958032000000008</v>
      </c>
      <c r="Q56" s="2589">
        <v>0.38669706000000004</v>
      </c>
      <c r="R56" s="2208">
        <v>0.47716510999999995</v>
      </c>
      <c r="S56" s="2208">
        <v>0.47102379257293137</v>
      </c>
      <c r="T56" s="2209">
        <v>0.4358421055299998</v>
      </c>
      <c r="U56" s="2210">
        <v>0.40950000032399986</v>
      </c>
      <c r="V56" s="2208">
        <v>0.38684210564999982</v>
      </c>
      <c r="W56" s="2208">
        <v>0.36370425423859698</v>
      </c>
      <c r="X56" s="2208">
        <v>0.33526315841199977</v>
      </c>
      <c r="Y56" s="2211">
        <v>0.30836842163999972</v>
      </c>
    </row>
    <row r="57" spans="2:25" outlineLevel="1">
      <c r="B57" s="2201" t="s">
        <v>1007</v>
      </c>
      <c r="C57" s="2202">
        <f>IF('1.02b_Debt'!D45 = "","",'1.02b_Debt'!D45)</f>
        <v>42094</v>
      </c>
      <c r="D57" s="2202">
        <f>IF('1.02b_Debt'!E45 = "","",'1.02b_Debt'!E45)</f>
        <v>46477</v>
      </c>
      <c r="E57" s="2269" t="str">
        <f>IF('1.02b_Debt'!F45 = "","",'1.02b_Debt'!F45)</f>
        <v>EIB loan</v>
      </c>
      <c r="F57" s="2270" t="str">
        <f>IF('1.02b_Debt'!G45 = "","",'1.02b_Debt'!G45)</f>
        <v>Floating</v>
      </c>
      <c r="G57" s="2271" t="str">
        <f>IF('1.02b_Debt'!H45 = "","",'1.02b_Debt'!H45)</f>
        <v>Senior</v>
      </c>
      <c r="H57" s="2270" t="str">
        <f>IF('1.02b_Debt'!I45 = "","",'1.02b_Debt'!I45)</f>
        <v>LIBOR 3 month</v>
      </c>
      <c r="I57" s="2206">
        <f>IF('1.02b_Debt'!J45 = "","",'1.02b_Debt'!J45)</f>
        <v>5.3400000000000001E-3</v>
      </c>
      <c r="J57" s="2193"/>
      <c r="K57" s="2194"/>
      <c r="L57" s="2195"/>
      <c r="M57" s="2588"/>
      <c r="N57" s="2589"/>
      <c r="O57" s="2589"/>
      <c r="P57" s="2589">
        <v>0.30225508000000001</v>
      </c>
      <c r="Q57" s="2589">
        <v>0.27345551999999995</v>
      </c>
      <c r="R57" s="2208">
        <v>0.39260497</v>
      </c>
      <c r="S57" s="2208">
        <v>0.41332931506849308</v>
      </c>
      <c r="T57" s="2209">
        <v>0.40920000000000001</v>
      </c>
      <c r="U57" s="2210">
        <v>0.41520000000000007</v>
      </c>
      <c r="V57" s="2208">
        <v>0.42719999999999997</v>
      </c>
      <c r="W57" s="2208">
        <v>0.44040328767123282</v>
      </c>
      <c r="X57" s="2208">
        <v>0.44819999999999999</v>
      </c>
      <c r="Y57" s="2211">
        <v>0.4602</v>
      </c>
    </row>
    <row r="58" spans="2:25" outlineLevel="1">
      <c r="B58" s="2201" t="s">
        <v>1008</v>
      </c>
      <c r="C58" s="2202">
        <f>IF('1.02b_Debt'!D46 = "","",'1.02b_Debt'!D46)</f>
        <v>42429</v>
      </c>
      <c r="D58" s="2202">
        <f>IF('1.02b_Debt'!E46 = "","",'1.02b_Debt'!E46)</f>
        <v>46811</v>
      </c>
      <c r="E58" s="2269" t="str">
        <f>IF('1.02b_Debt'!F46 = "","",'1.02b_Debt'!F46)</f>
        <v>EIB loan</v>
      </c>
      <c r="F58" s="2270" t="str">
        <f>IF('1.02b_Debt'!G46 = "","",'1.02b_Debt'!G46)</f>
        <v>Floating</v>
      </c>
      <c r="G58" s="2271" t="str">
        <f>IF('1.02b_Debt'!H46 = "","",'1.02b_Debt'!H46)</f>
        <v>Senior</v>
      </c>
      <c r="H58" s="2270" t="str">
        <f>IF('1.02b_Debt'!I46 = "","",'1.02b_Debt'!I46)</f>
        <v>LIBOR 3 month</v>
      </c>
      <c r="I58" s="2206">
        <f>IF('1.02b_Debt'!J46 = "","",'1.02b_Debt'!J46)</f>
        <v>6.2700000000000004E-3</v>
      </c>
      <c r="J58" s="2193"/>
      <c r="K58" s="2194"/>
      <c r="L58" s="2195"/>
      <c r="M58" s="2588"/>
      <c r="N58" s="2589"/>
      <c r="O58" s="2589"/>
      <c r="P58" s="2589">
        <v>0.32854576999999996</v>
      </c>
      <c r="Q58" s="2589">
        <v>0.30251418000000008</v>
      </c>
      <c r="R58" s="2208">
        <v>0.41138926000000003</v>
      </c>
      <c r="S58" s="2208">
        <v>0.4413057534246575</v>
      </c>
      <c r="T58" s="2209">
        <v>0.43710000000000004</v>
      </c>
      <c r="U58" s="2210">
        <v>0.4431000000000001</v>
      </c>
      <c r="V58" s="2208">
        <v>0.45509999999999989</v>
      </c>
      <c r="W58" s="2208">
        <v>0.4683797260273973</v>
      </c>
      <c r="X58" s="2208">
        <v>0.47609999999999997</v>
      </c>
      <c r="Y58" s="2211">
        <v>0.48809999999999998</v>
      </c>
    </row>
    <row r="59" spans="2:25" outlineLevel="1">
      <c r="B59" s="2201" t="s">
        <v>1009</v>
      </c>
      <c r="C59" s="2202">
        <f>IF('1.02b_Debt'!D47 = "","",'1.02b_Debt'!D47)</f>
        <v>42724</v>
      </c>
      <c r="D59" s="2202">
        <f>IF('1.02b_Debt'!E47 = "","",'1.02b_Debt'!E47)</f>
        <v>47107</v>
      </c>
      <c r="E59" s="2269" t="str">
        <f>IF('1.02b_Debt'!F47 = "","",'1.02b_Debt'!F47)</f>
        <v>EIB loan</v>
      </c>
      <c r="F59" s="2270" t="str">
        <f>IF('1.02b_Debt'!G47 = "","",'1.02b_Debt'!G47)</f>
        <v>Floating</v>
      </c>
      <c r="G59" s="2271" t="str">
        <f>IF('1.02b_Debt'!H47 = "","",'1.02b_Debt'!H47)</f>
        <v>Senior</v>
      </c>
      <c r="H59" s="2270" t="str">
        <f>IF('1.02b_Debt'!I47 = "","",'1.02b_Debt'!I47)</f>
        <v>LIBOR 3 month</v>
      </c>
      <c r="I59" s="2206">
        <f>IF('1.02b_Debt'!J47 = "","",'1.02b_Debt'!J47)</f>
        <v>8.3400000000000002E-3</v>
      </c>
      <c r="J59" s="2193"/>
      <c r="K59" s="2194"/>
      <c r="L59" s="2195"/>
      <c r="M59" s="2590"/>
      <c r="N59" s="2591"/>
      <c r="O59" s="2591"/>
      <c r="P59" s="2591">
        <v>0.16718111999999999</v>
      </c>
      <c r="Q59" s="2591">
        <v>0.60516640999999993</v>
      </c>
      <c r="R59" s="2384">
        <v>0.79064953000000004</v>
      </c>
      <c r="S59" s="2384">
        <v>0.83929315068493138</v>
      </c>
      <c r="T59" s="2385">
        <v>0.83200000000000007</v>
      </c>
      <c r="U59" s="2386">
        <v>0.84199999999999997</v>
      </c>
      <c r="V59" s="2384">
        <v>0.86199999999999999</v>
      </c>
      <c r="W59" s="2384">
        <v>0.88441643835616446</v>
      </c>
      <c r="X59" s="2384">
        <v>0.89699999999999991</v>
      </c>
      <c r="Y59" s="2387">
        <v>0.91700000000000015</v>
      </c>
    </row>
    <row r="60" spans="2:25" outlineLevel="1">
      <c r="B60" s="2201" t="s">
        <v>1010</v>
      </c>
      <c r="C60" s="2202">
        <f>IF('1.02b_Debt'!D48 = "","",'1.02b_Debt'!D48)</f>
        <v>42825</v>
      </c>
      <c r="D60" s="2202">
        <f>IF('1.02b_Debt'!E48 = "","",'1.02b_Debt'!E48)</f>
        <v>47206</v>
      </c>
      <c r="E60" s="2269" t="str">
        <f>IF('1.02b_Debt'!F48 = "","",'1.02b_Debt'!F48)</f>
        <v>EIB loan</v>
      </c>
      <c r="F60" s="2270" t="str">
        <f>IF('1.02b_Debt'!G48 = "","",'1.02b_Debt'!G48)</f>
        <v>Floating</v>
      </c>
      <c r="G60" s="2271" t="str">
        <f>IF('1.02b_Debt'!H48 = "","",'1.02b_Debt'!H48)</f>
        <v>Senior</v>
      </c>
      <c r="H60" s="2270" t="str">
        <f>IF('1.02b_Debt'!I48 = "","",'1.02b_Debt'!I48)</f>
        <v>LIBOR 3 month</v>
      </c>
      <c r="I60" s="2206">
        <f>IF('1.02b_Debt'!J48 = "","",'1.02b_Debt'!J48)</f>
        <v>9.3399999999999993E-3</v>
      </c>
      <c r="J60" s="2193"/>
      <c r="K60" s="2194"/>
      <c r="L60" s="2195"/>
      <c r="M60" s="2590"/>
      <c r="N60" s="2591"/>
      <c r="O60" s="2591"/>
      <c r="P60" s="2591">
        <v>1.39336E-3</v>
      </c>
      <c r="Q60" s="2591">
        <v>0.52460733000000004</v>
      </c>
      <c r="R60" s="2384">
        <v>0.68347331</v>
      </c>
      <c r="S60" s="2384">
        <v>0.71154410958904102</v>
      </c>
      <c r="T60" s="2385">
        <v>0.7056</v>
      </c>
      <c r="U60" s="2386">
        <v>0.71360000000000001</v>
      </c>
      <c r="V60" s="2384">
        <v>0.72960000000000003</v>
      </c>
      <c r="W60" s="2384">
        <v>0.74764273972602724</v>
      </c>
      <c r="X60" s="2384">
        <v>0.75759999999999983</v>
      </c>
      <c r="Y60" s="2387">
        <v>0.77360000000000018</v>
      </c>
    </row>
    <row r="61" spans="2:25" outlineLevel="1">
      <c r="B61" s="2201" t="s">
        <v>1011</v>
      </c>
      <c r="C61" s="2202">
        <f>IF('1.02b_Debt'!D49 = "","",'1.02b_Debt'!D49)</f>
        <v>43454</v>
      </c>
      <c r="D61" s="2202">
        <f>IF('1.02b_Debt'!E49 = "","",'1.02b_Debt'!E49)</f>
        <v>43486</v>
      </c>
      <c r="E61" s="2269" t="str">
        <f>IF('1.02b_Debt'!F49 = "","",'1.02b_Debt'!F49)</f>
        <v>Revolving Credit Loan</v>
      </c>
      <c r="F61" s="2270" t="str">
        <f>IF('1.02b_Debt'!G49 = "","",'1.02b_Debt'!G49)</f>
        <v>Floating</v>
      </c>
      <c r="G61" s="2271" t="str">
        <f>IF('1.02b_Debt'!H49 = "","",'1.02b_Debt'!H49)</f>
        <v>Senior</v>
      </c>
      <c r="H61" s="2270" t="str">
        <f>IF('1.02b_Debt'!I49 = "","",'1.02b_Debt'!I49)</f>
        <v>LIBOR 1 month</v>
      </c>
      <c r="I61" s="2206">
        <f>IF('1.02b_Debt'!J49 = "","",'1.02b_Debt'!J49)</f>
        <v>4.0000000000000001E-3</v>
      </c>
      <c r="J61" s="2193"/>
      <c r="K61" s="2194"/>
      <c r="L61" s="2195"/>
      <c r="M61" s="2590"/>
      <c r="N61" s="2591"/>
      <c r="O61" s="2591"/>
      <c r="P61" s="2591">
        <v>6.0400000000000002E-2</v>
      </c>
      <c r="Q61" s="2591">
        <v>0.106</v>
      </c>
      <c r="R61" s="2384">
        <v>0.41942434000000001</v>
      </c>
      <c r="S61" s="2384"/>
      <c r="T61" s="2385"/>
      <c r="U61" s="2386"/>
      <c r="V61" s="2384"/>
      <c r="W61" s="2384"/>
      <c r="X61" s="2384"/>
      <c r="Y61" s="2387"/>
    </row>
    <row r="62" spans="2:25" outlineLevel="1">
      <c r="B62" s="2201" t="s">
        <v>1015</v>
      </c>
      <c r="C62" s="2202">
        <f>IF('1.02b_Debt'!D50 = "","",'1.02b_Debt'!D50)</f>
        <v>43465</v>
      </c>
      <c r="D62" s="2202">
        <f>IF('1.02b_Debt'!E50 = "","",'1.02b_Debt'!E50)</f>
        <v>43496</v>
      </c>
      <c r="E62" s="2269" t="str">
        <f>IF('1.02b_Debt'!F50 = "","",'1.02b_Debt'!F50)</f>
        <v>Revolving Credit Loan</v>
      </c>
      <c r="F62" s="2270" t="str">
        <f>IF('1.02b_Debt'!G50 = "","",'1.02b_Debt'!G50)</f>
        <v>Floating</v>
      </c>
      <c r="G62" s="2271" t="str">
        <f>IF('1.02b_Debt'!H50 = "","",'1.02b_Debt'!H50)</f>
        <v>Senior</v>
      </c>
      <c r="H62" s="2270" t="str">
        <f>IF('1.02b_Debt'!I50 = "","",'1.02b_Debt'!I50)</f>
        <v>LIBOR 1 month</v>
      </c>
      <c r="I62" s="2206">
        <f>IF('1.02b_Debt'!J50 = "","",'1.02b_Debt'!J50)</f>
        <v>4.0000000000000001E-3</v>
      </c>
      <c r="J62" s="2193"/>
      <c r="K62" s="2194"/>
      <c r="L62" s="2195"/>
      <c r="M62" s="2592">
        <v>8.4000000000000005E-2</v>
      </c>
      <c r="N62" s="2593">
        <v>0.182</v>
      </c>
      <c r="O62" s="2593">
        <v>1.02</v>
      </c>
      <c r="P62" s="2593"/>
      <c r="Q62" s="2593"/>
      <c r="R62" s="2216"/>
      <c r="S62" s="2216"/>
      <c r="T62" s="2217"/>
      <c r="U62" s="2218"/>
      <c r="V62" s="2216"/>
      <c r="W62" s="2216"/>
      <c r="X62" s="2216"/>
      <c r="Y62" s="2219"/>
    </row>
    <row r="63" spans="2:25" outlineLevel="1">
      <c r="B63" s="1885"/>
      <c r="C63" s="1952"/>
      <c r="D63" s="1952"/>
      <c r="E63" s="1952"/>
      <c r="F63" s="1952"/>
      <c r="L63" s="2220" t="s">
        <v>1421</v>
      </c>
      <c r="M63" s="2074">
        <f t="shared" ref="M63:Y63" si="3">SUM(M51:M62)</f>
        <v>4.5469999999999997</v>
      </c>
      <c r="N63" s="2075">
        <f t="shared" si="3"/>
        <v>4.7270000000000003</v>
      </c>
      <c r="O63" s="2075">
        <f t="shared" si="3"/>
        <v>5.7580000000000009</v>
      </c>
      <c r="P63" s="2075">
        <f t="shared" si="3"/>
        <v>4.8020650199999997</v>
      </c>
      <c r="Q63" s="2075">
        <f t="shared" si="3"/>
        <v>5.4944512100000003</v>
      </c>
      <c r="R63" s="2075">
        <f t="shared" si="3"/>
        <v>7.307543289999999</v>
      </c>
      <c r="S63" s="2075">
        <f t="shared" si="3"/>
        <v>7.1556377651756709</v>
      </c>
      <c r="T63" s="2076">
        <f t="shared" si="3"/>
        <v>7.0661921055299999</v>
      </c>
      <c r="U63" s="2077">
        <f t="shared" si="3"/>
        <v>7.1118500003240008</v>
      </c>
      <c r="V63" s="2075">
        <f t="shared" si="3"/>
        <v>7.175112653595205</v>
      </c>
      <c r="W63" s="2075">
        <f t="shared" si="3"/>
        <v>7.0420593227317463</v>
      </c>
      <c r="X63" s="2075">
        <f t="shared" si="3"/>
        <v>4.2738431584119994</v>
      </c>
      <c r="Y63" s="2078">
        <f t="shared" si="3"/>
        <v>2.94726842164</v>
      </c>
    </row>
    <row r="64" spans="2:25" outlineLevel="1">
      <c r="B64" s="1885"/>
      <c r="C64" s="1952"/>
      <c r="D64" s="2226"/>
      <c r="E64" s="2226"/>
      <c r="F64" s="2226"/>
      <c r="L64" s="2227"/>
      <c r="M64" s="2226"/>
      <c r="N64" s="2226"/>
      <c r="O64" s="2226"/>
      <c r="P64" s="2226"/>
      <c r="Q64" s="2226"/>
      <c r="R64" s="2226"/>
      <c r="S64" s="2226"/>
      <c r="T64" s="2226"/>
      <c r="U64" s="2228"/>
      <c r="V64" s="2226"/>
      <c r="W64" s="2226"/>
      <c r="X64" s="2226"/>
      <c r="Y64" s="2226"/>
    </row>
    <row r="65" spans="2:25" ht="18" outlineLevel="1">
      <c r="C65" s="1870"/>
      <c r="D65" s="2167" t="s">
        <v>1431</v>
      </c>
      <c r="E65" s="2168"/>
      <c r="F65" s="2168"/>
      <c r="G65" s="2168"/>
      <c r="H65" s="2168"/>
      <c r="I65" s="2168"/>
      <c r="J65" s="2168"/>
      <c r="K65" s="2168"/>
      <c r="L65" s="2229"/>
      <c r="M65" s="2168"/>
      <c r="N65" s="2168"/>
      <c r="O65" s="2168"/>
      <c r="P65" s="2168"/>
      <c r="Q65" s="2168"/>
      <c r="R65" s="2168"/>
      <c r="S65" s="2168"/>
      <c r="T65" s="2168"/>
      <c r="U65" s="2230"/>
      <c r="V65" s="2168"/>
      <c r="W65" s="2168"/>
      <c r="X65" s="2168"/>
      <c r="Y65" s="2168"/>
    </row>
    <row r="66" spans="2:25" s="1889" customFormat="1" ht="18" outlineLevel="1">
      <c r="D66" s="2173"/>
      <c r="L66" s="2231"/>
      <c r="U66" s="2232"/>
    </row>
    <row r="67" spans="2:25" ht="51" outlineLevel="1">
      <c r="B67" s="2845" t="s">
        <v>965</v>
      </c>
      <c r="C67" s="2261" t="str">
        <f t="shared" ref="C67:I75" si="4">C49</f>
        <v>Issue date</v>
      </c>
      <c r="D67" s="2262" t="str">
        <f t="shared" si="4"/>
        <v>Maturity date</v>
      </c>
      <c r="E67" s="2262" t="str">
        <f t="shared" si="4"/>
        <v>Description</v>
      </c>
      <c r="F67" s="2262" t="str">
        <f t="shared" si="4"/>
        <v>Loan type</v>
      </c>
      <c r="G67" s="2262" t="str">
        <f t="shared" si="4"/>
        <v>Payment rank</v>
      </c>
      <c r="H67" s="2263" t="str">
        <f t="shared" si="4"/>
        <v>Reference rate</v>
      </c>
      <c r="I67" s="2264" t="str">
        <f t="shared" si="4"/>
        <v>Interest rate / margin spread on reference rate</v>
      </c>
      <c r="L67" s="2233"/>
      <c r="Q67" s="1892"/>
      <c r="R67" s="1892"/>
      <c r="U67" s="2052"/>
      <c r="Y67" s="1877"/>
    </row>
    <row r="68" spans="2:25" outlineLevel="1">
      <c r="B68" s="2178"/>
      <c r="C68" s="2179" t="str">
        <f t="shared" si="4"/>
        <v>dd/mm/yyyy</v>
      </c>
      <c r="D68" s="2180" t="str">
        <f t="shared" si="4"/>
        <v>dd/mm/yyyy</v>
      </c>
      <c r="E68" s="2180" t="str">
        <f t="shared" si="4"/>
        <v/>
      </c>
      <c r="F68" s="2180" t="str">
        <f t="shared" si="4"/>
        <v/>
      </c>
      <c r="G68" s="2180" t="str">
        <f t="shared" si="4"/>
        <v/>
      </c>
      <c r="H68" s="2180" t="str">
        <f t="shared" si="4"/>
        <v/>
      </c>
      <c r="I68" s="2265" t="str">
        <f t="shared" si="4"/>
        <v xml:space="preserve">% </v>
      </c>
      <c r="L68" s="2233"/>
      <c r="M68" s="2238" t="s">
        <v>498</v>
      </c>
      <c r="N68" s="2239" t="s">
        <v>498</v>
      </c>
      <c r="O68" s="2239" t="s">
        <v>498</v>
      </c>
      <c r="P68" s="2239" t="s">
        <v>498</v>
      </c>
      <c r="Q68" s="2239" t="s">
        <v>498</v>
      </c>
      <c r="R68" s="2239" t="s">
        <v>498</v>
      </c>
      <c r="S68" s="2239" t="s">
        <v>498</v>
      </c>
      <c r="T68" s="2240" t="s">
        <v>498</v>
      </c>
      <c r="U68" s="2241" t="s">
        <v>498</v>
      </c>
      <c r="V68" s="2239" t="s">
        <v>498</v>
      </c>
      <c r="W68" s="2239" t="s">
        <v>498</v>
      </c>
      <c r="X68" s="2239" t="s">
        <v>498</v>
      </c>
      <c r="Y68" s="2242" t="s">
        <v>498</v>
      </c>
    </row>
    <row r="69" spans="2:25" outlineLevel="1">
      <c r="B69" s="2187" t="s">
        <v>997</v>
      </c>
      <c r="C69" s="2274">
        <f t="shared" si="4"/>
        <v>39835</v>
      </c>
      <c r="D69" s="2243">
        <f t="shared" si="4"/>
        <v>44949</v>
      </c>
      <c r="E69" s="2275" t="str">
        <f t="shared" si="4"/>
        <v>EIB loan</v>
      </c>
      <c r="F69" s="2276" t="str">
        <f t="shared" si="4"/>
        <v>Floating</v>
      </c>
      <c r="G69" s="2277" t="str">
        <f t="shared" si="4"/>
        <v>Senior</v>
      </c>
      <c r="H69" s="2276" t="str">
        <f t="shared" si="4"/>
        <v>LIBOR 3 month</v>
      </c>
      <c r="I69" s="2247">
        <f t="shared" si="4"/>
        <v>3.5699999999999998E-3</v>
      </c>
      <c r="J69" s="2193"/>
      <c r="K69" s="2194"/>
      <c r="L69" s="2195"/>
      <c r="M69" s="2586">
        <v>4.4000000000000004</v>
      </c>
      <c r="N69" s="2587">
        <v>4.5</v>
      </c>
      <c r="O69" s="2587">
        <v>4.7</v>
      </c>
      <c r="P69" s="2587">
        <v>0.22209908</v>
      </c>
      <c r="Q69" s="2587">
        <v>0.17528471000000001</v>
      </c>
      <c r="R69" s="2197">
        <v>0.26763134999999999</v>
      </c>
      <c r="S69" s="2197">
        <v>0.30006986301369865</v>
      </c>
      <c r="T69" s="2198">
        <v>0.29675000000000001</v>
      </c>
      <c r="U69" s="2199">
        <v>0.30175000000000002</v>
      </c>
      <c r="V69" s="2197">
        <v>0.25367054794520549</v>
      </c>
      <c r="W69" s="2197">
        <v>0</v>
      </c>
      <c r="X69" s="2197">
        <v>0</v>
      </c>
      <c r="Y69" s="2200">
        <v>0</v>
      </c>
    </row>
    <row r="70" spans="2:25" outlineLevel="1">
      <c r="B70" s="2201" t="s">
        <v>1002</v>
      </c>
      <c r="C70" s="2278">
        <f t="shared" si="4"/>
        <v>40267</v>
      </c>
      <c r="D70" s="2278">
        <f t="shared" si="4"/>
        <v>45381</v>
      </c>
      <c r="E70" s="2279" t="str">
        <f t="shared" si="4"/>
        <v>EIB loan</v>
      </c>
      <c r="F70" s="2280" t="str">
        <f t="shared" si="4"/>
        <v>Floating</v>
      </c>
      <c r="G70" s="2281" t="str">
        <f t="shared" si="4"/>
        <v>Senior</v>
      </c>
      <c r="H70" s="2280" t="str">
        <f t="shared" si="4"/>
        <v>LIBOR 3 month</v>
      </c>
      <c r="I70" s="2252">
        <f t="shared" si="4"/>
        <v>6.2399999999999999E-3</v>
      </c>
      <c r="J70" s="2193"/>
      <c r="K70" s="2194"/>
      <c r="L70" s="2195"/>
      <c r="M70" s="2588"/>
      <c r="N70" s="2589"/>
      <c r="O70" s="2589"/>
      <c r="P70" s="2589">
        <v>1.0984955199999997</v>
      </c>
      <c r="Q70" s="2589">
        <v>0.9958073300000001</v>
      </c>
      <c r="R70" s="2208">
        <v>1.39756068</v>
      </c>
      <c r="S70" s="2208">
        <v>1.4680109589041097</v>
      </c>
      <c r="T70" s="2209">
        <v>1.454</v>
      </c>
      <c r="U70" s="2210">
        <v>1.4739999999999998</v>
      </c>
      <c r="V70" s="2208">
        <v>1.514</v>
      </c>
      <c r="W70" s="2208">
        <v>1.5497424657534244</v>
      </c>
      <c r="X70" s="2208">
        <v>0</v>
      </c>
      <c r="Y70" s="2211">
        <v>0</v>
      </c>
    </row>
    <row r="71" spans="2:25" outlineLevel="1">
      <c r="B71" s="2201" t="s">
        <v>1003</v>
      </c>
      <c r="C71" s="2248">
        <f t="shared" si="4"/>
        <v>40353</v>
      </c>
      <c r="D71" s="2248">
        <f t="shared" si="4"/>
        <v>45467</v>
      </c>
      <c r="E71" s="2282" t="str">
        <f t="shared" si="4"/>
        <v>EIB loan</v>
      </c>
      <c r="F71" s="2283" t="str">
        <f t="shared" si="4"/>
        <v>Floating</v>
      </c>
      <c r="G71" s="2284" t="str">
        <f t="shared" si="4"/>
        <v>Senior</v>
      </c>
      <c r="H71" s="2283" t="str">
        <f t="shared" si="4"/>
        <v>LIBOR 3 month</v>
      </c>
      <c r="I71" s="2252">
        <f t="shared" si="4"/>
        <v>5.4799999999999996E-3</v>
      </c>
      <c r="J71" s="2193"/>
      <c r="K71" s="2194"/>
      <c r="L71" s="2195"/>
      <c r="M71" s="2588"/>
      <c r="N71" s="2589"/>
      <c r="O71" s="2589"/>
      <c r="P71" s="2589">
        <v>0.25568735999999997</v>
      </c>
      <c r="Q71" s="2589">
        <v>0.23075208</v>
      </c>
      <c r="R71" s="2208">
        <v>0.32610785999999997</v>
      </c>
      <c r="S71" s="2208">
        <v>0.34795068493150683</v>
      </c>
      <c r="T71" s="2209">
        <v>0.34449999999999997</v>
      </c>
      <c r="U71" s="2210">
        <v>0.34949999999999998</v>
      </c>
      <c r="V71" s="2208">
        <v>0.35949999999999999</v>
      </c>
      <c r="W71" s="2208">
        <v>0.3705123287671232</v>
      </c>
      <c r="X71" s="2208">
        <v>8.6761643835616437E-2</v>
      </c>
      <c r="Y71" s="2211">
        <v>0</v>
      </c>
    </row>
    <row r="72" spans="2:25" outlineLevel="1">
      <c r="B72" s="2201" t="s">
        <v>1004</v>
      </c>
      <c r="C72" s="2248">
        <f t="shared" si="4"/>
        <v>41120</v>
      </c>
      <c r="D72" s="2248">
        <f t="shared" si="4"/>
        <v>45503</v>
      </c>
      <c r="E72" s="2282" t="str">
        <f t="shared" si="4"/>
        <v>EIB loan</v>
      </c>
      <c r="F72" s="2283" t="str">
        <f t="shared" si="4"/>
        <v>Floating</v>
      </c>
      <c r="G72" s="2284" t="str">
        <f t="shared" si="4"/>
        <v>Senior</v>
      </c>
      <c r="H72" s="2283" t="str">
        <f t="shared" si="4"/>
        <v>LIBOR 3 month</v>
      </c>
      <c r="I72" s="2252">
        <f t="shared" si="4"/>
        <v>4.5799999999999999E-3</v>
      </c>
      <c r="J72" s="2193"/>
      <c r="K72" s="2194"/>
      <c r="L72" s="2195"/>
      <c r="M72" s="2588"/>
      <c r="N72" s="2589"/>
      <c r="O72" s="2589"/>
      <c r="P72" s="2589">
        <v>0.58952302000000001</v>
      </c>
      <c r="Q72" s="2589">
        <v>0.48501418000000002</v>
      </c>
      <c r="R72" s="2208">
        <v>0.70132917000000006</v>
      </c>
      <c r="S72" s="2208">
        <v>0.78093369863013684</v>
      </c>
      <c r="T72" s="2209">
        <v>0.77279999999999993</v>
      </c>
      <c r="U72" s="2210">
        <v>0.78480000000000005</v>
      </c>
      <c r="V72" s="2208">
        <v>0.80880000000000007</v>
      </c>
      <c r="W72" s="2208">
        <v>0.83508164383561634</v>
      </c>
      <c r="X72" s="2208">
        <v>0.27971506849315064</v>
      </c>
      <c r="Y72" s="2211">
        <v>0</v>
      </c>
    </row>
    <row r="73" spans="2:25" outlineLevel="1">
      <c r="B73" s="2201" t="s">
        <v>1005</v>
      </c>
      <c r="C73" s="2248">
        <f t="shared" si="4"/>
        <v>41263</v>
      </c>
      <c r="D73" s="2248">
        <f t="shared" si="4"/>
        <v>45646</v>
      </c>
      <c r="E73" s="2282" t="str">
        <f t="shared" si="4"/>
        <v>EIB loan</v>
      </c>
      <c r="F73" s="2283" t="str">
        <f t="shared" si="4"/>
        <v>Fixed rate</v>
      </c>
      <c r="G73" s="2284" t="str">
        <f t="shared" si="4"/>
        <v>Senior</v>
      </c>
      <c r="H73" s="2283" t="str">
        <f t="shared" si="4"/>
        <v>Not applicable</v>
      </c>
      <c r="I73" s="2252">
        <f t="shared" si="4"/>
        <v>3.4459999999999998E-2</v>
      </c>
      <c r="J73" s="2193"/>
      <c r="K73" s="2194"/>
      <c r="L73" s="2195"/>
      <c r="M73" s="2588"/>
      <c r="N73" s="2589"/>
      <c r="O73" s="2589"/>
      <c r="P73" s="2589">
        <v>1.3784000000000001</v>
      </c>
      <c r="Q73" s="2589">
        <v>1.3784000000000001</v>
      </c>
      <c r="R73" s="2208">
        <v>1.3784000000000001</v>
      </c>
      <c r="S73" s="2208">
        <v>1.3821764383561643</v>
      </c>
      <c r="T73" s="2209">
        <v>1.3783999999999998</v>
      </c>
      <c r="U73" s="2210">
        <v>1.3783999999999998</v>
      </c>
      <c r="V73" s="2208">
        <v>1.3783999999999998</v>
      </c>
      <c r="W73" s="2208">
        <v>1.3821764383561643</v>
      </c>
      <c r="X73" s="2208">
        <v>0.99320328767123267</v>
      </c>
      <c r="Y73" s="2211">
        <v>0</v>
      </c>
    </row>
    <row r="74" spans="2:25" outlineLevel="1">
      <c r="B74" s="2201" t="s">
        <v>1006</v>
      </c>
      <c r="C74" s="2248">
        <f t="shared" si="4"/>
        <v>41358</v>
      </c>
      <c r="D74" s="2248">
        <f t="shared" si="4"/>
        <v>49028</v>
      </c>
      <c r="E74" s="2282" t="str">
        <f t="shared" si="4"/>
        <v>EIB loan</v>
      </c>
      <c r="F74" s="2283" t="str">
        <f t="shared" si="4"/>
        <v>Floating</v>
      </c>
      <c r="G74" s="2284" t="str">
        <f t="shared" si="4"/>
        <v>Senior</v>
      </c>
      <c r="H74" s="2283" t="str">
        <f t="shared" si="4"/>
        <v>LIBOR 3 month</v>
      </c>
      <c r="I74" s="2252">
        <f t="shared" si="4"/>
        <v>8.6E-3</v>
      </c>
      <c r="J74" s="2193"/>
      <c r="K74" s="2194"/>
      <c r="L74" s="2195"/>
      <c r="M74" s="2588"/>
      <c r="N74" s="2589"/>
      <c r="O74" s="2589"/>
      <c r="P74" s="2589">
        <v>0.43835534000000004</v>
      </c>
      <c r="Q74" s="2589">
        <v>0.38446452000000003</v>
      </c>
      <c r="R74" s="2208">
        <v>0.47559757999999996</v>
      </c>
      <c r="S74" s="2208">
        <v>0.47102379257293137</v>
      </c>
      <c r="T74" s="2209">
        <v>0.4358421055299998</v>
      </c>
      <c r="U74" s="2210">
        <v>0.40950000032399986</v>
      </c>
      <c r="V74" s="2208">
        <v>0.38684210564999982</v>
      </c>
      <c r="W74" s="2208">
        <v>0.36370425423859698</v>
      </c>
      <c r="X74" s="2208">
        <v>0.33526315841199977</v>
      </c>
      <c r="Y74" s="2211">
        <v>0.30836842163999972</v>
      </c>
    </row>
    <row r="75" spans="2:25" outlineLevel="1">
      <c r="B75" s="2201" t="s">
        <v>1007</v>
      </c>
      <c r="C75" s="2248">
        <f t="shared" si="4"/>
        <v>42094</v>
      </c>
      <c r="D75" s="2248">
        <f t="shared" si="4"/>
        <v>46477</v>
      </c>
      <c r="E75" s="2282" t="str">
        <f t="shared" si="4"/>
        <v>EIB loan</v>
      </c>
      <c r="F75" s="2283" t="str">
        <f t="shared" si="4"/>
        <v>Floating</v>
      </c>
      <c r="G75" s="2284" t="str">
        <f t="shared" si="4"/>
        <v>Senior</v>
      </c>
      <c r="H75" s="2283" t="str">
        <f t="shared" si="4"/>
        <v>LIBOR 3 month</v>
      </c>
      <c r="I75" s="2252">
        <f t="shared" si="4"/>
        <v>5.3400000000000001E-3</v>
      </c>
      <c r="J75" s="2193"/>
      <c r="K75" s="2194"/>
      <c r="L75" s="2195"/>
      <c r="M75" s="2588"/>
      <c r="N75" s="2589"/>
      <c r="O75" s="2589"/>
      <c r="P75" s="2589">
        <v>0.30246110999999998</v>
      </c>
      <c r="Q75" s="2589">
        <v>0.2710999</v>
      </c>
      <c r="R75" s="2208">
        <v>0.39226821999999995</v>
      </c>
      <c r="S75" s="2208">
        <v>0.38069805352659281</v>
      </c>
      <c r="T75" s="2209">
        <v>0.3517684212679999</v>
      </c>
      <c r="U75" s="2210">
        <v>0.33143157920959992</v>
      </c>
      <c r="V75" s="2208">
        <v>0.31477894768319981</v>
      </c>
      <c r="W75" s="2208">
        <v>0.29746537888564578</v>
      </c>
      <c r="X75" s="2208">
        <v>0.27521052674039975</v>
      </c>
      <c r="Y75" s="2211">
        <v>0.25432105311599978</v>
      </c>
    </row>
    <row r="76" spans="2:25" outlineLevel="1">
      <c r="B76" s="2201" t="s">
        <v>1008</v>
      </c>
      <c r="C76" s="2248">
        <f t="shared" ref="C76:I76" si="5">C58</f>
        <v>42429</v>
      </c>
      <c r="D76" s="2248">
        <f t="shared" si="5"/>
        <v>46811</v>
      </c>
      <c r="E76" s="2282" t="str">
        <f t="shared" si="5"/>
        <v>EIB loan</v>
      </c>
      <c r="F76" s="2283" t="str">
        <f t="shared" si="5"/>
        <v>Floating</v>
      </c>
      <c r="G76" s="2284" t="str">
        <f t="shared" si="5"/>
        <v>Senior</v>
      </c>
      <c r="H76" s="2283" t="str">
        <f t="shared" si="5"/>
        <v>LIBOR 3 month</v>
      </c>
      <c r="I76" s="2252">
        <f t="shared" si="5"/>
        <v>6.2700000000000004E-3</v>
      </c>
      <c r="J76" s="2193"/>
      <c r="K76" s="2194"/>
      <c r="L76" s="2195"/>
      <c r="M76" s="2588"/>
      <c r="N76" s="2589"/>
      <c r="O76" s="2589"/>
      <c r="P76" s="2589">
        <v>0.33472000000000002</v>
      </c>
      <c r="Q76" s="2589">
        <v>0.29659293000000003</v>
      </c>
      <c r="R76" s="2208">
        <v>0.40427813000000001</v>
      </c>
      <c r="S76" s="2208">
        <v>0.40646582570852369</v>
      </c>
      <c r="T76" s="2209">
        <v>0.37575263180899987</v>
      </c>
      <c r="U76" s="2210">
        <v>0.35370263185879991</v>
      </c>
      <c r="V76" s="2208">
        <v>0.3353368424405998</v>
      </c>
      <c r="W76" s="2208">
        <v>0.31636174516731597</v>
      </c>
      <c r="X76" s="2208">
        <v>0.29234210571419977</v>
      </c>
      <c r="Y76" s="2211">
        <v>0.26973947419799976</v>
      </c>
    </row>
    <row r="77" spans="2:25" outlineLevel="1">
      <c r="B77" s="2201" t="s">
        <v>1009</v>
      </c>
      <c r="C77" s="2248">
        <f t="shared" ref="C77:I77" si="6">C59</f>
        <v>42724</v>
      </c>
      <c r="D77" s="2248">
        <f t="shared" si="6"/>
        <v>47107</v>
      </c>
      <c r="E77" s="2282" t="str">
        <f t="shared" si="6"/>
        <v>EIB loan</v>
      </c>
      <c r="F77" s="2283" t="str">
        <f t="shared" si="6"/>
        <v>Floating</v>
      </c>
      <c r="G77" s="2284" t="str">
        <f t="shared" si="6"/>
        <v>Senior</v>
      </c>
      <c r="H77" s="2283" t="str">
        <f t="shared" si="6"/>
        <v>LIBOR 3 month</v>
      </c>
      <c r="I77" s="2252">
        <f t="shared" si="6"/>
        <v>8.3400000000000002E-3</v>
      </c>
      <c r="J77" s="2193"/>
      <c r="K77" s="2194"/>
      <c r="L77" s="2195"/>
      <c r="M77" s="2590"/>
      <c r="N77" s="2591"/>
      <c r="O77" s="2591"/>
      <c r="P77" s="2591">
        <v>0.14785275000000001</v>
      </c>
      <c r="Q77" s="2591">
        <v>0.60052634999999999</v>
      </c>
      <c r="R77" s="2384">
        <v>0.78714735999999996</v>
      </c>
      <c r="S77" s="2384">
        <v>0.46381989927475709</v>
      </c>
      <c r="T77" s="2385">
        <v>0.42913684236799993</v>
      </c>
      <c r="U77" s="2386">
        <v>0.40327368452959983</v>
      </c>
      <c r="V77" s="2384">
        <v>0.38109473722319975</v>
      </c>
      <c r="W77" s="2384">
        <v>0.35842139914909787</v>
      </c>
      <c r="X77" s="2384">
        <v>0.33047368472039973</v>
      </c>
      <c r="Y77" s="2387">
        <v>0.30405789531599975</v>
      </c>
    </row>
    <row r="78" spans="2:25" outlineLevel="1">
      <c r="B78" s="2201" t="s">
        <v>1010</v>
      </c>
      <c r="C78" s="2248">
        <f t="shared" ref="C78:I78" si="7">C60</f>
        <v>42825</v>
      </c>
      <c r="D78" s="2248">
        <f t="shared" si="7"/>
        <v>47206</v>
      </c>
      <c r="E78" s="2282" t="str">
        <f t="shared" si="7"/>
        <v>EIB loan</v>
      </c>
      <c r="F78" s="2283" t="str">
        <f t="shared" si="7"/>
        <v>Floating</v>
      </c>
      <c r="G78" s="2284" t="str">
        <f t="shared" si="7"/>
        <v>Senior</v>
      </c>
      <c r="H78" s="2283" t="str">
        <f t="shared" si="7"/>
        <v>LIBOR 3 month</v>
      </c>
      <c r="I78" s="2252">
        <f t="shared" si="7"/>
        <v>9.3399999999999993E-3</v>
      </c>
      <c r="J78" s="2193"/>
      <c r="K78" s="2194"/>
      <c r="L78" s="2195"/>
      <c r="M78" s="2590"/>
      <c r="N78" s="2591"/>
      <c r="O78" s="2591"/>
      <c r="P78" s="2591">
        <v>0</v>
      </c>
      <c r="Q78" s="2591">
        <v>0.52058982999999992</v>
      </c>
      <c r="R78" s="2384">
        <v>0.68302428000000004</v>
      </c>
      <c r="S78" s="2384">
        <v>0.4915271811908119</v>
      </c>
      <c r="T78" s="2385">
        <v>0.45492631606799983</v>
      </c>
      <c r="U78" s="2386">
        <v>0.42722105296959989</v>
      </c>
      <c r="V78" s="2384">
        <v>0.40320000040319975</v>
      </c>
      <c r="W78" s="2384">
        <v>0.37874007257024844</v>
      </c>
      <c r="X78" s="2384">
        <v>0.34889473738039972</v>
      </c>
      <c r="Y78" s="2387">
        <v>0.32063684271599968</v>
      </c>
    </row>
    <row r="79" spans="2:25" outlineLevel="1">
      <c r="B79" s="2201" t="s">
        <v>1011</v>
      </c>
      <c r="C79" s="2248">
        <f t="shared" ref="C79:I79" si="8">C61</f>
        <v>43454</v>
      </c>
      <c r="D79" s="2248">
        <f t="shared" si="8"/>
        <v>43486</v>
      </c>
      <c r="E79" s="2282" t="str">
        <f t="shared" si="8"/>
        <v>Revolving Credit Loan</v>
      </c>
      <c r="F79" s="2283" t="str">
        <f t="shared" si="8"/>
        <v>Floating</v>
      </c>
      <c r="G79" s="2284" t="str">
        <f t="shared" si="8"/>
        <v>Senior</v>
      </c>
      <c r="H79" s="2283" t="str">
        <f t="shared" si="8"/>
        <v>LIBOR 1 month</v>
      </c>
      <c r="I79" s="2252">
        <f t="shared" si="8"/>
        <v>4.0000000000000001E-3</v>
      </c>
      <c r="J79" s="2193"/>
      <c r="K79" s="2194"/>
      <c r="L79" s="2195"/>
      <c r="M79" s="2590"/>
      <c r="N79" s="2591"/>
      <c r="O79" s="2591"/>
      <c r="P79" s="2591">
        <v>6.0697130000000002E-2</v>
      </c>
      <c r="Q79" s="2591">
        <v>0.10031050999999999</v>
      </c>
      <c r="R79" s="2384">
        <v>0.42016644000000009</v>
      </c>
      <c r="S79" s="2384"/>
      <c r="T79" s="2385"/>
      <c r="U79" s="2386"/>
      <c r="V79" s="2384"/>
      <c r="W79" s="2384"/>
      <c r="X79" s="2384"/>
      <c r="Y79" s="2387"/>
    </row>
    <row r="80" spans="2:25" outlineLevel="1">
      <c r="B80" s="2201" t="s">
        <v>1015</v>
      </c>
      <c r="C80" s="2248">
        <f t="shared" ref="C80:I80" si="9">C62</f>
        <v>43465</v>
      </c>
      <c r="D80" s="2248">
        <f t="shared" si="9"/>
        <v>43496</v>
      </c>
      <c r="E80" s="2282" t="str">
        <f t="shared" si="9"/>
        <v>Revolving Credit Loan</v>
      </c>
      <c r="F80" s="2283" t="str">
        <f t="shared" si="9"/>
        <v>Floating</v>
      </c>
      <c r="G80" s="2284" t="str">
        <f t="shared" si="9"/>
        <v>Senior</v>
      </c>
      <c r="H80" s="2283" t="str">
        <f t="shared" si="9"/>
        <v>LIBOR 1 month</v>
      </c>
      <c r="I80" s="2252">
        <f t="shared" si="9"/>
        <v>4.0000000000000001E-3</v>
      </c>
      <c r="J80" s="2193"/>
      <c r="K80" s="2194"/>
      <c r="L80" s="2195"/>
      <c r="M80" s="2592">
        <v>0.1</v>
      </c>
      <c r="N80" s="2593">
        <v>0.2</v>
      </c>
      <c r="O80" s="2593">
        <v>1</v>
      </c>
      <c r="P80" s="2593"/>
      <c r="Q80" s="2593"/>
      <c r="R80" s="2216"/>
      <c r="S80" s="2216"/>
      <c r="T80" s="2217"/>
      <c r="U80" s="2218"/>
      <c r="V80" s="2216"/>
      <c r="W80" s="2216"/>
      <c r="X80" s="2216"/>
      <c r="Y80" s="2219"/>
    </row>
    <row r="81" spans="2:32" outlineLevel="1">
      <c r="B81" s="1885"/>
      <c r="C81" s="1952"/>
      <c r="D81" s="1952"/>
      <c r="E81" s="1952"/>
      <c r="F81" s="1952"/>
      <c r="L81" s="2220" t="s">
        <v>1421</v>
      </c>
      <c r="M81" s="2074">
        <f>SUM(M69:M80)</f>
        <v>4.5</v>
      </c>
      <c r="N81" s="2075">
        <f t="shared" ref="N81:Y81" si="10">SUM(N69:N80)</f>
        <v>4.7</v>
      </c>
      <c r="O81" s="2075">
        <f t="shared" si="10"/>
        <v>5.7</v>
      </c>
      <c r="P81" s="2075">
        <f t="shared" si="10"/>
        <v>4.8282913100000009</v>
      </c>
      <c r="Q81" s="2075">
        <f t="shared" si="10"/>
        <v>5.438842339999999</v>
      </c>
      <c r="R81" s="2075">
        <f t="shared" si="10"/>
        <v>7.2335110699999996</v>
      </c>
      <c r="S81" s="2075">
        <f t="shared" si="10"/>
        <v>6.4926763961092329</v>
      </c>
      <c r="T81" s="2076">
        <f t="shared" si="10"/>
        <v>6.2938763170429999</v>
      </c>
      <c r="U81" s="2077">
        <f t="shared" si="10"/>
        <v>6.2135789488915991</v>
      </c>
      <c r="V81" s="2075">
        <f t="shared" si="10"/>
        <v>6.1356231813454052</v>
      </c>
      <c r="W81" s="2075">
        <f t="shared" si="10"/>
        <v>5.8522057267232324</v>
      </c>
      <c r="X81" s="2075">
        <f t="shared" si="10"/>
        <v>2.9418642129673991</v>
      </c>
      <c r="Y81" s="2078">
        <f t="shared" si="10"/>
        <v>1.4571236869859989</v>
      </c>
    </row>
    <row r="82" spans="2:32" outlineLevel="1">
      <c r="B82" s="1885"/>
      <c r="C82" s="1952"/>
      <c r="D82" s="2226"/>
      <c r="E82" s="2226"/>
      <c r="F82" s="2226"/>
      <c r="L82" s="2227"/>
      <c r="M82" s="2226"/>
      <c r="N82" s="2226"/>
      <c r="O82" s="2226"/>
      <c r="P82" s="2226"/>
      <c r="Q82" s="2226"/>
      <c r="R82" s="2226"/>
      <c r="S82" s="2226"/>
      <c r="T82" s="2226"/>
      <c r="U82" s="2228"/>
      <c r="V82" s="2226"/>
      <c r="W82" s="2226"/>
      <c r="X82" s="2226"/>
      <c r="Y82" s="2226"/>
    </row>
    <row r="83" spans="2:32">
      <c r="B83" s="1885"/>
      <c r="C83" s="1952"/>
      <c r="D83" s="1952"/>
      <c r="E83" s="1952"/>
      <c r="F83" s="1952"/>
      <c r="L83" s="2159"/>
      <c r="M83" s="1952"/>
      <c r="N83" s="1952"/>
      <c r="O83" s="1952"/>
      <c r="P83" s="1952"/>
      <c r="Q83" s="1952"/>
      <c r="R83" s="1952"/>
      <c r="S83" s="1952"/>
      <c r="T83" s="1952"/>
      <c r="U83" s="1953"/>
      <c r="V83" s="1952"/>
      <c r="W83" s="1952"/>
      <c r="X83" s="1952"/>
      <c r="Y83" s="1952"/>
      <c r="Z83" s="1952"/>
      <c r="AA83" s="1952"/>
      <c r="AB83" s="1952"/>
      <c r="AC83" s="1952"/>
      <c r="AD83" s="1952"/>
      <c r="AE83" s="1952"/>
      <c r="AF83" s="1952"/>
    </row>
    <row r="84" spans="2:32" ht="14.25">
      <c r="B84" s="2145" t="s">
        <v>1018</v>
      </c>
      <c r="C84" s="2146" t="s">
        <v>1434</v>
      </c>
      <c r="D84" s="2146"/>
      <c r="E84" s="2146"/>
      <c r="F84" s="2146"/>
      <c r="G84" s="2147"/>
      <c r="H84" s="2147"/>
      <c r="I84" s="2147"/>
      <c r="J84" s="2147"/>
      <c r="K84" s="2147"/>
      <c r="L84" s="2145"/>
      <c r="M84" s="2146"/>
      <c r="N84" s="2146"/>
      <c r="O84" s="2146"/>
      <c r="P84" s="2146"/>
      <c r="Q84" s="2146"/>
      <c r="R84" s="2146"/>
      <c r="S84" s="2146"/>
      <c r="T84" s="2146"/>
      <c r="U84" s="2287"/>
      <c r="V84" s="2146"/>
      <c r="W84" s="2146"/>
      <c r="X84" s="2146"/>
      <c r="Y84" s="2146"/>
      <c r="Z84" s="1952"/>
      <c r="AA84" s="1952"/>
      <c r="AB84" s="1952"/>
      <c r="AC84" s="1952"/>
      <c r="AD84" s="1952"/>
      <c r="AE84" s="1952"/>
      <c r="AF84" s="1952"/>
    </row>
    <row r="85" spans="2:32" s="1889" customFormat="1" ht="14.25">
      <c r="B85" s="2152"/>
      <c r="C85" s="2153"/>
      <c r="D85" s="2153"/>
      <c r="E85" s="2153"/>
      <c r="F85" s="2153"/>
      <c r="G85" s="2154"/>
      <c r="H85" s="2154"/>
      <c r="I85" s="2154"/>
      <c r="J85" s="2154"/>
      <c r="K85" s="2154"/>
      <c r="L85" s="2152"/>
      <c r="M85" s="2153"/>
      <c r="N85" s="2153"/>
      <c r="O85" s="2153"/>
      <c r="P85" s="2153"/>
      <c r="Q85" s="2153"/>
      <c r="R85" s="2153"/>
      <c r="S85" s="2153"/>
      <c r="T85" s="2153"/>
      <c r="U85" s="2288"/>
      <c r="V85" s="2153"/>
      <c r="W85" s="2153"/>
      <c r="X85" s="2153"/>
      <c r="Y85" s="2153"/>
      <c r="Z85" s="1888"/>
      <c r="AA85" s="1888"/>
      <c r="AB85" s="1888"/>
      <c r="AC85" s="1888"/>
      <c r="AD85" s="1888"/>
      <c r="AE85" s="1888"/>
      <c r="AF85" s="1888"/>
    </row>
    <row r="86" spans="2:32" ht="18" outlineLevel="1">
      <c r="C86" s="1870"/>
      <c r="D86" s="2167" t="s">
        <v>1430</v>
      </c>
      <c r="E86" s="2168"/>
      <c r="F86" s="2168"/>
      <c r="G86" s="2168"/>
      <c r="H86" s="2168"/>
      <c r="I86" s="2168"/>
      <c r="J86" s="2168"/>
      <c r="K86" s="2168"/>
      <c r="L86" s="2289"/>
      <c r="M86" s="2290"/>
      <c r="N86" s="2290"/>
      <c r="O86" s="2290"/>
      <c r="P86" s="2290"/>
      <c r="Q86" s="2290"/>
      <c r="R86" s="2290"/>
      <c r="S86" s="2290"/>
      <c r="T86" s="2290"/>
      <c r="U86" s="2291"/>
      <c r="V86" s="2290"/>
      <c r="W86" s="2290"/>
      <c r="X86" s="2290"/>
      <c r="Y86" s="2290"/>
    </row>
    <row r="87" spans="2:32" s="1889" customFormat="1" ht="18" outlineLevel="1">
      <c r="C87" s="2292"/>
      <c r="D87" s="2173"/>
      <c r="L87" s="2049"/>
      <c r="M87" s="1888"/>
      <c r="N87" s="1888"/>
      <c r="O87" s="1888"/>
      <c r="P87" s="1888"/>
      <c r="Q87" s="1888"/>
      <c r="R87" s="1888"/>
      <c r="S87" s="1888"/>
      <c r="T87" s="1888"/>
      <c r="U87" s="2293"/>
      <c r="V87" s="1888"/>
      <c r="W87" s="1888"/>
      <c r="X87" s="1888"/>
      <c r="Y87" s="1888"/>
    </row>
    <row r="88" spans="2:32" ht="51" outlineLevel="1">
      <c r="B88" s="2845" t="s">
        <v>965</v>
      </c>
      <c r="C88" s="2261" t="str">
        <f>IF('1.02b_Debt'!D55 = "","",'1.02b_Debt'!D55)</f>
        <v>Issue date</v>
      </c>
      <c r="D88" s="2262" t="str">
        <f>IF('1.02b_Debt'!E55 = "","",'1.02b_Debt'!E55)</f>
        <v>Maturity date</v>
      </c>
      <c r="E88" s="2262" t="str">
        <f>IF('1.02b_Debt'!F55 = "","",'1.02b_Debt'!F55)</f>
        <v>Description</v>
      </c>
      <c r="F88" s="2262" t="str">
        <f>IF('1.02b_Debt'!G55 = "","",'1.02b_Debt'!G55)</f>
        <v>Loan type</v>
      </c>
      <c r="G88" s="2262" t="str">
        <f>IF('1.02b_Debt'!H55 = "","",'1.02b_Debt'!H55)</f>
        <v>Payment rank</v>
      </c>
      <c r="H88" s="2263" t="str">
        <f>IF('1.02b_Debt'!I55 = "","",'1.02b_Debt'!I55)</f>
        <v>Reference rate</v>
      </c>
      <c r="I88" s="2264" t="str">
        <f>IF('1.02b_Debt'!J55 = "","",'1.02b_Debt'!J55)</f>
        <v>Coupon rate / margin spread on reference rate</v>
      </c>
      <c r="L88" s="2233"/>
      <c r="Q88" s="1892"/>
      <c r="R88" s="1892"/>
      <c r="U88" s="2052"/>
      <c r="Y88" s="1877"/>
    </row>
    <row r="89" spans="2:32" outlineLevel="1">
      <c r="B89" s="2234"/>
      <c r="C89" s="2179" t="str">
        <f>IF('1.02b_Debt'!D56 = "","",'1.02b_Debt'!D56)</f>
        <v>dd/mm/yyyy</v>
      </c>
      <c r="D89" s="2180" t="str">
        <f>IF('1.02b_Debt'!E56 = "","",'1.02b_Debt'!E56)</f>
        <v>dd/mm/yyyy</v>
      </c>
      <c r="E89" s="2180" t="str">
        <f>IF('1.02b_Debt'!F56 = "","",'1.02b_Debt'!F56)</f>
        <v/>
      </c>
      <c r="F89" s="2180" t="str">
        <f>IF('1.02b_Debt'!G56 = "","",'1.02b_Debt'!G56)</f>
        <v/>
      </c>
      <c r="G89" s="2180" t="str">
        <f>IF('1.02b_Debt'!H56 = "","",'1.02b_Debt'!H56)</f>
        <v/>
      </c>
      <c r="H89" s="2180" t="str">
        <f>IF('1.02b_Debt'!I56 = "","",'1.02b_Debt'!I56)</f>
        <v/>
      </c>
      <c r="I89" s="2265" t="str">
        <f>IF('1.02b_Debt'!J56 = "","",'1.02b_Debt'!J56)</f>
        <v xml:space="preserve">% </v>
      </c>
      <c r="L89" s="2233"/>
      <c r="M89" s="2238" t="s">
        <v>498</v>
      </c>
      <c r="N89" s="2239" t="s">
        <v>498</v>
      </c>
      <c r="O89" s="2239" t="s">
        <v>498</v>
      </c>
      <c r="P89" s="2239" t="s">
        <v>498</v>
      </c>
      <c r="Q89" s="2239" t="s">
        <v>498</v>
      </c>
      <c r="R89" s="2239" t="s">
        <v>498</v>
      </c>
      <c r="S89" s="2239" t="s">
        <v>498</v>
      </c>
      <c r="T89" s="2240" t="s">
        <v>498</v>
      </c>
      <c r="U89" s="2241" t="s">
        <v>498</v>
      </c>
      <c r="V89" s="2239" t="s">
        <v>498</v>
      </c>
      <c r="W89" s="2239" t="s">
        <v>498</v>
      </c>
      <c r="X89" s="2239" t="s">
        <v>498</v>
      </c>
      <c r="Y89" s="2242" t="s">
        <v>498</v>
      </c>
    </row>
    <row r="90" spans="2:32" outlineLevel="1">
      <c r="B90" s="2187" t="s">
        <v>1022</v>
      </c>
      <c r="C90" s="2188">
        <f>IF('1.02b_Debt'!D57 = "","",'1.02b_Debt'!D57)</f>
        <v>40002</v>
      </c>
      <c r="D90" s="2188">
        <f>IF('1.02b_Debt'!E57 = "","",'1.02b_Debt'!E57)</f>
        <v>43654</v>
      </c>
      <c r="E90" s="2266" t="str">
        <f>IF('1.02b_Debt'!F57 = "","",'1.02b_Debt'!F57)</f>
        <v>On-lent bond issue proceeds</v>
      </c>
      <c r="F90" s="2267" t="str">
        <f>IF('1.02b_Debt'!G57 = "","",'1.02b_Debt'!G57)</f>
        <v>Fixed rate</v>
      </c>
      <c r="G90" s="2294" t="str">
        <f>IF('1.02b_Debt'!H57 = "","",'1.02b_Debt'!H57)</f>
        <v>Senior</v>
      </c>
      <c r="H90" s="2267" t="str">
        <f>IF('1.02b_Debt'!I57 = "","",'1.02b_Debt'!I57)</f>
        <v>Gilt yield</v>
      </c>
      <c r="I90" s="2192">
        <f>IF('1.02b_Debt'!J57 = "","",'1.02b_Debt'!J57)</f>
        <v>5.8749999999999997E-2</v>
      </c>
      <c r="J90" s="2193"/>
      <c r="K90" s="2194"/>
      <c r="L90" s="2195"/>
      <c r="M90" s="2587">
        <v>11.75</v>
      </c>
      <c r="N90" s="2587">
        <v>11.75</v>
      </c>
      <c r="O90" s="2587">
        <v>11.75</v>
      </c>
      <c r="P90" s="2587">
        <v>11.75</v>
      </c>
      <c r="Q90" s="2587">
        <v>11.75</v>
      </c>
      <c r="R90" s="2197">
        <v>11.75</v>
      </c>
      <c r="S90" s="2197">
        <v>3.1547945205479455</v>
      </c>
      <c r="T90" s="2198"/>
      <c r="U90" s="2199"/>
      <c r="V90" s="2197"/>
      <c r="W90" s="2197"/>
      <c r="X90" s="2197"/>
      <c r="Y90" s="2200"/>
    </row>
    <row r="91" spans="2:32" outlineLevel="1">
      <c r="B91" s="2295" t="s">
        <v>1027</v>
      </c>
      <c r="C91" s="2202">
        <f>IF('1.02b_Debt'!D58 = "","",'1.02b_Debt'!D58)</f>
        <v>38671</v>
      </c>
      <c r="D91" s="2202">
        <f>IF('1.02b_Debt'!E58 = "","",'1.02b_Debt'!E58)</f>
        <v>46568</v>
      </c>
      <c r="E91" s="2269" t="str">
        <f>IF('1.02b_Debt'!F58 = "","",'1.02b_Debt'!F58)</f>
        <v>On-lent bond issue proceeds</v>
      </c>
      <c r="F91" s="2270" t="str">
        <f>IF('1.02b_Debt'!G58 = "","",'1.02b_Debt'!G58)</f>
        <v>Fixed rate</v>
      </c>
      <c r="G91" s="2296" t="str">
        <f>IF('1.02b_Debt'!H58 = "","",'1.02b_Debt'!H58)</f>
        <v>Senior</v>
      </c>
      <c r="H91" s="2270" t="str">
        <f>IF('1.02b_Debt'!I58 = "","",'1.02b_Debt'!I58)</f>
        <v>Gilt yield</v>
      </c>
      <c r="I91" s="2206">
        <f>IF('1.02b_Debt'!J58 = "","",'1.02b_Debt'!J58)</f>
        <v>4.8750000000000002E-2</v>
      </c>
      <c r="J91" s="2193"/>
      <c r="K91" s="2194"/>
      <c r="L91" s="2195"/>
      <c r="M91" s="2589">
        <v>12.1875</v>
      </c>
      <c r="N91" s="2589">
        <v>12.1875</v>
      </c>
      <c r="O91" s="2589">
        <v>12.1875</v>
      </c>
      <c r="P91" s="2589">
        <v>12.1875</v>
      </c>
      <c r="Q91" s="2589">
        <v>12.1875</v>
      </c>
      <c r="R91" s="2208">
        <v>12.1875</v>
      </c>
      <c r="S91" s="2208">
        <v>12.1875</v>
      </c>
      <c r="T91" s="2209">
        <v>12.1875</v>
      </c>
      <c r="U91" s="2210">
        <v>12.1875</v>
      </c>
      <c r="V91" s="2208">
        <v>12.1875</v>
      </c>
      <c r="W91" s="2208">
        <v>12.1875</v>
      </c>
      <c r="X91" s="2208">
        <v>12.1875</v>
      </c>
      <c r="Y91" s="2211">
        <v>12.1875</v>
      </c>
    </row>
    <row r="92" spans="2:32" outlineLevel="1">
      <c r="B92" s="2201" t="s">
        <v>1029</v>
      </c>
      <c r="C92" s="2202">
        <f>IF('1.02b_Debt'!D59 = "","",'1.02b_Debt'!D59)</f>
        <v>40002</v>
      </c>
      <c r="D92" s="2202">
        <f>IF('1.02b_Debt'!E59 = "","",'1.02b_Debt'!E59)</f>
        <v>43654</v>
      </c>
      <c r="E92" s="2269" t="str">
        <f>IF('1.02b_Debt'!F59 = "","",'1.02b_Debt'!F59)</f>
        <v>Fair value of portion of above loan in, or previously in, a FV hedge relationship</v>
      </c>
      <c r="F92" s="2270" t="str">
        <f>IF('1.02b_Debt'!G59 = "","",'1.02b_Debt'!G59)</f>
        <v/>
      </c>
      <c r="G92" s="2296" t="str">
        <f>IF('1.02b_Debt'!H59 = "","",'1.02b_Debt'!H59)</f>
        <v/>
      </c>
      <c r="H92" s="2270" t="str">
        <f>IF('1.02b_Debt'!I59 = "","",'1.02b_Debt'!I59)</f>
        <v/>
      </c>
      <c r="I92" s="2206" t="str">
        <f>IF('1.02b_Debt'!J59 = "","",'1.02b_Debt'!J59)</f>
        <v/>
      </c>
      <c r="J92" s="2193"/>
      <c r="K92" s="2194"/>
      <c r="L92" s="2195"/>
      <c r="M92" s="2589"/>
      <c r="N92" s="2589"/>
      <c r="O92" s="2589"/>
      <c r="P92" s="2589"/>
      <c r="Q92" s="2589"/>
      <c r="R92" s="2208"/>
      <c r="S92" s="2208"/>
      <c r="T92" s="2209"/>
      <c r="U92" s="2210"/>
      <c r="V92" s="2208"/>
      <c r="W92" s="2208"/>
      <c r="X92" s="2208"/>
      <c r="Y92" s="2211"/>
    </row>
    <row r="93" spans="2:32" outlineLevel="1">
      <c r="B93" s="2295" t="s">
        <v>1031</v>
      </c>
      <c r="C93" s="2202">
        <f>IF('1.02b_Debt'!D60 = "","",'1.02b_Debt'!D60)</f>
        <v>38671</v>
      </c>
      <c r="D93" s="2202">
        <f>IF('1.02b_Debt'!E60 = "","",'1.02b_Debt'!E60)</f>
        <v>49628</v>
      </c>
      <c r="E93" s="2269" t="str">
        <f>IF('1.02b_Debt'!F60 = "","",'1.02b_Debt'!F60)</f>
        <v>On-lent bond issue proceeds</v>
      </c>
      <c r="F93" s="2270" t="str">
        <f>IF('1.02b_Debt'!G60 = "","",'1.02b_Debt'!G60)</f>
        <v>Fixed rate</v>
      </c>
      <c r="G93" s="2296" t="str">
        <f>IF('1.02b_Debt'!H60 = "","",'1.02b_Debt'!H60)</f>
        <v>Senior</v>
      </c>
      <c r="H93" s="2270" t="str">
        <f>IF('1.02b_Debt'!I60 = "","",'1.02b_Debt'!I60)</f>
        <v>Gilt yield</v>
      </c>
      <c r="I93" s="2206">
        <f>IF('1.02b_Debt'!J60 = "","",'1.02b_Debt'!J60)</f>
        <v>4.8750000000000002E-2</v>
      </c>
      <c r="J93" s="2193"/>
      <c r="K93" s="2194"/>
      <c r="L93" s="2195"/>
      <c r="M93" s="2589">
        <v>12.43125</v>
      </c>
      <c r="N93" s="2589">
        <v>12.43125</v>
      </c>
      <c r="O93" s="2589">
        <v>12.43125</v>
      </c>
      <c r="P93" s="2589">
        <v>12.43125</v>
      </c>
      <c r="Q93" s="2589">
        <v>12.43125</v>
      </c>
      <c r="R93" s="2208">
        <v>12.43125</v>
      </c>
      <c r="S93" s="2208">
        <v>12.43125</v>
      </c>
      <c r="T93" s="2209">
        <v>12.43125</v>
      </c>
      <c r="U93" s="2210">
        <v>12.43125</v>
      </c>
      <c r="V93" s="2208">
        <v>12.43125</v>
      </c>
      <c r="W93" s="2208">
        <v>12.43125</v>
      </c>
      <c r="X93" s="2208">
        <v>12.43125</v>
      </c>
      <c r="Y93" s="2211">
        <v>12.43125</v>
      </c>
    </row>
    <row r="94" spans="2:32" outlineLevel="1">
      <c r="B94" s="2201" t="s">
        <v>1033</v>
      </c>
      <c r="C94" s="2202">
        <f>IF('1.02b_Debt'!D61 = "","",'1.02b_Debt'!D61)</f>
        <v>40260</v>
      </c>
      <c r="D94" s="2202">
        <f>IF('1.02b_Debt'!E61 = "","",'1.02b_Debt'!E61)</f>
        <v>51218</v>
      </c>
      <c r="E94" s="2269" t="str">
        <f>IF('1.02b_Debt'!F61 = "","",'1.02b_Debt'!F61)</f>
        <v>Fair value of portion of above loan in, or previously in, a FV hedge relationship</v>
      </c>
      <c r="F94" s="2270" t="str">
        <f>IF('1.02b_Debt'!G61 = "","",'1.02b_Debt'!G61)</f>
        <v/>
      </c>
      <c r="G94" s="2296" t="str">
        <f>IF('1.02b_Debt'!H61 = "","",'1.02b_Debt'!H61)</f>
        <v/>
      </c>
      <c r="H94" s="2270" t="str">
        <f>IF('1.02b_Debt'!I61 = "","",'1.02b_Debt'!I61)</f>
        <v/>
      </c>
      <c r="I94" s="2206" t="str">
        <f>IF('1.02b_Debt'!J61 = "","",'1.02b_Debt'!J61)</f>
        <v/>
      </c>
      <c r="J94" s="2193"/>
      <c r="K94" s="2194"/>
      <c r="L94" s="2195"/>
      <c r="M94" s="2589"/>
      <c r="N94" s="2589"/>
      <c r="O94" s="2589"/>
      <c r="P94" s="2589"/>
      <c r="Q94" s="2589"/>
      <c r="R94" s="2208"/>
      <c r="S94" s="2208"/>
      <c r="T94" s="2209"/>
      <c r="U94" s="2210"/>
      <c r="V94" s="2208"/>
      <c r="W94" s="2208"/>
      <c r="X94" s="2208"/>
      <c r="Y94" s="2211"/>
    </row>
    <row r="95" spans="2:32" outlineLevel="1">
      <c r="B95" s="2295" t="s">
        <v>1034</v>
      </c>
      <c r="C95" s="2202">
        <f>IF('1.02b_Debt'!D62 = "","",'1.02b_Debt'!D62)</f>
        <v>40260</v>
      </c>
      <c r="D95" s="2202">
        <f>IF('1.02b_Debt'!E62 = "","",'1.02b_Debt'!E62)</f>
        <v>51218</v>
      </c>
      <c r="E95" s="2269" t="str">
        <f>IF('1.02b_Debt'!F62 = "","",'1.02b_Debt'!F62)</f>
        <v>On-lent bond issue proceeds</v>
      </c>
      <c r="F95" s="2270" t="str">
        <f>IF('1.02b_Debt'!G62 = "","",'1.02b_Debt'!G62)</f>
        <v>Fixed rate</v>
      </c>
      <c r="G95" s="2296" t="str">
        <f>IF('1.02b_Debt'!H62 = "","",'1.02b_Debt'!H62)</f>
        <v>Senior</v>
      </c>
      <c r="H95" s="2270" t="str">
        <f>IF('1.02b_Debt'!I62 = "","",'1.02b_Debt'!I62)</f>
        <v>Gilt yield</v>
      </c>
      <c r="I95" s="2206">
        <f>IF('1.02b_Debt'!J62 = "","",'1.02b_Debt'!J62)</f>
        <v>5.6250000000000001E-2</v>
      </c>
      <c r="J95" s="2193"/>
      <c r="K95" s="2194"/>
      <c r="L95" s="2195"/>
      <c r="M95" s="2589">
        <v>11.25</v>
      </c>
      <c r="N95" s="2589">
        <v>11.25</v>
      </c>
      <c r="O95" s="2589">
        <v>11.25</v>
      </c>
      <c r="P95" s="2589">
        <v>11.25</v>
      </c>
      <c r="Q95" s="2589">
        <v>11.25</v>
      </c>
      <c r="R95" s="2208">
        <v>11.24924208</v>
      </c>
      <c r="S95" s="2208">
        <v>11.25</v>
      </c>
      <c r="T95" s="2209">
        <v>11.25</v>
      </c>
      <c r="U95" s="2210">
        <v>11.25</v>
      </c>
      <c r="V95" s="2208">
        <v>11.25</v>
      </c>
      <c r="W95" s="2208">
        <v>11.25</v>
      </c>
      <c r="X95" s="2208">
        <v>11.25</v>
      </c>
      <c r="Y95" s="2211">
        <v>11.25</v>
      </c>
    </row>
    <row r="96" spans="2:32" outlineLevel="1">
      <c r="B96" s="2201" t="s">
        <v>1036</v>
      </c>
      <c r="C96" s="2202">
        <f>IF('1.02b_Debt'!D63 = "","",'1.02b_Debt'!D63)</f>
        <v>38504</v>
      </c>
      <c r="D96" s="2202" t="str">
        <f>IF('1.02b_Debt'!E63 = "","",'1.02b_Debt'!E63)</f>
        <v>n/a</v>
      </c>
      <c r="E96" s="2269" t="str">
        <f>IF('1.02b_Debt'!F63 = "","",'1.02b_Debt'!F63)</f>
        <v>Interest free loan deom NGNH</v>
      </c>
      <c r="F96" s="2270" t="str">
        <f>IF('1.02b_Debt'!G63 = "","",'1.02b_Debt'!G63)</f>
        <v>Interest free</v>
      </c>
      <c r="G96" s="2296" t="str">
        <f>IF('1.02b_Debt'!H63 = "","",'1.02b_Debt'!H63)</f>
        <v/>
      </c>
      <c r="H96" s="2270" t="str">
        <f>IF('1.02b_Debt'!I63 = "","",'1.02b_Debt'!I63)</f>
        <v/>
      </c>
      <c r="I96" s="2206">
        <f>IF('1.02b_Debt'!J63 = "","",'1.02b_Debt'!J63)</f>
        <v>0</v>
      </c>
      <c r="J96" s="2193"/>
      <c r="K96" s="2194"/>
      <c r="L96" s="2195"/>
      <c r="M96" s="2207"/>
      <c r="N96" s="2208"/>
      <c r="O96" s="2208"/>
      <c r="P96" s="2208"/>
      <c r="Q96" s="2208"/>
      <c r="R96" s="2208"/>
      <c r="S96" s="2208"/>
      <c r="T96" s="2209"/>
      <c r="U96" s="2210"/>
      <c r="V96" s="2208"/>
      <c r="W96" s="2208"/>
      <c r="X96" s="2208"/>
      <c r="Y96" s="2211"/>
    </row>
    <row r="97" spans="2:25" outlineLevel="1">
      <c r="B97" s="2295" t="s">
        <v>1040</v>
      </c>
      <c r="C97" s="2202" t="str">
        <f>IF('1.02b_Debt'!D64 = "","",'1.02b_Debt'!D64)</f>
        <v/>
      </c>
      <c r="D97" s="2202" t="str">
        <f>IF('1.02b_Debt'!E64 = "","",'1.02b_Debt'!E64)</f>
        <v/>
      </c>
      <c r="E97" s="2269" t="str">
        <f>IF('1.02b_Debt'!F64 = "","",'1.02b_Debt'!F64)</f>
        <v/>
      </c>
      <c r="F97" s="2270" t="str">
        <f>IF('1.02b_Debt'!G64 = "","",'1.02b_Debt'!G64)</f>
        <v/>
      </c>
      <c r="G97" s="2296" t="str">
        <f>IF('1.02b_Debt'!H64 = "","",'1.02b_Debt'!H64)</f>
        <v/>
      </c>
      <c r="H97" s="2270" t="str">
        <f>IF('1.02b_Debt'!I64 = "","",'1.02b_Debt'!I64)</f>
        <v/>
      </c>
      <c r="I97" s="2206" t="str">
        <f>IF('1.02b_Debt'!J64 = "","",'1.02b_Debt'!J64)</f>
        <v/>
      </c>
      <c r="J97" s="2193"/>
      <c r="K97" s="2194"/>
      <c r="L97" s="2195"/>
      <c r="M97" s="2207"/>
      <c r="N97" s="2208"/>
      <c r="O97" s="2208"/>
      <c r="P97" s="2208"/>
      <c r="Q97" s="2208"/>
      <c r="R97" s="2208"/>
      <c r="S97" s="2208"/>
      <c r="T97" s="2209"/>
      <c r="U97" s="2210"/>
      <c r="V97" s="2208"/>
      <c r="W97" s="2208"/>
      <c r="X97" s="2208"/>
      <c r="Y97" s="2211"/>
    </row>
    <row r="98" spans="2:25" outlineLevel="1">
      <c r="B98" s="2212" t="s">
        <v>1041</v>
      </c>
      <c r="C98" s="2213" t="str">
        <f>IF('1.02b_Debt'!D65 = "","",'1.02b_Debt'!D65)</f>
        <v/>
      </c>
      <c r="D98" s="2213" t="str">
        <f>IF('1.02b_Debt'!E65 = "","",'1.02b_Debt'!E65)</f>
        <v/>
      </c>
      <c r="E98" s="2272" t="str">
        <f>IF('1.02b_Debt'!F65 = "","",'1.02b_Debt'!F65)</f>
        <v/>
      </c>
      <c r="F98" s="2273" t="str">
        <f>IF('1.02b_Debt'!G65 = "","",'1.02b_Debt'!G65)</f>
        <v/>
      </c>
      <c r="G98" s="2297" t="str">
        <f>IF('1.02b_Debt'!H65 = "","",'1.02b_Debt'!H65)</f>
        <v/>
      </c>
      <c r="H98" s="2273" t="str">
        <f>IF('1.02b_Debt'!I65 = "","",'1.02b_Debt'!I65)</f>
        <v/>
      </c>
      <c r="I98" s="2214" t="str">
        <f>IF('1.02b_Debt'!J65 = "","",'1.02b_Debt'!J65)</f>
        <v/>
      </c>
      <c r="J98" s="2193"/>
      <c r="K98" s="2194"/>
      <c r="L98" s="2195"/>
      <c r="M98" s="2215"/>
      <c r="N98" s="2216"/>
      <c r="O98" s="2216"/>
      <c r="P98" s="2216"/>
      <c r="Q98" s="2216"/>
      <c r="R98" s="2216"/>
      <c r="S98" s="2216"/>
      <c r="T98" s="2217"/>
      <c r="U98" s="2218"/>
      <c r="V98" s="2216"/>
      <c r="W98" s="2216"/>
      <c r="X98" s="2216"/>
      <c r="Y98" s="2219"/>
    </row>
    <row r="99" spans="2:25" outlineLevel="1">
      <c r="B99" s="1885"/>
      <c r="C99" s="2159"/>
      <c r="D99" s="1952"/>
      <c r="E99" s="1952"/>
      <c r="F99" s="1952"/>
      <c r="H99" s="1901"/>
      <c r="L99" s="2220" t="s">
        <v>1421</v>
      </c>
      <c r="M99" s="2074">
        <f t="shared" ref="M99:Y99" si="11">SUM(M90:M98)</f>
        <v>47.618749999999999</v>
      </c>
      <c r="N99" s="2075">
        <f t="shared" si="11"/>
        <v>47.618749999999999</v>
      </c>
      <c r="O99" s="2075">
        <f t="shared" si="11"/>
        <v>47.618749999999999</v>
      </c>
      <c r="P99" s="2075">
        <f t="shared" si="11"/>
        <v>47.618749999999999</v>
      </c>
      <c r="Q99" s="2075">
        <f t="shared" si="11"/>
        <v>47.618749999999999</v>
      </c>
      <c r="R99" s="2075">
        <f t="shared" si="11"/>
        <v>47.61799208</v>
      </c>
      <c r="S99" s="2075">
        <f t="shared" si="11"/>
        <v>39.023544520547944</v>
      </c>
      <c r="T99" s="2076">
        <f t="shared" si="11"/>
        <v>35.868749999999999</v>
      </c>
      <c r="U99" s="2077">
        <f t="shared" si="11"/>
        <v>35.868749999999999</v>
      </c>
      <c r="V99" s="2075">
        <f t="shared" si="11"/>
        <v>35.868749999999999</v>
      </c>
      <c r="W99" s="2075">
        <f t="shared" si="11"/>
        <v>35.868749999999999</v>
      </c>
      <c r="X99" s="2075">
        <f t="shared" si="11"/>
        <v>35.868749999999999</v>
      </c>
      <c r="Y99" s="2078">
        <f t="shared" si="11"/>
        <v>35.868749999999999</v>
      </c>
    </row>
    <row r="100" spans="2:25" outlineLevel="1">
      <c r="C100" s="1870"/>
      <c r="L100" s="2233"/>
      <c r="Q100" s="1870"/>
      <c r="R100" s="1870"/>
      <c r="S100" s="1870"/>
      <c r="T100" s="1870"/>
      <c r="U100" s="1886"/>
      <c r="V100" s="1870"/>
      <c r="W100" s="1870"/>
      <c r="X100" s="1870"/>
      <c r="Y100" s="1870"/>
    </row>
    <row r="101" spans="2:25" ht="18" outlineLevel="1">
      <c r="D101" s="2167" t="s">
        <v>1431</v>
      </c>
      <c r="E101" s="2168"/>
      <c r="F101" s="2168"/>
      <c r="G101" s="2168"/>
      <c r="H101" s="2168"/>
      <c r="I101" s="2168"/>
      <c r="J101" s="2168"/>
      <c r="K101" s="2168"/>
      <c r="L101" s="2229"/>
      <c r="M101" s="2168"/>
      <c r="N101" s="2168"/>
      <c r="O101" s="2168"/>
      <c r="P101" s="2168"/>
      <c r="Q101" s="2168"/>
      <c r="R101" s="2168"/>
      <c r="S101" s="2168"/>
      <c r="T101" s="2168"/>
      <c r="U101" s="2230"/>
      <c r="V101" s="2168"/>
      <c r="W101" s="2168"/>
      <c r="X101" s="2168"/>
      <c r="Y101" s="2168"/>
    </row>
    <row r="102" spans="2:25" s="1889" customFormat="1" ht="18" outlineLevel="1">
      <c r="C102" s="2051"/>
      <c r="D102" s="2173"/>
      <c r="L102" s="2231"/>
      <c r="U102" s="2232"/>
    </row>
    <row r="103" spans="2:25" ht="51" outlineLevel="1">
      <c r="B103" s="2845" t="s">
        <v>965</v>
      </c>
      <c r="C103" s="2261" t="str">
        <f t="shared" ref="C103:I113" si="12">C88</f>
        <v>Issue date</v>
      </c>
      <c r="D103" s="2262" t="str">
        <f t="shared" si="12"/>
        <v>Maturity date</v>
      </c>
      <c r="E103" s="2262" t="str">
        <f t="shared" si="12"/>
        <v>Description</v>
      </c>
      <c r="F103" s="2262" t="str">
        <f t="shared" si="12"/>
        <v>Loan type</v>
      </c>
      <c r="G103" s="2262" t="str">
        <f t="shared" si="12"/>
        <v>Payment rank</v>
      </c>
      <c r="H103" s="2263" t="str">
        <f t="shared" si="12"/>
        <v>Reference rate</v>
      </c>
      <c r="I103" s="2264" t="str">
        <f t="shared" si="12"/>
        <v>Coupon rate / margin spread on reference rate</v>
      </c>
      <c r="L103" s="2233"/>
      <c r="Q103" s="1892"/>
      <c r="R103" s="1892"/>
      <c r="U103" s="2052"/>
      <c r="Y103" s="1877"/>
    </row>
    <row r="104" spans="2:25" outlineLevel="1">
      <c r="B104" s="2298"/>
      <c r="C104" s="2179" t="str">
        <f t="shared" si="12"/>
        <v>dd/mm/yyyy</v>
      </c>
      <c r="D104" s="2180" t="str">
        <f t="shared" si="12"/>
        <v>dd/mm/yyyy</v>
      </c>
      <c r="E104" s="2180" t="str">
        <f t="shared" si="12"/>
        <v/>
      </c>
      <c r="F104" s="2180" t="str">
        <f t="shared" si="12"/>
        <v/>
      </c>
      <c r="G104" s="2180" t="str">
        <f t="shared" si="12"/>
        <v/>
      </c>
      <c r="H104" s="2180" t="str">
        <f t="shared" si="12"/>
        <v/>
      </c>
      <c r="I104" s="2265" t="str">
        <f t="shared" si="12"/>
        <v xml:space="preserve">% </v>
      </c>
      <c r="L104" s="2233"/>
      <c r="M104" s="2238" t="s">
        <v>498</v>
      </c>
      <c r="N104" s="2239" t="s">
        <v>498</v>
      </c>
      <c r="O104" s="2239" t="s">
        <v>498</v>
      </c>
      <c r="P104" s="2239" t="s">
        <v>498</v>
      </c>
      <c r="Q104" s="2239" t="s">
        <v>498</v>
      </c>
      <c r="R104" s="2239" t="s">
        <v>498</v>
      </c>
      <c r="S104" s="2239" t="s">
        <v>498</v>
      </c>
      <c r="T104" s="2240" t="s">
        <v>498</v>
      </c>
      <c r="U104" s="2241" t="s">
        <v>498</v>
      </c>
      <c r="V104" s="2239" t="s">
        <v>498</v>
      </c>
      <c r="W104" s="2239" t="s">
        <v>498</v>
      </c>
      <c r="X104" s="2239" t="s">
        <v>498</v>
      </c>
      <c r="Y104" s="2242" t="s">
        <v>498</v>
      </c>
    </row>
    <row r="105" spans="2:25" outlineLevel="1">
      <c r="B105" s="2187" t="s">
        <v>1022</v>
      </c>
      <c r="C105" s="2243">
        <f t="shared" si="12"/>
        <v>40002</v>
      </c>
      <c r="D105" s="2243">
        <f t="shared" si="12"/>
        <v>43654</v>
      </c>
      <c r="E105" s="2275" t="str">
        <f t="shared" si="12"/>
        <v>On-lent bond issue proceeds</v>
      </c>
      <c r="F105" s="2276" t="str">
        <f t="shared" si="12"/>
        <v>Fixed rate</v>
      </c>
      <c r="G105" s="2275" t="str">
        <f t="shared" si="12"/>
        <v>Senior</v>
      </c>
      <c r="H105" s="2276" t="str">
        <f t="shared" si="12"/>
        <v>Gilt yield</v>
      </c>
      <c r="I105" s="2247">
        <f t="shared" si="12"/>
        <v>5.8749999999999997E-2</v>
      </c>
      <c r="J105" s="2193"/>
      <c r="K105" s="2194"/>
      <c r="L105" s="2195"/>
      <c r="M105" s="2587">
        <v>11.75</v>
      </c>
      <c r="N105" s="2587">
        <v>11.75</v>
      </c>
      <c r="O105" s="2587">
        <v>11.75</v>
      </c>
      <c r="P105" s="2587">
        <v>11.75</v>
      </c>
      <c r="Q105" s="2587">
        <v>11.75</v>
      </c>
      <c r="R105" s="2197">
        <v>11.75</v>
      </c>
      <c r="S105" s="2197">
        <v>11.75</v>
      </c>
      <c r="T105" s="2198"/>
      <c r="U105" s="2199"/>
      <c r="V105" s="2197"/>
      <c r="W105" s="2197"/>
      <c r="X105" s="2197"/>
      <c r="Y105" s="2200"/>
    </row>
    <row r="106" spans="2:25" outlineLevel="1">
      <c r="B106" s="2295" t="s">
        <v>1027</v>
      </c>
      <c r="C106" s="2248">
        <f t="shared" si="12"/>
        <v>38671</v>
      </c>
      <c r="D106" s="2248">
        <f t="shared" si="12"/>
        <v>46568</v>
      </c>
      <c r="E106" s="2282" t="str">
        <f t="shared" si="12"/>
        <v>On-lent bond issue proceeds</v>
      </c>
      <c r="F106" s="2283" t="str">
        <f t="shared" si="12"/>
        <v>Fixed rate</v>
      </c>
      <c r="G106" s="2282" t="str">
        <f t="shared" si="12"/>
        <v>Senior</v>
      </c>
      <c r="H106" s="2283" t="str">
        <f t="shared" si="12"/>
        <v>Gilt yield</v>
      </c>
      <c r="I106" s="2252">
        <f t="shared" si="12"/>
        <v>4.8750000000000002E-2</v>
      </c>
      <c r="J106" s="2193"/>
      <c r="K106" s="2194"/>
      <c r="L106" s="2195"/>
      <c r="M106" s="2589">
        <v>12.1875</v>
      </c>
      <c r="N106" s="2589">
        <v>12.1875</v>
      </c>
      <c r="O106" s="2589">
        <v>12.1875</v>
      </c>
      <c r="P106" s="2589">
        <v>12.1875</v>
      </c>
      <c r="Q106" s="2589">
        <v>12.1875</v>
      </c>
      <c r="R106" s="2208">
        <v>12.1875</v>
      </c>
      <c r="S106" s="2208">
        <v>12.1875</v>
      </c>
      <c r="T106" s="2209">
        <v>12.1875</v>
      </c>
      <c r="U106" s="2210">
        <v>12.1875</v>
      </c>
      <c r="V106" s="2208">
        <v>12.1875</v>
      </c>
      <c r="W106" s="2208">
        <v>12.1875</v>
      </c>
      <c r="X106" s="2208">
        <v>12.1875</v>
      </c>
      <c r="Y106" s="2211">
        <v>12.1875</v>
      </c>
    </row>
    <row r="107" spans="2:25" outlineLevel="1">
      <c r="B107" s="2201" t="s">
        <v>1029</v>
      </c>
      <c r="C107" s="2248">
        <f t="shared" si="12"/>
        <v>40002</v>
      </c>
      <c r="D107" s="2248">
        <f t="shared" si="12"/>
        <v>43654</v>
      </c>
      <c r="E107" s="2282" t="str">
        <f t="shared" si="12"/>
        <v>Fair value of portion of above loan in, or previously in, a FV hedge relationship</v>
      </c>
      <c r="F107" s="2283" t="str">
        <f t="shared" si="12"/>
        <v/>
      </c>
      <c r="G107" s="2282" t="str">
        <f t="shared" si="12"/>
        <v/>
      </c>
      <c r="H107" s="2283" t="str">
        <f t="shared" si="12"/>
        <v/>
      </c>
      <c r="I107" s="2252" t="str">
        <f t="shared" si="12"/>
        <v/>
      </c>
      <c r="J107" s="2193"/>
      <c r="K107" s="2194"/>
      <c r="L107" s="2195"/>
      <c r="M107" s="2589"/>
      <c r="N107" s="2589"/>
      <c r="O107" s="2589"/>
      <c r="P107" s="2589"/>
      <c r="Q107" s="2589"/>
      <c r="R107" s="2208"/>
      <c r="S107" s="2208"/>
      <c r="T107" s="2209"/>
      <c r="U107" s="2210"/>
      <c r="V107" s="2208"/>
      <c r="W107" s="2208"/>
      <c r="X107" s="2208"/>
      <c r="Y107" s="2211"/>
    </row>
    <row r="108" spans="2:25" outlineLevel="1">
      <c r="B108" s="2295" t="s">
        <v>1031</v>
      </c>
      <c r="C108" s="2248">
        <f t="shared" si="12"/>
        <v>38671</v>
      </c>
      <c r="D108" s="2248">
        <f t="shared" si="12"/>
        <v>49628</v>
      </c>
      <c r="E108" s="2282" t="str">
        <f t="shared" si="12"/>
        <v>On-lent bond issue proceeds</v>
      </c>
      <c r="F108" s="2283" t="str">
        <f t="shared" si="12"/>
        <v>Fixed rate</v>
      </c>
      <c r="G108" s="2282" t="str">
        <f t="shared" si="12"/>
        <v>Senior</v>
      </c>
      <c r="H108" s="2283" t="str">
        <f t="shared" si="12"/>
        <v>Gilt yield</v>
      </c>
      <c r="I108" s="2252">
        <f t="shared" si="12"/>
        <v>4.8750000000000002E-2</v>
      </c>
      <c r="J108" s="2193"/>
      <c r="K108" s="2194"/>
      <c r="L108" s="2195"/>
      <c r="M108" s="2589">
        <v>12.43125</v>
      </c>
      <c r="N108" s="2589">
        <v>12.43125</v>
      </c>
      <c r="O108" s="2589">
        <v>12.43125</v>
      </c>
      <c r="P108" s="2589">
        <v>12.43125</v>
      </c>
      <c r="Q108" s="2589">
        <v>12.43125</v>
      </c>
      <c r="R108" s="2208">
        <v>12.43125</v>
      </c>
      <c r="S108" s="2208">
        <v>12.43125</v>
      </c>
      <c r="T108" s="2209">
        <v>12.43125</v>
      </c>
      <c r="U108" s="2210">
        <v>12.43125</v>
      </c>
      <c r="V108" s="2208">
        <v>12.43125</v>
      </c>
      <c r="W108" s="2208">
        <v>12.43125</v>
      </c>
      <c r="X108" s="2208">
        <v>12.43125</v>
      </c>
      <c r="Y108" s="2211">
        <v>12.43125</v>
      </c>
    </row>
    <row r="109" spans="2:25" outlineLevel="1">
      <c r="B109" s="2201" t="s">
        <v>1033</v>
      </c>
      <c r="C109" s="2248">
        <f t="shared" si="12"/>
        <v>40260</v>
      </c>
      <c r="D109" s="2248">
        <f t="shared" si="12"/>
        <v>51218</v>
      </c>
      <c r="E109" s="2282" t="str">
        <f t="shared" si="12"/>
        <v>Fair value of portion of above loan in, or previously in, a FV hedge relationship</v>
      </c>
      <c r="F109" s="2283" t="str">
        <f t="shared" si="12"/>
        <v/>
      </c>
      <c r="G109" s="2282" t="str">
        <f t="shared" si="12"/>
        <v/>
      </c>
      <c r="H109" s="2283" t="str">
        <f t="shared" si="12"/>
        <v/>
      </c>
      <c r="I109" s="2252" t="str">
        <f t="shared" si="12"/>
        <v/>
      </c>
      <c r="J109" s="2193"/>
      <c r="K109" s="2194"/>
      <c r="L109" s="2195"/>
      <c r="M109" s="2589"/>
      <c r="N109" s="2589"/>
      <c r="O109" s="2589"/>
      <c r="P109" s="2589"/>
      <c r="Q109" s="2589"/>
      <c r="R109" s="2208"/>
      <c r="S109" s="2208"/>
      <c r="T109" s="2209"/>
      <c r="U109" s="2210"/>
      <c r="V109" s="2208"/>
      <c r="W109" s="2208"/>
      <c r="X109" s="2208"/>
      <c r="Y109" s="2211"/>
    </row>
    <row r="110" spans="2:25" outlineLevel="1">
      <c r="B110" s="2295" t="s">
        <v>1034</v>
      </c>
      <c r="C110" s="2248">
        <f t="shared" si="12"/>
        <v>40260</v>
      </c>
      <c r="D110" s="2248">
        <f t="shared" si="12"/>
        <v>51218</v>
      </c>
      <c r="E110" s="2282" t="str">
        <f t="shared" si="12"/>
        <v>On-lent bond issue proceeds</v>
      </c>
      <c r="F110" s="2283" t="str">
        <f t="shared" si="12"/>
        <v>Fixed rate</v>
      </c>
      <c r="G110" s="2282" t="str">
        <f t="shared" si="12"/>
        <v>Senior</v>
      </c>
      <c r="H110" s="2283" t="str">
        <f t="shared" si="12"/>
        <v>Gilt yield</v>
      </c>
      <c r="I110" s="2252">
        <f t="shared" si="12"/>
        <v>5.6250000000000001E-2</v>
      </c>
      <c r="J110" s="2193"/>
      <c r="K110" s="2194"/>
      <c r="L110" s="2195"/>
      <c r="M110" s="2589">
        <v>11.25</v>
      </c>
      <c r="N110" s="2589">
        <v>11.25</v>
      </c>
      <c r="O110" s="2589">
        <v>11.25</v>
      </c>
      <c r="P110" s="2589">
        <v>11.25</v>
      </c>
      <c r="Q110" s="2589">
        <v>11.25</v>
      </c>
      <c r="R110" s="2208">
        <v>11.25</v>
      </c>
      <c r="S110" s="2208">
        <v>11.25</v>
      </c>
      <c r="T110" s="2209">
        <v>11.25</v>
      </c>
      <c r="U110" s="2210">
        <v>11.25</v>
      </c>
      <c r="V110" s="2208">
        <v>11.25</v>
      </c>
      <c r="W110" s="2208">
        <v>11.25</v>
      </c>
      <c r="X110" s="2208">
        <v>11.25</v>
      </c>
      <c r="Y110" s="2211">
        <v>11.25</v>
      </c>
    </row>
    <row r="111" spans="2:25" outlineLevel="1">
      <c r="B111" s="2201" t="s">
        <v>1036</v>
      </c>
      <c r="C111" s="2248">
        <f t="shared" si="12"/>
        <v>38504</v>
      </c>
      <c r="D111" s="2248" t="str">
        <f t="shared" si="12"/>
        <v>n/a</v>
      </c>
      <c r="E111" s="2282" t="str">
        <f t="shared" si="12"/>
        <v>Interest free loan deom NGNH</v>
      </c>
      <c r="F111" s="2283" t="str">
        <f t="shared" si="12"/>
        <v>Interest free</v>
      </c>
      <c r="G111" s="2282" t="str">
        <f t="shared" si="12"/>
        <v/>
      </c>
      <c r="H111" s="2283" t="str">
        <f t="shared" si="12"/>
        <v/>
      </c>
      <c r="I111" s="2252">
        <f t="shared" si="12"/>
        <v>0</v>
      </c>
      <c r="J111" s="2193"/>
      <c r="K111" s="2194"/>
      <c r="L111" s="2195"/>
      <c r="M111" s="2207"/>
      <c r="N111" s="2208"/>
      <c r="O111" s="2208"/>
      <c r="P111" s="2208"/>
      <c r="Q111" s="2208"/>
      <c r="R111" s="2208"/>
      <c r="S111" s="2208"/>
      <c r="T111" s="2209"/>
      <c r="U111" s="2210"/>
      <c r="V111" s="2208"/>
      <c r="W111" s="2208"/>
      <c r="X111" s="2208"/>
      <c r="Y111" s="2211"/>
    </row>
    <row r="112" spans="2:25" outlineLevel="1">
      <c r="B112" s="2295" t="s">
        <v>1040</v>
      </c>
      <c r="C112" s="2248" t="str">
        <f t="shared" si="12"/>
        <v/>
      </c>
      <c r="D112" s="2248" t="str">
        <f t="shared" si="12"/>
        <v/>
      </c>
      <c r="E112" s="2282" t="str">
        <f t="shared" si="12"/>
        <v/>
      </c>
      <c r="F112" s="2283" t="str">
        <f t="shared" si="12"/>
        <v/>
      </c>
      <c r="G112" s="2282" t="str">
        <f t="shared" si="12"/>
        <v/>
      </c>
      <c r="H112" s="2283" t="str">
        <f t="shared" si="12"/>
        <v/>
      </c>
      <c r="I112" s="2252" t="str">
        <f t="shared" si="12"/>
        <v/>
      </c>
      <c r="J112" s="2193"/>
      <c r="K112" s="2194"/>
      <c r="L112" s="2195"/>
      <c r="M112" s="2207"/>
      <c r="N112" s="2208"/>
      <c r="O112" s="2208"/>
      <c r="P112" s="2208"/>
      <c r="Q112" s="2208"/>
      <c r="R112" s="2208"/>
      <c r="S112" s="2208"/>
      <c r="T112" s="2209"/>
      <c r="U112" s="2210"/>
      <c r="V112" s="2208"/>
      <c r="W112" s="2208"/>
      <c r="X112" s="2208"/>
      <c r="Y112" s="2211"/>
    </row>
    <row r="113" spans="2:27" outlineLevel="1">
      <c r="B113" s="2212" t="s">
        <v>1041</v>
      </c>
      <c r="C113" s="2253" t="str">
        <f t="shared" si="12"/>
        <v/>
      </c>
      <c r="D113" s="2253" t="str">
        <f t="shared" si="12"/>
        <v/>
      </c>
      <c r="E113" s="2285" t="str">
        <f t="shared" si="12"/>
        <v/>
      </c>
      <c r="F113" s="2286" t="str">
        <f t="shared" si="12"/>
        <v/>
      </c>
      <c r="G113" s="2285" t="str">
        <f t="shared" si="12"/>
        <v/>
      </c>
      <c r="H113" s="2286" t="str">
        <f t="shared" si="12"/>
        <v/>
      </c>
      <c r="I113" s="2257" t="str">
        <f t="shared" si="12"/>
        <v/>
      </c>
      <c r="J113" s="2193"/>
      <c r="K113" s="2194"/>
      <c r="L113" s="2195"/>
      <c r="M113" s="2215"/>
      <c r="N113" s="2216"/>
      <c r="O113" s="2216"/>
      <c r="P113" s="2216"/>
      <c r="Q113" s="2216"/>
      <c r="R113" s="2216"/>
      <c r="S113" s="2216"/>
      <c r="T113" s="2217"/>
      <c r="U113" s="2218"/>
      <c r="V113" s="2216"/>
      <c r="W113" s="2216"/>
      <c r="X113" s="2216"/>
      <c r="Y113" s="2219"/>
    </row>
    <row r="114" spans="2:27" outlineLevel="1">
      <c r="B114" s="1885"/>
      <c r="C114" s="1952"/>
      <c r="D114" s="1952"/>
      <c r="E114" s="1952"/>
      <c r="F114" s="1952"/>
      <c r="L114" s="2220" t="s">
        <v>1421</v>
      </c>
      <c r="M114" s="2074">
        <f t="shared" ref="M114:Y114" si="13">SUM(M105:M113)</f>
        <v>47.618749999999999</v>
      </c>
      <c r="N114" s="2075">
        <f t="shared" si="13"/>
        <v>47.618749999999999</v>
      </c>
      <c r="O114" s="2075">
        <f t="shared" si="13"/>
        <v>47.618749999999999</v>
      </c>
      <c r="P114" s="2075">
        <f t="shared" si="13"/>
        <v>47.618749999999999</v>
      </c>
      <c r="Q114" s="2075">
        <f t="shared" si="13"/>
        <v>47.618749999999999</v>
      </c>
      <c r="R114" s="2075">
        <f t="shared" si="13"/>
        <v>47.618749999999999</v>
      </c>
      <c r="S114" s="2075">
        <f t="shared" si="13"/>
        <v>47.618749999999999</v>
      </c>
      <c r="T114" s="2076">
        <f t="shared" si="13"/>
        <v>35.868749999999999</v>
      </c>
      <c r="U114" s="2077">
        <f t="shared" si="13"/>
        <v>35.868749999999999</v>
      </c>
      <c r="V114" s="2075">
        <f t="shared" si="13"/>
        <v>35.868749999999999</v>
      </c>
      <c r="W114" s="2075">
        <f t="shared" si="13"/>
        <v>35.868749999999999</v>
      </c>
      <c r="X114" s="2075">
        <f t="shared" si="13"/>
        <v>35.868749999999999</v>
      </c>
      <c r="Y114" s="2078">
        <f t="shared" si="13"/>
        <v>35.868749999999999</v>
      </c>
    </row>
    <row r="115" spans="2:27" outlineLevel="1">
      <c r="B115" s="1885"/>
      <c r="C115" s="1952"/>
      <c r="D115" s="2226"/>
      <c r="E115" s="2226"/>
      <c r="F115" s="2226"/>
      <c r="L115" s="2233"/>
      <c r="M115" s="2226"/>
      <c r="N115" s="2226"/>
      <c r="O115" s="2226"/>
      <c r="P115" s="2226"/>
      <c r="Q115" s="2226"/>
      <c r="R115" s="2226"/>
      <c r="S115" s="2226"/>
      <c r="T115" s="2226"/>
      <c r="U115" s="2228"/>
      <c r="V115" s="2226"/>
      <c r="W115" s="2226"/>
      <c r="X115" s="2226"/>
      <c r="Y115" s="2226"/>
      <c r="Z115" s="2226"/>
      <c r="AA115" s="2226"/>
    </row>
    <row r="116" spans="2:27">
      <c r="B116" s="1885"/>
      <c r="C116" s="1952"/>
      <c r="D116" s="2226"/>
      <c r="E116" s="2226"/>
      <c r="F116" s="2226"/>
      <c r="L116" s="2233"/>
      <c r="M116" s="2226"/>
      <c r="N116" s="2226"/>
      <c r="O116" s="2226"/>
      <c r="P116" s="2226"/>
      <c r="Q116" s="2226"/>
      <c r="R116" s="2226"/>
      <c r="S116" s="2226"/>
      <c r="T116" s="2226"/>
      <c r="U116" s="2228"/>
      <c r="V116" s="2226"/>
      <c r="W116" s="2226"/>
      <c r="X116" s="2226"/>
      <c r="Y116" s="2226"/>
      <c r="Z116" s="2226"/>
      <c r="AA116" s="2226"/>
    </row>
    <row r="117" spans="2:27" ht="14.25">
      <c r="B117" s="2145" t="s">
        <v>1044</v>
      </c>
      <c r="C117" s="2146" t="s">
        <v>1435</v>
      </c>
      <c r="D117" s="2146"/>
      <c r="E117" s="2146"/>
      <c r="F117" s="2146"/>
      <c r="G117" s="2147"/>
      <c r="H117" s="2147"/>
      <c r="I117" s="2147"/>
      <c r="J117" s="2147"/>
      <c r="K117" s="2147"/>
      <c r="L117" s="2299"/>
      <c r="M117" s="2146"/>
      <c r="N117" s="2146"/>
      <c r="O117" s="2146"/>
      <c r="P117" s="2146"/>
      <c r="Q117" s="2146"/>
      <c r="R117" s="2146"/>
      <c r="S117" s="2146"/>
      <c r="T117" s="2146"/>
      <c r="U117" s="2287"/>
      <c r="V117" s="2146"/>
      <c r="W117" s="2146"/>
      <c r="X117" s="2146"/>
      <c r="Y117" s="2146"/>
    </row>
    <row r="118" spans="2:27" s="1889" customFormat="1" ht="14.25">
      <c r="B118" s="2152"/>
      <c r="C118" s="2153"/>
      <c r="D118" s="2153"/>
      <c r="E118" s="2153"/>
      <c r="F118" s="2153"/>
      <c r="G118" s="2154"/>
      <c r="H118" s="2154"/>
      <c r="I118" s="2154"/>
      <c r="J118" s="2154"/>
      <c r="K118" s="2154"/>
      <c r="L118" s="2300"/>
      <c r="M118" s="2153"/>
      <c r="N118" s="2153"/>
      <c r="O118" s="2153"/>
      <c r="P118" s="2153"/>
      <c r="Q118" s="2153"/>
      <c r="R118" s="2153"/>
      <c r="S118" s="2153"/>
      <c r="T118" s="2153"/>
      <c r="U118" s="2288"/>
      <c r="V118" s="2153"/>
      <c r="W118" s="2153"/>
      <c r="X118" s="2153"/>
      <c r="Y118" s="2153"/>
    </row>
    <row r="119" spans="2:27" ht="18" outlineLevel="1">
      <c r="B119" s="2159"/>
      <c r="C119" s="1952"/>
      <c r="D119" s="2167" t="s">
        <v>1430</v>
      </c>
      <c r="E119" s="2290"/>
      <c r="F119" s="2290"/>
      <c r="G119" s="2168"/>
      <c r="H119" s="2168"/>
      <c r="I119" s="2168"/>
      <c r="J119" s="2168"/>
      <c r="K119" s="2168"/>
      <c r="L119" s="2229"/>
      <c r="M119" s="2290"/>
      <c r="N119" s="2290"/>
      <c r="O119" s="2290"/>
      <c r="P119" s="2290"/>
      <c r="Q119" s="2290"/>
      <c r="R119" s="2290"/>
      <c r="S119" s="2290"/>
      <c r="T119" s="2290"/>
      <c r="U119" s="2291"/>
      <c r="V119" s="2290"/>
      <c r="W119" s="2290"/>
      <c r="X119" s="2290"/>
      <c r="Y119" s="2290"/>
    </row>
    <row r="120" spans="2:27" s="1889" customFormat="1" ht="18" outlineLevel="1">
      <c r="B120" s="2049"/>
      <c r="C120" s="1888"/>
      <c r="D120" s="2173"/>
      <c r="E120" s="1888"/>
      <c r="F120" s="1888"/>
      <c r="L120" s="2231"/>
      <c r="M120" s="1888"/>
      <c r="N120" s="1888"/>
      <c r="O120" s="1888"/>
      <c r="P120" s="1888"/>
      <c r="Q120" s="1888"/>
      <c r="R120" s="1888"/>
      <c r="S120" s="1888"/>
      <c r="T120" s="1888"/>
      <c r="U120" s="2293"/>
      <c r="V120" s="1888"/>
      <c r="W120" s="1888"/>
      <c r="X120" s="1888"/>
      <c r="Y120" s="1888"/>
    </row>
    <row r="121" spans="2:27" ht="51" outlineLevel="1">
      <c r="B121" s="2845" t="s">
        <v>965</v>
      </c>
      <c r="C121" s="2301" t="str">
        <f>IF('1.02b_Debt'!D70 = "","",'1.02b_Debt'!D70)</f>
        <v>Issue date</v>
      </c>
      <c r="D121" s="2263" t="str">
        <f>IF('1.02b_Debt'!E70 = "","",'1.02b_Debt'!E70)</f>
        <v>Maturity date</v>
      </c>
      <c r="E121" s="2263" t="str">
        <f>IF('1.02b_Debt'!F70 = "","",'1.02b_Debt'!F70)</f>
        <v>Description</v>
      </c>
      <c r="F121" s="2263" t="str">
        <f>IF('1.02b_Debt'!G70 = "","",'1.02b_Debt'!G70)</f>
        <v>Loan type</v>
      </c>
      <c r="G121" s="2263" t="str">
        <f>IF('1.02b_Debt'!H70 = "","",'1.02b_Debt'!H70)</f>
        <v>Payment rank</v>
      </c>
      <c r="H121" s="2263" t="str">
        <f>IF('1.02b_Debt'!I70 = "","",'1.02b_Debt'!I70)</f>
        <v>Reference rate</v>
      </c>
      <c r="I121" s="2264" t="str">
        <f>IF('1.02b_Debt'!J70 = "","",'1.02b_Debt'!J70)</f>
        <v>Coupon rate / margin spread on reference rate</v>
      </c>
      <c r="L121" s="2233"/>
      <c r="Q121" s="1892"/>
      <c r="R121" s="1892"/>
      <c r="U121" s="2052"/>
      <c r="Y121" s="1877"/>
    </row>
    <row r="122" spans="2:27" outlineLevel="1">
      <c r="B122" s="2234"/>
      <c r="C122" s="2302" t="str">
        <f>IF('1.02b_Debt'!D71 = "","",'1.02b_Debt'!D71)</f>
        <v>dd/mm/yyyy</v>
      </c>
      <c r="D122" s="2303" t="str">
        <f>IF('1.02b_Debt'!E71 = "","",'1.02b_Debt'!E71)</f>
        <v>dd/mm/yyyy</v>
      </c>
      <c r="E122" s="2303" t="str">
        <f>IF('1.02b_Debt'!F71 = "","",'1.02b_Debt'!F71)</f>
        <v/>
      </c>
      <c r="F122" s="2303" t="str">
        <f>IF('1.02b_Debt'!G71 = "","",'1.02b_Debt'!G71)</f>
        <v/>
      </c>
      <c r="G122" s="2303" t="str">
        <f>IF('1.02b_Debt'!H71 = "","",'1.02b_Debt'!H71)</f>
        <v/>
      </c>
      <c r="H122" s="2303" t="str">
        <f>IF('1.02b_Debt'!I71 = "","",'1.02b_Debt'!I71)</f>
        <v/>
      </c>
      <c r="I122" s="2304" t="str">
        <f>IF('1.02b_Debt'!J71 = "","",'1.02b_Debt'!J71)</f>
        <v xml:space="preserve">% </v>
      </c>
      <c r="L122" s="2233"/>
      <c r="M122" s="2238" t="s">
        <v>498</v>
      </c>
      <c r="N122" s="2239" t="s">
        <v>498</v>
      </c>
      <c r="O122" s="2239" t="s">
        <v>498</v>
      </c>
      <c r="P122" s="2239" t="s">
        <v>498</v>
      </c>
      <c r="Q122" s="2239" t="s">
        <v>498</v>
      </c>
      <c r="R122" s="2239" t="s">
        <v>498</v>
      </c>
      <c r="S122" s="2239" t="s">
        <v>498</v>
      </c>
      <c r="T122" s="2240" t="s">
        <v>498</v>
      </c>
      <c r="U122" s="2241" t="s">
        <v>498</v>
      </c>
      <c r="V122" s="2239" t="s">
        <v>498</v>
      </c>
      <c r="W122" s="2239" t="s">
        <v>498</v>
      </c>
      <c r="X122" s="2239" t="s">
        <v>498</v>
      </c>
      <c r="Y122" s="2242" t="s">
        <v>498</v>
      </c>
    </row>
    <row r="123" spans="2:27" outlineLevel="1">
      <c r="B123" s="2187" t="s">
        <v>1046</v>
      </c>
      <c r="C123" s="2188" t="str">
        <f>IF('1.02b_Debt'!D72 = "","",'1.02b_Debt'!D72)</f>
        <v/>
      </c>
      <c r="D123" s="2188" t="str">
        <f>IF('1.02b_Debt'!E72 = "","",'1.02b_Debt'!E72)</f>
        <v/>
      </c>
      <c r="E123" s="2266" t="str">
        <f>IF('1.02b_Debt'!F72 = "","",'1.02b_Debt'!F72)</f>
        <v/>
      </c>
      <c r="F123" s="2267" t="str">
        <f>IF('1.02b_Debt'!G72 = "","",'1.02b_Debt'!G72)</f>
        <v/>
      </c>
      <c r="G123" s="2266" t="str">
        <f>IF('1.02b_Debt'!H72 = "","",'1.02b_Debt'!H72)</f>
        <v/>
      </c>
      <c r="H123" s="2267" t="str">
        <f>IF('1.02b_Debt'!I72 = "","",'1.02b_Debt'!I72)</f>
        <v/>
      </c>
      <c r="I123" s="2192" t="str">
        <f>IF('1.02b_Debt'!J72 = "","",'1.02b_Debt'!J72)</f>
        <v/>
      </c>
      <c r="J123" s="2193"/>
      <c r="K123" s="2194"/>
      <c r="L123" s="2195"/>
      <c r="M123" s="2196"/>
      <c r="N123" s="2197"/>
      <c r="O123" s="2197"/>
      <c r="P123" s="2197"/>
      <c r="Q123" s="2197"/>
      <c r="R123" s="2197"/>
      <c r="S123" s="2197"/>
      <c r="T123" s="2198"/>
      <c r="U123" s="2199"/>
      <c r="V123" s="2197"/>
      <c r="W123" s="2197"/>
      <c r="X123" s="2197"/>
      <c r="Y123" s="2200"/>
    </row>
    <row r="124" spans="2:27" outlineLevel="1">
      <c r="B124" s="2295" t="s">
        <v>1047</v>
      </c>
      <c r="C124" s="2202" t="str">
        <f>IF('1.02b_Debt'!D73 = "","",'1.02b_Debt'!D73)</f>
        <v/>
      </c>
      <c r="D124" s="2202" t="str">
        <f>IF('1.02b_Debt'!E73 = "","",'1.02b_Debt'!E73)</f>
        <v/>
      </c>
      <c r="E124" s="2269" t="str">
        <f>IF('1.02b_Debt'!F73 = "","",'1.02b_Debt'!F73)</f>
        <v/>
      </c>
      <c r="F124" s="2270" t="str">
        <f>IF('1.02b_Debt'!G73 = "","",'1.02b_Debt'!G73)</f>
        <v/>
      </c>
      <c r="G124" s="2269" t="str">
        <f>IF('1.02b_Debt'!H73 = "","",'1.02b_Debt'!H73)</f>
        <v/>
      </c>
      <c r="H124" s="2270" t="str">
        <f>IF('1.02b_Debt'!I73 = "","",'1.02b_Debt'!I73)</f>
        <v/>
      </c>
      <c r="I124" s="2206" t="str">
        <f>IF('1.02b_Debt'!J73 = "","",'1.02b_Debt'!J73)</f>
        <v/>
      </c>
      <c r="J124" s="2193"/>
      <c r="K124" s="2194"/>
      <c r="L124" s="2195"/>
      <c r="M124" s="2207"/>
      <c r="N124" s="2208"/>
      <c r="O124" s="2208"/>
      <c r="P124" s="2208"/>
      <c r="Q124" s="2208"/>
      <c r="R124" s="2208"/>
      <c r="S124" s="2208"/>
      <c r="T124" s="2209"/>
      <c r="U124" s="2210"/>
      <c r="V124" s="2208"/>
      <c r="W124" s="2208"/>
      <c r="X124" s="2208"/>
      <c r="Y124" s="2211"/>
    </row>
    <row r="125" spans="2:27" outlineLevel="1">
      <c r="B125" s="2201" t="s">
        <v>1048</v>
      </c>
      <c r="C125" s="2202" t="str">
        <f>IF('1.02b_Debt'!D74 = "","",'1.02b_Debt'!D74)</f>
        <v/>
      </c>
      <c r="D125" s="2202" t="str">
        <f>IF('1.02b_Debt'!E74 = "","",'1.02b_Debt'!E74)</f>
        <v/>
      </c>
      <c r="E125" s="2269" t="str">
        <f>IF('1.02b_Debt'!F74 = "","",'1.02b_Debt'!F74)</f>
        <v/>
      </c>
      <c r="F125" s="2270" t="str">
        <f>IF('1.02b_Debt'!G74 = "","",'1.02b_Debt'!G74)</f>
        <v/>
      </c>
      <c r="G125" s="2269" t="str">
        <f>IF('1.02b_Debt'!H74 = "","",'1.02b_Debt'!H74)</f>
        <v/>
      </c>
      <c r="H125" s="2270" t="str">
        <f>IF('1.02b_Debt'!I74 = "","",'1.02b_Debt'!I74)</f>
        <v/>
      </c>
      <c r="I125" s="2206" t="str">
        <f>IF('1.02b_Debt'!J74 = "","",'1.02b_Debt'!J74)</f>
        <v/>
      </c>
      <c r="J125" s="2193"/>
      <c r="K125" s="2194"/>
      <c r="L125" s="2195"/>
      <c r="M125" s="2207"/>
      <c r="N125" s="2208"/>
      <c r="O125" s="2208"/>
      <c r="P125" s="2208"/>
      <c r="Q125" s="2208"/>
      <c r="R125" s="2208"/>
      <c r="S125" s="2208"/>
      <c r="T125" s="2209"/>
      <c r="U125" s="2210"/>
      <c r="V125" s="2208"/>
      <c r="W125" s="2208"/>
      <c r="X125" s="2208"/>
      <c r="Y125" s="2211"/>
    </row>
    <row r="126" spans="2:27" outlineLevel="1">
      <c r="B126" s="2295" t="s">
        <v>1049</v>
      </c>
      <c r="C126" s="2202" t="str">
        <f>IF('1.02b_Debt'!D75 = "","",'1.02b_Debt'!D75)</f>
        <v/>
      </c>
      <c r="D126" s="2202" t="str">
        <f>IF('1.02b_Debt'!E75 = "","",'1.02b_Debt'!E75)</f>
        <v/>
      </c>
      <c r="E126" s="2269" t="str">
        <f>IF('1.02b_Debt'!F75 = "","",'1.02b_Debt'!F75)</f>
        <v/>
      </c>
      <c r="F126" s="2270" t="str">
        <f>IF('1.02b_Debt'!G75 = "","",'1.02b_Debt'!G75)</f>
        <v/>
      </c>
      <c r="G126" s="2269" t="str">
        <f>IF('1.02b_Debt'!H75 = "","",'1.02b_Debt'!H75)</f>
        <v/>
      </c>
      <c r="H126" s="2270" t="str">
        <f>IF('1.02b_Debt'!I75 = "","",'1.02b_Debt'!I75)</f>
        <v/>
      </c>
      <c r="I126" s="2206" t="str">
        <f>IF('1.02b_Debt'!J75 = "","",'1.02b_Debt'!J75)</f>
        <v/>
      </c>
      <c r="J126" s="2193"/>
      <c r="K126" s="2194"/>
      <c r="L126" s="2195"/>
      <c r="M126" s="2207"/>
      <c r="N126" s="2208"/>
      <c r="O126" s="2208"/>
      <c r="P126" s="2208"/>
      <c r="Q126" s="2208"/>
      <c r="R126" s="2208"/>
      <c r="S126" s="2208"/>
      <c r="T126" s="2209"/>
      <c r="U126" s="2210"/>
      <c r="V126" s="2208"/>
      <c r="W126" s="2208"/>
      <c r="X126" s="2208"/>
      <c r="Y126" s="2211"/>
    </row>
    <row r="127" spans="2:27" outlineLevel="1">
      <c r="B127" s="2201" t="s">
        <v>1050</v>
      </c>
      <c r="C127" s="2202" t="str">
        <f>IF('1.02b_Debt'!D76 = "","",'1.02b_Debt'!D76)</f>
        <v/>
      </c>
      <c r="D127" s="2202" t="str">
        <f>IF('1.02b_Debt'!E76 = "","",'1.02b_Debt'!E76)</f>
        <v/>
      </c>
      <c r="E127" s="2269" t="str">
        <f>IF('1.02b_Debt'!F76 = "","",'1.02b_Debt'!F76)</f>
        <v/>
      </c>
      <c r="F127" s="2270" t="str">
        <f>IF('1.02b_Debt'!G76 = "","",'1.02b_Debt'!G76)</f>
        <v/>
      </c>
      <c r="G127" s="2269" t="str">
        <f>IF('1.02b_Debt'!H76 = "","",'1.02b_Debt'!H76)</f>
        <v/>
      </c>
      <c r="H127" s="2270" t="str">
        <f>IF('1.02b_Debt'!I76 = "","",'1.02b_Debt'!I76)</f>
        <v/>
      </c>
      <c r="I127" s="2206" t="str">
        <f>IF('1.02b_Debt'!J76 = "","",'1.02b_Debt'!J76)</f>
        <v/>
      </c>
      <c r="J127" s="2193"/>
      <c r="K127" s="2194"/>
      <c r="L127" s="2195"/>
      <c r="M127" s="2207"/>
      <c r="N127" s="2208"/>
      <c r="O127" s="2208"/>
      <c r="P127" s="2208"/>
      <c r="Q127" s="2208"/>
      <c r="R127" s="2208"/>
      <c r="S127" s="2208"/>
      <c r="T127" s="2209"/>
      <c r="U127" s="2210"/>
      <c r="V127" s="2208"/>
      <c r="W127" s="2208"/>
      <c r="X127" s="2208"/>
      <c r="Y127" s="2211"/>
    </row>
    <row r="128" spans="2:27" outlineLevel="1">
      <c r="B128" s="2295" t="s">
        <v>1051</v>
      </c>
      <c r="C128" s="2202" t="str">
        <f>IF('1.02b_Debt'!D77 = "","",'1.02b_Debt'!D77)</f>
        <v/>
      </c>
      <c r="D128" s="2202" t="str">
        <f>IF('1.02b_Debt'!E77 = "","",'1.02b_Debt'!E77)</f>
        <v/>
      </c>
      <c r="E128" s="2269" t="str">
        <f>IF('1.02b_Debt'!F77 = "","",'1.02b_Debt'!F77)</f>
        <v/>
      </c>
      <c r="F128" s="2270" t="str">
        <f>IF('1.02b_Debt'!G77 = "","",'1.02b_Debt'!G77)</f>
        <v/>
      </c>
      <c r="G128" s="2269" t="str">
        <f>IF('1.02b_Debt'!H77 = "","",'1.02b_Debt'!H77)</f>
        <v/>
      </c>
      <c r="H128" s="2270" t="str">
        <f>IF('1.02b_Debt'!I77 = "","",'1.02b_Debt'!I77)</f>
        <v/>
      </c>
      <c r="I128" s="2206" t="str">
        <f>IF('1.02b_Debt'!J77 = "","",'1.02b_Debt'!J77)</f>
        <v/>
      </c>
      <c r="J128" s="2193"/>
      <c r="K128" s="2194"/>
      <c r="L128" s="2195"/>
      <c r="M128" s="2207"/>
      <c r="N128" s="2208"/>
      <c r="O128" s="2208"/>
      <c r="P128" s="2208"/>
      <c r="Q128" s="2208"/>
      <c r="R128" s="2208"/>
      <c r="S128" s="2208"/>
      <c r="T128" s="2209"/>
      <c r="U128" s="2210"/>
      <c r="V128" s="2208"/>
      <c r="W128" s="2208"/>
      <c r="X128" s="2208"/>
      <c r="Y128" s="2211"/>
    </row>
    <row r="129" spans="2:25" outlineLevel="1">
      <c r="B129" s="2201" t="s">
        <v>1052</v>
      </c>
      <c r="C129" s="2202" t="str">
        <f>IF('1.02b_Debt'!D78 = "","",'1.02b_Debt'!D78)</f>
        <v/>
      </c>
      <c r="D129" s="2202" t="str">
        <f>IF('1.02b_Debt'!E78 = "","",'1.02b_Debt'!E78)</f>
        <v/>
      </c>
      <c r="E129" s="2269" t="str">
        <f>IF('1.02b_Debt'!F78 = "","",'1.02b_Debt'!F78)</f>
        <v/>
      </c>
      <c r="F129" s="2270" t="str">
        <f>IF('1.02b_Debt'!G78 = "","",'1.02b_Debt'!G78)</f>
        <v/>
      </c>
      <c r="G129" s="2269" t="str">
        <f>IF('1.02b_Debt'!H78 = "","",'1.02b_Debt'!H78)</f>
        <v/>
      </c>
      <c r="H129" s="2270" t="str">
        <f>IF('1.02b_Debt'!I78 = "","",'1.02b_Debt'!I78)</f>
        <v/>
      </c>
      <c r="I129" s="2206" t="str">
        <f>IF('1.02b_Debt'!J78 = "","",'1.02b_Debt'!J78)</f>
        <v/>
      </c>
      <c r="J129" s="2193"/>
      <c r="K129" s="2194"/>
      <c r="L129" s="2195"/>
      <c r="M129" s="2207"/>
      <c r="N129" s="2208"/>
      <c r="O129" s="2208"/>
      <c r="P129" s="2208"/>
      <c r="Q129" s="2208"/>
      <c r="R129" s="2208"/>
      <c r="S129" s="2208"/>
      <c r="T129" s="2209"/>
      <c r="U129" s="2210"/>
      <c r="V129" s="2208"/>
      <c r="W129" s="2208"/>
      <c r="X129" s="2208"/>
      <c r="Y129" s="2211"/>
    </row>
    <row r="130" spans="2:25" outlineLevel="1">
      <c r="B130" s="2295" t="s">
        <v>1053</v>
      </c>
      <c r="C130" s="2202" t="str">
        <f>IF('1.02b_Debt'!D79 = "","",'1.02b_Debt'!D79)</f>
        <v/>
      </c>
      <c r="D130" s="2202" t="str">
        <f>IF('1.02b_Debt'!E79 = "","",'1.02b_Debt'!E79)</f>
        <v/>
      </c>
      <c r="E130" s="2269" t="str">
        <f>IF('1.02b_Debt'!F79 = "","",'1.02b_Debt'!F79)</f>
        <v/>
      </c>
      <c r="F130" s="2270" t="str">
        <f>IF('1.02b_Debt'!G79 = "","",'1.02b_Debt'!G79)</f>
        <v/>
      </c>
      <c r="G130" s="2269" t="str">
        <f>IF('1.02b_Debt'!H79 = "","",'1.02b_Debt'!H79)</f>
        <v/>
      </c>
      <c r="H130" s="2270" t="str">
        <f>IF('1.02b_Debt'!I79 = "","",'1.02b_Debt'!I79)</f>
        <v/>
      </c>
      <c r="I130" s="2206" t="str">
        <f>IF('1.02b_Debt'!J79 = "","",'1.02b_Debt'!J79)</f>
        <v/>
      </c>
      <c r="J130" s="2193"/>
      <c r="K130" s="2194"/>
      <c r="L130" s="2195"/>
      <c r="M130" s="2207"/>
      <c r="N130" s="2208"/>
      <c r="O130" s="2208"/>
      <c r="P130" s="2208"/>
      <c r="Q130" s="2208"/>
      <c r="R130" s="2208"/>
      <c r="S130" s="2208"/>
      <c r="T130" s="2209"/>
      <c r="U130" s="2210"/>
      <c r="V130" s="2208"/>
      <c r="W130" s="2208"/>
      <c r="X130" s="2208"/>
      <c r="Y130" s="2211"/>
    </row>
    <row r="131" spans="2:25" outlineLevel="1">
      <c r="B131" s="2212" t="s">
        <v>1054</v>
      </c>
      <c r="C131" s="2213" t="str">
        <f>IF('1.02b_Debt'!D80 = "","",'1.02b_Debt'!D80)</f>
        <v/>
      </c>
      <c r="D131" s="2213" t="str">
        <f>IF('1.02b_Debt'!E80 = "","",'1.02b_Debt'!E80)</f>
        <v/>
      </c>
      <c r="E131" s="2272" t="str">
        <f>IF('1.02b_Debt'!F80 = "","",'1.02b_Debt'!F80)</f>
        <v/>
      </c>
      <c r="F131" s="2273" t="str">
        <f>IF('1.02b_Debt'!G80 = "","",'1.02b_Debt'!G80)</f>
        <v/>
      </c>
      <c r="G131" s="2272" t="str">
        <f>IF('1.02b_Debt'!H80 = "","",'1.02b_Debt'!H80)</f>
        <v/>
      </c>
      <c r="H131" s="2273" t="str">
        <f>IF('1.02b_Debt'!I80 = "","",'1.02b_Debt'!I80)</f>
        <v/>
      </c>
      <c r="I131" s="2214" t="str">
        <f>IF('1.02b_Debt'!J80 = "","",'1.02b_Debt'!J80)</f>
        <v/>
      </c>
      <c r="J131" s="2193"/>
      <c r="K131" s="2194"/>
      <c r="L131" s="2195"/>
      <c r="M131" s="2215"/>
      <c r="N131" s="2216"/>
      <c r="O131" s="2216"/>
      <c r="P131" s="2216"/>
      <c r="Q131" s="2216"/>
      <c r="R131" s="2216"/>
      <c r="S131" s="2216"/>
      <c r="T131" s="2217"/>
      <c r="U131" s="2218"/>
      <c r="V131" s="2216"/>
      <c r="W131" s="2216"/>
      <c r="X131" s="2216"/>
      <c r="Y131" s="2219"/>
    </row>
    <row r="132" spans="2:25" outlineLevel="1">
      <c r="B132" s="1885"/>
      <c r="C132" s="1952"/>
      <c r="D132" s="1952"/>
      <c r="E132" s="1952"/>
      <c r="F132" s="1952"/>
      <c r="L132" s="2220" t="s">
        <v>1421</v>
      </c>
      <c r="M132" s="2074">
        <f>SUM(M123:M131)</f>
        <v>0</v>
      </c>
      <c r="N132" s="2075">
        <f t="shared" ref="N132:Y132" si="14">SUM(N123:N131)</f>
        <v>0</v>
      </c>
      <c r="O132" s="2075">
        <f t="shared" si="14"/>
        <v>0</v>
      </c>
      <c r="P132" s="2075">
        <f t="shared" si="14"/>
        <v>0</v>
      </c>
      <c r="Q132" s="2075">
        <f t="shared" si="14"/>
        <v>0</v>
      </c>
      <c r="R132" s="2075">
        <f t="shared" si="14"/>
        <v>0</v>
      </c>
      <c r="S132" s="2075">
        <f t="shared" si="14"/>
        <v>0</v>
      </c>
      <c r="T132" s="2076">
        <f t="shared" si="14"/>
        <v>0</v>
      </c>
      <c r="U132" s="2077">
        <f t="shared" si="14"/>
        <v>0</v>
      </c>
      <c r="V132" s="2075">
        <f t="shared" si="14"/>
        <v>0</v>
      </c>
      <c r="W132" s="2075">
        <f t="shared" si="14"/>
        <v>0</v>
      </c>
      <c r="X132" s="2075">
        <f t="shared" si="14"/>
        <v>0</v>
      </c>
      <c r="Y132" s="2078">
        <f t="shared" si="14"/>
        <v>0</v>
      </c>
    </row>
    <row r="133" spans="2:25" s="1889" customFormat="1" outlineLevel="1">
      <c r="B133" s="2051"/>
      <c r="C133" s="1888"/>
      <c r="D133" s="1888"/>
      <c r="E133" s="1888"/>
      <c r="F133" s="1888"/>
      <c r="L133" s="2837"/>
      <c r="M133" s="2305"/>
      <c r="N133" s="2305"/>
      <c r="O133" s="2305"/>
      <c r="P133" s="2305"/>
      <c r="Q133" s="2305"/>
      <c r="R133" s="2305"/>
      <c r="S133" s="2305"/>
      <c r="T133" s="2305"/>
      <c r="U133" s="2306"/>
      <c r="V133" s="2305"/>
      <c r="W133" s="2305"/>
      <c r="X133" s="2305"/>
      <c r="Y133" s="2305"/>
    </row>
    <row r="134" spans="2:25" ht="18" outlineLevel="1">
      <c r="C134" s="1952"/>
      <c r="D134" s="2167" t="s">
        <v>1431</v>
      </c>
      <c r="E134" s="2168"/>
      <c r="F134" s="2168"/>
      <c r="G134" s="2168"/>
      <c r="H134" s="2168"/>
      <c r="I134" s="2168"/>
      <c r="J134" s="2168"/>
      <c r="K134" s="2168"/>
      <c r="L134" s="2229"/>
      <c r="M134" s="2168"/>
      <c r="N134" s="2168"/>
      <c r="O134" s="2168"/>
      <c r="P134" s="2168"/>
      <c r="Q134" s="2168"/>
      <c r="R134" s="2168"/>
      <c r="S134" s="2168"/>
      <c r="T134" s="2168"/>
      <c r="U134" s="2230"/>
      <c r="V134" s="2168"/>
      <c r="W134" s="2168"/>
      <c r="X134" s="2168"/>
      <c r="Y134" s="2168"/>
    </row>
    <row r="135" spans="2:25" s="1889" customFormat="1" ht="18" outlineLevel="1">
      <c r="C135" s="1888"/>
      <c r="D135" s="2173"/>
      <c r="L135" s="2231"/>
      <c r="U135" s="2232"/>
    </row>
    <row r="136" spans="2:25" ht="51" outlineLevel="1">
      <c r="B136" s="2845" t="s">
        <v>965</v>
      </c>
      <c r="C136" s="2301" t="str">
        <f t="shared" ref="C136:I146" si="15">C121</f>
        <v>Issue date</v>
      </c>
      <c r="D136" s="2263" t="str">
        <f t="shared" si="15"/>
        <v>Maturity date</v>
      </c>
      <c r="E136" s="2263" t="str">
        <f t="shared" si="15"/>
        <v>Description</v>
      </c>
      <c r="F136" s="2263" t="str">
        <f t="shared" si="15"/>
        <v>Loan type</v>
      </c>
      <c r="G136" s="2263" t="str">
        <f t="shared" si="15"/>
        <v>Payment rank</v>
      </c>
      <c r="H136" s="2263" t="str">
        <f t="shared" si="15"/>
        <v>Reference rate</v>
      </c>
      <c r="I136" s="2264" t="str">
        <f t="shared" si="15"/>
        <v>Coupon rate / margin spread on reference rate</v>
      </c>
      <c r="L136" s="2233"/>
      <c r="Q136" s="1892"/>
      <c r="R136" s="1892"/>
      <c r="U136" s="2052"/>
      <c r="Y136" s="1877"/>
    </row>
    <row r="137" spans="2:25" outlineLevel="1">
      <c r="B137" s="2298"/>
      <c r="C137" s="2302" t="str">
        <f t="shared" si="15"/>
        <v>dd/mm/yyyy</v>
      </c>
      <c r="D137" s="2303" t="str">
        <f t="shared" si="15"/>
        <v>dd/mm/yyyy</v>
      </c>
      <c r="E137" s="2303" t="str">
        <f t="shared" si="15"/>
        <v/>
      </c>
      <c r="F137" s="2303" t="str">
        <f t="shared" si="15"/>
        <v/>
      </c>
      <c r="G137" s="2303" t="str">
        <f t="shared" si="15"/>
        <v/>
      </c>
      <c r="H137" s="2303" t="str">
        <f t="shared" si="15"/>
        <v/>
      </c>
      <c r="I137" s="2304" t="str">
        <f t="shared" si="15"/>
        <v xml:space="preserve">% </v>
      </c>
      <c r="L137" s="2233"/>
      <c r="M137" s="2238" t="s">
        <v>498</v>
      </c>
      <c r="N137" s="2239" t="s">
        <v>498</v>
      </c>
      <c r="O137" s="2239" t="s">
        <v>498</v>
      </c>
      <c r="P137" s="2239" t="s">
        <v>498</v>
      </c>
      <c r="Q137" s="2239" t="s">
        <v>498</v>
      </c>
      <c r="R137" s="2239" t="s">
        <v>498</v>
      </c>
      <c r="S137" s="2239" t="s">
        <v>498</v>
      </c>
      <c r="T137" s="2240" t="s">
        <v>498</v>
      </c>
      <c r="U137" s="2241" t="s">
        <v>498</v>
      </c>
      <c r="V137" s="2239" t="s">
        <v>498</v>
      </c>
      <c r="W137" s="2239" t="s">
        <v>498</v>
      </c>
      <c r="X137" s="2239" t="s">
        <v>498</v>
      </c>
      <c r="Y137" s="2242" t="s">
        <v>498</v>
      </c>
    </row>
    <row r="138" spans="2:25" outlineLevel="1">
      <c r="B138" s="2187" t="s">
        <v>1046</v>
      </c>
      <c r="C138" s="2243" t="str">
        <f>C123</f>
        <v/>
      </c>
      <c r="D138" s="2243" t="str">
        <f t="shared" si="15"/>
        <v/>
      </c>
      <c r="E138" s="2275" t="str">
        <f t="shared" si="15"/>
        <v/>
      </c>
      <c r="F138" s="2276" t="str">
        <f t="shared" si="15"/>
        <v/>
      </c>
      <c r="G138" s="2275" t="str">
        <f t="shared" si="15"/>
        <v/>
      </c>
      <c r="H138" s="2276" t="str">
        <f t="shared" si="15"/>
        <v/>
      </c>
      <c r="I138" s="2247" t="str">
        <f t="shared" si="15"/>
        <v/>
      </c>
      <c r="J138" s="2193"/>
      <c r="K138" s="2194"/>
      <c r="L138" s="2195"/>
      <c r="M138" s="2196"/>
      <c r="N138" s="2197"/>
      <c r="O138" s="2197"/>
      <c r="P138" s="2197"/>
      <c r="Q138" s="2197"/>
      <c r="R138" s="2197"/>
      <c r="S138" s="2197"/>
      <c r="T138" s="2198"/>
      <c r="U138" s="2199"/>
      <c r="V138" s="2197"/>
      <c r="W138" s="2197"/>
      <c r="X138" s="2197"/>
      <c r="Y138" s="2200"/>
    </row>
    <row r="139" spans="2:25" outlineLevel="1">
      <c r="B139" s="2295" t="s">
        <v>1047</v>
      </c>
      <c r="C139" s="2248" t="str">
        <f t="shared" si="15"/>
        <v/>
      </c>
      <c r="D139" s="2248" t="str">
        <f t="shared" si="15"/>
        <v/>
      </c>
      <c r="E139" s="2282" t="str">
        <f t="shared" si="15"/>
        <v/>
      </c>
      <c r="F139" s="2283" t="str">
        <f t="shared" si="15"/>
        <v/>
      </c>
      <c r="G139" s="2282" t="str">
        <f t="shared" si="15"/>
        <v/>
      </c>
      <c r="H139" s="2283" t="str">
        <f t="shared" si="15"/>
        <v/>
      </c>
      <c r="I139" s="2252" t="str">
        <f t="shared" si="15"/>
        <v/>
      </c>
      <c r="J139" s="2193"/>
      <c r="K139" s="2194"/>
      <c r="L139" s="2195"/>
      <c r="M139" s="2207"/>
      <c r="N139" s="2208"/>
      <c r="O139" s="2208"/>
      <c r="P139" s="2208"/>
      <c r="Q139" s="2208"/>
      <c r="R139" s="2208"/>
      <c r="S139" s="2208"/>
      <c r="T139" s="2209"/>
      <c r="U139" s="2210"/>
      <c r="V139" s="2208"/>
      <c r="W139" s="2208"/>
      <c r="X139" s="2208"/>
      <c r="Y139" s="2211"/>
    </row>
    <row r="140" spans="2:25" outlineLevel="1">
      <c r="B140" s="2201" t="s">
        <v>1048</v>
      </c>
      <c r="C140" s="2248" t="str">
        <f t="shared" si="15"/>
        <v/>
      </c>
      <c r="D140" s="2248" t="str">
        <f t="shared" si="15"/>
        <v/>
      </c>
      <c r="E140" s="2282" t="str">
        <f t="shared" si="15"/>
        <v/>
      </c>
      <c r="F140" s="2283" t="str">
        <f t="shared" si="15"/>
        <v/>
      </c>
      <c r="G140" s="2282" t="str">
        <f t="shared" si="15"/>
        <v/>
      </c>
      <c r="H140" s="2283" t="str">
        <f t="shared" si="15"/>
        <v/>
      </c>
      <c r="I140" s="2252" t="str">
        <f t="shared" si="15"/>
        <v/>
      </c>
      <c r="J140" s="2193"/>
      <c r="K140" s="2194"/>
      <c r="L140" s="2195"/>
      <c r="M140" s="2207"/>
      <c r="N140" s="2208"/>
      <c r="O140" s="2208"/>
      <c r="P140" s="2208"/>
      <c r="Q140" s="2208"/>
      <c r="R140" s="2208"/>
      <c r="S140" s="2208"/>
      <c r="T140" s="2209"/>
      <c r="U140" s="2210"/>
      <c r="V140" s="2208"/>
      <c r="W140" s="2208"/>
      <c r="X140" s="2208"/>
      <c r="Y140" s="2211"/>
    </row>
    <row r="141" spans="2:25" outlineLevel="1">
      <c r="B141" s="2295" t="s">
        <v>1049</v>
      </c>
      <c r="C141" s="2248" t="str">
        <f t="shared" si="15"/>
        <v/>
      </c>
      <c r="D141" s="2248" t="str">
        <f t="shared" si="15"/>
        <v/>
      </c>
      <c r="E141" s="2282" t="str">
        <f t="shared" si="15"/>
        <v/>
      </c>
      <c r="F141" s="2283" t="str">
        <f t="shared" si="15"/>
        <v/>
      </c>
      <c r="G141" s="2282" t="str">
        <f t="shared" si="15"/>
        <v/>
      </c>
      <c r="H141" s="2283" t="str">
        <f t="shared" si="15"/>
        <v/>
      </c>
      <c r="I141" s="2252" t="str">
        <f t="shared" si="15"/>
        <v/>
      </c>
      <c r="J141" s="2193"/>
      <c r="K141" s="2194"/>
      <c r="L141" s="2195"/>
      <c r="M141" s="2207"/>
      <c r="N141" s="2208"/>
      <c r="O141" s="2208"/>
      <c r="P141" s="2208"/>
      <c r="Q141" s="2208"/>
      <c r="R141" s="2208"/>
      <c r="S141" s="2208"/>
      <c r="T141" s="2209"/>
      <c r="U141" s="2210"/>
      <c r="V141" s="2208"/>
      <c r="W141" s="2208"/>
      <c r="X141" s="2208"/>
      <c r="Y141" s="2211"/>
    </row>
    <row r="142" spans="2:25" outlineLevel="1">
      <c r="B142" s="2201" t="s">
        <v>1050</v>
      </c>
      <c r="C142" s="2248" t="str">
        <f t="shared" si="15"/>
        <v/>
      </c>
      <c r="D142" s="2248" t="str">
        <f t="shared" si="15"/>
        <v/>
      </c>
      <c r="E142" s="2282" t="str">
        <f t="shared" si="15"/>
        <v/>
      </c>
      <c r="F142" s="2283" t="str">
        <f t="shared" si="15"/>
        <v/>
      </c>
      <c r="G142" s="2282" t="str">
        <f t="shared" si="15"/>
        <v/>
      </c>
      <c r="H142" s="2283" t="str">
        <f t="shared" si="15"/>
        <v/>
      </c>
      <c r="I142" s="2252" t="str">
        <f t="shared" si="15"/>
        <v/>
      </c>
      <c r="J142" s="2193"/>
      <c r="K142" s="2194"/>
      <c r="L142" s="2195"/>
      <c r="M142" s="2207"/>
      <c r="N142" s="2208"/>
      <c r="O142" s="2208"/>
      <c r="P142" s="2208"/>
      <c r="Q142" s="2208"/>
      <c r="R142" s="2208"/>
      <c r="S142" s="2208"/>
      <c r="T142" s="2209"/>
      <c r="U142" s="2210"/>
      <c r="V142" s="2208"/>
      <c r="W142" s="2208"/>
      <c r="X142" s="2208"/>
      <c r="Y142" s="2211"/>
    </row>
    <row r="143" spans="2:25" outlineLevel="1">
      <c r="B143" s="2295" t="s">
        <v>1051</v>
      </c>
      <c r="C143" s="2248" t="str">
        <f t="shared" si="15"/>
        <v/>
      </c>
      <c r="D143" s="2248" t="str">
        <f t="shared" si="15"/>
        <v/>
      </c>
      <c r="E143" s="2282" t="str">
        <f t="shared" si="15"/>
        <v/>
      </c>
      <c r="F143" s="2283" t="str">
        <f t="shared" si="15"/>
        <v/>
      </c>
      <c r="G143" s="2282" t="str">
        <f t="shared" si="15"/>
        <v/>
      </c>
      <c r="H143" s="2283" t="str">
        <f t="shared" si="15"/>
        <v/>
      </c>
      <c r="I143" s="2252" t="str">
        <f t="shared" si="15"/>
        <v/>
      </c>
      <c r="J143" s="2193"/>
      <c r="K143" s="2194"/>
      <c r="L143" s="2195"/>
      <c r="M143" s="2207"/>
      <c r="N143" s="2208"/>
      <c r="O143" s="2208"/>
      <c r="P143" s="2208"/>
      <c r="Q143" s="2208"/>
      <c r="R143" s="2208"/>
      <c r="S143" s="2208"/>
      <c r="T143" s="2209"/>
      <c r="U143" s="2210"/>
      <c r="V143" s="2208"/>
      <c r="W143" s="2208"/>
      <c r="X143" s="2208"/>
      <c r="Y143" s="2211"/>
    </row>
    <row r="144" spans="2:25" outlineLevel="1">
      <c r="B144" s="2201" t="s">
        <v>1052</v>
      </c>
      <c r="C144" s="2248" t="str">
        <f t="shared" si="15"/>
        <v/>
      </c>
      <c r="D144" s="2248" t="str">
        <f t="shared" si="15"/>
        <v/>
      </c>
      <c r="E144" s="2282" t="str">
        <f t="shared" si="15"/>
        <v/>
      </c>
      <c r="F144" s="2283" t="str">
        <f t="shared" si="15"/>
        <v/>
      </c>
      <c r="G144" s="2282" t="str">
        <f t="shared" si="15"/>
        <v/>
      </c>
      <c r="H144" s="2283" t="str">
        <f t="shared" si="15"/>
        <v/>
      </c>
      <c r="I144" s="2252" t="str">
        <f t="shared" si="15"/>
        <v/>
      </c>
      <c r="J144" s="2193"/>
      <c r="K144" s="2194"/>
      <c r="L144" s="2195"/>
      <c r="M144" s="2207"/>
      <c r="N144" s="2208"/>
      <c r="O144" s="2208"/>
      <c r="P144" s="2208"/>
      <c r="Q144" s="2208"/>
      <c r="R144" s="2208"/>
      <c r="S144" s="2208"/>
      <c r="T144" s="2209"/>
      <c r="U144" s="2210"/>
      <c r="V144" s="2208"/>
      <c r="W144" s="2208"/>
      <c r="X144" s="2208"/>
      <c r="Y144" s="2211"/>
    </row>
    <row r="145" spans="2:33" outlineLevel="1">
      <c r="B145" s="2295" t="s">
        <v>1053</v>
      </c>
      <c r="C145" s="2248" t="str">
        <f t="shared" si="15"/>
        <v/>
      </c>
      <c r="D145" s="2248" t="str">
        <f t="shared" si="15"/>
        <v/>
      </c>
      <c r="E145" s="2282" t="str">
        <f t="shared" si="15"/>
        <v/>
      </c>
      <c r="F145" s="2283" t="str">
        <f t="shared" si="15"/>
        <v/>
      </c>
      <c r="G145" s="2282" t="str">
        <f t="shared" si="15"/>
        <v/>
      </c>
      <c r="H145" s="2283" t="str">
        <f t="shared" si="15"/>
        <v/>
      </c>
      <c r="I145" s="2252" t="str">
        <f t="shared" si="15"/>
        <v/>
      </c>
      <c r="J145" s="2193"/>
      <c r="K145" s="2194"/>
      <c r="L145" s="2195"/>
      <c r="M145" s="2207"/>
      <c r="N145" s="2208"/>
      <c r="O145" s="2208"/>
      <c r="P145" s="2208"/>
      <c r="Q145" s="2208"/>
      <c r="R145" s="2208"/>
      <c r="S145" s="2208"/>
      <c r="T145" s="2209"/>
      <c r="U145" s="2210"/>
      <c r="V145" s="2208"/>
      <c r="W145" s="2208"/>
      <c r="X145" s="2208"/>
      <c r="Y145" s="2211"/>
    </row>
    <row r="146" spans="2:33" outlineLevel="1">
      <c r="B146" s="2212" t="s">
        <v>1054</v>
      </c>
      <c r="C146" s="2253" t="str">
        <f t="shared" si="15"/>
        <v/>
      </c>
      <c r="D146" s="2253" t="str">
        <f t="shared" si="15"/>
        <v/>
      </c>
      <c r="E146" s="2285" t="str">
        <f t="shared" si="15"/>
        <v/>
      </c>
      <c r="F146" s="2286" t="str">
        <f t="shared" si="15"/>
        <v/>
      </c>
      <c r="G146" s="2285" t="str">
        <f t="shared" si="15"/>
        <v/>
      </c>
      <c r="H146" s="2286" t="str">
        <f t="shared" si="15"/>
        <v/>
      </c>
      <c r="I146" s="2257" t="str">
        <f t="shared" si="15"/>
        <v/>
      </c>
      <c r="J146" s="2193"/>
      <c r="K146" s="2194"/>
      <c r="L146" s="2195"/>
      <c r="M146" s="2215"/>
      <c r="N146" s="2216"/>
      <c r="O146" s="2216"/>
      <c r="P146" s="2216"/>
      <c r="Q146" s="2216"/>
      <c r="R146" s="2216"/>
      <c r="S146" s="2216"/>
      <c r="T146" s="2217"/>
      <c r="U146" s="2218"/>
      <c r="V146" s="2216"/>
      <c r="W146" s="2216"/>
      <c r="X146" s="2216"/>
      <c r="Y146" s="2219"/>
    </row>
    <row r="147" spans="2:33" outlineLevel="1">
      <c r="B147" s="1885"/>
      <c r="C147" s="1952"/>
      <c r="D147" s="1952"/>
      <c r="E147" s="1952"/>
      <c r="F147" s="1952"/>
      <c r="L147" s="2220" t="s">
        <v>1421</v>
      </c>
      <c r="M147" s="2074">
        <f>SUM(M138:M146)</f>
        <v>0</v>
      </c>
      <c r="N147" s="2075">
        <f t="shared" ref="N147:Y147" si="16">SUM(N138:N146)</f>
        <v>0</v>
      </c>
      <c r="O147" s="2075">
        <f t="shared" si="16"/>
        <v>0</v>
      </c>
      <c r="P147" s="2075">
        <f t="shared" si="16"/>
        <v>0</v>
      </c>
      <c r="Q147" s="2075">
        <f t="shared" si="16"/>
        <v>0</v>
      </c>
      <c r="R147" s="2075">
        <f t="shared" si="16"/>
        <v>0</v>
      </c>
      <c r="S147" s="2075">
        <f t="shared" si="16"/>
        <v>0</v>
      </c>
      <c r="T147" s="2076">
        <f t="shared" si="16"/>
        <v>0</v>
      </c>
      <c r="U147" s="2077">
        <f t="shared" si="16"/>
        <v>0</v>
      </c>
      <c r="V147" s="2075">
        <f t="shared" si="16"/>
        <v>0</v>
      </c>
      <c r="W147" s="2075">
        <f t="shared" si="16"/>
        <v>0</v>
      </c>
      <c r="X147" s="2075">
        <f t="shared" si="16"/>
        <v>0</v>
      </c>
      <c r="Y147" s="2078">
        <f t="shared" si="16"/>
        <v>0</v>
      </c>
    </row>
    <row r="148" spans="2:33" outlineLevel="1">
      <c r="B148" s="1885"/>
      <c r="C148" s="1952"/>
      <c r="D148" s="2226"/>
      <c r="E148" s="2226"/>
      <c r="F148" s="2226"/>
      <c r="L148" s="2227"/>
      <c r="M148" s="2226"/>
      <c r="N148" s="2226"/>
      <c r="O148" s="2226"/>
      <c r="P148" s="2226"/>
      <c r="Q148" s="2226"/>
      <c r="R148" s="2226"/>
      <c r="S148" s="2226"/>
      <c r="T148" s="2226"/>
      <c r="U148" s="2228"/>
      <c r="V148" s="2226"/>
      <c r="W148" s="2226"/>
      <c r="X148" s="2226"/>
      <c r="Y148" s="2226"/>
      <c r="Z148" s="2226"/>
      <c r="AA148" s="2226"/>
      <c r="AB148" s="2226"/>
      <c r="AC148" s="2226"/>
      <c r="AD148" s="2226"/>
      <c r="AE148" s="2226"/>
      <c r="AF148" s="2226"/>
      <c r="AG148" s="2226"/>
    </row>
    <row r="149" spans="2:33">
      <c r="C149" s="1952"/>
      <c r="L149" s="2233"/>
      <c r="M149" s="2307"/>
      <c r="N149" s="2307"/>
      <c r="O149" s="2307"/>
      <c r="P149" s="2307"/>
      <c r="Q149" s="2307"/>
      <c r="R149" s="2307"/>
      <c r="S149" s="2307"/>
      <c r="T149" s="2307"/>
      <c r="U149" s="2308"/>
      <c r="V149" s="2307"/>
      <c r="W149" s="2307"/>
      <c r="X149" s="2307"/>
      <c r="Y149" s="2307"/>
    </row>
    <row r="150" spans="2:33" ht="14.25">
      <c r="B150" s="2145" t="s">
        <v>1057</v>
      </c>
      <c r="C150" s="2146" t="s">
        <v>1436</v>
      </c>
      <c r="D150" s="2146"/>
      <c r="E150" s="2146"/>
      <c r="F150" s="2146"/>
      <c r="G150" s="2147"/>
      <c r="H150" s="2147"/>
      <c r="I150" s="2147"/>
      <c r="J150" s="2147"/>
      <c r="K150" s="2147"/>
      <c r="L150" s="2145"/>
      <c r="M150" s="2146"/>
      <c r="N150" s="2146"/>
      <c r="O150" s="2146"/>
      <c r="P150" s="2146"/>
      <c r="Q150" s="2146"/>
      <c r="R150" s="2146"/>
      <c r="S150" s="2146"/>
      <c r="T150" s="2146"/>
      <c r="U150" s="2287"/>
      <c r="V150" s="2146"/>
      <c r="W150" s="2146"/>
      <c r="X150" s="2146"/>
      <c r="Y150" s="2146"/>
    </row>
    <row r="151" spans="2:33" s="1889" customFormat="1" ht="14.25">
      <c r="B151" s="2152"/>
      <c r="C151" s="2153"/>
      <c r="D151" s="2153"/>
      <c r="E151" s="2153"/>
      <c r="F151" s="2153"/>
      <c r="G151" s="2154"/>
      <c r="H151" s="2154"/>
      <c r="I151" s="2154"/>
      <c r="J151" s="2154"/>
      <c r="K151" s="2154"/>
      <c r="L151" s="2152"/>
      <c r="M151" s="2153"/>
      <c r="N151" s="2153"/>
      <c r="O151" s="2153"/>
      <c r="P151" s="2153"/>
      <c r="Q151" s="2153"/>
      <c r="R151" s="2153"/>
      <c r="S151" s="2153"/>
      <c r="T151" s="2153"/>
      <c r="U151" s="2288"/>
      <c r="V151" s="2153"/>
      <c r="W151" s="2153"/>
      <c r="X151" s="2153"/>
      <c r="Y151" s="2153"/>
    </row>
    <row r="152" spans="2:33" ht="18" outlineLevel="1">
      <c r="B152" s="2159"/>
      <c r="C152" s="1952"/>
      <c r="D152" s="2167" t="s">
        <v>1430</v>
      </c>
      <c r="E152" s="2290"/>
      <c r="F152" s="2290"/>
      <c r="G152" s="2168"/>
      <c r="H152" s="2168"/>
      <c r="I152" s="2168"/>
      <c r="J152" s="2168"/>
      <c r="K152" s="2168"/>
      <c r="L152" s="2229"/>
      <c r="M152" s="2290"/>
      <c r="N152" s="2290"/>
      <c r="O152" s="2290"/>
      <c r="P152" s="2290"/>
      <c r="Q152" s="2290"/>
      <c r="R152" s="2290"/>
      <c r="S152" s="2290"/>
      <c r="T152" s="2290"/>
      <c r="U152" s="2291"/>
      <c r="V152" s="2290"/>
      <c r="W152" s="2290"/>
      <c r="X152" s="2290"/>
      <c r="Y152" s="2290"/>
    </row>
    <row r="153" spans="2:33" s="1889" customFormat="1" ht="14.25">
      <c r="B153" s="2152"/>
      <c r="C153" s="2153"/>
      <c r="D153" s="2153"/>
      <c r="E153" s="2153"/>
      <c r="F153" s="2153"/>
      <c r="G153" s="2154"/>
      <c r="H153" s="2154"/>
      <c r="I153" s="2154"/>
      <c r="J153" s="2154"/>
      <c r="K153" s="2154"/>
      <c r="L153" s="2152"/>
      <c r="M153" s="2153"/>
      <c r="N153" s="2153"/>
      <c r="O153" s="2153"/>
      <c r="P153" s="2153"/>
      <c r="Q153" s="2153"/>
      <c r="R153" s="2153"/>
      <c r="S153" s="2153"/>
      <c r="T153" s="2153"/>
      <c r="U153" s="2288"/>
      <c r="V153" s="2153"/>
      <c r="W153" s="2153"/>
      <c r="X153" s="2153"/>
      <c r="Y153" s="2153"/>
    </row>
    <row r="154" spans="2:33" ht="49.5" customHeight="1" outlineLevel="1">
      <c r="B154" s="3002" t="s">
        <v>965</v>
      </c>
      <c r="C154" s="3004" t="s">
        <v>951</v>
      </c>
      <c r="D154" s="3005"/>
      <c r="E154" s="3005"/>
      <c r="F154" s="3005"/>
      <c r="G154" s="3005"/>
      <c r="H154" s="3005"/>
      <c r="I154" s="3006"/>
      <c r="L154" s="2159"/>
      <c r="M154" s="2309" t="s">
        <v>1062</v>
      </c>
      <c r="N154" s="2310" t="s">
        <v>1062</v>
      </c>
      <c r="O154" s="2310" t="s">
        <v>1062</v>
      </c>
      <c r="P154" s="2310" t="s">
        <v>1062</v>
      </c>
      <c r="Q154" s="2310" t="s">
        <v>1062</v>
      </c>
      <c r="R154" s="2310" t="s">
        <v>1062</v>
      </c>
      <c r="S154" s="2310" t="s">
        <v>1062</v>
      </c>
      <c r="T154" s="2311" t="s">
        <v>1062</v>
      </c>
      <c r="U154" s="2312" t="s">
        <v>1062</v>
      </c>
      <c r="V154" s="2310" t="s">
        <v>1062</v>
      </c>
      <c r="W154" s="2310" t="s">
        <v>1062</v>
      </c>
      <c r="X154" s="2310" t="s">
        <v>1062</v>
      </c>
      <c r="Y154" s="2313" t="s">
        <v>1062</v>
      </c>
    </row>
    <row r="155" spans="2:33" outlineLevel="1">
      <c r="B155" s="3003"/>
      <c r="C155" s="3007"/>
      <c r="D155" s="3008"/>
      <c r="E155" s="3008"/>
      <c r="F155" s="3008"/>
      <c r="G155" s="3008"/>
      <c r="H155" s="3008"/>
      <c r="I155" s="3009"/>
      <c r="L155" s="2159"/>
      <c r="M155" s="1977" t="s">
        <v>498</v>
      </c>
      <c r="N155" s="1978" t="s">
        <v>498</v>
      </c>
      <c r="O155" s="1978" t="s">
        <v>498</v>
      </c>
      <c r="P155" s="1978" t="s">
        <v>498</v>
      </c>
      <c r="Q155" s="1978" t="s">
        <v>498</v>
      </c>
      <c r="R155" s="1978" t="s">
        <v>498</v>
      </c>
      <c r="S155" s="1978" t="s">
        <v>498</v>
      </c>
      <c r="T155" s="1979" t="s">
        <v>498</v>
      </c>
      <c r="U155" s="1980" t="s">
        <v>498</v>
      </c>
      <c r="V155" s="1978" t="s">
        <v>498</v>
      </c>
      <c r="W155" s="1978" t="s">
        <v>498</v>
      </c>
      <c r="X155" s="1978" t="s">
        <v>498</v>
      </c>
      <c r="Y155" s="1981" t="s">
        <v>498</v>
      </c>
    </row>
    <row r="156" spans="2:33" outlineLevel="1">
      <c r="B156" s="2314" t="s">
        <v>1063</v>
      </c>
      <c r="C156" s="2842" t="str">
        <f>IF('1.02b_Debt'!D87 = "","",'1.02b_Debt'!D87)</f>
        <v>Amounts owed to Northern Gas Networks Holdings Limited</v>
      </c>
      <c r="D156" s="2843"/>
      <c r="E156" s="2843"/>
      <c r="F156" s="2843"/>
      <c r="G156" s="2843"/>
      <c r="H156" s="2843"/>
      <c r="I156" s="2844"/>
      <c r="J156" s="2193"/>
      <c r="K156" s="2194"/>
      <c r="L156" s="2195"/>
      <c r="M156" s="2196"/>
      <c r="N156" s="2197"/>
      <c r="O156" s="2197"/>
      <c r="P156" s="2197"/>
      <c r="Q156" s="2197"/>
      <c r="R156" s="2197"/>
      <c r="S156" s="2197"/>
      <c r="T156" s="2198"/>
      <c r="U156" s="2199"/>
      <c r="V156" s="2197"/>
      <c r="W156" s="2197"/>
      <c r="X156" s="2197"/>
      <c r="Y156" s="2200"/>
    </row>
    <row r="157" spans="2:33" outlineLevel="1">
      <c r="B157" s="2295" t="s">
        <v>1065</v>
      </c>
      <c r="C157" s="2842" t="str">
        <f>IF('1.02b_Debt'!D88 = "","",'1.02b_Debt'!D88)</f>
        <v>Amounts owed to Northern Gas Networks Operations Limited</v>
      </c>
      <c r="D157" s="2843"/>
      <c r="E157" s="2843"/>
      <c r="F157" s="2843"/>
      <c r="G157" s="2843"/>
      <c r="H157" s="2843"/>
      <c r="I157" s="2844"/>
      <c r="J157" s="2193"/>
      <c r="K157" s="2194"/>
      <c r="L157" s="2195"/>
      <c r="M157" s="2207"/>
      <c r="N157" s="2208"/>
      <c r="O157" s="2208"/>
      <c r="P157" s="2208"/>
      <c r="Q157" s="2208"/>
      <c r="R157" s="2208"/>
      <c r="S157" s="2208"/>
      <c r="T157" s="2209"/>
      <c r="U157" s="2210"/>
      <c r="V157" s="2208"/>
      <c r="W157" s="2208"/>
      <c r="X157" s="2208"/>
      <c r="Y157" s="2211"/>
    </row>
    <row r="158" spans="2:33" outlineLevel="1">
      <c r="B158" s="2295" t="s">
        <v>1067</v>
      </c>
      <c r="C158" s="2842" t="str">
        <f>IF('1.02b_Debt'!D89 = "","",'1.02b_Debt'!D89)</f>
        <v>Amounts owed to Northern Gas Networks Finance plc</v>
      </c>
      <c r="D158" s="2843"/>
      <c r="E158" s="2843"/>
      <c r="F158" s="2843"/>
      <c r="G158" s="2843"/>
      <c r="H158" s="2843"/>
      <c r="I158" s="2844"/>
      <c r="J158" s="2193"/>
      <c r="K158" s="2194"/>
      <c r="L158" s="2195"/>
      <c r="M158" s="2207"/>
      <c r="N158" s="2208"/>
      <c r="O158" s="2208"/>
      <c r="P158" s="2208"/>
      <c r="Q158" s="2208"/>
      <c r="R158" s="2208"/>
      <c r="S158" s="2208"/>
      <c r="T158" s="2209"/>
      <c r="U158" s="2210"/>
      <c r="V158" s="2208"/>
      <c r="W158" s="2208"/>
      <c r="X158" s="2208"/>
      <c r="Y158" s="2211"/>
    </row>
    <row r="159" spans="2:33" outlineLevel="1">
      <c r="B159" s="2295" t="s">
        <v>1069</v>
      </c>
      <c r="C159" s="2842" t="str">
        <f>IF('1.02b_Debt'!D90 = "","",'1.02b_Debt'!D90)</f>
        <v/>
      </c>
      <c r="D159" s="2843"/>
      <c r="E159" s="2843"/>
      <c r="F159" s="2843"/>
      <c r="G159" s="2843"/>
      <c r="H159" s="2843"/>
      <c r="I159" s="2844"/>
      <c r="J159" s="2193"/>
      <c r="K159" s="2194"/>
      <c r="L159" s="2195"/>
      <c r="M159" s="2207"/>
      <c r="N159" s="2208"/>
      <c r="O159" s="2208"/>
      <c r="P159" s="2208"/>
      <c r="Q159" s="2208"/>
      <c r="R159" s="2208"/>
      <c r="S159" s="2208"/>
      <c r="T159" s="2209"/>
      <c r="U159" s="2210"/>
      <c r="V159" s="2208"/>
      <c r="W159" s="2208"/>
      <c r="X159" s="2208"/>
      <c r="Y159" s="2211"/>
    </row>
    <row r="160" spans="2:33" outlineLevel="1">
      <c r="B160" s="2295" t="s">
        <v>1070</v>
      </c>
      <c r="C160" s="2842" t="str">
        <f>IF('1.02b_Debt'!D91 = "","",'1.02b_Debt'!D91)</f>
        <v/>
      </c>
      <c r="D160" s="2843"/>
      <c r="E160" s="2843"/>
      <c r="F160" s="2843"/>
      <c r="G160" s="2843"/>
      <c r="H160" s="2843"/>
      <c r="I160" s="2844"/>
      <c r="J160" s="2193"/>
      <c r="K160" s="2194"/>
      <c r="L160" s="2195"/>
      <c r="M160" s="2207"/>
      <c r="N160" s="2208"/>
      <c r="O160" s="2208"/>
      <c r="P160" s="2208"/>
      <c r="Q160" s="2208"/>
      <c r="R160" s="2208"/>
      <c r="S160" s="2208"/>
      <c r="T160" s="2209"/>
      <c r="U160" s="2210"/>
      <c r="V160" s="2208"/>
      <c r="W160" s="2208"/>
      <c r="X160" s="2208"/>
      <c r="Y160" s="2211"/>
    </row>
    <row r="161" spans="2:26" outlineLevel="1">
      <c r="B161" s="2295" t="s">
        <v>1071</v>
      </c>
      <c r="C161" s="2842" t="str">
        <f>IF('1.02b_Debt'!D92 = "","",'1.02b_Debt'!D92)</f>
        <v/>
      </c>
      <c r="D161" s="2843"/>
      <c r="E161" s="2843"/>
      <c r="F161" s="2843"/>
      <c r="G161" s="2843"/>
      <c r="H161" s="2843"/>
      <c r="I161" s="2844"/>
      <c r="J161" s="2193"/>
      <c r="K161" s="2194"/>
      <c r="L161" s="2195"/>
      <c r="M161" s="2207"/>
      <c r="N161" s="2208"/>
      <c r="O161" s="2208"/>
      <c r="P161" s="2208"/>
      <c r="Q161" s="2208"/>
      <c r="R161" s="2208"/>
      <c r="S161" s="2208"/>
      <c r="T161" s="2209"/>
      <c r="U161" s="2210"/>
      <c r="V161" s="2208"/>
      <c r="W161" s="2208"/>
      <c r="X161" s="2208"/>
      <c r="Y161" s="2211"/>
    </row>
    <row r="162" spans="2:26" outlineLevel="1">
      <c r="B162" s="2295" t="s">
        <v>1072</v>
      </c>
      <c r="C162" s="2842" t="str">
        <f>IF('1.02b_Debt'!D93 = "","",'1.02b_Debt'!D93)</f>
        <v/>
      </c>
      <c r="D162" s="2843"/>
      <c r="E162" s="2843"/>
      <c r="F162" s="2843"/>
      <c r="G162" s="2843"/>
      <c r="H162" s="2843"/>
      <c r="I162" s="2844"/>
      <c r="J162" s="2193"/>
      <c r="K162" s="2194"/>
      <c r="L162" s="2195"/>
      <c r="M162" s="2207"/>
      <c r="N162" s="2208"/>
      <c r="O162" s="2208"/>
      <c r="P162" s="2208"/>
      <c r="Q162" s="2208"/>
      <c r="R162" s="2208"/>
      <c r="S162" s="2208"/>
      <c r="T162" s="2209"/>
      <c r="U162" s="2210"/>
      <c r="V162" s="2208"/>
      <c r="W162" s="2208"/>
      <c r="X162" s="2208"/>
      <c r="Y162" s="2211"/>
    </row>
    <row r="163" spans="2:26" outlineLevel="1">
      <c r="B163" s="2295" t="s">
        <v>1073</v>
      </c>
      <c r="C163" s="2842" t="str">
        <f>IF('1.02b_Debt'!D94 = "","",'1.02b_Debt'!D94)</f>
        <v/>
      </c>
      <c r="D163" s="2843"/>
      <c r="E163" s="2843"/>
      <c r="F163" s="2843"/>
      <c r="G163" s="2843"/>
      <c r="H163" s="2843"/>
      <c r="I163" s="2844"/>
      <c r="J163" s="2193"/>
      <c r="K163" s="2194"/>
      <c r="L163" s="2195"/>
      <c r="M163" s="2207"/>
      <c r="N163" s="2208"/>
      <c r="O163" s="2208"/>
      <c r="P163" s="2208"/>
      <c r="Q163" s="2208"/>
      <c r="R163" s="2208"/>
      <c r="S163" s="2208"/>
      <c r="T163" s="2209"/>
      <c r="U163" s="2210"/>
      <c r="V163" s="2208"/>
      <c r="W163" s="2208"/>
      <c r="X163" s="2208"/>
      <c r="Y163" s="2211"/>
    </row>
    <row r="164" spans="2:26" outlineLevel="1">
      <c r="B164" s="2315" t="s">
        <v>1074</v>
      </c>
      <c r="C164" s="2842" t="str">
        <f>IF('1.02b_Debt'!D95 = "","",'1.02b_Debt'!D95)</f>
        <v/>
      </c>
      <c r="D164" s="2843"/>
      <c r="E164" s="2843"/>
      <c r="F164" s="2843"/>
      <c r="G164" s="2843"/>
      <c r="H164" s="2843"/>
      <c r="I164" s="2844"/>
      <c r="J164" s="2193"/>
      <c r="K164" s="2194"/>
      <c r="L164" s="2195"/>
      <c r="M164" s="2215"/>
      <c r="N164" s="2216"/>
      <c r="O164" s="2216"/>
      <c r="P164" s="2216"/>
      <c r="Q164" s="2216"/>
      <c r="R164" s="2216"/>
      <c r="S164" s="2216"/>
      <c r="T164" s="2217"/>
      <c r="U164" s="2218"/>
      <c r="V164" s="2216"/>
      <c r="W164" s="2216"/>
      <c r="X164" s="2216"/>
      <c r="Y164" s="2219"/>
    </row>
    <row r="165" spans="2:26" outlineLevel="1">
      <c r="B165" s="1952"/>
      <c r="C165" s="1952"/>
      <c r="D165" s="1952"/>
      <c r="E165" s="1952"/>
      <c r="F165" s="1952"/>
      <c r="L165" s="2220" t="s">
        <v>1421</v>
      </c>
      <c r="M165" s="2074">
        <f t="shared" ref="M165:Y165" si="17">SUM(M156:M164)</f>
        <v>0</v>
      </c>
      <c r="N165" s="2075">
        <f t="shared" si="17"/>
        <v>0</v>
      </c>
      <c r="O165" s="2075">
        <f t="shared" si="17"/>
        <v>0</v>
      </c>
      <c r="P165" s="2075">
        <f t="shared" si="17"/>
        <v>0</v>
      </c>
      <c r="Q165" s="2075">
        <f t="shared" si="17"/>
        <v>0</v>
      </c>
      <c r="R165" s="2075">
        <f t="shared" si="17"/>
        <v>0</v>
      </c>
      <c r="S165" s="2075">
        <f t="shared" si="17"/>
        <v>0</v>
      </c>
      <c r="T165" s="2076">
        <f t="shared" si="17"/>
        <v>0</v>
      </c>
      <c r="U165" s="2077">
        <f t="shared" si="17"/>
        <v>0</v>
      </c>
      <c r="V165" s="2075">
        <f t="shared" si="17"/>
        <v>0</v>
      </c>
      <c r="W165" s="2075">
        <f t="shared" si="17"/>
        <v>0</v>
      </c>
      <c r="X165" s="2075">
        <f t="shared" si="17"/>
        <v>0</v>
      </c>
      <c r="Y165" s="2078">
        <f t="shared" si="17"/>
        <v>0</v>
      </c>
    </row>
    <row r="166" spans="2:26" outlineLevel="1">
      <c r="B166" s="1952"/>
      <c r="C166" s="1952"/>
      <c r="D166" s="1952"/>
      <c r="E166" s="1952"/>
      <c r="F166" s="1952"/>
      <c r="G166" s="1952"/>
      <c r="H166" s="1952"/>
      <c r="I166" s="1952"/>
      <c r="J166" s="1952"/>
      <c r="K166" s="1952"/>
      <c r="L166" s="1952"/>
      <c r="M166" s="1952"/>
      <c r="N166" s="1952"/>
      <c r="O166" s="1952"/>
      <c r="P166" s="1952"/>
      <c r="Q166" s="1952"/>
      <c r="R166" s="1952"/>
      <c r="S166" s="1952"/>
      <c r="T166" s="1952"/>
      <c r="U166" s="1952"/>
      <c r="V166" s="1952"/>
      <c r="W166" s="1952"/>
      <c r="X166" s="1952"/>
      <c r="Y166" s="1952"/>
      <c r="Z166" s="1952"/>
    </row>
    <row r="167" spans="2:26" ht="18" outlineLevel="1">
      <c r="C167" s="1952"/>
      <c r="D167" s="2167" t="s">
        <v>1431</v>
      </c>
      <c r="E167" s="2168"/>
      <c r="F167" s="2168"/>
      <c r="G167" s="2168"/>
      <c r="H167" s="2168"/>
      <c r="I167" s="2168"/>
      <c r="J167" s="2168"/>
      <c r="K167" s="2168"/>
      <c r="L167" s="2229"/>
      <c r="M167" s="2168"/>
      <c r="N167" s="2168"/>
      <c r="O167" s="2168"/>
      <c r="P167" s="2168"/>
      <c r="Q167" s="2168"/>
      <c r="R167" s="2168"/>
      <c r="S167" s="2168"/>
      <c r="T167" s="2168"/>
      <c r="U167" s="2230"/>
      <c r="V167" s="2168"/>
      <c r="W167" s="2168"/>
      <c r="X167" s="2168"/>
      <c r="Y167" s="2168"/>
    </row>
    <row r="168" spans="2:26" s="1889" customFormat="1" ht="14.25">
      <c r="B168" s="2152"/>
      <c r="C168" s="2153"/>
      <c r="D168" s="2153"/>
      <c r="E168" s="2153"/>
      <c r="F168" s="2153"/>
      <c r="G168" s="2154"/>
      <c r="H168" s="2154"/>
      <c r="I168" s="2154"/>
      <c r="J168" s="2154"/>
      <c r="K168" s="2154"/>
      <c r="L168" s="2152"/>
      <c r="M168" s="2153"/>
      <c r="N168" s="2153"/>
      <c r="O168" s="2153"/>
      <c r="P168" s="2153"/>
      <c r="Q168" s="2153"/>
      <c r="R168" s="2153"/>
      <c r="S168" s="2153"/>
      <c r="T168" s="2153"/>
      <c r="U168" s="2288"/>
      <c r="V168" s="2153"/>
      <c r="W168" s="2153"/>
      <c r="X168" s="2153"/>
      <c r="Y168" s="2153"/>
    </row>
    <row r="169" spans="2:26" ht="49.5" customHeight="1" outlineLevel="1">
      <c r="B169" s="3002" t="s">
        <v>965</v>
      </c>
      <c r="C169" s="3004" t="s">
        <v>951</v>
      </c>
      <c r="D169" s="3005"/>
      <c r="E169" s="3005"/>
      <c r="F169" s="3005"/>
      <c r="G169" s="3005"/>
      <c r="H169" s="3005"/>
      <c r="I169" s="3006"/>
      <c r="L169" s="2159"/>
      <c r="M169" s="2309" t="s">
        <v>1062</v>
      </c>
      <c r="N169" s="2310" t="s">
        <v>1062</v>
      </c>
      <c r="O169" s="2310" t="s">
        <v>1062</v>
      </c>
      <c r="P169" s="2310" t="s">
        <v>1062</v>
      </c>
      <c r="Q169" s="2310" t="s">
        <v>1062</v>
      </c>
      <c r="R169" s="2310" t="s">
        <v>1062</v>
      </c>
      <c r="S169" s="2310" t="s">
        <v>1062</v>
      </c>
      <c r="T169" s="2311" t="s">
        <v>1062</v>
      </c>
      <c r="U169" s="2312" t="s">
        <v>1062</v>
      </c>
      <c r="V169" s="2310" t="s">
        <v>1062</v>
      </c>
      <c r="W169" s="2310" t="s">
        <v>1062</v>
      </c>
      <c r="X169" s="2310" t="s">
        <v>1062</v>
      </c>
      <c r="Y169" s="2313" t="s">
        <v>1062</v>
      </c>
    </row>
    <row r="170" spans="2:26" outlineLevel="1">
      <c r="B170" s="3003"/>
      <c r="C170" s="3007"/>
      <c r="D170" s="3008"/>
      <c r="E170" s="3008"/>
      <c r="F170" s="3008"/>
      <c r="G170" s="3008"/>
      <c r="H170" s="3008"/>
      <c r="I170" s="3009"/>
      <c r="L170" s="2159"/>
      <c r="M170" s="1977" t="s">
        <v>498</v>
      </c>
      <c r="N170" s="1978" t="s">
        <v>498</v>
      </c>
      <c r="O170" s="1978" t="s">
        <v>498</v>
      </c>
      <c r="P170" s="1978" t="s">
        <v>498</v>
      </c>
      <c r="Q170" s="1978" t="s">
        <v>498</v>
      </c>
      <c r="R170" s="1978" t="s">
        <v>498</v>
      </c>
      <c r="S170" s="1978" t="s">
        <v>498</v>
      </c>
      <c r="T170" s="1979" t="s">
        <v>498</v>
      </c>
      <c r="U170" s="1980" t="s">
        <v>498</v>
      </c>
      <c r="V170" s="1978" t="s">
        <v>498</v>
      </c>
      <c r="W170" s="1978" t="s">
        <v>498</v>
      </c>
      <c r="X170" s="1978" t="s">
        <v>498</v>
      </c>
      <c r="Y170" s="1981" t="s">
        <v>498</v>
      </c>
    </row>
    <row r="171" spans="2:26" outlineLevel="1">
      <c r="B171" s="2314" t="s">
        <v>1063</v>
      </c>
      <c r="C171" s="2842" t="str">
        <f>IF('1.02b_Debt'!D87 = "","",'1.02b_Debt'!D87)</f>
        <v>Amounts owed to Northern Gas Networks Holdings Limited</v>
      </c>
      <c r="D171" s="2843"/>
      <c r="E171" s="2843"/>
      <c r="F171" s="2843"/>
      <c r="G171" s="2843"/>
      <c r="H171" s="2843"/>
      <c r="I171" s="2844"/>
      <c r="J171" s="2193"/>
      <c r="K171" s="2194"/>
      <c r="L171" s="2195"/>
      <c r="M171" s="2196"/>
      <c r="N171" s="2197"/>
      <c r="O171" s="2197"/>
      <c r="P171" s="2197"/>
      <c r="Q171" s="2197"/>
      <c r="R171" s="2197"/>
      <c r="S171" s="2197"/>
      <c r="T171" s="2198"/>
      <c r="U171" s="2199"/>
      <c r="V171" s="2197"/>
      <c r="W171" s="2197"/>
      <c r="X171" s="2197"/>
      <c r="Y171" s="2200"/>
    </row>
    <row r="172" spans="2:26" outlineLevel="1">
      <c r="B172" s="2295" t="s">
        <v>1065</v>
      </c>
      <c r="C172" s="2842" t="str">
        <f>IF('1.02b_Debt'!D88 = "","",'1.02b_Debt'!D88)</f>
        <v>Amounts owed to Northern Gas Networks Operations Limited</v>
      </c>
      <c r="D172" s="2843"/>
      <c r="E172" s="2843"/>
      <c r="F172" s="2843"/>
      <c r="G172" s="2843"/>
      <c r="H172" s="2843"/>
      <c r="I172" s="2844"/>
      <c r="J172" s="2193"/>
      <c r="K172" s="2194"/>
      <c r="L172" s="2195"/>
      <c r="M172" s="2207"/>
      <c r="N172" s="2208"/>
      <c r="O172" s="2208"/>
      <c r="P172" s="2208"/>
      <c r="Q172" s="2208"/>
      <c r="R172" s="2208"/>
      <c r="S172" s="2208"/>
      <c r="T172" s="2209"/>
      <c r="U172" s="2210"/>
      <c r="V172" s="2208"/>
      <c r="W172" s="2208"/>
      <c r="X172" s="2208"/>
      <c r="Y172" s="2211"/>
    </row>
    <row r="173" spans="2:26" outlineLevel="1">
      <c r="B173" s="2295" t="s">
        <v>1067</v>
      </c>
      <c r="C173" s="2842" t="str">
        <f>IF('1.02b_Debt'!D89 = "","",'1.02b_Debt'!D89)</f>
        <v>Amounts owed to Northern Gas Networks Finance plc</v>
      </c>
      <c r="D173" s="2843"/>
      <c r="E173" s="2843"/>
      <c r="F173" s="2843"/>
      <c r="G173" s="2843"/>
      <c r="H173" s="2843"/>
      <c r="I173" s="2844"/>
      <c r="J173" s="2193"/>
      <c r="K173" s="2194"/>
      <c r="L173" s="2195"/>
      <c r="M173" s="2207"/>
      <c r="N173" s="2208"/>
      <c r="O173" s="2208"/>
      <c r="P173" s="2208"/>
      <c r="Q173" s="2208"/>
      <c r="R173" s="2208"/>
      <c r="S173" s="2208"/>
      <c r="T173" s="2209"/>
      <c r="U173" s="2210"/>
      <c r="V173" s="2208"/>
      <c r="W173" s="2208"/>
      <c r="X173" s="2208"/>
      <c r="Y173" s="2211"/>
    </row>
    <row r="174" spans="2:26" outlineLevel="1">
      <c r="B174" s="2295" t="s">
        <v>1069</v>
      </c>
      <c r="C174" s="2842" t="str">
        <f>IF('1.02b_Debt'!D90 = "","",'1.02b_Debt'!D90)</f>
        <v/>
      </c>
      <c r="D174" s="2843"/>
      <c r="E174" s="2843"/>
      <c r="F174" s="2843"/>
      <c r="G174" s="2843"/>
      <c r="H174" s="2843"/>
      <c r="I174" s="2844"/>
      <c r="J174" s="2193"/>
      <c r="K174" s="2194"/>
      <c r="L174" s="2195"/>
      <c r="M174" s="2207"/>
      <c r="N174" s="2208"/>
      <c r="O174" s="2208"/>
      <c r="P174" s="2208"/>
      <c r="Q174" s="2208"/>
      <c r="R174" s="2208"/>
      <c r="S174" s="2208"/>
      <c r="T174" s="2209"/>
      <c r="U174" s="2210"/>
      <c r="V174" s="2208"/>
      <c r="W174" s="2208"/>
      <c r="X174" s="2208"/>
      <c r="Y174" s="2211"/>
    </row>
    <row r="175" spans="2:26" outlineLevel="1">
      <c r="B175" s="2295" t="s">
        <v>1070</v>
      </c>
      <c r="C175" s="2842" t="str">
        <f>IF('1.02b_Debt'!D91 = "","",'1.02b_Debt'!D91)</f>
        <v/>
      </c>
      <c r="D175" s="2843"/>
      <c r="E175" s="2843"/>
      <c r="F175" s="2843"/>
      <c r="G175" s="2843"/>
      <c r="H175" s="2843"/>
      <c r="I175" s="2844"/>
      <c r="J175" s="2193"/>
      <c r="K175" s="2194"/>
      <c r="L175" s="2195"/>
      <c r="M175" s="2207"/>
      <c r="N175" s="2208"/>
      <c r="O175" s="2208"/>
      <c r="P175" s="2208"/>
      <c r="Q175" s="2208"/>
      <c r="R175" s="2208"/>
      <c r="S175" s="2208"/>
      <c r="T175" s="2209"/>
      <c r="U175" s="2210"/>
      <c r="V175" s="2208"/>
      <c r="W175" s="2208"/>
      <c r="X175" s="2208"/>
      <c r="Y175" s="2211"/>
    </row>
    <row r="176" spans="2:26" outlineLevel="1">
      <c r="B176" s="2295" t="s">
        <v>1071</v>
      </c>
      <c r="C176" s="2842" t="str">
        <f>IF('1.02b_Debt'!D92 = "","",'1.02b_Debt'!D92)</f>
        <v/>
      </c>
      <c r="D176" s="2843"/>
      <c r="E176" s="2843"/>
      <c r="F176" s="2843"/>
      <c r="G176" s="2843"/>
      <c r="H176" s="2843"/>
      <c r="I176" s="2844"/>
      <c r="J176" s="2193"/>
      <c r="K176" s="2194"/>
      <c r="L176" s="2195"/>
      <c r="M176" s="2207"/>
      <c r="N176" s="2208"/>
      <c r="O176" s="2208"/>
      <c r="P176" s="2208"/>
      <c r="Q176" s="2208"/>
      <c r="R176" s="2208"/>
      <c r="S176" s="2208"/>
      <c r="T176" s="2209"/>
      <c r="U176" s="2210"/>
      <c r="V176" s="2208"/>
      <c r="W176" s="2208"/>
      <c r="X176" s="2208"/>
      <c r="Y176" s="2211"/>
    </row>
    <row r="177" spans="2:25" outlineLevel="1">
      <c r="B177" s="2295" t="s">
        <v>1072</v>
      </c>
      <c r="C177" s="2842" t="str">
        <f>IF('1.02b_Debt'!D93 = "","",'1.02b_Debt'!D93)</f>
        <v/>
      </c>
      <c r="D177" s="2843"/>
      <c r="E177" s="2843"/>
      <c r="F177" s="2843"/>
      <c r="G177" s="2843"/>
      <c r="H177" s="2843"/>
      <c r="I177" s="2844"/>
      <c r="J177" s="2193"/>
      <c r="K177" s="2194"/>
      <c r="L177" s="2195"/>
      <c r="M177" s="2207"/>
      <c r="N177" s="2208"/>
      <c r="O177" s="2208"/>
      <c r="P177" s="2208"/>
      <c r="Q177" s="2208"/>
      <c r="R177" s="2208"/>
      <c r="S177" s="2208"/>
      <c r="T177" s="2209"/>
      <c r="U177" s="2210"/>
      <c r="V177" s="2208"/>
      <c r="W177" s="2208"/>
      <c r="X177" s="2208"/>
      <c r="Y177" s="2211"/>
    </row>
    <row r="178" spans="2:25" outlineLevel="1">
      <c r="B178" s="2295" t="s">
        <v>1073</v>
      </c>
      <c r="C178" s="2842" t="str">
        <f>IF('1.02b_Debt'!D94 = "","",'1.02b_Debt'!D94)</f>
        <v/>
      </c>
      <c r="D178" s="2843"/>
      <c r="E178" s="2843"/>
      <c r="F178" s="2843"/>
      <c r="G178" s="2843"/>
      <c r="H178" s="2843"/>
      <c r="I178" s="2844"/>
      <c r="J178" s="2193"/>
      <c r="K178" s="2194"/>
      <c r="L178" s="2195"/>
      <c r="M178" s="2207"/>
      <c r="N178" s="2208"/>
      <c r="O178" s="2208"/>
      <c r="P178" s="2208"/>
      <c r="Q178" s="2208"/>
      <c r="R178" s="2208"/>
      <c r="S178" s="2208"/>
      <c r="T178" s="2209"/>
      <c r="U178" s="2210"/>
      <c r="V178" s="2208"/>
      <c r="W178" s="2208"/>
      <c r="X178" s="2208"/>
      <c r="Y178" s="2211"/>
    </row>
    <row r="179" spans="2:25" outlineLevel="1">
      <c r="B179" s="2315" t="s">
        <v>1074</v>
      </c>
      <c r="C179" s="2842" t="str">
        <f>IF('1.02b_Debt'!D95 = "","",'1.02b_Debt'!D95)</f>
        <v/>
      </c>
      <c r="D179" s="2843"/>
      <c r="E179" s="2843"/>
      <c r="F179" s="2843"/>
      <c r="G179" s="2843"/>
      <c r="H179" s="2843"/>
      <c r="I179" s="2844"/>
      <c r="J179" s="2193"/>
      <c r="K179" s="2194"/>
      <c r="L179" s="2195"/>
      <c r="M179" s="2215"/>
      <c r="N179" s="2216"/>
      <c r="O179" s="2216"/>
      <c r="P179" s="2216"/>
      <c r="Q179" s="2216"/>
      <c r="R179" s="2216"/>
      <c r="S179" s="2216"/>
      <c r="T179" s="2217"/>
      <c r="U179" s="2218"/>
      <c r="V179" s="2216"/>
      <c r="W179" s="2216"/>
      <c r="X179" s="2216"/>
      <c r="Y179" s="2219"/>
    </row>
    <row r="180" spans="2:25" outlineLevel="1">
      <c r="B180" s="1952"/>
      <c r="C180" s="1952"/>
      <c r="D180" s="1952"/>
      <c r="E180" s="1952"/>
      <c r="F180" s="1952"/>
      <c r="L180" s="2220" t="s">
        <v>1421</v>
      </c>
      <c r="M180" s="2074">
        <f t="shared" ref="M180:Y180" si="18">SUM(M171:M179)</f>
        <v>0</v>
      </c>
      <c r="N180" s="2075">
        <f t="shared" si="18"/>
        <v>0</v>
      </c>
      <c r="O180" s="2075">
        <f t="shared" si="18"/>
        <v>0</v>
      </c>
      <c r="P180" s="2075">
        <f t="shared" si="18"/>
        <v>0</v>
      </c>
      <c r="Q180" s="2075">
        <f t="shared" si="18"/>
        <v>0</v>
      </c>
      <c r="R180" s="2075">
        <f t="shared" si="18"/>
        <v>0</v>
      </c>
      <c r="S180" s="2075">
        <f t="shared" si="18"/>
        <v>0</v>
      </c>
      <c r="T180" s="2076">
        <f t="shared" si="18"/>
        <v>0</v>
      </c>
      <c r="U180" s="2077">
        <f t="shared" si="18"/>
        <v>0</v>
      </c>
      <c r="V180" s="2075">
        <f t="shared" si="18"/>
        <v>0</v>
      </c>
      <c r="W180" s="2075">
        <f t="shared" si="18"/>
        <v>0</v>
      </c>
      <c r="X180" s="2075">
        <f t="shared" si="18"/>
        <v>0</v>
      </c>
      <c r="Y180" s="2078">
        <f t="shared" si="18"/>
        <v>0</v>
      </c>
    </row>
    <row r="181" spans="2:25">
      <c r="D181" s="1952"/>
      <c r="E181" s="1952"/>
      <c r="F181" s="1952"/>
      <c r="L181" s="1952"/>
      <c r="M181" s="1952"/>
      <c r="N181" s="1952"/>
      <c r="O181" s="1952"/>
      <c r="P181" s="1952"/>
      <c r="Q181" s="1952"/>
      <c r="R181" s="1952"/>
      <c r="S181" s="1952"/>
      <c r="T181" s="1952"/>
      <c r="U181" s="1953"/>
      <c r="V181" s="1952"/>
      <c r="W181" s="1952"/>
      <c r="X181" s="1952"/>
      <c r="Y181" s="1952"/>
    </row>
    <row r="182" spans="2:25" ht="14.25">
      <c r="B182" s="2145" t="s">
        <v>1077</v>
      </c>
      <c r="C182" s="2146" t="s">
        <v>1437</v>
      </c>
      <c r="D182" s="2146"/>
      <c r="E182" s="2146"/>
      <c r="F182" s="2146"/>
      <c r="G182" s="2147"/>
      <c r="H182" s="2147"/>
      <c r="I182" s="2147"/>
      <c r="J182" s="2147"/>
      <c r="K182" s="2147"/>
      <c r="L182" s="2145"/>
      <c r="M182" s="2146"/>
      <c r="N182" s="2146"/>
      <c r="O182" s="2146"/>
      <c r="P182" s="2146"/>
      <c r="Q182" s="2146"/>
      <c r="R182" s="2146"/>
      <c r="S182" s="2146"/>
      <c r="T182" s="2146"/>
      <c r="U182" s="2287"/>
      <c r="V182" s="2146"/>
      <c r="W182" s="2146"/>
      <c r="X182" s="2146"/>
      <c r="Y182" s="2146"/>
    </row>
    <row r="183" spans="2:25" s="1889" customFormat="1" ht="14.25">
      <c r="B183" s="2152"/>
      <c r="C183" s="2153"/>
      <c r="D183" s="2153"/>
      <c r="E183" s="2153"/>
      <c r="F183" s="2153"/>
      <c r="G183" s="2154"/>
      <c r="H183" s="2154"/>
      <c r="I183" s="2154"/>
      <c r="J183" s="2154"/>
      <c r="K183" s="2154"/>
      <c r="L183" s="2152"/>
      <c r="M183" s="2153"/>
      <c r="N183" s="2153"/>
      <c r="O183" s="2153"/>
      <c r="P183" s="2153"/>
      <c r="Q183" s="2153"/>
      <c r="R183" s="2153"/>
      <c r="S183" s="2153"/>
      <c r="T183" s="2153"/>
      <c r="U183" s="2288"/>
      <c r="V183" s="2153"/>
      <c r="W183" s="2153"/>
      <c r="X183" s="2153"/>
      <c r="Y183" s="2153"/>
    </row>
    <row r="184" spans="2:25" ht="18" outlineLevel="1">
      <c r="B184" s="2159"/>
      <c r="C184" s="1952"/>
      <c r="D184" s="2167" t="s">
        <v>1430</v>
      </c>
      <c r="E184" s="2290"/>
      <c r="F184" s="2290"/>
      <c r="G184" s="2168"/>
      <c r="H184" s="2168"/>
      <c r="I184" s="2168"/>
      <c r="J184" s="2168"/>
      <c r="K184" s="2168"/>
      <c r="L184" s="2229"/>
      <c r="M184" s="2290"/>
      <c r="N184" s="2290"/>
      <c r="O184" s="2290"/>
      <c r="P184" s="2290"/>
      <c r="Q184" s="2290"/>
      <c r="R184" s="2290"/>
      <c r="S184" s="2290"/>
      <c r="T184" s="2290"/>
      <c r="U184" s="2291"/>
      <c r="V184" s="2290"/>
      <c r="W184" s="2290"/>
      <c r="X184" s="2290"/>
      <c r="Y184" s="2290"/>
    </row>
    <row r="185" spans="2:25" s="1889" customFormat="1" ht="14.25">
      <c r="B185" s="2152"/>
      <c r="C185" s="2153"/>
      <c r="D185" s="2153"/>
      <c r="E185" s="2153"/>
      <c r="F185" s="2153"/>
      <c r="G185" s="2154"/>
      <c r="H185" s="2154"/>
      <c r="I185" s="2154"/>
      <c r="J185" s="2154"/>
      <c r="K185" s="2154"/>
      <c r="L185" s="2152"/>
      <c r="M185" s="2153"/>
      <c r="N185" s="2153"/>
      <c r="O185" s="2153"/>
      <c r="P185" s="2153"/>
      <c r="Q185" s="2153"/>
      <c r="R185" s="2153"/>
      <c r="S185" s="2153"/>
      <c r="T185" s="2153"/>
      <c r="U185" s="2288"/>
      <c r="V185" s="2153"/>
      <c r="W185" s="2153"/>
      <c r="X185" s="2153"/>
      <c r="Y185" s="2153"/>
    </row>
    <row r="186" spans="2:25" ht="49.5" customHeight="1" outlineLevel="1">
      <c r="B186" s="3002" t="s">
        <v>965</v>
      </c>
      <c r="C186" s="3004" t="s">
        <v>951</v>
      </c>
      <c r="D186" s="3005"/>
      <c r="E186" s="3005"/>
      <c r="F186" s="3005"/>
      <c r="G186" s="3005"/>
      <c r="H186" s="3005"/>
      <c r="I186" s="3006"/>
      <c r="L186" s="2159"/>
      <c r="M186" s="2309" t="s">
        <v>1062</v>
      </c>
      <c r="N186" s="2310" t="s">
        <v>1062</v>
      </c>
      <c r="O186" s="2310" t="s">
        <v>1062</v>
      </c>
      <c r="P186" s="2310" t="s">
        <v>1062</v>
      </c>
      <c r="Q186" s="2310" t="s">
        <v>1062</v>
      </c>
      <c r="R186" s="2310" t="s">
        <v>1062</v>
      </c>
      <c r="S186" s="2310" t="s">
        <v>1062</v>
      </c>
      <c r="T186" s="2311" t="s">
        <v>1062</v>
      </c>
      <c r="U186" s="2312" t="s">
        <v>1062</v>
      </c>
      <c r="V186" s="2310" t="s">
        <v>1062</v>
      </c>
      <c r="W186" s="2310" t="s">
        <v>1062</v>
      </c>
      <c r="X186" s="2310" t="s">
        <v>1062</v>
      </c>
      <c r="Y186" s="2313" t="s">
        <v>1062</v>
      </c>
    </row>
    <row r="187" spans="2:25" outlineLevel="1">
      <c r="B187" s="3003"/>
      <c r="C187" s="3007"/>
      <c r="D187" s="3008"/>
      <c r="E187" s="3008"/>
      <c r="F187" s="3008"/>
      <c r="G187" s="3008"/>
      <c r="H187" s="3008"/>
      <c r="I187" s="3009"/>
      <c r="L187" s="2159"/>
      <c r="M187" s="1977" t="s">
        <v>498</v>
      </c>
      <c r="N187" s="1978" t="s">
        <v>498</v>
      </c>
      <c r="O187" s="1978" t="s">
        <v>498</v>
      </c>
      <c r="P187" s="1978" t="s">
        <v>498</v>
      </c>
      <c r="Q187" s="1978" t="s">
        <v>498</v>
      </c>
      <c r="R187" s="1978" t="s">
        <v>498</v>
      </c>
      <c r="S187" s="1978" t="s">
        <v>498</v>
      </c>
      <c r="T187" s="1979" t="s">
        <v>498</v>
      </c>
      <c r="U187" s="1980" t="s">
        <v>498</v>
      </c>
      <c r="V187" s="1978" t="s">
        <v>498</v>
      </c>
      <c r="W187" s="1978" t="s">
        <v>498</v>
      </c>
      <c r="X187" s="1978" t="s">
        <v>498</v>
      </c>
      <c r="Y187" s="1981" t="s">
        <v>498</v>
      </c>
    </row>
    <row r="188" spans="2:25" outlineLevel="1">
      <c r="B188" s="2314" t="s">
        <v>1085</v>
      </c>
      <c r="C188" s="2842" t="str">
        <f>IF('1.02b_Debt'!D103 = "","",'1.02b_Debt'!D103)</f>
        <v/>
      </c>
      <c r="D188" s="2843"/>
      <c r="E188" s="2843"/>
      <c r="F188" s="2843"/>
      <c r="G188" s="2843"/>
      <c r="H188" s="2843"/>
      <c r="I188" s="2844"/>
      <c r="J188" s="2193"/>
      <c r="K188" s="2194"/>
      <c r="L188" s="2195"/>
      <c r="M188" s="2196"/>
      <c r="N188" s="2197"/>
      <c r="O188" s="2197"/>
      <c r="P188" s="2197"/>
      <c r="Q188" s="2197"/>
      <c r="R188" s="2197"/>
      <c r="S188" s="2197"/>
      <c r="T188" s="2198"/>
      <c r="U188" s="2199"/>
      <c r="V188" s="2197"/>
      <c r="W188" s="2197"/>
      <c r="X188" s="2197"/>
      <c r="Y188" s="2200"/>
    </row>
    <row r="189" spans="2:25" outlineLevel="1">
      <c r="B189" s="2314" t="s">
        <v>1086</v>
      </c>
      <c r="C189" s="2842" t="str">
        <f>IF('1.02b_Debt'!D104 = "","",'1.02b_Debt'!D104)</f>
        <v/>
      </c>
      <c r="D189" s="2843"/>
      <c r="E189" s="2843"/>
      <c r="F189" s="2843"/>
      <c r="G189" s="2843"/>
      <c r="H189" s="2843"/>
      <c r="I189" s="2844"/>
      <c r="J189" s="2193"/>
      <c r="K189" s="2194"/>
      <c r="L189" s="2195"/>
      <c r="M189" s="2207"/>
      <c r="N189" s="2208"/>
      <c r="O189" s="2208"/>
      <c r="P189" s="2208"/>
      <c r="Q189" s="2208"/>
      <c r="R189" s="2208"/>
      <c r="S189" s="2208"/>
      <c r="T189" s="2209"/>
      <c r="U189" s="2210"/>
      <c r="V189" s="2208"/>
      <c r="W189" s="2208"/>
      <c r="X189" s="2208"/>
      <c r="Y189" s="2211"/>
    </row>
    <row r="190" spans="2:25" outlineLevel="1">
      <c r="B190" s="2314" t="s">
        <v>1087</v>
      </c>
      <c r="C190" s="2842" t="str">
        <f>IF('1.02b_Debt'!D105 = "","",'1.02b_Debt'!D105)</f>
        <v/>
      </c>
      <c r="D190" s="2843"/>
      <c r="E190" s="2843"/>
      <c r="F190" s="2843"/>
      <c r="G190" s="2843"/>
      <c r="H190" s="2843"/>
      <c r="I190" s="2844"/>
      <c r="J190" s="2193"/>
      <c r="K190" s="2194"/>
      <c r="L190" s="2195"/>
      <c r="M190" s="2207"/>
      <c r="N190" s="2208"/>
      <c r="O190" s="2208"/>
      <c r="P190" s="2208"/>
      <c r="Q190" s="2208"/>
      <c r="R190" s="2208"/>
      <c r="S190" s="2208"/>
      <c r="T190" s="2209"/>
      <c r="U190" s="2210"/>
      <c r="V190" s="2208"/>
      <c r="W190" s="2208"/>
      <c r="X190" s="2208"/>
      <c r="Y190" s="2211"/>
    </row>
    <row r="191" spans="2:25" outlineLevel="1">
      <c r="B191" s="2314" t="s">
        <v>1088</v>
      </c>
      <c r="C191" s="2842" t="str">
        <f>IF('1.02b_Debt'!D106 = "","",'1.02b_Debt'!D106)</f>
        <v/>
      </c>
      <c r="D191" s="2843"/>
      <c r="E191" s="2843"/>
      <c r="F191" s="2843"/>
      <c r="G191" s="2843"/>
      <c r="H191" s="2843"/>
      <c r="I191" s="2844"/>
      <c r="J191" s="2193"/>
      <c r="K191" s="2194"/>
      <c r="L191" s="2195"/>
      <c r="M191" s="2207"/>
      <c r="N191" s="2208"/>
      <c r="O191" s="2208"/>
      <c r="P191" s="2208"/>
      <c r="Q191" s="2208"/>
      <c r="R191" s="2208"/>
      <c r="S191" s="2208"/>
      <c r="T191" s="2209"/>
      <c r="U191" s="2210"/>
      <c r="V191" s="2208"/>
      <c r="W191" s="2208"/>
      <c r="X191" s="2208"/>
      <c r="Y191" s="2211"/>
    </row>
    <row r="192" spans="2:25" outlineLevel="1">
      <c r="B192" s="2314" t="s">
        <v>1089</v>
      </c>
      <c r="C192" s="2842" t="str">
        <f>IF('1.02b_Debt'!D107 = "","",'1.02b_Debt'!D107)</f>
        <v/>
      </c>
      <c r="D192" s="2843"/>
      <c r="E192" s="2843"/>
      <c r="F192" s="2843"/>
      <c r="G192" s="2843"/>
      <c r="H192" s="2843"/>
      <c r="I192" s="2844"/>
      <c r="J192" s="2193"/>
      <c r="K192" s="2194"/>
      <c r="L192" s="2195"/>
      <c r="M192" s="2207"/>
      <c r="N192" s="2208"/>
      <c r="O192" s="2208"/>
      <c r="P192" s="2208"/>
      <c r="Q192" s="2208"/>
      <c r="R192" s="2208"/>
      <c r="S192" s="2208"/>
      <c r="T192" s="2209"/>
      <c r="U192" s="2210"/>
      <c r="V192" s="2208"/>
      <c r="W192" s="2208"/>
      <c r="X192" s="2208"/>
      <c r="Y192" s="2211"/>
    </row>
    <row r="193" spans="2:26" outlineLevel="1">
      <c r="B193" s="2314" t="s">
        <v>1090</v>
      </c>
      <c r="C193" s="2842" t="str">
        <f>IF('1.02b_Debt'!D108 = "","",'1.02b_Debt'!D108)</f>
        <v/>
      </c>
      <c r="D193" s="2843"/>
      <c r="E193" s="2843"/>
      <c r="F193" s="2843"/>
      <c r="G193" s="2843"/>
      <c r="H193" s="2843"/>
      <c r="I193" s="2844"/>
      <c r="J193" s="2193"/>
      <c r="K193" s="2194"/>
      <c r="L193" s="2195"/>
      <c r="M193" s="2207"/>
      <c r="N193" s="2208"/>
      <c r="O193" s="2208"/>
      <c r="P193" s="2208"/>
      <c r="Q193" s="2208"/>
      <c r="R193" s="2208"/>
      <c r="S193" s="2208"/>
      <c r="T193" s="2209"/>
      <c r="U193" s="2210"/>
      <c r="V193" s="2208"/>
      <c r="W193" s="2208"/>
      <c r="X193" s="2208"/>
      <c r="Y193" s="2211"/>
    </row>
    <row r="194" spans="2:26" outlineLevel="1">
      <c r="B194" s="2314" t="s">
        <v>1091</v>
      </c>
      <c r="C194" s="2842" t="str">
        <f>IF('1.02b_Debt'!D109 = "","",'1.02b_Debt'!D109)</f>
        <v/>
      </c>
      <c r="D194" s="2843"/>
      <c r="E194" s="2843"/>
      <c r="F194" s="2843"/>
      <c r="G194" s="2843"/>
      <c r="H194" s="2843"/>
      <c r="I194" s="2844"/>
      <c r="J194" s="2193"/>
      <c r="K194" s="2194"/>
      <c r="L194" s="2195"/>
      <c r="M194" s="2207"/>
      <c r="N194" s="2208"/>
      <c r="O194" s="2208"/>
      <c r="P194" s="2208"/>
      <c r="Q194" s="2208"/>
      <c r="R194" s="2208"/>
      <c r="S194" s="2208"/>
      <c r="T194" s="2209"/>
      <c r="U194" s="2210"/>
      <c r="V194" s="2208"/>
      <c r="W194" s="2208"/>
      <c r="X194" s="2208"/>
      <c r="Y194" s="2211"/>
    </row>
    <row r="195" spans="2:26" outlineLevel="1">
      <c r="B195" s="2314" t="s">
        <v>1092</v>
      </c>
      <c r="C195" s="2842" t="str">
        <f>IF('1.02b_Debt'!D110 = "","",'1.02b_Debt'!D110)</f>
        <v/>
      </c>
      <c r="D195" s="2843"/>
      <c r="E195" s="2843"/>
      <c r="F195" s="2843"/>
      <c r="G195" s="2843"/>
      <c r="H195" s="2843"/>
      <c r="I195" s="2844"/>
      <c r="J195" s="2193"/>
      <c r="K195" s="2194"/>
      <c r="L195" s="2195"/>
      <c r="M195" s="2207"/>
      <c r="N195" s="2208"/>
      <c r="O195" s="2208"/>
      <c r="P195" s="2208"/>
      <c r="Q195" s="2208"/>
      <c r="R195" s="2208"/>
      <c r="S195" s="2208"/>
      <c r="T195" s="2209"/>
      <c r="U195" s="2210"/>
      <c r="V195" s="2208"/>
      <c r="W195" s="2208"/>
      <c r="X195" s="2208"/>
      <c r="Y195" s="2211"/>
    </row>
    <row r="196" spans="2:26" outlineLevel="1">
      <c r="B196" s="2314" t="s">
        <v>1093</v>
      </c>
      <c r="C196" s="2842" t="str">
        <f>IF('1.02b_Debt'!D111 = "","",'1.02b_Debt'!D111)</f>
        <v/>
      </c>
      <c r="D196" s="2843"/>
      <c r="E196" s="2843"/>
      <c r="F196" s="2843"/>
      <c r="G196" s="2843"/>
      <c r="H196" s="2843"/>
      <c r="I196" s="2844"/>
      <c r="J196" s="2193"/>
      <c r="K196" s="2194"/>
      <c r="L196" s="2195"/>
      <c r="M196" s="2215"/>
      <c r="N196" s="2216"/>
      <c r="O196" s="2216"/>
      <c r="P196" s="2216"/>
      <c r="Q196" s="2216"/>
      <c r="R196" s="2216"/>
      <c r="S196" s="2216"/>
      <c r="T196" s="2217"/>
      <c r="U196" s="2218"/>
      <c r="V196" s="2216"/>
      <c r="W196" s="2216"/>
      <c r="X196" s="2216"/>
      <c r="Y196" s="2219"/>
    </row>
    <row r="197" spans="2:26" outlineLevel="1">
      <c r="B197" s="1952"/>
      <c r="C197" s="1952"/>
      <c r="D197" s="1952"/>
      <c r="E197" s="1952"/>
      <c r="F197" s="1952"/>
      <c r="L197" s="2220" t="s">
        <v>1421</v>
      </c>
      <c r="M197" s="2074">
        <f t="shared" ref="M197:Y197" si="19">SUM(M188:M196)</f>
        <v>0</v>
      </c>
      <c r="N197" s="2075">
        <f t="shared" si="19"/>
        <v>0</v>
      </c>
      <c r="O197" s="2075">
        <f t="shared" si="19"/>
        <v>0</v>
      </c>
      <c r="P197" s="2075">
        <f t="shared" si="19"/>
        <v>0</v>
      </c>
      <c r="Q197" s="2075">
        <f t="shared" si="19"/>
        <v>0</v>
      </c>
      <c r="R197" s="2075">
        <f t="shared" si="19"/>
        <v>0</v>
      </c>
      <c r="S197" s="2075">
        <f t="shared" si="19"/>
        <v>0</v>
      </c>
      <c r="T197" s="2076">
        <f t="shared" si="19"/>
        <v>0</v>
      </c>
      <c r="U197" s="2077">
        <f t="shared" si="19"/>
        <v>0</v>
      </c>
      <c r="V197" s="2075">
        <f t="shared" si="19"/>
        <v>0</v>
      </c>
      <c r="W197" s="2075">
        <f t="shared" si="19"/>
        <v>0</v>
      </c>
      <c r="X197" s="2075">
        <f t="shared" si="19"/>
        <v>0</v>
      </c>
      <c r="Y197" s="2078">
        <f t="shared" si="19"/>
        <v>0</v>
      </c>
    </row>
    <row r="198" spans="2:26" outlineLevel="1">
      <c r="B198" s="1952"/>
      <c r="C198" s="1952"/>
      <c r="D198" s="1952"/>
      <c r="E198" s="1952"/>
      <c r="F198" s="1952"/>
      <c r="G198" s="1952"/>
      <c r="H198" s="1952"/>
      <c r="I198" s="1952"/>
      <c r="J198" s="1952"/>
      <c r="K198" s="1952"/>
      <c r="L198" s="1952"/>
      <c r="M198" s="1952"/>
      <c r="N198" s="1952"/>
      <c r="O198" s="1952"/>
      <c r="P198" s="1952"/>
      <c r="Q198" s="1952"/>
      <c r="R198" s="1952"/>
      <c r="S198" s="1952"/>
      <c r="T198" s="1952"/>
      <c r="U198" s="1952"/>
      <c r="V198" s="1952"/>
      <c r="W198" s="1952"/>
      <c r="X198" s="1952"/>
      <c r="Y198" s="1952"/>
      <c r="Z198" s="1952"/>
    </row>
    <row r="199" spans="2:26" ht="18" outlineLevel="1">
      <c r="C199" s="1952"/>
      <c r="D199" s="2167" t="s">
        <v>1431</v>
      </c>
      <c r="E199" s="2168"/>
      <c r="F199" s="2168"/>
      <c r="G199" s="2168"/>
      <c r="H199" s="2168"/>
      <c r="I199" s="2168"/>
      <c r="J199" s="2168"/>
      <c r="K199" s="2168"/>
      <c r="L199" s="2229"/>
      <c r="M199" s="2168"/>
      <c r="N199" s="2168"/>
      <c r="O199" s="2168"/>
      <c r="P199" s="2168"/>
      <c r="Q199" s="2168"/>
      <c r="R199" s="2168"/>
      <c r="S199" s="2168"/>
      <c r="T199" s="2168"/>
      <c r="U199" s="2230"/>
      <c r="V199" s="2168"/>
      <c r="W199" s="2168"/>
      <c r="X199" s="2168"/>
      <c r="Y199" s="2168"/>
    </row>
    <row r="200" spans="2:26" s="1889" customFormat="1" ht="14.25">
      <c r="B200" s="2152"/>
      <c r="C200" s="2153"/>
      <c r="D200" s="2153"/>
      <c r="E200" s="2153"/>
      <c r="F200" s="2153"/>
      <c r="G200" s="2154"/>
      <c r="H200" s="2154"/>
      <c r="I200" s="2154"/>
      <c r="J200" s="2154"/>
      <c r="K200" s="2154"/>
      <c r="L200" s="2152"/>
      <c r="M200" s="2153"/>
      <c r="N200" s="2153"/>
      <c r="O200" s="2153"/>
      <c r="P200" s="2153"/>
      <c r="Q200" s="2153"/>
      <c r="R200" s="2153"/>
      <c r="S200" s="2153"/>
      <c r="T200" s="2153"/>
      <c r="U200" s="2288"/>
      <c r="V200" s="2153"/>
      <c r="W200" s="2153"/>
      <c r="X200" s="2153"/>
      <c r="Y200" s="2153"/>
    </row>
    <row r="201" spans="2:26" ht="49.5" customHeight="1" outlineLevel="1">
      <c r="B201" s="3002" t="s">
        <v>965</v>
      </c>
      <c r="C201" s="3004" t="s">
        <v>951</v>
      </c>
      <c r="D201" s="3005"/>
      <c r="E201" s="3005"/>
      <c r="F201" s="3005"/>
      <c r="G201" s="3005"/>
      <c r="H201" s="3005"/>
      <c r="I201" s="3006"/>
      <c r="L201" s="2159"/>
      <c r="M201" s="2309" t="s">
        <v>1062</v>
      </c>
      <c r="N201" s="2310" t="s">
        <v>1062</v>
      </c>
      <c r="O201" s="2310" t="s">
        <v>1062</v>
      </c>
      <c r="P201" s="2310" t="s">
        <v>1062</v>
      </c>
      <c r="Q201" s="2310" t="s">
        <v>1062</v>
      </c>
      <c r="R201" s="2310" t="s">
        <v>1062</v>
      </c>
      <c r="S201" s="2310" t="s">
        <v>1062</v>
      </c>
      <c r="T201" s="2311" t="s">
        <v>1062</v>
      </c>
      <c r="U201" s="2312" t="s">
        <v>1062</v>
      </c>
      <c r="V201" s="2310" t="s">
        <v>1062</v>
      </c>
      <c r="W201" s="2310" t="s">
        <v>1062</v>
      </c>
      <c r="X201" s="2310" t="s">
        <v>1062</v>
      </c>
      <c r="Y201" s="2313" t="s">
        <v>1062</v>
      </c>
    </row>
    <row r="202" spans="2:26" outlineLevel="1">
      <c r="B202" s="3003"/>
      <c r="C202" s="3007"/>
      <c r="D202" s="3008"/>
      <c r="E202" s="3008"/>
      <c r="F202" s="3008"/>
      <c r="G202" s="3008"/>
      <c r="H202" s="3008"/>
      <c r="I202" s="3009"/>
      <c r="L202" s="2159"/>
      <c r="M202" s="1977" t="s">
        <v>498</v>
      </c>
      <c r="N202" s="1978" t="s">
        <v>498</v>
      </c>
      <c r="O202" s="1978" t="s">
        <v>498</v>
      </c>
      <c r="P202" s="1978" t="s">
        <v>498</v>
      </c>
      <c r="Q202" s="1978" t="s">
        <v>498</v>
      </c>
      <c r="R202" s="1978" t="s">
        <v>498</v>
      </c>
      <c r="S202" s="1978" t="s">
        <v>498</v>
      </c>
      <c r="T202" s="1979" t="s">
        <v>498</v>
      </c>
      <c r="U202" s="1980" t="s">
        <v>498</v>
      </c>
      <c r="V202" s="1978" t="s">
        <v>498</v>
      </c>
      <c r="W202" s="1978" t="s">
        <v>498</v>
      </c>
      <c r="X202" s="1978" t="s">
        <v>498</v>
      </c>
      <c r="Y202" s="1981" t="s">
        <v>498</v>
      </c>
    </row>
    <row r="203" spans="2:26" outlineLevel="1">
      <c r="B203" s="2314" t="s">
        <v>1085</v>
      </c>
      <c r="C203" s="2999" t="str">
        <f>IF('1.02b_Debt'!D103 = "","",'1.02b_Debt'!D103)</f>
        <v/>
      </c>
      <c r="D203" s="3000"/>
      <c r="E203" s="3000"/>
      <c r="F203" s="3000"/>
      <c r="G203" s="3000"/>
      <c r="H203" s="3000"/>
      <c r="I203" s="3001"/>
      <c r="J203" s="2193"/>
      <c r="K203" s="2194"/>
      <c r="L203" s="2195"/>
      <c r="M203" s="2196"/>
      <c r="N203" s="2197"/>
      <c r="O203" s="2197"/>
      <c r="P203" s="2197"/>
      <c r="Q203" s="2197"/>
      <c r="R203" s="2197"/>
      <c r="S203" s="2197"/>
      <c r="T203" s="2198"/>
      <c r="U203" s="2199"/>
      <c r="V203" s="2197"/>
      <c r="W203" s="2197"/>
      <c r="X203" s="2197"/>
      <c r="Y203" s="2200"/>
    </row>
    <row r="204" spans="2:26" outlineLevel="1">
      <c r="B204" s="2314" t="s">
        <v>1086</v>
      </c>
      <c r="C204" s="2999" t="str">
        <f>IF('1.02b_Debt'!D104 = "","",'1.02b_Debt'!D104)</f>
        <v/>
      </c>
      <c r="D204" s="3000"/>
      <c r="E204" s="3000"/>
      <c r="F204" s="3000"/>
      <c r="G204" s="3000"/>
      <c r="H204" s="3000"/>
      <c r="I204" s="3001"/>
      <c r="J204" s="2193"/>
      <c r="K204" s="2194"/>
      <c r="L204" s="2195"/>
      <c r="M204" s="2207"/>
      <c r="N204" s="2208"/>
      <c r="O204" s="2208"/>
      <c r="P204" s="2208"/>
      <c r="Q204" s="2208"/>
      <c r="R204" s="2208"/>
      <c r="S204" s="2208"/>
      <c r="T204" s="2209"/>
      <c r="U204" s="2210"/>
      <c r="V204" s="2208"/>
      <c r="W204" s="2208"/>
      <c r="X204" s="2208"/>
      <c r="Y204" s="2211"/>
    </row>
    <row r="205" spans="2:26" outlineLevel="1">
      <c r="B205" s="2314" t="s">
        <v>1087</v>
      </c>
      <c r="C205" s="2999" t="str">
        <f>IF('1.02b_Debt'!D105 = "","",'1.02b_Debt'!D105)</f>
        <v/>
      </c>
      <c r="D205" s="3000"/>
      <c r="E205" s="3000"/>
      <c r="F205" s="3000"/>
      <c r="G205" s="3000"/>
      <c r="H205" s="3000"/>
      <c r="I205" s="3001"/>
      <c r="J205" s="2193"/>
      <c r="K205" s="2194"/>
      <c r="L205" s="2195"/>
      <c r="M205" s="2207"/>
      <c r="N205" s="2208"/>
      <c r="O205" s="2208"/>
      <c r="P205" s="2208"/>
      <c r="Q205" s="2208"/>
      <c r="R205" s="2208"/>
      <c r="S205" s="2208"/>
      <c r="T205" s="2209"/>
      <c r="U205" s="2210"/>
      <c r="V205" s="2208"/>
      <c r="W205" s="2208"/>
      <c r="X205" s="2208"/>
      <c r="Y205" s="2211"/>
    </row>
    <row r="206" spans="2:26" outlineLevel="1">
      <c r="B206" s="2314" t="s">
        <v>1088</v>
      </c>
      <c r="C206" s="2999" t="str">
        <f>IF('1.02b_Debt'!D106 = "","",'1.02b_Debt'!D106)</f>
        <v/>
      </c>
      <c r="D206" s="3000"/>
      <c r="E206" s="3000"/>
      <c r="F206" s="3000"/>
      <c r="G206" s="3000"/>
      <c r="H206" s="3000"/>
      <c r="I206" s="3001"/>
      <c r="J206" s="2193"/>
      <c r="K206" s="2194"/>
      <c r="L206" s="2195"/>
      <c r="M206" s="2207"/>
      <c r="N206" s="2208"/>
      <c r="O206" s="2208"/>
      <c r="P206" s="2208"/>
      <c r="Q206" s="2208"/>
      <c r="R206" s="2208"/>
      <c r="S206" s="2208"/>
      <c r="T206" s="2209"/>
      <c r="U206" s="2210"/>
      <c r="V206" s="2208"/>
      <c r="W206" s="2208"/>
      <c r="X206" s="2208"/>
      <c r="Y206" s="2211"/>
    </row>
    <row r="207" spans="2:26" outlineLevel="1">
      <c r="B207" s="2314" t="s">
        <v>1089</v>
      </c>
      <c r="C207" s="2999" t="str">
        <f>IF('1.02b_Debt'!D107 = "","",'1.02b_Debt'!D107)</f>
        <v/>
      </c>
      <c r="D207" s="3000"/>
      <c r="E207" s="3000"/>
      <c r="F207" s="3000"/>
      <c r="G207" s="3000"/>
      <c r="H207" s="3000"/>
      <c r="I207" s="3001"/>
      <c r="J207" s="2193"/>
      <c r="K207" s="2194"/>
      <c r="L207" s="2195"/>
      <c r="M207" s="2207"/>
      <c r="N207" s="2208"/>
      <c r="O207" s="2208"/>
      <c r="P207" s="2208"/>
      <c r="Q207" s="2208"/>
      <c r="R207" s="2208"/>
      <c r="S207" s="2208"/>
      <c r="T207" s="2209"/>
      <c r="U207" s="2210"/>
      <c r="V207" s="2208"/>
      <c r="W207" s="2208"/>
      <c r="X207" s="2208"/>
      <c r="Y207" s="2211"/>
    </row>
    <row r="208" spans="2:26" outlineLevel="1">
      <c r="B208" s="2314" t="s">
        <v>1090</v>
      </c>
      <c r="C208" s="2999" t="str">
        <f>IF('1.02b_Debt'!D108 = "","",'1.02b_Debt'!D108)</f>
        <v/>
      </c>
      <c r="D208" s="3000"/>
      <c r="E208" s="3000"/>
      <c r="F208" s="3000"/>
      <c r="G208" s="3000"/>
      <c r="H208" s="3000"/>
      <c r="I208" s="3001"/>
      <c r="J208" s="2193"/>
      <c r="K208" s="2194"/>
      <c r="L208" s="2195"/>
      <c r="M208" s="2207"/>
      <c r="N208" s="2208"/>
      <c r="O208" s="2208"/>
      <c r="P208" s="2208"/>
      <c r="Q208" s="2208"/>
      <c r="R208" s="2208"/>
      <c r="S208" s="2208"/>
      <c r="T208" s="2209"/>
      <c r="U208" s="2210"/>
      <c r="V208" s="2208"/>
      <c r="W208" s="2208"/>
      <c r="X208" s="2208"/>
      <c r="Y208" s="2211"/>
    </row>
    <row r="209" spans="2:31" outlineLevel="1">
      <c r="B209" s="2314" t="s">
        <v>1091</v>
      </c>
      <c r="C209" s="2999" t="str">
        <f>IF('1.02b_Debt'!D109 = "","",'1.02b_Debt'!D109)</f>
        <v/>
      </c>
      <c r="D209" s="3000"/>
      <c r="E209" s="3000"/>
      <c r="F209" s="3000"/>
      <c r="G209" s="3000"/>
      <c r="H209" s="3000"/>
      <c r="I209" s="3001"/>
      <c r="J209" s="2193"/>
      <c r="K209" s="2194"/>
      <c r="L209" s="2195"/>
      <c r="M209" s="2207"/>
      <c r="N209" s="2208"/>
      <c r="O209" s="2208"/>
      <c r="P209" s="2208"/>
      <c r="Q209" s="2208"/>
      <c r="R209" s="2208"/>
      <c r="S209" s="2208"/>
      <c r="T209" s="2209"/>
      <c r="U209" s="2210"/>
      <c r="V209" s="2208"/>
      <c r="W209" s="2208"/>
      <c r="X209" s="2208"/>
      <c r="Y209" s="2211"/>
    </row>
    <row r="210" spans="2:31" outlineLevel="1">
      <c r="B210" s="2314" t="s">
        <v>1092</v>
      </c>
      <c r="C210" s="2999" t="str">
        <f>IF('1.02b_Debt'!D110 = "","",'1.02b_Debt'!D110)</f>
        <v/>
      </c>
      <c r="D210" s="3000"/>
      <c r="E210" s="3000"/>
      <c r="F210" s="3000"/>
      <c r="G210" s="3000"/>
      <c r="H210" s="3000"/>
      <c r="I210" s="3001"/>
      <c r="J210" s="2193"/>
      <c r="K210" s="2194"/>
      <c r="L210" s="2195"/>
      <c r="M210" s="2207"/>
      <c r="N210" s="2208"/>
      <c r="O210" s="2208"/>
      <c r="P210" s="2208"/>
      <c r="Q210" s="2208"/>
      <c r="R210" s="2208"/>
      <c r="S210" s="2208"/>
      <c r="T210" s="2209"/>
      <c r="U210" s="2210"/>
      <c r="V210" s="2208"/>
      <c r="W210" s="2208"/>
      <c r="X210" s="2208"/>
      <c r="Y210" s="2211"/>
    </row>
    <row r="211" spans="2:31" outlineLevel="1">
      <c r="B211" s="2314" t="s">
        <v>1093</v>
      </c>
      <c r="C211" s="2999" t="str">
        <f>IF('1.02b_Debt'!D111 = "","",'1.02b_Debt'!D111)</f>
        <v/>
      </c>
      <c r="D211" s="3000"/>
      <c r="E211" s="3000"/>
      <c r="F211" s="3000"/>
      <c r="G211" s="3000"/>
      <c r="H211" s="3000"/>
      <c r="I211" s="3001"/>
      <c r="J211" s="2193"/>
      <c r="K211" s="2194"/>
      <c r="L211" s="2195"/>
      <c r="M211" s="2215"/>
      <c r="N211" s="2216"/>
      <c r="O211" s="2216"/>
      <c r="P211" s="2216"/>
      <c r="Q211" s="2216"/>
      <c r="R211" s="2216"/>
      <c r="S211" s="2216"/>
      <c r="T211" s="2217"/>
      <c r="U211" s="2218"/>
      <c r="V211" s="2216"/>
      <c r="W211" s="2216"/>
      <c r="X211" s="2216"/>
      <c r="Y211" s="2219"/>
    </row>
    <row r="212" spans="2:31" outlineLevel="1">
      <c r="B212" s="1952"/>
      <c r="C212" s="1952"/>
      <c r="D212" s="1952"/>
      <c r="E212" s="1952"/>
      <c r="F212" s="1952"/>
      <c r="L212" s="2220" t="s">
        <v>1421</v>
      </c>
      <c r="M212" s="2074">
        <f t="shared" ref="M212:Y212" si="20">SUM(M203:M211)</f>
        <v>0</v>
      </c>
      <c r="N212" s="2075">
        <f t="shared" si="20"/>
        <v>0</v>
      </c>
      <c r="O212" s="2075">
        <f t="shared" si="20"/>
        <v>0</v>
      </c>
      <c r="P212" s="2075">
        <f t="shared" si="20"/>
        <v>0</v>
      </c>
      <c r="Q212" s="2075">
        <f t="shared" si="20"/>
        <v>0</v>
      </c>
      <c r="R212" s="2075">
        <f t="shared" si="20"/>
        <v>0</v>
      </c>
      <c r="S212" s="2075">
        <f t="shared" si="20"/>
        <v>0</v>
      </c>
      <c r="T212" s="2076">
        <f t="shared" si="20"/>
        <v>0</v>
      </c>
      <c r="U212" s="2077">
        <f t="shared" si="20"/>
        <v>0</v>
      </c>
      <c r="V212" s="2075">
        <f t="shared" si="20"/>
        <v>0</v>
      </c>
      <c r="W212" s="2075">
        <f t="shared" si="20"/>
        <v>0</v>
      </c>
      <c r="X212" s="2075">
        <f t="shared" si="20"/>
        <v>0</v>
      </c>
      <c r="Y212" s="2078">
        <f t="shared" si="20"/>
        <v>0</v>
      </c>
    </row>
    <row r="213" spans="2:31">
      <c r="D213" s="1952"/>
      <c r="E213" s="1952"/>
      <c r="F213" s="1952"/>
      <c r="L213" s="1952"/>
      <c r="M213" s="1952"/>
      <c r="N213" s="1952"/>
      <c r="O213" s="1952"/>
      <c r="P213" s="1952"/>
      <c r="Q213" s="1952"/>
      <c r="R213" s="1952"/>
      <c r="S213" s="1952"/>
      <c r="T213" s="1952"/>
      <c r="U213" s="1953"/>
      <c r="V213" s="1952"/>
      <c r="W213" s="1952"/>
      <c r="X213" s="1952"/>
      <c r="Y213" s="1952"/>
    </row>
    <row r="214" spans="2:31" ht="14.25">
      <c r="B214" s="2145" t="s">
        <v>1096</v>
      </c>
      <c r="C214" s="2146" t="s">
        <v>1438</v>
      </c>
      <c r="D214" s="2146"/>
      <c r="E214" s="2146"/>
      <c r="F214" s="2146"/>
      <c r="G214" s="2147"/>
      <c r="H214" s="2147"/>
      <c r="I214" s="2147"/>
      <c r="J214" s="2147"/>
      <c r="K214" s="2147"/>
      <c r="L214" s="2145"/>
      <c r="M214" s="2146"/>
      <c r="N214" s="2146"/>
      <c r="O214" s="2146"/>
      <c r="P214" s="2146"/>
      <c r="Q214" s="2146"/>
      <c r="R214" s="2146"/>
      <c r="S214" s="2146"/>
      <c r="T214" s="2146"/>
      <c r="U214" s="2287"/>
      <c r="V214" s="2146"/>
      <c r="W214" s="2146"/>
      <c r="X214" s="2146"/>
      <c r="Y214" s="2146"/>
    </row>
    <row r="215" spans="2:31" outlineLevel="1">
      <c r="B215" s="1901"/>
      <c r="C215" s="1889"/>
      <c r="D215" s="1889"/>
      <c r="E215" s="1889"/>
      <c r="F215" s="1889"/>
      <c r="G215" s="1889"/>
      <c r="H215" s="1889"/>
      <c r="I215" s="1889"/>
      <c r="J215" s="1889"/>
      <c r="K215" s="1889"/>
      <c r="L215" s="1889"/>
      <c r="M215" s="1889"/>
      <c r="N215" s="1889"/>
      <c r="O215" s="1889"/>
      <c r="P215" s="1889"/>
      <c r="Q215" s="1889"/>
      <c r="R215" s="1889"/>
      <c r="T215" s="1885"/>
      <c r="U215" s="1885"/>
      <c r="V215" s="1885"/>
      <c r="W215" s="1885"/>
      <c r="X215" s="1885"/>
      <c r="Z215" s="1885"/>
      <c r="AA215" s="1916"/>
      <c r="AB215" s="1885"/>
      <c r="AC215" s="1885"/>
      <c r="AD215" s="1885"/>
      <c r="AE215" s="1885"/>
    </row>
    <row r="216" spans="2:31" ht="18" outlineLevel="1">
      <c r="B216" s="2159"/>
      <c r="C216" s="1952"/>
      <c r="D216" s="2167" t="s">
        <v>1430</v>
      </c>
      <c r="E216" s="2290"/>
      <c r="F216" s="2290"/>
      <c r="G216" s="2168"/>
      <c r="H216" s="2168"/>
      <c r="I216" s="2168"/>
      <c r="J216" s="2168"/>
      <c r="K216" s="2168"/>
      <c r="L216" s="2229"/>
      <c r="M216" s="2290"/>
      <c r="N216" s="2290"/>
      <c r="O216" s="2290"/>
      <c r="P216" s="2290"/>
      <c r="Q216" s="2290"/>
      <c r="R216" s="2290"/>
      <c r="S216" s="2290"/>
      <c r="T216" s="2290"/>
      <c r="U216" s="2291"/>
      <c r="V216" s="2290"/>
      <c r="W216" s="2290"/>
      <c r="X216" s="2290"/>
      <c r="Y216" s="2290"/>
    </row>
    <row r="217" spans="2:31" outlineLevel="1">
      <c r="B217" s="1901"/>
      <c r="C217" s="1889"/>
      <c r="D217" s="1889"/>
      <c r="E217" s="1889"/>
      <c r="F217" s="1889"/>
      <c r="G217" s="1889"/>
      <c r="H217" s="1889"/>
      <c r="I217" s="1889"/>
      <c r="J217" s="1889"/>
      <c r="K217" s="1889"/>
      <c r="L217" s="1889"/>
      <c r="M217" s="1889"/>
      <c r="N217" s="1889"/>
      <c r="O217" s="1889"/>
      <c r="P217" s="1889"/>
      <c r="Q217" s="1889"/>
      <c r="R217" s="1889"/>
      <c r="T217" s="1885"/>
      <c r="U217" s="1885"/>
      <c r="V217" s="1885"/>
      <c r="W217" s="1885"/>
      <c r="X217" s="1885"/>
      <c r="Z217" s="1885"/>
      <c r="AA217" s="1892"/>
      <c r="AB217" s="1885"/>
      <c r="AC217" s="1885"/>
      <c r="AD217" s="1885"/>
      <c r="AE217" s="1885"/>
    </row>
    <row r="218" spans="2:31" s="2016" customFormat="1" ht="31.5" customHeight="1" outlineLevel="1">
      <c r="B218" s="2013"/>
      <c r="C218" s="1919" t="s">
        <v>949</v>
      </c>
      <c r="D218" s="1960" t="s">
        <v>950</v>
      </c>
      <c r="E218" s="2989" t="s">
        <v>1098</v>
      </c>
      <c r="F218" s="2990"/>
      <c r="G218" s="2990"/>
      <c r="H218" s="2990"/>
      <c r="I218" s="2991"/>
      <c r="J218" s="1889"/>
      <c r="K218" s="1889"/>
      <c r="L218" s="1889"/>
      <c r="U218" s="2017"/>
    </row>
    <row r="219" spans="2:31" s="2033" customFormat="1" ht="45.75" customHeight="1" outlineLevel="1">
      <c r="B219" s="2018" t="s">
        <v>965</v>
      </c>
      <c r="C219" s="2019" t="s">
        <v>966</v>
      </c>
      <c r="D219" s="2020" t="s">
        <v>966</v>
      </c>
      <c r="E219" s="2992"/>
      <c r="F219" s="2933"/>
      <c r="G219" s="2933"/>
      <c r="H219" s="2933"/>
      <c r="I219" s="2993"/>
      <c r="J219" s="1889"/>
      <c r="K219" s="1889"/>
      <c r="L219" s="1889"/>
      <c r="M219" s="2028" t="s">
        <v>498</v>
      </c>
      <c r="N219" s="2029" t="s">
        <v>498</v>
      </c>
      <c r="O219" s="2029" t="s">
        <v>498</v>
      </c>
      <c r="P219" s="2029" t="s">
        <v>498</v>
      </c>
      <c r="Q219" s="2029" t="s">
        <v>498</v>
      </c>
      <c r="R219" s="2029" t="s">
        <v>498</v>
      </c>
      <c r="S219" s="2029" t="s">
        <v>498</v>
      </c>
      <c r="T219" s="2030" t="s">
        <v>498</v>
      </c>
      <c r="U219" s="2031" t="s">
        <v>498</v>
      </c>
      <c r="V219" s="2029" t="s">
        <v>498</v>
      </c>
      <c r="W219" s="2029" t="s">
        <v>498</v>
      </c>
      <c r="X219" s="2029" t="s">
        <v>498</v>
      </c>
      <c r="Y219" s="2032" t="s">
        <v>498</v>
      </c>
    </row>
    <row r="220" spans="2:31" outlineLevel="1">
      <c r="B220" s="2316" t="s">
        <v>1110</v>
      </c>
      <c r="C220" s="2188" t="str">
        <f>IF('1.02b_Debt'!D119 = "","",'1.02b_Debt'!D119)</f>
        <v/>
      </c>
      <c r="D220" s="2188" t="str">
        <f>IF('1.02b_Debt'!E119 = "","",'1.02b_Debt'!E119)</f>
        <v/>
      </c>
      <c r="E220" s="2848" t="str">
        <f>IF('1.02b_Debt'!F119 = "","",'1.02b_Debt'!F119)</f>
        <v/>
      </c>
      <c r="F220" s="2849"/>
      <c r="G220" s="2849"/>
      <c r="H220" s="2849"/>
      <c r="I220" s="2850"/>
      <c r="J220" s="1889"/>
      <c r="K220" s="1889"/>
      <c r="L220" s="1889"/>
      <c r="M220" s="1902"/>
      <c r="N220" s="1903"/>
      <c r="O220" s="1903"/>
      <c r="P220" s="1903"/>
      <c r="Q220" s="1903"/>
      <c r="R220" s="1903"/>
      <c r="S220" s="1903"/>
      <c r="T220" s="1904"/>
      <c r="U220" s="1905"/>
      <c r="V220" s="1903"/>
      <c r="W220" s="1903"/>
      <c r="X220" s="1903"/>
      <c r="Y220" s="1906"/>
    </row>
    <row r="221" spans="2:31" outlineLevel="1">
      <c r="B221" s="2011" t="s">
        <v>1111</v>
      </c>
      <c r="C221" s="2188" t="str">
        <f>IF('1.02b_Debt'!D120 = "","",'1.02b_Debt'!D120)</f>
        <v/>
      </c>
      <c r="D221" s="2188" t="str">
        <f>IF('1.02b_Debt'!E120 = "","",'1.02b_Debt'!E120)</f>
        <v/>
      </c>
      <c r="E221" s="2848" t="str">
        <f>IF('1.02b_Debt'!F120 = "","",'1.02b_Debt'!F120)</f>
        <v/>
      </c>
      <c r="F221" s="2849"/>
      <c r="G221" s="2849"/>
      <c r="H221" s="2849"/>
      <c r="I221" s="2850"/>
      <c r="J221" s="1889"/>
      <c r="K221" s="1889"/>
      <c r="L221" s="1889"/>
      <c r="M221" s="1902"/>
      <c r="N221" s="1903"/>
      <c r="O221" s="1903"/>
      <c r="P221" s="1903"/>
      <c r="Q221" s="1903"/>
      <c r="R221" s="1903"/>
      <c r="S221" s="1903"/>
      <c r="T221" s="1904"/>
      <c r="U221" s="1905"/>
      <c r="V221" s="1903"/>
      <c r="W221" s="1903"/>
      <c r="X221" s="1903"/>
      <c r="Y221" s="1906"/>
    </row>
    <row r="222" spans="2:31" outlineLevel="1">
      <c r="B222" s="2011" t="s">
        <v>1112</v>
      </c>
      <c r="C222" s="2188" t="str">
        <f>IF('1.02b_Debt'!D121 = "","",'1.02b_Debt'!D121)</f>
        <v/>
      </c>
      <c r="D222" s="2188" t="str">
        <f>IF('1.02b_Debt'!E121 = "","",'1.02b_Debt'!E121)</f>
        <v/>
      </c>
      <c r="E222" s="2848" t="str">
        <f>IF('1.02b_Debt'!F121 = "","",'1.02b_Debt'!F121)</f>
        <v/>
      </c>
      <c r="F222" s="2849"/>
      <c r="G222" s="2849"/>
      <c r="H222" s="2849"/>
      <c r="I222" s="2850"/>
      <c r="J222" s="1889"/>
      <c r="K222" s="1889"/>
      <c r="L222" s="1889"/>
      <c r="M222" s="1902"/>
      <c r="N222" s="1903"/>
      <c r="O222" s="1903"/>
      <c r="P222" s="1903"/>
      <c r="Q222" s="1903"/>
      <c r="R222" s="1903"/>
      <c r="S222" s="1903"/>
      <c r="T222" s="1904"/>
      <c r="U222" s="1905"/>
      <c r="V222" s="1903"/>
      <c r="W222" s="1903"/>
      <c r="X222" s="1903"/>
      <c r="Y222" s="1906"/>
    </row>
    <row r="223" spans="2:31" outlineLevel="1">
      <c r="B223" s="2011" t="s">
        <v>1113</v>
      </c>
      <c r="C223" s="2188" t="str">
        <f>IF('1.02b_Debt'!D122 = "","",'1.02b_Debt'!D122)</f>
        <v/>
      </c>
      <c r="D223" s="2188" t="str">
        <f>IF('1.02b_Debt'!E122 = "","",'1.02b_Debt'!E122)</f>
        <v/>
      </c>
      <c r="E223" s="2848" t="str">
        <f>IF('1.02b_Debt'!F122 = "","",'1.02b_Debt'!F122)</f>
        <v/>
      </c>
      <c r="F223" s="2849"/>
      <c r="G223" s="2849"/>
      <c r="H223" s="2849"/>
      <c r="I223" s="2850"/>
      <c r="J223" s="1889"/>
      <c r="K223" s="1889"/>
      <c r="L223" s="1889"/>
      <c r="M223" s="1902"/>
      <c r="N223" s="1903"/>
      <c r="O223" s="1903"/>
      <c r="P223" s="1903"/>
      <c r="Q223" s="1903"/>
      <c r="R223" s="1903"/>
      <c r="S223" s="1903"/>
      <c r="T223" s="1904"/>
      <c r="U223" s="1905"/>
      <c r="V223" s="1903"/>
      <c r="W223" s="1903"/>
      <c r="X223" s="1903"/>
      <c r="Y223" s="1906"/>
    </row>
    <row r="224" spans="2:31" outlineLevel="1">
      <c r="B224" s="2011" t="s">
        <v>1114</v>
      </c>
      <c r="C224" s="2188" t="str">
        <f>IF('1.02b_Debt'!D123 = "","",'1.02b_Debt'!D123)</f>
        <v/>
      </c>
      <c r="D224" s="2188" t="str">
        <f>IF('1.02b_Debt'!E123 = "","",'1.02b_Debt'!E123)</f>
        <v/>
      </c>
      <c r="E224" s="2848" t="str">
        <f>IF('1.02b_Debt'!F123 = "","",'1.02b_Debt'!F123)</f>
        <v/>
      </c>
      <c r="F224" s="2849"/>
      <c r="G224" s="2849"/>
      <c r="H224" s="2849"/>
      <c r="I224" s="2850"/>
      <c r="J224" s="1889"/>
      <c r="K224" s="1889"/>
      <c r="L224" s="1889"/>
      <c r="M224" s="1902"/>
      <c r="N224" s="1903"/>
      <c r="O224" s="1903"/>
      <c r="P224" s="1903"/>
      <c r="Q224" s="1903"/>
      <c r="R224" s="1903"/>
      <c r="S224" s="1903"/>
      <c r="T224" s="1904"/>
      <c r="U224" s="1905"/>
      <c r="V224" s="1903"/>
      <c r="W224" s="1903"/>
      <c r="X224" s="1903"/>
      <c r="Y224" s="1906"/>
    </row>
    <row r="225" spans="2:26" outlineLevel="1">
      <c r="B225" s="2011" t="s">
        <v>1115</v>
      </c>
      <c r="C225" s="2188" t="str">
        <f>IF('1.02b_Debt'!D124 = "","",'1.02b_Debt'!D124)</f>
        <v/>
      </c>
      <c r="D225" s="2188" t="str">
        <f>IF('1.02b_Debt'!E124 = "","",'1.02b_Debt'!E124)</f>
        <v/>
      </c>
      <c r="E225" s="2848" t="str">
        <f>IF('1.02b_Debt'!F124 = "","",'1.02b_Debt'!F124)</f>
        <v/>
      </c>
      <c r="F225" s="2849"/>
      <c r="G225" s="2849"/>
      <c r="H225" s="2849"/>
      <c r="I225" s="2850"/>
      <c r="J225" s="1889"/>
      <c r="K225" s="1889"/>
      <c r="L225" s="1889"/>
      <c r="M225" s="1902"/>
      <c r="N225" s="1903"/>
      <c r="O225" s="1903"/>
      <c r="P225" s="1903"/>
      <c r="Q225" s="1903"/>
      <c r="R225" s="1903"/>
      <c r="S225" s="1903"/>
      <c r="T225" s="1904"/>
      <c r="U225" s="1905"/>
      <c r="V225" s="1903"/>
      <c r="W225" s="1903"/>
      <c r="X225" s="1903"/>
      <c r="Y225" s="1906"/>
    </row>
    <row r="226" spans="2:26" outlineLevel="1">
      <c r="B226" s="2011" t="s">
        <v>1116</v>
      </c>
      <c r="C226" s="2188" t="str">
        <f>IF('1.02b_Debt'!D125 = "","",'1.02b_Debt'!D125)</f>
        <v/>
      </c>
      <c r="D226" s="2188" t="str">
        <f>IF('1.02b_Debt'!E125 = "","",'1.02b_Debt'!E125)</f>
        <v/>
      </c>
      <c r="E226" s="2848" t="str">
        <f>IF('1.02b_Debt'!F125 = "","",'1.02b_Debt'!F125)</f>
        <v/>
      </c>
      <c r="F226" s="2849"/>
      <c r="G226" s="2849"/>
      <c r="H226" s="2849"/>
      <c r="I226" s="2850"/>
      <c r="J226" s="1889"/>
      <c r="K226" s="1889"/>
      <c r="L226" s="1889"/>
      <c r="M226" s="1902"/>
      <c r="N226" s="1903"/>
      <c r="O226" s="1903"/>
      <c r="P226" s="1903"/>
      <c r="Q226" s="1903"/>
      <c r="R226" s="1903"/>
      <c r="S226" s="1903"/>
      <c r="T226" s="1904"/>
      <c r="U226" s="1905"/>
      <c r="V226" s="1903"/>
      <c r="W226" s="1903"/>
      <c r="X226" s="1903"/>
      <c r="Y226" s="1906"/>
    </row>
    <row r="227" spans="2:26" outlineLevel="1">
      <c r="B227" s="2011" t="s">
        <v>1117</v>
      </c>
      <c r="C227" s="2188" t="str">
        <f>IF('1.02b_Debt'!D126 = "","",'1.02b_Debt'!D126)</f>
        <v/>
      </c>
      <c r="D227" s="2188" t="str">
        <f>IF('1.02b_Debt'!E126 = "","",'1.02b_Debt'!E126)</f>
        <v/>
      </c>
      <c r="E227" s="2848" t="str">
        <f>IF('1.02b_Debt'!F126 = "","",'1.02b_Debt'!F126)</f>
        <v/>
      </c>
      <c r="F227" s="2849"/>
      <c r="G227" s="2849"/>
      <c r="H227" s="2849"/>
      <c r="I227" s="2850"/>
      <c r="J227" s="1889"/>
      <c r="K227" s="1889"/>
      <c r="L227" s="1889"/>
      <c r="M227" s="1902"/>
      <c r="N227" s="1903"/>
      <c r="O227" s="1903"/>
      <c r="P227" s="1903"/>
      <c r="Q227" s="1903"/>
      <c r="R227" s="1903"/>
      <c r="S227" s="1903"/>
      <c r="T227" s="1904"/>
      <c r="U227" s="1905"/>
      <c r="V227" s="1903"/>
      <c r="W227" s="1903"/>
      <c r="X227" s="1903"/>
      <c r="Y227" s="1906"/>
    </row>
    <row r="228" spans="2:26" outlineLevel="1">
      <c r="B228" s="2011" t="s">
        <v>1118</v>
      </c>
      <c r="C228" s="2188" t="str">
        <f>IF('1.02b_Debt'!D127 = "","",'1.02b_Debt'!D127)</f>
        <v/>
      </c>
      <c r="D228" s="2188" t="str">
        <f>IF('1.02b_Debt'!E127 = "","",'1.02b_Debt'!E127)</f>
        <v/>
      </c>
      <c r="E228" s="2848" t="str">
        <f>IF('1.02b_Debt'!F127 = "","",'1.02b_Debt'!F127)</f>
        <v/>
      </c>
      <c r="F228" s="2849"/>
      <c r="G228" s="2849"/>
      <c r="H228" s="2849"/>
      <c r="I228" s="2850"/>
      <c r="J228" s="1889"/>
      <c r="K228" s="1889"/>
      <c r="L228" s="1889"/>
      <c r="M228" s="1902"/>
      <c r="N228" s="1903"/>
      <c r="O228" s="1903"/>
      <c r="P228" s="1903"/>
      <c r="Q228" s="1903"/>
      <c r="R228" s="1903"/>
      <c r="S228" s="1903"/>
      <c r="T228" s="1904"/>
      <c r="U228" s="1905"/>
      <c r="V228" s="1903"/>
      <c r="W228" s="1903"/>
      <c r="X228" s="1903"/>
      <c r="Y228" s="1906"/>
    </row>
    <row r="229" spans="2:26" outlineLevel="1">
      <c r="B229" s="1958" t="s">
        <v>1119</v>
      </c>
      <c r="C229" s="2994" t="s">
        <v>943</v>
      </c>
      <c r="D229" s="2995"/>
      <c r="E229" s="2995"/>
      <c r="F229" s="2995"/>
      <c r="G229" s="2995"/>
      <c r="H229" s="2995"/>
      <c r="I229" s="2996"/>
      <c r="J229" s="1889"/>
      <c r="K229" s="1889"/>
      <c r="L229" s="1889"/>
      <c r="M229" s="1902"/>
      <c r="N229" s="1903"/>
      <c r="O229" s="1903"/>
      <c r="P229" s="1903"/>
      <c r="Q229" s="1903"/>
      <c r="R229" s="1903"/>
      <c r="S229" s="1903"/>
      <c r="T229" s="1904"/>
      <c r="U229" s="1905"/>
      <c r="V229" s="1903"/>
      <c r="W229" s="1903"/>
      <c r="X229" s="1903"/>
      <c r="Y229" s="1906"/>
    </row>
    <row r="230" spans="2:26" s="1877" customFormat="1">
      <c r="B230" s="1878"/>
      <c r="C230" s="1895"/>
      <c r="D230" s="1895"/>
      <c r="E230" s="1950"/>
      <c r="F230" s="1950"/>
      <c r="G230" s="1950"/>
      <c r="H230" s="1950"/>
      <c r="I230" s="1895"/>
      <c r="J230" s="1895"/>
      <c r="K230" s="1895"/>
      <c r="L230" s="1910" t="s">
        <v>1120</v>
      </c>
      <c r="M230" s="1911">
        <f t="shared" ref="M230:Y230" si="21">SUM(M220:M229)</f>
        <v>0</v>
      </c>
      <c r="N230" s="1912">
        <f t="shared" si="21"/>
        <v>0</v>
      </c>
      <c r="O230" s="1912">
        <f t="shared" si="21"/>
        <v>0</v>
      </c>
      <c r="P230" s="1912">
        <f t="shared" si="21"/>
        <v>0</v>
      </c>
      <c r="Q230" s="1912">
        <f t="shared" si="21"/>
        <v>0</v>
      </c>
      <c r="R230" s="1912">
        <f t="shared" si="21"/>
        <v>0</v>
      </c>
      <c r="S230" s="1912">
        <f t="shared" si="21"/>
        <v>0</v>
      </c>
      <c r="T230" s="1913">
        <f t="shared" si="21"/>
        <v>0</v>
      </c>
      <c r="U230" s="1914">
        <f t="shared" si="21"/>
        <v>0</v>
      </c>
      <c r="V230" s="1912">
        <f t="shared" si="21"/>
        <v>0</v>
      </c>
      <c r="W230" s="1912">
        <f t="shared" si="21"/>
        <v>0</v>
      </c>
      <c r="X230" s="1912">
        <f t="shared" si="21"/>
        <v>0</v>
      </c>
      <c r="Y230" s="1915">
        <f t="shared" si="21"/>
        <v>0</v>
      </c>
    </row>
    <row r="231" spans="2:26" s="1877" customFormat="1">
      <c r="B231" s="1878"/>
      <c r="C231" s="1895"/>
      <c r="D231" s="1895"/>
      <c r="E231" s="1895"/>
      <c r="F231" s="1895"/>
      <c r="G231" s="1895"/>
      <c r="H231" s="1895"/>
      <c r="I231" s="1895"/>
      <c r="J231" s="1895"/>
      <c r="K231" s="1895"/>
      <c r="L231" s="1895"/>
      <c r="M231" s="1895"/>
      <c r="N231" s="1895"/>
      <c r="O231" s="1895"/>
      <c r="P231" s="1895"/>
      <c r="Q231" s="1895"/>
      <c r="R231" s="1895"/>
      <c r="S231" s="1895"/>
      <c r="T231" s="1895"/>
      <c r="U231" s="1895"/>
      <c r="V231" s="1895"/>
      <c r="W231" s="1895"/>
      <c r="X231" s="1895"/>
      <c r="Y231" s="1895"/>
      <c r="Z231" s="1895"/>
    </row>
    <row r="232" spans="2:26" ht="18" outlineLevel="1">
      <c r="C232" s="1952"/>
      <c r="D232" s="2167" t="s">
        <v>1431</v>
      </c>
      <c r="E232" s="2168"/>
      <c r="F232" s="2168"/>
      <c r="G232" s="2168"/>
      <c r="H232" s="2168"/>
      <c r="I232" s="2168"/>
      <c r="J232" s="2168"/>
      <c r="K232" s="2168"/>
      <c r="L232" s="2229"/>
      <c r="M232" s="2168"/>
      <c r="N232" s="2168"/>
      <c r="O232" s="2168"/>
      <c r="P232" s="2168"/>
      <c r="Q232" s="2168"/>
      <c r="R232" s="2168"/>
      <c r="S232" s="2168"/>
      <c r="T232" s="2168"/>
      <c r="U232" s="2230"/>
      <c r="V232" s="2168"/>
      <c r="W232" s="2168"/>
      <c r="X232" s="2168"/>
      <c r="Y232" s="2168"/>
    </row>
    <row r="233" spans="2:26" s="1877" customFormat="1">
      <c r="B233" s="1878"/>
      <c r="C233" s="1895"/>
      <c r="D233" s="1895"/>
      <c r="E233" s="1950"/>
      <c r="F233" s="1950"/>
      <c r="G233" s="1950"/>
      <c r="H233" s="1950"/>
      <c r="I233" s="1895"/>
      <c r="J233" s="1895"/>
      <c r="K233" s="1895"/>
      <c r="L233" s="1895"/>
      <c r="M233" s="1895"/>
      <c r="N233" s="1895"/>
      <c r="O233" s="1895"/>
      <c r="P233" s="1895"/>
      <c r="Q233" s="1895"/>
      <c r="R233" s="1895"/>
      <c r="S233" s="1895"/>
      <c r="T233" s="1895"/>
      <c r="U233" s="1895"/>
      <c r="V233" s="1895"/>
      <c r="W233" s="1895"/>
      <c r="X233" s="1895"/>
      <c r="Y233" s="1895"/>
    </row>
    <row r="234" spans="2:26" s="2016" customFormat="1" ht="31.5" customHeight="1" outlineLevel="1">
      <c r="B234" s="2013"/>
      <c r="C234" s="1919" t="s">
        <v>949</v>
      </c>
      <c r="D234" s="1960" t="s">
        <v>950</v>
      </c>
      <c r="E234" s="2989" t="s">
        <v>1098</v>
      </c>
      <c r="F234" s="2990"/>
      <c r="G234" s="2990"/>
      <c r="H234" s="2990"/>
      <c r="I234" s="2991"/>
      <c r="J234" s="1889"/>
      <c r="K234" s="1889"/>
      <c r="L234" s="1889"/>
      <c r="U234" s="2017"/>
    </row>
    <row r="235" spans="2:26" s="2033" customFormat="1" ht="45.75" customHeight="1" outlineLevel="1">
      <c r="B235" s="2018" t="s">
        <v>965</v>
      </c>
      <c r="C235" s="2019" t="s">
        <v>966</v>
      </c>
      <c r="D235" s="2020" t="s">
        <v>966</v>
      </c>
      <c r="E235" s="2992"/>
      <c r="F235" s="2933"/>
      <c r="G235" s="2933"/>
      <c r="H235" s="2933"/>
      <c r="I235" s="2993"/>
      <c r="J235" s="1889"/>
      <c r="K235" s="1889"/>
      <c r="L235" s="1889"/>
      <c r="M235" s="2028" t="s">
        <v>498</v>
      </c>
      <c r="N235" s="2029" t="s">
        <v>498</v>
      </c>
      <c r="O235" s="2029" t="s">
        <v>498</v>
      </c>
      <c r="P235" s="2029" t="s">
        <v>498</v>
      </c>
      <c r="Q235" s="2029" t="s">
        <v>498</v>
      </c>
      <c r="R235" s="2029" t="s">
        <v>498</v>
      </c>
      <c r="S235" s="2029" t="s">
        <v>498</v>
      </c>
      <c r="T235" s="2030" t="s">
        <v>498</v>
      </c>
      <c r="U235" s="2031" t="s">
        <v>498</v>
      </c>
      <c r="V235" s="2029" t="s">
        <v>498</v>
      </c>
      <c r="W235" s="2029" t="s">
        <v>498</v>
      </c>
      <c r="X235" s="2029" t="s">
        <v>498</v>
      </c>
      <c r="Y235" s="2032" t="s">
        <v>498</v>
      </c>
    </row>
    <row r="236" spans="2:26" outlineLevel="1">
      <c r="B236" s="2316" t="s">
        <v>1110</v>
      </c>
      <c r="C236" s="2188" t="str">
        <f>IF('1.02b_Debt'!D119 = "","",'1.02b_Debt'!D119)</f>
        <v/>
      </c>
      <c r="D236" s="2188" t="str">
        <f>IF('1.02b_Debt'!E119 = "","",'1.02b_Debt'!E119)</f>
        <v/>
      </c>
      <c r="E236" s="2984" t="str">
        <f>IF('1.02b_Debt'!F119 = "","",'1.02b_Debt'!F119)</f>
        <v/>
      </c>
      <c r="F236" s="2985"/>
      <c r="G236" s="2985"/>
      <c r="H236" s="2985"/>
      <c r="I236" s="2986"/>
      <c r="J236" s="1889"/>
      <c r="K236" s="1889"/>
      <c r="L236" s="1889"/>
      <c r="M236" s="1902"/>
      <c r="N236" s="1903"/>
      <c r="O236" s="1903"/>
      <c r="P236" s="1903"/>
      <c r="Q236" s="1903"/>
      <c r="R236" s="1903"/>
      <c r="S236" s="1903"/>
      <c r="T236" s="1904"/>
      <c r="U236" s="1905"/>
      <c r="V236" s="1903"/>
      <c r="W236" s="1903"/>
      <c r="X236" s="1903"/>
      <c r="Y236" s="1906"/>
    </row>
    <row r="237" spans="2:26" outlineLevel="1">
      <c r="B237" s="2011" t="s">
        <v>1111</v>
      </c>
      <c r="C237" s="2317" t="str">
        <f>IF('1.02b_Debt'!D120 = "","",'1.02b_Debt'!D120)</f>
        <v/>
      </c>
      <c r="D237" s="2317" t="str">
        <f>IF('1.02b_Debt'!E120 = "","",'1.02b_Debt'!E120)</f>
        <v/>
      </c>
      <c r="E237" s="2981" t="str">
        <f>IF('1.02b_Debt'!F120 = "","",'1.02b_Debt'!F120)</f>
        <v/>
      </c>
      <c r="F237" s="2987"/>
      <c r="G237" s="2987"/>
      <c r="H237" s="2987"/>
      <c r="I237" s="2988"/>
      <c r="J237" s="1889"/>
      <c r="K237" s="1889"/>
      <c r="L237" s="1889"/>
      <c r="M237" s="1902"/>
      <c r="N237" s="1903"/>
      <c r="O237" s="1903"/>
      <c r="P237" s="1903"/>
      <c r="Q237" s="1903"/>
      <c r="R237" s="1903"/>
      <c r="S237" s="1903"/>
      <c r="T237" s="1904"/>
      <c r="U237" s="1905"/>
      <c r="V237" s="1903"/>
      <c r="W237" s="1903"/>
      <c r="X237" s="1903"/>
      <c r="Y237" s="1906"/>
    </row>
    <row r="238" spans="2:26" outlineLevel="1">
      <c r="B238" s="2011" t="s">
        <v>1112</v>
      </c>
      <c r="C238" s="2317" t="str">
        <f>IF('1.02b_Debt'!D121 = "","",'1.02b_Debt'!D121)</f>
        <v/>
      </c>
      <c r="D238" s="2317" t="str">
        <f>IF('1.02b_Debt'!E121 = "","",'1.02b_Debt'!E121)</f>
        <v/>
      </c>
      <c r="E238" s="2981" t="str">
        <f>IF('1.02b_Debt'!F121 = "","",'1.02b_Debt'!F121)</f>
        <v/>
      </c>
      <c r="F238" s="2987"/>
      <c r="G238" s="2987"/>
      <c r="H238" s="2987"/>
      <c r="I238" s="2988"/>
      <c r="J238" s="1889"/>
      <c r="K238" s="1889"/>
      <c r="L238" s="1889"/>
      <c r="M238" s="1902"/>
      <c r="N238" s="1903"/>
      <c r="O238" s="1903"/>
      <c r="P238" s="1903"/>
      <c r="Q238" s="1903"/>
      <c r="R238" s="1903"/>
      <c r="S238" s="1903"/>
      <c r="T238" s="1904"/>
      <c r="U238" s="1905"/>
      <c r="V238" s="1903"/>
      <c r="W238" s="1903"/>
      <c r="X238" s="1903"/>
      <c r="Y238" s="1906"/>
    </row>
    <row r="239" spans="2:26" outlineLevel="1">
      <c r="B239" s="2011" t="s">
        <v>1113</v>
      </c>
      <c r="C239" s="2317" t="str">
        <f>IF('1.02b_Debt'!D122 = "","",'1.02b_Debt'!D122)</f>
        <v/>
      </c>
      <c r="D239" s="2317" t="str">
        <f>IF('1.02b_Debt'!E122 = "","",'1.02b_Debt'!E122)</f>
        <v/>
      </c>
      <c r="E239" s="2981" t="str">
        <f>IF('1.02b_Debt'!F122 = "","",'1.02b_Debt'!F122)</f>
        <v/>
      </c>
      <c r="F239" s="2987"/>
      <c r="G239" s="2987"/>
      <c r="H239" s="2987"/>
      <c r="I239" s="2988"/>
      <c r="J239" s="1889"/>
      <c r="K239" s="1889"/>
      <c r="L239" s="1889"/>
      <c r="M239" s="1902"/>
      <c r="N239" s="1903"/>
      <c r="O239" s="1903"/>
      <c r="P239" s="1903"/>
      <c r="Q239" s="1903"/>
      <c r="R239" s="1903"/>
      <c r="S239" s="1903"/>
      <c r="T239" s="1904"/>
      <c r="U239" s="1905"/>
      <c r="V239" s="1903"/>
      <c r="W239" s="1903"/>
      <c r="X239" s="1903"/>
      <c r="Y239" s="1906"/>
    </row>
    <row r="240" spans="2:26" outlineLevel="1">
      <c r="B240" s="2011" t="s">
        <v>1114</v>
      </c>
      <c r="C240" s="2317" t="str">
        <f>IF('1.02b_Debt'!D123 = "","",'1.02b_Debt'!D123)</f>
        <v/>
      </c>
      <c r="D240" s="2317" t="str">
        <f>IF('1.02b_Debt'!E123 = "","",'1.02b_Debt'!E123)</f>
        <v/>
      </c>
      <c r="E240" s="2981" t="str">
        <f>IF('1.02b_Debt'!F123 = "","",'1.02b_Debt'!F123)</f>
        <v/>
      </c>
      <c r="F240" s="2987"/>
      <c r="G240" s="2987"/>
      <c r="H240" s="2987"/>
      <c r="I240" s="2988"/>
      <c r="J240" s="1889"/>
      <c r="K240" s="1889"/>
      <c r="L240" s="1889"/>
      <c r="M240" s="1902"/>
      <c r="N240" s="1903"/>
      <c r="O240" s="1903"/>
      <c r="P240" s="1903"/>
      <c r="Q240" s="1903"/>
      <c r="R240" s="1903"/>
      <c r="S240" s="1903"/>
      <c r="T240" s="1904"/>
      <c r="U240" s="1905"/>
      <c r="V240" s="1903"/>
      <c r="W240" s="1903"/>
      <c r="X240" s="1903"/>
      <c r="Y240" s="1906"/>
    </row>
    <row r="241" spans="2:27" outlineLevel="1">
      <c r="B241" s="2011" t="s">
        <v>1115</v>
      </c>
      <c r="C241" s="2317" t="str">
        <f>IF('1.02b_Debt'!D124 = "","",'1.02b_Debt'!D124)</f>
        <v/>
      </c>
      <c r="D241" s="2317" t="str">
        <f>IF('1.02b_Debt'!E124 = "","",'1.02b_Debt'!E124)</f>
        <v/>
      </c>
      <c r="E241" s="2981" t="str">
        <f>IF('1.02b_Debt'!F124 = "","",'1.02b_Debt'!F124)</f>
        <v/>
      </c>
      <c r="F241" s="2987"/>
      <c r="G241" s="2987"/>
      <c r="H241" s="2987"/>
      <c r="I241" s="2988"/>
      <c r="J241" s="1889"/>
      <c r="K241" s="1889"/>
      <c r="L241" s="1889"/>
      <c r="M241" s="1902"/>
      <c r="N241" s="1903"/>
      <c r="O241" s="1903"/>
      <c r="P241" s="1903"/>
      <c r="Q241" s="1903"/>
      <c r="R241" s="1903"/>
      <c r="S241" s="1903"/>
      <c r="T241" s="1904"/>
      <c r="U241" s="1905"/>
      <c r="V241" s="1903"/>
      <c r="W241" s="1903"/>
      <c r="X241" s="1903"/>
      <c r="Y241" s="1906"/>
    </row>
    <row r="242" spans="2:27" outlineLevel="1">
      <c r="B242" s="2011" t="s">
        <v>1116</v>
      </c>
      <c r="C242" s="2317" t="str">
        <f>IF('1.02b_Debt'!D125 = "","",'1.02b_Debt'!D125)</f>
        <v/>
      </c>
      <c r="D242" s="2317" t="str">
        <f>IF('1.02b_Debt'!E125 = "","",'1.02b_Debt'!E125)</f>
        <v/>
      </c>
      <c r="E242" s="2981" t="str">
        <f>IF('1.02b_Debt'!F125 = "","",'1.02b_Debt'!F125)</f>
        <v/>
      </c>
      <c r="F242" s="2987"/>
      <c r="G242" s="2987"/>
      <c r="H242" s="2987"/>
      <c r="I242" s="2988"/>
      <c r="J242" s="1889"/>
      <c r="K242" s="1889"/>
      <c r="L242" s="1889"/>
      <c r="M242" s="1902"/>
      <c r="N242" s="1903"/>
      <c r="O242" s="1903"/>
      <c r="P242" s="1903"/>
      <c r="Q242" s="1903"/>
      <c r="R242" s="1903"/>
      <c r="S242" s="1903"/>
      <c r="T242" s="1904"/>
      <c r="U242" s="1905"/>
      <c r="V242" s="1903"/>
      <c r="W242" s="1903"/>
      <c r="X242" s="1903"/>
      <c r="Y242" s="1906"/>
    </row>
    <row r="243" spans="2:27" outlineLevel="1">
      <c r="B243" s="2011" t="s">
        <v>1117</v>
      </c>
      <c r="C243" s="2317" t="str">
        <f>IF('1.02b_Debt'!D126 = "","",'1.02b_Debt'!D126)</f>
        <v/>
      </c>
      <c r="D243" s="2317" t="str">
        <f>IF('1.02b_Debt'!E126 = "","",'1.02b_Debt'!E126)</f>
        <v/>
      </c>
      <c r="E243" s="2981" t="str">
        <f>IF('1.02b_Debt'!F126 = "","",'1.02b_Debt'!F126)</f>
        <v/>
      </c>
      <c r="F243" s="2987"/>
      <c r="G243" s="2987"/>
      <c r="H243" s="2987"/>
      <c r="I243" s="2988"/>
      <c r="J243" s="1889"/>
      <c r="K243" s="1889"/>
      <c r="L243" s="1889"/>
      <c r="M243" s="1902"/>
      <c r="N243" s="1903"/>
      <c r="O243" s="1903"/>
      <c r="P243" s="1903"/>
      <c r="Q243" s="1903"/>
      <c r="R243" s="1903"/>
      <c r="S243" s="1903"/>
      <c r="T243" s="1904"/>
      <c r="U243" s="1905"/>
      <c r="V243" s="1903"/>
      <c r="W243" s="1903"/>
      <c r="X243" s="1903"/>
      <c r="Y243" s="1906"/>
    </row>
    <row r="244" spans="2:27" outlineLevel="1">
      <c r="B244" s="2011" t="s">
        <v>1118</v>
      </c>
      <c r="C244" s="2317" t="str">
        <f>IF('1.02b_Debt'!D127 = "","",'1.02b_Debt'!D127)</f>
        <v/>
      </c>
      <c r="D244" s="2317" t="str">
        <f>IF('1.02b_Debt'!E127 = "","",'1.02b_Debt'!E127)</f>
        <v/>
      </c>
      <c r="E244" s="2981" t="str">
        <f>IF('1.02b_Debt'!F127 = "","",'1.02b_Debt'!F127)</f>
        <v/>
      </c>
      <c r="F244" s="2987"/>
      <c r="G244" s="2987"/>
      <c r="H244" s="2987"/>
      <c r="I244" s="2988"/>
      <c r="J244" s="1889"/>
      <c r="K244" s="1889"/>
      <c r="L244" s="1889"/>
      <c r="M244" s="1902"/>
      <c r="N244" s="1903"/>
      <c r="O244" s="1903"/>
      <c r="P244" s="1903"/>
      <c r="Q244" s="1903"/>
      <c r="R244" s="1903"/>
      <c r="S244" s="1903"/>
      <c r="T244" s="1904"/>
      <c r="U244" s="1905"/>
      <c r="V244" s="1903"/>
      <c r="W244" s="1903"/>
      <c r="X244" s="1903"/>
      <c r="Y244" s="1906"/>
    </row>
    <row r="245" spans="2:27" outlineLevel="1">
      <c r="B245" s="1958" t="s">
        <v>1119</v>
      </c>
      <c r="C245" s="2994" t="s">
        <v>943</v>
      </c>
      <c r="D245" s="2995"/>
      <c r="E245" s="2995"/>
      <c r="F245" s="2995"/>
      <c r="G245" s="2995"/>
      <c r="H245" s="2995"/>
      <c r="I245" s="2996"/>
      <c r="J245" s="1889"/>
      <c r="K245" s="1889"/>
      <c r="L245" s="1889"/>
      <c r="M245" s="1902"/>
      <c r="N245" s="1903"/>
      <c r="O245" s="1903"/>
      <c r="P245" s="1903"/>
      <c r="Q245" s="1903"/>
      <c r="R245" s="1903"/>
      <c r="S245" s="1903"/>
      <c r="T245" s="1904"/>
      <c r="U245" s="1905"/>
      <c r="V245" s="1903"/>
      <c r="W245" s="1903"/>
      <c r="X245" s="1903"/>
      <c r="Y245" s="1906"/>
    </row>
    <row r="246" spans="2:27" s="1877" customFormat="1">
      <c r="B246" s="1878"/>
      <c r="C246" s="1895"/>
      <c r="D246" s="1895"/>
      <c r="E246" s="1950"/>
      <c r="F246" s="1950"/>
      <c r="G246" s="1950"/>
      <c r="H246" s="1950"/>
      <c r="I246" s="1895"/>
      <c r="J246" s="1895"/>
      <c r="K246" s="1895"/>
      <c r="L246" s="1910" t="s">
        <v>1120</v>
      </c>
      <c r="M246" s="1911">
        <f t="shared" ref="M246:Y246" si="22">SUM(M236:M245)</f>
        <v>0</v>
      </c>
      <c r="N246" s="1912">
        <f t="shared" si="22"/>
        <v>0</v>
      </c>
      <c r="O246" s="1912">
        <f t="shared" si="22"/>
        <v>0</v>
      </c>
      <c r="P246" s="1912">
        <f t="shared" si="22"/>
        <v>0</v>
      </c>
      <c r="Q246" s="1912">
        <f t="shared" si="22"/>
        <v>0</v>
      </c>
      <c r="R246" s="1912">
        <f t="shared" si="22"/>
        <v>0</v>
      </c>
      <c r="S246" s="1912">
        <f t="shared" si="22"/>
        <v>0</v>
      </c>
      <c r="T246" s="1913">
        <f t="shared" si="22"/>
        <v>0</v>
      </c>
      <c r="U246" s="1914">
        <f t="shared" si="22"/>
        <v>0</v>
      </c>
      <c r="V246" s="1912">
        <f t="shared" si="22"/>
        <v>0</v>
      </c>
      <c r="W246" s="1912">
        <f t="shared" si="22"/>
        <v>0</v>
      </c>
      <c r="X246" s="1912">
        <f t="shared" si="22"/>
        <v>0</v>
      </c>
      <c r="Y246" s="1915">
        <f t="shared" si="22"/>
        <v>0</v>
      </c>
    </row>
    <row r="247" spans="2:27" s="1877" customFormat="1">
      <c r="B247" s="1878"/>
      <c r="C247" s="1895"/>
      <c r="D247" s="1895"/>
      <c r="E247" s="1950"/>
      <c r="F247" s="1950"/>
      <c r="G247" s="1950"/>
      <c r="H247" s="1950"/>
      <c r="I247" s="1895"/>
      <c r="J247" s="1895"/>
      <c r="K247" s="1895"/>
      <c r="L247" s="1895"/>
      <c r="M247" s="1895"/>
      <c r="N247" s="1895"/>
      <c r="O247" s="1895"/>
      <c r="P247" s="1895"/>
      <c r="Q247" s="1895"/>
      <c r="R247" s="1895"/>
      <c r="AA247" s="1886"/>
    </row>
    <row r="248" spans="2:27" ht="14.25">
      <c r="B248" s="2145" t="s">
        <v>1122</v>
      </c>
      <c r="C248" s="2146" t="s">
        <v>1439</v>
      </c>
      <c r="D248" s="2146"/>
      <c r="E248" s="2146"/>
      <c r="F248" s="2146"/>
      <c r="G248" s="2147"/>
      <c r="H248" s="2147"/>
      <c r="I248" s="2147"/>
      <c r="J248" s="2147"/>
      <c r="K248" s="2147"/>
      <c r="L248" s="2145"/>
      <c r="M248" s="2146"/>
      <c r="N248" s="2146"/>
      <c r="O248" s="2146"/>
      <c r="P248" s="2146"/>
      <c r="Q248" s="2146"/>
      <c r="R248" s="2146"/>
      <c r="S248" s="2146"/>
      <c r="T248" s="2146"/>
      <c r="U248" s="2287"/>
      <c r="V248" s="2146"/>
      <c r="W248" s="2146"/>
      <c r="X248" s="2146"/>
      <c r="Y248" s="2146"/>
    </row>
    <row r="249" spans="2:27" outlineLevel="1">
      <c r="B249" s="2053"/>
      <c r="C249" s="1893"/>
      <c r="D249" s="1893"/>
      <c r="E249" s="1893"/>
      <c r="F249" s="1893"/>
      <c r="G249" s="1893"/>
      <c r="H249" s="1893"/>
      <c r="I249" s="2971"/>
      <c r="J249" s="2971"/>
      <c r="K249" s="2971"/>
      <c r="L249" s="2971"/>
      <c r="M249" s="2971"/>
      <c r="N249" s="2971"/>
      <c r="O249" s="2971"/>
      <c r="P249" s="2971"/>
      <c r="Q249" s="2972"/>
      <c r="R249" s="2838"/>
      <c r="S249" s="1870"/>
      <c r="T249" s="1870"/>
      <c r="U249" s="1870"/>
      <c r="V249" s="1870"/>
      <c r="W249" s="1870"/>
      <c r="X249" s="1870"/>
      <c r="Y249" s="1870"/>
      <c r="AA249" s="1886"/>
    </row>
    <row r="250" spans="2:27" ht="18" outlineLevel="1">
      <c r="B250" s="2159"/>
      <c r="C250" s="1952"/>
      <c r="D250" s="2167" t="s">
        <v>1430</v>
      </c>
      <c r="E250" s="2290"/>
      <c r="F250" s="2290"/>
      <c r="G250" s="2168"/>
      <c r="H250" s="2168"/>
      <c r="I250" s="2168"/>
      <c r="J250" s="2168"/>
      <c r="K250" s="2168"/>
      <c r="L250" s="2229"/>
      <c r="M250" s="2290"/>
      <c r="N250" s="2290"/>
      <c r="O250" s="2290"/>
      <c r="P250" s="2290"/>
      <c r="Q250" s="2290"/>
      <c r="R250" s="2290"/>
      <c r="S250" s="2290"/>
      <c r="T250" s="2290"/>
      <c r="U250" s="2291"/>
      <c r="V250" s="2290"/>
      <c r="W250" s="2290"/>
      <c r="X250" s="2290"/>
      <c r="Y250" s="2290"/>
    </row>
    <row r="251" spans="2:27" outlineLevel="1">
      <c r="B251" s="2053"/>
      <c r="C251" s="1893"/>
      <c r="D251" s="1893"/>
      <c r="E251" s="1893"/>
      <c r="F251" s="1893"/>
      <c r="G251" s="1893"/>
      <c r="H251" s="1893"/>
      <c r="I251" s="2837"/>
      <c r="J251" s="2837"/>
      <c r="K251" s="2837"/>
      <c r="L251" s="2837"/>
      <c r="M251" s="2837"/>
      <c r="N251" s="2837"/>
      <c r="O251" s="2837"/>
      <c r="P251" s="2837"/>
      <c r="Q251" s="2838"/>
      <c r="R251" s="2838"/>
      <c r="S251" s="1870"/>
      <c r="T251" s="1870"/>
      <c r="U251" s="1870"/>
      <c r="V251" s="1870"/>
      <c r="W251" s="1870"/>
      <c r="X251" s="1870"/>
      <c r="Y251" s="1870"/>
      <c r="AA251" s="1877"/>
    </row>
    <row r="252" spans="2:27" s="2016" customFormat="1" ht="32.25" customHeight="1" outlineLevel="1">
      <c r="B252" s="2054"/>
      <c r="C252" s="1919" t="s">
        <v>949</v>
      </c>
      <c r="D252" s="1960" t="s">
        <v>950</v>
      </c>
      <c r="E252" s="2989" t="s">
        <v>1098</v>
      </c>
      <c r="F252" s="2990" t="s">
        <v>1099</v>
      </c>
      <c r="G252" s="2990" t="s">
        <v>1100</v>
      </c>
      <c r="H252" s="2990" t="s">
        <v>1101</v>
      </c>
      <c r="I252" s="2991" t="s">
        <v>1102</v>
      </c>
      <c r="J252" s="2051"/>
      <c r="K252" s="2051"/>
      <c r="L252" s="2838"/>
      <c r="U252" s="2017"/>
    </row>
    <row r="253" spans="2:27" s="2062" customFormat="1" ht="53.25" customHeight="1" outlineLevel="1">
      <c r="B253" s="2055" t="s">
        <v>965</v>
      </c>
      <c r="C253" s="2019" t="s">
        <v>966</v>
      </c>
      <c r="D253" s="2020" t="s">
        <v>966</v>
      </c>
      <c r="E253" s="2997"/>
      <c r="F253" s="2933" t="s">
        <v>1104</v>
      </c>
      <c r="G253" s="2933" t="s">
        <v>1104</v>
      </c>
      <c r="H253" s="2933" t="s">
        <v>498</v>
      </c>
      <c r="I253" s="2993" t="s">
        <v>1105</v>
      </c>
      <c r="J253" s="2051"/>
      <c r="K253" s="2051"/>
      <c r="L253" s="2056"/>
      <c r="M253" s="2057" t="s">
        <v>498</v>
      </c>
      <c r="N253" s="2058" t="s">
        <v>498</v>
      </c>
      <c r="O253" s="2058" t="s">
        <v>498</v>
      </c>
      <c r="P253" s="2058" t="s">
        <v>498</v>
      </c>
      <c r="Q253" s="2058" t="s">
        <v>498</v>
      </c>
      <c r="R253" s="2058" t="s">
        <v>498</v>
      </c>
      <c r="S253" s="2058" t="s">
        <v>498</v>
      </c>
      <c r="T253" s="2059" t="s">
        <v>498</v>
      </c>
      <c r="U253" s="2060" t="s">
        <v>498</v>
      </c>
      <c r="V253" s="2058" t="s">
        <v>498</v>
      </c>
      <c r="W253" s="2058" t="s">
        <v>498</v>
      </c>
      <c r="X253" s="2058" t="s">
        <v>498</v>
      </c>
      <c r="Y253" s="2061" t="s">
        <v>498</v>
      </c>
    </row>
    <row r="254" spans="2:27" outlineLevel="1">
      <c r="B254" s="2011" t="s">
        <v>1124</v>
      </c>
      <c r="C254" s="2318">
        <f>IF('1.02b_Debt'!D147 = "","",'1.02b_Debt'!D147)</f>
        <v>41364</v>
      </c>
      <c r="D254" s="2319">
        <f>IF('1.02b_Debt'!E147 = "","",'1.02b_Debt'!E147)</f>
        <v>46568</v>
      </c>
      <c r="E254" s="2320" t="str">
        <f>IF('1.02b_Debt'!F147 = "","",'1.02b_Debt'!F147)</f>
        <v>Swap 2027 bond (C2) to floating rate for life</v>
      </c>
      <c r="F254" s="2320"/>
      <c r="G254" s="2320"/>
      <c r="H254" s="2320"/>
      <c r="I254" s="2321"/>
      <c r="J254" s="2051"/>
      <c r="K254" s="2051"/>
      <c r="L254" s="2838"/>
      <c r="M254" s="2063">
        <v>-10.144</v>
      </c>
      <c r="N254" s="2064">
        <v>-8.7959999999999994</v>
      </c>
      <c r="O254" s="2064">
        <v>-7.4870000000000001</v>
      </c>
      <c r="P254" s="2064">
        <v>-9.8025895299999988</v>
      </c>
      <c r="Q254" s="2064"/>
      <c r="R254" s="2064"/>
      <c r="S254" s="2064"/>
      <c r="T254" s="2065"/>
      <c r="U254" s="2066"/>
      <c r="V254" s="2064"/>
      <c r="W254" s="2064"/>
      <c r="X254" s="2064"/>
      <c r="Y254" s="2067"/>
    </row>
    <row r="255" spans="2:27" outlineLevel="1">
      <c r="B255" s="2011" t="s">
        <v>1130</v>
      </c>
      <c r="C255" s="2318">
        <f>IF('1.02b_Debt'!D148 = "","",'1.02b_Debt'!D148)</f>
        <v>41364</v>
      </c>
      <c r="D255" s="2319">
        <f>IF('1.02b_Debt'!E148 = "","",'1.02b_Debt'!E148)</f>
        <v>49628</v>
      </c>
      <c r="E255" s="2320" t="str">
        <f>IF('1.02b_Debt'!F148 = "","",'1.02b_Debt'!F148)</f>
        <v>Swap 2035 bond (C3) to floating rate for life</v>
      </c>
      <c r="F255" s="2322"/>
      <c r="G255" s="2322"/>
      <c r="H255" s="2322"/>
      <c r="I255" s="2323"/>
      <c r="J255" s="2051"/>
      <c r="K255" s="2051"/>
      <c r="L255" s="2838"/>
      <c r="M255" s="2063"/>
      <c r="N255" s="2064"/>
      <c r="O255" s="2064"/>
      <c r="P255" s="2064">
        <v>-9.7491659399999975</v>
      </c>
      <c r="Q255" s="2064"/>
      <c r="R255" s="2064"/>
      <c r="S255" s="2064"/>
      <c r="T255" s="2065"/>
      <c r="U255" s="2066"/>
      <c r="V255" s="2064"/>
      <c r="W255" s="2064"/>
      <c r="X255" s="2064"/>
      <c r="Y255" s="2067"/>
    </row>
    <row r="256" spans="2:27" outlineLevel="1">
      <c r="B256" s="2011" t="s">
        <v>1132</v>
      </c>
      <c r="C256" s="2318" t="str">
        <f>IF('1.02b_Debt'!D149 = "","",'1.02b_Debt'!D149)</f>
        <v>Various from</v>
      </c>
      <c r="D256" s="2319" t="str">
        <f>IF('1.02b_Debt'!E149 = "","",'1.02b_Debt'!E149)</f>
        <v>Various to</v>
      </c>
      <c r="E256" s="2320" t="str">
        <f>IF('1.02b_Debt'!F149 = "","",'1.02b_Debt'!F149)</f>
        <v>Re-fix rate on 2027 bond (C2) for periods up to 10 years</v>
      </c>
      <c r="F256" s="2846"/>
      <c r="G256" s="2846"/>
      <c r="H256" s="2846"/>
      <c r="I256" s="2847"/>
      <c r="J256" s="2051"/>
      <c r="K256" s="2051"/>
      <c r="L256" s="2838"/>
      <c r="M256" s="2063"/>
      <c r="N256" s="2064"/>
      <c r="O256" s="2064"/>
      <c r="P256" s="2064">
        <v>1.0442778000000008</v>
      </c>
      <c r="Q256" s="2064"/>
      <c r="R256" s="2064"/>
      <c r="S256" s="2064"/>
      <c r="T256" s="2065"/>
      <c r="U256" s="2066"/>
      <c r="V256" s="2064"/>
      <c r="W256" s="2064"/>
      <c r="X256" s="2064"/>
      <c r="Y256" s="2067"/>
    </row>
    <row r="257" spans="2:25" outlineLevel="1">
      <c r="B257" s="2011" t="s">
        <v>1137</v>
      </c>
      <c r="C257" s="2318" t="str">
        <f>IF('1.02b_Debt'!D150 = "","",'1.02b_Debt'!D150)</f>
        <v>Various from</v>
      </c>
      <c r="D257" s="2319" t="str">
        <f>IF('1.02b_Debt'!E150 = "","",'1.02b_Debt'!E150)</f>
        <v>Various to</v>
      </c>
      <c r="E257" s="2320" t="str">
        <f>IF('1.02b_Debt'!F150 = "","",'1.02b_Debt'!F150)</f>
        <v>Re-fix rate on 2035 bond (C3) for periods up to 10 years</v>
      </c>
      <c r="F257" s="2846"/>
      <c r="G257" s="2846"/>
      <c r="H257" s="2846"/>
      <c r="I257" s="2847"/>
      <c r="J257" s="2051"/>
      <c r="K257" s="2051"/>
      <c r="L257" s="2838"/>
      <c r="M257" s="2063"/>
      <c r="N257" s="2064"/>
      <c r="O257" s="2064"/>
      <c r="P257" s="2064">
        <v>2.6619388799999997</v>
      </c>
      <c r="Q257" s="2064"/>
      <c r="R257" s="2064"/>
      <c r="S257" s="2064"/>
      <c r="T257" s="2065"/>
      <c r="U257" s="2066"/>
      <c r="V257" s="2064"/>
      <c r="W257" s="2064"/>
      <c r="X257" s="2064"/>
      <c r="Y257" s="2067"/>
    </row>
    <row r="258" spans="2:25" outlineLevel="1">
      <c r="B258" s="2011" t="s">
        <v>1139</v>
      </c>
      <c r="C258" s="2318">
        <f>IF('1.02b_Debt'!D151 = "","",'1.02b_Debt'!D151)</f>
        <v>40268</v>
      </c>
      <c r="D258" s="2319">
        <f>IF('1.02b_Debt'!E151 = "","",'1.02b_Debt'!E151)</f>
        <v>43921</v>
      </c>
      <c r="E258" s="2320" t="str">
        <f>IF('1.02b_Debt'!F151 = "","",'1.02b_Debt'!F151)</f>
        <v>Original pre-hedge of 2019 bond (C1)</v>
      </c>
      <c r="F258" s="2846"/>
      <c r="G258" s="2846"/>
      <c r="H258" s="2846"/>
      <c r="I258" s="2847"/>
      <c r="J258" s="2051"/>
      <c r="K258" s="2051"/>
      <c r="L258" s="2838"/>
      <c r="M258" s="2063"/>
      <c r="N258" s="2064"/>
      <c r="O258" s="2064"/>
      <c r="P258" s="2064">
        <v>8.9940451800000005</v>
      </c>
      <c r="Q258" s="2064"/>
      <c r="R258" s="2064"/>
      <c r="S258" s="2064"/>
      <c r="T258" s="2065"/>
      <c r="U258" s="2066"/>
      <c r="V258" s="2064"/>
      <c r="W258" s="2064"/>
      <c r="X258" s="2064"/>
      <c r="Y258" s="2067"/>
    </row>
    <row r="259" spans="2:25" outlineLevel="1">
      <c r="B259" s="2011" t="s">
        <v>1141</v>
      </c>
      <c r="C259" s="2318">
        <f>IF('1.02b_Debt'!D152 = "","",'1.02b_Debt'!D152)</f>
        <v>40268</v>
      </c>
      <c r="D259" s="2319">
        <f>IF('1.02b_Debt'!E152 = "","",'1.02b_Debt'!E152)</f>
        <v>43921</v>
      </c>
      <c r="E259" s="2320" t="str">
        <f>IF('1.02b_Debt'!F152 = "","",'1.02b_Debt'!F152)</f>
        <v>Annuitise negative fair value of above swaps</v>
      </c>
      <c r="F259" s="2846"/>
      <c r="G259" s="2846"/>
      <c r="H259" s="2846"/>
      <c r="I259" s="2847"/>
      <c r="J259" s="2051"/>
      <c r="K259" s="2051"/>
      <c r="L259" s="2838"/>
      <c r="M259" s="2063"/>
      <c r="N259" s="2064"/>
      <c r="O259" s="2064"/>
      <c r="P259" s="2064">
        <v>-7.2834951999999999</v>
      </c>
      <c r="Q259" s="2064"/>
      <c r="R259" s="2064"/>
      <c r="S259" s="2064"/>
      <c r="T259" s="2065"/>
      <c r="U259" s="2066"/>
      <c r="V259" s="2064"/>
      <c r="W259" s="2064"/>
      <c r="X259" s="2064"/>
      <c r="Y259" s="2067"/>
    </row>
    <row r="260" spans="2:25" outlineLevel="1">
      <c r="B260" s="2011" t="s">
        <v>1143</v>
      </c>
      <c r="C260" s="2318">
        <f>IF('1.02b_Debt'!D153 = "","",'1.02b_Debt'!D153)</f>
        <v>40268</v>
      </c>
      <c r="D260" s="2319">
        <f>IF('1.02b_Debt'!E153 = "","",'1.02b_Debt'!E153)</f>
        <v>51226</v>
      </c>
      <c r="E260" s="2320" t="str">
        <f>IF('1.02b_Debt'!F153 = "","",'1.02b_Debt'!F153)</f>
        <v>Original pre-hedge of 2040 bond (C4)</v>
      </c>
      <c r="F260" s="2846"/>
      <c r="G260" s="2846"/>
      <c r="H260" s="2846"/>
      <c r="I260" s="2847"/>
      <c r="J260" s="2051"/>
      <c r="K260" s="2051"/>
      <c r="L260" s="2838"/>
      <c r="M260" s="2063"/>
      <c r="N260" s="2064"/>
      <c r="O260" s="2064"/>
      <c r="P260" s="2064">
        <v>10.009744010000002</v>
      </c>
      <c r="Q260" s="2064"/>
      <c r="R260" s="2064"/>
      <c r="S260" s="2064"/>
      <c r="T260" s="2065"/>
      <c r="U260" s="2066"/>
      <c r="V260" s="2064"/>
      <c r="W260" s="2064"/>
      <c r="X260" s="2064"/>
      <c r="Y260" s="2067"/>
    </row>
    <row r="261" spans="2:25" outlineLevel="1">
      <c r="B261" s="2011" t="s">
        <v>1145</v>
      </c>
      <c r="C261" s="2318">
        <f>IF('1.02b_Debt'!D154 = "","",'1.02b_Debt'!D154)</f>
        <v>40268</v>
      </c>
      <c r="D261" s="2319">
        <f>IF('1.02b_Debt'!E154 = "","",'1.02b_Debt'!E154)</f>
        <v>51226</v>
      </c>
      <c r="E261" s="2320" t="str">
        <f>IF('1.02b_Debt'!F154 = "","",'1.02b_Debt'!F154)</f>
        <v>Annuitise negative fair value of above swaps</v>
      </c>
      <c r="F261" s="2846"/>
      <c r="G261" s="2846"/>
      <c r="H261" s="2846"/>
      <c r="I261" s="2847"/>
      <c r="J261" s="2051"/>
      <c r="K261" s="2051"/>
      <c r="L261" s="2838"/>
      <c r="M261" s="2063"/>
      <c r="N261" s="2064"/>
      <c r="O261" s="2064"/>
      <c r="P261" s="2064">
        <v>-8.5978689900000003</v>
      </c>
      <c r="Q261" s="2064"/>
      <c r="R261" s="2064"/>
      <c r="S261" s="2064"/>
      <c r="T261" s="2065"/>
      <c r="U261" s="2066"/>
      <c r="V261" s="2064"/>
      <c r="W261" s="2064"/>
      <c r="X261" s="2064"/>
      <c r="Y261" s="2067"/>
    </row>
    <row r="262" spans="2:25" outlineLevel="1">
      <c r="B262" s="2011" t="s">
        <v>1146</v>
      </c>
      <c r="C262" s="2318" t="str">
        <f>IF('1.02b_Debt'!D155 = "","",'1.02b_Debt'!D155)</f>
        <v>Various from</v>
      </c>
      <c r="D262" s="2319" t="str">
        <f>IF('1.02b_Debt'!E155 = "","",'1.02b_Debt'!E155)</f>
        <v>Various to</v>
      </c>
      <c r="E262" s="2320" t="str">
        <f>IF('1.02b_Debt'!F155 = "","",'1.02b_Debt'!F155)</f>
        <v>Re-fix rate on floating rate EIB loans (B2.1-2.4 &amp; B2.6-2.10)</v>
      </c>
      <c r="F262" s="2846"/>
      <c r="G262" s="2846"/>
      <c r="H262" s="2846"/>
      <c r="I262" s="2847"/>
      <c r="J262" s="2051"/>
      <c r="K262" s="2051"/>
      <c r="L262" s="2838"/>
      <c r="M262" s="2063"/>
      <c r="N262" s="2064"/>
      <c r="O262" s="2064"/>
      <c r="P262" s="2064">
        <v>6.2115115600000008</v>
      </c>
      <c r="Q262" s="2064"/>
      <c r="R262" s="2064"/>
      <c r="S262" s="2064"/>
      <c r="T262" s="2065"/>
      <c r="U262" s="2066"/>
      <c r="V262" s="2064"/>
      <c r="W262" s="2064"/>
      <c r="X262" s="2064"/>
      <c r="Y262" s="2067"/>
    </row>
    <row r="263" spans="2:25" outlineLevel="1">
      <c r="B263" s="2011" t="s">
        <v>1150</v>
      </c>
      <c r="C263" s="2318">
        <f>IF('1.02b_Debt'!D156 = "","",'1.02b_Debt'!D156)</f>
        <v>41361</v>
      </c>
      <c r="D263" s="2319">
        <f>IF('1.02b_Debt'!E156 = "","",'1.02b_Debt'!E156)</f>
        <v>43007</v>
      </c>
      <c r="E263" s="2320" t="str">
        <f>IF('1.02b_Debt'!F156 = "","",'1.02b_Debt'!F156)</f>
        <v>Swap 2027 bond (C2) to floating rate for life</v>
      </c>
      <c r="F263" s="2594"/>
      <c r="G263" s="2594"/>
      <c r="H263" s="2594"/>
      <c r="I263" s="2595"/>
      <c r="J263" s="2051"/>
      <c r="K263" s="2051"/>
      <c r="L263" s="2838"/>
      <c r="M263" s="2575"/>
      <c r="N263" s="2576"/>
      <c r="O263" s="2576"/>
      <c r="P263" s="2576"/>
      <c r="Q263" s="2576">
        <v>-0.70632993999999993</v>
      </c>
      <c r="R263" s="2576">
        <v>0</v>
      </c>
      <c r="S263" s="2576">
        <v>0</v>
      </c>
      <c r="T263" s="2577">
        <v>0</v>
      </c>
      <c r="U263" s="2578">
        <v>0</v>
      </c>
      <c r="V263" s="2576">
        <v>0</v>
      </c>
      <c r="W263" s="2576">
        <v>0</v>
      </c>
      <c r="X263" s="2576">
        <v>0</v>
      </c>
      <c r="Y263" s="2579">
        <v>0</v>
      </c>
    </row>
    <row r="264" spans="2:25" outlineLevel="1">
      <c r="B264" s="2011" t="s">
        <v>1154</v>
      </c>
      <c r="C264" s="2318">
        <f>IF('1.02b_Debt'!D157 = "","",'1.02b_Debt'!D157)</f>
        <v>41361</v>
      </c>
      <c r="D264" s="2319">
        <f>IF('1.02b_Debt'!E157 = "","",'1.02b_Debt'!E157)</f>
        <v>43188</v>
      </c>
      <c r="E264" s="2320" t="str">
        <f>IF('1.02b_Debt'!F157 = "","",'1.02b_Debt'!F157)</f>
        <v>Swap 2027 bond (C2) to floating rate for life</v>
      </c>
      <c r="F264" s="2594"/>
      <c r="G264" s="2594"/>
      <c r="H264" s="2594"/>
      <c r="I264" s="2595"/>
      <c r="J264" s="2051"/>
      <c r="K264" s="2051"/>
      <c r="L264" s="2838"/>
      <c r="M264" s="2575"/>
      <c r="N264" s="2576"/>
      <c r="O264" s="2576"/>
      <c r="P264" s="2576"/>
      <c r="Q264" s="2576">
        <v>-0.20182095</v>
      </c>
      <c r="R264" s="2576">
        <v>0</v>
      </c>
      <c r="S264" s="2576">
        <v>0</v>
      </c>
      <c r="T264" s="2577">
        <v>0</v>
      </c>
      <c r="U264" s="2578">
        <v>0</v>
      </c>
      <c r="V264" s="2576">
        <v>0</v>
      </c>
      <c r="W264" s="2576">
        <v>0</v>
      </c>
      <c r="X264" s="2576">
        <v>0</v>
      </c>
      <c r="Y264" s="2579">
        <v>0</v>
      </c>
    </row>
    <row r="265" spans="2:25" outlineLevel="1">
      <c r="B265" s="2011" t="s">
        <v>1155</v>
      </c>
      <c r="C265" s="2318">
        <f>IF('1.02b_Debt'!D158 = "","",'1.02b_Debt'!D158)</f>
        <v>41361</v>
      </c>
      <c r="D265" s="2319">
        <f>IF('1.02b_Debt'!E158 = "","",'1.02b_Debt'!E158)</f>
        <v>42825</v>
      </c>
      <c r="E265" s="2320" t="str">
        <f>IF('1.02b_Debt'!F158 = "","",'1.02b_Debt'!F158)</f>
        <v>Swap 2027 bond (C2) to floating rate for life</v>
      </c>
      <c r="F265" s="2594"/>
      <c r="G265" s="2594"/>
      <c r="H265" s="2594"/>
      <c r="I265" s="2595"/>
      <c r="J265" s="2051"/>
      <c r="K265" s="2051"/>
      <c r="L265" s="2838"/>
      <c r="M265" s="2575"/>
      <c r="N265" s="2576"/>
      <c r="O265" s="2576"/>
      <c r="P265" s="2576"/>
      <c r="Q265" s="2576">
        <v>0</v>
      </c>
      <c r="R265" s="2576">
        <v>0</v>
      </c>
      <c r="S265" s="2576">
        <v>0</v>
      </c>
      <c r="T265" s="2577">
        <v>0</v>
      </c>
      <c r="U265" s="2578">
        <v>0</v>
      </c>
      <c r="V265" s="2576">
        <v>0</v>
      </c>
      <c r="W265" s="2576">
        <v>0</v>
      </c>
      <c r="X265" s="2576">
        <v>0</v>
      </c>
      <c r="Y265" s="2579">
        <v>0</v>
      </c>
    </row>
    <row r="266" spans="2:25" outlineLevel="1">
      <c r="B266" s="2011" t="s">
        <v>1156</v>
      </c>
      <c r="C266" s="2318">
        <f>IF('1.02b_Debt'!D159 = "","",'1.02b_Debt'!D159)</f>
        <v>41361</v>
      </c>
      <c r="D266" s="2319">
        <f>IF('1.02b_Debt'!E159 = "","",'1.02b_Debt'!E159)</f>
        <v>43553</v>
      </c>
      <c r="E266" s="2320" t="str">
        <f>IF('1.02b_Debt'!F159 = "","",'1.02b_Debt'!F159)</f>
        <v>Swap 2027 bond (C2) to floating rate for life</v>
      </c>
      <c r="F266" s="2594"/>
      <c r="G266" s="2594"/>
      <c r="H266" s="2594"/>
      <c r="I266" s="2595"/>
      <c r="J266" s="2051"/>
      <c r="K266" s="2051"/>
      <c r="L266" s="2838"/>
      <c r="M266" s="2575"/>
      <c r="N266" s="2576"/>
      <c r="O266" s="2576"/>
      <c r="P266" s="2576"/>
      <c r="Q266" s="2576">
        <v>-1.24818662</v>
      </c>
      <c r="R266" s="2576">
        <v>-0.64567705000000009</v>
      </c>
      <c r="S266" s="2576">
        <v>0</v>
      </c>
      <c r="T266" s="2577">
        <v>0</v>
      </c>
      <c r="U266" s="2578">
        <v>0</v>
      </c>
      <c r="V266" s="2576">
        <v>0</v>
      </c>
      <c r="W266" s="2576">
        <v>0</v>
      </c>
      <c r="X266" s="2576">
        <v>0</v>
      </c>
      <c r="Y266" s="2579">
        <v>0</v>
      </c>
    </row>
    <row r="267" spans="2:25" outlineLevel="1">
      <c r="B267" s="2011" t="s">
        <v>1159</v>
      </c>
      <c r="C267" s="2318">
        <f>IF('1.02b_Debt'!D160 = "","",'1.02b_Debt'!D160)</f>
        <v>41361</v>
      </c>
      <c r="D267" s="2319">
        <f>IF('1.02b_Debt'!E160 = "","",'1.02b_Debt'!E160)</f>
        <v>43371</v>
      </c>
      <c r="E267" s="2320" t="str">
        <f>IF('1.02b_Debt'!F160 = "","",'1.02b_Debt'!F160)</f>
        <v>Swap 2027 bond (C2) to floating rate for life</v>
      </c>
      <c r="F267" s="2594"/>
      <c r="G267" s="2594"/>
      <c r="H267" s="2594"/>
      <c r="I267" s="2595"/>
      <c r="J267" s="2051"/>
      <c r="K267" s="2051"/>
      <c r="L267" s="2838"/>
      <c r="M267" s="2575"/>
      <c r="N267" s="2576"/>
      <c r="O267" s="2576"/>
      <c r="P267" s="2576"/>
      <c r="Q267" s="2576">
        <v>-8.9308080000000012E-2</v>
      </c>
      <c r="R267" s="2576">
        <v>-2.2099029999999995E-2</v>
      </c>
      <c r="S267" s="2576">
        <v>0</v>
      </c>
      <c r="T267" s="2577">
        <v>0</v>
      </c>
      <c r="U267" s="2578">
        <v>0</v>
      </c>
      <c r="V267" s="2576">
        <v>0</v>
      </c>
      <c r="W267" s="2576">
        <v>0</v>
      </c>
      <c r="X267" s="2576">
        <v>0</v>
      </c>
      <c r="Y267" s="2579">
        <v>0</v>
      </c>
    </row>
    <row r="268" spans="2:25" outlineLevel="1">
      <c r="B268" s="2011" t="s">
        <v>1161</v>
      </c>
      <c r="C268" s="2318">
        <f>IF('1.02b_Debt'!D161 = "","",'1.02b_Debt'!D161)</f>
        <v>41361</v>
      </c>
      <c r="D268" s="2319">
        <f>IF('1.02b_Debt'!E161 = "","",'1.02b_Debt'!E161)</f>
        <v>43738</v>
      </c>
      <c r="E268" s="2320" t="str">
        <f>IF('1.02b_Debt'!F161 = "","",'1.02b_Debt'!F161)</f>
        <v>Swap 2027 bond (C2) to floating rate for life</v>
      </c>
      <c r="F268" s="2594"/>
      <c r="G268" s="2594"/>
      <c r="H268" s="2594"/>
      <c r="I268" s="2595"/>
      <c r="J268" s="2051"/>
      <c r="K268" s="2051"/>
      <c r="L268" s="2838"/>
      <c r="M268" s="2575"/>
      <c r="N268" s="2576"/>
      <c r="O268" s="2576"/>
      <c r="P268" s="2576"/>
      <c r="Q268" s="2576">
        <v>-0.89156187999999992</v>
      </c>
      <c r="R268" s="2576">
        <v>-0.46145321000000006</v>
      </c>
      <c r="S268" s="2576">
        <v>-0.22566130136986301</v>
      </c>
      <c r="T268" s="2577">
        <v>0</v>
      </c>
      <c r="U268" s="2578">
        <v>0</v>
      </c>
      <c r="V268" s="2576">
        <v>0</v>
      </c>
      <c r="W268" s="2576">
        <v>0</v>
      </c>
      <c r="X268" s="2576">
        <v>0</v>
      </c>
      <c r="Y268" s="2579">
        <v>0</v>
      </c>
    </row>
    <row r="269" spans="2:25" outlineLevel="1">
      <c r="B269" s="2011" t="s">
        <v>1163</v>
      </c>
      <c r="C269" s="2318">
        <f>IF('1.02b_Debt'!D162 = "","",'1.02b_Debt'!D162)</f>
        <v>41361</v>
      </c>
      <c r="D269" s="2319">
        <f>IF('1.02b_Debt'!E162 = "","",'1.02b_Debt'!E162)</f>
        <v>43371</v>
      </c>
      <c r="E269" s="2320" t="str">
        <f>IF('1.02b_Debt'!F162 = "","",'1.02b_Debt'!F162)</f>
        <v>Swap 2027 bond (C2) to floating rate for life</v>
      </c>
      <c r="F269" s="2594"/>
      <c r="G269" s="2594"/>
      <c r="H269" s="2594"/>
      <c r="I269" s="2595"/>
      <c r="J269" s="2051"/>
      <c r="K269" s="2051"/>
      <c r="L269" s="2838"/>
      <c r="M269" s="2575"/>
      <c r="N269" s="2576"/>
      <c r="O269" s="2576"/>
      <c r="P269" s="2576"/>
      <c r="Q269" s="2576">
        <v>-1.3211789100000002</v>
      </c>
      <c r="R269" s="2576">
        <v>-0.57023395999999993</v>
      </c>
      <c r="S269" s="2576">
        <v>0</v>
      </c>
      <c r="T269" s="2577">
        <v>0</v>
      </c>
      <c r="U269" s="2578">
        <v>0</v>
      </c>
      <c r="V269" s="2576">
        <v>0</v>
      </c>
      <c r="W269" s="2576">
        <v>0</v>
      </c>
      <c r="X269" s="2576">
        <v>0</v>
      </c>
      <c r="Y269" s="2579">
        <v>0</v>
      </c>
    </row>
    <row r="270" spans="2:25" outlineLevel="1">
      <c r="B270" s="2011" t="s">
        <v>1165</v>
      </c>
      <c r="C270" s="2318">
        <f>IF('1.02b_Debt'!D163 = "","",'1.02b_Debt'!D163)</f>
        <v>41361</v>
      </c>
      <c r="D270" s="2319">
        <f>IF('1.02b_Debt'!E163 = "","",'1.02b_Debt'!E163)</f>
        <v>43188</v>
      </c>
      <c r="E270" s="2320" t="str">
        <f>IF('1.02b_Debt'!F163 = "","",'1.02b_Debt'!F163)</f>
        <v>Swap 2027 bond (C2) to floating rate for life</v>
      </c>
      <c r="F270" s="2594"/>
      <c r="G270" s="2594"/>
      <c r="H270" s="2594"/>
      <c r="I270" s="2595"/>
      <c r="J270" s="2051"/>
      <c r="K270" s="2051"/>
      <c r="L270" s="2838"/>
      <c r="M270" s="2575"/>
      <c r="N270" s="2576"/>
      <c r="O270" s="2576"/>
      <c r="P270" s="2576"/>
      <c r="Q270" s="2576">
        <v>-1.21077693</v>
      </c>
      <c r="R270" s="2576">
        <v>-8.0137000000000125E-3</v>
      </c>
      <c r="S270" s="2576">
        <v>0</v>
      </c>
      <c r="T270" s="2577">
        <v>0</v>
      </c>
      <c r="U270" s="2578">
        <v>0</v>
      </c>
      <c r="V270" s="2576">
        <v>0</v>
      </c>
      <c r="W270" s="2576">
        <v>0</v>
      </c>
      <c r="X270" s="2576">
        <v>0</v>
      </c>
      <c r="Y270" s="2579">
        <v>0</v>
      </c>
    </row>
    <row r="271" spans="2:25" outlineLevel="1">
      <c r="B271" s="2011" t="s">
        <v>1166</v>
      </c>
      <c r="C271" s="2318">
        <f>IF('1.02b_Debt'!D164 = "","",'1.02b_Debt'!D164)</f>
        <v>42460</v>
      </c>
      <c r="D271" s="2319">
        <f>IF('1.02b_Debt'!E164 = "","",'1.02b_Debt'!E164)</f>
        <v>46568</v>
      </c>
      <c r="E271" s="2320" t="str">
        <f>IF('1.02b_Debt'!F164 = "","",'1.02b_Debt'!F164)</f>
        <v>Swap 2027 bond (C2) to floating rate for life</v>
      </c>
      <c r="F271" s="2594"/>
      <c r="G271" s="2594"/>
      <c r="H271" s="2594"/>
      <c r="I271" s="2595"/>
      <c r="J271" s="2051"/>
      <c r="K271" s="2051"/>
      <c r="L271" s="2838"/>
      <c r="M271" s="2575"/>
      <c r="N271" s="2576"/>
      <c r="O271" s="2576"/>
      <c r="P271" s="2576"/>
      <c r="Q271" s="2576">
        <v>-0.6100936400000001</v>
      </c>
      <c r="R271" s="2576">
        <v>-0.55398106999999996</v>
      </c>
      <c r="S271" s="2576">
        <v>-0.54466816438356169</v>
      </c>
      <c r="T271" s="2577">
        <v>-0.54318</v>
      </c>
      <c r="U271" s="2578">
        <v>-0.5401800000000001</v>
      </c>
      <c r="V271" s="2576">
        <v>-0.5341800000000001</v>
      </c>
      <c r="W271" s="2576">
        <v>-0.53113117808219179</v>
      </c>
      <c r="X271" s="2576">
        <v>-0.52368000000000003</v>
      </c>
      <c r="Y271" s="2579">
        <v>-0.51918000000000009</v>
      </c>
    </row>
    <row r="272" spans="2:25" outlineLevel="1">
      <c r="B272" s="2011" t="s">
        <v>1168</v>
      </c>
      <c r="C272" s="2318">
        <f>IF('1.02b_Debt'!D165 = "","",'1.02b_Debt'!D165)</f>
        <v>42643</v>
      </c>
      <c r="D272" s="2319">
        <f>IF('1.02b_Debt'!E165 = "","",'1.02b_Debt'!E165)</f>
        <v>46568</v>
      </c>
      <c r="E272" s="2320" t="str">
        <f>IF('1.02b_Debt'!F165 = "","",'1.02b_Debt'!F165)</f>
        <v>Swap 2027 bond (C2) to floating rate for life</v>
      </c>
      <c r="F272" s="2594"/>
      <c r="G272" s="2594"/>
      <c r="H272" s="2594"/>
      <c r="I272" s="2595"/>
      <c r="J272" s="2051"/>
      <c r="K272" s="2051"/>
      <c r="L272" s="2838"/>
      <c r="M272" s="2575"/>
      <c r="N272" s="2576"/>
      <c r="O272" s="2576"/>
      <c r="P272" s="2576"/>
      <c r="Q272" s="2576">
        <v>-1.4235518300000001</v>
      </c>
      <c r="R272" s="2576">
        <v>-1.2926224900000001</v>
      </c>
      <c r="S272" s="2576">
        <v>-1.2708923835616437</v>
      </c>
      <c r="T272" s="2577">
        <v>-1.26742</v>
      </c>
      <c r="U272" s="2578">
        <v>-1.2604200000000001</v>
      </c>
      <c r="V272" s="2576">
        <v>-1.2464200000000001</v>
      </c>
      <c r="W272" s="2576">
        <v>-1.2393060821917807</v>
      </c>
      <c r="X272" s="2576">
        <v>-1.2219200000000001</v>
      </c>
      <c r="Y272" s="2579">
        <v>-1.2114199999999999</v>
      </c>
    </row>
    <row r="273" spans="2:25" outlineLevel="1">
      <c r="B273" s="2011" t="s">
        <v>1169</v>
      </c>
      <c r="C273" s="2318">
        <f>IF('1.02b_Debt'!D166 = "","",'1.02b_Debt'!D166)</f>
        <v>42825</v>
      </c>
      <c r="D273" s="2319">
        <f>IF('1.02b_Debt'!E166 = "","",'1.02b_Debt'!E166)</f>
        <v>46568</v>
      </c>
      <c r="E273" s="2320" t="str">
        <f>IF('1.02b_Debt'!F166 = "","",'1.02b_Debt'!F166)</f>
        <v>Swap 2027 bond (C2) to floating rate for life</v>
      </c>
      <c r="F273" s="2594"/>
      <c r="G273" s="2594"/>
      <c r="H273" s="2594"/>
      <c r="I273" s="2595"/>
      <c r="J273" s="2051"/>
      <c r="K273" s="2051"/>
      <c r="L273" s="2838"/>
      <c r="M273" s="2575"/>
      <c r="N273" s="2576"/>
      <c r="O273" s="2576"/>
      <c r="P273" s="2576"/>
      <c r="Q273" s="2576">
        <v>-0.50841136999999992</v>
      </c>
      <c r="R273" s="2576">
        <v>-0.46165089000000009</v>
      </c>
      <c r="S273" s="2576">
        <v>-0.45389013698630137</v>
      </c>
      <c r="T273" s="2577">
        <v>-0.45265</v>
      </c>
      <c r="U273" s="2578">
        <v>-0.45014999999999999</v>
      </c>
      <c r="V273" s="2576">
        <v>-0.44514999999999999</v>
      </c>
      <c r="W273" s="2576">
        <v>-0.44260931506849316</v>
      </c>
      <c r="X273" s="2576">
        <v>-0.43640000000000001</v>
      </c>
      <c r="Y273" s="2579">
        <v>-0.43264999999999998</v>
      </c>
    </row>
    <row r="274" spans="2:25" outlineLevel="1">
      <c r="B274" s="2011" t="s">
        <v>1170</v>
      </c>
      <c r="C274" s="2318">
        <f>IF('1.02b_Debt'!D167 = "","",'1.02b_Debt'!D167)</f>
        <v>42825</v>
      </c>
      <c r="D274" s="2319">
        <f>IF('1.02b_Debt'!E167 = "","",'1.02b_Debt'!E167)</f>
        <v>46568</v>
      </c>
      <c r="E274" s="2320" t="str">
        <f>IF('1.02b_Debt'!F167 = "","",'1.02b_Debt'!F167)</f>
        <v>Swap 2027 bond (C2) to floating rate for life</v>
      </c>
      <c r="F274" s="2594"/>
      <c r="G274" s="2594"/>
      <c r="H274" s="2594"/>
      <c r="I274" s="2595"/>
      <c r="J274" s="2051"/>
      <c r="K274" s="2051"/>
      <c r="L274" s="2838"/>
      <c r="M274" s="2575"/>
      <c r="N274" s="2576"/>
      <c r="O274" s="2576"/>
      <c r="P274" s="2576"/>
      <c r="Q274" s="2576">
        <v>-0.91736582999999994</v>
      </c>
      <c r="R274" s="2576">
        <v>-0.83393998000000003</v>
      </c>
      <c r="S274" s="2576">
        <v>-0.81695712328767123</v>
      </c>
      <c r="T274" s="2577">
        <v>-0.81472500000000003</v>
      </c>
      <c r="U274" s="2578">
        <v>-0.81022499999999997</v>
      </c>
      <c r="V274" s="2576">
        <v>-0.80122500000000008</v>
      </c>
      <c r="W274" s="2576">
        <v>-0.79665164383561649</v>
      </c>
      <c r="X274" s="2576">
        <v>-0.78547500000000003</v>
      </c>
      <c r="Y274" s="2579">
        <v>-0.77872500000000011</v>
      </c>
    </row>
    <row r="275" spans="2:25" outlineLevel="1">
      <c r="B275" s="2011" t="s">
        <v>1171</v>
      </c>
      <c r="C275" s="2318">
        <f>IF('1.02b_Debt'!D168 = "","",'1.02b_Debt'!D168)</f>
        <v>43007</v>
      </c>
      <c r="D275" s="2319">
        <f>IF('1.02b_Debt'!E168 = "","",'1.02b_Debt'!E168)</f>
        <v>43553</v>
      </c>
      <c r="E275" s="2320" t="str">
        <f>IF('1.02b_Debt'!F168 = "","",'1.02b_Debt'!F168)</f>
        <v>Swap 2027 bond (C2) to floating rate for life</v>
      </c>
      <c r="F275" s="2594"/>
      <c r="G275" s="2594"/>
      <c r="H275" s="2594"/>
      <c r="I275" s="2595"/>
      <c r="J275" s="2051"/>
      <c r="K275" s="2051"/>
      <c r="L275" s="2838"/>
      <c r="M275" s="2575"/>
      <c r="N275" s="2576"/>
      <c r="O275" s="2576"/>
      <c r="P275" s="2576"/>
      <c r="Q275" s="2576">
        <v>-0.17454544</v>
      </c>
      <c r="R275" s="2576">
        <v>-0.64510229000000008</v>
      </c>
      <c r="S275" s="2576">
        <v>0</v>
      </c>
      <c r="T275" s="2577">
        <v>0</v>
      </c>
      <c r="U275" s="2578">
        <v>0</v>
      </c>
      <c r="V275" s="2576">
        <v>0</v>
      </c>
      <c r="W275" s="2576">
        <v>0</v>
      </c>
      <c r="X275" s="2576">
        <v>0</v>
      </c>
      <c r="Y275" s="2579">
        <v>0</v>
      </c>
    </row>
    <row r="276" spans="2:25" outlineLevel="1">
      <c r="B276" s="2011" t="s">
        <v>1173</v>
      </c>
      <c r="C276" s="2318">
        <f>IF('1.02b_Debt'!D169 = "","",'1.02b_Debt'!D169)</f>
        <v>43007</v>
      </c>
      <c r="D276" s="2319">
        <f>IF('1.02b_Debt'!E169 = "","",'1.02b_Debt'!E169)</f>
        <v>43371</v>
      </c>
      <c r="E276" s="2320" t="str">
        <f>IF('1.02b_Debt'!F169 = "","",'1.02b_Debt'!F169)</f>
        <v>Swap 2027 bond (C2) to floating rate for life</v>
      </c>
      <c r="F276" s="2594"/>
      <c r="G276" s="2594"/>
      <c r="H276" s="2594"/>
      <c r="I276" s="2595"/>
      <c r="J276" s="2051"/>
      <c r="K276" s="2051"/>
      <c r="L276" s="2838"/>
      <c r="M276" s="2575"/>
      <c r="N276" s="2576"/>
      <c r="O276" s="2576"/>
      <c r="P276" s="2576"/>
      <c r="Q276" s="2576">
        <v>-1.249077E-2</v>
      </c>
      <c r="R276" s="2576">
        <v>-2.2099029999999995E-2</v>
      </c>
      <c r="S276" s="2576">
        <v>0</v>
      </c>
      <c r="T276" s="2577">
        <v>0</v>
      </c>
      <c r="U276" s="2578">
        <v>0</v>
      </c>
      <c r="V276" s="2576">
        <v>0</v>
      </c>
      <c r="W276" s="2576">
        <v>0</v>
      </c>
      <c r="X276" s="2576">
        <v>0</v>
      </c>
      <c r="Y276" s="2579">
        <v>0</v>
      </c>
    </row>
    <row r="277" spans="2:25" outlineLevel="1">
      <c r="B277" s="2011" t="s">
        <v>1174</v>
      </c>
      <c r="C277" s="2318">
        <f>IF('1.02b_Debt'!D170 = "","",'1.02b_Debt'!D170)</f>
        <v>43007</v>
      </c>
      <c r="D277" s="2319">
        <f>IF('1.02b_Debt'!E170 = "","",'1.02b_Debt'!E170)</f>
        <v>43738</v>
      </c>
      <c r="E277" s="2320" t="str">
        <f>IF('1.02b_Debt'!F170 = "","",'1.02b_Debt'!F170)</f>
        <v>Swap 2027 bond (C2) to floating rate for life</v>
      </c>
      <c r="F277" s="2594"/>
      <c r="G277" s="2594"/>
      <c r="H277" s="2594"/>
      <c r="I277" s="2595"/>
      <c r="J277" s="2051"/>
      <c r="K277" s="2051"/>
      <c r="L277" s="2838"/>
      <c r="M277" s="2575"/>
      <c r="N277" s="2576"/>
      <c r="O277" s="2576"/>
      <c r="P277" s="2576"/>
      <c r="Q277" s="2576">
        <v>-0.12508585</v>
      </c>
      <c r="R277" s="2576">
        <v>-0.46145321000000006</v>
      </c>
      <c r="S277" s="2576">
        <v>-0.22566130136986301</v>
      </c>
      <c r="T277" s="2577">
        <v>0</v>
      </c>
      <c r="U277" s="2578">
        <v>0</v>
      </c>
      <c r="V277" s="2576">
        <v>0</v>
      </c>
      <c r="W277" s="2576">
        <v>0</v>
      </c>
      <c r="X277" s="2576">
        <v>0</v>
      </c>
      <c r="Y277" s="2579">
        <v>0</v>
      </c>
    </row>
    <row r="278" spans="2:25" outlineLevel="1">
      <c r="B278" s="2011" t="s">
        <v>1175</v>
      </c>
      <c r="C278" s="2318">
        <f>IF('1.02b_Debt'!D171 = "","",'1.02b_Debt'!D171)</f>
        <v>43007</v>
      </c>
      <c r="D278" s="2319">
        <f>IF('1.02b_Debt'!E171 = "","",'1.02b_Debt'!E171)</f>
        <v>46568</v>
      </c>
      <c r="E278" s="2320" t="str">
        <f>IF('1.02b_Debt'!F171 = "","",'1.02b_Debt'!F171)</f>
        <v>Swap 2027 bond (C2) to floating rate for life</v>
      </c>
      <c r="F278" s="2594"/>
      <c r="G278" s="2594"/>
      <c r="H278" s="2594"/>
      <c r="I278" s="2595"/>
      <c r="J278" s="2051"/>
      <c r="K278" s="2051"/>
      <c r="L278" s="2838"/>
      <c r="M278" s="2575"/>
      <c r="N278" s="2576"/>
      <c r="O278" s="2576"/>
      <c r="P278" s="2576"/>
      <c r="Q278" s="2576">
        <v>-0.7171518899999999</v>
      </c>
      <c r="R278" s="2576">
        <v>-1.2925524799999999</v>
      </c>
      <c r="S278" s="2576">
        <v>-1.2708221917808218</v>
      </c>
      <c r="T278" s="2577">
        <v>-1.26735</v>
      </c>
      <c r="U278" s="2578">
        <v>-1.2603500000000001</v>
      </c>
      <c r="V278" s="2576">
        <v>-1.2463500000000001</v>
      </c>
      <c r="W278" s="2576">
        <v>-1.2392358904109588</v>
      </c>
      <c r="X278" s="2576">
        <v>-1.2218500000000001</v>
      </c>
      <c r="Y278" s="2579">
        <v>-1.2113499999999999</v>
      </c>
    </row>
    <row r="279" spans="2:25" outlineLevel="1">
      <c r="B279" s="2011" t="s">
        <v>1176</v>
      </c>
      <c r="C279" s="2318">
        <f>IF('1.02b_Debt'!D172 = "","",'1.02b_Debt'!D172)</f>
        <v>43188</v>
      </c>
      <c r="D279" s="2319">
        <f>IF('1.02b_Debt'!E172 = "","",'1.02b_Debt'!E172)</f>
        <v>46568</v>
      </c>
      <c r="E279" s="2320" t="str">
        <f>IF('1.02b_Debt'!F172 = "","",'1.02b_Debt'!F172)</f>
        <v>Swap 2027 bond (C2) to floating rate for life</v>
      </c>
      <c r="F279" s="2594"/>
      <c r="G279" s="2594"/>
      <c r="H279" s="2594"/>
      <c r="I279" s="2595"/>
      <c r="J279" s="2051"/>
      <c r="K279" s="2051"/>
      <c r="L279" s="2838"/>
      <c r="M279" s="2575"/>
      <c r="N279" s="2576"/>
      <c r="O279" s="2576"/>
      <c r="P279" s="2576"/>
      <c r="Q279" s="2576">
        <v>-2.2014000000000001E-3</v>
      </c>
      <c r="R279" s="2576">
        <v>-0.18515672</v>
      </c>
      <c r="S279" s="2576">
        <v>-0.18154602739726028</v>
      </c>
      <c r="T279" s="2577">
        <v>-0.18105000000000002</v>
      </c>
      <c r="U279" s="2578">
        <v>-0.18005000000000004</v>
      </c>
      <c r="V279" s="2576">
        <v>-0.17805000000000001</v>
      </c>
      <c r="W279" s="2576">
        <v>-0.17703369863013702</v>
      </c>
      <c r="X279" s="2576">
        <v>-0.17455000000000004</v>
      </c>
      <c r="Y279" s="2579">
        <v>-0.17305000000000004</v>
      </c>
    </row>
    <row r="280" spans="2:25" outlineLevel="1">
      <c r="B280" s="2011" t="s">
        <v>1177</v>
      </c>
      <c r="C280" s="2318">
        <f>IF('1.02b_Debt'!D173 = "","",'1.02b_Debt'!D173)</f>
        <v>43188</v>
      </c>
      <c r="D280" s="2319">
        <f>IF('1.02b_Debt'!E173 = "","",'1.02b_Debt'!E173)</f>
        <v>46568</v>
      </c>
      <c r="E280" s="2320" t="str">
        <f>IF('1.02b_Debt'!F173 = "","",'1.02b_Debt'!F173)</f>
        <v>Swap 2027 bond (C2) to floating rate for life</v>
      </c>
      <c r="F280" s="2594"/>
      <c r="G280" s="2594"/>
      <c r="H280" s="2594"/>
      <c r="I280" s="2595"/>
      <c r="J280" s="2051"/>
      <c r="K280" s="2051"/>
      <c r="L280" s="2838"/>
      <c r="M280" s="2575"/>
      <c r="N280" s="2576"/>
      <c r="O280" s="2576"/>
      <c r="P280" s="2576"/>
      <c r="Q280" s="2576">
        <v>-9.2003399999999996E-3</v>
      </c>
      <c r="R280" s="2576">
        <v>-1.0997384399999999</v>
      </c>
      <c r="S280" s="2576">
        <v>-1.0891257534246575</v>
      </c>
      <c r="T280" s="2577">
        <v>-1.0861499999999999</v>
      </c>
      <c r="U280" s="2578">
        <v>-1.0801500000000002</v>
      </c>
      <c r="V280" s="2576">
        <v>-1.0681500000000002</v>
      </c>
      <c r="W280" s="2576">
        <v>-1.0620517808219179</v>
      </c>
      <c r="X280" s="2576">
        <v>-1.0471500000000002</v>
      </c>
      <c r="Y280" s="2579">
        <v>-1.0381500000000001</v>
      </c>
    </row>
    <row r="281" spans="2:25" outlineLevel="1">
      <c r="B281" s="2011" t="s">
        <v>1178</v>
      </c>
      <c r="C281" s="2318">
        <f>IF('1.02b_Debt'!D174 = "","",'1.02b_Debt'!D174)</f>
        <v>41361</v>
      </c>
      <c r="D281" s="2319">
        <f>IF('1.02b_Debt'!E174 = "","",'1.02b_Debt'!E174)</f>
        <v>44286</v>
      </c>
      <c r="E281" s="2320" t="str">
        <f>IF('1.02b_Debt'!F174 = "","",'1.02b_Debt'!F174)</f>
        <v>Swap 2035 bond (C3) to floating rate for life</v>
      </c>
      <c r="F281" s="2594"/>
      <c r="G281" s="2594"/>
      <c r="H281" s="2594"/>
      <c r="I281" s="2595"/>
      <c r="J281" s="2051"/>
      <c r="K281" s="2051"/>
      <c r="L281" s="2838"/>
      <c r="M281" s="2575"/>
      <c r="N281" s="2576"/>
      <c r="O281" s="2576"/>
      <c r="P281" s="2576"/>
      <c r="Q281" s="2576">
        <v>-1.3907568299999999</v>
      </c>
      <c r="R281" s="2576">
        <v>-1.2598274900000002</v>
      </c>
      <c r="S281" s="2576">
        <v>-1.2380075342465753</v>
      </c>
      <c r="T281" s="2577">
        <v>-1.2312424657534247</v>
      </c>
      <c r="U281" s="2578">
        <v>0</v>
      </c>
      <c r="V281" s="2576">
        <v>0</v>
      </c>
      <c r="W281" s="2576">
        <v>0</v>
      </c>
      <c r="X281" s="2576">
        <v>0</v>
      </c>
      <c r="Y281" s="2579">
        <v>0</v>
      </c>
    </row>
    <row r="282" spans="2:25" outlineLevel="1">
      <c r="B282" s="2011" t="s">
        <v>1179</v>
      </c>
      <c r="C282" s="2318">
        <f>IF('1.02b_Debt'!D175 = "","",'1.02b_Debt'!D175)</f>
        <v>41361</v>
      </c>
      <c r="D282" s="2319">
        <f>IF('1.02b_Debt'!E175 = "","",'1.02b_Debt'!E175)</f>
        <v>44104</v>
      </c>
      <c r="E282" s="2320" t="str">
        <f>IF('1.02b_Debt'!F175 = "","",'1.02b_Debt'!F175)</f>
        <v>Swap 2035 bond (C3) to floating rate for life</v>
      </c>
      <c r="F282" s="2594"/>
      <c r="G282" s="2594"/>
      <c r="H282" s="2594"/>
      <c r="I282" s="2595"/>
      <c r="J282" s="2051"/>
      <c r="K282" s="2051"/>
      <c r="L282" s="2838"/>
      <c r="M282" s="2575"/>
      <c r="N282" s="2576"/>
      <c r="O282" s="2576"/>
      <c r="P282" s="2576"/>
      <c r="Q282" s="2576">
        <v>-0.64570853000000006</v>
      </c>
      <c r="R282" s="2576">
        <v>-0.58491990999999988</v>
      </c>
      <c r="S282" s="2576">
        <v>-0.57478921232876701</v>
      </c>
      <c r="T282" s="2577">
        <v>-0.28582414383561638</v>
      </c>
      <c r="U282" s="2578">
        <v>0</v>
      </c>
      <c r="V282" s="2576">
        <v>0</v>
      </c>
      <c r="W282" s="2576">
        <v>0</v>
      </c>
      <c r="X282" s="2576">
        <v>0</v>
      </c>
      <c r="Y282" s="2579">
        <v>0</v>
      </c>
    </row>
    <row r="283" spans="2:25" outlineLevel="1">
      <c r="B283" s="2011" t="s">
        <v>1180</v>
      </c>
      <c r="C283" s="2318">
        <f>IF('1.02b_Debt'!D176 = "","",'1.02b_Debt'!D176)</f>
        <v>41361</v>
      </c>
      <c r="D283" s="2319">
        <f>IF('1.02b_Debt'!E176 = "","",'1.02b_Debt'!E176)</f>
        <v>44469</v>
      </c>
      <c r="E283" s="2320" t="str">
        <f>IF('1.02b_Debt'!F176 = "","",'1.02b_Debt'!F176)</f>
        <v>Swap 2035 bond (C3) to floating rate for life</v>
      </c>
      <c r="F283" s="2594"/>
      <c r="G283" s="2594"/>
      <c r="H283" s="2594"/>
      <c r="I283" s="2595"/>
      <c r="J283" s="2051"/>
      <c r="K283" s="2051"/>
      <c r="L283" s="2838"/>
      <c r="M283" s="2575"/>
      <c r="N283" s="2576"/>
      <c r="O283" s="2576"/>
      <c r="P283" s="2576"/>
      <c r="Q283" s="2576">
        <v>-0.49669888000000012</v>
      </c>
      <c r="R283" s="2576">
        <v>-0.44993839000000002</v>
      </c>
      <c r="S283" s="2576">
        <v>-0.4421455479452055</v>
      </c>
      <c r="T283" s="2577">
        <v>-0.44093749999999998</v>
      </c>
      <c r="U283" s="2578">
        <v>-0.21861815068493151</v>
      </c>
      <c r="V283" s="2576">
        <v>0</v>
      </c>
      <c r="W283" s="2576">
        <v>0</v>
      </c>
      <c r="X283" s="2576">
        <v>0</v>
      </c>
      <c r="Y283" s="2579">
        <v>0</v>
      </c>
    </row>
    <row r="284" spans="2:25" outlineLevel="1">
      <c r="B284" s="2011" t="s">
        <v>1181</v>
      </c>
      <c r="C284" s="2318">
        <f>IF('1.02b_Debt'!D177 = "","",'1.02b_Debt'!D177)</f>
        <v>41361</v>
      </c>
      <c r="D284" s="2319">
        <f>IF('1.02b_Debt'!E177 = "","",'1.02b_Debt'!E177)</f>
        <v>44834</v>
      </c>
      <c r="E284" s="2320" t="str">
        <f>IF('1.02b_Debt'!F177 = "","",'1.02b_Debt'!F177)</f>
        <v>Swap 2035 bond (C3) to floating rate for life</v>
      </c>
      <c r="F284" s="2594"/>
      <c r="G284" s="2594"/>
      <c r="H284" s="2594"/>
      <c r="I284" s="2595"/>
      <c r="J284" s="2051"/>
      <c r="K284" s="2051"/>
      <c r="L284" s="2838"/>
      <c r="M284" s="2575"/>
      <c r="N284" s="2576"/>
      <c r="O284" s="2576"/>
      <c r="P284" s="2576"/>
      <c r="Q284" s="2576">
        <v>-1.0017290500000002</v>
      </c>
      <c r="R284" s="2576">
        <v>-0.51735726999999998</v>
      </c>
      <c r="S284" s="2576">
        <v>-0.50839530821917811</v>
      </c>
      <c r="T284" s="2577">
        <v>-0.5070062500000001</v>
      </c>
      <c r="U284" s="2578">
        <v>-0.50413125000000003</v>
      </c>
      <c r="V284" s="2576">
        <v>-0.24850791095890412</v>
      </c>
      <c r="W284" s="2576">
        <v>0</v>
      </c>
      <c r="X284" s="2576">
        <v>0</v>
      </c>
      <c r="Y284" s="2579">
        <v>0</v>
      </c>
    </row>
    <row r="285" spans="2:25" outlineLevel="1">
      <c r="B285" s="2011" t="s">
        <v>1183</v>
      </c>
      <c r="C285" s="2318">
        <f>IF('1.02b_Debt'!D178 = "","",'1.02b_Debt'!D178)</f>
        <v>41361</v>
      </c>
      <c r="D285" s="2319">
        <f>IF('1.02b_Debt'!E178 = "","",'1.02b_Debt'!E178)</f>
        <v>45016</v>
      </c>
      <c r="E285" s="2320" t="str">
        <f>IF('1.02b_Debt'!F178 = "","",'1.02b_Debt'!F178)</f>
        <v>Swap 2035 bond (C3) to floating rate for life</v>
      </c>
      <c r="F285" s="2594"/>
      <c r="G285" s="2594"/>
      <c r="H285" s="2594"/>
      <c r="I285" s="2595"/>
      <c r="J285" s="2051"/>
      <c r="K285" s="2051"/>
      <c r="L285" s="2838"/>
      <c r="M285" s="2575"/>
      <c r="N285" s="2576"/>
      <c r="O285" s="2576"/>
      <c r="P285" s="2576"/>
      <c r="Q285" s="2576">
        <v>-1.2194962200000001</v>
      </c>
      <c r="R285" s="2576">
        <v>-0.62982624000000009</v>
      </c>
      <c r="S285" s="2576">
        <v>-0.61891602739726026</v>
      </c>
      <c r="T285" s="2577">
        <v>-0.61722500000000002</v>
      </c>
      <c r="U285" s="2578">
        <v>-0.61372500000000008</v>
      </c>
      <c r="V285" s="2576">
        <v>-0.60506273972602731</v>
      </c>
      <c r="W285" s="2576">
        <v>0</v>
      </c>
      <c r="X285" s="2576">
        <v>0</v>
      </c>
      <c r="Y285" s="2579">
        <v>0</v>
      </c>
    </row>
    <row r="286" spans="2:25" outlineLevel="1">
      <c r="B286" s="2011" t="s">
        <v>1185</v>
      </c>
      <c r="C286" s="2318">
        <f>IF('1.02b_Debt'!D179 = "","",'1.02b_Debt'!D179)</f>
        <v>41361</v>
      </c>
      <c r="D286" s="2319">
        <f>IF('1.02b_Debt'!E179 = "","",'1.02b_Debt'!E179)</f>
        <v>43738</v>
      </c>
      <c r="E286" s="2320" t="str">
        <f>IF('1.02b_Debt'!F179 = "","",'1.02b_Debt'!F179)</f>
        <v>Swap 2035 bond (C3) to floating rate for life</v>
      </c>
      <c r="F286" s="2594"/>
      <c r="G286" s="2594"/>
      <c r="H286" s="2594"/>
      <c r="I286" s="2595"/>
      <c r="J286" s="2051"/>
      <c r="K286" s="2051"/>
      <c r="L286" s="2838"/>
      <c r="M286" s="2575"/>
      <c r="N286" s="2576"/>
      <c r="O286" s="2576"/>
      <c r="P286" s="2576"/>
      <c r="Q286" s="2576">
        <v>-0.39740910000000007</v>
      </c>
      <c r="R286" s="2576">
        <v>-0.36000071000000006</v>
      </c>
      <c r="S286" s="2576">
        <v>-0.17591671232876716</v>
      </c>
      <c r="T286" s="2577">
        <v>0</v>
      </c>
      <c r="U286" s="2578">
        <v>0</v>
      </c>
      <c r="V286" s="2576">
        <v>0</v>
      </c>
      <c r="W286" s="2576">
        <v>0</v>
      </c>
      <c r="X286" s="2576">
        <v>0</v>
      </c>
      <c r="Y286" s="2579">
        <v>0</v>
      </c>
    </row>
    <row r="287" spans="2:25" outlineLevel="1">
      <c r="B287" s="2011" t="s">
        <v>1186</v>
      </c>
      <c r="C287" s="2318">
        <f>IF('1.02b_Debt'!D180 = "","",'1.02b_Debt'!D180)</f>
        <v>41361</v>
      </c>
      <c r="D287" s="2319">
        <f>IF('1.02b_Debt'!E180 = "","",'1.02b_Debt'!E180)</f>
        <v>44104</v>
      </c>
      <c r="E287" s="2320" t="str">
        <f>IF('1.02b_Debt'!F180 = "","",'1.02b_Debt'!F180)</f>
        <v>Swap 2035 bond (C3) to floating rate for life</v>
      </c>
      <c r="F287" s="2594"/>
      <c r="G287" s="2594"/>
      <c r="H287" s="2594"/>
      <c r="I287" s="2595"/>
      <c r="J287" s="2051"/>
      <c r="K287" s="2051"/>
      <c r="L287" s="2838"/>
      <c r="M287" s="2575"/>
      <c r="N287" s="2576"/>
      <c r="O287" s="2576"/>
      <c r="P287" s="2576"/>
      <c r="Q287" s="2576">
        <v>-0.74514205</v>
      </c>
      <c r="R287" s="2576">
        <v>-0.67500133000000007</v>
      </c>
      <c r="S287" s="2576">
        <v>-0.66331232876712343</v>
      </c>
      <c r="T287" s="2577">
        <v>-0.32984383561643837</v>
      </c>
      <c r="U287" s="2578">
        <v>0</v>
      </c>
      <c r="V287" s="2576">
        <v>0</v>
      </c>
      <c r="W287" s="2576">
        <v>0</v>
      </c>
      <c r="X287" s="2576">
        <v>0</v>
      </c>
      <c r="Y287" s="2579">
        <v>0</v>
      </c>
    </row>
    <row r="288" spans="2:25" outlineLevel="1">
      <c r="B288" s="2011" t="s">
        <v>1187</v>
      </c>
      <c r="C288" s="2318">
        <f>IF('1.02b_Debt'!D181 = "","",'1.02b_Debt'!D181)</f>
        <v>41361</v>
      </c>
      <c r="D288" s="2319">
        <f>IF('1.02b_Debt'!E181 = "","",'1.02b_Debt'!E181)</f>
        <v>43921</v>
      </c>
      <c r="E288" s="2320" t="str">
        <f>IF('1.02b_Debt'!F181 = "","",'1.02b_Debt'!F181)</f>
        <v>Swap 2035 bond (C3) to floating rate for life</v>
      </c>
      <c r="F288" s="2594"/>
      <c r="G288" s="2594"/>
      <c r="H288" s="2594"/>
      <c r="I288" s="2595"/>
      <c r="J288" s="2051"/>
      <c r="K288" s="2051"/>
      <c r="L288" s="2838"/>
      <c r="M288" s="2575"/>
      <c r="N288" s="2576"/>
      <c r="O288" s="2576"/>
      <c r="P288" s="2576"/>
      <c r="Q288" s="2576">
        <v>-1.39093182</v>
      </c>
      <c r="R288" s="2576">
        <v>-1.26000249</v>
      </c>
      <c r="S288" s="2576">
        <v>-1.2348000000000001</v>
      </c>
      <c r="T288" s="2577">
        <v>0</v>
      </c>
      <c r="U288" s="2578">
        <v>0</v>
      </c>
      <c r="V288" s="2576">
        <v>0</v>
      </c>
      <c r="W288" s="2576">
        <v>0</v>
      </c>
      <c r="X288" s="2576">
        <v>0</v>
      </c>
      <c r="Y288" s="2579">
        <v>0</v>
      </c>
    </row>
    <row r="289" spans="2:25" outlineLevel="1">
      <c r="B289" s="2011" t="s">
        <v>1188</v>
      </c>
      <c r="C289" s="2318">
        <f>IF('1.02b_Debt'!D182 = "","",'1.02b_Debt'!D182)</f>
        <v>41361</v>
      </c>
      <c r="D289" s="2319">
        <f>IF('1.02b_Debt'!E182 = "","",'1.02b_Debt'!E182)</f>
        <v>44469</v>
      </c>
      <c r="E289" s="2320" t="str">
        <f>IF('1.02b_Debt'!F182 = "","",'1.02b_Debt'!F182)</f>
        <v>Swap 2035 bond (C3) to floating rate for life</v>
      </c>
      <c r="F289" s="2594"/>
      <c r="G289" s="2594"/>
      <c r="H289" s="2594"/>
      <c r="I289" s="2595"/>
      <c r="J289" s="2051"/>
      <c r="K289" s="2051"/>
      <c r="L289" s="2838"/>
      <c r="M289" s="2575"/>
      <c r="N289" s="2576"/>
      <c r="O289" s="2576"/>
      <c r="P289" s="2576"/>
      <c r="Q289" s="2576">
        <v>-0.89417046</v>
      </c>
      <c r="R289" s="2576">
        <v>-0.81000161000000004</v>
      </c>
      <c r="S289" s="2576">
        <v>-0.79597479452054798</v>
      </c>
      <c r="T289" s="2577">
        <v>-0.79380000000000006</v>
      </c>
      <c r="U289" s="2578">
        <v>-0.3935687671232877</v>
      </c>
      <c r="V289" s="2576">
        <v>0</v>
      </c>
      <c r="W289" s="2576">
        <v>0</v>
      </c>
      <c r="X289" s="2576">
        <v>0</v>
      </c>
      <c r="Y289" s="2579">
        <v>0</v>
      </c>
    </row>
    <row r="290" spans="2:25" outlineLevel="1">
      <c r="B290" s="2011" t="s">
        <v>1189</v>
      </c>
      <c r="C290" s="2318">
        <f>IF('1.02b_Debt'!D183 = "","",'1.02b_Debt'!D183)</f>
        <v>41361</v>
      </c>
      <c r="D290" s="2319">
        <f>IF('1.02b_Debt'!E183 = "","",'1.02b_Debt'!E183)</f>
        <v>44834</v>
      </c>
      <c r="E290" s="2320" t="str">
        <f>IF('1.02b_Debt'!F183 = "","",'1.02b_Debt'!F183)</f>
        <v>Swap 2035 bond (C3) to floating rate for life</v>
      </c>
      <c r="F290" s="2594"/>
      <c r="G290" s="2594"/>
      <c r="H290" s="2594"/>
      <c r="I290" s="2595"/>
      <c r="J290" s="2051"/>
      <c r="K290" s="2051"/>
      <c r="L290" s="2838"/>
      <c r="M290" s="2575"/>
      <c r="N290" s="2576"/>
      <c r="O290" s="2576"/>
      <c r="P290" s="2576"/>
      <c r="Q290" s="2576">
        <v>-0.24838067999999999</v>
      </c>
      <c r="R290" s="2576">
        <v>-0.22500044000000002</v>
      </c>
      <c r="S290" s="2576">
        <v>-0.22110410958904109</v>
      </c>
      <c r="T290" s="2577">
        <v>-0.2205</v>
      </c>
      <c r="U290" s="2578">
        <v>-0.21925</v>
      </c>
      <c r="V290" s="2576">
        <v>-0.10807808219178081</v>
      </c>
      <c r="W290" s="2576">
        <v>0</v>
      </c>
      <c r="X290" s="2576">
        <v>0</v>
      </c>
      <c r="Y290" s="2579">
        <v>0</v>
      </c>
    </row>
    <row r="291" spans="2:25" outlineLevel="1">
      <c r="B291" s="2011" t="s">
        <v>1190</v>
      </c>
      <c r="C291" s="2318">
        <f>IF('1.02b_Debt'!D184 = "","",'1.02b_Debt'!D184)</f>
        <v>41361</v>
      </c>
      <c r="D291" s="2319">
        <f>IF('1.02b_Debt'!E184 = "","",'1.02b_Debt'!E184)</f>
        <v>44651</v>
      </c>
      <c r="E291" s="2320" t="str">
        <f>IF('1.02b_Debt'!F184 = "","",'1.02b_Debt'!F184)</f>
        <v>Swap 2035 bond (C3) to floating rate for life</v>
      </c>
      <c r="F291" s="2594"/>
      <c r="G291" s="2594"/>
      <c r="H291" s="2594"/>
      <c r="I291" s="2595"/>
      <c r="J291" s="2051"/>
      <c r="K291" s="2051"/>
      <c r="L291" s="2838"/>
      <c r="M291" s="2575"/>
      <c r="N291" s="2576"/>
      <c r="O291" s="2576"/>
      <c r="P291" s="2576"/>
      <c r="Q291" s="2576">
        <v>-1.39093182</v>
      </c>
      <c r="R291" s="2576">
        <v>-1.26000249</v>
      </c>
      <c r="S291" s="2576">
        <v>-1.23818301369863</v>
      </c>
      <c r="T291" s="2577">
        <v>-1.2348000000000001</v>
      </c>
      <c r="U291" s="2578">
        <v>-1.2244361643835617</v>
      </c>
      <c r="V291" s="2576">
        <v>0</v>
      </c>
      <c r="W291" s="2576">
        <v>0</v>
      </c>
      <c r="X291" s="2576">
        <v>0</v>
      </c>
      <c r="Y291" s="2579">
        <v>0</v>
      </c>
    </row>
    <row r="292" spans="2:25" outlineLevel="1">
      <c r="B292" s="2011" t="s">
        <v>1191</v>
      </c>
      <c r="C292" s="2318">
        <f>IF('1.02b_Debt'!D185 = "","",'1.02b_Debt'!D185)</f>
        <v>43007</v>
      </c>
      <c r="D292" s="2319">
        <f>IF('1.02b_Debt'!E185 = "","",'1.02b_Debt'!E185)</f>
        <v>45016</v>
      </c>
      <c r="E292" s="2320" t="str">
        <f>IF('1.02b_Debt'!F185 = "","",'1.02b_Debt'!F185)</f>
        <v>Swap 2035 bond (C3) to floating rate for life</v>
      </c>
      <c r="F292" s="2594"/>
      <c r="G292" s="2594"/>
      <c r="H292" s="2594"/>
      <c r="I292" s="2595"/>
      <c r="J292" s="2051"/>
      <c r="K292" s="2051"/>
      <c r="L292" s="2838"/>
      <c r="M292" s="2575"/>
      <c r="N292" s="2576"/>
      <c r="O292" s="2576"/>
      <c r="P292" s="2576"/>
      <c r="Q292" s="2576">
        <v>-0.1710856</v>
      </c>
      <c r="R292" s="2576">
        <v>-0.62982624000000009</v>
      </c>
      <c r="S292" s="2576">
        <v>-0.61891602739726026</v>
      </c>
      <c r="T292" s="2577">
        <v>-0.61722500000000002</v>
      </c>
      <c r="U292" s="2578">
        <v>-0.61372500000000008</v>
      </c>
      <c r="V292" s="2576">
        <v>-0.60506273972602731</v>
      </c>
      <c r="W292" s="2576">
        <v>0</v>
      </c>
      <c r="X292" s="2576">
        <v>0</v>
      </c>
      <c r="Y292" s="2579">
        <v>0</v>
      </c>
    </row>
    <row r="293" spans="2:25" outlineLevel="1">
      <c r="B293" s="2011" t="s">
        <v>1192</v>
      </c>
      <c r="C293" s="2318">
        <f>IF('1.02b_Debt'!D186 = "","",'1.02b_Debt'!D186)</f>
        <v>43007</v>
      </c>
      <c r="D293" s="2319">
        <f>IF('1.02b_Debt'!E186 = "","",'1.02b_Debt'!E186)</f>
        <v>44834</v>
      </c>
      <c r="E293" s="2320" t="str">
        <f>IF('1.02b_Debt'!F186 = "","",'1.02b_Debt'!F186)</f>
        <v>Swap 2035 bond (C3) to floating rate for life</v>
      </c>
      <c r="F293" s="2594"/>
      <c r="G293" s="2594"/>
      <c r="H293" s="2594"/>
      <c r="I293" s="2595"/>
      <c r="J293" s="2051"/>
      <c r="K293" s="2051"/>
      <c r="L293" s="2838"/>
      <c r="M293" s="2575"/>
      <c r="N293" s="2576"/>
      <c r="O293" s="2576"/>
      <c r="P293" s="2576"/>
      <c r="Q293" s="2576">
        <v>-0.14053461</v>
      </c>
      <c r="R293" s="2576">
        <v>-0.51735726999999998</v>
      </c>
      <c r="S293" s="2576">
        <v>-0.50839530821917811</v>
      </c>
      <c r="T293" s="2577">
        <v>-0.5070062500000001</v>
      </c>
      <c r="U293" s="2578">
        <v>-0.50413125000000003</v>
      </c>
      <c r="V293" s="2576">
        <v>-0.24850791095890412</v>
      </c>
      <c r="W293" s="2576">
        <v>0</v>
      </c>
      <c r="X293" s="2576">
        <v>0</v>
      </c>
      <c r="Y293" s="2579">
        <v>0</v>
      </c>
    </row>
    <row r="294" spans="2:25" outlineLevel="1">
      <c r="B294" s="2011" t="s">
        <v>1193</v>
      </c>
      <c r="C294" s="2318">
        <f>IF('1.02b_Debt'!D187 = "","",'1.02b_Debt'!D187)</f>
        <v>41361</v>
      </c>
      <c r="D294" s="2319">
        <f>IF('1.02b_Debt'!E187 = "","",'1.02b_Debt'!E187)</f>
        <v>43007</v>
      </c>
      <c r="E294" s="2320" t="str">
        <f>IF('1.02b_Debt'!F187 = "","",'1.02b_Debt'!F187)</f>
        <v>Re-fix rate on 2027 bond (C2) for periods up to 10 years</v>
      </c>
      <c r="F294" s="2594"/>
      <c r="G294" s="2594"/>
      <c r="H294" s="2594"/>
      <c r="I294" s="2595"/>
      <c r="J294" s="2051"/>
      <c r="K294" s="2051"/>
      <c r="L294" s="2838"/>
      <c r="M294" s="2575"/>
      <c r="N294" s="2576"/>
      <c r="O294" s="2576"/>
      <c r="P294" s="2576"/>
      <c r="Q294" s="2576">
        <v>2.2937040000000009E-2</v>
      </c>
      <c r="R294" s="2576">
        <v>0</v>
      </c>
      <c r="S294" s="2576">
        <v>0</v>
      </c>
      <c r="T294" s="2577">
        <v>0</v>
      </c>
      <c r="U294" s="2578">
        <v>0</v>
      </c>
      <c r="V294" s="2576">
        <v>0</v>
      </c>
      <c r="W294" s="2576">
        <v>0</v>
      </c>
      <c r="X294" s="2576">
        <v>0</v>
      </c>
      <c r="Y294" s="2579">
        <v>0</v>
      </c>
    </row>
    <row r="295" spans="2:25" outlineLevel="1">
      <c r="B295" s="2011" t="s">
        <v>1194</v>
      </c>
      <c r="C295" s="2318">
        <f>IF('1.02b_Debt'!D188 = "","",'1.02b_Debt'!D188)</f>
        <v>41361</v>
      </c>
      <c r="D295" s="2319">
        <f>IF('1.02b_Debt'!E188 = "","",'1.02b_Debt'!E188)</f>
        <v>43188</v>
      </c>
      <c r="E295" s="2320" t="str">
        <f>IF('1.02b_Debt'!F188 = "","",'1.02b_Debt'!F188)</f>
        <v>Re-fix rate on 2027 bond (C2) for periods up to 10 years</v>
      </c>
      <c r="F295" s="2594"/>
      <c r="G295" s="2594"/>
      <c r="H295" s="2594"/>
      <c r="I295" s="2595"/>
      <c r="J295" s="2051"/>
      <c r="K295" s="2051"/>
      <c r="L295" s="2838"/>
      <c r="M295" s="2575"/>
      <c r="N295" s="2576"/>
      <c r="O295" s="2576"/>
      <c r="P295" s="2576"/>
      <c r="Q295" s="2576">
        <v>4.5895779999999997E-2</v>
      </c>
      <c r="R295" s="2576">
        <v>0</v>
      </c>
      <c r="S295" s="2576">
        <v>0</v>
      </c>
      <c r="T295" s="2577">
        <v>0</v>
      </c>
      <c r="U295" s="2578">
        <v>0</v>
      </c>
      <c r="V295" s="2576">
        <v>0</v>
      </c>
      <c r="W295" s="2576">
        <v>0</v>
      </c>
      <c r="X295" s="2576">
        <v>0</v>
      </c>
      <c r="Y295" s="2579">
        <v>0</v>
      </c>
    </row>
    <row r="296" spans="2:25" outlineLevel="1">
      <c r="B296" s="2011" t="s">
        <v>1195</v>
      </c>
      <c r="C296" s="2318">
        <f>IF('1.02b_Debt'!D189 = "","",'1.02b_Debt'!D189)</f>
        <v>41361</v>
      </c>
      <c r="D296" s="2319">
        <f>IF('1.02b_Debt'!E189 = "","",'1.02b_Debt'!E189)</f>
        <v>43371</v>
      </c>
      <c r="E296" s="2320" t="str">
        <f>IF('1.02b_Debt'!F189 = "","",'1.02b_Debt'!F189)</f>
        <v>Re-fix rate on 2027 bond (C2) for periods up to 10 years</v>
      </c>
      <c r="F296" s="2594"/>
      <c r="G296" s="2594"/>
      <c r="H296" s="2594"/>
      <c r="I296" s="2595"/>
      <c r="J296" s="2051"/>
      <c r="K296" s="2051"/>
      <c r="L296" s="2838"/>
      <c r="M296" s="2575"/>
      <c r="N296" s="2576"/>
      <c r="O296" s="2576"/>
      <c r="P296" s="2576"/>
      <c r="Q296" s="2576">
        <v>4.6032960000000005E-2</v>
      </c>
      <c r="R296" s="2576">
        <v>8.230999999999997E-3</v>
      </c>
      <c r="S296" s="2576">
        <v>0</v>
      </c>
      <c r="T296" s="2577">
        <v>0</v>
      </c>
      <c r="U296" s="2578">
        <v>0</v>
      </c>
      <c r="V296" s="2576">
        <v>0</v>
      </c>
      <c r="W296" s="2576">
        <v>0</v>
      </c>
      <c r="X296" s="2576">
        <v>0</v>
      </c>
      <c r="Y296" s="2579">
        <v>0</v>
      </c>
    </row>
    <row r="297" spans="2:25" outlineLevel="1">
      <c r="B297" s="2011" t="s">
        <v>1196</v>
      </c>
      <c r="C297" s="2318">
        <f>IF('1.02b_Debt'!D190 = "","",'1.02b_Debt'!D190)</f>
        <v>41361</v>
      </c>
      <c r="D297" s="2319">
        <f>IF('1.02b_Debt'!E190 = "","",'1.02b_Debt'!E190)</f>
        <v>43553</v>
      </c>
      <c r="E297" s="2320" t="str">
        <f>IF('1.02b_Debt'!F190 = "","",'1.02b_Debt'!F190)</f>
        <v>Re-fix rate on 2027 bond (C2) for periods up to 10 years</v>
      </c>
      <c r="F297" s="2594"/>
      <c r="G297" s="2594"/>
      <c r="H297" s="2594"/>
      <c r="I297" s="2595"/>
      <c r="J297" s="2051"/>
      <c r="K297" s="2051"/>
      <c r="L297" s="2838"/>
      <c r="M297" s="2575"/>
      <c r="N297" s="2576"/>
      <c r="O297" s="2576"/>
      <c r="P297" s="2576"/>
      <c r="Q297" s="2576">
        <v>4.6032960000000005E-2</v>
      </c>
      <c r="R297" s="2576">
        <v>1.32537E-2</v>
      </c>
      <c r="S297" s="2576">
        <v>0</v>
      </c>
      <c r="T297" s="2577">
        <v>0</v>
      </c>
      <c r="U297" s="2578">
        <v>0</v>
      </c>
      <c r="V297" s="2576">
        <v>0</v>
      </c>
      <c r="W297" s="2576">
        <v>0</v>
      </c>
      <c r="X297" s="2576">
        <v>0</v>
      </c>
      <c r="Y297" s="2579">
        <v>0</v>
      </c>
    </row>
    <row r="298" spans="2:25" outlineLevel="1">
      <c r="B298" s="2011" t="s">
        <v>1197</v>
      </c>
      <c r="C298" s="2318">
        <f>IF('1.02b_Debt'!D191 = "","",'1.02b_Debt'!D191)</f>
        <v>41361</v>
      </c>
      <c r="D298" s="2319">
        <f>IF('1.02b_Debt'!E191 = "","",'1.02b_Debt'!E191)</f>
        <v>43738</v>
      </c>
      <c r="E298" s="2320" t="str">
        <f>IF('1.02b_Debt'!F191 = "","",'1.02b_Debt'!F191)</f>
        <v>Re-fix rate on 2027 bond (C2) for periods up to 10 years</v>
      </c>
      <c r="F298" s="2594"/>
      <c r="G298" s="2594"/>
      <c r="H298" s="2594"/>
      <c r="I298" s="2595"/>
      <c r="J298" s="2051"/>
      <c r="K298" s="2051"/>
      <c r="L298" s="2838"/>
      <c r="M298" s="2575"/>
      <c r="N298" s="2576"/>
      <c r="O298" s="2576"/>
      <c r="P298" s="2576"/>
      <c r="Q298" s="2576">
        <v>3.2880689999999997E-2</v>
      </c>
      <c r="R298" s="2576">
        <v>9.500460000000004E-3</v>
      </c>
      <c r="S298" s="2576">
        <v>2.4931506849315069E-3</v>
      </c>
      <c r="T298" s="2577">
        <v>0</v>
      </c>
      <c r="U298" s="2578">
        <v>0</v>
      </c>
      <c r="V298" s="2576">
        <v>0</v>
      </c>
      <c r="W298" s="2576">
        <v>0</v>
      </c>
      <c r="X298" s="2576">
        <v>0</v>
      </c>
      <c r="Y298" s="2579">
        <v>0</v>
      </c>
    </row>
    <row r="299" spans="2:25" outlineLevel="1">
      <c r="B299" s="2011" t="s">
        <v>1198</v>
      </c>
      <c r="C299" s="2318">
        <f>IF('1.02b_Debt'!D192 = "","",'1.02b_Debt'!D192)</f>
        <v>41361</v>
      </c>
      <c r="D299" s="2319">
        <f>IF('1.02b_Debt'!E192 = "","",'1.02b_Debt'!E192)</f>
        <v>43007</v>
      </c>
      <c r="E299" s="2320" t="str">
        <f>IF('1.02b_Debt'!F192 = "","",'1.02b_Debt'!F192)</f>
        <v>Re-fix rate on 2027 bond (C2) for periods up to 10 years</v>
      </c>
      <c r="F299" s="2594"/>
      <c r="G299" s="2594"/>
      <c r="H299" s="2594"/>
      <c r="I299" s="2595"/>
      <c r="J299" s="2051"/>
      <c r="K299" s="2051"/>
      <c r="L299" s="2838"/>
      <c r="M299" s="2575"/>
      <c r="N299" s="2576"/>
      <c r="O299" s="2576"/>
      <c r="P299" s="2576"/>
      <c r="Q299" s="2576">
        <v>2.3370940000000003E-2</v>
      </c>
      <c r="R299" s="2576">
        <v>0</v>
      </c>
      <c r="S299" s="2576">
        <v>0</v>
      </c>
      <c r="T299" s="2577">
        <v>0</v>
      </c>
      <c r="U299" s="2578">
        <v>0</v>
      </c>
      <c r="V299" s="2576">
        <v>0</v>
      </c>
      <c r="W299" s="2576">
        <v>0</v>
      </c>
      <c r="X299" s="2576">
        <v>0</v>
      </c>
      <c r="Y299" s="2579">
        <v>0</v>
      </c>
    </row>
    <row r="300" spans="2:25" outlineLevel="1">
      <c r="B300" s="2011" t="s">
        <v>1200</v>
      </c>
      <c r="C300" s="2318">
        <f>IF('1.02b_Debt'!D193 = "","",'1.02b_Debt'!D193)</f>
        <v>41361</v>
      </c>
      <c r="D300" s="2319">
        <f>IF('1.02b_Debt'!E193 = "","",'1.02b_Debt'!E193)</f>
        <v>43188</v>
      </c>
      <c r="E300" s="2320" t="str">
        <f>IF('1.02b_Debt'!F193 = "","",'1.02b_Debt'!F193)</f>
        <v>Re-fix rate on 2027 bond (C2) for periods up to 10 years</v>
      </c>
      <c r="F300" s="2594"/>
      <c r="G300" s="2594"/>
      <c r="H300" s="2594"/>
      <c r="I300" s="2595"/>
      <c r="J300" s="2051"/>
      <c r="K300" s="2051"/>
      <c r="L300" s="2838"/>
      <c r="M300" s="2575"/>
      <c r="N300" s="2576"/>
      <c r="O300" s="2576"/>
      <c r="P300" s="2576"/>
      <c r="Q300" s="2576">
        <v>4.6763579999999999E-2</v>
      </c>
      <c r="R300" s="2576">
        <v>0</v>
      </c>
      <c r="S300" s="2576">
        <v>0</v>
      </c>
      <c r="T300" s="2577">
        <v>0</v>
      </c>
      <c r="U300" s="2578">
        <v>0</v>
      </c>
      <c r="V300" s="2576">
        <v>0</v>
      </c>
      <c r="W300" s="2576">
        <v>0</v>
      </c>
      <c r="X300" s="2576">
        <v>0</v>
      </c>
      <c r="Y300" s="2579">
        <v>0</v>
      </c>
    </row>
    <row r="301" spans="2:25" outlineLevel="1">
      <c r="B301" s="2011" t="s">
        <v>1201</v>
      </c>
      <c r="C301" s="2318">
        <f>IF('1.02b_Debt'!D194 = "","",'1.02b_Debt'!D194)</f>
        <v>41361</v>
      </c>
      <c r="D301" s="2319">
        <f>IF('1.02b_Debt'!E194 = "","",'1.02b_Debt'!E194)</f>
        <v>43371</v>
      </c>
      <c r="E301" s="2320" t="str">
        <f>IF('1.02b_Debt'!F194 = "","",'1.02b_Debt'!F194)</f>
        <v>Re-fix rate on 2027 bond (C2) for periods up to 10 years</v>
      </c>
      <c r="F301" s="2594"/>
      <c r="G301" s="2594"/>
      <c r="H301" s="2594"/>
      <c r="I301" s="2595"/>
      <c r="J301" s="2051"/>
      <c r="K301" s="2051"/>
      <c r="L301" s="2838"/>
      <c r="M301" s="2575"/>
      <c r="N301" s="2576"/>
      <c r="O301" s="2576"/>
      <c r="P301" s="2576"/>
      <c r="Q301" s="2576">
        <v>4.6907950000000004E-2</v>
      </c>
      <c r="R301" s="2576">
        <v>8.6625099999999948E-3</v>
      </c>
      <c r="S301" s="2576">
        <v>0</v>
      </c>
      <c r="T301" s="2577">
        <v>0</v>
      </c>
      <c r="U301" s="2578">
        <v>0</v>
      </c>
      <c r="V301" s="2576">
        <v>0</v>
      </c>
      <c r="W301" s="2576">
        <v>0</v>
      </c>
      <c r="X301" s="2576">
        <v>0</v>
      </c>
      <c r="Y301" s="2579">
        <v>0</v>
      </c>
    </row>
    <row r="302" spans="2:25" outlineLevel="1">
      <c r="B302" s="2011" t="s">
        <v>1202</v>
      </c>
      <c r="C302" s="2318">
        <f>IF('1.02b_Debt'!D195 = "","",'1.02b_Debt'!D195)</f>
        <v>41361</v>
      </c>
      <c r="D302" s="2319">
        <f>IF('1.02b_Debt'!E195 = "","",'1.02b_Debt'!E195)</f>
        <v>43553</v>
      </c>
      <c r="E302" s="2320" t="str">
        <f>IF('1.02b_Debt'!F195 = "","",'1.02b_Debt'!F195)</f>
        <v>Re-fix rate on 2027 bond (C2) for periods up to 10 years</v>
      </c>
      <c r="F302" s="2594"/>
      <c r="G302" s="2594"/>
      <c r="H302" s="2594"/>
      <c r="I302" s="2595"/>
      <c r="J302" s="2051"/>
      <c r="K302" s="2051"/>
      <c r="L302" s="2838"/>
      <c r="M302" s="2575"/>
      <c r="N302" s="2576"/>
      <c r="O302" s="2576"/>
      <c r="P302" s="2576"/>
      <c r="Q302" s="2576">
        <v>4.6907950000000004E-2</v>
      </c>
      <c r="R302" s="2576">
        <v>1.4121510000000002E-2</v>
      </c>
      <c r="S302" s="2576">
        <v>0</v>
      </c>
      <c r="T302" s="2577">
        <v>0</v>
      </c>
      <c r="U302" s="2578">
        <v>0</v>
      </c>
      <c r="V302" s="2576">
        <v>0</v>
      </c>
      <c r="W302" s="2576">
        <v>0</v>
      </c>
      <c r="X302" s="2576">
        <v>0</v>
      </c>
      <c r="Y302" s="2579">
        <v>0</v>
      </c>
    </row>
    <row r="303" spans="2:25" outlineLevel="1">
      <c r="B303" s="2011" t="s">
        <v>1203</v>
      </c>
      <c r="C303" s="2318">
        <f>IF('1.02b_Debt'!D196 = "","",'1.02b_Debt'!D196)</f>
        <v>41361</v>
      </c>
      <c r="D303" s="2319">
        <f>IF('1.02b_Debt'!E196 = "","",'1.02b_Debt'!E196)</f>
        <v>43738</v>
      </c>
      <c r="E303" s="2320" t="str">
        <f>IF('1.02b_Debt'!F196 = "","",'1.02b_Debt'!F196)</f>
        <v>Re-fix rate on 2027 bond (C2) for periods up to 10 years</v>
      </c>
      <c r="F303" s="2594"/>
      <c r="G303" s="2594"/>
      <c r="H303" s="2594"/>
      <c r="I303" s="2595"/>
      <c r="J303" s="2051"/>
      <c r="K303" s="2051"/>
      <c r="L303" s="2838"/>
      <c r="M303" s="2575"/>
      <c r="N303" s="2576"/>
      <c r="O303" s="2576"/>
      <c r="P303" s="2576"/>
      <c r="Q303" s="2576">
        <v>3.3505699999999992E-2</v>
      </c>
      <c r="R303" s="2576">
        <v>1.0125449999999994E-2</v>
      </c>
      <c r="S303" s="2576">
        <v>2.8047945205479444E-3</v>
      </c>
      <c r="T303" s="2577">
        <v>0</v>
      </c>
      <c r="U303" s="2578">
        <v>0</v>
      </c>
      <c r="V303" s="2576">
        <v>0</v>
      </c>
      <c r="W303" s="2576">
        <v>0</v>
      </c>
      <c r="X303" s="2576">
        <v>0</v>
      </c>
      <c r="Y303" s="2579">
        <v>0</v>
      </c>
    </row>
    <row r="304" spans="2:25" outlineLevel="1">
      <c r="B304" s="2011" t="s">
        <v>1204</v>
      </c>
      <c r="C304" s="2318">
        <f>IF('1.02b_Debt'!D197 = "","",'1.02b_Debt'!D197)</f>
        <v>41361</v>
      </c>
      <c r="D304" s="2319">
        <f>IF('1.02b_Debt'!E197 = "","",'1.02b_Debt'!E197)</f>
        <v>43007</v>
      </c>
      <c r="E304" s="2320" t="str">
        <f>IF('1.02b_Debt'!F197 = "","",'1.02b_Debt'!F197)</f>
        <v>Re-fix rate on 2027 bond (C2) for periods up to 10 years</v>
      </c>
      <c r="F304" s="2594"/>
      <c r="G304" s="2594"/>
      <c r="H304" s="2594"/>
      <c r="I304" s="2595"/>
      <c r="J304" s="2051"/>
      <c r="K304" s="2051"/>
      <c r="L304" s="2838"/>
      <c r="M304" s="2575"/>
      <c r="N304" s="2576"/>
      <c r="O304" s="2576"/>
      <c r="P304" s="2576"/>
      <c r="Q304" s="2576">
        <v>2.2937040000000009E-2</v>
      </c>
      <c r="R304" s="2576">
        <v>0</v>
      </c>
      <c r="S304" s="2576">
        <v>0</v>
      </c>
      <c r="T304" s="2577">
        <v>0</v>
      </c>
      <c r="U304" s="2578">
        <v>0</v>
      </c>
      <c r="V304" s="2576">
        <v>0</v>
      </c>
      <c r="W304" s="2576">
        <v>0</v>
      </c>
      <c r="X304" s="2576">
        <v>0</v>
      </c>
      <c r="Y304" s="2579">
        <v>0</v>
      </c>
    </row>
    <row r="305" spans="2:25" outlineLevel="1">
      <c r="B305" s="2011" t="s">
        <v>1205</v>
      </c>
      <c r="C305" s="2318">
        <f>IF('1.02b_Debt'!D198 = "","",'1.02b_Debt'!D198)</f>
        <v>41361</v>
      </c>
      <c r="D305" s="2319">
        <f>IF('1.02b_Debt'!E198 = "","",'1.02b_Debt'!E198)</f>
        <v>43188</v>
      </c>
      <c r="E305" s="2320" t="str">
        <f>IF('1.02b_Debt'!F198 = "","",'1.02b_Debt'!F198)</f>
        <v>Re-fix rate on 2027 bond (C2) for periods up to 10 years</v>
      </c>
      <c r="F305" s="2594"/>
      <c r="G305" s="2594"/>
      <c r="H305" s="2594"/>
      <c r="I305" s="2595"/>
      <c r="J305" s="2051"/>
      <c r="K305" s="2051"/>
      <c r="L305" s="2838"/>
      <c r="M305" s="2575"/>
      <c r="N305" s="2576"/>
      <c r="O305" s="2576"/>
      <c r="P305" s="2576"/>
      <c r="Q305" s="2576">
        <v>4.5895779999999997E-2</v>
      </c>
      <c r="R305" s="2576">
        <v>0</v>
      </c>
      <c r="S305" s="2576">
        <v>0</v>
      </c>
      <c r="T305" s="2577">
        <v>0</v>
      </c>
      <c r="U305" s="2578">
        <v>0</v>
      </c>
      <c r="V305" s="2576">
        <v>0</v>
      </c>
      <c r="W305" s="2576">
        <v>0</v>
      </c>
      <c r="X305" s="2576">
        <v>0</v>
      </c>
      <c r="Y305" s="2579">
        <v>0</v>
      </c>
    </row>
    <row r="306" spans="2:25" outlineLevel="1">
      <c r="B306" s="2011" t="s">
        <v>1206</v>
      </c>
      <c r="C306" s="2318">
        <f>IF('1.02b_Debt'!D199 = "","",'1.02b_Debt'!D199)</f>
        <v>41361</v>
      </c>
      <c r="D306" s="2319">
        <f>IF('1.02b_Debt'!E199 = "","",'1.02b_Debt'!E199)</f>
        <v>43371</v>
      </c>
      <c r="E306" s="2320" t="str">
        <f>IF('1.02b_Debt'!F199 = "","",'1.02b_Debt'!F199)</f>
        <v>Re-fix rate on 2027 bond (C2) for periods up to 10 years</v>
      </c>
      <c r="F306" s="2594"/>
      <c r="G306" s="2594"/>
      <c r="H306" s="2594"/>
      <c r="I306" s="2595"/>
      <c r="J306" s="2051"/>
      <c r="K306" s="2051"/>
      <c r="L306" s="2838"/>
      <c r="M306" s="2575"/>
      <c r="N306" s="2576"/>
      <c r="O306" s="2576"/>
      <c r="P306" s="2576"/>
      <c r="Q306" s="2576">
        <v>4.6032960000000005E-2</v>
      </c>
      <c r="R306" s="2576">
        <v>8.230999999999997E-3</v>
      </c>
      <c r="S306" s="2576">
        <v>0</v>
      </c>
      <c r="T306" s="2577">
        <v>0</v>
      </c>
      <c r="U306" s="2578">
        <v>0</v>
      </c>
      <c r="V306" s="2576">
        <v>0</v>
      </c>
      <c r="W306" s="2576">
        <v>0</v>
      </c>
      <c r="X306" s="2576">
        <v>0</v>
      </c>
      <c r="Y306" s="2579">
        <v>0</v>
      </c>
    </row>
    <row r="307" spans="2:25" outlineLevel="1">
      <c r="B307" s="2011" t="s">
        <v>1207</v>
      </c>
      <c r="C307" s="2318">
        <f>IF('1.02b_Debt'!D200 = "","",'1.02b_Debt'!D200)</f>
        <v>41361</v>
      </c>
      <c r="D307" s="2319">
        <f>IF('1.02b_Debt'!E200 = "","",'1.02b_Debt'!E200)</f>
        <v>43553</v>
      </c>
      <c r="E307" s="2320" t="str">
        <f>IF('1.02b_Debt'!F200 = "","",'1.02b_Debt'!F200)</f>
        <v>Re-fix rate on 2027 bond (C2) for periods up to 10 years</v>
      </c>
      <c r="F307" s="2594"/>
      <c r="G307" s="2594"/>
      <c r="H307" s="2594"/>
      <c r="I307" s="2595"/>
      <c r="J307" s="2051"/>
      <c r="K307" s="2051"/>
      <c r="L307" s="2838"/>
      <c r="M307" s="2575"/>
      <c r="N307" s="2576"/>
      <c r="O307" s="2576"/>
      <c r="P307" s="2576"/>
      <c r="Q307" s="2576">
        <v>4.6032960000000005E-2</v>
      </c>
      <c r="R307" s="2576">
        <v>1.32537E-2</v>
      </c>
      <c r="S307" s="2576">
        <v>0</v>
      </c>
      <c r="T307" s="2577">
        <v>0</v>
      </c>
      <c r="U307" s="2578">
        <v>0</v>
      </c>
      <c r="V307" s="2576">
        <v>0</v>
      </c>
      <c r="W307" s="2576">
        <v>0</v>
      </c>
      <c r="X307" s="2576">
        <v>0</v>
      </c>
      <c r="Y307" s="2579">
        <v>0</v>
      </c>
    </row>
    <row r="308" spans="2:25" outlineLevel="1">
      <c r="B308" s="2011" t="s">
        <v>1208</v>
      </c>
      <c r="C308" s="2318">
        <f>IF('1.02b_Debt'!D201 = "","",'1.02b_Debt'!D201)</f>
        <v>41361</v>
      </c>
      <c r="D308" s="2319">
        <f>IF('1.02b_Debt'!E201 = "","",'1.02b_Debt'!E201)</f>
        <v>43738</v>
      </c>
      <c r="E308" s="2320" t="str">
        <f>IF('1.02b_Debt'!F201 = "","",'1.02b_Debt'!F201)</f>
        <v>Re-fix rate on 2027 bond (C2) for periods up to 10 years</v>
      </c>
      <c r="F308" s="2594"/>
      <c r="G308" s="2594"/>
      <c r="H308" s="2594"/>
      <c r="I308" s="2595"/>
      <c r="J308" s="2051"/>
      <c r="K308" s="2051"/>
      <c r="L308" s="2838"/>
      <c r="M308" s="2575"/>
      <c r="N308" s="2576"/>
      <c r="O308" s="2576"/>
      <c r="P308" s="2576"/>
      <c r="Q308" s="2576">
        <v>3.2880689999999997E-2</v>
      </c>
      <c r="R308" s="2576">
        <v>9.500460000000004E-3</v>
      </c>
      <c r="S308" s="2576">
        <v>2.4931506849315069E-3</v>
      </c>
      <c r="T308" s="2577">
        <v>0</v>
      </c>
      <c r="U308" s="2578">
        <v>0</v>
      </c>
      <c r="V308" s="2576">
        <v>0</v>
      </c>
      <c r="W308" s="2576">
        <v>0</v>
      </c>
      <c r="X308" s="2576">
        <v>0</v>
      </c>
      <c r="Y308" s="2579">
        <v>0</v>
      </c>
    </row>
    <row r="309" spans="2:25" outlineLevel="1">
      <c r="B309" s="2011" t="s">
        <v>1209</v>
      </c>
      <c r="C309" s="2318">
        <f>IF('1.02b_Debt'!D202 = "","",'1.02b_Debt'!D202)</f>
        <v>41361</v>
      </c>
      <c r="D309" s="2319">
        <f>IF('1.02b_Debt'!E202 = "","",'1.02b_Debt'!E202)</f>
        <v>43007</v>
      </c>
      <c r="E309" s="2320" t="str">
        <f>IF('1.02b_Debt'!F202 = "","",'1.02b_Debt'!F202)</f>
        <v>Re-fix rate on 2027 bond (C2) for periods up to 10 years</v>
      </c>
      <c r="F309" s="2594"/>
      <c r="G309" s="2594"/>
      <c r="H309" s="2594"/>
      <c r="I309" s="2595"/>
      <c r="J309" s="2051"/>
      <c r="K309" s="2051"/>
      <c r="L309" s="2838"/>
      <c r="M309" s="2575"/>
      <c r="N309" s="2576"/>
      <c r="O309" s="2576"/>
      <c r="P309" s="2576"/>
      <c r="Q309" s="2576">
        <v>2.3457720000000001E-2</v>
      </c>
      <c r="R309" s="2576">
        <v>0</v>
      </c>
      <c r="S309" s="2576">
        <v>0</v>
      </c>
      <c r="T309" s="2577">
        <v>0</v>
      </c>
      <c r="U309" s="2578">
        <v>0</v>
      </c>
      <c r="V309" s="2576">
        <v>0</v>
      </c>
      <c r="W309" s="2576">
        <v>0</v>
      </c>
      <c r="X309" s="2576">
        <v>0</v>
      </c>
      <c r="Y309" s="2579">
        <v>0</v>
      </c>
    </row>
    <row r="310" spans="2:25" outlineLevel="1">
      <c r="B310" s="2011" t="s">
        <v>1210</v>
      </c>
      <c r="C310" s="2318">
        <f>IF('1.02b_Debt'!D203 = "","",'1.02b_Debt'!D203)</f>
        <v>41361</v>
      </c>
      <c r="D310" s="2319">
        <f>IF('1.02b_Debt'!E203 = "","",'1.02b_Debt'!E203)</f>
        <v>43188</v>
      </c>
      <c r="E310" s="2320" t="str">
        <f>IF('1.02b_Debt'!F203 = "","",'1.02b_Debt'!F203)</f>
        <v>Re-fix rate on 2027 bond (C2) for periods up to 10 years</v>
      </c>
      <c r="F310" s="2594"/>
      <c r="G310" s="2594"/>
      <c r="H310" s="2594"/>
      <c r="I310" s="2595"/>
      <c r="J310" s="2051"/>
      <c r="K310" s="2051"/>
      <c r="L310" s="2838"/>
      <c r="M310" s="2575"/>
      <c r="N310" s="2576"/>
      <c r="O310" s="2576"/>
      <c r="P310" s="2576"/>
      <c r="Q310" s="2576">
        <v>4.6937140000000002E-2</v>
      </c>
      <c r="R310" s="2576">
        <v>0</v>
      </c>
      <c r="S310" s="2576">
        <v>0</v>
      </c>
      <c r="T310" s="2577">
        <v>0</v>
      </c>
      <c r="U310" s="2578">
        <v>0</v>
      </c>
      <c r="V310" s="2576">
        <v>0</v>
      </c>
      <c r="W310" s="2576">
        <v>0</v>
      </c>
      <c r="X310" s="2576">
        <v>0</v>
      </c>
      <c r="Y310" s="2579">
        <v>0</v>
      </c>
    </row>
    <row r="311" spans="2:25" outlineLevel="1">
      <c r="B311" s="2011" t="s">
        <v>1211</v>
      </c>
      <c r="C311" s="2318">
        <f>IF('1.02b_Debt'!D204 = "","",'1.02b_Debt'!D204)</f>
        <v>41361</v>
      </c>
      <c r="D311" s="2319">
        <f>IF('1.02b_Debt'!E204 = "","",'1.02b_Debt'!E204)</f>
        <v>43371</v>
      </c>
      <c r="E311" s="2320" t="str">
        <f>IF('1.02b_Debt'!F204 = "","",'1.02b_Debt'!F204)</f>
        <v>Re-fix rate on 2027 bond (C2) for periods up to 10 years</v>
      </c>
      <c r="F311" s="2594"/>
      <c r="G311" s="2594"/>
      <c r="H311" s="2594"/>
      <c r="I311" s="2595"/>
      <c r="J311" s="2051"/>
      <c r="K311" s="2051"/>
      <c r="L311" s="2838"/>
      <c r="M311" s="2575"/>
      <c r="N311" s="2576"/>
      <c r="O311" s="2576"/>
      <c r="P311" s="2576"/>
      <c r="Q311" s="2576">
        <v>4.7082949999999998E-2</v>
      </c>
      <c r="R311" s="2576">
        <v>8.7488099999999906E-3</v>
      </c>
      <c r="S311" s="2576">
        <v>0</v>
      </c>
      <c r="T311" s="2577">
        <v>0</v>
      </c>
      <c r="U311" s="2578">
        <v>0</v>
      </c>
      <c r="V311" s="2576">
        <v>0</v>
      </c>
      <c r="W311" s="2576">
        <v>0</v>
      </c>
      <c r="X311" s="2576">
        <v>0</v>
      </c>
      <c r="Y311" s="2579">
        <v>0</v>
      </c>
    </row>
    <row r="312" spans="2:25" outlineLevel="1">
      <c r="B312" s="2011" t="s">
        <v>1212</v>
      </c>
      <c r="C312" s="2318">
        <f>IF('1.02b_Debt'!D205 = "","",'1.02b_Debt'!D205)</f>
        <v>41361</v>
      </c>
      <c r="D312" s="2319">
        <f>IF('1.02b_Debt'!E205 = "","",'1.02b_Debt'!E205)</f>
        <v>43553</v>
      </c>
      <c r="E312" s="2320" t="str">
        <f>IF('1.02b_Debt'!F205 = "","",'1.02b_Debt'!F205)</f>
        <v>Re-fix rate on 2027 bond (C2) for periods up to 10 years</v>
      </c>
      <c r="F312" s="2594"/>
      <c r="G312" s="2594"/>
      <c r="H312" s="2594"/>
      <c r="I312" s="2595"/>
      <c r="J312" s="2051"/>
      <c r="K312" s="2051"/>
      <c r="L312" s="2838"/>
      <c r="M312" s="2575"/>
      <c r="N312" s="2576"/>
      <c r="O312" s="2576"/>
      <c r="P312" s="2576"/>
      <c r="Q312" s="2576">
        <v>4.7082949999999998E-2</v>
      </c>
      <c r="R312" s="2576">
        <v>1.4295070000000003E-2</v>
      </c>
      <c r="S312" s="2576">
        <v>0</v>
      </c>
      <c r="T312" s="2577">
        <v>0</v>
      </c>
      <c r="U312" s="2578">
        <v>0</v>
      </c>
      <c r="V312" s="2576">
        <v>0</v>
      </c>
      <c r="W312" s="2576">
        <v>0</v>
      </c>
      <c r="X312" s="2576">
        <v>0</v>
      </c>
      <c r="Y312" s="2579">
        <v>0</v>
      </c>
    </row>
    <row r="313" spans="2:25" outlineLevel="1">
      <c r="B313" s="2011" t="s">
        <v>1213</v>
      </c>
      <c r="C313" s="2318">
        <f>IF('1.02b_Debt'!D206 = "","",'1.02b_Debt'!D206)</f>
        <v>41361</v>
      </c>
      <c r="D313" s="2319">
        <f>IF('1.02b_Debt'!E206 = "","",'1.02b_Debt'!E206)</f>
        <v>43738</v>
      </c>
      <c r="E313" s="2320" t="str">
        <f>IF('1.02b_Debt'!F206 = "","",'1.02b_Debt'!F206)</f>
        <v>Re-fix rate on 2027 bond (C2) for periods up to 10 years</v>
      </c>
      <c r="F313" s="2594"/>
      <c r="G313" s="2594"/>
      <c r="H313" s="2594"/>
      <c r="I313" s="2595"/>
      <c r="J313" s="2051"/>
      <c r="K313" s="2051"/>
      <c r="L313" s="2838"/>
      <c r="M313" s="2575"/>
      <c r="N313" s="2576"/>
      <c r="O313" s="2576"/>
      <c r="P313" s="2576"/>
      <c r="Q313" s="2576">
        <v>3.3630689999999998E-2</v>
      </c>
      <c r="R313" s="2576">
        <v>1.0250449999999996E-2</v>
      </c>
      <c r="S313" s="2576">
        <v>2.8671232876712333E-3</v>
      </c>
      <c r="T313" s="2577">
        <v>0</v>
      </c>
      <c r="U313" s="2578">
        <v>0</v>
      </c>
      <c r="V313" s="2576">
        <v>0</v>
      </c>
      <c r="W313" s="2576">
        <v>0</v>
      </c>
      <c r="X313" s="2576">
        <v>0</v>
      </c>
      <c r="Y313" s="2579">
        <v>0</v>
      </c>
    </row>
    <row r="314" spans="2:25" outlineLevel="1">
      <c r="B314" s="2011" t="s">
        <v>1214</v>
      </c>
      <c r="C314" s="2318">
        <f>IF('1.02b_Debt'!D207 = "","",'1.02b_Debt'!D207)</f>
        <v>42460</v>
      </c>
      <c r="D314" s="2319">
        <f>IF('1.02b_Debt'!E207 = "","",'1.02b_Debt'!E207)</f>
        <v>46112</v>
      </c>
      <c r="E314" s="2320" t="str">
        <f>IF('1.02b_Debt'!F207 = "","",'1.02b_Debt'!F207)</f>
        <v>Re-fix rate on 2027 bond (C2) for periods up to 10 years</v>
      </c>
      <c r="F314" s="2594"/>
      <c r="G314" s="2594"/>
      <c r="H314" s="2594"/>
      <c r="I314" s="2595"/>
      <c r="J314" s="2051"/>
      <c r="K314" s="2051"/>
      <c r="L314" s="2838"/>
      <c r="M314" s="2575"/>
      <c r="N314" s="2576"/>
      <c r="O314" s="2576"/>
      <c r="P314" s="2576"/>
      <c r="Q314" s="2576">
        <v>0.14348864</v>
      </c>
      <c r="R314" s="2576">
        <v>8.7376059999999964E-2</v>
      </c>
      <c r="S314" s="2576">
        <v>7.6784794520547955E-2</v>
      </c>
      <c r="T314" s="2577">
        <v>7.6575000000000004E-2</v>
      </c>
      <c r="U314" s="2578">
        <v>7.3575000000000029E-2</v>
      </c>
      <c r="V314" s="2576">
        <v>6.7575000000000024E-2</v>
      </c>
      <c r="W314" s="2576">
        <v>6.3247808219178109E-2</v>
      </c>
      <c r="X314" s="2576">
        <v>5.7075000000000015E-2</v>
      </c>
      <c r="Y314" s="2579">
        <v>5.243095890410962E-2</v>
      </c>
    </row>
    <row r="315" spans="2:25" outlineLevel="1">
      <c r="B315" s="2011" t="s">
        <v>1215</v>
      </c>
      <c r="C315" s="2318">
        <f>IF('1.02b_Debt'!D208 = "","",'1.02b_Debt'!D208)</f>
        <v>42643</v>
      </c>
      <c r="D315" s="2319">
        <f>IF('1.02b_Debt'!E208 = "","",'1.02b_Debt'!E208)</f>
        <v>46295</v>
      </c>
      <c r="E315" s="2320" t="str">
        <f>IF('1.02b_Debt'!F208 = "","",'1.02b_Debt'!F208)</f>
        <v>Re-fix rate on 2027 bond (C2) for periods up to 10 years</v>
      </c>
      <c r="F315" s="2594"/>
      <c r="G315" s="2594"/>
      <c r="H315" s="2594"/>
      <c r="I315" s="2595"/>
      <c r="J315" s="2051"/>
      <c r="K315" s="2051"/>
      <c r="L315" s="2838"/>
      <c r="M315" s="2575"/>
      <c r="N315" s="2576"/>
      <c r="O315" s="2576"/>
      <c r="P315" s="2576"/>
      <c r="Q315" s="2576">
        <v>0.13056590999999998</v>
      </c>
      <c r="R315" s="2576">
        <v>6.5101249999999999E-2</v>
      </c>
      <c r="S315" s="2576">
        <v>5.2643835616438345E-2</v>
      </c>
      <c r="T315" s="2577">
        <v>5.2499999999999991E-2</v>
      </c>
      <c r="U315" s="2578">
        <v>4.9000000000000016E-2</v>
      </c>
      <c r="V315" s="2576">
        <v>4.1999999999999982E-2</v>
      </c>
      <c r="W315" s="2576">
        <v>3.6850684931506839E-2</v>
      </c>
      <c r="X315" s="2576">
        <v>2.9749999999999999E-2</v>
      </c>
      <c r="Y315" s="2579">
        <v>2.450000000000005E-2</v>
      </c>
    </row>
    <row r="316" spans="2:25" outlineLevel="1">
      <c r="B316" s="2011" t="s">
        <v>1216</v>
      </c>
      <c r="C316" s="2318">
        <f>IF('1.02b_Debt'!D209 = "","",'1.02b_Debt'!D209)</f>
        <v>42643</v>
      </c>
      <c r="D316" s="2319">
        <f>IF('1.02b_Debt'!E209 = "","",'1.02b_Debt'!E209)</f>
        <v>46295</v>
      </c>
      <c r="E316" s="2320" t="str">
        <f>IF('1.02b_Debt'!F209 = "","",'1.02b_Debt'!F209)</f>
        <v>Re-fix rate on 2027 bond (C2) for periods up to 10 years</v>
      </c>
      <c r="F316" s="2594"/>
      <c r="G316" s="2594"/>
      <c r="H316" s="2594"/>
      <c r="I316" s="2595"/>
      <c r="J316" s="2051"/>
      <c r="K316" s="2051"/>
      <c r="L316" s="2838"/>
      <c r="M316" s="2575"/>
      <c r="N316" s="2576"/>
      <c r="O316" s="2576"/>
      <c r="P316" s="2576"/>
      <c r="Q316" s="2576">
        <v>7.0803410000000025E-2</v>
      </c>
      <c r="R316" s="2576">
        <v>5.3387499999999997E-3</v>
      </c>
      <c r="S316" s="2576">
        <v>-7.2823972602739928E-3</v>
      </c>
      <c r="T316" s="2577">
        <v>-7.2625000000000051E-3</v>
      </c>
      <c r="U316" s="2578">
        <v>-1.076249999999998E-2</v>
      </c>
      <c r="V316" s="2576">
        <v>-1.7762500000000014E-2</v>
      </c>
      <c r="W316" s="2576">
        <v>-2.3075547945205499E-2</v>
      </c>
      <c r="X316" s="2576">
        <v>-3.0012499999999998E-2</v>
      </c>
      <c r="Y316" s="2579">
        <v>-3.5262499999999947E-2</v>
      </c>
    </row>
    <row r="317" spans="2:25" outlineLevel="1">
      <c r="B317" s="2011" t="s">
        <v>1217</v>
      </c>
      <c r="C317" s="2318">
        <f>IF('1.02b_Debt'!D210 = "","",'1.02b_Debt'!D210)</f>
        <v>42825</v>
      </c>
      <c r="D317" s="2319">
        <f>IF('1.02b_Debt'!E210 = "","",'1.02b_Debt'!E210)</f>
        <v>46477</v>
      </c>
      <c r="E317" s="2320" t="str">
        <f>IF('1.02b_Debt'!F210 = "","",'1.02b_Debt'!F210)</f>
        <v>Re-fix rate on 2027 bond (C2) for periods up to 10 years</v>
      </c>
      <c r="F317" s="2594"/>
      <c r="G317" s="2594"/>
      <c r="H317" s="2594"/>
      <c r="I317" s="2595"/>
      <c r="J317" s="2051"/>
      <c r="K317" s="2051"/>
      <c r="L317" s="2838"/>
      <c r="M317" s="2575"/>
      <c r="N317" s="2576"/>
      <c r="O317" s="2576"/>
      <c r="P317" s="2576"/>
      <c r="Q317" s="2576">
        <v>0.16154090999999998</v>
      </c>
      <c r="R317" s="2576">
        <v>9.6076250000000002E-2</v>
      </c>
      <c r="S317" s="2576">
        <v>8.3703698630136963E-2</v>
      </c>
      <c r="T317" s="2577">
        <v>8.3474999999999994E-2</v>
      </c>
      <c r="U317" s="2578">
        <v>7.9975000000000018E-2</v>
      </c>
      <c r="V317" s="2576">
        <v>7.2974999999999984E-2</v>
      </c>
      <c r="W317" s="2576">
        <v>6.7910547945205457E-2</v>
      </c>
      <c r="X317" s="2576">
        <v>6.0725000000000001E-2</v>
      </c>
      <c r="Y317" s="2579">
        <v>5.5475000000000052E-2</v>
      </c>
    </row>
    <row r="318" spans="2:25" outlineLevel="1">
      <c r="B318" s="2011" t="s">
        <v>1218</v>
      </c>
      <c r="C318" s="2318">
        <f>IF('1.02b_Debt'!D211 = "","",'1.02b_Debt'!D211)</f>
        <v>42825</v>
      </c>
      <c r="D318" s="2319">
        <f>IF('1.02b_Debt'!E211 = "","",'1.02b_Debt'!E211)</f>
        <v>46477</v>
      </c>
      <c r="E318" s="2320" t="str">
        <f>IF('1.02b_Debt'!F211 = "","",'1.02b_Debt'!F211)</f>
        <v>Re-fix rate on 2027 bond (C2) for periods up to 10 years</v>
      </c>
      <c r="F318" s="2594"/>
      <c r="G318" s="2594"/>
      <c r="H318" s="2594"/>
      <c r="I318" s="2595"/>
      <c r="J318" s="2051"/>
      <c r="K318" s="2051"/>
      <c r="L318" s="2838"/>
      <c r="M318" s="2575"/>
      <c r="N318" s="2576"/>
      <c r="O318" s="2576"/>
      <c r="P318" s="2576"/>
      <c r="Q318" s="2576">
        <v>0.13406591000000001</v>
      </c>
      <c r="R318" s="2576">
        <v>6.8601240000000022E-2</v>
      </c>
      <c r="S318" s="2576">
        <v>5.6153424657534229E-2</v>
      </c>
      <c r="T318" s="2577">
        <v>5.5999999999999994E-2</v>
      </c>
      <c r="U318" s="2578">
        <v>5.2500000000000019E-2</v>
      </c>
      <c r="V318" s="2576">
        <v>4.5499999999999985E-2</v>
      </c>
      <c r="W318" s="2576">
        <v>4.0360273972602723E-2</v>
      </c>
      <c r="X318" s="2576">
        <v>3.3250000000000002E-2</v>
      </c>
      <c r="Y318" s="2579">
        <v>2.8000000000000053E-2</v>
      </c>
    </row>
    <row r="319" spans="2:25" outlineLevel="1">
      <c r="B319" s="2011" t="s">
        <v>1219</v>
      </c>
      <c r="C319" s="2318">
        <f>IF('1.02b_Debt'!D212 = "","",'1.02b_Debt'!D212)</f>
        <v>43007</v>
      </c>
      <c r="D319" s="2319">
        <f>IF('1.02b_Debt'!E212 = "","",'1.02b_Debt'!E212)</f>
        <v>46660</v>
      </c>
      <c r="E319" s="2320" t="str">
        <f>IF('1.02b_Debt'!F212 = "","",'1.02b_Debt'!F212)</f>
        <v>Re-fix rate on 2027 bond (C2) for periods up to 10 years</v>
      </c>
      <c r="F319" s="2594"/>
      <c r="G319" s="2594"/>
      <c r="H319" s="2594"/>
      <c r="I319" s="2595"/>
      <c r="J319" s="2051"/>
      <c r="K319" s="2051"/>
      <c r="L319" s="2838"/>
      <c r="M319" s="2575"/>
      <c r="N319" s="2576"/>
      <c r="O319" s="2576"/>
      <c r="P319" s="2576"/>
      <c r="Q319" s="2576">
        <v>7.3098679999999999E-2</v>
      </c>
      <c r="R319" s="2576">
        <v>7.9976259999999966E-2</v>
      </c>
      <c r="S319" s="2576">
        <v>6.7559589041095852E-2</v>
      </c>
      <c r="T319" s="2577">
        <v>6.7374999999999963E-2</v>
      </c>
      <c r="U319" s="2578">
        <v>6.3874999999999987E-2</v>
      </c>
      <c r="V319" s="2576">
        <v>5.6874999999999953E-2</v>
      </c>
      <c r="W319" s="2576">
        <v>5.1766438356164346E-2</v>
      </c>
      <c r="X319" s="2576">
        <v>4.462499999999997E-2</v>
      </c>
      <c r="Y319" s="2579">
        <v>3.9375000000000021E-2</v>
      </c>
    </row>
    <row r="320" spans="2:25" outlineLevel="1">
      <c r="B320" s="2011" t="s">
        <v>1220</v>
      </c>
      <c r="C320" s="2318">
        <f>IF('1.02b_Debt'!D213 = "","",'1.02b_Debt'!D213)</f>
        <v>43188</v>
      </c>
      <c r="D320" s="2319">
        <f>IF('1.02b_Debt'!E213 = "","",'1.02b_Debt'!E213)</f>
        <v>46843</v>
      </c>
      <c r="E320" s="2320" t="str">
        <f>IF('1.02b_Debt'!F213 = "","",'1.02b_Debt'!F213)</f>
        <v>Re-fix rate on 2027 bond (C2) for periods up to 10 years</v>
      </c>
      <c r="F320" s="2594"/>
      <c r="G320" s="2594"/>
      <c r="H320" s="2594"/>
      <c r="I320" s="2595"/>
      <c r="J320" s="2051"/>
      <c r="K320" s="2051"/>
      <c r="L320" s="2838"/>
      <c r="M320" s="2575"/>
      <c r="N320" s="2576"/>
      <c r="O320" s="2576"/>
      <c r="P320" s="2576"/>
      <c r="Q320" s="2576">
        <v>6.4114000000000011E-4</v>
      </c>
      <c r="R320" s="2576">
        <v>7.1226250000000005E-2</v>
      </c>
      <c r="S320" s="2576">
        <v>5.8785616438356142E-2</v>
      </c>
      <c r="T320" s="2577">
        <v>5.8624999999999983E-2</v>
      </c>
      <c r="U320" s="2578">
        <v>5.5125000000000007E-2</v>
      </c>
      <c r="V320" s="2576">
        <v>4.8124999999999973E-2</v>
      </c>
      <c r="W320" s="2576">
        <v>4.2992465753424636E-2</v>
      </c>
      <c r="X320" s="2576">
        <v>3.587499999999999E-2</v>
      </c>
      <c r="Y320" s="2579">
        <v>3.0625000000000041E-2</v>
      </c>
    </row>
    <row r="321" spans="2:25" outlineLevel="1">
      <c r="B321" s="2011" t="s">
        <v>1221</v>
      </c>
      <c r="C321" s="2318">
        <f>IF('1.02b_Debt'!D214 = "","",'1.02b_Debt'!D214)</f>
        <v>43007</v>
      </c>
      <c r="D321" s="2319">
        <f>IF('1.02b_Debt'!E214 = "","",'1.02b_Debt'!E214)</f>
        <v>46660</v>
      </c>
      <c r="E321" s="2320" t="str">
        <f>IF('1.02b_Debt'!F214 = "","",'1.02b_Debt'!F214)</f>
        <v>Re-fix rate on 2027 bond (C2) for periods up to 10 years</v>
      </c>
      <c r="F321" s="2594"/>
      <c r="G321" s="2594"/>
      <c r="H321" s="2594"/>
      <c r="I321" s="2595"/>
      <c r="J321" s="2051"/>
      <c r="K321" s="2051"/>
      <c r="L321" s="2838"/>
      <c r="M321" s="2575"/>
      <c r="N321" s="2576"/>
      <c r="O321" s="2576"/>
      <c r="P321" s="2576"/>
      <c r="Q321" s="2576">
        <v>6.7099779999999998E-2</v>
      </c>
      <c r="R321" s="2576">
        <v>6.8076259999999986E-2</v>
      </c>
      <c r="S321" s="2576">
        <v>5.5626986301369863E-2</v>
      </c>
      <c r="T321" s="2577">
        <v>5.5474999999999997E-2</v>
      </c>
      <c r="U321" s="2578">
        <v>5.1975000000000021E-2</v>
      </c>
      <c r="V321" s="2576">
        <v>4.4974999999999987E-2</v>
      </c>
      <c r="W321" s="2576">
        <v>3.9833835616438357E-2</v>
      </c>
      <c r="X321" s="2576">
        <v>3.2725000000000004E-2</v>
      </c>
      <c r="Y321" s="2579">
        <v>2.7475000000000055E-2</v>
      </c>
    </row>
    <row r="322" spans="2:25" outlineLevel="1">
      <c r="B322" s="2011" t="s">
        <v>1222</v>
      </c>
      <c r="C322" s="2318">
        <f>IF('1.02b_Debt'!D215 = "","",'1.02b_Debt'!D215)</f>
        <v>43188</v>
      </c>
      <c r="D322" s="2319">
        <f>IF('1.02b_Debt'!E215 = "","",'1.02b_Debt'!E215)</f>
        <v>46843</v>
      </c>
      <c r="E322" s="2320" t="str">
        <f>IF('1.02b_Debt'!F215 = "","",'1.02b_Debt'!F215)</f>
        <v>Re-fix rate on 2027 bond (C2) for periods up to 10 years</v>
      </c>
      <c r="F322" s="2594"/>
      <c r="G322" s="2594"/>
      <c r="H322" s="2594"/>
      <c r="I322" s="2595"/>
      <c r="J322" s="2051"/>
      <c r="K322" s="2051"/>
      <c r="L322" s="2838"/>
      <c r="M322" s="2575"/>
      <c r="N322" s="2576"/>
      <c r="O322" s="2576"/>
      <c r="P322" s="2576"/>
      <c r="Q322" s="2576">
        <v>1.1186800000000002E-3</v>
      </c>
      <c r="R322" s="2576">
        <v>0.12932625</v>
      </c>
      <c r="S322" s="2576">
        <v>0.11704479452054797</v>
      </c>
      <c r="T322" s="2577">
        <v>0.116725</v>
      </c>
      <c r="U322" s="2578">
        <v>0.11322500000000002</v>
      </c>
      <c r="V322" s="2576">
        <v>0.10622499999999999</v>
      </c>
      <c r="W322" s="2576">
        <v>0.10125164383561647</v>
      </c>
      <c r="X322" s="2576">
        <v>9.3975000000000003E-2</v>
      </c>
      <c r="Y322" s="2579">
        <v>8.8725000000000054E-2</v>
      </c>
    </row>
    <row r="323" spans="2:25" outlineLevel="1">
      <c r="B323" s="2011" t="s">
        <v>1223</v>
      </c>
      <c r="C323" s="2318">
        <f>IF('1.02b_Debt'!D216 = "","",'1.02b_Debt'!D216)</f>
        <v>41361</v>
      </c>
      <c r="D323" s="2319">
        <f>IF('1.02b_Debt'!E216 = "","",'1.02b_Debt'!E216)</f>
        <v>43738</v>
      </c>
      <c r="E323" s="2320" t="str">
        <f>IF('1.02b_Debt'!F216 = "","",'1.02b_Debt'!F216)</f>
        <v>Re-fix rate on 2035 bond (C3) for periods up to 10 years</v>
      </c>
      <c r="F323" s="2594"/>
      <c r="G323" s="2594"/>
      <c r="H323" s="2594"/>
      <c r="I323" s="2595"/>
      <c r="J323" s="2051"/>
      <c r="K323" s="2051"/>
      <c r="L323" s="2838"/>
      <c r="M323" s="2575"/>
      <c r="N323" s="2576"/>
      <c r="O323" s="2576"/>
      <c r="P323" s="2576"/>
      <c r="Q323" s="2576">
        <v>5.9304550000000004E-2</v>
      </c>
      <c r="R323" s="2576">
        <v>4.0600349999999993E-2</v>
      </c>
      <c r="S323" s="2576">
        <v>1.844931506849315E-2</v>
      </c>
      <c r="T323" s="2577">
        <v>0</v>
      </c>
      <c r="U323" s="2578">
        <v>0</v>
      </c>
      <c r="V323" s="2576">
        <v>0</v>
      </c>
      <c r="W323" s="2576">
        <v>0</v>
      </c>
      <c r="X323" s="2576">
        <v>0</v>
      </c>
      <c r="Y323" s="2579">
        <v>0</v>
      </c>
    </row>
    <row r="324" spans="2:25" outlineLevel="1">
      <c r="B324" s="2011" t="s">
        <v>1224</v>
      </c>
      <c r="C324" s="2318">
        <f>IF('1.02b_Debt'!D217 = "","",'1.02b_Debt'!D217)</f>
        <v>41361</v>
      </c>
      <c r="D324" s="2319">
        <f>IF('1.02b_Debt'!E217 = "","",'1.02b_Debt'!E217)</f>
        <v>43921</v>
      </c>
      <c r="E324" s="2320" t="str">
        <f>IF('1.02b_Debt'!F217 = "","",'1.02b_Debt'!F217)</f>
        <v>Re-fix rate on 2035 bond (C3) for periods up to 10 years</v>
      </c>
      <c r="F324" s="2594"/>
      <c r="G324" s="2594"/>
      <c r="H324" s="2594"/>
      <c r="I324" s="2595"/>
      <c r="J324" s="2051"/>
      <c r="K324" s="2051"/>
      <c r="L324" s="2838"/>
      <c r="M324" s="2575"/>
      <c r="N324" s="2576"/>
      <c r="O324" s="2576"/>
      <c r="P324" s="2576"/>
      <c r="Q324" s="2576">
        <v>0.20756590999999999</v>
      </c>
      <c r="R324" s="2576">
        <v>0.14210125000000004</v>
      </c>
      <c r="S324" s="2576">
        <v>0.12949999999999998</v>
      </c>
      <c r="T324" s="2577">
        <v>0</v>
      </c>
      <c r="U324" s="2578">
        <v>0</v>
      </c>
      <c r="V324" s="2576">
        <v>0</v>
      </c>
      <c r="W324" s="2576">
        <v>0</v>
      </c>
      <c r="X324" s="2576">
        <v>0</v>
      </c>
      <c r="Y324" s="2579">
        <v>0</v>
      </c>
    </row>
    <row r="325" spans="2:25" outlineLevel="1">
      <c r="B325" s="2011" t="s">
        <v>1225</v>
      </c>
      <c r="C325" s="2318">
        <f>IF('1.02b_Debt'!D218 = "","",'1.02b_Debt'!D218)</f>
        <v>41361</v>
      </c>
      <c r="D325" s="2319">
        <f>IF('1.02b_Debt'!E218 = "","",'1.02b_Debt'!E218)</f>
        <v>44104</v>
      </c>
      <c r="E325" s="2320" t="str">
        <f>IF('1.02b_Debt'!F218 = "","",'1.02b_Debt'!F218)</f>
        <v>Re-fix rate on 2035 bond (C3) for periods up to 10 years</v>
      </c>
      <c r="F325" s="2594"/>
      <c r="G325" s="2594"/>
      <c r="H325" s="2594"/>
      <c r="I325" s="2595"/>
      <c r="J325" s="2051"/>
      <c r="K325" s="2051"/>
      <c r="L325" s="2838"/>
      <c r="M325" s="2575"/>
      <c r="N325" s="2576"/>
      <c r="O325" s="2576"/>
      <c r="P325" s="2576"/>
      <c r="Q325" s="2576">
        <v>0.20756590999999999</v>
      </c>
      <c r="R325" s="2576">
        <v>0.14210125000000004</v>
      </c>
      <c r="S325" s="2576">
        <v>0.12985479452054791</v>
      </c>
      <c r="T325" s="2577">
        <v>6.4572602739725996E-2</v>
      </c>
      <c r="U325" s="2578">
        <v>0</v>
      </c>
      <c r="V325" s="2576">
        <v>0</v>
      </c>
      <c r="W325" s="2576">
        <v>0</v>
      </c>
      <c r="X325" s="2576">
        <v>0</v>
      </c>
      <c r="Y325" s="2579">
        <v>0</v>
      </c>
    </row>
    <row r="326" spans="2:25" outlineLevel="1">
      <c r="B326" s="2011" t="s">
        <v>1226</v>
      </c>
      <c r="C326" s="2318">
        <f>IF('1.02b_Debt'!D219 = "","",'1.02b_Debt'!D219)</f>
        <v>41361</v>
      </c>
      <c r="D326" s="2319">
        <f>IF('1.02b_Debt'!E219 = "","",'1.02b_Debt'!E219)</f>
        <v>44286</v>
      </c>
      <c r="E326" s="2320" t="str">
        <f>IF('1.02b_Debt'!F219 = "","",'1.02b_Debt'!F219)</f>
        <v>Re-fix rate on 2035 bond (C3) for periods up to 10 years</v>
      </c>
      <c r="F326" s="2594"/>
      <c r="G326" s="2594"/>
      <c r="H326" s="2594"/>
      <c r="I326" s="2595"/>
      <c r="J326" s="2051"/>
      <c r="K326" s="2051"/>
      <c r="L326" s="2838"/>
      <c r="M326" s="2575"/>
      <c r="N326" s="2576"/>
      <c r="O326" s="2576"/>
      <c r="P326" s="2576"/>
      <c r="Q326" s="2576">
        <v>0.20756590999999999</v>
      </c>
      <c r="R326" s="2576">
        <v>0.14210125000000004</v>
      </c>
      <c r="S326" s="2576">
        <v>0.12985479452054791</v>
      </c>
      <c r="T326" s="2577">
        <v>0.12914520547945199</v>
      </c>
      <c r="U326" s="2578">
        <v>0</v>
      </c>
      <c r="V326" s="2576">
        <v>0</v>
      </c>
      <c r="W326" s="2576">
        <v>0</v>
      </c>
      <c r="X326" s="2576">
        <v>0</v>
      </c>
      <c r="Y326" s="2579">
        <v>0</v>
      </c>
    </row>
    <row r="327" spans="2:25" outlineLevel="1">
      <c r="B327" s="2011" t="s">
        <v>1227</v>
      </c>
      <c r="C327" s="2318">
        <f>IF('1.02b_Debt'!D220 = "","",'1.02b_Debt'!D220)</f>
        <v>41361</v>
      </c>
      <c r="D327" s="2319">
        <f>IF('1.02b_Debt'!E220 = "","",'1.02b_Debt'!E220)</f>
        <v>44469</v>
      </c>
      <c r="E327" s="2320" t="str">
        <f>IF('1.02b_Debt'!F220 = "","",'1.02b_Debt'!F220)</f>
        <v>Re-fix rate on 2035 bond (C3) for periods up to 10 years</v>
      </c>
      <c r="F327" s="2594"/>
      <c r="G327" s="2594"/>
      <c r="H327" s="2594"/>
      <c r="I327" s="2595"/>
      <c r="J327" s="2051"/>
      <c r="K327" s="2051"/>
      <c r="L327" s="2838"/>
      <c r="M327" s="2575"/>
      <c r="N327" s="2576"/>
      <c r="O327" s="2576"/>
      <c r="P327" s="2576"/>
      <c r="Q327" s="2576">
        <v>0.20756590999999999</v>
      </c>
      <c r="R327" s="2576">
        <v>0.14210125000000004</v>
      </c>
      <c r="S327" s="2576">
        <v>0.12985479452054791</v>
      </c>
      <c r="T327" s="2577">
        <v>0.12949999999999998</v>
      </c>
      <c r="U327" s="2578">
        <v>6.2827397260273948E-2</v>
      </c>
      <c r="V327" s="2576">
        <v>0</v>
      </c>
      <c r="W327" s="2576">
        <v>0</v>
      </c>
      <c r="X327" s="2576">
        <v>0</v>
      </c>
      <c r="Y327" s="2579">
        <v>0</v>
      </c>
    </row>
    <row r="328" spans="2:25" outlineLevel="1">
      <c r="B328" s="2011" t="s">
        <v>1228</v>
      </c>
      <c r="C328" s="2318">
        <f>IF('1.02b_Debt'!D221 = "","",'1.02b_Debt'!D221)</f>
        <v>41361</v>
      </c>
      <c r="D328" s="2319">
        <f>IF('1.02b_Debt'!E221 = "","",'1.02b_Debt'!E221)</f>
        <v>44651</v>
      </c>
      <c r="E328" s="2320" t="str">
        <f>IF('1.02b_Debt'!F221 = "","",'1.02b_Debt'!F221)</f>
        <v>Re-fix rate on 2035 bond (C3) for periods up to 10 years</v>
      </c>
      <c r="F328" s="2594"/>
      <c r="G328" s="2594"/>
      <c r="H328" s="2594"/>
      <c r="I328" s="2595"/>
      <c r="J328" s="2051"/>
      <c r="K328" s="2051"/>
      <c r="L328" s="2838"/>
      <c r="M328" s="2575"/>
      <c r="N328" s="2576"/>
      <c r="O328" s="2576"/>
      <c r="P328" s="2576"/>
      <c r="Q328" s="2576">
        <v>0.20756590999999999</v>
      </c>
      <c r="R328" s="2576">
        <v>0.14210125000000004</v>
      </c>
      <c r="S328" s="2576">
        <v>0.12985479452054791</v>
      </c>
      <c r="T328" s="2577">
        <v>0.12949999999999998</v>
      </c>
      <c r="U328" s="2578">
        <v>0.1256547945205479</v>
      </c>
      <c r="V328" s="2576">
        <v>0</v>
      </c>
      <c r="W328" s="2576">
        <v>0</v>
      </c>
      <c r="X328" s="2576">
        <v>0</v>
      </c>
      <c r="Y328" s="2579">
        <v>0</v>
      </c>
    </row>
    <row r="329" spans="2:25" outlineLevel="1">
      <c r="B329" s="2011" t="s">
        <v>1229</v>
      </c>
      <c r="C329" s="2318">
        <f>IF('1.02b_Debt'!D222 = "","",'1.02b_Debt'!D222)</f>
        <v>41361</v>
      </c>
      <c r="D329" s="2319">
        <f>IF('1.02b_Debt'!E222 = "","",'1.02b_Debt'!E222)</f>
        <v>44834</v>
      </c>
      <c r="E329" s="2320" t="str">
        <f>IF('1.02b_Debt'!F222 = "","",'1.02b_Debt'!F222)</f>
        <v>Re-fix rate on 2035 bond (C3) for periods up to 10 years</v>
      </c>
      <c r="F329" s="2594"/>
      <c r="G329" s="2594"/>
      <c r="H329" s="2594"/>
      <c r="I329" s="2595"/>
      <c r="J329" s="2051"/>
      <c r="K329" s="2051"/>
      <c r="L329" s="2838"/>
      <c r="M329" s="2575"/>
      <c r="N329" s="2576"/>
      <c r="O329" s="2576"/>
      <c r="P329" s="2576"/>
      <c r="Q329" s="2576">
        <v>0.20756590999999999</v>
      </c>
      <c r="R329" s="2576">
        <v>0.14210125000000004</v>
      </c>
      <c r="S329" s="2576">
        <v>0.12985479452054791</v>
      </c>
      <c r="T329" s="2577">
        <v>0.12949999999999998</v>
      </c>
      <c r="U329" s="2578">
        <v>0.126</v>
      </c>
      <c r="V329" s="2576">
        <v>5.9336986301369826E-2</v>
      </c>
      <c r="W329" s="2576">
        <v>0</v>
      </c>
      <c r="X329" s="2576">
        <v>0</v>
      </c>
      <c r="Y329" s="2579">
        <v>0</v>
      </c>
    </row>
    <row r="330" spans="2:25" outlineLevel="1">
      <c r="B330" s="2011" t="s">
        <v>1230</v>
      </c>
      <c r="C330" s="2318">
        <f>IF('1.02b_Debt'!D223 = "","",'1.02b_Debt'!D223)</f>
        <v>41361</v>
      </c>
      <c r="D330" s="2319">
        <f>IF('1.02b_Debt'!E223 = "","",'1.02b_Debt'!E223)</f>
        <v>45016</v>
      </c>
      <c r="E330" s="2320" t="str">
        <f>IF('1.02b_Debt'!F223 = "","",'1.02b_Debt'!F223)</f>
        <v>Re-fix rate on 2035 bond (C3) for periods up to 10 years</v>
      </c>
      <c r="F330" s="2594"/>
      <c r="G330" s="2594"/>
      <c r="H330" s="2594"/>
      <c r="I330" s="2595"/>
      <c r="J330" s="2051"/>
      <c r="K330" s="2051"/>
      <c r="L330" s="2838"/>
      <c r="M330" s="2575"/>
      <c r="N330" s="2576"/>
      <c r="O330" s="2576"/>
      <c r="P330" s="2576"/>
      <c r="Q330" s="2576">
        <v>0.20756590999999999</v>
      </c>
      <c r="R330" s="2576">
        <v>0.14210125000000004</v>
      </c>
      <c r="S330" s="2576">
        <v>0.12985479452054791</v>
      </c>
      <c r="T330" s="2577">
        <v>0.12949999999999998</v>
      </c>
      <c r="U330" s="2578">
        <v>0.126</v>
      </c>
      <c r="V330" s="2576">
        <v>0.11867397260273965</v>
      </c>
      <c r="W330" s="2576">
        <v>0</v>
      </c>
      <c r="X330" s="2576">
        <v>0</v>
      </c>
      <c r="Y330" s="2579">
        <v>0</v>
      </c>
    </row>
    <row r="331" spans="2:25" outlineLevel="1">
      <c r="B331" s="2011" t="s">
        <v>1231</v>
      </c>
      <c r="C331" s="2318">
        <f>IF('1.02b_Debt'!D224 = "","",'1.02b_Debt'!D224)</f>
        <v>41361</v>
      </c>
      <c r="D331" s="2319">
        <f>IF('1.02b_Debt'!E224 = "","",'1.02b_Debt'!E224)</f>
        <v>43738</v>
      </c>
      <c r="E331" s="2320" t="str">
        <f>IF('1.02b_Debt'!F224 = "","",'1.02b_Debt'!F224)</f>
        <v>Re-fix rate on 2035 bond (C3) for periods up to 10 years</v>
      </c>
      <c r="F331" s="2594"/>
      <c r="G331" s="2594"/>
      <c r="H331" s="2594"/>
      <c r="I331" s="2595"/>
      <c r="J331" s="2051"/>
      <c r="K331" s="2051"/>
      <c r="L331" s="2838"/>
      <c r="M331" s="2575"/>
      <c r="N331" s="2576"/>
      <c r="O331" s="2576"/>
      <c r="P331" s="2576"/>
      <c r="Q331" s="2576">
        <v>5.9304550000000004E-2</v>
      </c>
      <c r="R331" s="2576">
        <v>4.0600349999999993E-2</v>
      </c>
      <c r="S331" s="2576">
        <v>1.844931506849315E-2</v>
      </c>
      <c r="T331" s="2577">
        <v>0</v>
      </c>
      <c r="U331" s="2578">
        <v>0</v>
      </c>
      <c r="V331" s="2576">
        <v>0</v>
      </c>
      <c r="W331" s="2576">
        <v>0</v>
      </c>
      <c r="X331" s="2576">
        <v>0</v>
      </c>
      <c r="Y331" s="2579">
        <v>0</v>
      </c>
    </row>
    <row r="332" spans="2:25" outlineLevel="1">
      <c r="B332" s="2011" t="s">
        <v>1232</v>
      </c>
      <c r="C332" s="2318">
        <f>IF('1.02b_Debt'!D225 = "","",'1.02b_Debt'!D225)</f>
        <v>41361</v>
      </c>
      <c r="D332" s="2319">
        <f>IF('1.02b_Debt'!E225 = "","",'1.02b_Debt'!E225)</f>
        <v>43921</v>
      </c>
      <c r="E332" s="2320" t="str">
        <f>IF('1.02b_Debt'!F225 = "","",'1.02b_Debt'!F225)</f>
        <v>Re-fix rate on 2035 bond (C3) for periods up to 10 years</v>
      </c>
      <c r="F332" s="2594"/>
      <c r="G332" s="2594"/>
      <c r="H332" s="2594"/>
      <c r="I332" s="2595"/>
      <c r="J332" s="2051"/>
      <c r="K332" s="2051"/>
      <c r="L332" s="2838"/>
      <c r="M332" s="2575"/>
      <c r="N332" s="2576"/>
      <c r="O332" s="2576"/>
      <c r="P332" s="2576"/>
      <c r="Q332" s="2576">
        <v>0.20756590999999999</v>
      </c>
      <c r="R332" s="2576">
        <v>0.14210125000000004</v>
      </c>
      <c r="S332" s="2576">
        <v>0.12949999999999998</v>
      </c>
      <c r="T332" s="2577">
        <v>0</v>
      </c>
      <c r="U332" s="2578">
        <v>0</v>
      </c>
      <c r="V332" s="2576">
        <v>0</v>
      </c>
      <c r="W332" s="2576">
        <v>0</v>
      </c>
      <c r="X332" s="2576">
        <v>0</v>
      </c>
      <c r="Y332" s="2579">
        <v>0</v>
      </c>
    </row>
    <row r="333" spans="2:25" outlineLevel="1">
      <c r="B333" s="2011" t="s">
        <v>1233</v>
      </c>
      <c r="C333" s="2318">
        <f>IF('1.02b_Debt'!D226 = "","",'1.02b_Debt'!D226)</f>
        <v>41361</v>
      </c>
      <c r="D333" s="2319">
        <f>IF('1.02b_Debt'!E226 = "","",'1.02b_Debt'!E226)</f>
        <v>44104</v>
      </c>
      <c r="E333" s="2320" t="str">
        <f>IF('1.02b_Debt'!F226 = "","",'1.02b_Debt'!F226)</f>
        <v>Re-fix rate on 2035 bond (C3) for periods up to 10 years</v>
      </c>
      <c r="F333" s="2594"/>
      <c r="G333" s="2594"/>
      <c r="H333" s="2594"/>
      <c r="I333" s="2595"/>
      <c r="J333" s="2051"/>
      <c r="K333" s="2051"/>
      <c r="L333" s="2838"/>
      <c r="M333" s="2575"/>
      <c r="N333" s="2576"/>
      <c r="O333" s="2576"/>
      <c r="P333" s="2576"/>
      <c r="Q333" s="2576">
        <v>0.20756590999999999</v>
      </c>
      <c r="R333" s="2576">
        <v>0.14210125000000004</v>
      </c>
      <c r="S333" s="2576">
        <v>0.12985479452054791</v>
      </c>
      <c r="T333" s="2577">
        <v>6.4572602739725996E-2</v>
      </c>
      <c r="U333" s="2578">
        <v>0</v>
      </c>
      <c r="V333" s="2576">
        <v>0</v>
      </c>
      <c r="W333" s="2576">
        <v>0</v>
      </c>
      <c r="X333" s="2576">
        <v>0</v>
      </c>
      <c r="Y333" s="2579">
        <v>0</v>
      </c>
    </row>
    <row r="334" spans="2:25" outlineLevel="1">
      <c r="B334" s="2011" t="s">
        <v>1234</v>
      </c>
      <c r="C334" s="2318">
        <f>IF('1.02b_Debt'!D227 = "","",'1.02b_Debt'!D227)</f>
        <v>41361</v>
      </c>
      <c r="D334" s="2319">
        <f>IF('1.02b_Debt'!E227 = "","",'1.02b_Debt'!E227)</f>
        <v>44286</v>
      </c>
      <c r="E334" s="2320" t="str">
        <f>IF('1.02b_Debt'!F227 = "","",'1.02b_Debt'!F227)</f>
        <v>Re-fix rate on 2035 bond (C3) for periods up to 10 years</v>
      </c>
      <c r="F334" s="2594"/>
      <c r="G334" s="2594"/>
      <c r="H334" s="2594"/>
      <c r="I334" s="2595"/>
      <c r="J334" s="2051"/>
      <c r="K334" s="2051"/>
      <c r="L334" s="2838"/>
      <c r="M334" s="2575"/>
      <c r="N334" s="2576"/>
      <c r="O334" s="2576"/>
      <c r="P334" s="2576"/>
      <c r="Q334" s="2576">
        <v>0.20756590999999999</v>
      </c>
      <c r="R334" s="2576">
        <v>0.14210125000000004</v>
      </c>
      <c r="S334" s="2576">
        <v>0.12985479452054791</v>
      </c>
      <c r="T334" s="2577">
        <v>0.12914520547945199</v>
      </c>
      <c r="U334" s="2578">
        <v>0</v>
      </c>
      <c r="V334" s="2576">
        <v>0</v>
      </c>
      <c r="W334" s="2576">
        <v>0</v>
      </c>
      <c r="X334" s="2576">
        <v>0</v>
      </c>
      <c r="Y334" s="2579">
        <v>0</v>
      </c>
    </row>
    <row r="335" spans="2:25" outlineLevel="1">
      <c r="B335" s="2011" t="s">
        <v>1235</v>
      </c>
      <c r="C335" s="2318">
        <f>IF('1.02b_Debt'!D228 = "","",'1.02b_Debt'!D228)</f>
        <v>41361</v>
      </c>
      <c r="D335" s="2319">
        <f>IF('1.02b_Debt'!E228 = "","",'1.02b_Debt'!E228)</f>
        <v>44469</v>
      </c>
      <c r="E335" s="2320" t="str">
        <f>IF('1.02b_Debt'!F228 = "","",'1.02b_Debt'!F228)</f>
        <v>Re-fix rate on 2035 bond (C3) for periods up to 10 years</v>
      </c>
      <c r="F335" s="2594"/>
      <c r="G335" s="2594"/>
      <c r="H335" s="2594"/>
      <c r="I335" s="2595"/>
      <c r="J335" s="2051"/>
      <c r="K335" s="2051"/>
      <c r="L335" s="2838"/>
      <c r="M335" s="2575"/>
      <c r="N335" s="2576"/>
      <c r="O335" s="2576"/>
      <c r="P335" s="2576"/>
      <c r="Q335" s="2576">
        <v>0.20756590999999999</v>
      </c>
      <c r="R335" s="2576">
        <v>0.14210125000000004</v>
      </c>
      <c r="S335" s="2576">
        <v>0.12985479452054791</v>
      </c>
      <c r="T335" s="2577">
        <v>0.12949999999999998</v>
      </c>
      <c r="U335" s="2578">
        <v>6.2827397260273948E-2</v>
      </c>
      <c r="V335" s="2576">
        <v>0</v>
      </c>
      <c r="W335" s="2576">
        <v>0</v>
      </c>
      <c r="X335" s="2576">
        <v>0</v>
      </c>
      <c r="Y335" s="2579">
        <v>0</v>
      </c>
    </row>
    <row r="336" spans="2:25" outlineLevel="1">
      <c r="B336" s="2011" t="s">
        <v>1236</v>
      </c>
      <c r="C336" s="2318">
        <f>IF('1.02b_Debt'!D229 = "","",'1.02b_Debt'!D229)</f>
        <v>41361</v>
      </c>
      <c r="D336" s="2319">
        <f>IF('1.02b_Debt'!E229 = "","",'1.02b_Debt'!E229)</f>
        <v>44651</v>
      </c>
      <c r="E336" s="2320" t="str">
        <f>IF('1.02b_Debt'!F229 = "","",'1.02b_Debt'!F229)</f>
        <v>Re-fix rate on 2035 bond (C3) for periods up to 10 years</v>
      </c>
      <c r="F336" s="2594"/>
      <c r="G336" s="2594"/>
      <c r="H336" s="2594"/>
      <c r="I336" s="2595"/>
      <c r="J336" s="2051"/>
      <c r="K336" s="2051"/>
      <c r="L336" s="2838"/>
      <c r="M336" s="2575"/>
      <c r="N336" s="2576"/>
      <c r="O336" s="2576"/>
      <c r="P336" s="2576"/>
      <c r="Q336" s="2576">
        <v>0.20756590999999999</v>
      </c>
      <c r="R336" s="2576">
        <v>0.14210125000000004</v>
      </c>
      <c r="S336" s="2576">
        <v>0.12985479452054791</v>
      </c>
      <c r="T336" s="2577">
        <v>0.12949999999999998</v>
      </c>
      <c r="U336" s="2578">
        <v>0.1256547945205479</v>
      </c>
      <c r="V336" s="2576">
        <v>0</v>
      </c>
      <c r="W336" s="2576">
        <v>0</v>
      </c>
      <c r="X336" s="2576">
        <v>0</v>
      </c>
      <c r="Y336" s="2579">
        <v>0</v>
      </c>
    </row>
    <row r="337" spans="2:25" outlineLevel="1">
      <c r="B337" s="2011" t="s">
        <v>1237</v>
      </c>
      <c r="C337" s="2318">
        <f>IF('1.02b_Debt'!D230 = "","",'1.02b_Debt'!D230)</f>
        <v>41361</v>
      </c>
      <c r="D337" s="2319">
        <f>IF('1.02b_Debt'!E230 = "","",'1.02b_Debt'!E230)</f>
        <v>44834</v>
      </c>
      <c r="E337" s="2320" t="str">
        <f>IF('1.02b_Debt'!F230 = "","",'1.02b_Debt'!F230)</f>
        <v>Re-fix rate on 2035 bond (C3) for periods up to 10 years</v>
      </c>
      <c r="F337" s="2594"/>
      <c r="G337" s="2594"/>
      <c r="H337" s="2594"/>
      <c r="I337" s="2595"/>
      <c r="J337" s="2051"/>
      <c r="K337" s="2051"/>
      <c r="L337" s="2838"/>
      <c r="M337" s="2575"/>
      <c r="N337" s="2576"/>
      <c r="O337" s="2576"/>
      <c r="P337" s="2576"/>
      <c r="Q337" s="2576">
        <v>0.20756590999999999</v>
      </c>
      <c r="R337" s="2576">
        <v>0.14210125000000004</v>
      </c>
      <c r="S337" s="2576">
        <v>0.12985479452054791</v>
      </c>
      <c r="T337" s="2577">
        <v>0.12949999999999998</v>
      </c>
      <c r="U337" s="2578">
        <v>0.126</v>
      </c>
      <c r="V337" s="2576">
        <v>5.9336986301369826E-2</v>
      </c>
      <c r="W337" s="2576">
        <v>0</v>
      </c>
      <c r="X337" s="2576">
        <v>0</v>
      </c>
      <c r="Y337" s="2579">
        <v>0</v>
      </c>
    </row>
    <row r="338" spans="2:25" outlineLevel="1">
      <c r="B338" s="2011" t="s">
        <v>1238</v>
      </c>
      <c r="C338" s="2318">
        <f>IF('1.02b_Debt'!D231 = "","",'1.02b_Debt'!D231)</f>
        <v>41361</v>
      </c>
      <c r="D338" s="2319">
        <f>IF('1.02b_Debt'!E231 = "","",'1.02b_Debt'!E231)</f>
        <v>45016</v>
      </c>
      <c r="E338" s="2320" t="str">
        <f>IF('1.02b_Debt'!F231 = "","",'1.02b_Debt'!F231)</f>
        <v>Re-fix rate on 2035 bond (C3) for periods up to 10 years</v>
      </c>
      <c r="F338" s="2594"/>
      <c r="G338" s="2594"/>
      <c r="H338" s="2594"/>
      <c r="I338" s="2595"/>
      <c r="J338" s="2051"/>
      <c r="K338" s="2051"/>
      <c r="L338" s="2838"/>
      <c r="M338" s="2575"/>
      <c r="N338" s="2576"/>
      <c r="O338" s="2576"/>
      <c r="P338" s="2576"/>
      <c r="Q338" s="2576">
        <v>0.20756590999999999</v>
      </c>
      <c r="R338" s="2576">
        <v>0.14210125000000004</v>
      </c>
      <c r="S338" s="2576">
        <v>0.12985479452054791</v>
      </c>
      <c r="T338" s="2577">
        <v>0.12949999999999998</v>
      </c>
      <c r="U338" s="2578">
        <v>0.126</v>
      </c>
      <c r="V338" s="2576">
        <v>0.11867397260273965</v>
      </c>
      <c r="W338" s="2576">
        <v>0</v>
      </c>
      <c r="X338" s="2576">
        <v>0</v>
      </c>
      <c r="Y338" s="2579">
        <v>0</v>
      </c>
    </row>
    <row r="339" spans="2:25" outlineLevel="1">
      <c r="B339" s="2011" t="s">
        <v>1239</v>
      </c>
      <c r="C339" s="2318">
        <f>IF('1.02b_Debt'!D232 = "","",'1.02b_Debt'!D232)</f>
        <v>40268</v>
      </c>
      <c r="D339" s="2319">
        <f>IF('1.02b_Debt'!E232 = "","",'1.02b_Debt'!E232)</f>
        <v>43921</v>
      </c>
      <c r="E339" s="2320" t="str">
        <f>IF('1.02b_Debt'!F232 = "","",'1.02b_Debt'!F232)</f>
        <v>Original pre-hedge of 2019 bond (C1)</v>
      </c>
      <c r="F339" s="2594"/>
      <c r="G339" s="2594"/>
      <c r="H339" s="2594"/>
      <c r="I339" s="2595"/>
      <c r="J339" s="2051"/>
      <c r="K339" s="2051"/>
      <c r="L339" s="2838"/>
      <c r="M339" s="2575"/>
      <c r="N339" s="2576"/>
      <c r="O339" s="2576"/>
      <c r="P339" s="2576"/>
      <c r="Q339" s="2576">
        <v>1.3803272799999997</v>
      </c>
      <c r="R339" s="2576">
        <v>1.2681021400000001</v>
      </c>
      <c r="S339" s="2576">
        <v>1.2464999999999999</v>
      </c>
      <c r="T339" s="2577">
        <v>0</v>
      </c>
      <c r="U339" s="2578">
        <v>0</v>
      </c>
      <c r="V339" s="2576">
        <v>0</v>
      </c>
      <c r="W339" s="2576">
        <v>0</v>
      </c>
      <c r="X339" s="2576">
        <v>0</v>
      </c>
      <c r="Y339" s="2579">
        <v>0</v>
      </c>
    </row>
    <row r="340" spans="2:25" outlineLevel="1">
      <c r="B340" s="2011" t="s">
        <v>1240</v>
      </c>
      <c r="C340" s="2318">
        <f>IF('1.02b_Debt'!D233 = "","",'1.02b_Debt'!D233)</f>
        <v>40268</v>
      </c>
      <c r="D340" s="2319">
        <f>IF('1.02b_Debt'!E233 = "","",'1.02b_Debt'!E233)</f>
        <v>43921</v>
      </c>
      <c r="E340" s="2320" t="str">
        <f>IF('1.02b_Debt'!F233 = "","",'1.02b_Debt'!F233)</f>
        <v>Original pre-hedge of 2019 bond (C1)</v>
      </c>
      <c r="F340" s="2594"/>
      <c r="G340" s="2594"/>
      <c r="H340" s="2594"/>
      <c r="I340" s="2595"/>
      <c r="J340" s="2051"/>
      <c r="K340" s="2051"/>
      <c r="L340" s="2838"/>
      <c r="M340" s="2575"/>
      <c r="N340" s="2576"/>
      <c r="O340" s="2576"/>
      <c r="P340" s="2576"/>
      <c r="Q340" s="2576">
        <v>1.3795772799999995</v>
      </c>
      <c r="R340" s="2576">
        <v>1.2673521299999999</v>
      </c>
      <c r="S340" s="2576">
        <v>1.2457499999999999</v>
      </c>
      <c r="T340" s="2577">
        <v>0</v>
      </c>
      <c r="U340" s="2578">
        <v>0</v>
      </c>
      <c r="V340" s="2576">
        <v>0</v>
      </c>
      <c r="W340" s="2576">
        <v>0</v>
      </c>
      <c r="X340" s="2576">
        <v>0</v>
      </c>
      <c r="Y340" s="2579">
        <v>0</v>
      </c>
    </row>
    <row r="341" spans="2:25" outlineLevel="1">
      <c r="B341" s="2011" t="s">
        <v>1241</v>
      </c>
      <c r="C341" s="2318">
        <f>IF('1.02b_Debt'!D234 = "","",'1.02b_Debt'!D234)</f>
        <v>40268</v>
      </c>
      <c r="D341" s="2319">
        <f>IF('1.02b_Debt'!E234 = "","",'1.02b_Debt'!E234)</f>
        <v>43921</v>
      </c>
      <c r="E341" s="2320" t="str">
        <f>IF('1.02b_Debt'!F234 = "","",'1.02b_Debt'!F234)</f>
        <v>Original pre-hedge of 2019 bond (C1)</v>
      </c>
      <c r="F341" s="2594"/>
      <c r="G341" s="2594"/>
      <c r="H341" s="2594"/>
      <c r="I341" s="2595"/>
      <c r="J341" s="2051"/>
      <c r="K341" s="2051"/>
      <c r="L341" s="2838"/>
      <c r="M341" s="2575"/>
      <c r="N341" s="2576"/>
      <c r="O341" s="2576"/>
      <c r="P341" s="2576"/>
      <c r="Q341" s="2576">
        <v>0.91521820000000009</v>
      </c>
      <c r="R341" s="2576">
        <v>0.84040142000000007</v>
      </c>
      <c r="S341" s="2576">
        <v>0.82600000000000007</v>
      </c>
      <c r="T341" s="2577">
        <v>0</v>
      </c>
      <c r="U341" s="2578">
        <v>0</v>
      </c>
      <c r="V341" s="2576">
        <v>0</v>
      </c>
      <c r="W341" s="2576">
        <v>0</v>
      </c>
      <c r="X341" s="2576">
        <v>0</v>
      </c>
      <c r="Y341" s="2579">
        <v>0</v>
      </c>
    </row>
    <row r="342" spans="2:25" outlineLevel="1">
      <c r="B342" s="2011" t="s">
        <v>1242</v>
      </c>
      <c r="C342" s="2318">
        <f>IF('1.02b_Debt'!D235 = "","",'1.02b_Debt'!D235)</f>
        <v>40268</v>
      </c>
      <c r="D342" s="2319">
        <f>IF('1.02b_Debt'!E235 = "","",'1.02b_Debt'!E235)</f>
        <v>43921</v>
      </c>
      <c r="E342" s="2320" t="str">
        <f>IF('1.02b_Debt'!F235 = "","",'1.02b_Debt'!F235)</f>
        <v>Original pre-hedge of 2019 bond (C1)</v>
      </c>
      <c r="F342" s="2594"/>
      <c r="G342" s="2594"/>
      <c r="H342" s="2594"/>
      <c r="I342" s="2595"/>
      <c r="J342" s="2051"/>
      <c r="K342" s="2051"/>
      <c r="L342" s="2838"/>
      <c r="M342" s="2575"/>
      <c r="N342" s="2576"/>
      <c r="O342" s="2576"/>
      <c r="P342" s="2576"/>
      <c r="Q342" s="2576">
        <v>2.3305454500000002</v>
      </c>
      <c r="R342" s="2576">
        <v>2.1435035400000007</v>
      </c>
      <c r="S342" s="2576">
        <v>2.1074999999999999</v>
      </c>
      <c r="T342" s="2577">
        <v>0</v>
      </c>
      <c r="U342" s="2578">
        <v>0</v>
      </c>
      <c r="V342" s="2576">
        <v>0</v>
      </c>
      <c r="W342" s="2576">
        <v>0</v>
      </c>
      <c r="X342" s="2576">
        <v>0</v>
      </c>
      <c r="Y342" s="2579">
        <v>0</v>
      </c>
    </row>
    <row r="343" spans="2:25" outlineLevel="1">
      <c r="B343" s="2011" t="s">
        <v>1243</v>
      </c>
      <c r="C343" s="2318">
        <f>IF('1.02b_Debt'!D236 = "","",'1.02b_Debt'!D236)</f>
        <v>40268</v>
      </c>
      <c r="D343" s="2319">
        <f>IF('1.02b_Debt'!E236 = "","",'1.02b_Debt'!E236)</f>
        <v>43921</v>
      </c>
      <c r="E343" s="2320" t="str">
        <f>IF('1.02b_Debt'!F236 = "","",'1.02b_Debt'!F236)</f>
        <v>Original pre-hedge of 2019 bond (C1)</v>
      </c>
      <c r="F343" s="2594"/>
      <c r="G343" s="2594"/>
      <c r="H343" s="2594"/>
      <c r="I343" s="2595"/>
      <c r="J343" s="2051"/>
      <c r="K343" s="2051"/>
      <c r="L343" s="2838"/>
      <c r="M343" s="2575"/>
      <c r="N343" s="2576"/>
      <c r="O343" s="2576"/>
      <c r="P343" s="2576"/>
      <c r="Q343" s="2576">
        <v>1.8624363800000001</v>
      </c>
      <c r="R343" s="2576">
        <v>1.7128028500000003</v>
      </c>
      <c r="S343" s="2576">
        <v>1.6840000000000002</v>
      </c>
      <c r="T343" s="2577">
        <v>0</v>
      </c>
      <c r="U343" s="2578">
        <v>0</v>
      </c>
      <c r="V343" s="2576">
        <v>0</v>
      </c>
      <c r="W343" s="2576">
        <v>0</v>
      </c>
      <c r="X343" s="2576">
        <v>0</v>
      </c>
      <c r="Y343" s="2579">
        <v>0</v>
      </c>
    </row>
    <row r="344" spans="2:25" outlineLevel="1">
      <c r="B344" s="2011" t="s">
        <v>1245</v>
      </c>
      <c r="C344" s="2318">
        <f>IF('1.02b_Debt'!D237 = "","",'1.02b_Debt'!D237)</f>
        <v>40268</v>
      </c>
      <c r="D344" s="2319">
        <f>IF('1.02b_Debt'!E237 = "","",'1.02b_Debt'!E237)</f>
        <v>43921</v>
      </c>
      <c r="E344" s="2320" t="str">
        <f>IF('1.02b_Debt'!F237 = "","",'1.02b_Debt'!F237)</f>
        <v>Original pre-hedge of 2019 bond (C1)</v>
      </c>
      <c r="F344" s="2594"/>
      <c r="G344" s="2594"/>
      <c r="H344" s="2594"/>
      <c r="I344" s="2595"/>
      <c r="J344" s="2051"/>
      <c r="K344" s="2051"/>
      <c r="L344" s="2838"/>
      <c r="M344" s="2575"/>
      <c r="N344" s="2576"/>
      <c r="O344" s="2576"/>
      <c r="P344" s="2576"/>
      <c r="Q344" s="2576">
        <v>1.41032728</v>
      </c>
      <c r="R344" s="2576">
        <v>1.29810213</v>
      </c>
      <c r="S344" s="2576">
        <v>1.2765</v>
      </c>
      <c r="T344" s="2577">
        <v>0</v>
      </c>
      <c r="U344" s="2578">
        <v>0</v>
      </c>
      <c r="V344" s="2576">
        <v>0</v>
      </c>
      <c r="W344" s="2576">
        <v>0</v>
      </c>
      <c r="X344" s="2576">
        <v>0</v>
      </c>
      <c r="Y344" s="2579">
        <v>0</v>
      </c>
    </row>
    <row r="345" spans="2:25" outlineLevel="1">
      <c r="B345" s="2011" t="s">
        <v>1246</v>
      </c>
      <c r="C345" s="2318">
        <f>IF('1.02b_Debt'!D238 = "","",'1.02b_Debt'!D238)</f>
        <v>40268</v>
      </c>
      <c r="D345" s="2319">
        <f>IF('1.02b_Debt'!E238 = "","",'1.02b_Debt'!E238)</f>
        <v>43921</v>
      </c>
      <c r="E345" s="2320" t="str">
        <f>IF('1.02b_Debt'!F238 = "","",'1.02b_Debt'!F238)</f>
        <v>Annuitise negative fair value of above swaps</v>
      </c>
      <c r="F345" s="2594"/>
      <c r="G345" s="2594"/>
      <c r="H345" s="2594"/>
      <c r="I345" s="2595"/>
      <c r="J345" s="2051"/>
      <c r="K345" s="2051"/>
      <c r="L345" s="2838"/>
      <c r="M345" s="2575"/>
      <c r="N345" s="2576"/>
      <c r="O345" s="2576"/>
      <c r="P345" s="2576"/>
      <c r="Q345" s="2576">
        <v>-2.9592727499999998</v>
      </c>
      <c r="R345" s="2576">
        <v>-2.6600056700000003</v>
      </c>
      <c r="S345" s="2576">
        <v>-2.6024000000000003</v>
      </c>
      <c r="T345" s="2577">
        <v>0</v>
      </c>
      <c r="U345" s="2578">
        <v>0</v>
      </c>
      <c r="V345" s="2576">
        <v>0</v>
      </c>
      <c r="W345" s="2576">
        <v>0</v>
      </c>
      <c r="X345" s="2576">
        <v>0</v>
      </c>
      <c r="Y345" s="2579">
        <v>0</v>
      </c>
    </row>
    <row r="346" spans="2:25" outlineLevel="1">
      <c r="B346" s="2011" t="s">
        <v>1247</v>
      </c>
      <c r="C346" s="2318">
        <f>IF('1.02b_Debt'!D239 = "","",'1.02b_Debt'!D239)</f>
        <v>40268</v>
      </c>
      <c r="D346" s="2319">
        <f>IF('1.02b_Debt'!E239 = "","",'1.02b_Debt'!E239)</f>
        <v>43921</v>
      </c>
      <c r="E346" s="2320" t="str">
        <f>IF('1.02b_Debt'!F239 = "","",'1.02b_Debt'!F239)</f>
        <v>Annuitise negative fair value of above swaps</v>
      </c>
      <c r="F346" s="2594"/>
      <c r="G346" s="2594"/>
      <c r="H346" s="2594"/>
      <c r="I346" s="2595"/>
      <c r="J346" s="2051"/>
      <c r="K346" s="2051"/>
      <c r="L346" s="2838"/>
      <c r="M346" s="2575"/>
      <c r="N346" s="2576"/>
      <c r="O346" s="2576"/>
      <c r="P346" s="2576"/>
      <c r="Q346" s="2576">
        <v>-1.88204544</v>
      </c>
      <c r="R346" s="2576">
        <v>-1.6950035500000002</v>
      </c>
      <c r="S346" s="2576">
        <v>-1.6589999999999998</v>
      </c>
      <c r="T346" s="2577">
        <v>0</v>
      </c>
      <c r="U346" s="2578">
        <v>0</v>
      </c>
      <c r="V346" s="2576">
        <v>0</v>
      </c>
      <c r="W346" s="2576">
        <v>0</v>
      </c>
      <c r="X346" s="2576">
        <v>0</v>
      </c>
      <c r="Y346" s="2579">
        <v>0</v>
      </c>
    </row>
    <row r="347" spans="2:25" outlineLevel="1">
      <c r="B347" s="2011" t="s">
        <v>1248</v>
      </c>
      <c r="C347" s="2318">
        <f>IF('1.02b_Debt'!D240 = "","",'1.02b_Debt'!D240)</f>
        <v>40268</v>
      </c>
      <c r="D347" s="2319">
        <f>IF('1.02b_Debt'!E240 = "","",'1.02b_Debt'!E240)</f>
        <v>43921</v>
      </c>
      <c r="E347" s="2320" t="str">
        <f>IF('1.02b_Debt'!F240 = "","",'1.02b_Debt'!F240)</f>
        <v>Annuitise negative fair value of above swaps</v>
      </c>
      <c r="F347" s="2594"/>
      <c r="G347" s="2594"/>
      <c r="H347" s="2594"/>
      <c r="I347" s="2595"/>
      <c r="J347" s="2051"/>
      <c r="K347" s="2051"/>
      <c r="L347" s="2838"/>
      <c r="M347" s="2575"/>
      <c r="N347" s="2576"/>
      <c r="O347" s="2576"/>
      <c r="P347" s="2576"/>
      <c r="Q347" s="2576">
        <v>-2.7265636500000001</v>
      </c>
      <c r="R347" s="2576">
        <v>-2.4647049699999997</v>
      </c>
      <c r="S347" s="2576">
        <v>-2.4142999999999999</v>
      </c>
      <c r="T347" s="2577">
        <v>0</v>
      </c>
      <c r="U347" s="2578">
        <v>0</v>
      </c>
      <c r="V347" s="2576">
        <v>0</v>
      </c>
      <c r="W347" s="2576">
        <v>0</v>
      </c>
      <c r="X347" s="2576">
        <v>0</v>
      </c>
      <c r="Y347" s="2579">
        <v>0</v>
      </c>
    </row>
    <row r="348" spans="2:25" outlineLevel="1">
      <c r="B348" s="2011" t="s">
        <v>1249</v>
      </c>
      <c r="C348" s="2318">
        <f>IF('1.02b_Debt'!D241 = "","",'1.02b_Debt'!D241)</f>
        <v>40268</v>
      </c>
      <c r="D348" s="2319">
        <f>IF('1.02b_Debt'!E241 = "","",'1.02b_Debt'!E241)</f>
        <v>51226</v>
      </c>
      <c r="E348" s="2320" t="str">
        <f>IF('1.02b_Debt'!F241 = "","",'1.02b_Debt'!F241)</f>
        <v>Original pre-hedge of 2040 bond (C4)</v>
      </c>
      <c r="F348" s="2594"/>
      <c r="G348" s="2594"/>
      <c r="H348" s="2594"/>
      <c r="I348" s="2595"/>
      <c r="J348" s="2051"/>
      <c r="K348" s="2051"/>
      <c r="L348" s="2838"/>
      <c r="M348" s="2575"/>
      <c r="N348" s="2576"/>
      <c r="O348" s="2576"/>
      <c r="P348" s="2576"/>
      <c r="Q348" s="2576">
        <v>1.02152273</v>
      </c>
      <c r="R348" s="2576">
        <v>0.92800176999999984</v>
      </c>
      <c r="S348" s="2576">
        <v>0.91249315068493153</v>
      </c>
      <c r="T348" s="2577">
        <v>0.90999999999999992</v>
      </c>
      <c r="U348" s="2578">
        <v>0.90500000000000003</v>
      </c>
      <c r="V348" s="2576">
        <v>0.89500000000000002</v>
      </c>
      <c r="W348" s="2576">
        <v>0.88993150684931521</v>
      </c>
      <c r="X348" s="2576">
        <v>0.87750000000000006</v>
      </c>
      <c r="Y348" s="2579">
        <v>0.87000000000000011</v>
      </c>
    </row>
    <row r="349" spans="2:25" outlineLevel="1">
      <c r="B349" s="2011" t="s">
        <v>1250</v>
      </c>
      <c r="C349" s="2318">
        <f>IF('1.02b_Debt'!D242 = "","",'1.02b_Debt'!D242)</f>
        <v>40268</v>
      </c>
      <c r="D349" s="2319">
        <f>IF('1.02b_Debt'!E242 = "","",'1.02b_Debt'!E242)</f>
        <v>51226</v>
      </c>
      <c r="E349" s="2320" t="str">
        <f>IF('1.02b_Debt'!F242 = "","",'1.02b_Debt'!F242)</f>
        <v>Original pre-hedge of 2040 bond (C4)</v>
      </c>
      <c r="F349" s="2594"/>
      <c r="G349" s="2594"/>
      <c r="H349" s="2594"/>
      <c r="I349" s="2595"/>
      <c r="J349" s="2051"/>
      <c r="K349" s="2051"/>
      <c r="L349" s="2838"/>
      <c r="M349" s="2575"/>
      <c r="N349" s="2576"/>
      <c r="O349" s="2576"/>
      <c r="P349" s="2576"/>
      <c r="Q349" s="2576">
        <v>2.0430454500000006</v>
      </c>
      <c r="R349" s="2576">
        <v>1.8560035599999996</v>
      </c>
      <c r="S349" s="2576">
        <v>1.8249863013698631</v>
      </c>
      <c r="T349" s="2577">
        <v>1.8199999999999998</v>
      </c>
      <c r="U349" s="2578">
        <v>1.81</v>
      </c>
      <c r="V349" s="2576">
        <v>1.79</v>
      </c>
      <c r="W349" s="2576">
        <v>1.7798630136986304</v>
      </c>
      <c r="X349" s="2576">
        <v>1.7550000000000001</v>
      </c>
      <c r="Y349" s="2579">
        <v>1.7400000000000002</v>
      </c>
    </row>
    <row r="350" spans="2:25" outlineLevel="1">
      <c r="B350" s="2011" t="s">
        <v>1251</v>
      </c>
      <c r="C350" s="2318">
        <f>IF('1.02b_Debt'!D243 = "","",'1.02b_Debt'!D243)</f>
        <v>40268</v>
      </c>
      <c r="D350" s="2319">
        <f>IF('1.02b_Debt'!E243 = "","",'1.02b_Debt'!E243)</f>
        <v>51226</v>
      </c>
      <c r="E350" s="2320" t="str">
        <f>IF('1.02b_Debt'!F243 = "","",'1.02b_Debt'!F243)</f>
        <v>Original pre-hedge of 2040 bond (C4)</v>
      </c>
      <c r="F350" s="2594"/>
      <c r="G350" s="2594"/>
      <c r="H350" s="2594"/>
      <c r="I350" s="2595"/>
      <c r="J350" s="2051"/>
      <c r="K350" s="2051"/>
      <c r="L350" s="2838"/>
      <c r="M350" s="2575"/>
      <c r="N350" s="2576"/>
      <c r="O350" s="2576"/>
      <c r="P350" s="2576"/>
      <c r="Q350" s="2576">
        <v>2.09304545</v>
      </c>
      <c r="R350" s="2576">
        <v>1.9060035500000001</v>
      </c>
      <c r="S350" s="2576">
        <v>1.8751232876712327</v>
      </c>
      <c r="T350" s="2577">
        <v>1.8699999999999997</v>
      </c>
      <c r="U350" s="2578">
        <v>1.8599999999999999</v>
      </c>
      <c r="V350" s="2576">
        <v>1.8399999999999999</v>
      </c>
      <c r="W350" s="2576">
        <v>1.83</v>
      </c>
      <c r="X350" s="2576">
        <v>1.8049999999999999</v>
      </c>
      <c r="Y350" s="2579">
        <v>1.79</v>
      </c>
    </row>
    <row r="351" spans="2:25" outlineLevel="1">
      <c r="B351" s="2011" t="s">
        <v>1253</v>
      </c>
      <c r="C351" s="2318">
        <f>IF('1.02b_Debt'!D244 = "","",'1.02b_Debt'!D244)</f>
        <v>40268</v>
      </c>
      <c r="D351" s="2319">
        <f>IF('1.02b_Debt'!E244 = "","",'1.02b_Debt'!E244)</f>
        <v>51224</v>
      </c>
      <c r="E351" s="2320" t="str">
        <f>IF('1.02b_Debt'!F244 = "","",'1.02b_Debt'!F244)</f>
        <v>Original pre-hedge of 2040 bond (C4)</v>
      </c>
      <c r="F351" s="2594"/>
      <c r="G351" s="2594"/>
      <c r="H351" s="2594"/>
      <c r="I351" s="2595"/>
      <c r="J351" s="2051"/>
      <c r="K351" s="2051"/>
      <c r="L351" s="2838"/>
      <c r="M351" s="2575"/>
      <c r="N351" s="2576"/>
      <c r="O351" s="2576"/>
      <c r="P351" s="2576"/>
      <c r="Q351" s="2576">
        <v>2.0780454499999998</v>
      </c>
      <c r="R351" s="2576">
        <v>1.8910035499999998</v>
      </c>
      <c r="S351" s="2576">
        <v>1.8600821917808219</v>
      </c>
      <c r="T351" s="2577">
        <v>1.855</v>
      </c>
      <c r="U351" s="2578">
        <v>1.8450000000000002</v>
      </c>
      <c r="V351" s="2576">
        <v>1.8250000000000002</v>
      </c>
      <c r="W351" s="2576">
        <v>1.8149589041095893</v>
      </c>
      <c r="X351" s="2576">
        <v>1.7900000000000003</v>
      </c>
      <c r="Y351" s="2579">
        <v>1.7750000000000004</v>
      </c>
    </row>
    <row r="352" spans="2:25" outlineLevel="1">
      <c r="B352" s="2011" t="s">
        <v>1254</v>
      </c>
      <c r="C352" s="2318">
        <f>IF('1.02b_Debt'!D245 = "","",'1.02b_Debt'!D245)</f>
        <v>40268</v>
      </c>
      <c r="D352" s="2319">
        <f>IF('1.02b_Debt'!E245 = "","",'1.02b_Debt'!E245)</f>
        <v>51226</v>
      </c>
      <c r="E352" s="2320" t="str">
        <f>IF('1.02b_Debt'!F245 = "","",'1.02b_Debt'!F245)</f>
        <v>Original pre-hedge of 2040 bond (C4)</v>
      </c>
      <c r="F352" s="2594"/>
      <c r="G352" s="2594"/>
      <c r="H352" s="2594"/>
      <c r="I352" s="2595"/>
      <c r="J352" s="2051"/>
      <c r="K352" s="2051"/>
      <c r="L352" s="2838"/>
      <c r="M352" s="2575"/>
      <c r="N352" s="2576"/>
      <c r="O352" s="2576"/>
      <c r="P352" s="2576"/>
      <c r="Q352" s="2576">
        <v>2.0855454400000002</v>
      </c>
      <c r="R352" s="2576">
        <v>1.8985035499999998</v>
      </c>
      <c r="S352" s="2576">
        <v>1.8676027397260275</v>
      </c>
      <c r="T352" s="2577">
        <v>1.8624999999999998</v>
      </c>
      <c r="U352" s="2578">
        <v>1.8525</v>
      </c>
      <c r="V352" s="2576">
        <v>1.8325</v>
      </c>
      <c r="W352" s="2576">
        <v>1.8224794520547949</v>
      </c>
      <c r="X352" s="2576">
        <v>1.7975000000000001</v>
      </c>
      <c r="Y352" s="2579">
        <v>1.7825000000000002</v>
      </c>
    </row>
    <row r="353" spans="2:25" outlineLevel="1">
      <c r="B353" s="2011" t="s">
        <v>1255</v>
      </c>
      <c r="C353" s="2318">
        <f>IF('1.02b_Debt'!D246 = "","",'1.02b_Debt'!D246)</f>
        <v>40268</v>
      </c>
      <c r="D353" s="2319">
        <f>IF('1.02b_Debt'!E246 = "","",'1.02b_Debt'!E246)</f>
        <v>51226</v>
      </c>
      <c r="E353" s="2320" t="str">
        <f>IF('1.02b_Debt'!F246 = "","",'1.02b_Debt'!F246)</f>
        <v>Original pre-hedge of 2040 bond (C4)</v>
      </c>
      <c r="F353" s="2594"/>
      <c r="G353" s="2594"/>
      <c r="H353" s="2594"/>
      <c r="I353" s="2595"/>
      <c r="J353" s="2051"/>
      <c r="K353" s="2051"/>
      <c r="L353" s="2838"/>
      <c r="M353" s="2575"/>
      <c r="N353" s="2576"/>
      <c r="O353" s="2576"/>
      <c r="P353" s="2576"/>
      <c r="Q353" s="2576">
        <v>1.0440227200000001</v>
      </c>
      <c r="R353" s="2576">
        <v>0.95050177000000002</v>
      </c>
      <c r="S353" s="2576">
        <v>0.93505479452054774</v>
      </c>
      <c r="T353" s="2577">
        <v>0.93249999999999988</v>
      </c>
      <c r="U353" s="2578">
        <v>0.92749999999999999</v>
      </c>
      <c r="V353" s="2576">
        <v>0.91749999999999998</v>
      </c>
      <c r="W353" s="2576">
        <v>0.91249315068493142</v>
      </c>
      <c r="X353" s="2576">
        <v>0.9</v>
      </c>
      <c r="Y353" s="2579">
        <v>0.89250000000000007</v>
      </c>
    </row>
    <row r="354" spans="2:25" outlineLevel="1">
      <c r="B354" s="2011" t="s">
        <v>1256</v>
      </c>
      <c r="C354" s="2318">
        <f>IF('1.02b_Debt'!D247 = "","",'1.02b_Debt'!D247)</f>
        <v>40268</v>
      </c>
      <c r="D354" s="2319">
        <f>IF('1.02b_Debt'!E247 = "","",'1.02b_Debt'!E247)</f>
        <v>51226</v>
      </c>
      <c r="E354" s="2320" t="str">
        <f>IF('1.02b_Debt'!F247 = "","",'1.02b_Debt'!F247)</f>
        <v>Annuitise negative fair value of above swaps</v>
      </c>
      <c r="F354" s="2594"/>
      <c r="G354" s="2594"/>
      <c r="H354" s="2594"/>
      <c r="I354" s="2595"/>
      <c r="J354" s="2051"/>
      <c r="K354" s="2051"/>
      <c r="L354" s="2838"/>
      <c r="M354" s="2575"/>
      <c r="N354" s="2576"/>
      <c r="O354" s="2576"/>
      <c r="P354" s="2576"/>
      <c r="Q354" s="2576">
        <v>-2.6543181799999997</v>
      </c>
      <c r="R354" s="2576">
        <v>-2.3737553300000003</v>
      </c>
      <c r="S354" s="2576">
        <v>-2.326105479452055</v>
      </c>
      <c r="T354" s="2577">
        <v>-2.31975</v>
      </c>
      <c r="U354" s="2578">
        <v>-2.3047500000000003</v>
      </c>
      <c r="V354" s="2576">
        <v>-2.27475</v>
      </c>
      <c r="W354" s="2576">
        <v>-2.2584205479452057</v>
      </c>
      <c r="X354" s="2576">
        <v>-2.2222499999999998</v>
      </c>
      <c r="Y354" s="2579">
        <v>-2.1997499999999999</v>
      </c>
    </row>
    <row r="355" spans="2:25" outlineLevel="1">
      <c r="B355" s="2011" t="s">
        <v>1257</v>
      </c>
      <c r="C355" s="2318">
        <f>IF('1.02b_Debt'!D248 = "","",'1.02b_Debt'!D248)</f>
        <v>40268</v>
      </c>
      <c r="D355" s="2319">
        <f>IF('1.02b_Debt'!E248 = "","",'1.02b_Debt'!E248)</f>
        <v>51226</v>
      </c>
      <c r="E355" s="2320" t="str">
        <f>IF('1.02b_Debt'!F248 = "","",'1.02b_Debt'!F248)</f>
        <v>Annuitise negative fair value of above swaps</v>
      </c>
      <c r="F355" s="2594"/>
      <c r="G355" s="2594"/>
      <c r="H355" s="2594"/>
      <c r="I355" s="2595"/>
      <c r="J355" s="2051"/>
      <c r="K355" s="2051"/>
      <c r="L355" s="2838"/>
      <c r="M355" s="2575"/>
      <c r="N355" s="2576"/>
      <c r="O355" s="2576"/>
      <c r="P355" s="2576"/>
      <c r="Q355" s="2576">
        <v>-1.79579544</v>
      </c>
      <c r="R355" s="2576">
        <v>-1.6087535500000001</v>
      </c>
      <c r="S355" s="2576">
        <v>-1.5770589041095893</v>
      </c>
      <c r="T355" s="2577">
        <v>-1.5727500000000001</v>
      </c>
      <c r="U355" s="2578">
        <v>-1.5627500000000003</v>
      </c>
      <c r="V355" s="2576">
        <v>-1.5427500000000003</v>
      </c>
      <c r="W355" s="2576">
        <v>-1.5319356164383566</v>
      </c>
      <c r="X355" s="2576">
        <v>-1.5077500000000004</v>
      </c>
      <c r="Y355" s="2579">
        <v>-1.4927500000000005</v>
      </c>
    </row>
    <row r="356" spans="2:25" outlineLevel="1">
      <c r="B356" s="2011" t="s">
        <v>1258</v>
      </c>
      <c r="C356" s="2318">
        <f>IF('1.02b_Debt'!D249 = "","",'1.02b_Debt'!D249)</f>
        <v>40268</v>
      </c>
      <c r="D356" s="2319">
        <f>IF('1.02b_Debt'!E249 = "","",'1.02b_Debt'!E249)</f>
        <v>51226</v>
      </c>
      <c r="E356" s="2320" t="str">
        <f>IF('1.02b_Debt'!F249 = "","",'1.02b_Debt'!F249)</f>
        <v>Annuitise negative fair value of above swaps</v>
      </c>
      <c r="F356" s="2594"/>
      <c r="G356" s="2594"/>
      <c r="H356" s="2594"/>
      <c r="I356" s="2595"/>
      <c r="J356" s="2051"/>
      <c r="K356" s="2051"/>
      <c r="L356" s="2838"/>
      <c r="M356" s="2575"/>
      <c r="N356" s="2576"/>
      <c r="O356" s="2576"/>
      <c r="P356" s="2576"/>
      <c r="Q356" s="2576">
        <v>-1.8095454499999997</v>
      </c>
      <c r="R356" s="2576">
        <v>-1.6225035400000003</v>
      </c>
      <c r="S356" s="2576">
        <v>-1.5908465753424659</v>
      </c>
      <c r="T356" s="2577">
        <v>-1.5865</v>
      </c>
      <c r="U356" s="2578">
        <v>-1.5765000000000002</v>
      </c>
      <c r="V356" s="2576">
        <v>-1.5565000000000002</v>
      </c>
      <c r="W356" s="2576">
        <v>-1.5457232876712332</v>
      </c>
      <c r="X356" s="2576">
        <v>-1.5215000000000003</v>
      </c>
      <c r="Y356" s="2579">
        <v>-1.5065000000000004</v>
      </c>
    </row>
    <row r="357" spans="2:25" outlineLevel="1">
      <c r="B357" s="2011" t="s">
        <v>1259</v>
      </c>
      <c r="C357" s="2318">
        <f>IF('1.02b_Debt'!D250 = "","",'1.02b_Debt'!D250)</f>
        <v>40268</v>
      </c>
      <c r="D357" s="2319">
        <f>IF('1.02b_Debt'!E250 = "","",'1.02b_Debt'!E250)</f>
        <v>51226</v>
      </c>
      <c r="E357" s="2320" t="str">
        <f>IF('1.02b_Debt'!F250 = "","",'1.02b_Debt'!F250)</f>
        <v>Annuitise negative fair value of above swaps</v>
      </c>
      <c r="F357" s="2594"/>
      <c r="G357" s="2594"/>
      <c r="H357" s="2594"/>
      <c r="I357" s="2595"/>
      <c r="J357" s="2051"/>
      <c r="K357" s="2051"/>
      <c r="L357" s="2838"/>
      <c r="M357" s="2575"/>
      <c r="N357" s="2576"/>
      <c r="O357" s="2576"/>
      <c r="P357" s="2576"/>
      <c r="Q357" s="2576">
        <v>-2.6936931800000004</v>
      </c>
      <c r="R357" s="2576">
        <v>-2.41313033</v>
      </c>
      <c r="S357" s="2576">
        <v>-2.365588356164384</v>
      </c>
      <c r="T357" s="2577">
        <v>-2.3591250000000006</v>
      </c>
      <c r="U357" s="2578">
        <v>-2.3441250000000009</v>
      </c>
      <c r="V357" s="2576">
        <v>-2.3141250000000007</v>
      </c>
      <c r="W357" s="2576">
        <v>-2.2979034246575347</v>
      </c>
      <c r="X357" s="2576">
        <v>-2.2616250000000004</v>
      </c>
      <c r="Y357" s="2579">
        <v>-2.2391250000000005</v>
      </c>
    </row>
    <row r="358" spans="2:25" outlineLevel="1">
      <c r="B358" s="2011" t="s">
        <v>1260</v>
      </c>
      <c r="C358" s="2318">
        <f>IF('1.02b_Debt'!D251 = "","",'1.02b_Debt'!D251)</f>
        <v>42116</v>
      </c>
      <c r="D358" s="2319">
        <f>IF('1.02b_Debt'!E251 = "","",'1.02b_Debt'!E251)</f>
        <v>45769</v>
      </c>
      <c r="E358" s="2320" t="str">
        <f>IF('1.02b_Debt'!F251 = "","",'1.02b_Debt'!F251)</f>
        <v>Hedge of floating rate EIB loan (B2.1)</v>
      </c>
      <c r="F358" s="2594"/>
      <c r="G358" s="2594"/>
      <c r="H358" s="2594"/>
      <c r="I358" s="2595"/>
      <c r="J358" s="2051"/>
      <c r="K358" s="2051"/>
      <c r="L358" s="2838"/>
      <c r="M358" s="2575"/>
      <c r="N358" s="2576"/>
      <c r="O358" s="2576"/>
      <c r="P358" s="2576"/>
      <c r="Q358" s="2576">
        <v>0.20078033000000001</v>
      </c>
      <c r="R358" s="2576">
        <v>0.12854031000000002</v>
      </c>
      <c r="S358" s="2576">
        <v>0.12002794520547946</v>
      </c>
      <c r="T358" s="2577">
        <v>0.12145</v>
      </c>
      <c r="U358" s="2578">
        <v>0.11794999999999997</v>
      </c>
      <c r="V358" s="2576">
        <v>0.11094999999999999</v>
      </c>
      <c r="W358" s="2576">
        <v>0.10423479452054796</v>
      </c>
      <c r="X358" s="2576">
        <v>9.870000000000001E-2</v>
      </c>
      <c r="Y358" s="2579">
        <v>5.2758904109589024E-3</v>
      </c>
    </row>
    <row r="359" spans="2:25" outlineLevel="1">
      <c r="B359" s="2011" t="s">
        <v>1263</v>
      </c>
      <c r="C359" s="2318">
        <f>IF('1.02b_Debt'!D252 = "","",'1.02b_Debt'!D252)</f>
        <v>42026</v>
      </c>
      <c r="D359" s="2319">
        <f>IF('1.02b_Debt'!E252 = "","",'1.02b_Debt'!E252)</f>
        <v>45679</v>
      </c>
      <c r="E359" s="2320" t="str">
        <f>IF('1.02b_Debt'!F252 = "","",'1.02b_Debt'!F252)</f>
        <v>Hedge of floating rate EIB loan (B2.1)</v>
      </c>
      <c r="F359" s="2594"/>
      <c r="G359" s="2594"/>
      <c r="H359" s="2594"/>
      <c r="I359" s="2595"/>
      <c r="J359" s="2051"/>
      <c r="K359" s="2051"/>
      <c r="L359" s="2838"/>
      <c r="M359" s="2575"/>
      <c r="N359" s="2576"/>
      <c r="O359" s="2576"/>
      <c r="P359" s="2576"/>
      <c r="Q359" s="2576">
        <v>3.6895389999999993E-2</v>
      </c>
      <c r="R359" s="2576">
        <v>2.6575379999999992E-2</v>
      </c>
      <c r="S359" s="2576">
        <v>2.5381849315068487E-2</v>
      </c>
      <c r="T359" s="2577">
        <v>2.5562499999999991E-2</v>
      </c>
      <c r="U359" s="2578">
        <v>2.5062499999999991E-2</v>
      </c>
      <c r="V359" s="2576">
        <v>2.4062499999999994E-2</v>
      </c>
      <c r="W359" s="2576">
        <v>2.3125684931506841E-2</v>
      </c>
      <c r="X359" s="2576">
        <v>1.8094520547945206E-2</v>
      </c>
      <c r="Y359" s="2579">
        <v>0</v>
      </c>
    </row>
    <row r="360" spans="2:25" outlineLevel="1">
      <c r="B360" s="2011" t="s">
        <v>1264</v>
      </c>
      <c r="C360" s="2318">
        <f>IF('1.02b_Debt'!D253 = "","",'1.02b_Debt'!D253)</f>
        <v>42207</v>
      </c>
      <c r="D360" s="2319">
        <f>IF('1.02b_Debt'!E253 = "","",'1.02b_Debt'!E253)</f>
        <v>45860</v>
      </c>
      <c r="E360" s="2320" t="str">
        <f>IF('1.02b_Debt'!F253 = "","",'1.02b_Debt'!F253)</f>
        <v>Hedge of floating rate EIB loan (B2.1)</v>
      </c>
      <c r="F360" s="2594"/>
      <c r="G360" s="2594"/>
      <c r="H360" s="2594"/>
      <c r="I360" s="2595"/>
      <c r="J360" s="2051"/>
      <c r="K360" s="2051"/>
      <c r="L360" s="2838"/>
      <c r="M360" s="2575"/>
      <c r="N360" s="2576"/>
      <c r="O360" s="2576"/>
      <c r="P360" s="2576"/>
      <c r="Q360" s="2576">
        <v>7.9665789999999972E-2</v>
      </c>
      <c r="R360" s="2576">
        <v>5.9025790000000009E-2</v>
      </c>
      <c r="S360" s="2576">
        <v>5.6654794520547939E-2</v>
      </c>
      <c r="T360" s="2577">
        <v>5.7000000000000002E-2</v>
      </c>
      <c r="U360" s="2578">
        <v>5.6000000000000001E-2</v>
      </c>
      <c r="V360" s="2576">
        <v>5.4000000000000006E-2</v>
      </c>
      <c r="W360" s="2576">
        <v>5.2142465753424648E-2</v>
      </c>
      <c r="X360" s="2576">
        <v>5.050000000000001E-2</v>
      </c>
      <c r="Y360" s="2579">
        <v>1.4882191780821917E-2</v>
      </c>
    </row>
    <row r="361" spans="2:25" outlineLevel="1">
      <c r="B361" s="2011" t="s">
        <v>1265</v>
      </c>
      <c r="C361" s="2318">
        <f>IF('1.02b_Debt'!D254 = "","",'1.02b_Debt'!D254)</f>
        <v>42368</v>
      </c>
      <c r="D361" s="2319">
        <f>IF('1.02b_Debt'!E254 = "","",'1.02b_Debt'!E254)</f>
        <v>46021</v>
      </c>
      <c r="E361" s="2320" t="str">
        <f>IF('1.02b_Debt'!F254 = "","",'1.02b_Debt'!F254)</f>
        <v>Hedge of floating rate EIB loan (B2.2)</v>
      </c>
      <c r="F361" s="2594"/>
      <c r="G361" s="2594"/>
      <c r="H361" s="2594"/>
      <c r="I361" s="2595"/>
      <c r="J361" s="2051"/>
      <c r="K361" s="2051"/>
      <c r="L361" s="2838"/>
      <c r="M361" s="2575"/>
      <c r="N361" s="2576"/>
      <c r="O361" s="2576"/>
      <c r="P361" s="2576"/>
      <c r="Q361" s="2576">
        <v>0.24578426999999997</v>
      </c>
      <c r="R361" s="2576">
        <v>0.17628042000000002</v>
      </c>
      <c r="S361" s="2576">
        <v>0.16530164383561644</v>
      </c>
      <c r="T361" s="2577">
        <v>0.16659999999999997</v>
      </c>
      <c r="U361" s="2578">
        <v>0.16309999999999994</v>
      </c>
      <c r="V361" s="2576">
        <v>0.15609999999999996</v>
      </c>
      <c r="W361" s="2576">
        <v>0.14950849315068493</v>
      </c>
      <c r="X361" s="2576">
        <v>0.14384999999999998</v>
      </c>
      <c r="Y361" s="2579">
        <v>0.10235630136986296</v>
      </c>
    </row>
    <row r="362" spans="2:25" outlineLevel="1">
      <c r="B362" s="2011" t="s">
        <v>1267</v>
      </c>
      <c r="C362" s="2318">
        <f>IF('1.02b_Debt'!D255 = "","",'1.02b_Debt'!D255)</f>
        <v>42277</v>
      </c>
      <c r="D362" s="2319">
        <f>IF('1.02b_Debt'!E255 = "","",'1.02b_Debt'!E255)</f>
        <v>45930</v>
      </c>
      <c r="E362" s="2320" t="str">
        <f>IF('1.02b_Debt'!F255 = "","",'1.02b_Debt'!F255)</f>
        <v>Hedge of floating rate EIB loan (B2.2)</v>
      </c>
      <c r="F362" s="2594"/>
      <c r="G362" s="2594"/>
      <c r="H362" s="2594"/>
      <c r="I362" s="2595"/>
      <c r="J362" s="2051"/>
      <c r="K362" s="2051"/>
      <c r="L362" s="2838"/>
      <c r="M362" s="2575"/>
      <c r="N362" s="2576"/>
      <c r="O362" s="2576"/>
      <c r="P362" s="2576"/>
      <c r="Q362" s="2576">
        <v>0.24053427999999993</v>
      </c>
      <c r="R362" s="2576">
        <v>0.17103043000000001</v>
      </c>
      <c r="S362" s="2576">
        <v>0.16003726027397266</v>
      </c>
      <c r="T362" s="2577">
        <v>0.16135000000000005</v>
      </c>
      <c r="U362" s="2578">
        <v>0.15785000000000002</v>
      </c>
      <c r="V362" s="2576">
        <v>0.15085000000000004</v>
      </c>
      <c r="W362" s="2576">
        <v>0.14424410958904116</v>
      </c>
      <c r="X362" s="2576">
        <v>0.13860000000000006</v>
      </c>
      <c r="Y362" s="2579">
        <v>6.5619726027397268E-2</v>
      </c>
    </row>
    <row r="363" spans="2:25" outlineLevel="1">
      <c r="B363" s="2011" t="s">
        <v>1268</v>
      </c>
      <c r="C363" s="2318">
        <f>IF('1.02b_Debt'!D256 = "","",'1.02b_Debt'!D256)</f>
        <v>40267</v>
      </c>
      <c r="D363" s="2319">
        <f>IF('1.02b_Debt'!E256 = "","",'1.02b_Debt'!E256)</f>
        <v>43920</v>
      </c>
      <c r="E363" s="2320" t="str">
        <f>IF('1.02b_Debt'!F256 = "","",'1.02b_Debt'!F256)</f>
        <v>Hedge of floating rate EIB loan (B2.2)</v>
      </c>
      <c r="F363" s="2594"/>
      <c r="G363" s="2594"/>
      <c r="H363" s="2594"/>
      <c r="I363" s="2595"/>
      <c r="J363" s="2051"/>
      <c r="K363" s="2051"/>
      <c r="L363" s="2838"/>
      <c r="M363" s="2575"/>
      <c r="N363" s="2576"/>
      <c r="O363" s="2576"/>
      <c r="P363" s="2576"/>
      <c r="Q363" s="2576">
        <v>2.2674908599999992</v>
      </c>
      <c r="R363" s="2576">
        <v>2.0689083800000003</v>
      </c>
      <c r="S363" s="2576">
        <v>2.0306712328767125</v>
      </c>
      <c r="T363" s="2577">
        <v>0</v>
      </c>
      <c r="U363" s="2578">
        <v>0</v>
      </c>
      <c r="V363" s="2576">
        <v>0</v>
      </c>
      <c r="W363" s="2576">
        <v>0</v>
      </c>
      <c r="X363" s="2576">
        <v>0</v>
      </c>
      <c r="Y363" s="2579">
        <v>0</v>
      </c>
    </row>
    <row r="364" spans="2:25" outlineLevel="1">
      <c r="B364" s="2011" t="s">
        <v>1269</v>
      </c>
      <c r="C364" s="2318">
        <f>IF('1.02b_Debt'!D257 = "","",'1.02b_Debt'!D257)</f>
        <v>42185</v>
      </c>
      <c r="D364" s="2319">
        <f>IF('1.02b_Debt'!E257 = "","",'1.02b_Debt'!E257)</f>
        <v>45838</v>
      </c>
      <c r="E364" s="2320" t="str">
        <f>IF('1.02b_Debt'!F257 = "","",'1.02b_Debt'!F257)</f>
        <v>Hedge of floating rate EIB loan (B2.2)</v>
      </c>
      <c r="F364" s="2594"/>
      <c r="G364" s="2594"/>
      <c r="H364" s="2594"/>
      <c r="I364" s="2595"/>
      <c r="J364" s="2051"/>
      <c r="K364" s="2051"/>
      <c r="L364" s="2838"/>
      <c r="M364" s="2575"/>
      <c r="N364" s="2576"/>
      <c r="O364" s="2576"/>
      <c r="P364" s="2576"/>
      <c r="Q364" s="2576">
        <v>0.19687269999999996</v>
      </c>
      <c r="R364" s="2576">
        <v>0.14722707999999995</v>
      </c>
      <c r="S364" s="2576">
        <v>0.13944349315068494</v>
      </c>
      <c r="T364" s="2577">
        <v>0.14031250000000001</v>
      </c>
      <c r="U364" s="2578">
        <v>0.13781249999999998</v>
      </c>
      <c r="V364" s="2576">
        <v>0.1328125</v>
      </c>
      <c r="W364" s="2576">
        <v>0.12816267123287672</v>
      </c>
      <c r="X364" s="2576">
        <v>0.12406249999999998</v>
      </c>
      <c r="Y364" s="2579">
        <v>2.9357876712328767E-2</v>
      </c>
    </row>
    <row r="365" spans="2:25" outlineLevel="1">
      <c r="B365" s="2011" t="s">
        <v>1270</v>
      </c>
      <c r="C365" s="2318">
        <f>IF('1.02b_Debt'!D258 = "","",'1.02b_Debt'!D258)</f>
        <v>42459</v>
      </c>
      <c r="D365" s="2319">
        <f>IF('1.02b_Debt'!E258 = "","",'1.02b_Debt'!E258)</f>
        <v>46111</v>
      </c>
      <c r="E365" s="2320" t="str">
        <f>IF('1.02b_Debt'!F258 = "","",'1.02b_Debt'!F258)</f>
        <v>Hedge of floating rate EIB loan (B2.2)</v>
      </c>
      <c r="F365" s="2594"/>
      <c r="G365" s="2594"/>
      <c r="H365" s="2594"/>
      <c r="I365" s="2595"/>
      <c r="J365" s="2051"/>
      <c r="K365" s="2051"/>
      <c r="L365" s="2838"/>
      <c r="M365" s="2575"/>
      <c r="N365" s="2576"/>
      <c r="O365" s="2576"/>
      <c r="P365" s="2576"/>
      <c r="Q365" s="2576">
        <v>2.4349539999999989E-2</v>
      </c>
      <c r="R365" s="2576">
        <v>1.4420419999999998E-2</v>
      </c>
      <c r="S365" s="2576">
        <v>1.2822534246575343E-2</v>
      </c>
      <c r="T365" s="2577">
        <v>1.3037499999999997E-2</v>
      </c>
      <c r="U365" s="2578">
        <v>1.2537499999999997E-2</v>
      </c>
      <c r="V365" s="2576">
        <v>1.1537499999999999E-2</v>
      </c>
      <c r="W365" s="2576">
        <v>1.0566369863013698E-2</v>
      </c>
      <c r="X365" s="2576">
        <v>9.7875000000000011E-3</v>
      </c>
      <c r="Y365" s="2579">
        <v>8.7393493150684891E-3</v>
      </c>
    </row>
    <row r="366" spans="2:25" outlineLevel="1">
      <c r="B366" s="2011" t="s">
        <v>1271</v>
      </c>
      <c r="C366" s="2318">
        <f>IF('1.02b_Debt'!D259 = "","",'1.02b_Debt'!D259)</f>
        <v>41906</v>
      </c>
      <c r="D366" s="2319">
        <f>IF('1.02b_Debt'!E259 = "","",'1.02b_Debt'!E259)</f>
        <v>45559</v>
      </c>
      <c r="E366" s="2320" t="str">
        <f>IF('1.02b_Debt'!F259 = "","",'1.02b_Debt'!F259)</f>
        <v>Hedge of floating rate EIB loan (B2.3)</v>
      </c>
      <c r="F366" s="2594"/>
      <c r="G366" s="2594"/>
      <c r="H366" s="2594"/>
      <c r="I366" s="2595"/>
      <c r="J366" s="2051"/>
      <c r="K366" s="2051"/>
      <c r="L366" s="2838"/>
      <c r="M366" s="2575"/>
      <c r="N366" s="2576"/>
      <c r="O366" s="2576"/>
      <c r="P366" s="2576"/>
      <c r="Q366" s="2576">
        <v>0.20195026000000002</v>
      </c>
      <c r="R366" s="2576">
        <v>0.16320763000000002</v>
      </c>
      <c r="S366" s="2576">
        <v>0.15592602739726025</v>
      </c>
      <c r="T366" s="2577">
        <v>0.15649999999999997</v>
      </c>
      <c r="U366" s="2578">
        <v>0.15449999999999997</v>
      </c>
      <c r="V366" s="2576">
        <v>0.15049999999999999</v>
      </c>
      <c r="W366" s="2576">
        <v>0.14690136986301366</v>
      </c>
      <c r="X366" s="2576">
        <v>6.9194520547945199E-2</v>
      </c>
      <c r="Y366" s="2579">
        <v>0</v>
      </c>
    </row>
    <row r="367" spans="2:25" outlineLevel="1">
      <c r="B367" s="2011" t="s">
        <v>1273</v>
      </c>
      <c r="C367" s="2318">
        <f>IF('1.02b_Debt'!D260 = "","",'1.02b_Debt'!D260)</f>
        <v>41997</v>
      </c>
      <c r="D367" s="2319">
        <f>IF('1.02b_Debt'!E260 = "","",'1.02b_Debt'!E260)</f>
        <v>45650</v>
      </c>
      <c r="E367" s="2320" t="str">
        <f>IF('1.02b_Debt'!F260 = "","",'1.02b_Debt'!F260)</f>
        <v>Hedge of floating rate EIB loan (B2.3)</v>
      </c>
      <c r="F367" s="2594"/>
      <c r="G367" s="2594"/>
      <c r="H367" s="2594"/>
      <c r="I367" s="2595"/>
      <c r="J367" s="2051"/>
      <c r="K367" s="2051"/>
      <c r="L367" s="2838"/>
      <c r="M367" s="2575"/>
      <c r="N367" s="2576"/>
      <c r="O367" s="2576"/>
      <c r="P367" s="2576"/>
      <c r="Q367" s="2576">
        <v>0.21915038999999994</v>
      </c>
      <c r="R367" s="2576">
        <v>0.16103646000000005</v>
      </c>
      <c r="S367" s="2576">
        <v>0.14988452054794515</v>
      </c>
      <c r="T367" s="2577">
        <v>0.15097499999999997</v>
      </c>
      <c r="U367" s="2578">
        <v>0.14797499999999997</v>
      </c>
      <c r="V367" s="2576">
        <v>0.14197499999999996</v>
      </c>
      <c r="W367" s="2576">
        <v>0.13634753424657531</v>
      </c>
      <c r="X367" s="2576">
        <v>9.6174863013698597E-2</v>
      </c>
      <c r="Y367" s="2579">
        <v>0</v>
      </c>
    </row>
    <row r="368" spans="2:25" outlineLevel="1">
      <c r="B368" s="2011" t="s">
        <v>1274</v>
      </c>
      <c r="C368" s="2318">
        <f>IF('1.02b_Debt'!D261 = "","",'1.02b_Debt'!D261)</f>
        <v>41850</v>
      </c>
      <c r="D368" s="2319">
        <f>IF('1.02b_Debt'!E261 = "","",'1.02b_Debt'!E261)</f>
        <v>45503</v>
      </c>
      <c r="E368" s="2320" t="str">
        <f>IF('1.02b_Debt'!F261 = "","",'1.02b_Debt'!F261)</f>
        <v>Hedge of floating rate EIB loan (B2.4)</v>
      </c>
      <c r="F368" s="2594"/>
      <c r="G368" s="2594"/>
      <c r="H368" s="2594"/>
      <c r="I368" s="2595"/>
      <c r="J368" s="2051"/>
      <c r="K368" s="2051"/>
      <c r="L368" s="2838"/>
      <c r="M368" s="2575"/>
      <c r="N368" s="2576"/>
      <c r="O368" s="2576"/>
      <c r="P368" s="2576"/>
      <c r="Q368" s="2576">
        <v>0.38424252999999986</v>
      </c>
      <c r="R368" s="2576">
        <v>0.31435785000000011</v>
      </c>
      <c r="S368" s="2576">
        <v>0.30428136986301368</v>
      </c>
      <c r="T368" s="2577">
        <v>0.30519999999999997</v>
      </c>
      <c r="U368" s="2578">
        <v>0.30169999999999997</v>
      </c>
      <c r="V368" s="2576">
        <v>0.29469999999999996</v>
      </c>
      <c r="W368" s="2576">
        <v>0.28848821917808215</v>
      </c>
      <c r="X368" s="2576">
        <v>9.2860273972602742E-2</v>
      </c>
      <c r="Y368" s="2579">
        <v>0</v>
      </c>
    </row>
    <row r="369" spans="2:25" outlineLevel="1">
      <c r="B369" s="2011" t="s">
        <v>1276</v>
      </c>
      <c r="C369" s="2318">
        <f>IF('1.02b_Debt'!D262 = "","",'1.02b_Debt'!D262)</f>
        <v>41669</v>
      </c>
      <c r="D369" s="2319">
        <f>IF('1.02b_Debt'!E262 = "","",'1.02b_Debt'!E262)</f>
        <v>45321</v>
      </c>
      <c r="E369" s="2320" t="str">
        <f>IF('1.02b_Debt'!F262 = "","",'1.02b_Debt'!F262)</f>
        <v>Hedge of floating rate EIB loan (B2.4)</v>
      </c>
      <c r="F369" s="2594"/>
      <c r="G369" s="2594"/>
      <c r="H369" s="2594"/>
      <c r="I369" s="2595"/>
      <c r="J369" s="2051"/>
      <c r="K369" s="2051"/>
      <c r="L369" s="2838"/>
      <c r="M369" s="2575"/>
      <c r="N369" s="2576"/>
      <c r="O369" s="2576"/>
      <c r="P369" s="2576"/>
      <c r="Q369" s="2576">
        <v>0.42396753999999987</v>
      </c>
      <c r="R369" s="2576">
        <v>0.35408286000000005</v>
      </c>
      <c r="S369" s="2576">
        <v>0.34411520547945207</v>
      </c>
      <c r="T369" s="2577">
        <v>0.34492500000000004</v>
      </c>
      <c r="U369" s="2578">
        <v>0.34142499999999998</v>
      </c>
      <c r="V369" s="2576">
        <v>0.33442500000000003</v>
      </c>
      <c r="W369" s="2576">
        <v>0.27270465753424661</v>
      </c>
      <c r="X369" s="2576">
        <v>0</v>
      </c>
      <c r="Y369" s="2579">
        <v>0</v>
      </c>
    </row>
    <row r="370" spans="2:25" outlineLevel="1">
      <c r="B370" s="2011" t="s">
        <v>1277</v>
      </c>
      <c r="C370" s="2318">
        <f>IF('1.02b_Debt'!D263 = "","",'1.02b_Debt'!D263)</f>
        <v>41759</v>
      </c>
      <c r="D370" s="2319">
        <f>IF('1.02b_Debt'!E263 = "","",'1.02b_Debt'!E263)</f>
        <v>45412</v>
      </c>
      <c r="E370" s="2320" t="str">
        <f>IF('1.02b_Debt'!F263 = "","",'1.02b_Debt'!F263)</f>
        <v>Hedge of floating rate EIB loan (B2.4)</v>
      </c>
      <c r="F370" s="2594"/>
      <c r="G370" s="2594"/>
      <c r="H370" s="2594"/>
      <c r="I370" s="2595"/>
      <c r="J370" s="2051"/>
      <c r="K370" s="2051"/>
      <c r="L370" s="2838"/>
      <c r="M370" s="2575"/>
      <c r="N370" s="2576"/>
      <c r="O370" s="2576"/>
      <c r="P370" s="2576"/>
      <c r="Q370" s="2576">
        <v>0.38441753999999995</v>
      </c>
      <c r="R370" s="2576">
        <v>0.31453285000000003</v>
      </c>
      <c r="S370" s="2576">
        <v>0.30445684931506856</v>
      </c>
      <c r="T370" s="2577">
        <v>0.30537500000000006</v>
      </c>
      <c r="U370" s="2578">
        <v>0.301875</v>
      </c>
      <c r="V370" s="2576">
        <v>0.29487500000000005</v>
      </c>
      <c r="W370" s="2576">
        <v>0.28866369863013702</v>
      </c>
      <c r="X370" s="2576">
        <v>2.2455136986301374E-2</v>
      </c>
      <c r="Y370" s="2579">
        <v>0</v>
      </c>
    </row>
    <row r="371" spans="2:25" outlineLevel="1">
      <c r="B371" s="2011" t="s">
        <v>1278</v>
      </c>
      <c r="C371" s="2318">
        <f>IF('1.02b_Debt'!D264 = "","",'1.02b_Debt'!D264)</f>
        <v>41942</v>
      </c>
      <c r="D371" s="2319">
        <f>IF('1.02b_Debt'!E264 = "","",'1.02b_Debt'!E264)</f>
        <v>45595</v>
      </c>
      <c r="E371" s="2320" t="str">
        <f>IF('1.02b_Debt'!F264 = "","",'1.02b_Debt'!F264)</f>
        <v>Hedge of floating rate EIB loan (B2.4)</v>
      </c>
      <c r="F371" s="2594"/>
      <c r="G371" s="2594"/>
      <c r="H371" s="2594"/>
      <c r="I371" s="2595"/>
      <c r="J371" s="2051"/>
      <c r="K371" s="2051"/>
      <c r="L371" s="2838"/>
      <c r="M371" s="2575"/>
      <c r="N371" s="2576"/>
      <c r="O371" s="2576"/>
      <c r="P371" s="2576"/>
      <c r="Q371" s="2576">
        <v>0.15312538000000001</v>
      </c>
      <c r="R371" s="2576">
        <v>0.12317479999999996</v>
      </c>
      <c r="S371" s="2576">
        <v>0.11882465753424659</v>
      </c>
      <c r="T371" s="2577">
        <v>0.11924999999999999</v>
      </c>
      <c r="U371" s="2578">
        <v>0.11774999999999999</v>
      </c>
      <c r="V371" s="2576">
        <v>0.11474999999999999</v>
      </c>
      <c r="W371" s="2576">
        <v>0.11205616438356167</v>
      </c>
      <c r="X371" s="2576">
        <v>6.3600000000000004E-2</v>
      </c>
      <c r="Y371" s="2579">
        <v>0</v>
      </c>
    </row>
    <row r="372" spans="2:25" outlineLevel="1">
      <c r="B372" s="2011" t="s">
        <v>1279</v>
      </c>
      <c r="C372" s="2318">
        <f>IF('1.02b_Debt'!D265 = "","",'1.02b_Debt'!D265)</f>
        <v>41450</v>
      </c>
      <c r="D372" s="2319">
        <f>IF('1.02b_Debt'!E265 = "","",'1.02b_Debt'!E265)</f>
        <v>45102</v>
      </c>
      <c r="E372" s="2320" t="str">
        <f>IF('1.02b_Debt'!F265 = "","",'1.02b_Debt'!F265)</f>
        <v>Hedge of floating rate EIB loan (B2.6)</v>
      </c>
      <c r="F372" s="2594"/>
      <c r="G372" s="2594"/>
      <c r="H372" s="2594"/>
      <c r="I372" s="2595"/>
      <c r="J372" s="2051"/>
      <c r="K372" s="2051"/>
      <c r="L372" s="2838"/>
      <c r="M372" s="2575"/>
      <c r="N372" s="2576"/>
      <c r="O372" s="2576"/>
      <c r="P372" s="2576"/>
      <c r="Q372" s="2576">
        <v>0.36412110000000009</v>
      </c>
      <c r="R372" s="2576">
        <v>0.29680323999999997</v>
      </c>
      <c r="S372" s="2576">
        <v>0.28375027397260277</v>
      </c>
      <c r="T372" s="2577">
        <v>0.28472500000000006</v>
      </c>
      <c r="U372" s="2578">
        <v>0.28122500000000006</v>
      </c>
      <c r="V372" s="2576">
        <v>0.27422500000000005</v>
      </c>
      <c r="W372" s="2576">
        <v>6.2230479452054815E-2</v>
      </c>
      <c r="X372" s="2576">
        <v>0</v>
      </c>
      <c r="Y372" s="2579">
        <v>0</v>
      </c>
    </row>
    <row r="373" spans="2:25" outlineLevel="1">
      <c r="B373" s="2011" t="s">
        <v>1281</v>
      </c>
      <c r="C373" s="2318">
        <f>IF('1.02b_Debt'!D266 = "","",'1.02b_Debt'!D266)</f>
        <v>41542</v>
      </c>
      <c r="D373" s="2319">
        <f>IF('1.02b_Debt'!E266 = "","",'1.02b_Debt'!E266)</f>
        <v>45194</v>
      </c>
      <c r="E373" s="2320" t="str">
        <f>IF('1.02b_Debt'!F266 = "","",'1.02b_Debt'!F266)</f>
        <v>Hedge of floating rate EIB loan (B2.6)</v>
      </c>
      <c r="F373" s="2594"/>
      <c r="G373" s="2594"/>
      <c r="H373" s="2594"/>
      <c r="I373" s="2595"/>
      <c r="J373" s="2051"/>
      <c r="K373" s="2051"/>
      <c r="L373" s="2838"/>
      <c r="M373" s="2575"/>
      <c r="N373" s="2576"/>
      <c r="O373" s="2576"/>
      <c r="P373" s="2576"/>
      <c r="Q373" s="2576">
        <v>0.40982928999999996</v>
      </c>
      <c r="R373" s="2576">
        <v>0.34032542999999998</v>
      </c>
      <c r="S373" s="2576">
        <v>0.3297960821917808</v>
      </c>
      <c r="T373" s="2577">
        <v>0.33064499999999997</v>
      </c>
      <c r="U373" s="2578">
        <v>0.32714499999999991</v>
      </c>
      <c r="V373" s="2576">
        <v>0.32014499999999996</v>
      </c>
      <c r="W373" s="2576">
        <v>0.15185387671232875</v>
      </c>
      <c r="X373" s="2576">
        <v>0</v>
      </c>
      <c r="Y373" s="2579">
        <v>0</v>
      </c>
    </row>
    <row r="374" spans="2:25" outlineLevel="1">
      <c r="B374" s="2011" t="s">
        <v>1282</v>
      </c>
      <c r="C374" s="2318">
        <f>IF('1.02b_Debt'!D267 = "","",'1.02b_Debt'!D267)</f>
        <v>42821</v>
      </c>
      <c r="D374" s="2319">
        <f>IF('1.02b_Debt'!E267 = "","",'1.02b_Debt'!E267)</f>
        <v>45741</v>
      </c>
      <c r="E374" s="2320" t="str">
        <f>IF('1.02b_Debt'!F267 = "","",'1.02b_Debt'!F267)</f>
        <v>Hedge of floating rate EIB loan (B2.6)</v>
      </c>
      <c r="F374" s="2594"/>
      <c r="G374" s="2594"/>
      <c r="H374" s="2594"/>
      <c r="I374" s="2595"/>
      <c r="J374" s="2051"/>
      <c r="K374" s="2051"/>
      <c r="L374" s="2838"/>
      <c r="M374" s="2575"/>
      <c r="N374" s="2576"/>
      <c r="O374" s="2576"/>
      <c r="P374" s="2576"/>
      <c r="Q374" s="2576">
        <v>6.4561889999999983E-2</v>
      </c>
      <c r="R374" s="2576">
        <v>9.9362600000000127E-3</v>
      </c>
      <c r="S374" s="2576">
        <v>4.0517715431463708E-4</v>
      </c>
      <c r="T374" s="2577">
        <v>1.1562869524701369E-3</v>
      </c>
      <c r="U374" s="2578">
        <v>-3.8500048244837631E-4</v>
      </c>
      <c r="V374" s="2576">
        <v>-2.0977550874059711E-3</v>
      </c>
      <c r="W374" s="2576">
        <v>-2.3696979440211256E-3</v>
      </c>
      <c r="X374" s="2576">
        <v>-1.0307045581796461E-3</v>
      </c>
      <c r="Y374" s="2579">
        <v>0</v>
      </c>
    </row>
    <row r="375" spans="2:25" outlineLevel="1">
      <c r="B375" s="2011" t="s">
        <v>1284</v>
      </c>
      <c r="C375" s="2318">
        <f>IF('1.02b_Debt'!D268 = "","",'1.02b_Debt'!D268)</f>
        <v>42094</v>
      </c>
      <c r="D375" s="2319">
        <f>IF('1.02b_Debt'!E268 = "","",'1.02b_Debt'!E268)</f>
        <v>45747</v>
      </c>
      <c r="E375" s="2320" t="str">
        <f>IF('1.02b_Debt'!F268 = "","",'1.02b_Debt'!F268)</f>
        <v>Hedge of floating rate EIB loan (B2.7)</v>
      </c>
      <c r="F375" s="2594"/>
      <c r="G375" s="2594"/>
      <c r="H375" s="2594"/>
      <c r="I375" s="2595"/>
      <c r="J375" s="2051"/>
      <c r="K375" s="2051"/>
      <c r="L375" s="2838"/>
      <c r="M375" s="2575"/>
      <c r="N375" s="2576"/>
      <c r="O375" s="2576"/>
      <c r="P375" s="2576"/>
      <c r="Q375" s="2576">
        <v>0.12594817999999999</v>
      </c>
      <c r="R375" s="2576">
        <v>8.6231669999999983E-2</v>
      </c>
      <c r="S375" s="2576">
        <v>7.9918356164383544E-2</v>
      </c>
      <c r="T375" s="2577">
        <v>8.069999999999998E-2</v>
      </c>
      <c r="U375" s="2578">
        <v>7.8699999999999978E-2</v>
      </c>
      <c r="V375" s="2576">
        <v>7.4699999999999989E-2</v>
      </c>
      <c r="W375" s="2576">
        <v>7.0893698630136961E-2</v>
      </c>
      <c r="X375" s="2576">
        <v>6.7514520547945198E-2</v>
      </c>
      <c r="Y375" s="2579">
        <v>0</v>
      </c>
    </row>
    <row r="376" spans="2:25" outlineLevel="1">
      <c r="B376" s="2011" t="s">
        <v>1286</v>
      </c>
      <c r="C376" s="2318">
        <f>IF('1.02b_Debt'!D269 = "","",'1.02b_Debt'!D269)</f>
        <v>42094</v>
      </c>
      <c r="D376" s="2319">
        <f>IF('1.02b_Debt'!E269 = "","",'1.02b_Debt'!E269)</f>
        <v>45747</v>
      </c>
      <c r="E376" s="2320" t="str">
        <f>IF('1.02b_Debt'!F269 = "","",'1.02b_Debt'!F269)</f>
        <v>Hedge of floating rate EIB loan (B2.7)</v>
      </c>
      <c r="F376" s="2594"/>
      <c r="G376" s="2594"/>
      <c r="H376" s="2594"/>
      <c r="I376" s="2595"/>
      <c r="J376" s="2051"/>
      <c r="K376" s="2051"/>
      <c r="L376" s="2838"/>
      <c r="M376" s="2575"/>
      <c r="N376" s="2576"/>
      <c r="O376" s="2576"/>
      <c r="P376" s="2576"/>
      <c r="Q376" s="2576">
        <v>0.12664816999999998</v>
      </c>
      <c r="R376" s="2576">
        <v>8.6931669999999989E-2</v>
      </c>
      <c r="S376" s="2576">
        <v>8.0620273972602727E-2</v>
      </c>
      <c r="T376" s="2577">
        <v>8.1399999999999986E-2</v>
      </c>
      <c r="U376" s="2578">
        <v>7.9399999999999984E-2</v>
      </c>
      <c r="V376" s="2576">
        <v>7.5399999999999995E-2</v>
      </c>
      <c r="W376" s="2576">
        <v>7.1595616438356144E-2</v>
      </c>
      <c r="X376" s="2576">
        <v>6.8212602739726028E-2</v>
      </c>
      <c r="Y376" s="2579">
        <v>0</v>
      </c>
    </row>
    <row r="377" spans="2:25" outlineLevel="1">
      <c r="B377" s="2011" t="s">
        <v>1287</v>
      </c>
      <c r="C377" s="2318">
        <f>IF('1.02b_Debt'!D270 = "","",'1.02b_Debt'!D270)</f>
        <v>42094</v>
      </c>
      <c r="D377" s="2319">
        <f>IF('1.02b_Debt'!E270 = "","",'1.02b_Debt'!E270)</f>
        <v>45747</v>
      </c>
      <c r="E377" s="2320" t="str">
        <f>IF('1.02b_Debt'!F270 = "","",'1.02b_Debt'!F270)</f>
        <v>Hedge of floating rate EIB loan (B2.7)</v>
      </c>
      <c r="F377" s="2594"/>
      <c r="G377" s="2594"/>
      <c r="H377" s="2594"/>
      <c r="I377" s="2595"/>
      <c r="J377" s="2051"/>
      <c r="K377" s="2051"/>
      <c r="L377" s="2838"/>
      <c r="M377" s="2575"/>
      <c r="N377" s="2576"/>
      <c r="O377" s="2576"/>
      <c r="P377" s="2576"/>
      <c r="Q377" s="2576">
        <v>0.12574816000000003</v>
      </c>
      <c r="R377" s="2576">
        <v>8.6031670000000018E-2</v>
      </c>
      <c r="S377" s="2576">
        <v>7.971780821917808E-2</v>
      </c>
      <c r="T377" s="2577">
        <v>8.0500000000000002E-2</v>
      </c>
      <c r="U377" s="2578">
        <v>7.85E-2</v>
      </c>
      <c r="V377" s="2576">
        <v>7.4500000000000011E-2</v>
      </c>
      <c r="W377" s="2576">
        <v>7.0693150684931497E-2</v>
      </c>
      <c r="X377" s="2576">
        <v>6.7315068493150707E-2</v>
      </c>
      <c r="Y377" s="2579">
        <v>0</v>
      </c>
    </row>
    <row r="378" spans="2:25" outlineLevel="1">
      <c r="B378" s="2011" t="s">
        <v>1288</v>
      </c>
      <c r="C378" s="2318">
        <f>IF('1.02b_Debt'!D271 = "","",'1.02b_Debt'!D271)</f>
        <v>42429</v>
      </c>
      <c r="D378" s="2319">
        <f>IF('1.02b_Debt'!E271 = "","",'1.02b_Debt'!E271)</f>
        <v>46080</v>
      </c>
      <c r="E378" s="2320" t="str">
        <f>IF('1.02b_Debt'!F271 = "","",'1.02b_Debt'!F271)</f>
        <v>Hedge of floating rate EIB loan (B2.8)</v>
      </c>
      <c r="F378" s="2594"/>
      <c r="G378" s="2594"/>
      <c r="H378" s="2594"/>
      <c r="I378" s="2595"/>
      <c r="J378" s="2051"/>
      <c r="K378" s="2051"/>
      <c r="L378" s="2838"/>
      <c r="M378" s="2575"/>
      <c r="N378" s="2576"/>
      <c r="O378" s="2576"/>
      <c r="P378" s="2576"/>
      <c r="Q378" s="2576">
        <v>0.14386791999999998</v>
      </c>
      <c r="R378" s="2576">
        <v>8.9430379999999962E-2</v>
      </c>
      <c r="S378" s="2576">
        <v>7.5280684931506858E-2</v>
      </c>
      <c r="T378" s="2577">
        <v>7.6575000000000004E-2</v>
      </c>
      <c r="U378" s="2578">
        <v>7.3575000000000002E-2</v>
      </c>
      <c r="V378" s="2576">
        <v>6.7574999999999996E-2</v>
      </c>
      <c r="W378" s="2576">
        <v>6.1743698630137012E-2</v>
      </c>
      <c r="X378" s="2576">
        <v>5.7075000000000015E-2</v>
      </c>
      <c r="Y378" s="2579">
        <v>4.6457260273972623E-2</v>
      </c>
    </row>
    <row r="379" spans="2:25" outlineLevel="1">
      <c r="B379" s="2011" t="s">
        <v>1290</v>
      </c>
      <c r="C379" s="2318">
        <f>IF('1.02b_Debt'!D272 = "","",'1.02b_Debt'!D272)</f>
        <v>42429</v>
      </c>
      <c r="D379" s="2319">
        <f>IF('1.02b_Debt'!E272 = "","",'1.02b_Debt'!E272)</f>
        <v>46080</v>
      </c>
      <c r="E379" s="2320" t="str">
        <f>IF('1.02b_Debt'!F272 = "","",'1.02b_Debt'!F272)</f>
        <v>Hedge of floating rate EIB loan (B2.8)</v>
      </c>
      <c r="F379" s="2594"/>
      <c r="G379" s="2594"/>
      <c r="H379" s="2594"/>
      <c r="I379" s="2595"/>
      <c r="J379" s="2051"/>
      <c r="K379" s="2051"/>
      <c r="L379" s="2838"/>
      <c r="M379" s="2575"/>
      <c r="N379" s="2576"/>
      <c r="O379" s="2576"/>
      <c r="P379" s="2576"/>
      <c r="Q379" s="2576">
        <v>4.8055970000000003E-2</v>
      </c>
      <c r="R379" s="2576">
        <v>2.9910120000000002E-2</v>
      </c>
      <c r="S379" s="2576">
        <v>2.519383561643835E-2</v>
      </c>
      <c r="T379" s="2577">
        <v>2.5624999999999988E-2</v>
      </c>
      <c r="U379" s="2578">
        <v>2.4624999999999987E-2</v>
      </c>
      <c r="V379" s="2576">
        <v>2.2624999999999992E-2</v>
      </c>
      <c r="W379" s="2576">
        <v>2.0681506849315058E-2</v>
      </c>
      <c r="X379" s="2576">
        <v>1.9124999999999996E-2</v>
      </c>
      <c r="Y379" s="2579">
        <v>1.557671232876711E-2</v>
      </c>
    </row>
    <row r="380" spans="2:25" outlineLevel="1">
      <c r="B380" s="2011" t="s">
        <v>1291</v>
      </c>
      <c r="C380" s="2318">
        <f>IF('1.02b_Debt'!D273 = "","",'1.02b_Debt'!D273)</f>
        <v>42429</v>
      </c>
      <c r="D380" s="2319">
        <f>IF('1.02b_Debt'!E273 = "","",'1.02b_Debt'!E273)</f>
        <v>46080</v>
      </c>
      <c r="E380" s="2320" t="str">
        <f>IF('1.02b_Debt'!F273 = "","",'1.02b_Debt'!F273)</f>
        <v>Hedge of floating rate EIB loan (B2.8)</v>
      </c>
      <c r="F380" s="2594"/>
      <c r="G380" s="2594"/>
      <c r="H380" s="2594"/>
      <c r="I380" s="2595"/>
      <c r="J380" s="2051"/>
      <c r="K380" s="2051"/>
      <c r="L380" s="2838"/>
      <c r="M380" s="2575"/>
      <c r="N380" s="2576"/>
      <c r="O380" s="2576"/>
      <c r="P380" s="2576"/>
      <c r="Q380" s="2576">
        <v>9.4361950000000014E-2</v>
      </c>
      <c r="R380" s="2576">
        <v>5.8070250000000025E-2</v>
      </c>
      <c r="S380" s="2576">
        <v>4.8632876712328785E-2</v>
      </c>
      <c r="T380" s="2577">
        <v>4.9500000000000002E-2</v>
      </c>
      <c r="U380" s="2578">
        <v>4.7500000000000001E-2</v>
      </c>
      <c r="V380" s="2576">
        <v>4.3500000000000011E-2</v>
      </c>
      <c r="W380" s="2576">
        <v>3.9608219178082202E-2</v>
      </c>
      <c r="X380" s="2576">
        <v>3.6500000000000019E-2</v>
      </c>
      <c r="Y380" s="2579">
        <v>2.9561643835616436E-2</v>
      </c>
    </row>
    <row r="381" spans="2:25" outlineLevel="1">
      <c r="B381" s="2011" t="s">
        <v>1292</v>
      </c>
      <c r="C381" s="2318">
        <f>IF('1.02b_Debt'!D274 = "","",'1.02b_Debt'!D274)</f>
        <v>42724</v>
      </c>
      <c r="D381" s="2319">
        <f>IF('1.02b_Debt'!E274 = "","",'1.02b_Debt'!E274)</f>
        <v>42906</v>
      </c>
      <c r="E381" s="2320" t="str">
        <f>IF('1.02b_Debt'!F274 = "","",'1.02b_Debt'!F274)</f>
        <v>Hedge of floating rate EIB loan (B2.9)</v>
      </c>
      <c r="F381" s="2594"/>
      <c r="G381" s="2594"/>
      <c r="H381" s="2594"/>
      <c r="I381" s="2595"/>
      <c r="J381" s="2051"/>
      <c r="K381" s="2051"/>
      <c r="L381" s="2838"/>
      <c r="M381" s="2575"/>
      <c r="N381" s="2576"/>
      <c r="O381" s="2576"/>
      <c r="P381" s="2576"/>
      <c r="Q381" s="2576">
        <v>1.3082800000000004E-3</v>
      </c>
      <c r="R381" s="2576">
        <v>0</v>
      </c>
      <c r="S381" s="2576">
        <v>0</v>
      </c>
      <c r="T381" s="2577">
        <v>0</v>
      </c>
      <c r="U381" s="2578">
        <v>0</v>
      </c>
      <c r="V381" s="2576">
        <v>0</v>
      </c>
      <c r="W381" s="2576">
        <v>0</v>
      </c>
      <c r="X381" s="2576">
        <v>0</v>
      </c>
      <c r="Y381" s="2579">
        <v>0</v>
      </c>
    </row>
    <row r="382" spans="2:25" outlineLevel="1">
      <c r="B382" s="2011" t="s">
        <v>1294</v>
      </c>
      <c r="C382" s="2318">
        <f>IF('1.02b_Debt'!D275 = "","",'1.02b_Debt'!D275)</f>
        <v>42724</v>
      </c>
      <c r="D382" s="2319">
        <f>IF('1.02b_Debt'!E275 = "","",'1.02b_Debt'!E275)</f>
        <v>42998</v>
      </c>
      <c r="E382" s="2320" t="str">
        <f>IF('1.02b_Debt'!F275 = "","",'1.02b_Debt'!F275)</f>
        <v>Hedge of floating rate EIB loan (B2.9)</v>
      </c>
      <c r="F382" s="2594"/>
      <c r="G382" s="2594"/>
      <c r="H382" s="2594"/>
      <c r="I382" s="2595"/>
      <c r="J382" s="2051"/>
      <c r="K382" s="2051"/>
      <c r="L382" s="2838"/>
      <c r="M382" s="2575"/>
      <c r="N382" s="2576"/>
      <c r="O382" s="2576"/>
      <c r="P382" s="2576"/>
      <c r="Q382" s="2576">
        <v>4.9232000000000026E-3</v>
      </c>
      <c r="R382" s="2576">
        <v>0</v>
      </c>
      <c r="S382" s="2576">
        <v>0</v>
      </c>
      <c r="T382" s="2577">
        <v>0</v>
      </c>
      <c r="U382" s="2578">
        <v>0</v>
      </c>
      <c r="V382" s="2576">
        <v>0</v>
      </c>
      <c r="W382" s="2576">
        <v>0</v>
      </c>
      <c r="X382" s="2576">
        <v>0</v>
      </c>
      <c r="Y382" s="2579">
        <v>0</v>
      </c>
    </row>
    <row r="383" spans="2:25" outlineLevel="1">
      <c r="B383" s="2011" t="s">
        <v>1295</v>
      </c>
      <c r="C383" s="2318">
        <f>IF('1.02b_Debt'!D276 = "","",'1.02b_Debt'!D276)</f>
        <v>42814</v>
      </c>
      <c r="D383" s="2319">
        <f>IF('1.02b_Debt'!E276 = "","",'1.02b_Debt'!E276)</f>
        <v>46466</v>
      </c>
      <c r="E383" s="2320" t="str">
        <f>IF('1.02b_Debt'!F276 = "","",'1.02b_Debt'!F276)</f>
        <v>Hedge of floating rate EIB loan (B2.9)</v>
      </c>
      <c r="F383" s="2594"/>
      <c r="G383" s="2594"/>
      <c r="H383" s="2594"/>
      <c r="I383" s="2595"/>
      <c r="J383" s="2051"/>
      <c r="K383" s="2051"/>
      <c r="L383" s="2838"/>
      <c r="M383" s="2575"/>
      <c r="N383" s="2576"/>
      <c r="O383" s="2576"/>
      <c r="P383" s="2576"/>
      <c r="Q383" s="2576">
        <v>0.11357507999999999</v>
      </c>
      <c r="R383" s="2576">
        <v>5.7930149999999979E-2</v>
      </c>
      <c r="S383" s="2576">
        <v>4.4145616438356156E-2</v>
      </c>
      <c r="T383" s="2577">
        <v>4.5524999999999982E-2</v>
      </c>
      <c r="U383" s="2578">
        <v>4.2524999999999979E-2</v>
      </c>
      <c r="V383" s="2576">
        <v>3.6524999999999974E-2</v>
      </c>
      <c r="W383" s="2576">
        <v>3.0608630136986309E-2</v>
      </c>
      <c r="X383" s="2576">
        <v>2.6024999999999993E-2</v>
      </c>
      <c r="Y383" s="2579">
        <v>2.0024999999999987E-2</v>
      </c>
    </row>
    <row r="384" spans="2:25" outlineLevel="1">
      <c r="B384" s="2011" t="s">
        <v>1296</v>
      </c>
      <c r="C384" s="2318">
        <f>IF('1.02b_Debt'!D277 = "","",'1.02b_Debt'!D277)</f>
        <v>42814</v>
      </c>
      <c r="D384" s="2319">
        <f>IF('1.02b_Debt'!E277 = "","",'1.02b_Debt'!E277)</f>
        <v>46466</v>
      </c>
      <c r="E384" s="2320" t="str">
        <f>IF('1.02b_Debt'!F277 = "","",'1.02b_Debt'!F277)</f>
        <v>Hedge of floating rate EIB loan (B2.9)</v>
      </c>
      <c r="F384" s="2594"/>
      <c r="G384" s="2594"/>
      <c r="H384" s="2594"/>
      <c r="I384" s="2595"/>
      <c r="J384" s="2051"/>
      <c r="K384" s="2051"/>
      <c r="L384" s="2838"/>
      <c r="M384" s="2575"/>
      <c r="N384" s="2576"/>
      <c r="O384" s="2576"/>
      <c r="P384" s="2576"/>
      <c r="Q384" s="2576">
        <v>0.11320008000000002</v>
      </c>
      <c r="R384" s="2576">
        <v>5.7555150000000006E-2</v>
      </c>
      <c r="S384" s="2576">
        <v>4.376958904109593E-2</v>
      </c>
      <c r="T384" s="2577">
        <v>4.5150000000000023E-2</v>
      </c>
      <c r="U384" s="2578">
        <v>4.2150000000000021E-2</v>
      </c>
      <c r="V384" s="2576">
        <v>3.6150000000000015E-2</v>
      </c>
      <c r="W384" s="2576">
        <v>3.0232602739726083E-2</v>
      </c>
      <c r="X384" s="2576">
        <v>2.5650000000000034E-2</v>
      </c>
      <c r="Y384" s="2579">
        <v>1.9650000000000029E-2</v>
      </c>
    </row>
    <row r="385" spans="2:25" outlineLevel="1">
      <c r="B385" s="2011" t="s">
        <v>1297</v>
      </c>
      <c r="C385" s="2318">
        <f>IF('1.02b_Debt'!D278 = "","",'1.02b_Debt'!D278)</f>
        <v>42825</v>
      </c>
      <c r="D385" s="2319">
        <f>IF('1.02b_Debt'!E278 = "","",'1.02b_Debt'!E278)</f>
        <v>43188</v>
      </c>
      <c r="E385" s="2320" t="str">
        <f>IF('1.02b_Debt'!F278 = "","",'1.02b_Debt'!F278)</f>
        <v>Hedge of floating rate EIB loan (B2.10)</v>
      </c>
      <c r="F385" s="2594"/>
      <c r="G385" s="2594"/>
      <c r="H385" s="2594"/>
      <c r="I385" s="2595"/>
      <c r="J385" s="2051"/>
      <c r="K385" s="2051"/>
      <c r="L385" s="2838"/>
      <c r="M385" s="2575"/>
      <c r="N385" s="2576"/>
      <c r="O385" s="2576"/>
      <c r="P385" s="2576"/>
      <c r="Q385" s="2576">
        <v>6.7691099999999992E-3</v>
      </c>
      <c r="R385" s="2576">
        <v>0</v>
      </c>
      <c r="S385" s="2576">
        <v>0</v>
      </c>
      <c r="T385" s="2577">
        <v>0</v>
      </c>
      <c r="U385" s="2578">
        <v>0</v>
      </c>
      <c r="V385" s="2576">
        <v>0</v>
      </c>
      <c r="W385" s="2576">
        <v>0</v>
      </c>
      <c r="X385" s="2576">
        <v>0</v>
      </c>
      <c r="Y385" s="2579">
        <v>0</v>
      </c>
    </row>
    <row r="386" spans="2:25" outlineLevel="1">
      <c r="B386" s="2011" t="s">
        <v>1300</v>
      </c>
      <c r="C386" s="2318">
        <f>IF('1.02b_Debt'!D279 = "","",'1.02b_Debt'!D279)</f>
        <v>42825</v>
      </c>
      <c r="D386" s="2319">
        <f>IF('1.02b_Debt'!E279 = "","",'1.02b_Debt'!E279)</f>
        <v>43280</v>
      </c>
      <c r="E386" s="2320" t="str">
        <f>IF('1.02b_Debt'!F279 = "","",'1.02b_Debt'!F279)</f>
        <v>Hedge of floating rate EIB loan (B2.10)</v>
      </c>
      <c r="F386" s="2594"/>
      <c r="G386" s="2594"/>
      <c r="H386" s="2594"/>
      <c r="I386" s="2595"/>
      <c r="J386" s="2051"/>
      <c r="K386" s="2051"/>
      <c r="L386" s="2838"/>
      <c r="M386" s="2575"/>
      <c r="N386" s="2576"/>
      <c r="O386" s="2576"/>
      <c r="P386" s="2576"/>
      <c r="Q386" s="2576">
        <v>1.1685190000000003E-2</v>
      </c>
      <c r="R386" s="2576">
        <v>-7.3394500000000034E-3</v>
      </c>
      <c r="S386" s="2576">
        <v>0</v>
      </c>
      <c r="T386" s="2577">
        <v>0</v>
      </c>
      <c r="U386" s="2578">
        <v>0</v>
      </c>
      <c r="V386" s="2576">
        <v>0</v>
      </c>
      <c r="W386" s="2576">
        <v>0</v>
      </c>
      <c r="X386" s="2576">
        <v>0</v>
      </c>
      <c r="Y386" s="2579">
        <v>0</v>
      </c>
    </row>
    <row r="387" spans="2:25" outlineLevel="1">
      <c r="B387" s="2011" t="s">
        <v>1301</v>
      </c>
      <c r="C387" s="2318">
        <f>IF('1.02b_Debt'!D280 = "","",'1.02b_Debt'!D280)</f>
        <v>42906</v>
      </c>
      <c r="D387" s="2319">
        <f>IF('1.02b_Debt'!E280 = "","",'1.02b_Debt'!E280)</f>
        <v>46559</v>
      </c>
      <c r="E387" s="2320" t="str">
        <f>IF('1.02b_Debt'!F280 = "","",'1.02b_Debt'!F280)</f>
        <v>Hedge of floating rate EIB loan (B2.9)</v>
      </c>
      <c r="F387" s="2594"/>
      <c r="G387" s="2594"/>
      <c r="H387" s="2594"/>
      <c r="I387" s="2595"/>
      <c r="J387" s="2051"/>
      <c r="K387" s="2051"/>
      <c r="L387" s="2838"/>
      <c r="M387" s="2575"/>
      <c r="N387" s="2576"/>
      <c r="O387" s="2576"/>
      <c r="P387" s="2576"/>
      <c r="Q387" s="2576">
        <v>5.4733800000000006E-2</v>
      </c>
      <c r="R387" s="2576">
        <v>3.3970100000000003E-2</v>
      </c>
      <c r="S387" s="2576">
        <v>2.4767671232876695E-2</v>
      </c>
      <c r="T387" s="2577">
        <v>2.5699999999999973E-2</v>
      </c>
      <c r="U387" s="2578">
        <v>2.3699999999999971E-2</v>
      </c>
      <c r="V387" s="2576">
        <v>1.9699999999999981E-2</v>
      </c>
      <c r="W387" s="2576">
        <v>1.5743013698630112E-2</v>
      </c>
      <c r="X387" s="2576">
        <v>1.2699999999999989E-2</v>
      </c>
      <c r="Y387" s="2579">
        <v>8.6999999999999578E-3</v>
      </c>
    </row>
    <row r="388" spans="2:25" outlineLevel="1">
      <c r="B388" s="2011" t="s">
        <v>1302</v>
      </c>
      <c r="C388" s="2318">
        <f>IF('1.02b_Debt'!D281 = "","",'1.02b_Debt'!D281)</f>
        <v>42998</v>
      </c>
      <c r="D388" s="2319">
        <f>IF('1.02b_Debt'!E281 = "","",'1.02b_Debt'!E281)</f>
        <v>46650</v>
      </c>
      <c r="E388" s="2320" t="str">
        <f>IF('1.02b_Debt'!F281 = "","",'1.02b_Debt'!F281)</f>
        <v>Hedge of floating rate EIB loan (B2.9)</v>
      </c>
      <c r="F388" s="2594"/>
      <c r="G388" s="2594"/>
      <c r="H388" s="2594"/>
      <c r="I388" s="2595"/>
      <c r="J388" s="2051"/>
      <c r="K388" s="2051"/>
      <c r="L388" s="2838"/>
      <c r="M388" s="2575"/>
      <c r="N388" s="2576"/>
      <c r="O388" s="2576"/>
      <c r="P388" s="2576"/>
      <c r="Q388" s="2576">
        <v>3.5813519999999995E-2</v>
      </c>
      <c r="R388" s="2576">
        <v>3.6320080000000005E-2</v>
      </c>
      <c r="S388" s="2576">
        <v>2.7124109589041101E-2</v>
      </c>
      <c r="T388" s="2577">
        <v>2.8050000000000005E-2</v>
      </c>
      <c r="U388" s="2578">
        <v>2.6050000000000004E-2</v>
      </c>
      <c r="V388" s="2576">
        <v>2.2050000000000014E-2</v>
      </c>
      <c r="W388" s="2576">
        <v>1.8099452054794518E-2</v>
      </c>
      <c r="X388" s="2576">
        <v>1.5050000000000022E-2</v>
      </c>
      <c r="Y388" s="2579">
        <v>1.104999999999999E-2</v>
      </c>
    </row>
    <row r="389" spans="2:25" outlineLevel="1">
      <c r="B389" s="2011" t="s">
        <v>1303</v>
      </c>
      <c r="C389" s="2318">
        <f>IF('1.02b_Debt'!D282 = "","",'1.02b_Debt'!D282)</f>
        <v>43188</v>
      </c>
      <c r="D389" s="2319">
        <f>IF('1.02b_Debt'!E282 = "","",'1.02b_Debt'!E282)</f>
        <v>46843</v>
      </c>
      <c r="E389" s="2320" t="str">
        <f>IF('1.02b_Debt'!F282 = "","",'1.02b_Debt'!F282)</f>
        <v>Hedge of floating rate EIB loan (B2.10)</v>
      </c>
      <c r="F389" s="2594"/>
      <c r="G389" s="2594"/>
      <c r="H389" s="2594"/>
      <c r="I389" s="2595"/>
      <c r="J389" s="2051"/>
      <c r="K389" s="2051"/>
      <c r="L389" s="2838"/>
      <c r="M389" s="2575"/>
      <c r="N389" s="2576"/>
      <c r="O389" s="2576"/>
      <c r="P389" s="2576"/>
      <c r="Q389" s="2576">
        <v>6.4454999999999992E-4</v>
      </c>
      <c r="R389" s="2576">
        <v>7.2131659999999986E-2</v>
      </c>
      <c r="S389" s="2576">
        <v>6.5779726027397248E-2</v>
      </c>
      <c r="T389" s="2577">
        <v>6.6599999999999979E-2</v>
      </c>
      <c r="U389" s="2578">
        <v>6.4599999999999977E-2</v>
      </c>
      <c r="V389" s="2576">
        <v>6.0599999999999987E-2</v>
      </c>
      <c r="W389" s="2576">
        <v>5.6755068493150665E-2</v>
      </c>
      <c r="X389" s="2576">
        <v>5.3599999999999995E-2</v>
      </c>
      <c r="Y389" s="2579">
        <v>4.9599999999999964E-2</v>
      </c>
    </row>
    <row r="390" spans="2:25" outlineLevel="1">
      <c r="B390" s="2011" t="s">
        <v>1304</v>
      </c>
      <c r="C390" s="2318">
        <f>IF('1.02b_Debt'!D283 = "","",'1.02b_Debt'!D283)</f>
        <v>43371</v>
      </c>
      <c r="D390" s="2319">
        <f>IF('1.02b_Debt'!E283 = "","",'1.02b_Debt'!E283)</f>
        <v>46568</v>
      </c>
      <c r="E390" s="2320" t="str">
        <f>IF('1.02b_Debt'!F283 = "","",'1.02b_Debt'!F283)</f>
        <v>Swap 2027 bond (C2) to floating rate for life</v>
      </c>
      <c r="F390" s="2594"/>
      <c r="G390" s="2594"/>
      <c r="H390" s="2594"/>
      <c r="I390" s="2595"/>
      <c r="J390" s="2051"/>
      <c r="K390" s="2051"/>
      <c r="L390" s="2838"/>
      <c r="M390" s="2575"/>
      <c r="N390" s="2576"/>
      <c r="O390" s="2576"/>
      <c r="P390" s="2576"/>
      <c r="Q390" s="2576">
        <v>0</v>
      </c>
      <c r="R390" s="2576">
        <v>-2.298853E-2</v>
      </c>
      <c r="S390" s="2576">
        <v>-4.5380239726027408E-2</v>
      </c>
      <c r="T390" s="2577">
        <v>-4.5256250000000005E-2</v>
      </c>
      <c r="U390" s="2578">
        <v>-4.5006250000000005E-2</v>
      </c>
      <c r="V390" s="2576">
        <v>-4.4506250000000004E-2</v>
      </c>
      <c r="W390" s="2576">
        <v>-4.4252157534246578E-2</v>
      </c>
      <c r="X390" s="2576">
        <v>-4.363125000000001E-2</v>
      </c>
      <c r="Y390" s="2579">
        <v>-4.325625000000001E-2</v>
      </c>
    </row>
    <row r="391" spans="2:25" outlineLevel="1">
      <c r="B391" s="2011" t="s">
        <v>1305</v>
      </c>
      <c r="C391" s="2318">
        <f>IF('1.02b_Debt'!D284 = "","",'1.02b_Debt'!D284)</f>
        <v>43553</v>
      </c>
      <c r="D391" s="2319">
        <f>IF('1.02b_Debt'!E284 = "","",'1.02b_Debt'!E284)</f>
        <v>46568</v>
      </c>
      <c r="E391" s="2320" t="str">
        <f>IF('1.02b_Debt'!F284 = "","",'1.02b_Debt'!F284)</f>
        <v>Swap 2027 bond (C2) to floating rate for life</v>
      </c>
      <c r="F391" s="2594"/>
      <c r="G391" s="2594"/>
      <c r="H391" s="2594"/>
      <c r="I391" s="2595"/>
      <c r="J391" s="2051"/>
      <c r="K391" s="2051"/>
      <c r="L391" s="2838"/>
      <c r="M391" s="2575"/>
      <c r="N391" s="2576"/>
      <c r="O391" s="2576"/>
      <c r="P391" s="2576"/>
      <c r="Q391" s="2576">
        <v>0</v>
      </c>
      <c r="R391" s="2576">
        <v>-2.8490299999999998E-3</v>
      </c>
      <c r="S391" s="2576">
        <v>-0.63532335616438351</v>
      </c>
      <c r="T391" s="2577">
        <v>-0.63358749999999997</v>
      </c>
      <c r="U391" s="2578">
        <v>-0.63008750000000002</v>
      </c>
      <c r="V391" s="2576">
        <v>-0.62308750000000002</v>
      </c>
      <c r="W391" s="2576">
        <v>-0.61953020547945203</v>
      </c>
      <c r="X391" s="2576">
        <v>-0.61083750000000003</v>
      </c>
      <c r="Y391" s="2579">
        <v>-0.60558750000000006</v>
      </c>
    </row>
    <row r="392" spans="2:25" outlineLevel="1">
      <c r="B392" s="2011" t="s">
        <v>1306</v>
      </c>
      <c r="C392" s="2318">
        <f>IF('1.02b_Debt'!D285 = "","",'1.02b_Debt'!D285)</f>
        <v>43738</v>
      </c>
      <c r="D392" s="2319">
        <f>IF('1.02b_Debt'!E285 = "","",'1.02b_Debt'!E285)</f>
        <v>46568</v>
      </c>
      <c r="E392" s="2320" t="str">
        <f>IF('1.02b_Debt'!F285 = "","",'1.02b_Debt'!F285)</f>
        <v>Swap 2027 bond (C2) to floating rate for life</v>
      </c>
      <c r="F392" s="2594"/>
      <c r="G392" s="2594"/>
      <c r="H392" s="2594"/>
      <c r="I392" s="2595"/>
      <c r="J392" s="2051"/>
      <c r="K392" s="2051"/>
      <c r="L392" s="2838"/>
      <c r="M392" s="2575"/>
      <c r="N392" s="2576"/>
      <c r="O392" s="2576"/>
      <c r="P392" s="2576"/>
      <c r="Q392" s="2576">
        <v>0</v>
      </c>
      <c r="R392" s="2576">
        <v>0</v>
      </c>
      <c r="S392" s="2576">
        <v>-0.22814109589041098</v>
      </c>
      <c r="T392" s="2577">
        <v>-0.45256249999999998</v>
      </c>
      <c r="U392" s="2578">
        <v>-0.45006250000000003</v>
      </c>
      <c r="V392" s="2576">
        <v>-0.44506250000000003</v>
      </c>
      <c r="W392" s="2576">
        <v>-0.44252157534246578</v>
      </c>
      <c r="X392" s="2576">
        <v>-0.43631249999999999</v>
      </c>
      <c r="Y392" s="2579">
        <v>-0.43256250000000002</v>
      </c>
    </row>
    <row r="393" spans="2:25" outlineLevel="1">
      <c r="B393" s="2011" t="s">
        <v>1307</v>
      </c>
      <c r="C393" s="2318">
        <f>IF('1.02b_Debt'!D286 = "","",'1.02b_Debt'!D286)</f>
        <v>43371</v>
      </c>
      <c r="D393" s="2319">
        <f>IF('1.02b_Debt'!E286 = "","",'1.02b_Debt'!E286)</f>
        <v>46568</v>
      </c>
      <c r="E393" s="2320" t="str">
        <f>IF('1.02b_Debt'!F286 = "","",'1.02b_Debt'!F286)</f>
        <v>Swap 2027 bond (C2) to floating rate for life</v>
      </c>
      <c r="F393" s="2594"/>
      <c r="G393" s="2594"/>
      <c r="H393" s="2594"/>
      <c r="I393" s="2595"/>
      <c r="J393" s="2051"/>
      <c r="K393" s="2051"/>
      <c r="L393" s="2838"/>
      <c r="M393" s="2575"/>
      <c r="N393" s="2576"/>
      <c r="O393" s="2576"/>
      <c r="P393" s="2576"/>
      <c r="Q393" s="2576">
        <v>0</v>
      </c>
      <c r="R393" s="2576">
        <v>-0.60204256</v>
      </c>
      <c r="S393" s="2576">
        <v>-1.1798862328767121</v>
      </c>
      <c r="T393" s="2577">
        <v>-1.1766624999999999</v>
      </c>
      <c r="U393" s="2578">
        <v>-1.1701625</v>
      </c>
      <c r="V393" s="2576">
        <v>-1.1571624999999999</v>
      </c>
      <c r="W393" s="2576">
        <v>-1.1505560958904109</v>
      </c>
      <c r="X393" s="2576">
        <v>-1.1344124999999998</v>
      </c>
      <c r="Y393" s="2579">
        <v>-1.1246624999999999</v>
      </c>
    </row>
    <row r="394" spans="2:25" outlineLevel="1">
      <c r="B394" s="2011" t="s">
        <v>1308</v>
      </c>
      <c r="C394" s="2318">
        <f>IF('1.02b_Debt'!D287 = "","",'1.02b_Debt'!D287)</f>
        <v>44104</v>
      </c>
      <c r="D394" s="2319">
        <f>IF('1.02b_Debt'!E287 = "","",'1.02b_Debt'!E287)</f>
        <v>49628</v>
      </c>
      <c r="E394" s="2320" t="str">
        <f>IF('1.02b_Debt'!F287 = "","",'1.02b_Debt'!F287)</f>
        <v>Swap 2035 bond (C3) to floating rate for life</v>
      </c>
      <c r="F394" s="2594"/>
      <c r="G394" s="2594"/>
      <c r="H394" s="2594"/>
      <c r="I394" s="2595"/>
      <c r="J394" s="2051"/>
      <c r="K394" s="2051"/>
      <c r="L394" s="2838"/>
      <c r="M394" s="2575"/>
      <c r="N394" s="2576"/>
      <c r="O394" s="2576"/>
      <c r="P394" s="2576"/>
      <c r="Q394" s="2576">
        <v>0</v>
      </c>
      <c r="R394" s="2576">
        <v>0</v>
      </c>
      <c r="S394" s="2576">
        <v>0</v>
      </c>
      <c r="T394" s="2577">
        <v>-0.2873946061643835</v>
      </c>
      <c r="U394" s="2578">
        <v>-0.56996874999999991</v>
      </c>
      <c r="V394" s="2576">
        <v>-0.56346874999999996</v>
      </c>
      <c r="W394" s="2576">
        <v>-0.56012414383561637</v>
      </c>
      <c r="X394" s="2576">
        <v>-0.55209374999999994</v>
      </c>
      <c r="Y394" s="2579">
        <v>-0.54721874999999998</v>
      </c>
    </row>
    <row r="395" spans="2:25" outlineLevel="1">
      <c r="B395" s="2011" t="s">
        <v>1309</v>
      </c>
      <c r="C395" s="2318">
        <f>IF('1.02b_Debt'!D288 = "","",'1.02b_Debt'!D288)</f>
        <v>44286</v>
      </c>
      <c r="D395" s="2319">
        <f>IF('1.02b_Debt'!E288 = "","",'1.02b_Debt'!E288)</f>
        <v>49628</v>
      </c>
      <c r="E395" s="2320" t="str">
        <f>IF('1.02b_Debt'!F288 = "","",'1.02b_Debt'!F288)</f>
        <v>Swap 2035 bond (C3) to floating rate for life</v>
      </c>
      <c r="F395" s="2594"/>
      <c r="G395" s="2594"/>
      <c r="H395" s="2594"/>
      <c r="I395" s="2595"/>
      <c r="J395" s="2051"/>
      <c r="K395" s="2051"/>
      <c r="L395" s="2838"/>
      <c r="M395" s="2575"/>
      <c r="N395" s="2576"/>
      <c r="O395" s="2576"/>
      <c r="P395" s="2576"/>
      <c r="Q395" s="2576">
        <v>0</v>
      </c>
      <c r="R395" s="2576">
        <v>0</v>
      </c>
      <c r="S395" s="2576">
        <v>0</v>
      </c>
      <c r="T395" s="2577">
        <v>-3.3825342465753422E-3</v>
      </c>
      <c r="U395" s="2578">
        <v>-1.2276250000000002</v>
      </c>
      <c r="V395" s="2576">
        <v>-1.213625</v>
      </c>
      <c r="W395" s="2576">
        <v>-1.2064212328767123</v>
      </c>
      <c r="X395" s="2576">
        <v>-1.1891250000000002</v>
      </c>
      <c r="Y395" s="2579">
        <v>-1.1786250000000003</v>
      </c>
    </row>
    <row r="396" spans="2:25" outlineLevel="1">
      <c r="B396" s="2011" t="s">
        <v>1310</v>
      </c>
      <c r="C396" s="2318">
        <f>IF('1.02b_Debt'!D289 = "","",'1.02b_Debt'!D289)</f>
        <v>44469</v>
      </c>
      <c r="D396" s="2319">
        <f>IF('1.02b_Debt'!E289 = "","",'1.02b_Debt'!E289)</f>
        <v>49628</v>
      </c>
      <c r="E396" s="2320" t="str">
        <f>IF('1.02b_Debt'!F289 = "","",'1.02b_Debt'!F289)</f>
        <v>Swap 2035 bond (C3) to floating rate for life</v>
      </c>
      <c r="F396" s="2594"/>
      <c r="G396" s="2594"/>
      <c r="H396" s="2594"/>
      <c r="I396" s="2595"/>
      <c r="J396" s="2051"/>
      <c r="K396" s="2051"/>
      <c r="L396" s="2838"/>
      <c r="M396" s="2575"/>
      <c r="N396" s="2576"/>
      <c r="O396" s="2576"/>
      <c r="P396" s="2576"/>
      <c r="Q396" s="2576">
        <v>0</v>
      </c>
      <c r="R396" s="2576">
        <v>0</v>
      </c>
      <c r="S396" s="2576">
        <v>0</v>
      </c>
      <c r="T396" s="2577">
        <v>0</v>
      </c>
      <c r="U396" s="2578">
        <v>-0.21981934931506852</v>
      </c>
      <c r="V396" s="2576">
        <v>-0.43343750000000003</v>
      </c>
      <c r="W396" s="2576">
        <v>-0.43086472602739723</v>
      </c>
      <c r="X396" s="2576">
        <v>-0.4246875</v>
      </c>
      <c r="Y396" s="2579">
        <v>-0.42093750000000008</v>
      </c>
    </row>
    <row r="397" spans="2:25" outlineLevel="1">
      <c r="B397" s="2011" t="s">
        <v>1311</v>
      </c>
      <c r="C397" s="2318">
        <f>IF('1.02b_Debt'!D290 = "","",'1.02b_Debt'!D290)</f>
        <v>44834</v>
      </c>
      <c r="D397" s="2319">
        <f>IF('1.02b_Debt'!E290 = "","",'1.02b_Debt'!E290)</f>
        <v>49628</v>
      </c>
      <c r="E397" s="2320" t="str">
        <f>IF('1.02b_Debt'!F290 = "","",'1.02b_Debt'!F290)</f>
        <v>Swap 2035 bond (C3) to floating rate for life</v>
      </c>
      <c r="F397" s="2594"/>
      <c r="G397" s="2594"/>
      <c r="H397" s="2594"/>
      <c r="I397" s="2595"/>
      <c r="J397" s="2051"/>
      <c r="K397" s="2051"/>
      <c r="L397" s="2838"/>
      <c r="M397" s="2575"/>
      <c r="N397" s="2576"/>
      <c r="O397" s="2576"/>
      <c r="P397" s="2576"/>
      <c r="Q397" s="2576">
        <v>0</v>
      </c>
      <c r="R397" s="2576">
        <v>0</v>
      </c>
      <c r="S397" s="2576">
        <v>0</v>
      </c>
      <c r="T397" s="2577">
        <v>0</v>
      </c>
      <c r="U397" s="2578">
        <v>0</v>
      </c>
      <c r="V397" s="2576">
        <v>-0.24987333904109593</v>
      </c>
      <c r="W397" s="2576">
        <v>-0.49542236301369869</v>
      </c>
      <c r="X397" s="2576">
        <v>-0.48831875000000002</v>
      </c>
      <c r="Y397" s="2579">
        <v>-0.48400625000000003</v>
      </c>
    </row>
    <row r="398" spans="2:25" outlineLevel="1">
      <c r="B398" s="2011" t="s">
        <v>1312</v>
      </c>
      <c r="C398" s="2318">
        <f>IF('1.02b_Debt'!D291 = "","",'1.02b_Debt'!D291)</f>
        <v>45016</v>
      </c>
      <c r="D398" s="2319">
        <f>IF('1.02b_Debt'!E291 = "","",'1.02b_Debt'!E291)</f>
        <v>49628</v>
      </c>
      <c r="E398" s="2320" t="str">
        <f>IF('1.02b_Debt'!F291 = "","",'1.02b_Debt'!F291)</f>
        <v>Swap 2035 bond (C3) to floating rate for life</v>
      </c>
      <c r="F398" s="2594"/>
      <c r="G398" s="2594"/>
      <c r="H398" s="2594"/>
      <c r="I398" s="2595"/>
      <c r="J398" s="2051"/>
      <c r="K398" s="2051"/>
      <c r="L398" s="2838"/>
      <c r="M398" s="2575"/>
      <c r="N398" s="2576"/>
      <c r="O398" s="2576"/>
      <c r="P398" s="2576"/>
      <c r="Q398" s="2576">
        <v>0</v>
      </c>
      <c r="R398" s="2576">
        <v>0</v>
      </c>
      <c r="S398" s="2576">
        <v>0</v>
      </c>
      <c r="T398" s="2577">
        <v>0</v>
      </c>
      <c r="U398" s="2578">
        <v>0</v>
      </c>
      <c r="V398" s="2576">
        <v>-1.6622602739726029E-3</v>
      </c>
      <c r="W398" s="2576">
        <v>-0.60312287671232867</v>
      </c>
      <c r="X398" s="2576">
        <v>-0.59447500000000009</v>
      </c>
      <c r="Y398" s="2579">
        <v>-0.58922500000000011</v>
      </c>
    </row>
    <row r="399" spans="2:25" outlineLevel="1">
      <c r="B399" s="2011" t="s">
        <v>1313</v>
      </c>
      <c r="C399" s="2318">
        <f>IF('1.02b_Debt'!D292 = "","",'1.02b_Debt'!D292)</f>
        <v>43738</v>
      </c>
      <c r="D399" s="2319">
        <f>IF('1.02b_Debt'!E292 = "","",'1.02b_Debt'!E292)</f>
        <v>49628</v>
      </c>
      <c r="E399" s="2320" t="str">
        <f>IF('1.02b_Debt'!F292 = "","",'1.02b_Debt'!F292)</f>
        <v>Swap 2035 bond (C3) to floating rate for life</v>
      </c>
      <c r="F399" s="2594"/>
      <c r="G399" s="2594"/>
      <c r="H399" s="2594"/>
      <c r="I399" s="2595"/>
      <c r="J399" s="2051"/>
      <c r="K399" s="2051"/>
      <c r="L399" s="2838"/>
      <c r="M399" s="2575"/>
      <c r="N399" s="2576"/>
      <c r="O399" s="2576"/>
      <c r="P399" s="2576"/>
      <c r="Q399" s="2576">
        <v>0</v>
      </c>
      <c r="R399" s="2576">
        <v>0</v>
      </c>
      <c r="S399" s="2576">
        <v>-0.17784986301369865</v>
      </c>
      <c r="T399" s="2577">
        <v>-0.35280000000000006</v>
      </c>
      <c r="U399" s="2578">
        <v>-0.35080000000000006</v>
      </c>
      <c r="V399" s="2576">
        <v>-0.34680000000000005</v>
      </c>
      <c r="W399" s="2576">
        <v>-0.34474191780821928</v>
      </c>
      <c r="X399" s="2576">
        <v>-0.33980000000000005</v>
      </c>
      <c r="Y399" s="2579">
        <v>-0.33680000000000004</v>
      </c>
    </row>
    <row r="400" spans="2:25" outlineLevel="1">
      <c r="B400" s="2011" t="s">
        <v>1314</v>
      </c>
      <c r="C400" s="2318">
        <f>IF('1.02b_Debt'!D293 = "","",'1.02b_Debt'!D293)</f>
        <v>43921</v>
      </c>
      <c r="D400" s="2319">
        <f>IF('1.02b_Debt'!E293 = "","",'1.02b_Debt'!E293)</f>
        <v>49628</v>
      </c>
      <c r="E400" s="2320" t="str">
        <f>IF('1.02b_Debt'!F293 = "","",'1.02b_Debt'!F293)</f>
        <v>Swap 2035 bond (C3) to floating rate for life</v>
      </c>
      <c r="F400" s="2594"/>
      <c r="G400" s="2594"/>
      <c r="H400" s="2594"/>
      <c r="I400" s="2595"/>
      <c r="J400" s="2051"/>
      <c r="K400" s="2051"/>
      <c r="L400" s="2838"/>
      <c r="M400" s="2575"/>
      <c r="N400" s="2576"/>
      <c r="O400" s="2576"/>
      <c r="P400" s="2576"/>
      <c r="Q400" s="2576">
        <v>0</v>
      </c>
      <c r="R400" s="2576">
        <v>0</v>
      </c>
      <c r="S400" s="2576">
        <v>-3.3830136986301371E-3</v>
      </c>
      <c r="T400" s="2577">
        <v>-1.2348000000000001</v>
      </c>
      <c r="U400" s="2578">
        <v>-1.2278000000000002</v>
      </c>
      <c r="V400" s="2576">
        <v>-1.2138</v>
      </c>
      <c r="W400" s="2576">
        <v>-1.2065967123287671</v>
      </c>
      <c r="X400" s="2576">
        <v>-1.1893000000000002</v>
      </c>
      <c r="Y400" s="2579">
        <v>-1.1788000000000001</v>
      </c>
    </row>
    <row r="401" spans="2:25" outlineLevel="1">
      <c r="B401" s="2011" t="s">
        <v>1315</v>
      </c>
      <c r="C401" s="2318">
        <f>IF('1.02b_Debt'!D294 = "","",'1.02b_Debt'!D294)</f>
        <v>44104</v>
      </c>
      <c r="D401" s="2319">
        <f>IF('1.02b_Debt'!E294 = "","",'1.02b_Debt'!E294)</f>
        <v>49628</v>
      </c>
      <c r="E401" s="2320" t="str">
        <f>IF('1.02b_Debt'!F294 = "","",'1.02b_Debt'!F294)</f>
        <v>Swap 2035 bond (C3) to floating rate for life</v>
      </c>
      <c r="F401" s="2594"/>
      <c r="G401" s="2594"/>
      <c r="H401" s="2594"/>
      <c r="I401" s="2595"/>
      <c r="J401" s="2051"/>
      <c r="K401" s="2051"/>
      <c r="L401" s="2838"/>
      <c r="M401" s="2575"/>
      <c r="N401" s="2576"/>
      <c r="O401" s="2576"/>
      <c r="P401" s="2576"/>
      <c r="Q401" s="2576">
        <v>0</v>
      </c>
      <c r="R401" s="2576">
        <v>0</v>
      </c>
      <c r="S401" s="2576">
        <v>0</v>
      </c>
      <c r="T401" s="2577">
        <v>-0.33165616438356171</v>
      </c>
      <c r="U401" s="2578">
        <v>-0.65775000000000006</v>
      </c>
      <c r="V401" s="2576">
        <v>-0.65024999999999999</v>
      </c>
      <c r="W401" s="2576">
        <v>-0.6463910958904111</v>
      </c>
      <c r="X401" s="2576">
        <v>-0.63712500000000005</v>
      </c>
      <c r="Y401" s="2579">
        <v>-0.63149999999999995</v>
      </c>
    </row>
    <row r="402" spans="2:25" outlineLevel="1">
      <c r="B402" s="2011" t="s">
        <v>1316</v>
      </c>
      <c r="C402" s="2318">
        <f>IF('1.02b_Debt'!D295 = "","",'1.02b_Debt'!D295)</f>
        <v>44469</v>
      </c>
      <c r="D402" s="2319">
        <f>IF('1.02b_Debt'!E295 = "","",'1.02b_Debt'!E295)</f>
        <v>49628</v>
      </c>
      <c r="E402" s="2320" t="str">
        <f>IF('1.02b_Debt'!F295 = "","",'1.02b_Debt'!F295)</f>
        <v>Swap 2035 bond (C3) to floating rate for life</v>
      </c>
      <c r="F402" s="2594"/>
      <c r="G402" s="2594"/>
      <c r="H402" s="2594"/>
      <c r="I402" s="2595"/>
      <c r="J402" s="2051"/>
      <c r="K402" s="2051"/>
      <c r="L402" s="2838"/>
      <c r="M402" s="2575"/>
      <c r="N402" s="2576"/>
      <c r="O402" s="2576"/>
      <c r="P402" s="2576"/>
      <c r="Q402" s="2576">
        <v>0</v>
      </c>
      <c r="R402" s="2576">
        <v>0</v>
      </c>
      <c r="S402" s="2576">
        <v>0</v>
      </c>
      <c r="T402" s="2577">
        <v>0</v>
      </c>
      <c r="U402" s="2578">
        <v>-0.39573123287671236</v>
      </c>
      <c r="V402" s="2576">
        <v>-0.78029999999999999</v>
      </c>
      <c r="W402" s="2576">
        <v>-0.77566931506849313</v>
      </c>
      <c r="X402" s="2576">
        <v>-0.76455000000000006</v>
      </c>
      <c r="Y402" s="2579">
        <v>-0.75780000000000003</v>
      </c>
    </row>
    <row r="403" spans="2:25" outlineLevel="1">
      <c r="B403" s="2011" t="s">
        <v>1317</v>
      </c>
      <c r="C403" s="2318">
        <f>IF('1.02b_Debt'!D296 = "","",'1.02b_Debt'!D296)</f>
        <v>44651</v>
      </c>
      <c r="D403" s="2319">
        <f>IF('1.02b_Debt'!E296 = "","",'1.02b_Debt'!E296)</f>
        <v>49628</v>
      </c>
      <c r="E403" s="2320" t="str">
        <f>IF('1.02b_Debt'!F296 = "","",'1.02b_Debt'!F296)</f>
        <v>Swap 2035 bond (C3) to floating rate for life</v>
      </c>
      <c r="F403" s="2594"/>
      <c r="G403" s="2594"/>
      <c r="H403" s="2594"/>
      <c r="I403" s="2595"/>
      <c r="J403" s="2051"/>
      <c r="K403" s="2051"/>
      <c r="L403" s="2838"/>
      <c r="M403" s="2575"/>
      <c r="N403" s="2576"/>
      <c r="O403" s="2576"/>
      <c r="P403" s="2576"/>
      <c r="Q403" s="2576">
        <v>0</v>
      </c>
      <c r="R403" s="2576">
        <v>0</v>
      </c>
      <c r="S403" s="2576">
        <v>0</v>
      </c>
      <c r="T403" s="2577">
        <v>0</v>
      </c>
      <c r="U403" s="2578">
        <v>-3.3638356164383564E-3</v>
      </c>
      <c r="V403" s="2576">
        <v>-1.2138</v>
      </c>
      <c r="W403" s="2576">
        <v>-1.2065967123287671</v>
      </c>
      <c r="X403" s="2576">
        <v>-1.1893000000000002</v>
      </c>
      <c r="Y403" s="2579">
        <v>-1.1788000000000001</v>
      </c>
    </row>
    <row r="404" spans="2:25" outlineLevel="1">
      <c r="B404" s="2011" t="s">
        <v>1318</v>
      </c>
      <c r="C404" s="2318">
        <f>IF('1.02b_Debt'!D297 = "","",'1.02b_Debt'!D297)</f>
        <v>44834</v>
      </c>
      <c r="D404" s="2319">
        <f>IF('1.02b_Debt'!E297 = "","",'1.02b_Debt'!E297)</f>
        <v>49628</v>
      </c>
      <c r="E404" s="2320" t="str">
        <f>IF('1.02b_Debt'!F297 = "","",'1.02b_Debt'!F297)</f>
        <v>Swap 2035 bond (C3) to floating rate for life</v>
      </c>
      <c r="F404" s="2594"/>
      <c r="G404" s="2594"/>
      <c r="H404" s="2594"/>
      <c r="I404" s="2595"/>
      <c r="J404" s="2051"/>
      <c r="K404" s="2051"/>
      <c r="L404" s="2838"/>
      <c r="M404" s="2575"/>
      <c r="N404" s="2576"/>
      <c r="O404" s="2576"/>
      <c r="P404" s="2576"/>
      <c r="Q404" s="2576">
        <v>0</v>
      </c>
      <c r="R404" s="2576">
        <v>0</v>
      </c>
      <c r="S404" s="2576">
        <v>0</v>
      </c>
      <c r="T404" s="2577">
        <v>0</v>
      </c>
      <c r="U404" s="2578">
        <v>0</v>
      </c>
      <c r="V404" s="2576">
        <v>-0.10867191780821918</v>
      </c>
      <c r="W404" s="2576">
        <v>-0.21546369863013698</v>
      </c>
      <c r="X404" s="2576">
        <v>-0.21237500000000001</v>
      </c>
      <c r="Y404" s="2579">
        <v>-0.21049999999999996</v>
      </c>
    </row>
    <row r="405" spans="2:25" outlineLevel="1">
      <c r="B405" s="2011" t="s">
        <v>1319</v>
      </c>
      <c r="C405" s="2318">
        <f>IF('1.02b_Debt'!D298 = "","",'1.02b_Debt'!D298)</f>
        <v>43553</v>
      </c>
      <c r="D405" s="2319">
        <f>IF('1.02b_Debt'!E298 = "","",'1.02b_Debt'!E298)</f>
        <v>46567</v>
      </c>
      <c r="E405" s="2320" t="str">
        <f>IF('1.02b_Debt'!F298 = "","",'1.02b_Debt'!F298)</f>
        <v>Swap 2027 bond (C2) to floating rate for life</v>
      </c>
      <c r="F405" s="2594"/>
      <c r="G405" s="2594"/>
      <c r="H405" s="2594"/>
      <c r="I405" s="2595"/>
      <c r="J405" s="2051"/>
      <c r="K405" s="2051"/>
      <c r="L405" s="2838"/>
      <c r="M405" s="2575"/>
      <c r="N405" s="2576"/>
      <c r="O405" s="2576"/>
      <c r="P405" s="2576"/>
      <c r="Q405" s="2576">
        <v>0</v>
      </c>
      <c r="R405" s="2576">
        <v>-2.8490299999999998E-3</v>
      </c>
      <c r="S405" s="2576">
        <v>-0.63532335616438351</v>
      </c>
      <c r="T405" s="2577">
        <v>-0.63358749999999997</v>
      </c>
      <c r="U405" s="2578">
        <v>-0.63008750000000002</v>
      </c>
      <c r="V405" s="2576">
        <v>-0.62308750000000002</v>
      </c>
      <c r="W405" s="2576">
        <v>-0.61953020547945203</v>
      </c>
      <c r="X405" s="2576">
        <v>-0.61083750000000003</v>
      </c>
      <c r="Y405" s="2579">
        <v>-0.60558750000000006</v>
      </c>
    </row>
    <row r="406" spans="2:25" outlineLevel="1">
      <c r="B406" s="2011" t="s">
        <v>1320</v>
      </c>
      <c r="C406" s="2318">
        <f>IF('1.02b_Debt'!D299 = "","",'1.02b_Debt'!D299)</f>
        <v>45016</v>
      </c>
      <c r="D406" s="2319">
        <f>IF('1.02b_Debt'!E299 = "","",'1.02b_Debt'!E299)</f>
        <v>49628</v>
      </c>
      <c r="E406" s="2320" t="str">
        <f>IF('1.02b_Debt'!F299 = "","",'1.02b_Debt'!F299)</f>
        <v>Swap 2035 bond (C3) to floating rate for life</v>
      </c>
      <c r="F406" s="2594"/>
      <c r="G406" s="2594"/>
      <c r="H406" s="2594"/>
      <c r="I406" s="2595"/>
      <c r="J406" s="2051"/>
      <c r="K406" s="2051"/>
      <c r="L406" s="2838"/>
      <c r="M406" s="2575"/>
      <c r="N406" s="2576"/>
      <c r="O406" s="2576"/>
      <c r="P406" s="2576"/>
      <c r="Q406" s="2576">
        <v>0</v>
      </c>
      <c r="R406" s="2576">
        <v>0</v>
      </c>
      <c r="S406" s="2576">
        <v>0</v>
      </c>
      <c r="T406" s="2577">
        <v>0</v>
      </c>
      <c r="U406" s="2578">
        <v>0</v>
      </c>
      <c r="V406" s="2576">
        <v>-1.6622602739726029E-3</v>
      </c>
      <c r="W406" s="2576">
        <v>-0.60312287671232867</v>
      </c>
      <c r="X406" s="2576">
        <v>-0.59447500000000009</v>
      </c>
      <c r="Y406" s="2579">
        <v>-0.58922500000000011</v>
      </c>
    </row>
    <row r="407" spans="2:25" outlineLevel="1">
      <c r="B407" s="2011" t="s">
        <v>1321</v>
      </c>
      <c r="C407" s="2318">
        <f>IF('1.02b_Debt'!D300 = "","",'1.02b_Debt'!D300)</f>
        <v>43371</v>
      </c>
      <c r="D407" s="2319">
        <f>IF('1.02b_Debt'!E300 = "","",'1.02b_Debt'!E300)</f>
        <v>46568</v>
      </c>
      <c r="E407" s="2320" t="str">
        <f>IF('1.02b_Debt'!F300 = "","",'1.02b_Debt'!F300)</f>
        <v>Swap 2027 bond (C2) to floating rate for life</v>
      </c>
      <c r="F407" s="2594"/>
      <c r="G407" s="2594"/>
      <c r="H407" s="2594"/>
      <c r="I407" s="2595"/>
      <c r="J407" s="2051"/>
      <c r="K407" s="2051"/>
      <c r="L407" s="2838"/>
      <c r="M407" s="2575"/>
      <c r="N407" s="2576"/>
      <c r="O407" s="2576"/>
      <c r="P407" s="2576"/>
      <c r="Q407" s="2576">
        <v>0</v>
      </c>
      <c r="R407" s="2576">
        <v>-2.298853E-2</v>
      </c>
      <c r="S407" s="2576">
        <v>-4.5380239726027408E-2</v>
      </c>
      <c r="T407" s="2577">
        <v>-4.5256250000000005E-2</v>
      </c>
      <c r="U407" s="2578">
        <v>-4.5006250000000005E-2</v>
      </c>
      <c r="V407" s="2576">
        <v>-4.4506250000000004E-2</v>
      </c>
      <c r="W407" s="2576">
        <v>-4.4252157534246578E-2</v>
      </c>
      <c r="X407" s="2576">
        <v>-4.363125000000001E-2</v>
      </c>
      <c r="Y407" s="2579">
        <v>-4.325625000000001E-2</v>
      </c>
    </row>
    <row r="408" spans="2:25" outlineLevel="1">
      <c r="B408" s="2011" t="s">
        <v>1322</v>
      </c>
      <c r="C408" s="2318">
        <f>IF('1.02b_Debt'!D301 = "","",'1.02b_Debt'!D301)</f>
        <v>43738</v>
      </c>
      <c r="D408" s="2319">
        <f>IF('1.02b_Debt'!E301 = "","",'1.02b_Debt'!E301)</f>
        <v>46568</v>
      </c>
      <c r="E408" s="2320" t="str">
        <f>IF('1.02b_Debt'!F301 = "","",'1.02b_Debt'!F301)</f>
        <v>Swap 2027 bond (C2) to floating rate for life</v>
      </c>
      <c r="F408" s="2594"/>
      <c r="G408" s="2594"/>
      <c r="H408" s="2594"/>
      <c r="I408" s="2595"/>
      <c r="J408" s="2051"/>
      <c r="K408" s="2051"/>
      <c r="L408" s="2838"/>
      <c r="M408" s="2575"/>
      <c r="N408" s="2576"/>
      <c r="O408" s="2576"/>
      <c r="P408" s="2576"/>
      <c r="Q408" s="2576">
        <v>0</v>
      </c>
      <c r="R408" s="2576">
        <v>0</v>
      </c>
      <c r="S408" s="2576">
        <v>-0.22814109589041098</v>
      </c>
      <c r="T408" s="2577">
        <v>-0.45256249999999998</v>
      </c>
      <c r="U408" s="2578">
        <v>-0.45006250000000003</v>
      </c>
      <c r="V408" s="2576">
        <v>-0.44506250000000003</v>
      </c>
      <c r="W408" s="2576">
        <v>-0.44252157534246578</v>
      </c>
      <c r="X408" s="2576">
        <v>-0.43631249999999999</v>
      </c>
      <c r="Y408" s="2579">
        <v>-0.43256250000000002</v>
      </c>
    </row>
    <row r="409" spans="2:25" outlineLevel="1">
      <c r="B409" s="2011" t="s">
        <v>1323</v>
      </c>
      <c r="C409" s="2318">
        <f>IF('1.02b_Debt'!D302 = "","",'1.02b_Debt'!D302)</f>
        <v>44834</v>
      </c>
      <c r="D409" s="2319">
        <f>IF('1.02b_Debt'!E302 = "","",'1.02b_Debt'!E302)</f>
        <v>49628</v>
      </c>
      <c r="E409" s="2320" t="str">
        <f>IF('1.02b_Debt'!F302 = "","",'1.02b_Debt'!F302)</f>
        <v>Swap 2035 bond (C3) to floating rate for life</v>
      </c>
      <c r="F409" s="2594"/>
      <c r="G409" s="2594"/>
      <c r="H409" s="2594"/>
      <c r="I409" s="2595"/>
      <c r="J409" s="2051"/>
      <c r="K409" s="2051"/>
      <c r="L409" s="2838"/>
      <c r="M409" s="2575"/>
      <c r="N409" s="2576"/>
      <c r="O409" s="2576"/>
      <c r="P409" s="2576"/>
      <c r="Q409" s="2576">
        <v>0</v>
      </c>
      <c r="R409" s="2576">
        <v>0</v>
      </c>
      <c r="S409" s="2576">
        <v>0</v>
      </c>
      <c r="T409" s="2577">
        <v>0</v>
      </c>
      <c r="U409" s="2578">
        <v>0</v>
      </c>
      <c r="V409" s="2576">
        <v>-0.24987333904109593</v>
      </c>
      <c r="W409" s="2576">
        <v>-0.49542236301369869</v>
      </c>
      <c r="X409" s="2576">
        <v>-0.48831875000000002</v>
      </c>
      <c r="Y409" s="2579">
        <v>-0.48400625000000003</v>
      </c>
    </row>
    <row r="410" spans="2:25" outlineLevel="1">
      <c r="B410" s="2011" t="s">
        <v>1324</v>
      </c>
      <c r="C410" s="2318">
        <f>IF('1.02b_Debt'!D303 = "","",'1.02b_Debt'!D303)</f>
        <v>41361</v>
      </c>
      <c r="D410" s="2319">
        <f>IF('1.02b_Debt'!E303 = "","",'1.02b_Debt'!E303)</f>
        <v>42643</v>
      </c>
      <c r="E410" s="2320" t="str">
        <f>IF('1.02b_Debt'!F303 = "","",'1.02b_Debt'!F303)</f>
        <v>Swap 2027 bond (C2) to floating rate for life</v>
      </c>
      <c r="F410" s="2594"/>
      <c r="G410" s="2594"/>
      <c r="H410" s="2594"/>
      <c r="I410" s="2595"/>
      <c r="J410" s="2051"/>
      <c r="K410" s="2051"/>
      <c r="L410" s="2838"/>
      <c r="M410" s="2575"/>
      <c r="N410" s="2576"/>
      <c r="O410" s="2576"/>
      <c r="P410" s="2576"/>
      <c r="Q410" s="2576">
        <v>0</v>
      </c>
      <c r="R410" s="2576">
        <v>0</v>
      </c>
      <c r="S410" s="2576">
        <v>0</v>
      </c>
      <c r="T410" s="2577">
        <v>0</v>
      </c>
      <c r="U410" s="2578">
        <v>0</v>
      </c>
      <c r="V410" s="2576">
        <v>0</v>
      </c>
      <c r="W410" s="2576">
        <v>0</v>
      </c>
      <c r="X410" s="2576">
        <v>0</v>
      </c>
      <c r="Y410" s="2579">
        <v>0</v>
      </c>
    </row>
    <row r="411" spans="2:25" outlineLevel="1">
      <c r="B411" s="2011" t="s">
        <v>1325</v>
      </c>
      <c r="C411" s="2318">
        <f>IF('1.02b_Debt'!D304 = "","",'1.02b_Debt'!D304)</f>
        <v>41361</v>
      </c>
      <c r="D411" s="2319">
        <f>IF('1.02b_Debt'!E304 = "","",'1.02b_Debt'!E304)</f>
        <v>42825</v>
      </c>
      <c r="E411" s="2320" t="str">
        <f>IF('1.02b_Debt'!F304 = "","",'1.02b_Debt'!F304)</f>
        <v>Swap 2027 bond (C2) to floating rate for life</v>
      </c>
      <c r="F411" s="2594"/>
      <c r="G411" s="2594"/>
      <c r="H411" s="2594"/>
      <c r="I411" s="2595"/>
      <c r="J411" s="2051"/>
      <c r="K411" s="2051"/>
      <c r="L411" s="2838"/>
      <c r="M411" s="2575"/>
      <c r="N411" s="2576"/>
      <c r="O411" s="2576"/>
      <c r="P411" s="2576"/>
      <c r="Q411" s="2576">
        <v>0</v>
      </c>
      <c r="R411" s="2576">
        <v>0</v>
      </c>
      <c r="S411" s="2576">
        <v>0</v>
      </c>
      <c r="T411" s="2577">
        <v>0</v>
      </c>
      <c r="U411" s="2578">
        <v>0</v>
      </c>
      <c r="V411" s="2576">
        <v>0</v>
      </c>
      <c r="W411" s="2576">
        <v>0</v>
      </c>
      <c r="X411" s="2576">
        <v>0</v>
      </c>
      <c r="Y411" s="2579">
        <v>0</v>
      </c>
    </row>
    <row r="412" spans="2:25" outlineLevel="1">
      <c r="B412" s="2011" t="s">
        <v>1326</v>
      </c>
      <c r="C412" s="2318">
        <f>IF('1.02b_Debt'!D305 = "","",'1.02b_Debt'!D305)</f>
        <v>43280</v>
      </c>
      <c r="D412" s="2319">
        <f>IF('1.02b_Debt'!E305 = "","",'1.02b_Debt'!E305)</f>
        <v>46934</v>
      </c>
      <c r="E412" s="2320" t="str">
        <f>IF('1.02b_Debt'!F305 = "","",'1.02b_Debt'!F305)</f>
        <v>Hedge of floating rate EIB loan (B2.10)</v>
      </c>
      <c r="F412" s="2594"/>
      <c r="G412" s="2594"/>
      <c r="H412" s="2594"/>
      <c r="I412" s="2595"/>
      <c r="J412" s="2051"/>
      <c r="K412" s="2051"/>
      <c r="L412" s="2838"/>
      <c r="M412" s="2575"/>
      <c r="N412" s="2576"/>
      <c r="O412" s="2576"/>
      <c r="P412" s="2576"/>
      <c r="Q412" s="2576"/>
      <c r="R412" s="2576">
        <v>6.002426000000001E-2</v>
      </c>
      <c r="S412" s="2576">
        <v>7.3952054794520536E-2</v>
      </c>
      <c r="T412" s="2577">
        <v>7.5000000000000011E-2</v>
      </c>
      <c r="U412" s="2578">
        <v>7.2499999999999981E-2</v>
      </c>
      <c r="V412" s="2576">
        <v>6.7500000000000004E-2</v>
      </c>
      <c r="W412" s="2576">
        <v>6.2671232876712321E-2</v>
      </c>
      <c r="X412" s="2576">
        <v>5.8749999999999983E-2</v>
      </c>
      <c r="Y412" s="2579">
        <v>5.3749999999999992E-2</v>
      </c>
    </row>
    <row r="413" spans="2:25" outlineLevel="1">
      <c r="B413" s="2011" t="s">
        <v>1327</v>
      </c>
      <c r="C413" s="2318">
        <f>IF('1.02b_Debt'!D306 = "","",'1.02b_Debt'!D306)</f>
        <v>43371</v>
      </c>
      <c r="D413" s="2319">
        <f>IF('1.02b_Debt'!E306 = "","",'1.02b_Debt'!E306)</f>
        <v>47025</v>
      </c>
      <c r="E413" s="2320" t="str">
        <f>IF('1.02b_Debt'!F306 = "","",'1.02b_Debt'!F306)</f>
        <v>Re-fix rate on 2027 bond (C2) for periods up to 10 years</v>
      </c>
      <c r="F413" s="2594"/>
      <c r="G413" s="2594"/>
      <c r="H413" s="2594"/>
      <c r="I413" s="2595"/>
      <c r="J413" s="2051"/>
      <c r="K413" s="2051"/>
      <c r="L413" s="2838"/>
      <c r="M413" s="2575"/>
      <c r="N413" s="2576"/>
      <c r="O413" s="2576"/>
      <c r="P413" s="2576"/>
      <c r="Q413" s="2576"/>
      <c r="R413" s="2576">
        <v>5.8834809999999994E-2</v>
      </c>
      <c r="S413" s="2576">
        <v>0.11037657534246573</v>
      </c>
      <c r="T413" s="2577">
        <v>0.11007499999999995</v>
      </c>
      <c r="U413" s="2578">
        <v>0.10657499999999998</v>
      </c>
      <c r="V413" s="2576">
        <v>9.9574999999999941E-2</v>
      </c>
      <c r="W413" s="2576">
        <v>9.4583424657534221E-2</v>
      </c>
      <c r="X413" s="2576">
        <v>8.7324999999999958E-2</v>
      </c>
      <c r="Y413" s="2579">
        <v>8.2075000000000009E-2</v>
      </c>
    </row>
    <row r="414" spans="2:25" outlineLevel="1">
      <c r="B414" s="2011" t="s">
        <v>1328</v>
      </c>
      <c r="C414" s="2318">
        <f>IF('1.02b_Debt'!D307 = "","",'1.02b_Debt'!D307)</f>
        <v>43656</v>
      </c>
      <c r="D414" s="2319">
        <f>IF('1.02b_Debt'!E307 = "","",'1.02b_Debt'!E307)</f>
        <v>47128</v>
      </c>
      <c r="E414" s="2320" t="str">
        <f>IF('1.02b_Debt'!F307 = "","",'1.02b_Debt'!F307)</f>
        <v>Swap 2029 USPP note (B1.1) to floating rate for life on accreting basis</v>
      </c>
      <c r="F414" s="2594"/>
      <c r="G414" s="2594"/>
      <c r="H414" s="2594"/>
      <c r="I414" s="2595"/>
      <c r="J414" s="2051"/>
      <c r="K414" s="2051"/>
      <c r="L414" s="2838"/>
      <c r="M414" s="2575"/>
      <c r="N414" s="2576"/>
      <c r="O414" s="2576"/>
      <c r="P414" s="2576"/>
      <c r="Q414" s="2576"/>
      <c r="R414" s="2576">
        <v>0</v>
      </c>
      <c r="S414" s="2576">
        <v>-8.5472088105397123E-3</v>
      </c>
      <c r="T414" s="2577">
        <v>-3.6504965753424684E-2</v>
      </c>
      <c r="U414" s="2578">
        <v>-6.0081849315068533E-2</v>
      </c>
      <c r="V414" s="2576">
        <v>-8.0923116438356174E-2</v>
      </c>
      <c r="W414" s="2576">
        <v>-0.10119126712328769</v>
      </c>
      <c r="X414" s="2576">
        <v>-0.11797345890410954</v>
      </c>
      <c r="Y414" s="2579">
        <v>-0.13468253424657534</v>
      </c>
    </row>
    <row r="415" spans="2:25" outlineLevel="1">
      <c r="B415" s="2011" t="s">
        <v>1330</v>
      </c>
      <c r="C415" s="2318">
        <f>IF('1.02b_Debt'!D308 = "","",'1.02b_Debt'!D308)</f>
        <v>43656</v>
      </c>
      <c r="D415" s="2319">
        <f>IF('1.02b_Debt'!E308 = "","",'1.02b_Debt'!E308)</f>
        <v>47128</v>
      </c>
      <c r="E415" s="2320" t="str">
        <f>IF('1.02b_Debt'!F308 = "","",'1.02b_Debt'!F308)</f>
        <v>Swap 2029 USPP note (B1.1) to floating rate for life on accreting basis</v>
      </c>
      <c r="F415" s="2594"/>
      <c r="G415" s="2594"/>
      <c r="H415" s="2594"/>
      <c r="I415" s="2595"/>
      <c r="J415" s="2051"/>
      <c r="K415" s="2051"/>
      <c r="L415" s="2838"/>
      <c r="M415" s="2575"/>
      <c r="N415" s="2576"/>
      <c r="O415" s="2576"/>
      <c r="P415" s="2576"/>
      <c r="Q415" s="2576"/>
      <c r="R415" s="2576">
        <v>0</v>
      </c>
      <c r="S415" s="2576">
        <v>-8.7280565536342544E-3</v>
      </c>
      <c r="T415" s="2577">
        <v>-3.7277363013698647E-2</v>
      </c>
      <c r="U415" s="2578">
        <v>-6.1379246575342508E-2</v>
      </c>
      <c r="V415" s="2576">
        <v>-8.2745513698630174E-2</v>
      </c>
      <c r="W415" s="2576">
        <v>-0.10354585616438358</v>
      </c>
      <c r="X415" s="2576">
        <v>-0.12084585616438354</v>
      </c>
      <c r="Y415" s="2579">
        <v>-0.13807993150684933</v>
      </c>
    </row>
    <row r="416" spans="2:25" outlineLevel="1">
      <c r="B416" s="2011" t="s">
        <v>1331</v>
      </c>
      <c r="C416" s="2318">
        <f>IF('1.02b_Debt'!D309 = "","",'1.02b_Debt'!D309)</f>
        <v>43656</v>
      </c>
      <c r="D416" s="2319">
        <f>IF('1.02b_Debt'!E309 = "","",'1.02b_Debt'!E309)</f>
        <v>47858</v>
      </c>
      <c r="E416" s="2320" t="str">
        <f>IF('1.02b_Debt'!F309 = "","",'1.02b_Debt'!F309)</f>
        <v>Swap 2031 USPP note (B1.3) to floating rate for life on accreting basis</v>
      </c>
      <c r="F416" s="2594"/>
      <c r="G416" s="2594"/>
      <c r="H416" s="2594"/>
      <c r="I416" s="2595"/>
      <c r="J416" s="2051"/>
      <c r="K416" s="2051"/>
      <c r="L416" s="2838"/>
      <c r="M416" s="2575"/>
      <c r="N416" s="2576"/>
      <c r="O416" s="2576"/>
      <c r="P416" s="2576"/>
      <c r="Q416" s="2576"/>
      <c r="R416" s="2576">
        <v>0</v>
      </c>
      <c r="S416" s="2576">
        <v>-2.7269256119470016E-2</v>
      </c>
      <c r="T416" s="2577">
        <v>-0.11646647260273971</v>
      </c>
      <c r="U416" s="2578">
        <v>-0.19192212328767122</v>
      </c>
      <c r="V416" s="2576">
        <v>-0.25917092465753433</v>
      </c>
      <c r="W416" s="2576">
        <v>-0.32476510273972614</v>
      </c>
      <c r="X416" s="2576">
        <v>-0.37977195205479486</v>
      </c>
      <c r="Y416" s="2579">
        <v>-0.43462417808219178</v>
      </c>
    </row>
    <row r="417" spans="2:25" outlineLevel="1">
      <c r="B417" s="2011" t="s">
        <v>1333</v>
      </c>
      <c r="C417" s="2318">
        <f>IF('1.02b_Debt'!D310 = "","",'1.02b_Debt'!D310)</f>
        <v>43656</v>
      </c>
      <c r="D417" s="2319">
        <f>IF('1.02b_Debt'!E310 = "","",'1.02b_Debt'!E310)</f>
        <v>47858</v>
      </c>
      <c r="E417" s="2320" t="str">
        <f>IF('1.02b_Debt'!F310 = "","",'1.02b_Debt'!F310)</f>
        <v>Swap 2031 USPP note (B1.3) to floating rate for life on accreting basis</v>
      </c>
      <c r="F417" s="2594"/>
      <c r="G417" s="2594"/>
      <c r="H417" s="2594"/>
      <c r="I417" s="2595"/>
      <c r="J417" s="2051"/>
      <c r="K417" s="2051"/>
      <c r="L417" s="2838"/>
      <c r="M417" s="2575"/>
      <c r="N417" s="2576"/>
      <c r="O417" s="2576"/>
      <c r="P417" s="2576"/>
      <c r="Q417" s="2576"/>
      <c r="R417" s="2576">
        <v>0</v>
      </c>
      <c r="S417" s="2576">
        <v>-2.7217585335728725E-2</v>
      </c>
      <c r="T417" s="2577">
        <v>-0.11624578767123289</v>
      </c>
      <c r="U417" s="2578">
        <v>-0.19155143835616439</v>
      </c>
      <c r="V417" s="2576">
        <v>-0.25865023972602752</v>
      </c>
      <c r="W417" s="2576">
        <v>-0.32409236301369881</v>
      </c>
      <c r="X417" s="2576">
        <v>-0.37895126712328775</v>
      </c>
      <c r="Y417" s="2579">
        <v>-0.43365349315068502</v>
      </c>
    </row>
    <row r="418" spans="2:25" outlineLevel="1">
      <c r="B418" s="2011" t="s">
        <v>1334</v>
      </c>
      <c r="C418" s="2318">
        <f>IF('1.02b_Debt'!D311 = "","",'1.02b_Debt'!D311)</f>
        <v>43371</v>
      </c>
      <c r="D418" s="2319">
        <f>IF('1.02b_Debt'!E311 = "","",'1.02b_Debt'!E311)</f>
        <v>47025</v>
      </c>
      <c r="E418" s="2320" t="str">
        <f>IF('1.02b_Debt'!F311 = "","",'1.02b_Debt'!F311)</f>
        <v>Re-fix rate on 2027 bond (C2) for periods up to 10 years</v>
      </c>
      <c r="F418" s="2594"/>
      <c r="G418" s="2594"/>
      <c r="H418" s="2594"/>
      <c r="I418" s="2595"/>
      <c r="J418" s="2051"/>
      <c r="K418" s="2051"/>
      <c r="L418" s="2838"/>
      <c r="M418" s="2575"/>
      <c r="N418" s="2576"/>
      <c r="O418" s="2576"/>
      <c r="P418" s="2576"/>
      <c r="Q418" s="2576"/>
      <c r="R418" s="2576">
        <v>6.0076599999999994E-2</v>
      </c>
      <c r="S418" s="2576">
        <v>0.11283328767123288</v>
      </c>
      <c r="T418" s="2577">
        <v>0.11252500000000001</v>
      </c>
      <c r="U418" s="2578">
        <v>0.10902500000000004</v>
      </c>
      <c r="V418" s="2576">
        <v>0.102025</v>
      </c>
      <c r="W418" s="2576">
        <v>9.7040136986301373E-2</v>
      </c>
      <c r="X418" s="2576">
        <v>8.9775000000000021E-2</v>
      </c>
      <c r="Y418" s="2579">
        <v>8.4525000000000072E-2</v>
      </c>
    </row>
    <row r="419" spans="2:25" outlineLevel="1">
      <c r="B419" s="2011" t="s">
        <v>1335</v>
      </c>
      <c r="C419" s="2318">
        <f>IF('1.02b_Debt'!D312 = "","",'1.02b_Debt'!D312)</f>
        <v>43553</v>
      </c>
      <c r="D419" s="2319">
        <f>IF('1.02b_Debt'!E312 = "","",'1.02b_Debt'!E312)</f>
        <v>47206</v>
      </c>
      <c r="E419" s="2320" t="str">
        <f>IF('1.02b_Debt'!F312 = "","",'1.02b_Debt'!F312)</f>
        <v>Re-fix rate on 2027 bond (C2) for periods up to 10 years</v>
      </c>
      <c r="F419" s="2594"/>
      <c r="G419" s="2594"/>
      <c r="H419" s="2594"/>
      <c r="I419" s="2595"/>
      <c r="J419" s="2051"/>
      <c r="K419" s="2051"/>
      <c r="L419" s="2838"/>
      <c r="M419" s="2575"/>
      <c r="N419" s="2576"/>
      <c r="O419" s="2576"/>
      <c r="P419" s="2576"/>
      <c r="Q419" s="2576"/>
      <c r="R419" s="2576">
        <v>7.6771999999999984E-4</v>
      </c>
      <c r="S419" s="2576">
        <v>9.625047945205481E-2</v>
      </c>
      <c r="T419" s="2577">
        <v>9.5987500000000031E-2</v>
      </c>
      <c r="U419" s="2578">
        <v>9.2487500000000056E-2</v>
      </c>
      <c r="V419" s="2576">
        <v>8.5487500000000022E-2</v>
      </c>
      <c r="W419" s="2576">
        <v>8.0457328767123304E-2</v>
      </c>
      <c r="X419" s="2576">
        <v>7.3237500000000039E-2</v>
      </c>
      <c r="Y419" s="2579">
        <v>6.798750000000009E-2</v>
      </c>
    </row>
    <row r="420" spans="2:25" outlineLevel="1">
      <c r="B420" s="2011" t="s">
        <v>1336</v>
      </c>
      <c r="C420" s="2318">
        <f>IF('1.02b_Debt'!D313 = "","",'1.02b_Debt'!D313)</f>
        <v>43553</v>
      </c>
      <c r="D420" s="2319">
        <f>IF('1.02b_Debt'!E313 = "","",'1.02b_Debt'!E313)</f>
        <v>47206</v>
      </c>
      <c r="E420" s="2320" t="str">
        <f>IF('1.02b_Debt'!F313 = "","",'1.02b_Debt'!F313)</f>
        <v>Re-fix rate on 2027 bond (C2) for periods up to 10 years</v>
      </c>
      <c r="F420" s="2594"/>
      <c r="G420" s="2594"/>
      <c r="H420" s="2594"/>
      <c r="I420" s="2595"/>
      <c r="J420" s="2051"/>
      <c r="K420" s="2051"/>
      <c r="L420" s="2838"/>
      <c r="M420" s="2575"/>
      <c r="N420" s="2576"/>
      <c r="O420" s="2576"/>
      <c r="P420" s="2576"/>
      <c r="Q420" s="2576"/>
      <c r="R420" s="2576">
        <v>3.5420000000000004E-4</v>
      </c>
      <c r="S420" s="2576">
        <v>4.5800136986301365E-2</v>
      </c>
      <c r="T420" s="2577">
        <v>4.5674999999999993E-2</v>
      </c>
      <c r="U420" s="2578">
        <v>4.2175000000000018E-2</v>
      </c>
      <c r="V420" s="2576">
        <v>3.5174999999999984E-2</v>
      </c>
      <c r="W420" s="2576">
        <v>3.0006986301369859E-2</v>
      </c>
      <c r="X420" s="2576">
        <v>2.2925000000000001E-2</v>
      </c>
      <c r="Y420" s="2579">
        <v>1.7675000000000052E-2</v>
      </c>
    </row>
    <row r="421" spans="2:25" outlineLevel="1">
      <c r="B421" s="2068" t="s">
        <v>1337</v>
      </c>
      <c r="C421" s="2994" t="s">
        <v>943</v>
      </c>
      <c r="D421" s="2995"/>
      <c r="E421" s="2998"/>
      <c r="F421" s="2995"/>
      <c r="G421" s="2995"/>
      <c r="H421" s="2995"/>
      <c r="I421" s="2996"/>
      <c r="J421" s="2051"/>
      <c r="K421" s="2051"/>
      <c r="L421" s="2838"/>
      <c r="M421" s="2069"/>
      <c r="N421" s="2070"/>
      <c r="O421" s="2070"/>
      <c r="P421" s="2070"/>
      <c r="Q421" s="2070"/>
      <c r="R421" s="2070"/>
      <c r="S421" s="2070"/>
      <c r="T421" s="2071"/>
      <c r="U421" s="2072"/>
      <c r="V421" s="2070"/>
      <c r="W421" s="2070"/>
      <c r="X421" s="2070"/>
      <c r="Y421" s="2073"/>
    </row>
    <row r="422" spans="2:25" s="1877" customFormat="1">
      <c r="B422" s="1878"/>
      <c r="E422" s="1950"/>
      <c r="F422" s="1950"/>
      <c r="G422" s="1950"/>
      <c r="H422" s="1950"/>
      <c r="I422" s="1895"/>
      <c r="J422" s="1895"/>
      <c r="K422" s="1895"/>
      <c r="L422" s="1910" t="s">
        <v>1338</v>
      </c>
      <c r="M422" s="2074">
        <f>SUM(M254:M421)</f>
        <v>-10.144</v>
      </c>
      <c r="N422" s="2075">
        <f t="shared" ref="N422:Y422" si="23">SUM(N254:N421)</f>
        <v>-8.7959999999999994</v>
      </c>
      <c r="O422" s="2075">
        <f t="shared" si="23"/>
        <v>-7.4870000000000001</v>
      </c>
      <c r="P422" s="2075">
        <f t="shared" si="23"/>
        <v>-6.5116022299999932</v>
      </c>
      <c r="Q422" s="2075">
        <f t="shared" si="23"/>
        <v>-5.6846287300000018</v>
      </c>
      <c r="R422" s="2075">
        <f t="shared" si="23"/>
        <v>-6.6595405700000132</v>
      </c>
      <c r="S422" s="2075">
        <f t="shared" si="23"/>
        <v>-6.8805790324047997</v>
      </c>
      <c r="T422" s="2076">
        <f t="shared" si="23"/>
        <v>-11.23048893565027</v>
      </c>
      <c r="U422" s="2077">
        <f t="shared" si="23"/>
        <v>-11.982441524455059</v>
      </c>
      <c r="V422" s="2075">
        <f t="shared" si="23"/>
        <v>-12.704651881799736</v>
      </c>
      <c r="W422" s="2075">
        <f t="shared" si="23"/>
        <v>-13.737582225341285</v>
      </c>
      <c r="X422" s="2075">
        <f t="shared" si="23"/>
        <v>-14.910995481955441</v>
      </c>
      <c r="Y422" s="2078">
        <f t="shared" si="23"/>
        <v>-15.9244009760274</v>
      </c>
    </row>
    <row r="423" spans="2:25" s="1877" customFormat="1">
      <c r="B423" s="1878"/>
    </row>
    <row r="424" spans="2:25" ht="18" outlineLevel="1">
      <c r="C424" s="1952"/>
      <c r="D424" s="2167" t="s">
        <v>1431</v>
      </c>
      <c r="E424" s="2168"/>
      <c r="F424" s="2168"/>
      <c r="G424" s="2168"/>
      <c r="H424" s="2168"/>
      <c r="I424" s="2168"/>
      <c r="J424" s="2168"/>
      <c r="K424" s="2168"/>
      <c r="L424" s="2229"/>
      <c r="M424" s="2168"/>
      <c r="N424" s="2168"/>
      <c r="O424" s="2168"/>
      <c r="P424" s="2168"/>
      <c r="Q424" s="2168"/>
      <c r="R424" s="2168"/>
      <c r="S424" s="2168"/>
      <c r="T424" s="2168"/>
      <c r="U424" s="2230"/>
      <c r="V424" s="2168"/>
      <c r="W424" s="2168"/>
      <c r="X424" s="2168"/>
      <c r="Y424" s="2168"/>
    </row>
    <row r="425" spans="2:25" s="1877" customFormat="1">
      <c r="B425" s="1878"/>
    </row>
    <row r="426" spans="2:25" s="2016" customFormat="1" ht="32.25" customHeight="1" outlineLevel="1">
      <c r="B426" s="2054"/>
      <c r="C426" s="1919" t="s">
        <v>949</v>
      </c>
      <c r="D426" s="1960" t="s">
        <v>950</v>
      </c>
      <c r="E426" s="2989" t="s">
        <v>1098</v>
      </c>
      <c r="F426" s="2990" t="s">
        <v>1099</v>
      </c>
      <c r="G426" s="2990" t="s">
        <v>1100</v>
      </c>
      <c r="H426" s="2990" t="s">
        <v>1101</v>
      </c>
      <c r="I426" s="2991" t="s">
        <v>1102</v>
      </c>
      <c r="J426" s="2051"/>
      <c r="K426" s="2051"/>
      <c r="L426" s="2838"/>
      <c r="U426" s="2017"/>
    </row>
    <row r="427" spans="2:25" s="2062" customFormat="1" ht="53.25" customHeight="1" outlineLevel="1">
      <c r="B427" s="2055" t="s">
        <v>965</v>
      </c>
      <c r="C427" s="2019" t="s">
        <v>966</v>
      </c>
      <c r="D427" s="2020" t="s">
        <v>966</v>
      </c>
      <c r="E427" s="2992"/>
      <c r="F427" s="2933" t="s">
        <v>1104</v>
      </c>
      <c r="G427" s="2933" t="s">
        <v>1104</v>
      </c>
      <c r="H427" s="2933" t="s">
        <v>498</v>
      </c>
      <c r="I427" s="2993" t="s">
        <v>1105</v>
      </c>
      <c r="J427" s="2051"/>
      <c r="K427" s="2051"/>
      <c r="L427" s="2056"/>
      <c r="M427" s="2057" t="s">
        <v>498</v>
      </c>
      <c r="N427" s="2058" t="s">
        <v>498</v>
      </c>
      <c r="O427" s="2058" t="s">
        <v>498</v>
      </c>
      <c r="P427" s="2058" t="s">
        <v>498</v>
      </c>
      <c r="Q427" s="2058" t="s">
        <v>498</v>
      </c>
      <c r="R427" s="2058" t="s">
        <v>498</v>
      </c>
      <c r="S427" s="2058" t="s">
        <v>498</v>
      </c>
      <c r="T427" s="2059" t="s">
        <v>498</v>
      </c>
      <c r="U427" s="2060" t="s">
        <v>498</v>
      </c>
      <c r="V427" s="2058" t="s">
        <v>498</v>
      </c>
      <c r="W427" s="2058" t="s">
        <v>498</v>
      </c>
      <c r="X427" s="2058" t="s">
        <v>498</v>
      </c>
      <c r="Y427" s="2061" t="s">
        <v>498</v>
      </c>
    </row>
    <row r="428" spans="2:25" outlineLevel="1">
      <c r="B428" s="2011" t="s">
        <v>1124</v>
      </c>
      <c r="C428" s="2318">
        <f>IF('1.02b_Debt'!D147 = "","",'1.02b_Debt'!D147)</f>
        <v>41364</v>
      </c>
      <c r="D428" s="2318">
        <f>IF('1.02b_Debt'!E147 = "","",'1.02b_Debt'!E147)</f>
        <v>46568</v>
      </c>
      <c r="E428" s="2324" t="str">
        <f>IF('1.02b_Debt'!F147 = "","",'1.02b_Debt'!F147)</f>
        <v>Swap 2027 bond (C2) to floating rate for life</v>
      </c>
      <c r="F428" s="2320"/>
      <c r="G428" s="2320"/>
      <c r="H428" s="2320"/>
      <c r="I428" s="2321"/>
      <c r="J428" s="2051"/>
      <c r="K428" s="2051"/>
      <c r="L428" s="2838"/>
      <c r="M428" s="2063">
        <v>-10.1</v>
      </c>
      <c r="N428" s="2064">
        <v>-8.8000000000000007</v>
      </c>
      <c r="O428" s="2064">
        <v>-7.5</v>
      </c>
      <c r="P428" s="2064">
        <v>-10.240111330000001</v>
      </c>
      <c r="Q428" s="2064"/>
      <c r="R428" s="2064"/>
      <c r="S428" s="2064"/>
      <c r="T428" s="2065"/>
      <c r="U428" s="2066"/>
      <c r="V428" s="2064"/>
      <c r="W428" s="2064"/>
      <c r="X428" s="2064"/>
      <c r="Y428" s="2067"/>
    </row>
    <row r="429" spans="2:25" outlineLevel="1">
      <c r="B429" s="2011" t="s">
        <v>1130</v>
      </c>
      <c r="C429" s="2318">
        <f>IF('1.02b_Debt'!D148 = "","",'1.02b_Debt'!D148)</f>
        <v>41364</v>
      </c>
      <c r="D429" s="2318">
        <f>IF('1.02b_Debt'!E148 = "","",'1.02b_Debt'!E148)</f>
        <v>49628</v>
      </c>
      <c r="E429" s="2324" t="str">
        <f>IF('1.02b_Debt'!F148 = "","",'1.02b_Debt'!F148)</f>
        <v>Swap 2035 bond (C3) to floating rate for life</v>
      </c>
      <c r="F429" s="2322"/>
      <c r="G429" s="2322"/>
      <c r="H429" s="2322"/>
      <c r="I429" s="2323"/>
      <c r="J429" s="2051"/>
      <c r="K429" s="2051"/>
      <c r="L429" s="2838"/>
      <c r="M429" s="2063"/>
      <c r="N429" s="2064"/>
      <c r="O429" s="2064"/>
      <c r="P429" s="2064">
        <v>-9.7686474100000016</v>
      </c>
      <c r="Q429" s="2064"/>
      <c r="R429" s="2064"/>
      <c r="S429" s="2064"/>
      <c r="T429" s="2065"/>
      <c r="U429" s="2066"/>
      <c r="V429" s="2064"/>
      <c r="W429" s="2064"/>
      <c r="X429" s="2064"/>
      <c r="Y429" s="2067"/>
    </row>
    <row r="430" spans="2:25" outlineLevel="1">
      <c r="B430" s="2011" t="s">
        <v>1132</v>
      </c>
      <c r="C430" s="2318" t="str">
        <f>IF('1.02b_Debt'!D149 = "","",'1.02b_Debt'!D149)</f>
        <v>Various from</v>
      </c>
      <c r="D430" s="2318" t="str">
        <f>IF('1.02b_Debt'!E149 = "","",'1.02b_Debt'!E149)</f>
        <v>Various to</v>
      </c>
      <c r="E430" s="2324" t="str">
        <f>IF('1.02b_Debt'!F149 = "","",'1.02b_Debt'!F149)</f>
        <v>Re-fix rate on 2027 bond (C2) for periods up to 10 years</v>
      </c>
      <c r="F430" s="2322"/>
      <c r="G430" s="2322"/>
      <c r="H430" s="2322"/>
      <c r="I430" s="2323"/>
      <c r="J430" s="2051"/>
      <c r="K430" s="2051"/>
      <c r="L430" s="2838"/>
      <c r="M430" s="2063"/>
      <c r="N430" s="2064"/>
      <c r="O430" s="2064"/>
      <c r="P430" s="2064">
        <v>1.04317813</v>
      </c>
      <c r="Q430" s="2064"/>
      <c r="R430" s="2064"/>
      <c r="S430" s="2064"/>
      <c r="T430" s="2065"/>
      <c r="U430" s="2066"/>
      <c r="V430" s="2064"/>
      <c r="W430" s="2064"/>
      <c r="X430" s="2064"/>
      <c r="Y430" s="2067"/>
    </row>
    <row r="431" spans="2:25" outlineLevel="1">
      <c r="B431" s="2011" t="s">
        <v>1137</v>
      </c>
      <c r="C431" s="2318" t="str">
        <f>IF('1.02b_Debt'!D150 = "","",'1.02b_Debt'!D150)</f>
        <v>Various from</v>
      </c>
      <c r="D431" s="2318" t="str">
        <f>IF('1.02b_Debt'!E150 = "","",'1.02b_Debt'!E150)</f>
        <v>Various to</v>
      </c>
      <c r="E431" s="2324" t="str">
        <f>IF('1.02b_Debt'!F150 = "","",'1.02b_Debt'!F150)</f>
        <v>Re-fix rate on 2035 bond (C3) for periods up to 10 years</v>
      </c>
      <c r="F431" s="2322"/>
      <c r="G431" s="2322"/>
      <c r="H431" s="2322"/>
      <c r="I431" s="2323"/>
      <c r="J431" s="2051"/>
      <c r="K431" s="2051"/>
      <c r="L431" s="2838"/>
      <c r="M431" s="2063"/>
      <c r="N431" s="2064"/>
      <c r="O431" s="2064"/>
      <c r="P431" s="2064">
        <v>2.6602036999999998</v>
      </c>
      <c r="Q431" s="2064"/>
      <c r="R431" s="2064"/>
      <c r="S431" s="2064"/>
      <c r="T431" s="2065"/>
      <c r="U431" s="2066"/>
      <c r="V431" s="2064"/>
      <c r="W431" s="2064"/>
      <c r="X431" s="2064"/>
      <c r="Y431" s="2067"/>
    </row>
    <row r="432" spans="2:25" outlineLevel="1">
      <c r="B432" s="2011" t="s">
        <v>1139</v>
      </c>
      <c r="C432" s="2318">
        <f>IF('1.02b_Debt'!D151 = "","",'1.02b_Debt'!D151)</f>
        <v>40268</v>
      </c>
      <c r="D432" s="2318">
        <f>IF('1.02b_Debt'!E151 = "","",'1.02b_Debt'!E151)</f>
        <v>43921</v>
      </c>
      <c r="E432" s="2324" t="str">
        <f>IF('1.02b_Debt'!F151 = "","",'1.02b_Debt'!F151)</f>
        <v>Original pre-hedge of 2019 bond (C1)</v>
      </c>
      <c r="F432" s="2322"/>
      <c r="G432" s="2322"/>
      <c r="H432" s="2322"/>
      <c r="I432" s="2323"/>
      <c r="J432" s="2051"/>
      <c r="K432" s="2051"/>
      <c r="L432" s="2838"/>
      <c r="M432" s="2063"/>
      <c r="N432" s="2064"/>
      <c r="O432" s="2064"/>
      <c r="P432" s="2064">
        <v>8.9926842300000001</v>
      </c>
      <c r="Q432" s="2064"/>
      <c r="R432" s="2064"/>
      <c r="S432" s="2064"/>
      <c r="T432" s="2065"/>
      <c r="U432" s="2066"/>
      <c r="V432" s="2064"/>
      <c r="W432" s="2064"/>
      <c r="X432" s="2064"/>
      <c r="Y432" s="2067"/>
    </row>
    <row r="433" spans="2:25" outlineLevel="1">
      <c r="B433" s="2011" t="s">
        <v>1141</v>
      </c>
      <c r="C433" s="2318">
        <f>IF('1.02b_Debt'!D152 = "","",'1.02b_Debt'!D152)</f>
        <v>40268</v>
      </c>
      <c r="D433" s="2318">
        <f>IF('1.02b_Debt'!E152 = "","",'1.02b_Debt'!E152)</f>
        <v>43921</v>
      </c>
      <c r="E433" s="2324" t="str">
        <f>IF('1.02b_Debt'!F152 = "","",'1.02b_Debt'!F152)</f>
        <v>Annuitise negative fair value of above swaps</v>
      </c>
      <c r="F433" s="2322"/>
      <c r="G433" s="2322"/>
      <c r="H433" s="2322"/>
      <c r="I433" s="2323"/>
      <c r="J433" s="2051"/>
      <c r="K433" s="2051"/>
      <c r="L433" s="2838"/>
      <c r="M433" s="2063"/>
      <c r="N433" s="2064"/>
      <c r="O433" s="2064"/>
      <c r="P433" s="2064">
        <v>-7.2794143200000008</v>
      </c>
      <c r="Q433" s="2064"/>
      <c r="R433" s="2064"/>
      <c r="S433" s="2064"/>
      <c r="T433" s="2065"/>
      <c r="U433" s="2066"/>
      <c r="V433" s="2064"/>
      <c r="W433" s="2064"/>
      <c r="X433" s="2064"/>
      <c r="Y433" s="2067"/>
    </row>
    <row r="434" spans="2:25" outlineLevel="1">
      <c r="B434" s="2011" t="s">
        <v>1143</v>
      </c>
      <c r="C434" s="2318">
        <f>IF('1.02b_Debt'!D153 = "","",'1.02b_Debt'!D153)</f>
        <v>40268</v>
      </c>
      <c r="D434" s="2318">
        <f>IF('1.02b_Debt'!E153 = "","",'1.02b_Debt'!E153)</f>
        <v>51226</v>
      </c>
      <c r="E434" s="2324" t="str">
        <f>IF('1.02b_Debt'!F153 = "","",'1.02b_Debt'!F153)</f>
        <v>Original pre-hedge of 2040 bond (C4)</v>
      </c>
      <c r="F434" s="2322"/>
      <c r="G434" s="2322"/>
      <c r="H434" s="2322"/>
      <c r="I434" s="2323"/>
      <c r="J434" s="2051"/>
      <c r="K434" s="2051"/>
      <c r="L434" s="2838"/>
      <c r="M434" s="2063"/>
      <c r="N434" s="2064"/>
      <c r="O434" s="2064"/>
      <c r="P434" s="2064">
        <v>10.008042799999998</v>
      </c>
      <c r="Q434" s="2064"/>
      <c r="R434" s="2064"/>
      <c r="S434" s="2064"/>
      <c r="T434" s="2065"/>
      <c r="U434" s="2066"/>
      <c r="V434" s="2064"/>
      <c r="W434" s="2064"/>
      <c r="X434" s="2064"/>
      <c r="Y434" s="2067"/>
    </row>
    <row r="435" spans="2:25" outlineLevel="1">
      <c r="B435" s="2011" t="s">
        <v>1145</v>
      </c>
      <c r="C435" s="2318">
        <f>IF('1.02b_Debt'!D154 = "","",'1.02b_Debt'!D154)</f>
        <v>40268</v>
      </c>
      <c r="D435" s="2318">
        <f>IF('1.02b_Debt'!E154 = "","",'1.02b_Debt'!E154)</f>
        <v>51226</v>
      </c>
      <c r="E435" s="2324" t="str">
        <f>IF('1.02b_Debt'!F154 = "","",'1.02b_Debt'!F154)</f>
        <v>Annuitise negative fair value of above swaps</v>
      </c>
      <c r="F435" s="2322"/>
      <c r="G435" s="2322"/>
      <c r="H435" s="2322"/>
      <c r="I435" s="2323"/>
      <c r="J435" s="2051"/>
      <c r="K435" s="2051"/>
      <c r="L435" s="2838"/>
      <c r="M435" s="2063"/>
      <c r="N435" s="2064"/>
      <c r="O435" s="2064"/>
      <c r="P435" s="2064">
        <v>-8.5961677999999999</v>
      </c>
      <c r="Q435" s="2064"/>
      <c r="R435" s="2064"/>
      <c r="S435" s="2064"/>
      <c r="T435" s="2065"/>
      <c r="U435" s="2066"/>
      <c r="V435" s="2064"/>
      <c r="W435" s="2064"/>
      <c r="X435" s="2064"/>
      <c r="Y435" s="2067"/>
    </row>
    <row r="436" spans="2:25" outlineLevel="1">
      <c r="B436" s="2011" t="s">
        <v>1146</v>
      </c>
      <c r="C436" s="2318" t="str">
        <f>IF('1.02b_Debt'!D155 = "","",'1.02b_Debt'!D155)</f>
        <v>Various from</v>
      </c>
      <c r="D436" s="2318" t="str">
        <f>IF('1.02b_Debt'!E155 = "","",'1.02b_Debt'!E155)</f>
        <v>Various to</v>
      </c>
      <c r="E436" s="2324" t="str">
        <f>IF('1.02b_Debt'!F155 = "","",'1.02b_Debt'!F155)</f>
        <v>Re-fix rate on floating rate EIB loans (B2.1-2.4 &amp; B2.6-2.10)</v>
      </c>
      <c r="F436" s="2322"/>
      <c r="G436" s="2322"/>
      <c r="H436" s="2322"/>
      <c r="I436" s="2323"/>
      <c r="J436" s="2051"/>
      <c r="K436" s="2051"/>
      <c r="L436" s="2838"/>
      <c r="M436" s="2063"/>
      <c r="N436" s="2064"/>
      <c r="O436" s="2064"/>
      <c r="P436" s="2064">
        <v>6.4915458600000022</v>
      </c>
      <c r="Q436" s="2064"/>
      <c r="R436" s="2064"/>
      <c r="S436" s="2064"/>
      <c r="T436" s="2065"/>
      <c r="U436" s="2066"/>
      <c r="V436" s="2064"/>
      <c r="W436" s="2064"/>
      <c r="X436" s="2064"/>
      <c r="Y436" s="2067"/>
    </row>
    <row r="437" spans="2:25" outlineLevel="1">
      <c r="B437" s="2011" t="s">
        <v>1150</v>
      </c>
      <c r="C437" s="2318">
        <f>IF('1.02b_Debt'!D156 = "","",'1.02b_Debt'!D156)</f>
        <v>41361</v>
      </c>
      <c r="D437" s="2318">
        <f>IF('1.02b_Debt'!E156 = "","",'1.02b_Debt'!E156)</f>
        <v>43007</v>
      </c>
      <c r="E437" s="2324" t="str">
        <f>IF('1.02b_Debt'!F156 = "","",'1.02b_Debt'!F156)</f>
        <v>Swap 2027 bond (C2) to floating rate for life</v>
      </c>
      <c r="F437" s="2596"/>
      <c r="G437" s="2596"/>
      <c r="H437" s="2596"/>
      <c r="I437" s="2597"/>
      <c r="J437" s="2051"/>
      <c r="K437" s="2051"/>
      <c r="L437" s="2838"/>
      <c r="M437" s="2575"/>
      <c r="N437" s="2576"/>
      <c r="O437" s="2576"/>
      <c r="P437" s="2576"/>
      <c r="Q437" s="2576">
        <v>-1.56569464</v>
      </c>
      <c r="R437" s="2576">
        <v>-0.42539384000000002</v>
      </c>
      <c r="S437" s="2576">
        <v>0</v>
      </c>
      <c r="T437" s="2577">
        <v>0</v>
      </c>
      <c r="U437" s="2578">
        <v>0</v>
      </c>
      <c r="V437" s="2576">
        <v>0</v>
      </c>
      <c r="W437" s="2576">
        <v>0</v>
      </c>
      <c r="X437" s="2576">
        <v>0</v>
      </c>
      <c r="Y437" s="2579">
        <v>0</v>
      </c>
    </row>
    <row r="438" spans="2:25" outlineLevel="1">
      <c r="B438" s="2011" t="s">
        <v>1154</v>
      </c>
      <c r="C438" s="2318">
        <f>IF('1.02b_Debt'!D157 = "","",'1.02b_Debt'!D157)</f>
        <v>41361</v>
      </c>
      <c r="D438" s="2318">
        <f>IF('1.02b_Debt'!E157 = "","",'1.02b_Debt'!E157)</f>
        <v>43188</v>
      </c>
      <c r="E438" s="2324" t="str">
        <f>IF('1.02b_Debt'!F157 = "","",'1.02b_Debt'!F157)</f>
        <v>Swap 2027 bond (C2) to floating rate for life</v>
      </c>
      <c r="F438" s="2596"/>
      <c r="G438" s="2596"/>
      <c r="H438" s="2596"/>
      <c r="I438" s="2597"/>
      <c r="J438" s="2051"/>
      <c r="K438" s="2051"/>
      <c r="L438" s="2838"/>
      <c r="M438" s="2575"/>
      <c r="N438" s="2576"/>
      <c r="O438" s="2576"/>
      <c r="P438" s="2576"/>
      <c r="Q438" s="2576">
        <v>-0.20371404999999998</v>
      </c>
      <c r="R438" s="2576">
        <v>-0.18164384</v>
      </c>
      <c r="S438" s="2576">
        <v>0</v>
      </c>
      <c r="T438" s="2577">
        <v>0</v>
      </c>
      <c r="U438" s="2578">
        <v>0</v>
      </c>
      <c r="V438" s="2576">
        <v>0</v>
      </c>
      <c r="W438" s="2576">
        <v>0</v>
      </c>
      <c r="X438" s="2576">
        <v>0</v>
      </c>
      <c r="Y438" s="2579">
        <v>0</v>
      </c>
    </row>
    <row r="439" spans="2:25" outlineLevel="1">
      <c r="B439" s="2011" t="s">
        <v>1155</v>
      </c>
      <c r="C439" s="2318">
        <f>IF('1.02b_Debt'!D158 = "","",'1.02b_Debt'!D158)</f>
        <v>41361</v>
      </c>
      <c r="D439" s="2318">
        <f>IF('1.02b_Debt'!E158 = "","",'1.02b_Debt'!E158)</f>
        <v>42825</v>
      </c>
      <c r="E439" s="2324" t="str">
        <f>IF('1.02b_Debt'!F158 = "","",'1.02b_Debt'!F158)</f>
        <v>Swap 2027 bond (C2) to floating rate for life</v>
      </c>
      <c r="F439" s="2596"/>
      <c r="G439" s="2596"/>
      <c r="H439" s="2596"/>
      <c r="I439" s="2597"/>
      <c r="J439" s="2051"/>
      <c r="K439" s="2051"/>
      <c r="L439" s="2838"/>
      <c r="M439" s="2575"/>
      <c r="N439" s="2576"/>
      <c r="O439" s="2576"/>
      <c r="P439" s="2576"/>
      <c r="Q439" s="2576">
        <v>-0.82340753</v>
      </c>
      <c r="R439" s="2576">
        <v>0</v>
      </c>
      <c r="S439" s="2576">
        <v>0</v>
      </c>
      <c r="T439" s="2577">
        <v>0</v>
      </c>
      <c r="U439" s="2578">
        <v>0</v>
      </c>
      <c r="V439" s="2576">
        <v>0</v>
      </c>
      <c r="W439" s="2576">
        <v>0</v>
      </c>
      <c r="X439" s="2576">
        <v>0</v>
      </c>
      <c r="Y439" s="2579">
        <v>0</v>
      </c>
    </row>
    <row r="440" spans="2:25" outlineLevel="1">
      <c r="B440" s="2011" t="s">
        <v>1156</v>
      </c>
      <c r="C440" s="2318">
        <f>IF('1.02b_Debt'!D159 = "","",'1.02b_Debt'!D159)</f>
        <v>41361</v>
      </c>
      <c r="D440" s="2318">
        <f>IF('1.02b_Debt'!E159 = "","",'1.02b_Debt'!E159)</f>
        <v>43553</v>
      </c>
      <c r="E440" s="2324" t="str">
        <f>IF('1.02b_Debt'!F159 = "","",'1.02b_Debt'!F159)</f>
        <v>Swap 2027 bond (C2) to floating rate for life</v>
      </c>
      <c r="F440" s="2596"/>
      <c r="G440" s="2596"/>
      <c r="H440" s="2596"/>
      <c r="I440" s="2597"/>
      <c r="J440" s="2051"/>
      <c r="K440" s="2051"/>
      <c r="L440" s="2838"/>
      <c r="M440" s="2575"/>
      <c r="N440" s="2576"/>
      <c r="O440" s="2576"/>
      <c r="P440" s="2576"/>
      <c r="Q440" s="2576">
        <v>-1.4957158400000001</v>
      </c>
      <c r="R440" s="2576">
        <v>-0.64636926000000006</v>
      </c>
      <c r="S440" s="2576">
        <v>0</v>
      </c>
      <c r="T440" s="2577">
        <v>0</v>
      </c>
      <c r="U440" s="2578">
        <v>0</v>
      </c>
      <c r="V440" s="2576">
        <v>0</v>
      </c>
      <c r="W440" s="2576">
        <v>0</v>
      </c>
      <c r="X440" s="2576">
        <v>0</v>
      </c>
      <c r="Y440" s="2579">
        <v>0</v>
      </c>
    </row>
    <row r="441" spans="2:25" outlineLevel="1">
      <c r="B441" s="2011" t="s">
        <v>1159</v>
      </c>
      <c r="C441" s="2318">
        <f>IF('1.02b_Debt'!D160 = "","",'1.02b_Debt'!D160)</f>
        <v>41361</v>
      </c>
      <c r="D441" s="2318">
        <f>IF('1.02b_Debt'!E160 = "","",'1.02b_Debt'!E160)</f>
        <v>43371</v>
      </c>
      <c r="E441" s="2324" t="str">
        <f>IF('1.02b_Debt'!F160 = "","",'1.02b_Debt'!F160)</f>
        <v>Swap 2027 bond (C2) to floating rate for life</v>
      </c>
      <c r="F441" s="2596"/>
      <c r="G441" s="2596"/>
      <c r="H441" s="2596"/>
      <c r="I441" s="2597"/>
      <c r="J441" s="2051"/>
      <c r="K441" s="2051"/>
      <c r="L441" s="2838"/>
      <c r="M441" s="2575"/>
      <c r="N441" s="2576"/>
      <c r="O441" s="2576"/>
      <c r="P441" s="2576"/>
      <c r="Q441" s="2576">
        <v>-0.10683685000000001</v>
      </c>
      <c r="R441" s="2576">
        <v>-5.3769479999999995E-2</v>
      </c>
      <c r="S441" s="2576">
        <v>0</v>
      </c>
      <c r="T441" s="2577">
        <v>0</v>
      </c>
      <c r="U441" s="2578">
        <v>0</v>
      </c>
      <c r="V441" s="2576">
        <v>0</v>
      </c>
      <c r="W441" s="2576">
        <v>0</v>
      </c>
      <c r="X441" s="2576">
        <v>0</v>
      </c>
      <c r="Y441" s="2579">
        <v>0</v>
      </c>
    </row>
    <row r="442" spans="2:25" outlineLevel="1">
      <c r="B442" s="2011" t="s">
        <v>1161</v>
      </c>
      <c r="C442" s="2318">
        <f>IF('1.02b_Debt'!D161 = "","",'1.02b_Debt'!D161)</f>
        <v>41361</v>
      </c>
      <c r="D442" s="2318">
        <f>IF('1.02b_Debt'!E161 = "","",'1.02b_Debt'!E161)</f>
        <v>43738</v>
      </c>
      <c r="E442" s="2324" t="str">
        <f>IF('1.02b_Debt'!F161 = "","",'1.02b_Debt'!F161)</f>
        <v>Swap 2027 bond (C2) to floating rate for life</v>
      </c>
      <c r="F442" s="2596"/>
      <c r="G442" s="2596"/>
      <c r="H442" s="2596"/>
      <c r="I442" s="2597"/>
      <c r="J442" s="2051"/>
      <c r="K442" s="2051"/>
      <c r="L442" s="2838"/>
      <c r="M442" s="2575"/>
      <c r="N442" s="2576"/>
      <c r="O442" s="2576"/>
      <c r="P442" s="2576"/>
      <c r="Q442" s="2576">
        <v>-1.0683684599999999</v>
      </c>
      <c r="R442" s="2576">
        <v>-0.46169233000000004</v>
      </c>
      <c r="S442" s="2576">
        <v>-0.22566130136986301</v>
      </c>
      <c r="T442" s="2577">
        <v>0</v>
      </c>
      <c r="U442" s="2578">
        <v>0</v>
      </c>
      <c r="V442" s="2576">
        <v>0</v>
      </c>
      <c r="W442" s="2576">
        <v>0</v>
      </c>
      <c r="X442" s="2576">
        <v>0</v>
      </c>
      <c r="Y442" s="2579">
        <v>0</v>
      </c>
    </row>
    <row r="443" spans="2:25" outlineLevel="1">
      <c r="B443" s="2011" t="s">
        <v>1163</v>
      </c>
      <c r="C443" s="2318">
        <f>IF('1.02b_Debt'!D162 = "","",'1.02b_Debt'!D162)</f>
        <v>41361</v>
      </c>
      <c r="D443" s="2318">
        <f>IF('1.02b_Debt'!E162 = "","",'1.02b_Debt'!E162)</f>
        <v>43371</v>
      </c>
      <c r="E443" s="2324" t="str">
        <f>IF('1.02b_Debt'!F162 = "","",'1.02b_Debt'!F162)</f>
        <v>Swap 2027 bond (C2) to floating rate for life</v>
      </c>
      <c r="F443" s="2596"/>
      <c r="G443" s="2596"/>
      <c r="H443" s="2596"/>
      <c r="I443" s="2597"/>
      <c r="J443" s="2051"/>
      <c r="K443" s="2051"/>
      <c r="L443" s="2838"/>
      <c r="M443" s="2575"/>
      <c r="N443" s="2576"/>
      <c r="O443" s="2576"/>
      <c r="P443" s="2576"/>
      <c r="Q443" s="2576">
        <v>-1.3239797099999999</v>
      </c>
      <c r="R443" s="2576">
        <v>-1.39800642</v>
      </c>
      <c r="S443" s="2576">
        <v>0</v>
      </c>
      <c r="T443" s="2577">
        <v>0</v>
      </c>
      <c r="U443" s="2578">
        <v>0</v>
      </c>
      <c r="V443" s="2576">
        <v>0</v>
      </c>
      <c r="W443" s="2576">
        <v>0</v>
      </c>
      <c r="X443" s="2576">
        <v>0</v>
      </c>
      <c r="Y443" s="2579">
        <v>0</v>
      </c>
    </row>
    <row r="444" spans="2:25" outlineLevel="1">
      <c r="B444" s="2011" t="s">
        <v>1165</v>
      </c>
      <c r="C444" s="2318">
        <f>IF('1.02b_Debt'!D163 = "","",'1.02b_Debt'!D163)</f>
        <v>41361</v>
      </c>
      <c r="D444" s="2318">
        <f>IF('1.02b_Debt'!E163 = "","",'1.02b_Debt'!E163)</f>
        <v>43188</v>
      </c>
      <c r="E444" s="2324" t="str">
        <f>IF('1.02b_Debt'!F163 = "","",'1.02b_Debt'!F163)</f>
        <v>Swap 2027 bond (C2) to floating rate for life</v>
      </c>
      <c r="F444" s="2596"/>
      <c r="G444" s="2596"/>
      <c r="H444" s="2596"/>
      <c r="I444" s="2597"/>
      <c r="J444" s="2051"/>
      <c r="K444" s="2051"/>
      <c r="L444" s="2838"/>
      <c r="M444" s="2575"/>
      <c r="N444" s="2576"/>
      <c r="O444" s="2576"/>
      <c r="P444" s="2576"/>
      <c r="Q444" s="2576">
        <v>-1.22213511</v>
      </c>
      <c r="R444" s="2576">
        <v>-1.09787671</v>
      </c>
      <c r="S444" s="2576">
        <v>0</v>
      </c>
      <c r="T444" s="2577">
        <v>0</v>
      </c>
      <c r="U444" s="2578">
        <v>0</v>
      </c>
      <c r="V444" s="2576">
        <v>0</v>
      </c>
      <c r="W444" s="2576">
        <v>0</v>
      </c>
      <c r="X444" s="2576">
        <v>0</v>
      </c>
      <c r="Y444" s="2579">
        <v>0</v>
      </c>
    </row>
    <row r="445" spans="2:25" outlineLevel="1">
      <c r="B445" s="2011" t="s">
        <v>1166</v>
      </c>
      <c r="C445" s="2318">
        <f>IF('1.02b_Debt'!D164 = "","",'1.02b_Debt'!D164)</f>
        <v>42460</v>
      </c>
      <c r="D445" s="2318">
        <f>IF('1.02b_Debt'!E164 = "","",'1.02b_Debt'!E164)</f>
        <v>46568</v>
      </c>
      <c r="E445" s="2324" t="str">
        <f>IF('1.02b_Debt'!F164 = "","",'1.02b_Debt'!F164)</f>
        <v>Swap 2027 bond (C2) to floating rate for life</v>
      </c>
      <c r="F445" s="2596"/>
      <c r="G445" s="2596"/>
      <c r="H445" s="2596"/>
      <c r="I445" s="2597"/>
      <c r="J445" s="2051"/>
      <c r="K445" s="2051"/>
      <c r="L445" s="2838"/>
      <c r="M445" s="2575"/>
      <c r="N445" s="2576"/>
      <c r="O445" s="2576"/>
      <c r="P445" s="2576"/>
      <c r="Q445" s="2576">
        <v>-0.61117199</v>
      </c>
      <c r="R445" s="2576">
        <v>-0.55413579000000002</v>
      </c>
      <c r="S445" s="2576">
        <v>-0.54466816438356169</v>
      </c>
      <c r="T445" s="2577">
        <v>-0.54318</v>
      </c>
      <c r="U445" s="2578">
        <v>-0.5401800000000001</v>
      </c>
      <c r="V445" s="2576">
        <v>-0.5341800000000001</v>
      </c>
      <c r="W445" s="2576">
        <v>-0.53113117808219179</v>
      </c>
      <c r="X445" s="2576">
        <v>-0.52368000000000003</v>
      </c>
      <c r="Y445" s="2579">
        <v>-0.51918000000000009</v>
      </c>
    </row>
    <row r="446" spans="2:25" outlineLevel="1">
      <c r="B446" s="2011" t="s">
        <v>1168</v>
      </c>
      <c r="C446" s="2318">
        <f>IF('1.02b_Debt'!D165 = "","",'1.02b_Debt'!D165)</f>
        <v>42643</v>
      </c>
      <c r="D446" s="2318">
        <f>IF('1.02b_Debt'!E165 = "","",'1.02b_Debt'!E165)</f>
        <v>46568</v>
      </c>
      <c r="E446" s="2324" t="str">
        <f>IF('1.02b_Debt'!F165 = "","",'1.02b_Debt'!F165)</f>
        <v>Swap 2027 bond (C2) to floating rate for life</v>
      </c>
      <c r="F446" s="2596"/>
      <c r="G446" s="2596"/>
      <c r="H446" s="2596"/>
      <c r="I446" s="2597"/>
      <c r="J446" s="2051"/>
      <c r="K446" s="2051"/>
      <c r="L446" s="2838"/>
      <c r="M446" s="2575"/>
      <c r="N446" s="2576"/>
      <c r="O446" s="2576"/>
      <c r="P446" s="2576"/>
      <c r="Q446" s="2576">
        <v>-0.99599947999999994</v>
      </c>
      <c r="R446" s="2576">
        <v>-1.29298351</v>
      </c>
      <c r="S446" s="2576">
        <v>-1.2708923835616437</v>
      </c>
      <c r="T446" s="2577">
        <v>-1.26742</v>
      </c>
      <c r="U446" s="2578">
        <v>-1.2604200000000001</v>
      </c>
      <c r="V446" s="2576">
        <v>-1.2464200000000001</v>
      </c>
      <c r="W446" s="2576">
        <v>-1.2393060821917807</v>
      </c>
      <c r="X446" s="2576">
        <v>-1.2219200000000001</v>
      </c>
      <c r="Y446" s="2579">
        <v>-1.2114199999999999</v>
      </c>
    </row>
    <row r="447" spans="2:25" outlineLevel="1">
      <c r="B447" s="2011" t="s">
        <v>1169</v>
      </c>
      <c r="C447" s="2318">
        <f>IF('1.02b_Debt'!D166 = "","",'1.02b_Debt'!D166)</f>
        <v>42825</v>
      </c>
      <c r="D447" s="2318">
        <f>IF('1.02b_Debt'!E166 = "","",'1.02b_Debt'!E166)</f>
        <v>46568</v>
      </c>
      <c r="E447" s="2324" t="str">
        <f>IF('1.02b_Debt'!F166 = "","",'1.02b_Debt'!F166)</f>
        <v>Swap 2027 bond (C2) to floating rate for life</v>
      </c>
      <c r="F447" s="2596"/>
      <c r="G447" s="2596"/>
      <c r="H447" s="2596"/>
      <c r="I447" s="2597"/>
      <c r="J447" s="2051"/>
      <c r="K447" s="2051"/>
      <c r="L447" s="2838"/>
      <c r="M447" s="2575"/>
      <c r="N447" s="2576"/>
      <c r="O447" s="2576"/>
      <c r="P447" s="2576"/>
      <c r="Q447" s="2576">
        <v>-5.1861350000000007E-2</v>
      </c>
      <c r="R447" s="2576">
        <v>-0.46177982999999995</v>
      </c>
      <c r="S447" s="2576">
        <v>-0.45389013698630137</v>
      </c>
      <c r="T447" s="2577">
        <v>-0.45265</v>
      </c>
      <c r="U447" s="2578">
        <v>-0.45014999999999999</v>
      </c>
      <c r="V447" s="2576">
        <v>-0.44514999999999999</v>
      </c>
      <c r="W447" s="2576">
        <v>-0.44260931506849316</v>
      </c>
      <c r="X447" s="2576">
        <v>-0.43640000000000001</v>
      </c>
      <c r="Y447" s="2579">
        <v>-0.43264999999999998</v>
      </c>
    </row>
    <row r="448" spans="2:25" outlineLevel="1">
      <c r="B448" s="2011" t="s">
        <v>1170</v>
      </c>
      <c r="C448" s="2318">
        <f>IF('1.02b_Debt'!D167 = "","",'1.02b_Debt'!D167)</f>
        <v>42825</v>
      </c>
      <c r="D448" s="2318">
        <f>IF('1.02b_Debt'!E167 = "","",'1.02b_Debt'!E167)</f>
        <v>46568</v>
      </c>
      <c r="E448" s="2324" t="str">
        <f>IF('1.02b_Debt'!F167 = "","",'1.02b_Debt'!F167)</f>
        <v>Swap 2027 bond (C2) to floating rate for life</v>
      </c>
      <c r="F448" s="2596"/>
      <c r="G448" s="2596"/>
      <c r="H448" s="2596"/>
      <c r="I448" s="2597"/>
      <c r="J448" s="2051"/>
      <c r="K448" s="2051"/>
      <c r="L448" s="2838"/>
      <c r="M448" s="2575"/>
      <c r="N448" s="2576"/>
      <c r="O448" s="2576"/>
      <c r="P448" s="2576"/>
      <c r="Q448" s="2576">
        <v>-9.3305689999999969E-2</v>
      </c>
      <c r="R448" s="2576">
        <v>-0.83115867999999993</v>
      </c>
      <c r="S448" s="2576">
        <v>-0.81695712328767123</v>
      </c>
      <c r="T448" s="2577">
        <v>-0.81472500000000003</v>
      </c>
      <c r="U448" s="2578">
        <v>-0.81022499999999997</v>
      </c>
      <c r="V448" s="2576">
        <v>-0.80122500000000008</v>
      </c>
      <c r="W448" s="2576">
        <v>-0.79665164383561649</v>
      </c>
      <c r="X448" s="2576">
        <v>-0.78547500000000003</v>
      </c>
      <c r="Y448" s="2579">
        <v>-0.77872500000000011</v>
      </c>
    </row>
    <row r="449" spans="2:25" outlineLevel="1">
      <c r="B449" s="2011" t="s">
        <v>1171</v>
      </c>
      <c r="C449" s="2318">
        <f>IF('1.02b_Debt'!D168 = "","",'1.02b_Debt'!D168)</f>
        <v>43007</v>
      </c>
      <c r="D449" s="2318">
        <f>IF('1.02b_Debt'!E168 = "","",'1.02b_Debt'!E168)</f>
        <v>43553</v>
      </c>
      <c r="E449" s="2324" t="str">
        <f>IF('1.02b_Debt'!F168 = "","",'1.02b_Debt'!F168)</f>
        <v>Swap 2027 bond (C2) to floating rate for life</v>
      </c>
      <c r="F449" s="2596"/>
      <c r="G449" s="2596"/>
      <c r="H449" s="2596"/>
      <c r="I449" s="2597"/>
      <c r="J449" s="2051"/>
      <c r="K449" s="2051"/>
      <c r="L449" s="2838"/>
      <c r="M449" s="2575"/>
      <c r="N449" s="2576"/>
      <c r="O449" s="2576"/>
      <c r="P449" s="2576"/>
      <c r="Q449" s="2576">
        <v>6.9891539999999988E-2</v>
      </c>
      <c r="R449" s="2576">
        <v>-0.64636926000000006</v>
      </c>
      <c r="S449" s="2576">
        <v>0</v>
      </c>
      <c r="T449" s="2577">
        <v>0</v>
      </c>
      <c r="U449" s="2578">
        <v>0</v>
      </c>
      <c r="V449" s="2576">
        <v>0</v>
      </c>
      <c r="W449" s="2576">
        <v>0</v>
      </c>
      <c r="X449" s="2576">
        <v>0</v>
      </c>
      <c r="Y449" s="2579">
        <v>0</v>
      </c>
    </row>
    <row r="450" spans="2:25" outlineLevel="1">
      <c r="B450" s="2011" t="s">
        <v>1173</v>
      </c>
      <c r="C450" s="2318">
        <f>IF('1.02b_Debt'!D169 = "","",'1.02b_Debt'!D169)</f>
        <v>43007</v>
      </c>
      <c r="D450" s="2318">
        <f>IF('1.02b_Debt'!E169 = "","",'1.02b_Debt'!E169)</f>
        <v>43371</v>
      </c>
      <c r="E450" s="2324" t="str">
        <f>IF('1.02b_Debt'!F169 = "","",'1.02b_Debt'!F169)</f>
        <v>Swap 2027 bond (C2) to floating rate for life</v>
      </c>
      <c r="F450" s="2596"/>
      <c r="G450" s="2596"/>
      <c r="H450" s="2596"/>
      <c r="I450" s="2597"/>
      <c r="J450" s="2051"/>
      <c r="K450" s="2051"/>
      <c r="L450" s="2838"/>
      <c r="M450" s="2575"/>
      <c r="N450" s="2576"/>
      <c r="O450" s="2576"/>
      <c r="P450" s="2576"/>
      <c r="Q450" s="2576">
        <v>4.9922500000000002E-3</v>
      </c>
      <c r="R450" s="2576">
        <v>-5.3769479999999995E-2</v>
      </c>
      <c r="S450" s="2576">
        <v>0</v>
      </c>
      <c r="T450" s="2577">
        <v>0</v>
      </c>
      <c r="U450" s="2578">
        <v>0</v>
      </c>
      <c r="V450" s="2576">
        <v>0</v>
      </c>
      <c r="W450" s="2576">
        <v>0</v>
      </c>
      <c r="X450" s="2576">
        <v>0</v>
      </c>
      <c r="Y450" s="2579">
        <v>0</v>
      </c>
    </row>
    <row r="451" spans="2:25" outlineLevel="1">
      <c r="B451" s="2011" t="s">
        <v>1174</v>
      </c>
      <c r="C451" s="2318">
        <f>IF('1.02b_Debt'!D170 = "","",'1.02b_Debt'!D170)</f>
        <v>43007</v>
      </c>
      <c r="D451" s="2318">
        <f>IF('1.02b_Debt'!E170 = "","",'1.02b_Debt'!E170)</f>
        <v>43738</v>
      </c>
      <c r="E451" s="2324" t="str">
        <f>IF('1.02b_Debt'!F170 = "","",'1.02b_Debt'!F170)</f>
        <v>Swap 2027 bond (C2) to floating rate for life</v>
      </c>
      <c r="F451" s="2596"/>
      <c r="G451" s="2596"/>
      <c r="H451" s="2596"/>
      <c r="I451" s="2597"/>
      <c r="J451" s="2051"/>
      <c r="K451" s="2051"/>
      <c r="L451" s="2838"/>
      <c r="M451" s="2575"/>
      <c r="N451" s="2576"/>
      <c r="O451" s="2576"/>
      <c r="P451" s="2576"/>
      <c r="Q451" s="2576">
        <v>4.992253E-2</v>
      </c>
      <c r="R451" s="2576">
        <v>-0.46169233000000004</v>
      </c>
      <c r="S451" s="2576">
        <v>-0.22566130136986301</v>
      </c>
      <c r="T451" s="2577">
        <v>0</v>
      </c>
      <c r="U451" s="2578">
        <v>0</v>
      </c>
      <c r="V451" s="2576">
        <v>0</v>
      </c>
      <c r="W451" s="2576">
        <v>0</v>
      </c>
      <c r="X451" s="2576">
        <v>0</v>
      </c>
      <c r="Y451" s="2579">
        <v>0</v>
      </c>
    </row>
    <row r="452" spans="2:25" outlineLevel="1">
      <c r="B452" s="2011" t="s">
        <v>1175</v>
      </c>
      <c r="C452" s="2318">
        <f>IF('1.02b_Debt'!D171 = "","",'1.02b_Debt'!D171)</f>
        <v>43007</v>
      </c>
      <c r="D452" s="2318">
        <f>IF('1.02b_Debt'!E171 = "","",'1.02b_Debt'!E171)</f>
        <v>46568</v>
      </c>
      <c r="E452" s="2324" t="str">
        <f>IF('1.02b_Debt'!F171 = "","",'1.02b_Debt'!F171)</f>
        <v>Swap 2027 bond (C2) to floating rate for life</v>
      </c>
      <c r="F452" s="2596"/>
      <c r="G452" s="2596"/>
      <c r="H452" s="2596"/>
      <c r="I452" s="2597"/>
      <c r="J452" s="2051"/>
      <c r="K452" s="2051"/>
      <c r="L452" s="2838"/>
      <c r="M452" s="2575"/>
      <c r="N452" s="2576"/>
      <c r="O452" s="2576"/>
      <c r="P452" s="2576"/>
      <c r="Q452" s="2576">
        <v>0.1396963</v>
      </c>
      <c r="R452" s="2576">
        <v>-0.86751966999999996</v>
      </c>
      <c r="S452" s="2576">
        <v>-1.2708221917808218</v>
      </c>
      <c r="T452" s="2577">
        <v>-1.26735</v>
      </c>
      <c r="U452" s="2578">
        <v>-1.2603500000000001</v>
      </c>
      <c r="V452" s="2576">
        <v>-1.2463500000000001</v>
      </c>
      <c r="W452" s="2576">
        <v>-1.2392358904109588</v>
      </c>
      <c r="X452" s="2576">
        <v>-1.2218500000000001</v>
      </c>
      <c r="Y452" s="2579">
        <v>-1.2113499999999999</v>
      </c>
    </row>
    <row r="453" spans="2:25" outlineLevel="1">
      <c r="B453" s="2011" t="s">
        <v>1176</v>
      </c>
      <c r="C453" s="2318">
        <f>IF('1.02b_Debt'!D172 = "","",'1.02b_Debt'!D172)</f>
        <v>43188</v>
      </c>
      <c r="D453" s="2318">
        <f>IF('1.02b_Debt'!E172 = "","",'1.02b_Debt'!E172)</f>
        <v>46568</v>
      </c>
      <c r="E453" s="2324" t="str">
        <f>IF('1.02b_Debt'!F172 = "","",'1.02b_Debt'!F172)</f>
        <v>Swap 2027 bond (C2) to floating rate for life</v>
      </c>
      <c r="F453" s="2596"/>
      <c r="G453" s="2596"/>
      <c r="H453" s="2596"/>
      <c r="I453" s="2597"/>
      <c r="J453" s="2051"/>
      <c r="K453" s="2051"/>
      <c r="L453" s="2838"/>
      <c r="M453" s="2575"/>
      <c r="N453" s="2576"/>
      <c r="O453" s="2576"/>
      <c r="P453" s="2576"/>
      <c r="Q453" s="2576">
        <v>0</v>
      </c>
      <c r="R453" s="2576">
        <v>-3.0580900000000038E-3</v>
      </c>
      <c r="S453" s="2576">
        <v>-0.18154602739726028</v>
      </c>
      <c r="T453" s="2577">
        <v>-0.18105000000000002</v>
      </c>
      <c r="U453" s="2578">
        <v>-0.18005000000000004</v>
      </c>
      <c r="V453" s="2576">
        <v>-0.17805000000000001</v>
      </c>
      <c r="W453" s="2576">
        <v>-0.17703369863013702</v>
      </c>
      <c r="X453" s="2576">
        <v>-0.17455000000000004</v>
      </c>
      <c r="Y453" s="2579">
        <v>-0.17305000000000004</v>
      </c>
    </row>
    <row r="454" spans="2:25" outlineLevel="1">
      <c r="B454" s="2011" t="s">
        <v>1177</v>
      </c>
      <c r="C454" s="2318">
        <f>IF('1.02b_Debt'!D173 = "","",'1.02b_Debt'!D173)</f>
        <v>43188</v>
      </c>
      <c r="D454" s="2318">
        <f>IF('1.02b_Debt'!E173 = "","",'1.02b_Debt'!E173)</f>
        <v>46568</v>
      </c>
      <c r="E454" s="2324" t="str">
        <f>IF('1.02b_Debt'!F173 = "","",'1.02b_Debt'!F173)</f>
        <v>Swap 2027 bond (C2) to floating rate for life</v>
      </c>
      <c r="F454" s="2596"/>
      <c r="G454" s="2596"/>
      <c r="H454" s="2596"/>
      <c r="I454" s="2597"/>
      <c r="J454" s="2051"/>
      <c r="K454" s="2051"/>
      <c r="L454" s="2838"/>
      <c r="M454" s="2575"/>
      <c r="N454" s="2576"/>
      <c r="O454" s="2576"/>
      <c r="P454" s="2576"/>
      <c r="Q454" s="2576">
        <v>0</v>
      </c>
      <c r="R454" s="2576">
        <v>-1.0184879999999947E-2</v>
      </c>
      <c r="S454" s="2576">
        <v>-1.0891257534246575</v>
      </c>
      <c r="T454" s="2577">
        <v>-1.0861499999999999</v>
      </c>
      <c r="U454" s="2578">
        <v>-1.0801500000000002</v>
      </c>
      <c r="V454" s="2576">
        <v>-1.0681500000000002</v>
      </c>
      <c r="W454" s="2576">
        <v>-1.0620517808219179</v>
      </c>
      <c r="X454" s="2576">
        <v>-1.0471500000000002</v>
      </c>
      <c r="Y454" s="2579">
        <v>-1.0381500000000001</v>
      </c>
    </row>
    <row r="455" spans="2:25" outlineLevel="1">
      <c r="B455" s="2011" t="s">
        <v>1178</v>
      </c>
      <c r="C455" s="2318">
        <f>IF('1.02b_Debt'!D174 = "","",'1.02b_Debt'!D174)</f>
        <v>41361</v>
      </c>
      <c r="D455" s="2318">
        <f>IF('1.02b_Debt'!E174 = "","",'1.02b_Debt'!E174)</f>
        <v>44286</v>
      </c>
      <c r="E455" s="2324" t="str">
        <f>IF('1.02b_Debt'!F174 = "","",'1.02b_Debt'!F174)</f>
        <v>Swap 2035 bond (C3) to floating rate for life</v>
      </c>
      <c r="F455" s="2596"/>
      <c r="G455" s="2596"/>
      <c r="H455" s="2596"/>
      <c r="I455" s="2597"/>
      <c r="J455" s="2051"/>
      <c r="K455" s="2051"/>
      <c r="L455" s="2838"/>
      <c r="M455" s="2575"/>
      <c r="N455" s="2576"/>
      <c r="O455" s="2576"/>
      <c r="P455" s="2576"/>
      <c r="Q455" s="2576">
        <v>-1.3934526600000001</v>
      </c>
      <c r="R455" s="2576">
        <v>-1.2601885100000001</v>
      </c>
      <c r="S455" s="2576">
        <v>-1.2380075342465753</v>
      </c>
      <c r="T455" s="2577">
        <v>-1.2312424657534247</v>
      </c>
      <c r="U455" s="2578">
        <v>0</v>
      </c>
      <c r="V455" s="2576">
        <v>0</v>
      </c>
      <c r="W455" s="2576">
        <v>0</v>
      </c>
      <c r="X455" s="2576">
        <v>0</v>
      </c>
      <c r="Y455" s="2579">
        <v>0</v>
      </c>
    </row>
    <row r="456" spans="2:25" outlineLevel="1">
      <c r="B456" s="2011" t="s">
        <v>1179</v>
      </c>
      <c r="C456" s="2318">
        <f>IF('1.02b_Debt'!D175 = "","",'1.02b_Debt'!D175)</f>
        <v>41361</v>
      </c>
      <c r="D456" s="2318">
        <f>IF('1.02b_Debt'!E175 = "","",'1.02b_Debt'!E175)</f>
        <v>44104</v>
      </c>
      <c r="E456" s="2324" t="str">
        <f>IF('1.02b_Debt'!F175 = "","",'1.02b_Debt'!F175)</f>
        <v>Swap 2035 bond (C3) to floating rate for life</v>
      </c>
      <c r="F456" s="2596"/>
      <c r="G456" s="2596"/>
      <c r="H456" s="2596"/>
      <c r="I456" s="2597"/>
      <c r="J456" s="2051"/>
      <c r="K456" s="2051"/>
      <c r="L456" s="2838"/>
      <c r="M456" s="2575"/>
      <c r="N456" s="2576"/>
      <c r="O456" s="2576"/>
      <c r="P456" s="2576"/>
      <c r="Q456" s="2576">
        <v>-0.64696016000000001</v>
      </c>
      <c r="R456" s="2576">
        <v>-0.58508751999999997</v>
      </c>
      <c r="S456" s="2576">
        <v>-0.57478921232876701</v>
      </c>
      <c r="T456" s="2577">
        <v>-0.28582414383561638</v>
      </c>
      <c r="U456" s="2578">
        <v>0</v>
      </c>
      <c r="V456" s="2576">
        <v>0</v>
      </c>
      <c r="W456" s="2576">
        <v>0</v>
      </c>
      <c r="X456" s="2576">
        <v>0</v>
      </c>
      <c r="Y456" s="2579">
        <v>0</v>
      </c>
    </row>
    <row r="457" spans="2:25" outlineLevel="1">
      <c r="B457" s="2011" t="s">
        <v>1180</v>
      </c>
      <c r="C457" s="2318">
        <f>IF('1.02b_Debt'!D176 = "","",'1.02b_Debt'!D176)</f>
        <v>41361</v>
      </c>
      <c r="D457" s="2318">
        <f>IF('1.02b_Debt'!E176 = "","",'1.02b_Debt'!E176)</f>
        <v>44469</v>
      </c>
      <c r="E457" s="2324" t="str">
        <f>IF('1.02b_Debt'!F176 = "","",'1.02b_Debt'!F176)</f>
        <v>Swap 2035 bond (C3) to floating rate for life</v>
      </c>
      <c r="F457" s="2596"/>
      <c r="G457" s="2596"/>
      <c r="H457" s="2596"/>
      <c r="I457" s="2597"/>
      <c r="J457" s="2051"/>
      <c r="K457" s="2051"/>
      <c r="L457" s="2838"/>
      <c r="M457" s="2575"/>
      <c r="N457" s="2576"/>
      <c r="O457" s="2576"/>
      <c r="P457" s="2576"/>
      <c r="Q457" s="2576">
        <v>-0.49766167</v>
      </c>
      <c r="R457" s="2576">
        <v>-0.45006731999999999</v>
      </c>
      <c r="S457" s="2576">
        <v>-0.4421455479452055</v>
      </c>
      <c r="T457" s="2577">
        <v>-0.44093749999999998</v>
      </c>
      <c r="U457" s="2578">
        <v>-0.21861815068493151</v>
      </c>
      <c r="V457" s="2576">
        <v>0</v>
      </c>
      <c r="W457" s="2576">
        <v>0</v>
      </c>
      <c r="X457" s="2576">
        <v>0</v>
      </c>
      <c r="Y457" s="2579">
        <v>0</v>
      </c>
    </row>
    <row r="458" spans="2:25" outlineLevel="1">
      <c r="B458" s="2011" t="s">
        <v>1181</v>
      </c>
      <c r="C458" s="2318">
        <f>IF('1.02b_Debt'!D177 = "","",'1.02b_Debt'!D177)</f>
        <v>41361</v>
      </c>
      <c r="D458" s="2318">
        <f>IF('1.02b_Debt'!E177 = "","",'1.02b_Debt'!E177)</f>
        <v>44834</v>
      </c>
      <c r="E458" s="2324" t="str">
        <f>IF('1.02b_Debt'!F177 = "","",'1.02b_Debt'!F177)</f>
        <v>Swap 2035 bond (C3) to floating rate for life</v>
      </c>
      <c r="F458" s="2596"/>
      <c r="G458" s="2596"/>
      <c r="H458" s="2596"/>
      <c r="I458" s="2597"/>
      <c r="J458" s="2051"/>
      <c r="K458" s="2051"/>
      <c r="L458" s="2838"/>
      <c r="M458" s="2575"/>
      <c r="N458" s="2576"/>
      <c r="O458" s="2576"/>
      <c r="P458" s="2576"/>
      <c r="Q458" s="2576">
        <v>-1.2085548500000001</v>
      </c>
      <c r="R458" s="2576">
        <v>-0.51750554999999998</v>
      </c>
      <c r="S458" s="2576">
        <v>-0.50839530821917811</v>
      </c>
      <c r="T458" s="2577">
        <v>-0.5070062500000001</v>
      </c>
      <c r="U458" s="2578">
        <v>-0.50413125000000003</v>
      </c>
      <c r="V458" s="2576">
        <v>-0.24850791095890412</v>
      </c>
      <c r="W458" s="2576">
        <v>0</v>
      </c>
      <c r="X458" s="2576">
        <v>0</v>
      </c>
      <c r="Y458" s="2579">
        <v>0</v>
      </c>
    </row>
    <row r="459" spans="2:25" outlineLevel="1">
      <c r="B459" s="2011" t="s">
        <v>1183</v>
      </c>
      <c r="C459" s="2318">
        <f>IF('1.02b_Debt'!D178 = "","",'1.02b_Debt'!D178)</f>
        <v>41361</v>
      </c>
      <c r="D459" s="2318">
        <f>IF('1.02b_Debt'!E178 = "","",'1.02b_Debt'!E178)</f>
        <v>45016</v>
      </c>
      <c r="E459" s="2324" t="str">
        <f>IF('1.02b_Debt'!F178 = "","",'1.02b_Debt'!F178)</f>
        <v>Swap 2035 bond (C3) to floating rate for life</v>
      </c>
      <c r="F459" s="2596"/>
      <c r="G459" s="2596"/>
      <c r="H459" s="2596"/>
      <c r="I459" s="2597"/>
      <c r="J459" s="2051"/>
      <c r="K459" s="2051"/>
      <c r="L459" s="2838"/>
      <c r="M459" s="2575"/>
      <c r="N459" s="2576"/>
      <c r="O459" s="2576"/>
      <c r="P459" s="2576"/>
      <c r="Q459" s="2576">
        <v>-1.47128416</v>
      </c>
      <c r="R459" s="2576">
        <v>-0.63000674999999995</v>
      </c>
      <c r="S459" s="2576">
        <v>-0.61891602739726026</v>
      </c>
      <c r="T459" s="2577">
        <v>-0.61722500000000002</v>
      </c>
      <c r="U459" s="2578">
        <v>-0.61372500000000008</v>
      </c>
      <c r="V459" s="2576">
        <v>-0.60506273972602731</v>
      </c>
      <c r="W459" s="2576">
        <v>0</v>
      </c>
      <c r="X459" s="2576">
        <v>0</v>
      </c>
      <c r="Y459" s="2579">
        <v>0</v>
      </c>
    </row>
    <row r="460" spans="2:25" outlineLevel="1">
      <c r="B460" s="2011" t="s">
        <v>1185</v>
      </c>
      <c r="C460" s="2318">
        <f>IF('1.02b_Debt'!D179 = "","",'1.02b_Debt'!D179)</f>
        <v>41361</v>
      </c>
      <c r="D460" s="2318">
        <f>IF('1.02b_Debt'!E179 = "","",'1.02b_Debt'!E179)</f>
        <v>43738</v>
      </c>
      <c r="E460" s="2324" t="str">
        <f>IF('1.02b_Debt'!F179 = "","",'1.02b_Debt'!F179)</f>
        <v>Swap 2035 bond (C3) to floating rate for life</v>
      </c>
      <c r="F460" s="2596"/>
      <c r="G460" s="2596"/>
      <c r="H460" s="2596"/>
      <c r="I460" s="2597"/>
      <c r="J460" s="2051"/>
      <c r="K460" s="2051"/>
      <c r="L460" s="2838"/>
      <c r="M460" s="2575"/>
      <c r="N460" s="2576"/>
      <c r="O460" s="2576"/>
      <c r="P460" s="2576"/>
      <c r="Q460" s="2576">
        <v>-0.39817905999999997</v>
      </c>
      <c r="R460" s="2576">
        <v>-0.36010386</v>
      </c>
      <c r="S460" s="2576">
        <v>-0.17591671232876716</v>
      </c>
      <c r="T460" s="2577">
        <v>0</v>
      </c>
      <c r="U460" s="2578">
        <v>0</v>
      </c>
      <c r="V460" s="2576">
        <v>0</v>
      </c>
      <c r="W460" s="2576">
        <v>0</v>
      </c>
      <c r="X460" s="2576">
        <v>0</v>
      </c>
      <c r="Y460" s="2579">
        <v>0</v>
      </c>
    </row>
    <row r="461" spans="2:25" outlineLevel="1">
      <c r="B461" s="2011" t="s">
        <v>1186</v>
      </c>
      <c r="C461" s="2318">
        <f>IF('1.02b_Debt'!D180 = "","",'1.02b_Debt'!D180)</f>
        <v>41361</v>
      </c>
      <c r="D461" s="2318">
        <f>IF('1.02b_Debt'!E180 = "","",'1.02b_Debt'!E180)</f>
        <v>44104</v>
      </c>
      <c r="E461" s="2324" t="str">
        <f>IF('1.02b_Debt'!F180 = "","",'1.02b_Debt'!F180)</f>
        <v>Swap 2035 bond (C3) to floating rate for life</v>
      </c>
      <c r="F461" s="2596"/>
      <c r="G461" s="2596"/>
      <c r="H461" s="2596"/>
      <c r="I461" s="2597"/>
      <c r="J461" s="2051"/>
      <c r="K461" s="2051"/>
      <c r="L461" s="2838"/>
      <c r="M461" s="2575"/>
      <c r="N461" s="2576"/>
      <c r="O461" s="2576"/>
      <c r="P461" s="2576"/>
      <c r="Q461" s="2576">
        <v>-0.74658572999999995</v>
      </c>
      <c r="R461" s="2576">
        <v>-0.67519474000000002</v>
      </c>
      <c r="S461" s="2576">
        <v>-0.66331232876712343</v>
      </c>
      <c r="T461" s="2577">
        <v>-0.32984383561643837</v>
      </c>
      <c r="U461" s="2578">
        <v>0</v>
      </c>
      <c r="V461" s="2576">
        <v>0</v>
      </c>
      <c r="W461" s="2576">
        <v>0</v>
      </c>
      <c r="X461" s="2576">
        <v>0</v>
      </c>
      <c r="Y461" s="2579">
        <v>0</v>
      </c>
    </row>
    <row r="462" spans="2:25" outlineLevel="1">
      <c r="B462" s="2011" t="s">
        <v>1187</v>
      </c>
      <c r="C462" s="2318">
        <f>IF('1.02b_Debt'!D181 = "","",'1.02b_Debt'!D181)</f>
        <v>41361</v>
      </c>
      <c r="D462" s="2318">
        <f>IF('1.02b_Debt'!E181 = "","",'1.02b_Debt'!E181)</f>
        <v>43921</v>
      </c>
      <c r="E462" s="2324" t="str">
        <f>IF('1.02b_Debt'!F181 = "","",'1.02b_Debt'!F181)</f>
        <v>Swap 2035 bond (C3) to floating rate for life</v>
      </c>
      <c r="F462" s="2596"/>
      <c r="G462" s="2596"/>
      <c r="H462" s="2596"/>
      <c r="I462" s="2597"/>
      <c r="J462" s="2051"/>
      <c r="K462" s="2051"/>
      <c r="L462" s="2838"/>
      <c r="M462" s="2575"/>
      <c r="N462" s="2576"/>
      <c r="O462" s="2576"/>
      <c r="P462" s="2576"/>
      <c r="Q462" s="2576">
        <v>-1.3936267</v>
      </c>
      <c r="R462" s="2576">
        <v>-1.2603635099999999</v>
      </c>
      <c r="S462" s="2576">
        <v>-1.2348000000000001</v>
      </c>
      <c r="T462" s="2577">
        <v>0</v>
      </c>
      <c r="U462" s="2578">
        <v>0</v>
      </c>
      <c r="V462" s="2576">
        <v>0</v>
      </c>
      <c r="W462" s="2576">
        <v>0</v>
      </c>
      <c r="X462" s="2576">
        <v>0</v>
      </c>
      <c r="Y462" s="2579">
        <v>0</v>
      </c>
    </row>
    <row r="463" spans="2:25" outlineLevel="1">
      <c r="B463" s="2011" t="s">
        <v>1188</v>
      </c>
      <c r="C463" s="2318">
        <f>IF('1.02b_Debt'!D182 = "","",'1.02b_Debt'!D182)</f>
        <v>41361</v>
      </c>
      <c r="D463" s="2318">
        <f>IF('1.02b_Debt'!E182 = "","",'1.02b_Debt'!E182)</f>
        <v>44469</v>
      </c>
      <c r="E463" s="2324" t="str">
        <f>IF('1.02b_Debt'!F182 = "","",'1.02b_Debt'!F182)</f>
        <v>Swap 2035 bond (C3) to floating rate for life</v>
      </c>
      <c r="F463" s="2596"/>
      <c r="G463" s="2596"/>
      <c r="H463" s="2596"/>
      <c r="I463" s="2597"/>
      <c r="J463" s="2051"/>
      <c r="K463" s="2051"/>
      <c r="L463" s="2838"/>
      <c r="M463" s="2575"/>
      <c r="N463" s="2576"/>
      <c r="O463" s="2576"/>
      <c r="P463" s="2576"/>
      <c r="Q463" s="2576">
        <v>-0.89590287999999996</v>
      </c>
      <c r="R463" s="2576">
        <v>-0.8102336899999999</v>
      </c>
      <c r="S463" s="2576">
        <v>-0.79597479452054798</v>
      </c>
      <c r="T463" s="2577">
        <v>-0.79380000000000006</v>
      </c>
      <c r="U463" s="2578">
        <v>-0.3935687671232877</v>
      </c>
      <c r="V463" s="2576">
        <v>0</v>
      </c>
      <c r="W463" s="2576">
        <v>0</v>
      </c>
      <c r="X463" s="2576">
        <v>0</v>
      </c>
      <c r="Y463" s="2579">
        <v>0</v>
      </c>
    </row>
    <row r="464" spans="2:25" outlineLevel="1">
      <c r="B464" s="2011" t="s">
        <v>1189</v>
      </c>
      <c r="C464" s="2318">
        <f>IF('1.02b_Debt'!D183 = "","",'1.02b_Debt'!D183)</f>
        <v>41361</v>
      </c>
      <c r="D464" s="2318">
        <f>IF('1.02b_Debt'!E183 = "","",'1.02b_Debt'!E183)</f>
        <v>44834</v>
      </c>
      <c r="E464" s="2324" t="str">
        <f>IF('1.02b_Debt'!F183 = "","",'1.02b_Debt'!F183)</f>
        <v>Swap 2035 bond (C3) to floating rate for life</v>
      </c>
      <c r="F464" s="2596"/>
      <c r="G464" s="2596"/>
      <c r="H464" s="2596"/>
      <c r="I464" s="2597"/>
      <c r="J464" s="2051"/>
      <c r="K464" s="2051"/>
      <c r="L464" s="2838"/>
      <c r="M464" s="2575"/>
      <c r="N464" s="2576"/>
      <c r="O464" s="2576"/>
      <c r="P464" s="2576"/>
      <c r="Q464" s="2576">
        <v>-0.24886190999999999</v>
      </c>
      <c r="R464" s="2576">
        <v>-0.22506491000000001</v>
      </c>
      <c r="S464" s="2576">
        <v>-0.22110410958904109</v>
      </c>
      <c r="T464" s="2577">
        <v>-0.2205</v>
      </c>
      <c r="U464" s="2578">
        <v>-0.21925</v>
      </c>
      <c r="V464" s="2576">
        <v>-0.10807808219178081</v>
      </c>
      <c r="W464" s="2576">
        <v>0</v>
      </c>
      <c r="X464" s="2576">
        <v>0</v>
      </c>
      <c r="Y464" s="2579">
        <v>0</v>
      </c>
    </row>
    <row r="465" spans="2:25" outlineLevel="1">
      <c r="B465" s="2011" t="s">
        <v>1190</v>
      </c>
      <c r="C465" s="2318">
        <f>IF('1.02b_Debt'!D184 = "","",'1.02b_Debt'!D184)</f>
        <v>41361</v>
      </c>
      <c r="D465" s="2318">
        <f>IF('1.02b_Debt'!E184 = "","",'1.02b_Debt'!E184)</f>
        <v>44651</v>
      </c>
      <c r="E465" s="2324" t="str">
        <f>IF('1.02b_Debt'!F184 = "","",'1.02b_Debt'!F184)</f>
        <v>Swap 2035 bond (C3) to floating rate for life</v>
      </c>
      <c r="F465" s="2596"/>
      <c r="G465" s="2596"/>
      <c r="H465" s="2596"/>
      <c r="I465" s="2597"/>
      <c r="J465" s="2051"/>
      <c r="K465" s="2051"/>
      <c r="L465" s="2838"/>
      <c r="M465" s="2575"/>
      <c r="N465" s="2576"/>
      <c r="O465" s="2576"/>
      <c r="P465" s="2576"/>
      <c r="Q465" s="2576">
        <v>-1.3936267</v>
      </c>
      <c r="R465" s="2576">
        <v>-1.2603635099999999</v>
      </c>
      <c r="S465" s="2576">
        <v>-1.23818301369863</v>
      </c>
      <c r="T465" s="2577">
        <v>-1.2348000000000001</v>
      </c>
      <c r="U465" s="2578">
        <v>-1.2244361643835617</v>
      </c>
      <c r="V465" s="2576">
        <v>0</v>
      </c>
      <c r="W465" s="2576">
        <v>0</v>
      </c>
      <c r="X465" s="2576">
        <v>0</v>
      </c>
      <c r="Y465" s="2579">
        <v>0</v>
      </c>
    </row>
    <row r="466" spans="2:25" outlineLevel="1">
      <c r="B466" s="2011" t="s">
        <v>1191</v>
      </c>
      <c r="C466" s="2318">
        <f>IF('1.02b_Debt'!D185 = "","",'1.02b_Debt'!D185)</f>
        <v>43007</v>
      </c>
      <c r="D466" s="2318">
        <f>IF('1.02b_Debt'!E185 = "","",'1.02b_Debt'!E185)</f>
        <v>45016</v>
      </c>
      <c r="E466" s="2324" t="str">
        <f>IF('1.02b_Debt'!F185 = "","",'1.02b_Debt'!F185)</f>
        <v>Swap 2035 bond (C3) to floating rate for life</v>
      </c>
      <c r="F466" s="2596"/>
      <c r="G466" s="2596"/>
      <c r="H466" s="2596"/>
      <c r="I466" s="2597"/>
      <c r="J466" s="2051"/>
      <c r="K466" s="2051"/>
      <c r="L466" s="2838"/>
      <c r="M466" s="2575"/>
      <c r="N466" s="2576"/>
      <c r="O466" s="2576"/>
      <c r="P466" s="2576"/>
      <c r="Q466" s="2576">
        <v>7.8005550000000007E-2</v>
      </c>
      <c r="R466" s="2576">
        <v>-0.63000674999999995</v>
      </c>
      <c r="S466" s="2576">
        <v>-0.61891602739726026</v>
      </c>
      <c r="T466" s="2577">
        <v>-0.61722500000000002</v>
      </c>
      <c r="U466" s="2578">
        <v>-0.61372500000000008</v>
      </c>
      <c r="V466" s="2576">
        <v>-0.60506273972602731</v>
      </c>
      <c r="W466" s="2576">
        <v>0</v>
      </c>
      <c r="X466" s="2576">
        <v>0</v>
      </c>
      <c r="Y466" s="2579">
        <v>0</v>
      </c>
    </row>
    <row r="467" spans="2:25" outlineLevel="1">
      <c r="B467" s="2011" t="s">
        <v>1192</v>
      </c>
      <c r="C467" s="2318">
        <f>IF('1.02b_Debt'!D186 = "","",'1.02b_Debt'!D186)</f>
        <v>43007</v>
      </c>
      <c r="D467" s="2318">
        <f>IF('1.02b_Debt'!E186 = "","",'1.02b_Debt'!E186)</f>
        <v>44834</v>
      </c>
      <c r="E467" s="2324" t="str">
        <f>IF('1.02b_Debt'!F186 = "","",'1.02b_Debt'!F186)</f>
        <v>Swap 2035 bond (C3) to floating rate for life</v>
      </c>
      <c r="F467" s="2596"/>
      <c r="G467" s="2596"/>
      <c r="H467" s="2596"/>
      <c r="I467" s="2597"/>
      <c r="J467" s="2051"/>
      <c r="K467" s="2051"/>
      <c r="L467" s="2838"/>
      <c r="M467" s="2575"/>
      <c r="N467" s="2576"/>
      <c r="O467" s="2576"/>
      <c r="P467" s="2576"/>
      <c r="Q467" s="2576">
        <v>6.4075980000000005E-2</v>
      </c>
      <c r="R467" s="2576">
        <v>-0.51750554999999998</v>
      </c>
      <c r="S467" s="2576">
        <v>-0.50839530821917811</v>
      </c>
      <c r="T467" s="2577">
        <v>-0.5070062500000001</v>
      </c>
      <c r="U467" s="2578">
        <v>-0.50413125000000003</v>
      </c>
      <c r="V467" s="2576">
        <v>-0.24850791095890412</v>
      </c>
      <c r="W467" s="2576">
        <v>0</v>
      </c>
      <c r="X467" s="2576">
        <v>0</v>
      </c>
      <c r="Y467" s="2579">
        <v>0</v>
      </c>
    </row>
    <row r="468" spans="2:25" outlineLevel="1">
      <c r="B468" s="2011" t="s">
        <v>1193</v>
      </c>
      <c r="C468" s="2318">
        <f>IF('1.02b_Debt'!D187 = "","",'1.02b_Debt'!D187)</f>
        <v>41361</v>
      </c>
      <c r="D468" s="2318">
        <f>IF('1.02b_Debt'!E187 = "","",'1.02b_Debt'!E187)</f>
        <v>43007</v>
      </c>
      <c r="E468" s="2324" t="str">
        <f>IF('1.02b_Debt'!F187 = "","",'1.02b_Debt'!F187)</f>
        <v>Re-fix rate on 2027 bond (C2) for periods up to 10 years</v>
      </c>
      <c r="F468" s="2596"/>
      <c r="G468" s="2596"/>
      <c r="H468" s="2596"/>
      <c r="I468" s="2597"/>
      <c r="J468" s="2051"/>
      <c r="K468" s="2051"/>
      <c r="L468" s="2838"/>
      <c r="M468" s="2575"/>
      <c r="N468" s="2576"/>
      <c r="O468" s="2576"/>
      <c r="P468" s="2576"/>
      <c r="Q468" s="2576">
        <v>2.3063759999999999E-2</v>
      </c>
      <c r="R468" s="2576">
        <v>0</v>
      </c>
      <c r="S468" s="2576">
        <v>0</v>
      </c>
      <c r="T468" s="2577">
        <v>0</v>
      </c>
      <c r="U468" s="2578">
        <v>0</v>
      </c>
      <c r="V468" s="2576">
        <v>0</v>
      </c>
      <c r="W468" s="2576">
        <v>0</v>
      </c>
      <c r="X468" s="2576">
        <v>0</v>
      </c>
      <c r="Y468" s="2579">
        <v>0</v>
      </c>
    </row>
    <row r="469" spans="2:25" outlineLevel="1">
      <c r="B469" s="2011" t="s">
        <v>1194</v>
      </c>
      <c r="C469" s="2318">
        <f>IF('1.02b_Debt'!D188 = "","",'1.02b_Debt'!D188)</f>
        <v>41361</v>
      </c>
      <c r="D469" s="2318">
        <f>IF('1.02b_Debt'!E188 = "","",'1.02b_Debt'!E188)</f>
        <v>43188</v>
      </c>
      <c r="E469" s="2324" t="str">
        <f>IF('1.02b_Debt'!F188 = "","",'1.02b_Debt'!F188)</f>
        <v>Re-fix rate on 2027 bond (C2) for periods up to 10 years</v>
      </c>
      <c r="F469" s="2596"/>
      <c r="G469" s="2596"/>
      <c r="H469" s="2596"/>
      <c r="I469" s="2597"/>
      <c r="J469" s="2051"/>
      <c r="K469" s="2051"/>
      <c r="L469" s="2838"/>
      <c r="M469" s="2575"/>
      <c r="N469" s="2576"/>
      <c r="O469" s="2576"/>
      <c r="P469" s="2576"/>
      <c r="Q469" s="2576">
        <v>4.6022500000000001E-2</v>
      </c>
      <c r="R469" s="2576">
        <v>0</v>
      </c>
      <c r="S469" s="2576">
        <v>0</v>
      </c>
      <c r="T469" s="2577">
        <v>0</v>
      </c>
      <c r="U469" s="2578">
        <v>0</v>
      </c>
      <c r="V469" s="2576">
        <v>0</v>
      </c>
      <c r="W469" s="2576">
        <v>0</v>
      </c>
      <c r="X469" s="2576">
        <v>0</v>
      </c>
      <c r="Y469" s="2579">
        <v>0</v>
      </c>
    </row>
    <row r="470" spans="2:25" outlineLevel="1">
      <c r="B470" s="2011" t="s">
        <v>1195</v>
      </c>
      <c r="C470" s="2318">
        <f>IF('1.02b_Debt'!D189 = "","",'1.02b_Debt'!D189)</f>
        <v>41361</v>
      </c>
      <c r="D470" s="2318">
        <f>IF('1.02b_Debt'!E189 = "","",'1.02b_Debt'!E189)</f>
        <v>43371</v>
      </c>
      <c r="E470" s="2324" t="str">
        <f>IF('1.02b_Debt'!F189 = "","",'1.02b_Debt'!F189)</f>
        <v>Re-fix rate on 2027 bond (C2) for periods up to 10 years</v>
      </c>
      <c r="F470" s="2596"/>
      <c r="G470" s="2596"/>
      <c r="H470" s="2596"/>
      <c r="I470" s="2597"/>
      <c r="J470" s="2051"/>
      <c r="K470" s="2051"/>
      <c r="L470" s="2838"/>
      <c r="M470" s="2575"/>
      <c r="N470" s="2576"/>
      <c r="O470" s="2576"/>
      <c r="P470" s="2576"/>
      <c r="Q470" s="2576">
        <v>4.6022500000000001E-2</v>
      </c>
      <c r="R470" s="2576">
        <v>8.3681800000000011E-3</v>
      </c>
      <c r="S470" s="2576">
        <v>0</v>
      </c>
      <c r="T470" s="2577">
        <v>0</v>
      </c>
      <c r="U470" s="2578">
        <v>0</v>
      </c>
      <c r="V470" s="2576">
        <v>0</v>
      </c>
      <c r="W470" s="2576">
        <v>0</v>
      </c>
      <c r="X470" s="2576">
        <v>0</v>
      </c>
      <c r="Y470" s="2579">
        <v>0</v>
      </c>
    </row>
    <row r="471" spans="2:25" outlineLevel="1">
      <c r="B471" s="2011" t="s">
        <v>1196</v>
      </c>
      <c r="C471" s="2318">
        <f>IF('1.02b_Debt'!D190 = "","",'1.02b_Debt'!D190)</f>
        <v>41361</v>
      </c>
      <c r="D471" s="2318">
        <f>IF('1.02b_Debt'!E190 = "","",'1.02b_Debt'!E190)</f>
        <v>43553</v>
      </c>
      <c r="E471" s="2324" t="str">
        <f>IF('1.02b_Debt'!F190 = "","",'1.02b_Debt'!F190)</f>
        <v>Re-fix rate on 2027 bond (C2) for periods up to 10 years</v>
      </c>
      <c r="F471" s="2596"/>
      <c r="G471" s="2596"/>
      <c r="H471" s="2596"/>
      <c r="I471" s="2597"/>
      <c r="J471" s="2051"/>
      <c r="K471" s="2051"/>
      <c r="L471" s="2838"/>
      <c r="M471" s="2575"/>
      <c r="N471" s="2576"/>
      <c r="O471" s="2576"/>
      <c r="P471" s="2576"/>
      <c r="Q471" s="2576">
        <v>4.6022500000000001E-2</v>
      </c>
      <c r="R471" s="2576">
        <v>1.3390879999999997E-2</v>
      </c>
      <c r="S471" s="2576">
        <v>0</v>
      </c>
      <c r="T471" s="2577">
        <v>0</v>
      </c>
      <c r="U471" s="2578">
        <v>0</v>
      </c>
      <c r="V471" s="2576">
        <v>0</v>
      </c>
      <c r="W471" s="2576">
        <v>0</v>
      </c>
      <c r="X471" s="2576">
        <v>0</v>
      </c>
      <c r="Y471" s="2579">
        <v>0</v>
      </c>
    </row>
    <row r="472" spans="2:25" outlineLevel="1">
      <c r="B472" s="2011" t="s">
        <v>1197</v>
      </c>
      <c r="C472" s="2318">
        <f>IF('1.02b_Debt'!D191 = "","",'1.02b_Debt'!D191)</f>
        <v>41361</v>
      </c>
      <c r="D472" s="2318">
        <f>IF('1.02b_Debt'!E191 = "","",'1.02b_Debt'!E191)</f>
        <v>43738</v>
      </c>
      <c r="E472" s="2324" t="str">
        <f>IF('1.02b_Debt'!F191 = "","",'1.02b_Debt'!F191)</f>
        <v>Re-fix rate on 2027 bond (C2) for periods up to 10 years</v>
      </c>
      <c r="F472" s="2596"/>
      <c r="G472" s="2596"/>
      <c r="H472" s="2596"/>
      <c r="I472" s="2597"/>
      <c r="J472" s="2051"/>
      <c r="K472" s="2051"/>
      <c r="L472" s="2838"/>
      <c r="M472" s="2575"/>
      <c r="N472" s="2576"/>
      <c r="O472" s="2576"/>
      <c r="P472" s="2576"/>
      <c r="Q472" s="2576">
        <v>3.2873209999999993E-2</v>
      </c>
      <c r="R472" s="2576">
        <v>9.5649099999999994E-3</v>
      </c>
      <c r="S472" s="2576">
        <v>2.4931506849315069E-3</v>
      </c>
      <c r="T472" s="2577">
        <v>0</v>
      </c>
      <c r="U472" s="2578">
        <v>0</v>
      </c>
      <c r="V472" s="2576">
        <v>0</v>
      </c>
      <c r="W472" s="2576">
        <v>0</v>
      </c>
      <c r="X472" s="2576">
        <v>0</v>
      </c>
      <c r="Y472" s="2579">
        <v>0</v>
      </c>
    </row>
    <row r="473" spans="2:25" outlineLevel="1">
      <c r="B473" s="2011" t="s">
        <v>1198</v>
      </c>
      <c r="C473" s="2318">
        <f>IF('1.02b_Debt'!D192 = "","",'1.02b_Debt'!D192)</f>
        <v>41361</v>
      </c>
      <c r="D473" s="2318">
        <f>IF('1.02b_Debt'!E192 = "","",'1.02b_Debt'!E192)</f>
        <v>43007</v>
      </c>
      <c r="E473" s="2324" t="str">
        <f>IF('1.02b_Debt'!F192 = "","",'1.02b_Debt'!F192)</f>
        <v>Re-fix rate on 2027 bond (C2) for periods up to 10 years</v>
      </c>
      <c r="F473" s="2596"/>
      <c r="G473" s="2596"/>
      <c r="H473" s="2596"/>
      <c r="I473" s="2597"/>
      <c r="J473" s="2051"/>
      <c r="K473" s="2051"/>
      <c r="L473" s="2838"/>
      <c r="M473" s="2575"/>
      <c r="N473" s="2576"/>
      <c r="O473" s="2576"/>
      <c r="P473" s="2576"/>
      <c r="Q473" s="2576">
        <v>2.350006E-2</v>
      </c>
      <c r="R473" s="2576">
        <v>0</v>
      </c>
      <c r="S473" s="2576">
        <v>0</v>
      </c>
      <c r="T473" s="2577">
        <v>0</v>
      </c>
      <c r="U473" s="2578">
        <v>0</v>
      </c>
      <c r="V473" s="2576">
        <v>0</v>
      </c>
      <c r="W473" s="2576">
        <v>0</v>
      </c>
      <c r="X473" s="2576">
        <v>0</v>
      </c>
      <c r="Y473" s="2579">
        <v>0</v>
      </c>
    </row>
    <row r="474" spans="2:25" outlineLevel="1">
      <c r="B474" s="2011" t="s">
        <v>1200</v>
      </c>
      <c r="C474" s="2318">
        <f>IF('1.02b_Debt'!D193 = "","",'1.02b_Debt'!D193)</f>
        <v>41361</v>
      </c>
      <c r="D474" s="2318">
        <f>IF('1.02b_Debt'!E193 = "","",'1.02b_Debt'!E193)</f>
        <v>43188</v>
      </c>
      <c r="E474" s="2324" t="str">
        <f>IF('1.02b_Debt'!F193 = "","",'1.02b_Debt'!F193)</f>
        <v>Re-fix rate on 2027 bond (C2) for periods up to 10 years</v>
      </c>
      <c r="F474" s="2596"/>
      <c r="G474" s="2596"/>
      <c r="H474" s="2596"/>
      <c r="I474" s="2597"/>
      <c r="J474" s="2051"/>
      <c r="K474" s="2051"/>
      <c r="L474" s="2838"/>
      <c r="M474" s="2575"/>
      <c r="N474" s="2576"/>
      <c r="O474" s="2576"/>
      <c r="P474" s="2576"/>
      <c r="Q474" s="2576">
        <v>4.6892700000000002E-2</v>
      </c>
      <c r="R474" s="2576">
        <v>0</v>
      </c>
      <c r="S474" s="2576">
        <v>0</v>
      </c>
      <c r="T474" s="2577">
        <v>0</v>
      </c>
      <c r="U474" s="2578">
        <v>0</v>
      </c>
      <c r="V474" s="2576">
        <v>0</v>
      </c>
      <c r="W474" s="2576">
        <v>0</v>
      </c>
      <c r="X474" s="2576">
        <v>0</v>
      </c>
      <c r="Y474" s="2579">
        <v>0</v>
      </c>
    </row>
    <row r="475" spans="2:25" outlineLevel="1">
      <c r="B475" s="2011" t="s">
        <v>1201</v>
      </c>
      <c r="C475" s="2318">
        <f>IF('1.02b_Debt'!D194 = "","",'1.02b_Debt'!D194)</f>
        <v>41361</v>
      </c>
      <c r="D475" s="2318">
        <f>IF('1.02b_Debt'!E194 = "","",'1.02b_Debt'!E194)</f>
        <v>43371</v>
      </c>
      <c r="E475" s="2324" t="str">
        <f>IF('1.02b_Debt'!F194 = "","",'1.02b_Debt'!F194)</f>
        <v>Re-fix rate on 2027 bond (C2) for periods up to 10 years</v>
      </c>
      <c r="F475" s="2596"/>
      <c r="G475" s="2596"/>
      <c r="H475" s="2596"/>
      <c r="I475" s="2597"/>
      <c r="J475" s="2051"/>
      <c r="K475" s="2051"/>
      <c r="L475" s="2838"/>
      <c r="M475" s="2575"/>
      <c r="N475" s="2576"/>
      <c r="O475" s="2576"/>
      <c r="P475" s="2576"/>
      <c r="Q475" s="2576">
        <v>4.6892700000000002E-2</v>
      </c>
      <c r="R475" s="2576">
        <v>8.8068799999999978E-3</v>
      </c>
      <c r="S475" s="2576">
        <v>0</v>
      </c>
      <c r="T475" s="2577">
        <v>0</v>
      </c>
      <c r="U475" s="2578">
        <v>0</v>
      </c>
      <c r="V475" s="2576">
        <v>0</v>
      </c>
      <c r="W475" s="2576">
        <v>0</v>
      </c>
      <c r="X475" s="2576">
        <v>0</v>
      </c>
      <c r="Y475" s="2579">
        <v>0</v>
      </c>
    </row>
    <row r="476" spans="2:25" outlineLevel="1">
      <c r="B476" s="2011" t="s">
        <v>1202</v>
      </c>
      <c r="C476" s="2318">
        <f>IF('1.02b_Debt'!D195 = "","",'1.02b_Debt'!D195)</f>
        <v>41361</v>
      </c>
      <c r="D476" s="2318">
        <f>IF('1.02b_Debt'!E195 = "","",'1.02b_Debt'!E195)</f>
        <v>43553</v>
      </c>
      <c r="E476" s="2324" t="str">
        <f>IF('1.02b_Debt'!F195 = "","",'1.02b_Debt'!F195)</f>
        <v>Re-fix rate on 2027 bond (C2) for periods up to 10 years</v>
      </c>
      <c r="F476" s="2596"/>
      <c r="G476" s="2596"/>
      <c r="H476" s="2596"/>
      <c r="I476" s="2597"/>
      <c r="J476" s="2051"/>
      <c r="K476" s="2051"/>
      <c r="L476" s="2838"/>
      <c r="M476" s="2575"/>
      <c r="N476" s="2576"/>
      <c r="O476" s="2576"/>
      <c r="P476" s="2576"/>
      <c r="Q476" s="2576">
        <v>4.6892700000000002E-2</v>
      </c>
      <c r="R476" s="2576">
        <v>1.4265879999999998E-2</v>
      </c>
      <c r="S476" s="2576">
        <v>0</v>
      </c>
      <c r="T476" s="2577">
        <v>0</v>
      </c>
      <c r="U476" s="2578">
        <v>0</v>
      </c>
      <c r="V476" s="2576">
        <v>0</v>
      </c>
      <c r="W476" s="2576">
        <v>0</v>
      </c>
      <c r="X476" s="2576">
        <v>0</v>
      </c>
      <c r="Y476" s="2579">
        <v>0</v>
      </c>
    </row>
    <row r="477" spans="2:25" outlineLevel="1">
      <c r="B477" s="2011" t="s">
        <v>1203</v>
      </c>
      <c r="C477" s="2318">
        <f>IF('1.02b_Debt'!D196 = "","",'1.02b_Debt'!D196)</f>
        <v>41361</v>
      </c>
      <c r="D477" s="2318">
        <f>IF('1.02b_Debt'!E196 = "","",'1.02b_Debt'!E196)</f>
        <v>43738</v>
      </c>
      <c r="E477" s="2324" t="str">
        <f>IF('1.02b_Debt'!F196 = "","",'1.02b_Debt'!F196)</f>
        <v>Re-fix rate on 2027 bond (C2) for periods up to 10 years</v>
      </c>
      <c r="F477" s="2596"/>
      <c r="G477" s="2596"/>
      <c r="H477" s="2596"/>
      <c r="I477" s="2597"/>
      <c r="J477" s="2051"/>
      <c r="K477" s="2051"/>
      <c r="L477" s="2838"/>
      <c r="M477" s="2575"/>
      <c r="N477" s="2576"/>
      <c r="O477" s="2576"/>
      <c r="P477" s="2576"/>
      <c r="Q477" s="2576">
        <v>3.3494800000000005E-2</v>
      </c>
      <c r="R477" s="2576">
        <v>1.018991E-2</v>
      </c>
      <c r="S477" s="2576">
        <v>2.8047945205479444E-3</v>
      </c>
      <c r="T477" s="2577">
        <v>0</v>
      </c>
      <c r="U477" s="2578">
        <v>0</v>
      </c>
      <c r="V477" s="2576">
        <v>0</v>
      </c>
      <c r="W477" s="2576">
        <v>0</v>
      </c>
      <c r="X477" s="2576">
        <v>0</v>
      </c>
      <c r="Y477" s="2579">
        <v>0</v>
      </c>
    </row>
    <row r="478" spans="2:25" outlineLevel="1">
      <c r="B478" s="2011" t="s">
        <v>1204</v>
      </c>
      <c r="C478" s="2318">
        <f>IF('1.02b_Debt'!D197 = "","",'1.02b_Debt'!D197)</f>
        <v>41361</v>
      </c>
      <c r="D478" s="2318">
        <f>IF('1.02b_Debt'!E197 = "","",'1.02b_Debt'!E197)</f>
        <v>43007</v>
      </c>
      <c r="E478" s="2324" t="str">
        <f>IF('1.02b_Debt'!F197 = "","",'1.02b_Debt'!F197)</f>
        <v>Re-fix rate on 2027 bond (C2) for periods up to 10 years</v>
      </c>
      <c r="F478" s="2596"/>
      <c r="G478" s="2596"/>
      <c r="H478" s="2596"/>
      <c r="I478" s="2597"/>
      <c r="J478" s="2051"/>
      <c r="K478" s="2051"/>
      <c r="L478" s="2838"/>
      <c r="M478" s="2575"/>
      <c r="N478" s="2576"/>
      <c r="O478" s="2576"/>
      <c r="P478" s="2576"/>
      <c r="Q478" s="2576">
        <v>2.3063759999999999E-2</v>
      </c>
      <c r="R478" s="2576">
        <v>0</v>
      </c>
      <c r="S478" s="2576">
        <v>0</v>
      </c>
      <c r="T478" s="2577">
        <v>0</v>
      </c>
      <c r="U478" s="2578">
        <v>0</v>
      </c>
      <c r="V478" s="2576">
        <v>0</v>
      </c>
      <c r="W478" s="2576">
        <v>0</v>
      </c>
      <c r="X478" s="2576">
        <v>0</v>
      </c>
      <c r="Y478" s="2579">
        <v>0</v>
      </c>
    </row>
    <row r="479" spans="2:25" outlineLevel="1">
      <c r="B479" s="2011" t="s">
        <v>1205</v>
      </c>
      <c r="C479" s="2318">
        <f>IF('1.02b_Debt'!D198 = "","",'1.02b_Debt'!D198)</f>
        <v>41361</v>
      </c>
      <c r="D479" s="2318">
        <f>IF('1.02b_Debt'!E198 = "","",'1.02b_Debt'!E198)</f>
        <v>43188</v>
      </c>
      <c r="E479" s="2324" t="str">
        <f>IF('1.02b_Debt'!F198 = "","",'1.02b_Debt'!F198)</f>
        <v>Re-fix rate on 2027 bond (C2) for periods up to 10 years</v>
      </c>
      <c r="F479" s="2596"/>
      <c r="G479" s="2596"/>
      <c r="H479" s="2596"/>
      <c r="I479" s="2597"/>
      <c r="J479" s="2051"/>
      <c r="K479" s="2051"/>
      <c r="L479" s="2838"/>
      <c r="M479" s="2575"/>
      <c r="N479" s="2576"/>
      <c r="O479" s="2576"/>
      <c r="P479" s="2576"/>
      <c r="Q479" s="2576">
        <v>4.6022500000000001E-2</v>
      </c>
      <c r="R479" s="2576">
        <v>0</v>
      </c>
      <c r="S479" s="2576">
        <v>0</v>
      </c>
      <c r="T479" s="2577">
        <v>0</v>
      </c>
      <c r="U479" s="2578">
        <v>0</v>
      </c>
      <c r="V479" s="2576">
        <v>0</v>
      </c>
      <c r="W479" s="2576">
        <v>0</v>
      </c>
      <c r="X479" s="2576">
        <v>0</v>
      </c>
      <c r="Y479" s="2579">
        <v>0</v>
      </c>
    </row>
    <row r="480" spans="2:25" outlineLevel="1">
      <c r="B480" s="2011" t="s">
        <v>1206</v>
      </c>
      <c r="C480" s="2318">
        <f>IF('1.02b_Debt'!D199 = "","",'1.02b_Debt'!D199)</f>
        <v>41361</v>
      </c>
      <c r="D480" s="2318">
        <f>IF('1.02b_Debt'!E199 = "","",'1.02b_Debt'!E199)</f>
        <v>43371</v>
      </c>
      <c r="E480" s="2324" t="str">
        <f>IF('1.02b_Debt'!F199 = "","",'1.02b_Debt'!F199)</f>
        <v>Re-fix rate on 2027 bond (C2) for periods up to 10 years</v>
      </c>
      <c r="F480" s="2596"/>
      <c r="G480" s="2596"/>
      <c r="H480" s="2596"/>
      <c r="I480" s="2597"/>
      <c r="J480" s="2051"/>
      <c r="K480" s="2051"/>
      <c r="L480" s="2838"/>
      <c r="M480" s="2575"/>
      <c r="N480" s="2576"/>
      <c r="O480" s="2576"/>
      <c r="P480" s="2576"/>
      <c r="Q480" s="2576">
        <v>4.6022500000000001E-2</v>
      </c>
      <c r="R480" s="2576">
        <v>8.3681800000000011E-3</v>
      </c>
      <c r="S480" s="2576">
        <v>0</v>
      </c>
      <c r="T480" s="2577">
        <v>0</v>
      </c>
      <c r="U480" s="2578">
        <v>0</v>
      </c>
      <c r="V480" s="2576">
        <v>0</v>
      </c>
      <c r="W480" s="2576">
        <v>0</v>
      </c>
      <c r="X480" s="2576">
        <v>0</v>
      </c>
      <c r="Y480" s="2579">
        <v>0</v>
      </c>
    </row>
    <row r="481" spans="2:25" outlineLevel="1">
      <c r="B481" s="2011" t="s">
        <v>1207</v>
      </c>
      <c r="C481" s="2318">
        <f>IF('1.02b_Debt'!D200 = "","",'1.02b_Debt'!D200)</f>
        <v>41361</v>
      </c>
      <c r="D481" s="2318">
        <f>IF('1.02b_Debt'!E200 = "","",'1.02b_Debt'!E200)</f>
        <v>43553</v>
      </c>
      <c r="E481" s="2324" t="str">
        <f>IF('1.02b_Debt'!F200 = "","",'1.02b_Debt'!F200)</f>
        <v>Re-fix rate on 2027 bond (C2) for periods up to 10 years</v>
      </c>
      <c r="F481" s="2596"/>
      <c r="G481" s="2596"/>
      <c r="H481" s="2596"/>
      <c r="I481" s="2597"/>
      <c r="J481" s="2051"/>
      <c r="K481" s="2051"/>
      <c r="L481" s="2838"/>
      <c r="M481" s="2575"/>
      <c r="N481" s="2576"/>
      <c r="O481" s="2576"/>
      <c r="P481" s="2576"/>
      <c r="Q481" s="2576">
        <v>4.6022500000000001E-2</v>
      </c>
      <c r="R481" s="2576">
        <v>1.3390879999999997E-2</v>
      </c>
      <c r="S481" s="2576">
        <v>0</v>
      </c>
      <c r="T481" s="2577">
        <v>0</v>
      </c>
      <c r="U481" s="2578">
        <v>0</v>
      </c>
      <c r="V481" s="2576">
        <v>0</v>
      </c>
      <c r="W481" s="2576">
        <v>0</v>
      </c>
      <c r="X481" s="2576">
        <v>0</v>
      </c>
      <c r="Y481" s="2579">
        <v>0</v>
      </c>
    </row>
    <row r="482" spans="2:25" outlineLevel="1">
      <c r="B482" s="2011" t="s">
        <v>1208</v>
      </c>
      <c r="C482" s="2318">
        <f>IF('1.02b_Debt'!D201 = "","",'1.02b_Debt'!D201)</f>
        <v>41361</v>
      </c>
      <c r="D482" s="2318">
        <f>IF('1.02b_Debt'!E201 = "","",'1.02b_Debt'!E201)</f>
        <v>43738</v>
      </c>
      <c r="E482" s="2324" t="str">
        <f>IF('1.02b_Debt'!F201 = "","",'1.02b_Debt'!F201)</f>
        <v>Re-fix rate on 2027 bond (C2) for periods up to 10 years</v>
      </c>
      <c r="F482" s="2596"/>
      <c r="G482" s="2596"/>
      <c r="H482" s="2596"/>
      <c r="I482" s="2597"/>
      <c r="J482" s="2051"/>
      <c r="K482" s="2051"/>
      <c r="L482" s="2838"/>
      <c r="M482" s="2575"/>
      <c r="N482" s="2576"/>
      <c r="O482" s="2576"/>
      <c r="P482" s="2576"/>
      <c r="Q482" s="2576">
        <v>3.2873209999999993E-2</v>
      </c>
      <c r="R482" s="2576">
        <v>9.5649099999999994E-3</v>
      </c>
      <c r="S482" s="2576">
        <v>2.4931506849315069E-3</v>
      </c>
      <c r="T482" s="2577">
        <v>0</v>
      </c>
      <c r="U482" s="2578">
        <v>0</v>
      </c>
      <c r="V482" s="2576">
        <v>0</v>
      </c>
      <c r="W482" s="2576">
        <v>0</v>
      </c>
      <c r="X482" s="2576">
        <v>0</v>
      </c>
      <c r="Y482" s="2579">
        <v>0</v>
      </c>
    </row>
    <row r="483" spans="2:25" outlineLevel="1">
      <c r="B483" s="2011" t="s">
        <v>1209</v>
      </c>
      <c r="C483" s="2318">
        <f>IF('1.02b_Debt'!D202 = "","",'1.02b_Debt'!D202)</f>
        <v>41361</v>
      </c>
      <c r="D483" s="2318">
        <f>IF('1.02b_Debt'!E202 = "","",'1.02b_Debt'!E202)</f>
        <v>43007</v>
      </c>
      <c r="E483" s="2324" t="str">
        <f>IF('1.02b_Debt'!F202 = "","",'1.02b_Debt'!F202)</f>
        <v>Re-fix rate on 2027 bond (C2) for periods up to 10 years</v>
      </c>
      <c r="F483" s="2596"/>
      <c r="G483" s="2596"/>
      <c r="H483" s="2596"/>
      <c r="I483" s="2597"/>
      <c r="J483" s="2051"/>
      <c r="K483" s="2051"/>
      <c r="L483" s="2838"/>
      <c r="M483" s="2575"/>
      <c r="N483" s="2576"/>
      <c r="O483" s="2576"/>
      <c r="P483" s="2576"/>
      <c r="Q483" s="2576">
        <v>2.3587320000000002E-2</v>
      </c>
      <c r="R483" s="2576">
        <v>0</v>
      </c>
      <c r="S483" s="2576">
        <v>0</v>
      </c>
      <c r="T483" s="2577">
        <v>0</v>
      </c>
      <c r="U483" s="2578">
        <v>0</v>
      </c>
      <c r="V483" s="2576">
        <v>0</v>
      </c>
      <c r="W483" s="2576">
        <v>0</v>
      </c>
      <c r="X483" s="2576">
        <v>0</v>
      </c>
      <c r="Y483" s="2579">
        <v>0</v>
      </c>
    </row>
    <row r="484" spans="2:25" outlineLevel="1">
      <c r="B484" s="2011" t="s">
        <v>1210</v>
      </c>
      <c r="C484" s="2318">
        <f>IF('1.02b_Debt'!D203 = "","",'1.02b_Debt'!D203)</f>
        <v>41361</v>
      </c>
      <c r="D484" s="2318">
        <f>IF('1.02b_Debt'!E203 = "","",'1.02b_Debt'!E203)</f>
        <v>43188</v>
      </c>
      <c r="E484" s="2324" t="str">
        <f>IF('1.02b_Debt'!F203 = "","",'1.02b_Debt'!F203)</f>
        <v>Re-fix rate on 2027 bond (C2) for periods up to 10 years</v>
      </c>
      <c r="F484" s="2596"/>
      <c r="G484" s="2596"/>
      <c r="H484" s="2596"/>
      <c r="I484" s="2597"/>
      <c r="J484" s="2051"/>
      <c r="K484" s="2051"/>
      <c r="L484" s="2838"/>
      <c r="M484" s="2575"/>
      <c r="N484" s="2576"/>
      <c r="O484" s="2576"/>
      <c r="P484" s="2576"/>
      <c r="Q484" s="2576">
        <v>4.7066740000000003E-2</v>
      </c>
      <c r="R484" s="2576">
        <v>0</v>
      </c>
      <c r="S484" s="2576">
        <v>0</v>
      </c>
      <c r="T484" s="2577">
        <v>0</v>
      </c>
      <c r="U484" s="2578">
        <v>0</v>
      </c>
      <c r="V484" s="2576">
        <v>0</v>
      </c>
      <c r="W484" s="2576">
        <v>0</v>
      </c>
      <c r="X484" s="2576">
        <v>0</v>
      </c>
      <c r="Y484" s="2579">
        <v>0</v>
      </c>
    </row>
    <row r="485" spans="2:25" outlineLevel="1">
      <c r="B485" s="2011" t="s">
        <v>1211</v>
      </c>
      <c r="C485" s="2318">
        <f>IF('1.02b_Debt'!D204 = "","",'1.02b_Debt'!D204)</f>
        <v>41361</v>
      </c>
      <c r="D485" s="2318">
        <f>IF('1.02b_Debt'!E204 = "","",'1.02b_Debt'!E204)</f>
        <v>43371</v>
      </c>
      <c r="E485" s="2324" t="str">
        <f>IF('1.02b_Debt'!F204 = "","",'1.02b_Debt'!F204)</f>
        <v>Re-fix rate on 2027 bond (C2) for periods up to 10 years</v>
      </c>
      <c r="F485" s="2596"/>
      <c r="G485" s="2596"/>
      <c r="H485" s="2596"/>
      <c r="I485" s="2597"/>
      <c r="J485" s="2051"/>
      <c r="K485" s="2051"/>
      <c r="L485" s="2838"/>
      <c r="M485" s="2575"/>
      <c r="N485" s="2576"/>
      <c r="O485" s="2576"/>
      <c r="P485" s="2576"/>
      <c r="Q485" s="2576">
        <v>4.7066740000000003E-2</v>
      </c>
      <c r="R485" s="2576">
        <v>8.8946199999999954E-3</v>
      </c>
      <c r="S485" s="2576">
        <v>0</v>
      </c>
      <c r="T485" s="2577">
        <v>0</v>
      </c>
      <c r="U485" s="2578">
        <v>0</v>
      </c>
      <c r="V485" s="2576">
        <v>0</v>
      </c>
      <c r="W485" s="2576">
        <v>0</v>
      </c>
      <c r="X485" s="2576">
        <v>0</v>
      </c>
      <c r="Y485" s="2579">
        <v>0</v>
      </c>
    </row>
    <row r="486" spans="2:25" outlineLevel="1">
      <c r="B486" s="2011" t="s">
        <v>1212</v>
      </c>
      <c r="C486" s="2318">
        <f>IF('1.02b_Debt'!D205 = "","",'1.02b_Debt'!D205)</f>
        <v>41361</v>
      </c>
      <c r="D486" s="2318">
        <f>IF('1.02b_Debt'!E205 = "","",'1.02b_Debt'!E205)</f>
        <v>43553</v>
      </c>
      <c r="E486" s="2324" t="str">
        <f>IF('1.02b_Debt'!F205 = "","",'1.02b_Debt'!F205)</f>
        <v>Re-fix rate on 2027 bond (C2) for periods up to 10 years</v>
      </c>
      <c r="F486" s="2596"/>
      <c r="G486" s="2596"/>
      <c r="H486" s="2596"/>
      <c r="I486" s="2597"/>
      <c r="J486" s="2051"/>
      <c r="K486" s="2051"/>
      <c r="L486" s="2838"/>
      <c r="M486" s="2575"/>
      <c r="N486" s="2576"/>
      <c r="O486" s="2576"/>
      <c r="P486" s="2576"/>
      <c r="Q486" s="2576">
        <v>4.7066740000000003E-2</v>
      </c>
      <c r="R486" s="2576">
        <v>1.4440879999999998E-2</v>
      </c>
      <c r="S486" s="2576">
        <v>0</v>
      </c>
      <c r="T486" s="2577">
        <v>0</v>
      </c>
      <c r="U486" s="2578">
        <v>0</v>
      </c>
      <c r="V486" s="2576">
        <v>0</v>
      </c>
      <c r="W486" s="2576">
        <v>0</v>
      </c>
      <c r="X486" s="2576">
        <v>0</v>
      </c>
      <c r="Y486" s="2579">
        <v>0</v>
      </c>
    </row>
    <row r="487" spans="2:25" outlineLevel="1">
      <c r="B487" s="2011" t="s">
        <v>1213</v>
      </c>
      <c r="C487" s="2318">
        <f>IF('1.02b_Debt'!D206 = "","",'1.02b_Debt'!D206)</f>
        <v>41361</v>
      </c>
      <c r="D487" s="2318">
        <f>IF('1.02b_Debt'!E206 = "","",'1.02b_Debt'!E206)</f>
        <v>43738</v>
      </c>
      <c r="E487" s="2324" t="str">
        <f>IF('1.02b_Debt'!F206 = "","",'1.02b_Debt'!F206)</f>
        <v>Re-fix rate on 2027 bond (C2) for periods up to 10 years</v>
      </c>
      <c r="F487" s="2596"/>
      <c r="G487" s="2596"/>
      <c r="H487" s="2596"/>
      <c r="I487" s="2597"/>
      <c r="J487" s="2051"/>
      <c r="K487" s="2051"/>
      <c r="L487" s="2838"/>
      <c r="M487" s="2575"/>
      <c r="N487" s="2576"/>
      <c r="O487" s="2576"/>
      <c r="P487" s="2576"/>
      <c r="Q487" s="2576">
        <v>3.3619100000000006E-2</v>
      </c>
      <c r="R487" s="2576">
        <v>1.031491E-2</v>
      </c>
      <c r="S487" s="2576">
        <v>2.8671232876712333E-3</v>
      </c>
      <c r="T487" s="2577">
        <v>0</v>
      </c>
      <c r="U487" s="2578">
        <v>0</v>
      </c>
      <c r="V487" s="2576">
        <v>0</v>
      </c>
      <c r="W487" s="2576">
        <v>0</v>
      </c>
      <c r="X487" s="2576">
        <v>0</v>
      </c>
      <c r="Y487" s="2579">
        <v>0</v>
      </c>
    </row>
    <row r="488" spans="2:25" outlineLevel="1">
      <c r="B488" s="2011" t="s">
        <v>1214</v>
      </c>
      <c r="C488" s="2318">
        <f>IF('1.02b_Debt'!D207 = "","",'1.02b_Debt'!D207)</f>
        <v>42460</v>
      </c>
      <c r="D488" s="2318">
        <f>IF('1.02b_Debt'!E207 = "","",'1.02b_Debt'!E207)</f>
        <v>46112</v>
      </c>
      <c r="E488" s="2324" t="str">
        <f>IF('1.02b_Debt'!F207 = "","",'1.02b_Debt'!F207)</f>
        <v>Re-fix rate on 2027 bond (C2) for periods up to 10 years</v>
      </c>
      <c r="F488" s="2596"/>
      <c r="G488" s="2596"/>
      <c r="H488" s="2596"/>
      <c r="I488" s="2597"/>
      <c r="J488" s="2051"/>
      <c r="K488" s="2051"/>
      <c r="L488" s="2838"/>
      <c r="M488" s="2575"/>
      <c r="N488" s="2576"/>
      <c r="O488" s="2576"/>
      <c r="P488" s="2576"/>
      <c r="Q488" s="2576">
        <v>0.14311688</v>
      </c>
      <c r="R488" s="2576">
        <v>8.7530789999999997E-2</v>
      </c>
      <c r="S488" s="2576">
        <v>7.6784794520547955E-2</v>
      </c>
      <c r="T488" s="2577">
        <v>7.6575000000000004E-2</v>
      </c>
      <c r="U488" s="2578">
        <v>7.3575000000000029E-2</v>
      </c>
      <c r="V488" s="2576">
        <v>6.7575000000000024E-2</v>
      </c>
      <c r="W488" s="2576">
        <v>6.3247808219178109E-2</v>
      </c>
      <c r="X488" s="2576">
        <v>5.7075000000000015E-2</v>
      </c>
      <c r="Y488" s="2579">
        <v>5.243095890410962E-2</v>
      </c>
    </row>
    <row r="489" spans="2:25" outlineLevel="1">
      <c r="B489" s="2011" t="s">
        <v>1215</v>
      </c>
      <c r="C489" s="2318">
        <f>IF('1.02b_Debt'!D208 = "","",'1.02b_Debt'!D208)</f>
        <v>42643</v>
      </c>
      <c r="D489" s="2318">
        <f>IF('1.02b_Debt'!E208 = "","",'1.02b_Debt'!E208)</f>
        <v>46295</v>
      </c>
      <c r="E489" s="2324" t="str">
        <f>IF('1.02b_Debt'!F208 = "","",'1.02b_Debt'!F208)</f>
        <v>Re-fix rate on 2027 bond (C2) for periods up to 10 years</v>
      </c>
      <c r="F489" s="2596"/>
      <c r="G489" s="2596"/>
      <c r="H489" s="2596"/>
      <c r="I489" s="2597"/>
      <c r="J489" s="2051"/>
      <c r="K489" s="2051"/>
      <c r="L489" s="2838"/>
      <c r="M489" s="2575"/>
      <c r="N489" s="2576"/>
      <c r="O489" s="2576"/>
      <c r="P489" s="2576"/>
      <c r="Q489" s="2576">
        <v>0.13033404000000001</v>
      </c>
      <c r="R489" s="2576">
        <v>6.528175E-2</v>
      </c>
      <c r="S489" s="2576">
        <v>5.2643835616438345E-2</v>
      </c>
      <c r="T489" s="2577">
        <v>5.2499999999999991E-2</v>
      </c>
      <c r="U489" s="2578">
        <v>4.9000000000000016E-2</v>
      </c>
      <c r="V489" s="2576">
        <v>4.1999999999999982E-2</v>
      </c>
      <c r="W489" s="2576">
        <v>3.6850684931506839E-2</v>
      </c>
      <c r="X489" s="2576">
        <v>2.9749999999999999E-2</v>
      </c>
      <c r="Y489" s="2579">
        <v>2.450000000000005E-2</v>
      </c>
    </row>
    <row r="490" spans="2:25" outlineLevel="1">
      <c r="B490" s="2011" t="s">
        <v>1216</v>
      </c>
      <c r="C490" s="2318">
        <f>IF('1.02b_Debt'!D209 = "","",'1.02b_Debt'!D209)</f>
        <v>42643</v>
      </c>
      <c r="D490" s="2318">
        <f>IF('1.02b_Debt'!E209 = "","",'1.02b_Debt'!E209)</f>
        <v>46295</v>
      </c>
      <c r="E490" s="2324" t="str">
        <f>IF('1.02b_Debt'!F209 = "","",'1.02b_Debt'!F209)</f>
        <v>Re-fix rate on 2027 bond (C2) for periods up to 10 years</v>
      </c>
      <c r="F490" s="2596"/>
      <c r="G490" s="2596"/>
      <c r="H490" s="2596"/>
      <c r="I490" s="2597"/>
      <c r="J490" s="2051"/>
      <c r="K490" s="2051"/>
      <c r="L490" s="2838"/>
      <c r="M490" s="2575"/>
      <c r="N490" s="2576"/>
      <c r="O490" s="2576"/>
      <c r="P490" s="2576"/>
      <c r="Q490" s="2576">
        <v>7.0899010000000012E-2</v>
      </c>
      <c r="R490" s="2576">
        <v>5.5192499999999999E-3</v>
      </c>
      <c r="S490" s="2576">
        <v>-7.2823972602739928E-3</v>
      </c>
      <c r="T490" s="2577">
        <v>-7.2625000000000051E-3</v>
      </c>
      <c r="U490" s="2578">
        <v>-1.076249999999998E-2</v>
      </c>
      <c r="V490" s="2576">
        <v>-1.7762500000000014E-2</v>
      </c>
      <c r="W490" s="2576">
        <v>-2.3075547945205499E-2</v>
      </c>
      <c r="X490" s="2576">
        <v>-3.0012499999999998E-2</v>
      </c>
      <c r="Y490" s="2579">
        <v>-3.5262499999999947E-2</v>
      </c>
    </row>
    <row r="491" spans="2:25" outlineLevel="1">
      <c r="B491" s="2011" t="s">
        <v>1217</v>
      </c>
      <c r="C491" s="2318">
        <f>IF('1.02b_Debt'!D210 = "","",'1.02b_Debt'!D210)</f>
        <v>42825</v>
      </c>
      <c r="D491" s="2318">
        <f>IF('1.02b_Debt'!E210 = "","",'1.02b_Debt'!E210)</f>
        <v>46477</v>
      </c>
      <c r="E491" s="2324" t="str">
        <f>IF('1.02b_Debt'!F210 = "","",'1.02b_Debt'!F210)</f>
        <v>Re-fix rate on 2027 bond (C2) for periods up to 10 years</v>
      </c>
      <c r="F491" s="2596"/>
      <c r="G491" s="2596"/>
      <c r="H491" s="2596"/>
      <c r="I491" s="2597"/>
      <c r="J491" s="2051"/>
      <c r="K491" s="2051"/>
      <c r="L491" s="2838"/>
      <c r="M491" s="2575"/>
      <c r="N491" s="2576"/>
      <c r="O491" s="2576"/>
      <c r="P491" s="2576"/>
      <c r="Q491" s="2576">
        <v>0.16113931000000001</v>
      </c>
      <c r="R491" s="2576">
        <v>9.6256750000000002E-2</v>
      </c>
      <c r="S491" s="2576">
        <v>8.3703698630136963E-2</v>
      </c>
      <c r="T491" s="2577">
        <v>8.3474999999999994E-2</v>
      </c>
      <c r="U491" s="2578">
        <v>7.9975000000000018E-2</v>
      </c>
      <c r="V491" s="2576">
        <v>7.2974999999999984E-2</v>
      </c>
      <c r="W491" s="2576">
        <v>6.7910547945205457E-2</v>
      </c>
      <c r="X491" s="2576">
        <v>6.0725000000000001E-2</v>
      </c>
      <c r="Y491" s="2579">
        <v>5.5475000000000052E-2</v>
      </c>
    </row>
    <row r="492" spans="2:25" outlineLevel="1">
      <c r="B492" s="2011" t="s">
        <v>1218</v>
      </c>
      <c r="C492" s="2318">
        <f>IF('1.02b_Debt'!D211 = "","",'1.02b_Debt'!D211)</f>
        <v>42825</v>
      </c>
      <c r="D492" s="2318">
        <f>IF('1.02b_Debt'!E211 = "","",'1.02b_Debt'!E211)</f>
        <v>46477</v>
      </c>
      <c r="E492" s="2324" t="str">
        <f>IF('1.02b_Debt'!F211 = "","",'1.02b_Debt'!F211)</f>
        <v>Re-fix rate on 2027 bond (C2) for periods up to 10 years</v>
      </c>
      <c r="F492" s="2596"/>
      <c r="G492" s="2596"/>
      <c r="H492" s="2596"/>
      <c r="I492" s="2597"/>
      <c r="J492" s="2051"/>
      <c r="K492" s="2051"/>
      <c r="L492" s="2838"/>
      <c r="M492" s="2575"/>
      <c r="N492" s="2576"/>
      <c r="O492" s="2576"/>
      <c r="P492" s="2576"/>
      <c r="Q492" s="2576">
        <v>0.13381487</v>
      </c>
      <c r="R492" s="2576">
        <v>6.8781750000000003E-2</v>
      </c>
      <c r="S492" s="2576">
        <v>5.6153424657534229E-2</v>
      </c>
      <c r="T492" s="2577">
        <v>5.5999999999999994E-2</v>
      </c>
      <c r="U492" s="2578">
        <v>5.2500000000000019E-2</v>
      </c>
      <c r="V492" s="2576">
        <v>4.5499999999999985E-2</v>
      </c>
      <c r="W492" s="2576">
        <v>4.0360273972602723E-2</v>
      </c>
      <c r="X492" s="2576">
        <v>3.3250000000000002E-2</v>
      </c>
      <c r="Y492" s="2579">
        <v>2.8000000000000053E-2</v>
      </c>
    </row>
    <row r="493" spans="2:25" outlineLevel="1">
      <c r="B493" s="2011" t="s">
        <v>1219</v>
      </c>
      <c r="C493" s="2318">
        <f>IF('1.02b_Debt'!D212 = "","",'1.02b_Debt'!D212)</f>
        <v>43007</v>
      </c>
      <c r="D493" s="2318">
        <f>IF('1.02b_Debt'!E212 = "","",'1.02b_Debt'!E212)</f>
        <v>46660</v>
      </c>
      <c r="E493" s="2324" t="str">
        <f>IF('1.02b_Debt'!F212 = "","",'1.02b_Debt'!F212)</f>
        <v>Re-fix rate on 2027 bond (C2) for periods up to 10 years</v>
      </c>
      <c r="F493" s="2596"/>
      <c r="G493" s="2596"/>
      <c r="H493" s="2596"/>
      <c r="I493" s="2597"/>
      <c r="J493" s="2051"/>
      <c r="K493" s="2051"/>
      <c r="L493" s="2838"/>
      <c r="M493" s="2575"/>
      <c r="N493" s="2576"/>
      <c r="O493" s="2576"/>
      <c r="P493" s="2576"/>
      <c r="Q493" s="2576">
        <v>7.2385619999999998E-2</v>
      </c>
      <c r="R493" s="2576">
        <v>8.0156749999999999E-2</v>
      </c>
      <c r="S493" s="2576">
        <v>6.7559589041095852E-2</v>
      </c>
      <c r="T493" s="2577">
        <v>6.7374999999999963E-2</v>
      </c>
      <c r="U493" s="2578">
        <v>6.3874999999999987E-2</v>
      </c>
      <c r="V493" s="2576">
        <v>5.6874999999999953E-2</v>
      </c>
      <c r="W493" s="2576">
        <v>5.1766438356164346E-2</v>
      </c>
      <c r="X493" s="2576">
        <v>4.462499999999997E-2</v>
      </c>
      <c r="Y493" s="2579">
        <v>3.9375000000000021E-2</v>
      </c>
    </row>
    <row r="494" spans="2:25" outlineLevel="1">
      <c r="B494" s="2011" t="s">
        <v>1220</v>
      </c>
      <c r="C494" s="2318">
        <f>IF('1.02b_Debt'!D213 = "","",'1.02b_Debt'!D213)</f>
        <v>43188</v>
      </c>
      <c r="D494" s="2318">
        <f>IF('1.02b_Debt'!E213 = "","",'1.02b_Debt'!E213)</f>
        <v>46843</v>
      </c>
      <c r="E494" s="2324" t="str">
        <f>IF('1.02b_Debt'!F213 = "","",'1.02b_Debt'!F213)</f>
        <v>Re-fix rate on 2027 bond (C2) for periods up to 10 years</v>
      </c>
      <c r="F494" s="2596"/>
      <c r="G494" s="2596"/>
      <c r="H494" s="2596"/>
      <c r="I494" s="2597"/>
      <c r="J494" s="2051"/>
      <c r="K494" s="2051"/>
      <c r="L494" s="2838"/>
      <c r="M494" s="2575"/>
      <c r="N494" s="2576"/>
      <c r="O494" s="2576"/>
      <c r="P494" s="2576"/>
      <c r="Q494" s="2576">
        <v>0</v>
      </c>
      <c r="R494" s="2576">
        <v>7.1406750000000005E-2</v>
      </c>
      <c r="S494" s="2576">
        <v>5.8785616438356142E-2</v>
      </c>
      <c r="T494" s="2577">
        <v>5.8624999999999983E-2</v>
      </c>
      <c r="U494" s="2578">
        <v>5.5125000000000007E-2</v>
      </c>
      <c r="V494" s="2576">
        <v>4.8124999999999973E-2</v>
      </c>
      <c r="W494" s="2576">
        <v>4.2992465753424636E-2</v>
      </c>
      <c r="X494" s="2576">
        <v>3.587499999999999E-2</v>
      </c>
      <c r="Y494" s="2579">
        <v>3.0625000000000041E-2</v>
      </c>
    </row>
    <row r="495" spans="2:25" outlineLevel="1">
      <c r="B495" s="2011" t="s">
        <v>1221</v>
      </c>
      <c r="C495" s="2318">
        <f>IF('1.02b_Debt'!D214 = "","",'1.02b_Debt'!D214)</f>
        <v>43007</v>
      </c>
      <c r="D495" s="2318">
        <f>IF('1.02b_Debt'!E214 = "","",'1.02b_Debt'!E214)</f>
        <v>46660</v>
      </c>
      <c r="E495" s="2324" t="str">
        <f>IF('1.02b_Debt'!F214 = "","",'1.02b_Debt'!F214)</f>
        <v>Re-fix rate on 2027 bond (C2) for periods up to 10 years</v>
      </c>
      <c r="F495" s="2596"/>
      <c r="G495" s="2596"/>
      <c r="H495" s="2596"/>
      <c r="I495" s="2597"/>
      <c r="J495" s="2051"/>
      <c r="K495" s="2051"/>
      <c r="L495" s="2838"/>
      <c r="M495" s="2575"/>
      <c r="N495" s="2576"/>
      <c r="O495" s="2576"/>
      <c r="P495" s="2576"/>
      <c r="Q495" s="2576">
        <v>6.6484520000000005E-2</v>
      </c>
      <c r="R495" s="2576">
        <v>6.8256750000000005E-2</v>
      </c>
      <c r="S495" s="2576">
        <v>5.5626986301369863E-2</v>
      </c>
      <c r="T495" s="2577">
        <v>5.5474999999999997E-2</v>
      </c>
      <c r="U495" s="2578">
        <v>5.1975000000000021E-2</v>
      </c>
      <c r="V495" s="2576">
        <v>4.4974999999999987E-2</v>
      </c>
      <c r="W495" s="2576">
        <v>3.9833835616438357E-2</v>
      </c>
      <c r="X495" s="2576">
        <v>3.2725000000000004E-2</v>
      </c>
      <c r="Y495" s="2579">
        <v>2.7475000000000055E-2</v>
      </c>
    </row>
    <row r="496" spans="2:25" outlineLevel="1">
      <c r="B496" s="2011" t="s">
        <v>1222</v>
      </c>
      <c r="C496" s="2318">
        <f>IF('1.02b_Debt'!D215 = "","",'1.02b_Debt'!D215)</f>
        <v>43188</v>
      </c>
      <c r="D496" s="2318">
        <f>IF('1.02b_Debt'!E215 = "","",'1.02b_Debt'!E215)</f>
        <v>46843</v>
      </c>
      <c r="E496" s="2324" t="str">
        <f>IF('1.02b_Debt'!F215 = "","",'1.02b_Debt'!F215)</f>
        <v>Re-fix rate on 2027 bond (C2) for periods up to 10 years</v>
      </c>
      <c r="F496" s="2596"/>
      <c r="G496" s="2596"/>
      <c r="H496" s="2596"/>
      <c r="I496" s="2597"/>
      <c r="J496" s="2051"/>
      <c r="K496" s="2051"/>
      <c r="L496" s="2838"/>
      <c r="M496" s="2575"/>
      <c r="N496" s="2576"/>
      <c r="O496" s="2576"/>
      <c r="P496" s="2576"/>
      <c r="Q496" s="2576">
        <v>0</v>
      </c>
      <c r="R496" s="2576">
        <v>0.12950675</v>
      </c>
      <c r="S496" s="2576">
        <v>0.11704479452054797</v>
      </c>
      <c r="T496" s="2577">
        <v>0.116725</v>
      </c>
      <c r="U496" s="2578">
        <v>0.11322500000000002</v>
      </c>
      <c r="V496" s="2576">
        <v>0.10622499999999999</v>
      </c>
      <c r="W496" s="2576">
        <v>0.10125164383561647</v>
      </c>
      <c r="X496" s="2576">
        <v>9.3975000000000003E-2</v>
      </c>
      <c r="Y496" s="2579">
        <v>8.8725000000000054E-2</v>
      </c>
    </row>
    <row r="497" spans="2:25" outlineLevel="1">
      <c r="B497" s="2011" t="s">
        <v>1223</v>
      </c>
      <c r="C497" s="2318">
        <f>IF('1.02b_Debt'!D216 = "","",'1.02b_Debt'!D216)</f>
        <v>41361</v>
      </c>
      <c r="D497" s="2318">
        <f>IF('1.02b_Debt'!E216 = "","",'1.02b_Debt'!E216)</f>
        <v>43738</v>
      </c>
      <c r="E497" s="2324" t="str">
        <f>IF('1.02b_Debt'!F216 = "","",'1.02b_Debt'!F216)</f>
        <v>Re-fix rate on 2035 bond (C3) for periods up to 10 years</v>
      </c>
      <c r="F497" s="2596"/>
      <c r="G497" s="2596"/>
      <c r="H497" s="2596"/>
      <c r="I497" s="2597"/>
      <c r="J497" s="2051"/>
      <c r="K497" s="2051"/>
      <c r="L497" s="2838"/>
      <c r="M497" s="2575"/>
      <c r="N497" s="2576"/>
      <c r="O497" s="2576"/>
      <c r="P497" s="2576"/>
      <c r="Q497" s="2576">
        <v>5.9117749999999997E-2</v>
      </c>
      <c r="R497" s="2576">
        <v>4.0651930000000003E-2</v>
      </c>
      <c r="S497" s="2576">
        <v>1.844931506849315E-2</v>
      </c>
      <c r="T497" s="2577">
        <v>0</v>
      </c>
      <c r="U497" s="2578">
        <v>0</v>
      </c>
      <c r="V497" s="2576">
        <v>0</v>
      </c>
      <c r="W497" s="2576">
        <v>0</v>
      </c>
      <c r="X497" s="2576">
        <v>0</v>
      </c>
      <c r="Y497" s="2579">
        <v>0</v>
      </c>
    </row>
    <row r="498" spans="2:25" outlineLevel="1">
      <c r="B498" s="2011" t="s">
        <v>1224</v>
      </c>
      <c r="C498" s="2318">
        <f>IF('1.02b_Debt'!D217 = "","",'1.02b_Debt'!D217)</f>
        <v>41361</v>
      </c>
      <c r="D498" s="2318">
        <f>IF('1.02b_Debt'!E217 = "","",'1.02b_Debt'!E217)</f>
        <v>43921</v>
      </c>
      <c r="E498" s="2324" t="str">
        <f>IF('1.02b_Debt'!F217 = "","",'1.02b_Debt'!F217)</f>
        <v>Re-fix rate on 2035 bond (C3) for periods up to 10 years</v>
      </c>
      <c r="F498" s="2596"/>
      <c r="G498" s="2596"/>
      <c r="H498" s="2596"/>
      <c r="I498" s="2597"/>
      <c r="J498" s="2051"/>
      <c r="K498" s="2051"/>
      <c r="L498" s="2838"/>
      <c r="M498" s="2575"/>
      <c r="N498" s="2576"/>
      <c r="O498" s="2576"/>
      <c r="P498" s="2576"/>
      <c r="Q498" s="2576">
        <v>0.20691212</v>
      </c>
      <c r="R498" s="2576">
        <v>0.14228175000000001</v>
      </c>
      <c r="S498" s="2576">
        <v>0.12949999999999998</v>
      </c>
      <c r="T498" s="2577">
        <v>0</v>
      </c>
      <c r="U498" s="2578">
        <v>0</v>
      </c>
      <c r="V498" s="2576">
        <v>0</v>
      </c>
      <c r="W498" s="2576">
        <v>0</v>
      </c>
      <c r="X498" s="2576">
        <v>0</v>
      </c>
      <c r="Y498" s="2579">
        <v>0</v>
      </c>
    </row>
    <row r="499" spans="2:25" outlineLevel="1">
      <c r="B499" s="2011" t="s">
        <v>1225</v>
      </c>
      <c r="C499" s="2318">
        <f>IF('1.02b_Debt'!D218 = "","",'1.02b_Debt'!D218)</f>
        <v>41361</v>
      </c>
      <c r="D499" s="2318">
        <f>IF('1.02b_Debt'!E218 = "","",'1.02b_Debt'!E218)</f>
        <v>44104</v>
      </c>
      <c r="E499" s="2324" t="str">
        <f>IF('1.02b_Debt'!F218 = "","",'1.02b_Debt'!F218)</f>
        <v>Re-fix rate on 2035 bond (C3) for periods up to 10 years</v>
      </c>
      <c r="F499" s="2596"/>
      <c r="G499" s="2596"/>
      <c r="H499" s="2596"/>
      <c r="I499" s="2597"/>
      <c r="J499" s="2051"/>
      <c r="K499" s="2051"/>
      <c r="L499" s="2838"/>
      <c r="M499" s="2575"/>
      <c r="N499" s="2576"/>
      <c r="O499" s="2576"/>
      <c r="P499" s="2576"/>
      <c r="Q499" s="2576">
        <v>0.20691212</v>
      </c>
      <c r="R499" s="2576">
        <v>0.14228175000000001</v>
      </c>
      <c r="S499" s="2576">
        <v>0.12985479452054791</v>
      </c>
      <c r="T499" s="2577">
        <v>6.4572602739725996E-2</v>
      </c>
      <c r="U499" s="2578">
        <v>0</v>
      </c>
      <c r="V499" s="2576">
        <v>0</v>
      </c>
      <c r="W499" s="2576">
        <v>0</v>
      </c>
      <c r="X499" s="2576">
        <v>0</v>
      </c>
      <c r="Y499" s="2579">
        <v>0</v>
      </c>
    </row>
    <row r="500" spans="2:25" outlineLevel="1">
      <c r="B500" s="2011" t="s">
        <v>1226</v>
      </c>
      <c r="C500" s="2318">
        <f>IF('1.02b_Debt'!D219 = "","",'1.02b_Debt'!D219)</f>
        <v>41361</v>
      </c>
      <c r="D500" s="2318">
        <f>IF('1.02b_Debt'!E219 = "","",'1.02b_Debt'!E219)</f>
        <v>44286</v>
      </c>
      <c r="E500" s="2324" t="str">
        <f>IF('1.02b_Debt'!F219 = "","",'1.02b_Debt'!F219)</f>
        <v>Re-fix rate on 2035 bond (C3) for periods up to 10 years</v>
      </c>
      <c r="F500" s="2596"/>
      <c r="G500" s="2596"/>
      <c r="H500" s="2596"/>
      <c r="I500" s="2597"/>
      <c r="J500" s="2051"/>
      <c r="K500" s="2051"/>
      <c r="L500" s="2838"/>
      <c r="M500" s="2575"/>
      <c r="N500" s="2576"/>
      <c r="O500" s="2576"/>
      <c r="P500" s="2576"/>
      <c r="Q500" s="2576">
        <v>0.20691212</v>
      </c>
      <c r="R500" s="2576">
        <v>0.14228175000000001</v>
      </c>
      <c r="S500" s="2576">
        <v>0.12985479452054791</v>
      </c>
      <c r="T500" s="2577">
        <v>0.12914520547945199</v>
      </c>
      <c r="U500" s="2578">
        <v>0</v>
      </c>
      <c r="V500" s="2576">
        <v>0</v>
      </c>
      <c r="W500" s="2576">
        <v>0</v>
      </c>
      <c r="X500" s="2576">
        <v>0</v>
      </c>
      <c r="Y500" s="2579">
        <v>0</v>
      </c>
    </row>
    <row r="501" spans="2:25" outlineLevel="1">
      <c r="B501" s="2011" t="s">
        <v>1227</v>
      </c>
      <c r="C501" s="2318">
        <f>IF('1.02b_Debt'!D220 = "","",'1.02b_Debt'!D220)</f>
        <v>41361</v>
      </c>
      <c r="D501" s="2318">
        <f>IF('1.02b_Debt'!E220 = "","",'1.02b_Debt'!E220)</f>
        <v>44469</v>
      </c>
      <c r="E501" s="2324" t="str">
        <f>IF('1.02b_Debt'!F220 = "","",'1.02b_Debt'!F220)</f>
        <v>Re-fix rate on 2035 bond (C3) for periods up to 10 years</v>
      </c>
      <c r="F501" s="2596"/>
      <c r="G501" s="2596"/>
      <c r="H501" s="2596"/>
      <c r="I501" s="2597"/>
      <c r="J501" s="2051"/>
      <c r="K501" s="2051"/>
      <c r="L501" s="2838"/>
      <c r="M501" s="2575"/>
      <c r="N501" s="2576"/>
      <c r="O501" s="2576"/>
      <c r="P501" s="2576"/>
      <c r="Q501" s="2576">
        <v>0.20691212</v>
      </c>
      <c r="R501" s="2576">
        <v>0.14228175000000001</v>
      </c>
      <c r="S501" s="2576">
        <v>0.12985479452054791</v>
      </c>
      <c r="T501" s="2577">
        <v>0.12949999999999998</v>
      </c>
      <c r="U501" s="2578">
        <v>6.2827397260273948E-2</v>
      </c>
      <c r="V501" s="2576">
        <v>0</v>
      </c>
      <c r="W501" s="2576">
        <v>0</v>
      </c>
      <c r="X501" s="2576">
        <v>0</v>
      </c>
      <c r="Y501" s="2579">
        <v>0</v>
      </c>
    </row>
    <row r="502" spans="2:25" outlineLevel="1">
      <c r="B502" s="2011" t="s">
        <v>1228</v>
      </c>
      <c r="C502" s="2318">
        <f>IF('1.02b_Debt'!D221 = "","",'1.02b_Debt'!D221)</f>
        <v>41361</v>
      </c>
      <c r="D502" s="2318">
        <f>IF('1.02b_Debt'!E221 = "","",'1.02b_Debt'!E221)</f>
        <v>44651</v>
      </c>
      <c r="E502" s="2324" t="str">
        <f>IF('1.02b_Debt'!F221 = "","",'1.02b_Debt'!F221)</f>
        <v>Re-fix rate on 2035 bond (C3) for periods up to 10 years</v>
      </c>
      <c r="F502" s="2596"/>
      <c r="G502" s="2596"/>
      <c r="H502" s="2596"/>
      <c r="I502" s="2597"/>
      <c r="J502" s="2051"/>
      <c r="K502" s="2051"/>
      <c r="L502" s="2838"/>
      <c r="M502" s="2575"/>
      <c r="N502" s="2576"/>
      <c r="O502" s="2576"/>
      <c r="P502" s="2576"/>
      <c r="Q502" s="2576">
        <v>0.20691212</v>
      </c>
      <c r="R502" s="2576">
        <v>0.14228175000000001</v>
      </c>
      <c r="S502" s="2576">
        <v>0.12985479452054791</v>
      </c>
      <c r="T502" s="2577">
        <v>0.12949999999999998</v>
      </c>
      <c r="U502" s="2578">
        <v>0.1256547945205479</v>
      </c>
      <c r="V502" s="2576">
        <v>0</v>
      </c>
      <c r="W502" s="2576">
        <v>0</v>
      </c>
      <c r="X502" s="2576">
        <v>0</v>
      </c>
      <c r="Y502" s="2579">
        <v>0</v>
      </c>
    </row>
    <row r="503" spans="2:25" outlineLevel="1">
      <c r="B503" s="2011" t="s">
        <v>1229</v>
      </c>
      <c r="C503" s="2318">
        <f>IF('1.02b_Debt'!D222 = "","",'1.02b_Debt'!D222)</f>
        <v>41361</v>
      </c>
      <c r="D503" s="2318">
        <f>IF('1.02b_Debt'!E222 = "","",'1.02b_Debt'!E222)</f>
        <v>44834</v>
      </c>
      <c r="E503" s="2324" t="str">
        <f>IF('1.02b_Debt'!F222 = "","",'1.02b_Debt'!F222)</f>
        <v>Re-fix rate on 2035 bond (C3) for periods up to 10 years</v>
      </c>
      <c r="F503" s="2596"/>
      <c r="G503" s="2596"/>
      <c r="H503" s="2596"/>
      <c r="I503" s="2597"/>
      <c r="J503" s="2051"/>
      <c r="K503" s="2051"/>
      <c r="L503" s="2838"/>
      <c r="M503" s="2575"/>
      <c r="N503" s="2576"/>
      <c r="O503" s="2576"/>
      <c r="P503" s="2576"/>
      <c r="Q503" s="2576">
        <v>0.20691212</v>
      </c>
      <c r="R503" s="2576">
        <v>0.14228175000000001</v>
      </c>
      <c r="S503" s="2576">
        <v>0.12985479452054791</v>
      </c>
      <c r="T503" s="2577">
        <v>0.12949999999999998</v>
      </c>
      <c r="U503" s="2578">
        <v>0.126</v>
      </c>
      <c r="V503" s="2576">
        <v>5.9336986301369826E-2</v>
      </c>
      <c r="W503" s="2576">
        <v>0</v>
      </c>
      <c r="X503" s="2576">
        <v>0</v>
      </c>
      <c r="Y503" s="2579">
        <v>0</v>
      </c>
    </row>
    <row r="504" spans="2:25" outlineLevel="1">
      <c r="B504" s="2011" t="s">
        <v>1230</v>
      </c>
      <c r="C504" s="2318">
        <f>IF('1.02b_Debt'!D223 = "","",'1.02b_Debt'!D223)</f>
        <v>41361</v>
      </c>
      <c r="D504" s="2318">
        <f>IF('1.02b_Debt'!E223 = "","",'1.02b_Debt'!E223)</f>
        <v>45016</v>
      </c>
      <c r="E504" s="2324" t="str">
        <f>IF('1.02b_Debt'!F223 = "","",'1.02b_Debt'!F223)</f>
        <v>Re-fix rate on 2035 bond (C3) for periods up to 10 years</v>
      </c>
      <c r="F504" s="2596"/>
      <c r="G504" s="2596"/>
      <c r="H504" s="2596"/>
      <c r="I504" s="2597"/>
      <c r="J504" s="2051"/>
      <c r="K504" s="2051"/>
      <c r="L504" s="2838"/>
      <c r="M504" s="2575"/>
      <c r="N504" s="2576"/>
      <c r="O504" s="2576"/>
      <c r="P504" s="2576"/>
      <c r="Q504" s="2576">
        <v>0.20691212</v>
      </c>
      <c r="R504" s="2576">
        <v>0.14228175000000001</v>
      </c>
      <c r="S504" s="2576">
        <v>0.12985479452054791</v>
      </c>
      <c r="T504" s="2577">
        <v>0.12949999999999998</v>
      </c>
      <c r="U504" s="2578">
        <v>0.126</v>
      </c>
      <c r="V504" s="2576">
        <v>0.11867397260273965</v>
      </c>
      <c r="W504" s="2576">
        <v>0</v>
      </c>
      <c r="X504" s="2576">
        <v>0</v>
      </c>
      <c r="Y504" s="2579">
        <v>0</v>
      </c>
    </row>
    <row r="505" spans="2:25" outlineLevel="1">
      <c r="B505" s="2011" t="s">
        <v>1231</v>
      </c>
      <c r="C505" s="2318">
        <f>IF('1.02b_Debt'!D224 = "","",'1.02b_Debt'!D224)</f>
        <v>41361</v>
      </c>
      <c r="D505" s="2318">
        <f>IF('1.02b_Debt'!E224 = "","",'1.02b_Debt'!E224)</f>
        <v>43738</v>
      </c>
      <c r="E505" s="2324" t="str">
        <f>IF('1.02b_Debt'!F224 = "","",'1.02b_Debt'!F224)</f>
        <v>Re-fix rate on 2035 bond (C3) for periods up to 10 years</v>
      </c>
      <c r="F505" s="2596"/>
      <c r="G505" s="2596"/>
      <c r="H505" s="2596"/>
      <c r="I505" s="2597"/>
      <c r="J505" s="2051"/>
      <c r="K505" s="2051"/>
      <c r="L505" s="2838"/>
      <c r="M505" s="2575"/>
      <c r="N505" s="2576"/>
      <c r="O505" s="2576"/>
      <c r="P505" s="2576"/>
      <c r="Q505" s="2576">
        <v>5.9117749999999997E-2</v>
      </c>
      <c r="R505" s="2576">
        <v>4.0651930000000003E-2</v>
      </c>
      <c r="S505" s="2576">
        <v>1.844931506849315E-2</v>
      </c>
      <c r="T505" s="2577">
        <v>0</v>
      </c>
      <c r="U505" s="2578">
        <v>0</v>
      </c>
      <c r="V505" s="2576">
        <v>0</v>
      </c>
      <c r="W505" s="2576">
        <v>0</v>
      </c>
      <c r="X505" s="2576">
        <v>0</v>
      </c>
      <c r="Y505" s="2579">
        <v>0</v>
      </c>
    </row>
    <row r="506" spans="2:25" outlineLevel="1">
      <c r="B506" s="2011" t="s">
        <v>1232</v>
      </c>
      <c r="C506" s="2318">
        <f>IF('1.02b_Debt'!D225 = "","",'1.02b_Debt'!D225)</f>
        <v>41361</v>
      </c>
      <c r="D506" s="2318">
        <f>IF('1.02b_Debt'!E225 = "","",'1.02b_Debt'!E225)</f>
        <v>43921</v>
      </c>
      <c r="E506" s="2324" t="str">
        <f>IF('1.02b_Debt'!F225 = "","",'1.02b_Debt'!F225)</f>
        <v>Re-fix rate on 2035 bond (C3) for periods up to 10 years</v>
      </c>
      <c r="F506" s="2596"/>
      <c r="G506" s="2596"/>
      <c r="H506" s="2596"/>
      <c r="I506" s="2597"/>
      <c r="J506" s="2051"/>
      <c r="K506" s="2051"/>
      <c r="L506" s="2838"/>
      <c r="M506" s="2575"/>
      <c r="N506" s="2576"/>
      <c r="O506" s="2576"/>
      <c r="P506" s="2576"/>
      <c r="Q506" s="2576">
        <v>0.20691212</v>
      </c>
      <c r="R506" s="2576">
        <v>0.14228175000000001</v>
      </c>
      <c r="S506" s="2576">
        <v>0.12949999999999998</v>
      </c>
      <c r="T506" s="2577">
        <v>0</v>
      </c>
      <c r="U506" s="2578">
        <v>0</v>
      </c>
      <c r="V506" s="2576">
        <v>0</v>
      </c>
      <c r="W506" s="2576">
        <v>0</v>
      </c>
      <c r="X506" s="2576">
        <v>0</v>
      </c>
      <c r="Y506" s="2579">
        <v>0</v>
      </c>
    </row>
    <row r="507" spans="2:25" outlineLevel="1">
      <c r="B507" s="2011" t="s">
        <v>1233</v>
      </c>
      <c r="C507" s="2318">
        <f>IF('1.02b_Debt'!D226 = "","",'1.02b_Debt'!D226)</f>
        <v>41361</v>
      </c>
      <c r="D507" s="2318">
        <f>IF('1.02b_Debt'!E226 = "","",'1.02b_Debt'!E226)</f>
        <v>44104</v>
      </c>
      <c r="E507" s="2324" t="str">
        <f>IF('1.02b_Debt'!F226 = "","",'1.02b_Debt'!F226)</f>
        <v>Re-fix rate on 2035 bond (C3) for periods up to 10 years</v>
      </c>
      <c r="F507" s="2596"/>
      <c r="G507" s="2596"/>
      <c r="H507" s="2596"/>
      <c r="I507" s="2597"/>
      <c r="J507" s="2051"/>
      <c r="K507" s="2051"/>
      <c r="L507" s="2838"/>
      <c r="M507" s="2575"/>
      <c r="N507" s="2576"/>
      <c r="O507" s="2576"/>
      <c r="P507" s="2576"/>
      <c r="Q507" s="2576">
        <v>0.20691212</v>
      </c>
      <c r="R507" s="2576">
        <v>0.14228175000000001</v>
      </c>
      <c r="S507" s="2576">
        <v>0.12985479452054791</v>
      </c>
      <c r="T507" s="2577">
        <v>6.4572602739725996E-2</v>
      </c>
      <c r="U507" s="2578">
        <v>0</v>
      </c>
      <c r="V507" s="2576">
        <v>0</v>
      </c>
      <c r="W507" s="2576">
        <v>0</v>
      </c>
      <c r="X507" s="2576">
        <v>0</v>
      </c>
      <c r="Y507" s="2579">
        <v>0</v>
      </c>
    </row>
    <row r="508" spans="2:25" outlineLevel="1">
      <c r="B508" s="2011" t="s">
        <v>1234</v>
      </c>
      <c r="C508" s="2318">
        <f>IF('1.02b_Debt'!D227 = "","",'1.02b_Debt'!D227)</f>
        <v>41361</v>
      </c>
      <c r="D508" s="2318">
        <f>IF('1.02b_Debt'!E227 = "","",'1.02b_Debt'!E227)</f>
        <v>44286</v>
      </c>
      <c r="E508" s="2324" t="str">
        <f>IF('1.02b_Debt'!F227 = "","",'1.02b_Debt'!F227)</f>
        <v>Re-fix rate on 2035 bond (C3) for periods up to 10 years</v>
      </c>
      <c r="F508" s="2596"/>
      <c r="G508" s="2596"/>
      <c r="H508" s="2596"/>
      <c r="I508" s="2597"/>
      <c r="J508" s="2051"/>
      <c r="K508" s="2051"/>
      <c r="L508" s="2838"/>
      <c r="M508" s="2575"/>
      <c r="N508" s="2576"/>
      <c r="O508" s="2576"/>
      <c r="P508" s="2576"/>
      <c r="Q508" s="2576">
        <v>0.20691212</v>
      </c>
      <c r="R508" s="2576">
        <v>0.14228175000000001</v>
      </c>
      <c r="S508" s="2576">
        <v>0.12985479452054791</v>
      </c>
      <c r="T508" s="2577">
        <v>0.12914520547945199</v>
      </c>
      <c r="U508" s="2578">
        <v>0</v>
      </c>
      <c r="V508" s="2576">
        <v>0</v>
      </c>
      <c r="W508" s="2576">
        <v>0</v>
      </c>
      <c r="X508" s="2576">
        <v>0</v>
      </c>
      <c r="Y508" s="2579">
        <v>0</v>
      </c>
    </row>
    <row r="509" spans="2:25" outlineLevel="1">
      <c r="B509" s="2011" t="s">
        <v>1235</v>
      </c>
      <c r="C509" s="2318">
        <f>IF('1.02b_Debt'!D228 = "","",'1.02b_Debt'!D228)</f>
        <v>41361</v>
      </c>
      <c r="D509" s="2318">
        <f>IF('1.02b_Debt'!E228 = "","",'1.02b_Debt'!E228)</f>
        <v>44469</v>
      </c>
      <c r="E509" s="2324" t="str">
        <f>IF('1.02b_Debt'!F228 = "","",'1.02b_Debt'!F228)</f>
        <v>Re-fix rate on 2035 bond (C3) for periods up to 10 years</v>
      </c>
      <c r="F509" s="2596"/>
      <c r="G509" s="2596"/>
      <c r="H509" s="2596"/>
      <c r="I509" s="2597"/>
      <c r="J509" s="2051"/>
      <c r="K509" s="2051"/>
      <c r="L509" s="2838"/>
      <c r="M509" s="2575"/>
      <c r="N509" s="2576"/>
      <c r="O509" s="2576"/>
      <c r="P509" s="2576"/>
      <c r="Q509" s="2576">
        <v>0.20691212</v>
      </c>
      <c r="R509" s="2576">
        <v>0.14228175000000001</v>
      </c>
      <c r="S509" s="2576">
        <v>0.12985479452054791</v>
      </c>
      <c r="T509" s="2577">
        <v>0.12949999999999998</v>
      </c>
      <c r="U509" s="2578">
        <v>6.2827397260273948E-2</v>
      </c>
      <c r="V509" s="2576">
        <v>0</v>
      </c>
      <c r="W509" s="2576">
        <v>0</v>
      </c>
      <c r="X509" s="2576">
        <v>0</v>
      </c>
      <c r="Y509" s="2579">
        <v>0</v>
      </c>
    </row>
    <row r="510" spans="2:25" outlineLevel="1">
      <c r="B510" s="2011" t="s">
        <v>1236</v>
      </c>
      <c r="C510" s="2318">
        <f>IF('1.02b_Debt'!D229 = "","",'1.02b_Debt'!D229)</f>
        <v>41361</v>
      </c>
      <c r="D510" s="2318">
        <f>IF('1.02b_Debt'!E229 = "","",'1.02b_Debt'!E229)</f>
        <v>44651</v>
      </c>
      <c r="E510" s="2324" t="str">
        <f>IF('1.02b_Debt'!F229 = "","",'1.02b_Debt'!F229)</f>
        <v>Re-fix rate on 2035 bond (C3) for periods up to 10 years</v>
      </c>
      <c r="F510" s="2596"/>
      <c r="G510" s="2596"/>
      <c r="H510" s="2596"/>
      <c r="I510" s="2597"/>
      <c r="J510" s="2051"/>
      <c r="K510" s="2051"/>
      <c r="L510" s="2838"/>
      <c r="M510" s="2575"/>
      <c r="N510" s="2576"/>
      <c r="O510" s="2576"/>
      <c r="P510" s="2576"/>
      <c r="Q510" s="2576">
        <v>0.20691212</v>
      </c>
      <c r="R510" s="2576">
        <v>0.14228175000000001</v>
      </c>
      <c r="S510" s="2576">
        <v>0.12985479452054791</v>
      </c>
      <c r="T510" s="2577">
        <v>0.12949999999999998</v>
      </c>
      <c r="U510" s="2578">
        <v>0.1256547945205479</v>
      </c>
      <c r="V510" s="2576">
        <v>0</v>
      </c>
      <c r="W510" s="2576">
        <v>0</v>
      </c>
      <c r="X510" s="2576">
        <v>0</v>
      </c>
      <c r="Y510" s="2579">
        <v>0</v>
      </c>
    </row>
    <row r="511" spans="2:25" outlineLevel="1">
      <c r="B511" s="2011" t="s">
        <v>1237</v>
      </c>
      <c r="C511" s="2318">
        <f>IF('1.02b_Debt'!D230 = "","",'1.02b_Debt'!D230)</f>
        <v>41361</v>
      </c>
      <c r="D511" s="2318">
        <f>IF('1.02b_Debt'!E230 = "","",'1.02b_Debt'!E230)</f>
        <v>44834</v>
      </c>
      <c r="E511" s="2324" t="str">
        <f>IF('1.02b_Debt'!F230 = "","",'1.02b_Debt'!F230)</f>
        <v>Re-fix rate on 2035 bond (C3) for periods up to 10 years</v>
      </c>
      <c r="F511" s="2596"/>
      <c r="G511" s="2596"/>
      <c r="H511" s="2596"/>
      <c r="I511" s="2597"/>
      <c r="J511" s="2051"/>
      <c r="K511" s="2051"/>
      <c r="L511" s="2838"/>
      <c r="M511" s="2575"/>
      <c r="N511" s="2576"/>
      <c r="O511" s="2576"/>
      <c r="P511" s="2576"/>
      <c r="Q511" s="2576">
        <v>0.20691212</v>
      </c>
      <c r="R511" s="2576">
        <v>0.14228175000000001</v>
      </c>
      <c r="S511" s="2576">
        <v>0.12985479452054791</v>
      </c>
      <c r="T511" s="2577">
        <v>0.12949999999999998</v>
      </c>
      <c r="U511" s="2578">
        <v>0.126</v>
      </c>
      <c r="V511" s="2576">
        <v>5.9336986301369826E-2</v>
      </c>
      <c r="W511" s="2576">
        <v>0</v>
      </c>
      <c r="X511" s="2576">
        <v>0</v>
      </c>
      <c r="Y511" s="2579">
        <v>0</v>
      </c>
    </row>
    <row r="512" spans="2:25" outlineLevel="1">
      <c r="B512" s="2011" t="s">
        <v>1238</v>
      </c>
      <c r="C512" s="2318">
        <f>IF('1.02b_Debt'!D231 = "","",'1.02b_Debt'!D231)</f>
        <v>41361</v>
      </c>
      <c r="D512" s="2318">
        <f>IF('1.02b_Debt'!E231 = "","",'1.02b_Debt'!E231)</f>
        <v>45016</v>
      </c>
      <c r="E512" s="2324" t="str">
        <f>IF('1.02b_Debt'!F231 = "","",'1.02b_Debt'!F231)</f>
        <v>Re-fix rate on 2035 bond (C3) for periods up to 10 years</v>
      </c>
      <c r="F512" s="2596"/>
      <c r="G512" s="2596"/>
      <c r="H512" s="2596"/>
      <c r="I512" s="2597"/>
      <c r="J512" s="2051"/>
      <c r="K512" s="2051"/>
      <c r="L512" s="2838"/>
      <c r="M512" s="2575"/>
      <c r="N512" s="2576"/>
      <c r="O512" s="2576"/>
      <c r="P512" s="2576"/>
      <c r="Q512" s="2576">
        <v>0.20691212</v>
      </c>
      <c r="R512" s="2576">
        <v>0.14228175000000001</v>
      </c>
      <c r="S512" s="2576">
        <v>0.12985479452054791</v>
      </c>
      <c r="T512" s="2577">
        <v>0.12949999999999998</v>
      </c>
      <c r="U512" s="2578">
        <v>0.126</v>
      </c>
      <c r="V512" s="2576">
        <v>0.11867397260273965</v>
      </c>
      <c r="W512" s="2576">
        <v>0</v>
      </c>
      <c r="X512" s="2576">
        <v>0</v>
      </c>
      <c r="Y512" s="2579">
        <v>0</v>
      </c>
    </row>
    <row r="513" spans="2:25" outlineLevel="1">
      <c r="B513" s="2011" t="s">
        <v>1239</v>
      </c>
      <c r="C513" s="2318">
        <f>IF('1.02b_Debt'!D232 = "","",'1.02b_Debt'!D232)</f>
        <v>40268</v>
      </c>
      <c r="D513" s="2318">
        <f>IF('1.02b_Debt'!E232 = "","",'1.02b_Debt'!E232)</f>
        <v>43921</v>
      </c>
      <c r="E513" s="2324" t="str">
        <f>IF('1.02b_Debt'!F232 = "","",'1.02b_Debt'!F232)</f>
        <v>Original pre-hedge of 2019 bond (C1)</v>
      </c>
      <c r="F513" s="2596"/>
      <c r="G513" s="2596"/>
      <c r="H513" s="2596"/>
      <c r="I513" s="2597"/>
      <c r="J513" s="2051"/>
      <c r="K513" s="2051"/>
      <c r="L513" s="2838"/>
      <c r="M513" s="2575"/>
      <c r="N513" s="2576"/>
      <c r="O513" s="2576"/>
      <c r="P513" s="2576"/>
      <c r="Q513" s="2576">
        <v>1.3735927800000001</v>
      </c>
      <c r="R513" s="2576">
        <v>1.26841158</v>
      </c>
      <c r="S513" s="2576">
        <v>1.2464999999999999</v>
      </c>
      <c r="T513" s="2577">
        <v>0</v>
      </c>
      <c r="U513" s="2578">
        <v>0</v>
      </c>
      <c r="V513" s="2576">
        <v>0</v>
      </c>
      <c r="W513" s="2576">
        <v>0</v>
      </c>
      <c r="X513" s="2576">
        <v>0</v>
      </c>
      <c r="Y513" s="2579">
        <v>0</v>
      </c>
    </row>
    <row r="514" spans="2:25" outlineLevel="1">
      <c r="B514" s="2011" t="s">
        <v>1240</v>
      </c>
      <c r="C514" s="2318">
        <f>IF('1.02b_Debt'!D233 = "","",'1.02b_Debt'!D233)</f>
        <v>40268</v>
      </c>
      <c r="D514" s="2318">
        <f>IF('1.02b_Debt'!E233 = "","",'1.02b_Debt'!E233)</f>
        <v>43921</v>
      </c>
      <c r="E514" s="2324" t="str">
        <f>IF('1.02b_Debt'!F233 = "","",'1.02b_Debt'!F233)</f>
        <v>Original pre-hedge of 2019 bond (C1)</v>
      </c>
      <c r="F514" s="2596"/>
      <c r="G514" s="2596"/>
      <c r="H514" s="2596"/>
      <c r="I514" s="2597"/>
      <c r="J514" s="2051"/>
      <c r="K514" s="2051"/>
      <c r="L514" s="2838"/>
      <c r="M514" s="2575"/>
      <c r="N514" s="2576"/>
      <c r="O514" s="2576"/>
      <c r="P514" s="2576"/>
      <c r="Q514" s="2576">
        <v>1.3728468999999999</v>
      </c>
      <c r="R514" s="2576">
        <v>1.2676615800000002</v>
      </c>
      <c r="S514" s="2576">
        <v>1.2457499999999999</v>
      </c>
      <c r="T514" s="2577">
        <v>0</v>
      </c>
      <c r="U514" s="2578">
        <v>0</v>
      </c>
      <c r="V514" s="2576">
        <v>0</v>
      </c>
      <c r="W514" s="2576">
        <v>0</v>
      </c>
      <c r="X514" s="2576">
        <v>0</v>
      </c>
      <c r="Y514" s="2579">
        <v>0</v>
      </c>
    </row>
    <row r="515" spans="2:25" outlineLevel="1">
      <c r="B515" s="2011" t="s">
        <v>1241</v>
      </c>
      <c r="C515" s="2318">
        <f>IF('1.02b_Debt'!D234 = "","",'1.02b_Debt'!D234)</f>
        <v>40268</v>
      </c>
      <c r="D515" s="2318">
        <f>IF('1.02b_Debt'!E234 = "","",'1.02b_Debt'!E234)</f>
        <v>43921</v>
      </c>
      <c r="E515" s="2324" t="str">
        <f>IF('1.02b_Debt'!F234 = "","",'1.02b_Debt'!F234)</f>
        <v>Original pre-hedge of 2019 bond (C1)</v>
      </c>
      <c r="F515" s="2596"/>
      <c r="G515" s="2596"/>
      <c r="H515" s="2596"/>
      <c r="I515" s="2597"/>
      <c r="J515" s="2051"/>
      <c r="K515" s="2051"/>
      <c r="L515" s="2838"/>
      <c r="M515" s="2575"/>
      <c r="N515" s="2576"/>
      <c r="O515" s="2576"/>
      <c r="P515" s="2576"/>
      <c r="Q515" s="2576">
        <v>0.91075592000000005</v>
      </c>
      <c r="R515" s="2576">
        <v>0.84060771999999995</v>
      </c>
      <c r="S515" s="2576">
        <v>0.82600000000000007</v>
      </c>
      <c r="T515" s="2577">
        <v>0</v>
      </c>
      <c r="U515" s="2578">
        <v>0</v>
      </c>
      <c r="V515" s="2576">
        <v>0</v>
      </c>
      <c r="W515" s="2576">
        <v>0</v>
      </c>
      <c r="X515" s="2576">
        <v>0</v>
      </c>
      <c r="Y515" s="2579">
        <v>0</v>
      </c>
    </row>
    <row r="516" spans="2:25" outlineLevel="1">
      <c r="B516" s="2011" t="s">
        <v>1242</v>
      </c>
      <c r="C516" s="2318">
        <f>IF('1.02b_Debt'!D235 = "","",'1.02b_Debt'!D235)</f>
        <v>40268</v>
      </c>
      <c r="D516" s="2318">
        <f>IF('1.02b_Debt'!E235 = "","",'1.02b_Debt'!E235)</f>
        <v>43921</v>
      </c>
      <c r="E516" s="2324" t="str">
        <f>IF('1.02b_Debt'!F235 = "","",'1.02b_Debt'!F235)</f>
        <v>Original pre-hedge of 2019 bond (C1)</v>
      </c>
      <c r="F516" s="2596"/>
      <c r="G516" s="2596"/>
      <c r="H516" s="2596"/>
      <c r="I516" s="2597"/>
      <c r="J516" s="2051"/>
      <c r="K516" s="2051"/>
      <c r="L516" s="2838"/>
      <c r="M516" s="2575"/>
      <c r="N516" s="2576"/>
      <c r="O516" s="2576"/>
      <c r="P516" s="2576"/>
      <c r="Q516" s="2576">
        <v>2.3191569299999997</v>
      </c>
      <c r="R516" s="2576">
        <v>2.1440192999999996</v>
      </c>
      <c r="S516" s="2576">
        <v>2.1074999999999999</v>
      </c>
      <c r="T516" s="2577">
        <v>0</v>
      </c>
      <c r="U516" s="2578">
        <v>0</v>
      </c>
      <c r="V516" s="2576">
        <v>0</v>
      </c>
      <c r="W516" s="2576">
        <v>0</v>
      </c>
      <c r="X516" s="2576">
        <v>0</v>
      </c>
      <c r="Y516" s="2579">
        <v>0</v>
      </c>
    </row>
    <row r="517" spans="2:25" outlineLevel="1">
      <c r="B517" s="2011" t="s">
        <v>1243</v>
      </c>
      <c r="C517" s="2318">
        <f>IF('1.02b_Debt'!D236 = "","",'1.02b_Debt'!D236)</f>
        <v>40268</v>
      </c>
      <c r="D517" s="2318">
        <f>IF('1.02b_Debt'!E236 = "","",'1.02b_Debt'!E236)</f>
        <v>43921</v>
      </c>
      <c r="E517" s="2324" t="str">
        <f>IF('1.02b_Debt'!F236 = "","",'1.02b_Debt'!F236)</f>
        <v>Original pre-hedge of 2019 bond (C1)</v>
      </c>
      <c r="F517" s="2596"/>
      <c r="G517" s="2596"/>
      <c r="H517" s="2596"/>
      <c r="I517" s="2597"/>
      <c r="J517" s="2051"/>
      <c r="K517" s="2051"/>
      <c r="L517" s="2838"/>
      <c r="M517" s="2575"/>
      <c r="N517" s="2576"/>
      <c r="O517" s="2576"/>
      <c r="P517" s="2576"/>
      <c r="Q517" s="2576">
        <v>1.8533365099999999</v>
      </c>
      <c r="R517" s="2576">
        <v>1.7132154399999999</v>
      </c>
      <c r="S517" s="2576">
        <v>1.6840000000000002</v>
      </c>
      <c r="T517" s="2577">
        <v>0</v>
      </c>
      <c r="U517" s="2578">
        <v>0</v>
      </c>
      <c r="V517" s="2576">
        <v>0</v>
      </c>
      <c r="W517" s="2576">
        <v>0</v>
      </c>
      <c r="X517" s="2576">
        <v>0</v>
      </c>
      <c r="Y517" s="2579">
        <v>0</v>
      </c>
    </row>
    <row r="518" spans="2:25" outlineLevel="1">
      <c r="B518" s="2011" t="s">
        <v>1245</v>
      </c>
      <c r="C518" s="2318">
        <f>IF('1.02b_Debt'!D237 = "","",'1.02b_Debt'!D237)</f>
        <v>40268</v>
      </c>
      <c r="D518" s="2318">
        <f>IF('1.02b_Debt'!E237 = "","",'1.02b_Debt'!E237)</f>
        <v>43921</v>
      </c>
      <c r="E518" s="2324" t="str">
        <f>IF('1.02b_Debt'!F237 = "","",'1.02b_Debt'!F237)</f>
        <v>Original pre-hedge of 2019 bond (C1)</v>
      </c>
      <c r="F518" s="2596"/>
      <c r="G518" s="2596"/>
      <c r="H518" s="2596"/>
      <c r="I518" s="2597"/>
      <c r="J518" s="2051"/>
      <c r="K518" s="2051"/>
      <c r="L518" s="2838"/>
      <c r="M518" s="2575"/>
      <c r="N518" s="2576"/>
      <c r="O518" s="2576"/>
      <c r="P518" s="2576"/>
      <c r="Q518" s="2576">
        <v>1.4034284099999998</v>
      </c>
      <c r="R518" s="2576">
        <v>1.29841158</v>
      </c>
      <c r="S518" s="2576">
        <v>1.2765</v>
      </c>
      <c r="T518" s="2577">
        <v>0</v>
      </c>
      <c r="U518" s="2578">
        <v>0</v>
      </c>
      <c r="V518" s="2576">
        <v>0</v>
      </c>
      <c r="W518" s="2576">
        <v>0</v>
      </c>
      <c r="X518" s="2576">
        <v>0</v>
      </c>
      <c r="Y518" s="2579">
        <v>0</v>
      </c>
    </row>
    <row r="519" spans="2:25" outlineLevel="1">
      <c r="B519" s="2011" t="s">
        <v>1246</v>
      </c>
      <c r="C519" s="2318">
        <f>IF('1.02b_Debt'!D238 = "","",'1.02b_Debt'!D238)</f>
        <v>40268</v>
      </c>
      <c r="D519" s="2318">
        <f>IF('1.02b_Debt'!E238 = "","",'1.02b_Debt'!E238)</f>
        <v>43921</v>
      </c>
      <c r="E519" s="2324" t="str">
        <f>IF('1.02b_Debt'!F238 = "","",'1.02b_Debt'!F238)</f>
        <v>Annuitise negative fair value of above swaps</v>
      </c>
      <c r="F519" s="2596"/>
      <c r="G519" s="2596"/>
      <c r="H519" s="2596"/>
      <c r="I519" s="2597"/>
      <c r="J519" s="2051"/>
      <c r="K519" s="2051"/>
      <c r="L519" s="2838"/>
      <c r="M519" s="2575"/>
      <c r="N519" s="2576"/>
      <c r="O519" s="2576"/>
      <c r="P519" s="2576"/>
      <c r="Q519" s="2576">
        <v>-2.9452680700000005</v>
      </c>
      <c r="R519" s="2576">
        <v>-2.6608308799999998</v>
      </c>
      <c r="S519" s="2576">
        <v>-2.6024000000000003</v>
      </c>
      <c r="T519" s="2577">
        <v>0</v>
      </c>
      <c r="U519" s="2578">
        <v>0</v>
      </c>
      <c r="V519" s="2576">
        <v>0</v>
      </c>
      <c r="W519" s="2576">
        <v>0</v>
      </c>
      <c r="X519" s="2576">
        <v>0</v>
      </c>
      <c r="Y519" s="2579">
        <v>0</v>
      </c>
    </row>
    <row r="520" spans="2:25" outlineLevel="1">
      <c r="B520" s="2011" t="s">
        <v>1247</v>
      </c>
      <c r="C520" s="2318">
        <f>IF('1.02b_Debt'!D239 = "","",'1.02b_Debt'!D239)</f>
        <v>40268</v>
      </c>
      <c r="D520" s="2318">
        <f>IF('1.02b_Debt'!E239 = "","",'1.02b_Debt'!E239)</f>
        <v>43921</v>
      </c>
      <c r="E520" s="2324" t="str">
        <f>IF('1.02b_Debt'!F239 = "","",'1.02b_Debt'!F239)</f>
        <v>Annuitise negative fair value of above swaps</v>
      </c>
      <c r="F520" s="2596"/>
      <c r="G520" s="2596"/>
      <c r="H520" s="2596"/>
      <c r="I520" s="2597"/>
      <c r="J520" s="2051"/>
      <c r="K520" s="2051"/>
      <c r="L520" s="2838"/>
      <c r="M520" s="2575"/>
      <c r="N520" s="2576"/>
      <c r="O520" s="2576"/>
      <c r="P520" s="2576"/>
      <c r="Q520" s="2576">
        <v>-1.87311446</v>
      </c>
      <c r="R520" s="2576">
        <v>-1.6955193</v>
      </c>
      <c r="S520" s="2576">
        <v>-1.6589999999999998</v>
      </c>
      <c r="T520" s="2577">
        <v>0</v>
      </c>
      <c r="U520" s="2578">
        <v>0</v>
      </c>
      <c r="V520" s="2576">
        <v>0</v>
      </c>
      <c r="W520" s="2576">
        <v>0</v>
      </c>
      <c r="X520" s="2576">
        <v>0</v>
      </c>
      <c r="Y520" s="2579">
        <v>0</v>
      </c>
    </row>
    <row r="521" spans="2:25" outlineLevel="1">
      <c r="B521" s="2011" t="s">
        <v>1248</v>
      </c>
      <c r="C521" s="2318">
        <f>IF('1.02b_Debt'!D240 = "","",'1.02b_Debt'!D240)</f>
        <v>40268</v>
      </c>
      <c r="D521" s="2318">
        <f>IF('1.02b_Debt'!E240 = "","",'1.02b_Debt'!E240)</f>
        <v>43921</v>
      </c>
      <c r="E521" s="2324" t="str">
        <f>IF('1.02b_Debt'!F240 = "","",'1.02b_Debt'!F240)</f>
        <v>Annuitise negative fair value of above swaps</v>
      </c>
      <c r="F521" s="2596"/>
      <c r="G521" s="2596"/>
      <c r="H521" s="2596"/>
      <c r="I521" s="2597"/>
      <c r="J521" s="2051"/>
      <c r="K521" s="2051"/>
      <c r="L521" s="2838"/>
      <c r="M521" s="2575"/>
      <c r="N521" s="2576"/>
      <c r="O521" s="2576"/>
      <c r="P521" s="2576"/>
      <c r="Q521" s="2576">
        <v>-2.7135577899999999</v>
      </c>
      <c r="R521" s="2576">
        <v>-2.4654270199999999</v>
      </c>
      <c r="S521" s="2576">
        <v>-2.4142999999999999</v>
      </c>
      <c r="T521" s="2577">
        <v>0</v>
      </c>
      <c r="U521" s="2578">
        <v>0</v>
      </c>
      <c r="V521" s="2576">
        <v>0</v>
      </c>
      <c r="W521" s="2576">
        <v>0</v>
      </c>
      <c r="X521" s="2576">
        <v>0</v>
      </c>
      <c r="Y521" s="2579">
        <v>0</v>
      </c>
    </row>
    <row r="522" spans="2:25" outlineLevel="1">
      <c r="B522" s="2011" t="s">
        <v>1249</v>
      </c>
      <c r="C522" s="2318">
        <f>IF('1.02b_Debt'!D241 = "","",'1.02b_Debt'!D241)</f>
        <v>40268</v>
      </c>
      <c r="D522" s="2318">
        <f>IF('1.02b_Debt'!E241 = "","",'1.02b_Debt'!E241)</f>
        <v>51226</v>
      </c>
      <c r="E522" s="2324" t="str">
        <f>IF('1.02b_Debt'!F241 = "","",'1.02b_Debt'!F241)</f>
        <v>Original pre-hedge of 2040 bond (C4)</v>
      </c>
      <c r="F522" s="2596"/>
      <c r="G522" s="2596"/>
      <c r="H522" s="2596"/>
      <c r="I522" s="2597"/>
      <c r="J522" s="2051"/>
      <c r="K522" s="2051"/>
      <c r="L522" s="2838"/>
      <c r="M522" s="2575"/>
      <c r="N522" s="2576"/>
      <c r="O522" s="2576"/>
      <c r="P522" s="2576"/>
      <c r="Q522" s="2576">
        <v>1.0166161400000002</v>
      </c>
      <c r="R522" s="2576">
        <v>0.92825964999999999</v>
      </c>
      <c r="S522" s="2576">
        <v>0.91249315068493153</v>
      </c>
      <c r="T522" s="2577">
        <v>0.90999999999999992</v>
      </c>
      <c r="U522" s="2578">
        <v>0.90500000000000003</v>
      </c>
      <c r="V522" s="2576">
        <v>0.89500000000000002</v>
      </c>
      <c r="W522" s="2576">
        <v>0.88993150684931521</v>
      </c>
      <c r="X522" s="2576">
        <v>0.87750000000000006</v>
      </c>
      <c r="Y522" s="2579">
        <v>0.87000000000000011</v>
      </c>
    </row>
    <row r="523" spans="2:25" outlineLevel="1">
      <c r="B523" s="2011" t="s">
        <v>1250</v>
      </c>
      <c r="C523" s="2318">
        <f>IF('1.02b_Debt'!D242 = "","",'1.02b_Debt'!D242)</f>
        <v>40268</v>
      </c>
      <c r="D523" s="2318">
        <f>IF('1.02b_Debt'!E242 = "","",'1.02b_Debt'!E242)</f>
        <v>51226</v>
      </c>
      <c r="E523" s="2324" t="str">
        <f>IF('1.02b_Debt'!F242 = "","",'1.02b_Debt'!F242)</f>
        <v>Original pre-hedge of 2040 bond (C4)</v>
      </c>
      <c r="F523" s="2596"/>
      <c r="G523" s="2596"/>
      <c r="H523" s="2596"/>
      <c r="I523" s="2597"/>
      <c r="J523" s="2051"/>
      <c r="K523" s="2051"/>
      <c r="L523" s="2838"/>
      <c r="M523" s="2575"/>
      <c r="N523" s="2576"/>
      <c r="O523" s="2576"/>
      <c r="P523" s="2576"/>
      <c r="Q523" s="2576">
        <v>2.0332322700000001</v>
      </c>
      <c r="R523" s="2576">
        <v>1.8565193</v>
      </c>
      <c r="S523" s="2576">
        <v>1.8249863013698631</v>
      </c>
      <c r="T523" s="2577">
        <v>1.8199999999999998</v>
      </c>
      <c r="U523" s="2578">
        <v>1.81</v>
      </c>
      <c r="V523" s="2576">
        <v>1.79</v>
      </c>
      <c r="W523" s="2576">
        <v>1.7798630136986304</v>
      </c>
      <c r="X523" s="2576">
        <v>1.7550000000000001</v>
      </c>
      <c r="Y523" s="2579">
        <v>1.7400000000000002</v>
      </c>
    </row>
    <row r="524" spans="2:25" outlineLevel="1">
      <c r="B524" s="2011" t="s">
        <v>1251</v>
      </c>
      <c r="C524" s="2318">
        <f>IF('1.02b_Debt'!D243 = "","",'1.02b_Debt'!D243)</f>
        <v>40268</v>
      </c>
      <c r="D524" s="2318">
        <f>IF('1.02b_Debt'!E243 = "","",'1.02b_Debt'!E243)</f>
        <v>51226</v>
      </c>
      <c r="E524" s="2324" t="str">
        <f>IF('1.02b_Debt'!F243 = "","",'1.02b_Debt'!F243)</f>
        <v>Original pre-hedge of 2040 bond (C4)</v>
      </c>
      <c r="F524" s="2596"/>
      <c r="G524" s="2596"/>
      <c r="H524" s="2596"/>
      <c r="I524" s="2597"/>
      <c r="J524" s="2051"/>
      <c r="K524" s="2051"/>
      <c r="L524" s="2838"/>
      <c r="M524" s="2575"/>
      <c r="N524" s="2576"/>
      <c r="O524" s="2576"/>
      <c r="P524" s="2576"/>
      <c r="Q524" s="2576">
        <v>2.0829583000000005</v>
      </c>
      <c r="R524" s="2576">
        <v>1.9065193</v>
      </c>
      <c r="S524" s="2576">
        <v>1.8751232876712327</v>
      </c>
      <c r="T524" s="2577">
        <v>1.8699999999999997</v>
      </c>
      <c r="U524" s="2578">
        <v>1.8599999999999999</v>
      </c>
      <c r="V524" s="2576">
        <v>1.8399999999999999</v>
      </c>
      <c r="W524" s="2576">
        <v>1.83</v>
      </c>
      <c r="X524" s="2576">
        <v>1.8049999999999999</v>
      </c>
      <c r="Y524" s="2579">
        <v>1.79</v>
      </c>
    </row>
    <row r="525" spans="2:25" outlineLevel="1">
      <c r="B525" s="2011" t="s">
        <v>1253</v>
      </c>
      <c r="C525" s="2318">
        <f>IF('1.02b_Debt'!D244 = "","",'1.02b_Debt'!D244)</f>
        <v>40268</v>
      </c>
      <c r="D525" s="2318">
        <f>IF('1.02b_Debt'!E244 = "","",'1.02b_Debt'!E244)</f>
        <v>51224</v>
      </c>
      <c r="E525" s="2324" t="str">
        <f>IF('1.02b_Debt'!F244 = "","",'1.02b_Debt'!F244)</f>
        <v>Original pre-hedge of 2040 bond (C4)</v>
      </c>
      <c r="F525" s="2596"/>
      <c r="G525" s="2596"/>
      <c r="H525" s="2596"/>
      <c r="I525" s="2597"/>
      <c r="J525" s="2051"/>
      <c r="K525" s="2051"/>
      <c r="L525" s="2838"/>
      <c r="M525" s="2575"/>
      <c r="N525" s="2576"/>
      <c r="O525" s="2576"/>
      <c r="P525" s="2576"/>
      <c r="Q525" s="2576">
        <v>2.0680404999999999</v>
      </c>
      <c r="R525" s="2576">
        <v>1.8915193000000001</v>
      </c>
      <c r="S525" s="2576">
        <v>1.8600821917808219</v>
      </c>
      <c r="T525" s="2577">
        <v>1.855</v>
      </c>
      <c r="U525" s="2578">
        <v>1.8450000000000002</v>
      </c>
      <c r="V525" s="2576">
        <v>1.8250000000000002</v>
      </c>
      <c r="W525" s="2576">
        <v>1.8149589041095893</v>
      </c>
      <c r="X525" s="2576">
        <v>1.7900000000000003</v>
      </c>
      <c r="Y525" s="2579">
        <v>1.7750000000000004</v>
      </c>
    </row>
    <row r="526" spans="2:25" outlineLevel="1">
      <c r="B526" s="2011" t="s">
        <v>1254</v>
      </c>
      <c r="C526" s="2318">
        <f>IF('1.02b_Debt'!D245 = "","",'1.02b_Debt'!D245)</f>
        <v>40268</v>
      </c>
      <c r="D526" s="2318">
        <f>IF('1.02b_Debt'!E245 = "","",'1.02b_Debt'!E245)</f>
        <v>51226</v>
      </c>
      <c r="E526" s="2324" t="str">
        <f>IF('1.02b_Debt'!F245 = "","",'1.02b_Debt'!F245)</f>
        <v>Original pre-hedge of 2040 bond (C4)</v>
      </c>
      <c r="F526" s="2596"/>
      <c r="G526" s="2596"/>
      <c r="H526" s="2596"/>
      <c r="I526" s="2597"/>
      <c r="J526" s="2051"/>
      <c r="K526" s="2051"/>
      <c r="L526" s="2838"/>
      <c r="M526" s="2575"/>
      <c r="N526" s="2576"/>
      <c r="O526" s="2576"/>
      <c r="P526" s="2576"/>
      <c r="Q526" s="2576">
        <v>2.0754993900000001</v>
      </c>
      <c r="R526" s="2576">
        <v>1.8990193</v>
      </c>
      <c r="S526" s="2576">
        <v>1.8676027397260275</v>
      </c>
      <c r="T526" s="2577">
        <v>1.8624999999999998</v>
      </c>
      <c r="U526" s="2578">
        <v>1.8525</v>
      </c>
      <c r="V526" s="2576">
        <v>1.8325</v>
      </c>
      <c r="W526" s="2576">
        <v>1.8224794520547949</v>
      </c>
      <c r="X526" s="2576">
        <v>1.7975000000000001</v>
      </c>
      <c r="Y526" s="2579">
        <v>1.7825000000000002</v>
      </c>
    </row>
    <row r="527" spans="2:25" outlineLevel="1">
      <c r="B527" s="2011" t="s">
        <v>1255</v>
      </c>
      <c r="C527" s="2318">
        <f>IF('1.02b_Debt'!D246 = "","",'1.02b_Debt'!D246)</f>
        <v>40268</v>
      </c>
      <c r="D527" s="2318">
        <f>IF('1.02b_Debt'!E246 = "","",'1.02b_Debt'!E246)</f>
        <v>51226</v>
      </c>
      <c r="E527" s="2324" t="str">
        <f>IF('1.02b_Debt'!F246 = "","",'1.02b_Debt'!F246)</f>
        <v>Original pre-hedge of 2040 bond (C4)</v>
      </c>
      <c r="F527" s="2596"/>
      <c r="G527" s="2596"/>
      <c r="H527" s="2596"/>
      <c r="I527" s="2597"/>
      <c r="J527" s="2051"/>
      <c r="K527" s="2051"/>
      <c r="L527" s="2838"/>
      <c r="M527" s="2575"/>
      <c r="N527" s="2576"/>
      <c r="O527" s="2576"/>
      <c r="P527" s="2576"/>
      <c r="Q527" s="2576">
        <v>1.0389928400000001</v>
      </c>
      <c r="R527" s="2576">
        <v>0.95075965000000007</v>
      </c>
      <c r="S527" s="2576">
        <v>0.93505479452054774</v>
      </c>
      <c r="T527" s="2577">
        <v>0.93249999999999988</v>
      </c>
      <c r="U527" s="2578">
        <v>0.92749999999999999</v>
      </c>
      <c r="V527" s="2576">
        <v>0.91749999999999998</v>
      </c>
      <c r="W527" s="2576">
        <v>0.91249315068493142</v>
      </c>
      <c r="X527" s="2576">
        <v>0.9</v>
      </c>
      <c r="Y527" s="2579">
        <v>0.89250000000000007</v>
      </c>
    </row>
    <row r="528" spans="2:25" outlineLevel="1">
      <c r="B528" s="2011" t="s">
        <v>1256</v>
      </c>
      <c r="C528" s="2318">
        <f>IF('1.02b_Debt'!D247 = "","",'1.02b_Debt'!D247)</f>
        <v>40268</v>
      </c>
      <c r="D528" s="2318">
        <f>IF('1.02b_Debt'!E247 = "","",'1.02b_Debt'!E247)</f>
        <v>51226</v>
      </c>
      <c r="E528" s="2324" t="str">
        <f>IF('1.02b_Debt'!F247 = "","",'1.02b_Debt'!F247)</f>
        <v>Annuitise negative fair value of above swaps</v>
      </c>
      <c r="F528" s="2596"/>
      <c r="G528" s="2596"/>
      <c r="H528" s="2596"/>
      <c r="I528" s="2597"/>
      <c r="J528" s="2051"/>
      <c r="K528" s="2051"/>
      <c r="L528" s="2838"/>
      <c r="M528" s="2575"/>
      <c r="N528" s="2576"/>
      <c r="O528" s="2576"/>
      <c r="P528" s="2576"/>
      <c r="Q528" s="2576">
        <v>-2.6418463600000002</v>
      </c>
      <c r="R528" s="2576">
        <v>-2.3745289500000002</v>
      </c>
      <c r="S528" s="2576">
        <v>-2.326105479452055</v>
      </c>
      <c r="T528" s="2577">
        <v>-2.31975</v>
      </c>
      <c r="U528" s="2578">
        <v>-2.3047500000000003</v>
      </c>
      <c r="V528" s="2576">
        <v>-2.27475</v>
      </c>
      <c r="W528" s="2576">
        <v>-2.2584205479452057</v>
      </c>
      <c r="X528" s="2576">
        <v>-2.2222499999999998</v>
      </c>
      <c r="Y528" s="2579">
        <v>-2.1997499999999999</v>
      </c>
    </row>
    <row r="529" spans="2:25" outlineLevel="1">
      <c r="B529" s="2011" t="s">
        <v>1257</v>
      </c>
      <c r="C529" s="2318">
        <f>IF('1.02b_Debt'!D248 = "","",'1.02b_Debt'!D248)</f>
        <v>40268</v>
      </c>
      <c r="D529" s="2318">
        <f>IF('1.02b_Debt'!E248 = "","",'1.02b_Debt'!E248)</f>
        <v>51226</v>
      </c>
      <c r="E529" s="2324" t="str">
        <f>IF('1.02b_Debt'!F248 = "","",'1.02b_Debt'!F248)</f>
        <v>Annuitise negative fair value of above swaps</v>
      </c>
      <c r="F529" s="2596"/>
      <c r="G529" s="2596"/>
      <c r="H529" s="2596"/>
      <c r="I529" s="2597"/>
      <c r="J529" s="2051"/>
      <c r="K529" s="2051"/>
      <c r="L529" s="2838"/>
      <c r="M529" s="2575"/>
      <c r="N529" s="2576"/>
      <c r="O529" s="2576"/>
      <c r="P529" s="2576"/>
      <c r="Q529" s="2576">
        <v>-1.78733707</v>
      </c>
      <c r="R529" s="2576">
        <v>-1.6092693</v>
      </c>
      <c r="S529" s="2576">
        <v>-1.5770589041095893</v>
      </c>
      <c r="T529" s="2577">
        <v>-1.5727500000000001</v>
      </c>
      <c r="U529" s="2578">
        <v>-1.5627500000000003</v>
      </c>
      <c r="V529" s="2576">
        <v>-1.5427500000000003</v>
      </c>
      <c r="W529" s="2576">
        <v>-1.5319356164383566</v>
      </c>
      <c r="X529" s="2576">
        <v>-1.5077500000000004</v>
      </c>
      <c r="Y529" s="2579">
        <v>-1.4927500000000005</v>
      </c>
    </row>
    <row r="530" spans="2:25" outlineLevel="1">
      <c r="B530" s="2011" t="s">
        <v>1258</v>
      </c>
      <c r="C530" s="2318">
        <f>IF('1.02b_Debt'!D249 = "","",'1.02b_Debt'!D249)</f>
        <v>40268</v>
      </c>
      <c r="D530" s="2318">
        <f>IF('1.02b_Debt'!E249 = "","",'1.02b_Debt'!E249)</f>
        <v>51226</v>
      </c>
      <c r="E530" s="2324" t="str">
        <f>IF('1.02b_Debt'!F249 = "","",'1.02b_Debt'!F249)</f>
        <v>Annuitise negative fair value of above swaps</v>
      </c>
      <c r="F530" s="2596"/>
      <c r="G530" s="2596"/>
      <c r="H530" s="2596"/>
      <c r="I530" s="2597"/>
      <c r="J530" s="2051"/>
      <c r="K530" s="2051"/>
      <c r="L530" s="2838"/>
      <c r="M530" s="2575"/>
      <c r="N530" s="2576"/>
      <c r="O530" s="2576"/>
      <c r="P530" s="2576"/>
      <c r="Q530" s="2576">
        <v>-1.8010117299999999</v>
      </c>
      <c r="R530" s="2576">
        <v>-1.6230192999999999</v>
      </c>
      <c r="S530" s="2576">
        <v>-1.5908465753424659</v>
      </c>
      <c r="T530" s="2577">
        <v>-1.5865</v>
      </c>
      <c r="U530" s="2578">
        <v>-1.5765000000000002</v>
      </c>
      <c r="V530" s="2576">
        <v>-1.5565000000000002</v>
      </c>
      <c r="W530" s="2576">
        <v>-1.5457232876712332</v>
      </c>
      <c r="X530" s="2576">
        <v>-1.5215000000000003</v>
      </c>
      <c r="Y530" s="2579">
        <v>-1.5065000000000004</v>
      </c>
    </row>
    <row r="531" spans="2:25" outlineLevel="1">
      <c r="B531" s="2011" t="s">
        <v>1259</v>
      </c>
      <c r="C531" s="2318">
        <f>IF('1.02b_Debt'!D250 = "","",'1.02b_Debt'!D250)</f>
        <v>40268</v>
      </c>
      <c r="D531" s="2318">
        <f>IF('1.02b_Debt'!E250 = "","",'1.02b_Debt'!E250)</f>
        <v>51226</v>
      </c>
      <c r="E531" s="2324" t="str">
        <f>IF('1.02b_Debt'!F250 = "","",'1.02b_Debt'!F250)</f>
        <v>Annuitise negative fair value of above swaps</v>
      </c>
      <c r="F531" s="2596"/>
      <c r="G531" s="2596"/>
      <c r="H531" s="2596"/>
      <c r="I531" s="2597"/>
      <c r="J531" s="2051"/>
      <c r="K531" s="2051"/>
      <c r="L531" s="2838"/>
      <c r="M531" s="2575"/>
      <c r="N531" s="2576"/>
      <c r="O531" s="2576"/>
      <c r="P531" s="2576"/>
      <c r="Q531" s="2576">
        <v>-2.6810056100000001</v>
      </c>
      <c r="R531" s="2576">
        <v>-2.4139039500000004</v>
      </c>
      <c r="S531" s="2576">
        <v>-2.365588356164384</v>
      </c>
      <c r="T531" s="2577">
        <v>-2.3591250000000006</v>
      </c>
      <c r="U531" s="2578">
        <v>-2.3441250000000009</v>
      </c>
      <c r="V531" s="2576">
        <v>-2.3141250000000007</v>
      </c>
      <c r="W531" s="2576">
        <v>-2.2979034246575347</v>
      </c>
      <c r="X531" s="2576">
        <v>-2.2616250000000004</v>
      </c>
      <c r="Y531" s="2579">
        <v>-2.2391250000000005</v>
      </c>
    </row>
    <row r="532" spans="2:25" outlineLevel="1">
      <c r="B532" s="2011" t="s">
        <v>1260</v>
      </c>
      <c r="C532" s="2318">
        <f>IF('1.02b_Debt'!D251 = "","",'1.02b_Debt'!D251)</f>
        <v>42116</v>
      </c>
      <c r="D532" s="2318">
        <f>IF('1.02b_Debt'!E251 = "","",'1.02b_Debt'!E251)</f>
        <v>45769</v>
      </c>
      <c r="E532" s="2324" t="str">
        <f>IF('1.02b_Debt'!F251 = "","",'1.02b_Debt'!F251)</f>
        <v>Hedge of floating rate EIB loan (B2.1)</v>
      </c>
      <c r="F532" s="2596"/>
      <c r="G532" s="2596"/>
      <c r="H532" s="2596"/>
      <c r="I532" s="2597"/>
      <c r="J532" s="2051"/>
      <c r="K532" s="2051"/>
      <c r="L532" s="2838"/>
      <c r="M532" s="2575"/>
      <c r="N532" s="2576"/>
      <c r="O532" s="2576"/>
      <c r="P532" s="2576"/>
      <c r="Q532" s="2576">
        <v>0.20557386999999999</v>
      </c>
      <c r="R532" s="2576">
        <v>0.14183307000000001</v>
      </c>
      <c r="S532" s="2576">
        <v>0.12002794520547946</v>
      </c>
      <c r="T532" s="2577">
        <v>0.12145</v>
      </c>
      <c r="U532" s="2578">
        <v>0.11794999999999997</v>
      </c>
      <c r="V532" s="2576">
        <v>0.11094999999999999</v>
      </c>
      <c r="W532" s="2576">
        <v>0.10423479452054796</v>
      </c>
      <c r="X532" s="2576">
        <v>9.870000000000001E-2</v>
      </c>
      <c r="Y532" s="2579">
        <v>5.2758904109589024E-3</v>
      </c>
    </row>
    <row r="533" spans="2:25" outlineLevel="1">
      <c r="B533" s="2011" t="s">
        <v>1263</v>
      </c>
      <c r="C533" s="2318">
        <f>IF('1.02b_Debt'!D252 = "","",'1.02b_Debt'!D252)</f>
        <v>42026</v>
      </c>
      <c r="D533" s="2318">
        <f>IF('1.02b_Debt'!E252 = "","",'1.02b_Debt'!E252)</f>
        <v>45679</v>
      </c>
      <c r="E533" s="2324" t="str">
        <f>IF('1.02b_Debt'!F252 = "","",'1.02b_Debt'!F252)</f>
        <v>Hedge of floating rate EIB loan (B2.1)</v>
      </c>
      <c r="F533" s="2596"/>
      <c r="G533" s="2596"/>
      <c r="H533" s="2596"/>
      <c r="I533" s="2597"/>
      <c r="J533" s="2051"/>
      <c r="K533" s="2051"/>
      <c r="L533" s="2838"/>
      <c r="M533" s="2575"/>
      <c r="N533" s="2576"/>
      <c r="O533" s="2576"/>
      <c r="P533" s="2576"/>
      <c r="Q533" s="2576">
        <v>3.7557689999999998E-2</v>
      </c>
      <c r="R533" s="2576">
        <v>2.8474349999999999E-2</v>
      </c>
      <c r="S533" s="2576">
        <v>2.5381849315068487E-2</v>
      </c>
      <c r="T533" s="2577">
        <v>2.5562499999999991E-2</v>
      </c>
      <c r="U533" s="2578">
        <v>2.5062499999999991E-2</v>
      </c>
      <c r="V533" s="2576">
        <v>2.4062499999999994E-2</v>
      </c>
      <c r="W533" s="2576">
        <v>2.3125684931506841E-2</v>
      </c>
      <c r="X533" s="2576">
        <v>1.8094520547945206E-2</v>
      </c>
      <c r="Y533" s="2579">
        <v>0</v>
      </c>
    </row>
    <row r="534" spans="2:25" outlineLevel="1">
      <c r="B534" s="2011" t="s">
        <v>1264</v>
      </c>
      <c r="C534" s="2318">
        <f>IF('1.02b_Debt'!D253 = "","",'1.02b_Debt'!D253)</f>
        <v>42207</v>
      </c>
      <c r="D534" s="2318">
        <f>IF('1.02b_Debt'!E253 = "","",'1.02b_Debt'!E253)</f>
        <v>45860</v>
      </c>
      <c r="E534" s="2324" t="str">
        <f>IF('1.02b_Debt'!F253 = "","",'1.02b_Debt'!F253)</f>
        <v>Hedge of floating rate EIB loan (B2.1)</v>
      </c>
      <c r="F534" s="2596"/>
      <c r="G534" s="2596"/>
      <c r="H534" s="2596"/>
      <c r="I534" s="2597"/>
      <c r="J534" s="2051"/>
      <c r="K534" s="2051"/>
      <c r="L534" s="2838"/>
      <c r="M534" s="2575"/>
      <c r="N534" s="2576"/>
      <c r="O534" s="2576"/>
      <c r="P534" s="2576"/>
      <c r="Q534" s="2576">
        <v>8.0974269999999987E-2</v>
      </c>
      <c r="R534" s="2576">
        <v>6.2823729999999994E-2</v>
      </c>
      <c r="S534" s="2576">
        <v>5.6654794520547939E-2</v>
      </c>
      <c r="T534" s="2577">
        <v>5.7000000000000002E-2</v>
      </c>
      <c r="U534" s="2578">
        <v>5.6000000000000001E-2</v>
      </c>
      <c r="V534" s="2576">
        <v>5.4000000000000006E-2</v>
      </c>
      <c r="W534" s="2576">
        <v>5.2142465753424648E-2</v>
      </c>
      <c r="X534" s="2576">
        <v>5.050000000000001E-2</v>
      </c>
      <c r="Y534" s="2579">
        <v>1.4882191780821917E-2</v>
      </c>
    </row>
    <row r="535" spans="2:25" outlineLevel="1">
      <c r="B535" s="2011" t="s">
        <v>1265</v>
      </c>
      <c r="C535" s="2318">
        <f>IF('1.02b_Debt'!D254 = "","",'1.02b_Debt'!D254)</f>
        <v>42368</v>
      </c>
      <c r="D535" s="2318">
        <f>IF('1.02b_Debt'!E254 = "","",'1.02b_Debt'!E254)</f>
        <v>46021</v>
      </c>
      <c r="E535" s="2324" t="str">
        <f>IF('1.02b_Debt'!F254 = "","",'1.02b_Debt'!F254)</f>
        <v>Hedge of floating rate EIB loan (B2.2)</v>
      </c>
      <c r="F535" s="2596"/>
      <c r="G535" s="2596"/>
      <c r="H535" s="2596"/>
      <c r="I535" s="2597"/>
      <c r="J535" s="2051"/>
      <c r="K535" s="2051"/>
      <c r="L535" s="2838"/>
      <c r="M535" s="2575"/>
      <c r="N535" s="2576"/>
      <c r="O535" s="2576"/>
      <c r="P535" s="2576"/>
      <c r="Q535" s="2576">
        <v>0.24563014</v>
      </c>
      <c r="R535" s="2576">
        <v>0.17647686999999995</v>
      </c>
      <c r="S535" s="2576">
        <v>0.16530164383561644</v>
      </c>
      <c r="T535" s="2577">
        <v>0.16659999999999997</v>
      </c>
      <c r="U535" s="2578">
        <v>0.16309999999999994</v>
      </c>
      <c r="V535" s="2576">
        <v>0.15609999999999996</v>
      </c>
      <c r="W535" s="2576">
        <v>0.14950849315068493</v>
      </c>
      <c r="X535" s="2576">
        <v>0.14384999999999998</v>
      </c>
      <c r="Y535" s="2579">
        <v>0.10235630136986296</v>
      </c>
    </row>
    <row r="536" spans="2:25" outlineLevel="1">
      <c r="B536" s="2011" t="s">
        <v>1267</v>
      </c>
      <c r="C536" s="2318">
        <f>IF('1.02b_Debt'!D255 = "","",'1.02b_Debt'!D255)</f>
        <v>42277</v>
      </c>
      <c r="D536" s="2318">
        <f>IF('1.02b_Debt'!E255 = "","",'1.02b_Debt'!E255)</f>
        <v>45930</v>
      </c>
      <c r="E536" s="2324" t="str">
        <f>IF('1.02b_Debt'!F255 = "","",'1.02b_Debt'!F255)</f>
        <v>Hedge of floating rate EIB loan (B2.2)</v>
      </c>
      <c r="F536" s="2596"/>
      <c r="G536" s="2596"/>
      <c r="H536" s="2596"/>
      <c r="I536" s="2597"/>
      <c r="J536" s="2051"/>
      <c r="K536" s="2051"/>
      <c r="L536" s="2838"/>
      <c r="M536" s="2575"/>
      <c r="N536" s="2576"/>
      <c r="O536" s="2576"/>
      <c r="P536" s="2576"/>
      <c r="Q536" s="2576">
        <v>0.24039453</v>
      </c>
      <c r="R536" s="2576">
        <v>0.17122688</v>
      </c>
      <c r="S536" s="2576">
        <v>0.16003726027397266</v>
      </c>
      <c r="T536" s="2577">
        <v>0.16135000000000005</v>
      </c>
      <c r="U536" s="2578">
        <v>0.15785000000000002</v>
      </c>
      <c r="V536" s="2576">
        <v>0.15085000000000004</v>
      </c>
      <c r="W536" s="2576">
        <v>0.14424410958904116</v>
      </c>
      <c r="X536" s="2576">
        <v>0.13860000000000006</v>
      </c>
      <c r="Y536" s="2579">
        <v>6.5619726027397268E-2</v>
      </c>
    </row>
    <row r="537" spans="2:25" outlineLevel="1">
      <c r="B537" s="2011" t="s">
        <v>1268</v>
      </c>
      <c r="C537" s="2318">
        <f>IF('1.02b_Debt'!D256 = "","",'1.02b_Debt'!D256)</f>
        <v>40267</v>
      </c>
      <c r="D537" s="2318">
        <f>IF('1.02b_Debt'!E256 = "","",'1.02b_Debt'!E256)</f>
        <v>43920</v>
      </c>
      <c r="E537" s="2324" t="str">
        <f>IF('1.02b_Debt'!F256 = "","",'1.02b_Debt'!F256)</f>
        <v>Hedge of floating rate EIB loan (B2.2)</v>
      </c>
      <c r="F537" s="2596"/>
      <c r="G537" s="2596"/>
      <c r="H537" s="2596"/>
      <c r="I537" s="2597"/>
      <c r="J537" s="2051"/>
      <c r="K537" s="2051"/>
      <c r="L537" s="2838"/>
      <c r="M537" s="2575"/>
      <c r="N537" s="2576"/>
      <c r="O537" s="2576"/>
      <c r="P537" s="2576"/>
      <c r="Q537" s="2576">
        <v>2.2627621100000002</v>
      </c>
      <c r="R537" s="2576">
        <v>2.0694696599999998</v>
      </c>
      <c r="S537" s="2576">
        <v>2.0306712328767125</v>
      </c>
      <c r="T537" s="2577">
        <v>0</v>
      </c>
      <c r="U537" s="2578">
        <v>0</v>
      </c>
      <c r="V537" s="2576">
        <v>0</v>
      </c>
      <c r="W537" s="2576">
        <v>0</v>
      </c>
      <c r="X537" s="2576">
        <v>0</v>
      </c>
      <c r="Y537" s="2579">
        <v>0</v>
      </c>
    </row>
    <row r="538" spans="2:25" outlineLevel="1">
      <c r="B538" s="2011" t="s">
        <v>1269</v>
      </c>
      <c r="C538" s="2318">
        <f>IF('1.02b_Debt'!D257 = "","",'1.02b_Debt'!D257)</f>
        <v>42185</v>
      </c>
      <c r="D538" s="2318">
        <f>IF('1.02b_Debt'!E257 = "","",'1.02b_Debt'!E257)</f>
        <v>45838</v>
      </c>
      <c r="E538" s="2324" t="str">
        <f>IF('1.02b_Debt'!F257 = "","",'1.02b_Debt'!F257)</f>
        <v>Hedge of floating rate EIB loan (B2.2)</v>
      </c>
      <c r="F538" s="2596"/>
      <c r="G538" s="2596"/>
      <c r="H538" s="2596"/>
      <c r="I538" s="2597"/>
      <c r="J538" s="2051"/>
      <c r="K538" s="2051"/>
      <c r="L538" s="2838"/>
      <c r="M538" s="2575"/>
      <c r="N538" s="2576"/>
      <c r="O538" s="2576"/>
      <c r="P538" s="2576"/>
      <c r="Q538" s="2576">
        <v>0.19670422000000001</v>
      </c>
      <c r="R538" s="2576">
        <v>0.14736741</v>
      </c>
      <c r="S538" s="2576">
        <v>0.13944349315068494</v>
      </c>
      <c r="T538" s="2577">
        <v>0.14031250000000001</v>
      </c>
      <c r="U538" s="2578">
        <v>0.13781249999999998</v>
      </c>
      <c r="V538" s="2576">
        <v>0.1328125</v>
      </c>
      <c r="W538" s="2576">
        <v>0.12816267123287672</v>
      </c>
      <c r="X538" s="2576">
        <v>0.12406249999999998</v>
      </c>
      <c r="Y538" s="2579">
        <v>2.9357876712328767E-2</v>
      </c>
    </row>
    <row r="539" spans="2:25" outlineLevel="1">
      <c r="B539" s="2011" t="s">
        <v>1270</v>
      </c>
      <c r="C539" s="2318">
        <f>IF('1.02b_Debt'!D258 = "","",'1.02b_Debt'!D258)</f>
        <v>42459</v>
      </c>
      <c r="D539" s="2318">
        <f>IF('1.02b_Debt'!E258 = "","",'1.02b_Debt'!E258)</f>
        <v>46111</v>
      </c>
      <c r="E539" s="2324" t="str">
        <f>IF('1.02b_Debt'!F258 = "","",'1.02b_Debt'!F258)</f>
        <v>Hedge of floating rate EIB loan (B2.2)</v>
      </c>
      <c r="F539" s="2596"/>
      <c r="G539" s="2596"/>
      <c r="H539" s="2596"/>
      <c r="I539" s="2597"/>
      <c r="J539" s="2051"/>
      <c r="K539" s="2051"/>
      <c r="L539" s="2838"/>
      <c r="M539" s="2575"/>
      <c r="N539" s="2576"/>
      <c r="O539" s="2576"/>
      <c r="P539" s="2576"/>
      <c r="Q539" s="2576">
        <v>2.4357010000000002E-2</v>
      </c>
      <c r="R539" s="2576">
        <v>1.444848E-2</v>
      </c>
      <c r="S539" s="2576">
        <v>1.2822534246575343E-2</v>
      </c>
      <c r="T539" s="2577">
        <v>1.3037499999999997E-2</v>
      </c>
      <c r="U539" s="2578">
        <v>1.2537499999999997E-2</v>
      </c>
      <c r="V539" s="2576">
        <v>1.1537499999999999E-2</v>
      </c>
      <c r="W539" s="2576">
        <v>1.0566369863013698E-2</v>
      </c>
      <c r="X539" s="2576">
        <v>9.7875000000000011E-3</v>
      </c>
      <c r="Y539" s="2579">
        <v>8.7393493150684891E-3</v>
      </c>
    </row>
    <row r="540" spans="2:25" outlineLevel="1">
      <c r="B540" s="2011" t="s">
        <v>1271</v>
      </c>
      <c r="C540" s="2318">
        <f>IF('1.02b_Debt'!D259 = "","",'1.02b_Debt'!D259)</f>
        <v>41906</v>
      </c>
      <c r="D540" s="2318">
        <f>IF('1.02b_Debt'!E259 = "","",'1.02b_Debt'!E259)</f>
        <v>45559</v>
      </c>
      <c r="E540" s="2324" t="str">
        <f>IF('1.02b_Debt'!F259 = "","",'1.02b_Debt'!F259)</f>
        <v>Hedge of floating rate EIB loan (B2.3)</v>
      </c>
      <c r="F540" s="2596"/>
      <c r="G540" s="2596"/>
      <c r="H540" s="2596"/>
      <c r="I540" s="2597"/>
      <c r="J540" s="2051"/>
      <c r="K540" s="2051"/>
      <c r="L540" s="2838"/>
      <c r="M540" s="2575"/>
      <c r="N540" s="2576"/>
      <c r="O540" s="2576"/>
      <c r="P540" s="2576"/>
      <c r="Q540" s="2576">
        <v>0.20361177000000003</v>
      </c>
      <c r="R540" s="2576">
        <v>0.16305057000000001</v>
      </c>
      <c r="S540" s="2576">
        <v>0.15592602739726025</v>
      </c>
      <c r="T540" s="2577">
        <v>0.15649999999999997</v>
      </c>
      <c r="U540" s="2578">
        <v>0.15449999999999997</v>
      </c>
      <c r="V540" s="2576">
        <v>0.15049999999999999</v>
      </c>
      <c r="W540" s="2576">
        <v>0.14690136986301366</v>
      </c>
      <c r="X540" s="2576">
        <v>6.9194520547945199E-2</v>
      </c>
      <c r="Y540" s="2579">
        <v>0</v>
      </c>
    </row>
    <row r="541" spans="2:25" outlineLevel="1">
      <c r="B541" s="2011" t="s">
        <v>1273</v>
      </c>
      <c r="C541" s="2318">
        <f>IF('1.02b_Debt'!D260 = "","",'1.02b_Debt'!D260)</f>
        <v>41997</v>
      </c>
      <c r="D541" s="2318">
        <f>IF('1.02b_Debt'!E260 = "","",'1.02b_Debt'!E260)</f>
        <v>45650</v>
      </c>
      <c r="E541" s="2324" t="str">
        <f>IF('1.02b_Debt'!F260 = "","",'1.02b_Debt'!F260)</f>
        <v>Hedge of floating rate EIB loan (B2.3)</v>
      </c>
      <c r="F541" s="2596"/>
      <c r="G541" s="2596"/>
      <c r="H541" s="2596"/>
      <c r="I541" s="2597"/>
      <c r="J541" s="2051"/>
      <c r="K541" s="2051"/>
      <c r="L541" s="2838"/>
      <c r="M541" s="2575"/>
      <c r="N541" s="2576"/>
      <c r="O541" s="2576"/>
      <c r="P541" s="2576"/>
      <c r="Q541" s="2576">
        <v>0.22118360999999997</v>
      </c>
      <c r="R541" s="2576">
        <v>0.16103037000000003</v>
      </c>
      <c r="S541" s="2576">
        <v>0.14988452054794515</v>
      </c>
      <c r="T541" s="2577">
        <v>0.15097499999999997</v>
      </c>
      <c r="U541" s="2578">
        <v>0.14797499999999997</v>
      </c>
      <c r="V541" s="2576">
        <v>0.14197499999999996</v>
      </c>
      <c r="W541" s="2576">
        <v>0.13634753424657531</v>
      </c>
      <c r="X541" s="2576">
        <v>9.6174863013698597E-2</v>
      </c>
      <c r="Y541" s="2579">
        <v>0</v>
      </c>
    </row>
    <row r="542" spans="2:25" outlineLevel="1">
      <c r="B542" s="2011" t="s">
        <v>1274</v>
      </c>
      <c r="C542" s="2318">
        <f>IF('1.02b_Debt'!D261 = "","",'1.02b_Debt'!D261)</f>
        <v>41850</v>
      </c>
      <c r="D542" s="2318">
        <f>IF('1.02b_Debt'!E261 = "","",'1.02b_Debt'!E261)</f>
        <v>45503</v>
      </c>
      <c r="E542" s="2324" t="str">
        <f>IF('1.02b_Debt'!F261 = "","",'1.02b_Debt'!F261)</f>
        <v>Hedge of floating rate EIB loan (B2.4)</v>
      </c>
      <c r="F542" s="2596"/>
      <c r="G542" s="2596"/>
      <c r="H542" s="2596"/>
      <c r="I542" s="2597"/>
      <c r="J542" s="2051"/>
      <c r="K542" s="2051"/>
      <c r="L542" s="2838"/>
      <c r="M542" s="2575"/>
      <c r="N542" s="2576"/>
      <c r="O542" s="2576"/>
      <c r="P542" s="2576"/>
      <c r="Q542" s="2576">
        <v>0.38913752000000001</v>
      </c>
      <c r="R542" s="2576">
        <v>0.32604566000000001</v>
      </c>
      <c r="S542" s="2576">
        <v>0.30428136986301368</v>
      </c>
      <c r="T542" s="2577">
        <v>0.30519999999999997</v>
      </c>
      <c r="U542" s="2578">
        <v>0.30169999999999997</v>
      </c>
      <c r="V542" s="2576">
        <v>0.29469999999999996</v>
      </c>
      <c r="W542" s="2576">
        <v>0.28848821917808215</v>
      </c>
      <c r="X542" s="2576">
        <v>9.2860273972602742E-2</v>
      </c>
      <c r="Y542" s="2579">
        <v>0</v>
      </c>
    </row>
    <row r="543" spans="2:25" outlineLevel="1">
      <c r="B543" s="2011" t="s">
        <v>1276</v>
      </c>
      <c r="C543" s="2318">
        <f>IF('1.02b_Debt'!D262 = "","",'1.02b_Debt'!D262)</f>
        <v>41669</v>
      </c>
      <c r="D543" s="2318">
        <f>IF('1.02b_Debt'!E262 = "","",'1.02b_Debt'!E262)</f>
        <v>45321</v>
      </c>
      <c r="E543" s="2324" t="str">
        <f>IF('1.02b_Debt'!F262 = "","",'1.02b_Debt'!F262)</f>
        <v>Hedge of floating rate EIB loan (B2.4)</v>
      </c>
      <c r="F543" s="2596"/>
      <c r="G543" s="2596"/>
      <c r="H543" s="2596"/>
      <c r="I543" s="2597"/>
      <c r="J543" s="2051"/>
      <c r="K543" s="2051"/>
      <c r="L543" s="2838"/>
      <c r="M543" s="2575"/>
      <c r="N543" s="2576"/>
      <c r="O543" s="2576"/>
      <c r="P543" s="2576"/>
      <c r="Q543" s="2576">
        <v>0.42886253000000002</v>
      </c>
      <c r="R543" s="2576">
        <v>0.36577067000000002</v>
      </c>
      <c r="S543" s="2576">
        <v>0.34411520547945207</v>
      </c>
      <c r="T543" s="2577">
        <v>0.34492500000000004</v>
      </c>
      <c r="U543" s="2578">
        <v>0.34142499999999998</v>
      </c>
      <c r="V543" s="2576">
        <v>0.33442500000000003</v>
      </c>
      <c r="W543" s="2576">
        <v>0.27270465753424661</v>
      </c>
      <c r="X543" s="2576">
        <v>0</v>
      </c>
      <c r="Y543" s="2579">
        <v>0</v>
      </c>
    </row>
    <row r="544" spans="2:25" outlineLevel="1">
      <c r="B544" s="2011" t="s">
        <v>1277</v>
      </c>
      <c r="C544" s="2318">
        <f>IF('1.02b_Debt'!D263 = "","",'1.02b_Debt'!D263)</f>
        <v>41759</v>
      </c>
      <c r="D544" s="2318">
        <f>IF('1.02b_Debt'!E263 = "","",'1.02b_Debt'!E263)</f>
        <v>45412</v>
      </c>
      <c r="E544" s="2324" t="str">
        <f>IF('1.02b_Debt'!F263 = "","",'1.02b_Debt'!F263)</f>
        <v>Hedge of floating rate EIB loan (B2.4)</v>
      </c>
      <c r="F544" s="2596"/>
      <c r="G544" s="2596"/>
      <c r="H544" s="2596"/>
      <c r="I544" s="2597"/>
      <c r="J544" s="2051"/>
      <c r="K544" s="2051"/>
      <c r="L544" s="2838"/>
      <c r="M544" s="2575"/>
      <c r="N544" s="2576"/>
      <c r="O544" s="2576"/>
      <c r="P544" s="2576"/>
      <c r="Q544" s="2576">
        <v>0.38931253000000005</v>
      </c>
      <c r="R544" s="2576">
        <v>0.32622066000000005</v>
      </c>
      <c r="S544" s="2576">
        <v>0.30445684931506856</v>
      </c>
      <c r="T544" s="2577">
        <v>0.30537500000000006</v>
      </c>
      <c r="U544" s="2578">
        <v>0.301875</v>
      </c>
      <c r="V544" s="2576">
        <v>0.29487500000000005</v>
      </c>
      <c r="W544" s="2576">
        <v>0.28866369863013702</v>
      </c>
      <c r="X544" s="2576">
        <v>2.2455136986301374E-2</v>
      </c>
      <c r="Y544" s="2579">
        <v>0</v>
      </c>
    </row>
    <row r="545" spans="2:25" outlineLevel="1">
      <c r="B545" s="2011" t="s">
        <v>1278</v>
      </c>
      <c r="C545" s="2318">
        <f>IF('1.02b_Debt'!D264 = "","",'1.02b_Debt'!D264)</f>
        <v>41942</v>
      </c>
      <c r="D545" s="2318">
        <f>IF('1.02b_Debt'!E264 = "","",'1.02b_Debt'!E264)</f>
        <v>45595</v>
      </c>
      <c r="E545" s="2324" t="str">
        <f>IF('1.02b_Debt'!F264 = "","",'1.02b_Debt'!F264)</f>
        <v>Hedge of floating rate EIB loan (B2.4)</v>
      </c>
      <c r="F545" s="2596"/>
      <c r="G545" s="2596"/>
      <c r="H545" s="2596"/>
      <c r="I545" s="2597"/>
      <c r="J545" s="2051"/>
      <c r="K545" s="2051"/>
      <c r="L545" s="2838"/>
      <c r="M545" s="2575"/>
      <c r="N545" s="2576"/>
      <c r="O545" s="2576"/>
      <c r="P545" s="2576"/>
      <c r="Q545" s="2576">
        <v>0.15522323000000002</v>
      </c>
      <c r="R545" s="2576">
        <v>0.12818385999999998</v>
      </c>
      <c r="S545" s="2576">
        <v>0.11882465753424659</v>
      </c>
      <c r="T545" s="2577">
        <v>0.11924999999999999</v>
      </c>
      <c r="U545" s="2578">
        <v>0.11774999999999999</v>
      </c>
      <c r="V545" s="2576">
        <v>0.11474999999999999</v>
      </c>
      <c r="W545" s="2576">
        <v>0.11205616438356167</v>
      </c>
      <c r="X545" s="2576">
        <v>6.3600000000000004E-2</v>
      </c>
      <c r="Y545" s="2579">
        <v>0</v>
      </c>
    </row>
    <row r="546" spans="2:25" outlineLevel="1">
      <c r="B546" s="2011" t="s">
        <v>1279</v>
      </c>
      <c r="C546" s="2318">
        <f>IF('1.02b_Debt'!D265 = "","",'1.02b_Debt'!D265)</f>
        <v>41450</v>
      </c>
      <c r="D546" s="2318">
        <f>IF('1.02b_Debt'!E265 = "","",'1.02b_Debt'!E265)</f>
        <v>45102</v>
      </c>
      <c r="E546" s="2324" t="str">
        <f>IF('1.02b_Debt'!F265 = "","",'1.02b_Debt'!F265)</f>
        <v>Hedge of floating rate EIB loan (B2.6)</v>
      </c>
      <c r="F546" s="2596"/>
      <c r="G546" s="2596"/>
      <c r="H546" s="2596"/>
      <c r="I546" s="2597"/>
      <c r="J546" s="2051"/>
      <c r="K546" s="2051"/>
      <c r="L546" s="2838"/>
      <c r="M546" s="2575"/>
      <c r="N546" s="2576"/>
      <c r="O546" s="2576"/>
      <c r="P546" s="2576"/>
      <c r="Q546" s="2576">
        <v>0.36403683999999997</v>
      </c>
      <c r="R546" s="2576">
        <v>0.29649861</v>
      </c>
      <c r="S546" s="2576">
        <v>0.28375027397260277</v>
      </c>
      <c r="T546" s="2577">
        <v>0.28472500000000006</v>
      </c>
      <c r="U546" s="2578">
        <v>0.28122500000000006</v>
      </c>
      <c r="V546" s="2576">
        <v>0.27422500000000005</v>
      </c>
      <c r="W546" s="2576">
        <v>6.2230479452054815E-2</v>
      </c>
      <c r="X546" s="2576">
        <v>0</v>
      </c>
      <c r="Y546" s="2579">
        <v>0</v>
      </c>
    </row>
    <row r="547" spans="2:25" outlineLevel="1">
      <c r="B547" s="2011" t="s">
        <v>1281</v>
      </c>
      <c r="C547" s="2318">
        <f>IF('1.02b_Debt'!D266 = "","",'1.02b_Debt'!D266)</f>
        <v>41542</v>
      </c>
      <c r="D547" s="2318">
        <f>IF('1.02b_Debt'!E266 = "","",'1.02b_Debt'!E266)</f>
        <v>45194</v>
      </c>
      <c r="E547" s="2324" t="str">
        <f>IF('1.02b_Debt'!F266 = "","",'1.02b_Debt'!F266)</f>
        <v>Hedge of floating rate EIB loan (B2.6)</v>
      </c>
      <c r="F547" s="2596"/>
      <c r="G547" s="2596"/>
      <c r="H547" s="2596"/>
      <c r="I547" s="2597"/>
      <c r="J547" s="2051"/>
      <c r="K547" s="2051"/>
      <c r="L547" s="2838"/>
      <c r="M547" s="2575"/>
      <c r="N547" s="2576"/>
      <c r="O547" s="2576"/>
      <c r="P547" s="2576"/>
      <c r="Q547" s="2576">
        <v>0.40808365999999996</v>
      </c>
      <c r="R547" s="2576">
        <v>0.34052188</v>
      </c>
      <c r="S547" s="2576">
        <v>0.3297960821917808</v>
      </c>
      <c r="T547" s="2577">
        <v>0.33064499999999997</v>
      </c>
      <c r="U547" s="2578">
        <v>0.32714499999999991</v>
      </c>
      <c r="V547" s="2576">
        <v>0.32014499999999996</v>
      </c>
      <c r="W547" s="2576">
        <v>0.15185387671232875</v>
      </c>
      <c r="X547" s="2576">
        <v>0</v>
      </c>
      <c r="Y547" s="2579">
        <v>0</v>
      </c>
    </row>
    <row r="548" spans="2:25" outlineLevel="1">
      <c r="B548" s="2011" t="s">
        <v>1282</v>
      </c>
      <c r="C548" s="2318">
        <f>IF('1.02b_Debt'!D267 = "","",'1.02b_Debt'!D267)</f>
        <v>42821</v>
      </c>
      <c r="D548" s="2318">
        <f>IF('1.02b_Debt'!E267 = "","",'1.02b_Debt'!E267)</f>
        <v>45741</v>
      </c>
      <c r="E548" s="2324" t="str">
        <f>IF('1.02b_Debt'!F267 = "","",'1.02b_Debt'!F267)</f>
        <v>Hedge of floating rate EIB loan (B2.6)</v>
      </c>
      <c r="F548" s="2596"/>
      <c r="G548" s="2596"/>
      <c r="H548" s="2596"/>
      <c r="I548" s="2597"/>
      <c r="J548" s="2051"/>
      <c r="K548" s="2051"/>
      <c r="L548" s="2838"/>
      <c r="M548" s="2575"/>
      <c r="N548" s="2576"/>
      <c r="O548" s="2576"/>
      <c r="P548" s="2576"/>
      <c r="Q548" s="2576">
        <v>6.5159370000000008E-2</v>
      </c>
      <c r="R548" s="2576">
        <v>1.0261089999999997E-2</v>
      </c>
      <c r="S548" s="2576">
        <v>4.0517715431463708E-4</v>
      </c>
      <c r="T548" s="2577">
        <v>1.1562869524701369E-3</v>
      </c>
      <c r="U548" s="2578">
        <v>-3.8500048244837631E-4</v>
      </c>
      <c r="V548" s="2576">
        <v>-2.0977550874059711E-3</v>
      </c>
      <c r="W548" s="2576">
        <v>-2.3696979440211256E-3</v>
      </c>
      <c r="X548" s="2576">
        <v>-1.0307045581796461E-3</v>
      </c>
      <c r="Y548" s="2579">
        <v>0</v>
      </c>
    </row>
    <row r="549" spans="2:25" outlineLevel="1">
      <c r="B549" s="2011" t="s">
        <v>1284</v>
      </c>
      <c r="C549" s="2318">
        <f>IF('1.02b_Debt'!D268 = "","",'1.02b_Debt'!D268)</f>
        <v>42094</v>
      </c>
      <c r="D549" s="2318">
        <f>IF('1.02b_Debt'!E268 = "","",'1.02b_Debt'!E268)</f>
        <v>45747</v>
      </c>
      <c r="E549" s="2324" t="str">
        <f>IF('1.02b_Debt'!F268 = "","",'1.02b_Debt'!F268)</f>
        <v>Hedge of floating rate EIB loan (B2.7)</v>
      </c>
      <c r="F549" s="2596"/>
      <c r="G549" s="2596"/>
      <c r="H549" s="2596"/>
      <c r="I549" s="2597"/>
      <c r="J549" s="2051"/>
      <c r="K549" s="2051"/>
      <c r="L549" s="2838"/>
      <c r="M549" s="2575"/>
      <c r="N549" s="2576"/>
      <c r="O549" s="2576"/>
      <c r="P549" s="2576"/>
      <c r="Q549" s="2576">
        <v>0.12554379000000002</v>
      </c>
      <c r="R549" s="2576">
        <v>8.6343940000000008E-2</v>
      </c>
      <c r="S549" s="2576">
        <v>7.9918356164383544E-2</v>
      </c>
      <c r="T549" s="2577">
        <v>8.069999999999998E-2</v>
      </c>
      <c r="U549" s="2578">
        <v>7.8699999999999978E-2</v>
      </c>
      <c r="V549" s="2576">
        <v>7.4699999999999989E-2</v>
      </c>
      <c r="W549" s="2576">
        <v>7.0893698630136961E-2</v>
      </c>
      <c r="X549" s="2576">
        <v>6.7514520547945198E-2</v>
      </c>
      <c r="Y549" s="2579">
        <v>0</v>
      </c>
    </row>
    <row r="550" spans="2:25" outlineLevel="1">
      <c r="B550" s="2011" t="s">
        <v>1286</v>
      </c>
      <c r="C550" s="2318">
        <f>IF('1.02b_Debt'!D269 = "","",'1.02b_Debt'!D269)</f>
        <v>42094</v>
      </c>
      <c r="D550" s="2318">
        <f>IF('1.02b_Debt'!E269 = "","",'1.02b_Debt'!E269)</f>
        <v>45747</v>
      </c>
      <c r="E550" s="2324" t="str">
        <f>IF('1.02b_Debt'!F269 = "","",'1.02b_Debt'!F269)</f>
        <v>Hedge of floating rate EIB loan (B2.7)</v>
      </c>
      <c r="F550" s="2596"/>
      <c r="G550" s="2596"/>
      <c r="H550" s="2596"/>
      <c r="I550" s="2597"/>
      <c r="J550" s="2051"/>
      <c r="K550" s="2051"/>
      <c r="L550" s="2838"/>
      <c r="M550" s="2575"/>
      <c r="N550" s="2576"/>
      <c r="O550" s="2576"/>
      <c r="P550" s="2576"/>
      <c r="Q550" s="2576">
        <v>0.12623996000000001</v>
      </c>
      <c r="R550" s="2576">
        <v>8.7043929999999992E-2</v>
      </c>
      <c r="S550" s="2576">
        <v>8.0620273972602727E-2</v>
      </c>
      <c r="T550" s="2577">
        <v>8.1399999999999986E-2</v>
      </c>
      <c r="U550" s="2578">
        <v>7.9399999999999984E-2</v>
      </c>
      <c r="V550" s="2576">
        <v>7.5399999999999995E-2</v>
      </c>
      <c r="W550" s="2576">
        <v>7.1595616438356144E-2</v>
      </c>
      <c r="X550" s="2576">
        <v>6.8212602739726028E-2</v>
      </c>
      <c r="Y550" s="2579">
        <v>0</v>
      </c>
    </row>
    <row r="551" spans="2:25" outlineLevel="1">
      <c r="B551" s="2011" t="s">
        <v>1287</v>
      </c>
      <c r="C551" s="2318">
        <f>IF('1.02b_Debt'!D270 = "","",'1.02b_Debt'!D270)</f>
        <v>42094</v>
      </c>
      <c r="D551" s="2318">
        <f>IF('1.02b_Debt'!E270 = "","",'1.02b_Debt'!E270)</f>
        <v>45747</v>
      </c>
      <c r="E551" s="2324" t="str">
        <f>IF('1.02b_Debt'!F270 = "","",'1.02b_Debt'!F270)</f>
        <v>Hedge of floating rate EIB loan (B2.7)</v>
      </c>
      <c r="F551" s="2596"/>
      <c r="G551" s="2596"/>
      <c r="H551" s="2596"/>
      <c r="I551" s="2597"/>
      <c r="J551" s="2051"/>
      <c r="K551" s="2051"/>
      <c r="L551" s="2838"/>
      <c r="M551" s="2575"/>
      <c r="N551" s="2576"/>
      <c r="O551" s="2576"/>
      <c r="P551" s="2576"/>
      <c r="Q551" s="2576">
        <v>0.12534487</v>
      </c>
      <c r="R551" s="2576">
        <v>8.6143930000000007E-2</v>
      </c>
      <c r="S551" s="2576">
        <v>7.971780821917808E-2</v>
      </c>
      <c r="T551" s="2577">
        <v>8.0500000000000002E-2</v>
      </c>
      <c r="U551" s="2578">
        <v>7.85E-2</v>
      </c>
      <c r="V551" s="2576">
        <v>7.4500000000000011E-2</v>
      </c>
      <c r="W551" s="2576">
        <v>7.0693150684931497E-2</v>
      </c>
      <c r="X551" s="2576">
        <v>6.7315068493150707E-2</v>
      </c>
      <c r="Y551" s="2579">
        <v>0</v>
      </c>
    </row>
    <row r="552" spans="2:25" outlineLevel="1">
      <c r="B552" s="2011" t="s">
        <v>1288</v>
      </c>
      <c r="C552" s="2318">
        <f>IF('1.02b_Debt'!D271 = "","",'1.02b_Debt'!D271)</f>
        <v>42429</v>
      </c>
      <c r="D552" s="2318">
        <f>IF('1.02b_Debt'!E271 = "","",'1.02b_Debt'!E271)</f>
        <v>46080</v>
      </c>
      <c r="E552" s="2324" t="str">
        <f>IF('1.02b_Debt'!F271 = "","",'1.02b_Debt'!F271)</f>
        <v>Hedge of floating rate EIB loan (B2.8)</v>
      </c>
      <c r="F552" s="2596"/>
      <c r="G552" s="2596"/>
      <c r="H552" s="2596"/>
      <c r="I552" s="2597"/>
      <c r="J552" s="2051"/>
      <c r="K552" s="2051"/>
      <c r="L552" s="2838"/>
      <c r="M552" s="2575"/>
      <c r="N552" s="2576"/>
      <c r="O552" s="2576"/>
      <c r="P552" s="2576"/>
      <c r="Q552" s="2576">
        <v>0.14682853000000001</v>
      </c>
      <c r="R552" s="2576">
        <v>9.2985940000000003E-2</v>
      </c>
      <c r="S552" s="2576">
        <v>7.5280684931506858E-2</v>
      </c>
      <c r="T552" s="2577">
        <v>7.6575000000000004E-2</v>
      </c>
      <c r="U552" s="2578">
        <v>7.3575000000000002E-2</v>
      </c>
      <c r="V552" s="2576">
        <v>6.7574999999999996E-2</v>
      </c>
      <c r="W552" s="2576">
        <v>6.1743698630137012E-2</v>
      </c>
      <c r="X552" s="2576">
        <v>5.7075000000000015E-2</v>
      </c>
      <c r="Y552" s="2579">
        <v>4.6457260273972623E-2</v>
      </c>
    </row>
    <row r="553" spans="2:25" outlineLevel="1">
      <c r="B553" s="2011" t="s">
        <v>1290</v>
      </c>
      <c r="C553" s="2318">
        <f>IF('1.02b_Debt'!D272 = "","",'1.02b_Debt'!D272)</f>
        <v>42429</v>
      </c>
      <c r="D553" s="2318">
        <f>IF('1.02b_Debt'!E272 = "","",'1.02b_Debt'!E272)</f>
        <v>46080</v>
      </c>
      <c r="E553" s="2324" t="str">
        <f>IF('1.02b_Debt'!F272 = "","",'1.02b_Debt'!F272)</f>
        <v>Hedge of floating rate EIB loan (B2.8)</v>
      </c>
      <c r="F553" s="2596"/>
      <c r="G553" s="2596"/>
      <c r="H553" s="2596"/>
      <c r="I553" s="2597"/>
      <c r="J553" s="2051"/>
      <c r="K553" s="2051"/>
      <c r="L553" s="2838"/>
      <c r="M553" s="2575"/>
      <c r="N553" s="2576"/>
      <c r="O553" s="2576"/>
      <c r="P553" s="2576"/>
      <c r="Q553" s="2576">
        <v>4.9042839999999997E-2</v>
      </c>
      <c r="R553" s="2576">
        <v>3.1095309999999998E-2</v>
      </c>
      <c r="S553" s="2576">
        <v>2.519383561643835E-2</v>
      </c>
      <c r="T553" s="2577">
        <v>2.5624999999999988E-2</v>
      </c>
      <c r="U553" s="2578">
        <v>2.4624999999999987E-2</v>
      </c>
      <c r="V553" s="2576">
        <v>2.2624999999999992E-2</v>
      </c>
      <c r="W553" s="2576">
        <v>2.0681506849315058E-2</v>
      </c>
      <c r="X553" s="2576">
        <v>1.9124999999999996E-2</v>
      </c>
      <c r="Y553" s="2579">
        <v>1.557671232876711E-2</v>
      </c>
    </row>
    <row r="554" spans="2:25" outlineLevel="1">
      <c r="B554" s="2011" t="s">
        <v>1291</v>
      </c>
      <c r="C554" s="2318">
        <f>IF('1.02b_Debt'!D273 = "","",'1.02b_Debt'!D273)</f>
        <v>42429</v>
      </c>
      <c r="D554" s="2318">
        <f>IF('1.02b_Debt'!E273 = "","",'1.02b_Debt'!E273)</f>
        <v>46080</v>
      </c>
      <c r="E554" s="2324" t="str">
        <f>IF('1.02b_Debt'!F273 = "","",'1.02b_Debt'!F273)</f>
        <v>Hedge of floating rate EIB loan (B2.8)</v>
      </c>
      <c r="F554" s="2596"/>
      <c r="G554" s="2596"/>
      <c r="H554" s="2596"/>
      <c r="I554" s="2597"/>
      <c r="J554" s="2051"/>
      <c r="K554" s="2051"/>
      <c r="L554" s="2838"/>
      <c r="M554" s="2575"/>
      <c r="N554" s="2576"/>
      <c r="O554" s="2576"/>
      <c r="P554" s="2576"/>
      <c r="Q554" s="2576">
        <v>9.6335680000000007E-2</v>
      </c>
      <c r="R554" s="2576">
        <v>6.044062E-2</v>
      </c>
      <c r="S554" s="2576">
        <v>4.8632876712328785E-2</v>
      </c>
      <c r="T554" s="2577">
        <v>4.9500000000000002E-2</v>
      </c>
      <c r="U554" s="2578">
        <v>4.7500000000000001E-2</v>
      </c>
      <c r="V554" s="2576">
        <v>4.3500000000000011E-2</v>
      </c>
      <c r="W554" s="2576">
        <v>3.9608219178082202E-2</v>
      </c>
      <c r="X554" s="2576">
        <v>3.6500000000000019E-2</v>
      </c>
      <c r="Y554" s="2579">
        <v>2.9561643835616436E-2</v>
      </c>
    </row>
    <row r="555" spans="2:25" outlineLevel="1">
      <c r="B555" s="2011" t="s">
        <v>1292</v>
      </c>
      <c r="C555" s="2318">
        <f>IF('1.02b_Debt'!D274 = "","",'1.02b_Debt'!D274)</f>
        <v>42724</v>
      </c>
      <c r="D555" s="2318">
        <f>IF('1.02b_Debt'!E274 = "","",'1.02b_Debt'!E274)</f>
        <v>42906</v>
      </c>
      <c r="E555" s="2324" t="str">
        <f>IF('1.02b_Debt'!F274 = "","",'1.02b_Debt'!F274)</f>
        <v>Hedge of floating rate EIB loan (B2.9)</v>
      </c>
      <c r="F555" s="2596"/>
      <c r="G555" s="2596"/>
      <c r="H555" s="2596"/>
      <c r="I555" s="2597"/>
      <c r="J555" s="2051"/>
      <c r="K555" s="2051"/>
      <c r="L555" s="2838"/>
      <c r="M555" s="2575"/>
      <c r="N555" s="2576"/>
      <c r="O555" s="2576"/>
      <c r="P555" s="2576"/>
      <c r="Q555" s="2576">
        <v>1.5045200000000005E-3</v>
      </c>
      <c r="R555" s="2576">
        <v>0</v>
      </c>
      <c r="S555" s="2576">
        <v>0</v>
      </c>
      <c r="T555" s="2577">
        <v>0</v>
      </c>
      <c r="U555" s="2578">
        <v>0</v>
      </c>
      <c r="V555" s="2576">
        <v>0</v>
      </c>
      <c r="W555" s="2576">
        <v>0</v>
      </c>
      <c r="X555" s="2576">
        <v>0</v>
      </c>
      <c r="Y555" s="2579">
        <v>0</v>
      </c>
    </row>
    <row r="556" spans="2:25" outlineLevel="1">
      <c r="B556" s="2011" t="s">
        <v>1294</v>
      </c>
      <c r="C556" s="2318">
        <f>IF('1.02b_Debt'!D275 = "","",'1.02b_Debt'!D275)</f>
        <v>42724</v>
      </c>
      <c r="D556" s="2318">
        <f>IF('1.02b_Debt'!E275 = "","",'1.02b_Debt'!E275)</f>
        <v>42998</v>
      </c>
      <c r="E556" s="2324" t="str">
        <f>IF('1.02b_Debt'!F275 = "","",'1.02b_Debt'!F275)</f>
        <v>Hedge of floating rate EIB loan (B2.9)</v>
      </c>
      <c r="F556" s="2596"/>
      <c r="G556" s="2596"/>
      <c r="H556" s="2596"/>
      <c r="I556" s="2597"/>
      <c r="J556" s="2051"/>
      <c r="K556" s="2051"/>
      <c r="L556" s="2838"/>
      <c r="M556" s="2575"/>
      <c r="N556" s="2576"/>
      <c r="O556" s="2576"/>
      <c r="P556" s="2576"/>
      <c r="Q556" s="2576">
        <v>5.1704000000000012E-3</v>
      </c>
      <c r="R556" s="2576">
        <v>0</v>
      </c>
      <c r="S556" s="2576">
        <v>0</v>
      </c>
      <c r="T556" s="2577">
        <v>0</v>
      </c>
      <c r="U556" s="2578">
        <v>0</v>
      </c>
      <c r="V556" s="2576">
        <v>0</v>
      </c>
      <c r="W556" s="2576">
        <v>0</v>
      </c>
      <c r="X556" s="2576">
        <v>0</v>
      </c>
      <c r="Y556" s="2579">
        <v>0</v>
      </c>
    </row>
    <row r="557" spans="2:25" outlineLevel="1">
      <c r="B557" s="2011" t="s">
        <v>1295</v>
      </c>
      <c r="C557" s="2318">
        <f>IF('1.02b_Debt'!D276 = "","",'1.02b_Debt'!D276)</f>
        <v>42814</v>
      </c>
      <c r="D557" s="2318">
        <f>IF('1.02b_Debt'!E276 = "","",'1.02b_Debt'!E276)</f>
        <v>46466</v>
      </c>
      <c r="E557" s="2324" t="str">
        <f>IF('1.02b_Debt'!F276 = "","",'1.02b_Debt'!F276)</f>
        <v>Hedge of floating rate EIB loan (B2.9)</v>
      </c>
      <c r="F557" s="2596"/>
      <c r="G557" s="2596"/>
      <c r="H557" s="2596"/>
      <c r="I557" s="2597"/>
      <c r="J557" s="2051"/>
      <c r="K557" s="2051"/>
      <c r="L557" s="2838"/>
      <c r="M557" s="2575"/>
      <c r="N557" s="2576"/>
      <c r="O557" s="2576"/>
      <c r="P557" s="2576"/>
      <c r="Q557" s="2576">
        <v>0.11496708000000001</v>
      </c>
      <c r="R557" s="2576">
        <v>5.8980800000000007E-2</v>
      </c>
      <c r="S557" s="2576">
        <v>4.4145616438356156E-2</v>
      </c>
      <c r="T557" s="2577">
        <v>4.5524999999999982E-2</v>
      </c>
      <c r="U557" s="2578">
        <v>4.2524999999999979E-2</v>
      </c>
      <c r="V557" s="2576">
        <v>3.6524999999999974E-2</v>
      </c>
      <c r="W557" s="2576">
        <v>3.0608630136986309E-2</v>
      </c>
      <c r="X557" s="2576">
        <v>2.6024999999999993E-2</v>
      </c>
      <c r="Y557" s="2579">
        <v>2.0024999999999987E-2</v>
      </c>
    </row>
    <row r="558" spans="2:25" outlineLevel="1">
      <c r="B558" s="2011" t="s">
        <v>1296</v>
      </c>
      <c r="C558" s="2318">
        <f>IF('1.02b_Debt'!D277 = "","",'1.02b_Debt'!D277)</f>
        <v>42814</v>
      </c>
      <c r="D558" s="2318">
        <f>IF('1.02b_Debt'!E277 = "","",'1.02b_Debt'!E277)</f>
        <v>46466</v>
      </c>
      <c r="E558" s="2324" t="str">
        <f>IF('1.02b_Debt'!F277 = "","",'1.02b_Debt'!F277)</f>
        <v>Hedge of floating rate EIB loan (B2.9)</v>
      </c>
      <c r="F558" s="2596"/>
      <c r="G558" s="2596"/>
      <c r="H558" s="2596"/>
      <c r="I558" s="2597"/>
      <c r="J558" s="2051"/>
      <c r="K558" s="2051"/>
      <c r="L558" s="2838"/>
      <c r="M558" s="2575"/>
      <c r="N558" s="2576"/>
      <c r="O558" s="2576"/>
      <c r="P558" s="2576"/>
      <c r="Q558" s="2576">
        <v>0.11459208999999999</v>
      </c>
      <c r="R558" s="2576">
        <v>5.8605810000000008E-2</v>
      </c>
      <c r="S558" s="2576">
        <v>4.376958904109593E-2</v>
      </c>
      <c r="T558" s="2577">
        <v>4.5150000000000023E-2</v>
      </c>
      <c r="U558" s="2578">
        <v>4.2150000000000021E-2</v>
      </c>
      <c r="V558" s="2576">
        <v>3.6150000000000015E-2</v>
      </c>
      <c r="W558" s="2576">
        <v>3.0232602739726083E-2</v>
      </c>
      <c r="X558" s="2576">
        <v>2.5650000000000034E-2</v>
      </c>
      <c r="Y558" s="2579">
        <v>1.9650000000000029E-2</v>
      </c>
    </row>
    <row r="559" spans="2:25" outlineLevel="1">
      <c r="B559" s="2011" t="s">
        <v>1297</v>
      </c>
      <c r="C559" s="2318">
        <f>IF('1.02b_Debt'!D278 = "","",'1.02b_Debt'!D278)</f>
        <v>42825</v>
      </c>
      <c r="D559" s="2318">
        <f>IF('1.02b_Debt'!E278 = "","",'1.02b_Debt'!E278)</f>
        <v>43188</v>
      </c>
      <c r="E559" s="2324" t="str">
        <f>IF('1.02b_Debt'!F278 = "","",'1.02b_Debt'!F278)</f>
        <v>Hedge of floating rate EIB loan (B2.10)</v>
      </c>
      <c r="F559" s="2596"/>
      <c r="G559" s="2596"/>
      <c r="H559" s="2596"/>
      <c r="I559" s="2597"/>
      <c r="J559" s="2051"/>
      <c r="K559" s="2051"/>
      <c r="L559" s="2838"/>
      <c r="M559" s="2575"/>
      <c r="N559" s="2576"/>
      <c r="O559" s="2576"/>
      <c r="P559" s="2576"/>
      <c r="Q559" s="2576">
        <v>6.7980400000000026E-3</v>
      </c>
      <c r="R559" s="2576">
        <v>0</v>
      </c>
      <c r="S559" s="2576">
        <v>0</v>
      </c>
      <c r="T559" s="2577">
        <v>0</v>
      </c>
      <c r="U559" s="2578">
        <v>0</v>
      </c>
      <c r="V559" s="2576">
        <v>0</v>
      </c>
      <c r="W559" s="2576">
        <v>0</v>
      </c>
      <c r="X559" s="2576">
        <v>0</v>
      </c>
      <c r="Y559" s="2579">
        <v>0</v>
      </c>
    </row>
    <row r="560" spans="2:25" outlineLevel="1">
      <c r="B560" s="2011" t="s">
        <v>1300</v>
      </c>
      <c r="C560" s="2318">
        <f>IF('1.02b_Debt'!D279 = "","",'1.02b_Debt'!D279)</f>
        <v>42825</v>
      </c>
      <c r="D560" s="2318">
        <f>IF('1.02b_Debt'!E279 = "","",'1.02b_Debt'!E279)</f>
        <v>43280</v>
      </c>
      <c r="E560" s="2324" t="str">
        <f>IF('1.02b_Debt'!F279 = "","",'1.02b_Debt'!F279)</f>
        <v>Hedge of floating rate EIB loan (B2.10)</v>
      </c>
      <c r="F560" s="2596"/>
      <c r="G560" s="2596"/>
      <c r="H560" s="2596"/>
      <c r="I560" s="2597"/>
      <c r="J560" s="2051"/>
      <c r="K560" s="2051"/>
      <c r="L560" s="2838"/>
      <c r="M560" s="2575"/>
      <c r="N560" s="2576"/>
      <c r="O560" s="2576"/>
      <c r="P560" s="2576"/>
      <c r="Q560" s="2576">
        <v>1.1978330000000002E-2</v>
      </c>
      <c r="R560" s="2576">
        <v>-7.5868500000000018E-3</v>
      </c>
      <c r="S560" s="2576">
        <v>0</v>
      </c>
      <c r="T560" s="2577">
        <v>0</v>
      </c>
      <c r="U560" s="2578">
        <v>0</v>
      </c>
      <c r="V560" s="2576">
        <v>0</v>
      </c>
      <c r="W560" s="2576">
        <v>0</v>
      </c>
      <c r="X560" s="2576">
        <v>0</v>
      </c>
      <c r="Y560" s="2579">
        <v>0</v>
      </c>
    </row>
    <row r="561" spans="2:25" outlineLevel="1">
      <c r="B561" s="2011" t="s">
        <v>1301</v>
      </c>
      <c r="C561" s="2318">
        <f>IF('1.02b_Debt'!D280 = "","",'1.02b_Debt'!D280)</f>
        <v>42906</v>
      </c>
      <c r="D561" s="2318">
        <f>IF('1.02b_Debt'!E280 = "","",'1.02b_Debt'!E280)</f>
        <v>46559</v>
      </c>
      <c r="E561" s="2324" t="str">
        <f>IF('1.02b_Debt'!F280 = "","",'1.02b_Debt'!F280)</f>
        <v>Hedge of floating rate EIB loan (B2.9)</v>
      </c>
      <c r="F561" s="2596"/>
      <c r="G561" s="2596"/>
      <c r="H561" s="2596"/>
      <c r="I561" s="2597"/>
      <c r="J561" s="2051"/>
      <c r="K561" s="2051"/>
      <c r="L561" s="2838"/>
      <c r="M561" s="2575"/>
      <c r="N561" s="2576"/>
      <c r="O561" s="2576"/>
      <c r="P561" s="2576"/>
      <c r="Q561" s="2576">
        <v>5.3211870000000001E-2</v>
      </c>
      <c r="R561" s="2576">
        <v>3.467054E-2</v>
      </c>
      <c r="S561" s="2576">
        <v>2.4767671232876695E-2</v>
      </c>
      <c r="T561" s="2577">
        <v>2.5699999999999973E-2</v>
      </c>
      <c r="U561" s="2578">
        <v>2.3699999999999971E-2</v>
      </c>
      <c r="V561" s="2576">
        <v>1.9699999999999981E-2</v>
      </c>
      <c r="W561" s="2576">
        <v>1.5743013698630112E-2</v>
      </c>
      <c r="X561" s="2576">
        <v>1.2699999999999989E-2</v>
      </c>
      <c r="Y561" s="2579">
        <v>8.6999999999999578E-3</v>
      </c>
    </row>
    <row r="562" spans="2:25" outlineLevel="1">
      <c r="B562" s="2011" t="s">
        <v>1302</v>
      </c>
      <c r="C562" s="2318">
        <f>IF('1.02b_Debt'!D281 = "","",'1.02b_Debt'!D281)</f>
        <v>42998</v>
      </c>
      <c r="D562" s="2318">
        <f>IF('1.02b_Debt'!E281 = "","",'1.02b_Debt'!E281)</f>
        <v>46650</v>
      </c>
      <c r="E562" s="2324" t="str">
        <f>IF('1.02b_Debt'!F281 = "","",'1.02b_Debt'!F281)</f>
        <v>Hedge of floating rate EIB loan (B2.9)</v>
      </c>
      <c r="F562" s="2596"/>
      <c r="G562" s="2596"/>
      <c r="H562" s="2596"/>
      <c r="I562" s="2597"/>
      <c r="J562" s="2051"/>
      <c r="K562" s="2051"/>
      <c r="L562" s="2838"/>
      <c r="M562" s="2575"/>
      <c r="N562" s="2576"/>
      <c r="O562" s="2576"/>
      <c r="P562" s="2576"/>
      <c r="Q562" s="2576">
        <v>3.4214330000000001E-2</v>
      </c>
      <c r="R562" s="2576">
        <v>3.7020519999999994E-2</v>
      </c>
      <c r="S562" s="2576">
        <v>2.7124109589041101E-2</v>
      </c>
      <c r="T562" s="2577">
        <v>2.8050000000000005E-2</v>
      </c>
      <c r="U562" s="2578">
        <v>2.6050000000000004E-2</v>
      </c>
      <c r="V562" s="2576">
        <v>2.2050000000000014E-2</v>
      </c>
      <c r="W562" s="2576">
        <v>1.8099452054794518E-2</v>
      </c>
      <c r="X562" s="2576">
        <v>1.5050000000000022E-2</v>
      </c>
      <c r="Y562" s="2579">
        <v>1.104999999999999E-2</v>
      </c>
    </row>
    <row r="563" spans="2:25" outlineLevel="1">
      <c r="B563" s="2011" t="s">
        <v>1303</v>
      </c>
      <c r="C563" s="2318">
        <f>IF('1.02b_Debt'!D282 = "","",'1.02b_Debt'!D282)</f>
        <v>43188</v>
      </c>
      <c r="D563" s="2318">
        <f>IF('1.02b_Debt'!E282 = "","",'1.02b_Debt'!E282)</f>
        <v>46843</v>
      </c>
      <c r="E563" s="2324" t="str">
        <f>IF('1.02b_Debt'!F282 = "","",'1.02b_Debt'!F282)</f>
        <v>Hedge of floating rate EIB loan (B2.10)</v>
      </c>
      <c r="F563" s="2596"/>
      <c r="G563" s="2596"/>
      <c r="H563" s="2596"/>
      <c r="I563" s="2597"/>
      <c r="J563" s="2051"/>
      <c r="K563" s="2051"/>
      <c r="L563" s="2838"/>
      <c r="M563" s="2575"/>
      <c r="N563" s="2576"/>
      <c r="O563" s="2576"/>
      <c r="P563" s="2576"/>
      <c r="Q563" s="2576">
        <v>0</v>
      </c>
      <c r="R563" s="2576">
        <v>7.2243929999999998E-2</v>
      </c>
      <c r="S563" s="2576">
        <v>6.5779726027397248E-2</v>
      </c>
      <c r="T563" s="2577">
        <v>6.6599999999999979E-2</v>
      </c>
      <c r="U563" s="2578">
        <v>6.4599999999999977E-2</v>
      </c>
      <c r="V563" s="2576">
        <v>6.0599999999999987E-2</v>
      </c>
      <c r="W563" s="2576">
        <v>5.6755068493150665E-2</v>
      </c>
      <c r="X563" s="2576">
        <v>5.3599999999999995E-2</v>
      </c>
      <c r="Y563" s="2579">
        <v>4.9599999999999964E-2</v>
      </c>
    </row>
    <row r="564" spans="2:25" outlineLevel="1">
      <c r="B564" s="2011" t="s">
        <v>1304</v>
      </c>
      <c r="C564" s="2318">
        <f>IF('1.02b_Debt'!D283 = "","",'1.02b_Debt'!D283)</f>
        <v>43371</v>
      </c>
      <c r="D564" s="2318">
        <f>IF('1.02b_Debt'!E283 = "","",'1.02b_Debt'!E283)</f>
        <v>46568</v>
      </c>
      <c r="E564" s="2324" t="str">
        <f>IF('1.02b_Debt'!F283 = "","",'1.02b_Debt'!F283)</f>
        <v>Swap 2027 bond (C2) to floating rate for life</v>
      </c>
      <c r="F564" s="2596"/>
      <c r="G564" s="2596"/>
      <c r="H564" s="2596"/>
      <c r="I564" s="2597"/>
      <c r="J564" s="2051"/>
      <c r="K564" s="2051"/>
      <c r="L564" s="2838"/>
      <c r="M564" s="2575"/>
      <c r="N564" s="2576"/>
      <c r="O564" s="2576"/>
      <c r="P564" s="2576"/>
      <c r="Q564" s="2576">
        <v>0</v>
      </c>
      <c r="R564" s="2576">
        <v>0</v>
      </c>
      <c r="S564" s="2576">
        <v>-4.5380239726027408E-2</v>
      </c>
      <c r="T564" s="2577">
        <v>-4.5256250000000005E-2</v>
      </c>
      <c r="U564" s="2578">
        <v>-4.5006250000000005E-2</v>
      </c>
      <c r="V564" s="2576">
        <v>-4.4506250000000004E-2</v>
      </c>
      <c r="W564" s="2576">
        <v>-4.4252157534246578E-2</v>
      </c>
      <c r="X564" s="2576">
        <v>-4.363125000000001E-2</v>
      </c>
      <c r="Y564" s="2579">
        <v>-4.325625000000001E-2</v>
      </c>
    </row>
    <row r="565" spans="2:25" outlineLevel="1">
      <c r="B565" s="2011" t="s">
        <v>1305</v>
      </c>
      <c r="C565" s="2318">
        <f>IF('1.02b_Debt'!D284 = "","",'1.02b_Debt'!D284)</f>
        <v>43553</v>
      </c>
      <c r="D565" s="2318">
        <f>IF('1.02b_Debt'!E284 = "","",'1.02b_Debt'!E284)</f>
        <v>46568</v>
      </c>
      <c r="E565" s="2324" t="str">
        <f>IF('1.02b_Debt'!F284 = "","",'1.02b_Debt'!F284)</f>
        <v>Swap 2027 bond (C2) to floating rate for life</v>
      </c>
      <c r="F565" s="2596"/>
      <c r="G565" s="2596"/>
      <c r="H565" s="2596"/>
      <c r="I565" s="2597"/>
      <c r="J565" s="2051"/>
      <c r="K565" s="2051"/>
      <c r="L565" s="2838"/>
      <c r="M565" s="2575"/>
      <c r="N565" s="2576"/>
      <c r="O565" s="2576"/>
      <c r="P565" s="2576"/>
      <c r="Q565" s="2576">
        <v>0</v>
      </c>
      <c r="R565" s="2576">
        <v>0</v>
      </c>
      <c r="S565" s="2576">
        <v>-0.63532335616438351</v>
      </c>
      <c r="T565" s="2577">
        <v>-0.63358749999999997</v>
      </c>
      <c r="U565" s="2578">
        <v>-0.63008750000000002</v>
      </c>
      <c r="V565" s="2576">
        <v>-0.62308750000000002</v>
      </c>
      <c r="W565" s="2576">
        <v>-0.61953020547945203</v>
      </c>
      <c r="X565" s="2576">
        <v>-0.61083750000000003</v>
      </c>
      <c r="Y565" s="2579">
        <v>-0.60558750000000006</v>
      </c>
    </row>
    <row r="566" spans="2:25" outlineLevel="1">
      <c r="B566" s="2011" t="s">
        <v>1306</v>
      </c>
      <c r="C566" s="2318">
        <f>IF('1.02b_Debt'!D285 = "","",'1.02b_Debt'!D285)</f>
        <v>43738</v>
      </c>
      <c r="D566" s="2318">
        <f>IF('1.02b_Debt'!E285 = "","",'1.02b_Debt'!E285)</f>
        <v>46568</v>
      </c>
      <c r="E566" s="2324" t="str">
        <f>IF('1.02b_Debt'!F285 = "","",'1.02b_Debt'!F285)</f>
        <v>Swap 2027 bond (C2) to floating rate for life</v>
      </c>
      <c r="F566" s="2596"/>
      <c r="G566" s="2596"/>
      <c r="H566" s="2596"/>
      <c r="I566" s="2597"/>
      <c r="J566" s="2051"/>
      <c r="K566" s="2051"/>
      <c r="L566" s="2838"/>
      <c r="M566" s="2575"/>
      <c r="N566" s="2576"/>
      <c r="O566" s="2576"/>
      <c r="P566" s="2576"/>
      <c r="Q566" s="2576">
        <v>0</v>
      </c>
      <c r="R566" s="2576">
        <v>0</v>
      </c>
      <c r="S566" s="2576">
        <v>-0.22814109589041098</v>
      </c>
      <c r="T566" s="2577">
        <v>-0.45256249999999998</v>
      </c>
      <c r="U566" s="2578">
        <v>-0.45006250000000003</v>
      </c>
      <c r="V566" s="2576">
        <v>-0.44506250000000003</v>
      </c>
      <c r="W566" s="2576">
        <v>-0.44252157534246578</v>
      </c>
      <c r="X566" s="2576">
        <v>-0.43631249999999999</v>
      </c>
      <c r="Y566" s="2579">
        <v>-0.43256250000000002</v>
      </c>
    </row>
    <row r="567" spans="2:25" outlineLevel="1">
      <c r="B567" s="2011" t="s">
        <v>1307</v>
      </c>
      <c r="C567" s="2318">
        <f>IF('1.02b_Debt'!D286 = "","",'1.02b_Debt'!D286)</f>
        <v>43371</v>
      </c>
      <c r="D567" s="2318">
        <f>IF('1.02b_Debt'!E286 = "","",'1.02b_Debt'!E286)</f>
        <v>46568</v>
      </c>
      <c r="E567" s="2324" t="str">
        <f>IF('1.02b_Debt'!F286 = "","",'1.02b_Debt'!F286)</f>
        <v>Swap 2027 bond (C2) to floating rate for life</v>
      </c>
      <c r="F567" s="2596"/>
      <c r="G567" s="2596"/>
      <c r="H567" s="2596"/>
      <c r="I567" s="2597"/>
      <c r="J567" s="2051"/>
      <c r="K567" s="2051"/>
      <c r="L567" s="2838"/>
      <c r="M567" s="2575"/>
      <c r="N567" s="2576"/>
      <c r="O567" s="2576"/>
      <c r="P567" s="2576"/>
      <c r="Q567" s="2576">
        <v>0</v>
      </c>
      <c r="R567" s="2576">
        <v>0</v>
      </c>
      <c r="S567" s="2576">
        <v>-1.1798862328767121</v>
      </c>
      <c r="T567" s="2577">
        <v>-1.1766624999999999</v>
      </c>
      <c r="U567" s="2578">
        <v>-1.1701625</v>
      </c>
      <c r="V567" s="2576">
        <v>-1.1571624999999999</v>
      </c>
      <c r="W567" s="2576">
        <v>-1.1505560958904109</v>
      </c>
      <c r="X567" s="2576">
        <v>-1.1344124999999998</v>
      </c>
      <c r="Y567" s="2579">
        <v>-1.1246624999999999</v>
      </c>
    </row>
    <row r="568" spans="2:25" outlineLevel="1">
      <c r="B568" s="2011" t="s">
        <v>1308</v>
      </c>
      <c r="C568" s="2318">
        <f>IF('1.02b_Debt'!D287 = "","",'1.02b_Debt'!D287)</f>
        <v>44104</v>
      </c>
      <c r="D568" s="2318">
        <f>IF('1.02b_Debt'!E287 = "","",'1.02b_Debt'!E287)</f>
        <v>49628</v>
      </c>
      <c r="E568" s="2324" t="str">
        <f>IF('1.02b_Debt'!F287 = "","",'1.02b_Debt'!F287)</f>
        <v>Swap 2035 bond (C3) to floating rate for life</v>
      </c>
      <c r="F568" s="2596"/>
      <c r="G568" s="2596"/>
      <c r="H568" s="2596"/>
      <c r="I568" s="2597"/>
      <c r="J568" s="2051"/>
      <c r="K568" s="2051"/>
      <c r="L568" s="2838"/>
      <c r="M568" s="2575"/>
      <c r="N568" s="2576"/>
      <c r="O568" s="2576"/>
      <c r="P568" s="2576"/>
      <c r="Q568" s="2576">
        <v>0</v>
      </c>
      <c r="R568" s="2576">
        <v>0</v>
      </c>
      <c r="S568" s="2576">
        <v>0</v>
      </c>
      <c r="T568" s="2577">
        <v>-0.2873946061643835</v>
      </c>
      <c r="U568" s="2578">
        <v>-0.56996874999999991</v>
      </c>
      <c r="V568" s="2576">
        <v>-0.56346874999999996</v>
      </c>
      <c r="W568" s="2576">
        <v>-0.56012414383561637</v>
      </c>
      <c r="X568" s="2576">
        <v>-0.55209374999999994</v>
      </c>
      <c r="Y568" s="2579">
        <v>-0.54721874999999998</v>
      </c>
    </row>
    <row r="569" spans="2:25" outlineLevel="1">
      <c r="B569" s="2011" t="s">
        <v>1309</v>
      </c>
      <c r="C569" s="2318">
        <f>IF('1.02b_Debt'!D288 = "","",'1.02b_Debt'!D288)</f>
        <v>44286</v>
      </c>
      <c r="D569" s="2318">
        <f>IF('1.02b_Debt'!E288 = "","",'1.02b_Debt'!E288)</f>
        <v>49628</v>
      </c>
      <c r="E569" s="2324" t="str">
        <f>IF('1.02b_Debt'!F288 = "","",'1.02b_Debt'!F288)</f>
        <v>Swap 2035 bond (C3) to floating rate for life</v>
      </c>
      <c r="F569" s="2596"/>
      <c r="G569" s="2596"/>
      <c r="H569" s="2596"/>
      <c r="I569" s="2597"/>
      <c r="J569" s="2051"/>
      <c r="K569" s="2051"/>
      <c r="L569" s="2838"/>
      <c r="M569" s="2575"/>
      <c r="N569" s="2576"/>
      <c r="O569" s="2576"/>
      <c r="P569" s="2576"/>
      <c r="Q569" s="2576">
        <v>0</v>
      </c>
      <c r="R569" s="2576">
        <v>0</v>
      </c>
      <c r="S569" s="2576">
        <v>0</v>
      </c>
      <c r="T569" s="2577">
        <v>-3.3825342465753422E-3</v>
      </c>
      <c r="U569" s="2578">
        <v>-1.2276250000000002</v>
      </c>
      <c r="V569" s="2576">
        <v>-1.213625</v>
      </c>
      <c r="W569" s="2576">
        <v>-1.2064212328767123</v>
      </c>
      <c r="X569" s="2576">
        <v>-1.1891250000000002</v>
      </c>
      <c r="Y569" s="2579">
        <v>-1.1786250000000003</v>
      </c>
    </row>
    <row r="570" spans="2:25" outlineLevel="1">
      <c r="B570" s="2011" t="s">
        <v>1310</v>
      </c>
      <c r="C570" s="2318">
        <f>IF('1.02b_Debt'!D289 = "","",'1.02b_Debt'!D289)</f>
        <v>44469</v>
      </c>
      <c r="D570" s="2318">
        <f>IF('1.02b_Debt'!E289 = "","",'1.02b_Debt'!E289)</f>
        <v>49628</v>
      </c>
      <c r="E570" s="2324" t="str">
        <f>IF('1.02b_Debt'!F289 = "","",'1.02b_Debt'!F289)</f>
        <v>Swap 2035 bond (C3) to floating rate for life</v>
      </c>
      <c r="F570" s="2596"/>
      <c r="G570" s="2596"/>
      <c r="H570" s="2596"/>
      <c r="I570" s="2597"/>
      <c r="J570" s="2051"/>
      <c r="K570" s="2051"/>
      <c r="L570" s="2838"/>
      <c r="M570" s="2575"/>
      <c r="N570" s="2576"/>
      <c r="O570" s="2576"/>
      <c r="P570" s="2576"/>
      <c r="Q570" s="2576">
        <v>0</v>
      </c>
      <c r="R570" s="2576">
        <v>0</v>
      </c>
      <c r="S570" s="2576">
        <v>0</v>
      </c>
      <c r="T570" s="2577">
        <v>0</v>
      </c>
      <c r="U570" s="2578">
        <v>-0.21981934931506852</v>
      </c>
      <c r="V570" s="2576">
        <v>-0.43343750000000003</v>
      </c>
      <c r="W570" s="2576">
        <v>-0.43086472602739723</v>
      </c>
      <c r="X570" s="2576">
        <v>-0.4246875</v>
      </c>
      <c r="Y570" s="2579">
        <v>-0.42093750000000008</v>
      </c>
    </row>
    <row r="571" spans="2:25" outlineLevel="1">
      <c r="B571" s="2011" t="s">
        <v>1311</v>
      </c>
      <c r="C571" s="2318">
        <f>IF('1.02b_Debt'!D290 = "","",'1.02b_Debt'!D290)</f>
        <v>44834</v>
      </c>
      <c r="D571" s="2318">
        <f>IF('1.02b_Debt'!E290 = "","",'1.02b_Debt'!E290)</f>
        <v>49628</v>
      </c>
      <c r="E571" s="2324" t="str">
        <f>IF('1.02b_Debt'!F290 = "","",'1.02b_Debt'!F290)</f>
        <v>Swap 2035 bond (C3) to floating rate for life</v>
      </c>
      <c r="F571" s="2596"/>
      <c r="G571" s="2596"/>
      <c r="H571" s="2596"/>
      <c r="I571" s="2597"/>
      <c r="J571" s="2051"/>
      <c r="K571" s="2051"/>
      <c r="L571" s="2838"/>
      <c r="M571" s="2575"/>
      <c r="N571" s="2576"/>
      <c r="O571" s="2576"/>
      <c r="P571" s="2576"/>
      <c r="Q571" s="2576">
        <v>0</v>
      </c>
      <c r="R571" s="2576">
        <v>0</v>
      </c>
      <c r="S571" s="2576">
        <v>0</v>
      </c>
      <c r="T571" s="2577">
        <v>0</v>
      </c>
      <c r="U571" s="2578">
        <v>0</v>
      </c>
      <c r="V571" s="2576">
        <v>-0.24987333904109593</v>
      </c>
      <c r="W571" s="2576">
        <v>-0.49542236301369869</v>
      </c>
      <c r="X571" s="2576">
        <v>-0.48831875000000002</v>
      </c>
      <c r="Y571" s="2579">
        <v>-0.48400625000000003</v>
      </c>
    </row>
    <row r="572" spans="2:25" outlineLevel="1">
      <c r="B572" s="2011" t="s">
        <v>1312</v>
      </c>
      <c r="C572" s="2318">
        <f>IF('1.02b_Debt'!D291 = "","",'1.02b_Debt'!D291)</f>
        <v>45016</v>
      </c>
      <c r="D572" s="2318">
        <f>IF('1.02b_Debt'!E291 = "","",'1.02b_Debt'!E291)</f>
        <v>49628</v>
      </c>
      <c r="E572" s="2324" t="str">
        <f>IF('1.02b_Debt'!F291 = "","",'1.02b_Debt'!F291)</f>
        <v>Swap 2035 bond (C3) to floating rate for life</v>
      </c>
      <c r="F572" s="2596"/>
      <c r="G572" s="2596"/>
      <c r="H572" s="2596"/>
      <c r="I572" s="2597"/>
      <c r="J572" s="2051"/>
      <c r="K572" s="2051"/>
      <c r="L572" s="2838"/>
      <c r="M572" s="2575"/>
      <c r="N572" s="2576"/>
      <c r="O572" s="2576"/>
      <c r="P572" s="2576"/>
      <c r="Q572" s="2576">
        <v>0</v>
      </c>
      <c r="R572" s="2576">
        <v>0</v>
      </c>
      <c r="S572" s="2576">
        <v>0</v>
      </c>
      <c r="T572" s="2577">
        <v>0</v>
      </c>
      <c r="U572" s="2578">
        <v>0</v>
      </c>
      <c r="V572" s="2576">
        <v>-1.6622602739726029E-3</v>
      </c>
      <c r="W572" s="2576">
        <v>-0.60312287671232867</v>
      </c>
      <c r="X572" s="2576">
        <v>-0.59447500000000009</v>
      </c>
      <c r="Y572" s="2579">
        <v>-0.58922500000000011</v>
      </c>
    </row>
    <row r="573" spans="2:25" outlineLevel="1">
      <c r="B573" s="2011" t="s">
        <v>1313</v>
      </c>
      <c r="C573" s="2318">
        <f>IF('1.02b_Debt'!D292 = "","",'1.02b_Debt'!D292)</f>
        <v>43738</v>
      </c>
      <c r="D573" s="2318">
        <f>IF('1.02b_Debt'!E292 = "","",'1.02b_Debt'!E292)</f>
        <v>49628</v>
      </c>
      <c r="E573" s="2324" t="str">
        <f>IF('1.02b_Debt'!F292 = "","",'1.02b_Debt'!F292)</f>
        <v>Swap 2035 bond (C3) to floating rate for life</v>
      </c>
      <c r="F573" s="2596"/>
      <c r="G573" s="2596"/>
      <c r="H573" s="2596"/>
      <c r="I573" s="2597"/>
      <c r="J573" s="2051"/>
      <c r="K573" s="2051"/>
      <c r="L573" s="2838"/>
      <c r="M573" s="2575"/>
      <c r="N573" s="2576"/>
      <c r="O573" s="2576"/>
      <c r="P573" s="2576"/>
      <c r="Q573" s="2576">
        <v>0</v>
      </c>
      <c r="R573" s="2576">
        <v>0</v>
      </c>
      <c r="S573" s="2576">
        <v>-0.17784986301369865</v>
      </c>
      <c r="T573" s="2577">
        <v>-0.35280000000000006</v>
      </c>
      <c r="U573" s="2578">
        <v>-0.35080000000000006</v>
      </c>
      <c r="V573" s="2576">
        <v>-0.34680000000000005</v>
      </c>
      <c r="W573" s="2576">
        <v>-0.34474191780821928</v>
      </c>
      <c r="X573" s="2576">
        <v>-0.33980000000000005</v>
      </c>
      <c r="Y573" s="2579">
        <v>-0.33680000000000004</v>
      </c>
    </row>
    <row r="574" spans="2:25" outlineLevel="1">
      <c r="B574" s="2011" t="s">
        <v>1314</v>
      </c>
      <c r="C574" s="2318">
        <f>IF('1.02b_Debt'!D293 = "","",'1.02b_Debt'!D293)</f>
        <v>43921</v>
      </c>
      <c r="D574" s="2318">
        <f>IF('1.02b_Debt'!E293 = "","",'1.02b_Debt'!E293)</f>
        <v>49628</v>
      </c>
      <c r="E574" s="2324" t="str">
        <f>IF('1.02b_Debt'!F293 = "","",'1.02b_Debt'!F293)</f>
        <v>Swap 2035 bond (C3) to floating rate for life</v>
      </c>
      <c r="F574" s="2596"/>
      <c r="G574" s="2596"/>
      <c r="H574" s="2596"/>
      <c r="I574" s="2597"/>
      <c r="J574" s="2051"/>
      <c r="K574" s="2051"/>
      <c r="L574" s="2838"/>
      <c r="M574" s="2575"/>
      <c r="N574" s="2576"/>
      <c r="O574" s="2576"/>
      <c r="P574" s="2576"/>
      <c r="Q574" s="2576">
        <v>0</v>
      </c>
      <c r="R574" s="2576">
        <v>0</v>
      </c>
      <c r="S574" s="2576">
        <v>-3.3830136986301371E-3</v>
      </c>
      <c r="T574" s="2577">
        <v>-1.2348000000000001</v>
      </c>
      <c r="U574" s="2578">
        <v>-1.2278000000000002</v>
      </c>
      <c r="V574" s="2576">
        <v>-1.2138</v>
      </c>
      <c r="W574" s="2576">
        <v>-1.2065967123287671</v>
      </c>
      <c r="X574" s="2576">
        <v>-1.1893000000000002</v>
      </c>
      <c r="Y574" s="2579">
        <v>-1.1788000000000001</v>
      </c>
    </row>
    <row r="575" spans="2:25" outlineLevel="1">
      <c r="B575" s="2011" t="s">
        <v>1315</v>
      </c>
      <c r="C575" s="2318">
        <f>IF('1.02b_Debt'!D294 = "","",'1.02b_Debt'!D294)</f>
        <v>44104</v>
      </c>
      <c r="D575" s="2318">
        <f>IF('1.02b_Debt'!E294 = "","",'1.02b_Debt'!E294)</f>
        <v>49628</v>
      </c>
      <c r="E575" s="2324" t="str">
        <f>IF('1.02b_Debt'!F294 = "","",'1.02b_Debt'!F294)</f>
        <v>Swap 2035 bond (C3) to floating rate for life</v>
      </c>
      <c r="F575" s="2596"/>
      <c r="G575" s="2596"/>
      <c r="H575" s="2596"/>
      <c r="I575" s="2597"/>
      <c r="J575" s="2051"/>
      <c r="K575" s="2051"/>
      <c r="L575" s="2838"/>
      <c r="M575" s="2575"/>
      <c r="N575" s="2576"/>
      <c r="O575" s="2576"/>
      <c r="P575" s="2576"/>
      <c r="Q575" s="2576">
        <v>0</v>
      </c>
      <c r="R575" s="2576">
        <v>0</v>
      </c>
      <c r="S575" s="2576">
        <v>0</v>
      </c>
      <c r="T575" s="2577">
        <v>-0.33165616438356171</v>
      </c>
      <c r="U575" s="2578">
        <v>-0.65775000000000006</v>
      </c>
      <c r="V575" s="2576">
        <v>-0.65024999999999999</v>
      </c>
      <c r="W575" s="2576">
        <v>-0.6463910958904111</v>
      </c>
      <c r="X575" s="2576">
        <v>-0.63712500000000005</v>
      </c>
      <c r="Y575" s="2579">
        <v>-0.63149999999999995</v>
      </c>
    </row>
    <row r="576" spans="2:25" outlineLevel="1">
      <c r="B576" s="2011" t="s">
        <v>1316</v>
      </c>
      <c r="C576" s="2318">
        <f>IF('1.02b_Debt'!D295 = "","",'1.02b_Debt'!D295)</f>
        <v>44469</v>
      </c>
      <c r="D576" s="2318">
        <f>IF('1.02b_Debt'!E295 = "","",'1.02b_Debt'!E295)</f>
        <v>49628</v>
      </c>
      <c r="E576" s="2324" t="str">
        <f>IF('1.02b_Debt'!F295 = "","",'1.02b_Debt'!F295)</f>
        <v>Swap 2035 bond (C3) to floating rate for life</v>
      </c>
      <c r="F576" s="2596"/>
      <c r="G576" s="2596"/>
      <c r="H576" s="2596"/>
      <c r="I576" s="2597"/>
      <c r="J576" s="2051"/>
      <c r="K576" s="2051"/>
      <c r="L576" s="2838"/>
      <c r="M576" s="2575"/>
      <c r="N576" s="2576"/>
      <c r="O576" s="2576"/>
      <c r="P576" s="2576"/>
      <c r="Q576" s="2576">
        <v>0</v>
      </c>
      <c r="R576" s="2576">
        <v>0</v>
      </c>
      <c r="S576" s="2576">
        <v>0</v>
      </c>
      <c r="T576" s="2577">
        <v>0</v>
      </c>
      <c r="U576" s="2578">
        <v>-0.39573123287671236</v>
      </c>
      <c r="V576" s="2576">
        <v>-0.78029999999999999</v>
      </c>
      <c r="W576" s="2576">
        <v>-0.77566931506849313</v>
      </c>
      <c r="X576" s="2576">
        <v>-0.76455000000000006</v>
      </c>
      <c r="Y576" s="2579">
        <v>-0.75780000000000003</v>
      </c>
    </row>
    <row r="577" spans="2:25" outlineLevel="1">
      <c r="B577" s="2011" t="s">
        <v>1317</v>
      </c>
      <c r="C577" s="2318">
        <f>IF('1.02b_Debt'!D296 = "","",'1.02b_Debt'!D296)</f>
        <v>44651</v>
      </c>
      <c r="D577" s="2318">
        <f>IF('1.02b_Debt'!E296 = "","",'1.02b_Debt'!E296)</f>
        <v>49628</v>
      </c>
      <c r="E577" s="2324" t="str">
        <f>IF('1.02b_Debt'!F296 = "","",'1.02b_Debt'!F296)</f>
        <v>Swap 2035 bond (C3) to floating rate for life</v>
      </c>
      <c r="F577" s="2596"/>
      <c r="G577" s="2596"/>
      <c r="H577" s="2596"/>
      <c r="I577" s="2597"/>
      <c r="J577" s="2051"/>
      <c r="K577" s="2051"/>
      <c r="L577" s="2838"/>
      <c r="M577" s="2575"/>
      <c r="N577" s="2576"/>
      <c r="O577" s="2576"/>
      <c r="P577" s="2576"/>
      <c r="Q577" s="2576">
        <v>0</v>
      </c>
      <c r="R577" s="2576">
        <v>0</v>
      </c>
      <c r="S577" s="2576">
        <v>0</v>
      </c>
      <c r="T577" s="2577">
        <v>0</v>
      </c>
      <c r="U577" s="2578">
        <v>-3.3638356164383564E-3</v>
      </c>
      <c r="V577" s="2576">
        <v>-1.2138</v>
      </c>
      <c r="W577" s="2576">
        <v>-1.2065967123287671</v>
      </c>
      <c r="X577" s="2576">
        <v>-1.1893000000000002</v>
      </c>
      <c r="Y577" s="2579">
        <v>-1.1788000000000001</v>
      </c>
    </row>
    <row r="578" spans="2:25" outlineLevel="1">
      <c r="B578" s="2011" t="s">
        <v>1318</v>
      </c>
      <c r="C578" s="2318">
        <f>IF('1.02b_Debt'!D297 = "","",'1.02b_Debt'!D297)</f>
        <v>44834</v>
      </c>
      <c r="D578" s="2318">
        <f>IF('1.02b_Debt'!E297 = "","",'1.02b_Debt'!E297)</f>
        <v>49628</v>
      </c>
      <c r="E578" s="2324" t="str">
        <f>IF('1.02b_Debt'!F297 = "","",'1.02b_Debt'!F297)</f>
        <v>Swap 2035 bond (C3) to floating rate for life</v>
      </c>
      <c r="F578" s="2596"/>
      <c r="G578" s="2596"/>
      <c r="H578" s="2596"/>
      <c r="I578" s="2597"/>
      <c r="J578" s="2051"/>
      <c r="K578" s="2051"/>
      <c r="L578" s="2838"/>
      <c r="M578" s="2575"/>
      <c r="N578" s="2576"/>
      <c r="O578" s="2576"/>
      <c r="P578" s="2576"/>
      <c r="Q578" s="2576">
        <v>0</v>
      </c>
      <c r="R578" s="2576">
        <v>0</v>
      </c>
      <c r="S578" s="2576">
        <v>0</v>
      </c>
      <c r="T578" s="2577">
        <v>0</v>
      </c>
      <c r="U578" s="2578">
        <v>0</v>
      </c>
      <c r="V578" s="2576">
        <v>-0.10867191780821918</v>
      </c>
      <c r="W578" s="2576">
        <v>-0.21546369863013698</v>
      </c>
      <c r="X578" s="2576">
        <v>-0.21237500000000001</v>
      </c>
      <c r="Y578" s="2579">
        <v>-0.21049999999999996</v>
      </c>
    </row>
    <row r="579" spans="2:25" outlineLevel="1">
      <c r="B579" s="2011" t="s">
        <v>1319</v>
      </c>
      <c r="C579" s="2318">
        <f>IF('1.02b_Debt'!D298 = "","",'1.02b_Debt'!D298)</f>
        <v>43553</v>
      </c>
      <c r="D579" s="2318">
        <f>IF('1.02b_Debt'!E298 = "","",'1.02b_Debt'!E298)</f>
        <v>46567</v>
      </c>
      <c r="E579" s="2324" t="str">
        <f>IF('1.02b_Debt'!F298 = "","",'1.02b_Debt'!F298)</f>
        <v>Swap 2027 bond (C2) to floating rate for life</v>
      </c>
      <c r="F579" s="2596"/>
      <c r="G579" s="2596"/>
      <c r="H579" s="2596"/>
      <c r="I579" s="2597"/>
      <c r="J579" s="2051"/>
      <c r="K579" s="2051"/>
      <c r="L579" s="2838"/>
      <c r="M579" s="2575"/>
      <c r="N579" s="2576"/>
      <c r="O579" s="2576"/>
      <c r="P579" s="2576"/>
      <c r="Q579" s="2576">
        <v>0</v>
      </c>
      <c r="R579" s="2576">
        <v>0</v>
      </c>
      <c r="S579" s="2576">
        <v>-0.63532335616438351</v>
      </c>
      <c r="T579" s="2577">
        <v>-0.63358749999999997</v>
      </c>
      <c r="U579" s="2578">
        <v>-0.63008750000000002</v>
      </c>
      <c r="V579" s="2576">
        <v>-0.62308750000000002</v>
      </c>
      <c r="W579" s="2576">
        <v>-0.61953020547945203</v>
      </c>
      <c r="X579" s="2576">
        <v>-0.61083750000000003</v>
      </c>
      <c r="Y579" s="2579">
        <v>-0.60558750000000006</v>
      </c>
    </row>
    <row r="580" spans="2:25" outlineLevel="1">
      <c r="B580" s="2011" t="s">
        <v>1320</v>
      </c>
      <c r="C580" s="2318">
        <f>IF('1.02b_Debt'!D299 = "","",'1.02b_Debt'!D299)</f>
        <v>45016</v>
      </c>
      <c r="D580" s="2318">
        <f>IF('1.02b_Debt'!E299 = "","",'1.02b_Debt'!E299)</f>
        <v>49628</v>
      </c>
      <c r="E580" s="2324" t="str">
        <f>IF('1.02b_Debt'!F299 = "","",'1.02b_Debt'!F299)</f>
        <v>Swap 2035 bond (C3) to floating rate for life</v>
      </c>
      <c r="F580" s="2596"/>
      <c r="G580" s="2596"/>
      <c r="H580" s="2596"/>
      <c r="I580" s="2597"/>
      <c r="J580" s="2051"/>
      <c r="K580" s="2051"/>
      <c r="L580" s="2838"/>
      <c r="M580" s="2575"/>
      <c r="N580" s="2576"/>
      <c r="O580" s="2576"/>
      <c r="P580" s="2576"/>
      <c r="Q580" s="2576">
        <v>0</v>
      </c>
      <c r="R580" s="2576">
        <v>0</v>
      </c>
      <c r="S580" s="2576">
        <v>0</v>
      </c>
      <c r="T580" s="2577">
        <v>0</v>
      </c>
      <c r="U580" s="2578">
        <v>0</v>
      </c>
      <c r="V580" s="2576">
        <v>-1.6622602739726029E-3</v>
      </c>
      <c r="W580" s="2576">
        <v>-0.60312287671232867</v>
      </c>
      <c r="X580" s="2576">
        <v>-0.59447500000000009</v>
      </c>
      <c r="Y580" s="2579">
        <v>-0.58922500000000011</v>
      </c>
    </row>
    <row r="581" spans="2:25" outlineLevel="1">
      <c r="B581" s="2011" t="s">
        <v>1321</v>
      </c>
      <c r="C581" s="2318">
        <f>IF('1.02b_Debt'!D300 = "","",'1.02b_Debt'!D300)</f>
        <v>43371</v>
      </c>
      <c r="D581" s="2318">
        <f>IF('1.02b_Debt'!E300 = "","",'1.02b_Debt'!E300)</f>
        <v>46568</v>
      </c>
      <c r="E581" s="2324" t="str">
        <f>IF('1.02b_Debt'!F300 = "","",'1.02b_Debt'!F300)</f>
        <v>Swap 2027 bond (C2) to floating rate for life</v>
      </c>
      <c r="F581" s="2596"/>
      <c r="G581" s="2596"/>
      <c r="H581" s="2596"/>
      <c r="I581" s="2597"/>
      <c r="J581" s="2051"/>
      <c r="K581" s="2051"/>
      <c r="L581" s="2838"/>
      <c r="M581" s="2575"/>
      <c r="N581" s="2576"/>
      <c r="O581" s="2576"/>
      <c r="P581" s="2576"/>
      <c r="Q581" s="2576">
        <v>0</v>
      </c>
      <c r="R581" s="2576">
        <v>0</v>
      </c>
      <c r="S581" s="2576">
        <v>-4.5380239726027408E-2</v>
      </c>
      <c r="T581" s="2577">
        <v>-4.5256250000000005E-2</v>
      </c>
      <c r="U581" s="2578">
        <v>-4.5006250000000005E-2</v>
      </c>
      <c r="V581" s="2576">
        <v>-4.4506250000000004E-2</v>
      </c>
      <c r="W581" s="2576">
        <v>-4.4252157534246578E-2</v>
      </c>
      <c r="X581" s="2576">
        <v>-4.363125000000001E-2</v>
      </c>
      <c r="Y581" s="2579">
        <v>-4.325625000000001E-2</v>
      </c>
    </row>
    <row r="582" spans="2:25" outlineLevel="1">
      <c r="B582" s="2011" t="s">
        <v>1322</v>
      </c>
      <c r="C582" s="2318">
        <f>IF('1.02b_Debt'!D301 = "","",'1.02b_Debt'!D301)</f>
        <v>43738</v>
      </c>
      <c r="D582" s="2318">
        <f>IF('1.02b_Debt'!E301 = "","",'1.02b_Debt'!E301)</f>
        <v>46568</v>
      </c>
      <c r="E582" s="2324" t="str">
        <f>IF('1.02b_Debt'!F301 = "","",'1.02b_Debt'!F301)</f>
        <v>Swap 2027 bond (C2) to floating rate for life</v>
      </c>
      <c r="F582" s="2596"/>
      <c r="G582" s="2596"/>
      <c r="H582" s="2596"/>
      <c r="I582" s="2597"/>
      <c r="J582" s="2051"/>
      <c r="K582" s="2051"/>
      <c r="L582" s="2838"/>
      <c r="M582" s="2575"/>
      <c r="N582" s="2576"/>
      <c r="O582" s="2576"/>
      <c r="P582" s="2576"/>
      <c r="Q582" s="2576">
        <v>0</v>
      </c>
      <c r="R582" s="2576">
        <v>0</v>
      </c>
      <c r="S582" s="2576">
        <v>-0.22814109589041098</v>
      </c>
      <c r="T582" s="2577">
        <v>-0.45256249999999998</v>
      </c>
      <c r="U582" s="2578">
        <v>-0.45006250000000003</v>
      </c>
      <c r="V582" s="2576">
        <v>-0.44506250000000003</v>
      </c>
      <c r="W582" s="2576">
        <v>-0.44252157534246578</v>
      </c>
      <c r="X582" s="2576">
        <v>-0.43631249999999999</v>
      </c>
      <c r="Y582" s="2579">
        <v>-0.43256250000000002</v>
      </c>
    </row>
    <row r="583" spans="2:25" outlineLevel="1">
      <c r="B583" s="2011" t="s">
        <v>1323</v>
      </c>
      <c r="C583" s="2318">
        <f>IF('1.02b_Debt'!D302 = "","",'1.02b_Debt'!D302)</f>
        <v>44834</v>
      </c>
      <c r="D583" s="2318">
        <f>IF('1.02b_Debt'!E302 = "","",'1.02b_Debt'!E302)</f>
        <v>49628</v>
      </c>
      <c r="E583" s="2324" t="str">
        <f>IF('1.02b_Debt'!F302 = "","",'1.02b_Debt'!F302)</f>
        <v>Swap 2035 bond (C3) to floating rate for life</v>
      </c>
      <c r="F583" s="2596"/>
      <c r="G583" s="2596"/>
      <c r="H583" s="2596"/>
      <c r="I583" s="2597"/>
      <c r="J583" s="2051"/>
      <c r="K583" s="2051"/>
      <c r="L583" s="2838"/>
      <c r="M583" s="2575"/>
      <c r="N583" s="2576"/>
      <c r="O583" s="2576"/>
      <c r="P583" s="2576"/>
      <c r="Q583" s="2576">
        <v>0</v>
      </c>
      <c r="R583" s="2576">
        <v>0</v>
      </c>
      <c r="S583" s="2576">
        <v>0</v>
      </c>
      <c r="T583" s="2577">
        <v>0</v>
      </c>
      <c r="U583" s="2578">
        <v>0</v>
      </c>
      <c r="V583" s="2576">
        <v>-0.24987333904109593</v>
      </c>
      <c r="W583" s="2576">
        <v>-0.49542236301369869</v>
      </c>
      <c r="X583" s="2576">
        <v>-0.48831875000000002</v>
      </c>
      <c r="Y583" s="2579">
        <v>-0.48400625000000003</v>
      </c>
    </row>
    <row r="584" spans="2:25" outlineLevel="1">
      <c r="B584" s="2011" t="s">
        <v>1324</v>
      </c>
      <c r="C584" s="2318">
        <f>IF('1.02b_Debt'!D303 = "","",'1.02b_Debt'!D303)</f>
        <v>41361</v>
      </c>
      <c r="D584" s="2318">
        <f>IF('1.02b_Debt'!E303 = "","",'1.02b_Debt'!E303)</f>
        <v>42643</v>
      </c>
      <c r="E584" s="2324" t="str">
        <f>IF('1.02b_Debt'!F303 = "","",'1.02b_Debt'!F303)</f>
        <v>Swap 2027 bond (C2) to floating rate for life</v>
      </c>
      <c r="F584" s="2596"/>
      <c r="G584" s="2596"/>
      <c r="H584" s="2596"/>
      <c r="I584" s="2597"/>
      <c r="J584" s="2051"/>
      <c r="K584" s="2051"/>
      <c r="L584" s="2838"/>
      <c r="M584" s="2575"/>
      <c r="N584" s="2576"/>
      <c r="O584" s="2576"/>
      <c r="P584" s="2576"/>
      <c r="Q584" s="2576">
        <v>-0.43006848999999997</v>
      </c>
      <c r="R584" s="2576">
        <v>0</v>
      </c>
      <c r="S584" s="2576">
        <v>0</v>
      </c>
      <c r="T584" s="2577">
        <v>0</v>
      </c>
      <c r="U584" s="2578">
        <v>0</v>
      </c>
      <c r="V584" s="2576">
        <v>0</v>
      </c>
      <c r="W584" s="2576">
        <v>0</v>
      </c>
      <c r="X584" s="2576">
        <v>0</v>
      </c>
      <c r="Y584" s="2579">
        <v>0</v>
      </c>
    </row>
    <row r="585" spans="2:25" outlineLevel="1">
      <c r="B585" s="2011" t="s">
        <v>1325</v>
      </c>
      <c r="C585" s="2318">
        <f>IF('1.02b_Debt'!D304 = "","",'1.02b_Debt'!D304)</f>
        <v>41361</v>
      </c>
      <c r="D585" s="2318">
        <f>IF('1.02b_Debt'!E304 = "","",'1.02b_Debt'!E304)</f>
        <v>42825</v>
      </c>
      <c r="E585" s="2324" t="str">
        <f>IF('1.02b_Debt'!F304 = "","",'1.02b_Debt'!F304)</f>
        <v>Swap 2027 bond (C2) to floating rate for life</v>
      </c>
      <c r="F585" s="2596"/>
      <c r="G585" s="2596"/>
      <c r="H585" s="2596"/>
      <c r="I585" s="2597"/>
      <c r="J585" s="2051"/>
      <c r="K585" s="2051"/>
      <c r="L585" s="2838"/>
      <c r="M585" s="2575"/>
      <c r="N585" s="2576"/>
      <c r="O585" s="2576"/>
      <c r="P585" s="2576"/>
      <c r="Q585" s="2576">
        <v>-0.45744863000000002</v>
      </c>
      <c r="R585" s="2576">
        <v>0</v>
      </c>
      <c r="S585" s="2576">
        <v>0</v>
      </c>
      <c r="T585" s="2577">
        <v>0</v>
      </c>
      <c r="U585" s="2578">
        <v>0</v>
      </c>
      <c r="V585" s="2576">
        <v>0</v>
      </c>
      <c r="W585" s="2576">
        <v>0</v>
      </c>
      <c r="X585" s="2576">
        <v>0</v>
      </c>
      <c r="Y585" s="2579">
        <v>0</v>
      </c>
    </row>
    <row r="586" spans="2:25" outlineLevel="1">
      <c r="B586" s="2011" t="s">
        <v>1326</v>
      </c>
      <c r="C586" s="2318">
        <f>IF('1.02b_Debt'!D305 = "","",'1.02b_Debt'!D305)</f>
        <v>43280</v>
      </c>
      <c r="D586" s="2318">
        <f>IF('1.02b_Debt'!E305 = "","",'1.02b_Debt'!E305)</f>
        <v>46934</v>
      </c>
      <c r="E586" s="2324" t="str">
        <f>IF('1.02b_Debt'!F305 = "","",'1.02b_Debt'!F305)</f>
        <v>Hedge of floating rate EIB loan (B2.10)</v>
      </c>
      <c r="F586" s="2596"/>
      <c r="G586" s="2596"/>
      <c r="H586" s="2596"/>
      <c r="I586" s="2597"/>
      <c r="J586" s="2051"/>
      <c r="K586" s="2051"/>
      <c r="L586" s="2838"/>
      <c r="M586" s="2575"/>
      <c r="N586" s="2576"/>
      <c r="O586" s="2576"/>
      <c r="P586" s="2576"/>
      <c r="Q586" s="2576"/>
      <c r="R586" s="2576">
        <v>5.9426699999999999E-2</v>
      </c>
      <c r="S586" s="2576">
        <v>7.3952054794520536E-2</v>
      </c>
      <c r="T586" s="2577">
        <v>7.5000000000000011E-2</v>
      </c>
      <c r="U586" s="2578">
        <v>7.2499999999999981E-2</v>
      </c>
      <c r="V586" s="2576">
        <v>6.7500000000000004E-2</v>
      </c>
      <c r="W586" s="2576">
        <v>6.2671232876712321E-2</v>
      </c>
      <c r="X586" s="2576">
        <v>5.8749999999999983E-2</v>
      </c>
      <c r="Y586" s="2579">
        <v>5.3749999999999992E-2</v>
      </c>
    </row>
    <row r="587" spans="2:25" outlineLevel="1">
      <c r="B587" s="2011" t="s">
        <v>1327</v>
      </c>
      <c r="C587" s="2318">
        <f>IF('1.02b_Debt'!D306 = "","",'1.02b_Debt'!D306)</f>
        <v>43371</v>
      </c>
      <c r="D587" s="2318">
        <f>IF('1.02b_Debt'!E306 = "","",'1.02b_Debt'!E306)</f>
        <v>47025</v>
      </c>
      <c r="E587" s="2324" t="str">
        <f>IF('1.02b_Debt'!F306 = "","",'1.02b_Debt'!F306)</f>
        <v>Re-fix rate on 2027 bond (C2) for periods up to 10 years</v>
      </c>
      <c r="F587" s="2596"/>
      <c r="G587" s="2596"/>
      <c r="H587" s="2596"/>
      <c r="I587" s="2597"/>
      <c r="J587" s="2051"/>
      <c r="K587" s="2051"/>
      <c r="L587" s="2838"/>
      <c r="M587" s="2575"/>
      <c r="N587" s="2576"/>
      <c r="O587" s="2576"/>
      <c r="P587" s="2576"/>
      <c r="Q587" s="2576"/>
      <c r="R587" s="2576">
        <v>5.7951289999999996E-2</v>
      </c>
      <c r="S587" s="2576">
        <v>0.11037657534246573</v>
      </c>
      <c r="T587" s="2577">
        <v>0.11007499999999995</v>
      </c>
      <c r="U587" s="2578">
        <v>0.10657499999999998</v>
      </c>
      <c r="V587" s="2576">
        <v>9.9574999999999941E-2</v>
      </c>
      <c r="W587" s="2576">
        <v>9.4583424657534221E-2</v>
      </c>
      <c r="X587" s="2576">
        <v>8.7324999999999958E-2</v>
      </c>
      <c r="Y587" s="2579">
        <v>8.2075000000000009E-2</v>
      </c>
    </row>
    <row r="588" spans="2:25" outlineLevel="1">
      <c r="B588" s="2011" t="s">
        <v>1328</v>
      </c>
      <c r="C588" s="2318">
        <f>IF('1.02b_Debt'!D307 = "","",'1.02b_Debt'!D307)</f>
        <v>43656</v>
      </c>
      <c r="D588" s="2318">
        <f>IF('1.02b_Debt'!E307 = "","",'1.02b_Debt'!E307)</f>
        <v>47128</v>
      </c>
      <c r="E588" s="2324" t="str">
        <f>IF('1.02b_Debt'!F307 = "","",'1.02b_Debt'!F307)</f>
        <v>Swap 2029 USPP note (B1.1) to floating rate for life on accreting basis</v>
      </c>
      <c r="F588" s="2596"/>
      <c r="G588" s="2596"/>
      <c r="H588" s="2596"/>
      <c r="I588" s="2597"/>
      <c r="J588" s="2051"/>
      <c r="K588" s="2051"/>
      <c r="L588" s="2838"/>
      <c r="M588" s="2575"/>
      <c r="N588" s="2576"/>
      <c r="O588" s="2576"/>
      <c r="P588" s="2576"/>
      <c r="Q588" s="2576"/>
      <c r="R588" s="2576"/>
      <c r="S588" s="2576">
        <v>-8.5472088105397123E-3</v>
      </c>
      <c r="T588" s="2577">
        <v>-3.6504965753424684E-2</v>
      </c>
      <c r="U588" s="2578">
        <v>-6.0081849315068533E-2</v>
      </c>
      <c r="V588" s="2576">
        <v>-8.0923116438356174E-2</v>
      </c>
      <c r="W588" s="2576">
        <v>-0.10119126712328769</v>
      </c>
      <c r="X588" s="2576">
        <v>-0.11797345890410954</v>
      </c>
      <c r="Y588" s="2579">
        <v>-0.13468253424657534</v>
      </c>
    </row>
    <row r="589" spans="2:25" outlineLevel="1">
      <c r="B589" s="2011" t="s">
        <v>1330</v>
      </c>
      <c r="C589" s="2318">
        <f>IF('1.02b_Debt'!D308 = "","",'1.02b_Debt'!D308)</f>
        <v>43656</v>
      </c>
      <c r="D589" s="2318">
        <f>IF('1.02b_Debt'!E308 = "","",'1.02b_Debt'!E308)</f>
        <v>47128</v>
      </c>
      <c r="E589" s="2324" t="str">
        <f>IF('1.02b_Debt'!F308 = "","",'1.02b_Debt'!F308)</f>
        <v>Swap 2029 USPP note (B1.1) to floating rate for life on accreting basis</v>
      </c>
      <c r="F589" s="2596"/>
      <c r="G589" s="2596"/>
      <c r="H589" s="2596"/>
      <c r="I589" s="2597"/>
      <c r="J589" s="2051"/>
      <c r="K589" s="2051"/>
      <c r="L589" s="2838"/>
      <c r="M589" s="2575"/>
      <c r="N589" s="2576"/>
      <c r="O589" s="2576"/>
      <c r="P589" s="2576"/>
      <c r="Q589" s="2576"/>
      <c r="R589" s="2576"/>
      <c r="S589" s="2576">
        <v>-8.7280565536342544E-3</v>
      </c>
      <c r="T589" s="2577">
        <v>-3.7277363013698647E-2</v>
      </c>
      <c r="U589" s="2578">
        <v>-6.1379246575342508E-2</v>
      </c>
      <c r="V589" s="2576">
        <v>-8.2745513698630174E-2</v>
      </c>
      <c r="W589" s="2576">
        <v>-0.10354585616438358</v>
      </c>
      <c r="X589" s="2576">
        <v>-0.12084585616438354</v>
      </c>
      <c r="Y589" s="2579">
        <v>-0.13807993150684933</v>
      </c>
    </row>
    <row r="590" spans="2:25" outlineLevel="1">
      <c r="B590" s="2011" t="s">
        <v>1331</v>
      </c>
      <c r="C590" s="2318">
        <f>IF('1.02b_Debt'!D309 = "","",'1.02b_Debt'!D309)</f>
        <v>43656</v>
      </c>
      <c r="D590" s="2318">
        <f>IF('1.02b_Debt'!E309 = "","",'1.02b_Debt'!E309)</f>
        <v>47858</v>
      </c>
      <c r="E590" s="2324" t="str">
        <f>IF('1.02b_Debt'!F309 = "","",'1.02b_Debt'!F309)</f>
        <v>Swap 2031 USPP note (B1.3) to floating rate for life on accreting basis</v>
      </c>
      <c r="F590" s="2596"/>
      <c r="G590" s="2596"/>
      <c r="H590" s="2596"/>
      <c r="I590" s="2597"/>
      <c r="J590" s="2051"/>
      <c r="K590" s="2051"/>
      <c r="L590" s="2838"/>
      <c r="M590" s="2575"/>
      <c r="N590" s="2576"/>
      <c r="O590" s="2576"/>
      <c r="P590" s="2576"/>
      <c r="Q590" s="2576"/>
      <c r="R590" s="2576"/>
      <c r="S590" s="2576">
        <v>-2.7269256119470016E-2</v>
      </c>
      <c r="T590" s="2577">
        <v>-0.11646647260273971</v>
      </c>
      <c r="U590" s="2578">
        <v>-0.19192212328767122</v>
      </c>
      <c r="V590" s="2576">
        <v>-0.25917092465753433</v>
      </c>
      <c r="W590" s="2576">
        <v>-0.32476510273972614</v>
      </c>
      <c r="X590" s="2576">
        <v>-0.37977195205479486</v>
      </c>
      <c r="Y590" s="2579">
        <v>-0.43462417808219178</v>
      </c>
    </row>
    <row r="591" spans="2:25" outlineLevel="1">
      <c r="B591" s="2011" t="s">
        <v>1333</v>
      </c>
      <c r="C591" s="2318">
        <f>IF('1.02b_Debt'!D310 = "","",'1.02b_Debt'!D310)</f>
        <v>43656</v>
      </c>
      <c r="D591" s="2318">
        <f>IF('1.02b_Debt'!E310 = "","",'1.02b_Debt'!E310)</f>
        <v>47858</v>
      </c>
      <c r="E591" s="2324" t="str">
        <f>IF('1.02b_Debt'!F310 = "","",'1.02b_Debt'!F310)</f>
        <v>Swap 2031 USPP note (B1.3) to floating rate for life on accreting basis</v>
      </c>
      <c r="F591" s="2596"/>
      <c r="G591" s="2596"/>
      <c r="H591" s="2596"/>
      <c r="I591" s="2597"/>
      <c r="J591" s="2051"/>
      <c r="K591" s="2051"/>
      <c r="L591" s="2838"/>
      <c r="M591" s="2575"/>
      <c r="N591" s="2576"/>
      <c r="O591" s="2576"/>
      <c r="P591" s="2576"/>
      <c r="Q591" s="2576"/>
      <c r="R591" s="2576"/>
      <c r="S591" s="2576">
        <v>-2.7217585335728725E-2</v>
      </c>
      <c r="T591" s="2577">
        <v>-0.11624578767123289</v>
      </c>
      <c r="U591" s="2578">
        <v>-0.19155143835616439</v>
      </c>
      <c r="V591" s="2576">
        <v>-0.25865023972602752</v>
      </c>
      <c r="W591" s="2576">
        <v>-0.32409236301369881</v>
      </c>
      <c r="X591" s="2576">
        <v>-0.37895126712328775</v>
      </c>
      <c r="Y591" s="2579">
        <v>-0.43365349315068502</v>
      </c>
    </row>
    <row r="592" spans="2:25" outlineLevel="1">
      <c r="B592" s="2011" t="s">
        <v>1334</v>
      </c>
      <c r="C592" s="2318">
        <f>IF('1.02b_Debt'!D311 = "","",'1.02b_Debt'!D311)</f>
        <v>43371</v>
      </c>
      <c r="D592" s="2318">
        <f>IF('1.02b_Debt'!E311 = "","",'1.02b_Debt'!E311)</f>
        <v>47025</v>
      </c>
      <c r="E592" s="2324" t="str">
        <f>IF('1.02b_Debt'!F311 = "","",'1.02b_Debt'!F311)</f>
        <v>Re-fix rate on 2027 bond (C2) for periods up to 10 years</v>
      </c>
      <c r="F592" s="2596"/>
      <c r="G592" s="2596"/>
      <c r="H592" s="2596"/>
      <c r="I592" s="2597"/>
      <c r="J592" s="2051"/>
      <c r="K592" s="2051"/>
      <c r="L592" s="2838"/>
      <c r="M592" s="2575"/>
      <c r="N592" s="2576"/>
      <c r="O592" s="2576"/>
      <c r="P592" s="2576"/>
      <c r="Q592" s="2576"/>
      <c r="R592" s="2576">
        <v>5.9172930000000006E-2</v>
      </c>
      <c r="S592" s="2576">
        <v>0.11283328767123288</v>
      </c>
      <c r="T592" s="2577">
        <v>0.11252500000000001</v>
      </c>
      <c r="U592" s="2578">
        <v>0.10902500000000004</v>
      </c>
      <c r="V592" s="2576">
        <v>0.102025</v>
      </c>
      <c r="W592" s="2576">
        <v>9.7040136986301373E-2</v>
      </c>
      <c r="X592" s="2576">
        <v>8.9775000000000021E-2</v>
      </c>
      <c r="Y592" s="2579">
        <v>8.4525000000000072E-2</v>
      </c>
    </row>
    <row r="593" spans="2:31" outlineLevel="1">
      <c r="B593" s="2011" t="s">
        <v>1335</v>
      </c>
      <c r="C593" s="2318">
        <f>IF('1.02b_Debt'!D312 = "","",'1.02b_Debt'!D312)</f>
        <v>43553</v>
      </c>
      <c r="D593" s="2318">
        <f>IF('1.02b_Debt'!E312 = "","",'1.02b_Debt'!E312)</f>
        <v>47206</v>
      </c>
      <c r="E593" s="2324" t="str">
        <f>IF('1.02b_Debt'!F312 = "","",'1.02b_Debt'!F312)</f>
        <v>Re-fix rate on 2027 bond (C2) for periods up to 10 years</v>
      </c>
      <c r="F593" s="2596"/>
      <c r="G593" s="2596"/>
      <c r="H593" s="2596"/>
      <c r="I593" s="2597"/>
      <c r="J593" s="2051"/>
      <c r="K593" s="2051"/>
      <c r="L593" s="2838"/>
      <c r="M593" s="2575"/>
      <c r="N593" s="2576"/>
      <c r="O593" s="2576"/>
      <c r="P593" s="2576"/>
      <c r="Q593" s="2576"/>
      <c r="R593" s="2576">
        <v>0</v>
      </c>
      <c r="S593" s="2576">
        <v>9.625047945205481E-2</v>
      </c>
      <c r="T593" s="2577">
        <v>9.5987500000000031E-2</v>
      </c>
      <c r="U593" s="2578">
        <v>9.2487500000000056E-2</v>
      </c>
      <c r="V593" s="2576">
        <v>8.5487500000000022E-2</v>
      </c>
      <c r="W593" s="2576">
        <v>8.0457328767123304E-2</v>
      </c>
      <c r="X593" s="2576">
        <v>7.3237500000000039E-2</v>
      </c>
      <c r="Y593" s="2579">
        <v>6.798750000000009E-2</v>
      </c>
    </row>
    <row r="594" spans="2:31" outlineLevel="1">
      <c r="B594" s="2011" t="s">
        <v>1336</v>
      </c>
      <c r="C594" s="2318">
        <f>IF('1.02b_Debt'!D313 = "","",'1.02b_Debt'!D313)</f>
        <v>43553</v>
      </c>
      <c r="D594" s="2318">
        <f>IF('1.02b_Debt'!E313 = "","",'1.02b_Debt'!E313)</f>
        <v>47206</v>
      </c>
      <c r="E594" s="2324" t="str">
        <f>IF('1.02b_Debt'!F313 = "","",'1.02b_Debt'!F313)</f>
        <v>Re-fix rate on 2027 bond (C2) for periods up to 10 years</v>
      </c>
      <c r="F594" s="2596"/>
      <c r="G594" s="2596"/>
      <c r="H594" s="2596"/>
      <c r="I594" s="2597"/>
      <c r="J594" s="2051"/>
      <c r="K594" s="2051"/>
      <c r="L594" s="2838"/>
      <c r="M594" s="2575"/>
      <c r="N594" s="2576"/>
      <c r="O594" s="2576"/>
      <c r="P594" s="2576"/>
      <c r="Q594" s="2576"/>
      <c r="R594" s="2576">
        <v>0</v>
      </c>
      <c r="S594" s="2576">
        <v>4.5800136986301365E-2</v>
      </c>
      <c r="T594" s="2577">
        <v>4.5674999999999993E-2</v>
      </c>
      <c r="U594" s="2578">
        <v>4.2175000000000018E-2</v>
      </c>
      <c r="V594" s="2576">
        <v>3.5174999999999984E-2</v>
      </c>
      <c r="W594" s="2576">
        <v>3.0006986301369859E-2</v>
      </c>
      <c r="X594" s="2576">
        <v>2.2925000000000001E-2</v>
      </c>
      <c r="Y594" s="2579">
        <v>1.7675000000000052E-2</v>
      </c>
    </row>
    <row r="595" spans="2:31" outlineLevel="1">
      <c r="B595" s="2068" t="s">
        <v>1337</v>
      </c>
      <c r="C595" s="2994" t="s">
        <v>943</v>
      </c>
      <c r="D595" s="2995"/>
      <c r="E595" s="2995"/>
      <c r="F595" s="2995"/>
      <c r="G595" s="2995"/>
      <c r="H595" s="2995"/>
      <c r="I595" s="2996"/>
      <c r="J595" s="2051"/>
      <c r="K595" s="2051"/>
      <c r="L595" s="2838"/>
      <c r="M595" s="2069"/>
      <c r="N595" s="2070"/>
      <c r="O595" s="2070"/>
      <c r="P595" s="2070"/>
      <c r="Q595" s="2070"/>
      <c r="R595" s="2070"/>
      <c r="S595" s="2070"/>
      <c r="T595" s="2071"/>
      <c r="U595" s="2072"/>
      <c r="V595" s="2070"/>
      <c r="W595" s="2070"/>
      <c r="X595" s="2070"/>
      <c r="Y595" s="2073"/>
    </row>
    <row r="596" spans="2:31" s="1877" customFormat="1">
      <c r="B596" s="1878"/>
      <c r="E596" s="1950"/>
      <c r="F596" s="1950"/>
      <c r="G596" s="1950"/>
      <c r="H596" s="1950"/>
      <c r="I596" s="1895"/>
      <c r="J596" s="1895"/>
      <c r="K596" s="1895"/>
      <c r="L596" s="1910" t="s">
        <v>1338</v>
      </c>
      <c r="M596" s="2074">
        <f>SUM(M428:M595)</f>
        <v>-10.1</v>
      </c>
      <c r="N596" s="2075">
        <f t="shared" ref="N596:Y596" si="24">SUM(N428:N595)</f>
        <v>-8.8000000000000007</v>
      </c>
      <c r="O596" s="2075">
        <f t="shared" si="24"/>
        <v>-7.5</v>
      </c>
      <c r="P596" s="2075">
        <f t="shared" si="24"/>
        <v>-6.6886861400000033</v>
      </c>
      <c r="Q596" s="2075">
        <f t="shared" si="24"/>
        <v>-5.724899150000005</v>
      </c>
      <c r="R596" s="2075">
        <f t="shared" si="24"/>
        <v>-6.8269207400000083</v>
      </c>
      <c r="S596" s="2075">
        <f t="shared" si="24"/>
        <v>-6.8805790324047997</v>
      </c>
      <c r="T596" s="2076">
        <f t="shared" si="24"/>
        <v>-11.23048893565027</v>
      </c>
      <c r="U596" s="2077">
        <f t="shared" si="24"/>
        <v>-11.982441524455059</v>
      </c>
      <c r="V596" s="2075">
        <f t="shared" si="24"/>
        <v>-12.704651881799736</v>
      </c>
      <c r="W596" s="2075">
        <f t="shared" si="24"/>
        <v>-13.737582225341285</v>
      </c>
      <c r="X596" s="2075">
        <f t="shared" si="24"/>
        <v>-14.910995481955441</v>
      </c>
      <c r="Y596" s="2078">
        <f t="shared" si="24"/>
        <v>-15.9244009760274</v>
      </c>
    </row>
    <row r="597" spans="2:31" s="1877" customFormat="1">
      <c r="B597" s="1878"/>
    </row>
    <row r="598" spans="2:31" ht="14.25">
      <c r="B598" s="2145" t="s">
        <v>1341</v>
      </c>
      <c r="C598" s="2146" t="s">
        <v>1440</v>
      </c>
      <c r="D598" s="2146"/>
      <c r="E598" s="2146"/>
      <c r="F598" s="2146"/>
      <c r="G598" s="2147"/>
      <c r="H598" s="2147"/>
      <c r="I598" s="2147"/>
      <c r="J598" s="2147"/>
      <c r="K598" s="2147"/>
      <c r="L598" s="2145"/>
      <c r="M598" s="2146"/>
      <c r="N598" s="2146"/>
      <c r="O598" s="2146"/>
      <c r="P598" s="2146"/>
      <c r="Q598" s="2146"/>
      <c r="R598" s="2146"/>
      <c r="S598" s="2146"/>
      <c r="T598" s="2146"/>
      <c r="U598" s="2287"/>
      <c r="V598" s="2146"/>
      <c r="W598" s="2146"/>
      <c r="X598" s="2146"/>
      <c r="Y598" s="2146"/>
    </row>
    <row r="599" spans="2:31" outlineLevel="1">
      <c r="B599" s="1901"/>
      <c r="C599" s="2080"/>
      <c r="D599" s="2080"/>
      <c r="E599" s="1889"/>
      <c r="F599" s="1889"/>
      <c r="G599" s="1889"/>
      <c r="H599" s="1889"/>
      <c r="I599" s="1889"/>
      <c r="J599" s="1889"/>
      <c r="K599" s="1889"/>
      <c r="L599" s="1889"/>
      <c r="M599" s="1889"/>
      <c r="N599" s="1889"/>
      <c r="O599" s="1889"/>
      <c r="P599" s="1889"/>
      <c r="Q599" s="1889"/>
      <c r="R599" s="1889"/>
      <c r="T599" s="1885"/>
      <c r="U599" s="1885"/>
      <c r="V599" s="1885"/>
      <c r="W599" s="1885"/>
      <c r="X599" s="1885"/>
      <c r="Z599" s="1885"/>
      <c r="AA599" s="1916"/>
      <c r="AB599" s="1885"/>
      <c r="AC599" s="1885"/>
      <c r="AD599" s="1885"/>
      <c r="AE599" s="1885"/>
    </row>
    <row r="600" spans="2:31" ht="18" outlineLevel="1">
      <c r="B600" s="2159"/>
      <c r="C600" s="1952"/>
      <c r="D600" s="2167" t="s">
        <v>1430</v>
      </c>
      <c r="E600" s="2290"/>
      <c r="F600" s="2290"/>
      <c r="G600" s="2168"/>
      <c r="H600" s="2168"/>
      <c r="I600" s="2168"/>
      <c r="J600" s="2168"/>
      <c r="K600" s="2168"/>
      <c r="L600" s="2229"/>
      <c r="M600" s="2290"/>
      <c r="N600" s="2290"/>
      <c r="O600" s="2290"/>
      <c r="P600" s="2290"/>
      <c r="Q600" s="2290"/>
      <c r="R600" s="2290"/>
      <c r="S600" s="2290"/>
      <c r="T600" s="2290"/>
      <c r="U600" s="2291"/>
      <c r="V600" s="2290"/>
      <c r="W600" s="2290"/>
      <c r="X600" s="2290"/>
      <c r="Y600" s="2290"/>
    </row>
    <row r="601" spans="2:31" outlineLevel="1">
      <c r="B601" s="1901"/>
      <c r="C601" s="2080"/>
      <c r="D601" s="2080"/>
      <c r="E601" s="1889"/>
      <c r="F601" s="1889"/>
      <c r="G601" s="1889"/>
      <c r="H601" s="1889"/>
      <c r="I601" s="1889"/>
      <c r="J601" s="1889"/>
      <c r="K601" s="1889"/>
      <c r="L601" s="1889"/>
      <c r="M601" s="1889"/>
      <c r="N601" s="1889"/>
      <c r="O601" s="1889"/>
      <c r="P601" s="1889"/>
      <c r="Q601" s="1889"/>
      <c r="R601" s="1889"/>
      <c r="T601" s="1885"/>
      <c r="U601" s="1885"/>
      <c r="V601" s="1885"/>
      <c r="W601" s="1885"/>
      <c r="X601" s="1885"/>
      <c r="Z601" s="1885"/>
      <c r="AA601" s="1892"/>
      <c r="AB601" s="1885"/>
      <c r="AC601" s="1885"/>
      <c r="AD601" s="1885"/>
      <c r="AE601" s="1885"/>
    </row>
    <row r="602" spans="2:31" s="2016" customFormat="1" ht="32.25" customHeight="1" outlineLevel="1">
      <c r="B602" s="2081"/>
      <c r="C602" s="1919" t="s">
        <v>949</v>
      </c>
      <c r="D602" s="1960" t="s">
        <v>950</v>
      </c>
      <c r="E602" s="2989" t="s">
        <v>1098</v>
      </c>
      <c r="F602" s="2990" t="s">
        <v>1099</v>
      </c>
      <c r="G602" s="2990" t="s">
        <v>1100</v>
      </c>
      <c r="H602" s="2990" t="s">
        <v>1101</v>
      </c>
      <c r="I602" s="2991" t="s">
        <v>1102</v>
      </c>
      <c r="J602" s="2051"/>
      <c r="K602" s="2051"/>
      <c r="L602" s="2051"/>
      <c r="U602" s="2017"/>
    </row>
    <row r="603" spans="2:31" s="2062" customFormat="1" ht="52.5" customHeight="1" outlineLevel="1">
      <c r="B603" s="2055" t="s">
        <v>965</v>
      </c>
      <c r="C603" s="2019" t="s">
        <v>966</v>
      </c>
      <c r="D603" s="2020" t="s">
        <v>966</v>
      </c>
      <c r="E603" s="2992"/>
      <c r="F603" s="2933" t="s">
        <v>1104</v>
      </c>
      <c r="G603" s="2933" t="s">
        <v>1104</v>
      </c>
      <c r="H603" s="2933" t="s">
        <v>498</v>
      </c>
      <c r="I603" s="2993" t="s">
        <v>1105</v>
      </c>
      <c r="J603" s="2051"/>
      <c r="K603" s="2051"/>
      <c r="L603" s="2051"/>
      <c r="M603" s="2057" t="s">
        <v>498</v>
      </c>
      <c r="N603" s="2058" t="s">
        <v>498</v>
      </c>
      <c r="O603" s="2058" t="s">
        <v>498</v>
      </c>
      <c r="P603" s="2058" t="s">
        <v>498</v>
      </c>
      <c r="Q603" s="2058" t="s">
        <v>498</v>
      </c>
      <c r="R603" s="2058" t="s">
        <v>498</v>
      </c>
      <c r="S603" s="2058" t="s">
        <v>498</v>
      </c>
      <c r="T603" s="2059" t="s">
        <v>498</v>
      </c>
      <c r="U603" s="2060" t="s">
        <v>498</v>
      </c>
      <c r="V603" s="2058" t="s">
        <v>498</v>
      </c>
      <c r="W603" s="2058" t="s">
        <v>498</v>
      </c>
      <c r="X603" s="2058" t="s">
        <v>498</v>
      </c>
      <c r="Y603" s="2061" t="s">
        <v>498</v>
      </c>
    </row>
    <row r="604" spans="2:31" outlineLevel="1">
      <c r="B604" s="2011" t="s">
        <v>1343</v>
      </c>
      <c r="C604" s="2318" t="str">
        <f>IF('1.02b_Debt'!D332 = "","",'1.02b_Debt'!D332)</f>
        <v/>
      </c>
      <c r="D604" s="2318" t="str">
        <f>IF('1.02b_Debt'!E332 = "","",'1.02b_Debt'!E332)</f>
        <v/>
      </c>
      <c r="E604" s="2848" t="str">
        <f>IF('1.02b_Debt'!F332 = "","",'1.02b_Debt'!F332)</f>
        <v/>
      </c>
      <c r="F604" s="2849"/>
      <c r="G604" s="2849"/>
      <c r="H604" s="2849"/>
      <c r="I604" s="2850"/>
      <c r="J604" s="2051"/>
      <c r="K604" s="2051"/>
      <c r="L604" s="2051"/>
      <c r="M604" s="2063"/>
      <c r="N604" s="2064"/>
      <c r="O604" s="2064"/>
      <c r="P604" s="2064"/>
      <c r="Q604" s="2064"/>
      <c r="R604" s="2064"/>
      <c r="S604" s="2064"/>
      <c r="T604" s="2065"/>
      <c r="U604" s="2066"/>
      <c r="V604" s="2064"/>
      <c r="W604" s="2064"/>
      <c r="X604" s="2064"/>
      <c r="Y604" s="2067"/>
    </row>
    <row r="605" spans="2:31" outlineLevel="1">
      <c r="B605" s="2011" t="s">
        <v>1344</v>
      </c>
      <c r="C605" s="2318" t="str">
        <f>IF('1.02b_Debt'!D333 = "","",'1.02b_Debt'!D333)</f>
        <v/>
      </c>
      <c r="D605" s="2318" t="str">
        <f>IF('1.02b_Debt'!E333 = "","",'1.02b_Debt'!E333)</f>
        <v/>
      </c>
      <c r="E605" s="2848" t="str">
        <f>IF('1.02b_Debt'!F333 = "","",'1.02b_Debt'!F333)</f>
        <v/>
      </c>
      <c r="F605" s="2849"/>
      <c r="G605" s="2849"/>
      <c r="H605" s="2849"/>
      <c r="I605" s="2850"/>
      <c r="J605" s="2051"/>
      <c r="K605" s="2051"/>
      <c r="L605" s="2051"/>
      <c r="M605" s="2063"/>
      <c r="N605" s="2064"/>
      <c r="O605" s="2064"/>
      <c r="P605" s="2064"/>
      <c r="Q605" s="2064"/>
      <c r="R605" s="2064"/>
      <c r="S605" s="2064"/>
      <c r="T605" s="2065"/>
      <c r="U605" s="2066"/>
      <c r="V605" s="2064"/>
      <c r="W605" s="2064"/>
      <c r="X605" s="2064"/>
      <c r="Y605" s="2067"/>
    </row>
    <row r="606" spans="2:31" outlineLevel="1">
      <c r="B606" s="2011" t="s">
        <v>1345</v>
      </c>
      <c r="C606" s="2318" t="str">
        <f>IF('1.02b_Debt'!D334 = "","",'1.02b_Debt'!D334)</f>
        <v/>
      </c>
      <c r="D606" s="2318" t="str">
        <f>IF('1.02b_Debt'!E334 = "","",'1.02b_Debt'!E334)</f>
        <v/>
      </c>
      <c r="E606" s="2848" t="str">
        <f>IF('1.02b_Debt'!F334 = "","",'1.02b_Debt'!F334)</f>
        <v/>
      </c>
      <c r="F606" s="2849"/>
      <c r="G606" s="2849"/>
      <c r="H606" s="2849"/>
      <c r="I606" s="2850"/>
      <c r="J606" s="2051"/>
      <c r="K606" s="2051"/>
      <c r="L606" s="2051"/>
      <c r="M606" s="2063"/>
      <c r="N606" s="2064"/>
      <c r="O606" s="2064"/>
      <c r="P606" s="2064"/>
      <c r="Q606" s="2064"/>
      <c r="R606" s="2064"/>
      <c r="S606" s="2064"/>
      <c r="T606" s="2065"/>
      <c r="U606" s="2066"/>
      <c r="V606" s="2064"/>
      <c r="W606" s="2064"/>
      <c r="X606" s="2064"/>
      <c r="Y606" s="2067"/>
    </row>
    <row r="607" spans="2:31" outlineLevel="1">
      <c r="B607" s="2011" t="s">
        <v>1346</v>
      </c>
      <c r="C607" s="2318" t="str">
        <f>IF('1.02b_Debt'!D335 = "","",'1.02b_Debt'!D335)</f>
        <v/>
      </c>
      <c r="D607" s="2318" t="str">
        <f>IF('1.02b_Debt'!E335 = "","",'1.02b_Debt'!E335)</f>
        <v/>
      </c>
      <c r="E607" s="2848" t="str">
        <f>IF('1.02b_Debt'!F335 = "","",'1.02b_Debt'!F335)</f>
        <v/>
      </c>
      <c r="F607" s="2849"/>
      <c r="G607" s="2849"/>
      <c r="H607" s="2849"/>
      <c r="I607" s="2850"/>
      <c r="J607" s="2051"/>
      <c r="K607" s="2051"/>
      <c r="L607" s="2051"/>
      <c r="M607" s="2063"/>
      <c r="N607" s="2064"/>
      <c r="O607" s="2064"/>
      <c r="P607" s="2064"/>
      <c r="Q607" s="2064"/>
      <c r="R607" s="2064"/>
      <c r="S607" s="2064"/>
      <c r="T607" s="2065"/>
      <c r="U607" s="2066"/>
      <c r="V607" s="2064"/>
      <c r="W607" s="2064"/>
      <c r="X607" s="2064"/>
      <c r="Y607" s="2067"/>
    </row>
    <row r="608" spans="2:31" outlineLevel="1">
      <c r="B608" s="2011" t="s">
        <v>1347</v>
      </c>
      <c r="C608" s="2318" t="str">
        <f>IF('1.02b_Debt'!D336 = "","",'1.02b_Debt'!D336)</f>
        <v/>
      </c>
      <c r="D608" s="2318" t="str">
        <f>IF('1.02b_Debt'!E336 = "","",'1.02b_Debt'!E336)</f>
        <v/>
      </c>
      <c r="E608" s="2848" t="str">
        <f>IF('1.02b_Debt'!F336 = "","",'1.02b_Debt'!F336)</f>
        <v/>
      </c>
      <c r="F608" s="2849"/>
      <c r="G608" s="2849"/>
      <c r="H608" s="2849"/>
      <c r="I608" s="2850"/>
      <c r="J608" s="2051"/>
      <c r="K608" s="2051"/>
      <c r="L608" s="2051"/>
      <c r="M608" s="2063"/>
      <c r="N608" s="2064"/>
      <c r="O608" s="2064"/>
      <c r="P608" s="2064"/>
      <c r="Q608" s="2064"/>
      <c r="R608" s="2064"/>
      <c r="S608" s="2064"/>
      <c r="T608" s="2065"/>
      <c r="U608" s="2066"/>
      <c r="V608" s="2064"/>
      <c r="W608" s="2064"/>
      <c r="X608" s="2064"/>
      <c r="Y608" s="2067"/>
    </row>
    <row r="609" spans="2:31" outlineLevel="1">
      <c r="B609" s="2011" t="s">
        <v>1348</v>
      </c>
      <c r="C609" s="2318" t="str">
        <f>IF('1.02b_Debt'!D337 = "","",'1.02b_Debt'!D337)</f>
        <v/>
      </c>
      <c r="D609" s="2318" t="str">
        <f>IF('1.02b_Debt'!E337 = "","",'1.02b_Debt'!E337)</f>
        <v/>
      </c>
      <c r="E609" s="2848" t="str">
        <f>IF('1.02b_Debt'!F337 = "","",'1.02b_Debt'!F337)</f>
        <v/>
      </c>
      <c r="F609" s="2849"/>
      <c r="G609" s="2849"/>
      <c r="H609" s="2849"/>
      <c r="I609" s="2850"/>
      <c r="J609" s="2051"/>
      <c r="K609" s="2051"/>
      <c r="L609" s="2051"/>
      <c r="M609" s="2063"/>
      <c r="N609" s="2064"/>
      <c r="O609" s="2064"/>
      <c r="P609" s="2064"/>
      <c r="Q609" s="2064"/>
      <c r="R609" s="2064"/>
      <c r="S609" s="2064"/>
      <c r="T609" s="2065"/>
      <c r="U609" s="2066"/>
      <c r="V609" s="2064"/>
      <c r="W609" s="2064"/>
      <c r="X609" s="2064"/>
      <c r="Y609" s="2067"/>
    </row>
    <row r="610" spans="2:31" outlineLevel="1">
      <c r="B610" s="2011" t="s">
        <v>1349</v>
      </c>
      <c r="C610" s="2318" t="str">
        <f>IF('1.02b_Debt'!D338 = "","",'1.02b_Debt'!D338)</f>
        <v/>
      </c>
      <c r="D610" s="2318" t="str">
        <f>IF('1.02b_Debt'!E338 = "","",'1.02b_Debt'!E338)</f>
        <v/>
      </c>
      <c r="E610" s="2848" t="str">
        <f>IF('1.02b_Debt'!F338 = "","",'1.02b_Debt'!F338)</f>
        <v/>
      </c>
      <c r="F610" s="2849"/>
      <c r="G610" s="2849"/>
      <c r="H610" s="2849"/>
      <c r="I610" s="2850"/>
      <c r="J610" s="2051"/>
      <c r="K610" s="2051"/>
      <c r="L610" s="2051"/>
      <c r="M610" s="2063"/>
      <c r="N610" s="2064"/>
      <c r="O610" s="2064"/>
      <c r="P610" s="2064"/>
      <c r="Q610" s="2064"/>
      <c r="R610" s="2064"/>
      <c r="S610" s="2064"/>
      <c r="T610" s="2065"/>
      <c r="U610" s="2066"/>
      <c r="V610" s="2064"/>
      <c r="W610" s="2064"/>
      <c r="X610" s="2064"/>
      <c r="Y610" s="2067"/>
    </row>
    <row r="611" spans="2:31" outlineLevel="1">
      <c r="B611" s="2011" t="s">
        <v>1350</v>
      </c>
      <c r="C611" s="2318" t="str">
        <f>IF('1.02b_Debt'!D339 = "","",'1.02b_Debt'!D339)</f>
        <v/>
      </c>
      <c r="D611" s="2318" t="str">
        <f>IF('1.02b_Debt'!E339 = "","",'1.02b_Debt'!E339)</f>
        <v/>
      </c>
      <c r="E611" s="2848" t="str">
        <f>IF('1.02b_Debt'!F339 = "","",'1.02b_Debt'!F339)</f>
        <v/>
      </c>
      <c r="F611" s="2849"/>
      <c r="G611" s="2849"/>
      <c r="H611" s="2849"/>
      <c r="I611" s="2850"/>
      <c r="J611" s="2051"/>
      <c r="K611" s="2051"/>
      <c r="L611" s="2051"/>
      <c r="M611" s="2063"/>
      <c r="N611" s="2064"/>
      <c r="O611" s="2064"/>
      <c r="P611" s="2064"/>
      <c r="Q611" s="2064"/>
      <c r="R611" s="2064"/>
      <c r="S611" s="2064"/>
      <c r="T611" s="2065"/>
      <c r="U611" s="2066"/>
      <c r="V611" s="2064"/>
      <c r="W611" s="2064"/>
      <c r="X611" s="2064"/>
      <c r="Y611" s="2067"/>
    </row>
    <row r="612" spans="2:31" outlineLevel="1">
      <c r="B612" s="2011" t="s">
        <v>1351</v>
      </c>
      <c r="C612" s="2318" t="str">
        <f>IF('1.02b_Debt'!D340 = "","",'1.02b_Debt'!D340)</f>
        <v/>
      </c>
      <c r="D612" s="2318" t="str">
        <f>IF('1.02b_Debt'!E340 = "","",'1.02b_Debt'!E340)</f>
        <v/>
      </c>
      <c r="E612" s="2848" t="str">
        <f>IF('1.02b_Debt'!F340 = "","",'1.02b_Debt'!F340)</f>
        <v/>
      </c>
      <c r="F612" s="2849"/>
      <c r="G612" s="2849"/>
      <c r="H612" s="2849"/>
      <c r="I612" s="2850"/>
      <c r="J612" s="2051"/>
      <c r="K612" s="2051"/>
      <c r="L612" s="2051"/>
      <c r="M612" s="2063"/>
      <c r="N612" s="2064"/>
      <c r="O612" s="2064"/>
      <c r="P612" s="2064"/>
      <c r="Q612" s="2064"/>
      <c r="R612" s="2064"/>
      <c r="S612" s="2064"/>
      <c r="T612" s="2065"/>
      <c r="U612" s="2066"/>
      <c r="V612" s="2064"/>
      <c r="W612" s="2064"/>
      <c r="X612" s="2064"/>
      <c r="Y612" s="2067"/>
    </row>
    <row r="613" spans="2:31" outlineLevel="1">
      <c r="B613" s="2068" t="s">
        <v>1352</v>
      </c>
      <c r="C613" s="2994" t="s">
        <v>943</v>
      </c>
      <c r="D613" s="2995"/>
      <c r="E613" s="2995"/>
      <c r="F613" s="2995"/>
      <c r="G613" s="2995"/>
      <c r="H613" s="2995"/>
      <c r="I613" s="2996"/>
      <c r="J613" s="2051"/>
      <c r="K613" s="2051"/>
      <c r="L613" s="2051"/>
      <c r="M613" s="2069"/>
      <c r="N613" s="2070"/>
      <c r="O613" s="2070"/>
      <c r="P613" s="2070"/>
      <c r="Q613" s="2070"/>
      <c r="R613" s="2070"/>
      <c r="S613" s="2070"/>
      <c r="T613" s="2071"/>
      <c r="U613" s="2072"/>
      <c r="V613" s="2070"/>
      <c r="W613" s="2070"/>
      <c r="X613" s="2070"/>
      <c r="Y613" s="2073"/>
    </row>
    <row r="614" spans="2:31" s="1877" customFormat="1">
      <c r="B614" s="1878"/>
      <c r="E614" s="1950"/>
      <c r="F614" s="1950"/>
      <c r="G614" s="1950"/>
      <c r="H614" s="1950"/>
      <c r="I614" s="1895"/>
      <c r="J614" s="1895"/>
      <c r="K614" s="1895"/>
      <c r="L614" s="1910" t="s">
        <v>1353</v>
      </c>
      <c r="M614" s="2074">
        <f>SUM(M604:M613)</f>
        <v>0</v>
      </c>
      <c r="N614" s="2075">
        <f t="shared" ref="N614:Y614" si="25">SUM(N604:N613)</f>
        <v>0</v>
      </c>
      <c r="O614" s="2075">
        <f t="shared" si="25"/>
        <v>0</v>
      </c>
      <c r="P614" s="2075">
        <f t="shared" si="25"/>
        <v>0</v>
      </c>
      <c r="Q614" s="2075">
        <f t="shared" si="25"/>
        <v>0</v>
      </c>
      <c r="R614" s="2075">
        <f t="shared" si="25"/>
        <v>0</v>
      </c>
      <c r="S614" s="2075">
        <f t="shared" si="25"/>
        <v>0</v>
      </c>
      <c r="T614" s="2076">
        <f t="shared" si="25"/>
        <v>0</v>
      </c>
      <c r="U614" s="2077">
        <f t="shared" si="25"/>
        <v>0</v>
      </c>
      <c r="V614" s="2075">
        <f t="shared" si="25"/>
        <v>0</v>
      </c>
      <c r="W614" s="2075">
        <f t="shared" si="25"/>
        <v>0</v>
      </c>
      <c r="X614" s="2075">
        <f t="shared" si="25"/>
        <v>0</v>
      </c>
      <c r="Y614" s="2078">
        <f t="shared" si="25"/>
        <v>0</v>
      </c>
    </row>
    <row r="615" spans="2:31" s="1877" customFormat="1">
      <c r="B615" s="1878"/>
    </row>
    <row r="616" spans="2:31" ht="18" outlineLevel="1">
      <c r="C616" s="1952"/>
      <c r="D616" s="2167" t="s">
        <v>1431</v>
      </c>
      <c r="E616" s="2168"/>
      <c r="F616" s="2168"/>
      <c r="G616" s="2168"/>
      <c r="H616" s="2168"/>
      <c r="I616" s="2168"/>
      <c r="J616" s="2168"/>
      <c r="K616" s="2168"/>
      <c r="L616" s="2229"/>
      <c r="M616" s="2168"/>
      <c r="N616" s="2168"/>
      <c r="O616" s="2168"/>
      <c r="P616" s="2168"/>
      <c r="Q616" s="2168"/>
      <c r="R616" s="2168"/>
      <c r="S616" s="2168"/>
      <c r="T616" s="2168"/>
      <c r="U616" s="2230"/>
      <c r="V616" s="2168"/>
      <c r="W616" s="2168"/>
      <c r="X616" s="2168"/>
      <c r="Y616" s="2168"/>
    </row>
    <row r="617" spans="2:31" outlineLevel="1">
      <c r="B617" s="1901"/>
      <c r="C617" s="2080"/>
      <c r="D617" s="2080"/>
      <c r="E617" s="1889"/>
      <c r="F617" s="1889"/>
      <c r="G617" s="1889"/>
      <c r="H617" s="1889"/>
      <c r="I617" s="1889"/>
      <c r="J617" s="1889"/>
      <c r="K617" s="1889"/>
      <c r="L617" s="1889"/>
      <c r="M617" s="1889"/>
      <c r="N617" s="1889"/>
      <c r="O617" s="1889"/>
      <c r="P617" s="1889"/>
      <c r="Q617" s="1889"/>
      <c r="R617" s="1889"/>
      <c r="T617" s="1885"/>
      <c r="U617" s="1885"/>
      <c r="V617" s="1885"/>
      <c r="W617" s="1885"/>
      <c r="X617" s="1885"/>
      <c r="Z617" s="1885"/>
      <c r="AA617" s="1892"/>
      <c r="AB617" s="1885"/>
      <c r="AC617" s="1885"/>
      <c r="AD617" s="1885"/>
      <c r="AE617" s="1885"/>
    </row>
    <row r="618" spans="2:31" s="2016" customFormat="1" ht="32.25" customHeight="1" outlineLevel="1">
      <c r="B618" s="2081"/>
      <c r="C618" s="1919" t="s">
        <v>949</v>
      </c>
      <c r="D618" s="1960" t="s">
        <v>950</v>
      </c>
      <c r="E618" s="2989" t="s">
        <v>1098</v>
      </c>
      <c r="F618" s="2990" t="s">
        <v>1099</v>
      </c>
      <c r="G618" s="2990" t="s">
        <v>1100</v>
      </c>
      <c r="H618" s="2990" t="s">
        <v>1101</v>
      </c>
      <c r="I618" s="2991" t="s">
        <v>1102</v>
      </c>
      <c r="J618" s="2051"/>
      <c r="K618" s="2051"/>
      <c r="L618" s="2051"/>
      <c r="U618" s="2017"/>
    </row>
    <row r="619" spans="2:31" s="2062" customFormat="1" ht="52.5" customHeight="1" outlineLevel="1">
      <c r="B619" s="2055" t="s">
        <v>965</v>
      </c>
      <c r="C619" s="2019" t="s">
        <v>966</v>
      </c>
      <c r="D619" s="2020" t="s">
        <v>966</v>
      </c>
      <c r="E619" s="2992"/>
      <c r="F619" s="2933" t="s">
        <v>1104</v>
      </c>
      <c r="G619" s="2933" t="s">
        <v>1104</v>
      </c>
      <c r="H619" s="2933" t="s">
        <v>498</v>
      </c>
      <c r="I619" s="2993" t="s">
        <v>1105</v>
      </c>
      <c r="J619" s="2051"/>
      <c r="K619" s="2051"/>
      <c r="L619" s="2051"/>
      <c r="M619" s="2057" t="s">
        <v>498</v>
      </c>
      <c r="N619" s="2058" t="s">
        <v>498</v>
      </c>
      <c r="O619" s="2058" t="s">
        <v>498</v>
      </c>
      <c r="P619" s="2058" t="s">
        <v>498</v>
      </c>
      <c r="Q619" s="2058" t="s">
        <v>498</v>
      </c>
      <c r="R619" s="2058" t="s">
        <v>498</v>
      </c>
      <c r="S619" s="2058" t="s">
        <v>498</v>
      </c>
      <c r="T619" s="2059" t="s">
        <v>498</v>
      </c>
      <c r="U619" s="2060" t="s">
        <v>498</v>
      </c>
      <c r="V619" s="2058" t="s">
        <v>498</v>
      </c>
      <c r="W619" s="2058" t="s">
        <v>498</v>
      </c>
      <c r="X619" s="2058" t="s">
        <v>498</v>
      </c>
      <c r="Y619" s="2061" t="s">
        <v>498</v>
      </c>
    </row>
    <row r="620" spans="2:31" outlineLevel="1">
      <c r="B620" s="2011" t="s">
        <v>1343</v>
      </c>
      <c r="C620" s="2318" t="str">
        <f>IF('1.02b_Debt'!D332 = "","",'1.02b_Debt'!D332)</f>
        <v/>
      </c>
      <c r="D620" s="2318" t="str">
        <f>IF('1.02b_Debt'!E332 = "","",'1.02b_Debt'!E332)</f>
        <v/>
      </c>
      <c r="E620" s="2984" t="str">
        <f>IF('1.02b_Debt'!F332 = "","",'1.02b_Debt'!F332)</f>
        <v/>
      </c>
      <c r="F620" s="2985" t="str">
        <f>IF('1.02b_Debt'!G332 = "","",'1.02b_Debt'!G332)</f>
        <v/>
      </c>
      <c r="G620" s="2985" t="str">
        <f>IF('1.02b_Debt'!H332 = "","",'1.02b_Debt'!H332)</f>
        <v/>
      </c>
      <c r="H620" s="2985" t="str">
        <f>IF('1.02b_Debt'!I332 = "","",'1.02b_Debt'!I332)</f>
        <v/>
      </c>
      <c r="I620" s="2986" t="str">
        <f>IF('1.02b_Debt'!J332 = "","",'1.02b_Debt'!J332)</f>
        <v/>
      </c>
      <c r="J620" s="2051"/>
      <c r="K620" s="2051"/>
      <c r="L620" s="2051"/>
      <c r="M620" s="2063"/>
      <c r="N620" s="2064"/>
      <c r="O620" s="2064"/>
      <c r="P620" s="2064"/>
      <c r="Q620" s="2064"/>
      <c r="R620" s="2064"/>
      <c r="S620" s="2064"/>
      <c r="T620" s="2065"/>
      <c r="U620" s="2066"/>
      <c r="V620" s="2064"/>
      <c r="W620" s="2064"/>
      <c r="X620" s="2064"/>
      <c r="Y620" s="2067"/>
    </row>
    <row r="621" spans="2:31" outlineLevel="1">
      <c r="B621" s="2011" t="s">
        <v>1344</v>
      </c>
      <c r="C621" s="2317" t="str">
        <f>IF('1.02b_Debt'!D333 = "","",'1.02b_Debt'!D333)</f>
        <v/>
      </c>
      <c r="D621" s="2317" t="str">
        <f>IF('1.02b_Debt'!E333 = "","",'1.02b_Debt'!E333)</f>
        <v/>
      </c>
      <c r="E621" s="2981" t="str">
        <f>IF('1.02b_Debt'!F333 = "","",'1.02b_Debt'!F333)</f>
        <v/>
      </c>
      <c r="F621" s="2987" t="str">
        <f>IF('1.02b_Debt'!G333 = "","",'1.02b_Debt'!G333)</f>
        <v/>
      </c>
      <c r="G621" s="2987" t="str">
        <f>IF('1.02b_Debt'!H333 = "","",'1.02b_Debt'!H333)</f>
        <v/>
      </c>
      <c r="H621" s="2987" t="str">
        <f>IF('1.02b_Debt'!I333 = "","",'1.02b_Debt'!I333)</f>
        <v/>
      </c>
      <c r="I621" s="2988" t="str">
        <f>IF('1.02b_Debt'!J333 = "","",'1.02b_Debt'!J333)</f>
        <v/>
      </c>
      <c r="J621" s="2051"/>
      <c r="K621" s="2051"/>
      <c r="L621" s="2051"/>
      <c r="M621" s="2063"/>
      <c r="N621" s="2064"/>
      <c r="O621" s="2064"/>
      <c r="P621" s="2064"/>
      <c r="Q621" s="2064"/>
      <c r="R621" s="2064"/>
      <c r="S621" s="2064"/>
      <c r="T621" s="2065"/>
      <c r="U621" s="2066"/>
      <c r="V621" s="2064"/>
      <c r="W621" s="2064"/>
      <c r="X621" s="2064"/>
      <c r="Y621" s="2067"/>
    </row>
    <row r="622" spans="2:31" outlineLevel="1">
      <c r="B622" s="2011" t="s">
        <v>1345</v>
      </c>
      <c r="C622" s="2317" t="str">
        <f>IF('1.02b_Debt'!D334 = "","",'1.02b_Debt'!D334)</f>
        <v/>
      </c>
      <c r="D622" s="2317" t="str">
        <f>IF('1.02b_Debt'!E334 = "","",'1.02b_Debt'!E334)</f>
        <v/>
      </c>
      <c r="E622" s="2981" t="str">
        <f>IF('1.02b_Debt'!F334 = "","",'1.02b_Debt'!F334)</f>
        <v/>
      </c>
      <c r="F622" s="2987" t="str">
        <f>IF('1.02b_Debt'!G334 = "","",'1.02b_Debt'!G334)</f>
        <v/>
      </c>
      <c r="G622" s="2987" t="str">
        <f>IF('1.02b_Debt'!H334 = "","",'1.02b_Debt'!H334)</f>
        <v/>
      </c>
      <c r="H622" s="2987" t="str">
        <f>IF('1.02b_Debt'!I334 = "","",'1.02b_Debt'!I334)</f>
        <v/>
      </c>
      <c r="I622" s="2988" t="str">
        <f>IF('1.02b_Debt'!J334 = "","",'1.02b_Debt'!J334)</f>
        <v/>
      </c>
      <c r="J622" s="2051"/>
      <c r="K622" s="2051"/>
      <c r="L622" s="2051"/>
      <c r="M622" s="2063"/>
      <c r="N622" s="2064"/>
      <c r="O622" s="2064"/>
      <c r="P622" s="2064"/>
      <c r="Q622" s="2064"/>
      <c r="R622" s="2064"/>
      <c r="S622" s="2064"/>
      <c r="T622" s="2065"/>
      <c r="U622" s="2066"/>
      <c r="V622" s="2064"/>
      <c r="W622" s="2064"/>
      <c r="X622" s="2064"/>
      <c r="Y622" s="2067"/>
    </row>
    <row r="623" spans="2:31" outlineLevel="1">
      <c r="B623" s="2011" t="s">
        <v>1346</v>
      </c>
      <c r="C623" s="2317" t="str">
        <f>IF('1.02b_Debt'!D335 = "","",'1.02b_Debt'!D335)</f>
        <v/>
      </c>
      <c r="D623" s="2317" t="str">
        <f>IF('1.02b_Debt'!E335 = "","",'1.02b_Debt'!E335)</f>
        <v/>
      </c>
      <c r="E623" s="2981" t="str">
        <f>IF('1.02b_Debt'!F335 = "","",'1.02b_Debt'!F335)</f>
        <v/>
      </c>
      <c r="F623" s="2987" t="str">
        <f>IF('1.02b_Debt'!G335 = "","",'1.02b_Debt'!G335)</f>
        <v/>
      </c>
      <c r="G623" s="2987" t="str">
        <f>IF('1.02b_Debt'!H335 = "","",'1.02b_Debt'!H335)</f>
        <v/>
      </c>
      <c r="H623" s="2987" t="str">
        <f>IF('1.02b_Debt'!I335 = "","",'1.02b_Debt'!I335)</f>
        <v/>
      </c>
      <c r="I623" s="2988" t="str">
        <f>IF('1.02b_Debt'!J335 = "","",'1.02b_Debt'!J335)</f>
        <v/>
      </c>
      <c r="J623" s="2051"/>
      <c r="K623" s="2051"/>
      <c r="L623" s="2051"/>
      <c r="M623" s="2063"/>
      <c r="N623" s="2064"/>
      <c r="O623" s="2064"/>
      <c r="P623" s="2064"/>
      <c r="Q623" s="2064"/>
      <c r="R623" s="2064"/>
      <c r="S623" s="2064"/>
      <c r="T623" s="2065"/>
      <c r="U623" s="2066"/>
      <c r="V623" s="2064"/>
      <c r="W623" s="2064"/>
      <c r="X623" s="2064"/>
      <c r="Y623" s="2067"/>
    </row>
    <row r="624" spans="2:31" outlineLevel="1">
      <c r="B624" s="2011" t="s">
        <v>1347</v>
      </c>
      <c r="C624" s="2317" t="str">
        <f>IF('1.02b_Debt'!D336 = "","",'1.02b_Debt'!D336)</f>
        <v/>
      </c>
      <c r="D624" s="2317" t="str">
        <f>IF('1.02b_Debt'!E336 = "","",'1.02b_Debt'!E336)</f>
        <v/>
      </c>
      <c r="E624" s="2981" t="str">
        <f>IF('1.02b_Debt'!F336 = "","",'1.02b_Debt'!F336)</f>
        <v/>
      </c>
      <c r="F624" s="2987" t="str">
        <f>IF('1.02b_Debt'!G336 = "","",'1.02b_Debt'!G336)</f>
        <v/>
      </c>
      <c r="G624" s="2987" t="str">
        <f>IF('1.02b_Debt'!H336 = "","",'1.02b_Debt'!H336)</f>
        <v/>
      </c>
      <c r="H624" s="2987" t="str">
        <f>IF('1.02b_Debt'!I336 = "","",'1.02b_Debt'!I336)</f>
        <v/>
      </c>
      <c r="I624" s="2988" t="str">
        <f>IF('1.02b_Debt'!J336 = "","",'1.02b_Debt'!J336)</f>
        <v/>
      </c>
      <c r="J624" s="2051"/>
      <c r="K624" s="2051"/>
      <c r="L624" s="2051"/>
      <c r="M624" s="2063"/>
      <c r="N624" s="2064"/>
      <c r="O624" s="2064"/>
      <c r="P624" s="2064"/>
      <c r="Q624" s="2064"/>
      <c r="R624" s="2064"/>
      <c r="S624" s="2064"/>
      <c r="T624" s="2065"/>
      <c r="U624" s="2066"/>
      <c r="V624" s="2064"/>
      <c r="W624" s="2064"/>
      <c r="X624" s="2064"/>
      <c r="Y624" s="2067"/>
    </row>
    <row r="625" spans="2:27" outlineLevel="1">
      <c r="B625" s="2011" t="s">
        <v>1348</v>
      </c>
      <c r="C625" s="2317" t="str">
        <f>IF('1.02b_Debt'!D337 = "","",'1.02b_Debt'!D337)</f>
        <v/>
      </c>
      <c r="D625" s="2317" t="str">
        <f>IF('1.02b_Debt'!E337 = "","",'1.02b_Debt'!E337)</f>
        <v/>
      </c>
      <c r="E625" s="2981" t="str">
        <f>IF('1.02b_Debt'!F337 = "","",'1.02b_Debt'!F337)</f>
        <v/>
      </c>
      <c r="F625" s="2987" t="str">
        <f>IF('1.02b_Debt'!G337 = "","",'1.02b_Debt'!G337)</f>
        <v/>
      </c>
      <c r="G625" s="2987" t="str">
        <f>IF('1.02b_Debt'!H337 = "","",'1.02b_Debt'!H337)</f>
        <v/>
      </c>
      <c r="H625" s="2987" t="str">
        <f>IF('1.02b_Debt'!I337 = "","",'1.02b_Debt'!I337)</f>
        <v/>
      </c>
      <c r="I625" s="2988" t="str">
        <f>IF('1.02b_Debt'!J337 = "","",'1.02b_Debt'!J337)</f>
        <v/>
      </c>
      <c r="J625" s="2051"/>
      <c r="K625" s="2051"/>
      <c r="L625" s="2051"/>
      <c r="M625" s="2063"/>
      <c r="N625" s="2064"/>
      <c r="O625" s="2064"/>
      <c r="P625" s="2064"/>
      <c r="Q625" s="2064"/>
      <c r="R625" s="2064"/>
      <c r="S625" s="2064"/>
      <c r="T625" s="2065"/>
      <c r="U625" s="2066"/>
      <c r="V625" s="2064"/>
      <c r="W625" s="2064"/>
      <c r="X625" s="2064"/>
      <c r="Y625" s="2067"/>
    </row>
    <row r="626" spans="2:27" outlineLevel="1">
      <c r="B626" s="2011" t="s">
        <v>1349</v>
      </c>
      <c r="C626" s="2317" t="str">
        <f>IF('1.02b_Debt'!D338 = "","",'1.02b_Debt'!D338)</f>
        <v/>
      </c>
      <c r="D626" s="2317" t="str">
        <f>IF('1.02b_Debt'!E338 = "","",'1.02b_Debt'!E338)</f>
        <v/>
      </c>
      <c r="E626" s="2981" t="str">
        <f>IF('1.02b_Debt'!F338 = "","",'1.02b_Debt'!F338)</f>
        <v/>
      </c>
      <c r="F626" s="2987" t="str">
        <f>IF('1.02b_Debt'!G338 = "","",'1.02b_Debt'!G338)</f>
        <v/>
      </c>
      <c r="G626" s="2987" t="str">
        <f>IF('1.02b_Debt'!H338 = "","",'1.02b_Debt'!H338)</f>
        <v/>
      </c>
      <c r="H626" s="2987" t="str">
        <f>IF('1.02b_Debt'!I338 = "","",'1.02b_Debt'!I338)</f>
        <v/>
      </c>
      <c r="I626" s="2988" t="str">
        <f>IF('1.02b_Debt'!J338 = "","",'1.02b_Debt'!J338)</f>
        <v/>
      </c>
      <c r="J626" s="2051"/>
      <c r="K626" s="2051"/>
      <c r="L626" s="2051"/>
      <c r="M626" s="2063"/>
      <c r="N626" s="2064"/>
      <c r="O626" s="2064"/>
      <c r="P626" s="2064"/>
      <c r="Q626" s="2064"/>
      <c r="R626" s="2064"/>
      <c r="S626" s="2064"/>
      <c r="T626" s="2065"/>
      <c r="U626" s="2066"/>
      <c r="V626" s="2064"/>
      <c r="W626" s="2064"/>
      <c r="X626" s="2064"/>
      <c r="Y626" s="2067"/>
    </row>
    <row r="627" spans="2:27" outlineLevel="1">
      <c r="B627" s="2011" t="s">
        <v>1350</v>
      </c>
      <c r="C627" s="2317" t="str">
        <f>IF('1.02b_Debt'!D339 = "","",'1.02b_Debt'!D339)</f>
        <v/>
      </c>
      <c r="D627" s="2317" t="str">
        <f>IF('1.02b_Debt'!E339 = "","",'1.02b_Debt'!E339)</f>
        <v/>
      </c>
      <c r="E627" s="2981" t="str">
        <f>IF('1.02b_Debt'!F339 = "","",'1.02b_Debt'!F339)</f>
        <v/>
      </c>
      <c r="F627" s="2987" t="str">
        <f>IF('1.02b_Debt'!G339 = "","",'1.02b_Debt'!G339)</f>
        <v/>
      </c>
      <c r="G627" s="2987" t="str">
        <f>IF('1.02b_Debt'!H339 = "","",'1.02b_Debt'!H339)</f>
        <v/>
      </c>
      <c r="H627" s="2987" t="str">
        <f>IF('1.02b_Debt'!I339 = "","",'1.02b_Debt'!I339)</f>
        <v/>
      </c>
      <c r="I627" s="2988" t="str">
        <f>IF('1.02b_Debt'!J339 = "","",'1.02b_Debt'!J339)</f>
        <v/>
      </c>
      <c r="J627" s="2051"/>
      <c r="K627" s="2051"/>
      <c r="L627" s="2051"/>
      <c r="M627" s="2063"/>
      <c r="N627" s="2064"/>
      <c r="O627" s="2064"/>
      <c r="P627" s="2064"/>
      <c r="Q627" s="2064"/>
      <c r="R627" s="2064"/>
      <c r="S627" s="2064"/>
      <c r="T627" s="2065"/>
      <c r="U627" s="2066"/>
      <c r="V627" s="2064"/>
      <c r="W627" s="2064"/>
      <c r="X627" s="2064"/>
      <c r="Y627" s="2067"/>
    </row>
    <row r="628" spans="2:27" outlineLevel="1">
      <c r="B628" s="2011" t="s">
        <v>1351</v>
      </c>
      <c r="C628" s="2317" t="str">
        <f>IF('1.02b_Debt'!D340 = "","",'1.02b_Debt'!D340)</f>
        <v/>
      </c>
      <c r="D628" s="2317" t="str">
        <f>IF('1.02b_Debt'!E340 = "","",'1.02b_Debt'!E340)</f>
        <v/>
      </c>
      <c r="E628" s="2981" t="str">
        <f>IF('1.02b_Debt'!F340 = "","",'1.02b_Debt'!F340)</f>
        <v/>
      </c>
      <c r="F628" s="2987" t="str">
        <f>IF('1.02b_Debt'!G340 = "","",'1.02b_Debt'!G340)</f>
        <v/>
      </c>
      <c r="G628" s="2987" t="str">
        <f>IF('1.02b_Debt'!H340 = "","",'1.02b_Debt'!H340)</f>
        <v/>
      </c>
      <c r="H628" s="2987" t="str">
        <f>IF('1.02b_Debt'!I340 = "","",'1.02b_Debt'!I340)</f>
        <v/>
      </c>
      <c r="I628" s="2988" t="str">
        <f>IF('1.02b_Debt'!J340 = "","",'1.02b_Debt'!J340)</f>
        <v/>
      </c>
      <c r="J628" s="2051"/>
      <c r="K628" s="2051"/>
      <c r="L628" s="2051"/>
      <c r="M628" s="2063"/>
      <c r="N628" s="2064"/>
      <c r="O628" s="2064"/>
      <c r="P628" s="2064"/>
      <c r="Q628" s="2064"/>
      <c r="R628" s="2064"/>
      <c r="S628" s="2064"/>
      <c r="T628" s="2065"/>
      <c r="U628" s="2066"/>
      <c r="V628" s="2064"/>
      <c r="W628" s="2064"/>
      <c r="X628" s="2064"/>
      <c r="Y628" s="2067"/>
    </row>
    <row r="629" spans="2:27" outlineLevel="1">
      <c r="B629" s="2068" t="s">
        <v>1352</v>
      </c>
      <c r="C629" s="2994" t="s">
        <v>943</v>
      </c>
      <c r="D629" s="2995"/>
      <c r="E629" s="2995"/>
      <c r="F629" s="2995"/>
      <c r="G629" s="2995"/>
      <c r="H629" s="2995"/>
      <c r="I629" s="2996"/>
      <c r="J629" s="2051"/>
      <c r="K629" s="2051"/>
      <c r="L629" s="2051"/>
      <c r="M629" s="2069"/>
      <c r="N629" s="2070"/>
      <c r="O629" s="2070"/>
      <c r="P629" s="2070"/>
      <c r="Q629" s="2070"/>
      <c r="R629" s="2070"/>
      <c r="S629" s="2070"/>
      <c r="T629" s="2071"/>
      <c r="U629" s="2072"/>
      <c r="V629" s="2070"/>
      <c r="W629" s="2070"/>
      <c r="X629" s="2070"/>
      <c r="Y629" s="2073"/>
    </row>
    <row r="630" spans="2:27" s="1877" customFormat="1">
      <c r="B630" s="1878"/>
      <c r="E630" s="1950"/>
      <c r="F630" s="1950"/>
      <c r="G630" s="1950"/>
      <c r="H630" s="1950"/>
      <c r="I630" s="1895"/>
      <c r="J630" s="1895"/>
      <c r="K630" s="1895"/>
      <c r="L630" s="1910" t="s">
        <v>1353</v>
      </c>
      <c r="M630" s="2074">
        <f>SUM(M620:M629)</f>
        <v>0</v>
      </c>
      <c r="N630" s="2075">
        <f t="shared" ref="N630:Y630" si="26">SUM(N620:N629)</f>
        <v>0</v>
      </c>
      <c r="O630" s="2075">
        <f t="shared" si="26"/>
        <v>0</v>
      </c>
      <c r="P630" s="2075">
        <f t="shared" si="26"/>
        <v>0</v>
      </c>
      <c r="Q630" s="2075">
        <f t="shared" si="26"/>
        <v>0</v>
      </c>
      <c r="R630" s="2075">
        <f t="shared" si="26"/>
        <v>0</v>
      </c>
      <c r="S630" s="2075">
        <f t="shared" si="26"/>
        <v>0</v>
      </c>
      <c r="T630" s="2076">
        <f t="shared" si="26"/>
        <v>0</v>
      </c>
      <c r="U630" s="2077">
        <f t="shared" si="26"/>
        <v>0</v>
      </c>
      <c r="V630" s="2075">
        <f t="shared" si="26"/>
        <v>0</v>
      </c>
      <c r="W630" s="2075">
        <f t="shared" si="26"/>
        <v>0</v>
      </c>
      <c r="X630" s="2075">
        <f t="shared" si="26"/>
        <v>0</v>
      </c>
      <c r="Y630" s="2078">
        <f t="shared" si="26"/>
        <v>0</v>
      </c>
    </row>
    <row r="631" spans="2:27" s="1877" customFormat="1">
      <c r="B631" s="1878"/>
      <c r="C631" s="1895"/>
      <c r="D631" s="1895"/>
      <c r="E631" s="1950"/>
      <c r="F631" s="1950"/>
      <c r="G631" s="1950"/>
      <c r="H631" s="1950"/>
      <c r="I631" s="1895"/>
      <c r="J631" s="1895"/>
      <c r="K631" s="1895"/>
      <c r="L631" s="1895"/>
      <c r="M631" s="1895"/>
      <c r="N631" s="1895"/>
      <c r="O631" s="1895"/>
      <c r="P631" s="1895"/>
      <c r="Q631" s="1895"/>
      <c r="R631" s="1895"/>
      <c r="AA631" s="1886"/>
    </row>
    <row r="632" spans="2:27" ht="14.25">
      <c r="B632" s="2145" t="s">
        <v>1354</v>
      </c>
      <c r="C632" s="2146" t="s">
        <v>1441</v>
      </c>
      <c r="D632" s="2146"/>
      <c r="E632" s="2146"/>
      <c r="F632" s="2146"/>
      <c r="G632" s="2147"/>
      <c r="H632" s="2147"/>
      <c r="I632" s="2147"/>
      <c r="J632" s="2147"/>
      <c r="K632" s="2147"/>
      <c r="L632" s="2145"/>
      <c r="M632" s="2146"/>
      <c r="N632" s="2146"/>
      <c r="O632" s="2146"/>
      <c r="P632" s="2146"/>
      <c r="Q632" s="2146"/>
      <c r="R632" s="2146"/>
      <c r="S632" s="2146"/>
      <c r="T632" s="2146"/>
      <c r="U632" s="2287"/>
      <c r="V632" s="2146"/>
      <c r="W632" s="2146"/>
      <c r="X632" s="2146"/>
      <c r="Y632" s="2146"/>
    </row>
    <row r="633" spans="2:27">
      <c r="C633" s="1870"/>
      <c r="Q633" s="1870"/>
      <c r="R633" s="1870"/>
      <c r="S633" s="1870"/>
      <c r="T633" s="1870"/>
      <c r="U633" s="1870"/>
      <c r="V633" s="1870"/>
      <c r="W633" s="1870"/>
      <c r="X633" s="1870"/>
      <c r="Y633" s="1870"/>
    </row>
    <row r="634" spans="2:27" ht="18" outlineLevel="1">
      <c r="B634" s="2159"/>
      <c r="C634" s="1952"/>
      <c r="D634" s="2167" t="s">
        <v>1430</v>
      </c>
      <c r="E634" s="2290"/>
      <c r="F634" s="2290"/>
      <c r="G634" s="2168"/>
      <c r="H634" s="2168"/>
      <c r="I634" s="2168"/>
      <c r="J634" s="2168"/>
      <c r="K634" s="2168"/>
      <c r="L634" s="2229"/>
      <c r="M634" s="2290"/>
      <c r="N634" s="2290"/>
      <c r="O634" s="2290"/>
      <c r="P634" s="2290"/>
      <c r="Q634" s="2290"/>
      <c r="R634" s="2290"/>
      <c r="S634" s="2290"/>
      <c r="T634" s="2290"/>
      <c r="U634" s="2291"/>
      <c r="V634" s="2290"/>
      <c r="W634" s="2290"/>
      <c r="X634" s="2290"/>
      <c r="Y634" s="2290"/>
    </row>
    <row r="635" spans="2:27">
      <c r="C635" s="1870"/>
      <c r="Q635" s="1870"/>
      <c r="R635" s="1870"/>
      <c r="S635" s="1870"/>
      <c r="T635" s="1870"/>
      <c r="U635" s="1870"/>
      <c r="V635" s="1870"/>
      <c r="W635" s="1870"/>
      <c r="X635" s="1870"/>
      <c r="Y635" s="1870"/>
    </row>
    <row r="636" spans="2:27" ht="25.5" customHeight="1" outlineLevel="1">
      <c r="B636" s="2083"/>
      <c r="C636" s="1919" t="s">
        <v>949</v>
      </c>
      <c r="D636" s="1919" t="s">
        <v>950</v>
      </c>
      <c r="E636" s="2989" t="s">
        <v>1098</v>
      </c>
      <c r="F636" s="2990"/>
      <c r="G636" s="2990"/>
      <c r="H636" s="2990"/>
      <c r="I636" s="2991"/>
      <c r="J636" s="2051"/>
      <c r="K636" s="2051"/>
      <c r="L636" s="2051"/>
      <c r="Q636" s="1870"/>
      <c r="R636" s="1870"/>
      <c r="S636" s="1870"/>
      <c r="T636" s="1870"/>
      <c r="U636" s="1886"/>
      <c r="V636" s="1870"/>
      <c r="W636" s="1870"/>
      <c r="X636" s="1870"/>
      <c r="Y636" s="1870"/>
    </row>
    <row r="637" spans="2:27" ht="25.5" customHeight="1" outlineLevel="1">
      <c r="B637" s="2003" t="s">
        <v>965</v>
      </c>
      <c r="C637" s="1975" t="s">
        <v>966</v>
      </c>
      <c r="D637" s="1975" t="s">
        <v>966</v>
      </c>
      <c r="E637" s="2992"/>
      <c r="F637" s="2933"/>
      <c r="G637" s="2933"/>
      <c r="H637" s="2933"/>
      <c r="I637" s="2993"/>
      <c r="J637" s="2051"/>
      <c r="K637" s="2051"/>
      <c r="L637" s="2051"/>
      <c r="M637" s="2088" t="s">
        <v>498</v>
      </c>
      <c r="N637" s="2089" t="s">
        <v>498</v>
      </c>
      <c r="O637" s="2089" t="s">
        <v>498</v>
      </c>
      <c r="P637" s="2089" t="s">
        <v>498</v>
      </c>
      <c r="Q637" s="2089" t="s">
        <v>498</v>
      </c>
      <c r="R637" s="2089" t="s">
        <v>498</v>
      </c>
      <c r="S637" s="2089" t="s">
        <v>498</v>
      </c>
      <c r="T637" s="2090" t="s">
        <v>498</v>
      </c>
      <c r="U637" s="2091" t="s">
        <v>498</v>
      </c>
      <c r="V637" s="2089" t="s">
        <v>498</v>
      </c>
      <c r="W637" s="2089" t="s">
        <v>498</v>
      </c>
      <c r="X637" s="2089" t="s">
        <v>498</v>
      </c>
      <c r="Y637" s="2092" t="s">
        <v>498</v>
      </c>
    </row>
    <row r="638" spans="2:27" outlineLevel="1">
      <c r="B638" s="2034" t="s">
        <v>1357</v>
      </c>
      <c r="C638" s="2318" t="str">
        <f>IF('1.02b_Debt'!D360 = "","",'1.02b_Debt'!D360)</f>
        <v/>
      </c>
      <c r="D638" s="2318" t="str">
        <f>IF('1.02b_Debt'!E360 = "","",'1.02b_Debt'!E360)</f>
        <v/>
      </c>
      <c r="E638" s="2848" t="str">
        <f>IF('1.02b_Debt'!F360 = "","",'1.02b_Debt'!F360)</f>
        <v/>
      </c>
      <c r="F638" s="2849"/>
      <c r="G638" s="2849"/>
      <c r="H638" s="2849"/>
      <c r="I638" s="2850"/>
      <c r="J638" s="2051"/>
      <c r="K638" s="2051"/>
      <c r="L638" s="2051"/>
      <c r="M638" s="2063"/>
      <c r="N638" s="2064"/>
      <c r="O638" s="2064"/>
      <c r="P638" s="2064"/>
      <c r="Q638" s="2064"/>
      <c r="R638" s="2064"/>
      <c r="S638" s="2064"/>
      <c r="T638" s="2065"/>
      <c r="U638" s="2066"/>
      <c r="V638" s="2064"/>
      <c r="W638" s="2064"/>
      <c r="X638" s="2064"/>
      <c r="Y638" s="2067"/>
    </row>
    <row r="639" spans="2:27" outlineLevel="1">
      <c r="B639" s="2011" t="s">
        <v>1358</v>
      </c>
      <c r="C639" s="2318" t="str">
        <f>IF('1.02b_Debt'!D361 = "","",'1.02b_Debt'!D361)</f>
        <v/>
      </c>
      <c r="D639" s="2318" t="str">
        <f>IF('1.02b_Debt'!E361 = "","",'1.02b_Debt'!E361)</f>
        <v/>
      </c>
      <c r="E639" s="2848" t="str">
        <f>IF('1.02b_Debt'!F361 = "","",'1.02b_Debt'!F361)</f>
        <v/>
      </c>
      <c r="F639" s="2849"/>
      <c r="G639" s="2849"/>
      <c r="H639" s="2849"/>
      <c r="I639" s="2850"/>
      <c r="J639" s="2051"/>
      <c r="K639" s="2051"/>
      <c r="L639" s="2051"/>
      <c r="M639" s="2063"/>
      <c r="N639" s="2064"/>
      <c r="O639" s="2064"/>
      <c r="P639" s="2064"/>
      <c r="Q639" s="2064"/>
      <c r="R639" s="2064"/>
      <c r="S639" s="2064"/>
      <c r="T639" s="2065"/>
      <c r="U639" s="2066"/>
      <c r="V639" s="2064"/>
      <c r="W639" s="2064"/>
      <c r="X639" s="2064"/>
      <c r="Y639" s="2067"/>
    </row>
    <row r="640" spans="2:27" outlineLevel="1">
      <c r="B640" s="2011" t="s">
        <v>1359</v>
      </c>
      <c r="C640" s="2318" t="str">
        <f>IF('1.02b_Debt'!D362 = "","",'1.02b_Debt'!D362)</f>
        <v/>
      </c>
      <c r="D640" s="2318" t="str">
        <f>IF('1.02b_Debt'!E362 = "","",'1.02b_Debt'!E362)</f>
        <v/>
      </c>
      <c r="E640" s="2848" t="str">
        <f>IF('1.02b_Debt'!F362 = "","",'1.02b_Debt'!F362)</f>
        <v/>
      </c>
      <c r="F640" s="2849"/>
      <c r="G640" s="2849"/>
      <c r="H640" s="2849"/>
      <c r="I640" s="2850"/>
      <c r="J640" s="2051"/>
      <c r="K640" s="2051"/>
      <c r="L640" s="2051"/>
      <c r="M640" s="2063"/>
      <c r="N640" s="2064"/>
      <c r="O640" s="2064"/>
      <c r="P640" s="2064"/>
      <c r="Q640" s="2064"/>
      <c r="R640" s="2064"/>
      <c r="S640" s="2064"/>
      <c r="T640" s="2065"/>
      <c r="U640" s="2066"/>
      <c r="V640" s="2064"/>
      <c r="W640" s="2064"/>
      <c r="X640" s="2064"/>
      <c r="Y640" s="2067"/>
    </row>
    <row r="641" spans="2:31" outlineLevel="1">
      <c r="B641" s="2011" t="s">
        <v>1360</v>
      </c>
      <c r="C641" s="2318" t="str">
        <f>IF('1.02b_Debt'!D363 = "","",'1.02b_Debt'!D363)</f>
        <v/>
      </c>
      <c r="D641" s="2318" t="str">
        <f>IF('1.02b_Debt'!E363 = "","",'1.02b_Debt'!E363)</f>
        <v/>
      </c>
      <c r="E641" s="2848" t="str">
        <f>IF('1.02b_Debt'!F363 = "","",'1.02b_Debt'!F363)</f>
        <v/>
      </c>
      <c r="F641" s="2849"/>
      <c r="G641" s="2849"/>
      <c r="H641" s="2849"/>
      <c r="I641" s="2850"/>
      <c r="J641" s="2051"/>
      <c r="K641" s="2051"/>
      <c r="L641" s="2051"/>
      <c r="M641" s="2063"/>
      <c r="N641" s="2064"/>
      <c r="O641" s="2064"/>
      <c r="P641" s="2064"/>
      <c r="Q641" s="2064"/>
      <c r="R641" s="2064"/>
      <c r="S641" s="2064"/>
      <c r="T641" s="2065"/>
      <c r="U641" s="2066"/>
      <c r="V641" s="2064"/>
      <c r="W641" s="2064"/>
      <c r="X641" s="2064"/>
      <c r="Y641" s="2067"/>
    </row>
    <row r="642" spans="2:31" outlineLevel="1">
      <c r="B642" s="2068" t="s">
        <v>1361</v>
      </c>
      <c r="C642" s="2994" t="s">
        <v>943</v>
      </c>
      <c r="D642" s="2995"/>
      <c r="E642" s="2995"/>
      <c r="F642" s="2995"/>
      <c r="G642" s="2995"/>
      <c r="H642" s="2995"/>
      <c r="I642" s="2996"/>
      <c r="J642" s="2051"/>
      <c r="K642" s="2051"/>
      <c r="L642" s="2051"/>
      <c r="M642" s="2069"/>
      <c r="N642" s="2070"/>
      <c r="O642" s="2070"/>
      <c r="P642" s="2070"/>
      <c r="Q642" s="2070"/>
      <c r="R642" s="2070"/>
      <c r="S642" s="2070"/>
      <c r="T642" s="2071"/>
      <c r="U642" s="2072"/>
      <c r="V642" s="2070"/>
      <c r="W642" s="2070"/>
      <c r="X642" s="2070"/>
      <c r="Y642" s="2073"/>
    </row>
    <row r="643" spans="2:31" s="1877" customFormat="1">
      <c r="B643" s="1878"/>
      <c r="E643" s="1878"/>
      <c r="F643" s="1878"/>
      <c r="G643" s="1878"/>
      <c r="H643" s="1878"/>
      <c r="L643" s="2094" t="s">
        <v>1362</v>
      </c>
      <c r="M643" s="2074">
        <f t="shared" ref="M643:Y643" si="27">SUM(M638:M642)</f>
        <v>0</v>
      </c>
      <c r="N643" s="2075">
        <f t="shared" si="27"/>
        <v>0</v>
      </c>
      <c r="O643" s="2075">
        <f t="shared" si="27"/>
        <v>0</v>
      </c>
      <c r="P643" s="2075">
        <f t="shared" si="27"/>
        <v>0</v>
      </c>
      <c r="Q643" s="2075">
        <f t="shared" si="27"/>
        <v>0</v>
      </c>
      <c r="R643" s="2075">
        <f t="shared" si="27"/>
        <v>0</v>
      </c>
      <c r="S643" s="2075">
        <f t="shared" si="27"/>
        <v>0</v>
      </c>
      <c r="T643" s="2076">
        <f t="shared" si="27"/>
        <v>0</v>
      </c>
      <c r="U643" s="2077">
        <f t="shared" si="27"/>
        <v>0</v>
      </c>
      <c r="V643" s="2075">
        <f t="shared" si="27"/>
        <v>0</v>
      </c>
      <c r="W643" s="2075">
        <f t="shared" si="27"/>
        <v>0</v>
      </c>
      <c r="X643" s="2075">
        <f t="shared" si="27"/>
        <v>0</v>
      </c>
      <c r="Y643" s="2078">
        <f t="shared" si="27"/>
        <v>0</v>
      </c>
    </row>
    <row r="644" spans="2:31" s="1877" customFormat="1">
      <c r="B644" s="1878"/>
    </row>
    <row r="645" spans="2:31" ht="18" outlineLevel="1">
      <c r="C645" s="1952"/>
      <c r="D645" s="2167" t="s">
        <v>1431</v>
      </c>
      <c r="E645" s="2168"/>
      <c r="F645" s="2168"/>
      <c r="G645" s="2168"/>
      <c r="H645" s="2168"/>
      <c r="I645" s="2168"/>
      <c r="J645" s="2168"/>
      <c r="K645" s="2168"/>
      <c r="L645" s="2229"/>
      <c r="M645" s="2168"/>
      <c r="N645" s="2168"/>
      <c r="O645" s="2168"/>
      <c r="P645" s="2168"/>
      <c r="Q645" s="2168"/>
      <c r="R645" s="2168"/>
      <c r="S645" s="2168"/>
      <c r="T645" s="2168"/>
      <c r="U645" s="2230"/>
      <c r="V645" s="2168"/>
      <c r="W645" s="2168"/>
      <c r="X645" s="2168"/>
      <c r="Y645" s="2168"/>
    </row>
    <row r="646" spans="2:31" outlineLevel="1">
      <c r="B646" s="1901"/>
      <c r="C646" s="1870"/>
      <c r="Q646" s="1870"/>
      <c r="R646" s="1870"/>
      <c r="T646" s="1885"/>
      <c r="U646" s="1885"/>
      <c r="V646" s="1885"/>
      <c r="W646" s="1885"/>
      <c r="X646" s="1885"/>
      <c r="Z646" s="1885"/>
      <c r="AA646" s="1892"/>
      <c r="AB646" s="1885"/>
      <c r="AC646" s="1885"/>
      <c r="AD646" s="1885"/>
      <c r="AE646" s="1885"/>
    </row>
    <row r="647" spans="2:31" ht="25.5" customHeight="1" outlineLevel="1">
      <c r="B647" s="2083"/>
      <c r="C647" s="1919" t="s">
        <v>949</v>
      </c>
      <c r="D647" s="1919" t="s">
        <v>950</v>
      </c>
      <c r="E647" s="2989" t="s">
        <v>1098</v>
      </c>
      <c r="F647" s="2990"/>
      <c r="G647" s="2990"/>
      <c r="H647" s="2990"/>
      <c r="I647" s="2991"/>
      <c r="J647" s="2051"/>
      <c r="K647" s="2051"/>
      <c r="L647" s="2051"/>
      <c r="Q647" s="1870"/>
      <c r="R647" s="1870"/>
      <c r="S647" s="1870"/>
      <c r="T647" s="1870"/>
      <c r="U647" s="1886"/>
      <c r="V647" s="1870"/>
      <c r="W647" s="1870"/>
      <c r="X647" s="1870"/>
      <c r="Y647" s="1870"/>
    </row>
    <row r="648" spans="2:31" ht="25.5" customHeight="1" outlineLevel="1">
      <c r="B648" s="2003" t="s">
        <v>965</v>
      </c>
      <c r="C648" s="1975" t="s">
        <v>966</v>
      </c>
      <c r="D648" s="1975" t="s">
        <v>966</v>
      </c>
      <c r="E648" s="2992"/>
      <c r="F648" s="2933"/>
      <c r="G648" s="2933"/>
      <c r="H648" s="2933"/>
      <c r="I648" s="2993"/>
      <c r="J648" s="2051"/>
      <c r="K648" s="2051"/>
      <c r="L648" s="2051"/>
      <c r="M648" s="2088" t="s">
        <v>498</v>
      </c>
      <c r="N648" s="2089" t="s">
        <v>498</v>
      </c>
      <c r="O648" s="2089" t="s">
        <v>498</v>
      </c>
      <c r="P648" s="2089" t="s">
        <v>498</v>
      </c>
      <c r="Q648" s="2089" t="s">
        <v>498</v>
      </c>
      <c r="R648" s="2089" t="s">
        <v>498</v>
      </c>
      <c r="S648" s="2089" t="s">
        <v>498</v>
      </c>
      <c r="T648" s="2090" t="s">
        <v>498</v>
      </c>
      <c r="U648" s="2091" t="s">
        <v>498</v>
      </c>
      <c r="V648" s="2089" t="s">
        <v>498</v>
      </c>
      <c r="W648" s="2089" t="s">
        <v>498</v>
      </c>
      <c r="X648" s="2089" t="s">
        <v>498</v>
      </c>
      <c r="Y648" s="2092" t="s">
        <v>498</v>
      </c>
    </row>
    <row r="649" spans="2:31" outlineLevel="1">
      <c r="B649" s="2034" t="s">
        <v>1357</v>
      </c>
      <c r="C649" s="2318" t="str">
        <f>IF('1.02b_Debt'!D360 = "","",'1.02b_Debt'!D360)</f>
        <v/>
      </c>
      <c r="D649" s="2318" t="str">
        <f>IF('1.02b_Debt'!E360 = "","",'1.02b_Debt'!E360)</f>
        <v/>
      </c>
      <c r="E649" s="2984" t="str">
        <f>IF('1.02b_Debt'!F360 = "","",'1.02b_Debt'!F360)</f>
        <v/>
      </c>
      <c r="F649" s="2985" t="str">
        <f>IF('1.02b_Debt'!G360 = "","",'1.02b_Debt'!G360)</f>
        <v/>
      </c>
      <c r="G649" s="2985" t="str">
        <f>IF('1.02b_Debt'!H360 = "","",'1.02b_Debt'!H360)</f>
        <v/>
      </c>
      <c r="H649" s="2985" t="str">
        <f>IF('1.02b_Debt'!I360 = "","",'1.02b_Debt'!I360)</f>
        <v/>
      </c>
      <c r="I649" s="2986" t="str">
        <f>IF('1.02b_Debt'!J360 = "","",'1.02b_Debt'!J360)</f>
        <v/>
      </c>
      <c r="J649" s="2051"/>
      <c r="K649" s="2051"/>
      <c r="L649" s="2051"/>
      <c r="M649" s="2063"/>
      <c r="N649" s="2064"/>
      <c r="O649" s="2064"/>
      <c r="P649" s="2064"/>
      <c r="Q649" s="2064"/>
      <c r="R649" s="2064"/>
      <c r="S649" s="2064"/>
      <c r="T649" s="2065"/>
      <c r="U649" s="2066"/>
      <c r="V649" s="2064"/>
      <c r="W649" s="2064"/>
      <c r="X649" s="2064"/>
      <c r="Y649" s="2067"/>
    </row>
    <row r="650" spans="2:31" outlineLevel="1">
      <c r="B650" s="2011" t="s">
        <v>1358</v>
      </c>
      <c r="C650" s="2318" t="str">
        <f>IF('1.02b_Debt'!D361 = "","",'1.02b_Debt'!D361)</f>
        <v/>
      </c>
      <c r="D650" s="2318" t="str">
        <f>IF('1.02b_Debt'!E361 = "","",'1.02b_Debt'!E361)</f>
        <v/>
      </c>
      <c r="E650" s="2981" t="str">
        <f>IF('1.02b_Debt'!F361 = "","",'1.02b_Debt'!F361)</f>
        <v/>
      </c>
      <c r="F650" s="2987" t="str">
        <f>IF('1.02b_Debt'!G361 = "","",'1.02b_Debt'!G361)</f>
        <v/>
      </c>
      <c r="G650" s="2987" t="str">
        <f>IF('1.02b_Debt'!H361 = "","",'1.02b_Debt'!H361)</f>
        <v/>
      </c>
      <c r="H650" s="2987" t="str">
        <f>IF('1.02b_Debt'!I361 = "","",'1.02b_Debt'!I361)</f>
        <v/>
      </c>
      <c r="I650" s="2988" t="str">
        <f>IF('1.02b_Debt'!J361 = "","",'1.02b_Debt'!J361)</f>
        <v/>
      </c>
      <c r="J650" s="2051"/>
      <c r="K650" s="2051"/>
      <c r="L650" s="2051"/>
      <c r="M650" s="2063"/>
      <c r="N650" s="2064"/>
      <c r="O650" s="2064"/>
      <c r="P650" s="2064"/>
      <c r="Q650" s="2064"/>
      <c r="R650" s="2064"/>
      <c r="S650" s="2064"/>
      <c r="T650" s="2065"/>
      <c r="U650" s="2066"/>
      <c r="V650" s="2064"/>
      <c r="W650" s="2064"/>
      <c r="X650" s="2064"/>
      <c r="Y650" s="2067"/>
    </row>
    <row r="651" spans="2:31" outlineLevel="1">
      <c r="B651" s="2011" t="s">
        <v>1359</v>
      </c>
      <c r="C651" s="2318" t="str">
        <f>IF('1.02b_Debt'!D362 = "","",'1.02b_Debt'!D362)</f>
        <v/>
      </c>
      <c r="D651" s="2318" t="str">
        <f>IF('1.02b_Debt'!E362 = "","",'1.02b_Debt'!E362)</f>
        <v/>
      </c>
      <c r="E651" s="2981" t="str">
        <f>IF('1.02b_Debt'!F362 = "","",'1.02b_Debt'!F362)</f>
        <v/>
      </c>
      <c r="F651" s="2987" t="str">
        <f>IF('1.02b_Debt'!G362 = "","",'1.02b_Debt'!G362)</f>
        <v/>
      </c>
      <c r="G651" s="2987" t="str">
        <f>IF('1.02b_Debt'!H362 = "","",'1.02b_Debt'!H362)</f>
        <v/>
      </c>
      <c r="H651" s="2987" t="str">
        <f>IF('1.02b_Debt'!I362 = "","",'1.02b_Debt'!I362)</f>
        <v/>
      </c>
      <c r="I651" s="2988" t="str">
        <f>IF('1.02b_Debt'!J362 = "","",'1.02b_Debt'!J362)</f>
        <v/>
      </c>
      <c r="J651" s="2051"/>
      <c r="K651" s="2051"/>
      <c r="L651" s="2051"/>
      <c r="M651" s="2063"/>
      <c r="N651" s="2064"/>
      <c r="O651" s="2064"/>
      <c r="P651" s="2064"/>
      <c r="Q651" s="2064"/>
      <c r="R651" s="2064"/>
      <c r="S651" s="2064"/>
      <c r="T651" s="2065"/>
      <c r="U651" s="2066"/>
      <c r="V651" s="2064"/>
      <c r="W651" s="2064"/>
      <c r="X651" s="2064"/>
      <c r="Y651" s="2067"/>
    </row>
    <row r="652" spans="2:31" outlineLevel="1">
      <c r="B652" s="2011" t="s">
        <v>1360</v>
      </c>
      <c r="C652" s="2318" t="str">
        <f>IF('1.02b_Debt'!D363 = "","",'1.02b_Debt'!D363)</f>
        <v/>
      </c>
      <c r="D652" s="2318" t="str">
        <f>IF('1.02b_Debt'!E363 = "","",'1.02b_Debt'!E363)</f>
        <v/>
      </c>
      <c r="E652" s="2981" t="str">
        <f>IF('1.02b_Debt'!F363 = "","",'1.02b_Debt'!F363)</f>
        <v/>
      </c>
      <c r="F652" s="2987" t="str">
        <f>IF('1.02b_Debt'!G363 = "","",'1.02b_Debt'!G363)</f>
        <v/>
      </c>
      <c r="G652" s="2987" t="str">
        <f>IF('1.02b_Debt'!H363 = "","",'1.02b_Debt'!H363)</f>
        <v/>
      </c>
      <c r="H652" s="2987" t="str">
        <f>IF('1.02b_Debt'!I363 = "","",'1.02b_Debt'!I363)</f>
        <v/>
      </c>
      <c r="I652" s="2988" t="str">
        <f>IF('1.02b_Debt'!J363 = "","",'1.02b_Debt'!J363)</f>
        <v/>
      </c>
      <c r="J652" s="2051"/>
      <c r="K652" s="2051"/>
      <c r="L652" s="2051"/>
      <c r="M652" s="2063"/>
      <c r="N652" s="2064"/>
      <c r="O652" s="2064"/>
      <c r="P652" s="2064"/>
      <c r="Q652" s="2064"/>
      <c r="R652" s="2064"/>
      <c r="S652" s="2064"/>
      <c r="T652" s="2065"/>
      <c r="U652" s="2066"/>
      <c r="V652" s="2064"/>
      <c r="W652" s="2064"/>
      <c r="X652" s="2064"/>
      <c r="Y652" s="2067"/>
    </row>
    <row r="653" spans="2:31" outlineLevel="1">
      <c r="B653" s="2068" t="s">
        <v>1361</v>
      </c>
      <c r="C653" s="2994" t="s">
        <v>943</v>
      </c>
      <c r="D653" s="2995"/>
      <c r="E653" s="2995"/>
      <c r="F653" s="2995"/>
      <c r="G653" s="2995"/>
      <c r="H653" s="2995"/>
      <c r="I653" s="2996"/>
      <c r="J653" s="2051"/>
      <c r="K653" s="2051"/>
      <c r="L653" s="2051"/>
      <c r="M653" s="2069"/>
      <c r="N653" s="2070"/>
      <c r="O653" s="2070"/>
      <c r="P653" s="2070"/>
      <c r="Q653" s="2070"/>
      <c r="R653" s="2070"/>
      <c r="S653" s="2070"/>
      <c r="T653" s="2071"/>
      <c r="U653" s="2072"/>
      <c r="V653" s="2070"/>
      <c r="W653" s="2070"/>
      <c r="X653" s="2070"/>
      <c r="Y653" s="2073"/>
    </row>
    <row r="654" spans="2:31" s="1877" customFormat="1">
      <c r="B654" s="1878"/>
      <c r="E654" s="1878"/>
      <c r="F654" s="1878"/>
      <c r="G654" s="1878"/>
      <c r="H654" s="1878"/>
      <c r="L654" s="2094" t="s">
        <v>1362</v>
      </c>
      <c r="M654" s="2074">
        <f t="shared" ref="M654:Y654" si="28">SUM(M649:M653)</f>
        <v>0</v>
      </c>
      <c r="N654" s="2075">
        <f t="shared" si="28"/>
        <v>0</v>
      </c>
      <c r="O654" s="2075">
        <f t="shared" si="28"/>
        <v>0</v>
      </c>
      <c r="P654" s="2075">
        <f t="shared" si="28"/>
        <v>0</v>
      </c>
      <c r="Q654" s="2075">
        <f t="shared" si="28"/>
        <v>0</v>
      </c>
      <c r="R654" s="2075">
        <f t="shared" si="28"/>
        <v>0</v>
      </c>
      <c r="S654" s="2075">
        <f t="shared" si="28"/>
        <v>0</v>
      </c>
      <c r="T654" s="2076">
        <f t="shared" si="28"/>
        <v>0</v>
      </c>
      <c r="U654" s="2077">
        <f t="shared" si="28"/>
        <v>0</v>
      </c>
      <c r="V654" s="2075">
        <f t="shared" si="28"/>
        <v>0</v>
      </c>
      <c r="W654" s="2075">
        <f t="shared" si="28"/>
        <v>0</v>
      </c>
      <c r="X654" s="2075">
        <f t="shared" si="28"/>
        <v>0</v>
      </c>
      <c r="Y654" s="2078">
        <f t="shared" si="28"/>
        <v>0</v>
      </c>
    </row>
    <row r="655" spans="2:31" s="1877" customFormat="1">
      <c r="B655" s="1878"/>
      <c r="E655" s="1878"/>
      <c r="F655" s="1878"/>
      <c r="G655" s="1878"/>
      <c r="H655" s="1878"/>
      <c r="L655" s="1870"/>
      <c r="U655" s="1886"/>
    </row>
    <row r="656" spans="2:31" ht="14.25">
      <c r="B656" s="2145" t="s">
        <v>1363</v>
      </c>
      <c r="C656" s="2146" t="s">
        <v>1442</v>
      </c>
      <c r="D656" s="2146"/>
      <c r="E656" s="2146"/>
      <c r="F656" s="2146"/>
      <c r="G656" s="2147"/>
      <c r="H656" s="2147"/>
      <c r="I656" s="2147"/>
      <c r="J656" s="2147"/>
      <c r="K656" s="2147"/>
      <c r="L656" s="2145"/>
      <c r="M656" s="2146"/>
      <c r="N656" s="2146"/>
      <c r="O656" s="2146"/>
      <c r="P656" s="2146"/>
      <c r="Q656" s="2146"/>
      <c r="R656" s="2146"/>
      <c r="S656" s="2146"/>
      <c r="T656" s="2146"/>
      <c r="U656" s="2287"/>
      <c r="V656" s="2146"/>
      <c r="W656" s="2146"/>
      <c r="X656" s="2146"/>
      <c r="Y656" s="2146"/>
    </row>
    <row r="657" spans="2:25">
      <c r="C657" s="1870"/>
      <c r="Q657" s="1870"/>
      <c r="R657" s="1870"/>
      <c r="S657" s="1870"/>
      <c r="T657" s="1870"/>
      <c r="U657" s="1870"/>
      <c r="V657" s="1870"/>
      <c r="W657" s="1870"/>
      <c r="X657" s="1870"/>
      <c r="Y657" s="1870"/>
    </row>
    <row r="658" spans="2:25" ht="18" outlineLevel="1">
      <c r="B658" s="2159"/>
      <c r="C658" s="1952"/>
      <c r="D658" s="2167" t="s">
        <v>1430</v>
      </c>
      <c r="E658" s="2290"/>
      <c r="F658" s="2290"/>
      <c r="G658" s="2168"/>
      <c r="H658" s="2168"/>
      <c r="I658" s="2168"/>
      <c r="J658" s="2168"/>
      <c r="K658" s="2168"/>
      <c r="L658" s="2229"/>
      <c r="M658" s="2290"/>
      <c r="N658" s="2290"/>
      <c r="O658" s="2290"/>
      <c r="P658" s="2290"/>
      <c r="Q658" s="2290"/>
      <c r="R658" s="2290"/>
      <c r="S658" s="2290"/>
      <c r="T658" s="2290"/>
      <c r="U658" s="2291"/>
      <c r="V658" s="2290"/>
      <c r="W658" s="2290"/>
      <c r="X658" s="2290"/>
      <c r="Y658" s="2290"/>
    </row>
    <row r="659" spans="2:25">
      <c r="C659" s="1870"/>
      <c r="Q659" s="1870"/>
      <c r="R659" s="1870"/>
      <c r="S659" s="1870"/>
      <c r="T659" s="1870"/>
      <c r="U659" s="1870"/>
      <c r="V659" s="1870"/>
      <c r="W659" s="1870"/>
      <c r="X659" s="1870"/>
      <c r="Y659" s="1870"/>
    </row>
    <row r="660" spans="2:25" ht="25.35" customHeight="1" outlineLevel="1">
      <c r="B660" s="2083"/>
      <c r="C660" s="1919" t="s">
        <v>949</v>
      </c>
      <c r="D660" s="1919" t="s">
        <v>950</v>
      </c>
      <c r="E660" s="2989" t="s">
        <v>1098</v>
      </c>
      <c r="F660" s="2990"/>
      <c r="G660" s="2990"/>
      <c r="H660" s="2990"/>
      <c r="I660" s="2991"/>
      <c r="J660" s="2051"/>
      <c r="K660" s="2051"/>
      <c r="L660" s="2051"/>
      <c r="Q660" s="1870"/>
      <c r="R660" s="1870"/>
      <c r="S660" s="1870"/>
      <c r="T660" s="1870"/>
      <c r="U660" s="1886"/>
      <c r="V660" s="1870"/>
      <c r="W660" s="1870"/>
      <c r="X660" s="1870"/>
      <c r="Y660" s="1870"/>
    </row>
    <row r="661" spans="2:25" ht="12.75" customHeight="1" outlineLevel="1">
      <c r="B661" s="2003" t="s">
        <v>965</v>
      </c>
      <c r="C661" s="1975" t="s">
        <v>966</v>
      </c>
      <c r="D661" s="1975" t="s">
        <v>966</v>
      </c>
      <c r="E661" s="2992"/>
      <c r="F661" s="2933"/>
      <c r="G661" s="2933"/>
      <c r="H661" s="2933"/>
      <c r="I661" s="2993"/>
      <c r="J661" s="2051"/>
      <c r="K661" s="2051"/>
      <c r="L661" s="2051"/>
      <c r="M661" s="2088" t="s">
        <v>498</v>
      </c>
      <c r="N661" s="2089" t="s">
        <v>498</v>
      </c>
      <c r="O661" s="2089" t="s">
        <v>498</v>
      </c>
      <c r="P661" s="2089" t="s">
        <v>498</v>
      </c>
      <c r="Q661" s="2089" t="s">
        <v>498</v>
      </c>
      <c r="R661" s="2089" t="s">
        <v>498</v>
      </c>
      <c r="S661" s="2089" t="s">
        <v>498</v>
      </c>
      <c r="T661" s="2090" t="s">
        <v>498</v>
      </c>
      <c r="U661" s="2091" t="s">
        <v>498</v>
      </c>
      <c r="V661" s="2089" t="s">
        <v>498</v>
      </c>
      <c r="W661" s="2089" t="s">
        <v>498</v>
      </c>
      <c r="X661" s="2089" t="s">
        <v>498</v>
      </c>
      <c r="Y661" s="2092" t="s">
        <v>498</v>
      </c>
    </row>
    <row r="662" spans="2:25" outlineLevel="1">
      <c r="B662" s="2034" t="s">
        <v>1367</v>
      </c>
      <c r="C662" s="2318" t="str">
        <f>IF('1.02b_Debt'!D378 = "","",'1.02b_Debt'!D378)</f>
        <v/>
      </c>
      <c r="D662" s="2318" t="str">
        <f>IF('1.02b_Debt'!E378 = "","",'1.02b_Debt'!E378)</f>
        <v/>
      </c>
      <c r="E662" s="2848" t="str">
        <f>IF('1.02b_Debt'!F378 = "","",'1.02b_Debt'!F378)</f>
        <v/>
      </c>
      <c r="F662" s="2849"/>
      <c r="G662" s="2849"/>
      <c r="H662" s="2849"/>
      <c r="I662" s="2850"/>
      <c r="J662" s="2051"/>
      <c r="K662" s="2051"/>
      <c r="L662" s="2051"/>
      <c r="M662" s="2063"/>
      <c r="N662" s="2064"/>
      <c r="O662" s="2064"/>
      <c r="P662" s="2064"/>
      <c r="Q662" s="2064"/>
      <c r="R662" s="2064"/>
      <c r="S662" s="2064"/>
      <c r="T662" s="2065"/>
      <c r="U662" s="2066"/>
      <c r="V662" s="2064"/>
      <c r="W662" s="2064"/>
      <c r="X662" s="2064"/>
      <c r="Y662" s="2067"/>
    </row>
    <row r="663" spans="2:25" outlineLevel="1">
      <c r="B663" s="2011" t="s">
        <v>1368</v>
      </c>
      <c r="C663" s="2318" t="str">
        <f>IF('1.02b_Debt'!D379 = "","",'1.02b_Debt'!D379)</f>
        <v/>
      </c>
      <c r="D663" s="2318" t="str">
        <f>IF('1.02b_Debt'!E379 = "","",'1.02b_Debt'!E379)</f>
        <v/>
      </c>
      <c r="E663" s="2848" t="str">
        <f>IF('1.02b_Debt'!F379 = "","",'1.02b_Debt'!F379)</f>
        <v/>
      </c>
      <c r="F663" s="2849"/>
      <c r="G663" s="2849"/>
      <c r="H663" s="2849"/>
      <c r="I663" s="2850"/>
      <c r="J663" s="2051"/>
      <c r="K663" s="2051"/>
      <c r="L663" s="2051"/>
      <c r="M663" s="2063"/>
      <c r="N663" s="2064"/>
      <c r="O663" s="2064"/>
      <c r="P663" s="2064"/>
      <c r="Q663" s="2064"/>
      <c r="R663" s="2064"/>
      <c r="S663" s="2064"/>
      <c r="T663" s="2065"/>
      <c r="U663" s="2066"/>
      <c r="V663" s="2064"/>
      <c r="W663" s="2064"/>
      <c r="X663" s="2064"/>
      <c r="Y663" s="2067"/>
    </row>
    <row r="664" spans="2:25" outlineLevel="1">
      <c r="B664" s="2011" t="s">
        <v>1369</v>
      </c>
      <c r="C664" s="2318" t="str">
        <f>IF('1.02b_Debt'!D380 = "","",'1.02b_Debt'!D380)</f>
        <v/>
      </c>
      <c r="D664" s="2318" t="str">
        <f>IF('1.02b_Debt'!E380 = "","",'1.02b_Debt'!E380)</f>
        <v/>
      </c>
      <c r="E664" s="2848" t="str">
        <f>IF('1.02b_Debt'!F380 = "","",'1.02b_Debt'!F380)</f>
        <v/>
      </c>
      <c r="F664" s="2849"/>
      <c r="G664" s="2849"/>
      <c r="H664" s="2849"/>
      <c r="I664" s="2850"/>
      <c r="J664" s="2051"/>
      <c r="K664" s="2051"/>
      <c r="L664" s="2051"/>
      <c r="M664" s="2063"/>
      <c r="N664" s="2064"/>
      <c r="O664" s="2064"/>
      <c r="P664" s="2064"/>
      <c r="Q664" s="2064"/>
      <c r="R664" s="2064"/>
      <c r="S664" s="2064"/>
      <c r="T664" s="2065"/>
      <c r="U664" s="2066"/>
      <c r="V664" s="2064"/>
      <c r="W664" s="2064"/>
      <c r="X664" s="2064"/>
      <c r="Y664" s="2067"/>
    </row>
    <row r="665" spans="2:25" outlineLevel="1">
      <c r="B665" s="2011" t="s">
        <v>1370</v>
      </c>
      <c r="C665" s="2318" t="str">
        <f>IF('1.02b_Debt'!D381 = "","",'1.02b_Debt'!D381)</f>
        <v/>
      </c>
      <c r="D665" s="2318" t="str">
        <f>IF('1.02b_Debt'!E381 = "","",'1.02b_Debt'!E381)</f>
        <v/>
      </c>
      <c r="E665" s="2848" t="str">
        <f>IF('1.02b_Debt'!F381 = "","",'1.02b_Debt'!F381)</f>
        <v/>
      </c>
      <c r="F665" s="2849"/>
      <c r="G665" s="2849"/>
      <c r="H665" s="2849"/>
      <c r="I665" s="2850"/>
      <c r="J665" s="2051"/>
      <c r="K665" s="2051"/>
      <c r="L665" s="2051"/>
      <c r="M665" s="2063"/>
      <c r="N665" s="2064"/>
      <c r="O665" s="2064"/>
      <c r="P665" s="2064"/>
      <c r="Q665" s="2064"/>
      <c r="R665" s="2064"/>
      <c r="S665" s="2064"/>
      <c r="T665" s="2065"/>
      <c r="U665" s="2066"/>
      <c r="V665" s="2064"/>
      <c r="W665" s="2064"/>
      <c r="X665" s="2064"/>
      <c r="Y665" s="2067"/>
    </row>
    <row r="666" spans="2:25" outlineLevel="1">
      <c r="B666" s="2068" t="s">
        <v>1371</v>
      </c>
      <c r="C666" s="2325" t="s">
        <v>943</v>
      </c>
      <c r="D666" s="2326"/>
      <c r="E666" s="2327"/>
      <c r="F666" s="2327"/>
      <c r="G666" s="2327"/>
      <c r="H666" s="2327"/>
      <c r="I666" s="2328"/>
      <c r="J666" s="2051"/>
      <c r="K666" s="2051"/>
      <c r="L666" s="2051"/>
      <c r="M666" s="2069"/>
      <c r="N666" s="2070"/>
      <c r="O666" s="2070"/>
      <c r="P666" s="2070"/>
      <c r="Q666" s="2070"/>
      <c r="R666" s="2070"/>
      <c r="S666" s="2070"/>
      <c r="T666" s="2071"/>
      <c r="U666" s="2072"/>
      <c r="V666" s="2070"/>
      <c r="W666" s="2070"/>
      <c r="X666" s="2070"/>
      <c r="Y666" s="2073"/>
    </row>
    <row r="667" spans="2:25" s="1877" customFormat="1">
      <c r="B667" s="1878"/>
      <c r="E667" s="1878"/>
      <c r="F667" s="1878"/>
      <c r="G667" s="1878"/>
      <c r="H667" s="1878"/>
      <c r="L667" s="2094" t="s">
        <v>1373</v>
      </c>
      <c r="M667" s="2074">
        <f t="shared" ref="M667:Y667" si="29">SUM(M662:M666)</f>
        <v>0</v>
      </c>
      <c r="N667" s="2075">
        <f t="shared" si="29"/>
        <v>0</v>
      </c>
      <c r="O667" s="2075">
        <f t="shared" si="29"/>
        <v>0</v>
      </c>
      <c r="P667" s="2075">
        <f t="shared" si="29"/>
        <v>0</v>
      </c>
      <c r="Q667" s="2075">
        <f t="shared" si="29"/>
        <v>0</v>
      </c>
      <c r="R667" s="2075">
        <f t="shared" si="29"/>
        <v>0</v>
      </c>
      <c r="S667" s="2075">
        <f t="shared" si="29"/>
        <v>0</v>
      </c>
      <c r="T667" s="2076">
        <f t="shared" si="29"/>
        <v>0</v>
      </c>
      <c r="U667" s="2077">
        <f t="shared" si="29"/>
        <v>0</v>
      </c>
      <c r="V667" s="2075">
        <f t="shared" si="29"/>
        <v>0</v>
      </c>
      <c r="W667" s="2075">
        <f t="shared" si="29"/>
        <v>0</v>
      </c>
      <c r="X667" s="2075">
        <f t="shared" si="29"/>
        <v>0</v>
      </c>
      <c r="Y667" s="2078">
        <f t="shared" si="29"/>
        <v>0</v>
      </c>
    </row>
    <row r="668" spans="2:25" s="1877" customFormat="1">
      <c r="B668" s="1878"/>
    </row>
    <row r="669" spans="2:25" ht="18" outlineLevel="1">
      <c r="C669" s="1952"/>
      <c r="D669" s="2167" t="s">
        <v>1431</v>
      </c>
      <c r="E669" s="2168"/>
      <c r="F669" s="2168"/>
      <c r="G669" s="2168"/>
      <c r="H669" s="2168"/>
      <c r="I669" s="2168"/>
      <c r="J669" s="2168"/>
      <c r="K669" s="2168"/>
      <c r="L669" s="2229"/>
      <c r="M669" s="2168"/>
      <c r="N669" s="2168"/>
      <c r="O669" s="2168"/>
      <c r="P669" s="2168"/>
      <c r="Q669" s="2168"/>
      <c r="R669" s="2168"/>
      <c r="S669" s="2168"/>
      <c r="T669" s="2168"/>
      <c r="U669" s="2230"/>
      <c r="V669" s="2168"/>
      <c r="W669" s="2168"/>
      <c r="X669" s="2168"/>
      <c r="Y669" s="2168"/>
    </row>
    <row r="670" spans="2:25">
      <c r="B670" s="1887"/>
      <c r="C670" s="1952"/>
      <c r="D670" s="1952"/>
      <c r="Q670" s="1870"/>
      <c r="R670" s="1870"/>
      <c r="S670" s="1870"/>
      <c r="T670" s="1870"/>
      <c r="U670" s="1886"/>
      <c r="V670" s="1870"/>
      <c r="W670" s="1870"/>
      <c r="X670" s="1870"/>
      <c r="Y670" s="1870"/>
    </row>
    <row r="671" spans="2:25" ht="25.35" customHeight="1" outlineLevel="1">
      <c r="B671" s="2083"/>
      <c r="C671" s="1919" t="s">
        <v>949</v>
      </c>
      <c r="D671" s="1919" t="s">
        <v>950</v>
      </c>
      <c r="E671" s="2989" t="s">
        <v>1098</v>
      </c>
      <c r="F671" s="2990"/>
      <c r="G671" s="2990"/>
      <c r="H671" s="2990"/>
      <c r="I671" s="2991"/>
      <c r="J671" s="2051"/>
      <c r="K671" s="2051"/>
      <c r="L671" s="2051"/>
      <c r="Q671" s="1870"/>
      <c r="R671" s="1870"/>
      <c r="S671" s="1870"/>
      <c r="T671" s="1870"/>
      <c r="U671" s="1886"/>
      <c r="V671" s="1870"/>
      <c r="W671" s="1870"/>
      <c r="X671" s="1870"/>
      <c r="Y671" s="1870"/>
    </row>
    <row r="672" spans="2:25" ht="12.75" customHeight="1" outlineLevel="1">
      <c r="B672" s="2003" t="s">
        <v>965</v>
      </c>
      <c r="C672" s="1975" t="s">
        <v>966</v>
      </c>
      <c r="D672" s="1975" t="s">
        <v>966</v>
      </c>
      <c r="E672" s="2992"/>
      <c r="F672" s="2933"/>
      <c r="G672" s="2933"/>
      <c r="H672" s="2933"/>
      <c r="I672" s="2993"/>
      <c r="J672" s="2051"/>
      <c r="K672" s="2051"/>
      <c r="L672" s="2051"/>
      <c r="M672" s="2088" t="s">
        <v>498</v>
      </c>
      <c r="N672" s="2089" t="s">
        <v>498</v>
      </c>
      <c r="O672" s="2089" t="s">
        <v>498</v>
      </c>
      <c r="P672" s="2089" t="s">
        <v>498</v>
      </c>
      <c r="Q672" s="2089" t="s">
        <v>498</v>
      </c>
      <c r="R672" s="2089" t="s">
        <v>498</v>
      </c>
      <c r="S672" s="2089" t="s">
        <v>498</v>
      </c>
      <c r="T672" s="2090" t="s">
        <v>498</v>
      </c>
      <c r="U672" s="2091" t="s">
        <v>498</v>
      </c>
      <c r="V672" s="2089" t="s">
        <v>498</v>
      </c>
      <c r="W672" s="2089" t="s">
        <v>498</v>
      </c>
      <c r="X672" s="2089" t="s">
        <v>498</v>
      </c>
      <c r="Y672" s="2092" t="s">
        <v>498</v>
      </c>
    </row>
    <row r="673" spans="2:25" outlineLevel="1">
      <c r="B673" s="2034" t="s">
        <v>1367</v>
      </c>
      <c r="C673" s="2318" t="str">
        <f>IF('1.02b_Debt'!D378 = "","",'1.02b_Debt'!D378)</f>
        <v/>
      </c>
      <c r="D673" s="2318" t="str">
        <f>IF('1.02b_Debt'!E378 = "","",'1.02b_Debt'!E378)</f>
        <v/>
      </c>
      <c r="E673" s="2984" t="str">
        <f>IF('1.02b_Debt'!F378 = "","",'1.02b_Debt'!F378)</f>
        <v/>
      </c>
      <c r="F673" s="2985" t="str">
        <f>IF('1.02b_Debt'!G378 = "","",'1.02b_Debt'!G378)</f>
        <v/>
      </c>
      <c r="G673" s="2985" t="str">
        <f>IF('1.02b_Debt'!H378 = "","",'1.02b_Debt'!H378)</f>
        <v/>
      </c>
      <c r="H673" s="2985" t="str">
        <f>IF('1.02b_Debt'!I378 = "","",'1.02b_Debt'!I378)</f>
        <v/>
      </c>
      <c r="I673" s="2986" t="str">
        <f>IF('1.02b_Debt'!J378 = "","",'1.02b_Debt'!J378)</f>
        <v/>
      </c>
      <c r="J673" s="2051"/>
      <c r="K673" s="2051"/>
      <c r="L673" s="2051"/>
      <c r="M673" s="2063"/>
      <c r="N673" s="2064"/>
      <c r="O673" s="2064"/>
      <c r="P673" s="2064"/>
      <c r="Q673" s="2064"/>
      <c r="R673" s="2064"/>
      <c r="S673" s="2064"/>
      <c r="T673" s="2065"/>
      <c r="U673" s="2066"/>
      <c r="V673" s="2064"/>
      <c r="W673" s="2064"/>
      <c r="X673" s="2064"/>
      <c r="Y673" s="2067"/>
    </row>
    <row r="674" spans="2:25" outlineLevel="1">
      <c r="B674" s="2011" t="s">
        <v>1368</v>
      </c>
      <c r="C674" s="2318" t="str">
        <f>IF('1.02b_Debt'!D379 = "","",'1.02b_Debt'!D379)</f>
        <v/>
      </c>
      <c r="D674" s="2318" t="str">
        <f>IF('1.02b_Debt'!E379 = "","",'1.02b_Debt'!E379)</f>
        <v/>
      </c>
      <c r="E674" s="2981" t="str">
        <f>IF('1.02b_Debt'!F379 = "","",'1.02b_Debt'!F379)</f>
        <v/>
      </c>
      <c r="F674" s="2987" t="str">
        <f>IF('1.02b_Debt'!G379 = "","",'1.02b_Debt'!G379)</f>
        <v/>
      </c>
      <c r="G674" s="2987" t="str">
        <f>IF('1.02b_Debt'!H379 = "","",'1.02b_Debt'!H379)</f>
        <v/>
      </c>
      <c r="H674" s="2987" t="str">
        <f>IF('1.02b_Debt'!I379 = "","",'1.02b_Debt'!I379)</f>
        <v/>
      </c>
      <c r="I674" s="2988" t="str">
        <f>IF('1.02b_Debt'!J379 = "","",'1.02b_Debt'!J379)</f>
        <v/>
      </c>
      <c r="J674" s="2051"/>
      <c r="K674" s="2051"/>
      <c r="L674" s="2051"/>
      <c r="M674" s="2063"/>
      <c r="N674" s="2064"/>
      <c r="O674" s="2064"/>
      <c r="P674" s="2064"/>
      <c r="Q674" s="2064"/>
      <c r="R674" s="2064"/>
      <c r="S674" s="2064"/>
      <c r="T674" s="2065"/>
      <c r="U674" s="2066"/>
      <c r="V674" s="2064"/>
      <c r="W674" s="2064"/>
      <c r="X674" s="2064"/>
      <c r="Y674" s="2067"/>
    </row>
    <row r="675" spans="2:25" outlineLevel="1">
      <c r="B675" s="2011" t="s">
        <v>1369</v>
      </c>
      <c r="C675" s="2318" t="str">
        <f>IF('1.02b_Debt'!D380 = "","",'1.02b_Debt'!D380)</f>
        <v/>
      </c>
      <c r="D675" s="2318" t="str">
        <f>IF('1.02b_Debt'!E380 = "","",'1.02b_Debt'!E380)</f>
        <v/>
      </c>
      <c r="E675" s="2981" t="str">
        <f>IF('1.02b_Debt'!F380 = "","",'1.02b_Debt'!F380)</f>
        <v/>
      </c>
      <c r="F675" s="2987" t="str">
        <f>IF('1.02b_Debt'!G380 = "","",'1.02b_Debt'!G380)</f>
        <v/>
      </c>
      <c r="G675" s="2987" t="str">
        <f>IF('1.02b_Debt'!H380 = "","",'1.02b_Debt'!H380)</f>
        <v/>
      </c>
      <c r="H675" s="2987" t="str">
        <f>IF('1.02b_Debt'!I380 = "","",'1.02b_Debt'!I380)</f>
        <v/>
      </c>
      <c r="I675" s="2988" t="str">
        <f>IF('1.02b_Debt'!J380 = "","",'1.02b_Debt'!J380)</f>
        <v/>
      </c>
      <c r="J675" s="2051"/>
      <c r="K675" s="2051"/>
      <c r="L675" s="2051"/>
      <c r="M675" s="2063"/>
      <c r="N675" s="2064"/>
      <c r="O675" s="2064"/>
      <c r="P675" s="2064"/>
      <c r="Q675" s="2064"/>
      <c r="R675" s="2064"/>
      <c r="S675" s="2064"/>
      <c r="T675" s="2065"/>
      <c r="U675" s="2066"/>
      <c r="V675" s="2064"/>
      <c r="W675" s="2064"/>
      <c r="X675" s="2064"/>
      <c r="Y675" s="2067"/>
    </row>
    <row r="676" spans="2:25" outlineLevel="1">
      <c r="B676" s="2011" t="s">
        <v>1370</v>
      </c>
      <c r="C676" s="2318" t="str">
        <f>IF('1.02b_Debt'!D381 = "","",'1.02b_Debt'!D381)</f>
        <v/>
      </c>
      <c r="D676" s="2318" t="str">
        <f>IF('1.02b_Debt'!E381 = "","",'1.02b_Debt'!E381)</f>
        <v/>
      </c>
      <c r="E676" s="2981" t="str">
        <f>IF('1.02b_Debt'!F381 = "","",'1.02b_Debt'!F381)</f>
        <v/>
      </c>
      <c r="F676" s="2987" t="str">
        <f>IF('1.02b_Debt'!G381 = "","",'1.02b_Debt'!G381)</f>
        <v/>
      </c>
      <c r="G676" s="2987" t="str">
        <f>IF('1.02b_Debt'!H381 = "","",'1.02b_Debt'!H381)</f>
        <v/>
      </c>
      <c r="H676" s="2987" t="str">
        <f>IF('1.02b_Debt'!I381 = "","",'1.02b_Debt'!I381)</f>
        <v/>
      </c>
      <c r="I676" s="2988" t="str">
        <f>IF('1.02b_Debt'!J381 = "","",'1.02b_Debt'!J381)</f>
        <v/>
      </c>
      <c r="J676" s="2051"/>
      <c r="K676" s="2051"/>
      <c r="L676" s="2051"/>
      <c r="M676" s="2063"/>
      <c r="N676" s="2064"/>
      <c r="O676" s="2064"/>
      <c r="P676" s="2064"/>
      <c r="Q676" s="2064"/>
      <c r="R676" s="2064"/>
      <c r="S676" s="2064"/>
      <c r="T676" s="2065"/>
      <c r="U676" s="2066"/>
      <c r="V676" s="2064"/>
      <c r="W676" s="2064"/>
      <c r="X676" s="2064"/>
      <c r="Y676" s="2067"/>
    </row>
    <row r="677" spans="2:25" outlineLevel="1">
      <c r="B677" s="2068" t="s">
        <v>1371</v>
      </c>
      <c r="C677" s="2325" t="s">
        <v>943</v>
      </c>
      <c r="D677" s="2326"/>
      <c r="E677" s="2327"/>
      <c r="F677" s="2327"/>
      <c r="G677" s="2327"/>
      <c r="H677" s="2327"/>
      <c r="I677" s="2328"/>
      <c r="J677" s="2051"/>
      <c r="K677" s="2051"/>
      <c r="L677" s="2051"/>
      <c r="M677" s="2069"/>
      <c r="N677" s="2070"/>
      <c r="O677" s="2070"/>
      <c r="P677" s="2070"/>
      <c r="Q677" s="2070"/>
      <c r="R677" s="2070"/>
      <c r="S677" s="2070"/>
      <c r="T677" s="2071"/>
      <c r="U677" s="2072"/>
      <c r="V677" s="2070"/>
      <c r="W677" s="2070"/>
      <c r="X677" s="2070"/>
      <c r="Y677" s="2073"/>
    </row>
    <row r="678" spans="2:25" s="1877" customFormat="1">
      <c r="B678" s="1878"/>
      <c r="E678" s="1878"/>
      <c r="F678" s="1878"/>
      <c r="G678" s="1878"/>
      <c r="H678" s="1878"/>
      <c r="L678" s="2094" t="s">
        <v>1373</v>
      </c>
      <c r="M678" s="2074">
        <f t="shared" ref="M678:Y678" si="30">SUM(M673:M677)</f>
        <v>0</v>
      </c>
      <c r="N678" s="2075">
        <f t="shared" si="30"/>
        <v>0</v>
      </c>
      <c r="O678" s="2075">
        <f t="shared" si="30"/>
        <v>0</v>
      </c>
      <c r="P678" s="2075">
        <f t="shared" si="30"/>
        <v>0</v>
      </c>
      <c r="Q678" s="2075">
        <f t="shared" si="30"/>
        <v>0</v>
      </c>
      <c r="R678" s="2075">
        <f t="shared" si="30"/>
        <v>0</v>
      </c>
      <c r="S678" s="2075">
        <f t="shared" si="30"/>
        <v>0</v>
      </c>
      <c r="T678" s="2076">
        <f t="shared" si="30"/>
        <v>0</v>
      </c>
      <c r="U678" s="2077">
        <f t="shared" si="30"/>
        <v>0</v>
      </c>
      <c r="V678" s="2075">
        <f t="shared" si="30"/>
        <v>0</v>
      </c>
      <c r="W678" s="2075">
        <f t="shared" si="30"/>
        <v>0</v>
      </c>
      <c r="X678" s="2075">
        <f t="shared" si="30"/>
        <v>0</v>
      </c>
      <c r="Y678" s="2078">
        <f t="shared" si="30"/>
        <v>0</v>
      </c>
    </row>
    <row r="679" spans="2:25" s="1877" customFormat="1">
      <c r="B679" s="1878"/>
      <c r="L679" s="1870"/>
      <c r="U679" s="1886"/>
    </row>
    <row r="680" spans="2:25" ht="14.25">
      <c r="B680" s="2145" t="s">
        <v>1374</v>
      </c>
      <c r="C680" s="2146" t="s">
        <v>1443</v>
      </c>
      <c r="D680" s="2146"/>
      <c r="E680" s="2146"/>
      <c r="F680" s="2146"/>
      <c r="G680" s="2147"/>
      <c r="H680" s="2147"/>
      <c r="I680" s="2147"/>
      <c r="J680" s="2147"/>
      <c r="K680" s="2147"/>
      <c r="L680" s="2145"/>
      <c r="M680" s="2146"/>
      <c r="N680" s="2146"/>
      <c r="O680" s="2146"/>
      <c r="P680" s="2146"/>
      <c r="Q680" s="2146"/>
      <c r="R680" s="2146"/>
      <c r="S680" s="2146"/>
      <c r="T680" s="2146"/>
      <c r="U680" s="2287"/>
      <c r="V680" s="2146"/>
      <c r="W680" s="2146"/>
      <c r="X680" s="2146"/>
      <c r="Y680" s="2146"/>
    </row>
    <row r="681" spans="2:25">
      <c r="C681" s="1870"/>
      <c r="Q681" s="1870"/>
      <c r="R681" s="1870"/>
      <c r="S681" s="1870"/>
      <c r="T681" s="1870"/>
      <c r="U681" s="1870"/>
      <c r="V681" s="1870"/>
      <c r="W681" s="1870"/>
      <c r="X681" s="1870"/>
      <c r="Y681" s="1870"/>
    </row>
    <row r="682" spans="2:25" ht="18" outlineLevel="1">
      <c r="B682" s="2159"/>
      <c r="C682" s="1952"/>
      <c r="D682" s="2167" t="s">
        <v>1430</v>
      </c>
      <c r="E682" s="2290"/>
      <c r="F682" s="2290"/>
      <c r="G682" s="2168"/>
      <c r="H682" s="2168"/>
      <c r="I682" s="2168"/>
      <c r="J682" s="2168"/>
      <c r="K682" s="2168"/>
      <c r="L682" s="2229"/>
      <c r="M682" s="2290"/>
      <c r="N682" s="2290"/>
      <c r="O682" s="2290"/>
      <c r="P682" s="2290"/>
      <c r="Q682" s="2290"/>
      <c r="R682" s="2290"/>
      <c r="S682" s="2290"/>
      <c r="T682" s="2290"/>
      <c r="U682" s="2291"/>
      <c r="V682" s="2290"/>
      <c r="W682" s="2290"/>
      <c r="X682" s="2290"/>
      <c r="Y682" s="2290"/>
    </row>
    <row r="683" spans="2:25">
      <c r="C683" s="1870"/>
      <c r="Q683" s="1870"/>
      <c r="R683" s="1870"/>
      <c r="S683" s="1870"/>
      <c r="T683" s="1870"/>
      <c r="U683" s="1870"/>
      <c r="V683" s="1870"/>
      <c r="W683" s="1870"/>
      <c r="X683" s="1870"/>
      <c r="Y683" s="1870"/>
    </row>
    <row r="684" spans="2:25" outlineLevel="1">
      <c r="B684" s="2048" t="s">
        <v>965</v>
      </c>
      <c r="C684" s="2329" t="s">
        <v>951</v>
      </c>
      <c r="D684" s="2839"/>
      <c r="E684" s="2839"/>
      <c r="F684" s="2839"/>
      <c r="G684" s="2839"/>
      <c r="H684" s="2839"/>
      <c r="I684" s="2840"/>
      <c r="J684" s="2051"/>
      <c r="K684" s="2051"/>
      <c r="L684" s="2051"/>
      <c r="M684" s="2088" t="s">
        <v>498</v>
      </c>
      <c r="N684" s="2089" t="s">
        <v>498</v>
      </c>
      <c r="O684" s="2089" t="s">
        <v>498</v>
      </c>
      <c r="P684" s="2089" t="s">
        <v>498</v>
      </c>
      <c r="Q684" s="2089" t="s">
        <v>498</v>
      </c>
      <c r="R684" s="2089" t="s">
        <v>498</v>
      </c>
      <c r="S684" s="2089" t="s">
        <v>498</v>
      </c>
      <c r="T684" s="2090" t="s">
        <v>498</v>
      </c>
      <c r="U684" s="2091" t="s">
        <v>498</v>
      </c>
      <c r="V684" s="2089" t="s">
        <v>498</v>
      </c>
      <c r="W684" s="2089" t="s">
        <v>498</v>
      </c>
      <c r="X684" s="2089" t="s">
        <v>498</v>
      </c>
      <c r="Y684" s="2092" t="s">
        <v>498</v>
      </c>
    </row>
    <row r="685" spans="2:25" outlineLevel="1">
      <c r="B685" s="2011" t="s">
        <v>1376</v>
      </c>
      <c r="C685" s="2981" t="str">
        <f>IF('1.02b_Debt'!D394 = "","",'1.02b_Debt'!D394)</f>
        <v/>
      </c>
      <c r="D685" s="2982"/>
      <c r="E685" s="2982"/>
      <c r="F685" s="2982"/>
      <c r="G685" s="2982"/>
      <c r="H685" s="2982"/>
      <c r="I685" s="2983"/>
      <c r="J685" s="2051"/>
      <c r="K685" s="2051"/>
      <c r="L685" s="2051"/>
      <c r="M685" s="2063"/>
      <c r="N685" s="2064"/>
      <c r="O685" s="2064"/>
      <c r="P685" s="2064"/>
      <c r="Q685" s="2064"/>
      <c r="R685" s="2064"/>
      <c r="S685" s="2064"/>
      <c r="T685" s="2065"/>
      <c r="U685" s="2066"/>
      <c r="V685" s="2064"/>
      <c r="W685" s="2064"/>
      <c r="X685" s="2064"/>
      <c r="Y685" s="2067"/>
    </row>
    <row r="686" spans="2:25" outlineLevel="1">
      <c r="B686" s="2011" t="s">
        <v>1377</v>
      </c>
      <c r="C686" s="2981" t="str">
        <f>IF('1.02b_Debt'!D395 = "","",'1.02b_Debt'!D395)</f>
        <v/>
      </c>
      <c r="D686" s="2982"/>
      <c r="E686" s="2982"/>
      <c r="F686" s="2982"/>
      <c r="G686" s="2982"/>
      <c r="H686" s="2982"/>
      <c r="I686" s="2983"/>
      <c r="J686" s="2051"/>
      <c r="K686" s="2051"/>
      <c r="L686" s="2051"/>
      <c r="M686" s="2063"/>
      <c r="N686" s="2064"/>
      <c r="O686" s="2064"/>
      <c r="P686" s="2064"/>
      <c r="Q686" s="2064"/>
      <c r="R686" s="2064"/>
      <c r="S686" s="2064"/>
      <c r="T686" s="2065"/>
      <c r="U686" s="2066"/>
      <c r="V686" s="2064"/>
      <c r="W686" s="2064"/>
      <c r="X686" s="2064"/>
      <c r="Y686" s="2067"/>
    </row>
    <row r="687" spans="2:25" outlineLevel="1">
      <c r="B687" s="2011" t="s">
        <v>1378</v>
      </c>
      <c r="C687" s="2981" t="str">
        <f>IF('1.02b_Debt'!D396 = "","",'1.02b_Debt'!D396)</f>
        <v/>
      </c>
      <c r="D687" s="2982"/>
      <c r="E687" s="2982"/>
      <c r="F687" s="2982"/>
      <c r="G687" s="2982"/>
      <c r="H687" s="2982"/>
      <c r="I687" s="2983"/>
      <c r="J687" s="2051"/>
      <c r="K687" s="2051"/>
      <c r="L687" s="2051"/>
      <c r="M687" s="2063"/>
      <c r="N687" s="2064"/>
      <c r="O687" s="2064"/>
      <c r="P687" s="2064"/>
      <c r="Q687" s="2064"/>
      <c r="R687" s="2064"/>
      <c r="S687" s="2064"/>
      <c r="T687" s="2065"/>
      <c r="U687" s="2066"/>
      <c r="V687" s="2064"/>
      <c r="W687" s="2064"/>
      <c r="X687" s="2064"/>
      <c r="Y687" s="2067"/>
    </row>
    <row r="688" spans="2:25" outlineLevel="1">
      <c r="B688" s="2011" t="s">
        <v>1379</v>
      </c>
      <c r="C688" s="2981" t="str">
        <f>IF('1.02b_Debt'!D397 = "","",'1.02b_Debt'!D397)</f>
        <v/>
      </c>
      <c r="D688" s="2982"/>
      <c r="E688" s="2982"/>
      <c r="F688" s="2982"/>
      <c r="G688" s="2982"/>
      <c r="H688" s="2982"/>
      <c r="I688" s="2983"/>
      <c r="J688" s="2051"/>
      <c r="K688" s="2051"/>
      <c r="L688" s="2051"/>
      <c r="M688" s="2063"/>
      <c r="N688" s="2064"/>
      <c r="O688" s="2064"/>
      <c r="P688" s="2064"/>
      <c r="Q688" s="2064"/>
      <c r="R688" s="2064"/>
      <c r="S688" s="2064"/>
      <c r="T688" s="2065"/>
      <c r="U688" s="2066"/>
      <c r="V688" s="2064"/>
      <c r="W688" s="2064"/>
      <c r="X688" s="2064"/>
      <c r="Y688" s="2067"/>
    </row>
    <row r="689" spans="2:25" outlineLevel="1">
      <c r="B689" s="2068" t="s">
        <v>1380</v>
      </c>
      <c r="C689" s="2981" t="str">
        <f>IF('1.02b_Debt'!C398 = "","",'1.02b_Debt'!C398)</f>
        <v xml:space="preserve">{ Insert new rows here as necessary } </v>
      </c>
      <c r="D689" s="2982"/>
      <c r="E689" s="2982"/>
      <c r="F689" s="2982"/>
      <c r="G689" s="2982"/>
      <c r="H689" s="2982"/>
      <c r="I689" s="2983"/>
      <c r="J689" s="2051"/>
      <c r="K689" s="2051"/>
      <c r="L689" s="2051"/>
      <c r="M689" s="2069"/>
      <c r="N689" s="2070"/>
      <c r="O689" s="2070"/>
      <c r="P689" s="2070"/>
      <c r="Q689" s="2070"/>
      <c r="R689" s="2070"/>
      <c r="S689" s="2070"/>
      <c r="T689" s="2071"/>
      <c r="U689" s="2072"/>
      <c r="V689" s="2070"/>
      <c r="W689" s="2070"/>
      <c r="X689" s="2070"/>
      <c r="Y689" s="2073"/>
    </row>
    <row r="690" spans="2:25" s="1877" customFormat="1">
      <c r="B690" s="1878"/>
      <c r="E690" s="1878"/>
      <c r="F690" s="1878"/>
      <c r="G690" s="1878"/>
      <c r="H690" s="1878"/>
      <c r="L690" s="2094" t="s">
        <v>1381</v>
      </c>
      <c r="M690" s="2074">
        <f t="shared" ref="M690:Y690" si="31">SUM(M685:M689)</f>
        <v>0</v>
      </c>
      <c r="N690" s="2075">
        <f t="shared" si="31"/>
        <v>0</v>
      </c>
      <c r="O690" s="2075">
        <f t="shared" si="31"/>
        <v>0</v>
      </c>
      <c r="P690" s="2075">
        <f t="shared" si="31"/>
        <v>0</v>
      </c>
      <c r="Q690" s="2075">
        <f t="shared" si="31"/>
        <v>0</v>
      </c>
      <c r="R690" s="2075">
        <f t="shared" si="31"/>
        <v>0</v>
      </c>
      <c r="S690" s="2075">
        <f t="shared" si="31"/>
        <v>0</v>
      </c>
      <c r="T690" s="2076">
        <f t="shared" si="31"/>
        <v>0</v>
      </c>
      <c r="U690" s="2077">
        <f t="shared" si="31"/>
        <v>0</v>
      </c>
      <c r="V690" s="2075">
        <f t="shared" si="31"/>
        <v>0</v>
      </c>
      <c r="W690" s="2075">
        <f t="shared" si="31"/>
        <v>0</v>
      </c>
      <c r="X690" s="2075">
        <f t="shared" si="31"/>
        <v>0</v>
      </c>
      <c r="Y690" s="2078">
        <f t="shared" si="31"/>
        <v>0</v>
      </c>
    </row>
    <row r="691" spans="2:25">
      <c r="C691" s="1870"/>
      <c r="Q691" s="1870"/>
      <c r="R691" s="1870"/>
      <c r="S691" s="1870"/>
      <c r="T691" s="1870"/>
      <c r="U691" s="1870"/>
      <c r="V691" s="1870"/>
      <c r="W691" s="1870"/>
      <c r="X691" s="1870"/>
      <c r="Y691" s="1870"/>
    </row>
    <row r="692" spans="2:25">
      <c r="C692" s="1870"/>
      <c r="Q692" s="1870"/>
      <c r="R692" s="1870"/>
      <c r="S692" s="1870"/>
      <c r="T692" s="1870"/>
      <c r="U692" s="1870"/>
      <c r="V692" s="1870"/>
      <c r="W692" s="1870"/>
      <c r="X692" s="1870"/>
      <c r="Y692" s="1870"/>
    </row>
    <row r="693" spans="2:25" ht="18" outlineLevel="1">
      <c r="C693" s="1952"/>
      <c r="D693" s="2167" t="s">
        <v>1431</v>
      </c>
      <c r="E693" s="2168"/>
      <c r="F693" s="2168"/>
      <c r="G693" s="2168"/>
      <c r="H693" s="2168"/>
      <c r="I693" s="2168"/>
      <c r="J693" s="2168"/>
      <c r="K693" s="2168"/>
      <c r="L693" s="2229"/>
      <c r="M693" s="2168"/>
      <c r="N693" s="2168"/>
      <c r="O693" s="2168"/>
      <c r="P693" s="2168"/>
      <c r="Q693" s="2168"/>
      <c r="R693" s="2168"/>
      <c r="S693" s="2168"/>
      <c r="T693" s="2168"/>
      <c r="U693" s="2230"/>
      <c r="V693" s="2168"/>
      <c r="W693" s="2168"/>
      <c r="X693" s="2168"/>
      <c r="Y693" s="2168"/>
    </row>
    <row r="694" spans="2:25">
      <c r="C694" s="1870"/>
      <c r="Q694" s="1870"/>
      <c r="R694" s="1870"/>
      <c r="S694" s="1870"/>
      <c r="T694" s="1870"/>
      <c r="U694" s="1870"/>
      <c r="V694" s="1870"/>
      <c r="W694" s="1870"/>
      <c r="X694" s="1870"/>
      <c r="Y694" s="1870"/>
    </row>
    <row r="695" spans="2:25" outlineLevel="1">
      <c r="B695" s="2048" t="s">
        <v>965</v>
      </c>
      <c r="C695" s="2329" t="s">
        <v>951</v>
      </c>
      <c r="D695" s="2839"/>
      <c r="E695" s="2839"/>
      <c r="F695" s="2839"/>
      <c r="G695" s="2839"/>
      <c r="H695" s="2839"/>
      <c r="I695" s="2840"/>
      <c r="J695" s="2051"/>
      <c r="K695" s="2051"/>
      <c r="L695" s="2051"/>
      <c r="M695" s="2088" t="s">
        <v>498</v>
      </c>
      <c r="N695" s="2089" t="s">
        <v>498</v>
      </c>
      <c r="O695" s="2089" t="s">
        <v>498</v>
      </c>
      <c r="P695" s="2089" t="s">
        <v>498</v>
      </c>
      <c r="Q695" s="2089" t="s">
        <v>498</v>
      </c>
      <c r="R695" s="2089" t="s">
        <v>498</v>
      </c>
      <c r="S695" s="2089" t="s">
        <v>498</v>
      </c>
      <c r="T695" s="2090" t="s">
        <v>498</v>
      </c>
      <c r="U695" s="2091" t="s">
        <v>498</v>
      </c>
      <c r="V695" s="2089" t="s">
        <v>498</v>
      </c>
      <c r="W695" s="2089" t="s">
        <v>498</v>
      </c>
      <c r="X695" s="2089" t="s">
        <v>498</v>
      </c>
      <c r="Y695" s="2092" t="s">
        <v>498</v>
      </c>
    </row>
    <row r="696" spans="2:25" outlineLevel="1">
      <c r="B696" s="2011" t="s">
        <v>1376</v>
      </c>
      <c r="C696" s="2981" t="str">
        <f>IF('1.02b_Debt'!D394 = "","",'1.02b_Debt'!D394)</f>
        <v/>
      </c>
      <c r="D696" s="2982" t="str">
        <f>IF('1.02b_Debt'!E387 = "","",'1.02b_Debt'!E387)</f>
        <v/>
      </c>
      <c r="E696" s="2982"/>
      <c r="F696" s="2982" t="str">
        <f>IF('1.02b_Debt'!G387 = "","",'1.02b_Debt'!G387)</f>
        <v/>
      </c>
      <c r="G696" s="2982" t="str">
        <f>IF('1.02b_Debt'!H387 = "","",'1.02b_Debt'!H387)</f>
        <v/>
      </c>
      <c r="H696" s="2982" t="str">
        <f>IF('1.02b_Debt'!I387 = "","",'1.02b_Debt'!I387)</f>
        <v/>
      </c>
      <c r="I696" s="2983" t="str">
        <f>IF('1.02b_Debt'!J387 = "","",'1.02b_Debt'!J387)</f>
        <v/>
      </c>
      <c r="J696" s="2051"/>
      <c r="K696" s="2051"/>
      <c r="L696" s="2051"/>
      <c r="M696" s="2063"/>
      <c r="N696" s="2064"/>
      <c r="O696" s="2064"/>
      <c r="P696" s="2064"/>
      <c r="Q696" s="2064"/>
      <c r="R696" s="2064"/>
      <c r="S696" s="2064"/>
      <c r="T696" s="2065"/>
      <c r="U696" s="2066"/>
      <c r="V696" s="2064"/>
      <c r="W696" s="2064"/>
      <c r="X696" s="2064"/>
      <c r="Y696" s="2067"/>
    </row>
    <row r="697" spans="2:25" outlineLevel="1">
      <c r="B697" s="2011" t="s">
        <v>1377</v>
      </c>
      <c r="C697" s="2981" t="str">
        <f>IF('1.02b_Debt'!D395 = "","",'1.02b_Debt'!D395)</f>
        <v/>
      </c>
      <c r="D697" s="2982" t="str">
        <f>IF('1.02b_Debt'!E388 = "","",'1.02b_Debt'!E388)</f>
        <v/>
      </c>
      <c r="E697" s="2982" t="str">
        <f>IF('1.02b_Debt'!F388 = "","",'1.02b_Debt'!F388)</f>
        <v/>
      </c>
      <c r="F697" s="2982" t="str">
        <f>IF('1.02b_Debt'!G388 = "","",'1.02b_Debt'!G388)</f>
        <v/>
      </c>
      <c r="G697" s="2982" t="str">
        <f>IF('1.02b_Debt'!H388 = "","",'1.02b_Debt'!H388)</f>
        <v/>
      </c>
      <c r="H697" s="2982" t="str">
        <f>IF('1.02b_Debt'!I388 = "","",'1.02b_Debt'!I388)</f>
        <v/>
      </c>
      <c r="I697" s="2983" t="str">
        <f>IF('1.02b_Debt'!J388 = "","",'1.02b_Debt'!J388)</f>
        <v/>
      </c>
      <c r="J697" s="2051"/>
      <c r="K697" s="2051"/>
      <c r="L697" s="2051"/>
      <c r="M697" s="2063"/>
      <c r="N697" s="2064"/>
      <c r="O697" s="2064"/>
      <c r="P697" s="2064"/>
      <c r="Q697" s="2064"/>
      <c r="R697" s="2064"/>
      <c r="S697" s="2064"/>
      <c r="T697" s="2065"/>
      <c r="U697" s="2066"/>
      <c r="V697" s="2064"/>
      <c r="W697" s="2064"/>
      <c r="X697" s="2064"/>
      <c r="Y697" s="2067"/>
    </row>
    <row r="698" spans="2:25" outlineLevel="1">
      <c r="B698" s="2011" t="s">
        <v>1378</v>
      </c>
      <c r="C698" s="2981" t="str">
        <f>IF('1.02b_Debt'!D396 = "","",'1.02b_Debt'!D396)</f>
        <v/>
      </c>
      <c r="D698" s="2982" t="str">
        <f>IF('1.02b_Debt'!E389 = "","",'1.02b_Debt'!E389)</f>
        <v/>
      </c>
      <c r="E698" s="2982" t="str">
        <f>IF('1.02b_Debt'!F389 = "","",'1.02b_Debt'!F389)</f>
        <v/>
      </c>
      <c r="F698" s="2982" t="str">
        <f>IF('1.02b_Debt'!G389 = "","",'1.02b_Debt'!G389)</f>
        <v/>
      </c>
      <c r="G698" s="2982" t="str">
        <f>IF('1.02b_Debt'!H389 = "","",'1.02b_Debt'!H389)</f>
        <v/>
      </c>
      <c r="H698" s="2982" t="str">
        <f>IF('1.02b_Debt'!I389 = "","",'1.02b_Debt'!I389)</f>
        <v/>
      </c>
      <c r="I698" s="2983" t="str">
        <f>IF('1.02b_Debt'!J389 = "","",'1.02b_Debt'!J389)</f>
        <v/>
      </c>
      <c r="J698" s="2051"/>
      <c r="K698" s="2051"/>
      <c r="L698" s="2051"/>
      <c r="M698" s="2063"/>
      <c r="N698" s="2064"/>
      <c r="O698" s="2064"/>
      <c r="P698" s="2064"/>
      <c r="Q698" s="2064"/>
      <c r="R698" s="2064"/>
      <c r="S698" s="2064"/>
      <c r="T698" s="2065"/>
      <c r="U698" s="2066"/>
      <c r="V698" s="2064"/>
      <c r="W698" s="2064"/>
      <c r="X698" s="2064"/>
      <c r="Y698" s="2067"/>
    </row>
    <row r="699" spans="2:25" outlineLevel="1">
      <c r="B699" s="2011" t="s">
        <v>1379</v>
      </c>
      <c r="C699" s="2981" t="str">
        <f>IF('1.02b_Debt'!D397 = "","",'1.02b_Debt'!D397)</f>
        <v/>
      </c>
      <c r="D699" s="2982" t="str">
        <f>IF('1.02b_Debt'!E390 = "","",'1.02b_Debt'!E390)</f>
        <v/>
      </c>
      <c r="E699" s="2982" t="str">
        <f>IF('1.02b_Debt'!F390 = "","",'1.02b_Debt'!F390)</f>
        <v/>
      </c>
      <c r="F699" s="2982" t="str">
        <f>IF('1.02b_Debt'!G390 = "","",'1.02b_Debt'!G390)</f>
        <v/>
      </c>
      <c r="G699" s="2982" t="str">
        <f>IF('1.02b_Debt'!H390 = "","",'1.02b_Debt'!H390)</f>
        <v/>
      </c>
      <c r="H699" s="2982" t="str">
        <f>IF('1.02b_Debt'!I390 = "","",'1.02b_Debt'!I390)</f>
        <v/>
      </c>
      <c r="I699" s="2983" t="str">
        <f>IF('1.02b_Debt'!J390 = "","",'1.02b_Debt'!J390)</f>
        <v/>
      </c>
      <c r="J699" s="2051"/>
      <c r="K699" s="2051"/>
      <c r="L699" s="2051"/>
      <c r="M699" s="2063"/>
      <c r="N699" s="2064"/>
      <c r="O699" s="2064"/>
      <c r="P699" s="2064"/>
      <c r="Q699" s="2064"/>
      <c r="R699" s="2064"/>
      <c r="S699" s="2064"/>
      <c r="T699" s="2065"/>
      <c r="U699" s="2066"/>
      <c r="V699" s="2064"/>
      <c r="W699" s="2064"/>
      <c r="X699" s="2064"/>
      <c r="Y699" s="2067"/>
    </row>
    <row r="700" spans="2:25" outlineLevel="1">
      <c r="B700" s="2068" t="s">
        <v>1380</v>
      </c>
      <c r="C700" s="2981" t="s">
        <v>943</v>
      </c>
      <c r="D700" s="2982"/>
      <c r="E700" s="2982"/>
      <c r="F700" s="2982"/>
      <c r="G700" s="2982"/>
      <c r="H700" s="2982"/>
      <c r="I700" s="2983"/>
      <c r="J700" s="2051"/>
      <c r="K700" s="2051"/>
      <c r="L700" s="2051"/>
      <c r="M700" s="2069"/>
      <c r="N700" s="2070"/>
      <c r="O700" s="2070"/>
      <c r="P700" s="2070"/>
      <c r="Q700" s="2070"/>
      <c r="R700" s="2070"/>
      <c r="S700" s="2070"/>
      <c r="T700" s="2071"/>
      <c r="U700" s="2072"/>
      <c r="V700" s="2070"/>
      <c r="W700" s="2070"/>
      <c r="X700" s="2070"/>
      <c r="Y700" s="2073"/>
    </row>
    <row r="701" spans="2:25" s="1877" customFormat="1">
      <c r="B701" s="1878"/>
      <c r="E701" s="1878"/>
      <c r="F701" s="1878"/>
      <c r="G701" s="1878"/>
      <c r="H701" s="1878"/>
      <c r="L701" s="2094" t="s">
        <v>1381</v>
      </c>
      <c r="M701" s="2074">
        <f t="shared" ref="M701:Y701" si="32">SUM(M696:M700)</f>
        <v>0</v>
      </c>
      <c r="N701" s="2075">
        <f t="shared" si="32"/>
        <v>0</v>
      </c>
      <c r="O701" s="2075">
        <f t="shared" si="32"/>
        <v>0</v>
      </c>
      <c r="P701" s="2075">
        <f t="shared" si="32"/>
        <v>0</v>
      </c>
      <c r="Q701" s="2075">
        <f t="shared" si="32"/>
        <v>0</v>
      </c>
      <c r="R701" s="2075">
        <f t="shared" si="32"/>
        <v>0</v>
      </c>
      <c r="S701" s="2075">
        <f t="shared" si="32"/>
        <v>0</v>
      </c>
      <c r="T701" s="2076">
        <f t="shared" si="32"/>
        <v>0</v>
      </c>
      <c r="U701" s="2077">
        <f t="shared" si="32"/>
        <v>0</v>
      </c>
      <c r="V701" s="2075">
        <f t="shared" si="32"/>
        <v>0</v>
      </c>
      <c r="W701" s="2075">
        <f t="shared" si="32"/>
        <v>0</v>
      </c>
      <c r="X701" s="2075">
        <f t="shared" si="32"/>
        <v>0</v>
      </c>
      <c r="Y701" s="2078">
        <f t="shared" si="32"/>
        <v>0</v>
      </c>
    </row>
    <row r="702" spans="2:25" s="1877" customFormat="1">
      <c r="B702" s="1878"/>
      <c r="L702" s="1870"/>
      <c r="U702" s="1886"/>
    </row>
    <row r="703" spans="2:25" ht="14.25">
      <c r="B703" s="2145" t="s">
        <v>1382</v>
      </c>
      <c r="C703" s="2146" t="s">
        <v>1444</v>
      </c>
      <c r="D703" s="2146"/>
      <c r="E703" s="2146"/>
      <c r="F703" s="2146"/>
      <c r="G703" s="2147"/>
      <c r="H703" s="2147"/>
      <c r="I703" s="2147"/>
      <c r="J703" s="2147"/>
      <c r="K703" s="2147"/>
      <c r="L703" s="2145"/>
      <c r="M703" s="2146"/>
      <c r="N703" s="2146"/>
      <c r="O703" s="2146"/>
      <c r="P703" s="2146"/>
      <c r="Q703" s="2146"/>
      <c r="R703" s="2146"/>
      <c r="S703" s="2146"/>
      <c r="T703" s="2146"/>
      <c r="U703" s="2287"/>
      <c r="V703" s="2146"/>
      <c r="W703" s="2146"/>
      <c r="X703" s="2146"/>
      <c r="Y703" s="2146"/>
    </row>
    <row r="704" spans="2:25">
      <c r="C704" s="1870"/>
      <c r="Q704" s="1870"/>
      <c r="R704" s="1870"/>
      <c r="S704" s="1870"/>
      <c r="T704" s="1870"/>
      <c r="U704" s="1870"/>
      <c r="V704" s="1870"/>
      <c r="W704" s="1870"/>
      <c r="X704" s="1870"/>
      <c r="Y704" s="1870"/>
    </row>
    <row r="705" spans="2:26" ht="18" outlineLevel="1">
      <c r="B705" s="2159"/>
      <c r="C705" s="1952"/>
      <c r="D705" s="2167" t="s">
        <v>1430</v>
      </c>
      <c r="E705" s="2290"/>
      <c r="F705" s="2290"/>
      <c r="G705" s="2168"/>
      <c r="H705" s="2168"/>
      <c r="I705" s="2168"/>
      <c r="J705" s="2168"/>
      <c r="K705" s="2168"/>
      <c r="L705" s="2229"/>
      <c r="M705" s="2290"/>
      <c r="N705" s="2290"/>
      <c r="O705" s="2290"/>
      <c r="P705" s="2290"/>
      <c r="Q705" s="2290"/>
      <c r="R705" s="2290"/>
      <c r="S705" s="2290"/>
      <c r="T705" s="2290"/>
      <c r="U705" s="2291"/>
      <c r="V705" s="2290"/>
      <c r="W705" s="2290"/>
      <c r="X705" s="2290"/>
      <c r="Y705" s="2290"/>
    </row>
    <row r="706" spans="2:26" outlineLevel="1">
      <c r="B706" s="2159"/>
      <c r="C706" s="1952"/>
      <c r="D706" s="1952"/>
      <c r="E706" s="1952"/>
      <c r="F706" s="1952"/>
      <c r="G706" s="1952"/>
      <c r="H706" s="1952"/>
      <c r="I706" s="1952"/>
      <c r="J706" s="1952"/>
      <c r="K706" s="1952"/>
      <c r="L706" s="1952"/>
      <c r="M706" s="1952"/>
      <c r="N706" s="1952"/>
      <c r="O706" s="1952"/>
      <c r="P706" s="1952"/>
      <c r="Q706" s="1952"/>
      <c r="R706" s="1952"/>
      <c r="S706" s="1952"/>
      <c r="T706" s="1952"/>
      <c r="U706" s="1952"/>
      <c r="V706" s="1952"/>
      <c r="W706" s="1952"/>
      <c r="X706" s="1952"/>
      <c r="Y706" s="1952"/>
      <c r="Z706" s="1952"/>
    </row>
    <row r="707" spans="2:26" outlineLevel="1">
      <c r="B707" s="2048" t="s">
        <v>965</v>
      </c>
      <c r="C707" s="2329" t="s">
        <v>951</v>
      </c>
      <c r="D707" s="2839"/>
      <c r="E707" s="2839"/>
      <c r="F707" s="2839"/>
      <c r="G707" s="2839"/>
      <c r="H707" s="2839"/>
      <c r="I707" s="2840"/>
      <c r="J707" s="2051"/>
      <c r="K707" s="2051"/>
      <c r="L707" s="2051"/>
      <c r="M707" s="2088" t="s">
        <v>498</v>
      </c>
      <c r="N707" s="2089" t="s">
        <v>498</v>
      </c>
      <c r="O707" s="2089" t="s">
        <v>498</v>
      </c>
      <c r="P707" s="2089" t="s">
        <v>498</v>
      </c>
      <c r="Q707" s="2089" t="s">
        <v>498</v>
      </c>
      <c r="R707" s="2089" t="s">
        <v>498</v>
      </c>
      <c r="S707" s="2089" t="s">
        <v>498</v>
      </c>
      <c r="T707" s="2090" t="s">
        <v>498</v>
      </c>
      <c r="U707" s="2091" t="s">
        <v>498</v>
      </c>
      <c r="V707" s="2089" t="s">
        <v>498</v>
      </c>
      <c r="W707" s="2089" t="s">
        <v>498</v>
      </c>
      <c r="X707" s="2089" t="s">
        <v>498</v>
      </c>
      <c r="Y707" s="2092" t="s">
        <v>498</v>
      </c>
    </row>
    <row r="708" spans="2:26" outlineLevel="1">
      <c r="B708" s="2011" t="s">
        <v>1384</v>
      </c>
      <c r="C708" s="2981" t="str">
        <f>IF('1.02b_Debt'!D410 = "","",'1.02b_Debt'!D410)</f>
        <v/>
      </c>
      <c r="D708" s="2982"/>
      <c r="E708" s="2982"/>
      <c r="F708" s="2982"/>
      <c r="G708" s="2982"/>
      <c r="H708" s="2982"/>
      <c r="I708" s="2983"/>
      <c r="J708" s="2051"/>
      <c r="K708" s="2051"/>
      <c r="L708" s="2051"/>
      <c r="M708" s="2063"/>
      <c r="N708" s="2064"/>
      <c r="O708" s="2064"/>
      <c r="P708" s="2064"/>
      <c r="Q708" s="2064"/>
      <c r="R708" s="2064"/>
      <c r="S708" s="2064"/>
      <c r="T708" s="2065"/>
      <c r="U708" s="2066"/>
      <c r="V708" s="2064"/>
      <c r="W708" s="2064"/>
      <c r="X708" s="2064"/>
      <c r="Y708" s="2067"/>
    </row>
    <row r="709" spans="2:26" outlineLevel="1">
      <c r="B709" s="2011" t="s">
        <v>1385</v>
      </c>
      <c r="C709" s="2981" t="str">
        <f>IF('1.02b_Debt'!D402 = "","",'1.02b_Debt'!D402)</f>
        <v/>
      </c>
      <c r="D709" s="2982" t="str">
        <f>IF('1.02b_Debt'!E388 = "","",'1.02b_Debt'!E388)</f>
        <v/>
      </c>
      <c r="E709" s="2982" t="str">
        <f>IF('1.02b_Debt'!F388 = "","",'1.02b_Debt'!F388)</f>
        <v/>
      </c>
      <c r="F709" s="2982" t="str">
        <f>IF('1.02b_Debt'!G388 = "","",'1.02b_Debt'!G388)</f>
        <v/>
      </c>
      <c r="G709" s="2982" t="str">
        <f>IF('1.02b_Debt'!H388 = "","",'1.02b_Debt'!H388)</f>
        <v/>
      </c>
      <c r="H709" s="2982" t="str">
        <f>IF('1.02b_Debt'!I388 = "","",'1.02b_Debt'!I388)</f>
        <v/>
      </c>
      <c r="I709" s="2983" t="str">
        <f>IF('1.02b_Debt'!J388 = "","",'1.02b_Debt'!J388)</f>
        <v/>
      </c>
      <c r="J709" s="2051"/>
      <c r="K709" s="2051"/>
      <c r="L709" s="2051"/>
      <c r="M709" s="2063"/>
      <c r="N709" s="2064"/>
      <c r="O709" s="2064"/>
      <c r="P709" s="2064"/>
      <c r="Q709" s="2064"/>
      <c r="R709" s="2064"/>
      <c r="S709" s="2064"/>
      <c r="T709" s="2065"/>
      <c r="U709" s="2066"/>
      <c r="V709" s="2064"/>
      <c r="W709" s="2064"/>
      <c r="X709" s="2064"/>
      <c r="Y709" s="2067"/>
    </row>
    <row r="710" spans="2:26" outlineLevel="1">
      <c r="B710" s="2011" t="s">
        <v>1386</v>
      </c>
      <c r="C710" s="2981" t="str">
        <f>IF('1.02b_Debt'!D403 = "","",'1.02b_Debt'!D403)</f>
        <v/>
      </c>
      <c r="D710" s="2982" t="str">
        <f>IF('1.02b_Debt'!E389 = "","",'1.02b_Debt'!E389)</f>
        <v/>
      </c>
      <c r="E710" s="2982" t="str">
        <f>IF('1.02b_Debt'!F389 = "","",'1.02b_Debt'!F389)</f>
        <v/>
      </c>
      <c r="F710" s="2982" t="str">
        <f>IF('1.02b_Debt'!G389 = "","",'1.02b_Debt'!G389)</f>
        <v/>
      </c>
      <c r="G710" s="2982" t="str">
        <f>IF('1.02b_Debt'!H389 = "","",'1.02b_Debt'!H389)</f>
        <v/>
      </c>
      <c r="H710" s="2982" t="str">
        <f>IF('1.02b_Debt'!I389 = "","",'1.02b_Debt'!I389)</f>
        <v/>
      </c>
      <c r="I710" s="2983" t="str">
        <f>IF('1.02b_Debt'!J389 = "","",'1.02b_Debt'!J389)</f>
        <v/>
      </c>
      <c r="J710" s="2051"/>
      <c r="K710" s="2051"/>
      <c r="L710" s="2051"/>
      <c r="M710" s="2063"/>
      <c r="N710" s="2064"/>
      <c r="O710" s="2064"/>
      <c r="P710" s="2064"/>
      <c r="Q710" s="2064"/>
      <c r="R710" s="2064"/>
      <c r="S710" s="2064"/>
      <c r="T710" s="2065"/>
      <c r="U710" s="2066"/>
      <c r="V710" s="2064"/>
      <c r="W710" s="2064"/>
      <c r="X710" s="2064"/>
      <c r="Y710" s="2067"/>
    </row>
    <row r="711" spans="2:26" outlineLevel="1">
      <c r="B711" s="2011" t="s">
        <v>1387</v>
      </c>
      <c r="C711" s="2981" t="str">
        <f>IF('1.02b_Debt'!D404 = "","",'1.02b_Debt'!D404)</f>
        <v/>
      </c>
      <c r="D711" s="2982" t="str">
        <f>IF('1.02b_Debt'!E390 = "","",'1.02b_Debt'!E390)</f>
        <v/>
      </c>
      <c r="E711" s="2982" t="str">
        <f>IF('1.02b_Debt'!F390 = "","",'1.02b_Debt'!F390)</f>
        <v/>
      </c>
      <c r="F711" s="2982" t="str">
        <f>IF('1.02b_Debt'!G390 = "","",'1.02b_Debt'!G390)</f>
        <v/>
      </c>
      <c r="G711" s="2982" t="str">
        <f>IF('1.02b_Debt'!H390 = "","",'1.02b_Debt'!H390)</f>
        <v/>
      </c>
      <c r="H711" s="2982" t="str">
        <f>IF('1.02b_Debt'!I390 = "","",'1.02b_Debt'!I390)</f>
        <v/>
      </c>
      <c r="I711" s="2983" t="str">
        <f>IF('1.02b_Debt'!J390 = "","",'1.02b_Debt'!J390)</f>
        <v/>
      </c>
      <c r="J711" s="2051"/>
      <c r="K711" s="2051"/>
      <c r="L711" s="2051"/>
      <c r="M711" s="2063"/>
      <c r="N711" s="2064"/>
      <c r="O711" s="2064"/>
      <c r="P711" s="2064"/>
      <c r="Q711" s="2064"/>
      <c r="R711" s="2064"/>
      <c r="S711" s="2064"/>
      <c r="T711" s="2065"/>
      <c r="U711" s="2066"/>
      <c r="V711" s="2064"/>
      <c r="W711" s="2064"/>
      <c r="X711" s="2064"/>
      <c r="Y711" s="2067"/>
    </row>
    <row r="712" spans="2:26" outlineLevel="1">
      <c r="B712" s="2068" t="s">
        <v>1388</v>
      </c>
      <c r="C712" s="2981" t="s">
        <v>943</v>
      </c>
      <c r="D712" s="2982"/>
      <c r="E712" s="2982"/>
      <c r="F712" s="2982"/>
      <c r="G712" s="2982"/>
      <c r="H712" s="2982"/>
      <c r="I712" s="2983"/>
      <c r="J712" s="2051"/>
      <c r="K712" s="2051"/>
      <c r="L712" s="2051"/>
      <c r="M712" s="2069"/>
      <c r="N712" s="2070"/>
      <c r="O712" s="2070"/>
      <c r="P712" s="2070"/>
      <c r="Q712" s="2070"/>
      <c r="R712" s="2070"/>
      <c r="S712" s="2070"/>
      <c r="T712" s="2071"/>
      <c r="U712" s="2072"/>
      <c r="V712" s="2070"/>
      <c r="W712" s="2070"/>
      <c r="X712" s="2070"/>
      <c r="Y712" s="2073"/>
    </row>
    <row r="713" spans="2:26" s="1877" customFormat="1">
      <c r="B713" s="1878"/>
      <c r="E713" s="1878"/>
      <c r="F713" s="1878"/>
      <c r="G713" s="1878"/>
      <c r="H713" s="1878"/>
      <c r="L713" s="2094" t="s">
        <v>1389</v>
      </c>
      <c r="M713" s="2074">
        <f>SUM(M708:M712)</f>
        <v>0</v>
      </c>
      <c r="N713" s="2075">
        <f t="shared" ref="N713:Y713" si="33">SUM(N708:N712)</f>
        <v>0</v>
      </c>
      <c r="O713" s="2075">
        <f t="shared" si="33"/>
        <v>0</v>
      </c>
      <c r="P713" s="2075">
        <f t="shared" si="33"/>
        <v>0</v>
      </c>
      <c r="Q713" s="2075">
        <f t="shared" si="33"/>
        <v>0</v>
      </c>
      <c r="R713" s="2075">
        <f t="shared" si="33"/>
        <v>0</v>
      </c>
      <c r="S713" s="2075">
        <f t="shared" si="33"/>
        <v>0</v>
      </c>
      <c r="T713" s="2076">
        <f t="shared" si="33"/>
        <v>0</v>
      </c>
      <c r="U713" s="2077">
        <f t="shared" si="33"/>
        <v>0</v>
      </c>
      <c r="V713" s="2075">
        <f t="shared" si="33"/>
        <v>0</v>
      </c>
      <c r="W713" s="2075">
        <f t="shared" si="33"/>
        <v>0</v>
      </c>
      <c r="X713" s="2075">
        <f t="shared" si="33"/>
        <v>0</v>
      </c>
      <c r="Y713" s="2078">
        <f t="shared" si="33"/>
        <v>0</v>
      </c>
    </row>
    <row r="714" spans="2:26" s="1877" customFormat="1">
      <c r="B714" s="1878"/>
    </row>
    <row r="715" spans="2:26" ht="18" outlineLevel="1">
      <c r="C715" s="1952"/>
      <c r="D715" s="2167" t="s">
        <v>1431</v>
      </c>
      <c r="E715" s="2168"/>
      <c r="F715" s="2168"/>
      <c r="G715" s="2168"/>
      <c r="H715" s="2168"/>
      <c r="I715" s="2168"/>
      <c r="J715" s="2168"/>
      <c r="K715" s="2168"/>
      <c r="L715" s="2229"/>
      <c r="M715" s="2168"/>
      <c r="N715" s="2168"/>
      <c r="O715" s="2168"/>
      <c r="P715" s="2168"/>
      <c r="Q715" s="2168"/>
      <c r="R715" s="2168"/>
      <c r="S715" s="2168"/>
      <c r="T715" s="2168"/>
      <c r="U715" s="2230"/>
      <c r="V715" s="2168"/>
      <c r="W715" s="2168"/>
      <c r="X715" s="2168"/>
      <c r="Y715" s="2168"/>
    </row>
    <row r="716" spans="2:26">
      <c r="C716" s="1870"/>
      <c r="Q716" s="1870"/>
      <c r="R716" s="1870"/>
      <c r="S716" s="1870"/>
      <c r="T716" s="1870"/>
      <c r="U716" s="1870"/>
      <c r="V716" s="1870"/>
      <c r="W716" s="1870"/>
      <c r="X716" s="1870"/>
      <c r="Y716" s="1870"/>
    </row>
    <row r="717" spans="2:26" outlineLevel="1">
      <c r="B717" s="2048" t="s">
        <v>965</v>
      </c>
      <c r="C717" s="2329" t="s">
        <v>951</v>
      </c>
      <c r="D717" s="2839"/>
      <c r="E717" s="2839"/>
      <c r="F717" s="2839"/>
      <c r="G717" s="2839"/>
      <c r="H717" s="2839"/>
      <c r="I717" s="2840"/>
      <c r="J717" s="2051"/>
      <c r="K717" s="2051"/>
      <c r="L717" s="2051"/>
      <c r="M717" s="2088" t="s">
        <v>498</v>
      </c>
      <c r="N717" s="2089" t="s">
        <v>498</v>
      </c>
      <c r="O717" s="2089" t="s">
        <v>498</v>
      </c>
      <c r="P717" s="2089" t="s">
        <v>498</v>
      </c>
      <c r="Q717" s="2089" t="s">
        <v>498</v>
      </c>
      <c r="R717" s="2089" t="s">
        <v>498</v>
      </c>
      <c r="S717" s="2089" t="s">
        <v>498</v>
      </c>
      <c r="T717" s="2090" t="s">
        <v>498</v>
      </c>
      <c r="U717" s="2091" t="s">
        <v>498</v>
      </c>
      <c r="V717" s="2089" t="s">
        <v>498</v>
      </c>
      <c r="W717" s="2089" t="s">
        <v>498</v>
      </c>
      <c r="X717" s="2089" t="s">
        <v>498</v>
      </c>
      <c r="Y717" s="2092" t="s">
        <v>498</v>
      </c>
    </row>
    <row r="718" spans="2:26" outlineLevel="1">
      <c r="B718" s="2011" t="s">
        <v>1384</v>
      </c>
      <c r="C718" s="2981" t="str">
        <f>IF('1.02b_Debt'!D410 = "","",'1.02b_Debt'!D410)</f>
        <v/>
      </c>
      <c r="D718" s="2982" t="str">
        <f>IF('1.02b_Debt'!E396 = "","",'1.02b_Debt'!E396)</f>
        <v/>
      </c>
      <c r="E718" s="2982" t="str">
        <f>IF('1.02b_Debt'!F396 = "","",'1.02b_Debt'!F396)</f>
        <v/>
      </c>
      <c r="F718" s="2982" t="str">
        <f>IF('1.02b_Debt'!G396 = "","",'1.02b_Debt'!G396)</f>
        <v/>
      </c>
      <c r="G718" s="2982" t="str">
        <f>IF('1.02b_Debt'!H396 = "","",'1.02b_Debt'!H396)</f>
        <v/>
      </c>
      <c r="H718" s="2982" t="str">
        <f>IF('1.02b_Debt'!I396 = "","",'1.02b_Debt'!I396)</f>
        <v/>
      </c>
      <c r="I718" s="2983" t="str">
        <f>IF('1.02b_Debt'!J396 = "","",'1.02b_Debt'!J396)</f>
        <v/>
      </c>
      <c r="J718" s="2051"/>
      <c r="K718" s="2051"/>
      <c r="L718" s="2051"/>
      <c r="M718" s="2063"/>
      <c r="N718" s="2064"/>
      <c r="O718" s="2064"/>
      <c r="P718" s="2064"/>
      <c r="Q718" s="2064"/>
      <c r="R718" s="2064"/>
      <c r="S718" s="2064"/>
      <c r="T718" s="2065"/>
      <c r="U718" s="2066"/>
      <c r="V718" s="2064"/>
      <c r="W718" s="2064"/>
      <c r="X718" s="2064"/>
      <c r="Y718" s="2067"/>
    </row>
    <row r="719" spans="2:26" outlineLevel="1">
      <c r="B719" s="2011" t="s">
        <v>1385</v>
      </c>
      <c r="C719" s="2981" t="str">
        <f>IF('1.02b_Debt'!D411 = "","",'1.02b_Debt'!D411)</f>
        <v/>
      </c>
      <c r="D719" s="2982" t="str">
        <f>IF('1.02b_Debt'!E397 = "","",'1.02b_Debt'!E397)</f>
        <v/>
      </c>
      <c r="E719" s="2982" t="str">
        <f>IF('1.02b_Debt'!F397 = "","",'1.02b_Debt'!F397)</f>
        <v/>
      </c>
      <c r="F719" s="2982" t="str">
        <f>IF('1.02b_Debt'!G397 = "","",'1.02b_Debt'!G397)</f>
        <v/>
      </c>
      <c r="G719" s="2982" t="str">
        <f>IF('1.02b_Debt'!H397 = "","",'1.02b_Debt'!H397)</f>
        <v/>
      </c>
      <c r="H719" s="2982" t="str">
        <f>IF('1.02b_Debt'!I397 = "","",'1.02b_Debt'!I397)</f>
        <v/>
      </c>
      <c r="I719" s="2983" t="str">
        <f>IF('1.02b_Debt'!J397 = "","",'1.02b_Debt'!J397)</f>
        <v/>
      </c>
      <c r="J719" s="2051"/>
      <c r="K719" s="2051"/>
      <c r="L719" s="2051"/>
      <c r="M719" s="2063"/>
      <c r="N719" s="2064"/>
      <c r="O719" s="2064"/>
      <c r="P719" s="2064"/>
      <c r="Q719" s="2064"/>
      <c r="R719" s="2064"/>
      <c r="S719" s="2064"/>
      <c r="T719" s="2065"/>
      <c r="U719" s="2066"/>
      <c r="V719" s="2064"/>
      <c r="W719" s="2064"/>
      <c r="X719" s="2064"/>
      <c r="Y719" s="2067"/>
    </row>
    <row r="720" spans="2:26" outlineLevel="1">
      <c r="B720" s="2011" t="s">
        <v>1386</v>
      </c>
      <c r="C720" s="2981" t="str">
        <f>IF('1.02b_Debt'!D412 = "","",'1.02b_Debt'!D412)</f>
        <v/>
      </c>
      <c r="D720" s="2982" t="str">
        <f>IF('1.02b_Debt'!E398 = "","",'1.02b_Debt'!E398)</f>
        <v/>
      </c>
      <c r="E720" s="2982" t="str">
        <f>IF('1.02b_Debt'!F398 = "","",'1.02b_Debt'!F398)</f>
        <v/>
      </c>
      <c r="F720" s="2982" t="str">
        <f>IF('1.02b_Debt'!G398 = "","",'1.02b_Debt'!G398)</f>
        <v/>
      </c>
      <c r="G720" s="2982" t="str">
        <f>IF('1.02b_Debt'!H398 = "","",'1.02b_Debt'!H398)</f>
        <v/>
      </c>
      <c r="H720" s="2982" t="str">
        <f>IF('1.02b_Debt'!I398 = "","",'1.02b_Debt'!I398)</f>
        <v/>
      </c>
      <c r="I720" s="2983" t="str">
        <f>IF('1.02b_Debt'!J398 = "","",'1.02b_Debt'!J398)</f>
        <v/>
      </c>
      <c r="J720" s="2051"/>
      <c r="K720" s="2051"/>
      <c r="L720" s="2051"/>
      <c r="M720" s="2063"/>
      <c r="N720" s="2064"/>
      <c r="O720" s="2064"/>
      <c r="P720" s="2064"/>
      <c r="Q720" s="2064"/>
      <c r="R720" s="2064"/>
      <c r="S720" s="2064"/>
      <c r="T720" s="2065"/>
      <c r="U720" s="2066"/>
      <c r="V720" s="2064"/>
      <c r="W720" s="2064"/>
      <c r="X720" s="2064"/>
      <c r="Y720" s="2067"/>
    </row>
    <row r="721" spans="2:27" outlineLevel="1">
      <c r="B721" s="2011" t="s">
        <v>1387</v>
      </c>
      <c r="C721" s="2981" t="str">
        <f>IF('1.02b_Debt'!D413 = "","",'1.02b_Debt'!D413)</f>
        <v/>
      </c>
      <c r="D721" s="2982" t="str">
        <f>IF('1.02b_Debt'!E399 = "","",'1.02b_Debt'!E399)</f>
        <v/>
      </c>
      <c r="E721" s="2982" t="str">
        <f>IF('1.02b_Debt'!F399 = "","",'1.02b_Debt'!F399)</f>
        <v/>
      </c>
      <c r="F721" s="2982" t="str">
        <f>IF('1.02b_Debt'!G399 = "","",'1.02b_Debt'!G399)</f>
        <v/>
      </c>
      <c r="G721" s="2982" t="str">
        <f>IF('1.02b_Debt'!H399 = "","",'1.02b_Debt'!H399)</f>
        <v/>
      </c>
      <c r="H721" s="2982" t="str">
        <f>IF('1.02b_Debt'!I399 = "","",'1.02b_Debt'!I399)</f>
        <v/>
      </c>
      <c r="I721" s="2983" t="str">
        <f>IF('1.02b_Debt'!J399 = "","",'1.02b_Debt'!J399)</f>
        <v/>
      </c>
      <c r="J721" s="2051"/>
      <c r="K721" s="2051"/>
      <c r="L721" s="2051"/>
      <c r="M721" s="2063"/>
      <c r="N721" s="2064"/>
      <c r="O721" s="2064"/>
      <c r="P721" s="2064"/>
      <c r="Q721" s="2064"/>
      <c r="R721" s="2064"/>
      <c r="S721" s="2064"/>
      <c r="T721" s="2065"/>
      <c r="U721" s="2066"/>
      <c r="V721" s="2064"/>
      <c r="W721" s="2064"/>
      <c r="X721" s="2064"/>
      <c r="Y721" s="2067"/>
    </row>
    <row r="722" spans="2:27" outlineLevel="1">
      <c r="B722" s="2068" t="s">
        <v>1388</v>
      </c>
      <c r="C722" s="2981" t="s">
        <v>943</v>
      </c>
      <c r="D722" s="2982"/>
      <c r="E722" s="2982"/>
      <c r="F722" s="2982"/>
      <c r="G722" s="2982"/>
      <c r="H722" s="2982"/>
      <c r="I722" s="2983"/>
      <c r="J722" s="2051"/>
      <c r="K722" s="2051"/>
      <c r="L722" s="2051"/>
      <c r="M722" s="2069"/>
      <c r="N722" s="2070"/>
      <c r="O722" s="2070"/>
      <c r="P722" s="2070"/>
      <c r="Q722" s="2070"/>
      <c r="R722" s="2070"/>
      <c r="S722" s="2070"/>
      <c r="T722" s="2071"/>
      <c r="U722" s="2072"/>
      <c r="V722" s="2070"/>
      <c r="W722" s="2070"/>
      <c r="X722" s="2070"/>
      <c r="Y722" s="2073"/>
    </row>
    <row r="723" spans="2:27" s="1877" customFormat="1">
      <c r="B723" s="1878"/>
      <c r="E723" s="1878"/>
      <c r="F723" s="1878"/>
      <c r="G723" s="1878"/>
      <c r="H723" s="1878"/>
      <c r="L723" s="2094" t="s">
        <v>1389</v>
      </c>
      <c r="M723" s="2074">
        <f t="shared" ref="M723:Y723" si="34">SUM(M718:M722)</f>
        <v>0</v>
      </c>
      <c r="N723" s="2075">
        <f t="shared" si="34"/>
        <v>0</v>
      </c>
      <c r="O723" s="2075">
        <f t="shared" si="34"/>
        <v>0</v>
      </c>
      <c r="P723" s="2075">
        <f t="shared" si="34"/>
        <v>0</v>
      </c>
      <c r="Q723" s="2075">
        <f t="shared" si="34"/>
        <v>0</v>
      </c>
      <c r="R723" s="2075">
        <f t="shared" si="34"/>
        <v>0</v>
      </c>
      <c r="S723" s="2075">
        <f t="shared" si="34"/>
        <v>0</v>
      </c>
      <c r="T723" s="2076">
        <f t="shared" si="34"/>
        <v>0</v>
      </c>
      <c r="U723" s="2077">
        <f t="shared" si="34"/>
        <v>0</v>
      </c>
      <c r="V723" s="2075">
        <f t="shared" si="34"/>
        <v>0</v>
      </c>
      <c r="W723" s="2075">
        <f t="shared" si="34"/>
        <v>0</v>
      </c>
      <c r="X723" s="2075">
        <f t="shared" si="34"/>
        <v>0</v>
      </c>
      <c r="Y723" s="2078">
        <f t="shared" si="34"/>
        <v>0</v>
      </c>
    </row>
    <row r="724" spans="2:27" s="1877" customFormat="1">
      <c r="B724" s="1878"/>
      <c r="E724" s="1878"/>
      <c r="F724" s="1878"/>
      <c r="G724" s="1878"/>
      <c r="H724" s="1878"/>
      <c r="U724" s="1886"/>
    </row>
    <row r="725" spans="2:27" ht="15">
      <c r="B725" s="2330" t="s">
        <v>1445</v>
      </c>
      <c r="C725" s="2331"/>
      <c r="D725" s="2332"/>
      <c r="E725" s="2333"/>
      <c r="F725" s="2333"/>
      <c r="G725" s="2334"/>
      <c r="H725" s="2334"/>
      <c r="I725" s="2334"/>
      <c r="J725" s="2334"/>
      <c r="K725" s="2334"/>
      <c r="L725" s="2332"/>
      <c r="M725" s="2331"/>
      <c r="N725" s="2331"/>
      <c r="O725" s="2331"/>
      <c r="P725" s="2331"/>
      <c r="Q725" s="2331"/>
      <c r="R725" s="2331"/>
      <c r="S725" s="2331"/>
      <c r="T725" s="2331"/>
      <c r="U725" s="2335"/>
      <c r="V725" s="2331"/>
      <c r="W725" s="2331"/>
      <c r="X725" s="2331"/>
      <c r="Y725" s="2331"/>
    </row>
    <row r="726" spans="2:27" s="1889" customFormat="1" ht="15">
      <c r="B726" s="2336"/>
      <c r="C726" s="2051"/>
      <c r="D726" s="1895"/>
      <c r="E726" s="1894"/>
      <c r="F726" s="1894"/>
      <c r="L726" s="1895"/>
      <c r="M726" s="2051"/>
      <c r="N726" s="2051"/>
      <c r="O726" s="2051"/>
      <c r="P726" s="2051"/>
      <c r="Q726" s="2051"/>
      <c r="R726" s="2051"/>
      <c r="S726" s="2051"/>
      <c r="T726" s="2051"/>
      <c r="U726" s="2052"/>
      <c r="V726" s="2051"/>
      <c r="W726" s="2051"/>
      <c r="X726" s="2051"/>
      <c r="Y726" s="2051"/>
    </row>
    <row r="727" spans="2:27" outlineLevel="1">
      <c r="B727" s="2337" t="s">
        <v>1446</v>
      </c>
      <c r="D727" s="2338"/>
      <c r="L727" s="1877"/>
      <c r="M727" s="2088" t="s">
        <v>498</v>
      </c>
      <c r="N727" s="2089" t="s">
        <v>498</v>
      </c>
      <c r="O727" s="2089" t="s">
        <v>498</v>
      </c>
      <c r="P727" s="2089" t="s">
        <v>498</v>
      </c>
      <c r="Q727" s="2089" t="s">
        <v>498</v>
      </c>
      <c r="R727" s="2089" t="s">
        <v>498</v>
      </c>
      <c r="S727" s="2089" t="s">
        <v>498</v>
      </c>
      <c r="T727" s="2090" t="s">
        <v>498</v>
      </c>
      <c r="U727" s="2091" t="s">
        <v>498</v>
      </c>
      <c r="V727" s="2089" t="s">
        <v>498</v>
      </c>
      <c r="W727" s="2089" t="s">
        <v>498</v>
      </c>
      <c r="X727" s="2089" t="s">
        <v>498</v>
      </c>
      <c r="Y727" s="2092" t="s">
        <v>498</v>
      </c>
    </row>
    <row r="728" spans="2:27" outlineLevel="1">
      <c r="C728" s="2339" t="s">
        <v>1447</v>
      </c>
      <c r="D728" s="2340"/>
      <c r="E728" s="2341"/>
      <c r="F728" s="2194"/>
      <c r="G728" s="2194"/>
      <c r="H728" s="2194"/>
      <c r="I728" s="2194"/>
      <c r="J728" s="2194"/>
      <c r="K728" s="2194"/>
      <c r="L728" s="2194"/>
      <c r="M728" s="2207"/>
      <c r="N728" s="2208"/>
      <c r="O728" s="2208"/>
      <c r="P728" s="2208"/>
      <c r="Q728" s="2208"/>
      <c r="R728" s="2208"/>
      <c r="S728" s="2208"/>
      <c r="T728" s="2209"/>
      <c r="U728" s="2210"/>
      <c r="V728" s="2208"/>
      <c r="W728" s="2208"/>
      <c r="X728" s="2208"/>
      <c r="Y728" s="2211"/>
      <c r="AA728" s="2342"/>
    </row>
    <row r="729" spans="2:27" outlineLevel="1">
      <c r="C729" s="2339" t="s">
        <v>1448</v>
      </c>
      <c r="D729" s="2340"/>
      <c r="E729" s="2341"/>
      <c r="F729" s="2341"/>
      <c r="G729" s="2194"/>
      <c r="H729" s="2194"/>
      <c r="I729" s="2194"/>
      <c r="J729" s="2194"/>
      <c r="K729" s="2194"/>
      <c r="L729" s="2194"/>
      <c r="M729" s="2207"/>
      <c r="N729" s="2208"/>
      <c r="O729" s="2208"/>
      <c r="P729" s="2208"/>
      <c r="Q729" s="2208"/>
      <c r="R729" s="2208"/>
      <c r="S729" s="2208"/>
      <c r="T729" s="2209"/>
      <c r="U729" s="2210"/>
      <c r="V729" s="2208"/>
      <c r="W729" s="2208"/>
      <c r="X729" s="2208"/>
      <c r="Y729" s="2211"/>
      <c r="AA729" s="2342"/>
    </row>
    <row r="730" spans="2:27" outlineLevel="1">
      <c r="B730" s="2343" t="s">
        <v>945</v>
      </c>
      <c r="C730" s="2194" t="s">
        <v>947</v>
      </c>
      <c r="D730" s="2340"/>
      <c r="E730" s="2341"/>
      <c r="F730" s="2341"/>
      <c r="G730" s="2194"/>
      <c r="H730" s="2194"/>
      <c r="I730" s="2194"/>
      <c r="J730" s="2194"/>
      <c r="K730" s="2194"/>
      <c r="L730" s="2194"/>
      <c r="M730" s="2344">
        <f t="shared" ref="M730:Y730" si="35">M28</f>
        <v>0</v>
      </c>
      <c r="N730" s="2345">
        <f t="shared" si="35"/>
        <v>0</v>
      </c>
      <c r="O730" s="2345">
        <f t="shared" si="35"/>
        <v>0</v>
      </c>
      <c r="P730" s="2345">
        <f t="shared" si="35"/>
        <v>0</v>
      </c>
      <c r="Q730" s="2345">
        <f t="shared" si="35"/>
        <v>0</v>
      </c>
      <c r="R730" s="2345">
        <f t="shared" si="35"/>
        <v>1.3218749999999999</v>
      </c>
      <c r="S730" s="2345">
        <f t="shared" si="35"/>
        <v>5.875</v>
      </c>
      <c r="T730" s="2346">
        <f t="shared" si="35"/>
        <v>5.875</v>
      </c>
      <c r="U730" s="2347">
        <f t="shared" si="35"/>
        <v>5.875</v>
      </c>
      <c r="V730" s="2345">
        <f t="shared" si="35"/>
        <v>5.875</v>
      </c>
      <c r="W730" s="2345">
        <f t="shared" si="35"/>
        <v>5.875</v>
      </c>
      <c r="X730" s="2345">
        <f t="shared" si="35"/>
        <v>5.875</v>
      </c>
      <c r="Y730" s="2348">
        <f t="shared" si="35"/>
        <v>5.875</v>
      </c>
      <c r="AA730" s="2349">
        <f>AA28</f>
        <v>0</v>
      </c>
    </row>
    <row r="731" spans="2:27" outlineLevel="1">
      <c r="B731" s="2343" t="s">
        <v>945</v>
      </c>
      <c r="C731" s="2339" t="s">
        <v>988</v>
      </c>
      <c r="D731" s="2340"/>
      <c r="E731" s="2341"/>
      <c r="F731" s="2341"/>
      <c r="G731" s="2194"/>
      <c r="H731" s="2194"/>
      <c r="I731" s="2194"/>
      <c r="J731" s="2194"/>
      <c r="K731" s="2194"/>
      <c r="L731" s="2194"/>
      <c r="M731" s="2344">
        <f t="shared" ref="M731:Y731" si="36">M63</f>
        <v>4.5469999999999997</v>
      </c>
      <c r="N731" s="2345">
        <f t="shared" si="36"/>
        <v>4.7270000000000003</v>
      </c>
      <c r="O731" s="2345">
        <f t="shared" si="36"/>
        <v>5.7580000000000009</v>
      </c>
      <c r="P731" s="2345">
        <f t="shared" si="36"/>
        <v>4.8020650199999997</v>
      </c>
      <c r="Q731" s="2345">
        <f t="shared" si="36"/>
        <v>5.4944512100000003</v>
      </c>
      <c r="R731" s="2345">
        <f t="shared" si="36"/>
        <v>7.307543289999999</v>
      </c>
      <c r="S731" s="2345">
        <f t="shared" si="36"/>
        <v>7.1556377651756709</v>
      </c>
      <c r="T731" s="2346">
        <f t="shared" si="36"/>
        <v>7.0661921055299999</v>
      </c>
      <c r="U731" s="2347">
        <f t="shared" si="36"/>
        <v>7.1118500003240008</v>
      </c>
      <c r="V731" s="2345">
        <f t="shared" si="36"/>
        <v>7.175112653595205</v>
      </c>
      <c r="W731" s="2345">
        <f t="shared" si="36"/>
        <v>7.0420593227317463</v>
      </c>
      <c r="X731" s="2345">
        <f t="shared" si="36"/>
        <v>4.2738431584119994</v>
      </c>
      <c r="Y731" s="2348">
        <f t="shared" si="36"/>
        <v>2.94726842164</v>
      </c>
      <c r="AA731" s="2349">
        <f>AA63</f>
        <v>0</v>
      </c>
    </row>
    <row r="732" spans="2:27" outlineLevel="1">
      <c r="B732" s="2343" t="s">
        <v>1018</v>
      </c>
      <c r="C732" s="2339" t="s">
        <v>1449</v>
      </c>
      <c r="D732" s="2340"/>
      <c r="E732" s="2341"/>
      <c r="F732" s="2341"/>
      <c r="G732" s="2194"/>
      <c r="H732" s="2194"/>
      <c r="I732" s="2194"/>
      <c r="J732" s="2194"/>
      <c r="K732" s="2194"/>
      <c r="L732" s="2194"/>
      <c r="M732" s="2344">
        <f t="shared" ref="M732:Y732" si="37">M99</f>
        <v>47.618749999999999</v>
      </c>
      <c r="N732" s="2345">
        <f t="shared" si="37"/>
        <v>47.618749999999999</v>
      </c>
      <c r="O732" s="2345">
        <f t="shared" si="37"/>
        <v>47.618749999999999</v>
      </c>
      <c r="P732" s="2345">
        <f t="shared" si="37"/>
        <v>47.618749999999999</v>
      </c>
      <c r="Q732" s="2345">
        <f t="shared" si="37"/>
        <v>47.618749999999999</v>
      </c>
      <c r="R732" s="2345">
        <f t="shared" si="37"/>
        <v>47.61799208</v>
      </c>
      <c r="S732" s="2345">
        <f t="shared" si="37"/>
        <v>39.023544520547944</v>
      </c>
      <c r="T732" s="2346">
        <f t="shared" si="37"/>
        <v>35.868749999999999</v>
      </c>
      <c r="U732" s="2347">
        <f t="shared" si="37"/>
        <v>35.868749999999999</v>
      </c>
      <c r="V732" s="2345">
        <f t="shared" si="37"/>
        <v>35.868749999999999</v>
      </c>
      <c r="W732" s="2345">
        <f t="shared" si="37"/>
        <v>35.868749999999999</v>
      </c>
      <c r="X732" s="2345">
        <f t="shared" si="37"/>
        <v>35.868749999999999</v>
      </c>
      <c r="Y732" s="2348">
        <f t="shared" si="37"/>
        <v>35.868749999999999</v>
      </c>
      <c r="AA732" s="2349">
        <f>AA99</f>
        <v>0</v>
      </c>
    </row>
    <row r="733" spans="2:27" outlineLevel="1">
      <c r="B733" s="2343" t="s">
        <v>1450</v>
      </c>
      <c r="C733" s="2339" t="s">
        <v>1451</v>
      </c>
      <c r="D733" s="2340"/>
      <c r="E733" s="2341"/>
      <c r="F733" s="2341"/>
      <c r="G733" s="2194"/>
      <c r="H733" s="2194"/>
      <c r="I733" s="2194"/>
      <c r="J733" s="2194"/>
      <c r="K733" s="2194"/>
      <c r="L733" s="2194"/>
      <c r="M733" s="2344">
        <f>SUM( M230,M422,M614,M643,M667,M690,M713)</f>
        <v>-10.144</v>
      </c>
      <c r="N733" s="2344">
        <f t="shared" ref="N733:Y733" si="38">SUM( N230,N422,N614,N643,N667,N690,N713)</f>
        <v>-8.7959999999999994</v>
      </c>
      <c r="O733" s="2344">
        <f t="shared" si="38"/>
        <v>-7.4870000000000001</v>
      </c>
      <c r="P733" s="2344">
        <f t="shared" si="38"/>
        <v>-6.5116022299999932</v>
      </c>
      <c r="Q733" s="2344">
        <f t="shared" si="38"/>
        <v>-5.6846287300000018</v>
      </c>
      <c r="R733" s="2344">
        <f t="shared" si="38"/>
        <v>-6.6595405700000132</v>
      </c>
      <c r="S733" s="2344">
        <f t="shared" si="38"/>
        <v>-6.8805790324047997</v>
      </c>
      <c r="T733" s="2344">
        <f t="shared" si="38"/>
        <v>-11.23048893565027</v>
      </c>
      <c r="U733" s="2344">
        <f t="shared" si="38"/>
        <v>-11.982441524455059</v>
      </c>
      <c r="V733" s="2344">
        <f t="shared" si="38"/>
        <v>-12.704651881799736</v>
      </c>
      <c r="W733" s="2344">
        <f t="shared" si="38"/>
        <v>-13.737582225341285</v>
      </c>
      <c r="X733" s="2344">
        <f t="shared" si="38"/>
        <v>-14.910995481955441</v>
      </c>
      <c r="Y733" s="2344">
        <f t="shared" si="38"/>
        <v>-15.9244009760274</v>
      </c>
      <c r="AA733" s="2349"/>
    </row>
    <row r="734" spans="2:27" outlineLevel="1">
      <c r="C734" s="2598" t="s">
        <v>1452</v>
      </c>
      <c r="D734" s="2351"/>
      <c r="E734" s="2352"/>
      <c r="F734" s="2352"/>
      <c r="G734" s="2194"/>
      <c r="H734" s="2194"/>
      <c r="I734" s="2194"/>
      <c r="J734" s="2194"/>
      <c r="K734" s="2194"/>
      <c r="L734" s="2194"/>
      <c r="M734" s="2207">
        <v>0.505</v>
      </c>
      <c r="N734" s="2208">
        <v>0.505</v>
      </c>
      <c r="O734" s="2208">
        <v>0.505</v>
      </c>
      <c r="P734" s="2208">
        <v>0.505</v>
      </c>
      <c r="Q734" s="2208">
        <v>0.505</v>
      </c>
      <c r="R734" s="2208">
        <v>0.505</v>
      </c>
      <c r="S734" s="2208">
        <v>0.505</v>
      </c>
      <c r="T734" s="2209">
        <v>0.505</v>
      </c>
      <c r="U734" s="2210">
        <v>0.505</v>
      </c>
      <c r="V734" s="2208">
        <v>0.505</v>
      </c>
      <c r="W734" s="2208">
        <v>0.505</v>
      </c>
      <c r="X734" s="2208">
        <v>0.505</v>
      </c>
      <c r="Y734" s="2211">
        <v>0.505</v>
      </c>
      <c r="AA734" s="2342"/>
    </row>
    <row r="735" spans="2:27" outlineLevel="1">
      <c r="C735" s="2598" t="s">
        <v>1453</v>
      </c>
      <c r="D735" s="2351"/>
      <c r="E735" s="2352"/>
      <c r="F735" s="2352"/>
      <c r="G735" s="2194"/>
      <c r="H735" s="2194"/>
      <c r="I735" s="2194"/>
      <c r="J735" s="2194"/>
      <c r="K735" s="2194"/>
      <c r="L735" s="2194"/>
      <c r="M735" s="2353">
        <v>0.27939999999999998</v>
      </c>
      <c r="N735" s="2354">
        <v>0.27939999999999998</v>
      </c>
      <c r="O735" s="2354">
        <v>0.27939999999999998</v>
      </c>
      <c r="P735" s="2354">
        <v>0.27939999999999998</v>
      </c>
      <c r="Q735" s="2354">
        <v>0.27939999999999998</v>
      </c>
      <c r="R735" s="2354">
        <v>0.27939999999999998</v>
      </c>
      <c r="S735" s="2354">
        <v>0.14799999999999999</v>
      </c>
      <c r="T735" s="2355">
        <v>0.10299999999999999</v>
      </c>
      <c r="U735" s="2356">
        <v>0.10299999999999999</v>
      </c>
      <c r="V735" s="2354">
        <v>0.10299999999999999</v>
      </c>
      <c r="W735" s="2354">
        <v>0.10299999999999999</v>
      </c>
      <c r="X735" s="2354">
        <v>0.10299999999999999</v>
      </c>
      <c r="Y735" s="2357">
        <v>0.10299999999999999</v>
      </c>
      <c r="AA735" s="2342"/>
    </row>
    <row r="736" spans="2:27" outlineLevel="1">
      <c r="C736" s="2350" t="s">
        <v>1454</v>
      </c>
      <c r="D736" s="2351"/>
      <c r="E736" s="2352"/>
      <c r="F736" s="2352"/>
      <c r="G736" s="2194"/>
      <c r="H736" s="2194"/>
      <c r="I736" s="2194"/>
      <c r="J736" s="2194"/>
      <c r="K736" s="2194"/>
      <c r="L736" s="2194"/>
      <c r="M736" s="2353"/>
      <c r="N736" s="2354"/>
      <c r="O736" s="2354"/>
      <c r="P736" s="2354"/>
      <c r="Q736" s="2354"/>
      <c r="R736" s="2354"/>
      <c r="S736" s="2354"/>
      <c r="T736" s="2355"/>
      <c r="U736" s="2356"/>
      <c r="V736" s="2354"/>
      <c r="W736" s="2354"/>
      <c r="X736" s="2354"/>
      <c r="Y736" s="2357"/>
      <c r="AA736" s="2342"/>
    </row>
    <row r="737" spans="3:27" outlineLevel="1">
      <c r="C737" s="2350" t="s">
        <v>1454</v>
      </c>
      <c r="D737" s="2351"/>
      <c r="E737" s="2352"/>
      <c r="F737" s="2352"/>
      <c r="G737" s="2194"/>
      <c r="H737" s="2194"/>
      <c r="I737" s="2194"/>
      <c r="J737" s="2194"/>
      <c r="K737" s="2194"/>
      <c r="L737" s="2194"/>
      <c r="M737" s="2353"/>
      <c r="N737" s="2354"/>
      <c r="O737" s="2354"/>
      <c r="P737" s="2354"/>
      <c r="Q737" s="2354"/>
      <c r="R737" s="2354"/>
      <c r="S737" s="2354"/>
      <c r="T737" s="2355"/>
      <c r="U737" s="2356"/>
      <c r="V737" s="2354"/>
      <c r="W737" s="2354"/>
      <c r="X737" s="2354"/>
      <c r="Y737" s="2357"/>
      <c r="AA737" s="2342"/>
    </row>
    <row r="738" spans="3:27" outlineLevel="1">
      <c r="C738" s="2350" t="s">
        <v>1454</v>
      </c>
      <c r="D738" s="2351"/>
      <c r="E738" s="2352"/>
      <c r="F738" s="2352"/>
      <c r="G738" s="2194"/>
      <c r="H738" s="2194"/>
      <c r="I738" s="2194"/>
      <c r="J738" s="2194"/>
      <c r="K738" s="2194"/>
      <c r="L738" s="2194"/>
      <c r="M738" s="2353"/>
      <c r="N738" s="2354"/>
      <c r="O738" s="2354"/>
      <c r="P738" s="2354"/>
      <c r="Q738" s="2354"/>
      <c r="R738" s="2354"/>
      <c r="S738" s="2354"/>
      <c r="T738" s="2355"/>
      <c r="U738" s="2356"/>
      <c r="V738" s="2354"/>
      <c r="W738" s="2354"/>
      <c r="X738" s="2354"/>
      <c r="Y738" s="2357"/>
      <c r="AA738" s="2342"/>
    </row>
    <row r="739" spans="3:27" outlineLevel="1">
      <c r="C739" s="2358" t="s">
        <v>1455</v>
      </c>
      <c r="D739" s="2340"/>
      <c r="E739" s="2341"/>
      <c r="F739" s="2341"/>
      <c r="G739" s="2194"/>
      <c r="H739" s="2194"/>
      <c r="I739" s="2194"/>
      <c r="J739" s="2194"/>
      <c r="K739" s="2194"/>
      <c r="L739" s="2194"/>
      <c r="M739" s="2359">
        <f t="shared" ref="M739:Y739" si="39">SUM(M728:M738)</f>
        <v>42.806150000000002</v>
      </c>
      <c r="N739" s="2360">
        <f t="shared" si="39"/>
        <v>44.334150000000001</v>
      </c>
      <c r="O739" s="2360">
        <f t="shared" si="39"/>
        <v>46.674150000000004</v>
      </c>
      <c r="P739" s="2360">
        <f t="shared" si="39"/>
        <v>46.69361279000001</v>
      </c>
      <c r="Q739" s="2360">
        <f t="shared" si="39"/>
        <v>48.212972480000005</v>
      </c>
      <c r="R739" s="2360">
        <f t="shared" si="39"/>
        <v>50.372269799999991</v>
      </c>
      <c r="S739" s="2360">
        <f t="shared" si="39"/>
        <v>45.826603253318822</v>
      </c>
      <c r="T739" s="2361">
        <f t="shared" si="39"/>
        <v>38.187453169879731</v>
      </c>
      <c r="U739" s="2362">
        <f t="shared" si="39"/>
        <v>37.481158475868952</v>
      </c>
      <c r="V739" s="2360">
        <f t="shared" si="39"/>
        <v>36.822210771795476</v>
      </c>
      <c r="W739" s="2360">
        <f t="shared" si="39"/>
        <v>35.656227097390463</v>
      </c>
      <c r="X739" s="2360">
        <f t="shared" si="39"/>
        <v>31.71459767645656</v>
      </c>
      <c r="Y739" s="2363">
        <f t="shared" si="39"/>
        <v>29.374617445612596</v>
      </c>
      <c r="AA739" s="2364">
        <f>SUM(AA728:AA734)</f>
        <v>0</v>
      </c>
    </row>
    <row r="740" spans="3:27" outlineLevel="1">
      <c r="C740" s="2339" t="s">
        <v>1456</v>
      </c>
      <c r="D740" s="2340"/>
      <c r="E740" s="2341"/>
      <c r="F740" s="2341"/>
      <c r="G740" s="2194"/>
      <c r="H740" s="2194"/>
      <c r="I740" s="2194"/>
      <c r="J740" s="2194"/>
      <c r="K740" s="2194"/>
      <c r="L740" s="2194"/>
      <c r="M740" s="2207">
        <v>-0.9</v>
      </c>
      <c r="N740" s="2208">
        <v>-1.823</v>
      </c>
      <c r="O740" s="2208">
        <v>0.39700000000000002</v>
      </c>
      <c r="P740" s="2208">
        <v>-4.8000000000000001E-2</v>
      </c>
      <c r="Q740" s="2208">
        <v>0.3</v>
      </c>
      <c r="R740" s="2208">
        <v>-0.8</v>
      </c>
      <c r="S740" s="2208">
        <v>0</v>
      </c>
      <c r="T740" s="2209">
        <v>0</v>
      </c>
      <c r="U740" s="2210">
        <v>0</v>
      </c>
      <c r="V740" s="2208">
        <v>0</v>
      </c>
      <c r="W740" s="2208">
        <v>0</v>
      </c>
      <c r="X740" s="2208">
        <v>0</v>
      </c>
      <c r="Y740" s="2211">
        <v>0</v>
      </c>
      <c r="AA740" s="2342"/>
    </row>
    <row r="741" spans="3:27" outlineLevel="1">
      <c r="C741" s="2339" t="s">
        <v>1457</v>
      </c>
      <c r="D741" s="2340"/>
      <c r="E741" s="2341"/>
      <c r="F741" s="2341"/>
      <c r="G741" s="2194"/>
      <c r="H741" s="2194"/>
      <c r="I741" s="2194"/>
      <c r="J741" s="2194"/>
      <c r="K741" s="2194"/>
      <c r="L741" s="2194"/>
      <c r="M741" s="2207">
        <v>-0.85399999999999998</v>
      </c>
      <c r="N741" s="2208">
        <v>2.1829999999999998</v>
      </c>
      <c r="O741" s="2208">
        <v>0.158</v>
      </c>
      <c r="P741" s="2208">
        <v>0.19800000000000001</v>
      </c>
      <c r="Q741" s="2208">
        <v>-1.0999999999999999E-2</v>
      </c>
      <c r="R741" s="2208">
        <v>0.105</v>
      </c>
      <c r="S741" s="2208">
        <v>0</v>
      </c>
      <c r="T741" s="2209">
        <v>0</v>
      </c>
      <c r="U741" s="2210">
        <v>0</v>
      </c>
      <c r="V741" s="2208">
        <v>0</v>
      </c>
      <c r="W741" s="2208">
        <v>0</v>
      </c>
      <c r="X741" s="2208">
        <v>0</v>
      </c>
      <c r="Y741" s="2211">
        <v>0</v>
      </c>
      <c r="AA741" s="2342"/>
    </row>
    <row r="742" spans="3:27" outlineLevel="1">
      <c r="C742" s="2339" t="s">
        <v>1458</v>
      </c>
      <c r="D742" s="2340"/>
      <c r="E742" s="2341"/>
      <c r="F742" s="2341"/>
      <c r="G742" s="2194"/>
      <c r="H742" s="2194"/>
      <c r="I742" s="2194"/>
      <c r="J742" s="2194"/>
      <c r="K742" s="2194"/>
      <c r="L742" s="2194"/>
      <c r="M742" s="2207"/>
      <c r="N742" s="2208"/>
      <c r="O742" s="2208"/>
      <c r="P742" s="2208"/>
      <c r="Q742" s="2208"/>
      <c r="R742" s="2208"/>
      <c r="S742" s="2208"/>
      <c r="T742" s="2209"/>
      <c r="U742" s="2210"/>
      <c r="V742" s="2208"/>
      <c r="W742" s="2208"/>
      <c r="X742" s="2208"/>
      <c r="Y742" s="2211"/>
      <c r="AA742" s="2342"/>
    </row>
    <row r="743" spans="3:27" outlineLevel="1">
      <c r="C743" s="2339" t="s">
        <v>1459</v>
      </c>
      <c r="D743" s="2340"/>
      <c r="E743" s="2341"/>
      <c r="F743" s="2341"/>
      <c r="G743" s="2194"/>
      <c r="H743" s="2194"/>
      <c r="I743" s="2194"/>
      <c r="J743" s="2194"/>
      <c r="K743" s="2194"/>
      <c r="L743" s="2194"/>
      <c r="M743" s="2207"/>
      <c r="N743" s="2208"/>
      <c r="O743" s="2208"/>
      <c r="P743" s="2208"/>
      <c r="Q743" s="2208"/>
      <c r="R743" s="2208"/>
      <c r="S743" s="2208"/>
      <c r="T743" s="2209"/>
      <c r="U743" s="2210"/>
      <c r="V743" s="2208"/>
      <c r="W743" s="2208"/>
      <c r="X743" s="2208"/>
      <c r="Y743" s="2211"/>
      <c r="AA743" s="2342"/>
    </row>
    <row r="744" spans="3:27" outlineLevel="1">
      <c r="C744" s="2339" t="s">
        <v>1460</v>
      </c>
      <c r="D744" s="2340"/>
      <c r="E744" s="2341"/>
      <c r="F744" s="2341"/>
      <c r="G744" s="2194"/>
      <c r="H744" s="2194"/>
      <c r="I744" s="2194"/>
      <c r="J744" s="2194"/>
      <c r="K744" s="2194"/>
      <c r="L744" s="2194"/>
      <c r="M744" s="2207">
        <v>0.47599999999999998</v>
      </c>
      <c r="N744" s="2208">
        <v>0.45500000000000002</v>
      </c>
      <c r="O744" s="2208">
        <v>0.49099999999999999</v>
      </c>
      <c r="P744" s="2208">
        <v>0.29099999999999998</v>
      </c>
      <c r="Q744" s="2208">
        <v>0.20699999999999999</v>
      </c>
      <c r="R744" s="2208">
        <v>0.153</v>
      </c>
      <c r="S744" s="2208">
        <v>0.153</v>
      </c>
      <c r="T744" s="2209">
        <v>0.153</v>
      </c>
      <c r="U744" s="2210">
        <v>0.153</v>
      </c>
      <c r="V744" s="2208">
        <v>0.153</v>
      </c>
      <c r="W744" s="2208">
        <v>0.153</v>
      </c>
      <c r="X744" s="2208">
        <v>0.153</v>
      </c>
      <c r="Y744" s="2211">
        <v>0.153</v>
      </c>
      <c r="AA744" s="2342"/>
    </row>
    <row r="745" spans="3:27" outlineLevel="1">
      <c r="C745" s="2339" t="s">
        <v>1461</v>
      </c>
      <c r="D745" s="2340"/>
      <c r="E745" s="2341"/>
      <c r="F745" s="2341"/>
      <c r="G745" s="2194"/>
      <c r="H745" s="2194"/>
      <c r="I745" s="2194"/>
      <c r="J745" s="2194"/>
      <c r="K745" s="2194"/>
      <c r="L745" s="2194"/>
      <c r="M745" s="2207">
        <v>-0.36799999999999999</v>
      </c>
      <c r="N745" s="2208">
        <v>-0.87960000000000005</v>
      </c>
      <c r="O745" s="2208">
        <v>-1.381</v>
      </c>
      <c r="P745" s="2208">
        <v>-1.4967999999999999</v>
      </c>
      <c r="Q745" s="2208">
        <v>-1.284127</v>
      </c>
      <c r="R745" s="2208">
        <v>-1.792</v>
      </c>
      <c r="S745" s="2208">
        <v>-1.2</v>
      </c>
      <c r="T745" s="2209">
        <v>-1.2</v>
      </c>
      <c r="U745" s="2210">
        <v>-1.2</v>
      </c>
      <c r="V745" s="2208">
        <v>-1.2</v>
      </c>
      <c r="W745" s="2208">
        <v>-1.2</v>
      </c>
      <c r="X745" s="2208">
        <v>-1.2</v>
      </c>
      <c r="Y745" s="2211">
        <v>-1.2</v>
      </c>
      <c r="AA745" s="2342"/>
    </row>
    <row r="746" spans="3:27" outlineLevel="1">
      <c r="C746" s="2339" t="s">
        <v>1462</v>
      </c>
      <c r="D746" s="2340"/>
      <c r="E746" s="2365"/>
      <c r="F746" s="2365"/>
      <c r="G746" s="2194"/>
      <c r="H746" s="2194"/>
      <c r="I746" s="2194"/>
      <c r="J746" s="2194"/>
      <c r="K746" s="2194"/>
      <c r="L746" s="2194"/>
      <c r="M746" s="2207"/>
      <c r="N746" s="2208"/>
      <c r="O746" s="2208">
        <v>4.0759999999999996</v>
      </c>
      <c r="P746" s="2208"/>
      <c r="Q746" s="2208"/>
      <c r="R746" s="2208"/>
      <c r="S746" s="2208"/>
      <c r="T746" s="2209"/>
      <c r="U746" s="2210"/>
      <c r="V746" s="2208"/>
      <c r="W746" s="2208"/>
      <c r="X746" s="2208"/>
      <c r="Y746" s="2211"/>
      <c r="AA746" s="2342"/>
    </row>
    <row r="747" spans="3:27" outlineLevel="1">
      <c r="C747" s="2598" t="s">
        <v>1463</v>
      </c>
      <c r="D747" s="2351"/>
      <c r="E747" s="2352"/>
      <c r="F747" s="2352"/>
      <c r="G747" s="2194"/>
      <c r="H747" s="2194"/>
      <c r="I747" s="2194"/>
      <c r="J747" s="2194"/>
      <c r="K747" s="2194"/>
      <c r="L747" s="2194"/>
      <c r="M747" s="2207"/>
      <c r="N747" s="2208"/>
      <c r="O747" s="2208"/>
      <c r="P747" s="2208"/>
      <c r="Q747" s="2208">
        <v>0.03</v>
      </c>
      <c r="R747" s="2208">
        <v>5.0000000000000001E-3</v>
      </c>
      <c r="S747" s="2208">
        <v>0</v>
      </c>
      <c r="T747" s="2209">
        <v>0</v>
      </c>
      <c r="U747" s="2210">
        <v>0</v>
      </c>
      <c r="V747" s="2208">
        <v>0</v>
      </c>
      <c r="W747" s="2208">
        <v>0</v>
      </c>
      <c r="X747" s="2208">
        <v>0</v>
      </c>
      <c r="Y747" s="2211">
        <v>0</v>
      </c>
      <c r="AA747" s="2342"/>
    </row>
    <row r="748" spans="3:27" outlineLevel="1">
      <c r="C748" s="2598" t="s">
        <v>1464</v>
      </c>
      <c r="D748" s="2351"/>
      <c r="E748" s="2352"/>
      <c r="F748" s="2352"/>
      <c r="G748" s="2194"/>
      <c r="H748" s="2194"/>
      <c r="I748" s="2194"/>
      <c r="J748" s="2194"/>
      <c r="K748" s="2194"/>
      <c r="L748" s="2194"/>
      <c r="M748" s="2207">
        <v>0.112</v>
      </c>
      <c r="N748" s="2208">
        <v>0.14799999999999999</v>
      </c>
      <c r="O748" s="2208">
        <v>0.128</v>
      </c>
      <c r="P748" s="2208">
        <v>0.14799999999999999</v>
      </c>
      <c r="Q748" s="2208">
        <v>0.14000000000000001</v>
      </c>
      <c r="R748" s="2208">
        <v>0.14299999999999999</v>
      </c>
      <c r="S748" s="2208">
        <v>0.14299999999999999</v>
      </c>
      <c r="T748" s="2209">
        <v>0.14299999999999999</v>
      </c>
      <c r="U748" s="2210">
        <v>0.14299999999999999</v>
      </c>
      <c r="V748" s="2208">
        <v>0.14299999999999999</v>
      </c>
      <c r="W748" s="2208">
        <v>0.14299999999999999</v>
      </c>
      <c r="X748" s="2208">
        <v>0.14299999999999999</v>
      </c>
      <c r="Y748" s="2211">
        <v>0.14299999999999999</v>
      </c>
      <c r="AA748" s="2342"/>
    </row>
    <row r="749" spans="3:27" outlineLevel="1">
      <c r="C749" s="2598" t="s">
        <v>1465</v>
      </c>
      <c r="D749" s="2351"/>
      <c r="E749" s="2352"/>
      <c r="F749" s="2352"/>
      <c r="G749" s="2194"/>
      <c r="H749" s="2194"/>
      <c r="I749" s="2194"/>
      <c r="J749" s="2194"/>
      <c r="K749" s="2194"/>
      <c r="L749" s="2194"/>
      <c r="M749" s="2207">
        <v>4.9000000000000002E-2</v>
      </c>
      <c r="N749" s="2208">
        <v>4.4999999999999998E-2</v>
      </c>
      <c r="O749" s="2208">
        <v>4.4999999999999998E-2</v>
      </c>
      <c r="P749" s="2208">
        <v>5.1999999999999998E-2</v>
      </c>
      <c r="Q749" s="2208">
        <v>4.9700000000000001E-2</v>
      </c>
      <c r="R749" s="2208">
        <v>7.0999999999999994E-2</v>
      </c>
      <c r="S749" s="2208">
        <v>7.0999999999999994E-2</v>
      </c>
      <c r="T749" s="2209">
        <v>7.0999999999999994E-2</v>
      </c>
      <c r="U749" s="2210">
        <v>7.0999999999999994E-2</v>
      </c>
      <c r="V749" s="2208">
        <v>7.0999999999999994E-2</v>
      </c>
      <c r="W749" s="2208">
        <v>7.0999999999999994E-2</v>
      </c>
      <c r="X749" s="2208">
        <v>7.0999999999999994E-2</v>
      </c>
      <c r="Y749" s="2211">
        <v>7.0999999999999994E-2</v>
      </c>
      <c r="AA749" s="2342"/>
    </row>
    <row r="750" spans="3:27" outlineLevel="1">
      <c r="C750" s="2598" t="s">
        <v>1466</v>
      </c>
      <c r="D750" s="2351"/>
      <c r="E750" s="2352"/>
      <c r="F750" s="2352"/>
      <c r="G750" s="2194"/>
      <c r="H750" s="2194"/>
      <c r="I750" s="2194"/>
      <c r="J750" s="2194"/>
      <c r="K750" s="2194"/>
      <c r="L750" s="2194"/>
      <c r="M750" s="2207">
        <v>0.49199999999999999</v>
      </c>
      <c r="N750" s="2208">
        <v>0.501</v>
      </c>
      <c r="O750" s="2208">
        <v>0.188</v>
      </c>
      <c r="P750" s="2208">
        <v>0.35320000000000001</v>
      </c>
      <c r="Q750" s="2208">
        <v>0.319691</v>
      </c>
      <c r="R750" s="2208">
        <v>0.33800000000000002</v>
      </c>
      <c r="S750" s="2208">
        <v>0.33800000000000002</v>
      </c>
      <c r="T750" s="2209">
        <v>0.33800000000000002</v>
      </c>
      <c r="U750" s="2210">
        <v>0.33800000000000002</v>
      </c>
      <c r="V750" s="2208">
        <v>0.33800000000000002</v>
      </c>
      <c r="W750" s="2208">
        <v>0.33800000000000002</v>
      </c>
      <c r="X750" s="2208">
        <v>0.33800000000000002</v>
      </c>
      <c r="Y750" s="2211">
        <v>0.33800000000000002</v>
      </c>
      <c r="AA750" s="2342"/>
    </row>
    <row r="751" spans="3:27" outlineLevel="1">
      <c r="C751" s="2598" t="s">
        <v>1467</v>
      </c>
      <c r="D751" s="2351"/>
      <c r="E751" s="2352"/>
      <c r="F751" s="2352"/>
      <c r="G751" s="2194"/>
      <c r="H751" s="2194"/>
      <c r="I751" s="2194"/>
      <c r="J751" s="2194"/>
      <c r="K751" s="2194"/>
      <c r="L751" s="2194"/>
      <c r="M751" s="2207"/>
      <c r="N751" s="2208"/>
      <c r="O751" s="2208"/>
      <c r="P751" s="2208"/>
      <c r="Q751" s="2208">
        <v>1.5262</v>
      </c>
      <c r="R751" s="2208">
        <v>2.7</v>
      </c>
      <c r="S751" s="2208">
        <v>2.7</v>
      </c>
      <c r="T751" s="2209">
        <v>2.7</v>
      </c>
      <c r="U751" s="2210">
        <v>2.7</v>
      </c>
      <c r="V751" s="2208">
        <v>2.7</v>
      </c>
      <c r="W751" s="2208">
        <v>2.7</v>
      </c>
      <c r="X751" s="2208">
        <v>2.7</v>
      </c>
      <c r="Y751" s="2211">
        <v>2.7</v>
      </c>
      <c r="AA751" s="2342"/>
    </row>
    <row r="752" spans="3:27" outlineLevel="1">
      <c r="C752" s="2598" t="s">
        <v>85</v>
      </c>
      <c r="D752" s="2351"/>
      <c r="E752" s="2352"/>
      <c r="F752" s="2352"/>
      <c r="G752" s="2194"/>
      <c r="H752" s="2194"/>
      <c r="I752" s="2194"/>
      <c r="J752" s="2194"/>
      <c r="K752" s="2194"/>
      <c r="L752" s="2194"/>
      <c r="M752" s="2207"/>
      <c r="N752" s="2208"/>
      <c r="O752" s="2208">
        <v>0.2</v>
      </c>
      <c r="P752" s="2208">
        <v>0.1</v>
      </c>
      <c r="Q752" s="2208"/>
      <c r="R752" s="2208">
        <v>0.109</v>
      </c>
      <c r="S752" s="2208">
        <v>0.109</v>
      </c>
      <c r="T752" s="2209">
        <v>0.109</v>
      </c>
      <c r="U752" s="2210">
        <v>0.109</v>
      </c>
      <c r="V752" s="2208">
        <v>0.109</v>
      </c>
      <c r="W752" s="2208">
        <v>0.109</v>
      </c>
      <c r="X752" s="2208">
        <v>0.109</v>
      </c>
      <c r="Y752" s="2211">
        <v>0.109</v>
      </c>
      <c r="AA752" s="2342"/>
    </row>
    <row r="753" spans="2:27" outlineLevel="1">
      <c r="C753" s="2598" t="s">
        <v>1468</v>
      </c>
      <c r="D753" s="2351"/>
      <c r="E753" s="2352"/>
      <c r="F753" s="2352"/>
      <c r="G753" s="2194"/>
      <c r="H753" s="2194"/>
      <c r="I753" s="2194"/>
      <c r="J753" s="2194"/>
      <c r="K753" s="2194"/>
      <c r="L753" s="2194"/>
      <c r="M753" s="2207">
        <v>-0.41099999999999998</v>
      </c>
      <c r="N753" s="2208">
        <v>-0.42</v>
      </c>
      <c r="O753" s="2208">
        <v>-0.45300000000000001</v>
      </c>
      <c r="P753" s="2208"/>
      <c r="Q753" s="2208">
        <v>0</v>
      </c>
      <c r="R753" s="2208">
        <v>0</v>
      </c>
      <c r="S753" s="2208">
        <v>0</v>
      </c>
      <c r="T753" s="2209">
        <v>0</v>
      </c>
      <c r="U753" s="2210">
        <v>0</v>
      </c>
      <c r="V753" s="2208">
        <v>0</v>
      </c>
      <c r="W753" s="2208">
        <v>0</v>
      </c>
      <c r="X753" s="2208">
        <v>0</v>
      </c>
      <c r="Y753" s="2211">
        <v>0</v>
      </c>
      <c r="AA753" s="2342"/>
    </row>
    <row r="754" spans="2:27" outlineLevel="1">
      <c r="C754" s="2598" t="s">
        <v>1469</v>
      </c>
      <c r="D754" s="2351"/>
      <c r="E754" s="2352"/>
      <c r="F754" s="2352"/>
      <c r="G754" s="2194"/>
      <c r="H754" s="2194"/>
      <c r="I754" s="2194"/>
      <c r="J754" s="2194"/>
      <c r="K754" s="2194"/>
      <c r="L754" s="2194"/>
      <c r="M754" s="2207">
        <v>-0.52</v>
      </c>
      <c r="N754" s="2208"/>
      <c r="O754" s="2208"/>
      <c r="P754" s="2208"/>
      <c r="Q754" s="2208">
        <v>0</v>
      </c>
      <c r="R754" s="2208">
        <v>0</v>
      </c>
      <c r="S754" s="2208">
        <v>0</v>
      </c>
      <c r="T754" s="2209">
        <v>0</v>
      </c>
      <c r="U754" s="2210">
        <v>0</v>
      </c>
      <c r="V754" s="2208">
        <v>0</v>
      </c>
      <c r="W754" s="2208">
        <v>0</v>
      </c>
      <c r="X754" s="2208">
        <v>0</v>
      </c>
      <c r="Y754" s="2211">
        <v>0</v>
      </c>
      <c r="AA754" s="2342"/>
    </row>
    <row r="755" spans="2:27" outlineLevel="1">
      <c r="C755" s="2358" t="s">
        <v>1470</v>
      </c>
      <c r="D755" s="2340"/>
      <c r="E755" s="2366"/>
      <c r="F755" s="2366"/>
      <c r="G755" s="2194"/>
      <c r="H755" s="2194"/>
      <c r="I755" s="2194"/>
      <c r="J755" s="2194"/>
      <c r="K755" s="2194"/>
      <c r="L755" s="2194"/>
      <c r="M755" s="2074">
        <f>SUM(M739:M754)</f>
        <v>40.882149999999996</v>
      </c>
      <c r="N755" s="2075">
        <f t="shared" ref="N755:Y755" si="40">SUM(N739:N754)</f>
        <v>44.543549999999996</v>
      </c>
      <c r="O755" s="2075">
        <f t="shared" si="40"/>
        <v>50.523150000000008</v>
      </c>
      <c r="P755" s="2075">
        <f t="shared" si="40"/>
        <v>46.291012790000011</v>
      </c>
      <c r="Q755" s="2075">
        <f t="shared" si="40"/>
        <v>49.490436480000007</v>
      </c>
      <c r="R755" s="2075">
        <f t="shared" si="40"/>
        <v>51.404269799999994</v>
      </c>
      <c r="S755" s="2075">
        <f t="shared" si="40"/>
        <v>48.140603253318822</v>
      </c>
      <c r="T755" s="2076">
        <f t="shared" si="40"/>
        <v>40.501453169879731</v>
      </c>
      <c r="U755" s="2077">
        <f t="shared" si="40"/>
        <v>39.795158475868952</v>
      </c>
      <c r="V755" s="2075">
        <f t="shared" si="40"/>
        <v>39.136210771795476</v>
      </c>
      <c r="W755" s="2075">
        <f t="shared" si="40"/>
        <v>37.970227097390463</v>
      </c>
      <c r="X755" s="2075">
        <f t="shared" si="40"/>
        <v>34.028597676456563</v>
      </c>
      <c r="Y755" s="2078">
        <f t="shared" si="40"/>
        <v>31.6886174456126</v>
      </c>
      <c r="AA755" s="2364">
        <f>SUM(AA739:AA747)</f>
        <v>0</v>
      </c>
    </row>
    <row r="756" spans="2:27" outlineLevel="1">
      <c r="C756" s="2367"/>
      <c r="D756" s="2368"/>
      <c r="E756" s="2369"/>
      <c r="F756" s="2369"/>
      <c r="G756" s="2370"/>
      <c r="H756" s="2370"/>
      <c r="I756" s="2370"/>
      <c r="J756" s="2370"/>
      <c r="K756" s="2370"/>
      <c r="L756" s="2370"/>
      <c r="M756" s="2371"/>
      <c r="N756" s="2371"/>
      <c r="O756" s="2371"/>
      <c r="P756" s="2371"/>
      <c r="Q756" s="2371"/>
      <c r="R756" s="2371"/>
      <c r="S756" s="2371"/>
      <c r="T756" s="2371"/>
      <c r="U756" s="2372"/>
      <c r="V756" s="2371"/>
      <c r="W756" s="2371"/>
      <c r="X756" s="2371"/>
      <c r="Y756" s="2371"/>
      <c r="AA756" s="2371"/>
    </row>
    <row r="757" spans="2:27" outlineLevel="1">
      <c r="C757" s="2373" t="s">
        <v>1471</v>
      </c>
      <c r="D757" s="2374"/>
      <c r="E757" s="2375"/>
      <c r="F757" s="2376"/>
      <c r="G757" s="2375"/>
      <c r="H757" s="2375"/>
      <c r="I757" s="2375"/>
      <c r="J757" s="2375"/>
      <c r="K757" s="2375"/>
      <c r="L757" s="2375"/>
      <c r="M757" s="2371"/>
      <c r="N757" s="2371"/>
      <c r="O757" s="2371"/>
      <c r="P757" s="2371"/>
      <c r="Q757" s="2371"/>
      <c r="R757" s="2371"/>
      <c r="S757" s="2371"/>
      <c r="T757" s="2371"/>
      <c r="U757" s="2372"/>
      <c r="V757" s="2371"/>
      <c r="W757" s="2371"/>
      <c r="X757" s="2371"/>
      <c r="Y757" s="2371"/>
      <c r="AA757" s="2371"/>
    </row>
    <row r="758" spans="2:27" outlineLevel="1">
      <c r="C758" s="2339" t="s">
        <v>1472</v>
      </c>
      <c r="D758" s="2340"/>
      <c r="E758" s="2341"/>
      <c r="F758" s="2341"/>
      <c r="G758" s="2194"/>
      <c r="H758" s="2194"/>
      <c r="I758" s="2194"/>
      <c r="J758" s="2194"/>
      <c r="K758" s="2194"/>
      <c r="L758" s="2341"/>
      <c r="M758" s="2586">
        <v>-8.5000000000000006E-2</v>
      </c>
      <c r="N758" s="2587">
        <v>-0.05</v>
      </c>
      <c r="O758" s="2587">
        <v>-0.62</v>
      </c>
      <c r="P758" s="2587">
        <v>-0.03</v>
      </c>
      <c r="Q758" s="2587">
        <v>-5.4059999999999997E-2</v>
      </c>
      <c r="R758" s="2197">
        <v>-0.29537999999999998</v>
      </c>
      <c r="S758" s="2197">
        <v>-0.3</v>
      </c>
      <c r="T758" s="2198"/>
      <c r="U758" s="2199"/>
      <c r="V758" s="2197"/>
      <c r="W758" s="2197"/>
      <c r="X758" s="2197"/>
      <c r="Y758" s="2200"/>
      <c r="AA758" s="2342"/>
    </row>
    <row r="759" spans="2:27" outlineLevel="1">
      <c r="C759" s="2341" t="s">
        <v>1473</v>
      </c>
      <c r="D759" s="2340"/>
      <c r="E759" s="2341"/>
      <c r="F759" s="2341"/>
      <c r="G759" s="2194"/>
      <c r="H759" s="2194"/>
      <c r="I759" s="2194"/>
      <c r="J759" s="2194"/>
      <c r="K759" s="2194"/>
      <c r="L759" s="2341"/>
      <c r="M759" s="2207"/>
      <c r="N759" s="2208"/>
      <c r="O759" s="2208"/>
      <c r="P759" s="2208"/>
      <c r="Q759" s="2208"/>
      <c r="R759" s="2208"/>
      <c r="S759" s="2208"/>
      <c r="T759" s="2209"/>
      <c r="U759" s="2210"/>
      <c r="V759" s="2208"/>
      <c r="W759" s="2208"/>
      <c r="X759" s="2208"/>
      <c r="Y759" s="2211"/>
      <c r="AA759" s="2342"/>
    </row>
    <row r="760" spans="2:27" outlineLevel="1">
      <c r="C760" s="2341" t="s">
        <v>1474</v>
      </c>
      <c r="D760" s="2340"/>
      <c r="E760" s="2341"/>
      <c r="F760" s="2341"/>
      <c r="G760" s="2194"/>
      <c r="H760" s="2194"/>
      <c r="I760" s="2194"/>
      <c r="J760" s="2194"/>
      <c r="K760" s="2194"/>
      <c r="L760" s="2341"/>
      <c r="M760" s="2207"/>
      <c r="N760" s="2208"/>
      <c r="O760" s="2208"/>
      <c r="P760" s="2208"/>
      <c r="Q760" s="2208"/>
      <c r="R760" s="2208"/>
      <c r="S760" s="2208"/>
      <c r="T760" s="2209"/>
      <c r="U760" s="2210"/>
      <c r="V760" s="2208"/>
      <c r="W760" s="2208"/>
      <c r="X760" s="2208"/>
      <c r="Y760" s="2211"/>
      <c r="AA760" s="2342"/>
    </row>
    <row r="761" spans="2:27" outlineLevel="1">
      <c r="B761" s="2343" t="s">
        <v>1044</v>
      </c>
      <c r="C761" s="2339" t="s">
        <v>1475</v>
      </c>
      <c r="D761" s="2340"/>
      <c r="E761" s="2341"/>
      <c r="F761" s="2341"/>
      <c r="G761" s="2194"/>
      <c r="H761" s="2194"/>
      <c r="I761" s="2194"/>
      <c r="J761" s="2194"/>
      <c r="K761" s="2194"/>
      <c r="L761" s="2341"/>
      <c r="M761" s="2377">
        <f>M132</f>
        <v>0</v>
      </c>
      <c r="N761" s="2378">
        <f t="shared" ref="N761:Y761" si="41">N132</f>
        <v>0</v>
      </c>
      <c r="O761" s="2378">
        <f t="shared" si="41"/>
        <v>0</v>
      </c>
      <c r="P761" s="2378">
        <f t="shared" si="41"/>
        <v>0</v>
      </c>
      <c r="Q761" s="2378">
        <f t="shared" si="41"/>
        <v>0</v>
      </c>
      <c r="R761" s="2378">
        <f t="shared" si="41"/>
        <v>0</v>
      </c>
      <c r="S761" s="2378">
        <f t="shared" si="41"/>
        <v>0</v>
      </c>
      <c r="T761" s="2379">
        <f t="shared" si="41"/>
        <v>0</v>
      </c>
      <c r="U761" s="2380">
        <f t="shared" si="41"/>
        <v>0</v>
      </c>
      <c r="V761" s="2378">
        <f t="shared" si="41"/>
        <v>0</v>
      </c>
      <c r="W761" s="2378">
        <f t="shared" si="41"/>
        <v>0</v>
      </c>
      <c r="X761" s="2378">
        <f t="shared" si="41"/>
        <v>0</v>
      </c>
      <c r="Y761" s="2381">
        <f t="shared" si="41"/>
        <v>0</v>
      </c>
      <c r="AA761" s="2382">
        <f>AA132</f>
        <v>0</v>
      </c>
    </row>
    <row r="762" spans="2:27" outlineLevel="1">
      <c r="C762" s="2358" t="s">
        <v>1476</v>
      </c>
      <c r="D762" s="2340"/>
      <c r="E762" s="2341"/>
      <c r="F762" s="2341"/>
      <c r="G762" s="2194"/>
      <c r="H762" s="2194"/>
      <c r="I762" s="2194"/>
      <c r="J762" s="2194"/>
      <c r="K762" s="2194"/>
      <c r="L762" s="2341"/>
      <c r="M762" s="2359">
        <f t="shared" ref="M762:AA762" si="42">SUM(M758:M761)</f>
        <v>-8.5000000000000006E-2</v>
      </c>
      <c r="N762" s="2360">
        <f t="shared" si="42"/>
        <v>-0.05</v>
      </c>
      <c r="O762" s="2360">
        <f t="shared" si="42"/>
        <v>-0.62</v>
      </c>
      <c r="P762" s="2360">
        <f t="shared" si="42"/>
        <v>-0.03</v>
      </c>
      <c r="Q762" s="2360">
        <f t="shared" si="42"/>
        <v>-5.4059999999999997E-2</v>
      </c>
      <c r="R762" s="2360">
        <f t="shared" si="42"/>
        <v>-0.29537999999999998</v>
      </c>
      <c r="S762" s="2360">
        <f t="shared" si="42"/>
        <v>-0.3</v>
      </c>
      <c r="T762" s="2361">
        <f t="shared" si="42"/>
        <v>0</v>
      </c>
      <c r="U762" s="2362">
        <f t="shared" si="42"/>
        <v>0</v>
      </c>
      <c r="V762" s="2360">
        <f t="shared" si="42"/>
        <v>0</v>
      </c>
      <c r="W762" s="2360">
        <f t="shared" si="42"/>
        <v>0</v>
      </c>
      <c r="X762" s="2360">
        <f t="shared" si="42"/>
        <v>0</v>
      </c>
      <c r="Y762" s="2363">
        <f t="shared" si="42"/>
        <v>0</v>
      </c>
      <c r="AA762" s="2364">
        <f t="shared" si="42"/>
        <v>0</v>
      </c>
    </row>
    <row r="763" spans="2:27" outlineLevel="1">
      <c r="C763" s="2339" t="s">
        <v>1477</v>
      </c>
      <c r="D763" s="2340"/>
      <c r="E763" s="2341"/>
      <c r="F763" s="2341"/>
      <c r="G763" s="2194"/>
      <c r="H763" s="2194"/>
      <c r="I763" s="2194"/>
      <c r="J763" s="2194"/>
      <c r="K763" s="2194"/>
      <c r="L763" s="2341"/>
      <c r="M763" s="2207"/>
      <c r="N763" s="2208"/>
      <c r="O763" s="2208"/>
      <c r="P763" s="2208"/>
      <c r="Q763" s="2208"/>
      <c r="R763" s="2208"/>
      <c r="S763" s="2208"/>
      <c r="T763" s="2209"/>
      <c r="U763" s="2210"/>
      <c r="V763" s="2208"/>
      <c r="W763" s="2208"/>
      <c r="X763" s="2208"/>
      <c r="Y763" s="2211"/>
      <c r="AA763" s="2342"/>
    </row>
    <row r="764" spans="2:27" outlineLevel="1">
      <c r="C764" s="2339" t="s">
        <v>1478</v>
      </c>
      <c r="D764" s="2340"/>
      <c r="E764" s="2341"/>
      <c r="F764" s="2341"/>
      <c r="G764" s="2194"/>
      <c r="H764" s="2194"/>
      <c r="I764" s="2194"/>
      <c r="J764" s="2194"/>
      <c r="K764" s="2194"/>
      <c r="L764" s="2341"/>
      <c r="M764" s="2207"/>
      <c r="N764" s="2208"/>
      <c r="O764" s="2208"/>
      <c r="P764" s="2208"/>
      <c r="Q764" s="2208"/>
      <c r="R764" s="2208"/>
      <c r="S764" s="2208"/>
      <c r="T764" s="2209"/>
      <c r="U764" s="2210"/>
      <c r="V764" s="2208"/>
      <c r="W764" s="2208"/>
      <c r="X764" s="2208"/>
      <c r="Y764" s="2211"/>
      <c r="AA764" s="2342"/>
    </row>
    <row r="765" spans="2:27" outlineLevel="1">
      <c r="C765" s="2339" t="s">
        <v>1479</v>
      </c>
      <c r="D765" s="2340"/>
      <c r="E765" s="2365"/>
      <c r="F765" s="2365"/>
      <c r="G765" s="2194"/>
      <c r="H765" s="2194"/>
      <c r="I765" s="2194"/>
      <c r="J765" s="2194"/>
      <c r="K765" s="2194"/>
      <c r="L765" s="2194"/>
      <c r="M765" s="2207"/>
      <c r="N765" s="2208"/>
      <c r="O765" s="2208"/>
      <c r="P765" s="2208">
        <v>-3.2345999999999999</v>
      </c>
      <c r="Q765" s="2208">
        <v>-4.1245830000000003</v>
      </c>
      <c r="R765" s="2208">
        <v>-3.2507999999999999</v>
      </c>
      <c r="S765" s="2208">
        <v>0</v>
      </c>
      <c r="T765" s="2209">
        <v>0</v>
      </c>
      <c r="U765" s="2210">
        <v>0</v>
      </c>
      <c r="V765" s="2208">
        <v>0</v>
      </c>
      <c r="W765" s="2208">
        <v>0</v>
      </c>
      <c r="X765" s="2208">
        <v>0</v>
      </c>
      <c r="Y765" s="2211">
        <v>0</v>
      </c>
      <c r="AA765" s="2342"/>
    </row>
    <row r="766" spans="2:27" outlineLevel="1">
      <c r="C766" s="2350" t="s">
        <v>1480</v>
      </c>
      <c r="D766" s="2351"/>
      <c r="E766" s="2352"/>
      <c r="F766" s="2352"/>
      <c r="G766" s="2194"/>
      <c r="H766" s="2194"/>
      <c r="I766" s="2194"/>
      <c r="J766" s="2194"/>
      <c r="K766" s="2194"/>
      <c r="L766" s="2341"/>
      <c r="M766" s="2383"/>
      <c r="N766" s="2384"/>
      <c r="O766" s="2384"/>
      <c r="P766" s="2384"/>
      <c r="Q766" s="2384"/>
      <c r="R766" s="2384">
        <v>-3.0412180000000002</v>
      </c>
      <c r="S766" s="2384">
        <v>-3.0412180000000002</v>
      </c>
      <c r="T766" s="2385">
        <v>-3.0412180000000002</v>
      </c>
      <c r="U766" s="2386">
        <v>-3.0412180000000002</v>
      </c>
      <c r="V766" s="2384">
        <v>-3.0412180000000002</v>
      </c>
      <c r="W766" s="2384">
        <v>-3.0412180000000002</v>
      </c>
      <c r="X766" s="2384">
        <v>-3.0412180000000002</v>
      </c>
      <c r="Y766" s="2387">
        <v>-3.0412180000000002</v>
      </c>
      <c r="AA766" s="2342"/>
    </row>
    <row r="767" spans="2:27" outlineLevel="1">
      <c r="C767" s="2358" t="s">
        <v>1481</v>
      </c>
      <c r="D767" s="2340"/>
      <c r="E767" s="2341"/>
      <c r="F767" s="2341"/>
      <c r="G767" s="2194"/>
      <c r="H767" s="2194"/>
      <c r="I767" s="2194"/>
      <c r="J767" s="2194"/>
      <c r="K767" s="2194"/>
      <c r="L767" s="2341"/>
      <c r="M767" s="2074">
        <f>SUM(M762:M766)</f>
        <v>-8.5000000000000006E-2</v>
      </c>
      <c r="N767" s="2075">
        <f t="shared" ref="N767:AA767" si="43">SUM(N762:N766)</f>
        <v>-0.05</v>
      </c>
      <c r="O767" s="2075">
        <f t="shared" si="43"/>
        <v>-0.62</v>
      </c>
      <c r="P767" s="2075">
        <f t="shared" si="43"/>
        <v>-3.2645999999999997</v>
      </c>
      <c r="Q767" s="2075">
        <f t="shared" si="43"/>
        <v>-4.1786430000000001</v>
      </c>
      <c r="R767" s="2075">
        <f t="shared" si="43"/>
        <v>-6.5873980000000003</v>
      </c>
      <c r="S767" s="2075">
        <f t="shared" si="43"/>
        <v>-3.341218</v>
      </c>
      <c r="T767" s="2076">
        <f t="shared" si="43"/>
        <v>-3.0412180000000002</v>
      </c>
      <c r="U767" s="2077">
        <f t="shared" si="43"/>
        <v>-3.0412180000000002</v>
      </c>
      <c r="V767" s="2075">
        <f t="shared" si="43"/>
        <v>-3.0412180000000002</v>
      </c>
      <c r="W767" s="2075">
        <f t="shared" si="43"/>
        <v>-3.0412180000000002</v>
      </c>
      <c r="X767" s="2075">
        <f t="shared" si="43"/>
        <v>-3.0412180000000002</v>
      </c>
      <c r="Y767" s="2078">
        <f t="shared" si="43"/>
        <v>-3.0412180000000002</v>
      </c>
      <c r="AA767" s="2364">
        <f t="shared" si="43"/>
        <v>0</v>
      </c>
    </row>
    <row r="768" spans="2:27" outlineLevel="1">
      <c r="C768" s="2388"/>
      <c r="D768" s="2368"/>
      <c r="E768" s="2369"/>
      <c r="F768" s="2369"/>
      <c r="G768" s="2370"/>
      <c r="H768" s="2370"/>
      <c r="I768" s="2370"/>
      <c r="J768" s="2370"/>
      <c r="K768" s="2370"/>
      <c r="L768" s="2369"/>
      <c r="M768" s="2389"/>
      <c r="N768" s="2389"/>
      <c r="O768" s="2389"/>
      <c r="P768" s="2389"/>
      <c r="Q768" s="2389"/>
      <c r="R768" s="2389"/>
      <c r="S768" s="2389"/>
      <c r="T768" s="2389"/>
      <c r="U768" s="2390"/>
      <c r="V768" s="2389"/>
      <c r="W768" s="2389"/>
      <c r="X768" s="2389"/>
      <c r="Y768" s="2389"/>
      <c r="AA768" s="2389"/>
    </row>
    <row r="769" spans="2:27" outlineLevel="1">
      <c r="C769" s="2391" t="s">
        <v>1482</v>
      </c>
      <c r="D769" s="2392"/>
      <c r="E769" s="2392"/>
      <c r="F769" s="2392"/>
      <c r="G769" s="2375"/>
      <c r="H769" s="2375"/>
      <c r="I769" s="2375"/>
      <c r="J769" s="2375"/>
      <c r="K769" s="2375"/>
      <c r="L769" s="2376"/>
      <c r="M769" s="1892"/>
      <c r="N769" s="1892"/>
      <c r="O769" s="1885"/>
      <c r="P769" s="1885"/>
      <c r="T769" s="1885"/>
      <c r="U769" s="1916"/>
      <c r="V769" s="1885"/>
      <c r="W769" s="1885"/>
      <c r="X769" s="1885"/>
      <c r="AA769" s="1885"/>
    </row>
    <row r="770" spans="2:27" outlineLevel="1">
      <c r="C770" s="1837" t="s">
        <v>1483</v>
      </c>
      <c r="D770" s="1837"/>
      <c r="E770" s="1837"/>
      <c r="F770" s="1837"/>
      <c r="G770" s="2194"/>
      <c r="H770" s="2194"/>
      <c r="I770" s="2194"/>
      <c r="J770" s="2194"/>
      <c r="K770" s="2194"/>
      <c r="L770" s="2194"/>
      <c r="M770" s="2393">
        <f t="shared" ref="M770:AA770" si="44">M755</f>
        <v>40.882149999999996</v>
      </c>
      <c r="N770" s="2394">
        <f t="shared" si="44"/>
        <v>44.543549999999996</v>
      </c>
      <c r="O770" s="2394">
        <f t="shared" si="44"/>
        <v>50.523150000000008</v>
      </c>
      <c r="P770" s="2394">
        <f t="shared" si="44"/>
        <v>46.291012790000011</v>
      </c>
      <c r="Q770" s="2394">
        <f t="shared" si="44"/>
        <v>49.490436480000007</v>
      </c>
      <c r="R770" s="2394">
        <f t="shared" si="44"/>
        <v>51.404269799999994</v>
      </c>
      <c r="S770" s="2394">
        <f t="shared" si="44"/>
        <v>48.140603253318822</v>
      </c>
      <c r="T770" s="2395">
        <f t="shared" si="44"/>
        <v>40.501453169879731</v>
      </c>
      <c r="U770" s="2396">
        <f t="shared" si="44"/>
        <v>39.795158475868952</v>
      </c>
      <c r="V770" s="2394">
        <f t="shared" si="44"/>
        <v>39.136210771795476</v>
      </c>
      <c r="W770" s="2394">
        <f t="shared" si="44"/>
        <v>37.970227097390463</v>
      </c>
      <c r="X770" s="2394">
        <f t="shared" si="44"/>
        <v>34.028597676456563</v>
      </c>
      <c r="Y770" s="2397">
        <f t="shared" si="44"/>
        <v>31.6886174456126</v>
      </c>
      <c r="AA770" s="2349">
        <f t="shared" si="44"/>
        <v>0</v>
      </c>
    </row>
    <row r="771" spans="2:27" ht="12.75" customHeight="1" outlineLevel="1">
      <c r="C771" s="1837" t="s">
        <v>1484</v>
      </c>
      <c r="D771" s="2398"/>
      <c r="E771" s="2398"/>
      <c r="F771" s="2398"/>
      <c r="G771" s="2194"/>
      <c r="H771" s="2194"/>
      <c r="I771" s="2194"/>
      <c r="J771" s="2194"/>
      <c r="K771" s="2194"/>
      <c r="L771" s="2194"/>
      <c r="M771" s="2344">
        <f t="shared" ref="M771:AA771" si="45">M767</f>
        <v>-8.5000000000000006E-2</v>
      </c>
      <c r="N771" s="2345">
        <f t="shared" si="45"/>
        <v>-0.05</v>
      </c>
      <c r="O771" s="2345">
        <f t="shared" si="45"/>
        <v>-0.62</v>
      </c>
      <c r="P771" s="2345">
        <f t="shared" si="45"/>
        <v>-3.2645999999999997</v>
      </c>
      <c r="Q771" s="2345">
        <f t="shared" si="45"/>
        <v>-4.1786430000000001</v>
      </c>
      <c r="R771" s="2345">
        <f t="shared" si="45"/>
        <v>-6.5873980000000003</v>
      </c>
      <c r="S771" s="2345">
        <f t="shared" si="45"/>
        <v>-3.341218</v>
      </c>
      <c r="T771" s="2346">
        <f t="shared" si="45"/>
        <v>-3.0412180000000002</v>
      </c>
      <c r="U771" s="2347">
        <f t="shared" si="45"/>
        <v>-3.0412180000000002</v>
      </c>
      <c r="V771" s="2345">
        <f t="shared" si="45"/>
        <v>-3.0412180000000002</v>
      </c>
      <c r="W771" s="2345">
        <f t="shared" si="45"/>
        <v>-3.0412180000000002</v>
      </c>
      <c r="X771" s="2345">
        <f t="shared" si="45"/>
        <v>-3.0412180000000002</v>
      </c>
      <c r="Y771" s="2348">
        <f t="shared" si="45"/>
        <v>-3.0412180000000002</v>
      </c>
      <c r="AA771" s="2349">
        <f t="shared" si="45"/>
        <v>0</v>
      </c>
    </row>
    <row r="772" spans="2:27" outlineLevel="1">
      <c r="C772" s="1837" t="s">
        <v>1485</v>
      </c>
      <c r="D772" s="1837"/>
      <c r="E772" s="1837"/>
      <c r="F772" s="1837"/>
      <c r="G772" s="2194"/>
      <c r="H772" s="2194"/>
      <c r="I772" s="2194"/>
      <c r="J772" s="2194"/>
      <c r="K772" s="2194"/>
      <c r="L772" s="2194"/>
      <c r="M772" s="1911">
        <f>SUM(M770:M771)</f>
        <v>40.797149999999995</v>
      </c>
      <c r="N772" s="1912">
        <f t="shared" ref="N772:AA772" si="46">SUM(N770:N771)</f>
        <v>44.493549999999999</v>
      </c>
      <c r="O772" s="1912">
        <f t="shared" si="46"/>
        <v>49.903150000000011</v>
      </c>
      <c r="P772" s="1912">
        <f t="shared" si="46"/>
        <v>43.026412790000009</v>
      </c>
      <c r="Q772" s="1912">
        <f t="shared" si="46"/>
        <v>45.311793480000006</v>
      </c>
      <c r="R772" s="1912">
        <f t="shared" si="46"/>
        <v>44.816871799999994</v>
      </c>
      <c r="S772" s="1912">
        <f t="shared" si="46"/>
        <v>44.799385253318825</v>
      </c>
      <c r="T772" s="1913">
        <f t="shared" si="46"/>
        <v>37.460235169879731</v>
      </c>
      <c r="U772" s="1914">
        <f t="shared" si="46"/>
        <v>36.753940475868951</v>
      </c>
      <c r="V772" s="1912">
        <f t="shared" si="46"/>
        <v>36.094992771795475</v>
      </c>
      <c r="W772" s="1912">
        <f t="shared" si="46"/>
        <v>34.929009097390463</v>
      </c>
      <c r="X772" s="1912">
        <f t="shared" si="46"/>
        <v>30.987379676456563</v>
      </c>
      <c r="Y772" s="1915">
        <f t="shared" si="46"/>
        <v>28.647399445612599</v>
      </c>
      <c r="AA772" s="2364">
        <f t="shared" si="46"/>
        <v>0</v>
      </c>
    </row>
    <row r="773" spans="2:27" outlineLevel="1">
      <c r="C773" s="2370"/>
      <c r="D773" s="2368"/>
      <c r="E773" s="2370"/>
      <c r="F773" s="2370"/>
      <c r="G773" s="2370"/>
      <c r="H773" s="2370"/>
      <c r="I773" s="2370"/>
      <c r="J773" s="2370"/>
      <c r="K773" s="2370"/>
      <c r="L773" s="2370"/>
      <c r="M773" s="1892"/>
      <c r="N773" s="1885"/>
      <c r="O773" s="1885"/>
      <c r="P773" s="1885"/>
      <c r="T773" s="1885"/>
      <c r="U773" s="1916"/>
      <c r="V773" s="1885"/>
      <c r="W773" s="1885"/>
      <c r="X773" s="1885"/>
    </row>
    <row r="774" spans="2:27" s="1892" customFormat="1" outlineLevel="1">
      <c r="B774" s="2399"/>
      <c r="C774" s="2400" t="s">
        <v>1486</v>
      </c>
      <c r="D774" s="2400"/>
      <c r="E774" s="2374"/>
      <c r="F774" s="2374"/>
      <c r="G774" s="2374"/>
      <c r="H774" s="2374"/>
      <c r="I774" s="2374"/>
      <c r="J774" s="2374"/>
      <c r="K774" s="2374"/>
      <c r="L774" s="2375"/>
      <c r="U774" s="1916"/>
      <c r="Z774" s="1870"/>
    </row>
    <row r="775" spans="2:27" s="1892" customFormat="1" outlineLevel="1">
      <c r="B775" s="2399"/>
      <c r="C775" s="2340" t="s">
        <v>1413</v>
      </c>
      <c r="D775" s="2340"/>
      <c r="E775" s="2340"/>
      <c r="F775" s="2340"/>
      <c r="G775" s="2340"/>
      <c r="H775" s="2340"/>
      <c r="I775" s="2340"/>
      <c r="J775" s="2340"/>
      <c r="K775" s="2340"/>
      <c r="L775" s="2194"/>
      <c r="M775" s="2401"/>
      <c r="N775" s="2402"/>
      <c r="O775" s="2402"/>
      <c r="P775" s="2402"/>
      <c r="Q775" s="2402"/>
      <c r="R775" s="2402"/>
      <c r="S775" s="2402"/>
      <c r="T775" s="2403"/>
      <c r="U775" s="2404"/>
      <c r="V775" s="2402"/>
      <c r="W775" s="2402"/>
      <c r="X775" s="2402"/>
      <c r="Y775" s="2405"/>
      <c r="Z775" s="1870"/>
    </row>
    <row r="776" spans="2:27" s="1892" customFormat="1" outlineLevel="1">
      <c r="B776" s="2399"/>
      <c r="C776" s="2340" t="s">
        <v>1414</v>
      </c>
      <c r="D776" s="2340"/>
      <c r="E776" s="2340"/>
      <c r="F776" s="2340"/>
      <c r="G776" s="2340"/>
      <c r="H776" s="2340"/>
      <c r="I776" s="2340"/>
      <c r="J776" s="2340"/>
      <c r="K776" s="2340"/>
      <c r="L776" s="2194"/>
      <c r="M776" s="2108">
        <f>1-M775</f>
        <v>1</v>
      </c>
      <c r="N776" s="2109">
        <f t="shared" ref="N776:Y776" si="47">1-N775</f>
        <v>1</v>
      </c>
      <c r="O776" s="2109">
        <f t="shared" si="47"/>
        <v>1</v>
      </c>
      <c r="P776" s="2109">
        <f t="shared" si="47"/>
        <v>1</v>
      </c>
      <c r="Q776" s="2109">
        <f t="shared" si="47"/>
        <v>1</v>
      </c>
      <c r="R776" s="2109">
        <f t="shared" si="47"/>
        <v>1</v>
      </c>
      <c r="S776" s="2109">
        <f t="shared" si="47"/>
        <v>1</v>
      </c>
      <c r="T776" s="2110">
        <f t="shared" si="47"/>
        <v>1</v>
      </c>
      <c r="U776" s="2111">
        <f t="shared" si="47"/>
        <v>1</v>
      </c>
      <c r="V776" s="2109">
        <f t="shared" si="47"/>
        <v>1</v>
      </c>
      <c r="W776" s="2109">
        <f t="shared" si="47"/>
        <v>1</v>
      </c>
      <c r="X776" s="2109">
        <f t="shared" si="47"/>
        <v>1</v>
      </c>
      <c r="Y776" s="2112">
        <f t="shared" si="47"/>
        <v>1</v>
      </c>
      <c r="Z776" s="1870"/>
    </row>
    <row r="777" spans="2:27" outlineLevel="1">
      <c r="C777" s="2370"/>
      <c r="D777" s="2368"/>
      <c r="E777" s="2370"/>
      <c r="F777" s="2370"/>
      <c r="G777" s="2370"/>
      <c r="H777" s="2370"/>
      <c r="I777" s="2370"/>
      <c r="J777" s="2370"/>
      <c r="K777" s="2370"/>
      <c r="L777" s="2370"/>
      <c r="M777" s="1892"/>
      <c r="N777" s="1885"/>
      <c r="O777" s="1885"/>
      <c r="P777" s="1885"/>
      <c r="T777" s="1885"/>
      <c r="U777" s="1916"/>
      <c r="V777" s="1885"/>
      <c r="W777" s="1885"/>
      <c r="X777" s="1885"/>
    </row>
    <row r="778" spans="2:27" outlineLevel="1">
      <c r="C778" s="2391" t="s">
        <v>876</v>
      </c>
      <c r="D778" s="2392"/>
      <c r="E778" s="2392"/>
      <c r="F778" s="2392"/>
      <c r="G778" s="2375"/>
      <c r="H778" s="2375"/>
      <c r="I778" s="2375"/>
      <c r="J778" s="2375"/>
      <c r="K778" s="2375"/>
      <c r="L778" s="2375"/>
      <c r="M778" s="1892"/>
      <c r="N778" s="1885"/>
      <c r="O778" s="1885"/>
      <c r="P778" s="1885"/>
      <c r="T778" s="1885"/>
      <c r="U778" s="1916"/>
      <c r="V778" s="1885"/>
      <c r="W778" s="1885"/>
      <c r="X778" s="1885"/>
    </row>
    <row r="779" spans="2:27" outlineLevel="1">
      <c r="C779" s="1837" t="s">
        <v>1485</v>
      </c>
      <c r="D779" s="1837"/>
      <c r="E779" s="1837"/>
      <c r="F779" s="1837"/>
      <c r="G779" s="2194"/>
      <c r="H779" s="2194"/>
      <c r="I779" s="2194"/>
      <c r="J779" s="2194"/>
      <c r="K779" s="2194"/>
      <c r="L779" s="2194"/>
      <c r="M779" s="2393">
        <f t="shared" ref="M779:Y779" si="48">M772</f>
        <v>40.797149999999995</v>
      </c>
      <c r="N779" s="2394">
        <f t="shared" si="48"/>
        <v>44.493549999999999</v>
      </c>
      <c r="O779" s="2394">
        <f t="shared" si="48"/>
        <v>49.903150000000011</v>
      </c>
      <c r="P779" s="2394">
        <f t="shared" si="48"/>
        <v>43.026412790000009</v>
      </c>
      <c r="Q779" s="2394">
        <f t="shared" si="48"/>
        <v>45.311793480000006</v>
      </c>
      <c r="R779" s="2394">
        <f t="shared" si="48"/>
        <v>44.816871799999994</v>
      </c>
      <c r="S779" s="2394">
        <f t="shared" si="48"/>
        <v>44.799385253318825</v>
      </c>
      <c r="T779" s="2395">
        <f t="shared" si="48"/>
        <v>37.460235169879731</v>
      </c>
      <c r="U779" s="2396">
        <f t="shared" si="48"/>
        <v>36.753940475868951</v>
      </c>
      <c r="V779" s="2394">
        <f t="shared" si="48"/>
        <v>36.094992771795475</v>
      </c>
      <c r="W779" s="2394">
        <f t="shared" si="48"/>
        <v>34.929009097390463</v>
      </c>
      <c r="X779" s="2394">
        <f t="shared" si="48"/>
        <v>30.987379676456563</v>
      </c>
      <c r="Y779" s="2397">
        <f t="shared" si="48"/>
        <v>28.647399445612599</v>
      </c>
    </row>
    <row r="780" spans="2:27" ht="12.75" customHeight="1" outlineLevel="1">
      <c r="C780" s="1837" t="s">
        <v>884</v>
      </c>
      <c r="D780" s="2398"/>
      <c r="E780" s="2398"/>
      <c r="F780" s="2398"/>
      <c r="G780" s="2194"/>
      <c r="H780" s="2194"/>
      <c r="I780" s="2194"/>
      <c r="J780" s="2194"/>
      <c r="K780" s="2194"/>
      <c r="L780" s="2194"/>
      <c r="M780" s="2207"/>
      <c r="N780" s="2208"/>
      <c r="O780" s="2208"/>
      <c r="P780" s="2208"/>
      <c r="Q780" s="2208"/>
      <c r="R780" s="2208"/>
      <c r="S780" s="2208"/>
      <c r="T780" s="2209"/>
      <c r="U780" s="2210"/>
      <c r="V780" s="2208"/>
      <c r="W780" s="2208"/>
      <c r="X780" s="2208"/>
      <c r="Y780" s="2211"/>
    </row>
    <row r="781" spans="2:27" ht="12.75" customHeight="1" outlineLevel="1">
      <c r="C781" s="1837" t="s">
        <v>1487</v>
      </c>
      <c r="D781" s="2398"/>
      <c r="E781" s="2398"/>
      <c r="F781" s="2398"/>
      <c r="G781" s="2194"/>
      <c r="H781" s="2194"/>
      <c r="I781" s="2194"/>
      <c r="J781" s="2194"/>
      <c r="K781" s="2194"/>
      <c r="L781" s="2194"/>
      <c r="M781" s="2207"/>
      <c r="N781" s="2208"/>
      <c r="O781" s="2589">
        <f>-O746-O765</f>
        <v>-4.0759999999999996</v>
      </c>
      <c r="P781" s="2589">
        <f t="shared" ref="P781:Y781" si="49">-P746-P765</f>
        <v>3.2345999999999999</v>
      </c>
      <c r="Q781" s="2589">
        <f t="shared" si="49"/>
        <v>4.1245830000000003</v>
      </c>
      <c r="R781" s="2589">
        <f t="shared" si="49"/>
        <v>3.2507999999999999</v>
      </c>
      <c r="S781" s="2589">
        <f t="shared" si="49"/>
        <v>0</v>
      </c>
      <c r="T781" s="2589">
        <f t="shared" si="49"/>
        <v>0</v>
      </c>
      <c r="U781" s="2589">
        <f t="shared" si="49"/>
        <v>0</v>
      </c>
      <c r="V781" s="2589">
        <f t="shared" si="49"/>
        <v>0</v>
      </c>
      <c r="W781" s="2589">
        <f t="shared" si="49"/>
        <v>0</v>
      </c>
      <c r="X781" s="2589">
        <f t="shared" si="49"/>
        <v>0</v>
      </c>
      <c r="Y781" s="2589">
        <f t="shared" si="49"/>
        <v>0</v>
      </c>
    </row>
    <row r="782" spans="2:27" ht="12.75" customHeight="1" outlineLevel="1">
      <c r="C782" s="1837" t="s">
        <v>1488</v>
      </c>
      <c r="D782" s="2398"/>
      <c r="E782" s="2398"/>
      <c r="F782" s="2398"/>
      <c r="G782" s="2194"/>
      <c r="H782" s="2194"/>
      <c r="I782" s="2194"/>
      <c r="J782" s="2194"/>
      <c r="K782" s="2194"/>
      <c r="L782" s="2194"/>
      <c r="M782" s="2207"/>
      <c r="N782" s="2208"/>
      <c r="O782" s="2208"/>
      <c r="P782" s="2208"/>
      <c r="Q782" s="2208"/>
      <c r="R782" s="2208"/>
      <c r="S782" s="2208"/>
      <c r="T782" s="2209"/>
      <c r="U782" s="2210"/>
      <c r="V782" s="2208"/>
      <c r="W782" s="2208"/>
      <c r="X782" s="2208"/>
      <c r="Y782" s="2211"/>
    </row>
    <row r="783" spans="2:27" ht="12.75" customHeight="1" outlineLevel="1">
      <c r="C783" s="1837" t="s">
        <v>1489</v>
      </c>
      <c r="D783" s="2398"/>
      <c r="E783" s="2398"/>
      <c r="F783" s="2398"/>
      <c r="G783" s="2194"/>
      <c r="H783" s="2194"/>
      <c r="I783" s="2194"/>
      <c r="J783" s="2194"/>
      <c r="K783" s="2194"/>
      <c r="L783" s="2194"/>
      <c r="M783" s="2207"/>
      <c r="N783" s="2208"/>
      <c r="O783" s="2208"/>
      <c r="P783" s="2208"/>
      <c r="Q783" s="2208"/>
      <c r="R783" s="2208"/>
      <c r="S783" s="2208"/>
      <c r="T783" s="2209"/>
      <c r="U783" s="2210"/>
      <c r="V783" s="2208"/>
      <c r="W783" s="2208"/>
      <c r="X783" s="2208"/>
      <c r="Y783" s="2211"/>
    </row>
    <row r="784" spans="2:27" ht="12.75" customHeight="1" outlineLevel="1">
      <c r="C784" s="1837" t="s">
        <v>1490</v>
      </c>
      <c r="D784" s="2398"/>
      <c r="E784" s="2398"/>
      <c r="F784" s="2398"/>
      <c r="G784" s="2194"/>
      <c r="H784" s="2194"/>
      <c r="I784" s="2194"/>
      <c r="J784" s="2194"/>
      <c r="K784" s="2194"/>
      <c r="L784" s="2194"/>
      <c r="M784" s="2207"/>
      <c r="N784" s="2208"/>
      <c r="O784" s="2208"/>
      <c r="P784" s="2208"/>
      <c r="Q784" s="2208"/>
      <c r="R784" s="2208"/>
      <c r="S784" s="2208"/>
      <c r="T784" s="2209"/>
      <c r="U784" s="2210"/>
      <c r="V784" s="2208"/>
      <c r="W784" s="2208"/>
      <c r="X784" s="2208"/>
      <c r="Y784" s="2211"/>
    </row>
    <row r="785" spans="3:25" ht="12.75" customHeight="1" outlineLevel="1">
      <c r="C785" s="1837" t="s">
        <v>1491</v>
      </c>
      <c r="D785" s="2398"/>
      <c r="E785" s="2398"/>
      <c r="F785" s="2398"/>
      <c r="G785" s="2194"/>
      <c r="H785" s="2194"/>
      <c r="I785" s="2194"/>
      <c r="J785" s="2194"/>
      <c r="K785" s="2194"/>
      <c r="L785" s="2194"/>
      <c r="M785" s="2589">
        <f t="shared" ref="M785:O785" si="50">-M740</f>
        <v>0.9</v>
      </c>
      <c r="N785" s="2589">
        <f t="shared" si="50"/>
        <v>1.823</v>
      </c>
      <c r="O785" s="2589">
        <f t="shared" si="50"/>
        <v>-0.39700000000000002</v>
      </c>
      <c r="P785" s="2589">
        <f>-P740</f>
        <v>4.8000000000000001E-2</v>
      </c>
      <c r="Q785" s="2589">
        <f>-Q740</f>
        <v>-0.3</v>
      </c>
      <c r="R785" s="2589">
        <f t="shared" ref="R785:Y785" si="51">-R740</f>
        <v>0.8</v>
      </c>
      <c r="S785" s="2589">
        <f t="shared" si="51"/>
        <v>0</v>
      </c>
      <c r="T785" s="2589">
        <f t="shared" si="51"/>
        <v>0</v>
      </c>
      <c r="U785" s="2589">
        <f t="shared" si="51"/>
        <v>0</v>
      </c>
      <c r="V785" s="2589">
        <f t="shared" si="51"/>
        <v>0</v>
      </c>
      <c r="W785" s="2589">
        <f t="shared" si="51"/>
        <v>0</v>
      </c>
      <c r="X785" s="2589">
        <f t="shared" si="51"/>
        <v>0</v>
      </c>
      <c r="Y785" s="2589">
        <f t="shared" si="51"/>
        <v>0</v>
      </c>
    </row>
    <row r="786" spans="3:25" ht="12.75" customHeight="1" outlineLevel="1">
      <c r="C786" s="1837" t="s">
        <v>1492</v>
      </c>
      <c r="D786" s="2398"/>
      <c r="E786" s="2398"/>
      <c r="F786" s="2398"/>
      <c r="G786" s="2194"/>
      <c r="H786" s="2194"/>
      <c r="I786" s="2194"/>
      <c r="J786" s="2194"/>
      <c r="K786" s="2194"/>
      <c r="L786" s="2194"/>
      <c r="M786" s="2589">
        <f t="shared" ref="M786:O786" si="52">-M750</f>
        <v>-0.49199999999999999</v>
      </c>
      <c r="N786" s="2589">
        <f t="shared" si="52"/>
        <v>-0.501</v>
      </c>
      <c r="O786" s="2589">
        <f t="shared" si="52"/>
        <v>-0.188</v>
      </c>
      <c r="P786" s="2589">
        <f>-P750</f>
        <v>-0.35320000000000001</v>
      </c>
      <c r="Q786" s="2589">
        <f>-Q750</f>
        <v>-0.319691</v>
      </c>
      <c r="R786" s="2589">
        <f t="shared" ref="R786:Y786" si="53">-R750</f>
        <v>-0.33800000000000002</v>
      </c>
      <c r="S786" s="2589">
        <f t="shared" si="53"/>
        <v>-0.33800000000000002</v>
      </c>
      <c r="T786" s="2589">
        <f t="shared" si="53"/>
        <v>-0.33800000000000002</v>
      </c>
      <c r="U786" s="2589">
        <f t="shared" si="53"/>
        <v>-0.33800000000000002</v>
      </c>
      <c r="V786" s="2589">
        <f t="shared" si="53"/>
        <v>-0.33800000000000002</v>
      </c>
      <c r="W786" s="2589">
        <f t="shared" si="53"/>
        <v>-0.33800000000000002</v>
      </c>
      <c r="X786" s="2589">
        <f t="shared" si="53"/>
        <v>-0.33800000000000002</v>
      </c>
      <c r="Y786" s="2589">
        <f t="shared" si="53"/>
        <v>-0.33800000000000002</v>
      </c>
    </row>
    <row r="787" spans="3:25" ht="12.75" customHeight="1" outlineLevel="1">
      <c r="C787" s="1837" t="s">
        <v>1493</v>
      </c>
      <c r="D787" s="2398"/>
      <c r="E787" s="2398"/>
      <c r="F787" s="2398"/>
      <c r="G787" s="2194"/>
      <c r="H787" s="2194"/>
      <c r="I787" s="2194"/>
      <c r="J787" s="2194"/>
      <c r="K787" s="2194"/>
      <c r="L787" s="2194"/>
      <c r="M787" s="2589">
        <f t="shared" ref="M787:O787" si="54">-M744</f>
        <v>-0.47599999999999998</v>
      </c>
      <c r="N787" s="2589">
        <f t="shared" si="54"/>
        <v>-0.45500000000000002</v>
      </c>
      <c r="O787" s="2589">
        <f t="shared" si="54"/>
        <v>-0.49099999999999999</v>
      </c>
      <c r="P787" s="2589">
        <f>-P744</f>
        <v>-0.29099999999999998</v>
      </c>
      <c r="Q787" s="2589">
        <f>-Q744</f>
        <v>-0.20699999999999999</v>
      </c>
      <c r="R787" s="2589">
        <f t="shared" ref="R787:Y787" si="55">-R744</f>
        <v>-0.153</v>
      </c>
      <c r="S787" s="2589">
        <f t="shared" si="55"/>
        <v>-0.153</v>
      </c>
      <c r="T787" s="2589">
        <f t="shared" si="55"/>
        <v>-0.153</v>
      </c>
      <c r="U787" s="2589">
        <f t="shared" si="55"/>
        <v>-0.153</v>
      </c>
      <c r="V787" s="2589">
        <f t="shared" si="55"/>
        <v>-0.153</v>
      </c>
      <c r="W787" s="2589">
        <f t="shared" si="55"/>
        <v>-0.153</v>
      </c>
      <c r="X787" s="2589">
        <f t="shared" si="55"/>
        <v>-0.153</v>
      </c>
      <c r="Y787" s="2589">
        <f t="shared" si="55"/>
        <v>-0.153</v>
      </c>
    </row>
    <row r="788" spans="3:25" outlineLevel="1">
      <c r="C788" s="2599" t="s">
        <v>1494</v>
      </c>
      <c r="D788" s="2406"/>
      <c r="E788" s="2406"/>
      <c r="F788" s="2406"/>
      <c r="G788" s="2194"/>
      <c r="H788" s="2194"/>
      <c r="I788" s="2194"/>
      <c r="J788" s="2194"/>
      <c r="K788" s="2194"/>
      <c r="L788" s="2194"/>
      <c r="M788" s="2589">
        <f t="shared" ref="M788:O788" si="56">-M741</f>
        <v>0.85399999999999998</v>
      </c>
      <c r="N788" s="2589">
        <f t="shared" si="56"/>
        <v>-2.1829999999999998</v>
      </c>
      <c r="O788" s="2589">
        <f t="shared" si="56"/>
        <v>-0.158</v>
      </c>
      <c r="P788" s="2589">
        <f>-P741</f>
        <v>-0.19800000000000001</v>
      </c>
      <c r="Q788" s="2589">
        <f>-Q741</f>
        <v>1.0999999999999999E-2</v>
      </c>
      <c r="R788" s="2589">
        <f t="shared" ref="R788:Y788" si="57">-R741</f>
        <v>-0.105</v>
      </c>
      <c r="S788" s="2589">
        <f t="shared" si="57"/>
        <v>0</v>
      </c>
      <c r="T788" s="2589">
        <f t="shared" si="57"/>
        <v>0</v>
      </c>
      <c r="U788" s="2589">
        <f t="shared" si="57"/>
        <v>0</v>
      </c>
      <c r="V788" s="2589">
        <f t="shared" si="57"/>
        <v>0</v>
      </c>
      <c r="W788" s="2589">
        <f t="shared" si="57"/>
        <v>0</v>
      </c>
      <c r="X788" s="2589">
        <f t="shared" si="57"/>
        <v>0</v>
      </c>
      <c r="Y788" s="2589">
        <f t="shared" si="57"/>
        <v>0</v>
      </c>
    </row>
    <row r="789" spans="3:25" outlineLevel="1">
      <c r="C789" s="2599" t="s">
        <v>1495</v>
      </c>
      <c r="D789" s="2406"/>
      <c r="E789" s="2406"/>
      <c r="F789" s="2406"/>
      <c r="G789" s="2194"/>
      <c r="H789" s="2194"/>
      <c r="I789" s="2194"/>
      <c r="J789" s="2194"/>
      <c r="K789" s="2194"/>
      <c r="L789" s="2194"/>
      <c r="M789" s="2589">
        <f>-M751-M766</f>
        <v>0</v>
      </c>
      <c r="N789" s="2589">
        <f t="shared" ref="N789:Y789" si="58">-N751-N766</f>
        <v>0</v>
      </c>
      <c r="O789" s="2589">
        <f t="shared" si="58"/>
        <v>0</v>
      </c>
      <c r="P789" s="2589">
        <f t="shared" si="58"/>
        <v>0</v>
      </c>
      <c r="Q789" s="2589">
        <f t="shared" si="58"/>
        <v>-1.5262</v>
      </c>
      <c r="R789" s="2589">
        <f t="shared" si="58"/>
        <v>0.34121800000000002</v>
      </c>
      <c r="S789" s="2589">
        <f t="shared" si="58"/>
        <v>0.34121800000000002</v>
      </c>
      <c r="T789" s="2589">
        <f t="shared" si="58"/>
        <v>0.34121800000000002</v>
      </c>
      <c r="U789" s="2589">
        <f t="shared" si="58"/>
        <v>0.34121800000000002</v>
      </c>
      <c r="V789" s="2589">
        <f t="shared" si="58"/>
        <v>0.34121800000000002</v>
      </c>
      <c r="W789" s="2589">
        <f t="shared" si="58"/>
        <v>0.34121800000000002</v>
      </c>
      <c r="X789" s="2589">
        <f t="shared" si="58"/>
        <v>0.34121800000000002</v>
      </c>
      <c r="Y789" s="2589">
        <f t="shared" si="58"/>
        <v>0.34121800000000002</v>
      </c>
    </row>
    <row r="790" spans="3:25" outlineLevel="1">
      <c r="C790" s="2599" t="s">
        <v>1496</v>
      </c>
      <c r="D790" s="2406"/>
      <c r="E790" s="2406"/>
      <c r="F790" s="2406"/>
      <c r="G790" s="2194"/>
      <c r="H790" s="2194"/>
      <c r="I790" s="2194"/>
      <c r="J790" s="2194"/>
      <c r="K790" s="2194"/>
      <c r="L790" s="2194"/>
      <c r="M790" s="2588">
        <f>-M752</f>
        <v>0</v>
      </c>
      <c r="N790" s="2588">
        <f t="shared" ref="N790:Y791" si="59">-N752</f>
        <v>0</v>
      </c>
      <c r="O790" s="2588">
        <f t="shared" si="59"/>
        <v>-0.2</v>
      </c>
      <c r="P790" s="2588">
        <f t="shared" si="59"/>
        <v>-0.1</v>
      </c>
      <c r="Q790" s="2588">
        <f t="shared" si="59"/>
        <v>0</v>
      </c>
      <c r="R790" s="2588">
        <f t="shared" si="59"/>
        <v>-0.109</v>
      </c>
      <c r="S790" s="2588">
        <f t="shared" si="59"/>
        <v>-0.109</v>
      </c>
      <c r="T790" s="2588">
        <f t="shared" si="59"/>
        <v>-0.109</v>
      </c>
      <c r="U790" s="2588">
        <f t="shared" si="59"/>
        <v>-0.109</v>
      </c>
      <c r="V790" s="2588">
        <f t="shared" si="59"/>
        <v>-0.109</v>
      </c>
      <c r="W790" s="2588">
        <f t="shared" si="59"/>
        <v>-0.109</v>
      </c>
      <c r="X790" s="2588">
        <f t="shared" si="59"/>
        <v>-0.109</v>
      </c>
      <c r="Y790" s="2588">
        <f t="shared" si="59"/>
        <v>-0.109</v>
      </c>
    </row>
    <row r="791" spans="3:25" outlineLevel="1">
      <c r="C791" s="2599" t="s">
        <v>1497</v>
      </c>
      <c r="D791" s="2406"/>
      <c r="E791" s="2406"/>
      <c r="F791" s="2406"/>
      <c r="G791" s="2194"/>
      <c r="H791" s="2194"/>
      <c r="I791" s="2194"/>
      <c r="J791" s="2194"/>
      <c r="K791" s="2194"/>
      <c r="L791" s="2194"/>
      <c r="M791" s="2588">
        <f>-M753</f>
        <v>0.41099999999999998</v>
      </c>
      <c r="N791" s="2588">
        <f t="shared" si="59"/>
        <v>0.42</v>
      </c>
      <c r="O791" s="2588">
        <f t="shared" si="59"/>
        <v>0.45300000000000001</v>
      </c>
      <c r="P791" s="2588">
        <f t="shared" si="59"/>
        <v>0</v>
      </c>
      <c r="Q791" s="2588">
        <f t="shared" si="59"/>
        <v>0</v>
      </c>
      <c r="R791" s="2588">
        <f t="shared" si="59"/>
        <v>0</v>
      </c>
      <c r="S791" s="2588">
        <f t="shared" si="59"/>
        <v>0</v>
      </c>
      <c r="T791" s="2588">
        <f t="shared" si="59"/>
        <v>0</v>
      </c>
      <c r="U791" s="2588">
        <f t="shared" si="59"/>
        <v>0</v>
      </c>
      <c r="V791" s="2588">
        <f t="shared" si="59"/>
        <v>0</v>
      </c>
      <c r="W791" s="2588">
        <f t="shared" si="59"/>
        <v>0</v>
      </c>
      <c r="X791" s="2588">
        <f t="shared" si="59"/>
        <v>0</v>
      </c>
      <c r="Y791" s="2588">
        <f t="shared" si="59"/>
        <v>0</v>
      </c>
    </row>
    <row r="792" spans="3:25" outlineLevel="1">
      <c r="C792" s="2406" t="s">
        <v>1498</v>
      </c>
      <c r="D792" s="2406"/>
      <c r="E792" s="2406"/>
      <c r="F792" s="2406"/>
      <c r="G792" s="2194"/>
      <c r="H792" s="2194"/>
      <c r="I792" s="2194"/>
      <c r="J792" s="2194"/>
      <c r="K792" s="2194"/>
      <c r="L792" s="2194"/>
      <c r="M792" s="2207">
        <f>-M747</f>
        <v>0</v>
      </c>
      <c r="N792" s="2207">
        <f t="shared" ref="N792:Y792" si="60">-N747</f>
        <v>0</v>
      </c>
      <c r="O792" s="2207">
        <f t="shared" si="60"/>
        <v>0</v>
      </c>
      <c r="P792" s="2207">
        <f t="shared" si="60"/>
        <v>0</v>
      </c>
      <c r="Q792" s="2207">
        <f t="shared" si="60"/>
        <v>-0.03</v>
      </c>
      <c r="R792" s="2207">
        <f t="shared" si="60"/>
        <v>-5.0000000000000001E-3</v>
      </c>
      <c r="S792" s="2207">
        <f t="shared" si="60"/>
        <v>0</v>
      </c>
      <c r="T792" s="2207">
        <f t="shared" si="60"/>
        <v>0</v>
      </c>
      <c r="U792" s="2207">
        <f t="shared" si="60"/>
        <v>0</v>
      </c>
      <c r="V792" s="2207">
        <f t="shared" si="60"/>
        <v>0</v>
      </c>
      <c r="W792" s="2207">
        <f t="shared" si="60"/>
        <v>0</v>
      </c>
      <c r="X792" s="2207">
        <f t="shared" si="60"/>
        <v>0</v>
      </c>
      <c r="Y792" s="2207">
        <f t="shared" si="60"/>
        <v>0</v>
      </c>
    </row>
    <row r="793" spans="3:25" outlineLevel="1">
      <c r="C793" s="2406" t="s">
        <v>1499</v>
      </c>
      <c r="D793" s="2406"/>
      <c r="E793" s="2406"/>
      <c r="F793" s="2406"/>
      <c r="G793" s="2194"/>
      <c r="H793" s="2194"/>
      <c r="I793" s="2194"/>
      <c r="J793" s="2194"/>
      <c r="K793" s="2194"/>
      <c r="L793" s="2194"/>
      <c r="M793" s="2207"/>
      <c r="N793" s="2208"/>
      <c r="O793" s="2208"/>
      <c r="P793" s="2208"/>
      <c r="Q793" s="2208"/>
      <c r="R793" s="2208"/>
      <c r="S793" s="2208"/>
      <c r="T793" s="2209"/>
      <c r="U793" s="2210"/>
      <c r="V793" s="2208"/>
      <c r="W793" s="2208"/>
      <c r="X793" s="2208"/>
      <c r="Y793" s="2211"/>
    </row>
    <row r="794" spans="3:25" outlineLevel="1">
      <c r="C794" s="2406" t="s">
        <v>1500</v>
      </c>
      <c r="D794" s="2406"/>
      <c r="E794" s="2406"/>
      <c r="F794" s="2406"/>
      <c r="G794" s="2194"/>
      <c r="H794" s="2194"/>
      <c r="I794" s="2194"/>
      <c r="J794" s="2194"/>
      <c r="K794" s="2194"/>
      <c r="L794" s="2194"/>
      <c r="M794" s="2207"/>
      <c r="N794" s="2208"/>
      <c r="O794" s="2208"/>
      <c r="P794" s="2208"/>
      <c r="Q794" s="2208"/>
      <c r="R794" s="2208"/>
      <c r="S794" s="2208"/>
      <c r="T794" s="2209"/>
      <c r="U794" s="2210"/>
      <c r="V794" s="2208"/>
      <c r="W794" s="2208"/>
      <c r="X794" s="2208"/>
      <c r="Y794" s="2211"/>
    </row>
    <row r="795" spans="3:25" outlineLevel="1">
      <c r="C795" s="2406" t="s">
        <v>1501</v>
      </c>
      <c r="D795" s="2406"/>
      <c r="E795" s="2406"/>
      <c r="F795" s="2406"/>
      <c r="G795" s="2194"/>
      <c r="H795" s="2194"/>
      <c r="I795" s="2194"/>
      <c r="J795" s="2194"/>
      <c r="K795" s="2194"/>
      <c r="L795" s="2194"/>
      <c r="M795" s="2207"/>
      <c r="N795" s="2208"/>
      <c r="O795" s="2208"/>
      <c r="P795" s="2208"/>
      <c r="Q795" s="2208"/>
      <c r="R795" s="2208"/>
      <c r="S795" s="2208"/>
      <c r="T795" s="2209"/>
      <c r="U795" s="2210"/>
      <c r="V795" s="2208"/>
      <c r="W795" s="2208"/>
      <c r="X795" s="2208"/>
      <c r="Y795" s="2211"/>
    </row>
    <row r="796" spans="3:25" outlineLevel="1">
      <c r="C796" s="2406" t="s">
        <v>1502</v>
      </c>
      <c r="D796" s="2406"/>
      <c r="E796" s="2406"/>
      <c r="F796" s="2406"/>
      <c r="G796" s="2194"/>
      <c r="H796" s="2194"/>
      <c r="I796" s="2194"/>
      <c r="J796" s="2194"/>
      <c r="K796" s="2194"/>
      <c r="L796" s="2194"/>
      <c r="M796" s="2383"/>
      <c r="N796" s="2384"/>
      <c r="O796" s="2384"/>
      <c r="P796" s="2384"/>
      <c r="Q796" s="2384"/>
      <c r="R796" s="2384"/>
      <c r="S796" s="2384"/>
      <c r="T796" s="2385"/>
      <c r="U796" s="2386"/>
      <c r="V796" s="2384"/>
      <c r="W796" s="2384"/>
      <c r="X796" s="2384"/>
      <c r="Y796" s="2387"/>
    </row>
    <row r="797" spans="3:25" ht="12.75" customHeight="1" outlineLevel="1">
      <c r="C797" s="2407" t="s">
        <v>1503</v>
      </c>
      <c r="D797" s="2408"/>
      <c r="E797" s="2408"/>
      <c r="F797" s="2408"/>
      <c r="G797" s="2194"/>
      <c r="H797" s="2194"/>
      <c r="I797" s="2194"/>
      <c r="J797" s="2194"/>
      <c r="K797" s="2194"/>
      <c r="L797" s="2194"/>
      <c r="M797" s="2074">
        <f>SUM(M779:M796)</f>
        <v>41.994149999999998</v>
      </c>
      <c r="N797" s="2075">
        <f t="shared" ref="N797:Y797" si="61">SUM(N779:N796)</f>
        <v>43.597550000000005</v>
      </c>
      <c r="O797" s="2075">
        <f t="shared" si="61"/>
        <v>44.846150000000009</v>
      </c>
      <c r="P797" s="2075">
        <f t="shared" si="61"/>
        <v>45.366812790000012</v>
      </c>
      <c r="Q797" s="2075">
        <f t="shared" si="61"/>
        <v>47.064485480000009</v>
      </c>
      <c r="R797" s="2075">
        <f t="shared" si="61"/>
        <v>48.498889799999986</v>
      </c>
      <c r="S797" s="2075">
        <f t="shared" si="61"/>
        <v>44.540603253318821</v>
      </c>
      <c r="T797" s="2076">
        <f t="shared" si="61"/>
        <v>37.201453169879727</v>
      </c>
      <c r="U797" s="2077">
        <f t="shared" si="61"/>
        <v>36.495158475868948</v>
      </c>
      <c r="V797" s="2075">
        <f t="shared" si="61"/>
        <v>35.836210771795471</v>
      </c>
      <c r="W797" s="2075">
        <f t="shared" si="61"/>
        <v>34.670227097390459</v>
      </c>
      <c r="X797" s="2075">
        <f t="shared" si="61"/>
        <v>30.728597676456562</v>
      </c>
      <c r="Y797" s="2078">
        <f t="shared" si="61"/>
        <v>28.388617445612599</v>
      </c>
    </row>
    <row r="798" spans="3:25" outlineLevel="1">
      <c r="C798" s="2409"/>
      <c r="D798" s="2410"/>
      <c r="E798" s="2410"/>
      <c r="F798" s="2410"/>
      <c r="G798" s="2370"/>
      <c r="H798" s="2370"/>
      <c r="I798" s="2370"/>
      <c r="J798" s="2370"/>
      <c r="K798" s="2370"/>
      <c r="L798" s="2370"/>
      <c r="U798" s="2052"/>
    </row>
    <row r="799" spans="3:25" outlineLevel="1">
      <c r="C799" s="1837" t="s">
        <v>1504</v>
      </c>
      <c r="D799" s="1837"/>
      <c r="E799" s="1837"/>
      <c r="F799" s="1837"/>
      <c r="G799" s="1877"/>
      <c r="H799" s="1877"/>
      <c r="I799" s="1877"/>
      <c r="J799" s="1877"/>
      <c r="K799" s="1877"/>
      <c r="L799" s="1877"/>
      <c r="M799" s="2074">
        <f>-M786</f>
        <v>0.49199999999999999</v>
      </c>
      <c r="N799" s="2074">
        <f t="shared" ref="N799:Y799" si="62">-N786</f>
        <v>0.501</v>
      </c>
      <c r="O799" s="2074">
        <f t="shared" si="62"/>
        <v>0.188</v>
      </c>
      <c r="P799" s="2074">
        <f t="shared" si="62"/>
        <v>0.35320000000000001</v>
      </c>
      <c r="Q799" s="2074">
        <f t="shared" si="62"/>
        <v>0.319691</v>
      </c>
      <c r="R799" s="2074">
        <f t="shared" si="62"/>
        <v>0.33800000000000002</v>
      </c>
      <c r="S799" s="2074">
        <f t="shared" si="62"/>
        <v>0.33800000000000002</v>
      </c>
      <c r="T799" s="2074">
        <f t="shared" si="62"/>
        <v>0.33800000000000002</v>
      </c>
      <c r="U799" s="2074">
        <f t="shared" si="62"/>
        <v>0.33800000000000002</v>
      </c>
      <c r="V799" s="2074">
        <f t="shared" si="62"/>
        <v>0.33800000000000002</v>
      </c>
      <c r="W799" s="2074">
        <f t="shared" si="62"/>
        <v>0.33800000000000002</v>
      </c>
      <c r="X799" s="2074">
        <f t="shared" si="62"/>
        <v>0.33800000000000002</v>
      </c>
      <c r="Y799" s="2074">
        <f t="shared" si="62"/>
        <v>0.33800000000000002</v>
      </c>
    </row>
    <row r="800" spans="3:25" ht="12.75" customHeight="1" outlineLevel="1">
      <c r="C800" s="1837" t="s">
        <v>1505</v>
      </c>
      <c r="D800" s="2398"/>
      <c r="E800" s="2398"/>
      <c r="F800" s="2398"/>
      <c r="G800" s="2194"/>
      <c r="H800" s="2194"/>
      <c r="I800" s="2194"/>
      <c r="J800" s="2194"/>
      <c r="K800" s="2194"/>
      <c r="L800" s="2194"/>
      <c r="M800" s="2207"/>
      <c r="N800" s="2207"/>
      <c r="O800" s="2207"/>
      <c r="P800" s="2207"/>
      <c r="Q800" s="2207"/>
      <c r="R800" s="2207"/>
      <c r="S800" s="2207"/>
      <c r="T800" s="2207"/>
      <c r="U800" s="2207"/>
      <c r="V800" s="2207"/>
      <c r="W800" s="2207"/>
      <c r="X800" s="2207"/>
      <c r="Y800" s="2207"/>
    </row>
    <row r="801" spans="3:25" outlineLevel="1">
      <c r="C801" s="1837" t="s">
        <v>1506</v>
      </c>
      <c r="D801" s="1837"/>
      <c r="E801" s="1837"/>
      <c r="F801" s="1837"/>
      <c r="G801" s="2194"/>
      <c r="H801" s="2194"/>
      <c r="I801" s="2194"/>
      <c r="J801" s="2194"/>
      <c r="K801" s="2194"/>
      <c r="L801" s="2194"/>
      <c r="M801" s="2207"/>
      <c r="N801" s="2207"/>
      <c r="O801" s="2207"/>
      <c r="P801" s="2207"/>
      <c r="Q801" s="2207"/>
      <c r="R801" s="2207"/>
      <c r="S801" s="2207"/>
      <c r="T801" s="2207"/>
      <c r="U801" s="2207"/>
      <c r="V801" s="2207"/>
      <c r="W801" s="2207"/>
      <c r="X801" s="2207"/>
      <c r="Y801" s="2207"/>
    </row>
    <row r="802" spans="3:25" outlineLevel="1">
      <c r="C802" s="2411" t="s">
        <v>1507</v>
      </c>
      <c r="D802" s="2412"/>
      <c r="E802" s="2412"/>
      <c r="F802" s="2412"/>
      <c r="G802" s="1877"/>
      <c r="H802" s="1877"/>
      <c r="I802" s="1877"/>
      <c r="J802" s="1877"/>
      <c r="K802" s="1877"/>
      <c r="L802" s="1877"/>
      <c r="M802" s="2207"/>
      <c r="N802" s="2207"/>
      <c r="O802" s="2207"/>
      <c r="P802" s="2207"/>
      <c r="Q802" s="2207"/>
      <c r="R802" s="2207"/>
      <c r="S802" s="2207"/>
      <c r="T802" s="2207"/>
      <c r="U802" s="2207"/>
      <c r="V802" s="2207"/>
      <c r="W802" s="2207"/>
      <c r="X802" s="2207"/>
      <c r="Y802" s="2207"/>
    </row>
    <row r="803" spans="3:25" outlineLevel="1">
      <c r="C803" s="2411" t="s">
        <v>1507</v>
      </c>
      <c r="D803" s="2412"/>
      <c r="E803" s="2412"/>
      <c r="F803" s="2412"/>
      <c r="G803" s="1877"/>
      <c r="H803" s="1877"/>
      <c r="I803" s="1877"/>
      <c r="J803" s="1877"/>
      <c r="K803" s="1877"/>
      <c r="L803" s="1877"/>
      <c r="M803" s="2207"/>
      <c r="N803" s="2207"/>
      <c r="O803" s="2207"/>
      <c r="P803" s="2207"/>
      <c r="Q803" s="2207"/>
      <c r="R803" s="2207"/>
      <c r="S803" s="2207"/>
      <c r="T803" s="2207"/>
      <c r="U803" s="2207"/>
      <c r="V803" s="2207"/>
      <c r="W803" s="2207"/>
      <c r="X803" s="2207"/>
      <c r="Y803" s="2207"/>
    </row>
    <row r="804" spans="3:25" outlineLevel="1">
      <c r="C804" s="2411" t="s">
        <v>1507</v>
      </c>
      <c r="D804" s="2412"/>
      <c r="E804" s="2412"/>
      <c r="F804" s="2412"/>
      <c r="G804" s="1877"/>
      <c r="H804" s="1877"/>
      <c r="I804" s="1877"/>
      <c r="J804" s="1877"/>
      <c r="K804" s="1877"/>
      <c r="L804" s="1877"/>
      <c r="M804" s="2207"/>
      <c r="N804" s="2207"/>
      <c r="O804" s="2207"/>
      <c r="P804" s="2207"/>
      <c r="Q804" s="2207"/>
      <c r="R804" s="2207"/>
      <c r="S804" s="2207"/>
      <c r="T804" s="2207"/>
      <c r="U804" s="2207"/>
      <c r="V804" s="2207"/>
      <c r="W804" s="2207"/>
      <c r="X804" s="2207"/>
      <c r="Y804" s="2207"/>
    </row>
    <row r="805" spans="3:25" outlineLevel="1">
      <c r="C805" s="2411" t="s">
        <v>1507</v>
      </c>
      <c r="D805" s="2411"/>
      <c r="E805" s="2411"/>
      <c r="F805" s="2411"/>
      <c r="G805" s="1877"/>
      <c r="H805" s="1877"/>
      <c r="I805" s="1877"/>
      <c r="J805" s="1877"/>
      <c r="K805" s="1877"/>
      <c r="L805" s="1877"/>
      <c r="M805" s="2207"/>
      <c r="N805" s="2207"/>
      <c r="O805" s="2207"/>
      <c r="P805" s="2207"/>
      <c r="Q805" s="2207"/>
      <c r="R805" s="2207"/>
      <c r="S805" s="2207"/>
      <c r="T805" s="2207"/>
      <c r="U805" s="2207"/>
      <c r="V805" s="2207"/>
      <c r="W805" s="2207"/>
      <c r="X805" s="2207"/>
      <c r="Y805" s="2207"/>
    </row>
    <row r="806" spans="3:25" s="2413" customFormat="1" outlineLevel="1">
      <c r="C806" s="2414" t="s">
        <v>1508</v>
      </c>
      <c r="D806" s="2415"/>
      <c r="E806" s="2415"/>
      <c r="F806" s="2415"/>
      <c r="G806" s="1946"/>
      <c r="H806" s="1946"/>
      <c r="I806" s="1946"/>
      <c r="J806" s="1946"/>
      <c r="K806" s="1946"/>
      <c r="L806" s="1946"/>
      <c r="M806" s="2074">
        <f>SUM(M799:M805)</f>
        <v>0.49199999999999999</v>
      </c>
      <c r="N806" s="2074">
        <f t="shared" ref="N806:Y806" si="63">SUM(N799:N805)</f>
        <v>0.501</v>
      </c>
      <c r="O806" s="2074">
        <f t="shared" si="63"/>
        <v>0.188</v>
      </c>
      <c r="P806" s="2074">
        <f t="shared" si="63"/>
        <v>0.35320000000000001</v>
      </c>
      <c r="Q806" s="2074">
        <f t="shared" si="63"/>
        <v>0.319691</v>
      </c>
      <c r="R806" s="2074">
        <f t="shared" si="63"/>
        <v>0.33800000000000002</v>
      </c>
      <c r="S806" s="2074">
        <f t="shared" si="63"/>
        <v>0.33800000000000002</v>
      </c>
      <c r="T806" s="2074">
        <f t="shared" si="63"/>
        <v>0.33800000000000002</v>
      </c>
      <c r="U806" s="2074">
        <f t="shared" si="63"/>
        <v>0.33800000000000002</v>
      </c>
      <c r="V806" s="2074">
        <f t="shared" si="63"/>
        <v>0.33800000000000002</v>
      </c>
      <c r="W806" s="2074">
        <f t="shared" si="63"/>
        <v>0.33800000000000002</v>
      </c>
      <c r="X806" s="2074">
        <f t="shared" si="63"/>
        <v>0.33800000000000002</v>
      </c>
      <c r="Y806" s="2074">
        <f t="shared" si="63"/>
        <v>0.33800000000000002</v>
      </c>
    </row>
    <row r="807" spans="3:25" s="2413" customFormat="1" outlineLevel="1">
      <c r="C807" s="2414"/>
      <c r="D807" s="2415"/>
      <c r="E807" s="2415"/>
      <c r="F807" s="2415"/>
      <c r="G807" s="1946"/>
      <c r="H807" s="1946"/>
      <c r="I807" s="1946"/>
      <c r="J807" s="1946"/>
      <c r="K807" s="1946"/>
      <c r="L807" s="1946"/>
      <c r="M807" s="2416"/>
      <c r="N807" s="2416"/>
      <c r="O807" s="2416"/>
      <c r="P807" s="2416"/>
      <c r="Q807" s="2416"/>
      <c r="R807" s="2416"/>
      <c r="S807" s="2416"/>
      <c r="T807" s="2416"/>
      <c r="U807" s="2416"/>
      <c r="V807" s="2416"/>
      <c r="W807" s="2416"/>
      <c r="X807" s="2416"/>
      <c r="Y807" s="2416"/>
    </row>
    <row r="808" spans="3:25" outlineLevel="1">
      <c r="C808" s="2400" t="s">
        <v>1509</v>
      </c>
      <c r="D808" s="2374"/>
      <c r="E808" s="2374"/>
      <c r="F808" s="2374"/>
      <c r="G808" s="2375"/>
      <c r="H808" s="2375"/>
      <c r="I808" s="2375"/>
      <c r="J808" s="2375"/>
      <c r="K808" s="2375"/>
      <c r="L808" s="2375"/>
      <c r="M808" s="1892"/>
      <c r="N808" s="1892"/>
      <c r="O808" s="1892"/>
      <c r="P808" s="1892"/>
      <c r="Q808" s="1892"/>
      <c r="R808" s="1892"/>
      <c r="S808" s="1892"/>
      <c r="T808" s="1892"/>
      <c r="U808" s="1916"/>
      <c r="V808" s="1892"/>
      <c r="W808" s="1892"/>
      <c r="X808" s="1892"/>
      <c r="Y808" s="1892"/>
    </row>
    <row r="809" spans="3:25" outlineLevel="1">
      <c r="C809" s="2340" t="s">
        <v>1413</v>
      </c>
      <c r="D809" s="2340"/>
      <c r="E809" s="2340"/>
      <c r="F809" s="2340"/>
      <c r="G809" s="2194"/>
      <c r="H809" s="2194"/>
      <c r="I809" s="2194"/>
      <c r="J809" s="2194"/>
      <c r="K809" s="2194"/>
      <c r="L809" s="2194"/>
      <c r="M809" s="2417"/>
      <c r="N809" s="2418"/>
      <c r="O809" s="2418"/>
      <c r="P809" s="2418"/>
      <c r="Q809" s="2418"/>
      <c r="R809" s="2418"/>
      <c r="S809" s="2418"/>
      <c r="T809" s="2419"/>
      <c r="U809" s="2420"/>
      <c r="V809" s="2418"/>
      <c r="W809" s="2418"/>
      <c r="X809" s="2418"/>
      <c r="Y809" s="2421"/>
    </row>
    <row r="810" spans="3:25" outlineLevel="1">
      <c r="C810" s="2340" t="s">
        <v>1414</v>
      </c>
      <c r="D810" s="2340"/>
      <c r="E810" s="2340"/>
      <c r="F810" s="2340"/>
      <c r="G810" s="2194"/>
      <c r="H810" s="2194"/>
      <c r="I810" s="2194"/>
      <c r="J810" s="2194"/>
      <c r="K810" s="2194"/>
      <c r="L810" s="2194"/>
      <c r="M810" s="2108">
        <f>1-M809</f>
        <v>1</v>
      </c>
      <c r="N810" s="2109">
        <f t="shared" ref="N810:Y810" si="64">1-N809</f>
        <v>1</v>
      </c>
      <c r="O810" s="2109">
        <f t="shared" si="64"/>
        <v>1</v>
      </c>
      <c r="P810" s="2109">
        <f t="shared" si="64"/>
        <v>1</v>
      </c>
      <c r="Q810" s="2109">
        <f t="shared" si="64"/>
        <v>1</v>
      </c>
      <c r="R810" s="2109">
        <f t="shared" si="64"/>
        <v>1</v>
      </c>
      <c r="S810" s="2109">
        <f t="shared" si="64"/>
        <v>1</v>
      </c>
      <c r="T810" s="2110">
        <f t="shared" si="64"/>
        <v>1</v>
      </c>
      <c r="U810" s="2111">
        <f t="shared" si="64"/>
        <v>1</v>
      </c>
      <c r="V810" s="2109">
        <f t="shared" si="64"/>
        <v>1</v>
      </c>
      <c r="W810" s="2109">
        <f t="shared" si="64"/>
        <v>1</v>
      </c>
      <c r="X810" s="2109">
        <f t="shared" si="64"/>
        <v>1</v>
      </c>
      <c r="Y810" s="2112">
        <f t="shared" si="64"/>
        <v>1</v>
      </c>
    </row>
    <row r="811" spans="3:25" outlineLevel="1">
      <c r="C811" s="2409"/>
      <c r="D811" s="2410"/>
      <c r="E811" s="2410"/>
      <c r="F811" s="2410"/>
      <c r="G811" s="2370"/>
      <c r="H811" s="2370"/>
      <c r="I811" s="2370"/>
      <c r="J811" s="2370"/>
      <c r="K811" s="2370"/>
      <c r="L811" s="2370"/>
      <c r="U811" s="2052"/>
    </row>
    <row r="812" spans="3:25" outlineLevel="1">
      <c r="C812" s="2391" t="s">
        <v>1510</v>
      </c>
      <c r="D812" s="2392"/>
      <c r="E812" s="2392"/>
      <c r="F812" s="2392"/>
      <c r="G812" s="2375"/>
      <c r="H812" s="2375"/>
      <c r="I812" s="2375"/>
      <c r="J812" s="2375"/>
      <c r="K812" s="2375"/>
      <c r="L812" s="2375"/>
      <c r="U812" s="2052"/>
    </row>
    <row r="813" spans="3:25" ht="12.75" customHeight="1" outlineLevel="1">
      <c r="C813" s="1837" t="s">
        <v>1511</v>
      </c>
      <c r="D813" s="2398"/>
      <c r="E813" s="2398"/>
      <c r="F813" s="2398"/>
      <c r="G813" s="2194"/>
      <c r="H813" s="2194"/>
      <c r="I813" s="2194"/>
      <c r="J813" s="2194"/>
      <c r="K813" s="2194"/>
      <c r="L813" s="2194"/>
      <c r="M813" s="2422">
        <f>'1.02b_Debt'!T461</f>
        <v>1225.33</v>
      </c>
      <c r="N813" s="2423">
        <f>'1.02b_Debt'!U461</f>
        <v>1211.53</v>
      </c>
      <c r="O813" s="2423">
        <f>'1.02b_Debt'!V461</f>
        <v>1250.3300000000002</v>
      </c>
      <c r="P813" s="2423">
        <f>'1.02b_Debt'!W461</f>
        <v>1323.3300000000004</v>
      </c>
      <c r="Q813" s="2423">
        <f>'1.02b_Debt'!X461</f>
        <v>1366.4839999999999</v>
      </c>
      <c r="R813" s="2423">
        <f>'1.02b_Debt'!Y461</f>
        <v>1417.2439999999999</v>
      </c>
      <c r="S813" s="2423">
        <f>'1.02b_Debt'!Z461</f>
        <v>1328.4</v>
      </c>
      <c r="T813" s="2424">
        <f>'1.02b_Debt'!AA461</f>
        <v>1326.4999999999998</v>
      </c>
      <c r="U813" s="2425">
        <f>'1.02b_Debt'!AB461</f>
        <v>1324.7</v>
      </c>
      <c r="V813" s="2423">
        <f>'1.02b_Debt'!AC461</f>
        <v>1297.9000000000001</v>
      </c>
      <c r="W813" s="2423">
        <f>'1.02b_Debt'!AD461</f>
        <v>1196</v>
      </c>
      <c r="X813" s="2423">
        <f>'1.02b_Debt'!AE461</f>
        <v>1069.2</v>
      </c>
      <c r="Y813" s="2426">
        <f>'1.02b_Debt'!AF461</f>
        <v>1067.3</v>
      </c>
    </row>
    <row r="814" spans="3:25" ht="12.75" customHeight="1" outlineLevel="1">
      <c r="C814" s="1837" t="s">
        <v>1503</v>
      </c>
      <c r="D814" s="2398"/>
      <c r="E814" s="2398"/>
      <c r="F814" s="2398"/>
      <c r="G814" s="2194"/>
      <c r="H814" s="2194"/>
      <c r="I814" s="2194"/>
      <c r="J814" s="2194"/>
      <c r="K814" s="2194"/>
      <c r="L814" s="2194"/>
      <c r="M814" s="2427">
        <f>M797</f>
        <v>41.994149999999998</v>
      </c>
      <c r="N814" s="2428">
        <f t="shared" ref="N814:Y814" si="65">N797</f>
        <v>43.597550000000005</v>
      </c>
      <c r="O814" s="2428">
        <f t="shared" si="65"/>
        <v>44.846150000000009</v>
      </c>
      <c r="P814" s="2428">
        <f t="shared" si="65"/>
        <v>45.366812790000012</v>
      </c>
      <c r="Q814" s="2428">
        <f t="shared" si="65"/>
        <v>47.064485480000009</v>
      </c>
      <c r="R814" s="2428">
        <f t="shared" si="65"/>
        <v>48.498889799999986</v>
      </c>
      <c r="S814" s="2428">
        <f t="shared" si="65"/>
        <v>44.540603253318821</v>
      </c>
      <c r="T814" s="2429">
        <f t="shared" si="65"/>
        <v>37.201453169879727</v>
      </c>
      <c r="U814" s="2430">
        <f t="shared" si="65"/>
        <v>36.495158475868948</v>
      </c>
      <c r="V814" s="2428">
        <f t="shared" si="65"/>
        <v>35.836210771795471</v>
      </c>
      <c r="W814" s="2428">
        <f t="shared" si="65"/>
        <v>34.670227097390459</v>
      </c>
      <c r="X814" s="2428">
        <f t="shared" si="65"/>
        <v>30.728597676456562</v>
      </c>
      <c r="Y814" s="2431">
        <f t="shared" si="65"/>
        <v>28.388617445612599</v>
      </c>
    </row>
    <row r="815" spans="3:25">
      <c r="C815" s="2368"/>
      <c r="D815" s="2370"/>
      <c r="E815" s="2370"/>
      <c r="F815" s="2370"/>
      <c r="G815" s="2370"/>
      <c r="H815" s="2370"/>
      <c r="I815" s="2370"/>
      <c r="J815" s="2370"/>
      <c r="K815" s="2370"/>
      <c r="L815" s="2370"/>
      <c r="M815" s="1877"/>
      <c r="U815" s="2052"/>
    </row>
    <row r="816" spans="3:25">
      <c r="C816" s="1877"/>
      <c r="D816" s="1892"/>
      <c r="E816" s="1877"/>
      <c r="F816" s="1877"/>
      <c r="G816" s="1877"/>
      <c r="H816" s="1877"/>
      <c r="I816" s="1877"/>
      <c r="J816" s="1877"/>
      <c r="K816" s="1877"/>
      <c r="L816" s="1877"/>
      <c r="M816" s="1892"/>
      <c r="N816" s="1885"/>
      <c r="O816" s="1885"/>
      <c r="P816" s="1885"/>
      <c r="T816" s="1885"/>
      <c r="U816" s="1916"/>
      <c r="V816" s="1885"/>
      <c r="W816" s="1885"/>
      <c r="X816" s="1885"/>
    </row>
    <row r="817" spans="2:25" ht="15">
      <c r="B817" s="2330" t="s">
        <v>1512</v>
      </c>
      <c r="C817" s="2332"/>
      <c r="D817" s="2432"/>
      <c r="E817" s="2332"/>
      <c r="F817" s="2332"/>
      <c r="G817" s="2332"/>
      <c r="H817" s="2332"/>
      <c r="I817" s="2332"/>
      <c r="J817" s="2332"/>
      <c r="K817" s="2332"/>
      <c r="L817" s="2332"/>
      <c r="M817" s="2432"/>
      <c r="N817" s="2331"/>
      <c r="O817" s="2331"/>
      <c r="P817" s="2331"/>
      <c r="Q817" s="2331"/>
      <c r="R817" s="2331"/>
      <c r="S817" s="2331"/>
      <c r="T817" s="2331"/>
      <c r="U817" s="2335"/>
      <c r="V817" s="2331"/>
      <c r="W817" s="2331"/>
      <c r="X817" s="2331"/>
      <c r="Y817" s="2331"/>
    </row>
    <row r="818" spans="2:25" outlineLevel="1">
      <c r="B818" s="2337" t="s">
        <v>1513</v>
      </c>
      <c r="C818" s="1877"/>
      <c r="D818" s="1892"/>
      <c r="E818" s="1877"/>
      <c r="F818" s="1877"/>
      <c r="G818" s="1877"/>
      <c r="H818" s="1877"/>
      <c r="I818" s="1877"/>
      <c r="J818" s="1877"/>
      <c r="K818" s="1877"/>
      <c r="L818" s="1877"/>
      <c r="M818" s="1892"/>
      <c r="N818" s="1885"/>
      <c r="O818" s="1885"/>
      <c r="P818" s="1885"/>
      <c r="T818" s="1885"/>
      <c r="U818" s="1916"/>
      <c r="V818" s="1885"/>
      <c r="W818" s="1885"/>
      <c r="X818" s="1885"/>
    </row>
    <row r="819" spans="2:25" outlineLevel="1">
      <c r="C819" s="2373" t="s">
        <v>1514</v>
      </c>
      <c r="D819" s="2374"/>
      <c r="E819" s="2373"/>
      <c r="F819" s="2376"/>
      <c r="G819" s="2375"/>
      <c r="H819" s="2375"/>
      <c r="I819" s="2375"/>
      <c r="J819" s="2375"/>
      <c r="K819" s="2375"/>
      <c r="L819" s="2375"/>
      <c r="M819" s="2371"/>
      <c r="N819" s="2371"/>
      <c r="O819" s="2371"/>
      <c r="P819" s="2371"/>
      <c r="Q819" s="2371"/>
      <c r="R819" s="2371"/>
      <c r="S819" s="2371"/>
      <c r="T819" s="2371"/>
      <c r="U819" s="2372"/>
      <c r="V819" s="2371"/>
      <c r="W819" s="2371"/>
      <c r="X819" s="2371"/>
      <c r="Y819" s="2371"/>
    </row>
    <row r="820" spans="2:25" outlineLevel="1">
      <c r="C820" s="2339" t="s">
        <v>1447</v>
      </c>
      <c r="D820" s="2340"/>
      <c r="E820" s="2341"/>
      <c r="F820" s="2194"/>
      <c r="G820" s="2194"/>
      <c r="H820" s="2194"/>
      <c r="I820" s="2194"/>
      <c r="J820" s="2194"/>
      <c r="K820" s="2194"/>
      <c r="L820" s="2194"/>
      <c r="M820" s="2196"/>
      <c r="N820" s="2197"/>
      <c r="O820" s="2197"/>
      <c r="P820" s="2197"/>
      <c r="Q820" s="2197"/>
      <c r="R820" s="2197"/>
      <c r="S820" s="2197"/>
      <c r="T820" s="2198"/>
      <c r="U820" s="2199"/>
      <c r="V820" s="2197"/>
      <c r="W820" s="2197"/>
      <c r="X820" s="2197"/>
      <c r="Y820" s="2200"/>
    </row>
    <row r="821" spans="2:25" outlineLevel="1">
      <c r="C821" s="2339" t="s">
        <v>1448</v>
      </c>
      <c r="D821" s="2340"/>
      <c r="E821" s="2341"/>
      <c r="F821" s="2341"/>
      <c r="G821" s="2194"/>
      <c r="H821" s="2194"/>
      <c r="I821" s="2194"/>
      <c r="J821" s="2194"/>
      <c r="K821" s="2194"/>
      <c r="L821" s="2194"/>
      <c r="M821" s="2207"/>
      <c r="N821" s="2208"/>
      <c r="O821" s="2208"/>
      <c r="P821" s="2208"/>
      <c r="Q821" s="2208"/>
      <c r="R821" s="2208"/>
      <c r="S821" s="2208"/>
      <c r="T821" s="2209"/>
      <c r="U821" s="2210"/>
      <c r="V821" s="2208"/>
      <c r="W821" s="2208"/>
      <c r="X821" s="2208"/>
      <c r="Y821" s="2211"/>
    </row>
    <row r="822" spans="2:25" outlineLevel="1">
      <c r="B822" s="2343" t="s">
        <v>945</v>
      </c>
      <c r="C822" s="2433" t="s">
        <v>947</v>
      </c>
      <c r="D822" s="2340"/>
      <c r="E822" s="2341"/>
      <c r="F822" s="2341"/>
      <c r="G822" s="2194"/>
      <c r="H822" s="2194"/>
      <c r="I822" s="2194"/>
      <c r="J822" s="2194"/>
      <c r="K822" s="2194"/>
      <c r="L822" s="2194"/>
      <c r="M822" s="2359">
        <f t="shared" ref="M822:Y822" si="66">M43</f>
        <v>0</v>
      </c>
      <c r="N822" s="2360">
        <f t="shared" si="66"/>
        <v>0</v>
      </c>
      <c r="O822" s="2360">
        <f t="shared" si="66"/>
        <v>0</v>
      </c>
      <c r="P822" s="2360">
        <f t="shared" si="66"/>
        <v>0</v>
      </c>
      <c r="Q822" s="2360">
        <f t="shared" si="66"/>
        <v>0</v>
      </c>
      <c r="R822" s="2360">
        <f t="shared" si="66"/>
        <v>0</v>
      </c>
      <c r="S822" s="2360">
        <f t="shared" si="66"/>
        <v>5.875</v>
      </c>
      <c r="T822" s="2361">
        <f t="shared" si="66"/>
        <v>5.875</v>
      </c>
      <c r="U822" s="2362">
        <f t="shared" si="66"/>
        <v>5.875</v>
      </c>
      <c r="V822" s="2360">
        <f t="shared" si="66"/>
        <v>5.875</v>
      </c>
      <c r="W822" s="2360">
        <f t="shared" si="66"/>
        <v>5.875</v>
      </c>
      <c r="X822" s="2360">
        <f t="shared" si="66"/>
        <v>5.875</v>
      </c>
      <c r="Y822" s="2363">
        <f t="shared" si="66"/>
        <v>5.875</v>
      </c>
    </row>
    <row r="823" spans="2:25" outlineLevel="1">
      <c r="B823" s="2343" t="s">
        <v>945</v>
      </c>
      <c r="C823" s="2339" t="s">
        <v>988</v>
      </c>
      <c r="D823" s="2340"/>
      <c r="E823" s="2341"/>
      <c r="F823" s="2341"/>
      <c r="G823" s="2194"/>
      <c r="H823" s="2194"/>
      <c r="I823" s="2194"/>
      <c r="J823" s="2194"/>
      <c r="K823" s="2194"/>
      <c r="L823" s="2194"/>
      <c r="M823" s="2359">
        <f t="shared" ref="M823:Y823" si="67">M81</f>
        <v>4.5</v>
      </c>
      <c r="N823" s="2360">
        <f t="shared" si="67"/>
        <v>4.7</v>
      </c>
      <c r="O823" s="2360">
        <f t="shared" si="67"/>
        <v>5.7</v>
      </c>
      <c r="P823" s="2360">
        <f t="shared" si="67"/>
        <v>4.8282913100000009</v>
      </c>
      <c r="Q823" s="2360">
        <f t="shared" si="67"/>
        <v>5.438842339999999</v>
      </c>
      <c r="R823" s="2360">
        <f t="shared" si="67"/>
        <v>7.2335110699999996</v>
      </c>
      <c r="S823" s="2360">
        <f t="shared" si="67"/>
        <v>6.4926763961092329</v>
      </c>
      <c r="T823" s="2361">
        <f t="shared" si="67"/>
        <v>6.2938763170429999</v>
      </c>
      <c r="U823" s="2362">
        <f t="shared" si="67"/>
        <v>6.2135789488915991</v>
      </c>
      <c r="V823" s="2360">
        <f t="shared" si="67"/>
        <v>6.1356231813454052</v>
      </c>
      <c r="W823" s="2360">
        <f t="shared" si="67"/>
        <v>5.8522057267232324</v>
      </c>
      <c r="X823" s="2360">
        <f t="shared" si="67"/>
        <v>2.9418642129673991</v>
      </c>
      <c r="Y823" s="2363">
        <f t="shared" si="67"/>
        <v>1.4571236869859989</v>
      </c>
    </row>
    <row r="824" spans="2:25" outlineLevel="1">
      <c r="B824" s="2343" t="s">
        <v>1018</v>
      </c>
      <c r="C824" s="2339" t="s">
        <v>1449</v>
      </c>
      <c r="D824" s="2340"/>
      <c r="E824" s="2341"/>
      <c r="F824" s="2341"/>
      <c r="G824" s="2194"/>
      <c r="H824" s="2194"/>
      <c r="I824" s="2194"/>
      <c r="J824" s="2194"/>
      <c r="K824" s="2194"/>
      <c r="L824" s="2194"/>
      <c r="M824" s="2359">
        <f t="shared" ref="M824:Y824" si="68">M114</f>
        <v>47.618749999999999</v>
      </c>
      <c r="N824" s="2360">
        <f t="shared" si="68"/>
        <v>47.618749999999999</v>
      </c>
      <c r="O824" s="2360">
        <f t="shared" si="68"/>
        <v>47.618749999999999</v>
      </c>
      <c r="P824" s="2360">
        <f t="shared" si="68"/>
        <v>47.618749999999999</v>
      </c>
      <c r="Q824" s="2360">
        <f t="shared" si="68"/>
        <v>47.618749999999999</v>
      </c>
      <c r="R824" s="2360">
        <f t="shared" si="68"/>
        <v>47.618749999999999</v>
      </c>
      <c r="S824" s="2360">
        <f t="shared" si="68"/>
        <v>47.618749999999999</v>
      </c>
      <c r="T824" s="2361">
        <f t="shared" si="68"/>
        <v>35.868749999999999</v>
      </c>
      <c r="U824" s="2362">
        <f t="shared" si="68"/>
        <v>35.868749999999999</v>
      </c>
      <c r="V824" s="2360">
        <f t="shared" si="68"/>
        <v>35.868749999999999</v>
      </c>
      <c r="W824" s="2360">
        <f t="shared" si="68"/>
        <v>35.868749999999999</v>
      </c>
      <c r="X824" s="2360">
        <f t="shared" si="68"/>
        <v>35.868749999999999</v>
      </c>
      <c r="Y824" s="2363">
        <f t="shared" si="68"/>
        <v>35.868749999999999</v>
      </c>
    </row>
    <row r="825" spans="2:25" outlineLevel="1">
      <c r="B825" s="2343" t="s">
        <v>1450</v>
      </c>
      <c r="C825" s="2339" t="s">
        <v>1515</v>
      </c>
      <c r="D825" s="2340"/>
      <c r="E825" s="2341"/>
      <c r="F825" s="2341"/>
      <c r="G825" s="2194"/>
      <c r="H825" s="2194"/>
      <c r="I825" s="2194"/>
      <c r="J825" s="2194"/>
      <c r="K825" s="2194"/>
      <c r="L825" s="2194"/>
      <c r="M825" s="2359">
        <f t="shared" ref="M825:Y825" si="69">SUM(M246,M596,M630,M654,M678,M701,M723)</f>
        <v>-10.1</v>
      </c>
      <c r="N825" s="2360">
        <f t="shared" si="69"/>
        <v>-8.8000000000000007</v>
      </c>
      <c r="O825" s="2360">
        <f t="shared" si="69"/>
        <v>-7.5</v>
      </c>
      <c r="P825" s="2360">
        <f t="shared" si="69"/>
        <v>-6.6886861400000033</v>
      </c>
      <c r="Q825" s="2360">
        <f t="shared" si="69"/>
        <v>-5.724899150000005</v>
      </c>
      <c r="R825" s="2360">
        <f t="shared" si="69"/>
        <v>-6.8269207400000083</v>
      </c>
      <c r="S825" s="2360">
        <f t="shared" si="69"/>
        <v>-6.8805790324047997</v>
      </c>
      <c r="T825" s="2361">
        <f t="shared" si="69"/>
        <v>-11.23048893565027</v>
      </c>
      <c r="U825" s="2362">
        <f t="shared" si="69"/>
        <v>-11.982441524455059</v>
      </c>
      <c r="V825" s="2360">
        <f t="shared" si="69"/>
        <v>-12.704651881799736</v>
      </c>
      <c r="W825" s="2360">
        <f t="shared" si="69"/>
        <v>-13.737582225341285</v>
      </c>
      <c r="X825" s="2360">
        <f t="shared" si="69"/>
        <v>-14.910995481955441</v>
      </c>
      <c r="Y825" s="2363">
        <f t="shared" si="69"/>
        <v>-15.9244009760274</v>
      </c>
    </row>
    <row r="826" spans="2:25" outlineLevel="1">
      <c r="C826" s="2350" t="s">
        <v>1454</v>
      </c>
      <c r="D826" s="2351"/>
      <c r="E826" s="2352"/>
      <c r="F826" s="2352"/>
      <c r="G826" s="2194"/>
      <c r="H826" s="2194"/>
      <c r="I826" s="2194"/>
      <c r="J826" s="2194"/>
      <c r="K826" s="2194"/>
      <c r="L826" s="2194"/>
      <c r="M826" s="2383"/>
      <c r="N826" s="2384"/>
      <c r="O826" s="2384"/>
      <c r="P826" s="2384"/>
      <c r="Q826" s="2384"/>
      <c r="R826" s="2384"/>
      <c r="S826" s="2384"/>
      <c r="T826" s="2385"/>
      <c r="U826" s="2386"/>
      <c r="V826" s="2384"/>
      <c r="W826" s="2384"/>
      <c r="X826" s="2384"/>
      <c r="Y826" s="2387"/>
    </row>
    <row r="827" spans="2:25" outlineLevel="1">
      <c r="C827" s="2358" t="s">
        <v>1516</v>
      </c>
      <c r="D827" s="2340"/>
      <c r="E827" s="2341"/>
      <c r="F827" s="2341"/>
      <c r="G827" s="2194"/>
      <c r="H827" s="2194"/>
      <c r="I827" s="2194"/>
      <c r="J827" s="2194"/>
      <c r="K827" s="2194"/>
      <c r="L827" s="2194"/>
      <c r="M827" s="2359">
        <f>SUM(M820:M826)</f>
        <v>42.018749999999997</v>
      </c>
      <c r="N827" s="2360">
        <f t="shared" ref="N827:Y827" si="70">SUM(N820:N826)</f>
        <v>43.518749999999997</v>
      </c>
      <c r="O827" s="2360">
        <f t="shared" si="70"/>
        <v>45.818750000000001</v>
      </c>
      <c r="P827" s="2360">
        <f t="shared" si="70"/>
        <v>45.758355170000002</v>
      </c>
      <c r="Q827" s="2360">
        <f t="shared" si="70"/>
        <v>47.332693189999993</v>
      </c>
      <c r="R827" s="2360">
        <f t="shared" si="70"/>
        <v>48.025340329999992</v>
      </c>
      <c r="S827" s="2360">
        <f t="shared" si="70"/>
        <v>53.105847363704427</v>
      </c>
      <c r="T827" s="2361">
        <f t="shared" si="70"/>
        <v>36.807137381392728</v>
      </c>
      <c r="U827" s="2362">
        <f t="shared" si="70"/>
        <v>35.974887424436545</v>
      </c>
      <c r="V827" s="2360">
        <f t="shared" si="70"/>
        <v>35.174721299545666</v>
      </c>
      <c r="W827" s="2360">
        <f t="shared" si="70"/>
        <v>33.858373501381948</v>
      </c>
      <c r="X827" s="2360">
        <f t="shared" si="70"/>
        <v>29.774618731011955</v>
      </c>
      <c r="Y827" s="2363">
        <f t="shared" si="70"/>
        <v>27.2764727109586</v>
      </c>
    </row>
    <row r="828" spans="2:25" outlineLevel="1">
      <c r="C828" s="2339" t="s">
        <v>1458</v>
      </c>
      <c r="D828" s="2340"/>
      <c r="E828" s="2341"/>
      <c r="F828" s="2341"/>
      <c r="G828" s="2194"/>
      <c r="H828" s="2194"/>
      <c r="I828" s="2194"/>
      <c r="J828" s="2194"/>
      <c r="K828" s="2194"/>
      <c r="L828" s="2194"/>
      <c r="M828" s="2207"/>
      <c r="N828" s="2208"/>
      <c r="O828" s="2208"/>
      <c r="P828" s="2208"/>
      <c r="Q828" s="2208"/>
      <c r="R828" s="2208"/>
      <c r="S828" s="2208"/>
      <c r="T828" s="2209"/>
      <c r="U828" s="2210"/>
      <c r="V828" s="2208"/>
      <c r="W828" s="2208"/>
      <c r="X828" s="2208"/>
      <c r="Y828" s="2211"/>
    </row>
    <row r="829" spans="2:25" outlineLevel="1">
      <c r="C829" s="2339" t="s">
        <v>1517</v>
      </c>
      <c r="D829" s="2340"/>
      <c r="E829" s="2341"/>
      <c r="F829" s="2341"/>
      <c r="G829" s="2194"/>
      <c r="H829" s="2194"/>
      <c r="I829" s="2194"/>
      <c r="J829" s="2194"/>
      <c r="K829" s="2194"/>
      <c r="L829" s="2194"/>
      <c r="M829" s="2207"/>
      <c r="N829" s="2208"/>
      <c r="O829" s="2208"/>
      <c r="P829" s="2208"/>
      <c r="Q829" s="2208"/>
      <c r="R829" s="2208">
        <v>1.8</v>
      </c>
      <c r="S829" s="2208"/>
      <c r="T829" s="2209"/>
      <c r="U829" s="2210"/>
      <c r="V829" s="2208"/>
      <c r="W829" s="2208"/>
      <c r="X829" s="2208"/>
      <c r="Y829" s="2211"/>
    </row>
    <row r="830" spans="2:25" outlineLevel="1">
      <c r="C830" s="2339" t="s">
        <v>1479</v>
      </c>
      <c r="D830" s="2340"/>
      <c r="E830" s="2365"/>
      <c r="F830" s="2365"/>
      <c r="G830" s="2194"/>
      <c r="H830" s="2194"/>
      <c r="I830" s="2194"/>
      <c r="J830" s="2194"/>
      <c r="K830" s="2194"/>
      <c r="L830" s="2194"/>
      <c r="M830" s="2207"/>
      <c r="N830" s="2208"/>
      <c r="O830" s="2208"/>
      <c r="P830" s="2208"/>
      <c r="Q830" s="2208"/>
      <c r="R830" s="2208"/>
      <c r="S830" s="2208"/>
      <c r="T830" s="2209"/>
      <c r="U830" s="2210"/>
      <c r="V830" s="2208"/>
      <c r="W830" s="2208"/>
      <c r="X830" s="2208"/>
      <c r="Y830" s="2211"/>
    </row>
    <row r="831" spans="2:25" outlineLevel="1">
      <c r="C831" s="2350" t="s">
        <v>1454</v>
      </c>
      <c r="D831" s="2351"/>
      <c r="E831" s="2352"/>
      <c r="F831" s="2352"/>
      <c r="G831" s="2194"/>
      <c r="H831" s="2194"/>
      <c r="I831" s="2194"/>
      <c r="J831" s="2194"/>
      <c r="K831" s="2194"/>
      <c r="L831" s="2194"/>
      <c r="M831" s="2590">
        <v>14.8</v>
      </c>
      <c r="N831" s="2591">
        <v>1.3</v>
      </c>
      <c r="O831" s="2591"/>
      <c r="P831" s="2591">
        <v>0.2</v>
      </c>
      <c r="Q831" s="2384"/>
      <c r="R831" s="2384"/>
      <c r="S831" s="2384"/>
      <c r="T831" s="2385"/>
      <c r="U831" s="2386"/>
      <c r="V831" s="2384"/>
      <c r="W831" s="2384"/>
      <c r="X831" s="2384"/>
      <c r="Y831" s="2387"/>
    </row>
    <row r="832" spans="2:25" outlineLevel="1">
      <c r="C832" s="2358" t="s">
        <v>1518</v>
      </c>
      <c r="D832" s="2340"/>
      <c r="E832" s="2341"/>
      <c r="F832" s="2341"/>
      <c r="G832" s="2194"/>
      <c r="H832" s="2194"/>
      <c r="I832" s="2194"/>
      <c r="J832" s="2194"/>
      <c r="K832" s="2194"/>
      <c r="L832" s="2194"/>
      <c r="M832" s="2074">
        <f>SUM(M827:M831)</f>
        <v>56.818749999999994</v>
      </c>
      <c r="N832" s="2075">
        <f t="shared" ref="N832:Y832" si="71">SUM(N827:N831)</f>
        <v>44.818749999999994</v>
      </c>
      <c r="O832" s="2075">
        <f t="shared" si="71"/>
        <v>45.818750000000001</v>
      </c>
      <c r="P832" s="2075">
        <f t="shared" si="71"/>
        <v>45.958355170000004</v>
      </c>
      <c r="Q832" s="2075">
        <f t="shared" si="71"/>
        <v>47.332693189999993</v>
      </c>
      <c r="R832" s="2075">
        <f t="shared" si="71"/>
        <v>49.825340329999989</v>
      </c>
      <c r="S832" s="2075">
        <f t="shared" si="71"/>
        <v>53.105847363704427</v>
      </c>
      <c r="T832" s="2076">
        <f t="shared" si="71"/>
        <v>36.807137381392728</v>
      </c>
      <c r="U832" s="2077">
        <f t="shared" si="71"/>
        <v>35.974887424436545</v>
      </c>
      <c r="V832" s="2075">
        <f t="shared" si="71"/>
        <v>35.174721299545666</v>
      </c>
      <c r="W832" s="2075">
        <f t="shared" si="71"/>
        <v>33.858373501381948</v>
      </c>
      <c r="X832" s="2075">
        <f t="shared" si="71"/>
        <v>29.774618731011955</v>
      </c>
      <c r="Y832" s="2078">
        <f t="shared" si="71"/>
        <v>27.2764727109586</v>
      </c>
    </row>
    <row r="833" spans="2:25" outlineLevel="1">
      <c r="C833" s="2370"/>
      <c r="D833" s="2368"/>
      <c r="E833" s="2370"/>
      <c r="F833" s="2370"/>
      <c r="G833" s="2370"/>
      <c r="H833" s="2370"/>
      <c r="I833" s="2370"/>
      <c r="J833" s="2370"/>
      <c r="K833" s="2370"/>
      <c r="L833" s="2370"/>
      <c r="M833" s="2434"/>
      <c r="N833" s="2434"/>
      <c r="O833" s="2434"/>
      <c r="P833" s="2435"/>
      <c r="Q833" s="2435"/>
      <c r="R833" s="2435"/>
      <c r="S833" s="2435"/>
      <c r="T833" s="2435"/>
      <c r="U833" s="2436"/>
      <c r="V833" s="2435"/>
      <c r="W833" s="2435"/>
      <c r="X833" s="2435"/>
      <c r="Y833" s="2435"/>
    </row>
    <row r="834" spans="2:25" outlineLevel="1">
      <c r="C834" s="1877"/>
      <c r="D834" s="1892"/>
      <c r="E834" s="1877"/>
      <c r="F834" s="1877"/>
      <c r="G834" s="1877"/>
      <c r="H834" s="1877"/>
      <c r="I834" s="1877"/>
      <c r="J834" s="1877"/>
      <c r="K834" s="1877"/>
      <c r="L834" s="1877"/>
      <c r="M834" s="2434"/>
      <c r="N834" s="2434"/>
      <c r="O834" s="2434"/>
      <c r="P834" s="2435"/>
      <c r="Q834" s="2435"/>
      <c r="R834" s="2435"/>
      <c r="S834" s="2435"/>
      <c r="T834" s="2435"/>
      <c r="U834" s="2436"/>
      <c r="V834" s="2435"/>
      <c r="W834" s="2435"/>
      <c r="X834" s="2435"/>
      <c r="Y834" s="2435"/>
    </row>
    <row r="835" spans="2:25" outlineLevel="1">
      <c r="C835" s="2373" t="s">
        <v>1519</v>
      </c>
      <c r="D835" s="2374"/>
      <c r="E835" s="2373"/>
      <c r="F835" s="2376"/>
      <c r="G835" s="2375"/>
      <c r="H835" s="2375"/>
      <c r="I835" s="2375"/>
      <c r="J835" s="2375"/>
      <c r="K835" s="2375"/>
      <c r="L835" s="2375"/>
      <c r="M835" s="2437"/>
      <c r="N835" s="2437"/>
      <c r="O835" s="2437"/>
      <c r="P835" s="2437"/>
      <c r="Q835" s="2437"/>
      <c r="R835" s="2437"/>
      <c r="S835" s="2437"/>
      <c r="T835" s="2437"/>
      <c r="U835" s="2438"/>
      <c r="V835" s="2437"/>
      <c r="W835" s="2437"/>
      <c r="X835" s="2437"/>
      <c r="Y835" s="2437"/>
    </row>
    <row r="836" spans="2:25" outlineLevel="1">
      <c r="C836" s="2339" t="s">
        <v>1472</v>
      </c>
      <c r="D836" s="2340"/>
      <c r="E836" s="2341"/>
      <c r="F836" s="2341"/>
      <c r="G836" s="2194"/>
      <c r="H836" s="2194"/>
      <c r="I836" s="2194"/>
      <c r="J836" s="2194"/>
      <c r="K836" s="2194"/>
      <c r="L836" s="2194"/>
      <c r="M836" s="2586">
        <v>-8.5000000000000006E-2</v>
      </c>
      <c r="N836" s="2587">
        <v>-0.05</v>
      </c>
      <c r="O836" s="2587">
        <v>-0.1</v>
      </c>
      <c r="P836" s="2587">
        <v>0</v>
      </c>
      <c r="Q836" s="2587">
        <v>-0.1</v>
      </c>
      <c r="R836" s="2197">
        <v>-0.29399999999999998</v>
      </c>
      <c r="S836" s="2197">
        <v>-0.3</v>
      </c>
      <c r="T836" s="2198"/>
      <c r="U836" s="2199"/>
      <c r="V836" s="2197"/>
      <c r="W836" s="2197"/>
      <c r="X836" s="2197"/>
      <c r="Y836" s="2200"/>
    </row>
    <row r="837" spans="2:25" outlineLevel="1">
      <c r="C837" s="2341" t="s">
        <v>1473</v>
      </c>
      <c r="D837" s="2340"/>
      <c r="E837" s="2341"/>
      <c r="F837" s="2341"/>
      <c r="G837" s="2194"/>
      <c r="H837" s="2194"/>
      <c r="I837" s="2194"/>
      <c r="J837" s="2194"/>
      <c r="K837" s="2194"/>
      <c r="L837" s="2194"/>
      <c r="M837" s="2207"/>
      <c r="N837" s="2208"/>
      <c r="O837" s="2208"/>
      <c r="P837" s="2208"/>
      <c r="Q837" s="2208"/>
      <c r="R837" s="2208"/>
      <c r="S837" s="2208"/>
      <c r="T837" s="2209"/>
      <c r="U837" s="2210"/>
      <c r="V837" s="2208"/>
      <c r="W837" s="2208"/>
      <c r="X837" s="2208"/>
      <c r="Y837" s="2211"/>
    </row>
    <row r="838" spans="2:25" outlineLevel="1">
      <c r="C838" s="2341" t="s">
        <v>1474</v>
      </c>
      <c r="D838" s="2340"/>
      <c r="E838" s="2341"/>
      <c r="F838" s="2341"/>
      <c r="G838" s="2194"/>
      <c r="H838" s="2194"/>
      <c r="I838" s="2194"/>
      <c r="J838" s="2194"/>
      <c r="K838" s="2194"/>
      <c r="L838" s="2194"/>
      <c r="M838" s="2207"/>
      <c r="N838" s="2208"/>
      <c r="O838" s="2208"/>
      <c r="P838" s="2208"/>
      <c r="Q838" s="2208"/>
      <c r="R838" s="2208"/>
      <c r="S838" s="2208"/>
      <c r="T838" s="2209"/>
      <c r="U838" s="2210"/>
      <c r="V838" s="2208"/>
      <c r="W838" s="2208"/>
      <c r="X838" s="2208"/>
      <c r="Y838" s="2211"/>
    </row>
    <row r="839" spans="2:25" outlineLevel="1">
      <c r="B839" s="2343" t="s">
        <v>1044</v>
      </c>
      <c r="C839" s="2339" t="s">
        <v>1475</v>
      </c>
      <c r="D839" s="2340"/>
      <c r="E839" s="2341"/>
      <c r="F839" s="2341"/>
      <c r="G839" s="2194"/>
      <c r="H839" s="2194"/>
      <c r="I839" s="2194"/>
      <c r="J839" s="2194"/>
      <c r="K839" s="2194"/>
      <c r="L839" s="2194"/>
      <c r="M839" s="2359">
        <f t="shared" ref="M839:Y839" si="72">M147</f>
        <v>0</v>
      </c>
      <c r="N839" s="2360">
        <f t="shared" si="72"/>
        <v>0</v>
      </c>
      <c r="O839" s="2360">
        <f t="shared" si="72"/>
        <v>0</v>
      </c>
      <c r="P839" s="2360">
        <f t="shared" si="72"/>
        <v>0</v>
      </c>
      <c r="Q839" s="2360">
        <f t="shared" si="72"/>
        <v>0</v>
      </c>
      <c r="R839" s="2360">
        <f t="shared" si="72"/>
        <v>0</v>
      </c>
      <c r="S839" s="2360">
        <f t="shared" si="72"/>
        <v>0</v>
      </c>
      <c r="T839" s="2361">
        <f t="shared" si="72"/>
        <v>0</v>
      </c>
      <c r="U839" s="2362">
        <f t="shared" si="72"/>
        <v>0</v>
      </c>
      <c r="V839" s="2360">
        <f t="shared" si="72"/>
        <v>0</v>
      </c>
      <c r="W839" s="2360">
        <f t="shared" si="72"/>
        <v>0</v>
      </c>
      <c r="X839" s="2360">
        <f t="shared" si="72"/>
        <v>0</v>
      </c>
      <c r="Y839" s="2363">
        <f t="shared" si="72"/>
        <v>0</v>
      </c>
    </row>
    <row r="840" spans="2:25" outlineLevel="1">
      <c r="C840" s="2358" t="s">
        <v>1520</v>
      </c>
      <c r="D840" s="2340"/>
      <c r="E840" s="2341"/>
      <c r="F840" s="2341"/>
      <c r="G840" s="2194"/>
      <c r="H840" s="2194"/>
      <c r="I840" s="2194"/>
      <c r="J840" s="2194"/>
      <c r="K840" s="2194"/>
      <c r="L840" s="2194"/>
      <c r="M840" s="2359">
        <f t="shared" ref="M840:Y840" si="73">SUM(M836:M839)</f>
        <v>-8.5000000000000006E-2</v>
      </c>
      <c r="N840" s="2360">
        <f t="shared" si="73"/>
        <v>-0.05</v>
      </c>
      <c r="O840" s="2360">
        <f t="shared" si="73"/>
        <v>-0.1</v>
      </c>
      <c r="P840" s="2360">
        <f t="shared" si="73"/>
        <v>0</v>
      </c>
      <c r="Q840" s="2360">
        <f t="shared" si="73"/>
        <v>-0.1</v>
      </c>
      <c r="R840" s="2360">
        <f t="shared" si="73"/>
        <v>-0.29399999999999998</v>
      </c>
      <c r="S840" s="2360">
        <f t="shared" si="73"/>
        <v>-0.3</v>
      </c>
      <c r="T840" s="2361">
        <f t="shared" si="73"/>
        <v>0</v>
      </c>
      <c r="U840" s="2362">
        <f t="shared" si="73"/>
        <v>0</v>
      </c>
      <c r="V840" s="2360">
        <f t="shared" si="73"/>
        <v>0</v>
      </c>
      <c r="W840" s="2360">
        <f t="shared" si="73"/>
        <v>0</v>
      </c>
      <c r="X840" s="2360">
        <f t="shared" si="73"/>
        <v>0</v>
      </c>
      <c r="Y840" s="2363">
        <f t="shared" si="73"/>
        <v>0</v>
      </c>
    </row>
    <row r="841" spans="2:25" outlineLevel="1">
      <c r="C841" s="2339" t="s">
        <v>1521</v>
      </c>
      <c r="D841" s="2340"/>
      <c r="E841" s="2341"/>
      <c r="F841" s="2341"/>
      <c r="G841" s="2194"/>
      <c r="H841" s="2194"/>
      <c r="I841" s="2194"/>
      <c r="J841" s="2194"/>
      <c r="K841" s="2194"/>
      <c r="L841" s="2194"/>
      <c r="M841" s="2207"/>
      <c r="N841" s="2208"/>
      <c r="O841" s="2208"/>
      <c r="P841" s="2208"/>
      <c r="Q841" s="2208"/>
      <c r="R841" s="2208"/>
      <c r="S841" s="2208"/>
      <c r="T841" s="2209"/>
      <c r="U841" s="2210"/>
      <c r="V841" s="2208"/>
      <c r="W841" s="2208"/>
      <c r="X841" s="2208"/>
      <c r="Y841" s="2211"/>
    </row>
    <row r="842" spans="2:25" outlineLevel="1">
      <c r="C842" s="2339" t="s">
        <v>1478</v>
      </c>
      <c r="D842" s="2340"/>
      <c r="E842" s="2341"/>
      <c r="F842" s="2341"/>
      <c r="G842" s="2194"/>
      <c r="H842" s="2194"/>
      <c r="I842" s="2194"/>
      <c r="J842" s="2194"/>
      <c r="K842" s="2194"/>
      <c r="L842" s="2194"/>
      <c r="M842" s="2207"/>
      <c r="N842" s="2208"/>
      <c r="O842" s="2208"/>
      <c r="P842" s="2208"/>
      <c r="Q842" s="2208"/>
      <c r="R842" s="2208"/>
      <c r="S842" s="2208"/>
      <c r="T842" s="2209"/>
      <c r="U842" s="2210"/>
      <c r="V842" s="2208"/>
      <c r="W842" s="2208"/>
      <c r="X842" s="2208"/>
      <c r="Y842" s="2211"/>
    </row>
    <row r="843" spans="2:25" outlineLevel="1">
      <c r="C843" s="2339" t="s">
        <v>1522</v>
      </c>
      <c r="D843" s="2340"/>
      <c r="E843" s="2341"/>
      <c r="F843" s="2341"/>
      <c r="G843" s="2194"/>
      <c r="H843" s="2194"/>
      <c r="I843" s="2194"/>
      <c r="J843" s="2194"/>
      <c r="K843" s="2194"/>
      <c r="L843" s="2194"/>
      <c r="M843" s="2207"/>
      <c r="N843" s="2208"/>
      <c r="O843" s="2208"/>
      <c r="P843" s="2208"/>
      <c r="Q843" s="2208"/>
      <c r="R843" s="2208"/>
      <c r="S843" s="2208"/>
      <c r="T843" s="2209"/>
      <c r="U843" s="2210"/>
      <c r="V843" s="2208"/>
      <c r="W843" s="2208"/>
      <c r="X843" s="2208"/>
      <c r="Y843" s="2211"/>
    </row>
    <row r="844" spans="2:25" outlineLevel="1">
      <c r="C844" s="2350" t="s">
        <v>1454</v>
      </c>
      <c r="D844" s="2351"/>
      <c r="E844" s="2352"/>
      <c r="F844" s="2352"/>
      <c r="G844" s="2194"/>
      <c r="H844" s="2194"/>
      <c r="I844" s="2194"/>
      <c r="J844" s="2194"/>
      <c r="K844" s="2194"/>
      <c r="L844" s="2194"/>
      <c r="M844" s="2383"/>
      <c r="N844" s="2384"/>
      <c r="O844" s="2384"/>
      <c r="P844" s="2384"/>
      <c r="Q844" s="2384">
        <v>-0.4</v>
      </c>
      <c r="R844" s="2384"/>
      <c r="S844" s="2384"/>
      <c r="T844" s="2385"/>
      <c r="U844" s="2386"/>
      <c r="V844" s="2384"/>
      <c r="W844" s="2384"/>
      <c r="X844" s="2384"/>
      <c r="Y844" s="2387"/>
    </row>
    <row r="845" spans="2:25" outlineLevel="1">
      <c r="C845" s="2358" t="s">
        <v>1523</v>
      </c>
      <c r="D845" s="2340"/>
      <c r="E845" s="2341"/>
      <c r="F845" s="2341"/>
      <c r="G845" s="2194"/>
      <c r="H845" s="2194"/>
      <c r="I845" s="2194"/>
      <c r="J845" s="2194"/>
      <c r="K845" s="2194"/>
      <c r="L845" s="2194"/>
      <c r="M845" s="2074">
        <f t="shared" ref="M845:Y845" si="74">SUM(M840:M844)</f>
        <v>-8.5000000000000006E-2</v>
      </c>
      <c r="N845" s="2075">
        <f t="shared" si="74"/>
        <v>-0.05</v>
      </c>
      <c r="O845" s="2075">
        <f t="shared" si="74"/>
        <v>-0.1</v>
      </c>
      <c r="P845" s="2075">
        <f t="shared" si="74"/>
        <v>0</v>
      </c>
      <c r="Q845" s="2075">
        <f t="shared" si="74"/>
        <v>-0.5</v>
      </c>
      <c r="R845" s="2075">
        <f t="shared" si="74"/>
        <v>-0.29399999999999998</v>
      </c>
      <c r="S845" s="2075">
        <f t="shared" si="74"/>
        <v>-0.3</v>
      </c>
      <c r="T845" s="2076">
        <f t="shared" si="74"/>
        <v>0</v>
      </c>
      <c r="U845" s="2077">
        <f t="shared" si="74"/>
        <v>0</v>
      </c>
      <c r="V845" s="2075">
        <f t="shared" si="74"/>
        <v>0</v>
      </c>
      <c r="W845" s="2075">
        <f t="shared" si="74"/>
        <v>0</v>
      </c>
      <c r="X845" s="2075">
        <f t="shared" si="74"/>
        <v>0</v>
      </c>
      <c r="Y845" s="2078">
        <f t="shared" si="74"/>
        <v>0</v>
      </c>
    </row>
    <row r="846" spans="2:25" outlineLevel="1">
      <c r="C846" s="2370"/>
      <c r="D846" s="2368"/>
      <c r="E846" s="2370"/>
      <c r="F846" s="2370"/>
      <c r="G846" s="2370"/>
      <c r="H846" s="2370"/>
      <c r="I846" s="2370"/>
      <c r="J846" s="2370"/>
      <c r="K846" s="2370"/>
      <c r="L846" s="2370"/>
      <c r="M846" s="2434"/>
      <c r="N846" s="2434"/>
      <c r="O846" s="2434"/>
      <c r="P846" s="2434"/>
      <c r="Q846" s="2434"/>
      <c r="R846" s="2435"/>
      <c r="S846" s="2435"/>
      <c r="T846" s="2435"/>
      <c r="U846" s="2436"/>
      <c r="V846" s="2435"/>
      <c r="W846" s="2435"/>
      <c r="X846" s="2435"/>
      <c r="Y846" s="2435"/>
    </row>
    <row r="847" spans="2:25" outlineLevel="1">
      <c r="C847" s="2391" t="s">
        <v>1524</v>
      </c>
      <c r="D847" s="2392"/>
      <c r="E847" s="2392"/>
      <c r="F847" s="2392"/>
      <c r="G847" s="2375"/>
      <c r="H847" s="2375"/>
      <c r="I847" s="2375"/>
      <c r="J847" s="2375"/>
      <c r="K847" s="2375"/>
      <c r="L847" s="2376"/>
      <c r="M847" s="2434"/>
      <c r="N847" s="2434"/>
      <c r="O847" s="2434"/>
      <c r="P847" s="2434"/>
      <c r="Q847" s="2434"/>
      <c r="R847" s="2435"/>
      <c r="S847" s="2435"/>
      <c r="T847" s="2435"/>
      <c r="U847" s="2436"/>
      <c r="V847" s="2435"/>
      <c r="W847" s="2435"/>
      <c r="X847" s="2435"/>
      <c r="Y847" s="2435"/>
    </row>
    <row r="848" spans="2:25" outlineLevel="1">
      <c r="C848" s="1837" t="s">
        <v>1525</v>
      </c>
      <c r="D848" s="1837"/>
      <c r="E848" s="1837"/>
      <c r="F848" s="1837"/>
      <c r="G848" s="2194"/>
      <c r="H848" s="2194"/>
      <c r="I848" s="2194"/>
      <c r="J848" s="2194"/>
      <c r="K848" s="2194"/>
      <c r="L848" s="2194"/>
      <c r="M848" s="2074">
        <f>M832</f>
        <v>56.818749999999994</v>
      </c>
      <c r="N848" s="2075">
        <f t="shared" ref="N848:Y848" si="75">N832</f>
        <v>44.818749999999994</v>
      </c>
      <c r="O848" s="2075">
        <f t="shared" si="75"/>
        <v>45.818750000000001</v>
      </c>
      <c r="P848" s="2075">
        <f t="shared" si="75"/>
        <v>45.958355170000004</v>
      </c>
      <c r="Q848" s="2075">
        <f t="shared" si="75"/>
        <v>47.332693189999993</v>
      </c>
      <c r="R848" s="2075">
        <f t="shared" si="75"/>
        <v>49.825340329999989</v>
      </c>
      <c r="S848" s="2075">
        <f t="shared" si="75"/>
        <v>53.105847363704427</v>
      </c>
      <c r="T848" s="2076">
        <f t="shared" si="75"/>
        <v>36.807137381392728</v>
      </c>
      <c r="U848" s="2077">
        <f t="shared" si="75"/>
        <v>35.974887424436545</v>
      </c>
      <c r="V848" s="2075">
        <f t="shared" si="75"/>
        <v>35.174721299545666</v>
      </c>
      <c r="W848" s="2075">
        <f t="shared" si="75"/>
        <v>33.858373501381948</v>
      </c>
      <c r="X848" s="2075">
        <f t="shared" si="75"/>
        <v>29.774618731011955</v>
      </c>
      <c r="Y848" s="2078">
        <f t="shared" si="75"/>
        <v>27.2764727109586</v>
      </c>
    </row>
    <row r="849" spans="2:34" outlineLevel="1">
      <c r="C849" s="1837" t="s">
        <v>1526</v>
      </c>
      <c r="D849" s="2398"/>
      <c r="E849" s="2398"/>
      <c r="F849" s="2398"/>
      <c r="G849" s="2194"/>
      <c r="H849" s="2194"/>
      <c r="I849" s="2194"/>
      <c r="J849" s="2194"/>
      <c r="K849" s="2194"/>
      <c r="L849" s="2194"/>
      <c r="M849" s="2074">
        <f>M845</f>
        <v>-8.5000000000000006E-2</v>
      </c>
      <c r="N849" s="2075">
        <f t="shared" ref="N849:Y849" si="76">N845</f>
        <v>-0.05</v>
      </c>
      <c r="O849" s="2075">
        <f t="shared" si="76"/>
        <v>-0.1</v>
      </c>
      <c r="P849" s="2075">
        <f t="shared" si="76"/>
        <v>0</v>
      </c>
      <c r="Q849" s="2075">
        <f t="shared" si="76"/>
        <v>-0.5</v>
      </c>
      <c r="R849" s="2075">
        <f t="shared" si="76"/>
        <v>-0.29399999999999998</v>
      </c>
      <c r="S849" s="2075">
        <f t="shared" si="76"/>
        <v>-0.3</v>
      </c>
      <c r="T849" s="2076">
        <f t="shared" si="76"/>
        <v>0</v>
      </c>
      <c r="U849" s="2077">
        <f t="shared" si="76"/>
        <v>0</v>
      </c>
      <c r="V849" s="2075">
        <f t="shared" si="76"/>
        <v>0</v>
      </c>
      <c r="W849" s="2075">
        <f t="shared" si="76"/>
        <v>0</v>
      </c>
      <c r="X849" s="2075">
        <f t="shared" si="76"/>
        <v>0</v>
      </c>
      <c r="Y849" s="2078">
        <f t="shared" si="76"/>
        <v>0</v>
      </c>
    </row>
    <row r="850" spans="2:34" outlineLevel="1">
      <c r="C850" s="1837" t="s">
        <v>1527</v>
      </c>
      <c r="D850" s="1837"/>
      <c r="E850" s="1837"/>
      <c r="F850" s="1837"/>
      <c r="G850" s="2194"/>
      <c r="H850" s="2194"/>
      <c r="I850" s="2194"/>
      <c r="J850" s="2194"/>
      <c r="K850" s="2194"/>
      <c r="L850" s="2194"/>
      <c r="M850" s="2074">
        <f>SUM(M848:M849)</f>
        <v>56.733749999999993</v>
      </c>
      <c r="N850" s="2075">
        <f t="shared" ref="N850:Y850" si="77">SUM(N848:N849)</f>
        <v>44.768749999999997</v>
      </c>
      <c r="O850" s="2075">
        <f t="shared" si="77"/>
        <v>45.71875</v>
      </c>
      <c r="P850" s="2075">
        <f t="shared" si="77"/>
        <v>45.958355170000004</v>
      </c>
      <c r="Q850" s="2075">
        <f t="shared" si="77"/>
        <v>46.832693189999993</v>
      </c>
      <c r="R850" s="2075">
        <f t="shared" si="77"/>
        <v>49.531340329999992</v>
      </c>
      <c r="S850" s="2075">
        <f t="shared" si="77"/>
        <v>52.80584736370443</v>
      </c>
      <c r="T850" s="2076">
        <f t="shared" si="77"/>
        <v>36.807137381392728</v>
      </c>
      <c r="U850" s="2077">
        <f t="shared" si="77"/>
        <v>35.974887424436545</v>
      </c>
      <c r="V850" s="2075">
        <f t="shared" si="77"/>
        <v>35.174721299545666</v>
      </c>
      <c r="W850" s="2075">
        <f t="shared" si="77"/>
        <v>33.858373501381948</v>
      </c>
      <c r="X850" s="2075">
        <f t="shared" si="77"/>
        <v>29.774618731011955</v>
      </c>
      <c r="Y850" s="2078">
        <f t="shared" si="77"/>
        <v>27.2764727109586</v>
      </c>
    </row>
    <row r="851" spans="2:34" outlineLevel="1">
      <c r="C851" s="2439"/>
      <c r="D851" s="2439"/>
      <c r="E851" s="2439"/>
      <c r="F851" s="2439"/>
      <c r="G851" s="2370"/>
      <c r="H851" s="2370"/>
      <c r="I851" s="2370"/>
      <c r="J851" s="2370"/>
      <c r="K851" s="2370"/>
      <c r="L851" s="2370"/>
      <c r="M851" s="2440"/>
      <c r="N851" s="2440"/>
      <c r="O851" s="2440"/>
      <c r="P851" s="2440"/>
      <c r="Q851" s="2440"/>
      <c r="R851" s="2440"/>
      <c r="S851" s="2440"/>
      <c r="T851" s="2440"/>
      <c r="U851" s="2441"/>
      <c r="V851" s="2440"/>
      <c r="W851" s="2440"/>
      <c r="X851" s="2440"/>
      <c r="Y851" s="2440"/>
      <c r="Z851" s="1877"/>
    </row>
    <row r="852" spans="2:34" s="1892" customFormat="1" outlineLevel="1">
      <c r="B852" s="2399"/>
      <c r="C852" s="2400" t="s">
        <v>1528</v>
      </c>
      <c r="D852" s="2400"/>
      <c r="E852" s="2374"/>
      <c r="F852" s="2374"/>
      <c r="G852" s="2374"/>
      <c r="H852" s="2374"/>
      <c r="I852" s="2374"/>
      <c r="J852" s="2374"/>
      <c r="K852" s="2374"/>
      <c r="L852" s="2375"/>
      <c r="M852" s="2434"/>
      <c r="N852" s="2434"/>
      <c r="O852" s="2434"/>
      <c r="P852" s="2434"/>
      <c r="Q852" s="2434"/>
      <c r="R852" s="2434"/>
      <c r="S852" s="2434"/>
      <c r="T852" s="2434"/>
      <c r="U852" s="2436"/>
      <c r="V852" s="2434"/>
      <c r="W852" s="2434"/>
      <c r="X852" s="2434"/>
      <c r="Y852" s="2434"/>
    </row>
    <row r="853" spans="2:34" s="1892" customFormat="1" outlineLevel="1">
      <c r="B853" s="2399"/>
      <c r="C853" s="2340" t="s">
        <v>1413</v>
      </c>
      <c r="D853" s="2340"/>
      <c r="E853" s="2340"/>
      <c r="F853" s="2340"/>
      <c r="G853" s="2340"/>
      <c r="H853" s="2340"/>
      <c r="I853" s="2340"/>
      <c r="J853" s="2340"/>
      <c r="K853" s="2340"/>
      <c r="L853" s="2194"/>
      <c r="M853" s="2442"/>
      <c r="N853" s="2443"/>
      <c r="O853" s="2443"/>
      <c r="P853" s="2443"/>
      <c r="Q853" s="2443"/>
      <c r="R853" s="2443"/>
      <c r="S853" s="2443"/>
      <c r="T853" s="2125"/>
      <c r="U853" s="2444"/>
      <c r="V853" s="2443"/>
      <c r="W853" s="2443"/>
      <c r="X853" s="2443"/>
      <c r="Y853" s="2445"/>
    </row>
    <row r="854" spans="2:34" s="1892" customFormat="1" outlineLevel="1">
      <c r="B854" s="2399"/>
      <c r="C854" s="2340" t="s">
        <v>1414</v>
      </c>
      <c r="D854" s="2340"/>
      <c r="E854" s="2340"/>
      <c r="F854" s="2340"/>
      <c r="G854" s="2340"/>
      <c r="H854" s="2340"/>
      <c r="I854" s="2340"/>
      <c r="J854" s="2340"/>
      <c r="K854" s="2340"/>
      <c r="L854" s="2194"/>
      <c r="M854" s="2108">
        <f>1-M853</f>
        <v>1</v>
      </c>
      <c r="N854" s="2109">
        <f t="shared" ref="N854:Y854" si="78">1-N853</f>
        <v>1</v>
      </c>
      <c r="O854" s="2109">
        <f t="shared" si="78"/>
        <v>1</v>
      </c>
      <c r="P854" s="2109">
        <f t="shared" si="78"/>
        <v>1</v>
      </c>
      <c r="Q854" s="2109">
        <f t="shared" si="78"/>
        <v>1</v>
      </c>
      <c r="R854" s="2109">
        <f t="shared" si="78"/>
        <v>1</v>
      </c>
      <c r="S854" s="2109">
        <f t="shared" si="78"/>
        <v>1</v>
      </c>
      <c r="T854" s="2110">
        <f t="shared" si="78"/>
        <v>1</v>
      </c>
      <c r="U854" s="2111">
        <f t="shared" si="78"/>
        <v>1</v>
      </c>
      <c r="V854" s="2109">
        <f t="shared" si="78"/>
        <v>1</v>
      </c>
      <c r="W854" s="2109">
        <f t="shared" si="78"/>
        <v>1</v>
      </c>
      <c r="X854" s="2109">
        <f t="shared" si="78"/>
        <v>1</v>
      </c>
      <c r="Y854" s="2112">
        <f t="shared" si="78"/>
        <v>1</v>
      </c>
    </row>
    <row r="855" spans="2:34" s="1892" customFormat="1" outlineLevel="1">
      <c r="B855" s="2399"/>
    </row>
    <row r="856" spans="2:34">
      <c r="B856" s="1901"/>
      <c r="D856" s="1885"/>
      <c r="Q856" s="1870"/>
      <c r="R856" s="1870"/>
      <c r="S856" s="1870"/>
      <c r="T856" s="1870"/>
      <c r="U856" s="1870"/>
      <c r="V856" s="1870"/>
      <c r="W856" s="1885"/>
      <c r="X856" s="1885"/>
      <c r="Z856" s="2051"/>
      <c r="AA856" s="2052"/>
      <c r="AB856" s="2051"/>
      <c r="AC856" s="2051"/>
      <c r="AD856" s="2051"/>
      <c r="AE856" s="1885"/>
    </row>
    <row r="857" spans="2:34" s="2130" customFormat="1" ht="15" customHeight="1">
      <c r="B857" s="2128" t="s">
        <v>1427</v>
      </c>
      <c r="C857" s="2128"/>
      <c r="D857" s="2128"/>
      <c r="E857" s="2128"/>
      <c r="F857" s="2128"/>
      <c r="G857" s="2128"/>
      <c r="H857" s="2128"/>
      <c r="I857" s="2128"/>
      <c r="J857" s="2128"/>
      <c r="K857" s="2128"/>
      <c r="L857" s="2128"/>
      <c r="M857" s="2128"/>
      <c r="N857" s="2128"/>
      <c r="O857" s="2128"/>
      <c r="P857" s="2128"/>
      <c r="Q857" s="2128"/>
      <c r="R857" s="2128"/>
      <c r="S857" s="2128"/>
      <c r="T857" s="2128"/>
      <c r="U857" s="2128"/>
      <c r="V857" s="2128"/>
      <c r="W857" s="2128"/>
      <c r="X857" s="2128"/>
      <c r="Y857" s="2128"/>
      <c r="Z857" s="2129"/>
      <c r="AA857" s="2129"/>
      <c r="AB857" s="2129"/>
      <c r="AC857" s="2129"/>
      <c r="AD857" s="2129"/>
      <c r="AE857" s="2129"/>
      <c r="AF857" s="2129"/>
      <c r="AG857" s="2129"/>
      <c r="AH857" s="2129"/>
    </row>
    <row r="860" spans="2:34">
      <c r="E860" s="1870" t="s">
        <v>1529</v>
      </c>
    </row>
  </sheetData>
  <mergeCells count="84">
    <mergeCell ref="C204:I204"/>
    <mergeCell ref="M7:T7"/>
    <mergeCell ref="U7:Y7"/>
    <mergeCell ref="B154:B155"/>
    <mergeCell ref="C154:I155"/>
    <mergeCell ref="B169:B170"/>
    <mergeCell ref="C169:I170"/>
    <mergeCell ref="B186:B187"/>
    <mergeCell ref="C186:I187"/>
    <mergeCell ref="B201:B202"/>
    <mergeCell ref="C201:I202"/>
    <mergeCell ref="C203:I203"/>
    <mergeCell ref="E237:I237"/>
    <mergeCell ref="C205:I205"/>
    <mergeCell ref="C206:I206"/>
    <mergeCell ref="C207:I207"/>
    <mergeCell ref="C208:I208"/>
    <mergeCell ref="C209:I209"/>
    <mergeCell ref="C210:I210"/>
    <mergeCell ref="C211:I211"/>
    <mergeCell ref="E218:I219"/>
    <mergeCell ref="C229:I229"/>
    <mergeCell ref="E234:I235"/>
    <mergeCell ref="E236:I236"/>
    <mergeCell ref="E426:I427"/>
    <mergeCell ref="E238:I238"/>
    <mergeCell ref="E239:I239"/>
    <mergeCell ref="E240:I240"/>
    <mergeCell ref="E241:I241"/>
    <mergeCell ref="E242:I242"/>
    <mergeCell ref="E243:I243"/>
    <mergeCell ref="E244:I244"/>
    <mergeCell ref="C245:I245"/>
    <mergeCell ref="I249:Q249"/>
    <mergeCell ref="E252:I253"/>
    <mergeCell ref="C421:I421"/>
    <mergeCell ref="E627:I627"/>
    <mergeCell ref="C595:I595"/>
    <mergeCell ref="E602:I603"/>
    <mergeCell ref="C613:I613"/>
    <mergeCell ref="E618:I619"/>
    <mergeCell ref="E620:I620"/>
    <mergeCell ref="E621:I621"/>
    <mergeCell ref="E622:I622"/>
    <mergeCell ref="E623:I623"/>
    <mergeCell ref="E624:I624"/>
    <mergeCell ref="E625:I625"/>
    <mergeCell ref="E626:I626"/>
    <mergeCell ref="E671:I672"/>
    <mergeCell ref="E628:I628"/>
    <mergeCell ref="C629:I629"/>
    <mergeCell ref="E636:I637"/>
    <mergeCell ref="C642:I642"/>
    <mergeCell ref="E647:I648"/>
    <mergeCell ref="E649:I649"/>
    <mergeCell ref="E650:I650"/>
    <mergeCell ref="E651:I651"/>
    <mergeCell ref="E652:I652"/>
    <mergeCell ref="C653:I653"/>
    <mergeCell ref="E660:I661"/>
    <mergeCell ref="C698:I698"/>
    <mergeCell ref="E673:I673"/>
    <mergeCell ref="E674:I674"/>
    <mergeCell ref="E675:I675"/>
    <mergeCell ref="E676:I676"/>
    <mergeCell ref="C685:I685"/>
    <mergeCell ref="C686:I686"/>
    <mergeCell ref="C687:I687"/>
    <mergeCell ref="C688:I688"/>
    <mergeCell ref="C689:I689"/>
    <mergeCell ref="C696:I696"/>
    <mergeCell ref="C697:I697"/>
    <mergeCell ref="C722:I722"/>
    <mergeCell ref="C699:I699"/>
    <mergeCell ref="C700:I700"/>
    <mergeCell ref="C708:I708"/>
    <mergeCell ref="C709:I709"/>
    <mergeCell ref="C710:I710"/>
    <mergeCell ref="C711:I711"/>
    <mergeCell ref="C712:I712"/>
    <mergeCell ref="C718:I718"/>
    <mergeCell ref="C719:I719"/>
    <mergeCell ref="C720:I720"/>
    <mergeCell ref="C721:I721"/>
  </mergeCells>
  <conditionalFormatting sqref="M809:Y809">
    <cfRule type="cellIs" priority="35" stopIfTrue="1" operator="greaterThanOrEqual">
      <formula>0</formula>
    </cfRule>
  </conditionalFormatting>
  <conditionalFormatting sqref="M775:Y775">
    <cfRule type="cellIs" priority="34" stopIfTrue="1" operator="greaterThanOrEqual">
      <formula>0</formula>
    </cfRule>
  </conditionalFormatting>
  <conditionalFormatting sqref="M853:Y853">
    <cfRule type="cellIs" priority="33" stopIfTrue="1" operator="greaterThanOrEqual">
      <formula>0</formula>
    </cfRule>
  </conditionalFormatting>
  <conditionalFormatting sqref="P8:X8 U9:X9">
    <cfRule type="expression" dxfId="3" priority="32">
      <formula>AND(P$5="Actuals",Q$5="Forecast")</formula>
    </cfRule>
  </conditionalFormatting>
  <conditionalFormatting sqref="Y8:Y9">
    <cfRule type="expression" dxfId="2" priority="36">
      <formula>AND(Y$5="Actuals",#REF!="Forecast")</formula>
    </cfRule>
  </conditionalFormatting>
  <conditionalFormatting sqref="M9:Y9">
    <cfRule type="expression" dxfId="1" priority="31">
      <formula>AND(M$8="Actuals",N$8="Forecast")</formula>
    </cfRule>
  </conditionalFormatting>
  <conditionalFormatting sqref="M8:Y8">
    <cfRule type="expression" dxfId="0" priority="30">
      <formula>AND(M$8="Actuals",N$8="Forecast")</formula>
    </cfRule>
  </conditionalFormatting>
  <conditionalFormatting sqref="M649:Y653 M696:Y700 M673:Y679 M718:Y723 M595:Y595 M620:Y629">
    <cfRule type="cellIs" priority="29" stopIfTrue="1" operator="greaterThanOrEqual">
      <formula>0</formula>
    </cfRule>
  </conditionalFormatting>
  <conditionalFormatting sqref="M702:Y702">
    <cfRule type="cellIs" priority="28" stopIfTrue="1" operator="greaterThanOrEqual">
      <formula>0</formula>
    </cfRule>
  </conditionalFormatting>
  <conditionalFormatting sqref="M701:Y701">
    <cfRule type="cellIs" priority="27" stopIfTrue="1" operator="greaterThanOrEqual">
      <formula>0</formula>
    </cfRule>
  </conditionalFormatting>
  <conditionalFormatting sqref="B245">
    <cfRule type="cellIs" priority="26" stopIfTrue="1" operator="greaterThanOrEqual">
      <formula>0</formula>
    </cfRule>
  </conditionalFormatting>
  <conditionalFormatting sqref="C245">
    <cfRule type="cellIs" priority="25" stopIfTrue="1" operator="greaterThanOrEqual">
      <formula>0</formula>
    </cfRule>
  </conditionalFormatting>
  <conditionalFormatting sqref="M236:Y245">
    <cfRule type="cellIs" priority="24" stopIfTrue="1" operator="greaterThanOrEqual">
      <formula>0</formula>
    </cfRule>
  </conditionalFormatting>
  <conditionalFormatting sqref="C677:D677">
    <cfRule type="cellIs" priority="22" stopIfTrue="1" operator="greaterThanOrEqual">
      <formula>0</formula>
    </cfRule>
  </conditionalFormatting>
  <conditionalFormatting sqref="C653">
    <cfRule type="cellIs" priority="23" stopIfTrue="1" operator="greaterThanOrEqual">
      <formula>0</formula>
    </cfRule>
  </conditionalFormatting>
  <conditionalFormatting sqref="C595">
    <cfRule type="cellIs" priority="21" stopIfTrue="1" operator="greaterThanOrEqual">
      <formula>0</formula>
    </cfRule>
  </conditionalFormatting>
  <conditionalFormatting sqref="C629">
    <cfRule type="cellIs" priority="20" stopIfTrue="1" operator="greaterThanOrEqual">
      <formula>0</formula>
    </cfRule>
  </conditionalFormatting>
  <conditionalFormatting sqref="M724:Y724">
    <cfRule type="cellIs" priority="19" stopIfTrue="1" operator="greaterThanOrEqual">
      <formula>0</formula>
    </cfRule>
  </conditionalFormatting>
  <conditionalFormatting sqref="B229">
    <cfRule type="cellIs" priority="18" stopIfTrue="1" operator="greaterThanOrEqual">
      <formula>0</formula>
    </cfRule>
  </conditionalFormatting>
  <conditionalFormatting sqref="C229">
    <cfRule type="cellIs" priority="17" stopIfTrue="1" operator="greaterThanOrEqual">
      <formula>0</formula>
    </cfRule>
  </conditionalFormatting>
  <conditionalFormatting sqref="M220:Y229">
    <cfRule type="cellIs" priority="16" stopIfTrue="1" operator="greaterThanOrEqual">
      <formula>0</formula>
    </cfRule>
  </conditionalFormatting>
  <conditionalFormatting sqref="M421:Y421">
    <cfRule type="cellIs" priority="15" stopIfTrue="1" operator="greaterThanOrEqual">
      <formula>0</formula>
    </cfRule>
  </conditionalFormatting>
  <conditionalFormatting sqref="C421">
    <cfRule type="cellIs" priority="14" stopIfTrue="1" operator="greaterThanOrEqual">
      <formula>0</formula>
    </cfRule>
  </conditionalFormatting>
  <conditionalFormatting sqref="M604:Y613">
    <cfRule type="cellIs" priority="13" stopIfTrue="1" operator="greaterThanOrEqual">
      <formula>0</formula>
    </cfRule>
  </conditionalFormatting>
  <conditionalFormatting sqref="C613">
    <cfRule type="cellIs" priority="12" stopIfTrue="1" operator="greaterThanOrEqual">
      <formula>0</formula>
    </cfRule>
  </conditionalFormatting>
  <conditionalFormatting sqref="M638:Y642">
    <cfRule type="cellIs" priority="11" stopIfTrue="1" operator="greaterThanOrEqual">
      <formula>0</formula>
    </cfRule>
  </conditionalFormatting>
  <conditionalFormatting sqref="C642">
    <cfRule type="cellIs" priority="10" stopIfTrue="1" operator="greaterThanOrEqual">
      <formula>0</formula>
    </cfRule>
  </conditionalFormatting>
  <conditionalFormatting sqref="M662:Y668">
    <cfRule type="cellIs" priority="9" stopIfTrue="1" operator="greaterThanOrEqual">
      <formula>0</formula>
    </cfRule>
  </conditionalFormatting>
  <conditionalFormatting sqref="C666:D666">
    <cfRule type="cellIs" priority="8" stopIfTrue="1" operator="greaterThanOrEqual">
      <formula>0</formula>
    </cfRule>
  </conditionalFormatting>
  <conditionalFormatting sqref="M685:Y689">
    <cfRule type="cellIs" priority="7" stopIfTrue="1" operator="greaterThanOrEqual">
      <formula>0</formula>
    </cfRule>
  </conditionalFormatting>
  <conditionalFormatting sqref="M690:Y690">
    <cfRule type="cellIs" priority="6" stopIfTrue="1" operator="greaterThanOrEqual">
      <formula>0</formula>
    </cfRule>
  </conditionalFormatting>
  <conditionalFormatting sqref="M708:Y714">
    <cfRule type="cellIs" priority="5" stopIfTrue="1" operator="greaterThanOrEqual">
      <formula>0</formula>
    </cfRule>
  </conditionalFormatting>
  <conditionalFormatting sqref="R254:Y420">
    <cfRule type="cellIs" priority="4" stopIfTrue="1" operator="greaterThanOrEqual">
      <formula>0</formula>
    </cfRule>
  </conditionalFormatting>
  <conditionalFormatting sqref="M254:Q420">
    <cfRule type="cellIs" priority="3" stopIfTrue="1" operator="greaterThanOrEqual">
      <formula>0</formula>
    </cfRule>
  </conditionalFormatting>
  <conditionalFormatting sqref="R428:Y594">
    <cfRule type="cellIs" priority="2" stopIfTrue="1" operator="greaterThanOrEqual">
      <formula>0</formula>
    </cfRule>
  </conditionalFormatting>
  <conditionalFormatting sqref="M428:Q594">
    <cfRule type="cellIs" priority="1" stopIfTrue="1" operator="greaterThanOrEqual">
      <formula>0</formula>
    </cfRule>
  </conditionalFormatting>
  <dataValidations count="1">
    <dataValidation type="decimal" operator="greaterThanOrEqual" allowBlank="1" showInputMessage="1" showErrorMessage="1" sqref="M828:Y829 M831:Y831" xr:uid="{00000000-0002-0000-0800-000000000000}">
      <formula1>0</formula1>
    </dataValidation>
  </dataValidations>
  <printOptions headings="1"/>
  <pageMargins left="0.35433070866141736" right="0.31496062992125984" top="1.5354330708661419" bottom="0.62992125984251968" header="0" footer="0.27559055118110237"/>
  <pageSetup paperSize="9" scale="32" fitToHeight="0" orientation="portrait" r:id="rId1"/>
  <headerFooter alignWithMargins="0">
    <oddHeader>&amp;R&amp;G</oddHeader>
    <oddFooter xml:space="preserve">&amp;L&amp;T
&amp;D&amp;R&amp;P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F43DBF38909FBE4FB7013785ED317834" ma:contentTypeVersion="9" ma:contentTypeDescription="Create a new document." ma:contentTypeScope="" ma:versionID="5ed04a3ea97c7020d636aa7bc0541ef6">
  <xsd:schema xmlns:xsd="http://www.w3.org/2001/XMLSchema" xmlns:xs="http://www.w3.org/2001/XMLSchema" xmlns:p="http://schemas.microsoft.com/office/2006/metadata/properties" xmlns:ns2="e354c1ba-5eff-4acc-b686-1cb52d90b54c" xmlns:ns3="5f27d59f-3ffa-4bd3-aea7-2c6740acf1ff" targetNamespace="http://schemas.microsoft.com/office/2006/metadata/properties" ma:root="true" ma:fieldsID="b2273a4ee51d499a01978e7808fdd48f" ns2:_="" ns3:_="">
    <xsd:import namespace="e354c1ba-5eff-4acc-b686-1cb52d90b54c"/>
    <xsd:import namespace="5f27d59f-3ffa-4bd3-aea7-2c6740ac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4c1ba-5eff-4acc-b686-1cb52d90b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27d59f-3ffa-4bd3-aea7-2c6740ac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297CD9-0676-4467-9493-F574B3B8EC0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368A1D08-2697-42E4-8408-E8267E10A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4c1ba-5eff-4acc-b686-1cb52d90b54c"/>
    <ds:schemaRef ds:uri="5f27d59f-3ffa-4bd3-aea7-2c6740acf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7ADD2E-4B67-4D3F-B8BE-148279A5F5EA}">
  <ds:schemaRefs>
    <ds:schemaRef ds:uri="e354c1ba-5eff-4acc-b686-1cb52d90b54c"/>
    <ds:schemaRef ds:uri="http://purl.org/dc/dcmitype/"/>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5f27d59f-3ffa-4bd3-aea7-2c6740acf1ff"/>
    <ds:schemaRef ds:uri="http://purl.org/dc/terms/"/>
  </ds:schemaRefs>
</ds:datastoreItem>
</file>

<file path=customXml/itemProps4.xml><?xml version="1.0" encoding="utf-8"?>
<ds:datastoreItem xmlns:ds="http://schemas.openxmlformats.org/officeDocument/2006/customXml" ds:itemID="{58D033C0-82B3-4A21-8286-6B4B6CE75F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78</vt:i4>
      </vt:variant>
      <vt:variant>
        <vt:lpstr>Named Ranges</vt:lpstr>
      </vt:variant>
      <vt:variant>
        <vt:i4>3</vt:i4>
      </vt:variant>
    </vt:vector>
  </HeadingPairs>
  <TitlesOfParts>
    <vt:vector size="81" baseType="lpstr">
      <vt:lpstr>Cover</vt:lpstr>
      <vt:lpstr>Contents</vt:lpstr>
      <vt:lpstr>Changes_Log</vt:lpstr>
      <vt:lpstr>Fixed_Data</vt:lpstr>
      <vt:lpstr>Universal_Data</vt:lpstr>
      <vt:lpstr>1.01_BPFM_Inputs</vt:lpstr>
      <vt:lpstr>1.02_BP_Financial_Requirements </vt:lpstr>
      <vt:lpstr>1.02b_Debt</vt:lpstr>
      <vt:lpstr>1.02c_Interest</vt:lpstr>
      <vt:lpstr>1.03_BP_Tax_Inputs</vt:lpstr>
      <vt:lpstr>1.04_BP_Disposals_1</vt:lpstr>
      <vt:lpstr>1.05_BP_Disposals_2</vt:lpstr>
      <vt:lpstr>Totex_Summary</vt:lpstr>
      <vt:lpstr>GD1_Adjustments</vt:lpstr>
      <vt:lpstr>2.00_Opex_Summary</vt:lpstr>
      <vt:lpstr>2.01_Opex_Cost_Matrix_C</vt:lpstr>
      <vt:lpstr>2.02_Opex_Cost_Matrix_NC</vt:lpstr>
      <vt:lpstr>2.03_Emergency</vt:lpstr>
      <vt:lpstr>2.04_Maintenance</vt:lpstr>
      <vt:lpstr>2.05_Business_Support_Group</vt:lpstr>
      <vt:lpstr>2.06_Business_Support</vt:lpstr>
      <vt:lpstr>2.07_IT_&amp;_Telecoms_Group</vt:lpstr>
      <vt:lpstr>2.08_Property_Management_Group</vt:lpstr>
      <vt:lpstr>2.09_Insurance_Group</vt:lpstr>
      <vt:lpstr>2.10_CEO_&amp;_Corporate </vt:lpstr>
      <vt:lpstr>2.11_Insource_Outsource</vt:lpstr>
      <vt:lpstr>2.12_RPE_&amp;_OE</vt:lpstr>
      <vt:lpstr>2.13_FTE</vt:lpstr>
      <vt:lpstr>2.14_T&amp;A_Costs</vt:lpstr>
      <vt:lpstr>2.15_T&amp;A_Programmes</vt:lpstr>
      <vt:lpstr>2.16_T&amp;A_Numbers</vt:lpstr>
      <vt:lpstr>2.17_Shrinkage</vt:lpstr>
      <vt:lpstr>2.18_Street_Works</vt:lpstr>
      <vt:lpstr>2.19_LP_Gasholders</vt:lpstr>
      <vt:lpstr>2.20_Land_Remediation</vt:lpstr>
      <vt:lpstr>2.21_SIU</vt:lpstr>
      <vt:lpstr>2.22_Smart_Metering</vt:lpstr>
      <vt:lpstr>2.23_Related_Party</vt:lpstr>
      <vt:lpstr>3.00_Capex_Summary</vt:lpstr>
      <vt:lpstr>3.01_LTS_Storage_&amp;_Entry</vt:lpstr>
      <vt:lpstr>3.02_Reinforcement</vt:lpstr>
      <vt:lpstr>3.03_Governors</vt:lpstr>
      <vt:lpstr>3.04_Connections</vt:lpstr>
      <vt:lpstr>3.05_Other_Capex</vt:lpstr>
      <vt:lpstr>3.06_Transport_&amp;_Plant</vt:lpstr>
      <vt:lpstr>3.07_Capitalised_Overheads</vt:lpstr>
      <vt:lpstr>4.00_Repex_Summary</vt:lpstr>
      <vt:lpstr>4.01_Repex_Mains_Tier-1</vt:lpstr>
      <vt:lpstr>4.02_Repex_Mains_Tier-2A</vt:lpstr>
      <vt:lpstr>4.03_Repex_Mains_Tier-2B_&amp;_3</vt:lpstr>
      <vt:lpstr>4.04_Repex_Mains_Other</vt:lpstr>
      <vt:lpstr>4.05_Repex_Mains_Diversions</vt:lpstr>
      <vt:lpstr>4.06_Capitalised_Replacement</vt:lpstr>
      <vt:lpstr>4.07_Repex_Services</vt:lpstr>
      <vt:lpstr>4.08_Repex_MOB</vt:lpstr>
      <vt:lpstr>4.09_Repex_Cost_Breakdown</vt:lpstr>
      <vt:lpstr>4.10_MRPS</vt:lpstr>
      <vt:lpstr>4.11_Dynamic_Growth_Tier_1</vt:lpstr>
      <vt:lpstr>4.12_Robotic_Intervention</vt:lpstr>
      <vt:lpstr>5.01_LTS_&amp;_Entry_Assets</vt:lpstr>
      <vt:lpstr>5.02_Network_Assets</vt:lpstr>
      <vt:lpstr>5.03_Capacity_&amp;_Storage_Assets</vt:lpstr>
      <vt:lpstr>5.04_Capacity_&amp;_Demand</vt:lpstr>
      <vt:lpstr>5.05_Capacity_Output_Data</vt:lpstr>
      <vt:lpstr>5.06_MEAV_Assets</vt:lpstr>
      <vt:lpstr>5.07_PRE_Reports_&amp;_Repairs</vt:lpstr>
      <vt:lpstr>5.08_Safety</vt:lpstr>
      <vt:lpstr>5.09_Reliability</vt:lpstr>
      <vt:lpstr>5.10_BCF</vt:lpstr>
      <vt:lpstr>5.11_Innovation</vt:lpstr>
      <vt:lpstr>5.12_Cyber_Security_OT</vt:lpstr>
      <vt:lpstr>5.13_Cyber_Security_IT</vt:lpstr>
      <vt:lpstr>5.14_Physical_Security_Capex</vt:lpstr>
      <vt:lpstr>5.15_Physical_Security_Opex</vt:lpstr>
      <vt:lpstr>5.16_EAP</vt:lpstr>
      <vt:lpstr>5.17_NARM_Reconciliation</vt:lpstr>
      <vt:lpstr>5.18_Bespoke_Uncertain</vt:lpstr>
      <vt:lpstr>List</vt:lpstr>
      <vt:lpstr>'1.01_BPFM_Inputs'!Print_Area</vt:lpstr>
      <vt:lpstr>'4.00_Repex_Summary'!Print_Area</vt:lpstr>
      <vt:lpstr>'5.08_Safety'!Print_Area</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RIIO-GD2 Draft BPDT</dc:title>
  <dc:subject/>
  <dc:creator>Nicole Weir</dc:creator>
  <cp:keywords/>
  <dc:description/>
  <cp:lastModifiedBy>Neil Pike</cp:lastModifiedBy>
  <cp:revision/>
  <dcterms:created xsi:type="dcterms:W3CDTF">2019-03-06T09:45:36Z</dcterms:created>
  <dcterms:modified xsi:type="dcterms:W3CDTF">2019-12-09T08:18:10Z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1f66d4c8-ec13-4678-8d12-28312ae6da87</vt:lpwstr>
  </property>
  <property fmtid="{D5CDD505-2E9C-101B-9397-08002B2CF9AE}" pid="3" name="bjSaver">
    <vt:lpwstr>ghgs60GnZS/Zfdhg3EJZvOEhJfAF7Y35</vt:lpwstr>
  </property>
  <property fmtid="{D5CDD505-2E9C-101B-9397-08002B2CF9AE}" pid="4" name="ContentTypeId">
    <vt:lpwstr>0x010100F43DBF38909FBE4FB7013785ED317834</vt:lpwstr>
  </property>
  <property fmtid="{D5CDD505-2E9C-101B-9397-08002B2CF9AE}" pid="5" name="Order">
    <vt:r8>2412500</vt:r8>
  </property>
  <property fmtid="{D5CDD505-2E9C-101B-9397-08002B2CF9AE}" pid="6" name="BJSCc5a055b0-1bed-4579_x">
    <vt:lpwstr/>
  </property>
  <property fmtid="{D5CDD505-2E9C-101B-9397-08002B2CF9AE}" pid="7" name="xd_ProgID">
    <vt:lpwstr/>
  </property>
  <property fmtid="{D5CDD505-2E9C-101B-9397-08002B2CF9AE}" pid="8" name="BJSCdd9eba61-d6b9-469b_x">
    <vt:lpwstr/>
  </property>
  <property fmtid="{D5CDD505-2E9C-101B-9397-08002B2CF9AE}" pid="9" name="BJSCSummaryMarking">
    <vt:lpwstr>OFFICIAL</vt:lpwstr>
  </property>
  <property fmtid="{D5CDD505-2E9C-101B-9397-08002B2CF9AE}" pid="10"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1" name="TemplateUrl">
    <vt:lpwstr/>
  </property>
  <property fmtid="{D5CDD505-2E9C-101B-9397-08002B2CF9AE}" pid="12" name="Organisation">
    <vt:lpwstr>Choose an Organisation</vt:lpwstr>
  </property>
  <property fmtid="{D5CDD505-2E9C-101B-9397-08002B2CF9AE}" pid="13" name="::">
    <vt:lpwstr>-Main Document</vt:lpwstr>
  </property>
  <property fmtid="{D5CDD505-2E9C-101B-9397-08002B2CF9AE}" pid="14"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5" name="bjDocumentLabelXML-0">
    <vt:lpwstr>nternal/label"&gt;&lt;element uid="id_classification_nonbusiness" value="" /&gt;&lt;/sisl&gt;</vt:lpwstr>
  </property>
  <property fmtid="{D5CDD505-2E9C-101B-9397-08002B2CF9AE}" pid="16" name="bjDocumentSecurityLabel">
    <vt:lpwstr>OFFICIAL</vt:lpwstr>
  </property>
</Properties>
</file>